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I:\Websites\Pscweb\utilities\electric\20docs\2003504\"/>
    </mc:Choice>
  </mc:AlternateContent>
  <bookViews>
    <workbookView xWindow="0" yWindow="0" windowWidth="19200" windowHeight="11595" tabRatio="738" activeTab="7"/>
  </bookViews>
  <sheets>
    <sheet name="Blocking-Step2-Rebuttal" sheetId="13034" r:id="rId1"/>
    <sheet name="Table A-Total" sheetId="13017" r:id="rId2"/>
    <sheet name="Table A-Step1" sheetId="13014" r:id="rId3"/>
    <sheet name="Table A-Step2" sheetId="13007" r:id="rId4"/>
    <sheet name="RateSpread" sheetId="12989" r:id="rId5"/>
    <sheet name="Blocking-Step1" sheetId="13015" r:id="rId6"/>
    <sheet name="COS Lighting" sheetId="13010" r:id="rId7"/>
    <sheet name="Blocking-Step2" sheetId="12908" r:id="rId8"/>
    <sheet name="COS Lighting (2)" sheetId="13033" r:id="rId9"/>
    <sheet name="Sh1-SF-1" sheetId="13018" r:id="rId10"/>
    <sheet name="Sch1-MF-1" sheetId="13020" r:id="rId11"/>
    <sheet name="Sch6-1" sheetId="13022" r:id="rId12"/>
    <sheet name="Sch8-1" sheetId="13024" r:id="rId13"/>
    <sheet name="Sch9-1" sheetId="13026" r:id="rId14"/>
    <sheet name="Sch10-1" sheetId="13028" r:id="rId15"/>
    <sheet name="Sch23-1" sheetId="13030" r:id="rId16"/>
    <sheet name="Sch1-SF-2" sheetId="13019" r:id="rId17"/>
    <sheet name="Sch1-MF-2" sheetId="13021" r:id="rId18"/>
    <sheet name="Sch6-2" sheetId="13023" r:id="rId19"/>
    <sheet name="Sch8-2" sheetId="13025" r:id="rId20"/>
    <sheet name="Sch9-2" sheetId="13027" r:id="rId21"/>
    <sheet name="Sch10-2" sheetId="13029" r:id="rId22"/>
    <sheet name="Sch23-2" sheetId="13031" r:id="rId23"/>
    <sheet name="Unit Cost Target" sheetId="13000" r:id="rId24"/>
    <sheet name="LifeLine" sheetId="13012" r:id="rId25"/>
    <sheet name="Table B-Step1" sheetId="13013" r:id="rId26"/>
    <sheet name="Table B-Step2" sheetId="13005" r:id="rId27"/>
    <sheet name="Table B-Total" sheetId="13016" r:id="rId28"/>
    <sheet name="Sch32 COS" sheetId="13006" r:id="rId29"/>
    <sheet name="Large Profile" sheetId="12998" r:id="rId30"/>
    <sheet name="COS F101" sheetId="13002" r:id="rId31"/>
    <sheet name="COS Target" sheetId="12999" r:id="rId32"/>
    <sheet name="BD-Redesign" sheetId="13001" r:id="rId33"/>
    <sheet name="BD-Redesign1" sheetId="13011" r:id="rId34"/>
    <sheet name="Sch1-SF-T" sheetId="13008" r:id="rId35"/>
    <sheet name="Sch1-MF-T" sheetId="13009" r:id="rId36"/>
    <sheet name="Sch6-T" sheetId="12992" r:id="rId37"/>
    <sheet name="Sch8-T" sheetId="12993" r:id="rId38"/>
    <sheet name="Sch9-T" sheetId="12994" r:id="rId39"/>
    <sheet name="Sch10-T" sheetId="12995" r:id="rId40"/>
    <sheet name="Sch23-T" sheetId="12991" r:id="rId41"/>
    <sheet name="Comparison" sheetId="12858" r:id="rId42"/>
    <sheet name="Table 1 Revn" sheetId="6" r:id="rId43"/>
    <sheet name="Table 1 MWh" sheetId="12715" r:id="rId44"/>
    <sheet name="Table 2" sheetId="12711" r:id="rId45"/>
    <sheet name="Table 3" sheetId="12709" r:id="rId46"/>
    <sheet name="Table 4" sheetId="12721" r:id="rId47"/>
    <sheet name="Bill" sheetId="12974" r:id="rId48"/>
    <sheet name="Energy" sheetId="12973" r:id="rId49"/>
    <sheet name="TempRevMay" sheetId="12984" r:id="rId50"/>
    <sheet name="TempMWH" sheetId="12925" r:id="rId51"/>
    <sheet name="TempRev" sheetId="12924" r:id="rId52"/>
    <sheet name="123" sheetId="12756" r:id="rId53"/>
    <sheet name="123May" sheetId="12982" r:id="rId54"/>
    <sheet name="6" sheetId="12777" r:id="rId55"/>
    <sheet name="6-may" sheetId="12988" r:id="rId56"/>
    <sheet name="6A" sheetId="12786" r:id="rId57"/>
    <sheet name="7" sheetId="12760" r:id="rId58"/>
    <sheet name="8" sheetId="12780" r:id="rId59"/>
    <sheet name="9" sheetId="12761" r:id="rId60"/>
    <sheet name="9A" sheetId="12762" r:id="rId61"/>
    <sheet name="10" sheetId="12771" r:id="rId62"/>
    <sheet name="11" sheetId="12772" r:id="rId63"/>
    <sheet name="12E" sheetId="12905" r:id="rId64"/>
    <sheet name="12F" sheetId="12775" r:id="rId65"/>
    <sheet name="12P" sheetId="12774" r:id="rId66"/>
    <sheet name="15M" sheetId="12782" r:id="rId67"/>
    <sheet name="15T" sheetId="12776" r:id="rId68"/>
    <sheet name="21" sheetId="12773" r:id="rId69"/>
    <sheet name="Bill-21" sheetId="13003" r:id="rId70"/>
    <sheet name="23" sheetId="12763" r:id="rId71"/>
    <sheet name="23-may" sheetId="12990" r:id="rId72"/>
    <sheet name="31" sheetId="12785" r:id="rId73"/>
    <sheet name="32" sheetId="12985" r:id="rId74"/>
    <sheet name="32-9" sheetId="12981" r:id="rId75"/>
    <sheet name="32-forecast" sheetId="12987" r:id="rId76"/>
    <sheet name="34" sheetId="12978" r:id="rId77"/>
    <sheet name="C1" sheetId="12931" r:id="rId78"/>
    <sheet name="C2" sheetId="12930" r:id="rId79"/>
    <sheet name="C3" sheetId="12929" r:id="rId80"/>
    <sheet name="C3-Forecast" sheetId="12986" r:id="rId81"/>
    <sheet name="PTL" sheetId="12765" r:id="rId82"/>
    <sheet name="305" sheetId="12749" r:id="rId83"/>
    <sheet name="305vsCognos" sheetId="12852" r:id="rId84"/>
    <sheet name="DwellingCode" sheetId="12983" r:id="rId85"/>
    <sheet name="305 SUM" sheetId="12750" r:id="rId86"/>
    <sheet name="Test Period" sheetId="12794" r:id="rId87"/>
    <sheet name="Table A-Class" sheetId="12910" r:id="rId88"/>
    <sheet name="Checking-T" sheetId="12856" r:id="rId89"/>
  </sheets>
  <externalReferences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_______________________OM1" localSheetId="69" hidden="1">{#N/A,#N/A,FALSE,"Summary";#N/A,#N/A,FALSE,"SmPlants";#N/A,#N/A,FALSE,"Utah";#N/A,#N/A,FALSE,"Idaho";#N/A,#N/A,FALSE,"Lewis River";#N/A,#N/A,FALSE,"NrthUmpq";#N/A,#N/A,FALSE,"KlamRog"}</definedName>
    <definedName name="________________________OM1" localSheetId="80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localSheetId="69" hidden="1">{#N/A,#N/A,FALSE,"Summary";#N/A,#N/A,FALSE,"SmPlants";#N/A,#N/A,FALSE,"Utah";#N/A,#N/A,FALSE,"Idaho";#N/A,#N/A,FALSE,"Lewis River";#N/A,#N/A,FALSE,"NrthUmpq";#N/A,#N/A,FALSE,"KlamRog"}</definedName>
    <definedName name="______________________OM1" localSheetId="80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localSheetId="69" hidden="1">{#N/A,#N/A,FALSE,"Summary";#N/A,#N/A,FALSE,"SmPlants";#N/A,#N/A,FALSE,"Utah";#N/A,#N/A,FALSE,"Idaho";#N/A,#N/A,FALSE,"Lewis River";#N/A,#N/A,FALSE,"NrthUmpq";#N/A,#N/A,FALSE,"KlamRog"}</definedName>
    <definedName name="____________________OM1" localSheetId="80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localSheetId="69" hidden="1">{#N/A,#N/A,FALSE,"Summary";#N/A,#N/A,FALSE,"SmPlants";#N/A,#N/A,FALSE,"Utah";#N/A,#N/A,FALSE,"Idaho";#N/A,#N/A,FALSE,"Lewis River";#N/A,#N/A,FALSE,"NrthUmpq";#N/A,#N/A,FALSE,"KlamRog"}</definedName>
    <definedName name="___________________OM1" localSheetId="80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OM1" localSheetId="69" hidden="1">{#N/A,#N/A,FALSE,"Summary";#N/A,#N/A,FALSE,"SmPlants";#N/A,#N/A,FALSE,"Utah";#N/A,#N/A,FALSE,"Idaho";#N/A,#N/A,FALSE,"Lewis River";#N/A,#N/A,FALSE,"NrthUmpq";#N/A,#N/A,FALSE,"KlamRog"}</definedName>
    <definedName name="_________________OM1" localSheetId="80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OM1" localSheetId="69" hidden="1">{#N/A,#N/A,FALSE,"Summary";#N/A,#N/A,FALSE,"SmPlants";#N/A,#N/A,FALSE,"Utah";#N/A,#N/A,FALSE,"Idaho";#N/A,#N/A,FALSE,"Lewis River";#N/A,#N/A,FALSE,"NrthUmpq";#N/A,#N/A,FALSE,"KlamRog"}</definedName>
    <definedName name="______________OM1" localSheetId="80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OM1" localSheetId="69" hidden="1">{#N/A,#N/A,FALSE,"Summary";#N/A,#N/A,FALSE,"SmPlants";#N/A,#N/A,FALSE,"Utah";#N/A,#N/A,FALSE,"Idaho";#N/A,#N/A,FALSE,"Lewis River";#N/A,#N/A,FALSE,"NrthUmpq";#N/A,#N/A,FALSE,"KlamRog"}</definedName>
    <definedName name="____________OM1" localSheetId="80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OM1" localSheetId="69" hidden="1">{#N/A,#N/A,FALSE,"Summary";#N/A,#N/A,FALSE,"SmPlants";#N/A,#N/A,FALSE,"Utah";#N/A,#N/A,FALSE,"Idaho";#N/A,#N/A,FALSE,"Lewis River";#N/A,#N/A,FALSE,"NrthUmpq";#N/A,#N/A,FALSE,"KlamRog"}</definedName>
    <definedName name="___________OM1" localSheetId="80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j1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localSheetId="69" hidden="1">{#N/A,#N/A,FALSE,"Summary";#N/A,#N/A,FALSE,"SmPlants";#N/A,#N/A,FALSE,"Utah";#N/A,#N/A,FALSE,"Idaho";#N/A,#N/A,FALSE,"Lewis River";#N/A,#N/A,FALSE,"NrthUmpq";#N/A,#N/A,FALSE,"KlamRog"}</definedName>
    <definedName name="_________OM1" localSheetId="80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j1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localSheetId="69" hidden="1">{#N/A,#N/A,FALSE,"Summary";#N/A,#N/A,FALSE,"SmPlants";#N/A,#N/A,FALSE,"Utah";#N/A,#N/A,FALSE,"Idaho";#N/A,#N/A,FALSE,"Lewis River";#N/A,#N/A,FALSE,"NrthUmpq";#N/A,#N/A,FALSE,"KlamRog"}</definedName>
    <definedName name="_______OM1" localSheetId="80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j1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69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80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localSheetId="69" hidden="1">{#N/A,#N/A,FALSE,"Summary";#N/A,#N/A,FALSE,"SmPlants";#N/A,#N/A,FALSE,"Utah";#N/A,#N/A,FALSE,"Idaho";#N/A,#N/A,FALSE,"Lewis River";#N/A,#N/A,FALSE,"NrthUmpq";#N/A,#N/A,FALSE,"KlamRog"}</definedName>
    <definedName name="______OM1" localSheetId="80" hidden="1">{#N/A,#N/A,FALSE,"Summary";#N/A,#N/A,FALSE,"SmPlants";#N/A,#N/A,FALSE,"Utah";#N/A,#N/A,FALSE,"Idaho";#N/A,#N/A,FALSE,"Lewis River";#N/A,#N/A,FALSE,"NrthUmpq";#N/A,#N/A,FALSE,"KlamRog"}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j1" localSheetId="69" hidden="1">{"PRINT",#N/A,TRUE,"APPA";"PRINT",#N/A,TRUE,"APS";"PRINT",#N/A,TRUE,"BHPL";"PRINT",#N/A,TRUE,"BHPL2";"PRINT",#N/A,TRUE,"CDWR";"PRINT",#N/A,TRUE,"EWEB";"PRINT",#N/A,TRUE,"LADWP";"PRINT",#N/A,TRUE,"NEVBASE"}</definedName>
    <definedName name="_____j1" localSheetId="80" hidden="1">{"PRINT",#N/A,TRUE,"APPA";"PRINT",#N/A,TRUE,"APS";"PRINT",#N/A,TRUE,"BHPL";"PRINT",#N/A,TRUE,"BHPL2";"PRINT",#N/A,TRUE,"CDWR";"PRINT",#N/A,TRUE,"EWEB";"PRINT",#N/A,TRUE,"LADWP";"PRINT",#N/A,TRUE,"NEVBASE"}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localSheetId="69" hidden="1">{"PRINT",#N/A,TRUE,"APPA";"PRINT",#N/A,TRUE,"APS";"PRINT",#N/A,TRUE,"BHPL";"PRINT",#N/A,TRUE,"BHPL2";"PRINT",#N/A,TRUE,"CDWR";"PRINT",#N/A,TRUE,"EWEB";"PRINT",#N/A,TRUE,"LADWP";"PRINT",#N/A,TRUE,"NEVBASE"}</definedName>
    <definedName name="_____j2" localSheetId="80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69" hidden="1">{"PRINT",#N/A,TRUE,"APPA";"PRINT",#N/A,TRUE,"APS";"PRINT",#N/A,TRUE,"BHPL";"PRINT",#N/A,TRUE,"BHPL2";"PRINT",#N/A,TRUE,"CDWR";"PRINT",#N/A,TRUE,"EWEB";"PRINT",#N/A,TRUE,"LADWP";"PRINT",#N/A,TRUE,"NEVBASE"}</definedName>
    <definedName name="_____j3" localSheetId="80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69" hidden="1">{"PRINT",#N/A,TRUE,"APPA";"PRINT",#N/A,TRUE,"APS";"PRINT",#N/A,TRUE,"BHPL";"PRINT",#N/A,TRUE,"BHPL2";"PRINT",#N/A,TRUE,"CDWR";"PRINT",#N/A,TRUE,"EWEB";"PRINT",#N/A,TRUE,"LADWP";"PRINT",#N/A,TRUE,"NEVBASE"}</definedName>
    <definedName name="_____j4" localSheetId="80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69" hidden="1">{"PRINT",#N/A,TRUE,"APPA";"PRINT",#N/A,TRUE,"APS";"PRINT",#N/A,TRUE,"BHPL";"PRINT",#N/A,TRUE,"BHPL2";"PRINT",#N/A,TRUE,"CDWR";"PRINT",#N/A,TRUE,"EWEB";"PRINT",#N/A,TRUE,"LADWP";"PRINT",#N/A,TRUE,"NEVBASE"}</definedName>
    <definedName name="_____j5" localSheetId="80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localSheetId="69" hidden="1">{#N/A,#N/A,FALSE,"Summary";#N/A,#N/A,FALSE,"SmPlants";#N/A,#N/A,FALSE,"Utah";#N/A,#N/A,FALSE,"Idaho";#N/A,#N/A,FALSE,"Lewis River";#N/A,#N/A,FALSE,"NrthUmpq";#N/A,#N/A,FALSE,"KlamRog"}</definedName>
    <definedName name="_____OM1" localSheetId="80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j1" localSheetId="69" hidden="1">{"PRINT",#N/A,TRUE,"APPA";"PRINT",#N/A,TRUE,"APS";"PRINT",#N/A,TRUE,"BHPL";"PRINT",#N/A,TRUE,"BHPL2";"PRINT",#N/A,TRUE,"CDWR";"PRINT",#N/A,TRUE,"EWEB";"PRINT",#N/A,TRUE,"LADWP";"PRINT",#N/A,TRUE,"NEVBASE"}</definedName>
    <definedName name="____j1" localSheetId="80" hidden="1">{"PRINT",#N/A,TRUE,"APPA";"PRINT",#N/A,TRUE,"APS";"PRINT",#N/A,TRUE,"BHPL";"PRINT",#N/A,TRUE,"BHPL2";"PRINT",#N/A,TRUE,"CDWR";"PRINT",#N/A,TRUE,"EWEB";"PRINT",#N/A,TRUE,"LADWP";"PRINT",#N/A,TRUE,"NEVBASE"}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localSheetId="69" hidden="1">{"PRINT",#N/A,TRUE,"APPA";"PRINT",#N/A,TRUE,"APS";"PRINT",#N/A,TRUE,"BHPL";"PRINT",#N/A,TRUE,"BHPL2";"PRINT",#N/A,TRUE,"CDWR";"PRINT",#N/A,TRUE,"EWEB";"PRINT",#N/A,TRUE,"LADWP";"PRINT",#N/A,TRUE,"NEVBASE"}</definedName>
    <definedName name="____j2" localSheetId="80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localSheetId="69" hidden="1">{"PRINT",#N/A,TRUE,"APPA";"PRINT",#N/A,TRUE,"APS";"PRINT",#N/A,TRUE,"BHPL";"PRINT",#N/A,TRUE,"BHPL2";"PRINT",#N/A,TRUE,"CDWR";"PRINT",#N/A,TRUE,"EWEB";"PRINT",#N/A,TRUE,"LADWP";"PRINT",#N/A,TRUE,"NEVBASE"}</definedName>
    <definedName name="____j3" localSheetId="80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localSheetId="69" hidden="1">{"PRINT",#N/A,TRUE,"APPA";"PRINT",#N/A,TRUE,"APS";"PRINT",#N/A,TRUE,"BHPL";"PRINT",#N/A,TRUE,"BHPL2";"PRINT",#N/A,TRUE,"CDWR";"PRINT",#N/A,TRUE,"EWEB";"PRINT",#N/A,TRUE,"LADWP";"PRINT",#N/A,TRUE,"NEVBASE"}</definedName>
    <definedName name="____j4" localSheetId="80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localSheetId="69" hidden="1">{"PRINT",#N/A,TRUE,"APPA";"PRINT",#N/A,TRUE,"APS";"PRINT",#N/A,TRUE,"BHPL";"PRINT",#N/A,TRUE,"BHPL2";"PRINT",#N/A,TRUE,"CDWR";"PRINT",#N/A,TRUE,"EWEB";"PRINT",#N/A,TRUE,"LADWP";"PRINT",#N/A,TRUE,"NEVBASE"}</definedName>
    <definedName name="____j5" localSheetId="80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OM1" localSheetId="69" hidden="1">{#N/A,#N/A,FALSE,"Summary";#N/A,#N/A,FALSE,"SmPlants";#N/A,#N/A,FALSE,"Utah";#N/A,#N/A,FALSE,"Idaho";#N/A,#N/A,FALSE,"Lewis River";#N/A,#N/A,FALSE,"NrthUmpq";#N/A,#N/A,FALSE,"KlamRog"}</definedName>
    <definedName name="____OM1" localSheetId="80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j1" localSheetId="69" hidden="1">{"PRINT",#N/A,TRUE,"APPA";"PRINT",#N/A,TRUE,"APS";"PRINT",#N/A,TRUE,"BHPL";"PRINT",#N/A,TRUE,"BHPL2";"PRINT",#N/A,TRUE,"CDWR";"PRINT",#N/A,TRUE,"EWEB";"PRINT",#N/A,TRUE,"LADWP";"PRINT",#N/A,TRUE,"NEVBASE"}</definedName>
    <definedName name="___j1" localSheetId="80" hidden="1">{"PRINT",#N/A,TRUE,"APPA";"PRINT",#N/A,TRUE,"APS";"PRINT",#N/A,TRUE,"BHPL";"PRINT",#N/A,TRUE,"BHPL2";"PRINT",#N/A,TRUE,"CDWR";"PRINT",#N/A,TRUE,"EWEB";"PRINT",#N/A,TRUE,"LADWP";"PRINT",#N/A,TRUE,"NEVBASE"}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localSheetId="69" hidden="1">{"PRINT",#N/A,TRUE,"APPA";"PRINT",#N/A,TRUE,"APS";"PRINT",#N/A,TRUE,"BHPL";"PRINT",#N/A,TRUE,"BHPL2";"PRINT",#N/A,TRUE,"CDWR";"PRINT",#N/A,TRUE,"EWEB";"PRINT",#N/A,TRUE,"LADWP";"PRINT",#N/A,TRUE,"NEVBASE"}</definedName>
    <definedName name="___j2" localSheetId="80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localSheetId="69" hidden="1">{"PRINT",#N/A,TRUE,"APPA";"PRINT",#N/A,TRUE,"APS";"PRINT",#N/A,TRUE,"BHPL";"PRINT",#N/A,TRUE,"BHPL2";"PRINT",#N/A,TRUE,"CDWR";"PRINT",#N/A,TRUE,"EWEB";"PRINT",#N/A,TRUE,"LADWP";"PRINT",#N/A,TRUE,"NEVBASE"}</definedName>
    <definedName name="___j3" localSheetId="80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localSheetId="69" hidden="1">{"PRINT",#N/A,TRUE,"APPA";"PRINT",#N/A,TRUE,"APS";"PRINT",#N/A,TRUE,"BHPL";"PRINT",#N/A,TRUE,"BHPL2";"PRINT",#N/A,TRUE,"CDWR";"PRINT",#N/A,TRUE,"EWEB";"PRINT",#N/A,TRUE,"LADWP";"PRINT",#N/A,TRUE,"NEVBASE"}</definedName>
    <definedName name="___j4" localSheetId="80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localSheetId="69" hidden="1">{"PRINT",#N/A,TRUE,"APPA";"PRINT",#N/A,TRUE,"APS";"PRINT",#N/A,TRUE,"BHPL";"PRINT",#N/A,TRUE,"BHPL2";"PRINT",#N/A,TRUE,"CDWR";"PRINT",#N/A,TRUE,"EWEB";"PRINT",#N/A,TRUE,"LADWP";"PRINT",#N/A,TRUE,"NEVBASE"}</definedName>
    <definedName name="___j5" localSheetId="80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OM1" localSheetId="69" hidden="1">{#N/A,#N/A,FALSE,"Summary";#N/A,#N/A,FALSE,"SmPlants";#N/A,#N/A,FALSE,"Utah";#N/A,#N/A,FALSE,"Idaho";#N/A,#N/A,FALSE,"Lewis River";#N/A,#N/A,FALSE,"NrthUmpq";#N/A,#N/A,FALSE,"KlamRog"}</definedName>
    <definedName name="___OM1" localSheetId="80" hidden="1">{#N/A,#N/A,FALSE,"Summary";#N/A,#N/A,FALSE,"SmPlants";#N/A,#N/A,FALSE,"Utah";#N/A,#N/A,FALSE,"Idaho";#N/A,#N/A,FALSE,"Lewis River";#N/A,#N/A,FALSE,"NrthUmpq";#N/A,#N/A,FALSE,"KlamRog"}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123Graph_A" localSheetId="53" hidden="1">[1]Inputs!#REF!</definedName>
    <definedName name="__123Graph_A" localSheetId="71" hidden="1">[1]Inputs!#REF!</definedName>
    <definedName name="__123Graph_A" localSheetId="55" hidden="1">[1]Inputs!#REF!</definedName>
    <definedName name="__123Graph_A" localSheetId="33" hidden="1">[1]Inputs!#REF!</definedName>
    <definedName name="__123Graph_A" localSheetId="69" hidden="1">[2]Inputs!#REF!</definedName>
    <definedName name="__123Graph_A" localSheetId="5" hidden="1">'Blocking-Step1'!$C$672:$C$690</definedName>
    <definedName name="__123Graph_A" localSheetId="7" hidden="1">'Blocking-Step2'!$C$672:$C$690</definedName>
    <definedName name="__123Graph_A" localSheetId="77" hidden="1">[1]Inputs!#REF!</definedName>
    <definedName name="__123Graph_A" localSheetId="79" hidden="1">[1]Inputs!#REF!</definedName>
    <definedName name="__123Graph_A" localSheetId="80" hidden="1">[3]Inputs!#REF!</definedName>
    <definedName name="__123Graph_A" localSheetId="41" hidden="1">[4]Inputs!#REF!</definedName>
    <definedName name="__123Graph_A" localSheetId="4" hidden="1">[1]Inputs!#REF!</definedName>
    <definedName name="__123Graph_A" localSheetId="14" hidden="1">[1]Inputs!#REF!</definedName>
    <definedName name="__123Graph_A" localSheetId="21" hidden="1">[1]Inputs!#REF!</definedName>
    <definedName name="__123Graph_A" localSheetId="10" hidden="1">[1]Inputs!#REF!</definedName>
    <definedName name="__123Graph_A" localSheetId="17" hidden="1">[1]Inputs!#REF!</definedName>
    <definedName name="__123Graph_A" localSheetId="16" hidden="1">[1]Inputs!#REF!</definedName>
    <definedName name="__123Graph_A" localSheetId="15" hidden="1">[1]Inputs!#REF!</definedName>
    <definedName name="__123Graph_A" localSheetId="22" hidden="1">[1]Inputs!#REF!</definedName>
    <definedName name="__123Graph_A" localSheetId="11" hidden="1">[1]Inputs!#REF!</definedName>
    <definedName name="__123Graph_A" localSheetId="18" hidden="1">[1]Inputs!#REF!</definedName>
    <definedName name="__123Graph_A" localSheetId="12" hidden="1">[1]Inputs!#REF!</definedName>
    <definedName name="__123Graph_A" localSheetId="19" hidden="1">[1]Inputs!#REF!</definedName>
    <definedName name="__123Graph_A" localSheetId="13" hidden="1">[1]Inputs!#REF!</definedName>
    <definedName name="__123Graph_A" localSheetId="20" hidden="1">[1]Inputs!#REF!</definedName>
    <definedName name="__123Graph_A" localSheetId="9" hidden="1">[1]Inputs!#REF!</definedName>
    <definedName name="__123Graph_A" localSheetId="2" hidden="1">[1]Inputs!#REF!</definedName>
    <definedName name="__123Graph_A" localSheetId="3" hidden="1">[1]Inputs!#REF!</definedName>
    <definedName name="__123Graph_A" localSheetId="1" hidden="1">[1]Inputs!#REF!</definedName>
    <definedName name="__123Graph_A" localSheetId="25" hidden="1">[1]Inputs!#REF!</definedName>
    <definedName name="__123Graph_A" localSheetId="26" hidden="1">[1]Inputs!#REF!</definedName>
    <definedName name="__123Graph_A" localSheetId="27" hidden="1">[1]Inputs!#REF!</definedName>
    <definedName name="__123Graph_A" localSheetId="51" hidden="1">[1]Inputs!#REF!</definedName>
    <definedName name="__123Graph_A" localSheetId="49" hidden="1">[1]Inputs!#REF!</definedName>
    <definedName name="__123Graph_A" hidden="1">[1]Inputs!#REF!</definedName>
    <definedName name="__123Graph_AGRAPH1" localSheetId="5" hidden="1">'Blocking-Step1'!$C$2435:$C$2435</definedName>
    <definedName name="__123Graph_AGRAPH1" localSheetId="7" hidden="1">'Blocking-Step2'!$C$2435:$C$2435</definedName>
    <definedName name="__123Graph_B" localSheetId="53" hidden="1">[1]Inputs!#REF!</definedName>
    <definedName name="__123Graph_B" localSheetId="71" hidden="1">[1]Inputs!#REF!</definedName>
    <definedName name="__123Graph_B" localSheetId="55" hidden="1">[1]Inputs!#REF!</definedName>
    <definedName name="__123Graph_B" localSheetId="33" hidden="1">[1]Inputs!#REF!</definedName>
    <definedName name="__123Graph_B" localSheetId="69" hidden="1">[2]Inputs!#REF!</definedName>
    <definedName name="__123Graph_B" localSheetId="5" hidden="1">'Blocking-Step1'!#REF!</definedName>
    <definedName name="__123Graph_B" localSheetId="7" hidden="1">'Blocking-Step2'!#REF!</definedName>
    <definedName name="__123Graph_B" localSheetId="77" hidden="1">[1]Inputs!#REF!</definedName>
    <definedName name="__123Graph_B" localSheetId="79" hidden="1">[1]Inputs!#REF!</definedName>
    <definedName name="__123Graph_B" localSheetId="80" hidden="1">[3]Inputs!#REF!</definedName>
    <definedName name="__123Graph_B" localSheetId="41" hidden="1">[4]Inputs!#REF!</definedName>
    <definedName name="__123Graph_B" localSheetId="4" hidden="1">[1]Inputs!#REF!</definedName>
    <definedName name="__123Graph_B" localSheetId="14" hidden="1">[1]Inputs!#REF!</definedName>
    <definedName name="__123Graph_B" localSheetId="21" hidden="1">[1]Inputs!#REF!</definedName>
    <definedName name="__123Graph_B" localSheetId="10" hidden="1">[1]Inputs!#REF!</definedName>
    <definedName name="__123Graph_B" localSheetId="17" hidden="1">[1]Inputs!#REF!</definedName>
    <definedName name="__123Graph_B" localSheetId="16" hidden="1">[1]Inputs!#REF!</definedName>
    <definedName name="__123Graph_B" localSheetId="15" hidden="1">[1]Inputs!#REF!</definedName>
    <definedName name="__123Graph_B" localSheetId="22" hidden="1">[1]Inputs!#REF!</definedName>
    <definedName name="__123Graph_B" localSheetId="11" hidden="1">[1]Inputs!#REF!</definedName>
    <definedName name="__123Graph_B" localSheetId="18" hidden="1">[1]Inputs!#REF!</definedName>
    <definedName name="__123Graph_B" localSheetId="12" hidden="1">[1]Inputs!#REF!</definedName>
    <definedName name="__123Graph_B" localSheetId="19" hidden="1">[1]Inputs!#REF!</definedName>
    <definedName name="__123Graph_B" localSheetId="13" hidden="1">[1]Inputs!#REF!</definedName>
    <definedName name="__123Graph_B" localSheetId="20" hidden="1">[1]Inputs!#REF!</definedName>
    <definedName name="__123Graph_B" localSheetId="9" hidden="1">[1]Inputs!#REF!</definedName>
    <definedName name="__123Graph_B" localSheetId="2" hidden="1">[1]Inputs!#REF!</definedName>
    <definedName name="__123Graph_B" localSheetId="3" hidden="1">[1]Inputs!#REF!</definedName>
    <definedName name="__123Graph_B" localSheetId="1" hidden="1">[1]Inputs!#REF!</definedName>
    <definedName name="__123Graph_B" localSheetId="25" hidden="1">[1]Inputs!#REF!</definedName>
    <definedName name="__123Graph_B" localSheetId="26" hidden="1">[1]Inputs!#REF!</definedName>
    <definedName name="__123Graph_B" localSheetId="27" hidden="1">[1]Inputs!#REF!</definedName>
    <definedName name="__123Graph_B" localSheetId="51" hidden="1">[1]Inputs!#REF!</definedName>
    <definedName name="__123Graph_B" localSheetId="49" hidden="1">[1]Inputs!#REF!</definedName>
    <definedName name="__123Graph_B" hidden="1">[1]Inputs!#REF!</definedName>
    <definedName name="__123Graph_C" localSheetId="5" hidden="1">'Blocking-Step1'!#REF!</definedName>
    <definedName name="__123Graph_C" localSheetId="7" hidden="1">'Blocking-Step2'!#REF!</definedName>
    <definedName name="__123Graph_D" localSheetId="53" hidden="1">[1]Inputs!#REF!</definedName>
    <definedName name="__123Graph_D" localSheetId="71" hidden="1">[1]Inputs!#REF!</definedName>
    <definedName name="__123Graph_D" localSheetId="55" hidden="1">[1]Inputs!#REF!</definedName>
    <definedName name="__123Graph_D" localSheetId="33" hidden="1">[1]Inputs!#REF!</definedName>
    <definedName name="__123Graph_D" localSheetId="69" hidden="1">[2]Inputs!#REF!</definedName>
    <definedName name="__123Graph_D" localSheetId="5" hidden="1">'Blocking-Step1'!#REF!</definedName>
    <definedName name="__123Graph_D" localSheetId="7" hidden="1">'Blocking-Step2'!#REF!</definedName>
    <definedName name="__123Graph_D" localSheetId="77" hidden="1">[1]Inputs!#REF!</definedName>
    <definedName name="__123Graph_D" localSheetId="79" hidden="1">[1]Inputs!#REF!</definedName>
    <definedName name="__123Graph_D" localSheetId="80" hidden="1">[3]Inputs!#REF!</definedName>
    <definedName name="__123Graph_D" localSheetId="41" hidden="1">[4]Inputs!#REF!</definedName>
    <definedName name="__123Graph_D" localSheetId="4" hidden="1">[1]Inputs!#REF!</definedName>
    <definedName name="__123Graph_D" localSheetId="14" hidden="1">[1]Inputs!#REF!</definedName>
    <definedName name="__123Graph_D" localSheetId="21" hidden="1">[1]Inputs!#REF!</definedName>
    <definedName name="__123Graph_D" localSheetId="10" hidden="1">[1]Inputs!#REF!</definedName>
    <definedName name="__123Graph_D" localSheetId="17" hidden="1">[1]Inputs!#REF!</definedName>
    <definedName name="__123Graph_D" localSheetId="16" hidden="1">[1]Inputs!#REF!</definedName>
    <definedName name="__123Graph_D" localSheetId="15" hidden="1">[1]Inputs!#REF!</definedName>
    <definedName name="__123Graph_D" localSheetId="22" hidden="1">[1]Inputs!#REF!</definedName>
    <definedName name="__123Graph_D" localSheetId="11" hidden="1">[1]Inputs!#REF!</definedName>
    <definedName name="__123Graph_D" localSheetId="18" hidden="1">[1]Inputs!#REF!</definedName>
    <definedName name="__123Graph_D" localSheetId="12" hidden="1">[1]Inputs!#REF!</definedName>
    <definedName name="__123Graph_D" localSheetId="19" hidden="1">[1]Inputs!#REF!</definedName>
    <definedName name="__123Graph_D" localSheetId="13" hidden="1">[1]Inputs!#REF!</definedName>
    <definedName name="__123Graph_D" localSheetId="20" hidden="1">[1]Inputs!#REF!</definedName>
    <definedName name="__123Graph_D" localSheetId="9" hidden="1">[1]Inputs!#REF!</definedName>
    <definedName name="__123Graph_D" localSheetId="2" hidden="1">[1]Inputs!#REF!</definedName>
    <definedName name="__123Graph_D" localSheetId="3" hidden="1">[1]Inputs!#REF!</definedName>
    <definedName name="__123Graph_D" localSheetId="1" hidden="1">[1]Inputs!#REF!</definedName>
    <definedName name="__123Graph_D" localSheetId="25" hidden="1">[1]Inputs!#REF!</definedName>
    <definedName name="__123Graph_D" localSheetId="26" hidden="1">[1]Inputs!#REF!</definedName>
    <definedName name="__123Graph_D" localSheetId="27" hidden="1">[1]Inputs!#REF!</definedName>
    <definedName name="__123Graph_D" localSheetId="51" hidden="1">[1]Inputs!#REF!</definedName>
    <definedName name="__123Graph_D" localSheetId="49" hidden="1">[1]Inputs!#REF!</definedName>
    <definedName name="__123Graph_D" hidden="1">[1]Inputs!#REF!</definedName>
    <definedName name="__123Graph_E" localSheetId="5" hidden="1">'Blocking-Step1'!#REF!</definedName>
    <definedName name="__123Graph_E" localSheetId="7" hidden="1">'Blocking-Step2'!#REF!</definedName>
    <definedName name="__123Graph_E" hidden="1">[5]Input!$E$22:$E$37</definedName>
    <definedName name="__123Graph_F" localSheetId="5" hidden="1">'Blocking-Step1'!$F$672:$F$690</definedName>
    <definedName name="__123Graph_F" localSheetId="7" hidden="1">'Blocking-Step2'!$F$672:$F$690</definedName>
    <definedName name="__123Graph_F" hidden="1">[5]Input!$D$22:$D$37</definedName>
    <definedName name="__j1" localSheetId="69" hidden="1">{"PRINT",#N/A,TRUE,"APPA";"PRINT",#N/A,TRUE,"APS";"PRINT",#N/A,TRUE,"BHPL";"PRINT",#N/A,TRUE,"BHPL2";"PRINT",#N/A,TRUE,"CDWR";"PRINT",#N/A,TRUE,"EWEB";"PRINT",#N/A,TRUE,"LADWP";"PRINT",#N/A,TRUE,"NEVBASE"}</definedName>
    <definedName name="__j1" localSheetId="80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69" hidden="1">{"PRINT",#N/A,TRUE,"APPA";"PRINT",#N/A,TRUE,"APS";"PRINT",#N/A,TRUE,"BHPL";"PRINT",#N/A,TRUE,"BHPL2";"PRINT",#N/A,TRUE,"CDWR";"PRINT",#N/A,TRUE,"EWEB";"PRINT",#N/A,TRUE,"LADWP";"PRINT",#N/A,TRUE,"NEVBASE"}</definedName>
    <definedName name="__j2" localSheetId="80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69" hidden="1">{"PRINT",#N/A,TRUE,"APPA";"PRINT",#N/A,TRUE,"APS";"PRINT",#N/A,TRUE,"BHPL";"PRINT",#N/A,TRUE,"BHPL2";"PRINT",#N/A,TRUE,"CDWR";"PRINT",#N/A,TRUE,"EWEB";"PRINT",#N/A,TRUE,"LADWP";"PRINT",#N/A,TRUE,"NEVBASE"}</definedName>
    <definedName name="__j3" localSheetId="80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69" hidden="1">{"PRINT",#N/A,TRUE,"APPA";"PRINT",#N/A,TRUE,"APS";"PRINT",#N/A,TRUE,"BHPL";"PRINT",#N/A,TRUE,"BHPL2";"PRINT",#N/A,TRUE,"CDWR";"PRINT",#N/A,TRUE,"EWEB";"PRINT",#N/A,TRUE,"LADWP";"PRINT",#N/A,TRUE,"NEVBASE"}</definedName>
    <definedName name="__j4" localSheetId="80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69" hidden="1">{"PRINT",#N/A,TRUE,"APPA";"PRINT",#N/A,TRUE,"APS";"PRINT",#N/A,TRUE,"BHPL";"PRINT",#N/A,TRUE,"BHPL2";"PRINT",#N/A,TRUE,"CDWR";"PRINT",#N/A,TRUE,"EWEB";"PRINT",#N/A,TRUE,"LADWP";"PRINT",#N/A,TRUE,"NEVBASE"}</definedName>
    <definedName name="__j5" localSheetId="80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OM1" localSheetId="69" hidden="1">{#N/A,#N/A,FALSE,"Summary";#N/A,#N/A,FALSE,"SmPlants";#N/A,#N/A,FALSE,"Utah";#N/A,#N/A,FALSE,"Idaho";#N/A,#N/A,FALSE,"Lewis River";#N/A,#N/A,FALSE,"NrthUmpq";#N/A,#N/A,FALSE,"KlamRog"}</definedName>
    <definedName name="__OM1" localSheetId="80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Dist_Values" localSheetId="5" hidden="1">'Blocking-Step1'!#REF!</definedName>
    <definedName name="_Dist_Values" localSheetId="7" hidden="1">'Blocking-Step2'!#REF!</definedName>
    <definedName name="_Fill" localSheetId="53" hidden="1">#REF!</definedName>
    <definedName name="_Fill" localSheetId="71" hidden="1">#REF!</definedName>
    <definedName name="_Fill" localSheetId="55" hidden="1">#REF!</definedName>
    <definedName name="_Fill" localSheetId="33" hidden="1">#REF!</definedName>
    <definedName name="_Fill" localSheetId="69" hidden="1">#REF!</definedName>
    <definedName name="_Fill" localSheetId="5" hidden="1">'Blocking-Step1'!#REF!</definedName>
    <definedName name="_Fill" localSheetId="7" hidden="1">'Blocking-Step2'!#REF!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41" hidden="1">#REF!</definedName>
    <definedName name="_Fill" localSheetId="4" hidden="1">#REF!</definedName>
    <definedName name="_Fill" localSheetId="14" hidden="1">#REF!</definedName>
    <definedName name="_Fill" localSheetId="21" hidden="1">#REF!</definedName>
    <definedName name="_Fill" localSheetId="10" hidden="1">#REF!</definedName>
    <definedName name="_Fill" localSheetId="17" hidden="1">#REF!</definedName>
    <definedName name="_Fill" localSheetId="16" hidden="1">#REF!</definedName>
    <definedName name="_Fill" localSheetId="15" hidden="1">#REF!</definedName>
    <definedName name="_Fill" localSheetId="22" hidden="1">#REF!</definedName>
    <definedName name="_Fill" localSheetId="11" hidden="1">#REF!</definedName>
    <definedName name="_Fill" localSheetId="18" hidden="1">#REF!</definedName>
    <definedName name="_Fill" localSheetId="12" hidden="1">#REF!</definedName>
    <definedName name="_Fill" localSheetId="19" hidden="1">#REF!</definedName>
    <definedName name="_Fill" localSheetId="13" hidden="1">#REF!</definedName>
    <definedName name="_Fill" localSheetId="20" hidden="1">#REF!</definedName>
    <definedName name="_Fill" localSheetId="9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51" hidden="1">#REF!</definedName>
    <definedName name="_Fill" localSheetId="49" hidden="1">#REF!</definedName>
    <definedName name="_Fill" hidden="1">#REF!</definedName>
    <definedName name="_xlnm._FilterDatabase" localSheetId="53" hidden="1">#REF!</definedName>
    <definedName name="_xlnm._FilterDatabase" localSheetId="65" hidden="1">'12P'!$A$1:$O$22</definedName>
    <definedName name="_xlnm._FilterDatabase" localSheetId="71" hidden="1">#REF!</definedName>
    <definedName name="_xlnm._FilterDatabase" localSheetId="82" hidden="1">'305'!$A$1:$J$207</definedName>
    <definedName name="_xlnm._FilterDatabase" localSheetId="83" hidden="1">'305vsCognos'!$A$2:$M$723</definedName>
    <definedName name="_xlnm._FilterDatabase" localSheetId="55" hidden="1">#REF!</definedName>
    <definedName name="_xlnm._FilterDatabase" localSheetId="57" hidden="1">'7'!$T$1:$Z$72</definedName>
    <definedName name="_xlnm._FilterDatabase" localSheetId="33" hidden="1">#REF!</definedName>
    <definedName name="_xlnm._FilterDatabase" localSheetId="69" hidden="1">'Bill-21'!$A$1:$X$26</definedName>
    <definedName name="_xlnm._FilterDatabase" localSheetId="5" hidden="1">'Blocking-Step1'!#REF!</definedName>
    <definedName name="_xlnm._FilterDatabase" localSheetId="7" hidden="1">'Blocking-Step2'!#REF!</definedName>
    <definedName name="_xlnm._FilterDatabase" localSheetId="80" hidden="1">#REF!</definedName>
    <definedName name="_xlnm._FilterDatabase" localSheetId="4" hidden="1">#REF!</definedName>
    <definedName name="_xlnm._FilterDatabase" localSheetId="14" hidden="1">#REF!</definedName>
    <definedName name="_xlnm._FilterDatabase" localSheetId="21" hidden="1">#REF!</definedName>
    <definedName name="_xlnm._FilterDatabase" localSheetId="10" hidden="1">#REF!</definedName>
    <definedName name="_xlnm._FilterDatabase" localSheetId="17" hidden="1">#REF!</definedName>
    <definedName name="_xlnm._FilterDatabase" localSheetId="16" hidden="1">#REF!</definedName>
    <definedName name="_xlnm._FilterDatabase" localSheetId="15" hidden="1">#REF!</definedName>
    <definedName name="_xlnm._FilterDatabase" localSheetId="22" hidden="1">#REF!</definedName>
    <definedName name="_xlnm._FilterDatabase" localSheetId="11" hidden="1">#REF!</definedName>
    <definedName name="_xlnm._FilterDatabase" localSheetId="18" hidden="1">#REF!</definedName>
    <definedName name="_xlnm._FilterDatabase" localSheetId="12" hidden="1">#REF!</definedName>
    <definedName name="_xlnm._FilterDatabase" localSheetId="19" hidden="1">#REF!</definedName>
    <definedName name="_xlnm._FilterDatabase" localSheetId="13" hidden="1">#REF!</definedName>
    <definedName name="_xlnm._FilterDatabase" localSheetId="20" hidden="1">#REF!</definedName>
    <definedName name="_xlnm._FilterDatabase" localSheetId="9" hidden="1">#REF!</definedName>
    <definedName name="_xlnm._FilterDatabase" localSheetId="44" hidden="1">'Table 2'!$A$10:$AA$208</definedName>
    <definedName name="_xlnm._FilterDatabase" localSheetId="45" hidden="1">'Table 3'!$D$1:$D$209</definedName>
    <definedName name="_xlnm._FilterDatabase" localSheetId="2" hidden="1">#REF!</definedName>
    <definedName name="_xlnm._FilterDatabase" localSheetId="3" hidden="1">#REF!</definedName>
    <definedName name="_xlnm._FilterDatabase" localSheetId="1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7" hidden="1">#REF!</definedName>
    <definedName name="_xlnm._FilterDatabase" localSheetId="49" hidden="1">#REF!</definedName>
    <definedName name="_xlnm._FilterDatabase" hidden="1">#REF!</definedName>
    <definedName name="_j1" localSheetId="69" hidden="1">{"PRINT",#N/A,TRUE,"APPA";"PRINT",#N/A,TRUE,"APS";"PRINT",#N/A,TRUE,"BHPL";"PRINT",#N/A,TRUE,"BHPL2";"PRINT",#N/A,TRUE,"CDWR";"PRINT",#N/A,TRUE,"EWEB";"PRINT",#N/A,TRUE,"LADWP";"PRINT",#N/A,TRUE,"NEVBASE"}</definedName>
    <definedName name="_j1" localSheetId="80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69" hidden="1">{"PRINT",#N/A,TRUE,"APPA";"PRINT",#N/A,TRUE,"APS";"PRINT",#N/A,TRUE,"BHPL";"PRINT",#N/A,TRUE,"BHPL2";"PRINT",#N/A,TRUE,"CDWR";"PRINT",#N/A,TRUE,"EWEB";"PRINT",#N/A,TRUE,"LADWP";"PRINT",#N/A,TRUE,"NEVBASE"}</definedName>
    <definedName name="_j2" localSheetId="80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69" hidden="1">{"PRINT",#N/A,TRUE,"APPA";"PRINT",#N/A,TRUE,"APS";"PRINT",#N/A,TRUE,"BHPL";"PRINT",#N/A,TRUE,"BHPL2";"PRINT",#N/A,TRUE,"CDWR";"PRINT",#N/A,TRUE,"EWEB";"PRINT",#N/A,TRUE,"LADWP";"PRINT",#N/A,TRUE,"NEVBASE"}</definedName>
    <definedName name="_j3" localSheetId="80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69" hidden="1">{"PRINT",#N/A,TRUE,"APPA";"PRINT",#N/A,TRUE,"APS";"PRINT",#N/A,TRUE,"BHPL";"PRINT",#N/A,TRUE,"BHPL2";"PRINT",#N/A,TRUE,"CDWR";"PRINT",#N/A,TRUE,"EWEB";"PRINT",#N/A,TRUE,"LADWP";"PRINT",#N/A,TRUE,"NEVBASE"}</definedName>
    <definedName name="_j4" localSheetId="80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69" hidden="1">{"PRINT",#N/A,TRUE,"APPA";"PRINT",#N/A,TRUE,"APS";"PRINT",#N/A,TRUE,"BHPL";"PRINT",#N/A,TRUE,"BHPL2";"PRINT",#N/A,TRUE,"CDWR";"PRINT",#N/A,TRUE,"EWEB";"PRINT",#N/A,TRUE,"LADWP";"PRINT",#N/A,TRUE,"NEVBASE"}</definedName>
    <definedName name="_j5" localSheetId="80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localSheetId="53" hidden="1">#REF!</definedName>
    <definedName name="_Key1" localSheetId="71" hidden="1">#REF!</definedName>
    <definedName name="_Key1" localSheetId="55" hidden="1">#REF!</definedName>
    <definedName name="_Key1" localSheetId="33" hidden="1">#REF!</definedName>
    <definedName name="_Key1" localSheetId="69" hidden="1">#REF!</definedName>
    <definedName name="_Key1" localSheetId="5" hidden="1">#REF!</definedName>
    <definedName name="_Key1" localSheetId="7" hidden="1">#REF!</definedName>
    <definedName name="_Key1" localSheetId="77" hidden="1">#REF!</definedName>
    <definedName name="_Key1" localSheetId="79" hidden="1">#REF!</definedName>
    <definedName name="_Key1" localSheetId="80" hidden="1">#REF!</definedName>
    <definedName name="_Key1" localSheetId="41" hidden="1">#REF!</definedName>
    <definedName name="_Key1" localSheetId="4" hidden="1">#REF!</definedName>
    <definedName name="_Key1" localSheetId="14" hidden="1">#REF!</definedName>
    <definedName name="_Key1" localSheetId="21" hidden="1">#REF!</definedName>
    <definedName name="_Key1" localSheetId="10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22" hidden="1">#REF!</definedName>
    <definedName name="_Key1" localSheetId="11" hidden="1">#REF!</definedName>
    <definedName name="_Key1" localSheetId="18" hidden="1">#REF!</definedName>
    <definedName name="_Key1" localSheetId="12" hidden="1">#REF!</definedName>
    <definedName name="_Key1" localSheetId="19" hidden="1">#REF!</definedName>
    <definedName name="_Key1" localSheetId="13" hidden="1">#REF!</definedName>
    <definedName name="_Key1" localSheetId="20" hidden="1">#REF!</definedName>
    <definedName name="_Key1" localSheetId="9" hidden="1">#REF!</definedName>
    <definedName name="_Key1" localSheetId="87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localSheetId="49" hidden="1">#REF!</definedName>
    <definedName name="_Key1" hidden="1">#REF!</definedName>
    <definedName name="_Key2" localSheetId="53" hidden="1">#REF!</definedName>
    <definedName name="_Key2" localSheetId="71" hidden="1">#REF!</definedName>
    <definedName name="_Key2" localSheetId="55" hidden="1">#REF!</definedName>
    <definedName name="_Key2" localSheetId="33" hidden="1">#REF!</definedName>
    <definedName name="_Key2" localSheetId="69" hidden="1">#REF!</definedName>
    <definedName name="_Key2" localSheetId="5" hidden="1">#REF!</definedName>
    <definedName name="_Key2" localSheetId="7" hidden="1">#REF!</definedName>
    <definedName name="_Key2" localSheetId="77" hidden="1">#REF!</definedName>
    <definedName name="_Key2" localSheetId="79" hidden="1">#REF!</definedName>
    <definedName name="_Key2" localSheetId="80" hidden="1">#REF!</definedName>
    <definedName name="_Key2" localSheetId="41" hidden="1">#REF!</definedName>
    <definedName name="_Key2" localSheetId="4" hidden="1">#REF!</definedName>
    <definedName name="_Key2" localSheetId="14" hidden="1">#REF!</definedName>
    <definedName name="_Key2" localSheetId="21" hidden="1">#REF!</definedName>
    <definedName name="_Key2" localSheetId="10" hidden="1">#REF!</definedName>
    <definedName name="_Key2" localSheetId="17" hidden="1">#REF!</definedName>
    <definedName name="_Key2" localSheetId="16" hidden="1">#REF!</definedName>
    <definedName name="_Key2" localSheetId="15" hidden="1">#REF!</definedName>
    <definedName name="_Key2" localSheetId="22" hidden="1">#REF!</definedName>
    <definedName name="_Key2" localSheetId="11" hidden="1">#REF!</definedName>
    <definedName name="_Key2" localSheetId="18" hidden="1">#REF!</definedName>
    <definedName name="_Key2" localSheetId="12" hidden="1">#REF!</definedName>
    <definedName name="_Key2" localSheetId="19" hidden="1">#REF!</definedName>
    <definedName name="_Key2" localSheetId="13" hidden="1">#REF!</definedName>
    <definedName name="_Key2" localSheetId="20" hidden="1">#REF!</definedName>
    <definedName name="_Key2" localSheetId="9" hidden="1">#REF!</definedName>
    <definedName name="_Key2" localSheetId="87" hidden="1">#REF!</definedName>
    <definedName name="_Key2" localSheetId="2" hidden="1">#REF!</definedName>
    <definedName name="_Key2" localSheetId="3" hidden="1">#REF!</definedName>
    <definedName name="_Key2" localSheetId="1" hidden="1">#REF!</definedName>
    <definedName name="_Key2" localSheetId="25" hidden="1">#REF!</definedName>
    <definedName name="_Key2" localSheetId="26" hidden="1">#REF!</definedName>
    <definedName name="_Key2" localSheetId="27" hidden="1">#REF!</definedName>
    <definedName name="_Key2" localSheetId="49" hidden="1">#REF!</definedName>
    <definedName name="_Key2" hidden="1">#REF!</definedName>
    <definedName name="_OM1" localSheetId="69" hidden="1">{#N/A,#N/A,FALSE,"Summary";#N/A,#N/A,FALSE,"SmPlants";#N/A,#N/A,FALSE,"Utah";#N/A,#N/A,FALSE,"Idaho";#N/A,#N/A,FALSE,"Lewis River";#N/A,#N/A,FALSE,"NrthUmpq";#N/A,#N/A,FALSE,"KlamRog"}</definedName>
    <definedName name="_OM1" localSheetId="80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localSheetId="69" hidden="1">0</definedName>
    <definedName name="_Order1" localSheetId="77" hidden="1">0</definedName>
    <definedName name="_Order1" localSheetId="79" hidden="1">0</definedName>
    <definedName name="_Order1" localSheetId="4" hidden="1">255</definedName>
    <definedName name="_Order1" localSheetId="87" hidden="1">255</definedName>
    <definedName name="_Order1" localSheetId="2" hidden="1">255</definedName>
    <definedName name="_Order1" localSheetId="3" hidden="1">255</definedName>
    <definedName name="_Order1" localSheetId="1" hidden="1">255</definedName>
    <definedName name="_Order1" localSheetId="25" hidden="1">255</definedName>
    <definedName name="_Order1" localSheetId="26" hidden="1">255</definedName>
    <definedName name="_Order1" localSheetId="27" hidden="1">255</definedName>
    <definedName name="_Order1" hidden="1">255</definedName>
    <definedName name="_Order2" localSheetId="69" hidden="1">0</definedName>
    <definedName name="_Order2" localSheetId="77" hidden="1">0</definedName>
    <definedName name="_Order2" localSheetId="79" hidden="1">0</definedName>
    <definedName name="_Order2" localSheetId="4" hidden="1">255</definedName>
    <definedName name="_Order2" localSheetId="87" hidden="1">255</definedName>
    <definedName name="_Order2" localSheetId="2" hidden="1">255</definedName>
    <definedName name="_Order2" localSheetId="3" hidden="1">255</definedName>
    <definedName name="_Order2" localSheetId="1" hidden="1">255</definedName>
    <definedName name="_Order2" localSheetId="25" hidden="1">255</definedName>
    <definedName name="_Order2" localSheetId="26" hidden="1">255</definedName>
    <definedName name="_Order2" localSheetId="27" hidden="1">255</definedName>
    <definedName name="_Order2" hidden="1">255</definedName>
    <definedName name="_Regression_Out" localSheetId="53" hidden="1">#REF!</definedName>
    <definedName name="_Regression_Out" localSheetId="71" hidden="1">#REF!</definedName>
    <definedName name="_Regression_Out" localSheetId="55" hidden="1">#REF!</definedName>
    <definedName name="_Regression_Out" localSheetId="33" hidden="1">#REF!</definedName>
    <definedName name="_Regression_Out" localSheetId="69" hidden="1">#REF!</definedName>
    <definedName name="_Regression_Out" localSheetId="5" hidden="1">#REF!</definedName>
    <definedName name="_Regression_Out" localSheetId="80" hidden="1">#REF!</definedName>
    <definedName name="_Regression_Out" localSheetId="4" hidden="1">#REF!</definedName>
    <definedName name="_Regression_Out" localSheetId="14" hidden="1">#REF!</definedName>
    <definedName name="_Regression_Out" localSheetId="21" hidden="1">#REF!</definedName>
    <definedName name="_Regression_Out" localSheetId="10" hidden="1">#REF!</definedName>
    <definedName name="_Regression_Out" localSheetId="17" hidden="1">#REF!</definedName>
    <definedName name="_Regression_Out" localSheetId="16" hidden="1">#REF!</definedName>
    <definedName name="_Regression_Out" localSheetId="15" hidden="1">#REF!</definedName>
    <definedName name="_Regression_Out" localSheetId="22" hidden="1">#REF!</definedName>
    <definedName name="_Regression_Out" localSheetId="11" hidden="1">#REF!</definedName>
    <definedName name="_Regression_Out" localSheetId="18" hidden="1">#REF!</definedName>
    <definedName name="_Regression_Out" localSheetId="12" hidden="1">#REF!</definedName>
    <definedName name="_Regression_Out" localSheetId="19" hidden="1">#REF!</definedName>
    <definedName name="_Regression_Out" localSheetId="13" hidden="1">#REF!</definedName>
    <definedName name="_Regression_Out" localSheetId="20" hidden="1">#REF!</definedName>
    <definedName name="_Regression_Out" localSheetId="9" hidden="1">#REF!</definedName>
    <definedName name="_Regression_Out" localSheetId="2" hidden="1">#REF!</definedName>
    <definedName name="_Regression_Out" localSheetId="3" hidden="1">#REF!</definedName>
    <definedName name="_Regression_Out" localSheetId="1" hidden="1">#REF!</definedName>
    <definedName name="_Regression_Out" localSheetId="25" hidden="1">#REF!</definedName>
    <definedName name="_Regression_Out" localSheetId="26" hidden="1">#REF!</definedName>
    <definedName name="_Regression_Out" localSheetId="27" hidden="1">#REF!</definedName>
    <definedName name="_Regression_Out" localSheetId="49" hidden="1">#REF!</definedName>
    <definedName name="_Regression_Out" hidden="1">#REF!</definedName>
    <definedName name="_Regression_X" localSheetId="53" hidden="1">#REF!</definedName>
    <definedName name="_Regression_X" localSheetId="71" hidden="1">#REF!</definedName>
    <definedName name="_Regression_X" localSheetId="55" hidden="1">#REF!</definedName>
    <definedName name="_Regression_X" localSheetId="33" hidden="1">#REF!</definedName>
    <definedName name="_Regression_X" localSheetId="69" hidden="1">#REF!</definedName>
    <definedName name="_Regression_X" localSheetId="5" hidden="1">#REF!</definedName>
    <definedName name="_Regression_X" localSheetId="80" hidden="1">#REF!</definedName>
    <definedName name="_Regression_X" localSheetId="4" hidden="1">#REF!</definedName>
    <definedName name="_Regression_X" localSheetId="14" hidden="1">#REF!</definedName>
    <definedName name="_Regression_X" localSheetId="21" hidden="1">#REF!</definedName>
    <definedName name="_Regression_X" localSheetId="10" hidden="1">#REF!</definedName>
    <definedName name="_Regression_X" localSheetId="17" hidden="1">#REF!</definedName>
    <definedName name="_Regression_X" localSheetId="16" hidden="1">#REF!</definedName>
    <definedName name="_Regression_X" localSheetId="15" hidden="1">#REF!</definedName>
    <definedName name="_Regression_X" localSheetId="22" hidden="1">#REF!</definedName>
    <definedName name="_Regression_X" localSheetId="11" hidden="1">#REF!</definedName>
    <definedName name="_Regression_X" localSheetId="18" hidden="1">#REF!</definedName>
    <definedName name="_Regression_X" localSheetId="12" hidden="1">#REF!</definedName>
    <definedName name="_Regression_X" localSheetId="19" hidden="1">#REF!</definedName>
    <definedName name="_Regression_X" localSheetId="13" hidden="1">#REF!</definedName>
    <definedName name="_Regression_X" localSheetId="20" hidden="1">#REF!</definedName>
    <definedName name="_Regression_X" localSheetId="9" hidden="1">#REF!</definedName>
    <definedName name="_Regression_X" localSheetId="2" hidden="1">#REF!</definedName>
    <definedName name="_Regression_X" localSheetId="3" hidden="1">#REF!</definedName>
    <definedName name="_Regression_X" localSheetId="1" hidden="1">#REF!</definedName>
    <definedName name="_Regression_X" localSheetId="25" hidden="1">#REF!</definedName>
    <definedName name="_Regression_X" localSheetId="26" hidden="1">#REF!</definedName>
    <definedName name="_Regression_X" localSheetId="27" hidden="1">#REF!</definedName>
    <definedName name="_Regression_X" localSheetId="49" hidden="1">#REF!</definedName>
    <definedName name="_Regression_X" hidden="1">#REF!</definedName>
    <definedName name="_Regression_Y" localSheetId="53" hidden="1">#REF!</definedName>
    <definedName name="_Regression_Y" localSheetId="71" hidden="1">#REF!</definedName>
    <definedName name="_Regression_Y" localSheetId="55" hidden="1">#REF!</definedName>
    <definedName name="_Regression_Y" localSheetId="33" hidden="1">#REF!</definedName>
    <definedName name="_Regression_Y" localSheetId="69" hidden="1">#REF!</definedName>
    <definedName name="_Regression_Y" localSheetId="5" hidden="1">#REF!</definedName>
    <definedName name="_Regression_Y" localSheetId="80" hidden="1">#REF!</definedName>
    <definedName name="_Regression_Y" localSheetId="4" hidden="1">#REF!</definedName>
    <definedName name="_Regression_Y" localSheetId="14" hidden="1">#REF!</definedName>
    <definedName name="_Regression_Y" localSheetId="21" hidden="1">#REF!</definedName>
    <definedName name="_Regression_Y" localSheetId="10" hidden="1">#REF!</definedName>
    <definedName name="_Regression_Y" localSheetId="17" hidden="1">#REF!</definedName>
    <definedName name="_Regression_Y" localSheetId="16" hidden="1">#REF!</definedName>
    <definedName name="_Regression_Y" localSheetId="15" hidden="1">#REF!</definedName>
    <definedName name="_Regression_Y" localSheetId="22" hidden="1">#REF!</definedName>
    <definedName name="_Regression_Y" localSheetId="11" hidden="1">#REF!</definedName>
    <definedName name="_Regression_Y" localSheetId="18" hidden="1">#REF!</definedName>
    <definedName name="_Regression_Y" localSheetId="12" hidden="1">#REF!</definedName>
    <definedName name="_Regression_Y" localSheetId="19" hidden="1">#REF!</definedName>
    <definedName name="_Regression_Y" localSheetId="13" hidden="1">#REF!</definedName>
    <definedName name="_Regression_Y" localSheetId="20" hidden="1">#REF!</definedName>
    <definedName name="_Regression_Y" localSheetId="9" hidden="1">#REF!</definedName>
    <definedName name="_Regression_Y" localSheetId="2" hidden="1">#REF!</definedName>
    <definedName name="_Regression_Y" localSheetId="3" hidden="1">#REF!</definedName>
    <definedName name="_Regression_Y" localSheetId="1" hidden="1">#REF!</definedName>
    <definedName name="_Regression_Y" localSheetId="25" hidden="1">#REF!</definedName>
    <definedName name="_Regression_Y" localSheetId="26" hidden="1">#REF!</definedName>
    <definedName name="_Regression_Y" localSheetId="27" hidden="1">#REF!</definedName>
    <definedName name="_Regression_Y" localSheetId="49" hidden="1">#REF!</definedName>
    <definedName name="_Regression_Y" hidden="1">#REF!</definedName>
    <definedName name="_Sort" localSheetId="53" hidden="1">#REF!</definedName>
    <definedName name="_Sort" localSheetId="71" hidden="1">#REF!</definedName>
    <definedName name="_Sort" localSheetId="55" hidden="1">#REF!</definedName>
    <definedName name="_Sort" localSheetId="33" hidden="1">#REF!</definedName>
    <definedName name="_Sort" localSheetId="69" hidden="1">#REF!</definedName>
    <definedName name="_Sort" localSheetId="5" hidden="1">#REF!</definedName>
    <definedName name="_Sort" localSheetId="7" hidden="1">#REF!</definedName>
    <definedName name="_Sort" localSheetId="77" hidden="1">#REF!</definedName>
    <definedName name="_Sort" localSheetId="79" hidden="1">#REF!</definedName>
    <definedName name="_Sort" localSheetId="80" hidden="1">#REF!</definedName>
    <definedName name="_Sort" localSheetId="41" hidden="1">#REF!</definedName>
    <definedName name="_Sort" localSheetId="4" hidden="1">#REF!</definedName>
    <definedName name="_Sort" localSheetId="14" hidden="1">#REF!</definedName>
    <definedName name="_Sort" localSheetId="21" hidden="1">#REF!</definedName>
    <definedName name="_Sort" localSheetId="10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22" hidden="1">#REF!</definedName>
    <definedName name="_Sort" localSheetId="11" hidden="1">#REF!</definedName>
    <definedName name="_Sort" localSheetId="18" hidden="1">#REF!</definedName>
    <definedName name="_Sort" localSheetId="12" hidden="1">#REF!</definedName>
    <definedName name="_Sort" localSheetId="19" hidden="1">#REF!</definedName>
    <definedName name="_Sort" localSheetId="13" hidden="1">#REF!</definedName>
    <definedName name="_Sort" localSheetId="20" hidden="1">#REF!</definedName>
    <definedName name="_Sort" localSheetId="9" hidden="1">#REF!</definedName>
    <definedName name="_Sort" localSheetId="87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49" hidden="1">#REF!</definedName>
    <definedName name="_Sort" hidden="1">#REF!</definedName>
    <definedName name="_x1" hidden="1">{"PRINT",#N/A,TRUE,"APPA";"PRINT",#N/A,TRUE,"APS";"PRINT",#N/A,TRUE,"BHPL";"PRINT",#N/A,TRUE,"BHPL2";"PRINT",#N/A,TRUE,"CDWR";"PRINT",#N/A,TRUE,"EWEB";"PRINT",#N/A,TRUE,"LADWP";"PRINT",#N/A,TRUE,"NEVBASE"}</definedName>
    <definedName name="_x2" hidden="1">{"PRINT",#N/A,TRUE,"APPA";"PRINT",#N/A,TRUE,"APS";"PRINT",#N/A,TRUE,"BHPL";"PRINT",#N/A,TRUE,"BHPL2";"PRINT",#N/A,TRUE,"CDWR";"PRINT",#N/A,TRUE,"EWEB";"PRINT",#N/A,TRUE,"LADWP";"PRINT",#N/A,TRUE,"NEVBASE"}</definedName>
    <definedName name="_x3" hidden="1">{"PRINT",#N/A,TRUE,"APPA";"PRINT",#N/A,TRUE,"APS";"PRINT",#N/A,TRUE,"BHPL";"PRINT",#N/A,TRUE,"BHPL2";"PRINT",#N/A,TRUE,"CDWR";"PRINT",#N/A,TRUE,"EWEB";"PRINT",#N/A,TRUE,"LADWP";"PRINT",#N/A,TRUE,"NEVBASE"}</definedName>
    <definedName name="_x4" hidden="1">{"PRINT",#N/A,TRUE,"APPA";"PRINT",#N/A,TRUE,"APS";"PRINT",#N/A,TRUE,"BHPL";"PRINT",#N/A,TRUE,"BHPL2";"PRINT",#N/A,TRUE,"CDWR";"PRINT",#N/A,TRUE,"EWEB";"PRINT",#N/A,TRUE,"LADWP";"PRINT",#N/A,TRUE,"NEVBASE"}</definedName>
    <definedName name="_x5" hidden="1">{"PRINT",#N/A,TRUE,"APPA";"PRINT",#N/A,TRUE,"APS";"PRINT",#N/A,TRUE,"BHPL";"PRINT",#N/A,TRUE,"BHPL2";"PRINT",#N/A,TRUE,"CDWR";"PRINT",#N/A,TRUE,"EWEB";"PRINT",#N/A,TRUE,"LADWP";"PRINT",#N/A,TRUE,"NEVBASE"}</definedName>
    <definedName name="a" localSheetId="53" hidden="1">#REF!</definedName>
    <definedName name="a" localSheetId="71" hidden="1">#REF!</definedName>
    <definedName name="a" localSheetId="55" hidden="1">#REF!</definedName>
    <definedName name="a" localSheetId="33" hidden="1">#REF!</definedName>
    <definedName name="a" localSheetId="69" hidden="1">'[2]DSM Output'!$J$21:$J$23</definedName>
    <definedName name="a" localSheetId="5" hidden="1">#REF!</definedName>
    <definedName name="a" localSheetId="77" hidden="1">'[1]DSM Output'!$J$21:$J$23</definedName>
    <definedName name="a" localSheetId="80" hidden="1">#REF!</definedName>
    <definedName name="a" localSheetId="41" hidden="1">'[1]DSM Output'!$J$21:$J$23</definedName>
    <definedName name="a" localSheetId="4" hidden="1">#REF!</definedName>
    <definedName name="a" localSheetId="14" hidden="1">#REF!</definedName>
    <definedName name="a" localSheetId="21" hidden="1">#REF!</definedName>
    <definedName name="a" localSheetId="10" hidden="1">#REF!</definedName>
    <definedName name="a" localSheetId="17" hidden="1">#REF!</definedName>
    <definedName name="a" localSheetId="16" hidden="1">#REF!</definedName>
    <definedName name="a" localSheetId="15" hidden="1">#REF!</definedName>
    <definedName name="a" localSheetId="22" hidden="1">#REF!</definedName>
    <definedName name="a" localSheetId="11" hidden="1">#REF!</definedName>
    <definedName name="a" localSheetId="18" hidden="1">#REF!</definedName>
    <definedName name="a" localSheetId="12" hidden="1">#REF!</definedName>
    <definedName name="a" localSheetId="19" hidden="1">#REF!</definedName>
    <definedName name="a" localSheetId="13" hidden="1">#REF!</definedName>
    <definedName name="a" localSheetId="20" hidden="1">#REF!</definedName>
    <definedName name="a" localSheetId="9" hidden="1">#REF!</definedName>
    <definedName name="a" localSheetId="2" hidden="1">#REF!</definedName>
    <definedName name="a" localSheetId="3" hidden="1">#REF!</definedName>
    <definedName name="a" localSheetId="1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51" hidden="1">'[1]DSM Output'!$J$21:$J$23</definedName>
    <definedName name="a" localSheetId="49" hidden="1">'[1]DSM Output'!$J$21:$J$23</definedName>
    <definedName name="a" hidden="1">#REF!</definedName>
    <definedName name="Access_Button1" hidden="1">"Headcount_Workbook_Schedules_List"</definedName>
    <definedName name="AccessDatabase" hidden="1">"P:\HR\SharonPlummer\Headcount Workbook.mdb"</definedName>
    <definedName name="alkjslkj" localSheetId="80" hidden="1">{0,#N/A,TRUE,0;0,#N/A,TRUE,0;0,#N/A,TRUE,0;0,#N/A,TRUE,0;0,#N/A,TRUE,0;0,#N/A,TRUE,0;0,#N/A,TRUE,0;0,#N/A,TRUE,0}</definedName>
    <definedName name="alkjslkj" hidden="1">{0,#N/A,TRUE,0;0,#N/A,TRUE,0;0,#N/A,TRUE,0;0,#N/A,TRUE,0;0,#N/A,TRUE,0;0,#N/A,TRUE,0;0,#N/A,TRUE,0;0,#N/A,TRUE,0}</definedName>
    <definedName name="anscount" hidden="1">1</definedName>
    <definedName name="asa" localSheetId="69" hidden="1">{"Factors Pages 1-2",#N/A,FALSE,"Factors";"Factors Page 3",#N/A,FALSE,"Factors";"Factors Page 4",#N/A,FALSE,"Factors";"Factors Page 5",#N/A,FALSE,"Factors";"Factors Pages 8-27",#N/A,FALSE,"Factors"}</definedName>
    <definedName name="asa" localSheetId="80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localSheetId="6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8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amas" localSheetId="69" hidden="1">{#N/A,#N/A,FALSE,"Summary";#N/A,#N/A,FALSE,"SmPlants";#N/A,#N/A,FALSE,"Utah";#N/A,#N/A,FALSE,"Idaho";#N/A,#N/A,FALSE,"Lewis River";#N/A,#N/A,FALSE,"NrthUmpq";#N/A,#N/A,FALSE,"KlamRog"}</definedName>
    <definedName name="Camas" localSheetId="80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gf" localSheetId="69" hidden="1">{"PRINT",#N/A,TRUE,"APPA";"PRINT",#N/A,TRUE,"APS";"PRINT",#N/A,TRUE,"BHPL";"PRINT",#N/A,TRUE,"BHPL2";"PRINT",#N/A,TRUE,"CDWR";"PRINT",#N/A,TRUE,"EWEB";"PRINT",#N/A,TRUE,"LADWP";"PRINT",#N/A,TRUE,"NEVBASE"}</definedName>
    <definedName name="cgf" localSheetId="80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ogs" localSheetId="6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80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bined1" localSheetId="69" hidden="1">{"YTD-Total",#N/A,TRUE,"Provision";"YTD-Utility",#N/A,TRUE,"Prov Utility";"YTD-NonUtility",#N/A,TRUE,"Prov NonUtility"}</definedName>
    <definedName name="combined1" localSheetId="80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py" localSheetId="53" hidden="1">#REF!</definedName>
    <definedName name="copy" localSheetId="71" hidden="1">#REF!</definedName>
    <definedName name="copy" localSheetId="55" hidden="1">#REF!</definedName>
    <definedName name="copy" localSheetId="33" hidden="1">#REF!</definedName>
    <definedName name="copy" localSheetId="69" hidden="1">#REF!</definedName>
    <definedName name="copy" localSheetId="5" hidden="1">#REF!</definedName>
    <definedName name="copy" localSheetId="79" hidden="1">#REF!</definedName>
    <definedName name="copy" localSheetId="80" hidden="1">#REF!</definedName>
    <definedName name="copy" localSheetId="4" hidden="1">#REF!</definedName>
    <definedName name="copy" localSheetId="14" hidden="1">#REF!</definedName>
    <definedName name="copy" localSheetId="21" hidden="1">#REF!</definedName>
    <definedName name="copy" localSheetId="10" hidden="1">#REF!</definedName>
    <definedName name="copy" localSheetId="17" hidden="1">#REF!</definedName>
    <definedName name="copy" localSheetId="16" hidden="1">#REF!</definedName>
    <definedName name="copy" localSheetId="15" hidden="1">#REF!</definedName>
    <definedName name="copy" localSheetId="22" hidden="1">#REF!</definedName>
    <definedName name="copy" localSheetId="11" hidden="1">#REF!</definedName>
    <definedName name="copy" localSheetId="18" hidden="1">#REF!</definedName>
    <definedName name="copy" localSheetId="12" hidden="1">#REF!</definedName>
    <definedName name="copy" localSheetId="19" hidden="1">#REF!</definedName>
    <definedName name="copy" localSheetId="13" hidden="1">#REF!</definedName>
    <definedName name="copy" localSheetId="20" hidden="1">#REF!</definedName>
    <definedName name="copy" localSheetId="9" hidden="1">#REF!</definedName>
    <definedName name="copy" localSheetId="2" hidden="1">#REF!</definedName>
    <definedName name="copy" localSheetId="3" hidden="1">#REF!</definedName>
    <definedName name="copy" localSheetId="1" hidden="1">#REF!</definedName>
    <definedName name="copy" localSheetId="25" hidden="1">#REF!</definedName>
    <definedName name="copy" localSheetId="26" hidden="1">#REF!</definedName>
    <definedName name="copy" localSheetId="27" hidden="1">#REF!</definedName>
    <definedName name="copy" localSheetId="49" hidden="1">#REF!</definedName>
    <definedName name="copy" hidden="1">#REF!</definedName>
    <definedName name="dana" localSheetId="69" hidden="1">{#N/A,#N/A,FALSE,"Summary EPS";#N/A,#N/A,FALSE,"1st Qtr Electric";#N/A,#N/A,FALSE,"1st Qtr Australia";#N/A,#N/A,FALSE,"1st Qtr Telecom";#N/A,#N/A,FALSE,"1st QTR Other"}</definedName>
    <definedName name="dana" localSheetId="80" hidden="1">{#N/A,#N/A,FALSE,"Summary EPS";#N/A,#N/A,FALSE,"1st Qtr Electric";#N/A,#N/A,FALSE,"1st Qtr Australia";#N/A,#N/A,FALSE,"1st Qtr Telecom";#N/A,#N/A,FALSE,"1st QTR Other"}</definedName>
    <definedName name="dana" hidden="1">{#N/A,#N/A,FALSE,"Summary EPS";#N/A,#N/A,FALSE,"1st Qtr Electric";#N/A,#N/A,FALSE,"1st Qtr Australia";#N/A,#N/A,FALSE,"1st Qtr Telecom";#N/A,#N/A,FALSE,"1st QTR Other"}</definedName>
    <definedName name="dana1" localSheetId="69" hidden="1">{#N/A,#N/A,FALSE,"Summary 1";#N/A,#N/A,FALSE,"Domestic";#N/A,#N/A,FALSE,"Australia";#N/A,#N/A,FALSE,"Other"}</definedName>
    <definedName name="dana1" localSheetId="80" hidden="1">{#N/A,#N/A,FALSE,"Summary 1";#N/A,#N/A,FALSE,"Domestic";#N/A,#N/A,FALSE,"Australia";#N/A,#N/A,FALSE,"Other"}</definedName>
    <definedName name="dana1" hidden="1">{#N/A,#N/A,FALSE,"Summary 1";#N/A,#N/A,FALSE,"Domestic";#N/A,#N/A,FALSE,"Australia";#N/A,#N/A,FALSE,"Other"}</definedName>
    <definedName name="dsd" localSheetId="53" hidden="1">[1]Inputs!#REF!</definedName>
    <definedName name="dsd" localSheetId="71" hidden="1">[1]Inputs!#REF!</definedName>
    <definedName name="dsd" localSheetId="55" hidden="1">[1]Inputs!#REF!</definedName>
    <definedName name="dsd" localSheetId="33" hidden="1">[1]Inputs!#REF!</definedName>
    <definedName name="dsd" localSheetId="69" hidden="1">[1]Inputs!#REF!</definedName>
    <definedName name="dsd" localSheetId="5" hidden="1">[1]Inputs!#REF!</definedName>
    <definedName name="dsd" localSheetId="79" hidden="1">[1]Inputs!#REF!</definedName>
    <definedName name="dsd" localSheetId="80" hidden="1">[1]Inputs!#REF!</definedName>
    <definedName name="dsd" localSheetId="4" hidden="1">[1]Inputs!#REF!</definedName>
    <definedName name="dsd" localSheetId="14" hidden="1">[1]Inputs!#REF!</definedName>
    <definedName name="dsd" localSheetId="21" hidden="1">[1]Inputs!#REF!</definedName>
    <definedName name="dsd" localSheetId="10" hidden="1">[1]Inputs!#REF!</definedName>
    <definedName name="dsd" localSheetId="17" hidden="1">[1]Inputs!#REF!</definedName>
    <definedName name="dsd" localSheetId="16" hidden="1">[1]Inputs!#REF!</definedName>
    <definedName name="dsd" localSheetId="15" hidden="1">[1]Inputs!#REF!</definedName>
    <definedName name="dsd" localSheetId="22" hidden="1">[1]Inputs!#REF!</definedName>
    <definedName name="dsd" localSheetId="11" hidden="1">[1]Inputs!#REF!</definedName>
    <definedName name="dsd" localSheetId="18" hidden="1">[1]Inputs!#REF!</definedName>
    <definedName name="dsd" localSheetId="12" hidden="1">[1]Inputs!#REF!</definedName>
    <definedName name="dsd" localSheetId="19" hidden="1">[1]Inputs!#REF!</definedName>
    <definedName name="dsd" localSheetId="13" hidden="1">[1]Inputs!#REF!</definedName>
    <definedName name="dsd" localSheetId="20" hidden="1">[1]Inputs!#REF!</definedName>
    <definedName name="dsd" localSheetId="9" hidden="1">[1]Inputs!#REF!</definedName>
    <definedName name="dsd" localSheetId="2" hidden="1">[1]Inputs!#REF!</definedName>
    <definedName name="dsd" localSheetId="3" hidden="1">[1]Inputs!#REF!</definedName>
    <definedName name="dsd" localSheetId="1" hidden="1">[1]Inputs!#REF!</definedName>
    <definedName name="dsd" localSheetId="25" hidden="1">[1]Inputs!#REF!</definedName>
    <definedName name="dsd" localSheetId="26" hidden="1">[1]Inputs!#REF!</definedName>
    <definedName name="dsd" localSheetId="27" hidden="1">[1]Inputs!#REF!</definedName>
    <definedName name="dsd" localSheetId="49" hidden="1">[1]Inputs!#REF!</definedName>
    <definedName name="dsd" hidden="1">[1]Inputs!#REF!</definedName>
    <definedName name="DUDE" localSheetId="53" hidden="1">#REF!</definedName>
    <definedName name="DUDE" localSheetId="71" hidden="1">#REF!</definedName>
    <definedName name="DUDE" localSheetId="55" hidden="1">#REF!</definedName>
    <definedName name="DUDE" localSheetId="33" hidden="1">#REF!</definedName>
    <definedName name="DUDE" localSheetId="69" hidden="1">#REF!</definedName>
    <definedName name="DUDE" localSheetId="5" hidden="1">#REF!</definedName>
    <definedName name="DUDE" localSheetId="77" hidden="1">#REF!</definedName>
    <definedName name="DUDE" localSheetId="79" hidden="1">#REF!</definedName>
    <definedName name="DUDE" localSheetId="80" hidden="1">#REF!</definedName>
    <definedName name="DUDE" localSheetId="4" hidden="1">#REF!</definedName>
    <definedName name="DUDE" localSheetId="14" hidden="1">#REF!</definedName>
    <definedName name="DUDE" localSheetId="21" hidden="1">#REF!</definedName>
    <definedName name="DUDE" localSheetId="10" hidden="1">#REF!</definedName>
    <definedName name="DUDE" localSheetId="17" hidden="1">#REF!</definedName>
    <definedName name="DUDE" localSheetId="16" hidden="1">#REF!</definedName>
    <definedName name="DUDE" localSheetId="15" hidden="1">#REF!</definedName>
    <definedName name="DUDE" localSheetId="22" hidden="1">#REF!</definedName>
    <definedName name="DUDE" localSheetId="11" hidden="1">#REF!</definedName>
    <definedName name="DUDE" localSheetId="18" hidden="1">#REF!</definedName>
    <definedName name="DUDE" localSheetId="12" hidden="1">#REF!</definedName>
    <definedName name="DUDE" localSheetId="19" hidden="1">#REF!</definedName>
    <definedName name="DUDE" localSheetId="13" hidden="1">#REF!</definedName>
    <definedName name="DUDE" localSheetId="20" hidden="1">#REF!</definedName>
    <definedName name="DUDE" localSheetId="9" hidden="1">#REF!</definedName>
    <definedName name="DUDE" localSheetId="2" hidden="1">#REF!</definedName>
    <definedName name="DUDE" localSheetId="3" hidden="1">#REF!</definedName>
    <definedName name="DUDE" localSheetId="1" hidden="1">#REF!</definedName>
    <definedName name="DUDE" localSheetId="25" hidden="1">#REF!</definedName>
    <definedName name="DUDE" localSheetId="26" hidden="1">#REF!</definedName>
    <definedName name="DUDE" localSheetId="27" hidden="1">#REF!</definedName>
    <definedName name="DUDE" localSheetId="51" hidden="1">#REF!</definedName>
    <definedName name="DUDE" localSheetId="49" hidden="1">#REF!</definedName>
    <definedName name="DUDE" hidden="1">#REF!</definedName>
    <definedName name="enrgy" localSheetId="6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8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tra2" localSheetId="69" hidden="1">{#N/A,#N/A,FALSE,"Loans";#N/A,#N/A,FALSE,"Program Costs";#N/A,#N/A,FALSE,"Measures";#N/A,#N/A,FALSE,"Net Lost Rev";#N/A,#N/A,FALSE,"Incentive"}</definedName>
    <definedName name="extra2" localSheetId="80" hidden="1">{#N/A,#N/A,FALSE,"Loans";#N/A,#N/A,FALSE,"Program Costs";#N/A,#N/A,FALSE,"Measures";#N/A,#N/A,FALSE,"Net Lost Rev";#N/A,#N/A,FALSE,"Incentive"}</definedName>
    <definedName name="extra2" hidden="1">{#N/A,#N/A,FALSE,"Loans";#N/A,#N/A,FALSE,"Program Costs";#N/A,#N/A,FALSE,"Measures";#N/A,#N/A,FALSE,"Net Lost Rev";#N/A,#N/A,FALSE,"Incentive"}</definedName>
    <definedName name="extra3" localSheetId="69" hidden="1">{#N/A,#N/A,FALSE,"Loans";#N/A,#N/A,FALSE,"Program Costs";#N/A,#N/A,FALSE,"Measures";#N/A,#N/A,FALSE,"Net Lost Rev";#N/A,#N/A,FALSE,"Incentive"}</definedName>
    <definedName name="extra3" localSheetId="80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localSheetId="69" hidden="1">{#N/A,#N/A,FALSE,"Loans";#N/A,#N/A,FALSE,"Program Costs";#N/A,#N/A,FALSE,"Measures";#N/A,#N/A,FALSE,"Net Lost Rev";#N/A,#N/A,FALSE,"Incentive"}</definedName>
    <definedName name="extra4" localSheetId="80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localSheetId="69" hidden="1">{#N/A,#N/A,FALSE,"Loans";#N/A,#N/A,FALSE,"Program Costs";#N/A,#N/A,FALSE,"Measures";#N/A,#N/A,FALSE,"Net Lost Rev";#N/A,#N/A,FALSE,"Incentive"}</definedName>
    <definedName name="extra5" localSheetId="80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hfjhke" localSheetId="80" hidden="1">{0,#N/A,TRUE,0;0,#N/A,TRUE,0;0,#N/A,TRUE,0;0,#N/A,TRUE,0;0,#N/A,TRUE,0;0,#N/A,TRUE,0;0,#N/A,TRUE,0;0,#N/A,TRUE,0}</definedName>
    <definedName name="fhfjhke" hidden="1">{0,#N/A,TRUE,0;0,#N/A,TRUE,0;0,#N/A,TRUE,0;0,#N/A,TRUE,0;0,#N/A,TRUE,0;0,#N/A,TRUE,0;0,#N/A,TRUE,0;0,#N/A,TRUE,0}</definedName>
    <definedName name="fjljelj" localSheetId="80" hidden="1">{0,#N/A,TRUE,0;0,#N/A,TRUE,0;0,#N/A,TRUE,0;0,#N/A,TRUE,0;0,#N/A,TRUE,0;0,#N/A,TRUE,0;0,#N/A,TRUE,0;0,#N/A,TRUE,0}</definedName>
    <definedName name="fjljelj" hidden="1">{0,#N/A,TRUE,0;0,#N/A,TRUE,0;0,#N/A,TRUE,0;0,#N/A,TRUE,0;0,#N/A,TRUE,0;0,#N/A,TRUE,0;0,#N/A,TRUE,0;0,#N/A,TRUE,0}</definedName>
    <definedName name="foo" localSheetId="6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8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localSheetId="69" hidden="1">{"PRINT",#N/A,TRUE,"APPA";"PRINT",#N/A,TRUE,"APS";"PRINT",#N/A,TRUE,"BHPL";"PRINT",#N/A,TRUE,"BHPL2";"PRINT",#N/A,TRUE,"CDWR";"PRINT",#N/A,TRUE,"EWEB";"PRINT",#N/A,TRUE,"LADWP";"PRINT",#N/A,TRUE,"NEVBASE"}</definedName>
    <definedName name="friend" localSheetId="80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HROptim" localSheetId="69" hidden="1">{#N/A,#N/A,FALSE,"Summary";#N/A,#N/A,FALSE,"SmPlants";#N/A,#N/A,FALSE,"Utah";#N/A,#N/A,FALSE,"Idaho";#N/A,#N/A,FALSE,"Lewis River";#N/A,#N/A,FALSE,"NrthUmpq";#N/A,#N/A,FALSE,"KlamRog"}</definedName>
    <definedName name="HROptim" localSheetId="80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inventory" localSheetId="69" hidden="1">{#N/A,#N/A,FALSE,"Summary";#N/A,#N/A,FALSE,"SmPlants";#N/A,#N/A,FALSE,"Utah";#N/A,#N/A,FALSE,"Idaho";#N/A,#N/A,FALSE,"Lewis River";#N/A,#N/A,FALSE,"NrthUmpq";#N/A,#N/A,FALSE,"KlamRog"}</definedName>
    <definedName name="inventory" localSheetId="80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fkejflj" localSheetId="80" hidden="1">{0,#N/A,TRUE,0;0,#N/A,TRUE,0;0,#N/A,TRUE,0;0,#N/A,TRUE,0;0,#N/A,TRUE,0;0,#N/A,TRUE,0;0,#N/A,TRUE,0;0,#N/A,TRUE,0}</definedName>
    <definedName name="jfkejflj" hidden="1">{0,#N/A,TRUE,0;0,#N/A,TRUE,0;0,#N/A,TRUE,0;0,#N/A,TRUE,0;0,#N/A,TRUE,0;0,#N/A,TRUE,0;0,#N/A,TRUE,0;0,#N/A,TRUE,0}</definedName>
    <definedName name="jfkjlllje" localSheetId="80" hidden="1">{0,#N/A,TRUE,0;0,#N/A,TRUE,0;0,#N/A,TRUE,0;0,#N/A,TRUE,0;0,#N/A,TRUE,0;0,#N/A,TRUE,0;0,#N/A,TRUE,0;0,#N/A,TRUE,0}</definedName>
    <definedName name="jfkjlllje" hidden="1">{0,#N/A,TRUE,0;0,#N/A,TRUE,0;0,#N/A,TRUE,0;0,#N/A,TRUE,0;0,#N/A,TRUE,0;0,#N/A,TRUE,0;0,#N/A,TRUE,0;0,#N/A,TRUE,0}</definedName>
    <definedName name="junk" localSheetId="69" hidden="1">{"PRINT",#N/A,TRUE,"APPA";"PRINT",#N/A,TRUE,"APS";"PRINT",#N/A,TRUE,"BHPL";"PRINT",#N/A,TRUE,"BHPL2";"PRINT",#N/A,TRUE,"CDWR";"PRINT",#N/A,TRUE,"EWEB";"PRINT",#N/A,TRUE,"LADWP";"PRINT",#N/A,TRUE,"NEVBASE"}</definedName>
    <definedName name="junk" localSheetId="80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localSheetId="69" hidden="1">{"PRINT",#N/A,TRUE,"APPA";"PRINT",#N/A,TRUE,"APS";"PRINT",#N/A,TRUE,"BHPL";"PRINT",#N/A,TRUE,"BHPL2";"PRINT",#N/A,TRUE,"CDWR";"PRINT",#N/A,TRUE,"EWEB";"PRINT",#N/A,TRUE,"LADWP";"PRINT",#N/A,TRUE,"NEVBASE"}</definedName>
    <definedName name="junk1" localSheetId="80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localSheetId="69" hidden="1">{"PRINT",#N/A,TRUE,"APPA";"PRINT",#N/A,TRUE,"APS";"PRINT",#N/A,TRUE,"BHPL";"PRINT",#N/A,TRUE,"BHPL2";"PRINT",#N/A,TRUE,"CDWR";"PRINT",#N/A,TRUE,"EWEB";"PRINT",#N/A,TRUE,"LADWP";"PRINT",#N/A,TRUE,"NEVBASE"}</definedName>
    <definedName name="junk2" localSheetId="80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69" hidden="1">{"PRINT",#N/A,TRUE,"APPA";"PRINT",#N/A,TRUE,"APS";"PRINT",#N/A,TRUE,"BHPL";"PRINT",#N/A,TRUE,"BHPL2";"PRINT",#N/A,TRUE,"CDWR";"PRINT",#N/A,TRUE,"EWEB";"PRINT",#N/A,TRUE,"LADWP";"PRINT",#N/A,TRUE,"NEVBASE"}</definedName>
    <definedName name="junk3" localSheetId="80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69" hidden="1">{"PRINT",#N/A,TRUE,"APPA";"PRINT",#N/A,TRUE,"APS";"PRINT",#N/A,TRUE,"BHPL";"PRINT",#N/A,TRUE,"BHPL2";"PRINT",#N/A,TRUE,"CDWR";"PRINT",#N/A,TRUE,"EWEB";"PRINT",#N/A,TRUE,"LADWP";"PRINT",#N/A,TRUE,"NEVBASE"}</definedName>
    <definedName name="junk4" localSheetId="80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localSheetId="69" hidden="1">{"PRINT",#N/A,TRUE,"APPA";"PRINT",#N/A,TRUE,"APS";"PRINT",#N/A,TRUE,"BHPL";"PRINT",#N/A,TRUE,"BHPL2";"PRINT",#N/A,TRUE,"CDWR";"PRINT",#N/A,TRUE,"EWEB";"PRINT",#N/A,TRUE,"LADWP";"PRINT",#N/A,TRUE,"NEVBASE"}</definedName>
    <definedName name="junk5" localSheetId="80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Keep" localSheetId="69" hidden="1">{"PRINT",#N/A,TRUE,"APPA";"PRINT",#N/A,TRUE,"APS";"PRINT",#N/A,TRUE,"BHPL";"PRINT",#N/A,TRUE,"BHPL2";"PRINT",#N/A,TRUE,"CDWR";"PRINT",#N/A,TRUE,"EWEB";"PRINT",#N/A,TRUE,"LADWP";"PRINT",#N/A,TRUE,"NEVBASE"}</definedName>
    <definedName name="Keep" localSheetId="80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69" hidden="1">{"PRINT",#N/A,TRUE,"APPA";"PRINT",#N/A,TRUE,"APS";"PRINT",#N/A,TRUE,"BHPL";"PRINT",#N/A,TRUE,"BHPL2";"PRINT",#N/A,TRUE,"CDWR";"PRINT",#N/A,TRUE,"EWEB";"PRINT",#N/A,TRUE,"LADWP";"PRINT",#N/A,TRUE,"NEVBASE"}</definedName>
    <definedName name="keep2" localSheetId="80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imcount" hidden="1">1</definedName>
    <definedName name="ListOffset" hidden="1">1</definedName>
    <definedName name="Master" localSheetId="69" hidden="1">{#N/A,#N/A,FALSE,"Actual";#N/A,#N/A,FALSE,"Normalized";#N/A,#N/A,FALSE,"Electric Actual";#N/A,#N/A,FALSE,"Electric Normalized"}</definedName>
    <definedName name="Master" localSheetId="80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mm" localSheetId="69" hidden="1">{"PRINT",#N/A,TRUE,"APPA";"PRINT",#N/A,TRUE,"APS";"PRINT",#N/A,TRUE,"BHPL";"PRINT",#N/A,TRUE,"BHPL2";"PRINT",#N/A,TRUE,"CDWR";"PRINT",#N/A,TRUE,"EWEB";"PRINT",#N/A,TRUE,"LADWP";"PRINT",#N/A,TRUE,"NEVBASE"}</definedName>
    <definedName name="mmm" localSheetId="80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new" localSheetId="69" hidden="1">{#N/A,#N/A,TRUE,"Section6";#N/A,#N/A,TRUE,"OHcycles";#N/A,#N/A,TRUE,"OHtiming";#N/A,#N/A,TRUE,"OHcosts";#N/A,#N/A,TRUE,"GTdegradation";#N/A,#N/A,TRUE,"GTperformance";#N/A,#N/A,TRUE,"GraphEquip"}</definedName>
    <definedName name="new" localSheetId="80" hidden="1">{#N/A,#N/A,TRUE,"Section6";#N/A,#N/A,TRUE,"OHcycles";#N/A,#N/A,TRUE,"OHtiming";#N/A,#N/A,TRUE,"OHcosts";#N/A,#N/A,TRUE,"GTdegradation";#N/A,#N/A,TRUE,"GTperformance";#N/A,#N/A,TRUE,"GraphEquip"}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localSheetId="6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80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OHSch10YR" localSheetId="69" hidden="1">{#N/A,#N/A,FALSE,"Summary";#N/A,#N/A,FALSE,"SmPlants";#N/A,#N/A,FALSE,"Utah";#N/A,#N/A,FALSE,"Idaho";#N/A,#N/A,FALSE,"Lewis River";#N/A,#N/A,FALSE,"NrthUmpq";#N/A,#N/A,FALSE,"KlamRog"}</definedName>
    <definedName name="OHSch10YR" localSheetId="80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69" hidden="1">{#N/A,#N/A,FALSE,"Summary";#N/A,#N/A,FALSE,"SmPlants";#N/A,#N/A,FALSE,"Utah";#N/A,#N/A,FALSE,"Idaho";#N/A,#N/A,FALSE,"Lewis River";#N/A,#N/A,FALSE,"NrthUmpq";#N/A,#N/A,FALSE,"KlamRog"}</definedName>
    <definedName name="om" localSheetId="80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thers" localSheetId="69" hidden="1">{"Factors Pages 1-2",#N/A,FALSE,"Factors";"Factors Page 3",#N/A,FALSE,"Factors";"Factors Page 4",#N/A,FALSE,"Factors";"Factors Page 5",#N/A,FALSE,"Factors";"Factors Pages 8-27",#N/A,FALSE,"Factors"}</definedName>
    <definedName name="others" localSheetId="80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ete" localSheetId="6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8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icingInfo" localSheetId="53" hidden="1">[3]Inputs!#REF!</definedName>
    <definedName name="PricingInfo" localSheetId="71" hidden="1">[3]Inputs!#REF!</definedName>
    <definedName name="PricingInfo" localSheetId="55" hidden="1">[3]Inputs!#REF!</definedName>
    <definedName name="PricingInfo" localSheetId="33" hidden="1">[3]Inputs!#REF!</definedName>
    <definedName name="PricingInfo" localSheetId="69" hidden="1">[3]Inputs!#REF!</definedName>
    <definedName name="PricingInfo" localSheetId="5" hidden="1">[3]Inputs!#REF!</definedName>
    <definedName name="PricingInfo" localSheetId="4" hidden="1">[3]Inputs!#REF!</definedName>
    <definedName name="PricingInfo" localSheetId="14" hidden="1">[3]Inputs!#REF!</definedName>
    <definedName name="PricingInfo" localSheetId="21" hidden="1">[3]Inputs!#REF!</definedName>
    <definedName name="PricingInfo" localSheetId="10" hidden="1">[3]Inputs!#REF!</definedName>
    <definedName name="PricingInfo" localSheetId="17" hidden="1">[3]Inputs!#REF!</definedName>
    <definedName name="PricingInfo" localSheetId="16" hidden="1">[3]Inputs!#REF!</definedName>
    <definedName name="PricingInfo" localSheetId="15" hidden="1">[3]Inputs!#REF!</definedName>
    <definedName name="PricingInfo" localSheetId="22" hidden="1">[3]Inputs!#REF!</definedName>
    <definedName name="PricingInfo" localSheetId="11" hidden="1">[3]Inputs!#REF!</definedName>
    <definedName name="PricingInfo" localSheetId="18" hidden="1">[3]Inputs!#REF!</definedName>
    <definedName name="PricingInfo" localSheetId="12" hidden="1">[3]Inputs!#REF!</definedName>
    <definedName name="PricingInfo" localSheetId="19" hidden="1">[3]Inputs!#REF!</definedName>
    <definedName name="PricingInfo" localSheetId="13" hidden="1">[3]Inputs!#REF!</definedName>
    <definedName name="PricingInfo" localSheetId="20" hidden="1">[3]Inputs!#REF!</definedName>
    <definedName name="PricingInfo" localSheetId="9" hidden="1">[3]Inputs!#REF!</definedName>
    <definedName name="PricingInfo" localSheetId="2" hidden="1">[3]Inputs!#REF!</definedName>
    <definedName name="PricingInfo" localSheetId="3" hidden="1">[3]Inputs!#REF!</definedName>
    <definedName name="PricingInfo" localSheetId="1" hidden="1">[3]Inputs!#REF!</definedName>
    <definedName name="PricingInfo" localSheetId="25" hidden="1">[3]Inputs!#REF!</definedName>
    <definedName name="PricingInfo" localSheetId="26" hidden="1">[3]Inputs!#REF!</definedName>
    <definedName name="PricingInfo" localSheetId="27" hidden="1">[3]Inputs!#REF!</definedName>
    <definedName name="PricingInfo" localSheetId="49" hidden="1">[3]Inputs!#REF!</definedName>
    <definedName name="PricingInfo" hidden="1">[3]Inputs!#REF!</definedName>
    <definedName name="_xlnm.Print_Area" localSheetId="5">'Blocking-Step1'!$A$1:$Y$2677</definedName>
    <definedName name="_xlnm.Print_Area" localSheetId="7">'Blocking-Step2'!$A$1:$Y$2677</definedName>
    <definedName name="_xlnm.Print_Area" localSheetId="4">RateSpread!$A$1:$X$65</definedName>
    <definedName name="_xlnm.Print_Area" localSheetId="14">'Sch10-1'!$A$1:$T$35</definedName>
    <definedName name="_xlnm.Print_Area" localSheetId="21">'Sch10-2'!$A$1:$T$35</definedName>
    <definedName name="_xlnm.Print_Area" localSheetId="39">'Sch10-T'!$A$1:$T$35</definedName>
    <definedName name="_xlnm.Print_Area" localSheetId="10">'Sch1-MF-1'!$A$1:$R$36</definedName>
    <definedName name="_xlnm.Print_Area" localSheetId="17">'Sch1-MF-2'!$A$1:$R$36</definedName>
    <definedName name="_xlnm.Print_Area" localSheetId="35">'Sch1-MF-T'!$A$1:$R$36</definedName>
    <definedName name="_xlnm.Print_Area" localSheetId="16">'Sch1-SF-2'!$A$1:$R$35</definedName>
    <definedName name="_xlnm.Print_Area" localSheetId="34">'Sch1-SF-T'!$A$1:$R$35</definedName>
    <definedName name="_xlnm.Print_Area" localSheetId="15">'Sch23-1'!$A$1:$S$29</definedName>
    <definedName name="_xlnm.Print_Area" localSheetId="22">'Sch23-2'!$A$1:$S$29</definedName>
    <definedName name="_xlnm.Print_Area" localSheetId="40">'Sch23-T'!$A$1:$S$29</definedName>
    <definedName name="_xlnm.Print_Area" localSheetId="11">'Sch6-1'!$A$1:$S$31</definedName>
    <definedName name="_xlnm.Print_Area" localSheetId="18">'Sch6-2'!$A$1:$S$31</definedName>
    <definedName name="_xlnm.Print_Area" localSheetId="36">'Sch6-T'!$A$1:$S$31</definedName>
    <definedName name="_xlnm.Print_Area" localSheetId="12">'Sch8-1'!$A$1:$W$62</definedName>
    <definedName name="_xlnm.Print_Area" localSheetId="19">'Sch8-2'!$A$1:$W$62</definedName>
    <definedName name="_xlnm.Print_Area" localSheetId="37">'Sch8-T'!$A$1:$W$62</definedName>
    <definedName name="_xlnm.Print_Area" localSheetId="13">'Sch9-1'!$A$1:$W$62</definedName>
    <definedName name="_xlnm.Print_Area" localSheetId="20">'Sch9-2'!$A$1:$W$62</definedName>
    <definedName name="_xlnm.Print_Area" localSheetId="38">'Sch9-T'!$A$1:$W$62</definedName>
    <definedName name="_xlnm.Print_Area" localSheetId="9">'Sh1-SF-1'!$A$1:$R$35</definedName>
    <definedName name="_xlnm.Print_Titles" localSheetId="5">'Blocking-Step1'!$1:$9</definedName>
    <definedName name="_xlnm.Print_Titles" localSheetId="7">'Blocking-Step2'!$1:$9</definedName>
    <definedName name="retail" localSheetId="69" hidden="1">{#N/A,#N/A,FALSE,"Loans";#N/A,#N/A,FALSE,"Program Costs";#N/A,#N/A,FALSE,"Measures";#N/A,#N/A,FALSE,"Net Lost Rev";#N/A,#N/A,FALSE,"Incentive"}</definedName>
    <definedName name="retail" localSheetId="80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63" hidden="1">{#N/A,#N/A,FALSE,"Loans";#N/A,#N/A,FALSE,"Program Costs";#N/A,#N/A,FALSE,"Measures";#N/A,#N/A,FALSE,"Net Lost Rev";#N/A,#N/A,FALSE,"Incentive"}</definedName>
    <definedName name="retail_CC" localSheetId="83" hidden="1">{#N/A,#N/A,FALSE,"Loans";#N/A,#N/A,FALSE,"Program Costs";#N/A,#N/A,FALSE,"Measures";#N/A,#N/A,FALSE,"Net Lost Rev";#N/A,#N/A,FALSE,"Incentive"}</definedName>
    <definedName name="retail_CC" localSheetId="69" hidden="1">{#N/A,#N/A,FALSE,"Loans";#N/A,#N/A,FALSE,"Program Costs";#N/A,#N/A,FALSE,"Measures";#N/A,#N/A,FALSE,"Net Lost Rev";#N/A,#N/A,FALSE,"Incentive"}</definedName>
    <definedName name="retail_CC" localSheetId="5" hidden="1">{#N/A,#N/A,FALSE,"Loans";#N/A,#N/A,FALSE,"Program Costs";#N/A,#N/A,FALSE,"Measures";#N/A,#N/A,FALSE,"Net Lost Rev";#N/A,#N/A,FALSE,"Incentive"}</definedName>
    <definedName name="retail_CC" localSheetId="7" hidden="1">{#N/A,#N/A,FALSE,"Loans";#N/A,#N/A,FALSE,"Program Costs";#N/A,#N/A,FALSE,"Measures";#N/A,#N/A,FALSE,"Net Lost Rev";#N/A,#N/A,FALSE,"Incentive"}</definedName>
    <definedName name="retail_CC" localSheetId="77" hidden="1">{#N/A,#N/A,FALSE,"Loans";#N/A,#N/A,FALSE,"Program Costs";#N/A,#N/A,FALSE,"Measures";#N/A,#N/A,FALSE,"Net Lost Rev";#N/A,#N/A,FALSE,"Incentive"}</definedName>
    <definedName name="retail_CC" localSheetId="80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14" hidden="1">{#N/A,#N/A,FALSE,"Loans";#N/A,#N/A,FALSE,"Program Costs";#N/A,#N/A,FALSE,"Measures";#N/A,#N/A,FALSE,"Net Lost Rev";#N/A,#N/A,FALSE,"Incentive"}</definedName>
    <definedName name="retail_CC" localSheetId="21" hidden="1">{#N/A,#N/A,FALSE,"Loans";#N/A,#N/A,FALSE,"Program Costs";#N/A,#N/A,FALSE,"Measures";#N/A,#N/A,FALSE,"Net Lost Rev";#N/A,#N/A,FALSE,"Incentive"}</definedName>
    <definedName name="retail_CC" localSheetId="39" hidden="1">{#N/A,#N/A,FALSE,"Loans";#N/A,#N/A,FALSE,"Program Costs";#N/A,#N/A,FALSE,"Measures";#N/A,#N/A,FALSE,"Net Lost Rev";#N/A,#N/A,FALSE,"Incentive"}</definedName>
    <definedName name="retail_CC" localSheetId="15" hidden="1">{#N/A,#N/A,FALSE,"Loans";#N/A,#N/A,FALSE,"Program Costs";#N/A,#N/A,FALSE,"Measures";#N/A,#N/A,FALSE,"Net Lost Rev";#N/A,#N/A,FALSE,"Incentive"}</definedName>
    <definedName name="retail_CC" localSheetId="22" hidden="1">{#N/A,#N/A,FALSE,"Loans";#N/A,#N/A,FALSE,"Program Costs";#N/A,#N/A,FALSE,"Measures";#N/A,#N/A,FALSE,"Net Lost Rev";#N/A,#N/A,FALSE,"Incentive"}</definedName>
    <definedName name="retail_CC" localSheetId="40" hidden="1">{#N/A,#N/A,FALSE,"Loans";#N/A,#N/A,FALSE,"Program Costs";#N/A,#N/A,FALSE,"Measures";#N/A,#N/A,FALSE,"Net Lost Rev";#N/A,#N/A,FALSE,"Incentive"}</definedName>
    <definedName name="retail_CC" localSheetId="11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localSheetId="36" hidden="1">{#N/A,#N/A,FALSE,"Loans";#N/A,#N/A,FALSE,"Program Costs";#N/A,#N/A,FALSE,"Measures";#N/A,#N/A,FALSE,"Net Lost Rev";#N/A,#N/A,FALSE,"Incentive"}</definedName>
    <definedName name="retail_CC" localSheetId="12" hidden="1">{#N/A,#N/A,FALSE,"Loans";#N/A,#N/A,FALSE,"Program Costs";#N/A,#N/A,FALSE,"Measures";#N/A,#N/A,FALSE,"Net Lost Rev";#N/A,#N/A,FALSE,"Incentive"}</definedName>
    <definedName name="retail_CC" localSheetId="19" hidden="1">{#N/A,#N/A,FALSE,"Loans";#N/A,#N/A,FALSE,"Program Costs";#N/A,#N/A,FALSE,"Measures";#N/A,#N/A,FALSE,"Net Lost Rev";#N/A,#N/A,FALSE,"Incentive"}</definedName>
    <definedName name="retail_CC" localSheetId="37" hidden="1">{#N/A,#N/A,FALSE,"Loans";#N/A,#N/A,FALSE,"Program Costs";#N/A,#N/A,FALSE,"Measures";#N/A,#N/A,FALSE,"Net Lost Rev";#N/A,#N/A,FALSE,"Incentive"}</definedName>
    <definedName name="retail_CC" localSheetId="13" hidden="1">{#N/A,#N/A,FALSE,"Loans";#N/A,#N/A,FALSE,"Program Costs";#N/A,#N/A,FALSE,"Measures";#N/A,#N/A,FALSE,"Net Lost Rev";#N/A,#N/A,FALSE,"Incentive"}</definedName>
    <definedName name="retail_CC" localSheetId="20" hidden="1">{#N/A,#N/A,FALSE,"Loans";#N/A,#N/A,FALSE,"Program Costs";#N/A,#N/A,FALSE,"Measures";#N/A,#N/A,FALSE,"Net Lost Rev";#N/A,#N/A,FALSE,"Incentive"}</definedName>
    <definedName name="retail_CC" localSheetId="38" hidden="1">{#N/A,#N/A,FALSE,"Loans";#N/A,#N/A,FALSE,"Program Costs";#N/A,#N/A,FALSE,"Measures";#N/A,#N/A,FALSE,"Net Lost Rev";#N/A,#N/A,FALSE,"Incentive"}</definedName>
    <definedName name="retail_CC" localSheetId="87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localSheetId="25" hidden="1">{#N/A,#N/A,FALSE,"Loans";#N/A,#N/A,FALSE,"Program Costs";#N/A,#N/A,FALSE,"Measures";#N/A,#N/A,FALSE,"Net Lost Rev";#N/A,#N/A,FALSE,"Incentive"}</definedName>
    <definedName name="retail_CC" localSheetId="26" hidden="1">{#N/A,#N/A,FALSE,"Loans";#N/A,#N/A,FALSE,"Program Costs";#N/A,#N/A,FALSE,"Measures";#N/A,#N/A,FALSE,"Net Lost Rev";#N/A,#N/A,FALSE,"Incentive"}</definedName>
    <definedName name="retail_CC" localSheetId="27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63" hidden="1">{#N/A,#N/A,FALSE,"Loans";#N/A,#N/A,FALSE,"Program Costs";#N/A,#N/A,FALSE,"Measures";#N/A,#N/A,FALSE,"Net Lost Rev";#N/A,#N/A,FALSE,"Incentive"}</definedName>
    <definedName name="retail_CC1" localSheetId="83" hidden="1">{#N/A,#N/A,FALSE,"Loans";#N/A,#N/A,FALSE,"Program Costs";#N/A,#N/A,FALSE,"Measures";#N/A,#N/A,FALSE,"Net Lost Rev";#N/A,#N/A,FALSE,"Incentive"}</definedName>
    <definedName name="retail_CC1" localSheetId="69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localSheetId="7" hidden="1">{#N/A,#N/A,FALSE,"Loans";#N/A,#N/A,FALSE,"Program Costs";#N/A,#N/A,FALSE,"Measures";#N/A,#N/A,FALSE,"Net Lost Rev";#N/A,#N/A,FALSE,"Incentive"}</definedName>
    <definedName name="retail_CC1" localSheetId="77" hidden="1">{#N/A,#N/A,FALSE,"Loans";#N/A,#N/A,FALSE,"Program Costs";#N/A,#N/A,FALSE,"Measures";#N/A,#N/A,FALSE,"Net Lost Rev";#N/A,#N/A,FALSE,"Incentive"}</definedName>
    <definedName name="retail_CC1" localSheetId="80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14" hidden="1">{#N/A,#N/A,FALSE,"Loans";#N/A,#N/A,FALSE,"Program Costs";#N/A,#N/A,FALSE,"Measures";#N/A,#N/A,FALSE,"Net Lost Rev";#N/A,#N/A,FALSE,"Incentive"}</definedName>
    <definedName name="retail_CC1" localSheetId="21" hidden="1">{#N/A,#N/A,FALSE,"Loans";#N/A,#N/A,FALSE,"Program Costs";#N/A,#N/A,FALSE,"Measures";#N/A,#N/A,FALSE,"Net Lost Rev";#N/A,#N/A,FALSE,"Incentive"}</definedName>
    <definedName name="retail_CC1" localSheetId="39" hidden="1">{#N/A,#N/A,FALSE,"Loans";#N/A,#N/A,FALSE,"Program Costs";#N/A,#N/A,FALSE,"Measures";#N/A,#N/A,FALSE,"Net Lost Rev";#N/A,#N/A,FALSE,"Incentive"}</definedName>
    <definedName name="retail_CC1" localSheetId="15" hidden="1">{#N/A,#N/A,FALSE,"Loans";#N/A,#N/A,FALSE,"Program Costs";#N/A,#N/A,FALSE,"Measures";#N/A,#N/A,FALSE,"Net Lost Rev";#N/A,#N/A,FALSE,"Incentive"}</definedName>
    <definedName name="retail_CC1" localSheetId="22" hidden="1">{#N/A,#N/A,FALSE,"Loans";#N/A,#N/A,FALSE,"Program Costs";#N/A,#N/A,FALSE,"Measures";#N/A,#N/A,FALSE,"Net Lost Rev";#N/A,#N/A,FALSE,"Incentive"}</definedName>
    <definedName name="retail_CC1" localSheetId="40" hidden="1">{#N/A,#N/A,FALSE,"Loans";#N/A,#N/A,FALSE,"Program Costs";#N/A,#N/A,FALSE,"Measures";#N/A,#N/A,FALSE,"Net Lost Rev";#N/A,#N/A,FALSE,"Incentive"}</definedName>
    <definedName name="retail_CC1" localSheetId="11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localSheetId="36" hidden="1">{#N/A,#N/A,FALSE,"Loans";#N/A,#N/A,FALSE,"Program Costs";#N/A,#N/A,FALSE,"Measures";#N/A,#N/A,FALSE,"Net Lost Rev";#N/A,#N/A,FALSE,"Incentive"}</definedName>
    <definedName name="retail_CC1" localSheetId="12" hidden="1">{#N/A,#N/A,FALSE,"Loans";#N/A,#N/A,FALSE,"Program Costs";#N/A,#N/A,FALSE,"Measures";#N/A,#N/A,FALSE,"Net Lost Rev";#N/A,#N/A,FALSE,"Incentive"}</definedName>
    <definedName name="retail_CC1" localSheetId="19" hidden="1">{#N/A,#N/A,FALSE,"Loans";#N/A,#N/A,FALSE,"Program Costs";#N/A,#N/A,FALSE,"Measures";#N/A,#N/A,FALSE,"Net Lost Rev";#N/A,#N/A,FALSE,"Incentive"}</definedName>
    <definedName name="retail_CC1" localSheetId="37" hidden="1">{#N/A,#N/A,FALSE,"Loans";#N/A,#N/A,FALSE,"Program Costs";#N/A,#N/A,FALSE,"Measures";#N/A,#N/A,FALSE,"Net Lost Rev";#N/A,#N/A,FALSE,"Incentive"}</definedName>
    <definedName name="retail_CC1" localSheetId="13" hidden="1">{#N/A,#N/A,FALSE,"Loans";#N/A,#N/A,FALSE,"Program Costs";#N/A,#N/A,FALSE,"Measures";#N/A,#N/A,FALSE,"Net Lost Rev";#N/A,#N/A,FALSE,"Incentive"}</definedName>
    <definedName name="retail_CC1" localSheetId="20" hidden="1">{#N/A,#N/A,FALSE,"Loans";#N/A,#N/A,FALSE,"Program Costs";#N/A,#N/A,FALSE,"Measures";#N/A,#N/A,FALSE,"Net Lost Rev";#N/A,#N/A,FALSE,"Incentive"}</definedName>
    <definedName name="retail_CC1" localSheetId="38" hidden="1">{#N/A,#N/A,FALSE,"Loans";#N/A,#N/A,FALSE,"Program Costs";#N/A,#N/A,FALSE,"Measures";#N/A,#N/A,FALSE,"Net Lost Rev";#N/A,#N/A,FALSE,"Incentive"}</definedName>
    <definedName name="retail_CC1" localSheetId="87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localSheetId="25" hidden="1">{#N/A,#N/A,FALSE,"Loans";#N/A,#N/A,FALSE,"Program Costs";#N/A,#N/A,FALSE,"Measures";#N/A,#N/A,FALSE,"Net Lost Rev";#N/A,#N/A,FALSE,"Incentive"}</definedName>
    <definedName name="retail_CC1" localSheetId="26" hidden="1">{#N/A,#N/A,FALSE,"Loans";#N/A,#N/A,FALSE,"Program Costs";#N/A,#N/A,FALSE,"Measures";#N/A,#N/A,FALSE,"Net Lost Rev";#N/A,#N/A,FALSE,"Incentive"}</definedName>
    <definedName name="retail_CC1" localSheetId="27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rr" localSheetId="69" hidden="1">{"PRINT",#N/A,TRUE,"APPA";"PRINT",#N/A,TRUE,"APS";"PRINT",#N/A,TRUE,"BHPL";"PRINT",#N/A,TRUE,"BHPL2";"PRINT",#N/A,TRUE,"CDWR";"PRINT",#N/A,TRUE,"EWEB";"PRINT",#N/A,TRUE,"LADWP";"PRINT",#N/A,TRUE,"NEVBASE"}</definedName>
    <definedName name="rrr" localSheetId="80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revision" hidden="1">1</definedName>
    <definedName name="SAPBEXsysID" hidden="1">"BWP"</definedName>
    <definedName name="SAPBEXwbID" hidden="1">"45EQYSCWE9WJMGB34OOD1BOQZ"</definedName>
    <definedName name="shit" localSheetId="69" hidden="1">{"PRINT",#N/A,TRUE,"APPA";"PRINT",#N/A,TRUE,"APS";"PRINT",#N/A,TRUE,"BHPL";"PRINT",#N/A,TRUE,"BHPL2";"PRINT",#N/A,TRUE,"CDWR";"PRINT",#N/A,TRUE,"EWEB";"PRINT",#N/A,TRUE,"LADWP";"PRINT",#N/A,TRUE,"NEVBASE"}</definedName>
    <definedName name="shit" localSheetId="80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olver_adj" localSheetId="5" hidden="1">'Blocking-Step1'!#REF!</definedName>
    <definedName name="solver_adj" localSheetId="7" hidden="1">'Blocking-Step2'!#REF!</definedName>
    <definedName name="solver_adj" localSheetId="15" hidden="1">'Sch23-1'!$C$24</definedName>
    <definedName name="solver_adj" localSheetId="22" hidden="1">'Sch23-2'!$C$24</definedName>
    <definedName name="solver_adj" localSheetId="40" hidden="1">'Sch23-T'!$C$24</definedName>
    <definedName name="solver_cvg" localSheetId="5" hidden="1">0.001</definedName>
    <definedName name="solver_cvg" localSheetId="7" hidden="1">0.001</definedName>
    <definedName name="solver_drv" localSheetId="5" hidden="1">1</definedName>
    <definedName name="solver_drv" localSheetId="7" hidden="1">1</definedName>
    <definedName name="solver_est" localSheetId="5" hidden="1">1</definedName>
    <definedName name="solver_est" localSheetId="7" hidden="1">1</definedName>
    <definedName name="solver_itr" localSheetId="5" hidden="1">100</definedName>
    <definedName name="solver_itr" localSheetId="7" hidden="1">100</definedName>
    <definedName name="solver_lin" localSheetId="5" hidden="1">2</definedName>
    <definedName name="solver_lin" localSheetId="7" hidden="1">2</definedName>
    <definedName name="solver_lin" localSheetId="15" hidden="1">0</definedName>
    <definedName name="solver_lin" localSheetId="22" hidden="1">0</definedName>
    <definedName name="solver_lin" localSheetId="40" hidden="1">0</definedName>
    <definedName name="solver_neg" localSheetId="5" hidden="1">2</definedName>
    <definedName name="solver_neg" localSheetId="7" hidden="1">2</definedName>
    <definedName name="solver_num" localSheetId="5" hidden="1">0</definedName>
    <definedName name="solver_num" localSheetId="7" hidden="1">0</definedName>
    <definedName name="solver_num" localSheetId="15" hidden="1">0</definedName>
    <definedName name="solver_num" localSheetId="22" hidden="1">0</definedName>
    <definedName name="solver_num" localSheetId="40" hidden="1">0</definedName>
    <definedName name="solver_nwt" localSheetId="5" hidden="1">1</definedName>
    <definedName name="solver_nwt" localSheetId="7" hidden="1">1</definedName>
    <definedName name="solver_opt" localSheetId="5" hidden="1">'Blocking-Step1'!#REF!</definedName>
    <definedName name="solver_opt" localSheetId="7" hidden="1">'Blocking-Step2'!#REF!</definedName>
    <definedName name="solver_opt" localSheetId="15" hidden="1">'Sch23-1'!$S$24</definedName>
    <definedName name="solver_opt" localSheetId="22" hidden="1">'Sch23-2'!$S$24</definedName>
    <definedName name="solver_opt" localSheetId="40" hidden="1">'Sch23-T'!$S$24</definedName>
    <definedName name="solver_pre" localSheetId="5" hidden="1">0.000001</definedName>
    <definedName name="solver_pre" localSheetId="7" hidden="1">0.000001</definedName>
    <definedName name="solver_scl" localSheetId="5" hidden="1">2</definedName>
    <definedName name="solver_scl" localSheetId="7" hidden="1">2</definedName>
    <definedName name="solver_sho" localSheetId="5" hidden="1">2</definedName>
    <definedName name="solver_sho" localSheetId="7" hidden="1">2</definedName>
    <definedName name="solver_tim" localSheetId="5" hidden="1">100</definedName>
    <definedName name="solver_tim" localSheetId="7" hidden="1">100</definedName>
    <definedName name="solver_tol" localSheetId="5" hidden="1">0.05</definedName>
    <definedName name="solver_tol" localSheetId="7" hidden="1">0.05</definedName>
    <definedName name="solver_typ" localSheetId="5" hidden="1">2</definedName>
    <definedName name="solver_typ" localSheetId="7" hidden="1">2</definedName>
    <definedName name="solver_typ" localSheetId="15" hidden="1">3</definedName>
    <definedName name="solver_typ" localSheetId="22" hidden="1">3</definedName>
    <definedName name="solver_typ" localSheetId="40" hidden="1">3</definedName>
    <definedName name="solver_val" localSheetId="5" hidden="1">0</definedName>
    <definedName name="solver_val" localSheetId="7" hidden="1">0</definedName>
    <definedName name="solver_val" localSheetId="15" hidden="1">0</definedName>
    <definedName name="solver_val" localSheetId="22" hidden="1">0</definedName>
    <definedName name="solver_val" localSheetId="40" hidden="1">0</definedName>
    <definedName name="SpecMaint" localSheetId="69" hidden="1">{#N/A,#N/A,FALSE,"Summary";#N/A,#N/A,FALSE,"SmPlants";#N/A,#N/A,FALSE,"Utah";#N/A,#N/A,FALSE,"Idaho";#N/A,#N/A,FALSE,"Lewis River";#N/A,#N/A,FALSE,"NrthUmpq";#N/A,#N/A,FALSE,"KlamRog"}</definedName>
    <definedName name="SpecMaint" localSheetId="80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localSheetId="69" hidden="1">{#N/A,#N/A,FALSE,"Actual";#N/A,#N/A,FALSE,"Normalized";#N/A,#N/A,FALSE,"Electric Actual";#N/A,#N/A,FALSE,"Electric Normalized"}</definedName>
    <definedName name="spippw" localSheetId="80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s" localSheetId="69" hidden="1">{"PRINT",#N/A,TRUE,"APPA";"PRINT",#N/A,TRUE,"APS";"PRINT",#N/A,TRUE,"BHPL";"PRINT",#N/A,TRUE,"BHPL2";"PRINT",#N/A,TRUE,"CDWR";"PRINT",#N/A,TRUE,"EWEB";"PRINT",#N/A,TRUE,"LADWP";"PRINT",#N/A,TRUE,"NEVBASE"}</definedName>
    <definedName name="ss" localSheetId="80" hidden="1">{"PRINT",#N/A,TRUE,"APPA";"PRINT",#N/A,TRUE,"APS";"PRINT",#N/A,TRUE,"BHPL";"PRINT",#N/A,TRUE,"BHPL2";"PRINT",#N/A,TRUE,"CDWR";"PRINT",#N/A,TRUE,"EWEB";"PRINT",#N/A,TRUE,"LADWP";"PRINT",#N/A,TRUE,"NEVBASE"}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ndard1" localSheetId="69" hidden="1">{"YTD-Total",#N/A,FALSE,"Provision"}</definedName>
    <definedName name="standard1" localSheetId="80" hidden="1">{"YTD-Total",#N/A,FALSE,"Provision"}</definedName>
    <definedName name="standard1" hidden="1">{"YTD-Total",#N/A,FALSE,"Provision"}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" localSheetId="53" hidden="1">[6]Inputs!#REF!</definedName>
    <definedName name="w" localSheetId="71" hidden="1">[6]Inputs!#REF!</definedName>
    <definedName name="w" localSheetId="55" hidden="1">[6]Inputs!#REF!</definedName>
    <definedName name="w" localSheetId="33" hidden="1">[6]Inputs!#REF!</definedName>
    <definedName name="w" localSheetId="69" hidden="1">[6]Inputs!#REF!</definedName>
    <definedName name="w" localSheetId="5" hidden="1">[6]Inputs!#REF!</definedName>
    <definedName name="w" localSheetId="4" hidden="1">[6]Inputs!#REF!</definedName>
    <definedName name="w" localSheetId="14" hidden="1">[6]Inputs!#REF!</definedName>
    <definedName name="w" localSheetId="21" hidden="1">[6]Inputs!#REF!</definedName>
    <definedName name="w" localSheetId="10" hidden="1">[6]Inputs!#REF!</definedName>
    <definedName name="w" localSheetId="17" hidden="1">[6]Inputs!#REF!</definedName>
    <definedName name="w" localSheetId="16" hidden="1">[6]Inputs!#REF!</definedName>
    <definedName name="w" localSheetId="15" hidden="1">[6]Inputs!#REF!</definedName>
    <definedName name="w" localSheetId="22" hidden="1">[6]Inputs!#REF!</definedName>
    <definedName name="w" localSheetId="11" hidden="1">[6]Inputs!#REF!</definedName>
    <definedName name="w" localSheetId="18" hidden="1">[6]Inputs!#REF!</definedName>
    <definedName name="w" localSheetId="12" hidden="1">[6]Inputs!#REF!</definedName>
    <definedName name="w" localSheetId="19" hidden="1">[6]Inputs!#REF!</definedName>
    <definedName name="w" localSheetId="13" hidden="1">[6]Inputs!#REF!</definedName>
    <definedName name="w" localSheetId="20" hidden="1">[6]Inputs!#REF!</definedName>
    <definedName name="w" localSheetId="9" hidden="1">[6]Inputs!#REF!</definedName>
    <definedName name="w" localSheetId="2" hidden="1">[6]Inputs!#REF!</definedName>
    <definedName name="w" localSheetId="3" hidden="1">[6]Inputs!#REF!</definedName>
    <definedName name="w" localSheetId="1" hidden="1">[6]Inputs!#REF!</definedName>
    <definedName name="w" localSheetId="25" hidden="1">[6]Inputs!#REF!</definedName>
    <definedName name="w" localSheetId="26" hidden="1">[6]Inputs!#REF!</definedName>
    <definedName name="w" localSheetId="27" hidden="1">[6]Inputs!#REF!</definedName>
    <definedName name="w" localSheetId="49" hidden="1">[6]Inputs!#REF!</definedName>
    <definedName name="w" hidden="1">[6]Inputs!#REF!</definedName>
    <definedName name="wrn.1996._.Hydro._.5._.Year._.Forecast._.Budget." localSheetId="6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8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localSheetId="69" hidden="1">{"Page 3.4.1",#N/A,FALSE,"Totals";"Page 3.4.2",#N/A,FALSE,"Totals"}</definedName>
    <definedName name="wrn.Adj._.Back_Up." localSheetId="80" hidden="1">{"Page 3.4.1",#N/A,FALSE,"Totals";"Page 3.4.2",#N/A,FALSE,"Totals"}</definedName>
    <definedName name="wrn.Adj._.Back_Up." hidden="1">{"Page 3.4.1",#N/A,FALSE,"Totals";"Page 3.4.2",#N/A,FALSE,"Totals"}</definedName>
    <definedName name="wrn.ALL." localSheetId="69" hidden="1">{#N/A,#N/A,FALSE,"Summary EPS";#N/A,#N/A,FALSE,"1st Qtr Electric";#N/A,#N/A,FALSE,"1st Qtr Australia";#N/A,#N/A,FALSE,"1st Qtr Telecom";#N/A,#N/A,FALSE,"1st QTR Other"}</definedName>
    <definedName name="wrn.ALL." localSheetId="80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69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80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ut._.Syn._.and._.JE." localSheetId="80" hidden="1">{#N/A,#N/A,FALSE,"June 01 Mapping";#N/A,#N/A,FALSE,"June 01 conv";#N/A,#N/A,FALSE,"reclass";#N/A,#N/A,FALSE,"US FV";#N/A,#N/A,FALSE,"UK FV";#N/A,#N/A,FALSE,"UK GAAP"}</definedName>
    <definedName name="wrn.All._.but._.Syn._.and._.JE." hidden="1">{#N/A,#N/A,FALSE,"June 01 Mapping";#N/A,#N/A,FALSE,"June 01 conv";#N/A,#N/A,FALSE,"reclass";#N/A,#N/A,FALSE,"US FV";#N/A,#N/A,FALSE,"UK FV";#N/A,#N/A,FALSE,"UK GAAP"}</definedName>
    <definedName name="wrn.All._.ISs._.and._.JEs." localSheetId="69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80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69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80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69" hidden="1">{#N/A,#N/A,FALSE,"cover";#N/A,#N/A,FALSE,"lead sheet";#N/A,#N/A,FALSE,"Adj backup";#N/A,#N/A,FALSE,"t Accounts"}</definedName>
    <definedName name="wrn.All._.Pages." localSheetId="80" hidden="1">{#N/A,#N/A,FALSE,"cover";#N/A,#N/A,FALSE,"lead sheet";#N/A,#N/A,FALSE,"Adj backup";#N/A,#N/A,FALSE,"t Accounts"}</definedName>
    <definedName name="wrn.All._.Pages." hidden="1">{#N/A,#N/A,FALSE,"cover";#N/A,#N/A,FALSE,"lead sheet";#N/A,#N/A,FALSE,"Adj backup";#N/A,#N/A,FALSE,"t Accounts"}</definedName>
    <definedName name="wrn.Allocation._.factor." localSheetId="80" hidden="1">{#N/A,#N/A,TRUE,"11.1";#N/A,#N/A,TRUE,"11.2";#N/A,#N/A,TRUE,"11.3-.4";#N/A,#N/A,TRUE,"11.5-11.6";#N/A,#N/A,TRUE,"11.7-.10";#N/A,#N/A,TRUE,"11.11-11.22";#N/A,#N/A,TRUE,"11.23_ECD"}</definedName>
    <definedName name="wrn.Allocation._.factor." hidden="1">{#N/A,#N/A,TRUE,"11.1";#N/A,#N/A,TRUE,"11.2";#N/A,#N/A,TRUE,"11.3-.4";#N/A,#N/A,TRUE,"11.5-11.6";#N/A,#N/A,TRUE,"11.7-.10";#N/A,#N/A,TRUE,"11.11-11.22";#N/A,#N/A,TRUE,"11.23_ECD"}</definedName>
    <definedName name="wrn.BUS._.RPT." localSheetId="6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8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69" hidden="1">{"YTD-Total",#N/A,TRUE,"Provision";"YTD-Utility",#N/A,TRUE,"Prov Utility";"YTD-NonUtility",#N/A,TRUE,"Prov NonUtility"}</definedName>
    <definedName name="wrn.Combined._.YTD." localSheetId="80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69" hidden="1">{"Conol gross povision grouped",#N/A,FALSE,"Consol Gross";"Consol Gross Grouped",#N/A,FALSE,"Consol Gross"}</definedName>
    <definedName name="wrn.ConsolGrossGrp." localSheetId="80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ver." localSheetId="69" hidden="1">{#N/A,#N/A,TRUE,"Cover";#N/A,#N/A,TRUE,"Contents"}</definedName>
    <definedName name="wrn.Cover." localSheetId="80" hidden="1">{#N/A,#N/A,TRUE,"Cover";#N/A,#N/A,TRUE,"Contents"}</definedName>
    <definedName name="wrn.Cover." hidden="1">{#N/A,#N/A,TRUE,"Cover";#N/A,#N/A,TRUE,"Contents"}</definedName>
    <definedName name="wrn.CoverContents." localSheetId="69" hidden="1">{#N/A,#N/A,FALSE,"Cover";#N/A,#N/A,FALSE,"Contents"}</definedName>
    <definedName name="wrn.CoverContents." localSheetId="80" hidden="1">{#N/A,#N/A,FALSE,"Cover";#N/A,#N/A,FALSE,"Contents"}</definedName>
    <definedName name="wrn.CoverContents." hidden="1">{#N/A,#N/A,FALSE,"Cover";#N/A,#N/A,FALSE,"Contents"}</definedName>
    <definedName name="wrn.El._.Paso._.Offshore." localSheetId="69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80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xec._.Summary." localSheetId="69" hidden="1">{#N/A,#N/A,FALSE,"Output Ass";#N/A,#N/A,FALSE,"Sum Tot";#N/A,#N/A,FALSE,"Ex Sum Year";#N/A,#N/A,FALSE,"Sum Qtr"}</definedName>
    <definedName name="wrn.Exec._.Summary." localSheetId="80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Factors._.Tab._.10." localSheetId="6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6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5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5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7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localSheetId="6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8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localSheetId="69" hidden="1">{"FullView",#N/A,FALSE,"Consltd-For contngcy"}</definedName>
    <definedName name="wrn.Full._.View." localSheetId="80" hidden="1">{"FullView",#N/A,FALSE,"Consltd-For contngcy"}</definedName>
    <definedName name="wrn.Full._.View." hidden="1">{"FullView",#N/A,FALSE,"Consltd-For contngcy"}</definedName>
    <definedName name="wrn.GLReport." localSheetId="69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80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life." localSheetId="6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8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new." hidden="1">{#N/A,#N/A,TRUE,"Filing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localSheetId="69" hidden="1">{"Open issues Only",#N/A,FALSE,"TIMELINE"}</definedName>
    <definedName name="wrn.Open._.Issues._.Only." localSheetId="80" hidden="1">{"Open issues Only",#N/A,FALSE,"TIMELINE"}</definedName>
    <definedName name="wrn.Open._.Issues._.Only." hidden="1">{"Open issues Only",#N/A,FALSE,"TIMELINE"}</definedName>
    <definedName name="wrn.OR._.Carrying._.Charge._.JV." localSheetId="63" hidden="1">{#N/A,#N/A,FALSE,"Loans";#N/A,#N/A,FALSE,"Program Costs";#N/A,#N/A,FALSE,"Measures";#N/A,#N/A,FALSE,"Net Lost Rev";#N/A,#N/A,FALSE,"Incentive"}</definedName>
    <definedName name="wrn.OR._.Carrying._.Charge._.JV." localSheetId="83" hidden="1">{#N/A,#N/A,FALSE,"Loans";#N/A,#N/A,FALSE,"Program Costs";#N/A,#N/A,FALSE,"Measures";#N/A,#N/A,FALSE,"Net Lost Rev";#N/A,#N/A,FALSE,"Incentive"}</definedName>
    <definedName name="wrn.OR._.Carrying._.Charge._.JV." localSheetId="69" hidden="1">{#N/A,#N/A,FALSE,"Loans";#N/A,#N/A,FALSE,"Program Costs";#N/A,#N/A,FALSE,"Measures";#N/A,#N/A,FALSE,"Net Lost Rev";#N/A,#N/A,FALSE,"Incentive"}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localSheetId="7" hidden="1">{#N/A,#N/A,FALSE,"Loans";#N/A,#N/A,FALSE,"Program Costs";#N/A,#N/A,FALSE,"Measures";#N/A,#N/A,FALSE,"Net Lost Rev";#N/A,#N/A,FALSE,"Incentive"}</definedName>
    <definedName name="wrn.OR._.Carrying._.Charge._.JV." localSheetId="77" hidden="1">{#N/A,#N/A,FALSE,"Loans";#N/A,#N/A,FALSE,"Program Costs";#N/A,#N/A,FALSE,"Measures";#N/A,#N/A,FALSE,"Net Lost Rev";#N/A,#N/A,FALSE,"Incentive"}</definedName>
    <definedName name="wrn.OR._.Carrying._.Charge._.JV." localSheetId="80" hidden="1">{#N/A,#N/A,FALSE,"Loans";#N/A,#N/A,FALSE,"Program Costs";#N/A,#N/A,FALSE,"Measures";#N/A,#N/A,FALSE,"Net Lost Rev";#N/A,#N/A,FALSE,"Incentive"}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14" hidden="1">{#N/A,#N/A,FALSE,"Loans";#N/A,#N/A,FALSE,"Program Costs";#N/A,#N/A,FALSE,"Measures";#N/A,#N/A,FALSE,"Net Lost Rev";#N/A,#N/A,FALSE,"Incentive"}</definedName>
    <definedName name="wrn.OR._.Carrying._.Charge._.JV." localSheetId="21" hidden="1">{#N/A,#N/A,FALSE,"Loans";#N/A,#N/A,FALSE,"Program Costs";#N/A,#N/A,FALSE,"Measures";#N/A,#N/A,FALSE,"Net Lost Rev";#N/A,#N/A,FALSE,"Incentive"}</definedName>
    <definedName name="wrn.OR._.Carrying._.Charge._.JV." localSheetId="39" hidden="1">{#N/A,#N/A,FALSE,"Loans";#N/A,#N/A,FALSE,"Program Costs";#N/A,#N/A,FALSE,"Measures";#N/A,#N/A,FALSE,"Net Lost Rev";#N/A,#N/A,FALSE,"Incentive"}</definedName>
    <definedName name="wrn.OR._.Carrying._.Charge._.JV." localSheetId="15" hidden="1">{#N/A,#N/A,FALSE,"Loans";#N/A,#N/A,FALSE,"Program Costs";#N/A,#N/A,FALSE,"Measures";#N/A,#N/A,FALSE,"Net Lost Rev";#N/A,#N/A,FALSE,"Incentive"}</definedName>
    <definedName name="wrn.OR._.Carrying._.Charge._.JV." localSheetId="22" hidden="1">{#N/A,#N/A,FALSE,"Loans";#N/A,#N/A,FALSE,"Program Costs";#N/A,#N/A,FALSE,"Measures";#N/A,#N/A,FALSE,"Net Lost Rev";#N/A,#N/A,FALSE,"Incentive"}</definedName>
    <definedName name="wrn.OR._.Carrying._.Charge._.JV." localSheetId="40" hidden="1">{#N/A,#N/A,FALSE,"Loans";#N/A,#N/A,FALSE,"Program Costs";#N/A,#N/A,FALSE,"Measures";#N/A,#N/A,FALSE,"Net Lost Rev";#N/A,#N/A,FALSE,"Incentive"}</definedName>
    <definedName name="wrn.OR._.Carrying._.Charge._.JV." localSheetId="11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localSheetId="36" hidden="1">{#N/A,#N/A,FALSE,"Loans";#N/A,#N/A,FALSE,"Program Costs";#N/A,#N/A,FALSE,"Measures";#N/A,#N/A,FALSE,"Net Lost Rev";#N/A,#N/A,FALSE,"Incentive"}</definedName>
    <definedName name="wrn.OR._.Carrying._.Charge._.JV." localSheetId="12" hidden="1">{#N/A,#N/A,FALSE,"Loans";#N/A,#N/A,FALSE,"Program Costs";#N/A,#N/A,FALSE,"Measures";#N/A,#N/A,FALSE,"Net Lost Rev";#N/A,#N/A,FALSE,"Incentive"}</definedName>
    <definedName name="wrn.OR._.Carrying._.Charge._.JV." localSheetId="19" hidden="1">{#N/A,#N/A,FALSE,"Loans";#N/A,#N/A,FALSE,"Program Costs";#N/A,#N/A,FALSE,"Measures";#N/A,#N/A,FALSE,"Net Lost Rev";#N/A,#N/A,FALSE,"Incentive"}</definedName>
    <definedName name="wrn.OR._.Carrying._.Charge._.JV." localSheetId="37" hidden="1">{#N/A,#N/A,FALSE,"Loans";#N/A,#N/A,FALSE,"Program Costs";#N/A,#N/A,FALSE,"Measures";#N/A,#N/A,FALSE,"Net Lost Rev";#N/A,#N/A,FALSE,"Incentive"}</definedName>
    <definedName name="wrn.OR._.Carrying._.Charge._.JV." localSheetId="13" hidden="1">{#N/A,#N/A,FALSE,"Loans";#N/A,#N/A,FALSE,"Program Costs";#N/A,#N/A,FALSE,"Measures";#N/A,#N/A,FALSE,"Net Lost Rev";#N/A,#N/A,FALSE,"Incentive"}</definedName>
    <definedName name="wrn.OR._.Carrying._.Charge._.JV." localSheetId="20" hidden="1">{#N/A,#N/A,FALSE,"Loans";#N/A,#N/A,FALSE,"Program Costs";#N/A,#N/A,FALSE,"Measures";#N/A,#N/A,FALSE,"Net Lost Rev";#N/A,#N/A,FALSE,"Incentive"}</definedName>
    <definedName name="wrn.OR._.Carrying._.Charge._.JV." localSheetId="38" hidden="1">{#N/A,#N/A,FALSE,"Loans";#N/A,#N/A,FALSE,"Program Costs";#N/A,#N/A,FALSE,"Measures";#N/A,#N/A,FALSE,"Net Lost Rev";#N/A,#N/A,FALSE,"Incentive"}</definedName>
    <definedName name="wrn.OR._.Carrying._.Charge._.JV." localSheetId="87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localSheetId="25" hidden="1">{#N/A,#N/A,FALSE,"Loans";#N/A,#N/A,FALSE,"Program Costs";#N/A,#N/A,FALSE,"Measures";#N/A,#N/A,FALSE,"Net Lost Rev";#N/A,#N/A,FALSE,"Incentive"}</definedName>
    <definedName name="wrn.OR._.Carrying._.Charge._.JV." localSheetId="26" hidden="1">{#N/A,#N/A,FALSE,"Loans";#N/A,#N/A,FALSE,"Program Costs";#N/A,#N/A,FALSE,"Measures";#N/A,#N/A,FALSE,"Net Lost Rev";#N/A,#N/A,FALSE,"Incentive"}</definedName>
    <definedName name="wrn.OR._.Carrying._.Charge._.JV." localSheetId="27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63" hidden="1">{#N/A,#N/A,FALSE,"Loans";#N/A,#N/A,FALSE,"Program Costs";#N/A,#N/A,FALSE,"Measures";#N/A,#N/A,FALSE,"Net Lost Rev";#N/A,#N/A,FALSE,"Incentive"}</definedName>
    <definedName name="wrn.OR._.Carrying._.Charge._.JV.1" localSheetId="83" hidden="1">{#N/A,#N/A,FALSE,"Loans";#N/A,#N/A,FALSE,"Program Costs";#N/A,#N/A,FALSE,"Measures";#N/A,#N/A,FALSE,"Net Lost Rev";#N/A,#N/A,FALSE,"Incentive"}</definedName>
    <definedName name="wrn.OR._.Carrying._.Charge._.JV.1" localSheetId="69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localSheetId="7" hidden="1">{#N/A,#N/A,FALSE,"Loans";#N/A,#N/A,FALSE,"Program Costs";#N/A,#N/A,FALSE,"Measures";#N/A,#N/A,FALSE,"Net Lost Rev";#N/A,#N/A,FALSE,"Incentive"}</definedName>
    <definedName name="wrn.OR._.Carrying._.Charge._.JV.1" localSheetId="77" hidden="1">{#N/A,#N/A,FALSE,"Loans";#N/A,#N/A,FALSE,"Program Costs";#N/A,#N/A,FALSE,"Measures";#N/A,#N/A,FALSE,"Net Lost Rev";#N/A,#N/A,FALSE,"Incentive"}</definedName>
    <definedName name="wrn.OR._.Carrying._.Charge._.JV.1" localSheetId="80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14" hidden="1">{#N/A,#N/A,FALSE,"Loans";#N/A,#N/A,FALSE,"Program Costs";#N/A,#N/A,FALSE,"Measures";#N/A,#N/A,FALSE,"Net Lost Rev";#N/A,#N/A,FALSE,"Incentive"}</definedName>
    <definedName name="wrn.OR._.Carrying._.Charge._.JV.1" localSheetId="21" hidden="1">{#N/A,#N/A,FALSE,"Loans";#N/A,#N/A,FALSE,"Program Costs";#N/A,#N/A,FALSE,"Measures";#N/A,#N/A,FALSE,"Net Lost Rev";#N/A,#N/A,FALSE,"Incentive"}</definedName>
    <definedName name="wrn.OR._.Carrying._.Charge._.JV.1" localSheetId="39" hidden="1">{#N/A,#N/A,FALSE,"Loans";#N/A,#N/A,FALSE,"Program Costs";#N/A,#N/A,FALSE,"Measures";#N/A,#N/A,FALSE,"Net Lost Rev";#N/A,#N/A,FALSE,"Incentive"}</definedName>
    <definedName name="wrn.OR._.Carrying._.Charge._.JV.1" localSheetId="15" hidden="1">{#N/A,#N/A,FALSE,"Loans";#N/A,#N/A,FALSE,"Program Costs";#N/A,#N/A,FALSE,"Measures";#N/A,#N/A,FALSE,"Net Lost Rev";#N/A,#N/A,FALSE,"Incentive"}</definedName>
    <definedName name="wrn.OR._.Carrying._.Charge._.JV.1" localSheetId="22" hidden="1">{#N/A,#N/A,FALSE,"Loans";#N/A,#N/A,FALSE,"Program Costs";#N/A,#N/A,FALSE,"Measures";#N/A,#N/A,FALSE,"Net Lost Rev";#N/A,#N/A,FALSE,"Incentive"}</definedName>
    <definedName name="wrn.OR._.Carrying._.Charge._.JV.1" localSheetId="40" hidden="1">{#N/A,#N/A,FALSE,"Loans";#N/A,#N/A,FALSE,"Program Costs";#N/A,#N/A,FALSE,"Measures";#N/A,#N/A,FALSE,"Net Lost Rev";#N/A,#N/A,FALSE,"Incentive"}</definedName>
    <definedName name="wrn.OR._.Carrying._.Charge._.JV.1" localSheetId="11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localSheetId="36" hidden="1">{#N/A,#N/A,FALSE,"Loans";#N/A,#N/A,FALSE,"Program Costs";#N/A,#N/A,FALSE,"Measures";#N/A,#N/A,FALSE,"Net Lost Rev";#N/A,#N/A,FALSE,"Incentive"}</definedName>
    <definedName name="wrn.OR._.Carrying._.Charge._.JV.1" localSheetId="12" hidden="1">{#N/A,#N/A,FALSE,"Loans";#N/A,#N/A,FALSE,"Program Costs";#N/A,#N/A,FALSE,"Measures";#N/A,#N/A,FALSE,"Net Lost Rev";#N/A,#N/A,FALSE,"Incentive"}</definedName>
    <definedName name="wrn.OR._.Carrying._.Charge._.JV.1" localSheetId="19" hidden="1">{#N/A,#N/A,FALSE,"Loans";#N/A,#N/A,FALSE,"Program Costs";#N/A,#N/A,FALSE,"Measures";#N/A,#N/A,FALSE,"Net Lost Rev";#N/A,#N/A,FALSE,"Incentive"}</definedName>
    <definedName name="wrn.OR._.Carrying._.Charge._.JV.1" localSheetId="37" hidden="1">{#N/A,#N/A,FALSE,"Loans";#N/A,#N/A,FALSE,"Program Costs";#N/A,#N/A,FALSE,"Measures";#N/A,#N/A,FALSE,"Net Lost Rev";#N/A,#N/A,FALSE,"Incentive"}</definedName>
    <definedName name="wrn.OR._.Carrying._.Charge._.JV.1" localSheetId="13" hidden="1">{#N/A,#N/A,FALSE,"Loans";#N/A,#N/A,FALSE,"Program Costs";#N/A,#N/A,FALSE,"Measures";#N/A,#N/A,FALSE,"Net Lost Rev";#N/A,#N/A,FALSE,"Incentive"}</definedName>
    <definedName name="wrn.OR._.Carrying._.Charge._.JV.1" localSheetId="20" hidden="1">{#N/A,#N/A,FALSE,"Loans";#N/A,#N/A,FALSE,"Program Costs";#N/A,#N/A,FALSE,"Measures";#N/A,#N/A,FALSE,"Net Lost Rev";#N/A,#N/A,FALSE,"Incentive"}</definedName>
    <definedName name="wrn.OR._.Carrying._.Charge._.JV.1" localSheetId="38" hidden="1">{#N/A,#N/A,FALSE,"Loans";#N/A,#N/A,FALSE,"Program Costs";#N/A,#N/A,FALSE,"Measures";#N/A,#N/A,FALSE,"Net Lost Rev";#N/A,#N/A,FALSE,"Incentive"}</definedName>
    <definedName name="wrn.OR._.Carrying._.Charge._.JV.1" localSheetId="87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localSheetId="25" hidden="1">{#N/A,#N/A,FALSE,"Loans";#N/A,#N/A,FALSE,"Program Costs";#N/A,#N/A,FALSE,"Measures";#N/A,#N/A,FALSE,"Net Lost Rev";#N/A,#N/A,FALSE,"Incentive"}</definedName>
    <definedName name="wrn.OR._.Carrying._.Charge._.JV.1" localSheetId="26" hidden="1">{#N/A,#N/A,FALSE,"Loans";#N/A,#N/A,FALSE,"Program Costs";#N/A,#N/A,FALSE,"Measures";#N/A,#N/A,FALSE,"Net Lost Rev";#N/A,#N/A,FALSE,"Incentive"}</definedName>
    <definedName name="wrn.OR._.Carrying._.Charge._.JV.1" localSheetId="27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regon._.Rate._.case." localSheetId="80" hidden="1">{#N/A,#N/A,TRUE,"10.1_Historical Cover Sheet";#N/A,#N/A,TRUE,"10.2-10.3_Historical";#N/A,#N/A,TRUE,"10.4_Historical";#N/A,#N/A,TRUE,"10.4.1_Historical";#N/A,#N/A,TRUE,"10.7-10.17_Historical"}</definedName>
    <definedName name="wrn.Oregon._.Rate._.case." hidden="1">{#N/A,#N/A,TRUE,"10.1_Historical Cover Sheet";#N/A,#N/A,TRUE,"10.2-10.3_Historical";#N/A,#N/A,TRUE,"10.4_Historical";#N/A,#N/A,TRUE,"10.4.1_Historical";#N/A,#N/A,TRUE,"10.7-10.17_Historical"}</definedName>
    <definedName name="wrn.pages." localSheetId="6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8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6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8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localSheetId="69" hidden="1">{#N/A,#N/A,FALSE,"Consltd-For contngcy";"PaymentView",#N/A,FALSE,"Consltd-For contngcy"}</definedName>
    <definedName name="wrn.Payment._.View." localSheetId="80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69" hidden="1">{"PFS recon view",#N/A,FALSE,"Hyperion Proof"}</definedName>
    <definedName name="wrn.PFSreconview." localSheetId="80" hidden="1">{"PFS recon view",#N/A,FALSE,"Hyperion Proof"}</definedName>
    <definedName name="wrn.PFSreconview." hidden="1">{"PFS recon view",#N/A,FALSE,"Hyperion Proof"}</definedName>
    <definedName name="wrn.PGHCreconview." localSheetId="69" hidden="1">{"PGHC recon view",#N/A,FALSE,"Hyperion Proof"}</definedName>
    <definedName name="wrn.PGHCreconview." localSheetId="80" hidden="1">{"PGHC recon view",#N/A,FALSE,"Hyperion Proof"}</definedName>
    <definedName name="wrn.PGHCreconview." hidden="1">{"PGHC recon view",#N/A,FALSE,"Hyperion Proof"}</definedName>
    <definedName name="wrn.PHI._.all._.other._.months." localSheetId="69" hidden="1">{#N/A,#N/A,FALSE,"PHI MTD";#N/A,#N/A,FALSE,"PHI YTD"}</definedName>
    <definedName name="wrn.PHI._.all._.other._.months." localSheetId="80" hidden="1">{#N/A,#N/A,FALSE,"PHI MTD";#N/A,#N/A,FALSE,"PHI YTD"}</definedName>
    <definedName name="wrn.PHI._.all._.other._.months." hidden="1">{#N/A,#N/A,FALSE,"PHI MTD";#N/A,#N/A,FALSE,"PHI YTD"}</definedName>
    <definedName name="wrn.PHI._.only." localSheetId="69" hidden="1">{#N/A,#N/A,FALSE,"PHI"}</definedName>
    <definedName name="wrn.PHI._.only." localSheetId="80" hidden="1">{#N/A,#N/A,FALSE,"PHI"}</definedName>
    <definedName name="wrn.PHI._.only." hidden="1">{#N/A,#N/A,FALSE,"PHI"}</definedName>
    <definedName name="wrn.PHI._.Sept._.Dec._.March." localSheetId="69" hidden="1">{#N/A,#N/A,FALSE,"PHI MTD";#N/A,#N/A,FALSE,"PHI QTD";#N/A,#N/A,FALSE,"PHI YTD"}</definedName>
    <definedName name="wrn.PHI._.Sept._.Dec._.March." localSheetId="80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69" hidden="1">{"PPM Co Code View",#N/A,FALSE,"Comp Codes"}</definedName>
    <definedName name="wrn.PPMCoCodeView." localSheetId="80" hidden="1">{"PPM Co Code View",#N/A,FALSE,"Comp Codes"}</definedName>
    <definedName name="wrn.PPMCoCodeView." hidden="1">{"PPM Co Code View",#N/A,FALSE,"Comp Codes"}</definedName>
    <definedName name="wrn.PPMreconview." localSheetId="69" hidden="1">{"PPM Recon View",#N/A,FALSE,"Hyperion Proof"}</definedName>
    <definedName name="wrn.PPMreconview." localSheetId="80" hidden="1">{"PPM Recon View",#N/A,FALSE,"Hyperion Proof"}</definedName>
    <definedName name="wrn.PPMreconview." hidden="1">{"PPM Recon View",#N/A,FALSE,"Hyperion Proof"}</definedName>
    <definedName name="wrn.print._.reports." localSheetId="6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80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localSheetId="69" hidden="1">{"DATA_SET",#N/A,FALSE,"HOURLY SPREAD"}</definedName>
    <definedName name="wrn.PRINT._.SOURCE._.DATA." localSheetId="80" hidden="1">{"DATA_SET",#N/A,FALSE,"HOURLY SPREAD"}</definedName>
    <definedName name="wrn.PRINT._.SOURCE._.DATA." hidden="1">{"DATA_SET",#N/A,FALSE,"HOURLY SPREAD"}</definedName>
    <definedName name="wrn.PrintHistory." localSheetId="69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80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localSheetId="69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80" hidden="1">{#N/A,#N/A,FALSE,"Cover";#N/A,#N/A,FALSE,"ProjectSelector";#N/A,#N/A,FALSE,"ProjectTable";#N/A,#N/A,FALSE,"SanGorgonio";#N/A,#N/A,FALSE,"Tehachapi";#N/A,#N/A,FALSE,"Results";#N/A,#N/A,FALSE,"ReplaceForecast"}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ofElectricOnly." localSheetId="69" hidden="1">{"Electric Only",#N/A,FALSE,"Hyperion Proof"}</definedName>
    <definedName name="wrn.ProofElectricOnly." localSheetId="80" hidden="1">{"Electric Only",#N/A,FALSE,"Hyperion Proof"}</definedName>
    <definedName name="wrn.ProofElectricOnly." hidden="1">{"Electric Only",#N/A,FALSE,"Hyperion Proof"}</definedName>
    <definedName name="wrn.ProofTotal." localSheetId="69" hidden="1">{"Proof Total",#N/A,FALSE,"Hyperion Proof"}</definedName>
    <definedName name="wrn.ProofTotal." localSheetId="80" hidden="1">{"Proof Total",#N/A,FALSE,"Hyperion Proof"}</definedName>
    <definedName name="wrn.ProofTotal." hidden="1">{"Proof Total",#N/A,FALSE,"Hyperion Proof"}</definedName>
    <definedName name="wrn.Reformat._.only." localSheetId="69" hidden="1">{#N/A,#N/A,FALSE,"Dec 1999 mapping"}</definedName>
    <definedName name="wrn.Reformat._.only." localSheetId="80" hidden="1">{#N/A,#N/A,FALSE,"Dec 1999 mapping"}</definedName>
    <definedName name="wrn.Reformat._.only." hidden="1">{#N/A,#N/A,FALSE,"Dec 1999 mapping"}</definedName>
    <definedName name="wrn.SALES._.VAR._.95._.BUDGET." localSheetId="6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8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ction1." localSheetId="69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80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localSheetId="69" hidden="1">{#N/A,#N/A,TRUE,"Section1";#N/A,#N/A,TRUE,"SumF";#N/A,#N/A,TRUE,"FigExchange";#N/A,#N/A,TRUE,"Escalation";#N/A,#N/A,TRUE,"GraphEscalate";#N/A,#N/A,TRUE,"Scenarios"}</definedName>
    <definedName name="wrn.Section1Summaries." localSheetId="80" hidden="1">{#N/A,#N/A,TRUE,"Section1";#N/A,#N/A,TRUE,"SumF";#N/A,#N/A,TRUE,"FigExchange";#N/A,#N/A,TRUE,"Escalation";#N/A,#N/A,TRUE,"GraphEscalate";#N/A,#N/A,TRUE,"Scenarios"}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localSheetId="69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80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localSheetId="69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80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localSheetId="69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80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localSheetId="69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80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localSheetId="69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80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localSheetId="69" hidden="1">{#N/A,#N/A,TRUE,"Section4";#N/A,#N/A,TRUE,"PPAtable";#N/A,#N/A,TRUE,"RFPtable";#N/A,#N/A,TRUE,"RevCap";#N/A,#N/A,TRUE,"RevOther";#N/A,#N/A,TRUE,"RevGas";#N/A,#N/A,TRUE,"GraphRev"}</definedName>
    <definedName name="wrn.Section4Revenue." localSheetId="80" hidden="1">{#N/A,#N/A,TRUE,"Section4";#N/A,#N/A,TRUE,"PPAtable";#N/A,#N/A,TRUE,"RFPtable";#N/A,#N/A,TRUE,"RevCap";#N/A,#N/A,TRUE,"RevOther";#N/A,#N/A,TRUE,"RevGas";#N/A,#N/A,TRUE,"GraphRev"}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localSheetId="69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80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localSheetId="69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80" hidden="1">{#N/A,#N/A,TRUE,"Section6";#N/A,#N/A,TRUE,"OHcycles";#N/A,#N/A,TRUE,"OHtiming";#N/A,#N/A,TRUE,"OHcosts";#N/A,#N/A,TRUE,"GTdegradation";#N/A,#N/A,TRUE,"GTperformance";#N/A,#N/A,TRUE,"GraphEquip"}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localSheetId="69" hidden="1">{#N/A,#N/A,TRUE,"Section7";#N/A,#N/A,TRUE,"DebtService";#N/A,#N/A,TRUE,"LoanSchedules";#N/A,#N/A,TRUE,"GraphDebt"}</definedName>
    <definedName name="wrn.Section7DebtService." localSheetId="80" hidden="1">{#N/A,#N/A,TRUE,"Section7";#N/A,#N/A,TRUE,"DebtService";#N/A,#N/A,TRUE,"LoanSchedules";#N/A,#N/A,TRUE,"GraphDebt"}</definedName>
    <definedName name="wrn.Section7DebtService." hidden="1">{#N/A,#N/A,TRUE,"Section7";#N/A,#N/A,TRUE,"DebtService";#N/A,#N/A,TRUE,"LoanSchedules";#N/A,#N/A,TRUE,"GraphDebt"}</definedName>
    <definedName name="wrn.Sept._.Dec._.March._.IS." localSheetId="69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80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ponsorSection." localSheetId="69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80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localSheetId="69" hidden="1">{"YTD-Total",#N/A,FALSE,"Provision"}</definedName>
    <definedName name="wrn.Standard." localSheetId="80" hidden="1">{"YTD-Total",#N/A,FALSE,"Provision"}</definedName>
    <definedName name="wrn.Standard." hidden="1">{"YTD-Total",#N/A,FALSE,"Provision"}</definedName>
    <definedName name="wrn.Standard._.NonUtility._.Only." localSheetId="69" hidden="1">{"YTD-NonUtility",#N/A,FALSE,"Prov NonUtility"}</definedName>
    <definedName name="wrn.Standard._.NonUtility._.Only." localSheetId="80" hidden="1">{"YTD-NonUtility",#N/A,FALSE,"Prov NonUtility"}</definedName>
    <definedName name="wrn.Standard._.NonUtility._.Only." hidden="1">{"YTD-NonUtility",#N/A,FALSE,"Prov NonUtility"}</definedName>
    <definedName name="wrn.Standard._.Utility._.Only." localSheetId="69" hidden="1">{"YTD-Utility",#N/A,FALSE,"Prov Utility"}</definedName>
    <definedName name="wrn.Standard._.Utility._.Only." localSheetId="80" hidden="1">{"YTD-Utility",#N/A,FALSE,"Prov Utility"}</definedName>
    <definedName name="wrn.Standard._.Utility._.Only." hidden="1">{"YTD-Utility",#N/A,FALSE,"Prov Utility"}</definedName>
    <definedName name="wrn.Summary." localSheetId="69" hidden="1">{#N/A,#N/A,FALSE,"Sum Qtr";#N/A,#N/A,FALSE,"Oper Sum";#N/A,#N/A,FALSE,"Land Sales";#N/A,#N/A,FALSE,"Finance";#N/A,#N/A,FALSE,"Oper Ass"}</definedName>
    <definedName name="wrn.Summary." localSheetId="80" hidden="1">{#N/A,#N/A,FALSE,"Sum Qtr";#N/A,#N/A,FALSE,"Oper Sum";#N/A,#N/A,FALSE,"Land Sales";#N/A,#N/A,FALSE,"Finance";#N/A,#N/A,FALSE,"Oper Ass"}</definedName>
    <definedName name="wrn.Summary." hidden="1">{#N/A,#N/A,FALSE,"Sum Qtr";#N/A,#N/A,FALSE,"Oper Sum";#N/A,#N/A,FALSE,"Land Sales";#N/A,#N/A,FALSE,"Finance";#N/A,#N/A,FALSE,"Oper Ass"}</definedName>
    <definedName name="wrn.Summary._.View." localSheetId="69" hidden="1">{#N/A,#N/A,FALSE,"Consltd-For contngcy"}</definedName>
    <definedName name="wrn.Summary._.View." localSheetId="80" hidden="1">{#N/A,#N/A,FALSE,"Consltd-For contngcy"}</definedName>
    <definedName name="wrn.Summary._.View." hidden="1">{#N/A,#N/A,FALSE,"Consltd-For contngcy"}</definedName>
    <definedName name="wrn.test." localSheetId="80" hidden="1">{#N/A,#N/A,TRUE,"10.1_Historical Cover Sheet";#N/A,#N/A,TRUE,"10.2-10.3_Historical"}</definedName>
    <definedName name="wrn.test." hidden="1">{#N/A,#N/A,TRUE,"10.1_Historical Cover Sheet";#N/A,#N/A,TRUE,"10.2-10.3_Historical"}</definedName>
    <definedName name="wrn.Total._.Summary." localSheetId="69" hidden="1">{"Total Summary",#N/A,FALSE,"Summary"}</definedName>
    <definedName name="wrn.Total._.Summary." localSheetId="80" hidden="1">{"Total Summary",#N/A,FALSE,"Summary"}</definedName>
    <definedName name="wrn.Total._.Summary." hidden="1">{"Total Summary",#N/A,FALSE,"Summary"}</definedName>
    <definedName name="wrn.UK._.Conversion._.Only." localSheetId="69" hidden="1">{#N/A,#N/A,FALSE,"Dec 1999 UK Continuing Ops"}</definedName>
    <definedName name="wrn.UK._.Conversion._.Only." localSheetId="80" hidden="1">{#N/A,#N/A,FALSE,"Dec 1999 UK Continuing Ops"}</definedName>
    <definedName name="wrn.UK._.Conversion._.Only." hidden="1">{#N/A,#N/A,FALSE,"Dec 1999 UK Continuing Ops"}</definedName>
    <definedName name="wrn.YearEnd." localSheetId="6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6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5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5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7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y" localSheetId="69" hidden="1">'[2]DSM Output'!$B$21:$B$23</definedName>
    <definedName name="y" localSheetId="80" hidden="1">#REF!</definedName>
    <definedName name="y" localSheetId="41" hidden="1">#REF!</definedName>
    <definedName name="y" localSheetId="51" hidden="1">'[1]DSM Output'!$B$21:$B$23</definedName>
    <definedName name="y" localSheetId="49" hidden="1">'[1]DSM Output'!$B$21:$B$23</definedName>
    <definedName name="y" hidden="1">'[1]DSM Output'!$B$21:$B$23</definedName>
    <definedName name="z" localSheetId="69" hidden="1">'[2]DSM Output'!$G$21:$G$23</definedName>
    <definedName name="z" localSheetId="80" hidden="1">#REF!</definedName>
    <definedName name="z" localSheetId="41" hidden="1">#REF!</definedName>
    <definedName name="z" localSheetId="51" hidden="1">'[1]DSM Output'!$G$21:$G$23</definedName>
    <definedName name="z" localSheetId="49" hidden="1">'[1]DSM Output'!$G$21:$G$23</definedName>
    <definedName name="z" hidden="1">'[1]DSM Output'!$G$21:$G$23</definedName>
    <definedName name="Z_01844156_6462_4A28_9785_1A86F4D0C834_.wvu.PrintTitles" localSheetId="53" hidden="1">#REF!</definedName>
    <definedName name="Z_01844156_6462_4A28_9785_1A86F4D0C834_.wvu.PrintTitles" localSheetId="71" hidden="1">#REF!</definedName>
    <definedName name="Z_01844156_6462_4A28_9785_1A86F4D0C834_.wvu.PrintTitles" localSheetId="55" hidden="1">#REF!</definedName>
    <definedName name="Z_01844156_6462_4A28_9785_1A86F4D0C834_.wvu.PrintTitles" localSheetId="33" hidden="1">#REF!</definedName>
    <definedName name="Z_01844156_6462_4A28_9785_1A86F4D0C834_.wvu.PrintTitles" localSheetId="69" hidden="1">#REF!</definedName>
    <definedName name="Z_01844156_6462_4A28_9785_1A86F4D0C834_.wvu.PrintTitles" localSheetId="5" hidden="1">#REF!</definedName>
    <definedName name="Z_01844156_6462_4A28_9785_1A86F4D0C834_.wvu.PrintTitles" localSheetId="80" hidden="1">#REF!</definedName>
    <definedName name="Z_01844156_6462_4A28_9785_1A86F4D0C834_.wvu.PrintTitles" localSheetId="4" hidden="1">#REF!</definedName>
    <definedName name="Z_01844156_6462_4A28_9785_1A86F4D0C834_.wvu.PrintTitles" localSheetId="14" hidden="1">#REF!</definedName>
    <definedName name="Z_01844156_6462_4A28_9785_1A86F4D0C834_.wvu.PrintTitles" localSheetId="21" hidden="1">#REF!</definedName>
    <definedName name="Z_01844156_6462_4A28_9785_1A86F4D0C834_.wvu.PrintTitles" localSheetId="10" hidden="1">#REF!</definedName>
    <definedName name="Z_01844156_6462_4A28_9785_1A86F4D0C834_.wvu.PrintTitles" localSheetId="17" hidden="1">#REF!</definedName>
    <definedName name="Z_01844156_6462_4A28_9785_1A86F4D0C834_.wvu.PrintTitles" localSheetId="16" hidden="1">#REF!</definedName>
    <definedName name="Z_01844156_6462_4A28_9785_1A86F4D0C834_.wvu.PrintTitles" localSheetId="15" hidden="1">#REF!</definedName>
    <definedName name="Z_01844156_6462_4A28_9785_1A86F4D0C834_.wvu.PrintTitles" localSheetId="22" hidden="1">#REF!</definedName>
    <definedName name="Z_01844156_6462_4A28_9785_1A86F4D0C834_.wvu.PrintTitles" localSheetId="11" hidden="1">#REF!</definedName>
    <definedName name="Z_01844156_6462_4A28_9785_1A86F4D0C834_.wvu.PrintTitles" localSheetId="18" hidden="1">#REF!</definedName>
    <definedName name="Z_01844156_6462_4A28_9785_1A86F4D0C834_.wvu.PrintTitles" localSheetId="12" hidden="1">#REF!</definedName>
    <definedName name="Z_01844156_6462_4A28_9785_1A86F4D0C834_.wvu.PrintTitles" localSheetId="19" hidden="1">#REF!</definedName>
    <definedName name="Z_01844156_6462_4A28_9785_1A86F4D0C834_.wvu.PrintTitles" localSheetId="13" hidden="1">#REF!</definedName>
    <definedName name="Z_01844156_6462_4A28_9785_1A86F4D0C834_.wvu.PrintTitles" localSheetId="20" hidden="1">#REF!</definedName>
    <definedName name="Z_01844156_6462_4A28_9785_1A86F4D0C834_.wvu.PrintTitles" localSheetId="9" hidden="1">#REF!</definedName>
    <definedName name="Z_01844156_6462_4A28_9785_1A86F4D0C834_.wvu.PrintTitles" localSheetId="2" hidden="1">#REF!</definedName>
    <definedName name="Z_01844156_6462_4A28_9785_1A86F4D0C834_.wvu.PrintTitles" localSheetId="3" hidden="1">#REF!</definedName>
    <definedName name="Z_01844156_6462_4A28_9785_1A86F4D0C834_.wvu.PrintTitles" localSheetId="1" hidden="1">#REF!</definedName>
    <definedName name="Z_01844156_6462_4A28_9785_1A86F4D0C834_.wvu.PrintTitles" localSheetId="25" hidden="1">#REF!</definedName>
    <definedName name="Z_01844156_6462_4A28_9785_1A86F4D0C834_.wvu.PrintTitles" localSheetId="26" hidden="1">#REF!</definedName>
    <definedName name="Z_01844156_6462_4A28_9785_1A86F4D0C834_.wvu.PrintTitles" localSheetId="27" hidden="1">#REF!</definedName>
    <definedName name="Z_01844156_6462_4A28_9785_1A86F4D0C834_.wvu.PrintTitles" localSheetId="49" hidden="1">#REF!</definedName>
    <definedName name="Z_01844156_6462_4A28_9785_1A86F4D0C834_.wvu.PrintTitles" hidden="1">#REF!</definedName>
  </definedNames>
  <calcPr calcId="152511" iterate="1"/>
</workbook>
</file>

<file path=xl/calcChain.xml><?xml version="1.0" encoding="utf-8"?>
<calcChain xmlns="http://schemas.openxmlformats.org/spreadsheetml/2006/main">
  <c r="AN2681" i="13034" l="1"/>
  <c r="AL2681" i="13034"/>
  <c r="AJ2681" i="13034"/>
  <c r="AH2681" i="13034"/>
  <c r="AF2681" i="13034"/>
  <c r="AE2681" i="13034"/>
  <c r="AC2681" i="13034"/>
  <c r="AA2681" i="13034"/>
  <c r="Z2681" i="13034"/>
  <c r="AN2680" i="13034"/>
  <c r="AL2680" i="13034"/>
  <c r="AJ2680" i="13034"/>
  <c r="AH2680" i="13034"/>
  <c r="AF2680" i="13034"/>
  <c r="AE2680" i="13034"/>
  <c r="AC2680" i="13034"/>
  <c r="AA2680" i="13034"/>
  <c r="Z2680" i="13034"/>
  <c r="AN2679" i="13034"/>
  <c r="AL2679" i="13034"/>
  <c r="AJ2679" i="13034"/>
  <c r="AH2679" i="13034"/>
  <c r="AF2679" i="13034"/>
  <c r="AE2679" i="13034"/>
  <c r="AC2679" i="13034"/>
  <c r="AA2679" i="13034"/>
  <c r="Z2679" i="13034"/>
  <c r="AV2678" i="13034"/>
  <c r="AT2678" i="13034"/>
  <c r="AR2678" i="13034"/>
  <c r="AP2678" i="13034"/>
  <c r="AN2678" i="13034"/>
  <c r="AL2678" i="13034"/>
  <c r="AJ2678" i="13034"/>
  <c r="AH2678" i="13034"/>
  <c r="AF2678" i="13034"/>
  <c r="AE2678" i="13034"/>
  <c r="AC2678" i="13034"/>
  <c r="AA2678" i="13034"/>
  <c r="Z2678" i="13034"/>
  <c r="AN2677" i="13034"/>
  <c r="AL2677" i="13034"/>
  <c r="AJ2677" i="13034"/>
  <c r="AH2677" i="13034"/>
  <c r="AC2677" i="13034"/>
  <c r="AV2676" i="13034"/>
  <c r="AT2676" i="13034"/>
  <c r="AR2676" i="13034"/>
  <c r="AP2676" i="13034"/>
  <c r="AN2676" i="13034"/>
  <c r="AL2676" i="13034"/>
  <c r="AJ2676" i="13034"/>
  <c r="AH2676" i="13034"/>
  <c r="AF2676" i="13034"/>
  <c r="AE2676" i="13034"/>
  <c r="AC2676" i="13034"/>
  <c r="AA2676" i="13034"/>
  <c r="Z2676" i="13034"/>
  <c r="AT2675" i="13034"/>
  <c r="AN2675" i="13034"/>
  <c r="AL2675" i="13034"/>
  <c r="AJ2675" i="13034"/>
  <c r="AH2675" i="13034"/>
  <c r="AC2675" i="13034"/>
  <c r="AA2675" i="13034"/>
  <c r="Z2675" i="13034"/>
  <c r="AT2674" i="13034"/>
  <c r="AN2674" i="13034"/>
  <c r="AL2674" i="13034"/>
  <c r="AJ2674" i="13034"/>
  <c r="AH2674" i="13034"/>
  <c r="AC2674" i="13034"/>
  <c r="AA2674" i="13034"/>
  <c r="Z2674" i="13034"/>
  <c r="AT2673" i="13034"/>
  <c r="AN2673" i="13034"/>
  <c r="AL2673" i="13034"/>
  <c r="AJ2673" i="13034"/>
  <c r="AH2673" i="13034"/>
  <c r="AC2673" i="13034"/>
  <c r="AA2673" i="13034"/>
  <c r="Z2673" i="13034"/>
  <c r="AT2672" i="13034"/>
  <c r="AN2672" i="13034"/>
  <c r="AL2672" i="13034"/>
  <c r="AJ2672" i="13034"/>
  <c r="AH2672" i="13034"/>
  <c r="AC2672" i="13034"/>
  <c r="AA2672" i="13034"/>
  <c r="Z2672" i="13034"/>
  <c r="AT2671" i="13034"/>
  <c r="AN2671" i="13034"/>
  <c r="AL2671" i="13034"/>
  <c r="AJ2671" i="13034"/>
  <c r="AH2671" i="13034"/>
  <c r="AC2671" i="13034"/>
  <c r="AA2671" i="13034"/>
  <c r="Z2671" i="13034"/>
  <c r="AT2670" i="13034"/>
  <c r="AN2670" i="13034"/>
  <c r="AL2670" i="13034"/>
  <c r="AJ2670" i="13034"/>
  <c r="AH2670" i="13034"/>
  <c r="AC2670" i="13034"/>
  <c r="AA2670" i="13034"/>
  <c r="Z2670" i="13034"/>
  <c r="AV2669" i="13034"/>
  <c r="AT2669" i="13034"/>
  <c r="AR2669" i="13034"/>
  <c r="AP2669" i="13034"/>
  <c r="AN2669" i="13034"/>
  <c r="AL2669" i="13034"/>
  <c r="AJ2669" i="13034"/>
  <c r="AH2669" i="13034"/>
  <c r="AF2669" i="13034"/>
  <c r="AE2669" i="13034"/>
  <c r="AC2669" i="13034"/>
  <c r="AA2669" i="13034"/>
  <c r="Z2669" i="13034"/>
  <c r="AV2668" i="13034"/>
  <c r="AT2668" i="13034"/>
  <c r="AR2668" i="13034"/>
  <c r="AP2668" i="13034"/>
  <c r="AN2668" i="13034"/>
  <c r="AL2668" i="13034"/>
  <c r="AJ2668" i="13034"/>
  <c r="AH2668" i="13034"/>
  <c r="AF2668" i="13034"/>
  <c r="AE2668" i="13034"/>
  <c r="AC2668" i="13034"/>
  <c r="AA2668" i="13034"/>
  <c r="Z2668" i="13034"/>
  <c r="AN2667" i="13034"/>
  <c r="AL2667" i="13034"/>
  <c r="AJ2667" i="13034"/>
  <c r="AH2667" i="13034"/>
  <c r="AC2667" i="13034"/>
  <c r="AV2666" i="13034"/>
  <c r="AT2666" i="13034"/>
  <c r="AR2666" i="13034"/>
  <c r="AP2666" i="13034"/>
  <c r="AN2666" i="13034"/>
  <c r="AL2666" i="13034"/>
  <c r="AJ2666" i="13034"/>
  <c r="AH2666" i="13034"/>
  <c r="AF2666" i="13034"/>
  <c r="AC2666" i="13034"/>
  <c r="AA2666" i="13034"/>
  <c r="AV2665" i="13034"/>
  <c r="AT2665" i="13034"/>
  <c r="AR2665" i="13034"/>
  <c r="AP2665" i="13034"/>
  <c r="AN2665" i="13034"/>
  <c r="AL2665" i="13034"/>
  <c r="AJ2665" i="13034"/>
  <c r="AH2665" i="13034"/>
  <c r="AF2665" i="13034"/>
  <c r="AE2665" i="13034"/>
  <c r="AC2665" i="13034"/>
  <c r="AN2664" i="13034"/>
  <c r="AL2664" i="13034"/>
  <c r="AJ2664" i="13034"/>
  <c r="AH2664" i="13034"/>
  <c r="AC2664" i="13034"/>
  <c r="AN2663" i="13034"/>
  <c r="AC2663" i="13034"/>
  <c r="Z2663" i="13034"/>
  <c r="AN2662" i="13034"/>
  <c r="AC2662" i="13034"/>
  <c r="AV2661" i="13034"/>
  <c r="AT2661" i="13034"/>
  <c r="AR2661" i="13034"/>
  <c r="AP2661" i="13034"/>
  <c r="AN2661" i="13034"/>
  <c r="AL2661" i="13034"/>
  <c r="AJ2661" i="13034"/>
  <c r="AH2661" i="13034"/>
  <c r="AF2661" i="13034"/>
  <c r="AE2661" i="13034"/>
  <c r="AC2661" i="13034"/>
  <c r="AV2660" i="13034"/>
  <c r="AT2660" i="13034"/>
  <c r="AR2660" i="13034"/>
  <c r="AP2660" i="13034"/>
  <c r="AN2660" i="13034"/>
  <c r="AL2660" i="13034"/>
  <c r="AJ2660" i="13034"/>
  <c r="AH2660" i="13034"/>
  <c r="AF2660" i="13034"/>
  <c r="AE2660" i="13034"/>
  <c r="AC2660" i="13034"/>
  <c r="AA2660" i="13034"/>
  <c r="Z2660" i="13034"/>
  <c r="AV2659" i="13034"/>
  <c r="AT2659" i="13034"/>
  <c r="AR2659" i="13034"/>
  <c r="AP2659" i="13034"/>
  <c r="AN2659" i="13034"/>
  <c r="AL2659" i="13034"/>
  <c r="AJ2659" i="13034"/>
  <c r="AH2659" i="13034"/>
  <c r="AF2659" i="13034"/>
  <c r="AE2659" i="13034"/>
  <c r="AC2659" i="13034"/>
  <c r="AA2659" i="13034"/>
  <c r="Z2659" i="13034"/>
  <c r="AN2658" i="13034"/>
  <c r="AL2658" i="13034"/>
  <c r="AJ2658" i="13034"/>
  <c r="AH2658" i="13034"/>
  <c r="AC2658" i="13034"/>
  <c r="AV2657" i="13034"/>
  <c r="AT2657" i="13034"/>
  <c r="AR2657" i="13034"/>
  <c r="AP2657" i="13034"/>
  <c r="AN2657" i="13034"/>
  <c r="AL2657" i="13034"/>
  <c r="AJ2657" i="13034"/>
  <c r="AH2657" i="13034"/>
  <c r="AF2657" i="13034"/>
  <c r="AC2657" i="13034"/>
  <c r="AA2657" i="13034"/>
  <c r="AV2656" i="13034"/>
  <c r="AT2656" i="13034"/>
  <c r="AR2656" i="13034"/>
  <c r="AP2656" i="13034"/>
  <c r="AN2656" i="13034"/>
  <c r="AL2656" i="13034"/>
  <c r="AJ2656" i="13034"/>
  <c r="AH2656" i="13034"/>
  <c r="AF2656" i="13034"/>
  <c r="AE2656" i="13034"/>
  <c r="AC2656" i="13034"/>
  <c r="AN2655" i="13034"/>
  <c r="AL2655" i="13034"/>
  <c r="AJ2655" i="13034"/>
  <c r="AH2655" i="13034"/>
  <c r="AC2655" i="13034"/>
  <c r="AN2654" i="13034"/>
  <c r="AC2654" i="13034"/>
  <c r="AN2653" i="13034"/>
  <c r="AC2653" i="13034"/>
  <c r="Z2653" i="13034"/>
  <c r="AV2652" i="13034"/>
  <c r="AT2652" i="13034"/>
  <c r="AR2652" i="13034"/>
  <c r="AP2652" i="13034"/>
  <c r="AN2652" i="13034"/>
  <c r="AL2652" i="13034"/>
  <c r="AJ2652" i="13034"/>
  <c r="AH2652" i="13034"/>
  <c r="AF2652" i="13034"/>
  <c r="AE2652" i="13034"/>
  <c r="AC2652" i="13034"/>
  <c r="AV2651" i="13034"/>
  <c r="AT2651" i="13034"/>
  <c r="AR2651" i="13034"/>
  <c r="AP2651" i="13034"/>
  <c r="AN2651" i="13034"/>
  <c r="AL2651" i="13034"/>
  <c r="AJ2651" i="13034"/>
  <c r="AH2651" i="13034"/>
  <c r="AF2651" i="13034"/>
  <c r="AE2651" i="13034"/>
  <c r="AC2651" i="13034"/>
  <c r="AA2651" i="13034"/>
  <c r="Z2651" i="13034"/>
  <c r="AV2650" i="13034"/>
  <c r="AT2650" i="13034"/>
  <c r="AR2650" i="13034"/>
  <c r="AP2650" i="13034"/>
  <c r="AN2650" i="13034"/>
  <c r="AL2650" i="13034"/>
  <c r="AJ2650" i="13034"/>
  <c r="AH2650" i="13034"/>
  <c r="AF2650" i="13034"/>
  <c r="AE2650" i="13034"/>
  <c r="AC2650" i="13034"/>
  <c r="AA2650" i="13034"/>
  <c r="Z2650" i="13034"/>
  <c r="AN2649" i="13034"/>
  <c r="AL2649" i="13034"/>
  <c r="AJ2649" i="13034"/>
  <c r="AH2649" i="13034"/>
  <c r="AC2649" i="13034"/>
  <c r="AV2648" i="13034"/>
  <c r="AT2648" i="13034"/>
  <c r="AR2648" i="13034"/>
  <c r="AP2648" i="13034"/>
  <c r="AN2648" i="13034"/>
  <c r="AL2648" i="13034"/>
  <c r="AJ2648" i="13034"/>
  <c r="AH2648" i="13034"/>
  <c r="AC2648" i="13034"/>
  <c r="AV2647" i="13034"/>
  <c r="AT2647" i="13034"/>
  <c r="AR2647" i="13034"/>
  <c r="AP2647" i="13034"/>
  <c r="AN2647" i="13034"/>
  <c r="AL2647" i="13034"/>
  <c r="AJ2647" i="13034"/>
  <c r="AH2647" i="13034"/>
  <c r="AF2647" i="13034"/>
  <c r="AE2647" i="13034"/>
  <c r="AC2647" i="13034"/>
  <c r="AT2646" i="13034"/>
  <c r="AR2646" i="13034"/>
  <c r="AP2646" i="13034"/>
  <c r="AN2646" i="13034"/>
  <c r="AL2646" i="13034"/>
  <c r="AJ2646" i="13034"/>
  <c r="AH2646" i="13034"/>
  <c r="AC2646" i="13034"/>
  <c r="AN2645" i="13034"/>
  <c r="AC2645" i="13034"/>
  <c r="AN2644" i="13034"/>
  <c r="AC2644" i="13034"/>
  <c r="AV2643" i="13034"/>
  <c r="AT2643" i="13034"/>
  <c r="AR2643" i="13034"/>
  <c r="AP2643" i="13034"/>
  <c r="AN2643" i="13034"/>
  <c r="AL2643" i="13034"/>
  <c r="AJ2643" i="13034"/>
  <c r="AH2643" i="13034"/>
  <c r="AF2643" i="13034"/>
  <c r="AE2643" i="13034"/>
  <c r="AC2643" i="13034"/>
  <c r="AV2642" i="13034"/>
  <c r="AT2642" i="13034"/>
  <c r="AR2642" i="13034"/>
  <c r="AP2642" i="13034"/>
  <c r="AN2642" i="13034"/>
  <c r="AL2642" i="13034"/>
  <c r="AJ2642" i="13034"/>
  <c r="AH2642" i="13034"/>
  <c r="AF2642" i="13034"/>
  <c r="AE2642" i="13034"/>
  <c r="AC2642" i="13034"/>
  <c r="AA2642" i="13034"/>
  <c r="Z2642" i="13034"/>
  <c r="AV2641" i="13034"/>
  <c r="AT2641" i="13034"/>
  <c r="AR2641" i="13034"/>
  <c r="AP2641" i="13034"/>
  <c r="AN2641" i="13034"/>
  <c r="AL2641" i="13034"/>
  <c r="AJ2641" i="13034"/>
  <c r="AH2641" i="13034"/>
  <c r="AF2641" i="13034"/>
  <c r="AE2641" i="13034"/>
  <c r="AC2641" i="13034"/>
  <c r="AA2641" i="13034"/>
  <c r="Z2641" i="13034"/>
  <c r="AN2640" i="13034"/>
  <c r="AL2640" i="13034"/>
  <c r="AJ2640" i="13034"/>
  <c r="AH2640" i="13034"/>
  <c r="AC2640" i="13034"/>
  <c r="AL2639" i="13034"/>
  <c r="AV2638" i="13034"/>
  <c r="AT2638" i="13034"/>
  <c r="AR2638" i="13034"/>
  <c r="AP2638" i="13034"/>
  <c r="AN2638" i="13034"/>
  <c r="AL2638" i="13034"/>
  <c r="AJ2638" i="13034"/>
  <c r="AH2638" i="13034"/>
  <c r="AF2638" i="13034"/>
  <c r="AE2638" i="13034"/>
  <c r="AC2638" i="13034"/>
  <c r="AA2638" i="13034"/>
  <c r="Z2638" i="13034"/>
  <c r="AL2637" i="13034"/>
  <c r="AV2636" i="13034"/>
  <c r="AT2636" i="13034"/>
  <c r="AR2636" i="13034"/>
  <c r="AP2636" i="13034"/>
  <c r="AN2636" i="13034"/>
  <c r="AL2636" i="13034"/>
  <c r="AJ2636" i="13034"/>
  <c r="AH2636" i="13034"/>
  <c r="AF2636" i="13034"/>
  <c r="AE2636" i="13034"/>
  <c r="AC2636" i="13034"/>
  <c r="Z2636" i="13034"/>
  <c r="AV2635" i="13034"/>
  <c r="AT2635" i="13034"/>
  <c r="AR2635" i="13034"/>
  <c r="AP2635" i="13034"/>
  <c r="AN2635" i="13034"/>
  <c r="AL2635" i="13034"/>
  <c r="AJ2635" i="13034"/>
  <c r="AH2635" i="13034"/>
  <c r="AF2635" i="13034"/>
  <c r="AE2635" i="13034"/>
  <c r="AC2635" i="13034"/>
  <c r="AA2635" i="13034"/>
  <c r="Z2635" i="13034"/>
  <c r="AV2634" i="13034"/>
  <c r="AT2634" i="13034"/>
  <c r="AR2634" i="13034"/>
  <c r="AP2634" i="13034"/>
  <c r="AN2634" i="13034"/>
  <c r="AL2634" i="13034"/>
  <c r="AJ2634" i="13034"/>
  <c r="AH2634" i="13034"/>
  <c r="AF2634" i="13034"/>
  <c r="AE2634" i="13034"/>
  <c r="AC2634" i="13034"/>
  <c r="AA2634" i="13034"/>
  <c r="Z2634" i="13034"/>
  <c r="AN2633" i="13034"/>
  <c r="AL2633" i="13034"/>
  <c r="AJ2633" i="13034"/>
  <c r="AH2633" i="13034"/>
  <c r="AC2633" i="13034"/>
  <c r="AT2632" i="13034"/>
  <c r="AR2632" i="13034"/>
  <c r="AP2632" i="13034"/>
  <c r="AJ2632" i="13034"/>
  <c r="AH2632" i="13034"/>
  <c r="AF2632" i="13034"/>
  <c r="AE2632" i="13034"/>
  <c r="AC2632" i="13034"/>
  <c r="AA2632" i="13034"/>
  <c r="Z2632" i="13034"/>
  <c r="AT2631" i="13034"/>
  <c r="AR2631" i="13034"/>
  <c r="AP2631" i="13034"/>
  <c r="AJ2631" i="13034"/>
  <c r="AH2631" i="13034"/>
  <c r="AC2631" i="13034"/>
  <c r="AA2631" i="13034"/>
  <c r="Z2631" i="13034"/>
  <c r="AC2630" i="13034"/>
  <c r="AC2629" i="13034"/>
  <c r="AC2628" i="13034"/>
  <c r="AC2627" i="13034"/>
  <c r="AV2626" i="13034"/>
  <c r="AT2626" i="13034"/>
  <c r="AR2626" i="13034"/>
  <c r="AP2626" i="13034"/>
  <c r="AN2626" i="13034"/>
  <c r="AL2626" i="13034"/>
  <c r="AJ2626" i="13034"/>
  <c r="AH2626" i="13034"/>
  <c r="AF2626" i="13034"/>
  <c r="AE2626" i="13034"/>
  <c r="AC2626" i="13034"/>
  <c r="Z2626" i="13034"/>
  <c r="AV2625" i="13034"/>
  <c r="AT2625" i="13034"/>
  <c r="AR2625" i="13034"/>
  <c r="AP2625" i="13034"/>
  <c r="AN2625" i="13034"/>
  <c r="AL2625" i="13034"/>
  <c r="AJ2625" i="13034"/>
  <c r="AH2625" i="13034"/>
  <c r="AF2625" i="13034"/>
  <c r="AE2625" i="13034"/>
  <c r="AC2625" i="13034"/>
  <c r="AA2625" i="13034"/>
  <c r="Z2625" i="13034"/>
  <c r="AV2624" i="13034"/>
  <c r="AT2624" i="13034"/>
  <c r="AR2624" i="13034"/>
  <c r="AP2624" i="13034"/>
  <c r="AN2624" i="13034"/>
  <c r="AL2624" i="13034"/>
  <c r="AJ2624" i="13034"/>
  <c r="AH2624" i="13034"/>
  <c r="AF2624" i="13034"/>
  <c r="AE2624" i="13034"/>
  <c r="AC2624" i="13034"/>
  <c r="AA2624" i="13034"/>
  <c r="Z2624" i="13034"/>
  <c r="AN2623" i="13034"/>
  <c r="AL2623" i="13034"/>
  <c r="AJ2623" i="13034"/>
  <c r="AH2623" i="13034"/>
  <c r="AC2623" i="13034"/>
  <c r="AT2622" i="13034"/>
  <c r="AR2622" i="13034"/>
  <c r="AP2622" i="13034"/>
  <c r="AJ2622" i="13034"/>
  <c r="AH2622" i="13034"/>
  <c r="AF2622" i="13034"/>
  <c r="AE2622" i="13034"/>
  <c r="AC2622" i="13034"/>
  <c r="AA2622" i="13034"/>
  <c r="Z2622" i="13034"/>
  <c r="AT2621" i="13034"/>
  <c r="AR2621" i="13034"/>
  <c r="AP2621" i="13034"/>
  <c r="AJ2621" i="13034"/>
  <c r="AH2621" i="13034"/>
  <c r="AC2621" i="13034"/>
  <c r="AA2621" i="13034"/>
  <c r="Z2621" i="13034"/>
  <c r="AP2620" i="13034"/>
  <c r="AC2620" i="13034"/>
  <c r="AP2619" i="13034"/>
  <c r="AC2619" i="13034"/>
  <c r="AP2618" i="13034"/>
  <c r="AC2618" i="13034"/>
  <c r="AP2617" i="13034"/>
  <c r="AC2617" i="13034"/>
  <c r="AC2616" i="13034"/>
  <c r="AC2615" i="13034"/>
  <c r="AC2614" i="13034"/>
  <c r="AT2613" i="13034"/>
  <c r="AR2613" i="13034"/>
  <c r="AC2613" i="13034"/>
  <c r="Z2613" i="13034"/>
  <c r="AV2612" i="13034"/>
  <c r="AT2612" i="13034"/>
  <c r="AR2612" i="13034"/>
  <c r="AP2612" i="13034"/>
  <c r="AN2612" i="13034"/>
  <c r="AL2612" i="13034"/>
  <c r="AJ2612" i="13034"/>
  <c r="AH2612" i="13034"/>
  <c r="AF2612" i="13034"/>
  <c r="AE2612" i="13034"/>
  <c r="AC2612" i="13034"/>
  <c r="AA2612" i="13034"/>
  <c r="Z2612" i="13034"/>
  <c r="AV2611" i="13034"/>
  <c r="AT2611" i="13034"/>
  <c r="AR2611" i="13034"/>
  <c r="AP2611" i="13034"/>
  <c r="AN2611" i="13034"/>
  <c r="AL2611" i="13034"/>
  <c r="AJ2611" i="13034"/>
  <c r="AH2611" i="13034"/>
  <c r="AF2611" i="13034"/>
  <c r="AE2611" i="13034"/>
  <c r="AC2611" i="13034"/>
  <c r="AA2611" i="13034"/>
  <c r="Z2611" i="13034"/>
  <c r="AL2610" i="13034"/>
  <c r="AE2610" i="13034"/>
  <c r="AC2610" i="13034"/>
  <c r="Z2610" i="13034"/>
  <c r="AV2609" i="13034"/>
  <c r="AT2609" i="13034"/>
  <c r="AR2609" i="13034"/>
  <c r="AP2609" i="13034"/>
  <c r="AN2609" i="13034"/>
  <c r="AL2609" i="13034"/>
  <c r="AJ2609" i="13034"/>
  <c r="AH2609" i="13034"/>
  <c r="AF2609" i="13034"/>
  <c r="AE2609" i="13034"/>
  <c r="AC2609" i="13034"/>
  <c r="AA2609" i="13034"/>
  <c r="Z2609" i="13034"/>
  <c r="AV2608" i="13034"/>
  <c r="AT2608" i="13034"/>
  <c r="AR2608" i="13034"/>
  <c r="AP2608" i="13034"/>
  <c r="AN2608" i="13034"/>
  <c r="AL2608" i="13034"/>
  <c r="AJ2608" i="13034"/>
  <c r="AH2608" i="13034"/>
  <c r="AF2608" i="13034"/>
  <c r="AE2608" i="13034"/>
  <c r="AC2608" i="13034"/>
  <c r="AA2608" i="13034"/>
  <c r="Z2608" i="13034"/>
  <c r="AV2607" i="13034"/>
  <c r="AT2607" i="13034"/>
  <c r="AR2607" i="13034"/>
  <c r="AP2607" i="13034"/>
  <c r="AN2607" i="13034"/>
  <c r="AL2607" i="13034"/>
  <c r="AJ2607" i="13034"/>
  <c r="AH2607" i="13034"/>
  <c r="AF2607" i="13034"/>
  <c r="AE2607" i="13034"/>
  <c r="AC2607" i="13034"/>
  <c r="AA2607" i="13034"/>
  <c r="Z2607" i="13034"/>
  <c r="AN2606" i="13034"/>
  <c r="AL2606" i="13034"/>
  <c r="AJ2606" i="13034"/>
  <c r="AH2606" i="13034"/>
  <c r="AC2606" i="13034"/>
  <c r="AV2605" i="13034"/>
  <c r="AT2605" i="13034"/>
  <c r="AR2605" i="13034"/>
  <c r="AP2605" i="13034"/>
  <c r="AN2605" i="13034"/>
  <c r="AL2605" i="13034"/>
  <c r="AJ2605" i="13034"/>
  <c r="AH2605" i="13034"/>
  <c r="AF2605" i="13034"/>
  <c r="AC2605" i="13034"/>
  <c r="AA2605" i="13034"/>
  <c r="AN2604" i="13034"/>
  <c r="AL2604" i="13034"/>
  <c r="AJ2604" i="13034"/>
  <c r="AH2604" i="13034"/>
  <c r="AC2604" i="13034"/>
  <c r="AA2604" i="13034"/>
  <c r="Z2604" i="13034"/>
  <c r="AT2603" i="13034"/>
  <c r="AR2603" i="13034"/>
  <c r="AP2603" i="13034"/>
  <c r="AJ2603" i="13034"/>
  <c r="AH2603" i="13034"/>
  <c r="AF2603" i="13034"/>
  <c r="AE2603" i="13034"/>
  <c r="AC2603" i="13034"/>
  <c r="AA2603" i="13034"/>
  <c r="Z2603" i="13034"/>
  <c r="AT2602" i="13034"/>
  <c r="AR2602" i="13034"/>
  <c r="AP2602" i="13034"/>
  <c r="AJ2602" i="13034"/>
  <c r="AH2602" i="13034"/>
  <c r="AC2602" i="13034"/>
  <c r="AA2602" i="13034"/>
  <c r="Z2602" i="13034"/>
  <c r="AV2601" i="13034"/>
  <c r="AT2601" i="13034"/>
  <c r="AR2601" i="13034"/>
  <c r="AP2601" i="13034"/>
  <c r="AN2601" i="13034"/>
  <c r="AL2601" i="13034"/>
  <c r="AJ2601" i="13034"/>
  <c r="AH2601" i="13034"/>
  <c r="AC2601" i="13034"/>
  <c r="AV2600" i="13034"/>
  <c r="AT2600" i="13034"/>
  <c r="AR2600" i="13034"/>
  <c r="AP2600" i="13034"/>
  <c r="AN2600" i="13034"/>
  <c r="AL2600" i="13034"/>
  <c r="AJ2600" i="13034"/>
  <c r="AH2600" i="13034"/>
  <c r="AC2600" i="13034"/>
  <c r="AV2599" i="13034"/>
  <c r="AT2599" i="13034"/>
  <c r="AR2599" i="13034"/>
  <c r="AP2599" i="13034"/>
  <c r="AN2599" i="13034"/>
  <c r="AL2599" i="13034"/>
  <c r="AJ2599" i="13034"/>
  <c r="AH2599" i="13034"/>
  <c r="AC2599" i="13034"/>
  <c r="AV2598" i="13034"/>
  <c r="AT2598" i="13034"/>
  <c r="AR2598" i="13034"/>
  <c r="AP2598" i="13034"/>
  <c r="AN2598" i="13034"/>
  <c r="AL2598" i="13034"/>
  <c r="AJ2598" i="13034"/>
  <c r="AH2598" i="13034"/>
  <c r="AC2598" i="13034"/>
  <c r="AV2597" i="13034"/>
  <c r="AT2597" i="13034"/>
  <c r="AR2597" i="13034"/>
  <c r="AP2597" i="13034"/>
  <c r="AN2597" i="13034"/>
  <c r="AL2597" i="13034"/>
  <c r="AJ2597" i="13034"/>
  <c r="AH2597" i="13034"/>
  <c r="AC2597" i="13034"/>
  <c r="AF2596" i="13034"/>
  <c r="AE2596" i="13034"/>
  <c r="AC2596" i="13034"/>
  <c r="AF2595" i="13034"/>
  <c r="AE2595" i="13034"/>
  <c r="AC2595" i="13034"/>
  <c r="AF2594" i="13034"/>
  <c r="AE2594" i="13034"/>
  <c r="AC2594" i="13034"/>
  <c r="AF2593" i="13034"/>
  <c r="AE2593" i="13034"/>
  <c r="AC2593" i="13034"/>
  <c r="AF2592" i="13034"/>
  <c r="AE2592" i="13034"/>
  <c r="AC2592" i="13034"/>
  <c r="AF2591" i="13034"/>
  <c r="AE2591" i="13034"/>
  <c r="AC2591" i="13034"/>
  <c r="AC2590" i="13034"/>
  <c r="AV2589" i="13034"/>
  <c r="AT2589" i="13034"/>
  <c r="AR2589" i="13034"/>
  <c r="AP2589" i="13034"/>
  <c r="AN2589" i="13034"/>
  <c r="AL2589" i="13034"/>
  <c r="AJ2589" i="13034"/>
  <c r="AH2589" i="13034"/>
  <c r="AF2589" i="13034"/>
  <c r="AE2589" i="13034"/>
  <c r="AC2589" i="13034"/>
  <c r="AA2589" i="13034"/>
  <c r="Z2589" i="13034"/>
  <c r="AV2588" i="13034"/>
  <c r="AT2588" i="13034"/>
  <c r="AR2588" i="13034"/>
  <c r="AP2588" i="13034"/>
  <c r="AN2588" i="13034"/>
  <c r="AL2588" i="13034"/>
  <c r="AJ2588" i="13034"/>
  <c r="AH2588" i="13034"/>
  <c r="AF2588" i="13034"/>
  <c r="AE2588" i="13034"/>
  <c r="AC2588" i="13034"/>
  <c r="AA2588" i="13034"/>
  <c r="Z2588" i="13034"/>
  <c r="AN2587" i="13034"/>
  <c r="AL2587" i="13034"/>
  <c r="AJ2587" i="13034"/>
  <c r="AH2587" i="13034"/>
  <c r="AC2587" i="13034"/>
  <c r="Z2587" i="13034"/>
  <c r="AL2586" i="13034"/>
  <c r="AC2586" i="13034"/>
  <c r="AV2585" i="13034"/>
  <c r="AT2585" i="13034"/>
  <c r="AR2585" i="13034"/>
  <c r="AP2585" i="13034"/>
  <c r="AN2585" i="13034"/>
  <c r="AL2585" i="13034"/>
  <c r="AJ2585" i="13034"/>
  <c r="AH2585" i="13034"/>
  <c r="AC2585" i="13034"/>
  <c r="AV2584" i="13034"/>
  <c r="AT2584" i="13034"/>
  <c r="AR2584" i="13034"/>
  <c r="AP2584" i="13034"/>
  <c r="AN2584" i="13034"/>
  <c r="AL2584" i="13034"/>
  <c r="AJ2584" i="13034"/>
  <c r="AH2584" i="13034"/>
  <c r="AC2584" i="13034"/>
  <c r="AV2583" i="13034"/>
  <c r="AT2583" i="13034"/>
  <c r="AR2583" i="13034"/>
  <c r="AP2583" i="13034"/>
  <c r="AN2583" i="13034"/>
  <c r="AL2583" i="13034"/>
  <c r="AJ2583" i="13034"/>
  <c r="AH2583" i="13034"/>
  <c r="AF2583" i="13034"/>
  <c r="AE2583" i="13034"/>
  <c r="AC2583" i="13034"/>
  <c r="AA2583" i="13034"/>
  <c r="Z2583" i="13034"/>
  <c r="AV2582" i="13034"/>
  <c r="AT2582" i="13034"/>
  <c r="AR2582" i="13034"/>
  <c r="AP2582" i="13034"/>
  <c r="AN2582" i="13034"/>
  <c r="AL2582" i="13034"/>
  <c r="AJ2582" i="13034"/>
  <c r="AH2582" i="13034"/>
  <c r="AE2582" i="13034"/>
  <c r="AC2582" i="13034"/>
  <c r="AA2582" i="13034"/>
  <c r="Z2582" i="13034"/>
  <c r="AV2581" i="13034"/>
  <c r="AT2581" i="13034"/>
  <c r="AR2581" i="13034"/>
  <c r="AP2581" i="13034"/>
  <c r="AN2581" i="13034"/>
  <c r="AL2581" i="13034"/>
  <c r="AJ2581" i="13034"/>
  <c r="AH2581" i="13034"/>
  <c r="AE2581" i="13034"/>
  <c r="AC2581" i="13034"/>
  <c r="AA2581" i="13034"/>
  <c r="Z2581" i="13034"/>
  <c r="AV2580" i="13034"/>
  <c r="AT2580" i="13034"/>
  <c r="AR2580" i="13034"/>
  <c r="AP2580" i="13034"/>
  <c r="AN2580" i="13034"/>
  <c r="AL2580" i="13034"/>
  <c r="AJ2580" i="13034"/>
  <c r="AH2580" i="13034"/>
  <c r="AF2580" i="13034"/>
  <c r="AE2580" i="13034"/>
  <c r="AC2580" i="13034"/>
  <c r="AA2580" i="13034"/>
  <c r="Z2580" i="13034"/>
  <c r="AV2579" i="13034"/>
  <c r="AT2579" i="13034"/>
  <c r="AR2579" i="13034"/>
  <c r="AP2579" i="13034"/>
  <c r="AN2579" i="13034"/>
  <c r="AL2579" i="13034"/>
  <c r="AJ2579" i="13034"/>
  <c r="AH2579" i="13034"/>
  <c r="AE2579" i="13034"/>
  <c r="AC2579" i="13034"/>
  <c r="AA2579" i="13034"/>
  <c r="Z2579" i="13034"/>
  <c r="AV2578" i="13034"/>
  <c r="AT2578" i="13034"/>
  <c r="AR2578" i="13034"/>
  <c r="AP2578" i="13034"/>
  <c r="AN2578" i="13034"/>
  <c r="AL2578" i="13034"/>
  <c r="AJ2578" i="13034"/>
  <c r="AH2578" i="13034"/>
  <c r="AE2578" i="13034"/>
  <c r="AC2578" i="13034"/>
  <c r="AA2578" i="13034"/>
  <c r="Z2578" i="13034"/>
  <c r="AV2577" i="13034"/>
  <c r="AT2577" i="13034"/>
  <c r="AR2577" i="13034"/>
  <c r="AP2577" i="13034"/>
  <c r="AN2577" i="13034"/>
  <c r="AL2577" i="13034"/>
  <c r="AJ2577" i="13034"/>
  <c r="AH2577" i="13034"/>
  <c r="AF2577" i="13034"/>
  <c r="AE2577" i="13034"/>
  <c r="AC2577" i="13034"/>
  <c r="AA2577" i="13034"/>
  <c r="Z2577" i="13034"/>
  <c r="AV2576" i="13034"/>
  <c r="AT2576" i="13034"/>
  <c r="AR2576" i="13034"/>
  <c r="AP2576" i="13034"/>
  <c r="AN2576" i="13034"/>
  <c r="AL2576" i="13034"/>
  <c r="AJ2576" i="13034"/>
  <c r="AH2576" i="13034"/>
  <c r="AE2576" i="13034"/>
  <c r="AC2576" i="13034"/>
  <c r="AA2576" i="13034"/>
  <c r="Z2576" i="13034"/>
  <c r="AV2575" i="13034"/>
  <c r="AT2575" i="13034"/>
  <c r="AR2575" i="13034"/>
  <c r="AP2575" i="13034"/>
  <c r="AN2575" i="13034"/>
  <c r="AL2575" i="13034"/>
  <c r="AJ2575" i="13034"/>
  <c r="AH2575" i="13034"/>
  <c r="AE2575" i="13034"/>
  <c r="AC2575" i="13034"/>
  <c r="AA2575" i="13034"/>
  <c r="Z2575" i="13034"/>
  <c r="AV2574" i="13034"/>
  <c r="AT2574" i="13034"/>
  <c r="AR2574" i="13034"/>
  <c r="AP2574" i="13034"/>
  <c r="AN2574" i="13034"/>
  <c r="AL2574" i="13034"/>
  <c r="AJ2574" i="13034"/>
  <c r="AH2574" i="13034"/>
  <c r="AF2574" i="13034"/>
  <c r="AE2574" i="13034"/>
  <c r="AC2574" i="13034"/>
  <c r="AA2574" i="13034"/>
  <c r="Z2574" i="13034"/>
  <c r="AV2573" i="13034"/>
  <c r="AT2573" i="13034"/>
  <c r="AR2573" i="13034"/>
  <c r="AP2573" i="13034"/>
  <c r="AN2573" i="13034"/>
  <c r="AL2573" i="13034"/>
  <c r="AJ2573" i="13034"/>
  <c r="AH2573" i="13034"/>
  <c r="AE2573" i="13034"/>
  <c r="AC2573" i="13034"/>
  <c r="AA2573" i="13034"/>
  <c r="Z2573" i="13034"/>
  <c r="AV2572" i="13034"/>
  <c r="AT2572" i="13034"/>
  <c r="AR2572" i="13034"/>
  <c r="AP2572" i="13034"/>
  <c r="AN2572" i="13034"/>
  <c r="AL2572" i="13034"/>
  <c r="AJ2572" i="13034"/>
  <c r="AH2572" i="13034"/>
  <c r="AE2572" i="13034"/>
  <c r="AC2572" i="13034"/>
  <c r="AA2572" i="13034"/>
  <c r="Z2572" i="13034"/>
  <c r="AV2571" i="13034"/>
  <c r="AT2571" i="13034"/>
  <c r="AR2571" i="13034"/>
  <c r="AP2571" i="13034"/>
  <c r="AN2571" i="13034"/>
  <c r="AL2571" i="13034"/>
  <c r="AJ2571" i="13034"/>
  <c r="AH2571" i="13034"/>
  <c r="AF2571" i="13034"/>
  <c r="AE2571" i="13034"/>
  <c r="AC2571" i="13034"/>
  <c r="AA2571" i="13034"/>
  <c r="Z2571" i="13034"/>
  <c r="AF2570" i="13034"/>
  <c r="AE2570" i="13034"/>
  <c r="AC2570" i="13034"/>
  <c r="AF2569" i="13034"/>
  <c r="AE2569" i="13034"/>
  <c r="AC2569" i="13034"/>
  <c r="AV2568" i="13034"/>
  <c r="AT2568" i="13034"/>
  <c r="AR2568" i="13034"/>
  <c r="AP2568" i="13034"/>
  <c r="AN2568" i="13034"/>
  <c r="AL2568" i="13034"/>
  <c r="AJ2568" i="13034"/>
  <c r="AH2568" i="13034"/>
  <c r="AF2568" i="13034"/>
  <c r="AE2568" i="13034"/>
  <c r="AC2568" i="13034"/>
  <c r="AA2568" i="13034"/>
  <c r="Z2568" i="13034"/>
  <c r="AF2567" i="13034"/>
  <c r="AE2567" i="13034"/>
  <c r="AC2567" i="13034"/>
  <c r="AA2567" i="13034"/>
  <c r="Z2567" i="13034"/>
  <c r="AF2566" i="13034"/>
  <c r="AE2566" i="13034"/>
  <c r="AC2566" i="13034"/>
  <c r="AA2566" i="13034"/>
  <c r="Z2566" i="13034"/>
  <c r="AV2565" i="13034"/>
  <c r="AT2565" i="13034"/>
  <c r="AR2565" i="13034"/>
  <c r="AP2565" i="13034"/>
  <c r="AN2565" i="13034"/>
  <c r="AL2565" i="13034"/>
  <c r="AJ2565" i="13034"/>
  <c r="AH2565" i="13034"/>
  <c r="AF2565" i="13034"/>
  <c r="AE2565" i="13034"/>
  <c r="AC2565" i="13034"/>
  <c r="AA2565" i="13034"/>
  <c r="Z2565" i="13034"/>
  <c r="AF2564" i="13034"/>
  <c r="AE2564" i="13034"/>
  <c r="AC2564" i="13034"/>
  <c r="AA2564" i="13034"/>
  <c r="Z2564" i="13034"/>
  <c r="AF2563" i="13034"/>
  <c r="AE2563" i="13034"/>
  <c r="AC2563" i="13034"/>
  <c r="AA2563" i="13034"/>
  <c r="Z2563" i="13034"/>
  <c r="AV2562" i="13034"/>
  <c r="AT2562" i="13034"/>
  <c r="AR2562" i="13034"/>
  <c r="AP2562" i="13034"/>
  <c r="AN2562" i="13034"/>
  <c r="AL2562" i="13034"/>
  <c r="AJ2562" i="13034"/>
  <c r="AH2562" i="13034"/>
  <c r="AF2562" i="13034"/>
  <c r="AE2562" i="13034"/>
  <c r="AC2562" i="13034"/>
  <c r="AA2562" i="13034"/>
  <c r="Z2562" i="13034"/>
  <c r="AF2561" i="13034"/>
  <c r="AE2561" i="13034"/>
  <c r="AC2561" i="13034"/>
  <c r="AA2561" i="13034"/>
  <c r="Z2561" i="13034"/>
  <c r="AF2560" i="13034"/>
  <c r="AE2560" i="13034"/>
  <c r="AC2560" i="13034"/>
  <c r="AA2560" i="13034"/>
  <c r="Z2560" i="13034"/>
  <c r="AV2559" i="13034"/>
  <c r="AT2559" i="13034"/>
  <c r="AR2559" i="13034"/>
  <c r="AP2559" i="13034"/>
  <c r="AN2559" i="13034"/>
  <c r="AL2559" i="13034"/>
  <c r="AJ2559" i="13034"/>
  <c r="AH2559" i="13034"/>
  <c r="AF2559" i="13034"/>
  <c r="AE2559" i="13034"/>
  <c r="AC2559" i="13034"/>
  <c r="AA2559" i="13034"/>
  <c r="Z2559" i="13034"/>
  <c r="AF2558" i="13034"/>
  <c r="AE2558" i="13034"/>
  <c r="AC2558" i="13034"/>
  <c r="AA2558" i="13034"/>
  <c r="Z2558" i="13034"/>
  <c r="AF2557" i="13034"/>
  <c r="AE2557" i="13034"/>
  <c r="AC2557" i="13034"/>
  <c r="AA2557" i="13034"/>
  <c r="Z2557" i="13034"/>
  <c r="AV2556" i="13034"/>
  <c r="AT2556" i="13034"/>
  <c r="AR2556" i="13034"/>
  <c r="AP2556" i="13034"/>
  <c r="AN2556" i="13034"/>
  <c r="AL2556" i="13034"/>
  <c r="AJ2556" i="13034"/>
  <c r="AH2556" i="13034"/>
  <c r="AF2556" i="13034"/>
  <c r="AE2556" i="13034"/>
  <c r="AC2556" i="13034"/>
  <c r="AA2556" i="13034"/>
  <c r="Z2556" i="13034"/>
  <c r="AV2555" i="13034"/>
  <c r="AT2555" i="13034"/>
  <c r="AR2555" i="13034"/>
  <c r="AP2555" i="13034"/>
  <c r="AN2555" i="13034"/>
  <c r="AL2555" i="13034"/>
  <c r="AJ2555" i="13034"/>
  <c r="AH2555" i="13034"/>
  <c r="AF2555" i="13034"/>
  <c r="AE2555" i="13034"/>
  <c r="AC2555" i="13034"/>
  <c r="AA2555" i="13034"/>
  <c r="Z2555" i="13034"/>
  <c r="AC2554" i="13034"/>
  <c r="AE2553" i="13034"/>
  <c r="AC2553" i="13034"/>
  <c r="AA2553" i="13034"/>
  <c r="Z2553" i="13034"/>
  <c r="AE2552" i="13034"/>
  <c r="AC2552" i="13034"/>
  <c r="AA2552" i="13034"/>
  <c r="Z2552" i="13034"/>
  <c r="AE2551" i="13034"/>
  <c r="AC2551" i="13034"/>
  <c r="AA2551" i="13034"/>
  <c r="Z2551" i="13034"/>
  <c r="AE2550" i="13034"/>
  <c r="AC2550" i="13034"/>
  <c r="AA2550" i="13034"/>
  <c r="Z2550" i="13034"/>
  <c r="AV2549" i="13034"/>
  <c r="AT2549" i="13034"/>
  <c r="AR2549" i="13034"/>
  <c r="AP2549" i="13034"/>
  <c r="AN2549" i="13034"/>
  <c r="AL2549" i="13034"/>
  <c r="AJ2549" i="13034"/>
  <c r="AH2549" i="13034"/>
  <c r="AF2549" i="13034"/>
  <c r="AE2549" i="13034"/>
  <c r="AC2549" i="13034"/>
  <c r="AA2549" i="13034"/>
  <c r="Z2549" i="13034"/>
  <c r="AC2548" i="13034"/>
  <c r="AC2547" i="13034"/>
  <c r="AV2546" i="13034"/>
  <c r="AT2546" i="13034"/>
  <c r="AR2546" i="13034"/>
  <c r="AP2546" i="13034"/>
  <c r="AN2546" i="13034"/>
  <c r="AL2546" i="13034"/>
  <c r="AJ2546" i="13034"/>
  <c r="AH2546" i="13034"/>
  <c r="AF2546" i="13034"/>
  <c r="AE2546" i="13034"/>
  <c r="AC2546" i="13034"/>
  <c r="AA2546" i="13034"/>
  <c r="Z2546" i="13034"/>
  <c r="AC2545" i="13034"/>
  <c r="AE2544" i="13034"/>
  <c r="AC2544" i="13034"/>
  <c r="AA2544" i="13034"/>
  <c r="Z2544" i="13034"/>
  <c r="AE2543" i="13034"/>
  <c r="AC2543" i="13034"/>
  <c r="AA2543" i="13034"/>
  <c r="Z2543" i="13034"/>
  <c r="AV2542" i="13034"/>
  <c r="AT2542" i="13034"/>
  <c r="AR2542" i="13034"/>
  <c r="AP2542" i="13034"/>
  <c r="AN2542" i="13034"/>
  <c r="AL2542" i="13034"/>
  <c r="AJ2542" i="13034"/>
  <c r="AH2542" i="13034"/>
  <c r="AF2542" i="13034"/>
  <c r="AE2542" i="13034"/>
  <c r="AC2542" i="13034"/>
  <c r="AA2542" i="13034"/>
  <c r="Z2542" i="13034"/>
  <c r="AV2541" i="13034"/>
  <c r="AT2541" i="13034"/>
  <c r="AR2541" i="13034"/>
  <c r="AP2541" i="13034"/>
  <c r="AN2541" i="13034"/>
  <c r="AL2541" i="13034"/>
  <c r="AJ2541" i="13034"/>
  <c r="AH2541" i="13034"/>
  <c r="AF2541" i="13034"/>
  <c r="AE2541" i="13034"/>
  <c r="AC2541" i="13034"/>
  <c r="AA2541" i="13034"/>
  <c r="Z2541" i="13034"/>
  <c r="AV2540" i="13034"/>
  <c r="AT2540" i="13034"/>
  <c r="AR2540" i="13034"/>
  <c r="AP2540" i="13034"/>
  <c r="AN2540" i="13034"/>
  <c r="AL2540" i="13034"/>
  <c r="AJ2540" i="13034"/>
  <c r="AH2540" i="13034"/>
  <c r="AF2540" i="13034"/>
  <c r="AE2540" i="13034"/>
  <c r="AC2540" i="13034"/>
  <c r="AA2540" i="13034"/>
  <c r="Z2540" i="13034"/>
  <c r="AN2539" i="13034"/>
  <c r="AL2539" i="13034"/>
  <c r="AJ2539" i="13034"/>
  <c r="AH2539" i="13034"/>
  <c r="AC2539" i="13034"/>
  <c r="AV2538" i="13034"/>
  <c r="AT2538" i="13034"/>
  <c r="AR2538" i="13034"/>
  <c r="AP2538" i="13034"/>
  <c r="AN2538" i="13034"/>
  <c r="AL2538" i="13034"/>
  <c r="AJ2538" i="13034"/>
  <c r="AH2538" i="13034"/>
  <c r="AF2538" i="13034"/>
  <c r="AC2538" i="13034"/>
  <c r="AA2538" i="13034"/>
  <c r="AN2537" i="13034"/>
  <c r="AL2537" i="13034"/>
  <c r="AJ2537" i="13034"/>
  <c r="AH2537" i="13034"/>
  <c r="AC2537" i="13034"/>
  <c r="AA2537" i="13034"/>
  <c r="Z2537" i="13034"/>
  <c r="AT2536" i="13034"/>
  <c r="AR2536" i="13034"/>
  <c r="AP2536" i="13034"/>
  <c r="AJ2536" i="13034"/>
  <c r="AH2536" i="13034"/>
  <c r="AF2536" i="13034"/>
  <c r="AE2536" i="13034"/>
  <c r="AC2536" i="13034"/>
  <c r="AA2536" i="13034"/>
  <c r="Z2536" i="13034"/>
  <c r="AT2535" i="13034"/>
  <c r="AR2535" i="13034"/>
  <c r="AP2535" i="13034"/>
  <c r="AJ2535" i="13034"/>
  <c r="AH2535" i="13034"/>
  <c r="AC2535" i="13034"/>
  <c r="AA2535" i="13034"/>
  <c r="Z2535" i="13034"/>
  <c r="AV2534" i="13034"/>
  <c r="AT2534" i="13034"/>
  <c r="AR2534" i="13034"/>
  <c r="AP2534" i="13034"/>
  <c r="AN2534" i="13034"/>
  <c r="AL2534" i="13034"/>
  <c r="AJ2534" i="13034"/>
  <c r="AH2534" i="13034"/>
  <c r="AC2534" i="13034"/>
  <c r="AV2533" i="13034"/>
  <c r="AT2533" i="13034"/>
  <c r="AR2533" i="13034"/>
  <c r="AP2533" i="13034"/>
  <c r="AN2533" i="13034"/>
  <c r="AL2533" i="13034"/>
  <c r="AJ2533" i="13034"/>
  <c r="AH2533" i="13034"/>
  <c r="AC2533" i="13034"/>
  <c r="AV2532" i="13034"/>
  <c r="AT2532" i="13034"/>
  <c r="AR2532" i="13034"/>
  <c r="AP2532" i="13034"/>
  <c r="AN2532" i="13034"/>
  <c r="AL2532" i="13034"/>
  <c r="AJ2532" i="13034"/>
  <c r="AH2532" i="13034"/>
  <c r="AC2532" i="13034"/>
  <c r="AV2531" i="13034"/>
  <c r="AT2531" i="13034"/>
  <c r="AR2531" i="13034"/>
  <c r="AP2531" i="13034"/>
  <c r="AN2531" i="13034"/>
  <c r="AL2531" i="13034"/>
  <c r="AJ2531" i="13034"/>
  <c r="AH2531" i="13034"/>
  <c r="AC2531" i="13034"/>
  <c r="AV2530" i="13034"/>
  <c r="AT2530" i="13034"/>
  <c r="AR2530" i="13034"/>
  <c r="AP2530" i="13034"/>
  <c r="AN2530" i="13034"/>
  <c r="AL2530" i="13034"/>
  <c r="AJ2530" i="13034"/>
  <c r="AH2530" i="13034"/>
  <c r="AC2530" i="13034"/>
  <c r="AF2529" i="13034"/>
  <c r="AE2529" i="13034"/>
  <c r="AC2529" i="13034"/>
  <c r="AF2528" i="13034"/>
  <c r="AE2528" i="13034"/>
  <c r="AC2528" i="13034"/>
  <c r="AF2527" i="13034"/>
  <c r="AE2527" i="13034"/>
  <c r="AC2527" i="13034"/>
  <c r="AF2526" i="13034"/>
  <c r="AE2526" i="13034"/>
  <c r="AC2526" i="13034"/>
  <c r="AF2525" i="13034"/>
  <c r="AE2525" i="13034"/>
  <c r="AC2525" i="13034"/>
  <c r="AF2524" i="13034"/>
  <c r="AE2524" i="13034"/>
  <c r="AC2524" i="13034"/>
  <c r="AC2523" i="13034"/>
  <c r="AV2522" i="13034"/>
  <c r="AT2522" i="13034"/>
  <c r="AR2522" i="13034"/>
  <c r="AP2522" i="13034"/>
  <c r="AN2522" i="13034"/>
  <c r="AL2522" i="13034"/>
  <c r="AJ2522" i="13034"/>
  <c r="AH2522" i="13034"/>
  <c r="AF2522" i="13034"/>
  <c r="AE2522" i="13034"/>
  <c r="AC2522" i="13034"/>
  <c r="AA2522" i="13034"/>
  <c r="Z2522" i="13034"/>
  <c r="AT2521" i="13034"/>
  <c r="AR2521" i="13034"/>
  <c r="AP2521" i="13034"/>
  <c r="AJ2521" i="13034"/>
  <c r="AH2521" i="13034"/>
  <c r="AF2521" i="13034"/>
  <c r="AE2521" i="13034"/>
  <c r="AC2521" i="13034"/>
  <c r="AA2521" i="13034"/>
  <c r="Z2521" i="13034"/>
  <c r="AT2520" i="13034"/>
  <c r="AR2520" i="13034"/>
  <c r="AP2520" i="13034"/>
  <c r="AJ2520" i="13034"/>
  <c r="AH2520" i="13034"/>
  <c r="AC2520" i="13034"/>
  <c r="AA2520" i="13034"/>
  <c r="Z2520" i="13034"/>
  <c r="AV2519" i="13034"/>
  <c r="AT2519" i="13034"/>
  <c r="AR2519" i="13034"/>
  <c r="AP2519" i="13034"/>
  <c r="AN2519" i="13034"/>
  <c r="AL2519" i="13034"/>
  <c r="AJ2519" i="13034"/>
  <c r="AH2519" i="13034"/>
  <c r="AC2519" i="13034"/>
  <c r="AA2519" i="13034"/>
  <c r="Z2519" i="13034"/>
  <c r="AV2518" i="13034"/>
  <c r="AT2518" i="13034"/>
  <c r="AR2518" i="13034"/>
  <c r="AP2518" i="13034"/>
  <c r="AN2518" i="13034"/>
  <c r="AL2518" i="13034"/>
  <c r="AJ2518" i="13034"/>
  <c r="AH2518" i="13034"/>
  <c r="AC2518" i="13034"/>
  <c r="AA2518" i="13034"/>
  <c r="Z2518" i="13034"/>
  <c r="AV2517" i="13034"/>
  <c r="AT2517" i="13034"/>
  <c r="AR2517" i="13034"/>
  <c r="AP2517" i="13034"/>
  <c r="AN2517" i="13034"/>
  <c r="AL2517" i="13034"/>
  <c r="AJ2517" i="13034"/>
  <c r="AH2517" i="13034"/>
  <c r="AC2517" i="13034"/>
  <c r="AA2517" i="13034"/>
  <c r="Z2517" i="13034"/>
  <c r="AC2516" i="13034"/>
  <c r="AA2516" i="13034"/>
  <c r="Z2516" i="13034"/>
  <c r="AV2515" i="13034"/>
  <c r="AT2515" i="13034"/>
  <c r="AR2515" i="13034"/>
  <c r="AP2515" i="13034"/>
  <c r="AN2515" i="13034"/>
  <c r="AL2515" i="13034"/>
  <c r="AJ2515" i="13034"/>
  <c r="AH2515" i="13034"/>
  <c r="AC2515" i="13034"/>
  <c r="AA2515" i="13034"/>
  <c r="Z2515" i="13034"/>
  <c r="AV2514" i="13034"/>
  <c r="AT2514" i="13034"/>
  <c r="AR2514" i="13034"/>
  <c r="AP2514" i="13034"/>
  <c r="AN2514" i="13034"/>
  <c r="AL2514" i="13034"/>
  <c r="AJ2514" i="13034"/>
  <c r="AH2514" i="13034"/>
  <c r="AC2514" i="13034"/>
  <c r="AA2514" i="13034"/>
  <c r="Z2514" i="13034"/>
  <c r="AF2513" i="13034"/>
  <c r="AE2513" i="13034"/>
  <c r="AC2513" i="13034"/>
  <c r="AA2513" i="13034"/>
  <c r="Z2513" i="13034"/>
  <c r="AF2512" i="13034"/>
  <c r="AE2512" i="13034"/>
  <c r="AC2512" i="13034"/>
  <c r="AA2512" i="13034"/>
  <c r="Z2512" i="13034"/>
  <c r="AF2511" i="13034"/>
  <c r="AE2511" i="13034"/>
  <c r="AC2511" i="13034"/>
  <c r="AA2511" i="13034"/>
  <c r="Z2511" i="13034"/>
  <c r="AF2510" i="13034"/>
  <c r="AE2510" i="13034"/>
  <c r="AC2510" i="13034"/>
  <c r="AA2510" i="13034"/>
  <c r="Z2510" i="13034"/>
  <c r="AF2509" i="13034"/>
  <c r="AE2509" i="13034"/>
  <c r="AC2509" i="13034"/>
  <c r="AA2509" i="13034"/>
  <c r="Z2509" i="13034"/>
  <c r="AF2508" i="13034"/>
  <c r="AE2508" i="13034"/>
  <c r="AC2508" i="13034"/>
  <c r="AA2508" i="13034"/>
  <c r="Z2508" i="13034"/>
  <c r="AC2507" i="13034"/>
  <c r="AA2507" i="13034"/>
  <c r="Z2507" i="13034"/>
  <c r="AV2506" i="13034"/>
  <c r="AT2506" i="13034"/>
  <c r="AR2506" i="13034"/>
  <c r="AP2506" i="13034"/>
  <c r="AN2506" i="13034"/>
  <c r="AL2506" i="13034"/>
  <c r="AJ2506" i="13034"/>
  <c r="AH2506" i="13034"/>
  <c r="AF2506" i="13034"/>
  <c r="AE2506" i="13034"/>
  <c r="AC2506" i="13034"/>
  <c r="AA2506" i="13034"/>
  <c r="Z2506" i="13034"/>
  <c r="AV2505" i="13034"/>
  <c r="AT2505" i="13034"/>
  <c r="AR2505" i="13034"/>
  <c r="AP2505" i="13034"/>
  <c r="AN2505" i="13034"/>
  <c r="AL2505" i="13034"/>
  <c r="AJ2505" i="13034"/>
  <c r="AH2505" i="13034"/>
  <c r="AF2505" i="13034"/>
  <c r="AE2505" i="13034"/>
  <c r="AC2505" i="13034"/>
  <c r="AA2505" i="13034"/>
  <c r="Z2505" i="13034"/>
  <c r="AN2504" i="13034"/>
  <c r="AL2504" i="13034"/>
  <c r="AJ2504" i="13034"/>
  <c r="AH2504" i="13034"/>
  <c r="AC2504" i="13034"/>
  <c r="AA2504" i="13034"/>
  <c r="Z2504" i="13034"/>
  <c r="AV2503" i="13034"/>
  <c r="AT2503" i="13034"/>
  <c r="AR2503" i="13034"/>
  <c r="AP2503" i="13034"/>
  <c r="AN2503" i="13034"/>
  <c r="AL2503" i="13034"/>
  <c r="AJ2503" i="13034"/>
  <c r="AH2503" i="13034"/>
  <c r="AC2503" i="13034"/>
  <c r="AV2502" i="13034"/>
  <c r="AT2502" i="13034"/>
  <c r="AR2502" i="13034"/>
  <c r="AP2502" i="13034"/>
  <c r="AN2502" i="13034"/>
  <c r="AL2502" i="13034"/>
  <c r="AJ2502" i="13034"/>
  <c r="AH2502" i="13034"/>
  <c r="AC2502" i="13034"/>
  <c r="AV2501" i="13034"/>
  <c r="AT2501" i="13034"/>
  <c r="AR2501" i="13034"/>
  <c r="AP2501" i="13034"/>
  <c r="AN2501" i="13034"/>
  <c r="AL2501" i="13034"/>
  <c r="AJ2501" i="13034"/>
  <c r="AH2501" i="13034"/>
  <c r="AF2501" i="13034"/>
  <c r="AE2501" i="13034"/>
  <c r="AC2501" i="13034"/>
  <c r="AA2501" i="13034"/>
  <c r="Z2501" i="13034"/>
  <c r="AV2500" i="13034"/>
  <c r="AT2500" i="13034"/>
  <c r="AR2500" i="13034"/>
  <c r="AP2500" i="13034"/>
  <c r="AN2500" i="13034"/>
  <c r="AL2500" i="13034"/>
  <c r="AJ2500" i="13034"/>
  <c r="AH2500" i="13034"/>
  <c r="AC2500" i="13034"/>
  <c r="AV2499" i="13034"/>
  <c r="AT2499" i="13034"/>
  <c r="AR2499" i="13034"/>
  <c r="AP2499" i="13034"/>
  <c r="AN2499" i="13034"/>
  <c r="AL2499" i="13034"/>
  <c r="AJ2499" i="13034"/>
  <c r="AH2499" i="13034"/>
  <c r="AC2499" i="13034"/>
  <c r="AV2498" i="13034"/>
  <c r="AT2498" i="13034"/>
  <c r="AR2498" i="13034"/>
  <c r="AP2498" i="13034"/>
  <c r="AN2498" i="13034"/>
  <c r="AL2498" i="13034"/>
  <c r="AJ2498" i="13034"/>
  <c r="AH2498" i="13034"/>
  <c r="AF2498" i="13034"/>
  <c r="AE2498" i="13034"/>
  <c r="AC2498" i="13034"/>
  <c r="AA2498" i="13034"/>
  <c r="Z2498" i="13034"/>
  <c r="AV2497" i="13034"/>
  <c r="AT2497" i="13034"/>
  <c r="AR2497" i="13034"/>
  <c r="AP2497" i="13034"/>
  <c r="AN2497" i="13034"/>
  <c r="AL2497" i="13034"/>
  <c r="AJ2497" i="13034"/>
  <c r="AH2497" i="13034"/>
  <c r="AC2497" i="13034"/>
  <c r="AV2496" i="13034"/>
  <c r="AT2496" i="13034"/>
  <c r="AR2496" i="13034"/>
  <c r="AP2496" i="13034"/>
  <c r="AN2496" i="13034"/>
  <c r="AL2496" i="13034"/>
  <c r="AJ2496" i="13034"/>
  <c r="AH2496" i="13034"/>
  <c r="AC2496" i="13034"/>
  <c r="AV2495" i="13034"/>
  <c r="AT2495" i="13034"/>
  <c r="AR2495" i="13034"/>
  <c r="AP2495" i="13034"/>
  <c r="AN2495" i="13034"/>
  <c r="AL2495" i="13034"/>
  <c r="AJ2495" i="13034"/>
  <c r="AH2495" i="13034"/>
  <c r="AF2495" i="13034"/>
  <c r="AE2495" i="13034"/>
  <c r="AC2495" i="13034"/>
  <c r="AA2495" i="13034"/>
  <c r="Z2495" i="13034"/>
  <c r="AF2494" i="13034"/>
  <c r="AE2494" i="13034"/>
  <c r="AC2494" i="13034"/>
  <c r="AF2493" i="13034"/>
  <c r="AE2493" i="13034"/>
  <c r="AC2493" i="13034"/>
  <c r="AV2492" i="13034"/>
  <c r="AT2492" i="13034"/>
  <c r="AR2492" i="13034"/>
  <c r="AP2492" i="13034"/>
  <c r="AN2492" i="13034"/>
  <c r="AL2492" i="13034"/>
  <c r="AJ2492" i="13034"/>
  <c r="AH2492" i="13034"/>
  <c r="AF2492" i="13034"/>
  <c r="AE2492" i="13034"/>
  <c r="AC2492" i="13034"/>
  <c r="AA2492" i="13034"/>
  <c r="Z2492" i="13034"/>
  <c r="AF2491" i="13034"/>
  <c r="AE2491" i="13034"/>
  <c r="AC2491" i="13034"/>
  <c r="AF2490" i="13034"/>
  <c r="AE2490" i="13034"/>
  <c r="AC2490" i="13034"/>
  <c r="AV2489" i="13034"/>
  <c r="AT2489" i="13034"/>
  <c r="AR2489" i="13034"/>
  <c r="AP2489" i="13034"/>
  <c r="AN2489" i="13034"/>
  <c r="AL2489" i="13034"/>
  <c r="AJ2489" i="13034"/>
  <c r="AH2489" i="13034"/>
  <c r="AF2489" i="13034"/>
  <c r="AE2489" i="13034"/>
  <c r="AC2489" i="13034"/>
  <c r="AA2489" i="13034"/>
  <c r="Z2489" i="13034"/>
  <c r="AF2488" i="13034"/>
  <c r="AE2488" i="13034"/>
  <c r="AC2488" i="13034"/>
  <c r="AF2487" i="13034"/>
  <c r="AE2487" i="13034"/>
  <c r="AC2487" i="13034"/>
  <c r="AV2486" i="13034"/>
  <c r="AT2486" i="13034"/>
  <c r="AR2486" i="13034"/>
  <c r="AP2486" i="13034"/>
  <c r="AN2486" i="13034"/>
  <c r="AL2486" i="13034"/>
  <c r="AJ2486" i="13034"/>
  <c r="AH2486" i="13034"/>
  <c r="AF2486" i="13034"/>
  <c r="AE2486" i="13034"/>
  <c r="AC2486" i="13034"/>
  <c r="AA2486" i="13034"/>
  <c r="Z2486" i="13034"/>
  <c r="AV2485" i="13034"/>
  <c r="AT2485" i="13034"/>
  <c r="AR2485" i="13034"/>
  <c r="AP2485" i="13034"/>
  <c r="AN2485" i="13034"/>
  <c r="AL2485" i="13034"/>
  <c r="AJ2485" i="13034"/>
  <c r="AH2485" i="13034"/>
  <c r="AF2485" i="13034"/>
  <c r="AE2485" i="13034"/>
  <c r="AC2485" i="13034"/>
  <c r="AA2485" i="13034"/>
  <c r="Z2485" i="13034"/>
  <c r="AC2484" i="13034"/>
  <c r="AC2483" i="13034"/>
  <c r="AV2482" i="13034"/>
  <c r="AT2482" i="13034"/>
  <c r="AR2482" i="13034"/>
  <c r="AP2482" i="13034"/>
  <c r="AN2482" i="13034"/>
  <c r="AL2482" i="13034"/>
  <c r="AJ2482" i="13034"/>
  <c r="AH2482" i="13034"/>
  <c r="AF2482" i="13034"/>
  <c r="AE2482" i="13034"/>
  <c r="AC2482" i="13034"/>
  <c r="AA2482" i="13034"/>
  <c r="Z2482" i="13034"/>
  <c r="AV2481" i="13034"/>
  <c r="AT2481" i="13034"/>
  <c r="AR2481" i="13034"/>
  <c r="AP2481" i="13034"/>
  <c r="AN2481" i="13034"/>
  <c r="AL2481" i="13034"/>
  <c r="AJ2481" i="13034"/>
  <c r="AH2481" i="13034"/>
  <c r="AC2481" i="13034"/>
  <c r="AA2481" i="13034"/>
  <c r="Z2481" i="13034"/>
  <c r="AV2480" i="13034"/>
  <c r="AT2480" i="13034"/>
  <c r="AR2480" i="13034"/>
  <c r="AP2480" i="13034"/>
  <c r="AN2480" i="13034"/>
  <c r="AL2480" i="13034"/>
  <c r="AJ2480" i="13034"/>
  <c r="AH2480" i="13034"/>
  <c r="AC2480" i="13034"/>
  <c r="AA2480" i="13034"/>
  <c r="Z2480" i="13034"/>
  <c r="AV2479" i="13034"/>
  <c r="AT2479" i="13034"/>
  <c r="AR2479" i="13034"/>
  <c r="AP2479" i="13034"/>
  <c r="AN2479" i="13034"/>
  <c r="AL2479" i="13034"/>
  <c r="AJ2479" i="13034"/>
  <c r="AH2479" i="13034"/>
  <c r="AF2479" i="13034"/>
  <c r="AE2479" i="13034"/>
  <c r="AC2479" i="13034"/>
  <c r="AA2479" i="13034"/>
  <c r="Z2479" i="13034"/>
  <c r="AV2478" i="13034"/>
  <c r="AT2478" i="13034"/>
  <c r="AR2478" i="13034"/>
  <c r="AP2478" i="13034"/>
  <c r="AN2478" i="13034"/>
  <c r="AL2478" i="13034"/>
  <c r="AJ2478" i="13034"/>
  <c r="AH2478" i="13034"/>
  <c r="AC2478" i="13034"/>
  <c r="AA2478" i="13034"/>
  <c r="Z2478" i="13034"/>
  <c r="AV2477" i="13034"/>
  <c r="AT2477" i="13034"/>
  <c r="AR2477" i="13034"/>
  <c r="AP2477" i="13034"/>
  <c r="AN2477" i="13034"/>
  <c r="AL2477" i="13034"/>
  <c r="AJ2477" i="13034"/>
  <c r="AH2477" i="13034"/>
  <c r="AC2477" i="13034"/>
  <c r="AA2477" i="13034"/>
  <c r="Z2477" i="13034"/>
  <c r="AV2476" i="13034"/>
  <c r="AT2476" i="13034"/>
  <c r="AR2476" i="13034"/>
  <c r="AP2476" i="13034"/>
  <c r="AN2476" i="13034"/>
  <c r="AL2476" i="13034"/>
  <c r="AJ2476" i="13034"/>
  <c r="AH2476" i="13034"/>
  <c r="AF2476" i="13034"/>
  <c r="AE2476" i="13034"/>
  <c r="AC2476" i="13034"/>
  <c r="AA2476" i="13034"/>
  <c r="Z2476" i="13034"/>
  <c r="AV2475" i="13034"/>
  <c r="AT2475" i="13034"/>
  <c r="AR2475" i="13034"/>
  <c r="AP2475" i="13034"/>
  <c r="AN2475" i="13034"/>
  <c r="AL2475" i="13034"/>
  <c r="AJ2475" i="13034"/>
  <c r="AH2475" i="13034"/>
  <c r="AC2475" i="13034"/>
  <c r="AA2475" i="13034"/>
  <c r="Z2475" i="13034"/>
  <c r="AV2474" i="13034"/>
  <c r="AT2474" i="13034"/>
  <c r="AR2474" i="13034"/>
  <c r="AP2474" i="13034"/>
  <c r="AN2474" i="13034"/>
  <c r="AL2474" i="13034"/>
  <c r="AJ2474" i="13034"/>
  <c r="AH2474" i="13034"/>
  <c r="AC2474" i="13034"/>
  <c r="AA2474" i="13034"/>
  <c r="Z2474" i="13034"/>
  <c r="AV2473" i="13034"/>
  <c r="AT2473" i="13034"/>
  <c r="AR2473" i="13034"/>
  <c r="AP2473" i="13034"/>
  <c r="AN2473" i="13034"/>
  <c r="AL2473" i="13034"/>
  <c r="AJ2473" i="13034"/>
  <c r="AH2473" i="13034"/>
  <c r="AF2473" i="13034"/>
  <c r="AE2473" i="13034"/>
  <c r="AC2473" i="13034"/>
  <c r="AA2473" i="13034"/>
  <c r="Z2473" i="13034"/>
  <c r="AF2472" i="13034"/>
  <c r="AE2472" i="13034"/>
  <c r="AC2472" i="13034"/>
  <c r="AA2472" i="13034"/>
  <c r="Z2472" i="13034"/>
  <c r="AF2471" i="13034"/>
  <c r="AE2471" i="13034"/>
  <c r="AC2471" i="13034"/>
  <c r="AA2471" i="13034"/>
  <c r="Z2471" i="13034"/>
  <c r="AV2470" i="13034"/>
  <c r="AT2470" i="13034"/>
  <c r="AR2470" i="13034"/>
  <c r="AP2470" i="13034"/>
  <c r="AN2470" i="13034"/>
  <c r="AL2470" i="13034"/>
  <c r="AJ2470" i="13034"/>
  <c r="AH2470" i="13034"/>
  <c r="AF2470" i="13034"/>
  <c r="AE2470" i="13034"/>
  <c r="AC2470" i="13034"/>
  <c r="AA2470" i="13034"/>
  <c r="Z2470" i="13034"/>
  <c r="AF2469" i="13034"/>
  <c r="AE2469" i="13034"/>
  <c r="AC2469" i="13034"/>
  <c r="AA2469" i="13034"/>
  <c r="Z2469" i="13034"/>
  <c r="AF2468" i="13034"/>
  <c r="AE2468" i="13034"/>
  <c r="AC2468" i="13034"/>
  <c r="AA2468" i="13034"/>
  <c r="Z2468" i="13034"/>
  <c r="AV2467" i="13034"/>
  <c r="AT2467" i="13034"/>
  <c r="AR2467" i="13034"/>
  <c r="AP2467" i="13034"/>
  <c r="AN2467" i="13034"/>
  <c r="AL2467" i="13034"/>
  <c r="AJ2467" i="13034"/>
  <c r="AH2467" i="13034"/>
  <c r="AF2467" i="13034"/>
  <c r="AE2467" i="13034"/>
  <c r="AC2467" i="13034"/>
  <c r="AA2467" i="13034"/>
  <c r="Z2467" i="13034"/>
  <c r="AF2466" i="13034"/>
  <c r="AE2466" i="13034"/>
  <c r="AC2466" i="13034"/>
  <c r="AA2466" i="13034"/>
  <c r="Z2466" i="13034"/>
  <c r="AF2465" i="13034"/>
  <c r="AE2465" i="13034"/>
  <c r="AC2465" i="13034"/>
  <c r="AA2465" i="13034"/>
  <c r="Z2465" i="13034"/>
  <c r="AV2464" i="13034"/>
  <c r="AT2464" i="13034"/>
  <c r="AR2464" i="13034"/>
  <c r="AP2464" i="13034"/>
  <c r="AN2464" i="13034"/>
  <c r="AL2464" i="13034"/>
  <c r="AJ2464" i="13034"/>
  <c r="AH2464" i="13034"/>
  <c r="AF2464" i="13034"/>
  <c r="AE2464" i="13034"/>
  <c r="AC2464" i="13034"/>
  <c r="AA2464" i="13034"/>
  <c r="Z2464" i="13034"/>
  <c r="AV2463" i="13034"/>
  <c r="AT2463" i="13034"/>
  <c r="AR2463" i="13034"/>
  <c r="AP2463" i="13034"/>
  <c r="AN2463" i="13034"/>
  <c r="AL2463" i="13034"/>
  <c r="AJ2463" i="13034"/>
  <c r="AH2463" i="13034"/>
  <c r="AF2463" i="13034"/>
  <c r="AE2463" i="13034"/>
  <c r="AC2463" i="13034"/>
  <c r="AA2463" i="13034"/>
  <c r="Z2463" i="13034"/>
  <c r="AC2462" i="13034"/>
  <c r="AA2462" i="13034"/>
  <c r="Z2462" i="13034"/>
  <c r="AC2461" i="13034"/>
  <c r="AA2461" i="13034"/>
  <c r="Z2461" i="13034"/>
  <c r="AV2460" i="13034"/>
  <c r="AT2460" i="13034"/>
  <c r="AR2460" i="13034"/>
  <c r="AP2460" i="13034"/>
  <c r="AN2460" i="13034"/>
  <c r="AL2460" i="13034"/>
  <c r="AJ2460" i="13034"/>
  <c r="AH2460" i="13034"/>
  <c r="AF2460" i="13034"/>
  <c r="AE2460" i="13034"/>
  <c r="AC2460" i="13034"/>
  <c r="AA2460" i="13034"/>
  <c r="Z2460" i="13034"/>
  <c r="AV2459" i="13034"/>
  <c r="AT2459" i="13034"/>
  <c r="AR2459" i="13034"/>
  <c r="AP2459" i="13034"/>
  <c r="AN2459" i="13034"/>
  <c r="AL2459" i="13034"/>
  <c r="AJ2459" i="13034"/>
  <c r="AH2459" i="13034"/>
  <c r="AC2459" i="13034"/>
  <c r="AA2459" i="13034"/>
  <c r="Z2459" i="13034"/>
  <c r="AV2458" i="13034"/>
  <c r="AT2458" i="13034"/>
  <c r="AR2458" i="13034"/>
  <c r="AP2458" i="13034"/>
  <c r="AN2458" i="13034"/>
  <c r="AL2458" i="13034"/>
  <c r="AJ2458" i="13034"/>
  <c r="AH2458" i="13034"/>
  <c r="AC2458" i="13034"/>
  <c r="AA2458" i="13034"/>
  <c r="Z2458" i="13034"/>
  <c r="AV2457" i="13034"/>
  <c r="AT2457" i="13034"/>
  <c r="AR2457" i="13034"/>
  <c r="AP2457" i="13034"/>
  <c r="AN2457" i="13034"/>
  <c r="AL2457" i="13034"/>
  <c r="AJ2457" i="13034"/>
  <c r="AH2457" i="13034"/>
  <c r="AF2457" i="13034"/>
  <c r="AE2457" i="13034"/>
  <c r="AC2457" i="13034"/>
  <c r="AA2457" i="13034"/>
  <c r="Z2457" i="13034"/>
  <c r="AV2456" i="13034"/>
  <c r="AT2456" i="13034"/>
  <c r="AR2456" i="13034"/>
  <c r="AP2456" i="13034"/>
  <c r="AN2456" i="13034"/>
  <c r="AL2456" i="13034"/>
  <c r="AJ2456" i="13034"/>
  <c r="AH2456" i="13034"/>
  <c r="AC2456" i="13034"/>
  <c r="AA2456" i="13034"/>
  <c r="Z2456" i="13034"/>
  <c r="AV2455" i="13034"/>
  <c r="AT2455" i="13034"/>
  <c r="AR2455" i="13034"/>
  <c r="AP2455" i="13034"/>
  <c r="AN2455" i="13034"/>
  <c r="AL2455" i="13034"/>
  <c r="AJ2455" i="13034"/>
  <c r="AH2455" i="13034"/>
  <c r="AC2455" i="13034"/>
  <c r="AA2455" i="13034"/>
  <c r="Z2455" i="13034"/>
  <c r="AV2454" i="13034"/>
  <c r="AT2454" i="13034"/>
  <c r="AR2454" i="13034"/>
  <c r="AP2454" i="13034"/>
  <c r="AN2454" i="13034"/>
  <c r="AL2454" i="13034"/>
  <c r="AJ2454" i="13034"/>
  <c r="AH2454" i="13034"/>
  <c r="AF2454" i="13034"/>
  <c r="AE2454" i="13034"/>
  <c r="AC2454" i="13034"/>
  <c r="AA2454" i="13034"/>
  <c r="Z2454" i="13034"/>
  <c r="AV2453" i="13034"/>
  <c r="AT2453" i="13034"/>
  <c r="AR2453" i="13034"/>
  <c r="AP2453" i="13034"/>
  <c r="AN2453" i="13034"/>
  <c r="AL2453" i="13034"/>
  <c r="AJ2453" i="13034"/>
  <c r="AH2453" i="13034"/>
  <c r="AC2453" i="13034"/>
  <c r="AA2453" i="13034"/>
  <c r="Z2453" i="13034"/>
  <c r="AV2452" i="13034"/>
  <c r="AT2452" i="13034"/>
  <c r="AR2452" i="13034"/>
  <c r="AP2452" i="13034"/>
  <c r="AN2452" i="13034"/>
  <c r="AL2452" i="13034"/>
  <c r="AJ2452" i="13034"/>
  <c r="AH2452" i="13034"/>
  <c r="AC2452" i="13034"/>
  <c r="AA2452" i="13034"/>
  <c r="Z2452" i="13034"/>
  <c r="AV2451" i="13034"/>
  <c r="AT2451" i="13034"/>
  <c r="AR2451" i="13034"/>
  <c r="AP2451" i="13034"/>
  <c r="AN2451" i="13034"/>
  <c r="AL2451" i="13034"/>
  <c r="AJ2451" i="13034"/>
  <c r="AH2451" i="13034"/>
  <c r="AF2451" i="13034"/>
  <c r="AE2451" i="13034"/>
  <c r="AC2451" i="13034"/>
  <c r="AA2451" i="13034"/>
  <c r="Z2451" i="13034"/>
  <c r="AF2450" i="13034"/>
  <c r="AE2450" i="13034"/>
  <c r="AC2450" i="13034"/>
  <c r="AA2450" i="13034"/>
  <c r="Z2450" i="13034"/>
  <c r="AF2449" i="13034"/>
  <c r="AE2449" i="13034"/>
  <c r="AC2449" i="13034"/>
  <c r="AA2449" i="13034"/>
  <c r="Z2449" i="13034"/>
  <c r="AV2448" i="13034"/>
  <c r="AT2448" i="13034"/>
  <c r="AR2448" i="13034"/>
  <c r="AP2448" i="13034"/>
  <c r="AN2448" i="13034"/>
  <c r="AL2448" i="13034"/>
  <c r="AJ2448" i="13034"/>
  <c r="AH2448" i="13034"/>
  <c r="AF2448" i="13034"/>
  <c r="AE2448" i="13034"/>
  <c r="AC2448" i="13034"/>
  <c r="AA2448" i="13034"/>
  <c r="Z2448" i="13034"/>
  <c r="AF2447" i="13034"/>
  <c r="AE2447" i="13034"/>
  <c r="AC2447" i="13034"/>
  <c r="AA2447" i="13034"/>
  <c r="Z2447" i="13034"/>
  <c r="AF2446" i="13034"/>
  <c r="AE2446" i="13034"/>
  <c r="AC2446" i="13034"/>
  <c r="AA2446" i="13034"/>
  <c r="Z2446" i="13034"/>
  <c r="AV2445" i="13034"/>
  <c r="AT2445" i="13034"/>
  <c r="AR2445" i="13034"/>
  <c r="AP2445" i="13034"/>
  <c r="AN2445" i="13034"/>
  <c r="AL2445" i="13034"/>
  <c r="AJ2445" i="13034"/>
  <c r="AH2445" i="13034"/>
  <c r="AF2445" i="13034"/>
  <c r="AE2445" i="13034"/>
  <c r="AC2445" i="13034"/>
  <c r="AA2445" i="13034"/>
  <c r="Z2445" i="13034"/>
  <c r="AF2444" i="13034"/>
  <c r="AE2444" i="13034"/>
  <c r="AC2444" i="13034"/>
  <c r="AA2444" i="13034"/>
  <c r="Z2444" i="13034"/>
  <c r="AF2443" i="13034"/>
  <c r="AE2443" i="13034"/>
  <c r="AC2443" i="13034"/>
  <c r="AA2443" i="13034"/>
  <c r="Z2443" i="13034"/>
  <c r="AV2442" i="13034"/>
  <c r="AT2442" i="13034"/>
  <c r="AR2442" i="13034"/>
  <c r="AP2442" i="13034"/>
  <c r="AN2442" i="13034"/>
  <c r="AL2442" i="13034"/>
  <c r="AJ2442" i="13034"/>
  <c r="AH2442" i="13034"/>
  <c r="AF2442" i="13034"/>
  <c r="AE2442" i="13034"/>
  <c r="AC2442" i="13034"/>
  <c r="AA2442" i="13034"/>
  <c r="Z2442" i="13034"/>
  <c r="AV2441" i="13034"/>
  <c r="AT2441" i="13034"/>
  <c r="AR2441" i="13034"/>
  <c r="AP2441" i="13034"/>
  <c r="AN2441" i="13034"/>
  <c r="AL2441" i="13034"/>
  <c r="AJ2441" i="13034"/>
  <c r="AH2441" i="13034"/>
  <c r="AF2441" i="13034"/>
  <c r="AE2441" i="13034"/>
  <c r="AC2441" i="13034"/>
  <c r="AA2441" i="13034"/>
  <c r="Z2441" i="13034"/>
  <c r="AC2440" i="13034"/>
  <c r="AA2440" i="13034"/>
  <c r="Z2440" i="13034"/>
  <c r="AC2439" i="13034"/>
  <c r="AA2439" i="13034"/>
  <c r="Z2439" i="13034"/>
  <c r="AV2438" i="13034"/>
  <c r="AT2438" i="13034"/>
  <c r="AR2438" i="13034"/>
  <c r="AP2438" i="13034"/>
  <c r="AN2438" i="13034"/>
  <c r="AL2438" i="13034"/>
  <c r="AJ2438" i="13034"/>
  <c r="AH2438" i="13034"/>
  <c r="AF2438" i="13034"/>
  <c r="AE2438" i="13034"/>
  <c r="AC2438" i="13034"/>
  <c r="AA2438" i="13034"/>
  <c r="Z2438" i="13034"/>
  <c r="AV2437" i="13034"/>
  <c r="AT2437" i="13034"/>
  <c r="AR2437" i="13034"/>
  <c r="AP2437" i="13034"/>
  <c r="AN2437" i="13034"/>
  <c r="AL2437" i="13034"/>
  <c r="AJ2437" i="13034"/>
  <c r="AH2437" i="13034"/>
  <c r="AF2437" i="13034"/>
  <c r="AE2437" i="13034"/>
  <c r="AC2437" i="13034"/>
  <c r="AA2437" i="13034"/>
  <c r="Z2437" i="13034"/>
  <c r="AV2436" i="13034"/>
  <c r="AT2436" i="13034"/>
  <c r="AR2436" i="13034"/>
  <c r="AP2436" i="13034"/>
  <c r="AN2436" i="13034"/>
  <c r="AL2436" i="13034"/>
  <c r="AJ2436" i="13034"/>
  <c r="AH2436" i="13034"/>
  <c r="AF2436" i="13034"/>
  <c r="AE2436" i="13034"/>
  <c r="AC2436" i="13034"/>
  <c r="AA2436" i="13034"/>
  <c r="Z2436" i="13034"/>
  <c r="AN2435" i="13034"/>
  <c r="AL2435" i="13034"/>
  <c r="AJ2435" i="13034"/>
  <c r="AH2435" i="13034"/>
  <c r="AC2435" i="13034"/>
  <c r="AV2434" i="13034"/>
  <c r="AT2434" i="13034"/>
  <c r="AR2434" i="13034"/>
  <c r="AP2434" i="13034"/>
  <c r="AN2434" i="13034"/>
  <c r="AL2434" i="13034"/>
  <c r="AJ2434" i="13034"/>
  <c r="AH2434" i="13034"/>
  <c r="AF2434" i="13034"/>
  <c r="AC2434" i="13034"/>
  <c r="AA2434" i="13034"/>
  <c r="AN2433" i="13034"/>
  <c r="AL2433" i="13034"/>
  <c r="AJ2433" i="13034"/>
  <c r="AH2433" i="13034"/>
  <c r="AC2433" i="13034"/>
  <c r="AA2433" i="13034"/>
  <c r="Z2433" i="13034"/>
  <c r="AT2432" i="13034"/>
  <c r="AR2432" i="13034"/>
  <c r="AP2432" i="13034"/>
  <c r="AJ2432" i="13034"/>
  <c r="AH2432" i="13034"/>
  <c r="AF2432" i="13034"/>
  <c r="AE2432" i="13034"/>
  <c r="AC2432" i="13034"/>
  <c r="AA2432" i="13034"/>
  <c r="Z2432" i="13034"/>
  <c r="AT2431" i="13034"/>
  <c r="AR2431" i="13034"/>
  <c r="AP2431" i="13034"/>
  <c r="AJ2431" i="13034"/>
  <c r="AH2431" i="13034"/>
  <c r="AC2431" i="13034"/>
  <c r="AA2431" i="13034"/>
  <c r="Z2431" i="13034"/>
  <c r="AV2430" i="13034"/>
  <c r="AT2430" i="13034"/>
  <c r="AR2430" i="13034"/>
  <c r="AP2430" i="13034"/>
  <c r="AN2430" i="13034"/>
  <c r="AL2430" i="13034"/>
  <c r="AJ2430" i="13034"/>
  <c r="AH2430" i="13034"/>
  <c r="AC2430" i="13034"/>
  <c r="AV2429" i="13034"/>
  <c r="AT2429" i="13034"/>
  <c r="AR2429" i="13034"/>
  <c r="AP2429" i="13034"/>
  <c r="AN2429" i="13034"/>
  <c r="AL2429" i="13034"/>
  <c r="AJ2429" i="13034"/>
  <c r="AH2429" i="13034"/>
  <c r="AC2429" i="13034"/>
  <c r="AV2428" i="13034"/>
  <c r="AT2428" i="13034"/>
  <c r="AR2428" i="13034"/>
  <c r="AP2428" i="13034"/>
  <c r="AN2428" i="13034"/>
  <c r="AL2428" i="13034"/>
  <c r="AJ2428" i="13034"/>
  <c r="AH2428" i="13034"/>
  <c r="AC2428" i="13034"/>
  <c r="AV2427" i="13034"/>
  <c r="AT2427" i="13034"/>
  <c r="AR2427" i="13034"/>
  <c r="AP2427" i="13034"/>
  <c r="AN2427" i="13034"/>
  <c r="AL2427" i="13034"/>
  <c r="AJ2427" i="13034"/>
  <c r="AH2427" i="13034"/>
  <c r="AC2427" i="13034"/>
  <c r="AV2426" i="13034"/>
  <c r="AT2426" i="13034"/>
  <c r="AR2426" i="13034"/>
  <c r="AP2426" i="13034"/>
  <c r="AN2426" i="13034"/>
  <c r="AL2426" i="13034"/>
  <c r="AJ2426" i="13034"/>
  <c r="AH2426" i="13034"/>
  <c r="AC2426" i="13034"/>
  <c r="AF2425" i="13034"/>
  <c r="AE2425" i="13034"/>
  <c r="AC2425" i="13034"/>
  <c r="AF2424" i="13034"/>
  <c r="AE2424" i="13034"/>
  <c r="AC2424" i="13034"/>
  <c r="AF2423" i="13034"/>
  <c r="AE2423" i="13034"/>
  <c r="AC2423" i="13034"/>
  <c r="AF2422" i="13034"/>
  <c r="AE2422" i="13034"/>
  <c r="AC2422" i="13034"/>
  <c r="AF2421" i="13034"/>
  <c r="AE2421" i="13034"/>
  <c r="AC2421" i="13034"/>
  <c r="AF2420" i="13034"/>
  <c r="AE2420" i="13034"/>
  <c r="AC2420" i="13034"/>
  <c r="AC2419" i="13034"/>
  <c r="AV2418" i="13034"/>
  <c r="AT2418" i="13034"/>
  <c r="AR2418" i="13034"/>
  <c r="AP2418" i="13034"/>
  <c r="AN2418" i="13034"/>
  <c r="AL2418" i="13034"/>
  <c r="AJ2418" i="13034"/>
  <c r="AH2418" i="13034"/>
  <c r="AF2418" i="13034"/>
  <c r="AE2418" i="13034"/>
  <c r="AC2418" i="13034"/>
  <c r="AA2418" i="13034"/>
  <c r="Z2418" i="13034"/>
  <c r="AT2417" i="13034"/>
  <c r="AR2417" i="13034"/>
  <c r="AP2417" i="13034"/>
  <c r="AJ2417" i="13034"/>
  <c r="AH2417" i="13034"/>
  <c r="AF2417" i="13034"/>
  <c r="AE2417" i="13034"/>
  <c r="AC2417" i="13034"/>
  <c r="AA2417" i="13034"/>
  <c r="Z2417" i="13034"/>
  <c r="AT2416" i="13034"/>
  <c r="AR2416" i="13034"/>
  <c r="AP2416" i="13034"/>
  <c r="AJ2416" i="13034"/>
  <c r="AH2416" i="13034"/>
  <c r="AC2416" i="13034"/>
  <c r="AA2416" i="13034"/>
  <c r="Z2416" i="13034"/>
  <c r="AV2415" i="13034"/>
  <c r="AT2415" i="13034"/>
  <c r="AR2415" i="13034"/>
  <c r="AP2415" i="13034"/>
  <c r="AN2415" i="13034"/>
  <c r="AL2415" i="13034"/>
  <c r="AJ2415" i="13034"/>
  <c r="AH2415" i="13034"/>
  <c r="AC2415" i="13034"/>
  <c r="AV2414" i="13034"/>
  <c r="AT2414" i="13034"/>
  <c r="AR2414" i="13034"/>
  <c r="AP2414" i="13034"/>
  <c r="AN2414" i="13034"/>
  <c r="AL2414" i="13034"/>
  <c r="AJ2414" i="13034"/>
  <c r="AH2414" i="13034"/>
  <c r="AC2414" i="13034"/>
  <c r="AV2413" i="13034"/>
  <c r="AT2413" i="13034"/>
  <c r="AR2413" i="13034"/>
  <c r="AP2413" i="13034"/>
  <c r="AN2413" i="13034"/>
  <c r="AL2413" i="13034"/>
  <c r="AJ2413" i="13034"/>
  <c r="AH2413" i="13034"/>
  <c r="AC2413" i="13034"/>
  <c r="AC2412" i="13034"/>
  <c r="AV2411" i="13034"/>
  <c r="AT2411" i="13034"/>
  <c r="AR2411" i="13034"/>
  <c r="AP2411" i="13034"/>
  <c r="AN2411" i="13034"/>
  <c r="AL2411" i="13034"/>
  <c r="AJ2411" i="13034"/>
  <c r="AH2411" i="13034"/>
  <c r="AC2411" i="13034"/>
  <c r="AV2410" i="13034"/>
  <c r="AT2410" i="13034"/>
  <c r="AR2410" i="13034"/>
  <c r="AP2410" i="13034"/>
  <c r="AN2410" i="13034"/>
  <c r="AL2410" i="13034"/>
  <c r="AJ2410" i="13034"/>
  <c r="AH2410" i="13034"/>
  <c r="AC2410" i="13034"/>
  <c r="AF2409" i="13034"/>
  <c r="AE2409" i="13034"/>
  <c r="AC2409" i="13034"/>
  <c r="AF2408" i="13034"/>
  <c r="AE2408" i="13034"/>
  <c r="AC2408" i="13034"/>
  <c r="AF2407" i="13034"/>
  <c r="AE2407" i="13034"/>
  <c r="AC2407" i="13034"/>
  <c r="AF2406" i="13034"/>
  <c r="AE2406" i="13034"/>
  <c r="AC2406" i="13034"/>
  <c r="AF2405" i="13034"/>
  <c r="AE2405" i="13034"/>
  <c r="AC2405" i="13034"/>
  <c r="AF2404" i="13034"/>
  <c r="AE2404" i="13034"/>
  <c r="AC2404" i="13034"/>
  <c r="AC2403" i="13034"/>
  <c r="AV2402" i="13034"/>
  <c r="AT2402" i="13034"/>
  <c r="AR2402" i="13034"/>
  <c r="AP2402" i="13034"/>
  <c r="AN2402" i="13034"/>
  <c r="AL2402" i="13034"/>
  <c r="AJ2402" i="13034"/>
  <c r="AH2402" i="13034"/>
  <c r="AF2402" i="13034"/>
  <c r="AE2402" i="13034"/>
  <c r="AC2402" i="13034"/>
  <c r="AA2402" i="13034"/>
  <c r="Z2402" i="13034"/>
  <c r="AV2401" i="13034"/>
  <c r="AT2401" i="13034"/>
  <c r="AR2401" i="13034"/>
  <c r="AP2401" i="13034"/>
  <c r="AN2401" i="13034"/>
  <c r="AL2401" i="13034"/>
  <c r="AJ2401" i="13034"/>
  <c r="AH2401" i="13034"/>
  <c r="AF2401" i="13034"/>
  <c r="AE2401" i="13034"/>
  <c r="AC2401" i="13034"/>
  <c r="AA2401" i="13034"/>
  <c r="Z2401" i="13034"/>
  <c r="AN2400" i="13034"/>
  <c r="AL2400" i="13034"/>
  <c r="AJ2400" i="13034"/>
  <c r="AH2400" i="13034"/>
  <c r="AC2400" i="13034"/>
  <c r="AA2400" i="13034"/>
  <c r="Z2400" i="13034"/>
  <c r="AV2399" i="13034"/>
  <c r="AT2399" i="13034"/>
  <c r="AR2399" i="13034"/>
  <c r="AP2399" i="13034"/>
  <c r="AN2399" i="13034"/>
  <c r="AL2399" i="13034"/>
  <c r="AJ2399" i="13034"/>
  <c r="AH2399" i="13034"/>
  <c r="AC2399" i="13034"/>
  <c r="AV2398" i="13034"/>
  <c r="AT2398" i="13034"/>
  <c r="AR2398" i="13034"/>
  <c r="AP2398" i="13034"/>
  <c r="AN2398" i="13034"/>
  <c r="AL2398" i="13034"/>
  <c r="AJ2398" i="13034"/>
  <c r="AH2398" i="13034"/>
  <c r="AC2398" i="13034"/>
  <c r="AV2397" i="13034"/>
  <c r="AT2397" i="13034"/>
  <c r="AR2397" i="13034"/>
  <c r="AP2397" i="13034"/>
  <c r="AN2397" i="13034"/>
  <c r="AL2397" i="13034"/>
  <c r="AJ2397" i="13034"/>
  <c r="AH2397" i="13034"/>
  <c r="AF2397" i="13034"/>
  <c r="AE2397" i="13034"/>
  <c r="AC2397" i="13034"/>
  <c r="AA2397" i="13034"/>
  <c r="Z2397" i="13034"/>
  <c r="AV2396" i="13034"/>
  <c r="AT2396" i="13034"/>
  <c r="AR2396" i="13034"/>
  <c r="AP2396" i="13034"/>
  <c r="AN2396" i="13034"/>
  <c r="AL2396" i="13034"/>
  <c r="AJ2396" i="13034"/>
  <c r="AH2396" i="13034"/>
  <c r="AC2396" i="13034"/>
  <c r="AV2395" i="13034"/>
  <c r="AT2395" i="13034"/>
  <c r="AR2395" i="13034"/>
  <c r="AP2395" i="13034"/>
  <c r="AN2395" i="13034"/>
  <c r="AL2395" i="13034"/>
  <c r="AJ2395" i="13034"/>
  <c r="AH2395" i="13034"/>
  <c r="AC2395" i="13034"/>
  <c r="AV2394" i="13034"/>
  <c r="AT2394" i="13034"/>
  <c r="AR2394" i="13034"/>
  <c r="AP2394" i="13034"/>
  <c r="AN2394" i="13034"/>
  <c r="AL2394" i="13034"/>
  <c r="AJ2394" i="13034"/>
  <c r="AH2394" i="13034"/>
  <c r="AF2394" i="13034"/>
  <c r="AE2394" i="13034"/>
  <c r="AC2394" i="13034"/>
  <c r="AA2394" i="13034"/>
  <c r="Z2394" i="13034"/>
  <c r="AV2393" i="13034"/>
  <c r="AT2393" i="13034"/>
  <c r="AR2393" i="13034"/>
  <c r="AP2393" i="13034"/>
  <c r="AN2393" i="13034"/>
  <c r="AL2393" i="13034"/>
  <c r="AJ2393" i="13034"/>
  <c r="AH2393" i="13034"/>
  <c r="AC2393" i="13034"/>
  <c r="AV2392" i="13034"/>
  <c r="AT2392" i="13034"/>
  <c r="AR2392" i="13034"/>
  <c r="AP2392" i="13034"/>
  <c r="AN2392" i="13034"/>
  <c r="AL2392" i="13034"/>
  <c r="AJ2392" i="13034"/>
  <c r="AH2392" i="13034"/>
  <c r="AC2392" i="13034"/>
  <c r="AV2391" i="13034"/>
  <c r="AT2391" i="13034"/>
  <c r="AR2391" i="13034"/>
  <c r="AP2391" i="13034"/>
  <c r="AN2391" i="13034"/>
  <c r="AL2391" i="13034"/>
  <c r="AJ2391" i="13034"/>
  <c r="AH2391" i="13034"/>
  <c r="AF2391" i="13034"/>
  <c r="AE2391" i="13034"/>
  <c r="AC2391" i="13034"/>
  <c r="AA2391" i="13034"/>
  <c r="Z2391" i="13034"/>
  <c r="AF2390" i="13034"/>
  <c r="AE2390" i="13034"/>
  <c r="AC2390" i="13034"/>
  <c r="AF2389" i="13034"/>
  <c r="AE2389" i="13034"/>
  <c r="AC2389" i="13034"/>
  <c r="AV2388" i="13034"/>
  <c r="AT2388" i="13034"/>
  <c r="AR2388" i="13034"/>
  <c r="AP2388" i="13034"/>
  <c r="AN2388" i="13034"/>
  <c r="AL2388" i="13034"/>
  <c r="AJ2388" i="13034"/>
  <c r="AH2388" i="13034"/>
  <c r="AF2388" i="13034"/>
  <c r="AE2388" i="13034"/>
  <c r="AC2388" i="13034"/>
  <c r="AA2388" i="13034"/>
  <c r="Z2388" i="13034"/>
  <c r="AF2387" i="13034"/>
  <c r="AE2387" i="13034"/>
  <c r="AC2387" i="13034"/>
  <c r="AF2386" i="13034"/>
  <c r="AE2386" i="13034"/>
  <c r="AC2386" i="13034"/>
  <c r="AV2385" i="13034"/>
  <c r="AT2385" i="13034"/>
  <c r="AR2385" i="13034"/>
  <c r="AP2385" i="13034"/>
  <c r="AN2385" i="13034"/>
  <c r="AL2385" i="13034"/>
  <c r="AJ2385" i="13034"/>
  <c r="AH2385" i="13034"/>
  <c r="AF2385" i="13034"/>
  <c r="AE2385" i="13034"/>
  <c r="AC2385" i="13034"/>
  <c r="AA2385" i="13034"/>
  <c r="Z2385" i="13034"/>
  <c r="AF2384" i="13034"/>
  <c r="AE2384" i="13034"/>
  <c r="AC2384" i="13034"/>
  <c r="AF2383" i="13034"/>
  <c r="AE2383" i="13034"/>
  <c r="AC2383" i="13034"/>
  <c r="AV2382" i="13034"/>
  <c r="AT2382" i="13034"/>
  <c r="AR2382" i="13034"/>
  <c r="AP2382" i="13034"/>
  <c r="AN2382" i="13034"/>
  <c r="AL2382" i="13034"/>
  <c r="AJ2382" i="13034"/>
  <c r="AH2382" i="13034"/>
  <c r="AF2382" i="13034"/>
  <c r="AE2382" i="13034"/>
  <c r="AC2382" i="13034"/>
  <c r="AA2382" i="13034"/>
  <c r="Z2382" i="13034"/>
  <c r="AV2381" i="13034"/>
  <c r="AT2381" i="13034"/>
  <c r="AR2381" i="13034"/>
  <c r="AP2381" i="13034"/>
  <c r="AN2381" i="13034"/>
  <c r="AL2381" i="13034"/>
  <c r="AJ2381" i="13034"/>
  <c r="AH2381" i="13034"/>
  <c r="AF2381" i="13034"/>
  <c r="AE2381" i="13034"/>
  <c r="AC2381" i="13034"/>
  <c r="AA2381" i="13034"/>
  <c r="Z2381" i="13034"/>
  <c r="AC2380" i="13034"/>
  <c r="AC2379" i="13034"/>
  <c r="AV2378" i="13034"/>
  <c r="AT2378" i="13034"/>
  <c r="AR2378" i="13034"/>
  <c r="AP2378" i="13034"/>
  <c r="AN2378" i="13034"/>
  <c r="AL2378" i="13034"/>
  <c r="AJ2378" i="13034"/>
  <c r="AH2378" i="13034"/>
  <c r="AF2378" i="13034"/>
  <c r="AE2378" i="13034"/>
  <c r="AC2378" i="13034"/>
  <c r="AA2378" i="13034"/>
  <c r="Z2378" i="13034"/>
  <c r="AV2377" i="13034"/>
  <c r="AT2377" i="13034"/>
  <c r="AR2377" i="13034"/>
  <c r="AP2377" i="13034"/>
  <c r="AN2377" i="13034"/>
  <c r="AL2377" i="13034"/>
  <c r="AJ2377" i="13034"/>
  <c r="AH2377" i="13034"/>
  <c r="AC2377" i="13034"/>
  <c r="AV2376" i="13034"/>
  <c r="AT2376" i="13034"/>
  <c r="AR2376" i="13034"/>
  <c r="AP2376" i="13034"/>
  <c r="AN2376" i="13034"/>
  <c r="AL2376" i="13034"/>
  <c r="AJ2376" i="13034"/>
  <c r="AH2376" i="13034"/>
  <c r="AC2376" i="13034"/>
  <c r="AV2375" i="13034"/>
  <c r="AT2375" i="13034"/>
  <c r="AR2375" i="13034"/>
  <c r="AP2375" i="13034"/>
  <c r="AN2375" i="13034"/>
  <c r="AL2375" i="13034"/>
  <c r="AJ2375" i="13034"/>
  <c r="AH2375" i="13034"/>
  <c r="AF2375" i="13034"/>
  <c r="AE2375" i="13034"/>
  <c r="AC2375" i="13034"/>
  <c r="AA2375" i="13034"/>
  <c r="Z2375" i="13034"/>
  <c r="AV2374" i="13034"/>
  <c r="AT2374" i="13034"/>
  <c r="AR2374" i="13034"/>
  <c r="AP2374" i="13034"/>
  <c r="AN2374" i="13034"/>
  <c r="AL2374" i="13034"/>
  <c r="AJ2374" i="13034"/>
  <c r="AH2374" i="13034"/>
  <c r="AC2374" i="13034"/>
  <c r="AV2373" i="13034"/>
  <c r="AT2373" i="13034"/>
  <c r="AR2373" i="13034"/>
  <c r="AP2373" i="13034"/>
  <c r="AN2373" i="13034"/>
  <c r="AL2373" i="13034"/>
  <c r="AJ2373" i="13034"/>
  <c r="AH2373" i="13034"/>
  <c r="AC2373" i="13034"/>
  <c r="AV2372" i="13034"/>
  <c r="AT2372" i="13034"/>
  <c r="AR2372" i="13034"/>
  <c r="AP2372" i="13034"/>
  <c r="AN2372" i="13034"/>
  <c r="AL2372" i="13034"/>
  <c r="AJ2372" i="13034"/>
  <c r="AH2372" i="13034"/>
  <c r="AF2372" i="13034"/>
  <c r="AE2372" i="13034"/>
  <c r="AC2372" i="13034"/>
  <c r="AA2372" i="13034"/>
  <c r="Z2372" i="13034"/>
  <c r="AV2371" i="13034"/>
  <c r="AT2371" i="13034"/>
  <c r="AR2371" i="13034"/>
  <c r="AP2371" i="13034"/>
  <c r="AN2371" i="13034"/>
  <c r="AL2371" i="13034"/>
  <c r="AJ2371" i="13034"/>
  <c r="AH2371" i="13034"/>
  <c r="AC2371" i="13034"/>
  <c r="AV2370" i="13034"/>
  <c r="AT2370" i="13034"/>
  <c r="AR2370" i="13034"/>
  <c r="AP2370" i="13034"/>
  <c r="AN2370" i="13034"/>
  <c r="AL2370" i="13034"/>
  <c r="AJ2370" i="13034"/>
  <c r="AH2370" i="13034"/>
  <c r="AC2370" i="13034"/>
  <c r="AV2369" i="13034"/>
  <c r="AT2369" i="13034"/>
  <c r="AR2369" i="13034"/>
  <c r="AP2369" i="13034"/>
  <c r="AN2369" i="13034"/>
  <c r="AL2369" i="13034"/>
  <c r="AJ2369" i="13034"/>
  <c r="AH2369" i="13034"/>
  <c r="AF2369" i="13034"/>
  <c r="AE2369" i="13034"/>
  <c r="AC2369" i="13034"/>
  <c r="AA2369" i="13034"/>
  <c r="Z2369" i="13034"/>
  <c r="AF2368" i="13034"/>
  <c r="AE2368" i="13034"/>
  <c r="AC2368" i="13034"/>
  <c r="AF2367" i="13034"/>
  <c r="AE2367" i="13034"/>
  <c r="AC2367" i="13034"/>
  <c r="AV2366" i="13034"/>
  <c r="AT2366" i="13034"/>
  <c r="AR2366" i="13034"/>
  <c r="AP2366" i="13034"/>
  <c r="AN2366" i="13034"/>
  <c r="AL2366" i="13034"/>
  <c r="AJ2366" i="13034"/>
  <c r="AH2366" i="13034"/>
  <c r="AF2366" i="13034"/>
  <c r="AE2366" i="13034"/>
  <c r="AC2366" i="13034"/>
  <c r="AA2366" i="13034"/>
  <c r="Z2366" i="13034"/>
  <c r="AF2365" i="13034"/>
  <c r="AE2365" i="13034"/>
  <c r="AC2365" i="13034"/>
  <c r="AF2364" i="13034"/>
  <c r="AE2364" i="13034"/>
  <c r="AC2364" i="13034"/>
  <c r="AV2363" i="13034"/>
  <c r="AT2363" i="13034"/>
  <c r="AR2363" i="13034"/>
  <c r="AP2363" i="13034"/>
  <c r="AN2363" i="13034"/>
  <c r="AL2363" i="13034"/>
  <c r="AJ2363" i="13034"/>
  <c r="AH2363" i="13034"/>
  <c r="AF2363" i="13034"/>
  <c r="AE2363" i="13034"/>
  <c r="AC2363" i="13034"/>
  <c r="AA2363" i="13034"/>
  <c r="Z2363" i="13034"/>
  <c r="AF2362" i="13034"/>
  <c r="AE2362" i="13034"/>
  <c r="AC2362" i="13034"/>
  <c r="AF2361" i="13034"/>
  <c r="AE2361" i="13034"/>
  <c r="AC2361" i="13034"/>
  <c r="AV2360" i="13034"/>
  <c r="AT2360" i="13034"/>
  <c r="AR2360" i="13034"/>
  <c r="AP2360" i="13034"/>
  <c r="AN2360" i="13034"/>
  <c r="AL2360" i="13034"/>
  <c r="AJ2360" i="13034"/>
  <c r="AH2360" i="13034"/>
  <c r="AF2360" i="13034"/>
  <c r="AE2360" i="13034"/>
  <c r="AC2360" i="13034"/>
  <c r="AA2360" i="13034"/>
  <c r="Z2360" i="13034"/>
  <c r="AV2359" i="13034"/>
  <c r="AT2359" i="13034"/>
  <c r="AR2359" i="13034"/>
  <c r="AP2359" i="13034"/>
  <c r="AN2359" i="13034"/>
  <c r="AL2359" i="13034"/>
  <c r="AJ2359" i="13034"/>
  <c r="AH2359" i="13034"/>
  <c r="AF2359" i="13034"/>
  <c r="AE2359" i="13034"/>
  <c r="AC2359" i="13034"/>
  <c r="AA2359" i="13034"/>
  <c r="Z2359" i="13034"/>
  <c r="AC2358" i="13034"/>
  <c r="AC2357" i="13034"/>
  <c r="AV2356" i="13034"/>
  <c r="AT2356" i="13034"/>
  <c r="AR2356" i="13034"/>
  <c r="AP2356" i="13034"/>
  <c r="AN2356" i="13034"/>
  <c r="AL2356" i="13034"/>
  <c r="AJ2356" i="13034"/>
  <c r="AH2356" i="13034"/>
  <c r="AF2356" i="13034"/>
  <c r="AE2356" i="13034"/>
  <c r="AC2356" i="13034"/>
  <c r="AA2356" i="13034"/>
  <c r="Z2356" i="13034"/>
  <c r="AV2355" i="13034"/>
  <c r="AT2355" i="13034"/>
  <c r="AR2355" i="13034"/>
  <c r="AP2355" i="13034"/>
  <c r="AN2355" i="13034"/>
  <c r="AL2355" i="13034"/>
  <c r="AJ2355" i="13034"/>
  <c r="AH2355" i="13034"/>
  <c r="AC2355" i="13034"/>
  <c r="AA2355" i="13034"/>
  <c r="Z2355" i="13034"/>
  <c r="AV2354" i="13034"/>
  <c r="AT2354" i="13034"/>
  <c r="AR2354" i="13034"/>
  <c r="AP2354" i="13034"/>
  <c r="AN2354" i="13034"/>
  <c r="AL2354" i="13034"/>
  <c r="AJ2354" i="13034"/>
  <c r="AH2354" i="13034"/>
  <c r="AC2354" i="13034"/>
  <c r="AA2354" i="13034"/>
  <c r="Z2354" i="13034"/>
  <c r="AV2353" i="13034"/>
  <c r="AT2353" i="13034"/>
  <c r="AR2353" i="13034"/>
  <c r="AP2353" i="13034"/>
  <c r="AN2353" i="13034"/>
  <c r="AL2353" i="13034"/>
  <c r="AJ2353" i="13034"/>
  <c r="AH2353" i="13034"/>
  <c r="AF2353" i="13034"/>
  <c r="AE2353" i="13034"/>
  <c r="AC2353" i="13034"/>
  <c r="AA2353" i="13034"/>
  <c r="Z2353" i="13034"/>
  <c r="AV2352" i="13034"/>
  <c r="AT2352" i="13034"/>
  <c r="AR2352" i="13034"/>
  <c r="AP2352" i="13034"/>
  <c r="AN2352" i="13034"/>
  <c r="AL2352" i="13034"/>
  <c r="AJ2352" i="13034"/>
  <c r="AH2352" i="13034"/>
  <c r="AC2352" i="13034"/>
  <c r="AA2352" i="13034"/>
  <c r="Z2352" i="13034"/>
  <c r="AV2351" i="13034"/>
  <c r="AT2351" i="13034"/>
  <c r="AR2351" i="13034"/>
  <c r="AP2351" i="13034"/>
  <c r="AN2351" i="13034"/>
  <c r="AL2351" i="13034"/>
  <c r="AJ2351" i="13034"/>
  <c r="AH2351" i="13034"/>
  <c r="AC2351" i="13034"/>
  <c r="AA2351" i="13034"/>
  <c r="Z2351" i="13034"/>
  <c r="AV2350" i="13034"/>
  <c r="AT2350" i="13034"/>
  <c r="AR2350" i="13034"/>
  <c r="AP2350" i="13034"/>
  <c r="AN2350" i="13034"/>
  <c r="AL2350" i="13034"/>
  <c r="AJ2350" i="13034"/>
  <c r="AH2350" i="13034"/>
  <c r="AF2350" i="13034"/>
  <c r="AE2350" i="13034"/>
  <c r="AC2350" i="13034"/>
  <c r="AA2350" i="13034"/>
  <c r="Z2350" i="13034"/>
  <c r="AV2349" i="13034"/>
  <c r="AT2349" i="13034"/>
  <c r="AR2349" i="13034"/>
  <c r="AP2349" i="13034"/>
  <c r="AN2349" i="13034"/>
  <c r="AL2349" i="13034"/>
  <c r="AJ2349" i="13034"/>
  <c r="AH2349" i="13034"/>
  <c r="AC2349" i="13034"/>
  <c r="AA2349" i="13034"/>
  <c r="Z2349" i="13034"/>
  <c r="AV2348" i="13034"/>
  <c r="AT2348" i="13034"/>
  <c r="AR2348" i="13034"/>
  <c r="AP2348" i="13034"/>
  <c r="AN2348" i="13034"/>
  <c r="AL2348" i="13034"/>
  <c r="AJ2348" i="13034"/>
  <c r="AH2348" i="13034"/>
  <c r="AC2348" i="13034"/>
  <c r="AA2348" i="13034"/>
  <c r="Z2348" i="13034"/>
  <c r="AV2347" i="13034"/>
  <c r="AT2347" i="13034"/>
  <c r="AR2347" i="13034"/>
  <c r="AP2347" i="13034"/>
  <c r="AN2347" i="13034"/>
  <c r="AL2347" i="13034"/>
  <c r="AJ2347" i="13034"/>
  <c r="AH2347" i="13034"/>
  <c r="AF2347" i="13034"/>
  <c r="AE2347" i="13034"/>
  <c r="AC2347" i="13034"/>
  <c r="AA2347" i="13034"/>
  <c r="Z2347" i="13034"/>
  <c r="AF2346" i="13034"/>
  <c r="AE2346" i="13034"/>
  <c r="AC2346" i="13034"/>
  <c r="AA2346" i="13034"/>
  <c r="Z2346" i="13034"/>
  <c r="AF2345" i="13034"/>
  <c r="AE2345" i="13034"/>
  <c r="AC2345" i="13034"/>
  <c r="AA2345" i="13034"/>
  <c r="Z2345" i="13034"/>
  <c r="AV2344" i="13034"/>
  <c r="AT2344" i="13034"/>
  <c r="AR2344" i="13034"/>
  <c r="AP2344" i="13034"/>
  <c r="AN2344" i="13034"/>
  <c r="AL2344" i="13034"/>
  <c r="AJ2344" i="13034"/>
  <c r="AH2344" i="13034"/>
  <c r="AF2344" i="13034"/>
  <c r="AE2344" i="13034"/>
  <c r="AC2344" i="13034"/>
  <c r="AA2344" i="13034"/>
  <c r="Z2344" i="13034"/>
  <c r="AF2343" i="13034"/>
  <c r="AE2343" i="13034"/>
  <c r="AC2343" i="13034"/>
  <c r="AA2343" i="13034"/>
  <c r="Z2343" i="13034"/>
  <c r="AF2342" i="13034"/>
  <c r="AE2342" i="13034"/>
  <c r="AC2342" i="13034"/>
  <c r="AA2342" i="13034"/>
  <c r="Z2342" i="13034"/>
  <c r="AV2341" i="13034"/>
  <c r="AT2341" i="13034"/>
  <c r="AR2341" i="13034"/>
  <c r="AP2341" i="13034"/>
  <c r="AN2341" i="13034"/>
  <c r="AL2341" i="13034"/>
  <c r="AJ2341" i="13034"/>
  <c r="AH2341" i="13034"/>
  <c r="AF2341" i="13034"/>
  <c r="AE2341" i="13034"/>
  <c r="AC2341" i="13034"/>
  <c r="AA2341" i="13034"/>
  <c r="Z2341" i="13034"/>
  <c r="AF2340" i="13034"/>
  <c r="AE2340" i="13034"/>
  <c r="AC2340" i="13034"/>
  <c r="AA2340" i="13034"/>
  <c r="Z2340" i="13034"/>
  <c r="AF2339" i="13034"/>
  <c r="AE2339" i="13034"/>
  <c r="AC2339" i="13034"/>
  <c r="AA2339" i="13034"/>
  <c r="Z2339" i="13034"/>
  <c r="AV2338" i="13034"/>
  <c r="AT2338" i="13034"/>
  <c r="AR2338" i="13034"/>
  <c r="AP2338" i="13034"/>
  <c r="AN2338" i="13034"/>
  <c r="AL2338" i="13034"/>
  <c r="AJ2338" i="13034"/>
  <c r="AH2338" i="13034"/>
  <c r="AF2338" i="13034"/>
  <c r="AE2338" i="13034"/>
  <c r="AC2338" i="13034"/>
  <c r="AA2338" i="13034"/>
  <c r="Z2338" i="13034"/>
  <c r="AV2337" i="13034"/>
  <c r="AT2337" i="13034"/>
  <c r="AR2337" i="13034"/>
  <c r="AP2337" i="13034"/>
  <c r="AN2337" i="13034"/>
  <c r="AL2337" i="13034"/>
  <c r="AJ2337" i="13034"/>
  <c r="AH2337" i="13034"/>
  <c r="AF2337" i="13034"/>
  <c r="AE2337" i="13034"/>
  <c r="AC2337" i="13034"/>
  <c r="AA2337" i="13034"/>
  <c r="Z2337" i="13034"/>
  <c r="AC2336" i="13034"/>
  <c r="AA2336" i="13034"/>
  <c r="Z2336" i="13034"/>
  <c r="AC2335" i="13034"/>
  <c r="AA2335" i="13034"/>
  <c r="Z2335" i="13034"/>
  <c r="AV2334" i="13034"/>
  <c r="AT2334" i="13034"/>
  <c r="AR2334" i="13034"/>
  <c r="AP2334" i="13034"/>
  <c r="AN2334" i="13034"/>
  <c r="AL2334" i="13034"/>
  <c r="AJ2334" i="13034"/>
  <c r="AH2334" i="13034"/>
  <c r="AF2334" i="13034"/>
  <c r="AE2334" i="13034"/>
  <c r="AC2334" i="13034"/>
  <c r="AA2334" i="13034"/>
  <c r="Z2334" i="13034"/>
  <c r="AV2333" i="13034"/>
  <c r="AT2333" i="13034"/>
  <c r="AR2333" i="13034"/>
  <c r="AP2333" i="13034"/>
  <c r="AN2333" i="13034"/>
  <c r="AL2333" i="13034"/>
  <c r="AJ2333" i="13034"/>
  <c r="AH2333" i="13034"/>
  <c r="AF2333" i="13034"/>
  <c r="AE2333" i="13034"/>
  <c r="AC2333" i="13034"/>
  <c r="AA2333" i="13034"/>
  <c r="Z2333" i="13034"/>
  <c r="AV2332" i="13034"/>
  <c r="AT2332" i="13034"/>
  <c r="AR2332" i="13034"/>
  <c r="AP2332" i="13034"/>
  <c r="AN2332" i="13034"/>
  <c r="AL2332" i="13034"/>
  <c r="AJ2332" i="13034"/>
  <c r="AH2332" i="13034"/>
  <c r="AF2332" i="13034"/>
  <c r="AE2332" i="13034"/>
  <c r="AC2332" i="13034"/>
  <c r="AA2332" i="13034"/>
  <c r="Z2332" i="13034"/>
  <c r="AN2331" i="13034"/>
  <c r="AL2331" i="13034"/>
  <c r="AJ2331" i="13034"/>
  <c r="AH2331" i="13034"/>
  <c r="AC2331" i="13034"/>
  <c r="AV2330" i="13034"/>
  <c r="AT2330" i="13034"/>
  <c r="AR2330" i="13034"/>
  <c r="AP2330" i="13034"/>
  <c r="AN2330" i="13034"/>
  <c r="AL2330" i="13034"/>
  <c r="AJ2330" i="13034"/>
  <c r="AH2330" i="13034"/>
  <c r="AC2330" i="13034"/>
  <c r="AN2329" i="13034"/>
  <c r="AL2329" i="13034"/>
  <c r="AJ2329" i="13034"/>
  <c r="AH2329" i="13034"/>
  <c r="AC2329" i="13034"/>
  <c r="AA2329" i="13034"/>
  <c r="Z2329" i="13034"/>
  <c r="AT2328" i="13034"/>
  <c r="AR2328" i="13034"/>
  <c r="AP2328" i="13034"/>
  <c r="AJ2328" i="13034"/>
  <c r="AH2328" i="13034"/>
  <c r="AF2328" i="13034"/>
  <c r="AE2328" i="13034"/>
  <c r="AC2328" i="13034"/>
  <c r="AA2328" i="13034"/>
  <c r="Z2328" i="13034"/>
  <c r="AT2327" i="13034"/>
  <c r="AR2327" i="13034"/>
  <c r="AP2327" i="13034"/>
  <c r="AJ2327" i="13034"/>
  <c r="AH2327" i="13034"/>
  <c r="AC2327" i="13034"/>
  <c r="AA2327" i="13034"/>
  <c r="Z2327" i="13034"/>
  <c r="AV2326" i="13034"/>
  <c r="AT2326" i="13034"/>
  <c r="AR2326" i="13034"/>
  <c r="AP2326" i="13034"/>
  <c r="AN2326" i="13034"/>
  <c r="AL2326" i="13034"/>
  <c r="AJ2326" i="13034"/>
  <c r="AH2326" i="13034"/>
  <c r="AC2326" i="13034"/>
  <c r="AV2325" i="13034"/>
  <c r="AT2325" i="13034"/>
  <c r="AR2325" i="13034"/>
  <c r="AP2325" i="13034"/>
  <c r="AN2325" i="13034"/>
  <c r="AL2325" i="13034"/>
  <c r="AJ2325" i="13034"/>
  <c r="AH2325" i="13034"/>
  <c r="AC2325" i="13034"/>
  <c r="AV2324" i="13034"/>
  <c r="AT2324" i="13034"/>
  <c r="AR2324" i="13034"/>
  <c r="AP2324" i="13034"/>
  <c r="AN2324" i="13034"/>
  <c r="AL2324" i="13034"/>
  <c r="AJ2324" i="13034"/>
  <c r="AH2324" i="13034"/>
  <c r="AC2324" i="13034"/>
  <c r="AV2323" i="13034"/>
  <c r="AT2323" i="13034"/>
  <c r="AR2323" i="13034"/>
  <c r="AP2323" i="13034"/>
  <c r="AN2323" i="13034"/>
  <c r="AL2323" i="13034"/>
  <c r="AJ2323" i="13034"/>
  <c r="AH2323" i="13034"/>
  <c r="AC2323" i="13034"/>
  <c r="AV2322" i="13034"/>
  <c r="AT2322" i="13034"/>
  <c r="AR2322" i="13034"/>
  <c r="AP2322" i="13034"/>
  <c r="AN2322" i="13034"/>
  <c r="AL2322" i="13034"/>
  <c r="AJ2322" i="13034"/>
  <c r="AH2322" i="13034"/>
  <c r="AC2322" i="13034"/>
  <c r="AF2321" i="13034"/>
  <c r="AE2321" i="13034"/>
  <c r="AC2321" i="13034"/>
  <c r="AF2320" i="13034"/>
  <c r="AE2320" i="13034"/>
  <c r="AC2320" i="13034"/>
  <c r="AF2319" i="13034"/>
  <c r="AE2319" i="13034"/>
  <c r="AC2319" i="13034"/>
  <c r="AF2318" i="13034"/>
  <c r="AE2318" i="13034"/>
  <c r="AC2318" i="13034"/>
  <c r="AF2317" i="13034"/>
  <c r="AE2317" i="13034"/>
  <c r="AC2317" i="13034"/>
  <c r="AF2316" i="13034"/>
  <c r="AE2316" i="13034"/>
  <c r="AC2316" i="13034"/>
  <c r="AC2315" i="13034"/>
  <c r="AV2314" i="13034"/>
  <c r="AT2314" i="13034"/>
  <c r="AR2314" i="13034"/>
  <c r="AP2314" i="13034"/>
  <c r="AN2314" i="13034"/>
  <c r="AL2314" i="13034"/>
  <c r="AJ2314" i="13034"/>
  <c r="AH2314" i="13034"/>
  <c r="AF2314" i="13034"/>
  <c r="AE2314" i="13034"/>
  <c r="AC2314" i="13034"/>
  <c r="AA2314" i="13034"/>
  <c r="Z2314" i="13034"/>
  <c r="AT2313" i="13034"/>
  <c r="AR2313" i="13034"/>
  <c r="AP2313" i="13034"/>
  <c r="AJ2313" i="13034"/>
  <c r="AH2313" i="13034"/>
  <c r="AF2313" i="13034"/>
  <c r="AE2313" i="13034"/>
  <c r="AC2313" i="13034"/>
  <c r="AA2313" i="13034"/>
  <c r="Z2313" i="13034"/>
  <c r="AT2312" i="13034"/>
  <c r="AR2312" i="13034"/>
  <c r="AP2312" i="13034"/>
  <c r="AJ2312" i="13034"/>
  <c r="AH2312" i="13034"/>
  <c r="AC2312" i="13034"/>
  <c r="AA2312" i="13034"/>
  <c r="Z2312" i="13034"/>
  <c r="AV2311" i="13034"/>
  <c r="AT2311" i="13034"/>
  <c r="AR2311" i="13034"/>
  <c r="AP2311" i="13034"/>
  <c r="AN2311" i="13034"/>
  <c r="AL2311" i="13034"/>
  <c r="AJ2311" i="13034"/>
  <c r="AH2311" i="13034"/>
  <c r="AC2311" i="13034"/>
  <c r="AV2310" i="13034"/>
  <c r="AT2310" i="13034"/>
  <c r="AR2310" i="13034"/>
  <c r="AP2310" i="13034"/>
  <c r="AN2310" i="13034"/>
  <c r="AL2310" i="13034"/>
  <c r="AJ2310" i="13034"/>
  <c r="AH2310" i="13034"/>
  <c r="AC2310" i="13034"/>
  <c r="AV2309" i="13034"/>
  <c r="AT2309" i="13034"/>
  <c r="AR2309" i="13034"/>
  <c r="AP2309" i="13034"/>
  <c r="AN2309" i="13034"/>
  <c r="AL2309" i="13034"/>
  <c r="AJ2309" i="13034"/>
  <c r="AH2309" i="13034"/>
  <c r="AC2309" i="13034"/>
  <c r="AC2308" i="13034"/>
  <c r="AV2307" i="13034"/>
  <c r="AT2307" i="13034"/>
  <c r="AR2307" i="13034"/>
  <c r="AP2307" i="13034"/>
  <c r="AN2307" i="13034"/>
  <c r="AL2307" i="13034"/>
  <c r="AJ2307" i="13034"/>
  <c r="AH2307" i="13034"/>
  <c r="AC2307" i="13034"/>
  <c r="AV2306" i="13034"/>
  <c r="AT2306" i="13034"/>
  <c r="AR2306" i="13034"/>
  <c r="AP2306" i="13034"/>
  <c r="AN2306" i="13034"/>
  <c r="AL2306" i="13034"/>
  <c r="AJ2306" i="13034"/>
  <c r="AH2306" i="13034"/>
  <c r="AC2306" i="13034"/>
  <c r="AF2305" i="13034"/>
  <c r="AE2305" i="13034"/>
  <c r="AC2305" i="13034"/>
  <c r="AF2304" i="13034"/>
  <c r="AE2304" i="13034"/>
  <c r="AC2304" i="13034"/>
  <c r="AF2303" i="13034"/>
  <c r="AE2303" i="13034"/>
  <c r="AC2303" i="13034"/>
  <c r="AF2302" i="13034"/>
  <c r="AE2302" i="13034"/>
  <c r="AC2302" i="13034"/>
  <c r="AF2301" i="13034"/>
  <c r="AE2301" i="13034"/>
  <c r="AC2301" i="13034"/>
  <c r="AF2300" i="13034"/>
  <c r="AE2300" i="13034"/>
  <c r="AC2300" i="13034"/>
  <c r="AC2299" i="13034"/>
  <c r="AV2298" i="13034"/>
  <c r="AT2298" i="13034"/>
  <c r="AR2298" i="13034"/>
  <c r="AP2298" i="13034"/>
  <c r="AN2298" i="13034"/>
  <c r="AL2298" i="13034"/>
  <c r="AJ2298" i="13034"/>
  <c r="AH2298" i="13034"/>
  <c r="AF2298" i="13034"/>
  <c r="AE2298" i="13034"/>
  <c r="AC2298" i="13034"/>
  <c r="AA2298" i="13034"/>
  <c r="Z2298" i="13034"/>
  <c r="AV2297" i="13034"/>
  <c r="AT2297" i="13034"/>
  <c r="AR2297" i="13034"/>
  <c r="AP2297" i="13034"/>
  <c r="AN2297" i="13034"/>
  <c r="AL2297" i="13034"/>
  <c r="AJ2297" i="13034"/>
  <c r="AH2297" i="13034"/>
  <c r="AF2297" i="13034"/>
  <c r="AE2297" i="13034"/>
  <c r="AC2297" i="13034"/>
  <c r="AA2297" i="13034"/>
  <c r="Z2297" i="13034"/>
  <c r="AN2296" i="13034"/>
  <c r="AL2296" i="13034"/>
  <c r="AJ2296" i="13034"/>
  <c r="AH2296" i="13034"/>
  <c r="AC2296" i="13034"/>
  <c r="AA2296" i="13034"/>
  <c r="Z2296" i="13034"/>
  <c r="AV2295" i="13034"/>
  <c r="AT2295" i="13034"/>
  <c r="AR2295" i="13034"/>
  <c r="AP2295" i="13034"/>
  <c r="AN2295" i="13034"/>
  <c r="AL2295" i="13034"/>
  <c r="AJ2295" i="13034"/>
  <c r="AH2295" i="13034"/>
  <c r="AC2295" i="13034"/>
  <c r="AV2294" i="13034"/>
  <c r="AT2294" i="13034"/>
  <c r="AR2294" i="13034"/>
  <c r="AP2294" i="13034"/>
  <c r="AN2294" i="13034"/>
  <c r="AL2294" i="13034"/>
  <c r="AJ2294" i="13034"/>
  <c r="AH2294" i="13034"/>
  <c r="AC2294" i="13034"/>
  <c r="AV2293" i="13034"/>
  <c r="AT2293" i="13034"/>
  <c r="AR2293" i="13034"/>
  <c r="AP2293" i="13034"/>
  <c r="AN2293" i="13034"/>
  <c r="AL2293" i="13034"/>
  <c r="AJ2293" i="13034"/>
  <c r="AH2293" i="13034"/>
  <c r="AF2293" i="13034"/>
  <c r="AE2293" i="13034"/>
  <c r="AC2293" i="13034"/>
  <c r="AA2293" i="13034"/>
  <c r="Z2293" i="13034"/>
  <c r="AV2292" i="13034"/>
  <c r="AT2292" i="13034"/>
  <c r="AR2292" i="13034"/>
  <c r="AP2292" i="13034"/>
  <c r="AN2292" i="13034"/>
  <c r="AL2292" i="13034"/>
  <c r="AJ2292" i="13034"/>
  <c r="AH2292" i="13034"/>
  <c r="AC2292" i="13034"/>
  <c r="AV2291" i="13034"/>
  <c r="AT2291" i="13034"/>
  <c r="AR2291" i="13034"/>
  <c r="AP2291" i="13034"/>
  <c r="AN2291" i="13034"/>
  <c r="AL2291" i="13034"/>
  <c r="AJ2291" i="13034"/>
  <c r="AH2291" i="13034"/>
  <c r="AC2291" i="13034"/>
  <c r="AV2290" i="13034"/>
  <c r="AT2290" i="13034"/>
  <c r="AR2290" i="13034"/>
  <c r="AP2290" i="13034"/>
  <c r="AN2290" i="13034"/>
  <c r="AL2290" i="13034"/>
  <c r="AJ2290" i="13034"/>
  <c r="AH2290" i="13034"/>
  <c r="AF2290" i="13034"/>
  <c r="AE2290" i="13034"/>
  <c r="AC2290" i="13034"/>
  <c r="AA2290" i="13034"/>
  <c r="Z2290" i="13034"/>
  <c r="AV2289" i="13034"/>
  <c r="AT2289" i="13034"/>
  <c r="AR2289" i="13034"/>
  <c r="AP2289" i="13034"/>
  <c r="AN2289" i="13034"/>
  <c r="AL2289" i="13034"/>
  <c r="AJ2289" i="13034"/>
  <c r="AH2289" i="13034"/>
  <c r="AC2289" i="13034"/>
  <c r="AV2288" i="13034"/>
  <c r="AT2288" i="13034"/>
  <c r="AR2288" i="13034"/>
  <c r="AP2288" i="13034"/>
  <c r="AN2288" i="13034"/>
  <c r="AL2288" i="13034"/>
  <c r="AJ2288" i="13034"/>
  <c r="AH2288" i="13034"/>
  <c r="AC2288" i="13034"/>
  <c r="AV2287" i="13034"/>
  <c r="AT2287" i="13034"/>
  <c r="AR2287" i="13034"/>
  <c r="AP2287" i="13034"/>
  <c r="AN2287" i="13034"/>
  <c r="AL2287" i="13034"/>
  <c r="AJ2287" i="13034"/>
  <c r="AH2287" i="13034"/>
  <c r="AF2287" i="13034"/>
  <c r="AE2287" i="13034"/>
  <c r="AC2287" i="13034"/>
  <c r="AA2287" i="13034"/>
  <c r="Z2287" i="13034"/>
  <c r="AL2286" i="13034"/>
  <c r="AF2286" i="13034"/>
  <c r="AE2286" i="13034"/>
  <c r="AC2286" i="13034"/>
  <c r="AL2285" i="13034"/>
  <c r="AF2285" i="13034"/>
  <c r="AE2285" i="13034"/>
  <c r="AC2285" i="13034"/>
  <c r="AV2284" i="13034"/>
  <c r="AT2284" i="13034"/>
  <c r="AR2284" i="13034"/>
  <c r="AP2284" i="13034"/>
  <c r="AN2284" i="13034"/>
  <c r="AL2284" i="13034"/>
  <c r="AJ2284" i="13034"/>
  <c r="AH2284" i="13034"/>
  <c r="AF2284" i="13034"/>
  <c r="AE2284" i="13034"/>
  <c r="AC2284" i="13034"/>
  <c r="AA2284" i="13034"/>
  <c r="Z2284" i="13034"/>
  <c r="AL2283" i="13034"/>
  <c r="AF2283" i="13034"/>
  <c r="AE2283" i="13034"/>
  <c r="AC2283" i="13034"/>
  <c r="AL2282" i="13034"/>
  <c r="AF2282" i="13034"/>
  <c r="AE2282" i="13034"/>
  <c r="AC2282" i="13034"/>
  <c r="AV2281" i="13034"/>
  <c r="AT2281" i="13034"/>
  <c r="AR2281" i="13034"/>
  <c r="AP2281" i="13034"/>
  <c r="AN2281" i="13034"/>
  <c r="AL2281" i="13034"/>
  <c r="AJ2281" i="13034"/>
  <c r="AH2281" i="13034"/>
  <c r="AF2281" i="13034"/>
  <c r="AE2281" i="13034"/>
  <c r="AC2281" i="13034"/>
  <c r="AA2281" i="13034"/>
  <c r="Z2281" i="13034"/>
  <c r="AL2280" i="13034"/>
  <c r="AF2280" i="13034"/>
  <c r="AE2280" i="13034"/>
  <c r="AC2280" i="13034"/>
  <c r="AL2279" i="13034"/>
  <c r="AF2279" i="13034"/>
  <c r="AE2279" i="13034"/>
  <c r="AC2279" i="13034"/>
  <c r="AV2278" i="13034"/>
  <c r="AT2278" i="13034"/>
  <c r="AR2278" i="13034"/>
  <c r="AP2278" i="13034"/>
  <c r="AN2278" i="13034"/>
  <c r="AL2278" i="13034"/>
  <c r="AJ2278" i="13034"/>
  <c r="AH2278" i="13034"/>
  <c r="AF2278" i="13034"/>
  <c r="AE2278" i="13034"/>
  <c r="AC2278" i="13034"/>
  <c r="AA2278" i="13034"/>
  <c r="Z2278" i="13034"/>
  <c r="AV2277" i="13034"/>
  <c r="AT2277" i="13034"/>
  <c r="AR2277" i="13034"/>
  <c r="AP2277" i="13034"/>
  <c r="AN2277" i="13034"/>
  <c r="AL2277" i="13034"/>
  <c r="AJ2277" i="13034"/>
  <c r="AH2277" i="13034"/>
  <c r="AF2277" i="13034"/>
  <c r="AE2277" i="13034"/>
  <c r="AC2277" i="13034"/>
  <c r="AA2277" i="13034"/>
  <c r="Z2277" i="13034"/>
  <c r="AC2276" i="13034"/>
  <c r="AC2275" i="13034"/>
  <c r="AV2274" i="13034"/>
  <c r="AT2274" i="13034"/>
  <c r="AR2274" i="13034"/>
  <c r="AP2274" i="13034"/>
  <c r="AN2274" i="13034"/>
  <c r="AL2274" i="13034"/>
  <c r="AJ2274" i="13034"/>
  <c r="AH2274" i="13034"/>
  <c r="AF2274" i="13034"/>
  <c r="AE2274" i="13034"/>
  <c r="AC2274" i="13034"/>
  <c r="AA2274" i="13034"/>
  <c r="Z2274" i="13034"/>
  <c r="AV2273" i="13034"/>
  <c r="AT2273" i="13034"/>
  <c r="AR2273" i="13034"/>
  <c r="AP2273" i="13034"/>
  <c r="AN2273" i="13034"/>
  <c r="AL2273" i="13034"/>
  <c r="AJ2273" i="13034"/>
  <c r="AH2273" i="13034"/>
  <c r="AC2273" i="13034"/>
  <c r="AV2272" i="13034"/>
  <c r="AT2272" i="13034"/>
  <c r="AR2272" i="13034"/>
  <c r="AP2272" i="13034"/>
  <c r="AN2272" i="13034"/>
  <c r="AL2272" i="13034"/>
  <c r="AJ2272" i="13034"/>
  <c r="AH2272" i="13034"/>
  <c r="AC2272" i="13034"/>
  <c r="AV2271" i="13034"/>
  <c r="AT2271" i="13034"/>
  <c r="AR2271" i="13034"/>
  <c r="AP2271" i="13034"/>
  <c r="AN2271" i="13034"/>
  <c r="AL2271" i="13034"/>
  <c r="AJ2271" i="13034"/>
  <c r="AH2271" i="13034"/>
  <c r="AF2271" i="13034"/>
  <c r="AE2271" i="13034"/>
  <c r="AC2271" i="13034"/>
  <c r="AA2271" i="13034"/>
  <c r="Z2271" i="13034"/>
  <c r="AV2270" i="13034"/>
  <c r="AT2270" i="13034"/>
  <c r="AR2270" i="13034"/>
  <c r="AP2270" i="13034"/>
  <c r="AN2270" i="13034"/>
  <c r="AL2270" i="13034"/>
  <c r="AJ2270" i="13034"/>
  <c r="AH2270" i="13034"/>
  <c r="AC2270" i="13034"/>
  <c r="AV2269" i="13034"/>
  <c r="AT2269" i="13034"/>
  <c r="AR2269" i="13034"/>
  <c r="AP2269" i="13034"/>
  <c r="AN2269" i="13034"/>
  <c r="AL2269" i="13034"/>
  <c r="AJ2269" i="13034"/>
  <c r="AH2269" i="13034"/>
  <c r="AC2269" i="13034"/>
  <c r="AV2268" i="13034"/>
  <c r="AT2268" i="13034"/>
  <c r="AR2268" i="13034"/>
  <c r="AP2268" i="13034"/>
  <c r="AN2268" i="13034"/>
  <c r="AL2268" i="13034"/>
  <c r="AJ2268" i="13034"/>
  <c r="AH2268" i="13034"/>
  <c r="AF2268" i="13034"/>
  <c r="AE2268" i="13034"/>
  <c r="AC2268" i="13034"/>
  <c r="AA2268" i="13034"/>
  <c r="Z2268" i="13034"/>
  <c r="AV2267" i="13034"/>
  <c r="AT2267" i="13034"/>
  <c r="AR2267" i="13034"/>
  <c r="AP2267" i="13034"/>
  <c r="AN2267" i="13034"/>
  <c r="AL2267" i="13034"/>
  <c r="AJ2267" i="13034"/>
  <c r="AH2267" i="13034"/>
  <c r="AC2267" i="13034"/>
  <c r="AV2266" i="13034"/>
  <c r="AT2266" i="13034"/>
  <c r="AR2266" i="13034"/>
  <c r="AP2266" i="13034"/>
  <c r="AN2266" i="13034"/>
  <c r="AL2266" i="13034"/>
  <c r="AJ2266" i="13034"/>
  <c r="AH2266" i="13034"/>
  <c r="AC2266" i="13034"/>
  <c r="AV2265" i="13034"/>
  <c r="AT2265" i="13034"/>
  <c r="AR2265" i="13034"/>
  <c r="AP2265" i="13034"/>
  <c r="AN2265" i="13034"/>
  <c r="AL2265" i="13034"/>
  <c r="AJ2265" i="13034"/>
  <c r="AH2265" i="13034"/>
  <c r="AF2265" i="13034"/>
  <c r="AE2265" i="13034"/>
  <c r="AC2265" i="13034"/>
  <c r="AA2265" i="13034"/>
  <c r="Z2265" i="13034"/>
  <c r="AL2264" i="13034"/>
  <c r="AF2264" i="13034"/>
  <c r="AE2264" i="13034"/>
  <c r="AC2264" i="13034"/>
  <c r="AL2263" i="13034"/>
  <c r="AF2263" i="13034"/>
  <c r="AE2263" i="13034"/>
  <c r="AC2263" i="13034"/>
  <c r="AV2262" i="13034"/>
  <c r="AT2262" i="13034"/>
  <c r="AR2262" i="13034"/>
  <c r="AP2262" i="13034"/>
  <c r="AN2262" i="13034"/>
  <c r="AL2262" i="13034"/>
  <c r="AJ2262" i="13034"/>
  <c r="AH2262" i="13034"/>
  <c r="AF2262" i="13034"/>
  <c r="AE2262" i="13034"/>
  <c r="AC2262" i="13034"/>
  <c r="AA2262" i="13034"/>
  <c r="Z2262" i="13034"/>
  <c r="AL2261" i="13034"/>
  <c r="AF2261" i="13034"/>
  <c r="AE2261" i="13034"/>
  <c r="AC2261" i="13034"/>
  <c r="AL2260" i="13034"/>
  <c r="AF2260" i="13034"/>
  <c r="AE2260" i="13034"/>
  <c r="AC2260" i="13034"/>
  <c r="AV2259" i="13034"/>
  <c r="AT2259" i="13034"/>
  <c r="AR2259" i="13034"/>
  <c r="AP2259" i="13034"/>
  <c r="AN2259" i="13034"/>
  <c r="AL2259" i="13034"/>
  <c r="AJ2259" i="13034"/>
  <c r="AH2259" i="13034"/>
  <c r="AF2259" i="13034"/>
  <c r="AE2259" i="13034"/>
  <c r="AC2259" i="13034"/>
  <c r="AA2259" i="13034"/>
  <c r="Z2259" i="13034"/>
  <c r="AL2258" i="13034"/>
  <c r="AF2258" i="13034"/>
  <c r="AE2258" i="13034"/>
  <c r="AC2258" i="13034"/>
  <c r="AL2257" i="13034"/>
  <c r="AF2257" i="13034"/>
  <c r="AE2257" i="13034"/>
  <c r="AC2257" i="13034"/>
  <c r="AV2256" i="13034"/>
  <c r="AT2256" i="13034"/>
  <c r="AR2256" i="13034"/>
  <c r="AP2256" i="13034"/>
  <c r="AN2256" i="13034"/>
  <c r="AL2256" i="13034"/>
  <c r="AJ2256" i="13034"/>
  <c r="AH2256" i="13034"/>
  <c r="AF2256" i="13034"/>
  <c r="AE2256" i="13034"/>
  <c r="AC2256" i="13034"/>
  <c r="AA2256" i="13034"/>
  <c r="Z2256" i="13034"/>
  <c r="AV2255" i="13034"/>
  <c r="AT2255" i="13034"/>
  <c r="AR2255" i="13034"/>
  <c r="AP2255" i="13034"/>
  <c r="AN2255" i="13034"/>
  <c r="AL2255" i="13034"/>
  <c r="AJ2255" i="13034"/>
  <c r="AH2255" i="13034"/>
  <c r="AF2255" i="13034"/>
  <c r="AE2255" i="13034"/>
  <c r="AC2255" i="13034"/>
  <c r="AA2255" i="13034"/>
  <c r="Z2255" i="13034"/>
  <c r="AC2254" i="13034"/>
  <c r="AC2253" i="13034"/>
  <c r="AV2252" i="13034"/>
  <c r="AT2252" i="13034"/>
  <c r="AR2252" i="13034"/>
  <c r="AP2252" i="13034"/>
  <c r="AN2252" i="13034"/>
  <c r="AL2252" i="13034"/>
  <c r="AJ2252" i="13034"/>
  <c r="AH2252" i="13034"/>
  <c r="AF2252" i="13034"/>
  <c r="AE2252" i="13034"/>
  <c r="AC2252" i="13034"/>
  <c r="AA2252" i="13034"/>
  <c r="Z2252" i="13034"/>
  <c r="AV2251" i="13034"/>
  <c r="AT2251" i="13034"/>
  <c r="AR2251" i="13034"/>
  <c r="AP2251" i="13034"/>
  <c r="AN2251" i="13034"/>
  <c r="AL2251" i="13034"/>
  <c r="AJ2251" i="13034"/>
  <c r="AH2251" i="13034"/>
  <c r="AC2251" i="13034"/>
  <c r="AV2250" i="13034"/>
  <c r="AT2250" i="13034"/>
  <c r="AR2250" i="13034"/>
  <c r="AP2250" i="13034"/>
  <c r="AN2250" i="13034"/>
  <c r="AL2250" i="13034"/>
  <c r="AJ2250" i="13034"/>
  <c r="AH2250" i="13034"/>
  <c r="AC2250" i="13034"/>
  <c r="AV2249" i="13034"/>
  <c r="AT2249" i="13034"/>
  <c r="AR2249" i="13034"/>
  <c r="AP2249" i="13034"/>
  <c r="AN2249" i="13034"/>
  <c r="AL2249" i="13034"/>
  <c r="AJ2249" i="13034"/>
  <c r="AH2249" i="13034"/>
  <c r="AF2249" i="13034"/>
  <c r="AE2249" i="13034"/>
  <c r="AC2249" i="13034"/>
  <c r="AA2249" i="13034"/>
  <c r="Z2249" i="13034"/>
  <c r="AV2248" i="13034"/>
  <c r="AT2248" i="13034"/>
  <c r="AR2248" i="13034"/>
  <c r="AP2248" i="13034"/>
  <c r="AN2248" i="13034"/>
  <c r="AL2248" i="13034"/>
  <c r="AJ2248" i="13034"/>
  <c r="AH2248" i="13034"/>
  <c r="AC2248" i="13034"/>
  <c r="AV2247" i="13034"/>
  <c r="AT2247" i="13034"/>
  <c r="AR2247" i="13034"/>
  <c r="AP2247" i="13034"/>
  <c r="AN2247" i="13034"/>
  <c r="AL2247" i="13034"/>
  <c r="AJ2247" i="13034"/>
  <c r="AH2247" i="13034"/>
  <c r="AC2247" i="13034"/>
  <c r="AV2246" i="13034"/>
  <c r="AT2246" i="13034"/>
  <c r="AR2246" i="13034"/>
  <c r="AP2246" i="13034"/>
  <c r="AN2246" i="13034"/>
  <c r="AL2246" i="13034"/>
  <c r="AJ2246" i="13034"/>
  <c r="AH2246" i="13034"/>
  <c r="AF2246" i="13034"/>
  <c r="AE2246" i="13034"/>
  <c r="AC2246" i="13034"/>
  <c r="AA2246" i="13034"/>
  <c r="Z2246" i="13034"/>
  <c r="AV2245" i="13034"/>
  <c r="AT2245" i="13034"/>
  <c r="AR2245" i="13034"/>
  <c r="AP2245" i="13034"/>
  <c r="AN2245" i="13034"/>
  <c r="AL2245" i="13034"/>
  <c r="AJ2245" i="13034"/>
  <c r="AH2245" i="13034"/>
  <c r="AC2245" i="13034"/>
  <c r="AV2244" i="13034"/>
  <c r="AT2244" i="13034"/>
  <c r="AR2244" i="13034"/>
  <c r="AP2244" i="13034"/>
  <c r="AN2244" i="13034"/>
  <c r="AL2244" i="13034"/>
  <c r="AJ2244" i="13034"/>
  <c r="AH2244" i="13034"/>
  <c r="AC2244" i="13034"/>
  <c r="AV2243" i="13034"/>
  <c r="AT2243" i="13034"/>
  <c r="AR2243" i="13034"/>
  <c r="AP2243" i="13034"/>
  <c r="AN2243" i="13034"/>
  <c r="AL2243" i="13034"/>
  <c r="AJ2243" i="13034"/>
  <c r="AH2243" i="13034"/>
  <c r="AF2243" i="13034"/>
  <c r="AE2243" i="13034"/>
  <c r="AC2243" i="13034"/>
  <c r="AA2243" i="13034"/>
  <c r="Z2243" i="13034"/>
  <c r="AL2242" i="13034"/>
  <c r="AF2242" i="13034"/>
  <c r="AE2242" i="13034"/>
  <c r="AC2242" i="13034"/>
  <c r="AL2241" i="13034"/>
  <c r="AF2241" i="13034"/>
  <c r="AE2241" i="13034"/>
  <c r="AC2241" i="13034"/>
  <c r="AV2240" i="13034"/>
  <c r="AT2240" i="13034"/>
  <c r="AR2240" i="13034"/>
  <c r="AP2240" i="13034"/>
  <c r="AN2240" i="13034"/>
  <c r="AL2240" i="13034"/>
  <c r="AJ2240" i="13034"/>
  <c r="AH2240" i="13034"/>
  <c r="AF2240" i="13034"/>
  <c r="AE2240" i="13034"/>
  <c r="AC2240" i="13034"/>
  <c r="AA2240" i="13034"/>
  <c r="Z2240" i="13034"/>
  <c r="AL2239" i="13034"/>
  <c r="AF2239" i="13034"/>
  <c r="AE2239" i="13034"/>
  <c r="AC2239" i="13034"/>
  <c r="AL2238" i="13034"/>
  <c r="AF2238" i="13034"/>
  <c r="AE2238" i="13034"/>
  <c r="AC2238" i="13034"/>
  <c r="AV2237" i="13034"/>
  <c r="AT2237" i="13034"/>
  <c r="AR2237" i="13034"/>
  <c r="AP2237" i="13034"/>
  <c r="AN2237" i="13034"/>
  <c r="AL2237" i="13034"/>
  <c r="AJ2237" i="13034"/>
  <c r="AH2237" i="13034"/>
  <c r="AF2237" i="13034"/>
  <c r="AE2237" i="13034"/>
  <c r="AC2237" i="13034"/>
  <c r="AA2237" i="13034"/>
  <c r="Z2237" i="13034"/>
  <c r="AL2236" i="13034"/>
  <c r="AF2236" i="13034"/>
  <c r="AE2236" i="13034"/>
  <c r="AC2236" i="13034"/>
  <c r="AL2235" i="13034"/>
  <c r="AF2235" i="13034"/>
  <c r="AE2235" i="13034"/>
  <c r="AC2235" i="13034"/>
  <c r="AV2234" i="13034"/>
  <c r="AT2234" i="13034"/>
  <c r="AR2234" i="13034"/>
  <c r="AP2234" i="13034"/>
  <c r="AN2234" i="13034"/>
  <c r="AL2234" i="13034"/>
  <c r="AJ2234" i="13034"/>
  <c r="AH2234" i="13034"/>
  <c r="AF2234" i="13034"/>
  <c r="AE2234" i="13034"/>
  <c r="AC2234" i="13034"/>
  <c r="AA2234" i="13034"/>
  <c r="Z2234" i="13034"/>
  <c r="AV2233" i="13034"/>
  <c r="AT2233" i="13034"/>
  <c r="AR2233" i="13034"/>
  <c r="AP2233" i="13034"/>
  <c r="AN2233" i="13034"/>
  <c r="AL2233" i="13034"/>
  <c r="AJ2233" i="13034"/>
  <c r="AH2233" i="13034"/>
  <c r="AF2233" i="13034"/>
  <c r="AE2233" i="13034"/>
  <c r="AC2233" i="13034"/>
  <c r="AA2233" i="13034"/>
  <c r="Z2233" i="13034"/>
  <c r="AC2232" i="13034"/>
  <c r="AC2231" i="13034"/>
  <c r="AV2230" i="13034"/>
  <c r="AT2230" i="13034"/>
  <c r="AR2230" i="13034"/>
  <c r="AP2230" i="13034"/>
  <c r="AN2230" i="13034"/>
  <c r="AL2230" i="13034"/>
  <c r="AJ2230" i="13034"/>
  <c r="AH2230" i="13034"/>
  <c r="AF2230" i="13034"/>
  <c r="AE2230" i="13034"/>
  <c r="AC2230" i="13034"/>
  <c r="AA2230" i="13034"/>
  <c r="Z2230" i="13034"/>
  <c r="AV2229" i="13034"/>
  <c r="AT2229" i="13034"/>
  <c r="AR2229" i="13034"/>
  <c r="AP2229" i="13034"/>
  <c r="AN2229" i="13034"/>
  <c r="AL2229" i="13034"/>
  <c r="AJ2229" i="13034"/>
  <c r="AH2229" i="13034"/>
  <c r="AF2229" i="13034"/>
  <c r="AE2229" i="13034"/>
  <c r="AC2229" i="13034"/>
  <c r="AA2229" i="13034"/>
  <c r="Z2229" i="13034"/>
  <c r="AV2228" i="13034"/>
  <c r="AT2228" i="13034"/>
  <c r="AR2228" i="13034"/>
  <c r="AP2228" i="13034"/>
  <c r="AN2228" i="13034"/>
  <c r="AL2228" i="13034"/>
  <c r="AJ2228" i="13034"/>
  <c r="AH2228" i="13034"/>
  <c r="AF2228" i="13034"/>
  <c r="AE2228" i="13034"/>
  <c r="AC2228" i="13034"/>
  <c r="AA2228" i="13034"/>
  <c r="Z2228" i="13034"/>
  <c r="AN2227" i="13034"/>
  <c r="AL2227" i="13034"/>
  <c r="AJ2227" i="13034"/>
  <c r="AH2227" i="13034"/>
  <c r="AC2227" i="13034"/>
  <c r="AT2226" i="13034"/>
  <c r="AR2226" i="13034"/>
  <c r="AP2226" i="13034"/>
  <c r="AJ2226" i="13034"/>
  <c r="AH2226" i="13034"/>
  <c r="AF2226" i="13034"/>
  <c r="AE2226" i="13034"/>
  <c r="AC2226" i="13034"/>
  <c r="AA2226" i="13034"/>
  <c r="Z2226" i="13034"/>
  <c r="AT2225" i="13034"/>
  <c r="AR2225" i="13034"/>
  <c r="AP2225" i="13034"/>
  <c r="AJ2225" i="13034"/>
  <c r="AH2225" i="13034"/>
  <c r="AC2225" i="13034"/>
  <c r="AA2225" i="13034"/>
  <c r="Z2225" i="13034"/>
  <c r="AV2224" i="13034"/>
  <c r="AT2224" i="13034"/>
  <c r="AR2224" i="13034"/>
  <c r="AP2224" i="13034"/>
  <c r="AN2224" i="13034"/>
  <c r="AL2224" i="13034"/>
  <c r="AJ2224" i="13034"/>
  <c r="AH2224" i="13034"/>
  <c r="AF2224" i="13034"/>
  <c r="AC2224" i="13034"/>
  <c r="AA2224" i="13034"/>
  <c r="AV2223" i="13034"/>
  <c r="AT2223" i="13034"/>
  <c r="AR2223" i="13034"/>
  <c r="AP2223" i="13034"/>
  <c r="AN2223" i="13034"/>
  <c r="AL2223" i="13034"/>
  <c r="AJ2223" i="13034"/>
  <c r="AH2223" i="13034"/>
  <c r="AC2223" i="13034"/>
  <c r="AV2222" i="13034"/>
  <c r="AT2222" i="13034"/>
  <c r="AR2222" i="13034"/>
  <c r="AP2222" i="13034"/>
  <c r="AN2222" i="13034"/>
  <c r="AL2222" i="13034"/>
  <c r="AJ2222" i="13034"/>
  <c r="AH2222" i="13034"/>
  <c r="AC2222" i="13034"/>
  <c r="AV2221" i="13034"/>
  <c r="AT2221" i="13034"/>
  <c r="AR2221" i="13034"/>
  <c r="AP2221" i="13034"/>
  <c r="AN2221" i="13034"/>
  <c r="AL2221" i="13034"/>
  <c r="AJ2221" i="13034"/>
  <c r="AH2221" i="13034"/>
  <c r="AC2221" i="13034"/>
  <c r="AV2220" i="13034"/>
  <c r="AT2220" i="13034"/>
  <c r="AR2220" i="13034"/>
  <c r="AP2220" i="13034"/>
  <c r="AN2220" i="13034"/>
  <c r="AL2220" i="13034"/>
  <c r="AJ2220" i="13034"/>
  <c r="AH2220" i="13034"/>
  <c r="AC2220" i="13034"/>
  <c r="AC2219" i="13034"/>
  <c r="AV2218" i="13034"/>
  <c r="AT2218" i="13034"/>
  <c r="AR2218" i="13034"/>
  <c r="AP2218" i="13034"/>
  <c r="AN2218" i="13034"/>
  <c r="AL2218" i="13034"/>
  <c r="AJ2218" i="13034"/>
  <c r="AH2218" i="13034"/>
  <c r="AC2218" i="13034"/>
  <c r="AV2217" i="13034"/>
  <c r="AT2217" i="13034"/>
  <c r="AR2217" i="13034"/>
  <c r="AP2217" i="13034"/>
  <c r="AN2217" i="13034"/>
  <c r="AL2217" i="13034"/>
  <c r="AJ2217" i="13034"/>
  <c r="AH2217" i="13034"/>
  <c r="AC2217" i="13034"/>
  <c r="AF2216" i="13034"/>
  <c r="AE2216" i="13034"/>
  <c r="AC2216" i="13034"/>
  <c r="AF2215" i="13034"/>
  <c r="AE2215" i="13034"/>
  <c r="AC2215" i="13034"/>
  <c r="AF2214" i="13034"/>
  <c r="AE2214" i="13034"/>
  <c r="AC2214" i="13034"/>
  <c r="AF2213" i="13034"/>
  <c r="AE2213" i="13034"/>
  <c r="AC2213" i="13034"/>
  <c r="AF2212" i="13034"/>
  <c r="AE2212" i="13034"/>
  <c r="AC2212" i="13034"/>
  <c r="AF2211" i="13034"/>
  <c r="AE2211" i="13034"/>
  <c r="AC2211" i="13034"/>
  <c r="AC2210" i="13034"/>
  <c r="AC2209" i="13034"/>
  <c r="AC2208" i="13034"/>
  <c r="Z2208" i="13034"/>
  <c r="AC2207" i="13034"/>
  <c r="AV2206" i="13034"/>
  <c r="AT2206" i="13034"/>
  <c r="AR2206" i="13034"/>
  <c r="AP2206" i="13034"/>
  <c r="AN2206" i="13034"/>
  <c r="AL2206" i="13034"/>
  <c r="AJ2206" i="13034"/>
  <c r="AH2206" i="13034"/>
  <c r="AF2206" i="13034"/>
  <c r="AE2206" i="13034"/>
  <c r="AC2206" i="13034"/>
  <c r="AA2206" i="13034"/>
  <c r="Z2206" i="13034"/>
  <c r="AV2205" i="13034"/>
  <c r="AT2205" i="13034"/>
  <c r="AR2205" i="13034"/>
  <c r="AP2205" i="13034"/>
  <c r="AN2205" i="13034"/>
  <c r="AL2205" i="13034"/>
  <c r="AJ2205" i="13034"/>
  <c r="AH2205" i="13034"/>
  <c r="AF2205" i="13034"/>
  <c r="AE2205" i="13034"/>
  <c r="AC2205" i="13034"/>
  <c r="AA2205" i="13034"/>
  <c r="Z2205" i="13034"/>
  <c r="AN2204" i="13034"/>
  <c r="AL2204" i="13034"/>
  <c r="AJ2204" i="13034"/>
  <c r="AH2204" i="13034"/>
  <c r="AC2204" i="13034"/>
  <c r="AT2203" i="13034"/>
  <c r="AR2203" i="13034"/>
  <c r="AP2203" i="13034"/>
  <c r="AJ2203" i="13034"/>
  <c r="AH2203" i="13034"/>
  <c r="AF2203" i="13034"/>
  <c r="AE2203" i="13034"/>
  <c r="AC2203" i="13034"/>
  <c r="AA2203" i="13034"/>
  <c r="Z2203" i="13034"/>
  <c r="AT2202" i="13034"/>
  <c r="AR2202" i="13034"/>
  <c r="AP2202" i="13034"/>
  <c r="AJ2202" i="13034"/>
  <c r="AH2202" i="13034"/>
  <c r="AC2202" i="13034"/>
  <c r="AA2202" i="13034"/>
  <c r="Z2202" i="13034"/>
  <c r="AV2201" i="13034"/>
  <c r="AT2201" i="13034"/>
  <c r="AR2201" i="13034"/>
  <c r="AP2201" i="13034"/>
  <c r="AN2201" i="13034"/>
  <c r="AL2201" i="13034"/>
  <c r="AJ2201" i="13034"/>
  <c r="AH2201" i="13034"/>
  <c r="AF2201" i="13034"/>
  <c r="AC2201" i="13034"/>
  <c r="AA2201" i="13034"/>
  <c r="AV2200" i="13034"/>
  <c r="AT2200" i="13034"/>
  <c r="AR2200" i="13034"/>
  <c r="AP2200" i="13034"/>
  <c r="AN2200" i="13034"/>
  <c r="AL2200" i="13034"/>
  <c r="AJ2200" i="13034"/>
  <c r="AH2200" i="13034"/>
  <c r="AC2200" i="13034"/>
  <c r="AV2199" i="13034"/>
  <c r="AT2199" i="13034"/>
  <c r="AR2199" i="13034"/>
  <c r="AP2199" i="13034"/>
  <c r="AN2199" i="13034"/>
  <c r="AL2199" i="13034"/>
  <c r="AJ2199" i="13034"/>
  <c r="AH2199" i="13034"/>
  <c r="AC2199" i="13034"/>
  <c r="AV2198" i="13034"/>
  <c r="AT2198" i="13034"/>
  <c r="AR2198" i="13034"/>
  <c r="AP2198" i="13034"/>
  <c r="AN2198" i="13034"/>
  <c r="AL2198" i="13034"/>
  <c r="AJ2198" i="13034"/>
  <c r="AH2198" i="13034"/>
  <c r="AC2198" i="13034"/>
  <c r="AV2197" i="13034"/>
  <c r="AT2197" i="13034"/>
  <c r="AR2197" i="13034"/>
  <c r="AP2197" i="13034"/>
  <c r="AN2197" i="13034"/>
  <c r="AL2197" i="13034"/>
  <c r="AJ2197" i="13034"/>
  <c r="AH2197" i="13034"/>
  <c r="AC2197" i="13034"/>
  <c r="AC2196" i="13034"/>
  <c r="AV2195" i="13034"/>
  <c r="AT2195" i="13034"/>
  <c r="AR2195" i="13034"/>
  <c r="AP2195" i="13034"/>
  <c r="AN2195" i="13034"/>
  <c r="AL2195" i="13034"/>
  <c r="AJ2195" i="13034"/>
  <c r="AH2195" i="13034"/>
  <c r="AC2195" i="13034"/>
  <c r="AV2194" i="13034"/>
  <c r="AT2194" i="13034"/>
  <c r="AR2194" i="13034"/>
  <c r="AP2194" i="13034"/>
  <c r="AN2194" i="13034"/>
  <c r="AL2194" i="13034"/>
  <c r="AJ2194" i="13034"/>
  <c r="AH2194" i="13034"/>
  <c r="AC2194" i="13034"/>
  <c r="AF2193" i="13034"/>
  <c r="AE2193" i="13034"/>
  <c r="AC2193" i="13034"/>
  <c r="AF2192" i="13034"/>
  <c r="AE2192" i="13034"/>
  <c r="AC2192" i="13034"/>
  <c r="AF2191" i="13034"/>
  <c r="AE2191" i="13034"/>
  <c r="AC2191" i="13034"/>
  <c r="AF2190" i="13034"/>
  <c r="AE2190" i="13034"/>
  <c r="AC2190" i="13034"/>
  <c r="AF2189" i="13034"/>
  <c r="AE2189" i="13034"/>
  <c r="AC2189" i="13034"/>
  <c r="AF2188" i="13034"/>
  <c r="AE2188" i="13034"/>
  <c r="AC2188" i="13034"/>
  <c r="AC2187" i="13034"/>
  <c r="AC2186" i="13034"/>
  <c r="AC2185" i="13034"/>
  <c r="Z2185" i="13034"/>
  <c r="AC2184" i="13034"/>
  <c r="AV2183" i="13034"/>
  <c r="AT2183" i="13034"/>
  <c r="AR2183" i="13034"/>
  <c r="AP2183" i="13034"/>
  <c r="AN2183" i="13034"/>
  <c r="AL2183" i="13034"/>
  <c r="AJ2183" i="13034"/>
  <c r="AH2183" i="13034"/>
  <c r="AF2183" i="13034"/>
  <c r="AE2183" i="13034"/>
  <c r="AC2183" i="13034"/>
  <c r="AA2183" i="13034"/>
  <c r="Z2183" i="13034"/>
  <c r="AV2182" i="13034"/>
  <c r="AT2182" i="13034"/>
  <c r="AR2182" i="13034"/>
  <c r="AP2182" i="13034"/>
  <c r="AN2182" i="13034"/>
  <c r="AL2182" i="13034"/>
  <c r="AJ2182" i="13034"/>
  <c r="AH2182" i="13034"/>
  <c r="AF2182" i="13034"/>
  <c r="AE2182" i="13034"/>
  <c r="AC2182" i="13034"/>
  <c r="AA2182" i="13034"/>
  <c r="Z2182" i="13034"/>
  <c r="AN2181" i="13034"/>
  <c r="AL2181" i="13034"/>
  <c r="AJ2181" i="13034"/>
  <c r="AH2181" i="13034"/>
  <c r="AC2181" i="13034"/>
  <c r="AT2180" i="13034"/>
  <c r="AR2180" i="13034"/>
  <c r="AP2180" i="13034"/>
  <c r="AJ2180" i="13034"/>
  <c r="AH2180" i="13034"/>
  <c r="AF2180" i="13034"/>
  <c r="AE2180" i="13034"/>
  <c r="AC2180" i="13034"/>
  <c r="AA2180" i="13034"/>
  <c r="Z2180" i="13034"/>
  <c r="AT2179" i="13034"/>
  <c r="AR2179" i="13034"/>
  <c r="AP2179" i="13034"/>
  <c r="AJ2179" i="13034"/>
  <c r="AH2179" i="13034"/>
  <c r="AC2179" i="13034"/>
  <c r="AA2179" i="13034"/>
  <c r="Z2179" i="13034"/>
  <c r="AT2178" i="13034"/>
  <c r="AR2178" i="13034"/>
  <c r="AP2178" i="13034"/>
  <c r="AN2178" i="13034"/>
  <c r="AL2178" i="13034"/>
  <c r="AJ2178" i="13034"/>
  <c r="AH2178" i="13034"/>
  <c r="AC2178" i="13034"/>
  <c r="AV2177" i="13034"/>
  <c r="AT2177" i="13034"/>
  <c r="AR2177" i="13034"/>
  <c r="AP2177" i="13034"/>
  <c r="AN2177" i="13034"/>
  <c r="AL2177" i="13034"/>
  <c r="AJ2177" i="13034"/>
  <c r="AH2177" i="13034"/>
  <c r="AC2177" i="13034"/>
  <c r="AV2176" i="13034"/>
  <c r="AT2176" i="13034"/>
  <c r="AR2176" i="13034"/>
  <c r="AP2176" i="13034"/>
  <c r="AN2176" i="13034"/>
  <c r="AL2176" i="13034"/>
  <c r="AJ2176" i="13034"/>
  <c r="AH2176" i="13034"/>
  <c r="AC2176" i="13034"/>
  <c r="AV2175" i="13034"/>
  <c r="AT2175" i="13034"/>
  <c r="AR2175" i="13034"/>
  <c r="AP2175" i="13034"/>
  <c r="AN2175" i="13034"/>
  <c r="AL2175" i="13034"/>
  <c r="AJ2175" i="13034"/>
  <c r="AH2175" i="13034"/>
  <c r="AC2175" i="13034"/>
  <c r="AV2174" i="13034"/>
  <c r="AT2174" i="13034"/>
  <c r="AR2174" i="13034"/>
  <c r="AP2174" i="13034"/>
  <c r="AN2174" i="13034"/>
  <c r="AL2174" i="13034"/>
  <c r="AJ2174" i="13034"/>
  <c r="AH2174" i="13034"/>
  <c r="AC2174" i="13034"/>
  <c r="AC2173" i="13034"/>
  <c r="AV2172" i="13034"/>
  <c r="AT2172" i="13034"/>
  <c r="AR2172" i="13034"/>
  <c r="AP2172" i="13034"/>
  <c r="AN2172" i="13034"/>
  <c r="AL2172" i="13034"/>
  <c r="AJ2172" i="13034"/>
  <c r="AH2172" i="13034"/>
  <c r="AC2172" i="13034"/>
  <c r="AV2171" i="13034"/>
  <c r="AT2171" i="13034"/>
  <c r="AR2171" i="13034"/>
  <c r="AP2171" i="13034"/>
  <c r="AN2171" i="13034"/>
  <c r="AL2171" i="13034"/>
  <c r="AJ2171" i="13034"/>
  <c r="AH2171" i="13034"/>
  <c r="AC2171" i="13034"/>
  <c r="AF2170" i="13034"/>
  <c r="AE2170" i="13034"/>
  <c r="AC2170" i="13034"/>
  <c r="AF2169" i="13034"/>
  <c r="AE2169" i="13034"/>
  <c r="AC2169" i="13034"/>
  <c r="AF2168" i="13034"/>
  <c r="AE2168" i="13034"/>
  <c r="AC2168" i="13034"/>
  <c r="AF2167" i="13034"/>
  <c r="AE2167" i="13034"/>
  <c r="AC2167" i="13034"/>
  <c r="AF2166" i="13034"/>
  <c r="AE2166" i="13034"/>
  <c r="AC2166" i="13034"/>
  <c r="AF2165" i="13034"/>
  <c r="AE2165" i="13034"/>
  <c r="AC2165" i="13034"/>
  <c r="AC2164" i="13034"/>
  <c r="AL2163" i="13034"/>
  <c r="AJ2163" i="13034"/>
  <c r="AC2163" i="13034"/>
  <c r="AC2162" i="13034"/>
  <c r="AC2161" i="13034"/>
  <c r="AV2160" i="13034"/>
  <c r="AT2160" i="13034"/>
  <c r="AR2160" i="13034"/>
  <c r="AP2160" i="13034"/>
  <c r="AN2160" i="13034"/>
  <c r="AL2160" i="13034"/>
  <c r="AJ2160" i="13034"/>
  <c r="AH2160" i="13034"/>
  <c r="AF2160" i="13034"/>
  <c r="AE2160" i="13034"/>
  <c r="AC2160" i="13034"/>
  <c r="AA2160" i="13034"/>
  <c r="Z2160" i="13034"/>
  <c r="AV2159" i="13034"/>
  <c r="AT2159" i="13034"/>
  <c r="AR2159" i="13034"/>
  <c r="AP2159" i="13034"/>
  <c r="AN2159" i="13034"/>
  <c r="AL2159" i="13034"/>
  <c r="AJ2159" i="13034"/>
  <c r="AH2159" i="13034"/>
  <c r="AF2159" i="13034"/>
  <c r="AE2159" i="13034"/>
  <c r="AC2159" i="13034"/>
  <c r="AA2159" i="13034"/>
  <c r="Z2159" i="13034"/>
  <c r="AN2158" i="13034"/>
  <c r="AL2158" i="13034"/>
  <c r="AJ2158" i="13034"/>
  <c r="AH2158" i="13034"/>
  <c r="AC2158" i="13034"/>
  <c r="AT2157" i="13034"/>
  <c r="AR2157" i="13034"/>
  <c r="AP2157" i="13034"/>
  <c r="AJ2157" i="13034"/>
  <c r="AH2157" i="13034"/>
  <c r="AF2157" i="13034"/>
  <c r="AE2157" i="13034"/>
  <c r="AC2157" i="13034"/>
  <c r="AA2157" i="13034"/>
  <c r="Z2157" i="13034"/>
  <c r="AT2156" i="13034"/>
  <c r="AR2156" i="13034"/>
  <c r="AP2156" i="13034"/>
  <c r="AJ2156" i="13034"/>
  <c r="AH2156" i="13034"/>
  <c r="AC2156" i="13034"/>
  <c r="AA2156" i="13034"/>
  <c r="Z2156" i="13034"/>
  <c r="AV2155" i="13034"/>
  <c r="AT2155" i="13034"/>
  <c r="AR2155" i="13034"/>
  <c r="AP2155" i="13034"/>
  <c r="AN2155" i="13034"/>
  <c r="AL2155" i="13034"/>
  <c r="AJ2155" i="13034"/>
  <c r="AH2155" i="13034"/>
  <c r="AF2155" i="13034"/>
  <c r="AC2155" i="13034"/>
  <c r="AA2155" i="13034"/>
  <c r="AV2154" i="13034"/>
  <c r="AT2154" i="13034"/>
  <c r="AR2154" i="13034"/>
  <c r="AP2154" i="13034"/>
  <c r="AN2154" i="13034"/>
  <c r="AL2154" i="13034"/>
  <c r="AJ2154" i="13034"/>
  <c r="AH2154" i="13034"/>
  <c r="AC2154" i="13034"/>
  <c r="AV2153" i="13034"/>
  <c r="AT2153" i="13034"/>
  <c r="AR2153" i="13034"/>
  <c r="AP2153" i="13034"/>
  <c r="AN2153" i="13034"/>
  <c r="AL2153" i="13034"/>
  <c r="AJ2153" i="13034"/>
  <c r="AH2153" i="13034"/>
  <c r="AC2153" i="13034"/>
  <c r="AV2152" i="13034"/>
  <c r="AT2152" i="13034"/>
  <c r="AR2152" i="13034"/>
  <c r="AP2152" i="13034"/>
  <c r="AN2152" i="13034"/>
  <c r="AL2152" i="13034"/>
  <c r="AJ2152" i="13034"/>
  <c r="AH2152" i="13034"/>
  <c r="AC2152" i="13034"/>
  <c r="AV2151" i="13034"/>
  <c r="AT2151" i="13034"/>
  <c r="AR2151" i="13034"/>
  <c r="AP2151" i="13034"/>
  <c r="AN2151" i="13034"/>
  <c r="AL2151" i="13034"/>
  <c r="AJ2151" i="13034"/>
  <c r="AH2151" i="13034"/>
  <c r="AC2151" i="13034"/>
  <c r="AC2150" i="13034"/>
  <c r="AV2149" i="13034"/>
  <c r="AT2149" i="13034"/>
  <c r="AR2149" i="13034"/>
  <c r="AP2149" i="13034"/>
  <c r="AN2149" i="13034"/>
  <c r="AL2149" i="13034"/>
  <c r="AJ2149" i="13034"/>
  <c r="AH2149" i="13034"/>
  <c r="AC2149" i="13034"/>
  <c r="AV2148" i="13034"/>
  <c r="AT2148" i="13034"/>
  <c r="AR2148" i="13034"/>
  <c r="AP2148" i="13034"/>
  <c r="AN2148" i="13034"/>
  <c r="AL2148" i="13034"/>
  <c r="AJ2148" i="13034"/>
  <c r="AH2148" i="13034"/>
  <c r="AC2148" i="13034"/>
  <c r="AF2147" i="13034"/>
  <c r="AE2147" i="13034"/>
  <c r="AC2147" i="13034"/>
  <c r="AF2146" i="13034"/>
  <c r="AE2146" i="13034"/>
  <c r="AC2146" i="13034"/>
  <c r="AF2145" i="13034"/>
  <c r="AE2145" i="13034"/>
  <c r="AC2145" i="13034"/>
  <c r="AF2144" i="13034"/>
  <c r="AE2144" i="13034"/>
  <c r="AC2144" i="13034"/>
  <c r="AF2143" i="13034"/>
  <c r="AE2143" i="13034"/>
  <c r="AC2143" i="13034"/>
  <c r="AF2142" i="13034"/>
  <c r="AE2142" i="13034"/>
  <c r="AC2142" i="13034"/>
  <c r="AC2141" i="13034"/>
  <c r="AC2140" i="13034"/>
  <c r="Z2140" i="13034"/>
  <c r="AC2139" i="13034"/>
  <c r="AV2138" i="13034"/>
  <c r="AT2138" i="13034"/>
  <c r="AR2138" i="13034"/>
  <c r="AP2138" i="13034"/>
  <c r="AN2138" i="13034"/>
  <c r="AL2138" i="13034"/>
  <c r="AJ2138" i="13034"/>
  <c r="AH2138" i="13034"/>
  <c r="AF2138" i="13034"/>
  <c r="AE2138" i="13034"/>
  <c r="AC2138" i="13034"/>
  <c r="AA2138" i="13034"/>
  <c r="Z2138" i="13034"/>
  <c r="AV2137" i="13034"/>
  <c r="AT2137" i="13034"/>
  <c r="AR2137" i="13034"/>
  <c r="AP2137" i="13034"/>
  <c r="AN2137" i="13034"/>
  <c r="AL2137" i="13034"/>
  <c r="AJ2137" i="13034"/>
  <c r="AH2137" i="13034"/>
  <c r="AF2137" i="13034"/>
  <c r="AE2137" i="13034"/>
  <c r="AC2137" i="13034"/>
  <c r="AA2137" i="13034"/>
  <c r="Z2137" i="13034"/>
  <c r="AN2136" i="13034"/>
  <c r="AL2136" i="13034"/>
  <c r="AJ2136" i="13034"/>
  <c r="AH2136" i="13034"/>
  <c r="AC2136" i="13034"/>
  <c r="AT2135" i="13034"/>
  <c r="AR2135" i="13034"/>
  <c r="AP2135" i="13034"/>
  <c r="AJ2135" i="13034"/>
  <c r="AH2135" i="13034"/>
  <c r="AF2135" i="13034"/>
  <c r="AE2135" i="13034"/>
  <c r="AC2135" i="13034"/>
  <c r="AA2135" i="13034"/>
  <c r="Z2135" i="13034"/>
  <c r="AT2134" i="13034"/>
  <c r="AR2134" i="13034"/>
  <c r="AP2134" i="13034"/>
  <c r="AJ2134" i="13034"/>
  <c r="AH2134" i="13034"/>
  <c r="AC2134" i="13034"/>
  <c r="AA2134" i="13034"/>
  <c r="Z2134" i="13034"/>
  <c r="AV2133" i="13034"/>
  <c r="AT2133" i="13034"/>
  <c r="AR2133" i="13034"/>
  <c r="AP2133" i="13034"/>
  <c r="AN2133" i="13034"/>
  <c r="AL2133" i="13034"/>
  <c r="AJ2133" i="13034"/>
  <c r="AH2133" i="13034"/>
  <c r="AF2133" i="13034"/>
  <c r="AC2133" i="13034"/>
  <c r="AA2133" i="13034"/>
  <c r="AV2132" i="13034"/>
  <c r="AT2132" i="13034"/>
  <c r="AR2132" i="13034"/>
  <c r="AP2132" i="13034"/>
  <c r="AN2132" i="13034"/>
  <c r="AL2132" i="13034"/>
  <c r="AJ2132" i="13034"/>
  <c r="AH2132" i="13034"/>
  <c r="AC2132" i="13034"/>
  <c r="AV2131" i="13034"/>
  <c r="AT2131" i="13034"/>
  <c r="AR2131" i="13034"/>
  <c r="AP2131" i="13034"/>
  <c r="AN2131" i="13034"/>
  <c r="AL2131" i="13034"/>
  <c r="AJ2131" i="13034"/>
  <c r="AH2131" i="13034"/>
  <c r="AC2131" i="13034"/>
  <c r="AV2130" i="13034"/>
  <c r="AT2130" i="13034"/>
  <c r="AR2130" i="13034"/>
  <c r="AP2130" i="13034"/>
  <c r="AN2130" i="13034"/>
  <c r="AL2130" i="13034"/>
  <c r="AJ2130" i="13034"/>
  <c r="AH2130" i="13034"/>
  <c r="AC2130" i="13034"/>
  <c r="AV2129" i="13034"/>
  <c r="AT2129" i="13034"/>
  <c r="AR2129" i="13034"/>
  <c r="AP2129" i="13034"/>
  <c r="AN2129" i="13034"/>
  <c r="AL2129" i="13034"/>
  <c r="AJ2129" i="13034"/>
  <c r="AH2129" i="13034"/>
  <c r="AC2129" i="13034"/>
  <c r="AC2128" i="13034"/>
  <c r="AV2127" i="13034"/>
  <c r="AT2127" i="13034"/>
  <c r="AR2127" i="13034"/>
  <c r="AP2127" i="13034"/>
  <c r="AN2127" i="13034"/>
  <c r="AL2127" i="13034"/>
  <c r="AJ2127" i="13034"/>
  <c r="AH2127" i="13034"/>
  <c r="AC2127" i="13034"/>
  <c r="AV2126" i="13034"/>
  <c r="AT2126" i="13034"/>
  <c r="AR2126" i="13034"/>
  <c r="AP2126" i="13034"/>
  <c r="AN2126" i="13034"/>
  <c r="AL2126" i="13034"/>
  <c r="AJ2126" i="13034"/>
  <c r="AH2126" i="13034"/>
  <c r="AC2126" i="13034"/>
  <c r="AF2125" i="13034"/>
  <c r="AE2125" i="13034"/>
  <c r="AC2125" i="13034"/>
  <c r="AF2124" i="13034"/>
  <c r="AE2124" i="13034"/>
  <c r="AC2124" i="13034"/>
  <c r="AF2123" i="13034"/>
  <c r="AE2123" i="13034"/>
  <c r="AC2123" i="13034"/>
  <c r="AF2122" i="13034"/>
  <c r="AE2122" i="13034"/>
  <c r="AC2122" i="13034"/>
  <c r="AF2121" i="13034"/>
  <c r="AE2121" i="13034"/>
  <c r="AC2121" i="13034"/>
  <c r="AF2120" i="13034"/>
  <c r="AE2120" i="13034"/>
  <c r="AC2120" i="13034"/>
  <c r="AC2119" i="13034"/>
  <c r="AC2118" i="13034"/>
  <c r="Z2118" i="13034"/>
  <c r="AC2117" i="13034"/>
  <c r="AV2116" i="13034"/>
  <c r="AT2116" i="13034"/>
  <c r="AR2116" i="13034"/>
  <c r="AP2116" i="13034"/>
  <c r="AN2116" i="13034"/>
  <c r="AL2116" i="13034"/>
  <c r="AJ2116" i="13034"/>
  <c r="AH2116" i="13034"/>
  <c r="AF2116" i="13034"/>
  <c r="AE2116" i="13034"/>
  <c r="AC2116" i="13034"/>
  <c r="AA2116" i="13034"/>
  <c r="Z2116" i="13034"/>
  <c r="AV2115" i="13034"/>
  <c r="AT2115" i="13034"/>
  <c r="AR2115" i="13034"/>
  <c r="AP2115" i="13034"/>
  <c r="AN2115" i="13034"/>
  <c r="AL2115" i="13034"/>
  <c r="AJ2115" i="13034"/>
  <c r="AH2115" i="13034"/>
  <c r="AF2115" i="13034"/>
  <c r="AE2115" i="13034"/>
  <c r="AC2115" i="13034"/>
  <c r="AA2115" i="13034"/>
  <c r="Z2115" i="13034"/>
  <c r="AN2114" i="13034"/>
  <c r="AL2114" i="13034"/>
  <c r="AJ2114" i="13034"/>
  <c r="AH2114" i="13034"/>
  <c r="AC2114" i="13034"/>
  <c r="AT2113" i="13034"/>
  <c r="AR2113" i="13034"/>
  <c r="AP2113" i="13034"/>
  <c r="AJ2113" i="13034"/>
  <c r="AH2113" i="13034"/>
  <c r="AF2113" i="13034"/>
  <c r="AE2113" i="13034"/>
  <c r="AC2113" i="13034"/>
  <c r="AA2113" i="13034"/>
  <c r="Z2113" i="13034"/>
  <c r="AT2112" i="13034"/>
  <c r="AR2112" i="13034"/>
  <c r="AP2112" i="13034"/>
  <c r="AJ2112" i="13034"/>
  <c r="AH2112" i="13034"/>
  <c r="AC2112" i="13034"/>
  <c r="AA2112" i="13034"/>
  <c r="Z2112" i="13034"/>
  <c r="AV2111" i="13034"/>
  <c r="AT2111" i="13034"/>
  <c r="AR2111" i="13034"/>
  <c r="AP2111" i="13034"/>
  <c r="AN2111" i="13034"/>
  <c r="AL2111" i="13034"/>
  <c r="AJ2111" i="13034"/>
  <c r="AH2111" i="13034"/>
  <c r="AF2111" i="13034"/>
  <c r="AC2111" i="13034"/>
  <c r="AA2111" i="13034"/>
  <c r="AV2110" i="13034"/>
  <c r="AT2110" i="13034"/>
  <c r="AR2110" i="13034"/>
  <c r="AP2110" i="13034"/>
  <c r="AN2110" i="13034"/>
  <c r="AL2110" i="13034"/>
  <c r="AJ2110" i="13034"/>
  <c r="AH2110" i="13034"/>
  <c r="AC2110" i="13034"/>
  <c r="AV2109" i="13034"/>
  <c r="AT2109" i="13034"/>
  <c r="AR2109" i="13034"/>
  <c r="AP2109" i="13034"/>
  <c r="AN2109" i="13034"/>
  <c r="AL2109" i="13034"/>
  <c r="AJ2109" i="13034"/>
  <c r="AH2109" i="13034"/>
  <c r="AC2109" i="13034"/>
  <c r="AV2108" i="13034"/>
  <c r="AT2108" i="13034"/>
  <c r="AR2108" i="13034"/>
  <c r="AP2108" i="13034"/>
  <c r="AN2108" i="13034"/>
  <c r="AL2108" i="13034"/>
  <c r="AJ2108" i="13034"/>
  <c r="AH2108" i="13034"/>
  <c r="AC2108" i="13034"/>
  <c r="AV2107" i="13034"/>
  <c r="AT2107" i="13034"/>
  <c r="AR2107" i="13034"/>
  <c r="AP2107" i="13034"/>
  <c r="AN2107" i="13034"/>
  <c r="AL2107" i="13034"/>
  <c r="AJ2107" i="13034"/>
  <c r="AH2107" i="13034"/>
  <c r="AC2107" i="13034"/>
  <c r="AC2106" i="13034"/>
  <c r="AV2105" i="13034"/>
  <c r="AT2105" i="13034"/>
  <c r="AR2105" i="13034"/>
  <c r="AP2105" i="13034"/>
  <c r="AN2105" i="13034"/>
  <c r="AL2105" i="13034"/>
  <c r="AJ2105" i="13034"/>
  <c r="AH2105" i="13034"/>
  <c r="AC2105" i="13034"/>
  <c r="AV2104" i="13034"/>
  <c r="AT2104" i="13034"/>
  <c r="AR2104" i="13034"/>
  <c r="AP2104" i="13034"/>
  <c r="AN2104" i="13034"/>
  <c r="AL2104" i="13034"/>
  <c r="AJ2104" i="13034"/>
  <c r="AH2104" i="13034"/>
  <c r="AC2104" i="13034"/>
  <c r="AF2103" i="13034"/>
  <c r="AE2103" i="13034"/>
  <c r="AC2103" i="13034"/>
  <c r="AF2102" i="13034"/>
  <c r="AE2102" i="13034"/>
  <c r="AC2102" i="13034"/>
  <c r="AF2101" i="13034"/>
  <c r="AE2101" i="13034"/>
  <c r="AC2101" i="13034"/>
  <c r="AF2100" i="13034"/>
  <c r="AE2100" i="13034"/>
  <c r="AC2100" i="13034"/>
  <c r="AF2099" i="13034"/>
  <c r="AE2099" i="13034"/>
  <c r="AC2099" i="13034"/>
  <c r="AF2098" i="13034"/>
  <c r="AE2098" i="13034"/>
  <c r="AC2098" i="13034"/>
  <c r="AC2097" i="13034"/>
  <c r="AC2096" i="13034"/>
  <c r="Z2096" i="13034"/>
  <c r="AC2095" i="13034"/>
  <c r="AV2094" i="13034"/>
  <c r="AT2094" i="13034"/>
  <c r="AR2094" i="13034"/>
  <c r="AP2094" i="13034"/>
  <c r="AN2094" i="13034"/>
  <c r="AL2094" i="13034"/>
  <c r="AJ2094" i="13034"/>
  <c r="AH2094" i="13034"/>
  <c r="AF2094" i="13034"/>
  <c r="AE2094" i="13034"/>
  <c r="AC2094" i="13034"/>
  <c r="AA2094" i="13034"/>
  <c r="Z2094" i="13034"/>
  <c r="AV2093" i="13034"/>
  <c r="AT2093" i="13034"/>
  <c r="AR2093" i="13034"/>
  <c r="AP2093" i="13034"/>
  <c r="AN2093" i="13034"/>
  <c r="AL2093" i="13034"/>
  <c r="AJ2093" i="13034"/>
  <c r="AH2093" i="13034"/>
  <c r="AF2093" i="13034"/>
  <c r="AE2093" i="13034"/>
  <c r="AC2093" i="13034"/>
  <c r="AA2093" i="13034"/>
  <c r="Z2093" i="13034"/>
  <c r="AN2092" i="13034"/>
  <c r="AL2092" i="13034"/>
  <c r="AJ2092" i="13034"/>
  <c r="AH2092" i="13034"/>
  <c r="AC2092" i="13034"/>
  <c r="AT2091" i="13034"/>
  <c r="AR2091" i="13034"/>
  <c r="AP2091" i="13034"/>
  <c r="AJ2091" i="13034"/>
  <c r="AH2091" i="13034"/>
  <c r="AF2091" i="13034"/>
  <c r="AE2091" i="13034"/>
  <c r="AC2091" i="13034"/>
  <c r="AA2091" i="13034"/>
  <c r="Z2091" i="13034"/>
  <c r="AT2090" i="13034"/>
  <c r="AR2090" i="13034"/>
  <c r="AP2090" i="13034"/>
  <c r="AJ2090" i="13034"/>
  <c r="AH2090" i="13034"/>
  <c r="AC2090" i="13034"/>
  <c r="AA2090" i="13034"/>
  <c r="Z2090" i="13034"/>
  <c r="AT2089" i="13034"/>
  <c r="AR2089" i="13034"/>
  <c r="AP2089" i="13034"/>
  <c r="AN2089" i="13034"/>
  <c r="AL2089" i="13034"/>
  <c r="AJ2089" i="13034"/>
  <c r="AH2089" i="13034"/>
  <c r="AC2089" i="13034"/>
  <c r="AV2088" i="13034"/>
  <c r="AT2088" i="13034"/>
  <c r="AR2088" i="13034"/>
  <c r="AP2088" i="13034"/>
  <c r="AN2088" i="13034"/>
  <c r="AL2088" i="13034"/>
  <c r="AJ2088" i="13034"/>
  <c r="AH2088" i="13034"/>
  <c r="AC2088" i="13034"/>
  <c r="AV2087" i="13034"/>
  <c r="AT2087" i="13034"/>
  <c r="AR2087" i="13034"/>
  <c r="AP2087" i="13034"/>
  <c r="AN2087" i="13034"/>
  <c r="AL2087" i="13034"/>
  <c r="AJ2087" i="13034"/>
  <c r="AH2087" i="13034"/>
  <c r="AC2087" i="13034"/>
  <c r="AV2086" i="13034"/>
  <c r="AT2086" i="13034"/>
  <c r="AR2086" i="13034"/>
  <c r="AP2086" i="13034"/>
  <c r="AN2086" i="13034"/>
  <c r="AL2086" i="13034"/>
  <c r="AJ2086" i="13034"/>
  <c r="AH2086" i="13034"/>
  <c r="AC2086" i="13034"/>
  <c r="AV2085" i="13034"/>
  <c r="AT2085" i="13034"/>
  <c r="AR2085" i="13034"/>
  <c r="AP2085" i="13034"/>
  <c r="AN2085" i="13034"/>
  <c r="AL2085" i="13034"/>
  <c r="AJ2085" i="13034"/>
  <c r="AH2085" i="13034"/>
  <c r="AC2085" i="13034"/>
  <c r="AC2084" i="13034"/>
  <c r="AV2083" i="13034"/>
  <c r="AT2083" i="13034"/>
  <c r="AR2083" i="13034"/>
  <c r="AP2083" i="13034"/>
  <c r="AN2083" i="13034"/>
  <c r="AL2083" i="13034"/>
  <c r="AJ2083" i="13034"/>
  <c r="AH2083" i="13034"/>
  <c r="AC2083" i="13034"/>
  <c r="AV2082" i="13034"/>
  <c r="AT2082" i="13034"/>
  <c r="AR2082" i="13034"/>
  <c r="AP2082" i="13034"/>
  <c r="AN2082" i="13034"/>
  <c r="AL2082" i="13034"/>
  <c r="AJ2082" i="13034"/>
  <c r="AH2082" i="13034"/>
  <c r="AC2082" i="13034"/>
  <c r="AF2081" i="13034"/>
  <c r="AE2081" i="13034"/>
  <c r="AC2081" i="13034"/>
  <c r="AF2080" i="13034"/>
  <c r="AE2080" i="13034"/>
  <c r="AC2080" i="13034"/>
  <c r="AF2079" i="13034"/>
  <c r="AE2079" i="13034"/>
  <c r="AC2079" i="13034"/>
  <c r="AF2078" i="13034"/>
  <c r="AE2078" i="13034"/>
  <c r="AC2078" i="13034"/>
  <c r="AF2077" i="13034"/>
  <c r="AE2077" i="13034"/>
  <c r="AC2077" i="13034"/>
  <c r="AF2076" i="13034"/>
  <c r="AE2076" i="13034"/>
  <c r="AC2076" i="13034"/>
  <c r="AC2075" i="13034"/>
  <c r="AC2074" i="13034"/>
  <c r="AC2073" i="13034"/>
  <c r="AV2072" i="13034"/>
  <c r="AT2072" i="13034"/>
  <c r="AR2072" i="13034"/>
  <c r="AP2072" i="13034"/>
  <c r="AN2072" i="13034"/>
  <c r="AL2072" i="13034"/>
  <c r="AJ2072" i="13034"/>
  <c r="AH2072" i="13034"/>
  <c r="AF2072" i="13034"/>
  <c r="AE2072" i="13034"/>
  <c r="AC2072" i="13034"/>
  <c r="AA2072" i="13034"/>
  <c r="Z2072" i="13034"/>
  <c r="AV2071" i="13034"/>
  <c r="AT2071" i="13034"/>
  <c r="AR2071" i="13034"/>
  <c r="AP2071" i="13034"/>
  <c r="AN2071" i="13034"/>
  <c r="AL2071" i="13034"/>
  <c r="AJ2071" i="13034"/>
  <c r="AH2071" i="13034"/>
  <c r="AF2071" i="13034"/>
  <c r="AE2071" i="13034"/>
  <c r="AC2071" i="13034"/>
  <c r="AA2071" i="13034"/>
  <c r="Z2071" i="13034"/>
  <c r="AN2070" i="13034"/>
  <c r="AL2070" i="13034"/>
  <c r="AJ2070" i="13034"/>
  <c r="AH2070" i="13034"/>
  <c r="AC2070" i="13034"/>
  <c r="AV2069" i="13034"/>
  <c r="AT2069" i="13034"/>
  <c r="AR2069" i="13034"/>
  <c r="AP2069" i="13034"/>
  <c r="AN2069" i="13034"/>
  <c r="AL2069" i="13034"/>
  <c r="AJ2069" i="13034"/>
  <c r="AH2069" i="13034"/>
  <c r="AF2069" i="13034"/>
  <c r="AE2069" i="13034"/>
  <c r="AC2069" i="13034"/>
  <c r="AT2068" i="13034"/>
  <c r="AR2068" i="13034"/>
  <c r="AP2068" i="13034"/>
  <c r="AJ2068" i="13034"/>
  <c r="AH2068" i="13034"/>
  <c r="AF2068" i="13034"/>
  <c r="AE2068" i="13034"/>
  <c r="AC2068" i="13034"/>
  <c r="AA2068" i="13034"/>
  <c r="Z2068" i="13034"/>
  <c r="AT2067" i="13034"/>
  <c r="AR2067" i="13034"/>
  <c r="AP2067" i="13034"/>
  <c r="AJ2067" i="13034"/>
  <c r="AH2067" i="13034"/>
  <c r="AC2067" i="13034"/>
  <c r="AA2067" i="13034"/>
  <c r="Z2067" i="13034"/>
  <c r="AV2066" i="13034"/>
  <c r="AT2066" i="13034"/>
  <c r="AR2066" i="13034"/>
  <c r="AP2066" i="13034"/>
  <c r="AN2066" i="13034"/>
  <c r="AL2066" i="13034"/>
  <c r="AJ2066" i="13034"/>
  <c r="AH2066" i="13034"/>
  <c r="AF2066" i="13034"/>
  <c r="AC2066" i="13034"/>
  <c r="AA2066" i="13034"/>
  <c r="AC2065" i="13034"/>
  <c r="AV2064" i="13034"/>
  <c r="AT2064" i="13034"/>
  <c r="AR2064" i="13034"/>
  <c r="AP2064" i="13034"/>
  <c r="AN2064" i="13034"/>
  <c r="AL2064" i="13034"/>
  <c r="AJ2064" i="13034"/>
  <c r="AH2064" i="13034"/>
  <c r="AC2064" i="13034"/>
  <c r="AV2063" i="13034"/>
  <c r="AT2063" i="13034"/>
  <c r="AR2063" i="13034"/>
  <c r="AP2063" i="13034"/>
  <c r="AN2063" i="13034"/>
  <c r="AL2063" i="13034"/>
  <c r="AJ2063" i="13034"/>
  <c r="AH2063" i="13034"/>
  <c r="AC2063" i="13034"/>
  <c r="AV2062" i="13034"/>
  <c r="AT2062" i="13034"/>
  <c r="AR2062" i="13034"/>
  <c r="AP2062" i="13034"/>
  <c r="AN2062" i="13034"/>
  <c r="AL2062" i="13034"/>
  <c r="AJ2062" i="13034"/>
  <c r="AH2062" i="13034"/>
  <c r="AC2062" i="13034"/>
  <c r="AV2061" i="13034"/>
  <c r="AT2061" i="13034"/>
  <c r="AR2061" i="13034"/>
  <c r="AP2061" i="13034"/>
  <c r="AN2061" i="13034"/>
  <c r="AL2061" i="13034"/>
  <c r="AJ2061" i="13034"/>
  <c r="AH2061" i="13034"/>
  <c r="AC2061" i="13034"/>
  <c r="AC2060" i="13034"/>
  <c r="AV2059" i="13034"/>
  <c r="AT2059" i="13034"/>
  <c r="AR2059" i="13034"/>
  <c r="AP2059" i="13034"/>
  <c r="AN2059" i="13034"/>
  <c r="AL2059" i="13034"/>
  <c r="AJ2059" i="13034"/>
  <c r="AH2059" i="13034"/>
  <c r="AC2059" i="13034"/>
  <c r="AV2058" i="13034"/>
  <c r="AT2058" i="13034"/>
  <c r="AR2058" i="13034"/>
  <c r="AP2058" i="13034"/>
  <c r="AN2058" i="13034"/>
  <c r="AL2058" i="13034"/>
  <c r="AJ2058" i="13034"/>
  <c r="AH2058" i="13034"/>
  <c r="AC2058" i="13034"/>
  <c r="AF2057" i="13034"/>
  <c r="AE2057" i="13034"/>
  <c r="AC2057" i="13034"/>
  <c r="AF2056" i="13034"/>
  <c r="AE2056" i="13034"/>
  <c r="AC2056" i="13034"/>
  <c r="AF2055" i="13034"/>
  <c r="AE2055" i="13034"/>
  <c r="AC2055" i="13034"/>
  <c r="AF2054" i="13034"/>
  <c r="AE2054" i="13034"/>
  <c r="AC2054" i="13034"/>
  <c r="AF2053" i="13034"/>
  <c r="AE2053" i="13034"/>
  <c r="AC2053" i="13034"/>
  <c r="AF2052" i="13034"/>
  <c r="AE2052" i="13034"/>
  <c r="AC2052" i="13034"/>
  <c r="AC2051" i="13034"/>
  <c r="AC2050" i="13034"/>
  <c r="Z2050" i="13034"/>
  <c r="AC2049" i="13034"/>
  <c r="AV2048" i="13034"/>
  <c r="AT2048" i="13034"/>
  <c r="AR2048" i="13034"/>
  <c r="AP2048" i="13034"/>
  <c r="AN2048" i="13034"/>
  <c r="AL2048" i="13034"/>
  <c r="AJ2048" i="13034"/>
  <c r="AH2048" i="13034"/>
  <c r="AF2048" i="13034"/>
  <c r="AE2048" i="13034"/>
  <c r="AC2048" i="13034"/>
  <c r="AA2048" i="13034"/>
  <c r="Z2048" i="13034"/>
  <c r="AV2047" i="13034"/>
  <c r="AT2047" i="13034"/>
  <c r="AR2047" i="13034"/>
  <c r="AP2047" i="13034"/>
  <c r="AN2047" i="13034"/>
  <c r="AL2047" i="13034"/>
  <c r="AJ2047" i="13034"/>
  <c r="AH2047" i="13034"/>
  <c r="AF2047" i="13034"/>
  <c r="AE2047" i="13034"/>
  <c r="AC2047" i="13034"/>
  <c r="AA2047" i="13034"/>
  <c r="Z2047" i="13034"/>
  <c r="AN2046" i="13034"/>
  <c r="AL2046" i="13034"/>
  <c r="AJ2046" i="13034"/>
  <c r="AH2046" i="13034"/>
  <c r="AC2046" i="13034"/>
  <c r="AV2045" i="13034"/>
  <c r="AT2045" i="13034"/>
  <c r="AR2045" i="13034"/>
  <c r="AP2045" i="13034"/>
  <c r="AN2045" i="13034"/>
  <c r="AL2045" i="13034"/>
  <c r="AJ2045" i="13034"/>
  <c r="AH2045" i="13034"/>
  <c r="AF2045" i="13034"/>
  <c r="AE2045" i="13034"/>
  <c r="AC2045" i="13034"/>
  <c r="AT2044" i="13034"/>
  <c r="AR2044" i="13034"/>
  <c r="AP2044" i="13034"/>
  <c r="AJ2044" i="13034"/>
  <c r="AH2044" i="13034"/>
  <c r="AF2044" i="13034"/>
  <c r="AE2044" i="13034"/>
  <c r="AC2044" i="13034"/>
  <c r="AA2044" i="13034"/>
  <c r="Z2044" i="13034"/>
  <c r="AT2043" i="13034"/>
  <c r="AR2043" i="13034"/>
  <c r="AP2043" i="13034"/>
  <c r="AJ2043" i="13034"/>
  <c r="AH2043" i="13034"/>
  <c r="AC2043" i="13034"/>
  <c r="AA2043" i="13034"/>
  <c r="Z2043" i="13034"/>
  <c r="AV2042" i="13034"/>
  <c r="AT2042" i="13034"/>
  <c r="AR2042" i="13034"/>
  <c r="AP2042" i="13034"/>
  <c r="AN2042" i="13034"/>
  <c r="AL2042" i="13034"/>
  <c r="AJ2042" i="13034"/>
  <c r="AH2042" i="13034"/>
  <c r="AF2042" i="13034"/>
  <c r="AC2042" i="13034"/>
  <c r="AA2042" i="13034"/>
  <c r="AC2041" i="13034"/>
  <c r="AV2040" i="13034"/>
  <c r="AT2040" i="13034"/>
  <c r="AR2040" i="13034"/>
  <c r="AP2040" i="13034"/>
  <c r="AN2040" i="13034"/>
  <c r="AL2040" i="13034"/>
  <c r="AJ2040" i="13034"/>
  <c r="AH2040" i="13034"/>
  <c r="AC2040" i="13034"/>
  <c r="AV2039" i="13034"/>
  <c r="AT2039" i="13034"/>
  <c r="AR2039" i="13034"/>
  <c r="AP2039" i="13034"/>
  <c r="AN2039" i="13034"/>
  <c r="AL2039" i="13034"/>
  <c r="AJ2039" i="13034"/>
  <c r="AH2039" i="13034"/>
  <c r="AC2039" i="13034"/>
  <c r="AV2038" i="13034"/>
  <c r="AT2038" i="13034"/>
  <c r="AR2038" i="13034"/>
  <c r="AP2038" i="13034"/>
  <c r="AN2038" i="13034"/>
  <c r="AL2038" i="13034"/>
  <c r="AJ2038" i="13034"/>
  <c r="AH2038" i="13034"/>
  <c r="AC2038" i="13034"/>
  <c r="AV2037" i="13034"/>
  <c r="AT2037" i="13034"/>
  <c r="AR2037" i="13034"/>
  <c r="AP2037" i="13034"/>
  <c r="AN2037" i="13034"/>
  <c r="AL2037" i="13034"/>
  <c r="AJ2037" i="13034"/>
  <c r="AH2037" i="13034"/>
  <c r="AC2037" i="13034"/>
  <c r="AC2036" i="13034"/>
  <c r="AV2035" i="13034"/>
  <c r="AT2035" i="13034"/>
  <c r="AR2035" i="13034"/>
  <c r="AP2035" i="13034"/>
  <c r="AN2035" i="13034"/>
  <c r="AL2035" i="13034"/>
  <c r="AJ2035" i="13034"/>
  <c r="AH2035" i="13034"/>
  <c r="AC2035" i="13034"/>
  <c r="AV2034" i="13034"/>
  <c r="AT2034" i="13034"/>
  <c r="AR2034" i="13034"/>
  <c r="AP2034" i="13034"/>
  <c r="AN2034" i="13034"/>
  <c r="AL2034" i="13034"/>
  <c r="AJ2034" i="13034"/>
  <c r="AH2034" i="13034"/>
  <c r="AC2034" i="13034"/>
  <c r="AF2033" i="13034"/>
  <c r="AE2033" i="13034"/>
  <c r="AC2033" i="13034"/>
  <c r="AF2032" i="13034"/>
  <c r="AE2032" i="13034"/>
  <c r="AC2032" i="13034"/>
  <c r="AF2031" i="13034"/>
  <c r="AE2031" i="13034"/>
  <c r="AC2031" i="13034"/>
  <c r="AF2030" i="13034"/>
  <c r="AE2030" i="13034"/>
  <c r="AC2030" i="13034"/>
  <c r="AF2029" i="13034"/>
  <c r="AE2029" i="13034"/>
  <c r="AC2029" i="13034"/>
  <c r="AF2028" i="13034"/>
  <c r="AE2028" i="13034"/>
  <c r="AC2028" i="13034"/>
  <c r="AC2027" i="13034"/>
  <c r="AC2026" i="13034"/>
  <c r="Z2026" i="13034"/>
  <c r="AC2025" i="13034"/>
  <c r="AV2024" i="13034"/>
  <c r="AT2024" i="13034"/>
  <c r="AR2024" i="13034"/>
  <c r="AP2024" i="13034"/>
  <c r="AN2024" i="13034"/>
  <c r="AL2024" i="13034"/>
  <c r="AJ2024" i="13034"/>
  <c r="AH2024" i="13034"/>
  <c r="AF2024" i="13034"/>
  <c r="AE2024" i="13034"/>
  <c r="AC2024" i="13034"/>
  <c r="AA2024" i="13034"/>
  <c r="Z2024" i="13034"/>
  <c r="AV2023" i="13034"/>
  <c r="AT2023" i="13034"/>
  <c r="AR2023" i="13034"/>
  <c r="AP2023" i="13034"/>
  <c r="AN2023" i="13034"/>
  <c r="AL2023" i="13034"/>
  <c r="AJ2023" i="13034"/>
  <c r="AH2023" i="13034"/>
  <c r="AF2023" i="13034"/>
  <c r="AE2023" i="13034"/>
  <c r="AC2023" i="13034"/>
  <c r="AA2023" i="13034"/>
  <c r="Z2023" i="13034"/>
  <c r="AN2022" i="13034"/>
  <c r="AL2022" i="13034"/>
  <c r="AJ2022" i="13034"/>
  <c r="AH2022" i="13034"/>
  <c r="AC2022" i="13034"/>
  <c r="AV2021" i="13034"/>
  <c r="AT2021" i="13034"/>
  <c r="AR2021" i="13034"/>
  <c r="AP2021" i="13034"/>
  <c r="AN2021" i="13034"/>
  <c r="AL2021" i="13034"/>
  <c r="AJ2021" i="13034"/>
  <c r="AH2021" i="13034"/>
  <c r="AF2021" i="13034"/>
  <c r="AE2021" i="13034"/>
  <c r="AC2021" i="13034"/>
  <c r="AT2020" i="13034"/>
  <c r="AR2020" i="13034"/>
  <c r="AP2020" i="13034"/>
  <c r="AJ2020" i="13034"/>
  <c r="AH2020" i="13034"/>
  <c r="AF2020" i="13034"/>
  <c r="AE2020" i="13034"/>
  <c r="AC2020" i="13034"/>
  <c r="AA2020" i="13034"/>
  <c r="Z2020" i="13034"/>
  <c r="AT2019" i="13034"/>
  <c r="AR2019" i="13034"/>
  <c r="AP2019" i="13034"/>
  <c r="AJ2019" i="13034"/>
  <c r="AH2019" i="13034"/>
  <c r="AC2019" i="13034"/>
  <c r="AA2019" i="13034"/>
  <c r="Z2019" i="13034"/>
  <c r="AV2018" i="13034"/>
  <c r="AT2018" i="13034"/>
  <c r="AR2018" i="13034"/>
  <c r="AP2018" i="13034"/>
  <c r="AN2018" i="13034"/>
  <c r="AL2018" i="13034"/>
  <c r="AJ2018" i="13034"/>
  <c r="AH2018" i="13034"/>
  <c r="AF2018" i="13034"/>
  <c r="AC2018" i="13034"/>
  <c r="AA2018" i="13034"/>
  <c r="AC2017" i="13034"/>
  <c r="AV2016" i="13034"/>
  <c r="AT2016" i="13034"/>
  <c r="AR2016" i="13034"/>
  <c r="AP2016" i="13034"/>
  <c r="AN2016" i="13034"/>
  <c r="AL2016" i="13034"/>
  <c r="AJ2016" i="13034"/>
  <c r="AH2016" i="13034"/>
  <c r="AC2016" i="13034"/>
  <c r="AV2015" i="13034"/>
  <c r="AT2015" i="13034"/>
  <c r="AR2015" i="13034"/>
  <c r="AP2015" i="13034"/>
  <c r="AN2015" i="13034"/>
  <c r="AL2015" i="13034"/>
  <c r="AJ2015" i="13034"/>
  <c r="AH2015" i="13034"/>
  <c r="AC2015" i="13034"/>
  <c r="AV2014" i="13034"/>
  <c r="AT2014" i="13034"/>
  <c r="AR2014" i="13034"/>
  <c r="AP2014" i="13034"/>
  <c r="AN2014" i="13034"/>
  <c r="AL2014" i="13034"/>
  <c r="AJ2014" i="13034"/>
  <c r="AH2014" i="13034"/>
  <c r="AC2014" i="13034"/>
  <c r="AV2013" i="13034"/>
  <c r="AT2013" i="13034"/>
  <c r="AR2013" i="13034"/>
  <c r="AP2013" i="13034"/>
  <c r="AN2013" i="13034"/>
  <c r="AL2013" i="13034"/>
  <c r="AJ2013" i="13034"/>
  <c r="AH2013" i="13034"/>
  <c r="AC2013" i="13034"/>
  <c r="AC2012" i="13034"/>
  <c r="AV2011" i="13034"/>
  <c r="AT2011" i="13034"/>
  <c r="AR2011" i="13034"/>
  <c r="AP2011" i="13034"/>
  <c r="AN2011" i="13034"/>
  <c r="AL2011" i="13034"/>
  <c r="AJ2011" i="13034"/>
  <c r="AH2011" i="13034"/>
  <c r="AC2011" i="13034"/>
  <c r="AV2010" i="13034"/>
  <c r="AT2010" i="13034"/>
  <c r="AR2010" i="13034"/>
  <c r="AP2010" i="13034"/>
  <c r="AN2010" i="13034"/>
  <c r="AL2010" i="13034"/>
  <c r="AJ2010" i="13034"/>
  <c r="AH2010" i="13034"/>
  <c r="AC2010" i="13034"/>
  <c r="AF2009" i="13034"/>
  <c r="AE2009" i="13034"/>
  <c r="AC2009" i="13034"/>
  <c r="AF2008" i="13034"/>
  <c r="AE2008" i="13034"/>
  <c r="AC2008" i="13034"/>
  <c r="AF2007" i="13034"/>
  <c r="AE2007" i="13034"/>
  <c r="AC2007" i="13034"/>
  <c r="AF2006" i="13034"/>
  <c r="AE2006" i="13034"/>
  <c r="AC2006" i="13034"/>
  <c r="AF2005" i="13034"/>
  <c r="AE2005" i="13034"/>
  <c r="AC2005" i="13034"/>
  <c r="AF2004" i="13034"/>
  <c r="AE2004" i="13034"/>
  <c r="AC2004" i="13034"/>
  <c r="AC2003" i="13034"/>
  <c r="AC2002" i="13034"/>
  <c r="Z2002" i="13034"/>
  <c r="AC2001" i="13034"/>
  <c r="AV2000" i="13034"/>
  <c r="AT2000" i="13034"/>
  <c r="AR2000" i="13034"/>
  <c r="AP2000" i="13034"/>
  <c r="AN2000" i="13034"/>
  <c r="AL2000" i="13034"/>
  <c r="AJ2000" i="13034"/>
  <c r="AH2000" i="13034"/>
  <c r="AF2000" i="13034"/>
  <c r="AE2000" i="13034"/>
  <c r="AC2000" i="13034"/>
  <c r="AA2000" i="13034"/>
  <c r="Z2000" i="13034"/>
  <c r="AV1999" i="13034"/>
  <c r="AT1999" i="13034"/>
  <c r="AR1999" i="13034"/>
  <c r="AP1999" i="13034"/>
  <c r="AN1999" i="13034"/>
  <c r="AL1999" i="13034"/>
  <c r="AJ1999" i="13034"/>
  <c r="AH1999" i="13034"/>
  <c r="AF1999" i="13034"/>
  <c r="AE1999" i="13034"/>
  <c r="AC1999" i="13034"/>
  <c r="AA1999" i="13034"/>
  <c r="Z1999" i="13034"/>
  <c r="AN1998" i="13034"/>
  <c r="AL1998" i="13034"/>
  <c r="AJ1998" i="13034"/>
  <c r="AH1998" i="13034"/>
  <c r="AC1998" i="13034"/>
  <c r="AV1997" i="13034"/>
  <c r="AT1997" i="13034"/>
  <c r="AR1997" i="13034"/>
  <c r="AP1997" i="13034"/>
  <c r="AN1997" i="13034"/>
  <c r="AL1997" i="13034"/>
  <c r="AJ1997" i="13034"/>
  <c r="AH1997" i="13034"/>
  <c r="AF1997" i="13034"/>
  <c r="AE1997" i="13034"/>
  <c r="AC1997" i="13034"/>
  <c r="AT1996" i="13034"/>
  <c r="AR1996" i="13034"/>
  <c r="AP1996" i="13034"/>
  <c r="AJ1996" i="13034"/>
  <c r="AH1996" i="13034"/>
  <c r="AF1996" i="13034"/>
  <c r="AE1996" i="13034"/>
  <c r="AC1996" i="13034"/>
  <c r="AA1996" i="13034"/>
  <c r="Z1996" i="13034"/>
  <c r="AT1995" i="13034"/>
  <c r="AR1995" i="13034"/>
  <c r="AP1995" i="13034"/>
  <c r="AJ1995" i="13034"/>
  <c r="AH1995" i="13034"/>
  <c r="AC1995" i="13034"/>
  <c r="AA1995" i="13034"/>
  <c r="Z1995" i="13034"/>
  <c r="AV1994" i="13034"/>
  <c r="AT1994" i="13034"/>
  <c r="AR1994" i="13034"/>
  <c r="AP1994" i="13034"/>
  <c r="AN1994" i="13034"/>
  <c r="AL1994" i="13034"/>
  <c r="AJ1994" i="13034"/>
  <c r="AH1994" i="13034"/>
  <c r="AC1994" i="13034"/>
  <c r="AT1993" i="13034"/>
  <c r="AJ1993" i="13034"/>
  <c r="AC1993" i="13034"/>
  <c r="AV1992" i="13034"/>
  <c r="AT1992" i="13034"/>
  <c r="AR1992" i="13034"/>
  <c r="AP1992" i="13034"/>
  <c r="AN1992" i="13034"/>
  <c r="AL1992" i="13034"/>
  <c r="AJ1992" i="13034"/>
  <c r="AH1992" i="13034"/>
  <c r="AC1992" i="13034"/>
  <c r="AV1991" i="13034"/>
  <c r="AT1991" i="13034"/>
  <c r="AR1991" i="13034"/>
  <c r="AP1991" i="13034"/>
  <c r="AN1991" i="13034"/>
  <c r="AL1991" i="13034"/>
  <c r="AJ1991" i="13034"/>
  <c r="AH1991" i="13034"/>
  <c r="AC1991" i="13034"/>
  <c r="AV1990" i="13034"/>
  <c r="AT1990" i="13034"/>
  <c r="AR1990" i="13034"/>
  <c r="AP1990" i="13034"/>
  <c r="AN1990" i="13034"/>
  <c r="AL1990" i="13034"/>
  <c r="AJ1990" i="13034"/>
  <c r="AH1990" i="13034"/>
  <c r="AC1990" i="13034"/>
  <c r="AV1989" i="13034"/>
  <c r="AT1989" i="13034"/>
  <c r="AR1989" i="13034"/>
  <c r="AP1989" i="13034"/>
  <c r="AN1989" i="13034"/>
  <c r="AL1989" i="13034"/>
  <c r="AJ1989" i="13034"/>
  <c r="AH1989" i="13034"/>
  <c r="AC1989" i="13034"/>
  <c r="AT1988" i="13034"/>
  <c r="AR1988" i="13034"/>
  <c r="AC1988" i="13034"/>
  <c r="AV1987" i="13034"/>
  <c r="AT1987" i="13034"/>
  <c r="AR1987" i="13034"/>
  <c r="AP1987" i="13034"/>
  <c r="AN1987" i="13034"/>
  <c r="AL1987" i="13034"/>
  <c r="AJ1987" i="13034"/>
  <c r="AH1987" i="13034"/>
  <c r="AC1987" i="13034"/>
  <c r="AV1986" i="13034"/>
  <c r="AT1986" i="13034"/>
  <c r="AR1986" i="13034"/>
  <c r="AP1986" i="13034"/>
  <c r="AN1986" i="13034"/>
  <c r="AL1986" i="13034"/>
  <c r="AJ1986" i="13034"/>
  <c r="AH1986" i="13034"/>
  <c r="AC1986" i="13034"/>
  <c r="AF1985" i="13034"/>
  <c r="AE1985" i="13034"/>
  <c r="AC1985" i="13034"/>
  <c r="AF1984" i="13034"/>
  <c r="AE1984" i="13034"/>
  <c r="AC1984" i="13034"/>
  <c r="AF1983" i="13034"/>
  <c r="AE1983" i="13034"/>
  <c r="AC1983" i="13034"/>
  <c r="AF1982" i="13034"/>
  <c r="AE1982" i="13034"/>
  <c r="AC1982" i="13034"/>
  <c r="AT1981" i="13034"/>
  <c r="AR1981" i="13034"/>
  <c r="AF1981" i="13034"/>
  <c r="AE1981" i="13034"/>
  <c r="AC1981" i="13034"/>
  <c r="AT1980" i="13034"/>
  <c r="AR1980" i="13034"/>
  <c r="AF1980" i="13034"/>
  <c r="AE1980" i="13034"/>
  <c r="AC1980" i="13034"/>
  <c r="AT1979" i="13034"/>
  <c r="AR1979" i="13034"/>
  <c r="AC1979" i="13034"/>
  <c r="AT1978" i="13034"/>
  <c r="AR1978" i="13034"/>
  <c r="AC1978" i="13034"/>
  <c r="AT1977" i="13034"/>
  <c r="AR1977" i="13034"/>
  <c r="AC1977" i="13034"/>
  <c r="AV1976" i="13034"/>
  <c r="AT1976" i="13034"/>
  <c r="AR1976" i="13034"/>
  <c r="AP1976" i="13034"/>
  <c r="AN1976" i="13034"/>
  <c r="AL1976" i="13034"/>
  <c r="AJ1976" i="13034"/>
  <c r="AH1976" i="13034"/>
  <c r="AF1976" i="13034"/>
  <c r="AE1976" i="13034"/>
  <c r="AC1976" i="13034"/>
  <c r="AA1976" i="13034"/>
  <c r="Z1976" i="13034"/>
  <c r="AV1975" i="13034"/>
  <c r="AT1975" i="13034"/>
  <c r="AR1975" i="13034"/>
  <c r="AP1975" i="13034"/>
  <c r="AN1975" i="13034"/>
  <c r="AL1975" i="13034"/>
  <c r="AJ1975" i="13034"/>
  <c r="AH1975" i="13034"/>
  <c r="AF1975" i="13034"/>
  <c r="AE1975" i="13034"/>
  <c r="AC1975" i="13034"/>
  <c r="AA1975" i="13034"/>
  <c r="Z1975" i="13034"/>
  <c r="AN1974" i="13034"/>
  <c r="AL1974" i="13034"/>
  <c r="AJ1974" i="13034"/>
  <c r="AH1974" i="13034"/>
  <c r="AF1974" i="13034"/>
  <c r="AE1974" i="13034"/>
  <c r="AC1974" i="13034"/>
  <c r="AA1974" i="13034"/>
  <c r="Z1974" i="13034"/>
  <c r="AV1973" i="13034"/>
  <c r="AT1973" i="13034"/>
  <c r="AR1973" i="13034"/>
  <c r="AP1973" i="13034"/>
  <c r="AJ1973" i="13034"/>
  <c r="AH1973" i="13034"/>
  <c r="AF1973" i="13034"/>
  <c r="AE1973" i="13034"/>
  <c r="AC1973" i="13034"/>
  <c r="AA1973" i="13034"/>
  <c r="Z1973" i="13034"/>
  <c r="AV1972" i="13034"/>
  <c r="AT1972" i="13034"/>
  <c r="AR1972" i="13034"/>
  <c r="AP1972" i="13034"/>
  <c r="AJ1972" i="13034"/>
  <c r="AH1972" i="13034"/>
  <c r="AF1972" i="13034"/>
  <c r="AE1972" i="13034"/>
  <c r="AC1972" i="13034"/>
  <c r="AA1972" i="13034"/>
  <c r="Z1972" i="13034"/>
  <c r="AV1971" i="13034"/>
  <c r="AT1971" i="13034"/>
  <c r="AR1971" i="13034"/>
  <c r="AP1971" i="13034"/>
  <c r="AH1971" i="13034"/>
  <c r="AF1971" i="13034"/>
  <c r="AE1971" i="13034"/>
  <c r="AC1971" i="13034"/>
  <c r="AA1971" i="13034"/>
  <c r="Z1971" i="13034"/>
  <c r="AV1970" i="13034"/>
  <c r="AT1970" i="13034"/>
  <c r="AR1970" i="13034"/>
  <c r="AP1970" i="13034"/>
  <c r="AH1970" i="13034"/>
  <c r="AF1970" i="13034"/>
  <c r="AE1970" i="13034"/>
  <c r="AC1970" i="13034"/>
  <c r="AA1970" i="13034"/>
  <c r="Z1970" i="13034"/>
  <c r="AV1969" i="13034"/>
  <c r="AT1969" i="13034"/>
  <c r="AR1969" i="13034"/>
  <c r="AP1969" i="13034"/>
  <c r="AH1969" i="13034"/>
  <c r="AF1969" i="13034"/>
  <c r="AE1969" i="13034"/>
  <c r="AC1969" i="13034"/>
  <c r="AA1969" i="13034"/>
  <c r="Z1969" i="13034"/>
  <c r="AV1968" i="13034"/>
  <c r="AT1968" i="13034"/>
  <c r="AR1968" i="13034"/>
  <c r="AP1968" i="13034"/>
  <c r="AH1968" i="13034"/>
  <c r="AF1968" i="13034"/>
  <c r="AE1968" i="13034"/>
  <c r="AC1968" i="13034"/>
  <c r="AA1968" i="13034"/>
  <c r="Z1968" i="13034"/>
  <c r="AV1967" i="13034"/>
  <c r="AT1967" i="13034"/>
  <c r="AR1967" i="13034"/>
  <c r="AP1967" i="13034"/>
  <c r="AN1967" i="13034"/>
  <c r="AL1967" i="13034"/>
  <c r="AJ1967" i="13034"/>
  <c r="AH1967" i="13034"/>
  <c r="AF1967" i="13034"/>
  <c r="AE1967" i="13034"/>
  <c r="AC1967" i="13034"/>
  <c r="AA1967" i="13034"/>
  <c r="Z1967" i="13034"/>
  <c r="AV1966" i="13034"/>
  <c r="AT1966" i="13034"/>
  <c r="AR1966" i="13034"/>
  <c r="AP1966" i="13034"/>
  <c r="AH1966" i="13034"/>
  <c r="AF1966" i="13034"/>
  <c r="AE1966" i="13034"/>
  <c r="AC1966" i="13034"/>
  <c r="AA1966" i="13034"/>
  <c r="Z1966" i="13034"/>
  <c r="AV1965" i="13034"/>
  <c r="AT1965" i="13034"/>
  <c r="AR1965" i="13034"/>
  <c r="AP1965" i="13034"/>
  <c r="AH1965" i="13034"/>
  <c r="AF1965" i="13034"/>
  <c r="AE1965" i="13034"/>
  <c r="AC1965" i="13034"/>
  <c r="AA1965" i="13034"/>
  <c r="Z1965" i="13034"/>
  <c r="AV1964" i="13034"/>
  <c r="AT1964" i="13034"/>
  <c r="AR1964" i="13034"/>
  <c r="AP1964" i="13034"/>
  <c r="AH1964" i="13034"/>
  <c r="AF1964" i="13034"/>
  <c r="AE1964" i="13034"/>
  <c r="AC1964" i="13034"/>
  <c r="AA1964" i="13034"/>
  <c r="Z1964" i="13034"/>
  <c r="AV1963" i="13034"/>
  <c r="AT1963" i="13034"/>
  <c r="AR1963" i="13034"/>
  <c r="AP1963" i="13034"/>
  <c r="AH1963" i="13034"/>
  <c r="AF1963" i="13034"/>
  <c r="AE1963" i="13034"/>
  <c r="AC1963" i="13034"/>
  <c r="AA1963" i="13034"/>
  <c r="Z1963" i="13034"/>
  <c r="AV1962" i="13034"/>
  <c r="AT1962" i="13034"/>
  <c r="AR1962" i="13034"/>
  <c r="AP1962" i="13034"/>
  <c r="AN1962" i="13034"/>
  <c r="AL1962" i="13034"/>
  <c r="AJ1962" i="13034"/>
  <c r="AH1962" i="13034"/>
  <c r="AF1962" i="13034"/>
  <c r="AE1962" i="13034"/>
  <c r="AC1962" i="13034"/>
  <c r="AA1962" i="13034"/>
  <c r="Z1962" i="13034"/>
  <c r="AV1961" i="13034"/>
  <c r="AT1961" i="13034"/>
  <c r="AR1961" i="13034"/>
  <c r="AP1961" i="13034"/>
  <c r="AH1961" i="13034"/>
  <c r="AF1961" i="13034"/>
  <c r="AE1961" i="13034"/>
  <c r="AC1961" i="13034"/>
  <c r="AA1961" i="13034"/>
  <c r="Z1961" i="13034"/>
  <c r="AV1960" i="13034"/>
  <c r="AT1960" i="13034"/>
  <c r="AR1960" i="13034"/>
  <c r="AP1960" i="13034"/>
  <c r="AH1960" i="13034"/>
  <c r="AF1960" i="13034"/>
  <c r="AE1960" i="13034"/>
  <c r="AC1960" i="13034"/>
  <c r="AA1960" i="13034"/>
  <c r="Z1960" i="13034"/>
  <c r="AV1959" i="13034"/>
  <c r="AT1959" i="13034"/>
  <c r="AR1959" i="13034"/>
  <c r="AP1959" i="13034"/>
  <c r="AH1959" i="13034"/>
  <c r="AF1959" i="13034"/>
  <c r="AE1959" i="13034"/>
  <c r="AC1959" i="13034"/>
  <c r="AA1959" i="13034"/>
  <c r="Z1959" i="13034"/>
  <c r="AV1958" i="13034"/>
  <c r="AT1958" i="13034"/>
  <c r="AR1958" i="13034"/>
  <c r="AP1958" i="13034"/>
  <c r="AH1958" i="13034"/>
  <c r="AF1958" i="13034"/>
  <c r="AE1958" i="13034"/>
  <c r="AC1958" i="13034"/>
  <c r="AA1958" i="13034"/>
  <c r="Z1958" i="13034"/>
  <c r="AV1957" i="13034"/>
  <c r="AT1957" i="13034"/>
  <c r="AR1957" i="13034"/>
  <c r="AP1957" i="13034"/>
  <c r="AN1957" i="13034"/>
  <c r="AL1957" i="13034"/>
  <c r="AJ1957" i="13034"/>
  <c r="AH1957" i="13034"/>
  <c r="AF1957" i="13034"/>
  <c r="AE1957" i="13034"/>
  <c r="AC1957" i="13034"/>
  <c r="AA1957" i="13034"/>
  <c r="Z1957" i="13034"/>
  <c r="AV1956" i="13034"/>
  <c r="AT1956" i="13034"/>
  <c r="AR1956" i="13034"/>
  <c r="AP1956" i="13034"/>
  <c r="AN1956" i="13034"/>
  <c r="AL1956" i="13034"/>
  <c r="AJ1956" i="13034"/>
  <c r="AH1956" i="13034"/>
  <c r="AF1956" i="13034"/>
  <c r="AE1956" i="13034"/>
  <c r="AC1956" i="13034"/>
  <c r="AA1956" i="13034"/>
  <c r="Z1956" i="13034"/>
  <c r="AV1955" i="13034"/>
  <c r="AT1955" i="13034"/>
  <c r="AR1955" i="13034"/>
  <c r="AP1955" i="13034"/>
  <c r="AF1955" i="13034"/>
  <c r="AE1955" i="13034"/>
  <c r="AC1955" i="13034"/>
  <c r="AA1955" i="13034"/>
  <c r="Z1955" i="13034"/>
  <c r="AV1954" i="13034"/>
  <c r="AT1954" i="13034"/>
  <c r="AR1954" i="13034"/>
  <c r="AP1954" i="13034"/>
  <c r="AF1954" i="13034"/>
  <c r="AE1954" i="13034"/>
  <c r="AC1954" i="13034"/>
  <c r="AA1954" i="13034"/>
  <c r="Z1954" i="13034"/>
  <c r="AV1953" i="13034"/>
  <c r="AT1953" i="13034"/>
  <c r="AR1953" i="13034"/>
  <c r="AP1953" i="13034"/>
  <c r="AN1953" i="13034"/>
  <c r="AL1953" i="13034"/>
  <c r="AJ1953" i="13034"/>
  <c r="AH1953" i="13034"/>
  <c r="AF1953" i="13034"/>
  <c r="AE1953" i="13034"/>
  <c r="AC1953" i="13034"/>
  <c r="AA1953" i="13034"/>
  <c r="Z1953" i="13034"/>
  <c r="AV1952" i="13034"/>
  <c r="AT1952" i="13034"/>
  <c r="AR1952" i="13034"/>
  <c r="AP1952" i="13034"/>
  <c r="AF1952" i="13034"/>
  <c r="AE1952" i="13034"/>
  <c r="AC1952" i="13034"/>
  <c r="AA1952" i="13034"/>
  <c r="Z1952" i="13034"/>
  <c r="AV1951" i="13034"/>
  <c r="AT1951" i="13034"/>
  <c r="AR1951" i="13034"/>
  <c r="AP1951" i="13034"/>
  <c r="AF1951" i="13034"/>
  <c r="AE1951" i="13034"/>
  <c r="AC1951" i="13034"/>
  <c r="AA1951" i="13034"/>
  <c r="Z1951" i="13034"/>
  <c r="AV1950" i="13034"/>
  <c r="AT1950" i="13034"/>
  <c r="AR1950" i="13034"/>
  <c r="AP1950" i="13034"/>
  <c r="AN1950" i="13034"/>
  <c r="AL1950" i="13034"/>
  <c r="AJ1950" i="13034"/>
  <c r="AH1950" i="13034"/>
  <c r="AF1950" i="13034"/>
  <c r="AE1950" i="13034"/>
  <c r="AC1950" i="13034"/>
  <c r="AA1950" i="13034"/>
  <c r="Z1950" i="13034"/>
  <c r="AV1949" i="13034"/>
  <c r="AT1949" i="13034"/>
  <c r="AR1949" i="13034"/>
  <c r="AP1949" i="13034"/>
  <c r="AF1949" i="13034"/>
  <c r="AE1949" i="13034"/>
  <c r="AC1949" i="13034"/>
  <c r="AA1949" i="13034"/>
  <c r="Z1949" i="13034"/>
  <c r="AV1948" i="13034"/>
  <c r="AT1948" i="13034"/>
  <c r="AR1948" i="13034"/>
  <c r="AP1948" i="13034"/>
  <c r="AF1948" i="13034"/>
  <c r="AE1948" i="13034"/>
  <c r="AC1948" i="13034"/>
  <c r="AA1948" i="13034"/>
  <c r="Z1948" i="13034"/>
  <c r="AV1947" i="13034"/>
  <c r="AT1947" i="13034"/>
  <c r="AR1947" i="13034"/>
  <c r="AP1947" i="13034"/>
  <c r="AN1947" i="13034"/>
  <c r="AL1947" i="13034"/>
  <c r="AJ1947" i="13034"/>
  <c r="AH1947" i="13034"/>
  <c r="AF1947" i="13034"/>
  <c r="AE1947" i="13034"/>
  <c r="AC1947" i="13034"/>
  <c r="AA1947" i="13034"/>
  <c r="Z1947" i="13034"/>
  <c r="AV1946" i="13034"/>
  <c r="AT1946" i="13034"/>
  <c r="AR1946" i="13034"/>
  <c r="AP1946" i="13034"/>
  <c r="AN1946" i="13034"/>
  <c r="AL1946" i="13034"/>
  <c r="AJ1946" i="13034"/>
  <c r="AH1946" i="13034"/>
  <c r="AF1946" i="13034"/>
  <c r="AE1946" i="13034"/>
  <c r="AC1946" i="13034"/>
  <c r="AA1946" i="13034"/>
  <c r="Z1946" i="13034"/>
  <c r="AV1945" i="13034"/>
  <c r="AT1945" i="13034"/>
  <c r="AR1945" i="13034"/>
  <c r="AP1945" i="13034"/>
  <c r="AL1945" i="13034"/>
  <c r="AJ1945" i="13034"/>
  <c r="AF1945" i="13034"/>
  <c r="AE1945" i="13034"/>
  <c r="AC1945" i="13034"/>
  <c r="AA1945" i="13034"/>
  <c r="Z1945" i="13034"/>
  <c r="AV1944" i="13034"/>
  <c r="AT1944" i="13034"/>
  <c r="AR1944" i="13034"/>
  <c r="AP1944" i="13034"/>
  <c r="AL1944" i="13034"/>
  <c r="AJ1944" i="13034"/>
  <c r="AF1944" i="13034"/>
  <c r="AE1944" i="13034"/>
  <c r="AC1944" i="13034"/>
  <c r="AA1944" i="13034"/>
  <c r="Z1944" i="13034"/>
  <c r="AV1943" i="13034"/>
  <c r="AT1943" i="13034"/>
  <c r="AR1943" i="13034"/>
  <c r="AP1943" i="13034"/>
  <c r="AL1943" i="13034"/>
  <c r="AJ1943" i="13034"/>
  <c r="AF1943" i="13034"/>
  <c r="AE1943" i="13034"/>
  <c r="AC1943" i="13034"/>
  <c r="AA1943" i="13034"/>
  <c r="Z1943" i="13034"/>
  <c r="AV1942" i="13034"/>
  <c r="AT1942" i="13034"/>
  <c r="AR1942" i="13034"/>
  <c r="AP1942" i="13034"/>
  <c r="AN1942" i="13034"/>
  <c r="AL1942" i="13034"/>
  <c r="AJ1942" i="13034"/>
  <c r="AH1942" i="13034"/>
  <c r="AF1942" i="13034"/>
  <c r="AE1942" i="13034"/>
  <c r="AC1942" i="13034"/>
  <c r="AA1942" i="13034"/>
  <c r="Z1942" i="13034"/>
  <c r="AV1941" i="13034"/>
  <c r="AT1941" i="13034"/>
  <c r="AR1941" i="13034"/>
  <c r="AP1941" i="13034"/>
  <c r="AL1941" i="13034"/>
  <c r="AJ1941" i="13034"/>
  <c r="AF1941" i="13034"/>
  <c r="AE1941" i="13034"/>
  <c r="AC1941" i="13034"/>
  <c r="AA1941" i="13034"/>
  <c r="Z1941" i="13034"/>
  <c r="AV1940" i="13034"/>
  <c r="AT1940" i="13034"/>
  <c r="AR1940" i="13034"/>
  <c r="AP1940" i="13034"/>
  <c r="AL1940" i="13034"/>
  <c r="AJ1940" i="13034"/>
  <c r="AF1940" i="13034"/>
  <c r="AE1940" i="13034"/>
  <c r="AC1940" i="13034"/>
  <c r="AA1940" i="13034"/>
  <c r="Z1940" i="13034"/>
  <c r="AV1939" i="13034"/>
  <c r="AT1939" i="13034"/>
  <c r="AR1939" i="13034"/>
  <c r="AP1939" i="13034"/>
  <c r="AL1939" i="13034"/>
  <c r="AJ1939" i="13034"/>
  <c r="AF1939" i="13034"/>
  <c r="AE1939" i="13034"/>
  <c r="AC1939" i="13034"/>
  <c r="AA1939" i="13034"/>
  <c r="Z1939" i="13034"/>
  <c r="AV1938" i="13034"/>
  <c r="AT1938" i="13034"/>
  <c r="AR1938" i="13034"/>
  <c r="AP1938" i="13034"/>
  <c r="AN1938" i="13034"/>
  <c r="AL1938" i="13034"/>
  <c r="AJ1938" i="13034"/>
  <c r="AH1938" i="13034"/>
  <c r="AF1938" i="13034"/>
  <c r="AE1938" i="13034"/>
  <c r="AC1938" i="13034"/>
  <c r="AA1938" i="13034"/>
  <c r="Z1938" i="13034"/>
  <c r="AV1937" i="13034"/>
  <c r="AT1937" i="13034"/>
  <c r="AR1937" i="13034"/>
  <c r="AP1937" i="13034"/>
  <c r="AN1937" i="13034"/>
  <c r="AL1937" i="13034"/>
  <c r="AJ1937" i="13034"/>
  <c r="AH1937" i="13034"/>
  <c r="AF1937" i="13034"/>
  <c r="AE1937" i="13034"/>
  <c r="AC1937" i="13034"/>
  <c r="AA1937" i="13034"/>
  <c r="Z1937" i="13034"/>
  <c r="AV1936" i="13034"/>
  <c r="AT1936" i="13034"/>
  <c r="AR1936" i="13034"/>
  <c r="AP1936" i="13034"/>
  <c r="AN1936" i="13034"/>
  <c r="AL1936" i="13034"/>
  <c r="AJ1936" i="13034"/>
  <c r="AH1936" i="13034"/>
  <c r="AF1936" i="13034"/>
  <c r="AE1936" i="13034"/>
  <c r="AC1936" i="13034"/>
  <c r="AA1936" i="13034"/>
  <c r="Z1936" i="13034"/>
  <c r="AN1935" i="13034"/>
  <c r="AL1935" i="13034"/>
  <c r="AJ1935" i="13034"/>
  <c r="AH1935" i="13034"/>
  <c r="AC1935" i="13034"/>
  <c r="AV1934" i="13034"/>
  <c r="AT1934" i="13034"/>
  <c r="AR1934" i="13034"/>
  <c r="AP1934" i="13034"/>
  <c r="AN1934" i="13034"/>
  <c r="AL1934" i="13034"/>
  <c r="AJ1934" i="13034"/>
  <c r="AH1934" i="13034"/>
  <c r="AF1934" i="13034"/>
  <c r="AE1934" i="13034"/>
  <c r="AC1934" i="13034"/>
  <c r="AA1934" i="13034"/>
  <c r="Z1934" i="13034"/>
  <c r="AV1933" i="13034"/>
  <c r="AT1933" i="13034"/>
  <c r="AR1933" i="13034"/>
  <c r="AP1933" i="13034"/>
  <c r="AN1933" i="13034"/>
  <c r="AL1933" i="13034"/>
  <c r="AJ1933" i="13034"/>
  <c r="AH1933" i="13034"/>
  <c r="AC1933" i="13034"/>
  <c r="AV1932" i="13034"/>
  <c r="AT1932" i="13034"/>
  <c r="AR1932" i="13034"/>
  <c r="AP1932" i="13034"/>
  <c r="AN1932" i="13034"/>
  <c r="AL1932" i="13034"/>
  <c r="AJ1932" i="13034"/>
  <c r="AH1932" i="13034"/>
  <c r="AC1932" i="13034"/>
  <c r="AA1932" i="13034"/>
  <c r="Z1932" i="13034"/>
  <c r="AV1931" i="13034"/>
  <c r="AT1931" i="13034"/>
  <c r="AR1931" i="13034"/>
  <c r="AP1931" i="13034"/>
  <c r="AN1931" i="13034"/>
  <c r="AL1931" i="13034"/>
  <c r="AJ1931" i="13034"/>
  <c r="AH1931" i="13034"/>
  <c r="AF1931" i="13034"/>
  <c r="AC1931" i="13034"/>
  <c r="AA1931" i="13034"/>
  <c r="AV1930" i="13034"/>
  <c r="AT1930" i="13034"/>
  <c r="AR1930" i="13034"/>
  <c r="AP1930" i="13034"/>
  <c r="AN1930" i="13034"/>
  <c r="AL1930" i="13034"/>
  <c r="AJ1930" i="13034"/>
  <c r="AH1930" i="13034"/>
  <c r="AC1930" i="13034"/>
  <c r="AV1929" i="13034"/>
  <c r="AT1929" i="13034"/>
  <c r="AR1929" i="13034"/>
  <c r="AP1929" i="13034"/>
  <c r="AN1929" i="13034"/>
  <c r="AL1929" i="13034"/>
  <c r="AJ1929" i="13034"/>
  <c r="AH1929" i="13034"/>
  <c r="AC1929" i="13034"/>
  <c r="AV1928" i="13034"/>
  <c r="AT1928" i="13034"/>
  <c r="AR1928" i="13034"/>
  <c r="AP1928" i="13034"/>
  <c r="AN1928" i="13034"/>
  <c r="AL1928" i="13034"/>
  <c r="AJ1928" i="13034"/>
  <c r="AH1928" i="13034"/>
  <c r="AC1928" i="13034"/>
  <c r="AV1927" i="13034"/>
  <c r="AT1927" i="13034"/>
  <c r="AR1927" i="13034"/>
  <c r="AP1927" i="13034"/>
  <c r="AN1927" i="13034"/>
  <c r="AL1927" i="13034"/>
  <c r="AJ1927" i="13034"/>
  <c r="AH1927" i="13034"/>
  <c r="AC1927" i="13034"/>
  <c r="AV1926" i="13034"/>
  <c r="AT1926" i="13034"/>
  <c r="AR1926" i="13034"/>
  <c r="AP1926" i="13034"/>
  <c r="AN1926" i="13034"/>
  <c r="AL1926" i="13034"/>
  <c r="AJ1926" i="13034"/>
  <c r="AH1926" i="13034"/>
  <c r="AF1926" i="13034"/>
  <c r="AE1926" i="13034"/>
  <c r="AC1926" i="13034"/>
  <c r="AA1926" i="13034"/>
  <c r="Z1926" i="13034"/>
  <c r="AV1925" i="13034"/>
  <c r="AT1925" i="13034"/>
  <c r="AR1925" i="13034"/>
  <c r="AP1925" i="13034"/>
  <c r="AN1925" i="13034"/>
  <c r="AL1925" i="13034"/>
  <c r="AJ1925" i="13034"/>
  <c r="AH1925" i="13034"/>
  <c r="AC1925" i="13034"/>
  <c r="AV1924" i="13034"/>
  <c r="AT1924" i="13034"/>
  <c r="AR1924" i="13034"/>
  <c r="AP1924" i="13034"/>
  <c r="AN1924" i="13034"/>
  <c r="AL1924" i="13034"/>
  <c r="AJ1924" i="13034"/>
  <c r="AH1924" i="13034"/>
  <c r="AC1924" i="13034"/>
  <c r="AA1924" i="13034"/>
  <c r="Z1924" i="13034"/>
  <c r="AV1923" i="13034"/>
  <c r="AT1923" i="13034"/>
  <c r="AR1923" i="13034"/>
  <c r="AP1923" i="13034"/>
  <c r="AN1923" i="13034"/>
  <c r="AL1923" i="13034"/>
  <c r="AJ1923" i="13034"/>
  <c r="AH1923" i="13034"/>
  <c r="AF1923" i="13034"/>
  <c r="AE1923" i="13034"/>
  <c r="AC1923" i="13034"/>
  <c r="AA1923" i="13034"/>
  <c r="Z1923" i="13034"/>
  <c r="AV1922" i="13034"/>
  <c r="AT1922" i="13034"/>
  <c r="AR1922" i="13034"/>
  <c r="AP1922" i="13034"/>
  <c r="AN1922" i="13034"/>
  <c r="AL1922" i="13034"/>
  <c r="AJ1922" i="13034"/>
  <c r="AH1922" i="13034"/>
  <c r="AC1922" i="13034"/>
  <c r="AV1921" i="13034"/>
  <c r="AT1921" i="13034"/>
  <c r="AR1921" i="13034"/>
  <c r="AP1921" i="13034"/>
  <c r="AN1921" i="13034"/>
  <c r="AL1921" i="13034"/>
  <c r="AJ1921" i="13034"/>
  <c r="AH1921" i="13034"/>
  <c r="AC1921" i="13034"/>
  <c r="AV1920" i="13034"/>
  <c r="AT1920" i="13034"/>
  <c r="AR1920" i="13034"/>
  <c r="AP1920" i="13034"/>
  <c r="AN1920" i="13034"/>
  <c r="AL1920" i="13034"/>
  <c r="AJ1920" i="13034"/>
  <c r="AH1920" i="13034"/>
  <c r="AC1920" i="13034"/>
  <c r="AV1919" i="13034"/>
  <c r="AT1919" i="13034"/>
  <c r="AR1919" i="13034"/>
  <c r="AP1919" i="13034"/>
  <c r="AN1919" i="13034"/>
  <c r="AL1919" i="13034"/>
  <c r="AJ1919" i="13034"/>
  <c r="AH1919" i="13034"/>
  <c r="AC1919" i="13034"/>
  <c r="AV1918" i="13034"/>
  <c r="AT1918" i="13034"/>
  <c r="AR1918" i="13034"/>
  <c r="AP1918" i="13034"/>
  <c r="AN1918" i="13034"/>
  <c r="AL1918" i="13034"/>
  <c r="AJ1918" i="13034"/>
  <c r="AH1918" i="13034"/>
  <c r="AF1918" i="13034"/>
  <c r="AE1918" i="13034"/>
  <c r="AC1918" i="13034"/>
  <c r="AA1918" i="13034"/>
  <c r="Z1918" i="13034"/>
  <c r="AN1917" i="13034"/>
  <c r="AL1917" i="13034"/>
  <c r="AJ1917" i="13034"/>
  <c r="AH1917" i="13034"/>
  <c r="AF1917" i="13034"/>
  <c r="AE1917" i="13034"/>
  <c r="AC1917" i="13034"/>
  <c r="AA1917" i="13034"/>
  <c r="Z1917" i="13034"/>
  <c r="AT1916" i="13034"/>
  <c r="AR1916" i="13034"/>
  <c r="AP1916" i="13034"/>
  <c r="AJ1916" i="13034"/>
  <c r="AH1916" i="13034"/>
  <c r="AF1916" i="13034"/>
  <c r="AE1916" i="13034"/>
  <c r="AC1916" i="13034"/>
  <c r="AA1916" i="13034"/>
  <c r="Z1916" i="13034"/>
  <c r="AT1915" i="13034"/>
  <c r="AR1915" i="13034"/>
  <c r="AP1915" i="13034"/>
  <c r="AJ1915" i="13034"/>
  <c r="AH1915" i="13034"/>
  <c r="AC1915" i="13034"/>
  <c r="AA1915" i="13034"/>
  <c r="Z1915" i="13034"/>
  <c r="AV1914" i="13034"/>
  <c r="AT1914" i="13034"/>
  <c r="AR1914" i="13034"/>
  <c r="AP1914" i="13034"/>
  <c r="AN1914" i="13034"/>
  <c r="AL1914" i="13034"/>
  <c r="AJ1914" i="13034"/>
  <c r="AH1914" i="13034"/>
  <c r="AF1914" i="13034"/>
  <c r="AE1914" i="13034"/>
  <c r="AC1914" i="13034"/>
  <c r="AA1914" i="13034"/>
  <c r="AV1913" i="13034"/>
  <c r="AT1913" i="13034"/>
  <c r="AR1913" i="13034"/>
  <c r="AP1913" i="13034"/>
  <c r="AN1913" i="13034"/>
  <c r="AL1913" i="13034"/>
  <c r="AJ1913" i="13034"/>
  <c r="AH1913" i="13034"/>
  <c r="AF1913" i="13034"/>
  <c r="AE1913" i="13034"/>
  <c r="AC1913" i="13034"/>
  <c r="AA1913" i="13034"/>
  <c r="AV1912" i="13034"/>
  <c r="AT1912" i="13034"/>
  <c r="AR1912" i="13034"/>
  <c r="AP1912" i="13034"/>
  <c r="AN1912" i="13034"/>
  <c r="AL1912" i="13034"/>
  <c r="AJ1912" i="13034"/>
  <c r="AH1912" i="13034"/>
  <c r="AF1912" i="13034"/>
  <c r="AE1912" i="13034"/>
  <c r="AC1912" i="13034"/>
  <c r="AA1912" i="13034"/>
  <c r="AV1911" i="13034"/>
  <c r="AT1911" i="13034"/>
  <c r="AR1911" i="13034"/>
  <c r="AP1911" i="13034"/>
  <c r="AN1911" i="13034"/>
  <c r="AL1911" i="13034"/>
  <c r="AJ1911" i="13034"/>
  <c r="AH1911" i="13034"/>
  <c r="AF1911" i="13034"/>
  <c r="AE1911" i="13034"/>
  <c r="AC1911" i="13034"/>
  <c r="AA1911" i="13034"/>
  <c r="AV1910" i="13034"/>
  <c r="AT1910" i="13034"/>
  <c r="AR1910" i="13034"/>
  <c r="AP1910" i="13034"/>
  <c r="AN1910" i="13034"/>
  <c r="AL1910" i="13034"/>
  <c r="AJ1910" i="13034"/>
  <c r="AH1910" i="13034"/>
  <c r="AF1910" i="13034"/>
  <c r="AE1910" i="13034"/>
  <c r="AC1910" i="13034"/>
  <c r="AA1910" i="13034"/>
  <c r="AV1909" i="13034"/>
  <c r="AT1909" i="13034"/>
  <c r="AR1909" i="13034"/>
  <c r="AP1909" i="13034"/>
  <c r="AN1909" i="13034"/>
  <c r="AL1909" i="13034"/>
  <c r="AJ1909" i="13034"/>
  <c r="AH1909" i="13034"/>
  <c r="AF1909" i="13034"/>
  <c r="AE1909" i="13034"/>
  <c r="AC1909" i="13034"/>
  <c r="AA1909" i="13034"/>
  <c r="AF1908" i="13034"/>
  <c r="AE1908" i="13034"/>
  <c r="AC1908" i="13034"/>
  <c r="AF1907" i="13034"/>
  <c r="AE1907" i="13034"/>
  <c r="AC1907" i="13034"/>
  <c r="AF1906" i="13034"/>
  <c r="AE1906" i="13034"/>
  <c r="AC1906" i="13034"/>
  <c r="AF1905" i="13034"/>
  <c r="AE1905" i="13034"/>
  <c r="AC1905" i="13034"/>
  <c r="AF1904" i="13034"/>
  <c r="AE1904" i="13034"/>
  <c r="AC1904" i="13034"/>
  <c r="AF1903" i="13034"/>
  <c r="AE1903" i="13034"/>
  <c r="AC1903" i="13034"/>
  <c r="AF1902" i="13034"/>
  <c r="AE1902" i="13034"/>
  <c r="AC1902" i="13034"/>
  <c r="AF1901" i="13034"/>
  <c r="AE1901" i="13034"/>
  <c r="AC1901" i="13034"/>
  <c r="AV1900" i="13034"/>
  <c r="AT1900" i="13034"/>
  <c r="AR1900" i="13034"/>
  <c r="AP1900" i="13034"/>
  <c r="AN1900" i="13034"/>
  <c r="AL1900" i="13034"/>
  <c r="AJ1900" i="13034"/>
  <c r="AH1900" i="13034"/>
  <c r="AF1900" i="13034"/>
  <c r="AE1900" i="13034"/>
  <c r="AC1900" i="13034"/>
  <c r="AA1900" i="13034"/>
  <c r="Z1900" i="13034"/>
  <c r="AN1899" i="13034"/>
  <c r="AL1899" i="13034"/>
  <c r="AJ1899" i="13034"/>
  <c r="AH1899" i="13034"/>
  <c r="AF1899" i="13034"/>
  <c r="AE1899" i="13034"/>
  <c r="AC1899" i="13034"/>
  <c r="AA1899" i="13034"/>
  <c r="Z1899" i="13034"/>
  <c r="AT1898" i="13034"/>
  <c r="AR1898" i="13034"/>
  <c r="AP1898" i="13034"/>
  <c r="AJ1898" i="13034"/>
  <c r="AH1898" i="13034"/>
  <c r="AF1898" i="13034"/>
  <c r="AE1898" i="13034"/>
  <c r="AC1898" i="13034"/>
  <c r="AA1898" i="13034"/>
  <c r="Z1898" i="13034"/>
  <c r="AT1897" i="13034"/>
  <c r="AR1897" i="13034"/>
  <c r="AP1897" i="13034"/>
  <c r="AJ1897" i="13034"/>
  <c r="AH1897" i="13034"/>
  <c r="AF1897" i="13034"/>
  <c r="AE1897" i="13034"/>
  <c r="AC1897" i="13034"/>
  <c r="AA1897" i="13034"/>
  <c r="Z1897" i="13034"/>
  <c r="AF1896" i="13034"/>
  <c r="AE1896" i="13034"/>
  <c r="AC1896" i="13034"/>
  <c r="AF1895" i="13034"/>
  <c r="AE1895" i="13034"/>
  <c r="AC1895" i="13034"/>
  <c r="AF1894" i="13034"/>
  <c r="AE1894" i="13034"/>
  <c r="AC1894" i="13034"/>
  <c r="AF1893" i="13034"/>
  <c r="AE1893" i="13034"/>
  <c r="AC1893" i="13034"/>
  <c r="AF1892" i="13034"/>
  <c r="AE1892" i="13034"/>
  <c r="AC1892" i="13034"/>
  <c r="AF1891" i="13034"/>
  <c r="AE1891" i="13034"/>
  <c r="AC1891" i="13034"/>
  <c r="AF1890" i="13034"/>
  <c r="AE1890" i="13034"/>
  <c r="AC1890" i="13034"/>
  <c r="AF1889" i="13034"/>
  <c r="AE1889" i="13034"/>
  <c r="AC1889" i="13034"/>
  <c r="AF1888" i="13034"/>
  <c r="AE1888" i="13034"/>
  <c r="AC1888" i="13034"/>
  <c r="Z1888" i="13034"/>
  <c r="AF1887" i="13034"/>
  <c r="AE1887" i="13034"/>
  <c r="AC1887" i="13034"/>
  <c r="AV1886" i="13034"/>
  <c r="AT1886" i="13034"/>
  <c r="AR1886" i="13034"/>
  <c r="AP1886" i="13034"/>
  <c r="AN1886" i="13034"/>
  <c r="AL1886" i="13034"/>
  <c r="AJ1886" i="13034"/>
  <c r="AH1886" i="13034"/>
  <c r="AF1886" i="13034"/>
  <c r="AE1886" i="13034"/>
  <c r="AC1886" i="13034"/>
  <c r="AA1886" i="13034"/>
  <c r="Z1886" i="13034"/>
  <c r="AV1885" i="13034"/>
  <c r="AT1885" i="13034"/>
  <c r="AR1885" i="13034"/>
  <c r="AP1885" i="13034"/>
  <c r="AN1885" i="13034"/>
  <c r="AL1885" i="13034"/>
  <c r="AJ1885" i="13034"/>
  <c r="AH1885" i="13034"/>
  <c r="AF1885" i="13034"/>
  <c r="AE1885" i="13034"/>
  <c r="AC1885" i="13034"/>
  <c r="AA1885" i="13034"/>
  <c r="Z1885" i="13034"/>
  <c r="AV1884" i="13034"/>
  <c r="AT1884" i="13034"/>
  <c r="AR1884" i="13034"/>
  <c r="AP1884" i="13034"/>
  <c r="AN1884" i="13034"/>
  <c r="AL1884" i="13034"/>
  <c r="AJ1884" i="13034"/>
  <c r="AH1884" i="13034"/>
  <c r="AF1884" i="13034"/>
  <c r="AE1884" i="13034"/>
  <c r="AC1884" i="13034"/>
  <c r="AA1884" i="13034"/>
  <c r="Z1884" i="13034"/>
  <c r="AN1883" i="13034"/>
  <c r="AL1883" i="13034"/>
  <c r="AJ1883" i="13034"/>
  <c r="AH1883" i="13034"/>
  <c r="AC1883" i="13034"/>
  <c r="AT1882" i="13034"/>
  <c r="AR1882" i="13034"/>
  <c r="AP1882" i="13034"/>
  <c r="AJ1882" i="13034"/>
  <c r="AH1882" i="13034"/>
  <c r="AF1882" i="13034"/>
  <c r="AE1882" i="13034"/>
  <c r="AC1882" i="13034"/>
  <c r="AA1882" i="13034"/>
  <c r="Z1882" i="13034"/>
  <c r="AT1881" i="13034"/>
  <c r="AR1881" i="13034"/>
  <c r="AP1881" i="13034"/>
  <c r="AJ1881" i="13034"/>
  <c r="AH1881" i="13034"/>
  <c r="AC1881" i="13034"/>
  <c r="AA1881" i="13034"/>
  <c r="Z1881" i="13034"/>
  <c r="AV1880" i="13034"/>
  <c r="AT1880" i="13034"/>
  <c r="AR1880" i="13034"/>
  <c r="AP1880" i="13034"/>
  <c r="AN1880" i="13034"/>
  <c r="AL1880" i="13034"/>
  <c r="AJ1880" i="13034"/>
  <c r="AH1880" i="13034"/>
  <c r="AF1880" i="13034"/>
  <c r="AC1880" i="13034"/>
  <c r="AA1880" i="13034"/>
  <c r="AC1879" i="13034"/>
  <c r="AC1878" i="13034"/>
  <c r="AV1877" i="13034"/>
  <c r="AT1877" i="13034"/>
  <c r="AR1877" i="13034"/>
  <c r="AP1877" i="13034"/>
  <c r="AN1877" i="13034"/>
  <c r="AL1877" i="13034"/>
  <c r="AJ1877" i="13034"/>
  <c r="AH1877" i="13034"/>
  <c r="AF1877" i="13034"/>
  <c r="AE1877" i="13034"/>
  <c r="AC1877" i="13034"/>
  <c r="AA1877" i="13034"/>
  <c r="Z1877" i="13034"/>
  <c r="AV1876" i="13034"/>
  <c r="AT1876" i="13034"/>
  <c r="AR1876" i="13034"/>
  <c r="AP1876" i="13034"/>
  <c r="AN1876" i="13034"/>
  <c r="AL1876" i="13034"/>
  <c r="AJ1876" i="13034"/>
  <c r="AH1876" i="13034"/>
  <c r="AF1876" i="13034"/>
  <c r="AE1876" i="13034"/>
  <c r="AC1876" i="13034"/>
  <c r="AA1876" i="13034"/>
  <c r="Z1876" i="13034"/>
  <c r="AN1875" i="13034"/>
  <c r="AL1875" i="13034"/>
  <c r="AJ1875" i="13034"/>
  <c r="AH1875" i="13034"/>
  <c r="AC1875" i="13034"/>
  <c r="AT1874" i="13034"/>
  <c r="AR1874" i="13034"/>
  <c r="AP1874" i="13034"/>
  <c r="AJ1874" i="13034"/>
  <c r="AH1874" i="13034"/>
  <c r="AF1874" i="13034"/>
  <c r="AE1874" i="13034"/>
  <c r="AC1874" i="13034"/>
  <c r="AA1874" i="13034"/>
  <c r="Z1874" i="13034"/>
  <c r="AT1873" i="13034"/>
  <c r="AR1873" i="13034"/>
  <c r="AP1873" i="13034"/>
  <c r="AJ1873" i="13034"/>
  <c r="AH1873" i="13034"/>
  <c r="AC1873" i="13034"/>
  <c r="AA1873" i="13034"/>
  <c r="Z1873" i="13034"/>
  <c r="AV1872" i="13034"/>
  <c r="AT1872" i="13034"/>
  <c r="AR1872" i="13034"/>
  <c r="AP1872" i="13034"/>
  <c r="AN1872" i="13034"/>
  <c r="AL1872" i="13034"/>
  <c r="AJ1872" i="13034"/>
  <c r="AH1872" i="13034"/>
  <c r="AF1872" i="13034"/>
  <c r="AC1872" i="13034"/>
  <c r="AA1872" i="13034"/>
  <c r="AC1871" i="13034"/>
  <c r="AC1870" i="13034"/>
  <c r="AV1869" i="13034"/>
  <c r="AT1869" i="13034"/>
  <c r="AR1869" i="13034"/>
  <c r="AP1869" i="13034"/>
  <c r="AN1869" i="13034"/>
  <c r="AL1869" i="13034"/>
  <c r="AJ1869" i="13034"/>
  <c r="AH1869" i="13034"/>
  <c r="AF1869" i="13034"/>
  <c r="AE1869" i="13034"/>
  <c r="AC1869" i="13034"/>
  <c r="AA1869" i="13034"/>
  <c r="Z1869" i="13034"/>
  <c r="AV1868" i="13034"/>
  <c r="AT1868" i="13034"/>
  <c r="AR1868" i="13034"/>
  <c r="AP1868" i="13034"/>
  <c r="AN1868" i="13034"/>
  <c r="AL1868" i="13034"/>
  <c r="AJ1868" i="13034"/>
  <c r="AH1868" i="13034"/>
  <c r="AF1868" i="13034"/>
  <c r="AE1868" i="13034"/>
  <c r="AC1868" i="13034"/>
  <c r="AA1868" i="13034"/>
  <c r="Z1868" i="13034"/>
  <c r="AN1867" i="13034"/>
  <c r="AL1867" i="13034"/>
  <c r="AJ1867" i="13034"/>
  <c r="AH1867" i="13034"/>
  <c r="AC1867" i="13034"/>
  <c r="AT1866" i="13034"/>
  <c r="AR1866" i="13034"/>
  <c r="AP1866" i="13034"/>
  <c r="AJ1866" i="13034"/>
  <c r="AH1866" i="13034"/>
  <c r="AF1866" i="13034"/>
  <c r="AE1866" i="13034"/>
  <c r="AC1866" i="13034"/>
  <c r="AA1866" i="13034"/>
  <c r="Z1866" i="13034"/>
  <c r="AT1865" i="13034"/>
  <c r="AR1865" i="13034"/>
  <c r="AP1865" i="13034"/>
  <c r="AJ1865" i="13034"/>
  <c r="AH1865" i="13034"/>
  <c r="AC1865" i="13034"/>
  <c r="AA1865" i="13034"/>
  <c r="Z1865" i="13034"/>
  <c r="AV1864" i="13034"/>
  <c r="AT1864" i="13034"/>
  <c r="AR1864" i="13034"/>
  <c r="AP1864" i="13034"/>
  <c r="AN1864" i="13034"/>
  <c r="AL1864" i="13034"/>
  <c r="AJ1864" i="13034"/>
  <c r="AH1864" i="13034"/>
  <c r="AF1864" i="13034"/>
  <c r="AC1864" i="13034"/>
  <c r="AA1864" i="13034"/>
  <c r="AC1863" i="13034"/>
  <c r="AC1862" i="13034"/>
  <c r="AV1861" i="13034"/>
  <c r="AT1861" i="13034"/>
  <c r="AR1861" i="13034"/>
  <c r="AP1861" i="13034"/>
  <c r="AN1861" i="13034"/>
  <c r="AL1861" i="13034"/>
  <c r="AJ1861" i="13034"/>
  <c r="AH1861" i="13034"/>
  <c r="AF1861" i="13034"/>
  <c r="AE1861" i="13034"/>
  <c r="AC1861" i="13034"/>
  <c r="AA1861" i="13034"/>
  <c r="Z1861" i="13034"/>
  <c r="AV1860" i="13034"/>
  <c r="AT1860" i="13034"/>
  <c r="AR1860" i="13034"/>
  <c r="AP1860" i="13034"/>
  <c r="AN1860" i="13034"/>
  <c r="AL1860" i="13034"/>
  <c r="AJ1860" i="13034"/>
  <c r="AH1860" i="13034"/>
  <c r="AF1860" i="13034"/>
  <c r="AE1860" i="13034"/>
  <c r="AC1860" i="13034"/>
  <c r="AA1860" i="13034"/>
  <c r="Z1860" i="13034"/>
  <c r="AN1859" i="13034"/>
  <c r="AL1859" i="13034"/>
  <c r="AJ1859" i="13034"/>
  <c r="AH1859" i="13034"/>
  <c r="AC1859" i="13034"/>
  <c r="AT1858" i="13034"/>
  <c r="AR1858" i="13034"/>
  <c r="AP1858" i="13034"/>
  <c r="AJ1858" i="13034"/>
  <c r="AH1858" i="13034"/>
  <c r="AF1858" i="13034"/>
  <c r="AE1858" i="13034"/>
  <c r="AC1858" i="13034"/>
  <c r="AA1858" i="13034"/>
  <c r="Z1858" i="13034"/>
  <c r="AT1857" i="13034"/>
  <c r="AR1857" i="13034"/>
  <c r="AP1857" i="13034"/>
  <c r="AJ1857" i="13034"/>
  <c r="AH1857" i="13034"/>
  <c r="AC1857" i="13034"/>
  <c r="AA1857" i="13034"/>
  <c r="Z1857" i="13034"/>
  <c r="AV1856" i="13034"/>
  <c r="AT1856" i="13034"/>
  <c r="AR1856" i="13034"/>
  <c r="AP1856" i="13034"/>
  <c r="AN1856" i="13034"/>
  <c r="AL1856" i="13034"/>
  <c r="AJ1856" i="13034"/>
  <c r="AH1856" i="13034"/>
  <c r="AC1856" i="13034"/>
  <c r="AC1855" i="13034"/>
  <c r="AT1854" i="13034"/>
  <c r="AR1854" i="13034"/>
  <c r="AC1854" i="13034"/>
  <c r="AV1853" i="13034"/>
  <c r="AT1853" i="13034"/>
  <c r="AR1853" i="13034"/>
  <c r="AP1853" i="13034"/>
  <c r="AN1853" i="13034"/>
  <c r="AL1853" i="13034"/>
  <c r="AJ1853" i="13034"/>
  <c r="AH1853" i="13034"/>
  <c r="AF1853" i="13034"/>
  <c r="AE1853" i="13034"/>
  <c r="AC1853" i="13034"/>
  <c r="AA1853" i="13034"/>
  <c r="Z1853" i="13034"/>
  <c r="AV1852" i="13034"/>
  <c r="AT1852" i="13034"/>
  <c r="AR1852" i="13034"/>
  <c r="AP1852" i="13034"/>
  <c r="AN1852" i="13034"/>
  <c r="AL1852" i="13034"/>
  <c r="AJ1852" i="13034"/>
  <c r="AH1852" i="13034"/>
  <c r="AF1852" i="13034"/>
  <c r="AE1852" i="13034"/>
  <c r="AC1852" i="13034"/>
  <c r="AA1852" i="13034"/>
  <c r="Z1852" i="13034"/>
  <c r="AN1851" i="13034"/>
  <c r="AL1851" i="13034"/>
  <c r="AJ1851" i="13034"/>
  <c r="AH1851" i="13034"/>
  <c r="AC1851" i="13034"/>
  <c r="AT1850" i="13034"/>
  <c r="AR1850" i="13034"/>
  <c r="AP1850" i="13034"/>
  <c r="AJ1850" i="13034"/>
  <c r="AH1850" i="13034"/>
  <c r="AF1850" i="13034"/>
  <c r="AE1850" i="13034"/>
  <c r="AC1850" i="13034"/>
  <c r="AA1850" i="13034"/>
  <c r="Z1850" i="13034"/>
  <c r="AT1849" i="13034"/>
  <c r="AR1849" i="13034"/>
  <c r="AP1849" i="13034"/>
  <c r="AJ1849" i="13034"/>
  <c r="AH1849" i="13034"/>
  <c r="AC1849" i="13034"/>
  <c r="AA1849" i="13034"/>
  <c r="Z1849" i="13034"/>
  <c r="AV1848" i="13034"/>
  <c r="AT1848" i="13034"/>
  <c r="AR1848" i="13034"/>
  <c r="AP1848" i="13034"/>
  <c r="AN1848" i="13034"/>
  <c r="AL1848" i="13034"/>
  <c r="AJ1848" i="13034"/>
  <c r="AH1848" i="13034"/>
  <c r="AF1848" i="13034"/>
  <c r="AC1848" i="13034"/>
  <c r="AA1848" i="13034"/>
  <c r="AC1847" i="13034"/>
  <c r="AC1846" i="13034"/>
  <c r="AC1845" i="13034"/>
  <c r="AC1844" i="13034"/>
  <c r="AC1843" i="13034"/>
  <c r="AV1842" i="13034"/>
  <c r="AT1842" i="13034"/>
  <c r="AR1842" i="13034"/>
  <c r="AP1842" i="13034"/>
  <c r="AN1842" i="13034"/>
  <c r="AL1842" i="13034"/>
  <c r="AJ1842" i="13034"/>
  <c r="AH1842" i="13034"/>
  <c r="AF1842" i="13034"/>
  <c r="AE1842" i="13034"/>
  <c r="AC1842" i="13034"/>
  <c r="AA1842" i="13034"/>
  <c r="Z1842" i="13034"/>
  <c r="AV1841" i="13034"/>
  <c r="AT1841" i="13034"/>
  <c r="AR1841" i="13034"/>
  <c r="AP1841" i="13034"/>
  <c r="AN1841" i="13034"/>
  <c r="AL1841" i="13034"/>
  <c r="AJ1841" i="13034"/>
  <c r="AH1841" i="13034"/>
  <c r="AF1841" i="13034"/>
  <c r="AE1841" i="13034"/>
  <c r="AC1841" i="13034"/>
  <c r="AA1841" i="13034"/>
  <c r="Z1841" i="13034"/>
  <c r="AN1840" i="13034"/>
  <c r="AL1840" i="13034"/>
  <c r="AJ1840" i="13034"/>
  <c r="AH1840" i="13034"/>
  <c r="AC1840" i="13034"/>
  <c r="AT1839" i="13034"/>
  <c r="AR1839" i="13034"/>
  <c r="AP1839" i="13034"/>
  <c r="AJ1839" i="13034"/>
  <c r="AH1839" i="13034"/>
  <c r="AF1839" i="13034"/>
  <c r="AE1839" i="13034"/>
  <c r="AC1839" i="13034"/>
  <c r="AA1839" i="13034"/>
  <c r="Z1839" i="13034"/>
  <c r="AT1838" i="13034"/>
  <c r="AR1838" i="13034"/>
  <c r="AP1838" i="13034"/>
  <c r="AJ1838" i="13034"/>
  <c r="AH1838" i="13034"/>
  <c r="AC1838" i="13034"/>
  <c r="AA1838" i="13034"/>
  <c r="Z1838" i="13034"/>
  <c r="AV1837" i="13034"/>
  <c r="AT1837" i="13034"/>
  <c r="AR1837" i="13034"/>
  <c r="AP1837" i="13034"/>
  <c r="AN1837" i="13034"/>
  <c r="AL1837" i="13034"/>
  <c r="AJ1837" i="13034"/>
  <c r="AH1837" i="13034"/>
  <c r="AF1837" i="13034"/>
  <c r="AC1837" i="13034"/>
  <c r="AA1837" i="13034"/>
  <c r="AC1836" i="13034"/>
  <c r="AC1835" i="13034"/>
  <c r="AC1834" i="13034"/>
  <c r="AC1833" i="13034"/>
  <c r="AC1832" i="13034"/>
  <c r="AV1831" i="13034"/>
  <c r="AT1831" i="13034"/>
  <c r="AR1831" i="13034"/>
  <c r="AP1831" i="13034"/>
  <c r="AN1831" i="13034"/>
  <c r="AL1831" i="13034"/>
  <c r="AJ1831" i="13034"/>
  <c r="AH1831" i="13034"/>
  <c r="AF1831" i="13034"/>
  <c r="AE1831" i="13034"/>
  <c r="AC1831" i="13034"/>
  <c r="AA1831" i="13034"/>
  <c r="Z1831" i="13034"/>
  <c r="AV1830" i="13034"/>
  <c r="AT1830" i="13034"/>
  <c r="AR1830" i="13034"/>
  <c r="AP1830" i="13034"/>
  <c r="AN1830" i="13034"/>
  <c r="AL1830" i="13034"/>
  <c r="AJ1830" i="13034"/>
  <c r="AH1830" i="13034"/>
  <c r="AF1830" i="13034"/>
  <c r="AE1830" i="13034"/>
  <c r="AC1830" i="13034"/>
  <c r="AA1830" i="13034"/>
  <c r="Z1830" i="13034"/>
  <c r="AN1829" i="13034"/>
  <c r="AL1829" i="13034"/>
  <c r="AJ1829" i="13034"/>
  <c r="AH1829" i="13034"/>
  <c r="AC1829" i="13034"/>
  <c r="AT1828" i="13034"/>
  <c r="AR1828" i="13034"/>
  <c r="AP1828" i="13034"/>
  <c r="AJ1828" i="13034"/>
  <c r="AH1828" i="13034"/>
  <c r="AF1828" i="13034"/>
  <c r="AE1828" i="13034"/>
  <c r="AC1828" i="13034"/>
  <c r="AA1828" i="13034"/>
  <c r="Z1828" i="13034"/>
  <c r="AT1827" i="13034"/>
  <c r="AR1827" i="13034"/>
  <c r="AP1827" i="13034"/>
  <c r="AJ1827" i="13034"/>
  <c r="AH1827" i="13034"/>
  <c r="AC1827" i="13034"/>
  <c r="AA1827" i="13034"/>
  <c r="Z1827" i="13034"/>
  <c r="AV1826" i="13034"/>
  <c r="AT1826" i="13034"/>
  <c r="AR1826" i="13034"/>
  <c r="AP1826" i="13034"/>
  <c r="AN1826" i="13034"/>
  <c r="AL1826" i="13034"/>
  <c r="AJ1826" i="13034"/>
  <c r="AH1826" i="13034"/>
  <c r="AF1826" i="13034"/>
  <c r="AC1826" i="13034"/>
  <c r="AA1826" i="13034"/>
  <c r="AC1825" i="13034"/>
  <c r="AC1824" i="13034"/>
  <c r="AC1823" i="13034"/>
  <c r="AC1822" i="13034"/>
  <c r="AC1821" i="13034"/>
  <c r="AV1820" i="13034"/>
  <c r="AT1820" i="13034"/>
  <c r="AR1820" i="13034"/>
  <c r="AP1820" i="13034"/>
  <c r="AN1820" i="13034"/>
  <c r="AL1820" i="13034"/>
  <c r="AJ1820" i="13034"/>
  <c r="AH1820" i="13034"/>
  <c r="AF1820" i="13034"/>
  <c r="AE1820" i="13034"/>
  <c r="AC1820" i="13034"/>
  <c r="AA1820" i="13034"/>
  <c r="Z1820" i="13034"/>
  <c r="AV1819" i="13034"/>
  <c r="AT1819" i="13034"/>
  <c r="AR1819" i="13034"/>
  <c r="AP1819" i="13034"/>
  <c r="AN1819" i="13034"/>
  <c r="AL1819" i="13034"/>
  <c r="AJ1819" i="13034"/>
  <c r="AH1819" i="13034"/>
  <c r="AF1819" i="13034"/>
  <c r="AE1819" i="13034"/>
  <c r="AC1819" i="13034"/>
  <c r="AA1819" i="13034"/>
  <c r="Z1819" i="13034"/>
  <c r="AN1818" i="13034"/>
  <c r="AL1818" i="13034"/>
  <c r="AJ1818" i="13034"/>
  <c r="AH1818" i="13034"/>
  <c r="AC1818" i="13034"/>
  <c r="AT1817" i="13034"/>
  <c r="AR1817" i="13034"/>
  <c r="AP1817" i="13034"/>
  <c r="AJ1817" i="13034"/>
  <c r="AH1817" i="13034"/>
  <c r="AF1817" i="13034"/>
  <c r="AE1817" i="13034"/>
  <c r="AC1817" i="13034"/>
  <c r="AA1817" i="13034"/>
  <c r="Z1817" i="13034"/>
  <c r="AT1816" i="13034"/>
  <c r="AR1816" i="13034"/>
  <c r="AP1816" i="13034"/>
  <c r="AJ1816" i="13034"/>
  <c r="AH1816" i="13034"/>
  <c r="AC1816" i="13034"/>
  <c r="AA1816" i="13034"/>
  <c r="Z1816" i="13034"/>
  <c r="AV1815" i="13034"/>
  <c r="AT1815" i="13034"/>
  <c r="AR1815" i="13034"/>
  <c r="AP1815" i="13034"/>
  <c r="AN1815" i="13034"/>
  <c r="AL1815" i="13034"/>
  <c r="AJ1815" i="13034"/>
  <c r="AH1815" i="13034"/>
  <c r="AC1815" i="13034"/>
  <c r="AP1814" i="13034"/>
  <c r="AH1814" i="13034"/>
  <c r="AC1814" i="13034"/>
  <c r="AT1813" i="13034"/>
  <c r="AC1813" i="13034"/>
  <c r="AT1812" i="13034"/>
  <c r="AC1812" i="13034"/>
  <c r="AT1811" i="13034"/>
  <c r="AC1811" i="13034"/>
  <c r="AT1810" i="13034"/>
  <c r="AC1810" i="13034"/>
  <c r="AV1809" i="13034"/>
  <c r="AT1809" i="13034"/>
  <c r="AR1809" i="13034"/>
  <c r="AP1809" i="13034"/>
  <c r="AN1809" i="13034"/>
  <c r="AL1809" i="13034"/>
  <c r="AJ1809" i="13034"/>
  <c r="AH1809" i="13034"/>
  <c r="AF1809" i="13034"/>
  <c r="AE1809" i="13034"/>
  <c r="AC1809" i="13034"/>
  <c r="AA1809" i="13034"/>
  <c r="Z1809" i="13034"/>
  <c r="AV1808" i="13034"/>
  <c r="AT1808" i="13034"/>
  <c r="AR1808" i="13034"/>
  <c r="AP1808" i="13034"/>
  <c r="AN1808" i="13034"/>
  <c r="AL1808" i="13034"/>
  <c r="AJ1808" i="13034"/>
  <c r="AH1808" i="13034"/>
  <c r="AF1808" i="13034"/>
  <c r="AE1808" i="13034"/>
  <c r="AC1808" i="13034"/>
  <c r="AA1808" i="13034"/>
  <c r="Z1808" i="13034"/>
  <c r="AN1807" i="13034"/>
  <c r="AL1807" i="13034"/>
  <c r="AJ1807" i="13034"/>
  <c r="AH1807" i="13034"/>
  <c r="AC1807" i="13034"/>
  <c r="AT1806" i="13034"/>
  <c r="AR1806" i="13034"/>
  <c r="AP1806" i="13034"/>
  <c r="AJ1806" i="13034"/>
  <c r="AH1806" i="13034"/>
  <c r="AF1806" i="13034"/>
  <c r="AE1806" i="13034"/>
  <c r="AC1806" i="13034"/>
  <c r="AA1806" i="13034"/>
  <c r="Z1806" i="13034"/>
  <c r="AT1805" i="13034"/>
  <c r="AR1805" i="13034"/>
  <c r="AP1805" i="13034"/>
  <c r="AJ1805" i="13034"/>
  <c r="AH1805" i="13034"/>
  <c r="AC1805" i="13034"/>
  <c r="AA1805" i="13034"/>
  <c r="Z1805" i="13034"/>
  <c r="AV1804" i="13034"/>
  <c r="AT1804" i="13034"/>
  <c r="AR1804" i="13034"/>
  <c r="AP1804" i="13034"/>
  <c r="AN1804" i="13034"/>
  <c r="AL1804" i="13034"/>
  <c r="AJ1804" i="13034"/>
  <c r="AH1804" i="13034"/>
  <c r="AC1804" i="13034"/>
  <c r="AV1803" i="13034"/>
  <c r="AT1803" i="13034"/>
  <c r="AR1803" i="13034"/>
  <c r="AP1803" i="13034"/>
  <c r="AN1803" i="13034"/>
  <c r="AL1803" i="13034"/>
  <c r="AJ1803" i="13034"/>
  <c r="AH1803" i="13034"/>
  <c r="AF1803" i="13034"/>
  <c r="AE1803" i="13034"/>
  <c r="AC1803" i="13034"/>
  <c r="AV1802" i="13034"/>
  <c r="AT1802" i="13034"/>
  <c r="AR1802" i="13034"/>
  <c r="AP1802" i="13034"/>
  <c r="AN1802" i="13034"/>
  <c r="AL1802" i="13034"/>
  <c r="AJ1802" i="13034"/>
  <c r="AH1802" i="13034"/>
  <c r="AC1802" i="13034"/>
  <c r="AV1801" i="13034"/>
  <c r="AT1801" i="13034"/>
  <c r="AR1801" i="13034"/>
  <c r="AP1801" i="13034"/>
  <c r="AN1801" i="13034"/>
  <c r="AL1801" i="13034"/>
  <c r="AJ1801" i="13034"/>
  <c r="AH1801" i="13034"/>
  <c r="AF1801" i="13034"/>
  <c r="AE1801" i="13034"/>
  <c r="AC1801" i="13034"/>
  <c r="AA1801" i="13034"/>
  <c r="Z1801" i="13034"/>
  <c r="AV1800" i="13034"/>
  <c r="AT1800" i="13034"/>
  <c r="AR1800" i="13034"/>
  <c r="AP1800" i="13034"/>
  <c r="AN1800" i="13034"/>
  <c r="AL1800" i="13034"/>
  <c r="AJ1800" i="13034"/>
  <c r="AH1800" i="13034"/>
  <c r="AF1800" i="13034"/>
  <c r="AE1800" i="13034"/>
  <c r="AC1800" i="13034"/>
  <c r="AV1799" i="13034"/>
  <c r="AT1799" i="13034"/>
  <c r="AR1799" i="13034"/>
  <c r="AP1799" i="13034"/>
  <c r="AN1799" i="13034"/>
  <c r="AL1799" i="13034"/>
  <c r="AJ1799" i="13034"/>
  <c r="AH1799" i="13034"/>
  <c r="AC1799" i="13034"/>
  <c r="AV1798" i="13034"/>
  <c r="AT1798" i="13034"/>
  <c r="AR1798" i="13034"/>
  <c r="AP1798" i="13034"/>
  <c r="AN1798" i="13034"/>
  <c r="AL1798" i="13034"/>
  <c r="AJ1798" i="13034"/>
  <c r="AH1798" i="13034"/>
  <c r="AF1798" i="13034"/>
  <c r="AE1798" i="13034"/>
  <c r="AC1798" i="13034"/>
  <c r="AA1798" i="13034"/>
  <c r="Z1798" i="13034"/>
  <c r="AV1797" i="13034"/>
  <c r="AT1797" i="13034"/>
  <c r="AR1797" i="13034"/>
  <c r="AP1797" i="13034"/>
  <c r="AN1797" i="13034"/>
  <c r="AL1797" i="13034"/>
  <c r="AJ1797" i="13034"/>
  <c r="AH1797" i="13034"/>
  <c r="AC1797" i="13034"/>
  <c r="AA1797" i="13034"/>
  <c r="Z1797" i="13034"/>
  <c r="AV1796" i="13034"/>
  <c r="AT1796" i="13034"/>
  <c r="AR1796" i="13034"/>
  <c r="AP1796" i="13034"/>
  <c r="AN1796" i="13034"/>
  <c r="AL1796" i="13034"/>
  <c r="AJ1796" i="13034"/>
  <c r="AH1796" i="13034"/>
  <c r="AF1796" i="13034"/>
  <c r="AC1796" i="13034"/>
  <c r="AA1796" i="13034"/>
  <c r="AV1795" i="13034"/>
  <c r="AT1795" i="13034"/>
  <c r="AR1795" i="13034"/>
  <c r="AP1795" i="13034"/>
  <c r="AN1795" i="13034"/>
  <c r="AL1795" i="13034"/>
  <c r="AJ1795" i="13034"/>
  <c r="AH1795" i="13034"/>
  <c r="AC1795" i="13034"/>
  <c r="AV1794" i="13034"/>
  <c r="AT1794" i="13034"/>
  <c r="AR1794" i="13034"/>
  <c r="AP1794" i="13034"/>
  <c r="AN1794" i="13034"/>
  <c r="AL1794" i="13034"/>
  <c r="AJ1794" i="13034"/>
  <c r="AH1794" i="13034"/>
  <c r="AC1794" i="13034"/>
  <c r="AV1793" i="13034"/>
  <c r="AT1793" i="13034"/>
  <c r="AR1793" i="13034"/>
  <c r="AP1793" i="13034"/>
  <c r="AN1793" i="13034"/>
  <c r="AL1793" i="13034"/>
  <c r="AJ1793" i="13034"/>
  <c r="AH1793" i="13034"/>
  <c r="AC1793" i="13034"/>
  <c r="AV1792" i="13034"/>
  <c r="AT1792" i="13034"/>
  <c r="AR1792" i="13034"/>
  <c r="AP1792" i="13034"/>
  <c r="AN1792" i="13034"/>
  <c r="AL1792" i="13034"/>
  <c r="AJ1792" i="13034"/>
  <c r="AH1792" i="13034"/>
  <c r="AC1792" i="13034"/>
  <c r="AV1791" i="13034"/>
  <c r="AT1791" i="13034"/>
  <c r="AR1791" i="13034"/>
  <c r="AP1791" i="13034"/>
  <c r="AN1791" i="13034"/>
  <c r="AL1791" i="13034"/>
  <c r="AJ1791" i="13034"/>
  <c r="AH1791" i="13034"/>
  <c r="AC1791" i="13034"/>
  <c r="AV1790" i="13034"/>
  <c r="AT1790" i="13034"/>
  <c r="AR1790" i="13034"/>
  <c r="AP1790" i="13034"/>
  <c r="AN1790" i="13034"/>
  <c r="AL1790" i="13034"/>
  <c r="AJ1790" i="13034"/>
  <c r="AH1790" i="13034"/>
  <c r="AF1790" i="13034"/>
  <c r="AE1790" i="13034"/>
  <c r="AC1790" i="13034"/>
  <c r="AA1790" i="13034"/>
  <c r="Z1790" i="13034"/>
  <c r="AV1789" i="13034"/>
  <c r="AT1789" i="13034"/>
  <c r="AR1789" i="13034"/>
  <c r="AP1789" i="13034"/>
  <c r="AN1789" i="13034"/>
  <c r="AL1789" i="13034"/>
  <c r="AJ1789" i="13034"/>
  <c r="AH1789" i="13034"/>
  <c r="AC1789" i="13034"/>
  <c r="AV1788" i="13034"/>
  <c r="AT1788" i="13034"/>
  <c r="AR1788" i="13034"/>
  <c r="AP1788" i="13034"/>
  <c r="AN1788" i="13034"/>
  <c r="AL1788" i="13034"/>
  <c r="AJ1788" i="13034"/>
  <c r="AH1788" i="13034"/>
  <c r="AC1788" i="13034"/>
  <c r="AV1787" i="13034"/>
  <c r="AT1787" i="13034"/>
  <c r="AR1787" i="13034"/>
  <c r="AP1787" i="13034"/>
  <c r="AN1787" i="13034"/>
  <c r="AL1787" i="13034"/>
  <c r="AJ1787" i="13034"/>
  <c r="AH1787" i="13034"/>
  <c r="AC1787" i="13034"/>
  <c r="AV1786" i="13034"/>
  <c r="AT1786" i="13034"/>
  <c r="AR1786" i="13034"/>
  <c r="AP1786" i="13034"/>
  <c r="AN1786" i="13034"/>
  <c r="AL1786" i="13034"/>
  <c r="AJ1786" i="13034"/>
  <c r="AH1786" i="13034"/>
  <c r="AC1786" i="13034"/>
  <c r="AV1785" i="13034"/>
  <c r="AT1785" i="13034"/>
  <c r="AR1785" i="13034"/>
  <c r="AP1785" i="13034"/>
  <c r="AN1785" i="13034"/>
  <c r="AL1785" i="13034"/>
  <c r="AJ1785" i="13034"/>
  <c r="AH1785" i="13034"/>
  <c r="AC1785" i="13034"/>
  <c r="AV1784" i="13034"/>
  <c r="AT1784" i="13034"/>
  <c r="AR1784" i="13034"/>
  <c r="AP1784" i="13034"/>
  <c r="AN1784" i="13034"/>
  <c r="AL1784" i="13034"/>
  <c r="AJ1784" i="13034"/>
  <c r="AH1784" i="13034"/>
  <c r="AC1784" i="13034"/>
  <c r="AV1783" i="13034"/>
  <c r="AT1783" i="13034"/>
  <c r="AR1783" i="13034"/>
  <c r="AP1783" i="13034"/>
  <c r="AN1783" i="13034"/>
  <c r="AL1783" i="13034"/>
  <c r="AJ1783" i="13034"/>
  <c r="AH1783" i="13034"/>
  <c r="AF1783" i="13034"/>
  <c r="AE1783" i="13034"/>
  <c r="AC1783" i="13034"/>
  <c r="AA1783" i="13034"/>
  <c r="Z1783" i="13034"/>
  <c r="AV1782" i="13034"/>
  <c r="AT1782" i="13034"/>
  <c r="AR1782" i="13034"/>
  <c r="AP1782" i="13034"/>
  <c r="AN1782" i="13034"/>
  <c r="AL1782" i="13034"/>
  <c r="AJ1782" i="13034"/>
  <c r="AH1782" i="13034"/>
  <c r="AC1782" i="13034"/>
  <c r="AV1781" i="13034"/>
  <c r="AT1781" i="13034"/>
  <c r="AR1781" i="13034"/>
  <c r="AP1781" i="13034"/>
  <c r="AN1781" i="13034"/>
  <c r="AL1781" i="13034"/>
  <c r="AJ1781" i="13034"/>
  <c r="AH1781" i="13034"/>
  <c r="AC1781" i="13034"/>
  <c r="AV1780" i="13034"/>
  <c r="AT1780" i="13034"/>
  <c r="AR1780" i="13034"/>
  <c r="AP1780" i="13034"/>
  <c r="AN1780" i="13034"/>
  <c r="AL1780" i="13034"/>
  <c r="AJ1780" i="13034"/>
  <c r="AH1780" i="13034"/>
  <c r="AC1780" i="13034"/>
  <c r="AV1779" i="13034"/>
  <c r="AT1779" i="13034"/>
  <c r="AR1779" i="13034"/>
  <c r="AP1779" i="13034"/>
  <c r="AN1779" i="13034"/>
  <c r="AL1779" i="13034"/>
  <c r="AJ1779" i="13034"/>
  <c r="AH1779" i="13034"/>
  <c r="AF1779" i="13034"/>
  <c r="AE1779" i="13034"/>
  <c r="AC1779" i="13034"/>
  <c r="AA1779" i="13034"/>
  <c r="Z1779" i="13034"/>
  <c r="AV1778" i="13034"/>
  <c r="AT1778" i="13034"/>
  <c r="AR1778" i="13034"/>
  <c r="AP1778" i="13034"/>
  <c r="AN1778" i="13034"/>
  <c r="AL1778" i="13034"/>
  <c r="AJ1778" i="13034"/>
  <c r="AH1778" i="13034"/>
  <c r="AC1778" i="13034"/>
  <c r="AV1777" i="13034"/>
  <c r="AT1777" i="13034"/>
  <c r="AR1777" i="13034"/>
  <c r="AP1777" i="13034"/>
  <c r="AN1777" i="13034"/>
  <c r="AL1777" i="13034"/>
  <c r="AJ1777" i="13034"/>
  <c r="AH1777" i="13034"/>
  <c r="AC1777" i="13034"/>
  <c r="AV1776" i="13034"/>
  <c r="AT1776" i="13034"/>
  <c r="AR1776" i="13034"/>
  <c r="AP1776" i="13034"/>
  <c r="AN1776" i="13034"/>
  <c r="AL1776" i="13034"/>
  <c r="AJ1776" i="13034"/>
  <c r="AH1776" i="13034"/>
  <c r="AF1776" i="13034"/>
  <c r="AE1776" i="13034"/>
  <c r="AC1776" i="13034"/>
  <c r="AA1776" i="13034"/>
  <c r="Z1776" i="13034"/>
  <c r="AV1775" i="13034"/>
  <c r="AT1775" i="13034"/>
  <c r="AR1775" i="13034"/>
  <c r="AP1775" i="13034"/>
  <c r="AN1775" i="13034"/>
  <c r="AL1775" i="13034"/>
  <c r="AJ1775" i="13034"/>
  <c r="AH1775" i="13034"/>
  <c r="AF1775" i="13034"/>
  <c r="AE1775" i="13034"/>
  <c r="AC1775" i="13034"/>
  <c r="AA1775" i="13034"/>
  <c r="Z1775" i="13034"/>
  <c r="AV1774" i="13034"/>
  <c r="AT1774" i="13034"/>
  <c r="AR1774" i="13034"/>
  <c r="AP1774" i="13034"/>
  <c r="AN1774" i="13034"/>
  <c r="AL1774" i="13034"/>
  <c r="AJ1774" i="13034"/>
  <c r="AH1774" i="13034"/>
  <c r="AF1774" i="13034"/>
  <c r="AE1774" i="13034"/>
  <c r="AC1774" i="13034"/>
  <c r="AV1773" i="13034"/>
  <c r="AT1773" i="13034"/>
  <c r="AR1773" i="13034"/>
  <c r="AP1773" i="13034"/>
  <c r="AN1773" i="13034"/>
  <c r="AL1773" i="13034"/>
  <c r="AJ1773" i="13034"/>
  <c r="AH1773" i="13034"/>
  <c r="AC1773" i="13034"/>
  <c r="AV1772" i="13034"/>
  <c r="AT1772" i="13034"/>
  <c r="AR1772" i="13034"/>
  <c r="AP1772" i="13034"/>
  <c r="AN1772" i="13034"/>
  <c r="AL1772" i="13034"/>
  <c r="AJ1772" i="13034"/>
  <c r="AH1772" i="13034"/>
  <c r="AF1772" i="13034"/>
  <c r="AE1772" i="13034"/>
  <c r="AC1772" i="13034"/>
  <c r="AA1772" i="13034"/>
  <c r="Z1772" i="13034"/>
  <c r="AV1771" i="13034"/>
  <c r="AT1771" i="13034"/>
  <c r="AR1771" i="13034"/>
  <c r="AP1771" i="13034"/>
  <c r="AN1771" i="13034"/>
  <c r="AL1771" i="13034"/>
  <c r="AJ1771" i="13034"/>
  <c r="AH1771" i="13034"/>
  <c r="AC1771" i="13034"/>
  <c r="AA1771" i="13034"/>
  <c r="Z1771" i="13034"/>
  <c r="AV1770" i="13034"/>
  <c r="AT1770" i="13034"/>
  <c r="AR1770" i="13034"/>
  <c r="AP1770" i="13034"/>
  <c r="AN1770" i="13034"/>
  <c r="AL1770" i="13034"/>
  <c r="AJ1770" i="13034"/>
  <c r="AH1770" i="13034"/>
  <c r="AF1770" i="13034"/>
  <c r="AC1770" i="13034"/>
  <c r="AA1770" i="13034"/>
  <c r="AV1769" i="13034"/>
  <c r="AT1769" i="13034"/>
  <c r="AR1769" i="13034"/>
  <c r="AP1769" i="13034"/>
  <c r="AN1769" i="13034"/>
  <c r="AL1769" i="13034"/>
  <c r="AJ1769" i="13034"/>
  <c r="AH1769" i="13034"/>
  <c r="AC1769" i="13034"/>
  <c r="AV1768" i="13034"/>
  <c r="AT1768" i="13034"/>
  <c r="AR1768" i="13034"/>
  <c r="AP1768" i="13034"/>
  <c r="AN1768" i="13034"/>
  <c r="AL1768" i="13034"/>
  <c r="AJ1768" i="13034"/>
  <c r="AH1768" i="13034"/>
  <c r="AC1768" i="13034"/>
  <c r="AV1767" i="13034"/>
  <c r="AT1767" i="13034"/>
  <c r="AR1767" i="13034"/>
  <c r="AP1767" i="13034"/>
  <c r="AN1767" i="13034"/>
  <c r="AL1767" i="13034"/>
  <c r="AJ1767" i="13034"/>
  <c r="AH1767" i="13034"/>
  <c r="AC1767" i="13034"/>
  <c r="AV1766" i="13034"/>
  <c r="AT1766" i="13034"/>
  <c r="AR1766" i="13034"/>
  <c r="AP1766" i="13034"/>
  <c r="AN1766" i="13034"/>
  <c r="AL1766" i="13034"/>
  <c r="AJ1766" i="13034"/>
  <c r="AH1766" i="13034"/>
  <c r="AF1766" i="13034"/>
  <c r="AE1766" i="13034"/>
  <c r="AC1766" i="13034"/>
  <c r="AA1766" i="13034"/>
  <c r="Z1766" i="13034"/>
  <c r="AV1765" i="13034"/>
  <c r="AT1765" i="13034"/>
  <c r="AR1765" i="13034"/>
  <c r="AP1765" i="13034"/>
  <c r="AN1765" i="13034"/>
  <c r="AL1765" i="13034"/>
  <c r="AJ1765" i="13034"/>
  <c r="AH1765" i="13034"/>
  <c r="AC1765" i="13034"/>
  <c r="AV1764" i="13034"/>
  <c r="AT1764" i="13034"/>
  <c r="AR1764" i="13034"/>
  <c r="AP1764" i="13034"/>
  <c r="AN1764" i="13034"/>
  <c r="AL1764" i="13034"/>
  <c r="AJ1764" i="13034"/>
  <c r="AH1764" i="13034"/>
  <c r="AC1764" i="13034"/>
  <c r="AV1763" i="13034"/>
  <c r="AT1763" i="13034"/>
  <c r="AR1763" i="13034"/>
  <c r="AP1763" i="13034"/>
  <c r="AN1763" i="13034"/>
  <c r="AL1763" i="13034"/>
  <c r="AJ1763" i="13034"/>
  <c r="AH1763" i="13034"/>
  <c r="AC1763" i="13034"/>
  <c r="AV1762" i="13034"/>
  <c r="AT1762" i="13034"/>
  <c r="AR1762" i="13034"/>
  <c r="AP1762" i="13034"/>
  <c r="AN1762" i="13034"/>
  <c r="AL1762" i="13034"/>
  <c r="AJ1762" i="13034"/>
  <c r="AH1762" i="13034"/>
  <c r="AC1762" i="13034"/>
  <c r="AV1761" i="13034"/>
  <c r="AT1761" i="13034"/>
  <c r="AR1761" i="13034"/>
  <c r="AP1761" i="13034"/>
  <c r="AN1761" i="13034"/>
  <c r="AL1761" i="13034"/>
  <c r="AJ1761" i="13034"/>
  <c r="AH1761" i="13034"/>
  <c r="AC1761" i="13034"/>
  <c r="AV1760" i="13034"/>
  <c r="AT1760" i="13034"/>
  <c r="AR1760" i="13034"/>
  <c r="AP1760" i="13034"/>
  <c r="AN1760" i="13034"/>
  <c r="AL1760" i="13034"/>
  <c r="AJ1760" i="13034"/>
  <c r="AH1760" i="13034"/>
  <c r="AC1760" i="13034"/>
  <c r="AV1759" i="13034"/>
  <c r="AT1759" i="13034"/>
  <c r="AR1759" i="13034"/>
  <c r="AP1759" i="13034"/>
  <c r="AN1759" i="13034"/>
  <c r="AL1759" i="13034"/>
  <c r="AJ1759" i="13034"/>
  <c r="AH1759" i="13034"/>
  <c r="AC1759" i="13034"/>
  <c r="AV1758" i="13034"/>
  <c r="AT1758" i="13034"/>
  <c r="AR1758" i="13034"/>
  <c r="AP1758" i="13034"/>
  <c r="AN1758" i="13034"/>
  <c r="AL1758" i="13034"/>
  <c r="AJ1758" i="13034"/>
  <c r="AH1758" i="13034"/>
  <c r="AF1758" i="13034"/>
  <c r="AE1758" i="13034"/>
  <c r="AC1758" i="13034"/>
  <c r="AA1758" i="13034"/>
  <c r="Z1758" i="13034"/>
  <c r="AV1757" i="13034"/>
  <c r="AT1757" i="13034"/>
  <c r="AR1757" i="13034"/>
  <c r="AP1757" i="13034"/>
  <c r="AN1757" i="13034"/>
  <c r="AL1757" i="13034"/>
  <c r="AJ1757" i="13034"/>
  <c r="AH1757" i="13034"/>
  <c r="AC1757" i="13034"/>
  <c r="AV1756" i="13034"/>
  <c r="AT1756" i="13034"/>
  <c r="AR1756" i="13034"/>
  <c r="AP1756" i="13034"/>
  <c r="AN1756" i="13034"/>
  <c r="AL1756" i="13034"/>
  <c r="AJ1756" i="13034"/>
  <c r="AH1756" i="13034"/>
  <c r="AC1756" i="13034"/>
  <c r="AV1755" i="13034"/>
  <c r="AT1755" i="13034"/>
  <c r="AR1755" i="13034"/>
  <c r="AP1755" i="13034"/>
  <c r="AN1755" i="13034"/>
  <c r="AL1755" i="13034"/>
  <c r="AJ1755" i="13034"/>
  <c r="AH1755" i="13034"/>
  <c r="AC1755" i="13034"/>
  <c r="AV1754" i="13034"/>
  <c r="AT1754" i="13034"/>
  <c r="AR1754" i="13034"/>
  <c r="AP1754" i="13034"/>
  <c r="AN1754" i="13034"/>
  <c r="AL1754" i="13034"/>
  <c r="AJ1754" i="13034"/>
  <c r="AH1754" i="13034"/>
  <c r="AC1754" i="13034"/>
  <c r="AV1753" i="13034"/>
  <c r="AT1753" i="13034"/>
  <c r="AR1753" i="13034"/>
  <c r="AP1753" i="13034"/>
  <c r="AN1753" i="13034"/>
  <c r="AL1753" i="13034"/>
  <c r="AJ1753" i="13034"/>
  <c r="AH1753" i="13034"/>
  <c r="AC1753" i="13034"/>
  <c r="AV1752" i="13034"/>
  <c r="AT1752" i="13034"/>
  <c r="AR1752" i="13034"/>
  <c r="AP1752" i="13034"/>
  <c r="AN1752" i="13034"/>
  <c r="AL1752" i="13034"/>
  <c r="AJ1752" i="13034"/>
  <c r="AH1752" i="13034"/>
  <c r="AC1752" i="13034"/>
  <c r="AV1751" i="13034"/>
  <c r="AT1751" i="13034"/>
  <c r="AR1751" i="13034"/>
  <c r="AP1751" i="13034"/>
  <c r="AN1751" i="13034"/>
  <c r="AL1751" i="13034"/>
  <c r="AJ1751" i="13034"/>
  <c r="AH1751" i="13034"/>
  <c r="AC1751" i="13034"/>
  <c r="AV1750" i="13034"/>
  <c r="AT1750" i="13034"/>
  <c r="AR1750" i="13034"/>
  <c r="AP1750" i="13034"/>
  <c r="AN1750" i="13034"/>
  <c r="AL1750" i="13034"/>
  <c r="AJ1750" i="13034"/>
  <c r="AH1750" i="13034"/>
  <c r="AC1750" i="13034"/>
  <c r="AV1749" i="13034"/>
  <c r="AT1749" i="13034"/>
  <c r="AR1749" i="13034"/>
  <c r="AP1749" i="13034"/>
  <c r="AN1749" i="13034"/>
  <c r="AL1749" i="13034"/>
  <c r="AJ1749" i="13034"/>
  <c r="AH1749" i="13034"/>
  <c r="AC1749" i="13034"/>
  <c r="AV1748" i="13034"/>
  <c r="AT1748" i="13034"/>
  <c r="AR1748" i="13034"/>
  <c r="AP1748" i="13034"/>
  <c r="AN1748" i="13034"/>
  <c r="AL1748" i="13034"/>
  <c r="AJ1748" i="13034"/>
  <c r="AH1748" i="13034"/>
  <c r="AC1748" i="13034"/>
  <c r="AV1747" i="13034"/>
  <c r="AT1747" i="13034"/>
  <c r="AR1747" i="13034"/>
  <c r="AP1747" i="13034"/>
  <c r="AN1747" i="13034"/>
  <c r="AL1747" i="13034"/>
  <c r="AJ1747" i="13034"/>
  <c r="AH1747" i="13034"/>
  <c r="AF1747" i="13034"/>
  <c r="AE1747" i="13034"/>
  <c r="AC1747" i="13034"/>
  <c r="AA1747" i="13034"/>
  <c r="Z1747" i="13034"/>
  <c r="AV1746" i="13034"/>
  <c r="AT1746" i="13034"/>
  <c r="AR1746" i="13034"/>
  <c r="AP1746" i="13034"/>
  <c r="AN1746" i="13034"/>
  <c r="AL1746" i="13034"/>
  <c r="AJ1746" i="13034"/>
  <c r="AH1746" i="13034"/>
  <c r="AC1746" i="13034"/>
  <c r="AV1745" i="13034"/>
  <c r="AT1745" i="13034"/>
  <c r="AR1745" i="13034"/>
  <c r="AP1745" i="13034"/>
  <c r="AN1745" i="13034"/>
  <c r="AL1745" i="13034"/>
  <c r="AJ1745" i="13034"/>
  <c r="AH1745" i="13034"/>
  <c r="AC1745" i="13034"/>
  <c r="AV1744" i="13034"/>
  <c r="AT1744" i="13034"/>
  <c r="AR1744" i="13034"/>
  <c r="AP1744" i="13034"/>
  <c r="AN1744" i="13034"/>
  <c r="AL1744" i="13034"/>
  <c r="AJ1744" i="13034"/>
  <c r="AH1744" i="13034"/>
  <c r="AC1744" i="13034"/>
  <c r="AV1743" i="13034"/>
  <c r="AT1743" i="13034"/>
  <c r="AR1743" i="13034"/>
  <c r="AP1743" i="13034"/>
  <c r="AN1743" i="13034"/>
  <c r="AL1743" i="13034"/>
  <c r="AJ1743" i="13034"/>
  <c r="AH1743" i="13034"/>
  <c r="AC1743" i="13034"/>
  <c r="AV1742" i="13034"/>
  <c r="AT1742" i="13034"/>
  <c r="AR1742" i="13034"/>
  <c r="AP1742" i="13034"/>
  <c r="AN1742" i="13034"/>
  <c r="AL1742" i="13034"/>
  <c r="AJ1742" i="13034"/>
  <c r="AH1742" i="13034"/>
  <c r="AF1742" i="13034"/>
  <c r="AE1742" i="13034"/>
  <c r="AC1742" i="13034"/>
  <c r="AA1742" i="13034"/>
  <c r="Z1742" i="13034"/>
  <c r="AV1741" i="13034"/>
  <c r="AT1741" i="13034"/>
  <c r="AR1741" i="13034"/>
  <c r="AP1741" i="13034"/>
  <c r="AN1741" i="13034"/>
  <c r="AL1741" i="13034"/>
  <c r="AJ1741" i="13034"/>
  <c r="AH1741" i="13034"/>
  <c r="AC1741" i="13034"/>
  <c r="AV1740" i="13034"/>
  <c r="AT1740" i="13034"/>
  <c r="AR1740" i="13034"/>
  <c r="AP1740" i="13034"/>
  <c r="AN1740" i="13034"/>
  <c r="AL1740" i="13034"/>
  <c r="AJ1740" i="13034"/>
  <c r="AH1740" i="13034"/>
  <c r="AC1740" i="13034"/>
  <c r="AV1739" i="13034"/>
  <c r="AT1739" i="13034"/>
  <c r="AR1739" i="13034"/>
  <c r="AP1739" i="13034"/>
  <c r="AN1739" i="13034"/>
  <c r="AL1739" i="13034"/>
  <c r="AJ1739" i="13034"/>
  <c r="AH1739" i="13034"/>
  <c r="AF1739" i="13034"/>
  <c r="AE1739" i="13034"/>
  <c r="AC1739" i="13034"/>
  <c r="AA1739" i="13034"/>
  <c r="Z1739" i="13034"/>
  <c r="AV1738" i="13034"/>
  <c r="AT1738" i="13034"/>
  <c r="AR1738" i="13034"/>
  <c r="AP1738" i="13034"/>
  <c r="AN1738" i="13034"/>
  <c r="AL1738" i="13034"/>
  <c r="AJ1738" i="13034"/>
  <c r="AH1738" i="13034"/>
  <c r="AF1738" i="13034"/>
  <c r="AE1738" i="13034"/>
  <c r="AC1738" i="13034"/>
  <c r="AA1738" i="13034"/>
  <c r="Z1738" i="13034"/>
  <c r="AV1737" i="13034"/>
  <c r="AT1737" i="13034"/>
  <c r="AR1737" i="13034"/>
  <c r="AP1737" i="13034"/>
  <c r="AN1737" i="13034"/>
  <c r="AL1737" i="13034"/>
  <c r="AJ1737" i="13034"/>
  <c r="AH1737" i="13034"/>
  <c r="AF1737" i="13034"/>
  <c r="AE1737" i="13034"/>
  <c r="AC1737" i="13034"/>
  <c r="AV1736" i="13034"/>
  <c r="AT1736" i="13034"/>
  <c r="AR1736" i="13034"/>
  <c r="AP1736" i="13034"/>
  <c r="AN1736" i="13034"/>
  <c r="AL1736" i="13034"/>
  <c r="AJ1736" i="13034"/>
  <c r="AH1736" i="13034"/>
  <c r="AC1736" i="13034"/>
  <c r="AV1735" i="13034"/>
  <c r="AT1735" i="13034"/>
  <c r="AR1735" i="13034"/>
  <c r="AP1735" i="13034"/>
  <c r="AN1735" i="13034"/>
  <c r="AL1735" i="13034"/>
  <c r="AJ1735" i="13034"/>
  <c r="AH1735" i="13034"/>
  <c r="AF1735" i="13034"/>
  <c r="AE1735" i="13034"/>
  <c r="AC1735" i="13034"/>
  <c r="AA1735" i="13034"/>
  <c r="Z1735" i="13034"/>
  <c r="AV1734" i="13034"/>
  <c r="AT1734" i="13034"/>
  <c r="AR1734" i="13034"/>
  <c r="AP1734" i="13034"/>
  <c r="AN1734" i="13034"/>
  <c r="AL1734" i="13034"/>
  <c r="AJ1734" i="13034"/>
  <c r="AH1734" i="13034"/>
  <c r="AC1734" i="13034"/>
  <c r="AA1734" i="13034"/>
  <c r="Z1734" i="13034"/>
  <c r="AV1733" i="13034"/>
  <c r="AT1733" i="13034"/>
  <c r="AR1733" i="13034"/>
  <c r="AP1733" i="13034"/>
  <c r="AN1733" i="13034"/>
  <c r="AL1733" i="13034"/>
  <c r="AJ1733" i="13034"/>
  <c r="AH1733" i="13034"/>
  <c r="AF1733" i="13034"/>
  <c r="AC1733" i="13034"/>
  <c r="AA1733" i="13034"/>
  <c r="AV1732" i="13034"/>
  <c r="AT1732" i="13034"/>
  <c r="AR1732" i="13034"/>
  <c r="AP1732" i="13034"/>
  <c r="AN1732" i="13034"/>
  <c r="AL1732" i="13034"/>
  <c r="AJ1732" i="13034"/>
  <c r="AH1732" i="13034"/>
  <c r="AC1732" i="13034"/>
  <c r="AV1731" i="13034"/>
  <c r="AT1731" i="13034"/>
  <c r="AR1731" i="13034"/>
  <c r="AP1731" i="13034"/>
  <c r="AN1731" i="13034"/>
  <c r="AL1731" i="13034"/>
  <c r="AJ1731" i="13034"/>
  <c r="AH1731" i="13034"/>
  <c r="AC1731" i="13034"/>
  <c r="AV1730" i="13034"/>
  <c r="AT1730" i="13034"/>
  <c r="AR1730" i="13034"/>
  <c r="AP1730" i="13034"/>
  <c r="AN1730" i="13034"/>
  <c r="AL1730" i="13034"/>
  <c r="AJ1730" i="13034"/>
  <c r="AH1730" i="13034"/>
  <c r="AC1730" i="13034"/>
  <c r="AV1729" i="13034"/>
  <c r="AT1729" i="13034"/>
  <c r="AR1729" i="13034"/>
  <c r="AP1729" i="13034"/>
  <c r="AN1729" i="13034"/>
  <c r="AL1729" i="13034"/>
  <c r="AJ1729" i="13034"/>
  <c r="AH1729" i="13034"/>
  <c r="AC1729" i="13034"/>
  <c r="AV1728" i="13034"/>
  <c r="AT1728" i="13034"/>
  <c r="AR1728" i="13034"/>
  <c r="AP1728" i="13034"/>
  <c r="AN1728" i="13034"/>
  <c r="AL1728" i="13034"/>
  <c r="AJ1728" i="13034"/>
  <c r="AH1728" i="13034"/>
  <c r="AC1728" i="13034"/>
  <c r="AV1727" i="13034"/>
  <c r="AT1727" i="13034"/>
  <c r="AR1727" i="13034"/>
  <c r="AP1727" i="13034"/>
  <c r="AN1727" i="13034"/>
  <c r="AL1727" i="13034"/>
  <c r="AJ1727" i="13034"/>
  <c r="AH1727" i="13034"/>
  <c r="AC1727" i="13034"/>
  <c r="AV1726" i="13034"/>
  <c r="AT1726" i="13034"/>
  <c r="AR1726" i="13034"/>
  <c r="AP1726" i="13034"/>
  <c r="AN1726" i="13034"/>
  <c r="AL1726" i="13034"/>
  <c r="AJ1726" i="13034"/>
  <c r="AH1726" i="13034"/>
  <c r="AF1726" i="13034"/>
  <c r="AE1726" i="13034"/>
  <c r="AC1726" i="13034"/>
  <c r="AA1726" i="13034"/>
  <c r="Z1726" i="13034"/>
  <c r="AV1725" i="13034"/>
  <c r="AT1725" i="13034"/>
  <c r="AR1725" i="13034"/>
  <c r="AP1725" i="13034"/>
  <c r="AN1725" i="13034"/>
  <c r="AL1725" i="13034"/>
  <c r="AJ1725" i="13034"/>
  <c r="AH1725" i="13034"/>
  <c r="AC1725" i="13034"/>
  <c r="AV1724" i="13034"/>
  <c r="AT1724" i="13034"/>
  <c r="AR1724" i="13034"/>
  <c r="AP1724" i="13034"/>
  <c r="AN1724" i="13034"/>
  <c r="AL1724" i="13034"/>
  <c r="AJ1724" i="13034"/>
  <c r="AH1724" i="13034"/>
  <c r="AC1724" i="13034"/>
  <c r="AV1723" i="13034"/>
  <c r="AT1723" i="13034"/>
  <c r="AR1723" i="13034"/>
  <c r="AP1723" i="13034"/>
  <c r="AN1723" i="13034"/>
  <c r="AL1723" i="13034"/>
  <c r="AJ1723" i="13034"/>
  <c r="AH1723" i="13034"/>
  <c r="AC1723" i="13034"/>
  <c r="AV1722" i="13034"/>
  <c r="AT1722" i="13034"/>
  <c r="AR1722" i="13034"/>
  <c r="AP1722" i="13034"/>
  <c r="AN1722" i="13034"/>
  <c r="AL1722" i="13034"/>
  <c r="AJ1722" i="13034"/>
  <c r="AH1722" i="13034"/>
  <c r="AC1722" i="13034"/>
  <c r="AV1721" i="13034"/>
  <c r="AT1721" i="13034"/>
  <c r="AR1721" i="13034"/>
  <c r="AP1721" i="13034"/>
  <c r="AN1721" i="13034"/>
  <c r="AL1721" i="13034"/>
  <c r="AJ1721" i="13034"/>
  <c r="AH1721" i="13034"/>
  <c r="AC1721" i="13034"/>
  <c r="AV1720" i="13034"/>
  <c r="AT1720" i="13034"/>
  <c r="AR1720" i="13034"/>
  <c r="AP1720" i="13034"/>
  <c r="AN1720" i="13034"/>
  <c r="AL1720" i="13034"/>
  <c r="AJ1720" i="13034"/>
  <c r="AH1720" i="13034"/>
  <c r="AF1720" i="13034"/>
  <c r="AE1720" i="13034"/>
  <c r="AC1720" i="13034"/>
  <c r="AA1720" i="13034"/>
  <c r="Z1720" i="13034"/>
  <c r="AV1719" i="13034"/>
  <c r="AT1719" i="13034"/>
  <c r="AR1719" i="13034"/>
  <c r="AP1719" i="13034"/>
  <c r="AN1719" i="13034"/>
  <c r="AL1719" i="13034"/>
  <c r="AJ1719" i="13034"/>
  <c r="AH1719" i="13034"/>
  <c r="AF1719" i="13034"/>
  <c r="AE1719" i="13034"/>
  <c r="AC1719" i="13034"/>
  <c r="AA1719" i="13034"/>
  <c r="Z1719" i="13034"/>
  <c r="AV1718" i="13034"/>
  <c r="AT1718" i="13034"/>
  <c r="AR1718" i="13034"/>
  <c r="AP1718" i="13034"/>
  <c r="AN1718" i="13034"/>
  <c r="AL1718" i="13034"/>
  <c r="AJ1718" i="13034"/>
  <c r="AH1718" i="13034"/>
  <c r="AF1718" i="13034"/>
  <c r="AE1718" i="13034"/>
  <c r="AC1718" i="13034"/>
  <c r="AA1718" i="13034"/>
  <c r="Z1718" i="13034"/>
  <c r="AV1717" i="13034"/>
  <c r="AT1717" i="13034"/>
  <c r="AR1717" i="13034"/>
  <c r="AP1717" i="13034"/>
  <c r="AN1717" i="13034"/>
  <c r="AL1717" i="13034"/>
  <c r="AJ1717" i="13034"/>
  <c r="AH1717" i="13034"/>
  <c r="AF1717" i="13034"/>
  <c r="AE1717" i="13034"/>
  <c r="AC1717" i="13034"/>
  <c r="AA1717" i="13034"/>
  <c r="Z1717" i="13034"/>
  <c r="AN1716" i="13034"/>
  <c r="AL1716" i="13034"/>
  <c r="AJ1716" i="13034"/>
  <c r="AH1716" i="13034"/>
  <c r="AC1716" i="13034"/>
  <c r="AT1715" i="13034"/>
  <c r="AR1715" i="13034"/>
  <c r="AP1715" i="13034"/>
  <c r="AJ1715" i="13034"/>
  <c r="AH1715" i="13034"/>
  <c r="AF1715" i="13034"/>
  <c r="AE1715" i="13034"/>
  <c r="AC1715" i="13034"/>
  <c r="AA1715" i="13034"/>
  <c r="Z1715" i="13034"/>
  <c r="AT1714" i="13034"/>
  <c r="AR1714" i="13034"/>
  <c r="AP1714" i="13034"/>
  <c r="AJ1714" i="13034"/>
  <c r="AH1714" i="13034"/>
  <c r="AC1714" i="13034"/>
  <c r="AA1714" i="13034"/>
  <c r="Z1714" i="13034"/>
  <c r="AV1713" i="13034"/>
  <c r="AT1713" i="13034"/>
  <c r="AR1713" i="13034"/>
  <c r="AP1713" i="13034"/>
  <c r="AN1713" i="13034"/>
  <c r="AL1713" i="13034"/>
  <c r="AJ1713" i="13034"/>
  <c r="AH1713" i="13034"/>
  <c r="AF1713" i="13034"/>
  <c r="AC1713" i="13034"/>
  <c r="AA1713" i="13034"/>
  <c r="AV1712" i="13034"/>
  <c r="AT1712" i="13034"/>
  <c r="AR1712" i="13034"/>
  <c r="AP1712" i="13034"/>
  <c r="AN1712" i="13034"/>
  <c r="AL1712" i="13034"/>
  <c r="AJ1712" i="13034"/>
  <c r="AH1712" i="13034"/>
  <c r="AF1712" i="13034"/>
  <c r="AE1712" i="13034"/>
  <c r="AC1712" i="13034"/>
  <c r="AV1711" i="13034"/>
  <c r="AT1711" i="13034"/>
  <c r="AR1711" i="13034"/>
  <c r="AP1711" i="13034"/>
  <c r="AN1711" i="13034"/>
  <c r="AL1711" i="13034"/>
  <c r="AJ1711" i="13034"/>
  <c r="AH1711" i="13034"/>
  <c r="AF1711" i="13034"/>
  <c r="AE1711" i="13034"/>
  <c r="AC1711" i="13034"/>
  <c r="AV1710" i="13034"/>
  <c r="AT1710" i="13034"/>
  <c r="AR1710" i="13034"/>
  <c r="AP1710" i="13034"/>
  <c r="AN1710" i="13034"/>
  <c r="AL1710" i="13034"/>
  <c r="AJ1710" i="13034"/>
  <c r="AH1710" i="13034"/>
  <c r="AC1710" i="13034"/>
  <c r="AV1709" i="13034"/>
  <c r="AT1709" i="13034"/>
  <c r="AR1709" i="13034"/>
  <c r="AP1709" i="13034"/>
  <c r="AN1709" i="13034"/>
  <c r="AL1709" i="13034"/>
  <c r="AJ1709" i="13034"/>
  <c r="AH1709" i="13034"/>
  <c r="AC1709" i="13034"/>
  <c r="AV1708" i="13034"/>
  <c r="AT1708" i="13034"/>
  <c r="AR1708" i="13034"/>
  <c r="AP1708" i="13034"/>
  <c r="AN1708" i="13034"/>
  <c r="AL1708" i="13034"/>
  <c r="AJ1708" i="13034"/>
  <c r="AH1708" i="13034"/>
  <c r="AF1708" i="13034"/>
  <c r="AE1708" i="13034"/>
  <c r="AC1708" i="13034"/>
  <c r="AA1708" i="13034"/>
  <c r="Z1708" i="13034"/>
  <c r="AV1707" i="13034"/>
  <c r="AT1707" i="13034"/>
  <c r="AR1707" i="13034"/>
  <c r="AP1707" i="13034"/>
  <c r="AN1707" i="13034"/>
  <c r="AL1707" i="13034"/>
  <c r="AJ1707" i="13034"/>
  <c r="AH1707" i="13034"/>
  <c r="AC1707" i="13034"/>
  <c r="AV1706" i="13034"/>
  <c r="AT1706" i="13034"/>
  <c r="AR1706" i="13034"/>
  <c r="AP1706" i="13034"/>
  <c r="AN1706" i="13034"/>
  <c r="AL1706" i="13034"/>
  <c r="AJ1706" i="13034"/>
  <c r="AH1706" i="13034"/>
  <c r="AF1706" i="13034"/>
  <c r="AE1706" i="13034"/>
  <c r="AC1706" i="13034"/>
  <c r="AA1706" i="13034"/>
  <c r="Z1706" i="13034"/>
  <c r="AV1705" i="13034"/>
  <c r="AT1705" i="13034"/>
  <c r="AR1705" i="13034"/>
  <c r="AP1705" i="13034"/>
  <c r="AN1705" i="13034"/>
  <c r="AL1705" i="13034"/>
  <c r="AJ1705" i="13034"/>
  <c r="AH1705" i="13034"/>
  <c r="AC1705" i="13034"/>
  <c r="AV1704" i="13034"/>
  <c r="AT1704" i="13034"/>
  <c r="AR1704" i="13034"/>
  <c r="AP1704" i="13034"/>
  <c r="AN1704" i="13034"/>
  <c r="AL1704" i="13034"/>
  <c r="AJ1704" i="13034"/>
  <c r="AH1704" i="13034"/>
  <c r="AC1704" i="13034"/>
  <c r="AV1703" i="13034"/>
  <c r="AT1703" i="13034"/>
  <c r="AR1703" i="13034"/>
  <c r="AP1703" i="13034"/>
  <c r="AN1703" i="13034"/>
  <c r="AL1703" i="13034"/>
  <c r="AJ1703" i="13034"/>
  <c r="AH1703" i="13034"/>
  <c r="AC1703" i="13034"/>
  <c r="AV1702" i="13034"/>
  <c r="AT1702" i="13034"/>
  <c r="AR1702" i="13034"/>
  <c r="AP1702" i="13034"/>
  <c r="AN1702" i="13034"/>
  <c r="AL1702" i="13034"/>
  <c r="AJ1702" i="13034"/>
  <c r="AH1702" i="13034"/>
  <c r="AC1702" i="13034"/>
  <c r="AV1701" i="13034"/>
  <c r="AT1701" i="13034"/>
  <c r="AR1701" i="13034"/>
  <c r="AP1701" i="13034"/>
  <c r="AN1701" i="13034"/>
  <c r="AL1701" i="13034"/>
  <c r="AJ1701" i="13034"/>
  <c r="AH1701" i="13034"/>
  <c r="AC1701" i="13034"/>
  <c r="AV1700" i="13034"/>
  <c r="AT1700" i="13034"/>
  <c r="AR1700" i="13034"/>
  <c r="AP1700" i="13034"/>
  <c r="AN1700" i="13034"/>
  <c r="AL1700" i="13034"/>
  <c r="AJ1700" i="13034"/>
  <c r="AH1700" i="13034"/>
  <c r="AC1700" i="13034"/>
  <c r="AV1699" i="13034"/>
  <c r="AT1699" i="13034"/>
  <c r="AR1699" i="13034"/>
  <c r="AP1699" i="13034"/>
  <c r="AN1699" i="13034"/>
  <c r="AL1699" i="13034"/>
  <c r="AJ1699" i="13034"/>
  <c r="AH1699" i="13034"/>
  <c r="AF1699" i="13034"/>
  <c r="AE1699" i="13034"/>
  <c r="AC1699" i="13034"/>
  <c r="AA1699" i="13034"/>
  <c r="Z1699" i="13034"/>
  <c r="AV1698" i="13034"/>
  <c r="AT1698" i="13034"/>
  <c r="AR1698" i="13034"/>
  <c r="AP1698" i="13034"/>
  <c r="AN1698" i="13034"/>
  <c r="AL1698" i="13034"/>
  <c r="AJ1698" i="13034"/>
  <c r="AH1698" i="13034"/>
  <c r="AC1698" i="13034"/>
  <c r="AV1697" i="13034"/>
  <c r="AT1697" i="13034"/>
  <c r="AR1697" i="13034"/>
  <c r="AP1697" i="13034"/>
  <c r="AN1697" i="13034"/>
  <c r="AL1697" i="13034"/>
  <c r="AJ1697" i="13034"/>
  <c r="AH1697" i="13034"/>
  <c r="AC1697" i="13034"/>
  <c r="Z1697" i="13034"/>
  <c r="AV1696" i="13034"/>
  <c r="AT1696" i="13034"/>
  <c r="AR1696" i="13034"/>
  <c r="AP1696" i="13034"/>
  <c r="AN1696" i="13034"/>
  <c r="AL1696" i="13034"/>
  <c r="AJ1696" i="13034"/>
  <c r="AH1696" i="13034"/>
  <c r="AC1696" i="13034"/>
  <c r="AV1695" i="13034"/>
  <c r="AT1695" i="13034"/>
  <c r="AR1695" i="13034"/>
  <c r="AP1695" i="13034"/>
  <c r="AN1695" i="13034"/>
  <c r="AL1695" i="13034"/>
  <c r="AJ1695" i="13034"/>
  <c r="AH1695" i="13034"/>
  <c r="AC1695" i="13034"/>
  <c r="AV1694" i="13034"/>
  <c r="AT1694" i="13034"/>
  <c r="AR1694" i="13034"/>
  <c r="AP1694" i="13034"/>
  <c r="AN1694" i="13034"/>
  <c r="AL1694" i="13034"/>
  <c r="AJ1694" i="13034"/>
  <c r="AH1694" i="13034"/>
  <c r="AC1694" i="13034"/>
  <c r="AV1693" i="13034"/>
  <c r="AT1693" i="13034"/>
  <c r="AR1693" i="13034"/>
  <c r="AP1693" i="13034"/>
  <c r="AN1693" i="13034"/>
  <c r="AL1693" i="13034"/>
  <c r="AJ1693" i="13034"/>
  <c r="AH1693" i="13034"/>
  <c r="AF1693" i="13034"/>
  <c r="AE1693" i="13034"/>
  <c r="AC1693" i="13034"/>
  <c r="AA1693" i="13034"/>
  <c r="Z1693" i="13034"/>
  <c r="AV1692" i="13034"/>
  <c r="AT1692" i="13034"/>
  <c r="AR1692" i="13034"/>
  <c r="AP1692" i="13034"/>
  <c r="AN1692" i="13034"/>
  <c r="AL1692" i="13034"/>
  <c r="AJ1692" i="13034"/>
  <c r="AH1692" i="13034"/>
  <c r="AC1692" i="13034"/>
  <c r="AV1691" i="13034"/>
  <c r="AT1691" i="13034"/>
  <c r="AR1691" i="13034"/>
  <c r="AP1691" i="13034"/>
  <c r="AN1691" i="13034"/>
  <c r="AL1691" i="13034"/>
  <c r="AJ1691" i="13034"/>
  <c r="AH1691" i="13034"/>
  <c r="AC1691" i="13034"/>
  <c r="AV1690" i="13034"/>
  <c r="AT1690" i="13034"/>
  <c r="AR1690" i="13034"/>
  <c r="AP1690" i="13034"/>
  <c r="AN1690" i="13034"/>
  <c r="AL1690" i="13034"/>
  <c r="AJ1690" i="13034"/>
  <c r="AH1690" i="13034"/>
  <c r="AC1690" i="13034"/>
  <c r="AV1689" i="13034"/>
  <c r="AT1689" i="13034"/>
  <c r="AR1689" i="13034"/>
  <c r="AP1689" i="13034"/>
  <c r="AN1689" i="13034"/>
  <c r="AL1689" i="13034"/>
  <c r="AJ1689" i="13034"/>
  <c r="AH1689" i="13034"/>
  <c r="AC1689" i="13034"/>
  <c r="AV1688" i="13034"/>
  <c r="AT1688" i="13034"/>
  <c r="AR1688" i="13034"/>
  <c r="AP1688" i="13034"/>
  <c r="AN1688" i="13034"/>
  <c r="AL1688" i="13034"/>
  <c r="AJ1688" i="13034"/>
  <c r="AH1688" i="13034"/>
  <c r="AC1688" i="13034"/>
  <c r="AV1687" i="13034"/>
  <c r="AT1687" i="13034"/>
  <c r="AR1687" i="13034"/>
  <c r="AP1687" i="13034"/>
  <c r="AN1687" i="13034"/>
  <c r="AL1687" i="13034"/>
  <c r="AJ1687" i="13034"/>
  <c r="AH1687" i="13034"/>
  <c r="AC1687" i="13034"/>
  <c r="AV1686" i="13034"/>
  <c r="AT1686" i="13034"/>
  <c r="AR1686" i="13034"/>
  <c r="AP1686" i="13034"/>
  <c r="AN1686" i="13034"/>
  <c r="AL1686" i="13034"/>
  <c r="AJ1686" i="13034"/>
  <c r="AH1686" i="13034"/>
  <c r="AC1686" i="13034"/>
  <c r="AV1685" i="13034"/>
  <c r="AT1685" i="13034"/>
  <c r="AR1685" i="13034"/>
  <c r="AP1685" i="13034"/>
  <c r="AN1685" i="13034"/>
  <c r="AL1685" i="13034"/>
  <c r="AJ1685" i="13034"/>
  <c r="AH1685" i="13034"/>
  <c r="AC1685" i="13034"/>
  <c r="AV1684" i="13034"/>
  <c r="AT1684" i="13034"/>
  <c r="AR1684" i="13034"/>
  <c r="AP1684" i="13034"/>
  <c r="AN1684" i="13034"/>
  <c r="AL1684" i="13034"/>
  <c r="AJ1684" i="13034"/>
  <c r="AH1684" i="13034"/>
  <c r="AC1684" i="13034"/>
  <c r="AV1683" i="13034"/>
  <c r="AT1683" i="13034"/>
  <c r="AR1683" i="13034"/>
  <c r="AP1683" i="13034"/>
  <c r="AN1683" i="13034"/>
  <c r="AL1683" i="13034"/>
  <c r="AJ1683" i="13034"/>
  <c r="AH1683" i="13034"/>
  <c r="AC1683" i="13034"/>
  <c r="AV1682" i="13034"/>
  <c r="AT1682" i="13034"/>
  <c r="AR1682" i="13034"/>
  <c r="AP1682" i="13034"/>
  <c r="AN1682" i="13034"/>
  <c r="AL1682" i="13034"/>
  <c r="AJ1682" i="13034"/>
  <c r="AH1682" i="13034"/>
  <c r="AC1682" i="13034"/>
  <c r="AV1681" i="13034"/>
  <c r="AT1681" i="13034"/>
  <c r="AR1681" i="13034"/>
  <c r="AP1681" i="13034"/>
  <c r="AN1681" i="13034"/>
  <c r="AL1681" i="13034"/>
  <c r="AJ1681" i="13034"/>
  <c r="AH1681" i="13034"/>
  <c r="AF1681" i="13034"/>
  <c r="AE1681" i="13034"/>
  <c r="AC1681" i="13034"/>
  <c r="AA1681" i="13034"/>
  <c r="Z1681" i="13034"/>
  <c r="AV1680" i="13034"/>
  <c r="AT1680" i="13034"/>
  <c r="AR1680" i="13034"/>
  <c r="AP1680" i="13034"/>
  <c r="AN1680" i="13034"/>
  <c r="AL1680" i="13034"/>
  <c r="AJ1680" i="13034"/>
  <c r="AH1680" i="13034"/>
  <c r="AC1680" i="13034"/>
  <c r="Z1680" i="13034"/>
  <c r="AV1679" i="13034"/>
  <c r="AT1679" i="13034"/>
  <c r="AR1679" i="13034"/>
  <c r="AP1679" i="13034"/>
  <c r="AN1679" i="13034"/>
  <c r="AL1679" i="13034"/>
  <c r="AJ1679" i="13034"/>
  <c r="AH1679" i="13034"/>
  <c r="AC1679" i="13034"/>
  <c r="AV1678" i="13034"/>
  <c r="AT1678" i="13034"/>
  <c r="AR1678" i="13034"/>
  <c r="AP1678" i="13034"/>
  <c r="AN1678" i="13034"/>
  <c r="AL1678" i="13034"/>
  <c r="AJ1678" i="13034"/>
  <c r="AH1678" i="13034"/>
  <c r="AC1678" i="13034"/>
  <c r="AV1677" i="13034"/>
  <c r="AT1677" i="13034"/>
  <c r="AR1677" i="13034"/>
  <c r="AP1677" i="13034"/>
  <c r="AN1677" i="13034"/>
  <c r="AL1677" i="13034"/>
  <c r="AJ1677" i="13034"/>
  <c r="AH1677" i="13034"/>
  <c r="AC1677" i="13034"/>
  <c r="AV1676" i="13034"/>
  <c r="AT1676" i="13034"/>
  <c r="AR1676" i="13034"/>
  <c r="AP1676" i="13034"/>
  <c r="AN1676" i="13034"/>
  <c r="AL1676" i="13034"/>
  <c r="AJ1676" i="13034"/>
  <c r="AH1676" i="13034"/>
  <c r="AC1676" i="13034"/>
  <c r="AV1675" i="13034"/>
  <c r="AT1675" i="13034"/>
  <c r="AR1675" i="13034"/>
  <c r="AP1675" i="13034"/>
  <c r="AN1675" i="13034"/>
  <c r="AL1675" i="13034"/>
  <c r="AJ1675" i="13034"/>
  <c r="AH1675" i="13034"/>
  <c r="AC1675" i="13034"/>
  <c r="AV1674" i="13034"/>
  <c r="AT1674" i="13034"/>
  <c r="AR1674" i="13034"/>
  <c r="AP1674" i="13034"/>
  <c r="AN1674" i="13034"/>
  <c r="AL1674" i="13034"/>
  <c r="AJ1674" i="13034"/>
  <c r="AH1674" i="13034"/>
  <c r="AC1674" i="13034"/>
  <c r="AV1673" i="13034"/>
  <c r="AT1673" i="13034"/>
  <c r="AR1673" i="13034"/>
  <c r="AP1673" i="13034"/>
  <c r="AN1673" i="13034"/>
  <c r="AL1673" i="13034"/>
  <c r="AJ1673" i="13034"/>
  <c r="AH1673" i="13034"/>
  <c r="AC1673" i="13034"/>
  <c r="AV1672" i="13034"/>
  <c r="AT1672" i="13034"/>
  <c r="AR1672" i="13034"/>
  <c r="AP1672" i="13034"/>
  <c r="AN1672" i="13034"/>
  <c r="AL1672" i="13034"/>
  <c r="AJ1672" i="13034"/>
  <c r="AH1672" i="13034"/>
  <c r="AC1672" i="13034"/>
  <c r="AV1671" i="13034"/>
  <c r="AT1671" i="13034"/>
  <c r="AR1671" i="13034"/>
  <c r="AP1671" i="13034"/>
  <c r="AN1671" i="13034"/>
  <c r="AL1671" i="13034"/>
  <c r="AJ1671" i="13034"/>
  <c r="AH1671" i="13034"/>
  <c r="AC1671" i="13034"/>
  <c r="AV1670" i="13034"/>
  <c r="AT1670" i="13034"/>
  <c r="AR1670" i="13034"/>
  <c r="AP1670" i="13034"/>
  <c r="AN1670" i="13034"/>
  <c r="AL1670" i="13034"/>
  <c r="AJ1670" i="13034"/>
  <c r="AH1670" i="13034"/>
  <c r="AC1670" i="13034"/>
  <c r="AV1669" i="13034"/>
  <c r="AT1669" i="13034"/>
  <c r="AR1669" i="13034"/>
  <c r="AP1669" i="13034"/>
  <c r="AN1669" i="13034"/>
  <c r="AL1669" i="13034"/>
  <c r="AJ1669" i="13034"/>
  <c r="AH1669" i="13034"/>
  <c r="AC1669" i="13034"/>
  <c r="AV1668" i="13034"/>
  <c r="AT1668" i="13034"/>
  <c r="AR1668" i="13034"/>
  <c r="AP1668" i="13034"/>
  <c r="AN1668" i="13034"/>
  <c r="AL1668" i="13034"/>
  <c r="AJ1668" i="13034"/>
  <c r="AH1668" i="13034"/>
  <c r="AC1668" i="13034"/>
  <c r="AV1667" i="13034"/>
  <c r="AT1667" i="13034"/>
  <c r="AR1667" i="13034"/>
  <c r="AP1667" i="13034"/>
  <c r="AN1667" i="13034"/>
  <c r="AL1667" i="13034"/>
  <c r="AJ1667" i="13034"/>
  <c r="AH1667" i="13034"/>
  <c r="AC1667" i="13034"/>
  <c r="AV1666" i="13034"/>
  <c r="AT1666" i="13034"/>
  <c r="AR1666" i="13034"/>
  <c r="AP1666" i="13034"/>
  <c r="AN1666" i="13034"/>
  <c r="AL1666" i="13034"/>
  <c r="AJ1666" i="13034"/>
  <c r="AH1666" i="13034"/>
  <c r="AC1666" i="13034"/>
  <c r="AV1665" i="13034"/>
  <c r="AT1665" i="13034"/>
  <c r="AR1665" i="13034"/>
  <c r="AP1665" i="13034"/>
  <c r="AN1665" i="13034"/>
  <c r="AL1665" i="13034"/>
  <c r="AJ1665" i="13034"/>
  <c r="AH1665" i="13034"/>
  <c r="AF1665" i="13034"/>
  <c r="AE1665" i="13034"/>
  <c r="AC1665" i="13034"/>
  <c r="AA1665" i="13034"/>
  <c r="Z1665" i="13034"/>
  <c r="AV1664" i="13034"/>
  <c r="AT1664" i="13034"/>
  <c r="AR1664" i="13034"/>
  <c r="AP1664" i="13034"/>
  <c r="AN1664" i="13034"/>
  <c r="AL1664" i="13034"/>
  <c r="AJ1664" i="13034"/>
  <c r="AH1664" i="13034"/>
  <c r="AC1664" i="13034"/>
  <c r="AV1663" i="13034"/>
  <c r="AT1663" i="13034"/>
  <c r="AR1663" i="13034"/>
  <c r="AP1663" i="13034"/>
  <c r="AN1663" i="13034"/>
  <c r="AL1663" i="13034"/>
  <c r="AJ1663" i="13034"/>
  <c r="AH1663" i="13034"/>
  <c r="AC1663" i="13034"/>
  <c r="AV1662" i="13034"/>
  <c r="AT1662" i="13034"/>
  <c r="AR1662" i="13034"/>
  <c r="AP1662" i="13034"/>
  <c r="AN1662" i="13034"/>
  <c r="AL1662" i="13034"/>
  <c r="AJ1662" i="13034"/>
  <c r="AH1662" i="13034"/>
  <c r="AC1662" i="13034"/>
  <c r="AV1661" i="13034"/>
  <c r="AT1661" i="13034"/>
  <c r="AR1661" i="13034"/>
  <c r="AP1661" i="13034"/>
  <c r="AN1661" i="13034"/>
  <c r="AL1661" i="13034"/>
  <c r="AJ1661" i="13034"/>
  <c r="AH1661" i="13034"/>
  <c r="AC1661" i="13034"/>
  <c r="AV1660" i="13034"/>
  <c r="AT1660" i="13034"/>
  <c r="AR1660" i="13034"/>
  <c r="AP1660" i="13034"/>
  <c r="AN1660" i="13034"/>
  <c r="AL1660" i="13034"/>
  <c r="AJ1660" i="13034"/>
  <c r="AH1660" i="13034"/>
  <c r="AF1660" i="13034"/>
  <c r="AE1660" i="13034"/>
  <c r="AC1660" i="13034"/>
  <c r="AA1660" i="13034"/>
  <c r="Z1660" i="13034"/>
  <c r="AV1659" i="13034"/>
  <c r="AT1659" i="13034"/>
  <c r="AR1659" i="13034"/>
  <c r="AP1659" i="13034"/>
  <c r="AN1659" i="13034"/>
  <c r="AL1659" i="13034"/>
  <c r="AJ1659" i="13034"/>
  <c r="AH1659" i="13034"/>
  <c r="AF1659" i="13034"/>
  <c r="AE1659" i="13034"/>
  <c r="AC1659" i="13034"/>
  <c r="AA1659" i="13034"/>
  <c r="Z1659" i="13034"/>
  <c r="AV1658" i="13034"/>
  <c r="AT1658" i="13034"/>
  <c r="AR1658" i="13034"/>
  <c r="AP1658" i="13034"/>
  <c r="AN1658" i="13034"/>
  <c r="AL1658" i="13034"/>
  <c r="AJ1658" i="13034"/>
  <c r="AH1658" i="13034"/>
  <c r="AF1658" i="13034"/>
  <c r="AE1658" i="13034"/>
  <c r="AC1658" i="13034"/>
  <c r="AA1658" i="13034"/>
  <c r="Z1658" i="13034"/>
  <c r="AN1657" i="13034"/>
  <c r="AL1657" i="13034"/>
  <c r="AJ1657" i="13034"/>
  <c r="AH1657" i="13034"/>
  <c r="AC1657" i="13034"/>
  <c r="AT1656" i="13034"/>
  <c r="AR1656" i="13034"/>
  <c r="AP1656" i="13034"/>
  <c r="AJ1656" i="13034"/>
  <c r="AH1656" i="13034"/>
  <c r="AF1656" i="13034"/>
  <c r="AE1656" i="13034"/>
  <c r="AC1656" i="13034"/>
  <c r="AA1656" i="13034"/>
  <c r="Z1656" i="13034"/>
  <c r="AT1655" i="13034"/>
  <c r="AR1655" i="13034"/>
  <c r="AP1655" i="13034"/>
  <c r="AJ1655" i="13034"/>
  <c r="AH1655" i="13034"/>
  <c r="AC1655" i="13034"/>
  <c r="AA1655" i="13034"/>
  <c r="Z1655" i="13034"/>
  <c r="AV1654" i="13034"/>
  <c r="AT1654" i="13034"/>
  <c r="AR1654" i="13034"/>
  <c r="AP1654" i="13034"/>
  <c r="AN1654" i="13034"/>
  <c r="AL1654" i="13034"/>
  <c r="AJ1654" i="13034"/>
  <c r="AH1654" i="13034"/>
  <c r="AF1654" i="13034"/>
  <c r="AC1654" i="13034"/>
  <c r="AA1654" i="13034"/>
  <c r="AN1653" i="13034"/>
  <c r="AL1653" i="13034"/>
  <c r="AJ1653" i="13034"/>
  <c r="AH1653" i="13034"/>
  <c r="AC1653" i="13034"/>
  <c r="AC1652" i="13034"/>
  <c r="AC1651" i="13034"/>
  <c r="AV1650" i="13034"/>
  <c r="AT1650" i="13034"/>
  <c r="AR1650" i="13034"/>
  <c r="AP1650" i="13034"/>
  <c r="AN1650" i="13034"/>
  <c r="AL1650" i="13034"/>
  <c r="AJ1650" i="13034"/>
  <c r="AH1650" i="13034"/>
  <c r="AF1650" i="13034"/>
  <c r="AE1650" i="13034"/>
  <c r="AC1650" i="13034"/>
  <c r="AA1650" i="13034"/>
  <c r="Z1650" i="13034"/>
  <c r="AT1649" i="13034"/>
  <c r="AR1649" i="13034"/>
  <c r="AP1649" i="13034"/>
  <c r="AN1649" i="13034"/>
  <c r="AL1649" i="13034"/>
  <c r="AJ1649" i="13034"/>
  <c r="AH1649" i="13034"/>
  <c r="AC1649" i="13034"/>
  <c r="AC1648" i="13034"/>
  <c r="AC1647" i="13034"/>
  <c r="AC1646" i="13034"/>
  <c r="AC1645" i="13034"/>
  <c r="AC1644" i="13034"/>
  <c r="AC1643" i="13034"/>
  <c r="AC1642" i="13034"/>
  <c r="AV1641" i="13034"/>
  <c r="AT1641" i="13034"/>
  <c r="AR1641" i="13034"/>
  <c r="AP1641" i="13034"/>
  <c r="AN1641" i="13034"/>
  <c r="AL1641" i="13034"/>
  <c r="AJ1641" i="13034"/>
  <c r="AH1641" i="13034"/>
  <c r="AF1641" i="13034"/>
  <c r="AE1641" i="13034"/>
  <c r="AC1641" i="13034"/>
  <c r="AA1641" i="13034"/>
  <c r="Z1641" i="13034"/>
  <c r="AV1640" i="13034"/>
  <c r="AT1640" i="13034"/>
  <c r="AR1640" i="13034"/>
  <c r="AP1640" i="13034"/>
  <c r="AN1640" i="13034"/>
  <c r="AL1640" i="13034"/>
  <c r="AJ1640" i="13034"/>
  <c r="AH1640" i="13034"/>
  <c r="AF1640" i="13034"/>
  <c r="AE1640" i="13034"/>
  <c r="AC1640" i="13034"/>
  <c r="AA1640" i="13034"/>
  <c r="Z1640" i="13034"/>
  <c r="AN1639" i="13034"/>
  <c r="AL1639" i="13034"/>
  <c r="AJ1639" i="13034"/>
  <c r="AH1639" i="13034"/>
  <c r="AC1639" i="13034"/>
  <c r="AT1638" i="13034"/>
  <c r="AR1638" i="13034"/>
  <c r="AP1638" i="13034"/>
  <c r="AJ1638" i="13034"/>
  <c r="AH1638" i="13034"/>
  <c r="AF1638" i="13034"/>
  <c r="AE1638" i="13034"/>
  <c r="AC1638" i="13034"/>
  <c r="AA1638" i="13034"/>
  <c r="Z1638" i="13034"/>
  <c r="AT1637" i="13034"/>
  <c r="AR1637" i="13034"/>
  <c r="AP1637" i="13034"/>
  <c r="AJ1637" i="13034"/>
  <c r="AH1637" i="13034"/>
  <c r="AC1637" i="13034"/>
  <c r="AA1637" i="13034"/>
  <c r="Z1637" i="13034"/>
  <c r="AV1636" i="13034"/>
  <c r="AT1636" i="13034"/>
  <c r="AR1636" i="13034"/>
  <c r="AP1636" i="13034"/>
  <c r="AN1636" i="13034"/>
  <c r="AL1636" i="13034"/>
  <c r="AJ1636" i="13034"/>
  <c r="AH1636" i="13034"/>
  <c r="AF1636" i="13034"/>
  <c r="AC1636" i="13034"/>
  <c r="AA1636" i="13034"/>
  <c r="AN1635" i="13034"/>
  <c r="AL1635" i="13034"/>
  <c r="AJ1635" i="13034"/>
  <c r="AH1635" i="13034"/>
  <c r="AC1635" i="13034"/>
  <c r="AC1634" i="13034"/>
  <c r="AC1633" i="13034"/>
  <c r="AV1632" i="13034"/>
  <c r="AT1632" i="13034"/>
  <c r="AR1632" i="13034"/>
  <c r="AP1632" i="13034"/>
  <c r="AN1632" i="13034"/>
  <c r="AL1632" i="13034"/>
  <c r="AJ1632" i="13034"/>
  <c r="AH1632" i="13034"/>
  <c r="AF1632" i="13034"/>
  <c r="AE1632" i="13034"/>
  <c r="AC1632" i="13034"/>
  <c r="AA1632" i="13034"/>
  <c r="Z1632" i="13034"/>
  <c r="AN1631" i="13034"/>
  <c r="AL1631" i="13034"/>
  <c r="AJ1631" i="13034"/>
  <c r="AH1631" i="13034"/>
  <c r="AC1631" i="13034"/>
  <c r="AC1630" i="13034"/>
  <c r="AC1629" i="13034"/>
  <c r="AC1628" i="13034"/>
  <c r="AC1627" i="13034"/>
  <c r="AC1626" i="13034"/>
  <c r="AC1625" i="13034"/>
  <c r="AC1624" i="13034"/>
  <c r="AC1623" i="13034"/>
  <c r="AC1622" i="13034"/>
  <c r="AV1621" i="13034"/>
  <c r="AT1621" i="13034"/>
  <c r="AR1621" i="13034"/>
  <c r="AP1621" i="13034"/>
  <c r="AN1621" i="13034"/>
  <c r="AL1621" i="13034"/>
  <c r="AJ1621" i="13034"/>
  <c r="AH1621" i="13034"/>
  <c r="AF1621" i="13034"/>
  <c r="AE1621" i="13034"/>
  <c r="AC1621" i="13034"/>
  <c r="AA1621" i="13034"/>
  <c r="Z1621" i="13034"/>
  <c r="AV1620" i="13034"/>
  <c r="AT1620" i="13034"/>
  <c r="AR1620" i="13034"/>
  <c r="AP1620" i="13034"/>
  <c r="AN1620" i="13034"/>
  <c r="AL1620" i="13034"/>
  <c r="AJ1620" i="13034"/>
  <c r="AH1620" i="13034"/>
  <c r="AF1620" i="13034"/>
  <c r="AE1620" i="13034"/>
  <c r="AC1620" i="13034"/>
  <c r="AA1620" i="13034"/>
  <c r="Z1620" i="13034"/>
  <c r="AN1619" i="13034"/>
  <c r="AL1619" i="13034"/>
  <c r="AJ1619" i="13034"/>
  <c r="AH1619" i="13034"/>
  <c r="AC1619" i="13034"/>
  <c r="AT1618" i="13034"/>
  <c r="AR1618" i="13034"/>
  <c r="AP1618" i="13034"/>
  <c r="AJ1618" i="13034"/>
  <c r="AH1618" i="13034"/>
  <c r="AF1618" i="13034"/>
  <c r="AE1618" i="13034"/>
  <c r="AC1618" i="13034"/>
  <c r="AA1618" i="13034"/>
  <c r="Z1618" i="13034"/>
  <c r="AT1617" i="13034"/>
  <c r="AR1617" i="13034"/>
  <c r="AP1617" i="13034"/>
  <c r="AJ1617" i="13034"/>
  <c r="AH1617" i="13034"/>
  <c r="AC1617" i="13034"/>
  <c r="AA1617" i="13034"/>
  <c r="Z1617" i="13034"/>
  <c r="AV1616" i="13034"/>
  <c r="AT1616" i="13034"/>
  <c r="AR1616" i="13034"/>
  <c r="AP1616" i="13034"/>
  <c r="AN1616" i="13034"/>
  <c r="AL1616" i="13034"/>
  <c r="AJ1616" i="13034"/>
  <c r="AH1616" i="13034"/>
  <c r="AF1616" i="13034"/>
  <c r="AC1616" i="13034"/>
  <c r="AA1616" i="13034"/>
  <c r="AT1615" i="13034"/>
  <c r="AR1615" i="13034"/>
  <c r="AP1615" i="13034"/>
  <c r="AN1615" i="13034"/>
  <c r="AL1615" i="13034"/>
  <c r="AJ1615" i="13034"/>
  <c r="AH1615" i="13034"/>
  <c r="AC1615" i="13034"/>
  <c r="AC1614" i="13034"/>
  <c r="AT1613" i="13034"/>
  <c r="AR1613" i="13034"/>
  <c r="AL1613" i="13034"/>
  <c r="AJ1613" i="13034"/>
  <c r="AC1613" i="13034"/>
  <c r="AV1612" i="13034"/>
  <c r="AT1612" i="13034"/>
  <c r="AR1612" i="13034"/>
  <c r="AP1612" i="13034"/>
  <c r="AN1612" i="13034"/>
  <c r="AL1612" i="13034"/>
  <c r="AJ1612" i="13034"/>
  <c r="AH1612" i="13034"/>
  <c r="AF1612" i="13034"/>
  <c r="AE1612" i="13034"/>
  <c r="AC1612" i="13034"/>
  <c r="AA1612" i="13034"/>
  <c r="Z1612" i="13034"/>
  <c r="AT1611" i="13034"/>
  <c r="AR1611" i="13034"/>
  <c r="AP1611" i="13034"/>
  <c r="AN1611" i="13034"/>
  <c r="AL1611" i="13034"/>
  <c r="AJ1611" i="13034"/>
  <c r="AH1611" i="13034"/>
  <c r="AC1611" i="13034"/>
  <c r="AC1610" i="13034"/>
  <c r="AC1609" i="13034"/>
  <c r="AT1608" i="13034"/>
  <c r="AR1608" i="13034"/>
  <c r="AL1608" i="13034"/>
  <c r="AJ1608" i="13034"/>
  <c r="AC1608" i="13034"/>
  <c r="AT1607" i="13034"/>
  <c r="AR1607" i="13034"/>
  <c r="AL1607" i="13034"/>
  <c r="AJ1607" i="13034"/>
  <c r="AC1607" i="13034"/>
  <c r="AT1606" i="13034"/>
  <c r="AR1606" i="13034"/>
  <c r="AL1606" i="13034"/>
  <c r="AJ1606" i="13034"/>
  <c r="AC1606" i="13034"/>
  <c r="AT1605" i="13034"/>
  <c r="AR1605" i="13034"/>
  <c r="AL1605" i="13034"/>
  <c r="AJ1605" i="13034"/>
  <c r="AC1605" i="13034"/>
  <c r="AT1604" i="13034"/>
  <c r="AR1604" i="13034"/>
  <c r="AL1604" i="13034"/>
  <c r="AJ1604" i="13034"/>
  <c r="AC1604" i="13034"/>
  <c r="AV1603" i="13034"/>
  <c r="AT1603" i="13034"/>
  <c r="AR1603" i="13034"/>
  <c r="AP1603" i="13034"/>
  <c r="AN1603" i="13034"/>
  <c r="AL1603" i="13034"/>
  <c r="AJ1603" i="13034"/>
  <c r="AH1603" i="13034"/>
  <c r="AF1603" i="13034"/>
  <c r="AE1603" i="13034"/>
  <c r="AC1603" i="13034"/>
  <c r="AA1603" i="13034"/>
  <c r="Z1603" i="13034"/>
  <c r="AV1602" i="13034"/>
  <c r="AT1602" i="13034"/>
  <c r="AR1602" i="13034"/>
  <c r="AP1602" i="13034"/>
  <c r="AN1602" i="13034"/>
  <c r="AL1602" i="13034"/>
  <c r="AJ1602" i="13034"/>
  <c r="AH1602" i="13034"/>
  <c r="AF1602" i="13034"/>
  <c r="AE1602" i="13034"/>
  <c r="AC1602" i="13034"/>
  <c r="AA1602" i="13034"/>
  <c r="Z1602" i="13034"/>
  <c r="AN1601" i="13034"/>
  <c r="AL1601" i="13034"/>
  <c r="AJ1601" i="13034"/>
  <c r="AH1601" i="13034"/>
  <c r="AC1601" i="13034"/>
  <c r="AT1600" i="13034"/>
  <c r="AR1600" i="13034"/>
  <c r="AP1600" i="13034"/>
  <c r="AJ1600" i="13034"/>
  <c r="AH1600" i="13034"/>
  <c r="AF1600" i="13034"/>
  <c r="AE1600" i="13034"/>
  <c r="AC1600" i="13034"/>
  <c r="AA1600" i="13034"/>
  <c r="Z1600" i="13034"/>
  <c r="AT1599" i="13034"/>
  <c r="AR1599" i="13034"/>
  <c r="AP1599" i="13034"/>
  <c r="AJ1599" i="13034"/>
  <c r="AH1599" i="13034"/>
  <c r="AC1599" i="13034"/>
  <c r="AA1599" i="13034"/>
  <c r="Z1599" i="13034"/>
  <c r="AV1598" i="13034"/>
  <c r="AT1598" i="13034"/>
  <c r="AR1598" i="13034"/>
  <c r="AP1598" i="13034"/>
  <c r="AN1598" i="13034"/>
  <c r="AL1598" i="13034"/>
  <c r="AJ1598" i="13034"/>
  <c r="AH1598" i="13034"/>
  <c r="AF1598" i="13034"/>
  <c r="AC1598" i="13034"/>
  <c r="AA1598" i="13034"/>
  <c r="AV1597" i="13034"/>
  <c r="AT1597" i="13034"/>
  <c r="AR1597" i="13034"/>
  <c r="AP1597" i="13034"/>
  <c r="AN1597" i="13034"/>
  <c r="AL1597" i="13034"/>
  <c r="AJ1597" i="13034"/>
  <c r="AH1597" i="13034"/>
  <c r="AC1597" i="13034"/>
  <c r="AV1596" i="13034"/>
  <c r="AT1596" i="13034"/>
  <c r="AR1596" i="13034"/>
  <c r="AP1596" i="13034"/>
  <c r="AN1596" i="13034"/>
  <c r="AL1596" i="13034"/>
  <c r="AJ1596" i="13034"/>
  <c r="AH1596" i="13034"/>
  <c r="AC1596" i="13034"/>
  <c r="AV1595" i="13034"/>
  <c r="AT1595" i="13034"/>
  <c r="AR1595" i="13034"/>
  <c r="AP1595" i="13034"/>
  <c r="AN1595" i="13034"/>
  <c r="AL1595" i="13034"/>
  <c r="AJ1595" i="13034"/>
  <c r="AH1595" i="13034"/>
  <c r="AF1595" i="13034"/>
  <c r="AE1595" i="13034"/>
  <c r="AC1595" i="13034"/>
  <c r="AA1595" i="13034"/>
  <c r="AV1594" i="13034"/>
  <c r="AT1594" i="13034"/>
  <c r="AR1594" i="13034"/>
  <c r="AP1594" i="13034"/>
  <c r="AN1594" i="13034"/>
  <c r="AL1594" i="13034"/>
  <c r="AJ1594" i="13034"/>
  <c r="AH1594" i="13034"/>
  <c r="AF1594" i="13034"/>
  <c r="AE1594" i="13034"/>
  <c r="AC1594" i="13034"/>
  <c r="AA1594" i="13034"/>
  <c r="AV1593" i="13034"/>
  <c r="AT1593" i="13034"/>
  <c r="AR1593" i="13034"/>
  <c r="AP1593" i="13034"/>
  <c r="AN1593" i="13034"/>
  <c r="AL1593" i="13034"/>
  <c r="AJ1593" i="13034"/>
  <c r="AH1593" i="13034"/>
  <c r="AF1593" i="13034"/>
  <c r="AE1593" i="13034"/>
  <c r="AC1593" i="13034"/>
  <c r="AA1593" i="13034"/>
  <c r="AV1592" i="13034"/>
  <c r="AT1592" i="13034"/>
  <c r="AR1592" i="13034"/>
  <c r="AP1592" i="13034"/>
  <c r="AN1592" i="13034"/>
  <c r="AL1592" i="13034"/>
  <c r="AJ1592" i="13034"/>
  <c r="AH1592" i="13034"/>
  <c r="AF1592" i="13034"/>
  <c r="AE1592" i="13034"/>
  <c r="AC1592" i="13034"/>
  <c r="AA1592" i="13034"/>
  <c r="AV1591" i="13034"/>
  <c r="AT1591" i="13034"/>
  <c r="AR1591" i="13034"/>
  <c r="AP1591" i="13034"/>
  <c r="AN1591" i="13034"/>
  <c r="AL1591" i="13034"/>
  <c r="AJ1591" i="13034"/>
  <c r="AH1591" i="13034"/>
  <c r="AF1591" i="13034"/>
  <c r="AE1591" i="13034"/>
  <c r="AC1591" i="13034"/>
  <c r="AA1591" i="13034"/>
  <c r="AV1590" i="13034"/>
  <c r="AT1590" i="13034"/>
  <c r="AR1590" i="13034"/>
  <c r="AP1590" i="13034"/>
  <c r="AN1590" i="13034"/>
  <c r="AL1590" i="13034"/>
  <c r="AJ1590" i="13034"/>
  <c r="AH1590" i="13034"/>
  <c r="AF1590" i="13034"/>
  <c r="AE1590" i="13034"/>
  <c r="AC1590" i="13034"/>
  <c r="AA1590" i="13034"/>
  <c r="AF1589" i="13034"/>
  <c r="AE1589" i="13034"/>
  <c r="AC1589" i="13034"/>
  <c r="AF1588" i="13034"/>
  <c r="AE1588" i="13034"/>
  <c r="AC1588" i="13034"/>
  <c r="AF1587" i="13034"/>
  <c r="AE1587" i="13034"/>
  <c r="AC1587" i="13034"/>
  <c r="AF1586" i="13034"/>
  <c r="AE1586" i="13034"/>
  <c r="AC1586" i="13034"/>
  <c r="AF1585" i="13034"/>
  <c r="AE1585" i="13034"/>
  <c r="AC1585" i="13034"/>
  <c r="AF1584" i="13034"/>
  <c r="AE1584" i="13034"/>
  <c r="AC1584" i="13034"/>
  <c r="AC1583" i="13034"/>
  <c r="AC1582" i="13034"/>
  <c r="AV1581" i="13034"/>
  <c r="AT1581" i="13034"/>
  <c r="AR1581" i="13034"/>
  <c r="AP1581" i="13034"/>
  <c r="AN1581" i="13034"/>
  <c r="AL1581" i="13034"/>
  <c r="AJ1581" i="13034"/>
  <c r="AH1581" i="13034"/>
  <c r="AF1581" i="13034"/>
  <c r="AE1581" i="13034"/>
  <c r="AC1581" i="13034"/>
  <c r="AA1581" i="13034"/>
  <c r="Z1581" i="13034"/>
  <c r="AV1580" i="13034"/>
  <c r="AT1580" i="13034"/>
  <c r="AR1580" i="13034"/>
  <c r="AP1580" i="13034"/>
  <c r="AN1580" i="13034"/>
  <c r="AL1580" i="13034"/>
  <c r="AJ1580" i="13034"/>
  <c r="AH1580" i="13034"/>
  <c r="AF1580" i="13034"/>
  <c r="AE1580" i="13034"/>
  <c r="AC1580" i="13034"/>
  <c r="AA1580" i="13034"/>
  <c r="Z1580" i="13034"/>
  <c r="AN1579" i="13034"/>
  <c r="AL1579" i="13034"/>
  <c r="AJ1579" i="13034"/>
  <c r="AH1579" i="13034"/>
  <c r="AC1579" i="13034"/>
  <c r="AT1578" i="13034"/>
  <c r="AR1578" i="13034"/>
  <c r="AP1578" i="13034"/>
  <c r="AJ1578" i="13034"/>
  <c r="AH1578" i="13034"/>
  <c r="AF1578" i="13034"/>
  <c r="AE1578" i="13034"/>
  <c r="AC1578" i="13034"/>
  <c r="AA1578" i="13034"/>
  <c r="Z1578" i="13034"/>
  <c r="AT1577" i="13034"/>
  <c r="AR1577" i="13034"/>
  <c r="AP1577" i="13034"/>
  <c r="AJ1577" i="13034"/>
  <c r="AH1577" i="13034"/>
  <c r="AC1577" i="13034"/>
  <c r="AA1577" i="13034"/>
  <c r="Z1577" i="13034"/>
  <c r="AV1576" i="13034"/>
  <c r="AT1576" i="13034"/>
  <c r="AR1576" i="13034"/>
  <c r="AP1576" i="13034"/>
  <c r="AN1576" i="13034"/>
  <c r="AL1576" i="13034"/>
  <c r="AJ1576" i="13034"/>
  <c r="AH1576" i="13034"/>
  <c r="AF1576" i="13034"/>
  <c r="AC1576" i="13034"/>
  <c r="AA1576" i="13034"/>
  <c r="AV1575" i="13034"/>
  <c r="AT1575" i="13034"/>
  <c r="AR1575" i="13034"/>
  <c r="AP1575" i="13034"/>
  <c r="AN1575" i="13034"/>
  <c r="AL1575" i="13034"/>
  <c r="AJ1575" i="13034"/>
  <c r="AH1575" i="13034"/>
  <c r="AC1575" i="13034"/>
  <c r="AV1574" i="13034"/>
  <c r="AT1574" i="13034"/>
  <c r="AR1574" i="13034"/>
  <c r="AP1574" i="13034"/>
  <c r="AN1574" i="13034"/>
  <c r="AL1574" i="13034"/>
  <c r="AJ1574" i="13034"/>
  <c r="AH1574" i="13034"/>
  <c r="AC1574" i="13034"/>
  <c r="AV1573" i="13034"/>
  <c r="AT1573" i="13034"/>
  <c r="AR1573" i="13034"/>
  <c r="AP1573" i="13034"/>
  <c r="AN1573" i="13034"/>
  <c r="AL1573" i="13034"/>
  <c r="AJ1573" i="13034"/>
  <c r="AH1573" i="13034"/>
  <c r="AF1573" i="13034"/>
  <c r="AE1573" i="13034"/>
  <c r="AC1573" i="13034"/>
  <c r="AA1573" i="13034"/>
  <c r="AV1572" i="13034"/>
  <c r="AT1572" i="13034"/>
  <c r="AR1572" i="13034"/>
  <c r="AP1572" i="13034"/>
  <c r="AN1572" i="13034"/>
  <c r="AL1572" i="13034"/>
  <c r="AJ1572" i="13034"/>
  <c r="AH1572" i="13034"/>
  <c r="AF1572" i="13034"/>
  <c r="AE1572" i="13034"/>
  <c r="AC1572" i="13034"/>
  <c r="AA1572" i="13034"/>
  <c r="AV1571" i="13034"/>
  <c r="AT1571" i="13034"/>
  <c r="AR1571" i="13034"/>
  <c r="AP1571" i="13034"/>
  <c r="AN1571" i="13034"/>
  <c r="AL1571" i="13034"/>
  <c r="AJ1571" i="13034"/>
  <c r="AH1571" i="13034"/>
  <c r="AF1571" i="13034"/>
  <c r="AE1571" i="13034"/>
  <c r="AC1571" i="13034"/>
  <c r="AA1571" i="13034"/>
  <c r="AV1570" i="13034"/>
  <c r="AT1570" i="13034"/>
  <c r="AR1570" i="13034"/>
  <c r="AP1570" i="13034"/>
  <c r="AN1570" i="13034"/>
  <c r="AL1570" i="13034"/>
  <c r="AJ1570" i="13034"/>
  <c r="AH1570" i="13034"/>
  <c r="AF1570" i="13034"/>
  <c r="AE1570" i="13034"/>
  <c r="AC1570" i="13034"/>
  <c r="AA1570" i="13034"/>
  <c r="AV1569" i="13034"/>
  <c r="AT1569" i="13034"/>
  <c r="AR1569" i="13034"/>
  <c r="AP1569" i="13034"/>
  <c r="AN1569" i="13034"/>
  <c r="AL1569" i="13034"/>
  <c r="AJ1569" i="13034"/>
  <c r="AH1569" i="13034"/>
  <c r="AF1569" i="13034"/>
  <c r="AE1569" i="13034"/>
  <c r="AC1569" i="13034"/>
  <c r="AA1569" i="13034"/>
  <c r="AV1568" i="13034"/>
  <c r="AT1568" i="13034"/>
  <c r="AR1568" i="13034"/>
  <c r="AP1568" i="13034"/>
  <c r="AN1568" i="13034"/>
  <c r="AL1568" i="13034"/>
  <c r="AJ1568" i="13034"/>
  <c r="AH1568" i="13034"/>
  <c r="AF1568" i="13034"/>
  <c r="AE1568" i="13034"/>
  <c r="AC1568" i="13034"/>
  <c r="AA1568" i="13034"/>
  <c r="AF1567" i="13034"/>
  <c r="AE1567" i="13034"/>
  <c r="AC1567" i="13034"/>
  <c r="AF1566" i="13034"/>
  <c r="AE1566" i="13034"/>
  <c r="AC1566" i="13034"/>
  <c r="AF1565" i="13034"/>
  <c r="AE1565" i="13034"/>
  <c r="AC1565" i="13034"/>
  <c r="AF1564" i="13034"/>
  <c r="AE1564" i="13034"/>
  <c r="AC1564" i="13034"/>
  <c r="AF1563" i="13034"/>
  <c r="AE1563" i="13034"/>
  <c r="AC1563" i="13034"/>
  <c r="AF1562" i="13034"/>
  <c r="AE1562" i="13034"/>
  <c r="AC1562" i="13034"/>
  <c r="AC1561" i="13034"/>
  <c r="AC1560" i="13034"/>
  <c r="AV1559" i="13034"/>
  <c r="AT1559" i="13034"/>
  <c r="AR1559" i="13034"/>
  <c r="AP1559" i="13034"/>
  <c r="AN1559" i="13034"/>
  <c r="AL1559" i="13034"/>
  <c r="AJ1559" i="13034"/>
  <c r="AH1559" i="13034"/>
  <c r="AF1559" i="13034"/>
  <c r="AE1559" i="13034"/>
  <c r="AC1559" i="13034"/>
  <c r="AA1559" i="13034"/>
  <c r="Z1559" i="13034"/>
  <c r="AV1558" i="13034"/>
  <c r="AT1558" i="13034"/>
  <c r="AR1558" i="13034"/>
  <c r="AP1558" i="13034"/>
  <c r="AN1558" i="13034"/>
  <c r="AL1558" i="13034"/>
  <c r="AJ1558" i="13034"/>
  <c r="AH1558" i="13034"/>
  <c r="AF1558" i="13034"/>
  <c r="AE1558" i="13034"/>
  <c r="AC1558" i="13034"/>
  <c r="AA1558" i="13034"/>
  <c r="Z1558" i="13034"/>
  <c r="AN1557" i="13034"/>
  <c r="AL1557" i="13034"/>
  <c r="AJ1557" i="13034"/>
  <c r="AH1557" i="13034"/>
  <c r="AC1557" i="13034"/>
  <c r="AT1556" i="13034"/>
  <c r="AR1556" i="13034"/>
  <c r="AP1556" i="13034"/>
  <c r="AJ1556" i="13034"/>
  <c r="AH1556" i="13034"/>
  <c r="AF1556" i="13034"/>
  <c r="AE1556" i="13034"/>
  <c r="AC1556" i="13034"/>
  <c r="AA1556" i="13034"/>
  <c r="Z1556" i="13034"/>
  <c r="AT1555" i="13034"/>
  <c r="AR1555" i="13034"/>
  <c r="AP1555" i="13034"/>
  <c r="AJ1555" i="13034"/>
  <c r="AH1555" i="13034"/>
  <c r="AC1555" i="13034"/>
  <c r="AA1555" i="13034"/>
  <c r="Z1555" i="13034"/>
  <c r="AV1554" i="13034"/>
  <c r="AT1554" i="13034"/>
  <c r="AR1554" i="13034"/>
  <c r="AP1554" i="13034"/>
  <c r="AN1554" i="13034"/>
  <c r="AL1554" i="13034"/>
  <c r="AJ1554" i="13034"/>
  <c r="AH1554" i="13034"/>
  <c r="AC1554" i="13034"/>
  <c r="AV1553" i="13034"/>
  <c r="AT1553" i="13034"/>
  <c r="AR1553" i="13034"/>
  <c r="AP1553" i="13034"/>
  <c r="AN1553" i="13034"/>
  <c r="AL1553" i="13034"/>
  <c r="AJ1553" i="13034"/>
  <c r="AH1553" i="13034"/>
  <c r="AC1553" i="13034"/>
  <c r="AV1552" i="13034"/>
  <c r="AT1552" i="13034"/>
  <c r="AR1552" i="13034"/>
  <c r="AP1552" i="13034"/>
  <c r="AN1552" i="13034"/>
  <c r="AL1552" i="13034"/>
  <c r="AJ1552" i="13034"/>
  <c r="AH1552" i="13034"/>
  <c r="AC1552" i="13034"/>
  <c r="AV1551" i="13034"/>
  <c r="AT1551" i="13034"/>
  <c r="AR1551" i="13034"/>
  <c r="AP1551" i="13034"/>
  <c r="AN1551" i="13034"/>
  <c r="AL1551" i="13034"/>
  <c r="AJ1551" i="13034"/>
  <c r="AH1551" i="13034"/>
  <c r="AF1551" i="13034"/>
  <c r="AE1551" i="13034"/>
  <c r="AC1551" i="13034"/>
  <c r="AV1550" i="13034"/>
  <c r="AT1550" i="13034"/>
  <c r="AR1550" i="13034"/>
  <c r="AP1550" i="13034"/>
  <c r="AN1550" i="13034"/>
  <c r="AL1550" i="13034"/>
  <c r="AJ1550" i="13034"/>
  <c r="AH1550" i="13034"/>
  <c r="AF1550" i="13034"/>
  <c r="AE1550" i="13034"/>
  <c r="AC1550" i="13034"/>
  <c r="AV1549" i="13034"/>
  <c r="AT1549" i="13034"/>
  <c r="AR1549" i="13034"/>
  <c r="AP1549" i="13034"/>
  <c r="AN1549" i="13034"/>
  <c r="AL1549" i="13034"/>
  <c r="AJ1549" i="13034"/>
  <c r="AH1549" i="13034"/>
  <c r="AF1549" i="13034"/>
  <c r="AE1549" i="13034"/>
  <c r="AC1549" i="13034"/>
  <c r="AV1548" i="13034"/>
  <c r="AT1548" i="13034"/>
  <c r="AR1548" i="13034"/>
  <c r="AP1548" i="13034"/>
  <c r="AN1548" i="13034"/>
  <c r="AL1548" i="13034"/>
  <c r="AJ1548" i="13034"/>
  <c r="AH1548" i="13034"/>
  <c r="AF1548" i="13034"/>
  <c r="AE1548" i="13034"/>
  <c r="AC1548" i="13034"/>
  <c r="AV1547" i="13034"/>
  <c r="AT1547" i="13034"/>
  <c r="AR1547" i="13034"/>
  <c r="AP1547" i="13034"/>
  <c r="AN1547" i="13034"/>
  <c r="AL1547" i="13034"/>
  <c r="AJ1547" i="13034"/>
  <c r="AH1547" i="13034"/>
  <c r="AF1547" i="13034"/>
  <c r="AE1547" i="13034"/>
  <c r="AC1547" i="13034"/>
  <c r="AV1546" i="13034"/>
  <c r="AT1546" i="13034"/>
  <c r="AR1546" i="13034"/>
  <c r="AP1546" i="13034"/>
  <c r="AN1546" i="13034"/>
  <c r="AL1546" i="13034"/>
  <c r="AJ1546" i="13034"/>
  <c r="AH1546" i="13034"/>
  <c r="AF1546" i="13034"/>
  <c r="AE1546" i="13034"/>
  <c r="AC1546" i="13034"/>
  <c r="AF1545" i="13034"/>
  <c r="AE1545" i="13034"/>
  <c r="AC1545" i="13034"/>
  <c r="AF1544" i="13034"/>
  <c r="AE1544" i="13034"/>
  <c r="AC1544" i="13034"/>
  <c r="AF1543" i="13034"/>
  <c r="AE1543" i="13034"/>
  <c r="AC1543" i="13034"/>
  <c r="AF1542" i="13034"/>
  <c r="AE1542" i="13034"/>
  <c r="AC1542" i="13034"/>
  <c r="AF1541" i="13034"/>
  <c r="AE1541" i="13034"/>
  <c r="AC1541" i="13034"/>
  <c r="AF1540" i="13034"/>
  <c r="AE1540" i="13034"/>
  <c r="AC1540" i="13034"/>
  <c r="AC1539" i="13034"/>
  <c r="AC1538" i="13034"/>
  <c r="AV1537" i="13034"/>
  <c r="AT1537" i="13034"/>
  <c r="AR1537" i="13034"/>
  <c r="AP1537" i="13034"/>
  <c r="AN1537" i="13034"/>
  <c r="AL1537" i="13034"/>
  <c r="AJ1537" i="13034"/>
  <c r="AH1537" i="13034"/>
  <c r="AF1537" i="13034"/>
  <c r="AE1537" i="13034"/>
  <c r="AC1537" i="13034"/>
  <c r="AA1537" i="13034"/>
  <c r="Z1537" i="13034"/>
  <c r="AV1536" i="13034"/>
  <c r="AT1536" i="13034"/>
  <c r="AR1536" i="13034"/>
  <c r="AP1536" i="13034"/>
  <c r="AN1536" i="13034"/>
  <c r="AL1536" i="13034"/>
  <c r="AJ1536" i="13034"/>
  <c r="AH1536" i="13034"/>
  <c r="AF1536" i="13034"/>
  <c r="AE1536" i="13034"/>
  <c r="AC1536" i="13034"/>
  <c r="AA1536" i="13034"/>
  <c r="Z1536" i="13034"/>
  <c r="AN1535" i="13034"/>
  <c r="AL1535" i="13034"/>
  <c r="AJ1535" i="13034"/>
  <c r="AH1535" i="13034"/>
  <c r="AC1535" i="13034"/>
  <c r="AT1534" i="13034"/>
  <c r="AR1534" i="13034"/>
  <c r="AP1534" i="13034"/>
  <c r="AJ1534" i="13034"/>
  <c r="AH1534" i="13034"/>
  <c r="AF1534" i="13034"/>
  <c r="AE1534" i="13034"/>
  <c r="AC1534" i="13034"/>
  <c r="AA1534" i="13034"/>
  <c r="Z1534" i="13034"/>
  <c r="AT1533" i="13034"/>
  <c r="AR1533" i="13034"/>
  <c r="AP1533" i="13034"/>
  <c r="AJ1533" i="13034"/>
  <c r="AH1533" i="13034"/>
  <c r="AC1533" i="13034"/>
  <c r="AA1533" i="13034"/>
  <c r="Z1533" i="13034"/>
  <c r="AT1532" i="13034"/>
  <c r="AR1532" i="13034"/>
  <c r="AP1532" i="13034"/>
  <c r="AN1532" i="13034"/>
  <c r="AL1532" i="13034"/>
  <c r="AJ1532" i="13034"/>
  <c r="AH1532" i="13034"/>
  <c r="AF1532" i="13034"/>
  <c r="AC1532" i="13034"/>
  <c r="AA1532" i="13034"/>
  <c r="AV1531" i="13034"/>
  <c r="AT1531" i="13034"/>
  <c r="AR1531" i="13034"/>
  <c r="AP1531" i="13034"/>
  <c r="AN1531" i="13034"/>
  <c r="AL1531" i="13034"/>
  <c r="AJ1531" i="13034"/>
  <c r="AH1531" i="13034"/>
  <c r="AC1531" i="13034"/>
  <c r="AV1530" i="13034"/>
  <c r="AT1530" i="13034"/>
  <c r="AR1530" i="13034"/>
  <c r="AP1530" i="13034"/>
  <c r="AN1530" i="13034"/>
  <c r="AL1530" i="13034"/>
  <c r="AJ1530" i="13034"/>
  <c r="AH1530" i="13034"/>
  <c r="AC1530" i="13034"/>
  <c r="AV1529" i="13034"/>
  <c r="AT1529" i="13034"/>
  <c r="AR1529" i="13034"/>
  <c r="AP1529" i="13034"/>
  <c r="AN1529" i="13034"/>
  <c r="AL1529" i="13034"/>
  <c r="AJ1529" i="13034"/>
  <c r="AH1529" i="13034"/>
  <c r="AC1529" i="13034"/>
  <c r="AV1528" i="13034"/>
  <c r="AT1528" i="13034"/>
  <c r="AR1528" i="13034"/>
  <c r="AP1528" i="13034"/>
  <c r="AN1528" i="13034"/>
  <c r="AL1528" i="13034"/>
  <c r="AJ1528" i="13034"/>
  <c r="AH1528" i="13034"/>
  <c r="AC1528" i="13034"/>
  <c r="AV1527" i="13034"/>
  <c r="AT1527" i="13034"/>
  <c r="AR1527" i="13034"/>
  <c r="AP1527" i="13034"/>
  <c r="AN1527" i="13034"/>
  <c r="AL1527" i="13034"/>
  <c r="AJ1527" i="13034"/>
  <c r="AH1527" i="13034"/>
  <c r="AC1527" i="13034"/>
  <c r="AF1526" i="13034"/>
  <c r="AE1526" i="13034"/>
  <c r="AC1526" i="13034"/>
  <c r="AF1525" i="13034"/>
  <c r="AE1525" i="13034"/>
  <c r="AC1525" i="13034"/>
  <c r="AF1524" i="13034"/>
  <c r="AE1524" i="13034"/>
  <c r="AC1524" i="13034"/>
  <c r="AF1523" i="13034"/>
  <c r="AE1523" i="13034"/>
  <c r="AC1523" i="13034"/>
  <c r="AF1522" i="13034"/>
  <c r="AE1522" i="13034"/>
  <c r="AC1522" i="13034"/>
  <c r="AF1521" i="13034"/>
  <c r="AE1521" i="13034"/>
  <c r="AC1521" i="13034"/>
  <c r="AC1520" i="13034"/>
  <c r="AC1519" i="13034"/>
  <c r="AV1518" i="13034"/>
  <c r="AT1518" i="13034"/>
  <c r="AR1518" i="13034"/>
  <c r="AP1518" i="13034"/>
  <c r="AN1518" i="13034"/>
  <c r="AL1518" i="13034"/>
  <c r="AJ1518" i="13034"/>
  <c r="AH1518" i="13034"/>
  <c r="AF1518" i="13034"/>
  <c r="AE1518" i="13034"/>
  <c r="AC1518" i="13034"/>
  <c r="AA1518" i="13034"/>
  <c r="Z1518" i="13034"/>
  <c r="AV1517" i="13034"/>
  <c r="AT1517" i="13034"/>
  <c r="AR1517" i="13034"/>
  <c r="AP1517" i="13034"/>
  <c r="AN1517" i="13034"/>
  <c r="AL1517" i="13034"/>
  <c r="AJ1517" i="13034"/>
  <c r="AH1517" i="13034"/>
  <c r="AF1517" i="13034"/>
  <c r="AE1517" i="13034"/>
  <c r="AC1517" i="13034"/>
  <c r="AA1517" i="13034"/>
  <c r="Z1517" i="13034"/>
  <c r="AN1516" i="13034"/>
  <c r="AL1516" i="13034"/>
  <c r="AJ1516" i="13034"/>
  <c r="AH1516" i="13034"/>
  <c r="AC1516" i="13034"/>
  <c r="AT1515" i="13034"/>
  <c r="AR1515" i="13034"/>
  <c r="AP1515" i="13034"/>
  <c r="AJ1515" i="13034"/>
  <c r="AH1515" i="13034"/>
  <c r="AF1515" i="13034"/>
  <c r="AE1515" i="13034"/>
  <c r="AC1515" i="13034"/>
  <c r="AA1515" i="13034"/>
  <c r="Z1515" i="13034"/>
  <c r="AT1514" i="13034"/>
  <c r="AR1514" i="13034"/>
  <c r="AP1514" i="13034"/>
  <c r="AJ1514" i="13034"/>
  <c r="AH1514" i="13034"/>
  <c r="AC1514" i="13034"/>
  <c r="AA1514" i="13034"/>
  <c r="Z1514" i="13034"/>
  <c r="AT1513" i="13034"/>
  <c r="AR1513" i="13034"/>
  <c r="AP1513" i="13034"/>
  <c r="AN1513" i="13034"/>
  <c r="AL1513" i="13034"/>
  <c r="AJ1513" i="13034"/>
  <c r="AH1513" i="13034"/>
  <c r="AF1513" i="13034"/>
  <c r="AC1513" i="13034"/>
  <c r="AA1513" i="13034"/>
  <c r="AV1512" i="13034"/>
  <c r="AT1512" i="13034"/>
  <c r="AR1512" i="13034"/>
  <c r="AP1512" i="13034"/>
  <c r="AN1512" i="13034"/>
  <c r="AL1512" i="13034"/>
  <c r="AJ1512" i="13034"/>
  <c r="AH1512" i="13034"/>
  <c r="AC1512" i="13034"/>
  <c r="AV1511" i="13034"/>
  <c r="AT1511" i="13034"/>
  <c r="AR1511" i="13034"/>
  <c r="AP1511" i="13034"/>
  <c r="AN1511" i="13034"/>
  <c r="AL1511" i="13034"/>
  <c r="AJ1511" i="13034"/>
  <c r="AH1511" i="13034"/>
  <c r="AC1511" i="13034"/>
  <c r="AV1510" i="13034"/>
  <c r="AT1510" i="13034"/>
  <c r="AR1510" i="13034"/>
  <c r="AP1510" i="13034"/>
  <c r="AN1510" i="13034"/>
  <c r="AL1510" i="13034"/>
  <c r="AJ1510" i="13034"/>
  <c r="AH1510" i="13034"/>
  <c r="AC1510" i="13034"/>
  <c r="AV1509" i="13034"/>
  <c r="AT1509" i="13034"/>
  <c r="AR1509" i="13034"/>
  <c r="AP1509" i="13034"/>
  <c r="AN1509" i="13034"/>
  <c r="AL1509" i="13034"/>
  <c r="AJ1509" i="13034"/>
  <c r="AH1509" i="13034"/>
  <c r="AC1509" i="13034"/>
  <c r="AV1508" i="13034"/>
  <c r="AT1508" i="13034"/>
  <c r="AR1508" i="13034"/>
  <c r="AP1508" i="13034"/>
  <c r="AN1508" i="13034"/>
  <c r="AL1508" i="13034"/>
  <c r="AJ1508" i="13034"/>
  <c r="AH1508" i="13034"/>
  <c r="AC1508" i="13034"/>
  <c r="AF1507" i="13034"/>
  <c r="AE1507" i="13034"/>
  <c r="AC1507" i="13034"/>
  <c r="AF1506" i="13034"/>
  <c r="AE1506" i="13034"/>
  <c r="AC1506" i="13034"/>
  <c r="AF1505" i="13034"/>
  <c r="AE1505" i="13034"/>
  <c r="AC1505" i="13034"/>
  <c r="AF1504" i="13034"/>
  <c r="AE1504" i="13034"/>
  <c r="AC1504" i="13034"/>
  <c r="AF1503" i="13034"/>
  <c r="AE1503" i="13034"/>
  <c r="AC1503" i="13034"/>
  <c r="AF1502" i="13034"/>
  <c r="AE1502" i="13034"/>
  <c r="AC1502" i="13034"/>
  <c r="AC1501" i="13034"/>
  <c r="AC1500" i="13034"/>
  <c r="AV1499" i="13034"/>
  <c r="AT1499" i="13034"/>
  <c r="AR1499" i="13034"/>
  <c r="AP1499" i="13034"/>
  <c r="AN1499" i="13034"/>
  <c r="AL1499" i="13034"/>
  <c r="AJ1499" i="13034"/>
  <c r="AH1499" i="13034"/>
  <c r="AF1499" i="13034"/>
  <c r="AE1499" i="13034"/>
  <c r="AC1499" i="13034"/>
  <c r="AA1499" i="13034"/>
  <c r="Z1499" i="13034"/>
  <c r="AV1498" i="13034"/>
  <c r="AT1498" i="13034"/>
  <c r="AR1498" i="13034"/>
  <c r="AP1498" i="13034"/>
  <c r="AN1498" i="13034"/>
  <c r="AL1498" i="13034"/>
  <c r="AJ1498" i="13034"/>
  <c r="AH1498" i="13034"/>
  <c r="AF1498" i="13034"/>
  <c r="AE1498" i="13034"/>
  <c r="AC1498" i="13034"/>
  <c r="AA1498" i="13034"/>
  <c r="Z1498" i="13034"/>
  <c r="AV1497" i="13034"/>
  <c r="AT1497" i="13034"/>
  <c r="AR1497" i="13034"/>
  <c r="AP1497" i="13034"/>
  <c r="AN1497" i="13034"/>
  <c r="AJ1497" i="13034"/>
  <c r="AH1497" i="13034"/>
  <c r="AF1497" i="13034"/>
  <c r="AE1497" i="13034"/>
  <c r="AC1497" i="13034"/>
  <c r="AA1497" i="13034"/>
  <c r="Z1497" i="13034"/>
  <c r="AV1496" i="13034"/>
  <c r="AT1496" i="13034"/>
  <c r="AR1496" i="13034"/>
  <c r="AP1496" i="13034"/>
  <c r="AN1496" i="13034"/>
  <c r="AJ1496" i="13034"/>
  <c r="AH1496" i="13034"/>
  <c r="AF1496" i="13034"/>
  <c r="AE1496" i="13034"/>
  <c r="AC1496" i="13034"/>
  <c r="AA1496" i="13034"/>
  <c r="Z1496" i="13034"/>
  <c r="AN1495" i="13034"/>
  <c r="AL1495" i="13034"/>
  <c r="AJ1495" i="13034"/>
  <c r="AH1495" i="13034"/>
  <c r="AC1495" i="13034"/>
  <c r="AT1494" i="13034"/>
  <c r="AR1494" i="13034"/>
  <c r="AP1494" i="13034"/>
  <c r="AJ1494" i="13034"/>
  <c r="AH1494" i="13034"/>
  <c r="AF1494" i="13034"/>
  <c r="AE1494" i="13034"/>
  <c r="AC1494" i="13034"/>
  <c r="AA1494" i="13034"/>
  <c r="Z1494" i="13034"/>
  <c r="AT1493" i="13034"/>
  <c r="AR1493" i="13034"/>
  <c r="AP1493" i="13034"/>
  <c r="AJ1493" i="13034"/>
  <c r="AH1493" i="13034"/>
  <c r="AC1493" i="13034"/>
  <c r="AA1493" i="13034"/>
  <c r="Z1493" i="13034"/>
  <c r="AT1492" i="13034"/>
  <c r="AR1492" i="13034"/>
  <c r="AP1492" i="13034"/>
  <c r="AN1492" i="13034"/>
  <c r="AL1492" i="13034"/>
  <c r="AJ1492" i="13034"/>
  <c r="AH1492" i="13034"/>
  <c r="AC1492" i="13034"/>
  <c r="AV1491" i="13034"/>
  <c r="AT1491" i="13034"/>
  <c r="AR1491" i="13034"/>
  <c r="AP1491" i="13034"/>
  <c r="AN1491" i="13034"/>
  <c r="AL1491" i="13034"/>
  <c r="AJ1491" i="13034"/>
  <c r="AH1491" i="13034"/>
  <c r="AC1491" i="13034"/>
  <c r="AV1490" i="13034"/>
  <c r="AT1490" i="13034"/>
  <c r="AR1490" i="13034"/>
  <c r="AP1490" i="13034"/>
  <c r="AN1490" i="13034"/>
  <c r="AL1490" i="13034"/>
  <c r="AJ1490" i="13034"/>
  <c r="AH1490" i="13034"/>
  <c r="AC1490" i="13034"/>
  <c r="AV1489" i="13034"/>
  <c r="AT1489" i="13034"/>
  <c r="AR1489" i="13034"/>
  <c r="AP1489" i="13034"/>
  <c r="AN1489" i="13034"/>
  <c r="AL1489" i="13034"/>
  <c r="AJ1489" i="13034"/>
  <c r="AH1489" i="13034"/>
  <c r="AC1489" i="13034"/>
  <c r="AV1488" i="13034"/>
  <c r="AT1488" i="13034"/>
  <c r="AR1488" i="13034"/>
  <c r="AP1488" i="13034"/>
  <c r="AN1488" i="13034"/>
  <c r="AL1488" i="13034"/>
  <c r="AJ1488" i="13034"/>
  <c r="AH1488" i="13034"/>
  <c r="AC1488" i="13034"/>
  <c r="AV1487" i="13034"/>
  <c r="AT1487" i="13034"/>
  <c r="AR1487" i="13034"/>
  <c r="AP1487" i="13034"/>
  <c r="AN1487" i="13034"/>
  <c r="AL1487" i="13034"/>
  <c r="AJ1487" i="13034"/>
  <c r="AH1487" i="13034"/>
  <c r="AC1487" i="13034"/>
  <c r="AP1486" i="13034"/>
  <c r="AH1486" i="13034"/>
  <c r="AF1486" i="13034"/>
  <c r="AE1486" i="13034"/>
  <c r="AC1486" i="13034"/>
  <c r="AP1485" i="13034"/>
  <c r="AH1485" i="13034"/>
  <c r="AF1485" i="13034"/>
  <c r="AE1485" i="13034"/>
  <c r="AC1485" i="13034"/>
  <c r="AP1484" i="13034"/>
  <c r="AH1484" i="13034"/>
  <c r="AF1484" i="13034"/>
  <c r="AE1484" i="13034"/>
  <c r="AC1484" i="13034"/>
  <c r="AP1483" i="13034"/>
  <c r="AH1483" i="13034"/>
  <c r="AF1483" i="13034"/>
  <c r="AE1483" i="13034"/>
  <c r="AC1483" i="13034"/>
  <c r="AL1482" i="13034"/>
  <c r="AF1482" i="13034"/>
  <c r="AE1482" i="13034"/>
  <c r="AC1482" i="13034"/>
  <c r="AL1481" i="13034"/>
  <c r="AF1481" i="13034"/>
  <c r="AE1481" i="13034"/>
  <c r="AC1481" i="13034"/>
  <c r="AL1480" i="13034"/>
  <c r="AC1480" i="13034"/>
  <c r="AL1479" i="13034"/>
  <c r="AC1479" i="13034"/>
  <c r="AV1478" i="13034"/>
  <c r="AT1478" i="13034"/>
  <c r="AR1478" i="13034"/>
  <c r="AP1478" i="13034"/>
  <c r="AN1478" i="13034"/>
  <c r="AL1478" i="13034"/>
  <c r="AJ1478" i="13034"/>
  <c r="AH1478" i="13034"/>
  <c r="AF1478" i="13034"/>
  <c r="AE1478" i="13034"/>
  <c r="AC1478" i="13034"/>
  <c r="AA1478" i="13034"/>
  <c r="Z1478" i="13034"/>
  <c r="AV1477" i="13034"/>
  <c r="AT1477" i="13034"/>
  <c r="AR1477" i="13034"/>
  <c r="AP1477" i="13034"/>
  <c r="AN1477" i="13034"/>
  <c r="AL1477" i="13034"/>
  <c r="AJ1477" i="13034"/>
  <c r="AH1477" i="13034"/>
  <c r="AF1477" i="13034"/>
  <c r="AE1477" i="13034"/>
  <c r="AC1477" i="13034"/>
  <c r="AA1477" i="13034"/>
  <c r="Z1477" i="13034"/>
  <c r="AN1476" i="13034"/>
  <c r="AL1476" i="13034"/>
  <c r="AJ1476" i="13034"/>
  <c r="AH1476" i="13034"/>
  <c r="AC1476" i="13034"/>
  <c r="AA1476" i="13034"/>
  <c r="AT1475" i="13034"/>
  <c r="AR1475" i="13034"/>
  <c r="AP1475" i="13034"/>
  <c r="AJ1475" i="13034"/>
  <c r="AH1475" i="13034"/>
  <c r="AF1475" i="13034"/>
  <c r="AE1475" i="13034"/>
  <c r="AC1475" i="13034"/>
  <c r="AA1475" i="13034"/>
  <c r="Z1475" i="13034"/>
  <c r="AT1474" i="13034"/>
  <c r="AR1474" i="13034"/>
  <c r="AP1474" i="13034"/>
  <c r="AJ1474" i="13034"/>
  <c r="AH1474" i="13034"/>
  <c r="AC1474" i="13034"/>
  <c r="AA1474" i="13034"/>
  <c r="Z1474" i="13034"/>
  <c r="AV1473" i="13034"/>
  <c r="AT1473" i="13034"/>
  <c r="AR1473" i="13034"/>
  <c r="AP1473" i="13034"/>
  <c r="AN1473" i="13034"/>
  <c r="AL1473" i="13034"/>
  <c r="AJ1473" i="13034"/>
  <c r="AH1473" i="13034"/>
  <c r="AF1473" i="13034"/>
  <c r="AC1473" i="13034"/>
  <c r="AA1473" i="13034"/>
  <c r="AV1472" i="13034"/>
  <c r="AT1472" i="13034"/>
  <c r="AR1472" i="13034"/>
  <c r="AP1472" i="13034"/>
  <c r="AN1472" i="13034"/>
  <c r="AL1472" i="13034"/>
  <c r="AJ1472" i="13034"/>
  <c r="AH1472" i="13034"/>
  <c r="AC1472" i="13034"/>
  <c r="AV1471" i="13034"/>
  <c r="AT1471" i="13034"/>
  <c r="AR1471" i="13034"/>
  <c r="AP1471" i="13034"/>
  <c r="AN1471" i="13034"/>
  <c r="AL1471" i="13034"/>
  <c r="AJ1471" i="13034"/>
  <c r="AH1471" i="13034"/>
  <c r="AC1471" i="13034"/>
  <c r="AV1470" i="13034"/>
  <c r="AT1470" i="13034"/>
  <c r="AR1470" i="13034"/>
  <c r="AP1470" i="13034"/>
  <c r="AN1470" i="13034"/>
  <c r="AL1470" i="13034"/>
  <c r="AJ1470" i="13034"/>
  <c r="AH1470" i="13034"/>
  <c r="AC1470" i="13034"/>
  <c r="AC1469" i="13034"/>
  <c r="AV1468" i="13034"/>
  <c r="AT1468" i="13034"/>
  <c r="AR1468" i="13034"/>
  <c r="AP1468" i="13034"/>
  <c r="AN1468" i="13034"/>
  <c r="AL1468" i="13034"/>
  <c r="AJ1468" i="13034"/>
  <c r="AH1468" i="13034"/>
  <c r="AC1468" i="13034"/>
  <c r="AV1467" i="13034"/>
  <c r="AT1467" i="13034"/>
  <c r="AR1467" i="13034"/>
  <c r="AP1467" i="13034"/>
  <c r="AN1467" i="13034"/>
  <c r="AL1467" i="13034"/>
  <c r="AJ1467" i="13034"/>
  <c r="AH1467" i="13034"/>
  <c r="AC1467" i="13034"/>
  <c r="AF1466" i="13034"/>
  <c r="AE1466" i="13034"/>
  <c r="AC1466" i="13034"/>
  <c r="AF1465" i="13034"/>
  <c r="AE1465" i="13034"/>
  <c r="AC1465" i="13034"/>
  <c r="AF1464" i="13034"/>
  <c r="AE1464" i="13034"/>
  <c r="AC1464" i="13034"/>
  <c r="AF1463" i="13034"/>
  <c r="AE1463" i="13034"/>
  <c r="AC1463" i="13034"/>
  <c r="AF1462" i="13034"/>
  <c r="AE1462" i="13034"/>
  <c r="AC1462" i="13034"/>
  <c r="AF1461" i="13034"/>
  <c r="AE1461" i="13034"/>
  <c r="AC1461" i="13034"/>
  <c r="AT1460" i="13034"/>
  <c r="AR1460" i="13034"/>
  <c r="AC1460" i="13034"/>
  <c r="AT1459" i="13034"/>
  <c r="AR1459" i="13034"/>
  <c r="AC1459" i="13034"/>
  <c r="AA1459" i="13034"/>
  <c r="AV1458" i="13034"/>
  <c r="AT1458" i="13034"/>
  <c r="AR1458" i="13034"/>
  <c r="AP1458" i="13034"/>
  <c r="AN1458" i="13034"/>
  <c r="AL1458" i="13034"/>
  <c r="AJ1458" i="13034"/>
  <c r="AH1458" i="13034"/>
  <c r="AF1458" i="13034"/>
  <c r="AE1458" i="13034"/>
  <c r="AC1458" i="13034"/>
  <c r="AA1458" i="13034"/>
  <c r="Z1458" i="13034"/>
  <c r="AV1457" i="13034"/>
  <c r="AT1457" i="13034"/>
  <c r="AR1457" i="13034"/>
  <c r="AP1457" i="13034"/>
  <c r="AN1457" i="13034"/>
  <c r="AL1457" i="13034"/>
  <c r="AJ1457" i="13034"/>
  <c r="AH1457" i="13034"/>
  <c r="AF1457" i="13034"/>
  <c r="AE1457" i="13034"/>
  <c r="AC1457" i="13034"/>
  <c r="AA1457" i="13034"/>
  <c r="Z1457" i="13034"/>
  <c r="AN1456" i="13034"/>
  <c r="AL1456" i="13034"/>
  <c r="AJ1456" i="13034"/>
  <c r="AH1456" i="13034"/>
  <c r="AC1456" i="13034"/>
  <c r="AT1455" i="13034"/>
  <c r="AR1455" i="13034"/>
  <c r="AP1455" i="13034"/>
  <c r="AJ1455" i="13034"/>
  <c r="AH1455" i="13034"/>
  <c r="AF1455" i="13034"/>
  <c r="AE1455" i="13034"/>
  <c r="AC1455" i="13034"/>
  <c r="AA1455" i="13034"/>
  <c r="Z1455" i="13034"/>
  <c r="AT1454" i="13034"/>
  <c r="AR1454" i="13034"/>
  <c r="AP1454" i="13034"/>
  <c r="AJ1454" i="13034"/>
  <c r="AH1454" i="13034"/>
  <c r="AC1454" i="13034"/>
  <c r="AA1454" i="13034"/>
  <c r="Z1454" i="13034"/>
  <c r="AV1453" i="13034"/>
  <c r="AT1453" i="13034"/>
  <c r="AR1453" i="13034"/>
  <c r="AP1453" i="13034"/>
  <c r="AN1453" i="13034"/>
  <c r="AL1453" i="13034"/>
  <c r="AJ1453" i="13034"/>
  <c r="AH1453" i="13034"/>
  <c r="AF1453" i="13034"/>
  <c r="AC1453" i="13034"/>
  <c r="AA1453" i="13034"/>
  <c r="AV1452" i="13034"/>
  <c r="AT1452" i="13034"/>
  <c r="AR1452" i="13034"/>
  <c r="AP1452" i="13034"/>
  <c r="AN1452" i="13034"/>
  <c r="AL1452" i="13034"/>
  <c r="AJ1452" i="13034"/>
  <c r="AH1452" i="13034"/>
  <c r="AC1452" i="13034"/>
  <c r="AV1451" i="13034"/>
  <c r="AT1451" i="13034"/>
  <c r="AR1451" i="13034"/>
  <c r="AP1451" i="13034"/>
  <c r="AN1451" i="13034"/>
  <c r="AL1451" i="13034"/>
  <c r="AJ1451" i="13034"/>
  <c r="AH1451" i="13034"/>
  <c r="AC1451" i="13034"/>
  <c r="AV1450" i="13034"/>
  <c r="AT1450" i="13034"/>
  <c r="AR1450" i="13034"/>
  <c r="AP1450" i="13034"/>
  <c r="AN1450" i="13034"/>
  <c r="AL1450" i="13034"/>
  <c r="AJ1450" i="13034"/>
  <c r="AH1450" i="13034"/>
  <c r="AC1450" i="13034"/>
  <c r="AC1449" i="13034"/>
  <c r="AV1448" i="13034"/>
  <c r="AT1448" i="13034"/>
  <c r="AR1448" i="13034"/>
  <c r="AP1448" i="13034"/>
  <c r="AN1448" i="13034"/>
  <c r="AL1448" i="13034"/>
  <c r="AJ1448" i="13034"/>
  <c r="AH1448" i="13034"/>
  <c r="AC1448" i="13034"/>
  <c r="AV1447" i="13034"/>
  <c r="AT1447" i="13034"/>
  <c r="AR1447" i="13034"/>
  <c r="AP1447" i="13034"/>
  <c r="AN1447" i="13034"/>
  <c r="AL1447" i="13034"/>
  <c r="AJ1447" i="13034"/>
  <c r="AH1447" i="13034"/>
  <c r="AC1447" i="13034"/>
  <c r="AF1446" i="13034"/>
  <c r="AE1446" i="13034"/>
  <c r="AC1446" i="13034"/>
  <c r="AF1445" i="13034"/>
  <c r="AE1445" i="13034"/>
  <c r="AC1445" i="13034"/>
  <c r="AF1444" i="13034"/>
  <c r="AE1444" i="13034"/>
  <c r="AC1444" i="13034"/>
  <c r="AF1443" i="13034"/>
  <c r="AE1443" i="13034"/>
  <c r="AC1443" i="13034"/>
  <c r="AF1442" i="13034"/>
  <c r="AE1442" i="13034"/>
  <c r="AC1442" i="13034"/>
  <c r="AF1441" i="13034"/>
  <c r="AE1441" i="13034"/>
  <c r="AC1441" i="13034"/>
  <c r="AT1440" i="13034"/>
  <c r="AR1440" i="13034"/>
  <c r="AC1440" i="13034"/>
  <c r="AT1439" i="13034"/>
  <c r="AR1439" i="13034"/>
  <c r="AC1439" i="13034"/>
  <c r="AV1438" i="13034"/>
  <c r="AT1438" i="13034"/>
  <c r="AR1438" i="13034"/>
  <c r="AP1438" i="13034"/>
  <c r="AN1438" i="13034"/>
  <c r="AL1438" i="13034"/>
  <c r="AJ1438" i="13034"/>
  <c r="AH1438" i="13034"/>
  <c r="AF1438" i="13034"/>
  <c r="AE1438" i="13034"/>
  <c r="AC1438" i="13034"/>
  <c r="AA1438" i="13034"/>
  <c r="Z1438" i="13034"/>
  <c r="AV1437" i="13034"/>
  <c r="AT1437" i="13034"/>
  <c r="AR1437" i="13034"/>
  <c r="AP1437" i="13034"/>
  <c r="AN1437" i="13034"/>
  <c r="AL1437" i="13034"/>
  <c r="AJ1437" i="13034"/>
  <c r="AH1437" i="13034"/>
  <c r="AF1437" i="13034"/>
  <c r="AE1437" i="13034"/>
  <c r="AC1437" i="13034"/>
  <c r="AA1437" i="13034"/>
  <c r="Z1437" i="13034"/>
  <c r="AN1436" i="13034"/>
  <c r="AL1436" i="13034"/>
  <c r="AJ1436" i="13034"/>
  <c r="AH1436" i="13034"/>
  <c r="AC1436" i="13034"/>
  <c r="AT1435" i="13034"/>
  <c r="AR1435" i="13034"/>
  <c r="AP1435" i="13034"/>
  <c r="AJ1435" i="13034"/>
  <c r="AH1435" i="13034"/>
  <c r="AF1435" i="13034"/>
  <c r="AE1435" i="13034"/>
  <c r="AC1435" i="13034"/>
  <c r="AA1435" i="13034"/>
  <c r="Z1435" i="13034"/>
  <c r="AT1434" i="13034"/>
  <c r="AR1434" i="13034"/>
  <c r="AP1434" i="13034"/>
  <c r="AJ1434" i="13034"/>
  <c r="AH1434" i="13034"/>
  <c r="AC1434" i="13034"/>
  <c r="AA1434" i="13034"/>
  <c r="Z1434" i="13034"/>
  <c r="AV1433" i="13034"/>
  <c r="AT1433" i="13034"/>
  <c r="AR1433" i="13034"/>
  <c r="AP1433" i="13034"/>
  <c r="AN1433" i="13034"/>
  <c r="AL1433" i="13034"/>
  <c r="AJ1433" i="13034"/>
  <c r="AH1433" i="13034"/>
  <c r="AF1433" i="13034"/>
  <c r="AC1433" i="13034"/>
  <c r="AA1433" i="13034"/>
  <c r="AV1432" i="13034"/>
  <c r="AT1432" i="13034"/>
  <c r="AR1432" i="13034"/>
  <c r="AP1432" i="13034"/>
  <c r="AN1432" i="13034"/>
  <c r="AL1432" i="13034"/>
  <c r="AJ1432" i="13034"/>
  <c r="AH1432" i="13034"/>
  <c r="AC1432" i="13034"/>
  <c r="AV1431" i="13034"/>
  <c r="AT1431" i="13034"/>
  <c r="AR1431" i="13034"/>
  <c r="AP1431" i="13034"/>
  <c r="AN1431" i="13034"/>
  <c r="AL1431" i="13034"/>
  <c r="AJ1431" i="13034"/>
  <c r="AH1431" i="13034"/>
  <c r="AC1431" i="13034"/>
  <c r="AV1430" i="13034"/>
  <c r="AT1430" i="13034"/>
  <c r="AR1430" i="13034"/>
  <c r="AP1430" i="13034"/>
  <c r="AN1430" i="13034"/>
  <c r="AL1430" i="13034"/>
  <c r="AJ1430" i="13034"/>
  <c r="AH1430" i="13034"/>
  <c r="AC1430" i="13034"/>
  <c r="AC1429" i="13034"/>
  <c r="AV1428" i="13034"/>
  <c r="AT1428" i="13034"/>
  <c r="AR1428" i="13034"/>
  <c r="AP1428" i="13034"/>
  <c r="AN1428" i="13034"/>
  <c r="AL1428" i="13034"/>
  <c r="AJ1428" i="13034"/>
  <c r="AH1428" i="13034"/>
  <c r="AC1428" i="13034"/>
  <c r="AV1427" i="13034"/>
  <c r="AT1427" i="13034"/>
  <c r="AR1427" i="13034"/>
  <c r="AP1427" i="13034"/>
  <c r="AN1427" i="13034"/>
  <c r="AL1427" i="13034"/>
  <c r="AJ1427" i="13034"/>
  <c r="AH1427" i="13034"/>
  <c r="AC1427" i="13034"/>
  <c r="AF1426" i="13034"/>
  <c r="AE1426" i="13034"/>
  <c r="AC1426" i="13034"/>
  <c r="AF1425" i="13034"/>
  <c r="AE1425" i="13034"/>
  <c r="AC1425" i="13034"/>
  <c r="AF1424" i="13034"/>
  <c r="AE1424" i="13034"/>
  <c r="AC1424" i="13034"/>
  <c r="AF1423" i="13034"/>
  <c r="AE1423" i="13034"/>
  <c r="AC1423" i="13034"/>
  <c r="AF1422" i="13034"/>
  <c r="AE1422" i="13034"/>
  <c r="AC1422" i="13034"/>
  <c r="AF1421" i="13034"/>
  <c r="AE1421" i="13034"/>
  <c r="AC1421" i="13034"/>
  <c r="AT1420" i="13034"/>
  <c r="AR1420" i="13034"/>
  <c r="AC1420" i="13034"/>
  <c r="AT1419" i="13034"/>
  <c r="AR1419" i="13034"/>
  <c r="AC1419" i="13034"/>
  <c r="AV1418" i="13034"/>
  <c r="AT1418" i="13034"/>
  <c r="AR1418" i="13034"/>
  <c r="AP1418" i="13034"/>
  <c r="AN1418" i="13034"/>
  <c r="AL1418" i="13034"/>
  <c r="AJ1418" i="13034"/>
  <c r="AH1418" i="13034"/>
  <c r="AF1418" i="13034"/>
  <c r="AE1418" i="13034"/>
  <c r="AC1418" i="13034"/>
  <c r="AA1418" i="13034"/>
  <c r="Z1418" i="13034"/>
  <c r="AV1417" i="13034"/>
  <c r="AT1417" i="13034"/>
  <c r="AR1417" i="13034"/>
  <c r="AP1417" i="13034"/>
  <c r="AN1417" i="13034"/>
  <c r="AL1417" i="13034"/>
  <c r="AJ1417" i="13034"/>
  <c r="AH1417" i="13034"/>
  <c r="AF1417" i="13034"/>
  <c r="AE1417" i="13034"/>
  <c r="AC1417" i="13034"/>
  <c r="AA1417" i="13034"/>
  <c r="Z1417" i="13034"/>
  <c r="AN1416" i="13034"/>
  <c r="AL1416" i="13034"/>
  <c r="AJ1416" i="13034"/>
  <c r="AH1416" i="13034"/>
  <c r="AC1416" i="13034"/>
  <c r="AT1415" i="13034"/>
  <c r="AR1415" i="13034"/>
  <c r="AP1415" i="13034"/>
  <c r="AJ1415" i="13034"/>
  <c r="AH1415" i="13034"/>
  <c r="AF1415" i="13034"/>
  <c r="AE1415" i="13034"/>
  <c r="AC1415" i="13034"/>
  <c r="AA1415" i="13034"/>
  <c r="Z1415" i="13034"/>
  <c r="AT1414" i="13034"/>
  <c r="AR1414" i="13034"/>
  <c r="AP1414" i="13034"/>
  <c r="AJ1414" i="13034"/>
  <c r="AH1414" i="13034"/>
  <c r="AC1414" i="13034"/>
  <c r="AA1414" i="13034"/>
  <c r="Z1414" i="13034"/>
  <c r="AV1413" i="13034"/>
  <c r="AT1413" i="13034"/>
  <c r="AR1413" i="13034"/>
  <c r="AP1413" i="13034"/>
  <c r="AN1413" i="13034"/>
  <c r="AL1413" i="13034"/>
  <c r="AJ1413" i="13034"/>
  <c r="AH1413" i="13034"/>
  <c r="AF1413" i="13034"/>
  <c r="AC1413" i="13034"/>
  <c r="AA1413" i="13034"/>
  <c r="AV1412" i="13034"/>
  <c r="AT1412" i="13034"/>
  <c r="AR1412" i="13034"/>
  <c r="AP1412" i="13034"/>
  <c r="AN1412" i="13034"/>
  <c r="AL1412" i="13034"/>
  <c r="AJ1412" i="13034"/>
  <c r="AH1412" i="13034"/>
  <c r="AC1412" i="13034"/>
  <c r="AV1411" i="13034"/>
  <c r="AT1411" i="13034"/>
  <c r="AR1411" i="13034"/>
  <c r="AP1411" i="13034"/>
  <c r="AN1411" i="13034"/>
  <c r="AL1411" i="13034"/>
  <c r="AJ1411" i="13034"/>
  <c r="AH1411" i="13034"/>
  <c r="AC1411" i="13034"/>
  <c r="AV1410" i="13034"/>
  <c r="AT1410" i="13034"/>
  <c r="AR1410" i="13034"/>
  <c r="AP1410" i="13034"/>
  <c r="AN1410" i="13034"/>
  <c r="AL1410" i="13034"/>
  <c r="AJ1410" i="13034"/>
  <c r="AH1410" i="13034"/>
  <c r="AC1410" i="13034"/>
  <c r="AC1409" i="13034"/>
  <c r="AV1408" i="13034"/>
  <c r="AT1408" i="13034"/>
  <c r="AR1408" i="13034"/>
  <c r="AP1408" i="13034"/>
  <c r="AN1408" i="13034"/>
  <c r="AL1408" i="13034"/>
  <c r="AJ1408" i="13034"/>
  <c r="AH1408" i="13034"/>
  <c r="AC1408" i="13034"/>
  <c r="AV1407" i="13034"/>
  <c r="AT1407" i="13034"/>
  <c r="AR1407" i="13034"/>
  <c r="AP1407" i="13034"/>
  <c r="AN1407" i="13034"/>
  <c r="AL1407" i="13034"/>
  <c r="AJ1407" i="13034"/>
  <c r="AH1407" i="13034"/>
  <c r="AC1407" i="13034"/>
  <c r="AF1406" i="13034"/>
  <c r="AE1406" i="13034"/>
  <c r="AC1406" i="13034"/>
  <c r="AF1405" i="13034"/>
  <c r="AE1405" i="13034"/>
  <c r="AC1405" i="13034"/>
  <c r="AF1404" i="13034"/>
  <c r="AE1404" i="13034"/>
  <c r="AC1404" i="13034"/>
  <c r="AF1403" i="13034"/>
  <c r="AE1403" i="13034"/>
  <c r="AC1403" i="13034"/>
  <c r="AF1402" i="13034"/>
  <c r="AE1402" i="13034"/>
  <c r="AC1402" i="13034"/>
  <c r="AF1401" i="13034"/>
  <c r="AE1401" i="13034"/>
  <c r="AC1401" i="13034"/>
  <c r="AT1400" i="13034"/>
  <c r="AR1400" i="13034"/>
  <c r="AC1400" i="13034"/>
  <c r="AT1399" i="13034"/>
  <c r="AR1399" i="13034"/>
  <c r="AC1399" i="13034"/>
  <c r="AV1398" i="13034"/>
  <c r="AT1398" i="13034"/>
  <c r="AR1398" i="13034"/>
  <c r="AP1398" i="13034"/>
  <c r="AN1398" i="13034"/>
  <c r="AL1398" i="13034"/>
  <c r="AJ1398" i="13034"/>
  <c r="AH1398" i="13034"/>
  <c r="AF1398" i="13034"/>
  <c r="AE1398" i="13034"/>
  <c r="AC1398" i="13034"/>
  <c r="AA1398" i="13034"/>
  <c r="Z1398" i="13034"/>
  <c r="AV1397" i="13034"/>
  <c r="AT1397" i="13034"/>
  <c r="AR1397" i="13034"/>
  <c r="AP1397" i="13034"/>
  <c r="AN1397" i="13034"/>
  <c r="AL1397" i="13034"/>
  <c r="AJ1397" i="13034"/>
  <c r="AH1397" i="13034"/>
  <c r="AF1397" i="13034"/>
  <c r="AE1397" i="13034"/>
  <c r="AC1397" i="13034"/>
  <c r="AA1397" i="13034"/>
  <c r="Z1397" i="13034"/>
  <c r="AV1396" i="13034"/>
  <c r="AT1396" i="13034"/>
  <c r="AR1396" i="13034"/>
  <c r="AP1396" i="13034"/>
  <c r="AN1396" i="13034"/>
  <c r="AJ1396" i="13034"/>
  <c r="AH1396" i="13034"/>
  <c r="AF1396" i="13034"/>
  <c r="AE1396" i="13034"/>
  <c r="AC1396" i="13034"/>
  <c r="AA1396" i="13034"/>
  <c r="Z1396" i="13034"/>
  <c r="AV1395" i="13034"/>
  <c r="AT1395" i="13034"/>
  <c r="AR1395" i="13034"/>
  <c r="AP1395" i="13034"/>
  <c r="AN1395" i="13034"/>
  <c r="AJ1395" i="13034"/>
  <c r="AH1395" i="13034"/>
  <c r="AF1395" i="13034"/>
  <c r="AE1395" i="13034"/>
  <c r="AC1395" i="13034"/>
  <c r="AA1395" i="13034"/>
  <c r="Z1395" i="13034"/>
  <c r="AN1394" i="13034"/>
  <c r="AL1394" i="13034"/>
  <c r="AJ1394" i="13034"/>
  <c r="AH1394" i="13034"/>
  <c r="AC1394" i="13034"/>
  <c r="AT1393" i="13034"/>
  <c r="AR1393" i="13034"/>
  <c r="AP1393" i="13034"/>
  <c r="AJ1393" i="13034"/>
  <c r="AH1393" i="13034"/>
  <c r="AF1393" i="13034"/>
  <c r="AE1393" i="13034"/>
  <c r="AC1393" i="13034"/>
  <c r="AA1393" i="13034"/>
  <c r="Z1393" i="13034"/>
  <c r="AT1392" i="13034"/>
  <c r="AR1392" i="13034"/>
  <c r="AP1392" i="13034"/>
  <c r="AJ1392" i="13034"/>
  <c r="AH1392" i="13034"/>
  <c r="AC1392" i="13034"/>
  <c r="AA1392" i="13034"/>
  <c r="Z1392" i="13034"/>
  <c r="AT1391" i="13034"/>
  <c r="AR1391" i="13034"/>
  <c r="AP1391" i="13034"/>
  <c r="AN1391" i="13034"/>
  <c r="AL1391" i="13034"/>
  <c r="AJ1391" i="13034"/>
  <c r="AH1391" i="13034"/>
  <c r="AC1391" i="13034"/>
  <c r="AV1390" i="13034"/>
  <c r="AT1390" i="13034"/>
  <c r="AR1390" i="13034"/>
  <c r="AP1390" i="13034"/>
  <c r="AN1390" i="13034"/>
  <c r="AL1390" i="13034"/>
  <c r="AJ1390" i="13034"/>
  <c r="AH1390" i="13034"/>
  <c r="AC1390" i="13034"/>
  <c r="AV1389" i="13034"/>
  <c r="AT1389" i="13034"/>
  <c r="AR1389" i="13034"/>
  <c r="AP1389" i="13034"/>
  <c r="AN1389" i="13034"/>
  <c r="AL1389" i="13034"/>
  <c r="AJ1389" i="13034"/>
  <c r="AH1389" i="13034"/>
  <c r="AC1389" i="13034"/>
  <c r="AV1388" i="13034"/>
  <c r="AT1388" i="13034"/>
  <c r="AR1388" i="13034"/>
  <c r="AP1388" i="13034"/>
  <c r="AN1388" i="13034"/>
  <c r="AL1388" i="13034"/>
  <c r="AJ1388" i="13034"/>
  <c r="AH1388" i="13034"/>
  <c r="AC1388" i="13034"/>
  <c r="AT1387" i="13034"/>
  <c r="AR1387" i="13034"/>
  <c r="AL1387" i="13034"/>
  <c r="AJ1387" i="13034"/>
  <c r="AC1387" i="13034"/>
  <c r="AV1386" i="13034"/>
  <c r="AT1386" i="13034"/>
  <c r="AR1386" i="13034"/>
  <c r="AP1386" i="13034"/>
  <c r="AN1386" i="13034"/>
  <c r="AL1386" i="13034"/>
  <c r="AJ1386" i="13034"/>
  <c r="AH1386" i="13034"/>
  <c r="AC1386" i="13034"/>
  <c r="AV1385" i="13034"/>
  <c r="AT1385" i="13034"/>
  <c r="AR1385" i="13034"/>
  <c r="AP1385" i="13034"/>
  <c r="AN1385" i="13034"/>
  <c r="AL1385" i="13034"/>
  <c r="AJ1385" i="13034"/>
  <c r="AH1385" i="13034"/>
  <c r="AC1385" i="13034"/>
  <c r="AP1384" i="13034"/>
  <c r="AH1384" i="13034"/>
  <c r="AF1384" i="13034"/>
  <c r="AE1384" i="13034"/>
  <c r="AC1384" i="13034"/>
  <c r="AP1383" i="13034"/>
  <c r="AH1383" i="13034"/>
  <c r="AF1383" i="13034"/>
  <c r="AE1383" i="13034"/>
  <c r="AC1383" i="13034"/>
  <c r="AP1382" i="13034"/>
  <c r="AH1382" i="13034"/>
  <c r="AF1382" i="13034"/>
  <c r="AE1382" i="13034"/>
  <c r="AC1382" i="13034"/>
  <c r="AP1381" i="13034"/>
  <c r="AH1381" i="13034"/>
  <c r="AF1381" i="13034"/>
  <c r="AE1381" i="13034"/>
  <c r="AC1381" i="13034"/>
  <c r="AL1380" i="13034"/>
  <c r="AF1380" i="13034"/>
  <c r="AE1380" i="13034"/>
  <c r="AC1380" i="13034"/>
  <c r="AL1379" i="13034"/>
  <c r="AF1379" i="13034"/>
  <c r="AE1379" i="13034"/>
  <c r="AC1379" i="13034"/>
  <c r="AT1378" i="13034"/>
  <c r="AL1378" i="13034"/>
  <c r="AJ1378" i="13034"/>
  <c r="AC1378" i="13034"/>
  <c r="AT1377" i="13034"/>
  <c r="AR1377" i="13034"/>
  <c r="AL1377" i="13034"/>
  <c r="AJ1377" i="13034"/>
  <c r="AC1377" i="13034"/>
  <c r="AV1376" i="13034"/>
  <c r="AT1376" i="13034"/>
  <c r="AR1376" i="13034"/>
  <c r="AP1376" i="13034"/>
  <c r="AN1376" i="13034"/>
  <c r="AL1376" i="13034"/>
  <c r="AJ1376" i="13034"/>
  <c r="AH1376" i="13034"/>
  <c r="AF1376" i="13034"/>
  <c r="AE1376" i="13034"/>
  <c r="AC1376" i="13034"/>
  <c r="AA1376" i="13034"/>
  <c r="Z1376" i="13034"/>
  <c r="AV1375" i="13034"/>
  <c r="AT1375" i="13034"/>
  <c r="AR1375" i="13034"/>
  <c r="AP1375" i="13034"/>
  <c r="AN1375" i="13034"/>
  <c r="AL1375" i="13034"/>
  <c r="AJ1375" i="13034"/>
  <c r="AH1375" i="13034"/>
  <c r="AF1375" i="13034"/>
  <c r="AE1375" i="13034"/>
  <c r="AC1375" i="13034"/>
  <c r="AA1375" i="13034"/>
  <c r="Z1375" i="13034"/>
  <c r="AN1374" i="13034"/>
  <c r="AL1374" i="13034"/>
  <c r="AJ1374" i="13034"/>
  <c r="AH1374" i="13034"/>
  <c r="AC1374" i="13034"/>
  <c r="AV1373" i="13034"/>
  <c r="AT1373" i="13034"/>
  <c r="AR1373" i="13034"/>
  <c r="AP1373" i="13034"/>
  <c r="AN1373" i="13034"/>
  <c r="AL1373" i="13034"/>
  <c r="AJ1373" i="13034"/>
  <c r="AH1373" i="13034"/>
  <c r="AF1373" i="13034"/>
  <c r="AE1373" i="13034"/>
  <c r="AC1373" i="13034"/>
  <c r="AT1372" i="13034"/>
  <c r="AR1372" i="13034"/>
  <c r="AP1372" i="13034"/>
  <c r="AJ1372" i="13034"/>
  <c r="AH1372" i="13034"/>
  <c r="AF1372" i="13034"/>
  <c r="AE1372" i="13034"/>
  <c r="AC1372" i="13034"/>
  <c r="AA1372" i="13034"/>
  <c r="Z1372" i="13034"/>
  <c r="AT1371" i="13034"/>
  <c r="AR1371" i="13034"/>
  <c r="AP1371" i="13034"/>
  <c r="AJ1371" i="13034"/>
  <c r="AH1371" i="13034"/>
  <c r="AC1371" i="13034"/>
  <c r="AA1371" i="13034"/>
  <c r="Z1371" i="13034"/>
  <c r="AV1370" i="13034"/>
  <c r="AT1370" i="13034"/>
  <c r="AR1370" i="13034"/>
  <c r="AP1370" i="13034"/>
  <c r="AN1370" i="13034"/>
  <c r="AL1370" i="13034"/>
  <c r="AJ1370" i="13034"/>
  <c r="AH1370" i="13034"/>
  <c r="AF1370" i="13034"/>
  <c r="AC1370" i="13034"/>
  <c r="AA1370" i="13034"/>
  <c r="AV1369" i="13034"/>
  <c r="AT1369" i="13034"/>
  <c r="AR1369" i="13034"/>
  <c r="AP1369" i="13034"/>
  <c r="AN1369" i="13034"/>
  <c r="AL1369" i="13034"/>
  <c r="AJ1369" i="13034"/>
  <c r="AH1369" i="13034"/>
  <c r="AF1369" i="13034"/>
  <c r="AE1369" i="13034"/>
  <c r="AC1369" i="13034"/>
  <c r="AV1368" i="13034"/>
  <c r="AT1368" i="13034"/>
  <c r="AR1368" i="13034"/>
  <c r="AP1368" i="13034"/>
  <c r="AN1368" i="13034"/>
  <c r="AL1368" i="13034"/>
  <c r="AJ1368" i="13034"/>
  <c r="AH1368" i="13034"/>
  <c r="AC1368" i="13034"/>
  <c r="AV1367" i="13034"/>
  <c r="AT1367" i="13034"/>
  <c r="AR1367" i="13034"/>
  <c r="AP1367" i="13034"/>
  <c r="AN1367" i="13034"/>
  <c r="AL1367" i="13034"/>
  <c r="AJ1367" i="13034"/>
  <c r="AH1367" i="13034"/>
  <c r="AC1367" i="13034"/>
  <c r="AV1366" i="13034"/>
  <c r="AT1366" i="13034"/>
  <c r="AR1366" i="13034"/>
  <c r="AP1366" i="13034"/>
  <c r="AN1366" i="13034"/>
  <c r="AL1366" i="13034"/>
  <c r="AJ1366" i="13034"/>
  <c r="AH1366" i="13034"/>
  <c r="AC1366" i="13034"/>
  <c r="AV1365" i="13034"/>
  <c r="AT1365" i="13034"/>
  <c r="AR1365" i="13034"/>
  <c r="AP1365" i="13034"/>
  <c r="AN1365" i="13034"/>
  <c r="AL1365" i="13034"/>
  <c r="AJ1365" i="13034"/>
  <c r="AH1365" i="13034"/>
  <c r="AC1365" i="13034"/>
  <c r="AV1364" i="13034"/>
  <c r="AT1364" i="13034"/>
  <c r="AR1364" i="13034"/>
  <c r="AP1364" i="13034"/>
  <c r="AN1364" i="13034"/>
  <c r="AL1364" i="13034"/>
  <c r="AJ1364" i="13034"/>
  <c r="AH1364" i="13034"/>
  <c r="AC1364" i="13034"/>
  <c r="AV1363" i="13034"/>
  <c r="AT1363" i="13034"/>
  <c r="AR1363" i="13034"/>
  <c r="AP1363" i="13034"/>
  <c r="AN1363" i="13034"/>
  <c r="AL1363" i="13034"/>
  <c r="AJ1363" i="13034"/>
  <c r="AH1363" i="13034"/>
  <c r="AC1363" i="13034"/>
  <c r="AV1362" i="13034"/>
  <c r="AT1362" i="13034"/>
  <c r="AR1362" i="13034"/>
  <c r="AP1362" i="13034"/>
  <c r="AN1362" i="13034"/>
  <c r="AL1362" i="13034"/>
  <c r="AJ1362" i="13034"/>
  <c r="AH1362" i="13034"/>
  <c r="AC1362" i="13034"/>
  <c r="AV1361" i="13034"/>
  <c r="AT1361" i="13034"/>
  <c r="AR1361" i="13034"/>
  <c r="AP1361" i="13034"/>
  <c r="AN1361" i="13034"/>
  <c r="AL1361" i="13034"/>
  <c r="AJ1361" i="13034"/>
  <c r="AH1361" i="13034"/>
  <c r="AC1361" i="13034"/>
  <c r="AV1360" i="13034"/>
  <c r="AT1360" i="13034"/>
  <c r="AR1360" i="13034"/>
  <c r="AP1360" i="13034"/>
  <c r="AN1360" i="13034"/>
  <c r="AL1360" i="13034"/>
  <c r="AJ1360" i="13034"/>
  <c r="AH1360" i="13034"/>
  <c r="AC1360" i="13034"/>
  <c r="AV1359" i="13034"/>
  <c r="AT1359" i="13034"/>
  <c r="AR1359" i="13034"/>
  <c r="AP1359" i="13034"/>
  <c r="AN1359" i="13034"/>
  <c r="AL1359" i="13034"/>
  <c r="AJ1359" i="13034"/>
  <c r="AH1359" i="13034"/>
  <c r="AF1359" i="13034"/>
  <c r="AE1359" i="13034"/>
  <c r="AC1359" i="13034"/>
  <c r="AA1359" i="13034"/>
  <c r="Z1359" i="13034"/>
  <c r="AV1358" i="13034"/>
  <c r="AT1358" i="13034"/>
  <c r="AR1358" i="13034"/>
  <c r="AP1358" i="13034"/>
  <c r="AN1358" i="13034"/>
  <c r="AL1358" i="13034"/>
  <c r="AJ1358" i="13034"/>
  <c r="AH1358" i="13034"/>
  <c r="AC1358" i="13034"/>
  <c r="AV1357" i="13034"/>
  <c r="AT1357" i="13034"/>
  <c r="AR1357" i="13034"/>
  <c r="AP1357" i="13034"/>
  <c r="AN1357" i="13034"/>
  <c r="AL1357" i="13034"/>
  <c r="AJ1357" i="13034"/>
  <c r="AH1357" i="13034"/>
  <c r="AC1357" i="13034"/>
  <c r="AV1356" i="13034"/>
  <c r="AT1356" i="13034"/>
  <c r="AR1356" i="13034"/>
  <c r="AP1356" i="13034"/>
  <c r="AN1356" i="13034"/>
  <c r="AL1356" i="13034"/>
  <c r="AJ1356" i="13034"/>
  <c r="AH1356" i="13034"/>
  <c r="AC1356" i="13034"/>
  <c r="AV1355" i="13034"/>
  <c r="AT1355" i="13034"/>
  <c r="AR1355" i="13034"/>
  <c r="AP1355" i="13034"/>
  <c r="AN1355" i="13034"/>
  <c r="AL1355" i="13034"/>
  <c r="AJ1355" i="13034"/>
  <c r="AH1355" i="13034"/>
  <c r="AC1355" i="13034"/>
  <c r="AV1354" i="13034"/>
  <c r="AT1354" i="13034"/>
  <c r="AR1354" i="13034"/>
  <c r="AP1354" i="13034"/>
  <c r="AN1354" i="13034"/>
  <c r="AL1354" i="13034"/>
  <c r="AJ1354" i="13034"/>
  <c r="AH1354" i="13034"/>
  <c r="AC1354" i="13034"/>
  <c r="AV1353" i="13034"/>
  <c r="AT1353" i="13034"/>
  <c r="AR1353" i="13034"/>
  <c r="AP1353" i="13034"/>
  <c r="AN1353" i="13034"/>
  <c r="AL1353" i="13034"/>
  <c r="AJ1353" i="13034"/>
  <c r="AH1353" i="13034"/>
  <c r="AC1353" i="13034"/>
  <c r="AV1352" i="13034"/>
  <c r="AT1352" i="13034"/>
  <c r="AR1352" i="13034"/>
  <c r="AP1352" i="13034"/>
  <c r="AN1352" i="13034"/>
  <c r="AL1352" i="13034"/>
  <c r="AJ1352" i="13034"/>
  <c r="AH1352" i="13034"/>
  <c r="AF1352" i="13034"/>
  <c r="AE1352" i="13034"/>
  <c r="AC1352" i="13034"/>
  <c r="AA1352" i="13034"/>
  <c r="Z1352" i="13034"/>
  <c r="AV1351" i="13034"/>
  <c r="AT1351" i="13034"/>
  <c r="AR1351" i="13034"/>
  <c r="AP1351" i="13034"/>
  <c r="AN1351" i="13034"/>
  <c r="AL1351" i="13034"/>
  <c r="AJ1351" i="13034"/>
  <c r="AH1351" i="13034"/>
  <c r="AC1351" i="13034"/>
  <c r="AV1350" i="13034"/>
  <c r="AT1350" i="13034"/>
  <c r="AR1350" i="13034"/>
  <c r="AP1350" i="13034"/>
  <c r="AN1350" i="13034"/>
  <c r="AL1350" i="13034"/>
  <c r="AJ1350" i="13034"/>
  <c r="AH1350" i="13034"/>
  <c r="AC1350" i="13034"/>
  <c r="AV1349" i="13034"/>
  <c r="AT1349" i="13034"/>
  <c r="AR1349" i="13034"/>
  <c r="AP1349" i="13034"/>
  <c r="AN1349" i="13034"/>
  <c r="AL1349" i="13034"/>
  <c r="AJ1349" i="13034"/>
  <c r="AH1349" i="13034"/>
  <c r="AC1349" i="13034"/>
  <c r="AV1348" i="13034"/>
  <c r="AT1348" i="13034"/>
  <c r="AR1348" i="13034"/>
  <c r="AP1348" i="13034"/>
  <c r="AN1348" i="13034"/>
  <c r="AL1348" i="13034"/>
  <c r="AJ1348" i="13034"/>
  <c r="AH1348" i="13034"/>
  <c r="AC1348" i="13034"/>
  <c r="AV1347" i="13034"/>
  <c r="AT1347" i="13034"/>
  <c r="AR1347" i="13034"/>
  <c r="AP1347" i="13034"/>
  <c r="AN1347" i="13034"/>
  <c r="AL1347" i="13034"/>
  <c r="AJ1347" i="13034"/>
  <c r="AH1347" i="13034"/>
  <c r="AC1347" i="13034"/>
  <c r="AV1346" i="13034"/>
  <c r="AT1346" i="13034"/>
  <c r="AR1346" i="13034"/>
  <c r="AP1346" i="13034"/>
  <c r="AN1346" i="13034"/>
  <c r="AL1346" i="13034"/>
  <c r="AJ1346" i="13034"/>
  <c r="AH1346" i="13034"/>
  <c r="AC1346" i="13034"/>
  <c r="AV1345" i="13034"/>
  <c r="AT1345" i="13034"/>
  <c r="AR1345" i="13034"/>
  <c r="AP1345" i="13034"/>
  <c r="AN1345" i="13034"/>
  <c r="AL1345" i="13034"/>
  <c r="AJ1345" i="13034"/>
  <c r="AH1345" i="13034"/>
  <c r="AC1345" i="13034"/>
  <c r="AV1344" i="13034"/>
  <c r="AT1344" i="13034"/>
  <c r="AR1344" i="13034"/>
  <c r="AP1344" i="13034"/>
  <c r="AN1344" i="13034"/>
  <c r="AL1344" i="13034"/>
  <c r="AJ1344" i="13034"/>
  <c r="AH1344" i="13034"/>
  <c r="AC1344" i="13034"/>
  <c r="AV1343" i="13034"/>
  <c r="AT1343" i="13034"/>
  <c r="AR1343" i="13034"/>
  <c r="AP1343" i="13034"/>
  <c r="AN1343" i="13034"/>
  <c r="AL1343" i="13034"/>
  <c r="AJ1343" i="13034"/>
  <c r="AH1343" i="13034"/>
  <c r="AC1343" i="13034"/>
  <c r="AV1342" i="13034"/>
  <c r="AT1342" i="13034"/>
  <c r="AR1342" i="13034"/>
  <c r="AP1342" i="13034"/>
  <c r="AN1342" i="13034"/>
  <c r="AL1342" i="13034"/>
  <c r="AJ1342" i="13034"/>
  <c r="AH1342" i="13034"/>
  <c r="AC1342" i="13034"/>
  <c r="AV1341" i="13034"/>
  <c r="AT1341" i="13034"/>
  <c r="AR1341" i="13034"/>
  <c r="AP1341" i="13034"/>
  <c r="AN1341" i="13034"/>
  <c r="AL1341" i="13034"/>
  <c r="AJ1341" i="13034"/>
  <c r="AH1341" i="13034"/>
  <c r="AC1341" i="13034"/>
  <c r="AV1340" i="13034"/>
  <c r="AT1340" i="13034"/>
  <c r="AR1340" i="13034"/>
  <c r="AP1340" i="13034"/>
  <c r="AN1340" i="13034"/>
  <c r="AL1340" i="13034"/>
  <c r="AJ1340" i="13034"/>
  <c r="AH1340" i="13034"/>
  <c r="AF1340" i="13034"/>
  <c r="AE1340" i="13034"/>
  <c r="AC1340" i="13034"/>
  <c r="AA1340" i="13034"/>
  <c r="Z1340" i="13034"/>
  <c r="AV1339" i="13034"/>
  <c r="AT1339" i="13034"/>
  <c r="AR1339" i="13034"/>
  <c r="AP1339" i="13034"/>
  <c r="AN1339" i="13034"/>
  <c r="AL1339" i="13034"/>
  <c r="AJ1339" i="13034"/>
  <c r="AH1339" i="13034"/>
  <c r="AC1339" i="13034"/>
  <c r="AV1338" i="13034"/>
  <c r="AT1338" i="13034"/>
  <c r="AR1338" i="13034"/>
  <c r="AP1338" i="13034"/>
  <c r="AN1338" i="13034"/>
  <c r="AL1338" i="13034"/>
  <c r="AJ1338" i="13034"/>
  <c r="AH1338" i="13034"/>
  <c r="AC1338" i="13034"/>
  <c r="AV1337" i="13034"/>
  <c r="AT1337" i="13034"/>
  <c r="AR1337" i="13034"/>
  <c r="AP1337" i="13034"/>
  <c r="AN1337" i="13034"/>
  <c r="AL1337" i="13034"/>
  <c r="AJ1337" i="13034"/>
  <c r="AH1337" i="13034"/>
  <c r="AC1337" i="13034"/>
  <c r="AV1336" i="13034"/>
  <c r="AT1336" i="13034"/>
  <c r="AR1336" i="13034"/>
  <c r="AP1336" i="13034"/>
  <c r="AN1336" i="13034"/>
  <c r="AL1336" i="13034"/>
  <c r="AJ1336" i="13034"/>
  <c r="AH1336" i="13034"/>
  <c r="AC1336" i="13034"/>
  <c r="AV1335" i="13034"/>
  <c r="AT1335" i="13034"/>
  <c r="AR1335" i="13034"/>
  <c r="AP1335" i="13034"/>
  <c r="AN1335" i="13034"/>
  <c r="AL1335" i="13034"/>
  <c r="AJ1335" i="13034"/>
  <c r="AH1335" i="13034"/>
  <c r="AF1335" i="13034"/>
  <c r="AE1335" i="13034"/>
  <c r="AC1335" i="13034"/>
  <c r="AA1335" i="13034"/>
  <c r="Z1335" i="13034"/>
  <c r="AV1334" i="13034"/>
  <c r="AT1334" i="13034"/>
  <c r="AR1334" i="13034"/>
  <c r="AP1334" i="13034"/>
  <c r="AN1334" i="13034"/>
  <c r="AL1334" i="13034"/>
  <c r="AJ1334" i="13034"/>
  <c r="AH1334" i="13034"/>
  <c r="AF1334" i="13034"/>
  <c r="AE1334" i="13034"/>
  <c r="AC1334" i="13034"/>
  <c r="AA1334" i="13034"/>
  <c r="Z1334" i="13034"/>
  <c r="AV1333" i="13034"/>
  <c r="AT1333" i="13034"/>
  <c r="AR1333" i="13034"/>
  <c r="AP1333" i="13034"/>
  <c r="AN1333" i="13034"/>
  <c r="AL1333" i="13034"/>
  <c r="AJ1333" i="13034"/>
  <c r="AH1333" i="13034"/>
  <c r="AF1333" i="13034"/>
  <c r="AE1333" i="13034"/>
  <c r="AC1333" i="13034"/>
  <c r="AA1333" i="13034"/>
  <c r="Z1333" i="13034"/>
  <c r="AN1332" i="13034"/>
  <c r="AL1332" i="13034"/>
  <c r="AJ1332" i="13034"/>
  <c r="AH1332" i="13034"/>
  <c r="AC1332" i="13034"/>
  <c r="AV1331" i="13034"/>
  <c r="AT1331" i="13034"/>
  <c r="AR1331" i="13034"/>
  <c r="AP1331" i="13034"/>
  <c r="AN1331" i="13034"/>
  <c r="AL1331" i="13034"/>
  <c r="AJ1331" i="13034"/>
  <c r="AH1331" i="13034"/>
  <c r="AF1331" i="13034"/>
  <c r="AE1331" i="13034"/>
  <c r="AC1331" i="13034"/>
  <c r="AT1330" i="13034"/>
  <c r="AR1330" i="13034"/>
  <c r="AP1330" i="13034"/>
  <c r="AJ1330" i="13034"/>
  <c r="AH1330" i="13034"/>
  <c r="AF1330" i="13034"/>
  <c r="AE1330" i="13034"/>
  <c r="AC1330" i="13034"/>
  <c r="AA1330" i="13034"/>
  <c r="Z1330" i="13034"/>
  <c r="AT1329" i="13034"/>
  <c r="AR1329" i="13034"/>
  <c r="AP1329" i="13034"/>
  <c r="AJ1329" i="13034"/>
  <c r="AH1329" i="13034"/>
  <c r="AC1329" i="13034"/>
  <c r="AA1329" i="13034"/>
  <c r="Z1329" i="13034"/>
  <c r="AV1328" i="13034"/>
  <c r="AT1328" i="13034"/>
  <c r="AR1328" i="13034"/>
  <c r="AP1328" i="13034"/>
  <c r="AN1328" i="13034"/>
  <c r="AL1328" i="13034"/>
  <c r="AJ1328" i="13034"/>
  <c r="AH1328" i="13034"/>
  <c r="AF1328" i="13034"/>
  <c r="AC1328" i="13034"/>
  <c r="AA1328" i="13034"/>
  <c r="AV1327" i="13034"/>
  <c r="AT1327" i="13034"/>
  <c r="AR1327" i="13034"/>
  <c r="AP1327" i="13034"/>
  <c r="AN1327" i="13034"/>
  <c r="AL1327" i="13034"/>
  <c r="AJ1327" i="13034"/>
  <c r="AH1327" i="13034"/>
  <c r="AF1327" i="13034"/>
  <c r="AE1327" i="13034"/>
  <c r="AC1327" i="13034"/>
  <c r="AV1326" i="13034"/>
  <c r="AT1326" i="13034"/>
  <c r="AR1326" i="13034"/>
  <c r="AP1326" i="13034"/>
  <c r="AN1326" i="13034"/>
  <c r="AL1326" i="13034"/>
  <c r="AJ1326" i="13034"/>
  <c r="AH1326" i="13034"/>
  <c r="AC1326" i="13034"/>
  <c r="AV1325" i="13034"/>
  <c r="AT1325" i="13034"/>
  <c r="AR1325" i="13034"/>
  <c r="AP1325" i="13034"/>
  <c r="AN1325" i="13034"/>
  <c r="AL1325" i="13034"/>
  <c r="AJ1325" i="13034"/>
  <c r="AH1325" i="13034"/>
  <c r="AC1325" i="13034"/>
  <c r="AV1324" i="13034"/>
  <c r="AT1324" i="13034"/>
  <c r="AR1324" i="13034"/>
  <c r="AP1324" i="13034"/>
  <c r="AN1324" i="13034"/>
  <c r="AL1324" i="13034"/>
  <c r="AJ1324" i="13034"/>
  <c r="AH1324" i="13034"/>
  <c r="AC1324" i="13034"/>
  <c r="AV1323" i="13034"/>
  <c r="AT1323" i="13034"/>
  <c r="AR1323" i="13034"/>
  <c r="AP1323" i="13034"/>
  <c r="AN1323" i="13034"/>
  <c r="AL1323" i="13034"/>
  <c r="AJ1323" i="13034"/>
  <c r="AH1323" i="13034"/>
  <c r="AC1323" i="13034"/>
  <c r="AV1322" i="13034"/>
  <c r="AT1322" i="13034"/>
  <c r="AR1322" i="13034"/>
  <c r="AP1322" i="13034"/>
  <c r="AN1322" i="13034"/>
  <c r="AL1322" i="13034"/>
  <c r="AJ1322" i="13034"/>
  <c r="AH1322" i="13034"/>
  <c r="AC1322" i="13034"/>
  <c r="AV1321" i="13034"/>
  <c r="AT1321" i="13034"/>
  <c r="AR1321" i="13034"/>
  <c r="AP1321" i="13034"/>
  <c r="AN1321" i="13034"/>
  <c r="AL1321" i="13034"/>
  <c r="AJ1321" i="13034"/>
  <c r="AH1321" i="13034"/>
  <c r="AC1321" i="13034"/>
  <c r="AV1320" i="13034"/>
  <c r="AT1320" i="13034"/>
  <c r="AR1320" i="13034"/>
  <c r="AP1320" i="13034"/>
  <c r="AN1320" i="13034"/>
  <c r="AL1320" i="13034"/>
  <c r="AJ1320" i="13034"/>
  <c r="AH1320" i="13034"/>
  <c r="AC1320" i="13034"/>
  <c r="AV1319" i="13034"/>
  <c r="AT1319" i="13034"/>
  <c r="AR1319" i="13034"/>
  <c r="AP1319" i="13034"/>
  <c r="AN1319" i="13034"/>
  <c r="AL1319" i="13034"/>
  <c r="AJ1319" i="13034"/>
  <c r="AH1319" i="13034"/>
  <c r="AC1319" i="13034"/>
  <c r="AV1318" i="13034"/>
  <c r="AT1318" i="13034"/>
  <c r="AR1318" i="13034"/>
  <c r="AP1318" i="13034"/>
  <c r="AN1318" i="13034"/>
  <c r="AL1318" i="13034"/>
  <c r="AJ1318" i="13034"/>
  <c r="AH1318" i="13034"/>
  <c r="AC1318" i="13034"/>
  <c r="AV1317" i="13034"/>
  <c r="AT1317" i="13034"/>
  <c r="AR1317" i="13034"/>
  <c r="AP1317" i="13034"/>
  <c r="AN1317" i="13034"/>
  <c r="AL1317" i="13034"/>
  <c r="AJ1317" i="13034"/>
  <c r="AH1317" i="13034"/>
  <c r="AF1317" i="13034"/>
  <c r="AE1317" i="13034"/>
  <c r="AC1317" i="13034"/>
  <c r="AA1317" i="13034"/>
  <c r="Z1317" i="13034"/>
  <c r="AV1316" i="13034"/>
  <c r="AT1316" i="13034"/>
  <c r="AR1316" i="13034"/>
  <c r="AP1316" i="13034"/>
  <c r="AN1316" i="13034"/>
  <c r="AL1316" i="13034"/>
  <c r="AJ1316" i="13034"/>
  <c r="AH1316" i="13034"/>
  <c r="AC1316" i="13034"/>
  <c r="AV1315" i="13034"/>
  <c r="AT1315" i="13034"/>
  <c r="AR1315" i="13034"/>
  <c r="AP1315" i="13034"/>
  <c r="AN1315" i="13034"/>
  <c r="AL1315" i="13034"/>
  <c r="AJ1315" i="13034"/>
  <c r="AH1315" i="13034"/>
  <c r="AC1315" i="13034"/>
  <c r="AV1314" i="13034"/>
  <c r="AT1314" i="13034"/>
  <c r="AR1314" i="13034"/>
  <c r="AP1314" i="13034"/>
  <c r="AN1314" i="13034"/>
  <c r="AL1314" i="13034"/>
  <c r="AJ1314" i="13034"/>
  <c r="AH1314" i="13034"/>
  <c r="AC1314" i="13034"/>
  <c r="AV1313" i="13034"/>
  <c r="AT1313" i="13034"/>
  <c r="AR1313" i="13034"/>
  <c r="AP1313" i="13034"/>
  <c r="AN1313" i="13034"/>
  <c r="AL1313" i="13034"/>
  <c r="AJ1313" i="13034"/>
  <c r="AH1313" i="13034"/>
  <c r="AC1313" i="13034"/>
  <c r="AV1312" i="13034"/>
  <c r="AT1312" i="13034"/>
  <c r="AR1312" i="13034"/>
  <c r="AP1312" i="13034"/>
  <c r="AN1312" i="13034"/>
  <c r="AL1312" i="13034"/>
  <c r="AJ1312" i="13034"/>
  <c r="AH1312" i="13034"/>
  <c r="AC1312" i="13034"/>
  <c r="AV1311" i="13034"/>
  <c r="AT1311" i="13034"/>
  <c r="AR1311" i="13034"/>
  <c r="AP1311" i="13034"/>
  <c r="AN1311" i="13034"/>
  <c r="AL1311" i="13034"/>
  <c r="AJ1311" i="13034"/>
  <c r="AH1311" i="13034"/>
  <c r="AC1311" i="13034"/>
  <c r="AV1310" i="13034"/>
  <c r="AT1310" i="13034"/>
  <c r="AR1310" i="13034"/>
  <c r="AP1310" i="13034"/>
  <c r="AN1310" i="13034"/>
  <c r="AL1310" i="13034"/>
  <c r="AJ1310" i="13034"/>
  <c r="AH1310" i="13034"/>
  <c r="AF1310" i="13034"/>
  <c r="AE1310" i="13034"/>
  <c r="AC1310" i="13034"/>
  <c r="AA1310" i="13034"/>
  <c r="Z1310" i="13034"/>
  <c r="AV1309" i="13034"/>
  <c r="AT1309" i="13034"/>
  <c r="AR1309" i="13034"/>
  <c r="AP1309" i="13034"/>
  <c r="AN1309" i="13034"/>
  <c r="AL1309" i="13034"/>
  <c r="AJ1309" i="13034"/>
  <c r="AH1309" i="13034"/>
  <c r="AC1309" i="13034"/>
  <c r="AV1308" i="13034"/>
  <c r="AT1308" i="13034"/>
  <c r="AR1308" i="13034"/>
  <c r="AP1308" i="13034"/>
  <c r="AN1308" i="13034"/>
  <c r="AL1308" i="13034"/>
  <c r="AJ1308" i="13034"/>
  <c r="AH1308" i="13034"/>
  <c r="AC1308" i="13034"/>
  <c r="AV1307" i="13034"/>
  <c r="AT1307" i="13034"/>
  <c r="AR1307" i="13034"/>
  <c r="AP1307" i="13034"/>
  <c r="AN1307" i="13034"/>
  <c r="AL1307" i="13034"/>
  <c r="AJ1307" i="13034"/>
  <c r="AH1307" i="13034"/>
  <c r="AC1307" i="13034"/>
  <c r="AV1306" i="13034"/>
  <c r="AT1306" i="13034"/>
  <c r="AR1306" i="13034"/>
  <c r="AP1306" i="13034"/>
  <c r="AN1306" i="13034"/>
  <c r="AL1306" i="13034"/>
  <c r="AJ1306" i="13034"/>
  <c r="AH1306" i="13034"/>
  <c r="AC1306" i="13034"/>
  <c r="AV1305" i="13034"/>
  <c r="AT1305" i="13034"/>
  <c r="AR1305" i="13034"/>
  <c r="AP1305" i="13034"/>
  <c r="AN1305" i="13034"/>
  <c r="AL1305" i="13034"/>
  <c r="AJ1305" i="13034"/>
  <c r="AH1305" i="13034"/>
  <c r="AC1305" i="13034"/>
  <c r="AV1304" i="13034"/>
  <c r="AT1304" i="13034"/>
  <c r="AR1304" i="13034"/>
  <c r="AP1304" i="13034"/>
  <c r="AN1304" i="13034"/>
  <c r="AL1304" i="13034"/>
  <c r="AJ1304" i="13034"/>
  <c r="AH1304" i="13034"/>
  <c r="AC1304" i="13034"/>
  <c r="AV1303" i="13034"/>
  <c r="AT1303" i="13034"/>
  <c r="AR1303" i="13034"/>
  <c r="AP1303" i="13034"/>
  <c r="AN1303" i="13034"/>
  <c r="AL1303" i="13034"/>
  <c r="AJ1303" i="13034"/>
  <c r="AH1303" i="13034"/>
  <c r="AC1303" i="13034"/>
  <c r="AV1302" i="13034"/>
  <c r="AT1302" i="13034"/>
  <c r="AR1302" i="13034"/>
  <c r="AP1302" i="13034"/>
  <c r="AN1302" i="13034"/>
  <c r="AL1302" i="13034"/>
  <c r="AJ1302" i="13034"/>
  <c r="AH1302" i="13034"/>
  <c r="AC1302" i="13034"/>
  <c r="AV1301" i="13034"/>
  <c r="AT1301" i="13034"/>
  <c r="AR1301" i="13034"/>
  <c r="AP1301" i="13034"/>
  <c r="AN1301" i="13034"/>
  <c r="AL1301" i="13034"/>
  <c r="AJ1301" i="13034"/>
  <c r="AH1301" i="13034"/>
  <c r="AC1301" i="13034"/>
  <c r="AV1300" i="13034"/>
  <c r="AT1300" i="13034"/>
  <c r="AR1300" i="13034"/>
  <c r="AP1300" i="13034"/>
  <c r="AN1300" i="13034"/>
  <c r="AL1300" i="13034"/>
  <c r="AJ1300" i="13034"/>
  <c r="AH1300" i="13034"/>
  <c r="AC1300" i="13034"/>
  <c r="AV1299" i="13034"/>
  <c r="AT1299" i="13034"/>
  <c r="AR1299" i="13034"/>
  <c r="AP1299" i="13034"/>
  <c r="AN1299" i="13034"/>
  <c r="AL1299" i="13034"/>
  <c r="AJ1299" i="13034"/>
  <c r="AH1299" i="13034"/>
  <c r="AC1299" i="13034"/>
  <c r="AV1298" i="13034"/>
  <c r="AT1298" i="13034"/>
  <c r="AR1298" i="13034"/>
  <c r="AP1298" i="13034"/>
  <c r="AN1298" i="13034"/>
  <c r="AL1298" i="13034"/>
  <c r="AJ1298" i="13034"/>
  <c r="AH1298" i="13034"/>
  <c r="AF1298" i="13034"/>
  <c r="AE1298" i="13034"/>
  <c r="AC1298" i="13034"/>
  <c r="AA1298" i="13034"/>
  <c r="Z1298" i="13034"/>
  <c r="AV1297" i="13034"/>
  <c r="AT1297" i="13034"/>
  <c r="AR1297" i="13034"/>
  <c r="AP1297" i="13034"/>
  <c r="AN1297" i="13034"/>
  <c r="AL1297" i="13034"/>
  <c r="AJ1297" i="13034"/>
  <c r="AH1297" i="13034"/>
  <c r="AC1297" i="13034"/>
  <c r="AV1296" i="13034"/>
  <c r="AT1296" i="13034"/>
  <c r="AR1296" i="13034"/>
  <c r="AP1296" i="13034"/>
  <c r="AN1296" i="13034"/>
  <c r="AL1296" i="13034"/>
  <c r="AJ1296" i="13034"/>
  <c r="AH1296" i="13034"/>
  <c r="AC1296" i="13034"/>
  <c r="AV1295" i="13034"/>
  <c r="AT1295" i="13034"/>
  <c r="AR1295" i="13034"/>
  <c r="AP1295" i="13034"/>
  <c r="AN1295" i="13034"/>
  <c r="AL1295" i="13034"/>
  <c r="AJ1295" i="13034"/>
  <c r="AH1295" i="13034"/>
  <c r="AC1295" i="13034"/>
  <c r="AV1294" i="13034"/>
  <c r="AT1294" i="13034"/>
  <c r="AR1294" i="13034"/>
  <c r="AP1294" i="13034"/>
  <c r="AN1294" i="13034"/>
  <c r="AL1294" i="13034"/>
  <c r="AJ1294" i="13034"/>
  <c r="AH1294" i="13034"/>
  <c r="AC1294" i="13034"/>
  <c r="AV1293" i="13034"/>
  <c r="AT1293" i="13034"/>
  <c r="AR1293" i="13034"/>
  <c r="AP1293" i="13034"/>
  <c r="AN1293" i="13034"/>
  <c r="AL1293" i="13034"/>
  <c r="AJ1293" i="13034"/>
  <c r="AH1293" i="13034"/>
  <c r="AF1293" i="13034"/>
  <c r="AE1293" i="13034"/>
  <c r="AC1293" i="13034"/>
  <c r="AA1293" i="13034"/>
  <c r="Z1293" i="13034"/>
  <c r="AV1292" i="13034"/>
  <c r="AT1292" i="13034"/>
  <c r="AR1292" i="13034"/>
  <c r="AP1292" i="13034"/>
  <c r="AN1292" i="13034"/>
  <c r="AL1292" i="13034"/>
  <c r="AJ1292" i="13034"/>
  <c r="AH1292" i="13034"/>
  <c r="AF1292" i="13034"/>
  <c r="AE1292" i="13034"/>
  <c r="AC1292" i="13034"/>
  <c r="AA1292" i="13034"/>
  <c r="Z1292" i="13034"/>
  <c r="AV1291" i="13034"/>
  <c r="AT1291" i="13034"/>
  <c r="AR1291" i="13034"/>
  <c r="AP1291" i="13034"/>
  <c r="AN1291" i="13034"/>
  <c r="AL1291" i="13034"/>
  <c r="AJ1291" i="13034"/>
  <c r="AH1291" i="13034"/>
  <c r="AF1291" i="13034"/>
  <c r="AE1291" i="13034"/>
  <c r="AC1291" i="13034"/>
  <c r="AA1291" i="13034"/>
  <c r="Z1291" i="13034"/>
  <c r="AN1290" i="13034"/>
  <c r="AL1290" i="13034"/>
  <c r="AJ1290" i="13034"/>
  <c r="AH1290" i="13034"/>
  <c r="AC1290" i="13034"/>
  <c r="AV1289" i="13034"/>
  <c r="AT1289" i="13034"/>
  <c r="AR1289" i="13034"/>
  <c r="AP1289" i="13034"/>
  <c r="AN1289" i="13034"/>
  <c r="AL1289" i="13034"/>
  <c r="AJ1289" i="13034"/>
  <c r="AH1289" i="13034"/>
  <c r="AF1289" i="13034"/>
  <c r="AE1289" i="13034"/>
  <c r="AC1289" i="13034"/>
  <c r="AT1288" i="13034"/>
  <c r="AR1288" i="13034"/>
  <c r="AP1288" i="13034"/>
  <c r="AJ1288" i="13034"/>
  <c r="AH1288" i="13034"/>
  <c r="AF1288" i="13034"/>
  <c r="AE1288" i="13034"/>
  <c r="AC1288" i="13034"/>
  <c r="AA1288" i="13034"/>
  <c r="Z1288" i="13034"/>
  <c r="AT1287" i="13034"/>
  <c r="AR1287" i="13034"/>
  <c r="AP1287" i="13034"/>
  <c r="AJ1287" i="13034"/>
  <c r="AH1287" i="13034"/>
  <c r="AC1287" i="13034"/>
  <c r="AA1287" i="13034"/>
  <c r="Z1287" i="13034"/>
  <c r="AV1286" i="13034"/>
  <c r="AT1286" i="13034"/>
  <c r="AR1286" i="13034"/>
  <c r="AP1286" i="13034"/>
  <c r="AN1286" i="13034"/>
  <c r="AL1286" i="13034"/>
  <c r="AJ1286" i="13034"/>
  <c r="AH1286" i="13034"/>
  <c r="AF1286" i="13034"/>
  <c r="AC1286" i="13034"/>
  <c r="AA1286" i="13034"/>
  <c r="AV1285" i="13034"/>
  <c r="AT1285" i="13034"/>
  <c r="AR1285" i="13034"/>
  <c r="AP1285" i="13034"/>
  <c r="AN1285" i="13034"/>
  <c r="AL1285" i="13034"/>
  <c r="AJ1285" i="13034"/>
  <c r="AH1285" i="13034"/>
  <c r="AF1285" i="13034"/>
  <c r="AE1285" i="13034"/>
  <c r="AC1285" i="13034"/>
  <c r="AV1284" i="13034"/>
  <c r="AT1284" i="13034"/>
  <c r="AR1284" i="13034"/>
  <c r="AP1284" i="13034"/>
  <c r="AN1284" i="13034"/>
  <c r="AL1284" i="13034"/>
  <c r="AJ1284" i="13034"/>
  <c r="AH1284" i="13034"/>
  <c r="AC1284" i="13034"/>
  <c r="AV1283" i="13034"/>
  <c r="AT1283" i="13034"/>
  <c r="AR1283" i="13034"/>
  <c r="AP1283" i="13034"/>
  <c r="AN1283" i="13034"/>
  <c r="AL1283" i="13034"/>
  <c r="AJ1283" i="13034"/>
  <c r="AH1283" i="13034"/>
  <c r="AC1283" i="13034"/>
  <c r="AV1282" i="13034"/>
  <c r="AT1282" i="13034"/>
  <c r="AR1282" i="13034"/>
  <c r="AP1282" i="13034"/>
  <c r="AN1282" i="13034"/>
  <c r="AL1282" i="13034"/>
  <c r="AJ1282" i="13034"/>
  <c r="AH1282" i="13034"/>
  <c r="AC1282" i="13034"/>
  <c r="AV1281" i="13034"/>
  <c r="AT1281" i="13034"/>
  <c r="AR1281" i="13034"/>
  <c r="AP1281" i="13034"/>
  <c r="AN1281" i="13034"/>
  <c r="AL1281" i="13034"/>
  <c r="AJ1281" i="13034"/>
  <c r="AH1281" i="13034"/>
  <c r="AC1281" i="13034"/>
  <c r="AV1280" i="13034"/>
  <c r="AT1280" i="13034"/>
  <c r="AR1280" i="13034"/>
  <c r="AP1280" i="13034"/>
  <c r="AN1280" i="13034"/>
  <c r="AL1280" i="13034"/>
  <c r="AJ1280" i="13034"/>
  <c r="AH1280" i="13034"/>
  <c r="AC1280" i="13034"/>
  <c r="AV1279" i="13034"/>
  <c r="AT1279" i="13034"/>
  <c r="AR1279" i="13034"/>
  <c r="AP1279" i="13034"/>
  <c r="AN1279" i="13034"/>
  <c r="AL1279" i="13034"/>
  <c r="AJ1279" i="13034"/>
  <c r="AH1279" i="13034"/>
  <c r="AC1279" i="13034"/>
  <c r="AV1278" i="13034"/>
  <c r="AT1278" i="13034"/>
  <c r="AR1278" i="13034"/>
  <c r="AP1278" i="13034"/>
  <c r="AN1278" i="13034"/>
  <c r="AL1278" i="13034"/>
  <c r="AJ1278" i="13034"/>
  <c r="AH1278" i="13034"/>
  <c r="AC1278" i="13034"/>
  <c r="AV1277" i="13034"/>
  <c r="AT1277" i="13034"/>
  <c r="AR1277" i="13034"/>
  <c r="AP1277" i="13034"/>
  <c r="AN1277" i="13034"/>
  <c r="AL1277" i="13034"/>
  <c r="AJ1277" i="13034"/>
  <c r="AH1277" i="13034"/>
  <c r="AC1277" i="13034"/>
  <c r="AV1276" i="13034"/>
  <c r="AT1276" i="13034"/>
  <c r="AR1276" i="13034"/>
  <c r="AP1276" i="13034"/>
  <c r="AN1276" i="13034"/>
  <c r="AL1276" i="13034"/>
  <c r="AJ1276" i="13034"/>
  <c r="AH1276" i="13034"/>
  <c r="AC1276" i="13034"/>
  <c r="AV1275" i="13034"/>
  <c r="AT1275" i="13034"/>
  <c r="AR1275" i="13034"/>
  <c r="AP1275" i="13034"/>
  <c r="AN1275" i="13034"/>
  <c r="AL1275" i="13034"/>
  <c r="AJ1275" i="13034"/>
  <c r="AH1275" i="13034"/>
  <c r="AF1275" i="13034"/>
  <c r="AE1275" i="13034"/>
  <c r="AC1275" i="13034"/>
  <c r="AA1275" i="13034"/>
  <c r="Z1275" i="13034"/>
  <c r="AV1274" i="13034"/>
  <c r="AT1274" i="13034"/>
  <c r="AR1274" i="13034"/>
  <c r="AP1274" i="13034"/>
  <c r="AN1274" i="13034"/>
  <c r="AL1274" i="13034"/>
  <c r="AJ1274" i="13034"/>
  <c r="AH1274" i="13034"/>
  <c r="AC1274" i="13034"/>
  <c r="AV1273" i="13034"/>
  <c r="AT1273" i="13034"/>
  <c r="AR1273" i="13034"/>
  <c r="AP1273" i="13034"/>
  <c r="AN1273" i="13034"/>
  <c r="AL1273" i="13034"/>
  <c r="AJ1273" i="13034"/>
  <c r="AH1273" i="13034"/>
  <c r="AC1273" i="13034"/>
  <c r="AV1272" i="13034"/>
  <c r="AT1272" i="13034"/>
  <c r="AR1272" i="13034"/>
  <c r="AP1272" i="13034"/>
  <c r="AN1272" i="13034"/>
  <c r="AL1272" i="13034"/>
  <c r="AJ1272" i="13034"/>
  <c r="AH1272" i="13034"/>
  <c r="AC1272" i="13034"/>
  <c r="AV1271" i="13034"/>
  <c r="AT1271" i="13034"/>
  <c r="AR1271" i="13034"/>
  <c r="AP1271" i="13034"/>
  <c r="AN1271" i="13034"/>
  <c r="AL1271" i="13034"/>
  <c r="AJ1271" i="13034"/>
  <c r="AH1271" i="13034"/>
  <c r="AC1271" i="13034"/>
  <c r="AV1270" i="13034"/>
  <c r="AT1270" i="13034"/>
  <c r="AR1270" i="13034"/>
  <c r="AP1270" i="13034"/>
  <c r="AN1270" i="13034"/>
  <c r="AL1270" i="13034"/>
  <c r="AJ1270" i="13034"/>
  <c r="AH1270" i="13034"/>
  <c r="AC1270" i="13034"/>
  <c r="AV1269" i="13034"/>
  <c r="AT1269" i="13034"/>
  <c r="AR1269" i="13034"/>
  <c r="AP1269" i="13034"/>
  <c r="AN1269" i="13034"/>
  <c r="AL1269" i="13034"/>
  <c r="AJ1269" i="13034"/>
  <c r="AH1269" i="13034"/>
  <c r="AC1269" i="13034"/>
  <c r="AV1268" i="13034"/>
  <c r="AT1268" i="13034"/>
  <c r="AR1268" i="13034"/>
  <c r="AP1268" i="13034"/>
  <c r="AN1268" i="13034"/>
  <c r="AL1268" i="13034"/>
  <c r="AJ1268" i="13034"/>
  <c r="AH1268" i="13034"/>
  <c r="AF1268" i="13034"/>
  <c r="AE1268" i="13034"/>
  <c r="AC1268" i="13034"/>
  <c r="AA1268" i="13034"/>
  <c r="Z1268" i="13034"/>
  <c r="AV1267" i="13034"/>
  <c r="AT1267" i="13034"/>
  <c r="AR1267" i="13034"/>
  <c r="AP1267" i="13034"/>
  <c r="AN1267" i="13034"/>
  <c r="AL1267" i="13034"/>
  <c r="AJ1267" i="13034"/>
  <c r="AH1267" i="13034"/>
  <c r="AC1267" i="13034"/>
  <c r="AV1266" i="13034"/>
  <c r="AT1266" i="13034"/>
  <c r="AR1266" i="13034"/>
  <c r="AP1266" i="13034"/>
  <c r="AN1266" i="13034"/>
  <c r="AL1266" i="13034"/>
  <c r="AJ1266" i="13034"/>
  <c r="AH1266" i="13034"/>
  <c r="AC1266" i="13034"/>
  <c r="AV1265" i="13034"/>
  <c r="AT1265" i="13034"/>
  <c r="AR1265" i="13034"/>
  <c r="AP1265" i="13034"/>
  <c r="AN1265" i="13034"/>
  <c r="AL1265" i="13034"/>
  <c r="AJ1265" i="13034"/>
  <c r="AH1265" i="13034"/>
  <c r="AC1265" i="13034"/>
  <c r="AV1264" i="13034"/>
  <c r="AT1264" i="13034"/>
  <c r="AR1264" i="13034"/>
  <c r="AP1264" i="13034"/>
  <c r="AN1264" i="13034"/>
  <c r="AL1264" i="13034"/>
  <c r="AJ1264" i="13034"/>
  <c r="AH1264" i="13034"/>
  <c r="AC1264" i="13034"/>
  <c r="AV1263" i="13034"/>
  <c r="AT1263" i="13034"/>
  <c r="AR1263" i="13034"/>
  <c r="AP1263" i="13034"/>
  <c r="AN1263" i="13034"/>
  <c r="AL1263" i="13034"/>
  <c r="AJ1263" i="13034"/>
  <c r="AH1263" i="13034"/>
  <c r="AC1263" i="13034"/>
  <c r="AV1262" i="13034"/>
  <c r="AT1262" i="13034"/>
  <c r="AR1262" i="13034"/>
  <c r="AP1262" i="13034"/>
  <c r="AN1262" i="13034"/>
  <c r="AL1262" i="13034"/>
  <c r="AJ1262" i="13034"/>
  <c r="AH1262" i="13034"/>
  <c r="AC1262" i="13034"/>
  <c r="AV1261" i="13034"/>
  <c r="AT1261" i="13034"/>
  <c r="AR1261" i="13034"/>
  <c r="AP1261" i="13034"/>
  <c r="AN1261" i="13034"/>
  <c r="AL1261" i="13034"/>
  <c r="AJ1261" i="13034"/>
  <c r="AH1261" i="13034"/>
  <c r="AC1261" i="13034"/>
  <c r="AV1260" i="13034"/>
  <c r="AT1260" i="13034"/>
  <c r="AR1260" i="13034"/>
  <c r="AP1260" i="13034"/>
  <c r="AN1260" i="13034"/>
  <c r="AL1260" i="13034"/>
  <c r="AJ1260" i="13034"/>
  <c r="AH1260" i="13034"/>
  <c r="AC1260" i="13034"/>
  <c r="AV1259" i="13034"/>
  <c r="AT1259" i="13034"/>
  <c r="AR1259" i="13034"/>
  <c r="AP1259" i="13034"/>
  <c r="AN1259" i="13034"/>
  <c r="AL1259" i="13034"/>
  <c r="AJ1259" i="13034"/>
  <c r="AH1259" i="13034"/>
  <c r="AC1259" i="13034"/>
  <c r="AV1258" i="13034"/>
  <c r="AT1258" i="13034"/>
  <c r="AR1258" i="13034"/>
  <c r="AP1258" i="13034"/>
  <c r="AN1258" i="13034"/>
  <c r="AL1258" i="13034"/>
  <c r="AJ1258" i="13034"/>
  <c r="AH1258" i="13034"/>
  <c r="AC1258" i="13034"/>
  <c r="AV1257" i="13034"/>
  <c r="AT1257" i="13034"/>
  <c r="AR1257" i="13034"/>
  <c r="AP1257" i="13034"/>
  <c r="AN1257" i="13034"/>
  <c r="AL1257" i="13034"/>
  <c r="AJ1257" i="13034"/>
  <c r="AH1257" i="13034"/>
  <c r="AC1257" i="13034"/>
  <c r="AV1256" i="13034"/>
  <c r="AT1256" i="13034"/>
  <c r="AR1256" i="13034"/>
  <c r="AP1256" i="13034"/>
  <c r="AN1256" i="13034"/>
  <c r="AL1256" i="13034"/>
  <c r="AJ1256" i="13034"/>
  <c r="AH1256" i="13034"/>
  <c r="AF1256" i="13034"/>
  <c r="AE1256" i="13034"/>
  <c r="AC1256" i="13034"/>
  <c r="AA1256" i="13034"/>
  <c r="Z1256" i="13034"/>
  <c r="AV1255" i="13034"/>
  <c r="AT1255" i="13034"/>
  <c r="AR1255" i="13034"/>
  <c r="AP1255" i="13034"/>
  <c r="AN1255" i="13034"/>
  <c r="AL1255" i="13034"/>
  <c r="AJ1255" i="13034"/>
  <c r="AH1255" i="13034"/>
  <c r="AC1255" i="13034"/>
  <c r="AV1254" i="13034"/>
  <c r="AT1254" i="13034"/>
  <c r="AR1254" i="13034"/>
  <c r="AP1254" i="13034"/>
  <c r="AN1254" i="13034"/>
  <c r="AL1254" i="13034"/>
  <c r="AJ1254" i="13034"/>
  <c r="AH1254" i="13034"/>
  <c r="AC1254" i="13034"/>
  <c r="AV1253" i="13034"/>
  <c r="AT1253" i="13034"/>
  <c r="AR1253" i="13034"/>
  <c r="AP1253" i="13034"/>
  <c r="AN1253" i="13034"/>
  <c r="AL1253" i="13034"/>
  <c r="AJ1253" i="13034"/>
  <c r="AH1253" i="13034"/>
  <c r="AC1253" i="13034"/>
  <c r="AV1252" i="13034"/>
  <c r="AT1252" i="13034"/>
  <c r="AR1252" i="13034"/>
  <c r="AP1252" i="13034"/>
  <c r="AN1252" i="13034"/>
  <c r="AL1252" i="13034"/>
  <c r="AJ1252" i="13034"/>
  <c r="AH1252" i="13034"/>
  <c r="AC1252" i="13034"/>
  <c r="AV1251" i="13034"/>
  <c r="AT1251" i="13034"/>
  <c r="AR1251" i="13034"/>
  <c r="AP1251" i="13034"/>
  <c r="AN1251" i="13034"/>
  <c r="AL1251" i="13034"/>
  <c r="AJ1251" i="13034"/>
  <c r="AH1251" i="13034"/>
  <c r="AF1251" i="13034"/>
  <c r="AE1251" i="13034"/>
  <c r="AC1251" i="13034"/>
  <c r="AA1251" i="13034"/>
  <c r="Z1251" i="13034"/>
  <c r="AV1250" i="13034"/>
  <c r="AT1250" i="13034"/>
  <c r="AR1250" i="13034"/>
  <c r="AP1250" i="13034"/>
  <c r="AN1250" i="13034"/>
  <c r="AL1250" i="13034"/>
  <c r="AJ1250" i="13034"/>
  <c r="AH1250" i="13034"/>
  <c r="AF1250" i="13034"/>
  <c r="AE1250" i="13034"/>
  <c r="AC1250" i="13034"/>
  <c r="AA1250" i="13034"/>
  <c r="Z1250" i="13034"/>
  <c r="AV1249" i="13034"/>
  <c r="AT1249" i="13034"/>
  <c r="AR1249" i="13034"/>
  <c r="AP1249" i="13034"/>
  <c r="AN1249" i="13034"/>
  <c r="AL1249" i="13034"/>
  <c r="AJ1249" i="13034"/>
  <c r="AH1249" i="13034"/>
  <c r="AF1249" i="13034"/>
  <c r="AE1249" i="13034"/>
  <c r="AC1249" i="13034"/>
  <c r="AA1249" i="13034"/>
  <c r="Z1249" i="13034"/>
  <c r="AN1248" i="13034"/>
  <c r="AL1248" i="13034"/>
  <c r="AJ1248" i="13034"/>
  <c r="AH1248" i="13034"/>
  <c r="AC1248" i="13034"/>
  <c r="AV1247" i="13034"/>
  <c r="AT1247" i="13034"/>
  <c r="AR1247" i="13034"/>
  <c r="AP1247" i="13034"/>
  <c r="AN1247" i="13034"/>
  <c r="AL1247" i="13034"/>
  <c r="AJ1247" i="13034"/>
  <c r="AH1247" i="13034"/>
  <c r="AF1247" i="13034"/>
  <c r="AE1247" i="13034"/>
  <c r="AC1247" i="13034"/>
  <c r="AT1246" i="13034"/>
  <c r="AR1246" i="13034"/>
  <c r="AP1246" i="13034"/>
  <c r="AJ1246" i="13034"/>
  <c r="AH1246" i="13034"/>
  <c r="AF1246" i="13034"/>
  <c r="AE1246" i="13034"/>
  <c r="AC1246" i="13034"/>
  <c r="AA1246" i="13034"/>
  <c r="Z1246" i="13034"/>
  <c r="AT1245" i="13034"/>
  <c r="AR1245" i="13034"/>
  <c r="AP1245" i="13034"/>
  <c r="AJ1245" i="13034"/>
  <c r="AH1245" i="13034"/>
  <c r="AC1245" i="13034"/>
  <c r="AA1245" i="13034"/>
  <c r="Z1245" i="13034"/>
  <c r="AV1244" i="13034"/>
  <c r="AT1244" i="13034"/>
  <c r="AR1244" i="13034"/>
  <c r="AP1244" i="13034"/>
  <c r="AN1244" i="13034"/>
  <c r="AL1244" i="13034"/>
  <c r="AJ1244" i="13034"/>
  <c r="AH1244" i="13034"/>
  <c r="AF1244" i="13034"/>
  <c r="AC1244" i="13034"/>
  <c r="AA1244" i="13034"/>
  <c r="AV1243" i="13034"/>
  <c r="AT1243" i="13034"/>
  <c r="AR1243" i="13034"/>
  <c r="AP1243" i="13034"/>
  <c r="AN1243" i="13034"/>
  <c r="AL1243" i="13034"/>
  <c r="AJ1243" i="13034"/>
  <c r="AH1243" i="13034"/>
  <c r="AF1243" i="13034"/>
  <c r="AE1243" i="13034"/>
  <c r="AC1243" i="13034"/>
  <c r="AV1242" i="13034"/>
  <c r="AT1242" i="13034"/>
  <c r="AR1242" i="13034"/>
  <c r="AP1242" i="13034"/>
  <c r="AN1242" i="13034"/>
  <c r="AL1242" i="13034"/>
  <c r="AJ1242" i="13034"/>
  <c r="AH1242" i="13034"/>
  <c r="AC1242" i="13034"/>
  <c r="AV1241" i="13034"/>
  <c r="AT1241" i="13034"/>
  <c r="AR1241" i="13034"/>
  <c r="AP1241" i="13034"/>
  <c r="AN1241" i="13034"/>
  <c r="AL1241" i="13034"/>
  <c r="AJ1241" i="13034"/>
  <c r="AH1241" i="13034"/>
  <c r="AC1241" i="13034"/>
  <c r="AV1240" i="13034"/>
  <c r="AT1240" i="13034"/>
  <c r="AR1240" i="13034"/>
  <c r="AP1240" i="13034"/>
  <c r="AN1240" i="13034"/>
  <c r="AL1240" i="13034"/>
  <c r="AJ1240" i="13034"/>
  <c r="AH1240" i="13034"/>
  <c r="AC1240" i="13034"/>
  <c r="AV1239" i="13034"/>
  <c r="AT1239" i="13034"/>
  <c r="AR1239" i="13034"/>
  <c r="AP1239" i="13034"/>
  <c r="AN1239" i="13034"/>
  <c r="AL1239" i="13034"/>
  <c r="AJ1239" i="13034"/>
  <c r="AH1239" i="13034"/>
  <c r="AC1239" i="13034"/>
  <c r="AV1238" i="13034"/>
  <c r="AT1238" i="13034"/>
  <c r="AR1238" i="13034"/>
  <c r="AP1238" i="13034"/>
  <c r="AN1238" i="13034"/>
  <c r="AL1238" i="13034"/>
  <c r="AJ1238" i="13034"/>
  <c r="AH1238" i="13034"/>
  <c r="AC1238" i="13034"/>
  <c r="AV1237" i="13034"/>
  <c r="AT1237" i="13034"/>
  <c r="AR1237" i="13034"/>
  <c r="AP1237" i="13034"/>
  <c r="AN1237" i="13034"/>
  <c r="AL1237" i="13034"/>
  <c r="AJ1237" i="13034"/>
  <c r="AH1237" i="13034"/>
  <c r="AC1237" i="13034"/>
  <c r="AV1236" i="13034"/>
  <c r="AT1236" i="13034"/>
  <c r="AR1236" i="13034"/>
  <c r="AP1236" i="13034"/>
  <c r="AN1236" i="13034"/>
  <c r="AL1236" i="13034"/>
  <c r="AJ1236" i="13034"/>
  <c r="AH1236" i="13034"/>
  <c r="AC1236" i="13034"/>
  <c r="AV1235" i="13034"/>
  <c r="AT1235" i="13034"/>
  <c r="AR1235" i="13034"/>
  <c r="AP1235" i="13034"/>
  <c r="AN1235" i="13034"/>
  <c r="AL1235" i="13034"/>
  <c r="AJ1235" i="13034"/>
  <c r="AH1235" i="13034"/>
  <c r="AC1235" i="13034"/>
  <c r="AV1234" i="13034"/>
  <c r="AT1234" i="13034"/>
  <c r="AR1234" i="13034"/>
  <c r="AP1234" i="13034"/>
  <c r="AN1234" i="13034"/>
  <c r="AL1234" i="13034"/>
  <c r="AJ1234" i="13034"/>
  <c r="AH1234" i="13034"/>
  <c r="AC1234" i="13034"/>
  <c r="AV1233" i="13034"/>
  <c r="AT1233" i="13034"/>
  <c r="AR1233" i="13034"/>
  <c r="AP1233" i="13034"/>
  <c r="AN1233" i="13034"/>
  <c r="AL1233" i="13034"/>
  <c r="AJ1233" i="13034"/>
  <c r="AH1233" i="13034"/>
  <c r="AF1233" i="13034"/>
  <c r="AE1233" i="13034"/>
  <c r="AC1233" i="13034"/>
  <c r="AA1233" i="13034"/>
  <c r="Z1233" i="13034"/>
  <c r="AV1232" i="13034"/>
  <c r="AT1232" i="13034"/>
  <c r="AR1232" i="13034"/>
  <c r="AP1232" i="13034"/>
  <c r="AN1232" i="13034"/>
  <c r="AL1232" i="13034"/>
  <c r="AJ1232" i="13034"/>
  <c r="AH1232" i="13034"/>
  <c r="AC1232" i="13034"/>
  <c r="AV1231" i="13034"/>
  <c r="AT1231" i="13034"/>
  <c r="AR1231" i="13034"/>
  <c r="AP1231" i="13034"/>
  <c r="AN1231" i="13034"/>
  <c r="AL1231" i="13034"/>
  <c r="AJ1231" i="13034"/>
  <c r="AH1231" i="13034"/>
  <c r="AC1231" i="13034"/>
  <c r="AV1230" i="13034"/>
  <c r="AT1230" i="13034"/>
  <c r="AR1230" i="13034"/>
  <c r="AP1230" i="13034"/>
  <c r="AN1230" i="13034"/>
  <c r="AL1230" i="13034"/>
  <c r="AJ1230" i="13034"/>
  <c r="AH1230" i="13034"/>
  <c r="AC1230" i="13034"/>
  <c r="AV1229" i="13034"/>
  <c r="AT1229" i="13034"/>
  <c r="AR1229" i="13034"/>
  <c r="AP1229" i="13034"/>
  <c r="AN1229" i="13034"/>
  <c r="AL1229" i="13034"/>
  <c r="AJ1229" i="13034"/>
  <c r="AH1229" i="13034"/>
  <c r="AC1229" i="13034"/>
  <c r="AV1228" i="13034"/>
  <c r="AT1228" i="13034"/>
  <c r="AR1228" i="13034"/>
  <c r="AP1228" i="13034"/>
  <c r="AN1228" i="13034"/>
  <c r="AL1228" i="13034"/>
  <c r="AJ1228" i="13034"/>
  <c r="AH1228" i="13034"/>
  <c r="AC1228" i="13034"/>
  <c r="AV1227" i="13034"/>
  <c r="AT1227" i="13034"/>
  <c r="AR1227" i="13034"/>
  <c r="AP1227" i="13034"/>
  <c r="AN1227" i="13034"/>
  <c r="AL1227" i="13034"/>
  <c r="AJ1227" i="13034"/>
  <c r="AH1227" i="13034"/>
  <c r="AC1227" i="13034"/>
  <c r="AV1226" i="13034"/>
  <c r="AT1226" i="13034"/>
  <c r="AR1226" i="13034"/>
  <c r="AP1226" i="13034"/>
  <c r="AN1226" i="13034"/>
  <c r="AL1226" i="13034"/>
  <c r="AJ1226" i="13034"/>
  <c r="AH1226" i="13034"/>
  <c r="AF1226" i="13034"/>
  <c r="AE1226" i="13034"/>
  <c r="AC1226" i="13034"/>
  <c r="AA1226" i="13034"/>
  <c r="Z1226" i="13034"/>
  <c r="AV1225" i="13034"/>
  <c r="AT1225" i="13034"/>
  <c r="AR1225" i="13034"/>
  <c r="AP1225" i="13034"/>
  <c r="AN1225" i="13034"/>
  <c r="AL1225" i="13034"/>
  <c r="AJ1225" i="13034"/>
  <c r="AH1225" i="13034"/>
  <c r="AC1225" i="13034"/>
  <c r="AV1224" i="13034"/>
  <c r="AT1224" i="13034"/>
  <c r="AR1224" i="13034"/>
  <c r="AP1224" i="13034"/>
  <c r="AN1224" i="13034"/>
  <c r="AL1224" i="13034"/>
  <c r="AJ1224" i="13034"/>
  <c r="AH1224" i="13034"/>
  <c r="AC1224" i="13034"/>
  <c r="AV1223" i="13034"/>
  <c r="AT1223" i="13034"/>
  <c r="AR1223" i="13034"/>
  <c r="AP1223" i="13034"/>
  <c r="AN1223" i="13034"/>
  <c r="AL1223" i="13034"/>
  <c r="AJ1223" i="13034"/>
  <c r="AH1223" i="13034"/>
  <c r="AC1223" i="13034"/>
  <c r="AV1222" i="13034"/>
  <c r="AT1222" i="13034"/>
  <c r="AR1222" i="13034"/>
  <c r="AP1222" i="13034"/>
  <c r="AN1222" i="13034"/>
  <c r="AL1222" i="13034"/>
  <c r="AJ1222" i="13034"/>
  <c r="AH1222" i="13034"/>
  <c r="AC1222" i="13034"/>
  <c r="AV1221" i="13034"/>
  <c r="AT1221" i="13034"/>
  <c r="AR1221" i="13034"/>
  <c r="AP1221" i="13034"/>
  <c r="AN1221" i="13034"/>
  <c r="AL1221" i="13034"/>
  <c r="AJ1221" i="13034"/>
  <c r="AH1221" i="13034"/>
  <c r="AC1221" i="13034"/>
  <c r="AV1220" i="13034"/>
  <c r="AT1220" i="13034"/>
  <c r="AR1220" i="13034"/>
  <c r="AP1220" i="13034"/>
  <c r="AN1220" i="13034"/>
  <c r="AL1220" i="13034"/>
  <c r="AJ1220" i="13034"/>
  <c r="AH1220" i="13034"/>
  <c r="AC1220" i="13034"/>
  <c r="AV1219" i="13034"/>
  <c r="AT1219" i="13034"/>
  <c r="AR1219" i="13034"/>
  <c r="AP1219" i="13034"/>
  <c r="AN1219" i="13034"/>
  <c r="AL1219" i="13034"/>
  <c r="AJ1219" i="13034"/>
  <c r="AH1219" i="13034"/>
  <c r="AC1219" i="13034"/>
  <c r="AV1218" i="13034"/>
  <c r="AT1218" i="13034"/>
  <c r="AR1218" i="13034"/>
  <c r="AP1218" i="13034"/>
  <c r="AN1218" i="13034"/>
  <c r="AL1218" i="13034"/>
  <c r="AJ1218" i="13034"/>
  <c r="AH1218" i="13034"/>
  <c r="AC1218" i="13034"/>
  <c r="AV1217" i="13034"/>
  <c r="AT1217" i="13034"/>
  <c r="AR1217" i="13034"/>
  <c r="AP1217" i="13034"/>
  <c r="AN1217" i="13034"/>
  <c r="AL1217" i="13034"/>
  <c r="AJ1217" i="13034"/>
  <c r="AH1217" i="13034"/>
  <c r="AC1217" i="13034"/>
  <c r="AV1216" i="13034"/>
  <c r="AT1216" i="13034"/>
  <c r="AR1216" i="13034"/>
  <c r="AP1216" i="13034"/>
  <c r="AN1216" i="13034"/>
  <c r="AL1216" i="13034"/>
  <c r="AJ1216" i="13034"/>
  <c r="AH1216" i="13034"/>
  <c r="AC1216" i="13034"/>
  <c r="AV1215" i="13034"/>
  <c r="AT1215" i="13034"/>
  <c r="AR1215" i="13034"/>
  <c r="AP1215" i="13034"/>
  <c r="AN1215" i="13034"/>
  <c r="AL1215" i="13034"/>
  <c r="AJ1215" i="13034"/>
  <c r="AH1215" i="13034"/>
  <c r="AC1215" i="13034"/>
  <c r="AV1214" i="13034"/>
  <c r="AT1214" i="13034"/>
  <c r="AR1214" i="13034"/>
  <c r="AP1214" i="13034"/>
  <c r="AN1214" i="13034"/>
  <c r="AL1214" i="13034"/>
  <c r="AJ1214" i="13034"/>
  <c r="AH1214" i="13034"/>
  <c r="AF1214" i="13034"/>
  <c r="AE1214" i="13034"/>
  <c r="AC1214" i="13034"/>
  <c r="AA1214" i="13034"/>
  <c r="Z1214" i="13034"/>
  <c r="AV1213" i="13034"/>
  <c r="AT1213" i="13034"/>
  <c r="AR1213" i="13034"/>
  <c r="AP1213" i="13034"/>
  <c r="AN1213" i="13034"/>
  <c r="AL1213" i="13034"/>
  <c r="AJ1213" i="13034"/>
  <c r="AH1213" i="13034"/>
  <c r="AC1213" i="13034"/>
  <c r="AV1212" i="13034"/>
  <c r="AT1212" i="13034"/>
  <c r="AR1212" i="13034"/>
  <c r="AP1212" i="13034"/>
  <c r="AN1212" i="13034"/>
  <c r="AL1212" i="13034"/>
  <c r="AJ1212" i="13034"/>
  <c r="AH1212" i="13034"/>
  <c r="AC1212" i="13034"/>
  <c r="AV1211" i="13034"/>
  <c r="AT1211" i="13034"/>
  <c r="AR1211" i="13034"/>
  <c r="AP1211" i="13034"/>
  <c r="AN1211" i="13034"/>
  <c r="AL1211" i="13034"/>
  <c r="AJ1211" i="13034"/>
  <c r="AH1211" i="13034"/>
  <c r="AC1211" i="13034"/>
  <c r="AV1210" i="13034"/>
  <c r="AT1210" i="13034"/>
  <c r="AR1210" i="13034"/>
  <c r="AP1210" i="13034"/>
  <c r="AN1210" i="13034"/>
  <c r="AL1210" i="13034"/>
  <c r="AJ1210" i="13034"/>
  <c r="AH1210" i="13034"/>
  <c r="AC1210" i="13034"/>
  <c r="AV1209" i="13034"/>
  <c r="AT1209" i="13034"/>
  <c r="AR1209" i="13034"/>
  <c r="AP1209" i="13034"/>
  <c r="AN1209" i="13034"/>
  <c r="AL1209" i="13034"/>
  <c r="AJ1209" i="13034"/>
  <c r="AH1209" i="13034"/>
  <c r="AF1209" i="13034"/>
  <c r="AE1209" i="13034"/>
  <c r="AC1209" i="13034"/>
  <c r="AA1209" i="13034"/>
  <c r="Z1209" i="13034"/>
  <c r="AV1208" i="13034"/>
  <c r="AT1208" i="13034"/>
  <c r="AR1208" i="13034"/>
  <c r="AP1208" i="13034"/>
  <c r="AN1208" i="13034"/>
  <c r="AL1208" i="13034"/>
  <c r="AJ1208" i="13034"/>
  <c r="AH1208" i="13034"/>
  <c r="AF1208" i="13034"/>
  <c r="AE1208" i="13034"/>
  <c r="AC1208" i="13034"/>
  <c r="AA1208" i="13034"/>
  <c r="Z1208" i="13034"/>
  <c r="AV1207" i="13034"/>
  <c r="AT1207" i="13034"/>
  <c r="AR1207" i="13034"/>
  <c r="AP1207" i="13034"/>
  <c r="AN1207" i="13034"/>
  <c r="AL1207" i="13034"/>
  <c r="AJ1207" i="13034"/>
  <c r="AH1207" i="13034"/>
  <c r="AF1207" i="13034"/>
  <c r="AE1207" i="13034"/>
  <c r="AC1207" i="13034"/>
  <c r="AA1207" i="13034"/>
  <c r="Z1207" i="13034"/>
  <c r="AN1206" i="13034"/>
  <c r="AL1206" i="13034"/>
  <c r="AJ1206" i="13034"/>
  <c r="AH1206" i="13034"/>
  <c r="AC1206" i="13034"/>
  <c r="AV1205" i="13034"/>
  <c r="AT1205" i="13034"/>
  <c r="AR1205" i="13034"/>
  <c r="AP1205" i="13034"/>
  <c r="AN1205" i="13034"/>
  <c r="AL1205" i="13034"/>
  <c r="AJ1205" i="13034"/>
  <c r="AH1205" i="13034"/>
  <c r="AF1205" i="13034"/>
  <c r="AE1205" i="13034"/>
  <c r="AC1205" i="13034"/>
  <c r="AT1204" i="13034"/>
  <c r="AR1204" i="13034"/>
  <c r="AP1204" i="13034"/>
  <c r="AJ1204" i="13034"/>
  <c r="AH1204" i="13034"/>
  <c r="AF1204" i="13034"/>
  <c r="AE1204" i="13034"/>
  <c r="AC1204" i="13034"/>
  <c r="AA1204" i="13034"/>
  <c r="Z1204" i="13034"/>
  <c r="AT1203" i="13034"/>
  <c r="AR1203" i="13034"/>
  <c r="AP1203" i="13034"/>
  <c r="AJ1203" i="13034"/>
  <c r="AH1203" i="13034"/>
  <c r="AC1203" i="13034"/>
  <c r="AA1203" i="13034"/>
  <c r="Z1203" i="13034"/>
  <c r="AV1202" i="13034"/>
  <c r="AT1202" i="13034"/>
  <c r="AR1202" i="13034"/>
  <c r="AP1202" i="13034"/>
  <c r="AN1202" i="13034"/>
  <c r="AL1202" i="13034"/>
  <c r="AJ1202" i="13034"/>
  <c r="AH1202" i="13034"/>
  <c r="AC1202" i="13034"/>
  <c r="AV1201" i="13034"/>
  <c r="AT1201" i="13034"/>
  <c r="AR1201" i="13034"/>
  <c r="AP1201" i="13034"/>
  <c r="AN1201" i="13034"/>
  <c r="AL1201" i="13034"/>
  <c r="AJ1201" i="13034"/>
  <c r="AH1201" i="13034"/>
  <c r="AF1201" i="13034"/>
  <c r="AE1201" i="13034"/>
  <c r="AC1201" i="13034"/>
  <c r="AV1200" i="13034"/>
  <c r="AT1200" i="13034"/>
  <c r="AR1200" i="13034"/>
  <c r="AP1200" i="13034"/>
  <c r="AN1200" i="13034"/>
  <c r="AL1200" i="13034"/>
  <c r="AJ1200" i="13034"/>
  <c r="AH1200" i="13034"/>
  <c r="AC1200" i="13034"/>
  <c r="AV1199" i="13034"/>
  <c r="AT1199" i="13034"/>
  <c r="AR1199" i="13034"/>
  <c r="AP1199" i="13034"/>
  <c r="AN1199" i="13034"/>
  <c r="AL1199" i="13034"/>
  <c r="AJ1199" i="13034"/>
  <c r="AH1199" i="13034"/>
  <c r="AC1199" i="13034"/>
  <c r="AV1198" i="13034"/>
  <c r="AT1198" i="13034"/>
  <c r="AR1198" i="13034"/>
  <c r="AP1198" i="13034"/>
  <c r="AN1198" i="13034"/>
  <c r="AL1198" i="13034"/>
  <c r="AJ1198" i="13034"/>
  <c r="AH1198" i="13034"/>
  <c r="AC1198" i="13034"/>
  <c r="AV1197" i="13034"/>
  <c r="AT1197" i="13034"/>
  <c r="AR1197" i="13034"/>
  <c r="AP1197" i="13034"/>
  <c r="AN1197" i="13034"/>
  <c r="AL1197" i="13034"/>
  <c r="AJ1197" i="13034"/>
  <c r="AH1197" i="13034"/>
  <c r="AC1197" i="13034"/>
  <c r="AV1196" i="13034"/>
  <c r="AT1196" i="13034"/>
  <c r="AR1196" i="13034"/>
  <c r="AP1196" i="13034"/>
  <c r="AN1196" i="13034"/>
  <c r="AL1196" i="13034"/>
  <c r="AJ1196" i="13034"/>
  <c r="AH1196" i="13034"/>
  <c r="AC1196" i="13034"/>
  <c r="AV1195" i="13034"/>
  <c r="AT1195" i="13034"/>
  <c r="AR1195" i="13034"/>
  <c r="AP1195" i="13034"/>
  <c r="AN1195" i="13034"/>
  <c r="AL1195" i="13034"/>
  <c r="AJ1195" i="13034"/>
  <c r="AH1195" i="13034"/>
  <c r="AC1195" i="13034"/>
  <c r="AV1194" i="13034"/>
  <c r="AT1194" i="13034"/>
  <c r="AR1194" i="13034"/>
  <c r="AP1194" i="13034"/>
  <c r="AN1194" i="13034"/>
  <c r="AL1194" i="13034"/>
  <c r="AJ1194" i="13034"/>
  <c r="AH1194" i="13034"/>
  <c r="AC1194" i="13034"/>
  <c r="AV1193" i="13034"/>
  <c r="AT1193" i="13034"/>
  <c r="AR1193" i="13034"/>
  <c r="AP1193" i="13034"/>
  <c r="AN1193" i="13034"/>
  <c r="AL1193" i="13034"/>
  <c r="AJ1193" i="13034"/>
  <c r="AH1193" i="13034"/>
  <c r="AC1193" i="13034"/>
  <c r="AV1192" i="13034"/>
  <c r="AT1192" i="13034"/>
  <c r="AR1192" i="13034"/>
  <c r="AP1192" i="13034"/>
  <c r="AN1192" i="13034"/>
  <c r="AL1192" i="13034"/>
  <c r="AJ1192" i="13034"/>
  <c r="AH1192" i="13034"/>
  <c r="AC1192" i="13034"/>
  <c r="AV1191" i="13034"/>
  <c r="AT1191" i="13034"/>
  <c r="AR1191" i="13034"/>
  <c r="AP1191" i="13034"/>
  <c r="AN1191" i="13034"/>
  <c r="AL1191" i="13034"/>
  <c r="AJ1191" i="13034"/>
  <c r="AH1191" i="13034"/>
  <c r="AF1191" i="13034"/>
  <c r="AE1191" i="13034"/>
  <c r="AC1191" i="13034"/>
  <c r="AA1191" i="13034"/>
  <c r="Z1191" i="13034"/>
  <c r="AV1190" i="13034"/>
  <c r="AT1190" i="13034"/>
  <c r="AR1190" i="13034"/>
  <c r="AP1190" i="13034"/>
  <c r="AN1190" i="13034"/>
  <c r="AL1190" i="13034"/>
  <c r="AJ1190" i="13034"/>
  <c r="AH1190" i="13034"/>
  <c r="AC1190" i="13034"/>
  <c r="AV1189" i="13034"/>
  <c r="AT1189" i="13034"/>
  <c r="AR1189" i="13034"/>
  <c r="AP1189" i="13034"/>
  <c r="AN1189" i="13034"/>
  <c r="AL1189" i="13034"/>
  <c r="AJ1189" i="13034"/>
  <c r="AH1189" i="13034"/>
  <c r="AC1189" i="13034"/>
  <c r="AV1188" i="13034"/>
  <c r="AT1188" i="13034"/>
  <c r="AR1188" i="13034"/>
  <c r="AP1188" i="13034"/>
  <c r="AN1188" i="13034"/>
  <c r="AL1188" i="13034"/>
  <c r="AJ1188" i="13034"/>
  <c r="AH1188" i="13034"/>
  <c r="AC1188" i="13034"/>
  <c r="AV1187" i="13034"/>
  <c r="AT1187" i="13034"/>
  <c r="AR1187" i="13034"/>
  <c r="AP1187" i="13034"/>
  <c r="AN1187" i="13034"/>
  <c r="AL1187" i="13034"/>
  <c r="AJ1187" i="13034"/>
  <c r="AH1187" i="13034"/>
  <c r="AC1187" i="13034"/>
  <c r="AV1186" i="13034"/>
  <c r="AT1186" i="13034"/>
  <c r="AR1186" i="13034"/>
  <c r="AP1186" i="13034"/>
  <c r="AN1186" i="13034"/>
  <c r="AL1186" i="13034"/>
  <c r="AJ1186" i="13034"/>
  <c r="AH1186" i="13034"/>
  <c r="AC1186" i="13034"/>
  <c r="AV1185" i="13034"/>
  <c r="AT1185" i="13034"/>
  <c r="AR1185" i="13034"/>
  <c r="AP1185" i="13034"/>
  <c r="AN1185" i="13034"/>
  <c r="AL1185" i="13034"/>
  <c r="AJ1185" i="13034"/>
  <c r="AH1185" i="13034"/>
  <c r="AC1185" i="13034"/>
  <c r="AV1184" i="13034"/>
  <c r="AT1184" i="13034"/>
  <c r="AR1184" i="13034"/>
  <c r="AP1184" i="13034"/>
  <c r="AN1184" i="13034"/>
  <c r="AL1184" i="13034"/>
  <c r="AJ1184" i="13034"/>
  <c r="AH1184" i="13034"/>
  <c r="AF1184" i="13034"/>
  <c r="AE1184" i="13034"/>
  <c r="AC1184" i="13034"/>
  <c r="AA1184" i="13034"/>
  <c r="Z1184" i="13034"/>
  <c r="AV1183" i="13034"/>
  <c r="AT1183" i="13034"/>
  <c r="AR1183" i="13034"/>
  <c r="AP1183" i="13034"/>
  <c r="AN1183" i="13034"/>
  <c r="AL1183" i="13034"/>
  <c r="AJ1183" i="13034"/>
  <c r="AH1183" i="13034"/>
  <c r="AC1183" i="13034"/>
  <c r="AV1182" i="13034"/>
  <c r="AT1182" i="13034"/>
  <c r="AR1182" i="13034"/>
  <c r="AP1182" i="13034"/>
  <c r="AN1182" i="13034"/>
  <c r="AL1182" i="13034"/>
  <c r="AJ1182" i="13034"/>
  <c r="AH1182" i="13034"/>
  <c r="AC1182" i="13034"/>
  <c r="AV1181" i="13034"/>
  <c r="AT1181" i="13034"/>
  <c r="AR1181" i="13034"/>
  <c r="AP1181" i="13034"/>
  <c r="AN1181" i="13034"/>
  <c r="AL1181" i="13034"/>
  <c r="AJ1181" i="13034"/>
  <c r="AH1181" i="13034"/>
  <c r="AC1181" i="13034"/>
  <c r="AV1180" i="13034"/>
  <c r="AT1180" i="13034"/>
  <c r="AR1180" i="13034"/>
  <c r="AP1180" i="13034"/>
  <c r="AN1180" i="13034"/>
  <c r="AL1180" i="13034"/>
  <c r="AJ1180" i="13034"/>
  <c r="AH1180" i="13034"/>
  <c r="AC1180" i="13034"/>
  <c r="AV1179" i="13034"/>
  <c r="AT1179" i="13034"/>
  <c r="AR1179" i="13034"/>
  <c r="AP1179" i="13034"/>
  <c r="AN1179" i="13034"/>
  <c r="AL1179" i="13034"/>
  <c r="AJ1179" i="13034"/>
  <c r="AH1179" i="13034"/>
  <c r="AC1179" i="13034"/>
  <c r="AV1178" i="13034"/>
  <c r="AT1178" i="13034"/>
  <c r="AR1178" i="13034"/>
  <c r="AP1178" i="13034"/>
  <c r="AN1178" i="13034"/>
  <c r="AL1178" i="13034"/>
  <c r="AJ1178" i="13034"/>
  <c r="AH1178" i="13034"/>
  <c r="AC1178" i="13034"/>
  <c r="AV1177" i="13034"/>
  <c r="AT1177" i="13034"/>
  <c r="AR1177" i="13034"/>
  <c r="AP1177" i="13034"/>
  <c r="AN1177" i="13034"/>
  <c r="AL1177" i="13034"/>
  <c r="AJ1177" i="13034"/>
  <c r="AH1177" i="13034"/>
  <c r="AC1177" i="13034"/>
  <c r="AV1176" i="13034"/>
  <c r="AT1176" i="13034"/>
  <c r="AR1176" i="13034"/>
  <c r="AP1176" i="13034"/>
  <c r="AN1176" i="13034"/>
  <c r="AL1176" i="13034"/>
  <c r="AJ1176" i="13034"/>
  <c r="AH1176" i="13034"/>
  <c r="AC1176" i="13034"/>
  <c r="AV1175" i="13034"/>
  <c r="AT1175" i="13034"/>
  <c r="AR1175" i="13034"/>
  <c r="AP1175" i="13034"/>
  <c r="AN1175" i="13034"/>
  <c r="AL1175" i="13034"/>
  <c r="AJ1175" i="13034"/>
  <c r="AH1175" i="13034"/>
  <c r="AC1175" i="13034"/>
  <c r="AV1174" i="13034"/>
  <c r="AT1174" i="13034"/>
  <c r="AR1174" i="13034"/>
  <c r="AP1174" i="13034"/>
  <c r="AN1174" i="13034"/>
  <c r="AL1174" i="13034"/>
  <c r="AJ1174" i="13034"/>
  <c r="AH1174" i="13034"/>
  <c r="AC1174" i="13034"/>
  <c r="AV1173" i="13034"/>
  <c r="AT1173" i="13034"/>
  <c r="AR1173" i="13034"/>
  <c r="AP1173" i="13034"/>
  <c r="AN1173" i="13034"/>
  <c r="AL1173" i="13034"/>
  <c r="AJ1173" i="13034"/>
  <c r="AH1173" i="13034"/>
  <c r="AC1173" i="13034"/>
  <c r="AV1172" i="13034"/>
  <c r="AT1172" i="13034"/>
  <c r="AR1172" i="13034"/>
  <c r="AP1172" i="13034"/>
  <c r="AN1172" i="13034"/>
  <c r="AL1172" i="13034"/>
  <c r="AJ1172" i="13034"/>
  <c r="AH1172" i="13034"/>
  <c r="AF1172" i="13034"/>
  <c r="AE1172" i="13034"/>
  <c r="AC1172" i="13034"/>
  <c r="AA1172" i="13034"/>
  <c r="Z1172" i="13034"/>
  <c r="AV1171" i="13034"/>
  <c r="AT1171" i="13034"/>
  <c r="AR1171" i="13034"/>
  <c r="AP1171" i="13034"/>
  <c r="AN1171" i="13034"/>
  <c r="AL1171" i="13034"/>
  <c r="AJ1171" i="13034"/>
  <c r="AH1171" i="13034"/>
  <c r="AC1171" i="13034"/>
  <c r="AV1170" i="13034"/>
  <c r="AT1170" i="13034"/>
  <c r="AR1170" i="13034"/>
  <c r="AP1170" i="13034"/>
  <c r="AN1170" i="13034"/>
  <c r="AL1170" i="13034"/>
  <c r="AJ1170" i="13034"/>
  <c r="AH1170" i="13034"/>
  <c r="AC1170" i="13034"/>
  <c r="AV1169" i="13034"/>
  <c r="AT1169" i="13034"/>
  <c r="AR1169" i="13034"/>
  <c r="AP1169" i="13034"/>
  <c r="AN1169" i="13034"/>
  <c r="AL1169" i="13034"/>
  <c r="AJ1169" i="13034"/>
  <c r="AH1169" i="13034"/>
  <c r="AC1169" i="13034"/>
  <c r="AV1168" i="13034"/>
  <c r="AT1168" i="13034"/>
  <c r="AR1168" i="13034"/>
  <c r="AP1168" i="13034"/>
  <c r="AN1168" i="13034"/>
  <c r="AL1168" i="13034"/>
  <c r="AJ1168" i="13034"/>
  <c r="AH1168" i="13034"/>
  <c r="AC1168" i="13034"/>
  <c r="AV1167" i="13034"/>
  <c r="AT1167" i="13034"/>
  <c r="AR1167" i="13034"/>
  <c r="AP1167" i="13034"/>
  <c r="AN1167" i="13034"/>
  <c r="AL1167" i="13034"/>
  <c r="AJ1167" i="13034"/>
  <c r="AH1167" i="13034"/>
  <c r="AF1167" i="13034"/>
  <c r="AE1167" i="13034"/>
  <c r="AC1167" i="13034"/>
  <c r="AA1167" i="13034"/>
  <c r="Z1167" i="13034"/>
  <c r="AV1166" i="13034"/>
  <c r="AT1166" i="13034"/>
  <c r="AR1166" i="13034"/>
  <c r="AP1166" i="13034"/>
  <c r="AN1166" i="13034"/>
  <c r="AL1166" i="13034"/>
  <c r="AJ1166" i="13034"/>
  <c r="AH1166" i="13034"/>
  <c r="AF1166" i="13034"/>
  <c r="AE1166" i="13034"/>
  <c r="AC1166" i="13034"/>
  <c r="AA1166" i="13034"/>
  <c r="Z1166" i="13034"/>
  <c r="AV1165" i="13034"/>
  <c r="AT1165" i="13034"/>
  <c r="AR1165" i="13034"/>
  <c r="AP1165" i="13034"/>
  <c r="AN1165" i="13034"/>
  <c r="AL1165" i="13034"/>
  <c r="AJ1165" i="13034"/>
  <c r="AH1165" i="13034"/>
  <c r="AF1165" i="13034"/>
  <c r="AE1165" i="13034"/>
  <c r="AC1165" i="13034"/>
  <c r="AA1165" i="13034"/>
  <c r="Z1165" i="13034"/>
  <c r="AN1164" i="13034"/>
  <c r="AL1164" i="13034"/>
  <c r="AJ1164" i="13034"/>
  <c r="AH1164" i="13034"/>
  <c r="AC1164" i="13034"/>
  <c r="AA1164" i="13034"/>
  <c r="AT1163" i="13034"/>
  <c r="AR1163" i="13034"/>
  <c r="AP1163" i="13034"/>
  <c r="AJ1163" i="13034"/>
  <c r="AH1163" i="13034"/>
  <c r="AF1163" i="13034"/>
  <c r="AE1163" i="13034"/>
  <c r="AC1163" i="13034"/>
  <c r="AA1163" i="13034"/>
  <c r="Z1163" i="13034"/>
  <c r="AT1162" i="13034"/>
  <c r="AR1162" i="13034"/>
  <c r="AP1162" i="13034"/>
  <c r="AJ1162" i="13034"/>
  <c r="AH1162" i="13034"/>
  <c r="AC1162" i="13034"/>
  <c r="AA1162" i="13034"/>
  <c r="Z1162" i="13034"/>
  <c r="AV1161" i="13034"/>
  <c r="AT1161" i="13034"/>
  <c r="AR1161" i="13034"/>
  <c r="AP1161" i="13034"/>
  <c r="AN1161" i="13034"/>
  <c r="AL1161" i="13034"/>
  <c r="AJ1161" i="13034"/>
  <c r="AH1161" i="13034"/>
  <c r="AF1161" i="13034"/>
  <c r="AC1161" i="13034"/>
  <c r="AA1161" i="13034"/>
  <c r="AV1160" i="13034"/>
  <c r="AT1160" i="13034"/>
  <c r="AR1160" i="13034"/>
  <c r="AP1160" i="13034"/>
  <c r="AN1160" i="13034"/>
  <c r="AL1160" i="13034"/>
  <c r="AJ1160" i="13034"/>
  <c r="AH1160" i="13034"/>
  <c r="AC1160" i="13034"/>
  <c r="AA1160" i="13034"/>
  <c r="AV1159" i="13034"/>
  <c r="AT1159" i="13034"/>
  <c r="AR1159" i="13034"/>
  <c r="AP1159" i="13034"/>
  <c r="AN1159" i="13034"/>
  <c r="AL1159" i="13034"/>
  <c r="AJ1159" i="13034"/>
  <c r="AH1159" i="13034"/>
  <c r="AC1159" i="13034"/>
  <c r="AA1159" i="13034"/>
  <c r="AV1158" i="13034"/>
  <c r="AT1158" i="13034"/>
  <c r="AR1158" i="13034"/>
  <c r="AP1158" i="13034"/>
  <c r="AN1158" i="13034"/>
  <c r="AL1158" i="13034"/>
  <c r="AJ1158" i="13034"/>
  <c r="AH1158" i="13034"/>
  <c r="AC1158" i="13034"/>
  <c r="AA1158" i="13034"/>
  <c r="AV1157" i="13034"/>
  <c r="AT1157" i="13034"/>
  <c r="AR1157" i="13034"/>
  <c r="AP1157" i="13034"/>
  <c r="AN1157" i="13034"/>
  <c r="AL1157" i="13034"/>
  <c r="AJ1157" i="13034"/>
  <c r="AH1157" i="13034"/>
  <c r="AC1157" i="13034"/>
  <c r="AC1156" i="13034"/>
  <c r="AV1155" i="13034"/>
  <c r="AT1155" i="13034"/>
  <c r="AR1155" i="13034"/>
  <c r="AP1155" i="13034"/>
  <c r="AN1155" i="13034"/>
  <c r="AL1155" i="13034"/>
  <c r="AJ1155" i="13034"/>
  <c r="AH1155" i="13034"/>
  <c r="AC1155" i="13034"/>
  <c r="AV1154" i="13034"/>
  <c r="AT1154" i="13034"/>
  <c r="AR1154" i="13034"/>
  <c r="AP1154" i="13034"/>
  <c r="AN1154" i="13034"/>
  <c r="AL1154" i="13034"/>
  <c r="AJ1154" i="13034"/>
  <c r="AH1154" i="13034"/>
  <c r="AC1154" i="13034"/>
  <c r="AC1153" i="13034"/>
  <c r="AA1153" i="13034"/>
  <c r="AF1152" i="13034"/>
  <c r="AE1152" i="13034"/>
  <c r="AC1152" i="13034"/>
  <c r="AA1152" i="13034"/>
  <c r="AF1151" i="13034"/>
  <c r="AE1151" i="13034"/>
  <c r="AC1151" i="13034"/>
  <c r="AA1151" i="13034"/>
  <c r="AF1150" i="13034"/>
  <c r="AE1150" i="13034"/>
  <c r="AC1150" i="13034"/>
  <c r="AA1150" i="13034"/>
  <c r="AF1149" i="13034"/>
  <c r="AE1149" i="13034"/>
  <c r="AC1149" i="13034"/>
  <c r="AF1148" i="13034"/>
  <c r="AE1148" i="13034"/>
  <c r="AC1148" i="13034"/>
  <c r="AA1148" i="13034"/>
  <c r="AF1147" i="13034"/>
  <c r="AE1147" i="13034"/>
  <c r="AC1147" i="13034"/>
  <c r="AA1147" i="13034"/>
  <c r="AF1146" i="13034"/>
  <c r="AE1146" i="13034"/>
  <c r="AC1146" i="13034"/>
  <c r="AA1146" i="13034"/>
  <c r="AF1145" i="13034"/>
  <c r="AE1145" i="13034"/>
  <c r="AC1145" i="13034"/>
  <c r="AV1144" i="13034"/>
  <c r="AT1144" i="13034"/>
  <c r="AR1144" i="13034"/>
  <c r="AP1144" i="13034"/>
  <c r="AN1144" i="13034"/>
  <c r="AL1144" i="13034"/>
  <c r="AJ1144" i="13034"/>
  <c r="AH1144" i="13034"/>
  <c r="AF1144" i="13034"/>
  <c r="AE1144" i="13034"/>
  <c r="AC1144" i="13034"/>
  <c r="AA1144" i="13034"/>
  <c r="Z1144" i="13034"/>
  <c r="AV1143" i="13034"/>
  <c r="AT1143" i="13034"/>
  <c r="AR1143" i="13034"/>
  <c r="AP1143" i="13034"/>
  <c r="AN1143" i="13034"/>
  <c r="AL1143" i="13034"/>
  <c r="AJ1143" i="13034"/>
  <c r="AH1143" i="13034"/>
  <c r="AF1143" i="13034"/>
  <c r="AE1143" i="13034"/>
  <c r="AC1143" i="13034"/>
  <c r="AA1143" i="13034"/>
  <c r="Z1143" i="13034"/>
  <c r="AN1142" i="13034"/>
  <c r="AL1142" i="13034"/>
  <c r="AJ1142" i="13034"/>
  <c r="AH1142" i="13034"/>
  <c r="AC1142" i="13034"/>
  <c r="AT1141" i="13034"/>
  <c r="AR1141" i="13034"/>
  <c r="AP1141" i="13034"/>
  <c r="AJ1141" i="13034"/>
  <c r="AH1141" i="13034"/>
  <c r="AF1141" i="13034"/>
  <c r="AE1141" i="13034"/>
  <c r="AC1141" i="13034"/>
  <c r="AA1141" i="13034"/>
  <c r="Z1141" i="13034"/>
  <c r="AT1140" i="13034"/>
  <c r="AR1140" i="13034"/>
  <c r="AP1140" i="13034"/>
  <c r="AJ1140" i="13034"/>
  <c r="AH1140" i="13034"/>
  <c r="AC1140" i="13034"/>
  <c r="AA1140" i="13034"/>
  <c r="Z1140" i="13034"/>
  <c r="AV1139" i="13034"/>
  <c r="AT1139" i="13034"/>
  <c r="AR1139" i="13034"/>
  <c r="AP1139" i="13034"/>
  <c r="AN1139" i="13034"/>
  <c r="AL1139" i="13034"/>
  <c r="AJ1139" i="13034"/>
  <c r="AH1139" i="13034"/>
  <c r="AF1139" i="13034"/>
  <c r="AC1139" i="13034"/>
  <c r="AA1139" i="13034"/>
  <c r="AV1138" i="13034"/>
  <c r="AT1138" i="13034"/>
  <c r="AR1138" i="13034"/>
  <c r="AP1138" i="13034"/>
  <c r="AN1138" i="13034"/>
  <c r="AL1138" i="13034"/>
  <c r="AJ1138" i="13034"/>
  <c r="AH1138" i="13034"/>
  <c r="AC1138" i="13034"/>
  <c r="AV1137" i="13034"/>
  <c r="AT1137" i="13034"/>
  <c r="AR1137" i="13034"/>
  <c r="AP1137" i="13034"/>
  <c r="AN1137" i="13034"/>
  <c r="AL1137" i="13034"/>
  <c r="AJ1137" i="13034"/>
  <c r="AH1137" i="13034"/>
  <c r="AC1137" i="13034"/>
  <c r="AV1136" i="13034"/>
  <c r="AT1136" i="13034"/>
  <c r="AR1136" i="13034"/>
  <c r="AP1136" i="13034"/>
  <c r="AN1136" i="13034"/>
  <c r="AL1136" i="13034"/>
  <c r="AJ1136" i="13034"/>
  <c r="AH1136" i="13034"/>
  <c r="AC1136" i="13034"/>
  <c r="AV1135" i="13034"/>
  <c r="AT1135" i="13034"/>
  <c r="AR1135" i="13034"/>
  <c r="AP1135" i="13034"/>
  <c r="AN1135" i="13034"/>
  <c r="AL1135" i="13034"/>
  <c r="AJ1135" i="13034"/>
  <c r="AH1135" i="13034"/>
  <c r="AC1135" i="13034"/>
  <c r="AC1134" i="13034"/>
  <c r="AV1133" i="13034"/>
  <c r="AT1133" i="13034"/>
  <c r="AR1133" i="13034"/>
  <c r="AP1133" i="13034"/>
  <c r="AN1133" i="13034"/>
  <c r="AL1133" i="13034"/>
  <c r="AJ1133" i="13034"/>
  <c r="AH1133" i="13034"/>
  <c r="AC1133" i="13034"/>
  <c r="AV1132" i="13034"/>
  <c r="AT1132" i="13034"/>
  <c r="AR1132" i="13034"/>
  <c r="AP1132" i="13034"/>
  <c r="AN1132" i="13034"/>
  <c r="AL1132" i="13034"/>
  <c r="AJ1132" i="13034"/>
  <c r="AH1132" i="13034"/>
  <c r="AC1132" i="13034"/>
  <c r="AC1131" i="13034"/>
  <c r="AF1130" i="13034"/>
  <c r="AE1130" i="13034"/>
  <c r="AC1130" i="13034"/>
  <c r="AF1129" i="13034"/>
  <c r="AE1129" i="13034"/>
  <c r="AC1129" i="13034"/>
  <c r="AF1128" i="13034"/>
  <c r="AE1128" i="13034"/>
  <c r="AC1128" i="13034"/>
  <c r="AF1127" i="13034"/>
  <c r="AE1127" i="13034"/>
  <c r="AC1127" i="13034"/>
  <c r="AF1126" i="13034"/>
  <c r="AE1126" i="13034"/>
  <c r="AC1126" i="13034"/>
  <c r="AF1125" i="13034"/>
  <c r="AE1125" i="13034"/>
  <c r="AC1125" i="13034"/>
  <c r="AF1124" i="13034"/>
  <c r="AE1124" i="13034"/>
  <c r="AC1124" i="13034"/>
  <c r="AF1123" i="13034"/>
  <c r="AE1123" i="13034"/>
  <c r="AC1123" i="13034"/>
  <c r="AV1122" i="13034"/>
  <c r="AT1122" i="13034"/>
  <c r="AR1122" i="13034"/>
  <c r="AP1122" i="13034"/>
  <c r="AN1122" i="13034"/>
  <c r="AL1122" i="13034"/>
  <c r="AJ1122" i="13034"/>
  <c r="AH1122" i="13034"/>
  <c r="AF1122" i="13034"/>
  <c r="AE1122" i="13034"/>
  <c r="AC1122" i="13034"/>
  <c r="AA1122" i="13034"/>
  <c r="Z1122" i="13034"/>
  <c r="AV1121" i="13034"/>
  <c r="AT1121" i="13034"/>
  <c r="AR1121" i="13034"/>
  <c r="AP1121" i="13034"/>
  <c r="AN1121" i="13034"/>
  <c r="AL1121" i="13034"/>
  <c r="AJ1121" i="13034"/>
  <c r="AH1121" i="13034"/>
  <c r="AF1121" i="13034"/>
  <c r="AE1121" i="13034"/>
  <c r="AC1121" i="13034"/>
  <c r="AA1121" i="13034"/>
  <c r="Z1121" i="13034"/>
  <c r="AN1120" i="13034"/>
  <c r="AL1120" i="13034"/>
  <c r="AJ1120" i="13034"/>
  <c r="AH1120" i="13034"/>
  <c r="AC1120" i="13034"/>
  <c r="AT1119" i="13034"/>
  <c r="AR1119" i="13034"/>
  <c r="AP1119" i="13034"/>
  <c r="AJ1119" i="13034"/>
  <c r="AH1119" i="13034"/>
  <c r="AF1119" i="13034"/>
  <c r="AE1119" i="13034"/>
  <c r="AC1119" i="13034"/>
  <c r="AA1119" i="13034"/>
  <c r="Z1119" i="13034"/>
  <c r="AT1118" i="13034"/>
  <c r="AR1118" i="13034"/>
  <c r="AP1118" i="13034"/>
  <c r="AJ1118" i="13034"/>
  <c r="AH1118" i="13034"/>
  <c r="AC1118" i="13034"/>
  <c r="AA1118" i="13034"/>
  <c r="Z1118" i="13034"/>
  <c r="AV1117" i="13034"/>
  <c r="AT1117" i="13034"/>
  <c r="AR1117" i="13034"/>
  <c r="AP1117" i="13034"/>
  <c r="AN1117" i="13034"/>
  <c r="AL1117" i="13034"/>
  <c r="AJ1117" i="13034"/>
  <c r="AH1117" i="13034"/>
  <c r="AF1117" i="13034"/>
  <c r="AC1117" i="13034"/>
  <c r="AA1117" i="13034"/>
  <c r="AV1116" i="13034"/>
  <c r="AT1116" i="13034"/>
  <c r="AR1116" i="13034"/>
  <c r="AP1116" i="13034"/>
  <c r="AN1116" i="13034"/>
  <c r="AL1116" i="13034"/>
  <c r="AJ1116" i="13034"/>
  <c r="AH1116" i="13034"/>
  <c r="AC1116" i="13034"/>
  <c r="AV1115" i="13034"/>
  <c r="AT1115" i="13034"/>
  <c r="AR1115" i="13034"/>
  <c r="AP1115" i="13034"/>
  <c r="AN1115" i="13034"/>
  <c r="AL1115" i="13034"/>
  <c r="AJ1115" i="13034"/>
  <c r="AH1115" i="13034"/>
  <c r="AC1115" i="13034"/>
  <c r="AV1114" i="13034"/>
  <c r="AT1114" i="13034"/>
  <c r="AR1114" i="13034"/>
  <c r="AP1114" i="13034"/>
  <c r="AN1114" i="13034"/>
  <c r="AL1114" i="13034"/>
  <c r="AJ1114" i="13034"/>
  <c r="AH1114" i="13034"/>
  <c r="AC1114" i="13034"/>
  <c r="AV1113" i="13034"/>
  <c r="AT1113" i="13034"/>
  <c r="AR1113" i="13034"/>
  <c r="AP1113" i="13034"/>
  <c r="AN1113" i="13034"/>
  <c r="AL1113" i="13034"/>
  <c r="AJ1113" i="13034"/>
  <c r="AH1113" i="13034"/>
  <c r="AC1113" i="13034"/>
  <c r="AC1112" i="13034"/>
  <c r="AV1111" i="13034"/>
  <c r="AT1111" i="13034"/>
  <c r="AR1111" i="13034"/>
  <c r="AP1111" i="13034"/>
  <c r="AN1111" i="13034"/>
  <c r="AL1111" i="13034"/>
  <c r="AJ1111" i="13034"/>
  <c r="AH1111" i="13034"/>
  <c r="AC1111" i="13034"/>
  <c r="AV1110" i="13034"/>
  <c r="AT1110" i="13034"/>
  <c r="AR1110" i="13034"/>
  <c r="AP1110" i="13034"/>
  <c r="AN1110" i="13034"/>
  <c r="AL1110" i="13034"/>
  <c r="AJ1110" i="13034"/>
  <c r="AH1110" i="13034"/>
  <c r="AC1110" i="13034"/>
  <c r="AC1109" i="13034"/>
  <c r="AF1108" i="13034"/>
  <c r="AE1108" i="13034"/>
  <c r="AC1108" i="13034"/>
  <c r="AF1107" i="13034"/>
  <c r="AE1107" i="13034"/>
  <c r="AC1107" i="13034"/>
  <c r="AF1106" i="13034"/>
  <c r="AE1106" i="13034"/>
  <c r="AC1106" i="13034"/>
  <c r="AF1105" i="13034"/>
  <c r="AE1105" i="13034"/>
  <c r="AC1105" i="13034"/>
  <c r="AF1104" i="13034"/>
  <c r="AE1104" i="13034"/>
  <c r="AC1104" i="13034"/>
  <c r="AF1103" i="13034"/>
  <c r="AE1103" i="13034"/>
  <c r="AC1103" i="13034"/>
  <c r="AF1102" i="13034"/>
  <c r="AE1102" i="13034"/>
  <c r="AC1102" i="13034"/>
  <c r="AF1101" i="13034"/>
  <c r="AE1101" i="13034"/>
  <c r="AC1101" i="13034"/>
  <c r="AV1100" i="13034"/>
  <c r="AT1100" i="13034"/>
  <c r="AR1100" i="13034"/>
  <c r="AP1100" i="13034"/>
  <c r="AN1100" i="13034"/>
  <c r="AL1100" i="13034"/>
  <c r="AJ1100" i="13034"/>
  <c r="AH1100" i="13034"/>
  <c r="AF1100" i="13034"/>
  <c r="AE1100" i="13034"/>
  <c r="AC1100" i="13034"/>
  <c r="AA1100" i="13034"/>
  <c r="Z1100" i="13034"/>
  <c r="AV1099" i="13034"/>
  <c r="AT1099" i="13034"/>
  <c r="AR1099" i="13034"/>
  <c r="AP1099" i="13034"/>
  <c r="AN1099" i="13034"/>
  <c r="AL1099" i="13034"/>
  <c r="AJ1099" i="13034"/>
  <c r="AH1099" i="13034"/>
  <c r="AF1099" i="13034"/>
  <c r="AE1099" i="13034"/>
  <c r="AC1099" i="13034"/>
  <c r="AA1099" i="13034"/>
  <c r="Z1099" i="13034"/>
  <c r="AN1098" i="13034"/>
  <c r="AL1098" i="13034"/>
  <c r="AJ1098" i="13034"/>
  <c r="AH1098" i="13034"/>
  <c r="AC1098" i="13034"/>
  <c r="AT1097" i="13034"/>
  <c r="AR1097" i="13034"/>
  <c r="AP1097" i="13034"/>
  <c r="AJ1097" i="13034"/>
  <c r="AH1097" i="13034"/>
  <c r="AF1097" i="13034"/>
  <c r="AE1097" i="13034"/>
  <c r="AC1097" i="13034"/>
  <c r="AA1097" i="13034"/>
  <c r="Z1097" i="13034"/>
  <c r="AT1096" i="13034"/>
  <c r="AR1096" i="13034"/>
  <c r="AP1096" i="13034"/>
  <c r="AJ1096" i="13034"/>
  <c r="AH1096" i="13034"/>
  <c r="AC1096" i="13034"/>
  <c r="AA1096" i="13034"/>
  <c r="Z1096" i="13034"/>
  <c r="AV1095" i="13034"/>
  <c r="AT1095" i="13034"/>
  <c r="AR1095" i="13034"/>
  <c r="AP1095" i="13034"/>
  <c r="AN1095" i="13034"/>
  <c r="AL1095" i="13034"/>
  <c r="AJ1095" i="13034"/>
  <c r="AH1095" i="13034"/>
  <c r="AF1095" i="13034"/>
  <c r="AC1095" i="13034"/>
  <c r="AA1095" i="13034"/>
  <c r="AV1094" i="13034"/>
  <c r="AT1094" i="13034"/>
  <c r="AR1094" i="13034"/>
  <c r="AP1094" i="13034"/>
  <c r="AN1094" i="13034"/>
  <c r="AL1094" i="13034"/>
  <c r="AJ1094" i="13034"/>
  <c r="AH1094" i="13034"/>
  <c r="AC1094" i="13034"/>
  <c r="AV1093" i="13034"/>
  <c r="AT1093" i="13034"/>
  <c r="AR1093" i="13034"/>
  <c r="AP1093" i="13034"/>
  <c r="AN1093" i="13034"/>
  <c r="AL1093" i="13034"/>
  <c r="AJ1093" i="13034"/>
  <c r="AH1093" i="13034"/>
  <c r="AC1093" i="13034"/>
  <c r="AV1092" i="13034"/>
  <c r="AT1092" i="13034"/>
  <c r="AR1092" i="13034"/>
  <c r="AP1092" i="13034"/>
  <c r="AN1092" i="13034"/>
  <c r="AL1092" i="13034"/>
  <c r="AJ1092" i="13034"/>
  <c r="AH1092" i="13034"/>
  <c r="AC1092" i="13034"/>
  <c r="AV1091" i="13034"/>
  <c r="AT1091" i="13034"/>
  <c r="AR1091" i="13034"/>
  <c r="AP1091" i="13034"/>
  <c r="AN1091" i="13034"/>
  <c r="AL1091" i="13034"/>
  <c r="AJ1091" i="13034"/>
  <c r="AH1091" i="13034"/>
  <c r="AC1091" i="13034"/>
  <c r="AC1090" i="13034"/>
  <c r="AV1089" i="13034"/>
  <c r="AT1089" i="13034"/>
  <c r="AR1089" i="13034"/>
  <c r="AP1089" i="13034"/>
  <c r="AN1089" i="13034"/>
  <c r="AL1089" i="13034"/>
  <c r="AJ1089" i="13034"/>
  <c r="AH1089" i="13034"/>
  <c r="AC1089" i="13034"/>
  <c r="AV1088" i="13034"/>
  <c r="AT1088" i="13034"/>
  <c r="AR1088" i="13034"/>
  <c r="AP1088" i="13034"/>
  <c r="AN1088" i="13034"/>
  <c r="AL1088" i="13034"/>
  <c r="AJ1088" i="13034"/>
  <c r="AH1088" i="13034"/>
  <c r="AC1088" i="13034"/>
  <c r="AC1087" i="13034"/>
  <c r="AF1086" i="13034"/>
  <c r="AE1086" i="13034"/>
  <c r="AC1086" i="13034"/>
  <c r="AA1086" i="13034"/>
  <c r="AF1085" i="13034"/>
  <c r="AE1085" i="13034"/>
  <c r="AC1085" i="13034"/>
  <c r="AA1085" i="13034"/>
  <c r="AF1084" i="13034"/>
  <c r="AE1084" i="13034"/>
  <c r="AC1084" i="13034"/>
  <c r="AA1084" i="13034"/>
  <c r="AF1083" i="13034"/>
  <c r="AE1083" i="13034"/>
  <c r="AC1083" i="13034"/>
  <c r="AA1083" i="13034"/>
  <c r="AF1082" i="13034"/>
  <c r="AE1082" i="13034"/>
  <c r="AC1082" i="13034"/>
  <c r="AA1082" i="13034"/>
  <c r="AF1081" i="13034"/>
  <c r="AE1081" i="13034"/>
  <c r="AC1081" i="13034"/>
  <c r="AA1081" i="13034"/>
  <c r="AF1080" i="13034"/>
  <c r="AE1080" i="13034"/>
  <c r="AC1080" i="13034"/>
  <c r="AA1080" i="13034"/>
  <c r="AF1079" i="13034"/>
  <c r="AE1079" i="13034"/>
  <c r="AC1079" i="13034"/>
  <c r="AA1079" i="13034"/>
  <c r="AV1078" i="13034"/>
  <c r="AT1078" i="13034"/>
  <c r="AR1078" i="13034"/>
  <c r="AP1078" i="13034"/>
  <c r="AN1078" i="13034"/>
  <c r="AL1078" i="13034"/>
  <c r="AJ1078" i="13034"/>
  <c r="AH1078" i="13034"/>
  <c r="AF1078" i="13034"/>
  <c r="AE1078" i="13034"/>
  <c r="AC1078" i="13034"/>
  <c r="AA1078" i="13034"/>
  <c r="Z1078" i="13034"/>
  <c r="AV1077" i="13034"/>
  <c r="AT1077" i="13034"/>
  <c r="AR1077" i="13034"/>
  <c r="AP1077" i="13034"/>
  <c r="AN1077" i="13034"/>
  <c r="AL1077" i="13034"/>
  <c r="AJ1077" i="13034"/>
  <c r="AH1077" i="13034"/>
  <c r="AF1077" i="13034"/>
  <c r="AE1077" i="13034"/>
  <c r="AC1077" i="13034"/>
  <c r="AA1077" i="13034"/>
  <c r="Z1077" i="13034"/>
  <c r="AN1076" i="13034"/>
  <c r="AL1076" i="13034"/>
  <c r="AJ1076" i="13034"/>
  <c r="AH1076" i="13034"/>
  <c r="AC1076" i="13034"/>
  <c r="AT1075" i="13034"/>
  <c r="AR1075" i="13034"/>
  <c r="AP1075" i="13034"/>
  <c r="AJ1075" i="13034"/>
  <c r="AH1075" i="13034"/>
  <c r="AF1075" i="13034"/>
  <c r="AE1075" i="13034"/>
  <c r="AC1075" i="13034"/>
  <c r="AA1075" i="13034"/>
  <c r="Z1075" i="13034"/>
  <c r="AT1074" i="13034"/>
  <c r="AR1074" i="13034"/>
  <c r="AP1074" i="13034"/>
  <c r="AJ1074" i="13034"/>
  <c r="AH1074" i="13034"/>
  <c r="AC1074" i="13034"/>
  <c r="AA1074" i="13034"/>
  <c r="Z1074" i="13034"/>
  <c r="AV1073" i="13034"/>
  <c r="AT1073" i="13034"/>
  <c r="AR1073" i="13034"/>
  <c r="AP1073" i="13034"/>
  <c r="AN1073" i="13034"/>
  <c r="AL1073" i="13034"/>
  <c r="AJ1073" i="13034"/>
  <c r="AH1073" i="13034"/>
  <c r="AC1073" i="13034"/>
  <c r="AV1072" i="13034"/>
  <c r="AT1072" i="13034"/>
  <c r="AR1072" i="13034"/>
  <c r="AP1072" i="13034"/>
  <c r="AN1072" i="13034"/>
  <c r="AL1072" i="13034"/>
  <c r="AJ1072" i="13034"/>
  <c r="AH1072" i="13034"/>
  <c r="AC1072" i="13034"/>
  <c r="AV1071" i="13034"/>
  <c r="AT1071" i="13034"/>
  <c r="AR1071" i="13034"/>
  <c r="AP1071" i="13034"/>
  <c r="AN1071" i="13034"/>
  <c r="AL1071" i="13034"/>
  <c r="AJ1071" i="13034"/>
  <c r="AH1071" i="13034"/>
  <c r="AC1071" i="13034"/>
  <c r="AV1070" i="13034"/>
  <c r="AT1070" i="13034"/>
  <c r="AR1070" i="13034"/>
  <c r="AP1070" i="13034"/>
  <c r="AN1070" i="13034"/>
  <c r="AL1070" i="13034"/>
  <c r="AJ1070" i="13034"/>
  <c r="AH1070" i="13034"/>
  <c r="AC1070" i="13034"/>
  <c r="AV1069" i="13034"/>
  <c r="AT1069" i="13034"/>
  <c r="AR1069" i="13034"/>
  <c r="AP1069" i="13034"/>
  <c r="AN1069" i="13034"/>
  <c r="AL1069" i="13034"/>
  <c r="AJ1069" i="13034"/>
  <c r="AH1069" i="13034"/>
  <c r="AC1069" i="13034"/>
  <c r="AC1068" i="13034"/>
  <c r="AV1067" i="13034"/>
  <c r="AT1067" i="13034"/>
  <c r="AR1067" i="13034"/>
  <c r="AP1067" i="13034"/>
  <c r="AN1067" i="13034"/>
  <c r="AL1067" i="13034"/>
  <c r="AJ1067" i="13034"/>
  <c r="AH1067" i="13034"/>
  <c r="AC1067" i="13034"/>
  <c r="AV1066" i="13034"/>
  <c r="AT1066" i="13034"/>
  <c r="AR1066" i="13034"/>
  <c r="AP1066" i="13034"/>
  <c r="AN1066" i="13034"/>
  <c r="AL1066" i="13034"/>
  <c r="AJ1066" i="13034"/>
  <c r="AH1066" i="13034"/>
  <c r="AC1066" i="13034"/>
  <c r="AC1065" i="13034"/>
  <c r="AF1064" i="13034"/>
  <c r="AE1064" i="13034"/>
  <c r="AC1064" i="13034"/>
  <c r="AF1063" i="13034"/>
  <c r="AE1063" i="13034"/>
  <c r="AC1063" i="13034"/>
  <c r="AF1062" i="13034"/>
  <c r="AE1062" i="13034"/>
  <c r="AC1062" i="13034"/>
  <c r="AF1061" i="13034"/>
  <c r="AE1061" i="13034"/>
  <c r="AC1061" i="13034"/>
  <c r="AF1060" i="13034"/>
  <c r="AE1060" i="13034"/>
  <c r="AC1060" i="13034"/>
  <c r="AF1059" i="13034"/>
  <c r="AE1059" i="13034"/>
  <c r="AC1059" i="13034"/>
  <c r="AF1058" i="13034"/>
  <c r="AE1058" i="13034"/>
  <c r="AC1058" i="13034"/>
  <c r="AF1057" i="13034"/>
  <c r="AE1057" i="13034"/>
  <c r="AC1057" i="13034"/>
  <c r="AV1056" i="13034"/>
  <c r="AT1056" i="13034"/>
  <c r="AR1056" i="13034"/>
  <c r="AP1056" i="13034"/>
  <c r="AN1056" i="13034"/>
  <c r="AL1056" i="13034"/>
  <c r="AJ1056" i="13034"/>
  <c r="AH1056" i="13034"/>
  <c r="AF1056" i="13034"/>
  <c r="AE1056" i="13034"/>
  <c r="AC1056" i="13034"/>
  <c r="AA1056" i="13034"/>
  <c r="Z1056" i="13034"/>
  <c r="AV1055" i="13034"/>
  <c r="AT1055" i="13034"/>
  <c r="AR1055" i="13034"/>
  <c r="AP1055" i="13034"/>
  <c r="AN1055" i="13034"/>
  <c r="AL1055" i="13034"/>
  <c r="AJ1055" i="13034"/>
  <c r="AH1055" i="13034"/>
  <c r="AF1055" i="13034"/>
  <c r="AE1055" i="13034"/>
  <c r="AC1055" i="13034"/>
  <c r="AA1055" i="13034"/>
  <c r="Z1055" i="13034"/>
  <c r="AN1054" i="13034"/>
  <c r="AL1054" i="13034"/>
  <c r="AJ1054" i="13034"/>
  <c r="AH1054" i="13034"/>
  <c r="AC1054" i="13034"/>
  <c r="AV1053" i="13034"/>
  <c r="AT1053" i="13034"/>
  <c r="AR1053" i="13034"/>
  <c r="AP1053" i="13034"/>
  <c r="AN1053" i="13034"/>
  <c r="AL1053" i="13034"/>
  <c r="AJ1053" i="13034"/>
  <c r="AH1053" i="13034"/>
  <c r="AF1053" i="13034"/>
  <c r="AE1053" i="13034"/>
  <c r="AC1053" i="13034"/>
  <c r="AT1052" i="13034"/>
  <c r="AR1052" i="13034"/>
  <c r="AP1052" i="13034"/>
  <c r="AJ1052" i="13034"/>
  <c r="AH1052" i="13034"/>
  <c r="AF1052" i="13034"/>
  <c r="AE1052" i="13034"/>
  <c r="AC1052" i="13034"/>
  <c r="AA1052" i="13034"/>
  <c r="Z1052" i="13034"/>
  <c r="AT1051" i="13034"/>
  <c r="AR1051" i="13034"/>
  <c r="AP1051" i="13034"/>
  <c r="AJ1051" i="13034"/>
  <c r="AH1051" i="13034"/>
  <c r="AC1051" i="13034"/>
  <c r="AA1051" i="13034"/>
  <c r="Z1051" i="13034"/>
  <c r="AV1050" i="13034"/>
  <c r="AT1050" i="13034"/>
  <c r="AR1050" i="13034"/>
  <c r="AP1050" i="13034"/>
  <c r="AN1050" i="13034"/>
  <c r="AL1050" i="13034"/>
  <c r="AJ1050" i="13034"/>
  <c r="AH1050" i="13034"/>
  <c r="AF1050" i="13034"/>
  <c r="AC1050" i="13034"/>
  <c r="AA1050" i="13034"/>
  <c r="AC1049" i="13034"/>
  <c r="AV1048" i="13034"/>
  <c r="AT1048" i="13034"/>
  <c r="AR1048" i="13034"/>
  <c r="AP1048" i="13034"/>
  <c r="AN1048" i="13034"/>
  <c r="AL1048" i="13034"/>
  <c r="AJ1048" i="13034"/>
  <c r="AH1048" i="13034"/>
  <c r="AC1048" i="13034"/>
  <c r="AV1047" i="13034"/>
  <c r="AT1047" i="13034"/>
  <c r="AR1047" i="13034"/>
  <c r="AP1047" i="13034"/>
  <c r="AN1047" i="13034"/>
  <c r="AL1047" i="13034"/>
  <c r="AJ1047" i="13034"/>
  <c r="AH1047" i="13034"/>
  <c r="AC1047" i="13034"/>
  <c r="AV1046" i="13034"/>
  <c r="AT1046" i="13034"/>
  <c r="AR1046" i="13034"/>
  <c r="AP1046" i="13034"/>
  <c r="AN1046" i="13034"/>
  <c r="AL1046" i="13034"/>
  <c r="AJ1046" i="13034"/>
  <c r="AH1046" i="13034"/>
  <c r="AC1046" i="13034"/>
  <c r="AV1045" i="13034"/>
  <c r="AT1045" i="13034"/>
  <c r="AR1045" i="13034"/>
  <c r="AP1045" i="13034"/>
  <c r="AN1045" i="13034"/>
  <c r="AL1045" i="13034"/>
  <c r="AJ1045" i="13034"/>
  <c r="AH1045" i="13034"/>
  <c r="AC1045" i="13034"/>
  <c r="AC1044" i="13034"/>
  <c r="AV1043" i="13034"/>
  <c r="AT1043" i="13034"/>
  <c r="AR1043" i="13034"/>
  <c r="AP1043" i="13034"/>
  <c r="AN1043" i="13034"/>
  <c r="AL1043" i="13034"/>
  <c r="AJ1043" i="13034"/>
  <c r="AH1043" i="13034"/>
  <c r="AC1043" i="13034"/>
  <c r="AV1042" i="13034"/>
  <c r="AT1042" i="13034"/>
  <c r="AR1042" i="13034"/>
  <c r="AP1042" i="13034"/>
  <c r="AN1042" i="13034"/>
  <c r="AL1042" i="13034"/>
  <c r="AJ1042" i="13034"/>
  <c r="AH1042" i="13034"/>
  <c r="AC1042" i="13034"/>
  <c r="AC1041" i="13034"/>
  <c r="AF1040" i="13034"/>
  <c r="AE1040" i="13034"/>
  <c r="AC1040" i="13034"/>
  <c r="AF1039" i="13034"/>
  <c r="AE1039" i="13034"/>
  <c r="AC1039" i="13034"/>
  <c r="AF1038" i="13034"/>
  <c r="AE1038" i="13034"/>
  <c r="AC1038" i="13034"/>
  <c r="AF1037" i="13034"/>
  <c r="AE1037" i="13034"/>
  <c r="AC1037" i="13034"/>
  <c r="AF1036" i="13034"/>
  <c r="AE1036" i="13034"/>
  <c r="AC1036" i="13034"/>
  <c r="AF1035" i="13034"/>
  <c r="AE1035" i="13034"/>
  <c r="AC1035" i="13034"/>
  <c r="AF1034" i="13034"/>
  <c r="AE1034" i="13034"/>
  <c r="AC1034" i="13034"/>
  <c r="AF1033" i="13034"/>
  <c r="AE1033" i="13034"/>
  <c r="AC1033" i="13034"/>
  <c r="AV1032" i="13034"/>
  <c r="AT1032" i="13034"/>
  <c r="AR1032" i="13034"/>
  <c r="AP1032" i="13034"/>
  <c r="AN1032" i="13034"/>
  <c r="AL1032" i="13034"/>
  <c r="AJ1032" i="13034"/>
  <c r="AH1032" i="13034"/>
  <c r="AF1032" i="13034"/>
  <c r="AE1032" i="13034"/>
  <c r="AC1032" i="13034"/>
  <c r="AA1032" i="13034"/>
  <c r="Z1032" i="13034"/>
  <c r="AV1031" i="13034"/>
  <c r="AT1031" i="13034"/>
  <c r="AR1031" i="13034"/>
  <c r="AP1031" i="13034"/>
  <c r="AN1031" i="13034"/>
  <c r="AL1031" i="13034"/>
  <c r="AJ1031" i="13034"/>
  <c r="AH1031" i="13034"/>
  <c r="AF1031" i="13034"/>
  <c r="AE1031" i="13034"/>
  <c r="AC1031" i="13034"/>
  <c r="AA1031" i="13034"/>
  <c r="Z1031" i="13034"/>
  <c r="AN1030" i="13034"/>
  <c r="AL1030" i="13034"/>
  <c r="AJ1030" i="13034"/>
  <c r="AH1030" i="13034"/>
  <c r="AC1030" i="13034"/>
  <c r="AV1029" i="13034"/>
  <c r="AT1029" i="13034"/>
  <c r="AR1029" i="13034"/>
  <c r="AP1029" i="13034"/>
  <c r="AN1029" i="13034"/>
  <c r="AL1029" i="13034"/>
  <c r="AJ1029" i="13034"/>
  <c r="AH1029" i="13034"/>
  <c r="AF1029" i="13034"/>
  <c r="AE1029" i="13034"/>
  <c r="AC1029" i="13034"/>
  <c r="AT1028" i="13034"/>
  <c r="AR1028" i="13034"/>
  <c r="AP1028" i="13034"/>
  <c r="AJ1028" i="13034"/>
  <c r="AH1028" i="13034"/>
  <c r="AF1028" i="13034"/>
  <c r="AE1028" i="13034"/>
  <c r="AC1028" i="13034"/>
  <c r="AA1028" i="13034"/>
  <c r="Z1028" i="13034"/>
  <c r="AT1027" i="13034"/>
  <c r="AR1027" i="13034"/>
  <c r="AP1027" i="13034"/>
  <c r="AJ1027" i="13034"/>
  <c r="AH1027" i="13034"/>
  <c r="AC1027" i="13034"/>
  <c r="AA1027" i="13034"/>
  <c r="Z1027" i="13034"/>
  <c r="AV1026" i="13034"/>
  <c r="AT1026" i="13034"/>
  <c r="AR1026" i="13034"/>
  <c r="AP1026" i="13034"/>
  <c r="AN1026" i="13034"/>
  <c r="AL1026" i="13034"/>
  <c r="AJ1026" i="13034"/>
  <c r="AH1026" i="13034"/>
  <c r="AF1026" i="13034"/>
  <c r="AC1026" i="13034"/>
  <c r="AA1026" i="13034"/>
  <c r="AC1025" i="13034"/>
  <c r="AV1024" i="13034"/>
  <c r="AT1024" i="13034"/>
  <c r="AR1024" i="13034"/>
  <c r="AP1024" i="13034"/>
  <c r="AN1024" i="13034"/>
  <c r="AL1024" i="13034"/>
  <c r="AJ1024" i="13034"/>
  <c r="AH1024" i="13034"/>
  <c r="AC1024" i="13034"/>
  <c r="AV1023" i="13034"/>
  <c r="AT1023" i="13034"/>
  <c r="AR1023" i="13034"/>
  <c r="AP1023" i="13034"/>
  <c r="AN1023" i="13034"/>
  <c r="AL1023" i="13034"/>
  <c r="AJ1023" i="13034"/>
  <c r="AH1023" i="13034"/>
  <c r="AC1023" i="13034"/>
  <c r="AV1022" i="13034"/>
  <c r="AT1022" i="13034"/>
  <c r="AR1022" i="13034"/>
  <c r="AP1022" i="13034"/>
  <c r="AN1022" i="13034"/>
  <c r="AL1022" i="13034"/>
  <c r="AJ1022" i="13034"/>
  <c r="AH1022" i="13034"/>
  <c r="AC1022" i="13034"/>
  <c r="AV1021" i="13034"/>
  <c r="AT1021" i="13034"/>
  <c r="AR1021" i="13034"/>
  <c r="AP1021" i="13034"/>
  <c r="AN1021" i="13034"/>
  <c r="AL1021" i="13034"/>
  <c r="AJ1021" i="13034"/>
  <c r="AH1021" i="13034"/>
  <c r="AC1021" i="13034"/>
  <c r="AC1020" i="13034"/>
  <c r="AV1019" i="13034"/>
  <c r="AT1019" i="13034"/>
  <c r="AR1019" i="13034"/>
  <c r="AP1019" i="13034"/>
  <c r="AN1019" i="13034"/>
  <c r="AL1019" i="13034"/>
  <c r="AJ1019" i="13034"/>
  <c r="AH1019" i="13034"/>
  <c r="AC1019" i="13034"/>
  <c r="AV1018" i="13034"/>
  <c r="AT1018" i="13034"/>
  <c r="AR1018" i="13034"/>
  <c r="AP1018" i="13034"/>
  <c r="AN1018" i="13034"/>
  <c r="AL1018" i="13034"/>
  <c r="AJ1018" i="13034"/>
  <c r="AH1018" i="13034"/>
  <c r="AC1018" i="13034"/>
  <c r="AC1017" i="13034"/>
  <c r="AF1016" i="13034"/>
  <c r="AE1016" i="13034"/>
  <c r="AC1016" i="13034"/>
  <c r="AF1015" i="13034"/>
  <c r="AE1015" i="13034"/>
  <c r="AC1015" i="13034"/>
  <c r="AF1014" i="13034"/>
  <c r="AE1014" i="13034"/>
  <c r="AC1014" i="13034"/>
  <c r="AF1013" i="13034"/>
  <c r="AE1013" i="13034"/>
  <c r="AC1013" i="13034"/>
  <c r="AF1012" i="13034"/>
  <c r="AE1012" i="13034"/>
  <c r="AC1012" i="13034"/>
  <c r="AF1011" i="13034"/>
  <c r="AE1011" i="13034"/>
  <c r="AC1011" i="13034"/>
  <c r="AF1010" i="13034"/>
  <c r="AE1010" i="13034"/>
  <c r="AC1010" i="13034"/>
  <c r="AF1009" i="13034"/>
  <c r="AE1009" i="13034"/>
  <c r="AC1009" i="13034"/>
  <c r="AV1008" i="13034"/>
  <c r="AT1008" i="13034"/>
  <c r="AR1008" i="13034"/>
  <c r="AP1008" i="13034"/>
  <c r="AN1008" i="13034"/>
  <c r="AL1008" i="13034"/>
  <c r="AJ1008" i="13034"/>
  <c r="AH1008" i="13034"/>
  <c r="AF1008" i="13034"/>
  <c r="AE1008" i="13034"/>
  <c r="AC1008" i="13034"/>
  <c r="AA1008" i="13034"/>
  <c r="Z1008" i="13034"/>
  <c r="AV1007" i="13034"/>
  <c r="AT1007" i="13034"/>
  <c r="AR1007" i="13034"/>
  <c r="AP1007" i="13034"/>
  <c r="AN1007" i="13034"/>
  <c r="AL1007" i="13034"/>
  <c r="AJ1007" i="13034"/>
  <c r="AH1007" i="13034"/>
  <c r="AF1007" i="13034"/>
  <c r="AE1007" i="13034"/>
  <c r="AC1007" i="13034"/>
  <c r="AA1007" i="13034"/>
  <c r="Z1007" i="13034"/>
  <c r="AN1006" i="13034"/>
  <c r="AL1006" i="13034"/>
  <c r="AJ1006" i="13034"/>
  <c r="AH1006" i="13034"/>
  <c r="AC1006" i="13034"/>
  <c r="AV1005" i="13034"/>
  <c r="AT1005" i="13034"/>
  <c r="AR1005" i="13034"/>
  <c r="AP1005" i="13034"/>
  <c r="AN1005" i="13034"/>
  <c r="AL1005" i="13034"/>
  <c r="AJ1005" i="13034"/>
  <c r="AH1005" i="13034"/>
  <c r="AF1005" i="13034"/>
  <c r="AE1005" i="13034"/>
  <c r="AC1005" i="13034"/>
  <c r="AT1004" i="13034"/>
  <c r="AR1004" i="13034"/>
  <c r="AP1004" i="13034"/>
  <c r="AJ1004" i="13034"/>
  <c r="AH1004" i="13034"/>
  <c r="AF1004" i="13034"/>
  <c r="AE1004" i="13034"/>
  <c r="AC1004" i="13034"/>
  <c r="AA1004" i="13034"/>
  <c r="Z1004" i="13034"/>
  <c r="AT1003" i="13034"/>
  <c r="AR1003" i="13034"/>
  <c r="AP1003" i="13034"/>
  <c r="AJ1003" i="13034"/>
  <c r="AH1003" i="13034"/>
  <c r="AC1003" i="13034"/>
  <c r="AA1003" i="13034"/>
  <c r="Z1003" i="13034"/>
  <c r="AV1002" i="13034"/>
  <c r="AT1002" i="13034"/>
  <c r="AR1002" i="13034"/>
  <c r="AP1002" i="13034"/>
  <c r="AN1002" i="13034"/>
  <c r="AL1002" i="13034"/>
  <c r="AJ1002" i="13034"/>
  <c r="AH1002" i="13034"/>
  <c r="AF1002" i="13034"/>
  <c r="AC1002" i="13034"/>
  <c r="AA1002" i="13034"/>
  <c r="AC1001" i="13034"/>
  <c r="AV1000" i="13034"/>
  <c r="AT1000" i="13034"/>
  <c r="AR1000" i="13034"/>
  <c r="AP1000" i="13034"/>
  <c r="AN1000" i="13034"/>
  <c r="AL1000" i="13034"/>
  <c r="AJ1000" i="13034"/>
  <c r="AH1000" i="13034"/>
  <c r="AC1000" i="13034"/>
  <c r="AV999" i="13034"/>
  <c r="AT999" i="13034"/>
  <c r="AR999" i="13034"/>
  <c r="AP999" i="13034"/>
  <c r="AN999" i="13034"/>
  <c r="AL999" i="13034"/>
  <c r="AJ999" i="13034"/>
  <c r="AH999" i="13034"/>
  <c r="AC999" i="13034"/>
  <c r="AV998" i="13034"/>
  <c r="AT998" i="13034"/>
  <c r="AR998" i="13034"/>
  <c r="AP998" i="13034"/>
  <c r="AN998" i="13034"/>
  <c r="AL998" i="13034"/>
  <c r="AJ998" i="13034"/>
  <c r="AH998" i="13034"/>
  <c r="AC998" i="13034"/>
  <c r="AV997" i="13034"/>
  <c r="AT997" i="13034"/>
  <c r="AR997" i="13034"/>
  <c r="AP997" i="13034"/>
  <c r="AN997" i="13034"/>
  <c r="AL997" i="13034"/>
  <c r="AJ997" i="13034"/>
  <c r="AH997" i="13034"/>
  <c r="AC997" i="13034"/>
  <c r="AC996" i="13034"/>
  <c r="AV995" i="13034"/>
  <c r="AT995" i="13034"/>
  <c r="AR995" i="13034"/>
  <c r="AP995" i="13034"/>
  <c r="AN995" i="13034"/>
  <c r="AL995" i="13034"/>
  <c r="AJ995" i="13034"/>
  <c r="AH995" i="13034"/>
  <c r="AC995" i="13034"/>
  <c r="AV994" i="13034"/>
  <c r="AT994" i="13034"/>
  <c r="AR994" i="13034"/>
  <c r="AP994" i="13034"/>
  <c r="AN994" i="13034"/>
  <c r="AL994" i="13034"/>
  <c r="AJ994" i="13034"/>
  <c r="AH994" i="13034"/>
  <c r="AC994" i="13034"/>
  <c r="AC993" i="13034"/>
  <c r="AF992" i="13034"/>
  <c r="AE992" i="13034"/>
  <c r="AC992" i="13034"/>
  <c r="AF991" i="13034"/>
  <c r="AE991" i="13034"/>
  <c r="AC991" i="13034"/>
  <c r="AF990" i="13034"/>
  <c r="AE990" i="13034"/>
  <c r="AC990" i="13034"/>
  <c r="AF989" i="13034"/>
  <c r="AE989" i="13034"/>
  <c r="AC989" i="13034"/>
  <c r="AF988" i="13034"/>
  <c r="AE988" i="13034"/>
  <c r="AC988" i="13034"/>
  <c r="AF987" i="13034"/>
  <c r="AE987" i="13034"/>
  <c r="AC987" i="13034"/>
  <c r="AF986" i="13034"/>
  <c r="AE986" i="13034"/>
  <c r="AC986" i="13034"/>
  <c r="AF985" i="13034"/>
  <c r="AE985" i="13034"/>
  <c r="AC985" i="13034"/>
  <c r="AV984" i="13034"/>
  <c r="AT984" i="13034"/>
  <c r="AR984" i="13034"/>
  <c r="AP984" i="13034"/>
  <c r="AN984" i="13034"/>
  <c r="AL984" i="13034"/>
  <c r="AJ984" i="13034"/>
  <c r="AH984" i="13034"/>
  <c r="AF984" i="13034"/>
  <c r="AE984" i="13034"/>
  <c r="AC984" i="13034"/>
  <c r="AA984" i="13034"/>
  <c r="Z984" i="13034"/>
  <c r="AV983" i="13034"/>
  <c r="AT983" i="13034"/>
  <c r="AR983" i="13034"/>
  <c r="AP983" i="13034"/>
  <c r="AN983" i="13034"/>
  <c r="AL983" i="13034"/>
  <c r="AJ983" i="13034"/>
  <c r="AH983" i="13034"/>
  <c r="AF983" i="13034"/>
  <c r="AE983" i="13034"/>
  <c r="AC983" i="13034"/>
  <c r="AA983" i="13034"/>
  <c r="Z983" i="13034"/>
  <c r="AN982" i="13034"/>
  <c r="AL982" i="13034"/>
  <c r="AJ982" i="13034"/>
  <c r="AH982" i="13034"/>
  <c r="AC982" i="13034"/>
  <c r="AV981" i="13034"/>
  <c r="AT981" i="13034"/>
  <c r="AR981" i="13034"/>
  <c r="AP981" i="13034"/>
  <c r="AN981" i="13034"/>
  <c r="AL981" i="13034"/>
  <c r="AJ981" i="13034"/>
  <c r="AH981" i="13034"/>
  <c r="AF981" i="13034"/>
  <c r="AE981" i="13034"/>
  <c r="AC981" i="13034"/>
  <c r="AT980" i="13034"/>
  <c r="AR980" i="13034"/>
  <c r="AP980" i="13034"/>
  <c r="AJ980" i="13034"/>
  <c r="AH980" i="13034"/>
  <c r="AF980" i="13034"/>
  <c r="AE980" i="13034"/>
  <c r="AC980" i="13034"/>
  <c r="AA980" i="13034"/>
  <c r="Z980" i="13034"/>
  <c r="AT979" i="13034"/>
  <c r="AR979" i="13034"/>
  <c r="AP979" i="13034"/>
  <c r="AJ979" i="13034"/>
  <c r="AH979" i="13034"/>
  <c r="AC979" i="13034"/>
  <c r="AA979" i="13034"/>
  <c r="Z979" i="13034"/>
  <c r="AV978" i="13034"/>
  <c r="AT978" i="13034"/>
  <c r="AR978" i="13034"/>
  <c r="AP978" i="13034"/>
  <c r="AN978" i="13034"/>
  <c r="AL978" i="13034"/>
  <c r="AJ978" i="13034"/>
  <c r="AH978" i="13034"/>
  <c r="AC978" i="13034"/>
  <c r="AT977" i="13034"/>
  <c r="AP977" i="13034"/>
  <c r="AL977" i="13034"/>
  <c r="AH977" i="13034"/>
  <c r="AC977" i="13034"/>
  <c r="AV976" i="13034"/>
  <c r="AT976" i="13034"/>
  <c r="AR976" i="13034"/>
  <c r="AP976" i="13034"/>
  <c r="AN976" i="13034"/>
  <c r="AL976" i="13034"/>
  <c r="AJ976" i="13034"/>
  <c r="AH976" i="13034"/>
  <c r="AC976" i="13034"/>
  <c r="AV975" i="13034"/>
  <c r="AT975" i="13034"/>
  <c r="AR975" i="13034"/>
  <c r="AP975" i="13034"/>
  <c r="AN975" i="13034"/>
  <c r="AL975" i="13034"/>
  <c r="AJ975" i="13034"/>
  <c r="AH975" i="13034"/>
  <c r="AC975" i="13034"/>
  <c r="AV974" i="13034"/>
  <c r="AT974" i="13034"/>
  <c r="AR974" i="13034"/>
  <c r="AP974" i="13034"/>
  <c r="AN974" i="13034"/>
  <c r="AL974" i="13034"/>
  <c r="AJ974" i="13034"/>
  <c r="AH974" i="13034"/>
  <c r="AC974" i="13034"/>
  <c r="AV973" i="13034"/>
  <c r="AT973" i="13034"/>
  <c r="AR973" i="13034"/>
  <c r="AP973" i="13034"/>
  <c r="AN973" i="13034"/>
  <c r="AL973" i="13034"/>
  <c r="AJ973" i="13034"/>
  <c r="AH973" i="13034"/>
  <c r="AC973" i="13034"/>
  <c r="AT972" i="13034"/>
  <c r="AR972" i="13034"/>
  <c r="AL972" i="13034"/>
  <c r="AJ972" i="13034"/>
  <c r="AC972" i="13034"/>
  <c r="AV971" i="13034"/>
  <c r="AT971" i="13034"/>
  <c r="AR971" i="13034"/>
  <c r="AP971" i="13034"/>
  <c r="AN971" i="13034"/>
  <c r="AL971" i="13034"/>
  <c r="AJ971" i="13034"/>
  <c r="AH971" i="13034"/>
  <c r="AC971" i="13034"/>
  <c r="AV970" i="13034"/>
  <c r="AT970" i="13034"/>
  <c r="AR970" i="13034"/>
  <c r="AP970" i="13034"/>
  <c r="AN970" i="13034"/>
  <c r="AL970" i="13034"/>
  <c r="AJ970" i="13034"/>
  <c r="AH970" i="13034"/>
  <c r="AC970" i="13034"/>
  <c r="AT969" i="13034"/>
  <c r="AR969" i="13034"/>
  <c r="AL969" i="13034"/>
  <c r="AJ969" i="13034"/>
  <c r="AC969" i="13034"/>
  <c r="AR968" i="13034"/>
  <c r="AP968" i="13034"/>
  <c r="AJ968" i="13034"/>
  <c r="AH968" i="13034"/>
  <c r="AF968" i="13034"/>
  <c r="AE968" i="13034"/>
  <c r="AC968" i="13034"/>
  <c r="AR967" i="13034"/>
  <c r="AP967" i="13034"/>
  <c r="AJ967" i="13034"/>
  <c r="AH967" i="13034"/>
  <c r="AF967" i="13034"/>
  <c r="AE967" i="13034"/>
  <c r="AC967" i="13034"/>
  <c r="AR966" i="13034"/>
  <c r="AP966" i="13034"/>
  <c r="AJ966" i="13034"/>
  <c r="AH966" i="13034"/>
  <c r="AF966" i="13034"/>
  <c r="AE966" i="13034"/>
  <c r="AC966" i="13034"/>
  <c r="AR965" i="13034"/>
  <c r="AP965" i="13034"/>
  <c r="AJ965" i="13034"/>
  <c r="AH965" i="13034"/>
  <c r="AF965" i="13034"/>
  <c r="AE965" i="13034"/>
  <c r="AC965" i="13034"/>
  <c r="AF964" i="13034"/>
  <c r="AE964" i="13034"/>
  <c r="AC964" i="13034"/>
  <c r="AF963" i="13034"/>
  <c r="AE963" i="13034"/>
  <c r="AC963" i="13034"/>
  <c r="AF962" i="13034"/>
  <c r="AE962" i="13034"/>
  <c r="AC962" i="13034"/>
  <c r="AF961" i="13034"/>
  <c r="AE961" i="13034"/>
  <c r="AC961" i="13034"/>
  <c r="AV960" i="13034"/>
  <c r="AT960" i="13034"/>
  <c r="AR960" i="13034"/>
  <c r="AP960" i="13034"/>
  <c r="AN960" i="13034"/>
  <c r="AL960" i="13034"/>
  <c r="AJ960" i="13034"/>
  <c r="AH960" i="13034"/>
  <c r="AF960" i="13034"/>
  <c r="AE960" i="13034"/>
  <c r="AC960" i="13034"/>
  <c r="AA960" i="13034"/>
  <c r="Z960" i="13034"/>
  <c r="AV959" i="13034"/>
  <c r="AT959" i="13034"/>
  <c r="AR959" i="13034"/>
  <c r="AP959" i="13034"/>
  <c r="AN959" i="13034"/>
  <c r="AL959" i="13034"/>
  <c r="AJ959" i="13034"/>
  <c r="AH959" i="13034"/>
  <c r="AF959" i="13034"/>
  <c r="AE959" i="13034"/>
  <c r="AC959" i="13034"/>
  <c r="AA959" i="13034"/>
  <c r="Z959" i="13034"/>
  <c r="AN958" i="13034"/>
  <c r="AL958" i="13034"/>
  <c r="AJ958" i="13034"/>
  <c r="AH958" i="13034"/>
  <c r="AC958" i="13034"/>
  <c r="AT957" i="13034"/>
  <c r="AR957" i="13034"/>
  <c r="AP957" i="13034"/>
  <c r="AJ957" i="13034"/>
  <c r="AH957" i="13034"/>
  <c r="AF957" i="13034"/>
  <c r="AE957" i="13034"/>
  <c r="AC957" i="13034"/>
  <c r="AA957" i="13034"/>
  <c r="Z957" i="13034"/>
  <c r="AT956" i="13034"/>
  <c r="AR956" i="13034"/>
  <c r="AP956" i="13034"/>
  <c r="AC956" i="13034"/>
  <c r="AA956" i="13034"/>
  <c r="Z956" i="13034"/>
  <c r="AV955" i="13034"/>
  <c r="AT955" i="13034"/>
  <c r="AR955" i="13034"/>
  <c r="AP955" i="13034"/>
  <c r="AN955" i="13034"/>
  <c r="AL955" i="13034"/>
  <c r="AJ955" i="13034"/>
  <c r="AH955" i="13034"/>
  <c r="AF955" i="13034"/>
  <c r="AC955" i="13034"/>
  <c r="AA955" i="13034"/>
  <c r="AV954" i="13034"/>
  <c r="AT954" i="13034"/>
  <c r="AR954" i="13034"/>
  <c r="AP954" i="13034"/>
  <c r="AN954" i="13034"/>
  <c r="AL954" i="13034"/>
  <c r="AJ954" i="13034"/>
  <c r="AH954" i="13034"/>
  <c r="AC954" i="13034"/>
  <c r="AV953" i="13034"/>
  <c r="AT953" i="13034"/>
  <c r="AR953" i="13034"/>
  <c r="AP953" i="13034"/>
  <c r="AN953" i="13034"/>
  <c r="AL953" i="13034"/>
  <c r="AJ953" i="13034"/>
  <c r="AH953" i="13034"/>
  <c r="AC953" i="13034"/>
  <c r="AC952" i="13034"/>
  <c r="AV951" i="13034"/>
  <c r="AT951" i="13034"/>
  <c r="AR951" i="13034"/>
  <c r="AP951" i="13034"/>
  <c r="AN951" i="13034"/>
  <c r="AL951" i="13034"/>
  <c r="AJ951" i="13034"/>
  <c r="AH951" i="13034"/>
  <c r="AC951" i="13034"/>
  <c r="AV950" i="13034"/>
  <c r="AT950" i="13034"/>
  <c r="AR950" i="13034"/>
  <c r="AP950" i="13034"/>
  <c r="AN950" i="13034"/>
  <c r="AL950" i="13034"/>
  <c r="AJ950" i="13034"/>
  <c r="AH950" i="13034"/>
  <c r="AC950" i="13034"/>
  <c r="AF949" i="13034"/>
  <c r="AE949" i="13034"/>
  <c r="AC949" i="13034"/>
  <c r="AF948" i="13034"/>
  <c r="AE948" i="13034"/>
  <c r="AC948" i="13034"/>
  <c r="AF947" i="13034"/>
  <c r="AE947" i="13034"/>
  <c r="AC947" i="13034"/>
  <c r="AF946" i="13034"/>
  <c r="AE946" i="13034"/>
  <c r="AC946" i="13034"/>
  <c r="AC945" i="13034"/>
  <c r="AC944" i="13034"/>
  <c r="Z944" i="13034"/>
  <c r="AC943" i="13034"/>
  <c r="AV942" i="13034"/>
  <c r="AT942" i="13034"/>
  <c r="AR942" i="13034"/>
  <c r="AP942" i="13034"/>
  <c r="AN942" i="13034"/>
  <c r="AL942" i="13034"/>
  <c r="AJ942" i="13034"/>
  <c r="AH942" i="13034"/>
  <c r="AF942" i="13034"/>
  <c r="AE942" i="13034"/>
  <c r="AC942" i="13034"/>
  <c r="AA942" i="13034"/>
  <c r="Z942" i="13034"/>
  <c r="AV941" i="13034"/>
  <c r="AT941" i="13034"/>
  <c r="AR941" i="13034"/>
  <c r="AP941" i="13034"/>
  <c r="AN941" i="13034"/>
  <c r="AL941" i="13034"/>
  <c r="AJ941" i="13034"/>
  <c r="AH941" i="13034"/>
  <c r="AF941" i="13034"/>
  <c r="AE941" i="13034"/>
  <c r="AC941" i="13034"/>
  <c r="AA941" i="13034"/>
  <c r="Z941" i="13034"/>
  <c r="AN940" i="13034"/>
  <c r="AL940" i="13034"/>
  <c r="AJ940" i="13034"/>
  <c r="AH940" i="13034"/>
  <c r="AC940" i="13034"/>
  <c r="AT939" i="13034"/>
  <c r="AR939" i="13034"/>
  <c r="AP939" i="13034"/>
  <c r="AJ939" i="13034"/>
  <c r="AH939" i="13034"/>
  <c r="AF939" i="13034"/>
  <c r="AE939" i="13034"/>
  <c r="AC939" i="13034"/>
  <c r="AA939" i="13034"/>
  <c r="Z939" i="13034"/>
  <c r="AT938" i="13034"/>
  <c r="AR938" i="13034"/>
  <c r="AP938" i="13034"/>
  <c r="AJ938" i="13034"/>
  <c r="AH938" i="13034"/>
  <c r="AC938" i="13034"/>
  <c r="AA938" i="13034"/>
  <c r="Z938" i="13034"/>
  <c r="AV937" i="13034"/>
  <c r="AT937" i="13034"/>
  <c r="AR937" i="13034"/>
  <c r="AP937" i="13034"/>
  <c r="AN937" i="13034"/>
  <c r="AL937" i="13034"/>
  <c r="AJ937" i="13034"/>
  <c r="AH937" i="13034"/>
  <c r="AF937" i="13034"/>
  <c r="AC937" i="13034"/>
  <c r="AA937" i="13034"/>
  <c r="AV936" i="13034"/>
  <c r="AT936" i="13034"/>
  <c r="AR936" i="13034"/>
  <c r="AP936" i="13034"/>
  <c r="AN936" i="13034"/>
  <c r="AL936" i="13034"/>
  <c r="AJ936" i="13034"/>
  <c r="AH936" i="13034"/>
  <c r="AC936" i="13034"/>
  <c r="AV935" i="13034"/>
  <c r="AT935" i="13034"/>
  <c r="AR935" i="13034"/>
  <c r="AP935" i="13034"/>
  <c r="AN935" i="13034"/>
  <c r="AL935" i="13034"/>
  <c r="AJ935" i="13034"/>
  <c r="AH935" i="13034"/>
  <c r="AC935" i="13034"/>
  <c r="AC934" i="13034"/>
  <c r="AV933" i="13034"/>
  <c r="AT933" i="13034"/>
  <c r="AR933" i="13034"/>
  <c r="AP933" i="13034"/>
  <c r="AN933" i="13034"/>
  <c r="AL933" i="13034"/>
  <c r="AJ933" i="13034"/>
  <c r="AH933" i="13034"/>
  <c r="AC933" i="13034"/>
  <c r="AV932" i="13034"/>
  <c r="AT932" i="13034"/>
  <c r="AR932" i="13034"/>
  <c r="AP932" i="13034"/>
  <c r="AN932" i="13034"/>
  <c r="AL932" i="13034"/>
  <c r="AJ932" i="13034"/>
  <c r="AH932" i="13034"/>
  <c r="AC932" i="13034"/>
  <c r="AF931" i="13034"/>
  <c r="AE931" i="13034"/>
  <c r="AC931" i="13034"/>
  <c r="AF930" i="13034"/>
  <c r="AE930" i="13034"/>
  <c r="AC930" i="13034"/>
  <c r="AF929" i="13034"/>
  <c r="AE929" i="13034"/>
  <c r="AC929" i="13034"/>
  <c r="AF928" i="13034"/>
  <c r="AE928" i="13034"/>
  <c r="AC928" i="13034"/>
  <c r="AC927" i="13034"/>
  <c r="AC926" i="13034"/>
  <c r="Z926" i="13034"/>
  <c r="AC925" i="13034"/>
  <c r="AV924" i="13034"/>
  <c r="AT924" i="13034"/>
  <c r="AR924" i="13034"/>
  <c r="AP924" i="13034"/>
  <c r="AN924" i="13034"/>
  <c r="AL924" i="13034"/>
  <c r="AJ924" i="13034"/>
  <c r="AH924" i="13034"/>
  <c r="AF924" i="13034"/>
  <c r="AE924" i="13034"/>
  <c r="AC924" i="13034"/>
  <c r="AA924" i="13034"/>
  <c r="Z924" i="13034"/>
  <c r="AV923" i="13034"/>
  <c r="AT923" i="13034"/>
  <c r="AR923" i="13034"/>
  <c r="AP923" i="13034"/>
  <c r="AN923" i="13034"/>
  <c r="AL923" i="13034"/>
  <c r="AJ923" i="13034"/>
  <c r="AH923" i="13034"/>
  <c r="AF923" i="13034"/>
  <c r="AE923" i="13034"/>
  <c r="AC923" i="13034"/>
  <c r="AA923" i="13034"/>
  <c r="Z923" i="13034"/>
  <c r="AN922" i="13034"/>
  <c r="AL922" i="13034"/>
  <c r="AJ922" i="13034"/>
  <c r="AH922" i="13034"/>
  <c r="AC922" i="13034"/>
  <c r="AT921" i="13034"/>
  <c r="AR921" i="13034"/>
  <c r="AP921" i="13034"/>
  <c r="AJ921" i="13034"/>
  <c r="AH921" i="13034"/>
  <c r="AF921" i="13034"/>
  <c r="AE921" i="13034"/>
  <c r="AC921" i="13034"/>
  <c r="AA921" i="13034"/>
  <c r="Z921" i="13034"/>
  <c r="AT920" i="13034"/>
  <c r="AR920" i="13034"/>
  <c r="AP920" i="13034"/>
  <c r="AJ920" i="13034"/>
  <c r="AH920" i="13034"/>
  <c r="AC920" i="13034"/>
  <c r="AA920" i="13034"/>
  <c r="Z920" i="13034"/>
  <c r="AV919" i="13034"/>
  <c r="AT919" i="13034"/>
  <c r="AR919" i="13034"/>
  <c r="AP919" i="13034"/>
  <c r="AN919" i="13034"/>
  <c r="AL919" i="13034"/>
  <c r="AJ919" i="13034"/>
  <c r="AH919" i="13034"/>
  <c r="AF919" i="13034"/>
  <c r="AC919" i="13034"/>
  <c r="AA919" i="13034"/>
  <c r="AV918" i="13034"/>
  <c r="AT918" i="13034"/>
  <c r="AR918" i="13034"/>
  <c r="AP918" i="13034"/>
  <c r="AN918" i="13034"/>
  <c r="AL918" i="13034"/>
  <c r="AJ918" i="13034"/>
  <c r="AH918" i="13034"/>
  <c r="AC918" i="13034"/>
  <c r="AV917" i="13034"/>
  <c r="AT917" i="13034"/>
  <c r="AR917" i="13034"/>
  <c r="AP917" i="13034"/>
  <c r="AN917" i="13034"/>
  <c r="AL917" i="13034"/>
  <c r="AJ917" i="13034"/>
  <c r="AH917" i="13034"/>
  <c r="AC917" i="13034"/>
  <c r="AC916" i="13034"/>
  <c r="AV915" i="13034"/>
  <c r="AT915" i="13034"/>
  <c r="AR915" i="13034"/>
  <c r="AP915" i="13034"/>
  <c r="AN915" i="13034"/>
  <c r="AL915" i="13034"/>
  <c r="AJ915" i="13034"/>
  <c r="AH915" i="13034"/>
  <c r="AC915" i="13034"/>
  <c r="AV914" i="13034"/>
  <c r="AT914" i="13034"/>
  <c r="AR914" i="13034"/>
  <c r="AP914" i="13034"/>
  <c r="AN914" i="13034"/>
  <c r="AL914" i="13034"/>
  <c r="AJ914" i="13034"/>
  <c r="AH914" i="13034"/>
  <c r="AC914" i="13034"/>
  <c r="AF913" i="13034"/>
  <c r="AE913" i="13034"/>
  <c r="AC913" i="13034"/>
  <c r="AF912" i="13034"/>
  <c r="AE912" i="13034"/>
  <c r="AC912" i="13034"/>
  <c r="AF911" i="13034"/>
  <c r="AE911" i="13034"/>
  <c r="AC911" i="13034"/>
  <c r="AF910" i="13034"/>
  <c r="AE910" i="13034"/>
  <c r="AC910" i="13034"/>
  <c r="AC909" i="13034"/>
  <c r="AC908" i="13034"/>
  <c r="Z908" i="13034"/>
  <c r="AC907" i="13034"/>
  <c r="AV906" i="13034"/>
  <c r="AT906" i="13034"/>
  <c r="AR906" i="13034"/>
  <c r="AP906" i="13034"/>
  <c r="AN906" i="13034"/>
  <c r="AL906" i="13034"/>
  <c r="AJ906" i="13034"/>
  <c r="AH906" i="13034"/>
  <c r="AF906" i="13034"/>
  <c r="AE906" i="13034"/>
  <c r="AC906" i="13034"/>
  <c r="AA906" i="13034"/>
  <c r="Z906" i="13034"/>
  <c r="AV905" i="13034"/>
  <c r="AT905" i="13034"/>
  <c r="AR905" i="13034"/>
  <c r="AP905" i="13034"/>
  <c r="AN905" i="13034"/>
  <c r="AL905" i="13034"/>
  <c r="AJ905" i="13034"/>
  <c r="AH905" i="13034"/>
  <c r="AF905" i="13034"/>
  <c r="AE905" i="13034"/>
  <c r="AC905" i="13034"/>
  <c r="AA905" i="13034"/>
  <c r="Z905" i="13034"/>
  <c r="AN904" i="13034"/>
  <c r="AL904" i="13034"/>
  <c r="AJ904" i="13034"/>
  <c r="AH904" i="13034"/>
  <c r="AC904" i="13034"/>
  <c r="AT903" i="13034"/>
  <c r="AR903" i="13034"/>
  <c r="AP903" i="13034"/>
  <c r="AJ903" i="13034"/>
  <c r="AH903" i="13034"/>
  <c r="AF903" i="13034"/>
  <c r="AE903" i="13034"/>
  <c r="AC903" i="13034"/>
  <c r="AA903" i="13034"/>
  <c r="Z903" i="13034"/>
  <c r="AT902" i="13034"/>
  <c r="AR902" i="13034"/>
  <c r="AP902" i="13034"/>
  <c r="AJ902" i="13034"/>
  <c r="AH902" i="13034"/>
  <c r="AC902" i="13034"/>
  <c r="AA902" i="13034"/>
  <c r="Z902" i="13034"/>
  <c r="AT901" i="13034"/>
  <c r="AR901" i="13034"/>
  <c r="AP901" i="13034"/>
  <c r="AN901" i="13034"/>
  <c r="AL901" i="13034"/>
  <c r="AJ901" i="13034"/>
  <c r="AH901" i="13034"/>
  <c r="AC901" i="13034"/>
  <c r="AV900" i="13034"/>
  <c r="AT900" i="13034"/>
  <c r="AR900" i="13034"/>
  <c r="AP900" i="13034"/>
  <c r="AN900" i="13034"/>
  <c r="AL900" i="13034"/>
  <c r="AJ900" i="13034"/>
  <c r="AH900" i="13034"/>
  <c r="AC900" i="13034"/>
  <c r="AV899" i="13034"/>
  <c r="AT899" i="13034"/>
  <c r="AR899" i="13034"/>
  <c r="AP899" i="13034"/>
  <c r="AN899" i="13034"/>
  <c r="AL899" i="13034"/>
  <c r="AJ899" i="13034"/>
  <c r="AH899" i="13034"/>
  <c r="AC899" i="13034"/>
  <c r="AC898" i="13034"/>
  <c r="AV897" i="13034"/>
  <c r="AT897" i="13034"/>
  <c r="AR897" i="13034"/>
  <c r="AP897" i="13034"/>
  <c r="AN897" i="13034"/>
  <c r="AL897" i="13034"/>
  <c r="AJ897" i="13034"/>
  <c r="AH897" i="13034"/>
  <c r="AC897" i="13034"/>
  <c r="AV896" i="13034"/>
  <c r="AT896" i="13034"/>
  <c r="AR896" i="13034"/>
  <c r="AP896" i="13034"/>
  <c r="AN896" i="13034"/>
  <c r="AL896" i="13034"/>
  <c r="AJ896" i="13034"/>
  <c r="AH896" i="13034"/>
  <c r="AC896" i="13034"/>
  <c r="AF895" i="13034"/>
  <c r="AE895" i="13034"/>
  <c r="AC895" i="13034"/>
  <c r="AF894" i="13034"/>
  <c r="AE894" i="13034"/>
  <c r="AC894" i="13034"/>
  <c r="AF893" i="13034"/>
  <c r="AE893" i="13034"/>
  <c r="AC893" i="13034"/>
  <c r="AF892" i="13034"/>
  <c r="AE892" i="13034"/>
  <c r="AC892" i="13034"/>
  <c r="AC891" i="13034"/>
  <c r="AC890" i="13034"/>
  <c r="AC889" i="13034"/>
  <c r="AV888" i="13034"/>
  <c r="AT888" i="13034"/>
  <c r="AR888" i="13034"/>
  <c r="AP888" i="13034"/>
  <c r="AN888" i="13034"/>
  <c r="AL888" i="13034"/>
  <c r="AJ888" i="13034"/>
  <c r="AH888" i="13034"/>
  <c r="AF888" i="13034"/>
  <c r="AE888" i="13034"/>
  <c r="AC888" i="13034"/>
  <c r="AA888" i="13034"/>
  <c r="Z888" i="13034"/>
  <c r="AV887" i="13034"/>
  <c r="AT887" i="13034"/>
  <c r="AR887" i="13034"/>
  <c r="AP887" i="13034"/>
  <c r="AN887" i="13034"/>
  <c r="AL887" i="13034"/>
  <c r="AJ887" i="13034"/>
  <c r="AH887" i="13034"/>
  <c r="AF887" i="13034"/>
  <c r="AE887" i="13034"/>
  <c r="AC887" i="13034"/>
  <c r="AA887" i="13034"/>
  <c r="Z887" i="13034"/>
  <c r="AN886" i="13034"/>
  <c r="AL886" i="13034"/>
  <c r="AJ886" i="13034"/>
  <c r="AH886" i="13034"/>
  <c r="AC886" i="13034"/>
  <c r="AT885" i="13034"/>
  <c r="AR885" i="13034"/>
  <c r="AP885" i="13034"/>
  <c r="AJ885" i="13034"/>
  <c r="AH885" i="13034"/>
  <c r="AF885" i="13034"/>
  <c r="AE885" i="13034"/>
  <c r="AC885" i="13034"/>
  <c r="AA885" i="13034"/>
  <c r="Z885" i="13034"/>
  <c r="AT884" i="13034"/>
  <c r="AR884" i="13034"/>
  <c r="AP884" i="13034"/>
  <c r="AJ884" i="13034"/>
  <c r="AH884" i="13034"/>
  <c r="AC884" i="13034"/>
  <c r="AA884" i="13034"/>
  <c r="Z884" i="13034"/>
  <c r="AV883" i="13034"/>
  <c r="AT883" i="13034"/>
  <c r="AR883" i="13034"/>
  <c r="AP883" i="13034"/>
  <c r="AN883" i="13034"/>
  <c r="AL883" i="13034"/>
  <c r="AJ883" i="13034"/>
  <c r="AH883" i="13034"/>
  <c r="AF883" i="13034"/>
  <c r="AC883" i="13034"/>
  <c r="AA883" i="13034"/>
  <c r="AV882" i="13034"/>
  <c r="AT882" i="13034"/>
  <c r="AR882" i="13034"/>
  <c r="AP882" i="13034"/>
  <c r="AN882" i="13034"/>
  <c r="AL882" i="13034"/>
  <c r="AJ882" i="13034"/>
  <c r="AH882" i="13034"/>
  <c r="AC882" i="13034"/>
  <c r="AA882" i="13034"/>
  <c r="AV881" i="13034"/>
  <c r="AT881" i="13034"/>
  <c r="AR881" i="13034"/>
  <c r="AP881" i="13034"/>
  <c r="AN881" i="13034"/>
  <c r="AL881" i="13034"/>
  <c r="AJ881" i="13034"/>
  <c r="AH881" i="13034"/>
  <c r="AC881" i="13034"/>
  <c r="AA881" i="13034"/>
  <c r="AC880" i="13034"/>
  <c r="AV879" i="13034"/>
  <c r="AT879" i="13034"/>
  <c r="AR879" i="13034"/>
  <c r="AP879" i="13034"/>
  <c r="AN879" i="13034"/>
  <c r="AL879" i="13034"/>
  <c r="AJ879" i="13034"/>
  <c r="AH879" i="13034"/>
  <c r="AC879" i="13034"/>
  <c r="AV878" i="13034"/>
  <c r="AT878" i="13034"/>
  <c r="AR878" i="13034"/>
  <c r="AP878" i="13034"/>
  <c r="AN878" i="13034"/>
  <c r="AL878" i="13034"/>
  <c r="AJ878" i="13034"/>
  <c r="AH878" i="13034"/>
  <c r="AC878" i="13034"/>
  <c r="AF877" i="13034"/>
  <c r="AE877" i="13034"/>
  <c r="AC877" i="13034"/>
  <c r="AA877" i="13034"/>
  <c r="AF876" i="13034"/>
  <c r="AE876" i="13034"/>
  <c r="AC876" i="13034"/>
  <c r="AA876" i="13034"/>
  <c r="AF875" i="13034"/>
  <c r="AE875" i="13034"/>
  <c r="AC875" i="13034"/>
  <c r="AA875" i="13034"/>
  <c r="AF874" i="13034"/>
  <c r="AE874" i="13034"/>
  <c r="AC874" i="13034"/>
  <c r="AA874" i="13034"/>
  <c r="AC873" i="13034"/>
  <c r="AC872" i="13034"/>
  <c r="AC871" i="13034"/>
  <c r="Z871" i="13034"/>
  <c r="AC870" i="13034"/>
  <c r="AA870" i="13034"/>
  <c r="AV869" i="13034"/>
  <c r="AT869" i="13034"/>
  <c r="AR869" i="13034"/>
  <c r="AP869" i="13034"/>
  <c r="AN869" i="13034"/>
  <c r="AL869" i="13034"/>
  <c r="AJ869" i="13034"/>
  <c r="AH869" i="13034"/>
  <c r="AF869" i="13034"/>
  <c r="AE869" i="13034"/>
  <c r="AC869" i="13034"/>
  <c r="AA869" i="13034"/>
  <c r="Z869" i="13034"/>
  <c r="AV868" i="13034"/>
  <c r="AT868" i="13034"/>
  <c r="AR868" i="13034"/>
  <c r="AP868" i="13034"/>
  <c r="AN868" i="13034"/>
  <c r="AL868" i="13034"/>
  <c r="AJ868" i="13034"/>
  <c r="AH868" i="13034"/>
  <c r="AF868" i="13034"/>
  <c r="AE868" i="13034"/>
  <c r="AC868" i="13034"/>
  <c r="AA868" i="13034"/>
  <c r="Z868" i="13034"/>
  <c r="AN867" i="13034"/>
  <c r="AL867" i="13034"/>
  <c r="AJ867" i="13034"/>
  <c r="AH867" i="13034"/>
  <c r="AC867" i="13034"/>
  <c r="AT866" i="13034"/>
  <c r="AR866" i="13034"/>
  <c r="AP866" i="13034"/>
  <c r="AJ866" i="13034"/>
  <c r="AH866" i="13034"/>
  <c r="AF866" i="13034"/>
  <c r="AE866" i="13034"/>
  <c r="AC866" i="13034"/>
  <c r="AA866" i="13034"/>
  <c r="Z866" i="13034"/>
  <c r="AT865" i="13034"/>
  <c r="AR865" i="13034"/>
  <c r="AP865" i="13034"/>
  <c r="AJ865" i="13034"/>
  <c r="AH865" i="13034"/>
  <c r="AC865" i="13034"/>
  <c r="AA865" i="13034"/>
  <c r="Z865" i="13034"/>
  <c r="AV864" i="13034"/>
  <c r="AT864" i="13034"/>
  <c r="AR864" i="13034"/>
  <c r="AP864" i="13034"/>
  <c r="AN864" i="13034"/>
  <c r="AL864" i="13034"/>
  <c r="AJ864" i="13034"/>
  <c r="AH864" i="13034"/>
  <c r="AF864" i="13034"/>
  <c r="AC864" i="13034"/>
  <c r="AA864" i="13034"/>
  <c r="AV863" i="13034"/>
  <c r="AT863" i="13034"/>
  <c r="AR863" i="13034"/>
  <c r="AP863" i="13034"/>
  <c r="AN863" i="13034"/>
  <c r="AL863" i="13034"/>
  <c r="AJ863" i="13034"/>
  <c r="AH863" i="13034"/>
  <c r="AC863" i="13034"/>
  <c r="AV862" i="13034"/>
  <c r="AT862" i="13034"/>
  <c r="AR862" i="13034"/>
  <c r="AP862" i="13034"/>
  <c r="AN862" i="13034"/>
  <c r="AL862" i="13034"/>
  <c r="AJ862" i="13034"/>
  <c r="AH862" i="13034"/>
  <c r="AC862" i="13034"/>
  <c r="AC861" i="13034"/>
  <c r="AV860" i="13034"/>
  <c r="AT860" i="13034"/>
  <c r="AR860" i="13034"/>
  <c r="AP860" i="13034"/>
  <c r="AN860" i="13034"/>
  <c r="AL860" i="13034"/>
  <c r="AJ860" i="13034"/>
  <c r="AH860" i="13034"/>
  <c r="AC860" i="13034"/>
  <c r="AV859" i="13034"/>
  <c r="AT859" i="13034"/>
  <c r="AR859" i="13034"/>
  <c r="AP859" i="13034"/>
  <c r="AN859" i="13034"/>
  <c r="AL859" i="13034"/>
  <c r="AJ859" i="13034"/>
  <c r="AH859" i="13034"/>
  <c r="AC859" i="13034"/>
  <c r="AF858" i="13034"/>
  <c r="AE858" i="13034"/>
  <c r="AC858" i="13034"/>
  <c r="AF857" i="13034"/>
  <c r="AE857" i="13034"/>
  <c r="AC857" i="13034"/>
  <c r="AF856" i="13034"/>
  <c r="AE856" i="13034"/>
  <c r="AC856" i="13034"/>
  <c r="AF855" i="13034"/>
  <c r="AE855" i="13034"/>
  <c r="AC855" i="13034"/>
  <c r="AC854" i="13034"/>
  <c r="AC853" i="13034"/>
  <c r="AC852" i="13034"/>
  <c r="Z852" i="13034"/>
  <c r="AC851" i="13034"/>
  <c r="AV850" i="13034"/>
  <c r="AT850" i="13034"/>
  <c r="AR850" i="13034"/>
  <c r="AP850" i="13034"/>
  <c r="AN850" i="13034"/>
  <c r="AL850" i="13034"/>
  <c r="AJ850" i="13034"/>
  <c r="AH850" i="13034"/>
  <c r="AF850" i="13034"/>
  <c r="AE850" i="13034"/>
  <c r="AC850" i="13034"/>
  <c r="AA850" i="13034"/>
  <c r="Z850" i="13034"/>
  <c r="AV849" i="13034"/>
  <c r="AT849" i="13034"/>
  <c r="AR849" i="13034"/>
  <c r="AP849" i="13034"/>
  <c r="AN849" i="13034"/>
  <c r="AL849" i="13034"/>
  <c r="AJ849" i="13034"/>
  <c r="AH849" i="13034"/>
  <c r="AF849" i="13034"/>
  <c r="AE849" i="13034"/>
  <c r="AC849" i="13034"/>
  <c r="AA849" i="13034"/>
  <c r="Z849" i="13034"/>
  <c r="AN848" i="13034"/>
  <c r="AL848" i="13034"/>
  <c r="AJ848" i="13034"/>
  <c r="AH848" i="13034"/>
  <c r="AC848" i="13034"/>
  <c r="AT847" i="13034"/>
  <c r="AR847" i="13034"/>
  <c r="AP847" i="13034"/>
  <c r="AJ847" i="13034"/>
  <c r="AH847" i="13034"/>
  <c r="AF847" i="13034"/>
  <c r="AE847" i="13034"/>
  <c r="AC847" i="13034"/>
  <c r="AA847" i="13034"/>
  <c r="Z847" i="13034"/>
  <c r="AT846" i="13034"/>
  <c r="AR846" i="13034"/>
  <c r="AP846" i="13034"/>
  <c r="AJ846" i="13034"/>
  <c r="AH846" i="13034"/>
  <c r="AC846" i="13034"/>
  <c r="AA846" i="13034"/>
  <c r="Z846" i="13034"/>
  <c r="AV845" i="13034"/>
  <c r="AT845" i="13034"/>
  <c r="AR845" i="13034"/>
  <c r="AP845" i="13034"/>
  <c r="AN845" i="13034"/>
  <c r="AL845" i="13034"/>
  <c r="AJ845" i="13034"/>
  <c r="AH845" i="13034"/>
  <c r="AF845" i="13034"/>
  <c r="AC845" i="13034"/>
  <c r="AV844" i="13034"/>
  <c r="AT844" i="13034"/>
  <c r="AR844" i="13034"/>
  <c r="AP844" i="13034"/>
  <c r="AN844" i="13034"/>
  <c r="AL844" i="13034"/>
  <c r="AJ844" i="13034"/>
  <c r="AH844" i="13034"/>
  <c r="AC844" i="13034"/>
  <c r="AV843" i="13034"/>
  <c r="AT843" i="13034"/>
  <c r="AR843" i="13034"/>
  <c r="AP843" i="13034"/>
  <c r="AN843" i="13034"/>
  <c r="AL843" i="13034"/>
  <c r="AJ843" i="13034"/>
  <c r="AH843" i="13034"/>
  <c r="AC843" i="13034"/>
  <c r="AC842" i="13034"/>
  <c r="AV841" i="13034"/>
  <c r="AT841" i="13034"/>
  <c r="AR841" i="13034"/>
  <c r="AP841" i="13034"/>
  <c r="AN841" i="13034"/>
  <c r="AL841" i="13034"/>
  <c r="AJ841" i="13034"/>
  <c r="AH841" i="13034"/>
  <c r="AC841" i="13034"/>
  <c r="AV840" i="13034"/>
  <c r="AT840" i="13034"/>
  <c r="AR840" i="13034"/>
  <c r="AP840" i="13034"/>
  <c r="AN840" i="13034"/>
  <c r="AL840" i="13034"/>
  <c r="AJ840" i="13034"/>
  <c r="AH840" i="13034"/>
  <c r="AC840" i="13034"/>
  <c r="AF839" i="13034"/>
  <c r="AE839" i="13034"/>
  <c r="AC839" i="13034"/>
  <c r="AF838" i="13034"/>
  <c r="AE838" i="13034"/>
  <c r="AC838" i="13034"/>
  <c r="AF837" i="13034"/>
  <c r="AE837" i="13034"/>
  <c r="AC837" i="13034"/>
  <c r="AF836" i="13034"/>
  <c r="AE836" i="13034"/>
  <c r="AC836" i="13034"/>
  <c r="AC835" i="13034"/>
  <c r="AL834" i="13034"/>
  <c r="AJ834" i="13034"/>
  <c r="AC834" i="13034"/>
  <c r="AC833" i="13034"/>
  <c r="AC832" i="13034"/>
  <c r="AV831" i="13034"/>
  <c r="AT831" i="13034"/>
  <c r="AR831" i="13034"/>
  <c r="AP831" i="13034"/>
  <c r="AN831" i="13034"/>
  <c r="AL831" i="13034"/>
  <c r="AJ831" i="13034"/>
  <c r="AH831" i="13034"/>
  <c r="AF831" i="13034"/>
  <c r="AE831" i="13034"/>
  <c r="AC831" i="13034"/>
  <c r="AA831" i="13034"/>
  <c r="Z831" i="13034"/>
  <c r="AV830" i="13034"/>
  <c r="AT830" i="13034"/>
  <c r="AR830" i="13034"/>
  <c r="AP830" i="13034"/>
  <c r="AN830" i="13034"/>
  <c r="AL830" i="13034"/>
  <c r="AJ830" i="13034"/>
  <c r="AH830" i="13034"/>
  <c r="AF830" i="13034"/>
  <c r="AE830" i="13034"/>
  <c r="AC830" i="13034"/>
  <c r="AA830" i="13034"/>
  <c r="Z830" i="13034"/>
  <c r="AN829" i="13034"/>
  <c r="AL829" i="13034"/>
  <c r="AJ829" i="13034"/>
  <c r="AH829" i="13034"/>
  <c r="AC829" i="13034"/>
  <c r="AT828" i="13034"/>
  <c r="AR828" i="13034"/>
  <c r="AP828" i="13034"/>
  <c r="AJ828" i="13034"/>
  <c r="AH828" i="13034"/>
  <c r="AF828" i="13034"/>
  <c r="AE828" i="13034"/>
  <c r="AC828" i="13034"/>
  <c r="AA828" i="13034"/>
  <c r="Z828" i="13034"/>
  <c r="AT827" i="13034"/>
  <c r="AR827" i="13034"/>
  <c r="AP827" i="13034"/>
  <c r="AJ827" i="13034"/>
  <c r="AH827" i="13034"/>
  <c r="AC827" i="13034"/>
  <c r="AA827" i="13034"/>
  <c r="Z827" i="13034"/>
  <c r="AV826" i="13034"/>
  <c r="AT826" i="13034"/>
  <c r="AR826" i="13034"/>
  <c r="AP826" i="13034"/>
  <c r="AN826" i="13034"/>
  <c r="AL826" i="13034"/>
  <c r="AJ826" i="13034"/>
  <c r="AH826" i="13034"/>
  <c r="AF826" i="13034"/>
  <c r="AC826" i="13034"/>
  <c r="AA826" i="13034"/>
  <c r="AV825" i="13034"/>
  <c r="AT825" i="13034"/>
  <c r="AR825" i="13034"/>
  <c r="AP825" i="13034"/>
  <c r="AN825" i="13034"/>
  <c r="AL825" i="13034"/>
  <c r="AJ825" i="13034"/>
  <c r="AH825" i="13034"/>
  <c r="AC825" i="13034"/>
  <c r="AV824" i="13034"/>
  <c r="AT824" i="13034"/>
  <c r="AR824" i="13034"/>
  <c r="AP824" i="13034"/>
  <c r="AN824" i="13034"/>
  <c r="AL824" i="13034"/>
  <c r="AJ824" i="13034"/>
  <c r="AH824" i="13034"/>
  <c r="AC824" i="13034"/>
  <c r="AC823" i="13034"/>
  <c r="AV822" i="13034"/>
  <c r="AT822" i="13034"/>
  <c r="AR822" i="13034"/>
  <c r="AP822" i="13034"/>
  <c r="AN822" i="13034"/>
  <c r="AL822" i="13034"/>
  <c r="AJ822" i="13034"/>
  <c r="AH822" i="13034"/>
  <c r="AC822" i="13034"/>
  <c r="AV821" i="13034"/>
  <c r="AT821" i="13034"/>
  <c r="AR821" i="13034"/>
  <c r="AP821" i="13034"/>
  <c r="AN821" i="13034"/>
  <c r="AL821" i="13034"/>
  <c r="AJ821" i="13034"/>
  <c r="AH821" i="13034"/>
  <c r="AC821" i="13034"/>
  <c r="AF820" i="13034"/>
  <c r="AE820" i="13034"/>
  <c r="AC820" i="13034"/>
  <c r="AF819" i="13034"/>
  <c r="AE819" i="13034"/>
  <c r="AC819" i="13034"/>
  <c r="AF818" i="13034"/>
  <c r="AE818" i="13034"/>
  <c r="AC818" i="13034"/>
  <c r="AF817" i="13034"/>
  <c r="AE817" i="13034"/>
  <c r="AC817" i="13034"/>
  <c r="AC816" i="13034"/>
  <c r="AC815" i="13034"/>
  <c r="Z815" i="13034"/>
  <c r="AC814" i="13034"/>
  <c r="Z814" i="13034"/>
  <c r="AC813" i="13034"/>
  <c r="AV812" i="13034"/>
  <c r="AT812" i="13034"/>
  <c r="AR812" i="13034"/>
  <c r="AP812" i="13034"/>
  <c r="AN812" i="13034"/>
  <c r="AL812" i="13034"/>
  <c r="AJ812" i="13034"/>
  <c r="AH812" i="13034"/>
  <c r="AF812" i="13034"/>
  <c r="AE812" i="13034"/>
  <c r="AC812" i="13034"/>
  <c r="AA812" i="13034"/>
  <c r="Z812" i="13034"/>
  <c r="AV811" i="13034"/>
  <c r="AT811" i="13034"/>
  <c r="AR811" i="13034"/>
  <c r="AP811" i="13034"/>
  <c r="AN811" i="13034"/>
  <c r="AL811" i="13034"/>
  <c r="AJ811" i="13034"/>
  <c r="AH811" i="13034"/>
  <c r="AF811" i="13034"/>
  <c r="AE811" i="13034"/>
  <c r="AC811" i="13034"/>
  <c r="AA811" i="13034"/>
  <c r="Z811" i="13034"/>
  <c r="AN810" i="13034"/>
  <c r="AL810" i="13034"/>
  <c r="AJ810" i="13034"/>
  <c r="AH810" i="13034"/>
  <c r="AC810" i="13034"/>
  <c r="AT809" i="13034"/>
  <c r="AR809" i="13034"/>
  <c r="AP809" i="13034"/>
  <c r="AJ809" i="13034"/>
  <c r="AH809" i="13034"/>
  <c r="AF809" i="13034"/>
  <c r="AE809" i="13034"/>
  <c r="AC809" i="13034"/>
  <c r="AA809" i="13034"/>
  <c r="Z809" i="13034"/>
  <c r="AT808" i="13034"/>
  <c r="AR808" i="13034"/>
  <c r="AP808" i="13034"/>
  <c r="AJ808" i="13034"/>
  <c r="AH808" i="13034"/>
  <c r="AC808" i="13034"/>
  <c r="AA808" i="13034"/>
  <c r="Z808" i="13034"/>
  <c r="AV807" i="13034"/>
  <c r="AT807" i="13034"/>
  <c r="AR807" i="13034"/>
  <c r="AP807" i="13034"/>
  <c r="AN807" i="13034"/>
  <c r="AL807" i="13034"/>
  <c r="AJ807" i="13034"/>
  <c r="AH807" i="13034"/>
  <c r="AF807" i="13034"/>
  <c r="AC807" i="13034"/>
  <c r="AA807" i="13034"/>
  <c r="AV806" i="13034"/>
  <c r="AT806" i="13034"/>
  <c r="AR806" i="13034"/>
  <c r="AP806" i="13034"/>
  <c r="AN806" i="13034"/>
  <c r="AL806" i="13034"/>
  <c r="AJ806" i="13034"/>
  <c r="AH806" i="13034"/>
  <c r="AC806" i="13034"/>
  <c r="AV805" i="13034"/>
  <c r="AT805" i="13034"/>
  <c r="AR805" i="13034"/>
  <c r="AP805" i="13034"/>
  <c r="AN805" i="13034"/>
  <c r="AL805" i="13034"/>
  <c r="AJ805" i="13034"/>
  <c r="AH805" i="13034"/>
  <c r="AC805" i="13034"/>
  <c r="AC804" i="13034"/>
  <c r="AV803" i="13034"/>
  <c r="AT803" i="13034"/>
  <c r="AR803" i="13034"/>
  <c r="AP803" i="13034"/>
  <c r="AN803" i="13034"/>
  <c r="AL803" i="13034"/>
  <c r="AJ803" i="13034"/>
  <c r="AH803" i="13034"/>
  <c r="AC803" i="13034"/>
  <c r="AV802" i="13034"/>
  <c r="AT802" i="13034"/>
  <c r="AR802" i="13034"/>
  <c r="AP802" i="13034"/>
  <c r="AN802" i="13034"/>
  <c r="AL802" i="13034"/>
  <c r="AJ802" i="13034"/>
  <c r="AH802" i="13034"/>
  <c r="AC802" i="13034"/>
  <c r="AF801" i="13034"/>
  <c r="AE801" i="13034"/>
  <c r="AC801" i="13034"/>
  <c r="AF800" i="13034"/>
  <c r="AE800" i="13034"/>
  <c r="AC800" i="13034"/>
  <c r="AF799" i="13034"/>
  <c r="AE799" i="13034"/>
  <c r="AC799" i="13034"/>
  <c r="AF798" i="13034"/>
  <c r="AE798" i="13034"/>
  <c r="AC798" i="13034"/>
  <c r="AC797" i="13034"/>
  <c r="AC796" i="13034"/>
  <c r="Z796" i="13034"/>
  <c r="AC795" i="13034"/>
  <c r="Z795" i="13034"/>
  <c r="AC794" i="13034"/>
  <c r="AV793" i="13034"/>
  <c r="AT793" i="13034"/>
  <c r="AR793" i="13034"/>
  <c r="AP793" i="13034"/>
  <c r="AN793" i="13034"/>
  <c r="AL793" i="13034"/>
  <c r="AJ793" i="13034"/>
  <c r="AH793" i="13034"/>
  <c r="AF793" i="13034"/>
  <c r="AE793" i="13034"/>
  <c r="AC793" i="13034"/>
  <c r="AA793" i="13034"/>
  <c r="Z793" i="13034"/>
  <c r="AV792" i="13034"/>
  <c r="AT792" i="13034"/>
  <c r="AR792" i="13034"/>
  <c r="AP792" i="13034"/>
  <c r="AN792" i="13034"/>
  <c r="AL792" i="13034"/>
  <c r="AJ792" i="13034"/>
  <c r="AH792" i="13034"/>
  <c r="AF792" i="13034"/>
  <c r="AE792" i="13034"/>
  <c r="AC792" i="13034"/>
  <c r="AA792" i="13034"/>
  <c r="Z792" i="13034"/>
  <c r="AN791" i="13034"/>
  <c r="AL791" i="13034"/>
  <c r="AJ791" i="13034"/>
  <c r="AH791" i="13034"/>
  <c r="AC791" i="13034"/>
  <c r="AT790" i="13034"/>
  <c r="AR790" i="13034"/>
  <c r="AP790" i="13034"/>
  <c r="AJ790" i="13034"/>
  <c r="AH790" i="13034"/>
  <c r="AF790" i="13034"/>
  <c r="AE790" i="13034"/>
  <c r="AC790" i="13034"/>
  <c r="AA790" i="13034"/>
  <c r="Z790" i="13034"/>
  <c r="AT789" i="13034"/>
  <c r="AR789" i="13034"/>
  <c r="AP789" i="13034"/>
  <c r="AJ789" i="13034"/>
  <c r="AH789" i="13034"/>
  <c r="AC789" i="13034"/>
  <c r="AA789" i="13034"/>
  <c r="Z789" i="13034"/>
  <c r="AV788" i="13034"/>
  <c r="AT788" i="13034"/>
  <c r="AR788" i="13034"/>
  <c r="AP788" i="13034"/>
  <c r="AN788" i="13034"/>
  <c r="AL788" i="13034"/>
  <c r="AJ788" i="13034"/>
  <c r="AH788" i="13034"/>
  <c r="AF788" i="13034"/>
  <c r="AC788" i="13034"/>
  <c r="AA788" i="13034"/>
  <c r="AV787" i="13034"/>
  <c r="AT787" i="13034"/>
  <c r="AR787" i="13034"/>
  <c r="AP787" i="13034"/>
  <c r="AN787" i="13034"/>
  <c r="AL787" i="13034"/>
  <c r="AJ787" i="13034"/>
  <c r="AH787" i="13034"/>
  <c r="AC787" i="13034"/>
  <c r="AV786" i="13034"/>
  <c r="AT786" i="13034"/>
  <c r="AR786" i="13034"/>
  <c r="AP786" i="13034"/>
  <c r="AN786" i="13034"/>
  <c r="AL786" i="13034"/>
  <c r="AJ786" i="13034"/>
  <c r="AH786" i="13034"/>
  <c r="AC786" i="13034"/>
  <c r="AC785" i="13034"/>
  <c r="AV784" i="13034"/>
  <c r="AT784" i="13034"/>
  <c r="AR784" i="13034"/>
  <c r="AP784" i="13034"/>
  <c r="AN784" i="13034"/>
  <c r="AL784" i="13034"/>
  <c r="AJ784" i="13034"/>
  <c r="AH784" i="13034"/>
  <c r="AC784" i="13034"/>
  <c r="AV783" i="13034"/>
  <c r="AT783" i="13034"/>
  <c r="AR783" i="13034"/>
  <c r="AP783" i="13034"/>
  <c r="AN783" i="13034"/>
  <c r="AL783" i="13034"/>
  <c r="AJ783" i="13034"/>
  <c r="AH783" i="13034"/>
  <c r="AC783" i="13034"/>
  <c r="AF782" i="13034"/>
  <c r="AE782" i="13034"/>
  <c r="AC782" i="13034"/>
  <c r="AF781" i="13034"/>
  <c r="AE781" i="13034"/>
  <c r="AC781" i="13034"/>
  <c r="AF780" i="13034"/>
  <c r="AE780" i="13034"/>
  <c r="AC780" i="13034"/>
  <c r="AF779" i="13034"/>
  <c r="AE779" i="13034"/>
  <c r="AC779" i="13034"/>
  <c r="AC778" i="13034"/>
  <c r="AC777" i="13034"/>
  <c r="Z777" i="13034"/>
  <c r="AC776" i="13034"/>
  <c r="Z776" i="13034"/>
  <c r="AC775" i="13034"/>
  <c r="AV774" i="13034"/>
  <c r="AT774" i="13034"/>
  <c r="AR774" i="13034"/>
  <c r="AP774" i="13034"/>
  <c r="AN774" i="13034"/>
  <c r="AL774" i="13034"/>
  <c r="AJ774" i="13034"/>
  <c r="AH774" i="13034"/>
  <c r="AF774" i="13034"/>
  <c r="AE774" i="13034"/>
  <c r="AC774" i="13034"/>
  <c r="AA774" i="13034"/>
  <c r="Z774" i="13034"/>
  <c r="AV773" i="13034"/>
  <c r="AT773" i="13034"/>
  <c r="AR773" i="13034"/>
  <c r="AP773" i="13034"/>
  <c r="AN773" i="13034"/>
  <c r="AL773" i="13034"/>
  <c r="AJ773" i="13034"/>
  <c r="AH773" i="13034"/>
  <c r="AF773" i="13034"/>
  <c r="AE773" i="13034"/>
  <c r="AC773" i="13034"/>
  <c r="AA773" i="13034"/>
  <c r="Z773" i="13034"/>
  <c r="AN772" i="13034"/>
  <c r="AL772" i="13034"/>
  <c r="AJ772" i="13034"/>
  <c r="AH772" i="13034"/>
  <c r="AC772" i="13034"/>
  <c r="AT771" i="13034"/>
  <c r="AR771" i="13034"/>
  <c r="AP771" i="13034"/>
  <c r="AJ771" i="13034"/>
  <c r="AH771" i="13034"/>
  <c r="AF771" i="13034"/>
  <c r="AE771" i="13034"/>
  <c r="AC771" i="13034"/>
  <c r="AA771" i="13034"/>
  <c r="Z771" i="13034"/>
  <c r="AT770" i="13034"/>
  <c r="AR770" i="13034"/>
  <c r="AP770" i="13034"/>
  <c r="AJ770" i="13034"/>
  <c r="AH770" i="13034"/>
  <c r="AC770" i="13034"/>
  <c r="AA770" i="13034"/>
  <c r="Z770" i="13034"/>
  <c r="AT769" i="13034"/>
  <c r="AR769" i="13034"/>
  <c r="AP769" i="13034"/>
  <c r="AN769" i="13034"/>
  <c r="AL769" i="13034"/>
  <c r="AJ769" i="13034"/>
  <c r="AH769" i="13034"/>
  <c r="AC769" i="13034"/>
  <c r="AV768" i="13034"/>
  <c r="AT768" i="13034"/>
  <c r="AR768" i="13034"/>
  <c r="AP768" i="13034"/>
  <c r="AN768" i="13034"/>
  <c r="AL768" i="13034"/>
  <c r="AJ768" i="13034"/>
  <c r="AH768" i="13034"/>
  <c r="AC768" i="13034"/>
  <c r="AV767" i="13034"/>
  <c r="AT767" i="13034"/>
  <c r="AR767" i="13034"/>
  <c r="AP767" i="13034"/>
  <c r="AN767" i="13034"/>
  <c r="AL767" i="13034"/>
  <c r="AJ767" i="13034"/>
  <c r="AH767" i="13034"/>
  <c r="AC767" i="13034"/>
  <c r="AC766" i="13034"/>
  <c r="AV765" i="13034"/>
  <c r="AT765" i="13034"/>
  <c r="AR765" i="13034"/>
  <c r="AP765" i="13034"/>
  <c r="AN765" i="13034"/>
  <c r="AL765" i="13034"/>
  <c r="AJ765" i="13034"/>
  <c r="AH765" i="13034"/>
  <c r="AC765" i="13034"/>
  <c r="AV764" i="13034"/>
  <c r="AT764" i="13034"/>
  <c r="AR764" i="13034"/>
  <c r="AP764" i="13034"/>
  <c r="AN764" i="13034"/>
  <c r="AL764" i="13034"/>
  <c r="AJ764" i="13034"/>
  <c r="AH764" i="13034"/>
  <c r="AC764" i="13034"/>
  <c r="AF763" i="13034"/>
  <c r="AE763" i="13034"/>
  <c r="AC763" i="13034"/>
  <c r="AF762" i="13034"/>
  <c r="AE762" i="13034"/>
  <c r="AC762" i="13034"/>
  <c r="AF761" i="13034"/>
  <c r="AE761" i="13034"/>
  <c r="AC761" i="13034"/>
  <c r="AF760" i="13034"/>
  <c r="AE760" i="13034"/>
  <c r="AC760" i="13034"/>
  <c r="AC759" i="13034"/>
  <c r="AC758" i="13034"/>
  <c r="AC757" i="13034"/>
  <c r="AC756" i="13034"/>
  <c r="AV755" i="13034"/>
  <c r="AT755" i="13034"/>
  <c r="AR755" i="13034"/>
  <c r="AP755" i="13034"/>
  <c r="AN755" i="13034"/>
  <c r="AL755" i="13034"/>
  <c r="AJ755" i="13034"/>
  <c r="AH755" i="13034"/>
  <c r="AF755" i="13034"/>
  <c r="AE755" i="13034"/>
  <c r="AC755" i="13034"/>
  <c r="AA755" i="13034"/>
  <c r="Z755" i="13034"/>
  <c r="AV754" i="13034"/>
  <c r="AT754" i="13034"/>
  <c r="AR754" i="13034"/>
  <c r="AP754" i="13034"/>
  <c r="AN754" i="13034"/>
  <c r="AL754" i="13034"/>
  <c r="AJ754" i="13034"/>
  <c r="AH754" i="13034"/>
  <c r="AF754" i="13034"/>
  <c r="AE754" i="13034"/>
  <c r="AC754" i="13034"/>
  <c r="AA754" i="13034"/>
  <c r="Z754" i="13034"/>
  <c r="AN753" i="13034"/>
  <c r="AL753" i="13034"/>
  <c r="AJ753" i="13034"/>
  <c r="AH753" i="13034"/>
  <c r="AC753" i="13034"/>
  <c r="AV752" i="13034"/>
  <c r="AT752" i="13034"/>
  <c r="AR752" i="13034"/>
  <c r="AP752" i="13034"/>
  <c r="AN752" i="13034"/>
  <c r="AL752" i="13034"/>
  <c r="AJ752" i="13034"/>
  <c r="AH752" i="13034"/>
  <c r="AF752" i="13034"/>
  <c r="AE752" i="13034"/>
  <c r="AC752" i="13034"/>
  <c r="AT751" i="13034"/>
  <c r="AR751" i="13034"/>
  <c r="AP751" i="13034"/>
  <c r="AJ751" i="13034"/>
  <c r="AH751" i="13034"/>
  <c r="AF751" i="13034"/>
  <c r="AE751" i="13034"/>
  <c r="AC751" i="13034"/>
  <c r="AA751" i="13034"/>
  <c r="Z751" i="13034"/>
  <c r="AT750" i="13034"/>
  <c r="AR750" i="13034"/>
  <c r="AP750" i="13034"/>
  <c r="AJ750" i="13034"/>
  <c r="AH750" i="13034"/>
  <c r="AC750" i="13034"/>
  <c r="AA750" i="13034"/>
  <c r="Z750" i="13034"/>
  <c r="AV749" i="13034"/>
  <c r="AT749" i="13034"/>
  <c r="AR749" i="13034"/>
  <c r="AP749" i="13034"/>
  <c r="AN749" i="13034"/>
  <c r="AL749" i="13034"/>
  <c r="AJ749" i="13034"/>
  <c r="AH749" i="13034"/>
  <c r="AF749" i="13034"/>
  <c r="AC749" i="13034"/>
  <c r="AA749" i="13034"/>
  <c r="AC748" i="13034"/>
  <c r="AV747" i="13034"/>
  <c r="AT747" i="13034"/>
  <c r="AR747" i="13034"/>
  <c r="AP747" i="13034"/>
  <c r="AN747" i="13034"/>
  <c r="AL747" i="13034"/>
  <c r="AJ747" i="13034"/>
  <c r="AH747" i="13034"/>
  <c r="AC747" i="13034"/>
  <c r="AV746" i="13034"/>
  <c r="AT746" i="13034"/>
  <c r="AR746" i="13034"/>
  <c r="AP746" i="13034"/>
  <c r="AN746" i="13034"/>
  <c r="AL746" i="13034"/>
  <c r="AJ746" i="13034"/>
  <c r="AH746" i="13034"/>
  <c r="AC746" i="13034"/>
  <c r="AC745" i="13034"/>
  <c r="AV744" i="13034"/>
  <c r="AT744" i="13034"/>
  <c r="AR744" i="13034"/>
  <c r="AP744" i="13034"/>
  <c r="AN744" i="13034"/>
  <c r="AL744" i="13034"/>
  <c r="AJ744" i="13034"/>
  <c r="AH744" i="13034"/>
  <c r="AC744" i="13034"/>
  <c r="AV743" i="13034"/>
  <c r="AT743" i="13034"/>
  <c r="AR743" i="13034"/>
  <c r="AP743" i="13034"/>
  <c r="AN743" i="13034"/>
  <c r="AL743" i="13034"/>
  <c r="AJ743" i="13034"/>
  <c r="AH743" i="13034"/>
  <c r="AC743" i="13034"/>
  <c r="AF742" i="13034"/>
  <c r="AE742" i="13034"/>
  <c r="AC742" i="13034"/>
  <c r="AF741" i="13034"/>
  <c r="AE741" i="13034"/>
  <c r="AC741" i="13034"/>
  <c r="AF740" i="13034"/>
  <c r="AE740" i="13034"/>
  <c r="AC740" i="13034"/>
  <c r="AF739" i="13034"/>
  <c r="AE739" i="13034"/>
  <c r="AC739" i="13034"/>
  <c r="AC738" i="13034"/>
  <c r="AC737" i="13034"/>
  <c r="AC736" i="13034"/>
  <c r="Z736" i="13034"/>
  <c r="AC735" i="13034"/>
  <c r="AV734" i="13034"/>
  <c r="AT734" i="13034"/>
  <c r="AR734" i="13034"/>
  <c r="AP734" i="13034"/>
  <c r="AN734" i="13034"/>
  <c r="AL734" i="13034"/>
  <c r="AJ734" i="13034"/>
  <c r="AH734" i="13034"/>
  <c r="AF734" i="13034"/>
  <c r="AE734" i="13034"/>
  <c r="AC734" i="13034"/>
  <c r="AA734" i="13034"/>
  <c r="Z734" i="13034"/>
  <c r="AV733" i="13034"/>
  <c r="AT733" i="13034"/>
  <c r="AR733" i="13034"/>
  <c r="AP733" i="13034"/>
  <c r="AN733" i="13034"/>
  <c r="AL733" i="13034"/>
  <c r="AJ733" i="13034"/>
  <c r="AH733" i="13034"/>
  <c r="AF733" i="13034"/>
  <c r="AE733" i="13034"/>
  <c r="AC733" i="13034"/>
  <c r="AA733" i="13034"/>
  <c r="Z733" i="13034"/>
  <c r="AN732" i="13034"/>
  <c r="AL732" i="13034"/>
  <c r="AJ732" i="13034"/>
  <c r="AH732" i="13034"/>
  <c r="AC732" i="13034"/>
  <c r="AV731" i="13034"/>
  <c r="AT731" i="13034"/>
  <c r="AR731" i="13034"/>
  <c r="AP731" i="13034"/>
  <c r="AN731" i="13034"/>
  <c r="AL731" i="13034"/>
  <c r="AJ731" i="13034"/>
  <c r="AH731" i="13034"/>
  <c r="AF731" i="13034"/>
  <c r="AE731" i="13034"/>
  <c r="AC731" i="13034"/>
  <c r="AT730" i="13034"/>
  <c r="AR730" i="13034"/>
  <c r="AP730" i="13034"/>
  <c r="AJ730" i="13034"/>
  <c r="AH730" i="13034"/>
  <c r="AF730" i="13034"/>
  <c r="AE730" i="13034"/>
  <c r="AC730" i="13034"/>
  <c r="AA730" i="13034"/>
  <c r="Z730" i="13034"/>
  <c r="AT729" i="13034"/>
  <c r="AR729" i="13034"/>
  <c r="AP729" i="13034"/>
  <c r="AJ729" i="13034"/>
  <c r="AH729" i="13034"/>
  <c r="AC729" i="13034"/>
  <c r="AA729" i="13034"/>
  <c r="Z729" i="13034"/>
  <c r="AV728" i="13034"/>
  <c r="AT728" i="13034"/>
  <c r="AR728" i="13034"/>
  <c r="AP728" i="13034"/>
  <c r="AN728" i="13034"/>
  <c r="AL728" i="13034"/>
  <c r="AJ728" i="13034"/>
  <c r="AH728" i="13034"/>
  <c r="AF728" i="13034"/>
  <c r="AC728" i="13034"/>
  <c r="AA728" i="13034"/>
  <c r="AC727" i="13034"/>
  <c r="AV726" i="13034"/>
  <c r="AT726" i="13034"/>
  <c r="AR726" i="13034"/>
  <c r="AP726" i="13034"/>
  <c r="AN726" i="13034"/>
  <c r="AL726" i="13034"/>
  <c r="AJ726" i="13034"/>
  <c r="AH726" i="13034"/>
  <c r="AC726" i="13034"/>
  <c r="AV725" i="13034"/>
  <c r="AT725" i="13034"/>
  <c r="AR725" i="13034"/>
  <c r="AP725" i="13034"/>
  <c r="AN725" i="13034"/>
  <c r="AL725" i="13034"/>
  <c r="AJ725" i="13034"/>
  <c r="AH725" i="13034"/>
  <c r="AC725" i="13034"/>
  <c r="AC724" i="13034"/>
  <c r="AV723" i="13034"/>
  <c r="AT723" i="13034"/>
  <c r="AR723" i="13034"/>
  <c r="AP723" i="13034"/>
  <c r="AN723" i="13034"/>
  <c r="AL723" i="13034"/>
  <c r="AJ723" i="13034"/>
  <c r="AH723" i="13034"/>
  <c r="AC723" i="13034"/>
  <c r="AV722" i="13034"/>
  <c r="AT722" i="13034"/>
  <c r="AR722" i="13034"/>
  <c r="AP722" i="13034"/>
  <c r="AN722" i="13034"/>
  <c r="AL722" i="13034"/>
  <c r="AJ722" i="13034"/>
  <c r="AH722" i="13034"/>
  <c r="AC722" i="13034"/>
  <c r="AF721" i="13034"/>
  <c r="AE721" i="13034"/>
  <c r="AC721" i="13034"/>
  <c r="AF720" i="13034"/>
  <c r="AE720" i="13034"/>
  <c r="AC720" i="13034"/>
  <c r="AF719" i="13034"/>
  <c r="AE719" i="13034"/>
  <c r="AC719" i="13034"/>
  <c r="AF718" i="13034"/>
  <c r="AE718" i="13034"/>
  <c r="AC718" i="13034"/>
  <c r="AC717" i="13034"/>
  <c r="AC716" i="13034"/>
  <c r="AC715" i="13034"/>
  <c r="Z715" i="13034"/>
  <c r="AC714" i="13034"/>
  <c r="AV713" i="13034"/>
  <c r="AT713" i="13034"/>
  <c r="AR713" i="13034"/>
  <c r="AP713" i="13034"/>
  <c r="AN713" i="13034"/>
  <c r="AL713" i="13034"/>
  <c r="AJ713" i="13034"/>
  <c r="AH713" i="13034"/>
  <c r="AF713" i="13034"/>
  <c r="AE713" i="13034"/>
  <c r="AC713" i="13034"/>
  <c r="AA713" i="13034"/>
  <c r="Z713" i="13034"/>
  <c r="AV712" i="13034"/>
  <c r="AT712" i="13034"/>
  <c r="AR712" i="13034"/>
  <c r="AP712" i="13034"/>
  <c r="AN712" i="13034"/>
  <c r="AL712" i="13034"/>
  <c r="AJ712" i="13034"/>
  <c r="AH712" i="13034"/>
  <c r="AF712" i="13034"/>
  <c r="AE712" i="13034"/>
  <c r="AC712" i="13034"/>
  <c r="AA712" i="13034"/>
  <c r="Z712" i="13034"/>
  <c r="AN711" i="13034"/>
  <c r="AL711" i="13034"/>
  <c r="AJ711" i="13034"/>
  <c r="AH711" i="13034"/>
  <c r="AC711" i="13034"/>
  <c r="AV710" i="13034"/>
  <c r="AT710" i="13034"/>
  <c r="AR710" i="13034"/>
  <c r="AP710" i="13034"/>
  <c r="AN710" i="13034"/>
  <c r="AL710" i="13034"/>
  <c r="AJ710" i="13034"/>
  <c r="AH710" i="13034"/>
  <c r="AF710" i="13034"/>
  <c r="AE710" i="13034"/>
  <c r="AC710" i="13034"/>
  <c r="AT709" i="13034"/>
  <c r="AR709" i="13034"/>
  <c r="AP709" i="13034"/>
  <c r="AJ709" i="13034"/>
  <c r="AH709" i="13034"/>
  <c r="AF709" i="13034"/>
  <c r="AE709" i="13034"/>
  <c r="AC709" i="13034"/>
  <c r="AA709" i="13034"/>
  <c r="Z709" i="13034"/>
  <c r="AT708" i="13034"/>
  <c r="AR708" i="13034"/>
  <c r="AP708" i="13034"/>
  <c r="AJ708" i="13034"/>
  <c r="AH708" i="13034"/>
  <c r="AC708" i="13034"/>
  <c r="AA708" i="13034"/>
  <c r="Z708" i="13034"/>
  <c r="AV707" i="13034"/>
  <c r="AT707" i="13034"/>
  <c r="AR707" i="13034"/>
  <c r="AP707" i="13034"/>
  <c r="AN707" i="13034"/>
  <c r="AL707" i="13034"/>
  <c r="AJ707" i="13034"/>
  <c r="AH707" i="13034"/>
  <c r="AF707" i="13034"/>
  <c r="AC707" i="13034"/>
  <c r="AA707" i="13034"/>
  <c r="AC706" i="13034"/>
  <c r="AV705" i="13034"/>
  <c r="AT705" i="13034"/>
  <c r="AR705" i="13034"/>
  <c r="AP705" i="13034"/>
  <c r="AN705" i="13034"/>
  <c r="AL705" i="13034"/>
  <c r="AJ705" i="13034"/>
  <c r="AH705" i="13034"/>
  <c r="AC705" i="13034"/>
  <c r="AV704" i="13034"/>
  <c r="AT704" i="13034"/>
  <c r="AR704" i="13034"/>
  <c r="AP704" i="13034"/>
  <c r="AN704" i="13034"/>
  <c r="AL704" i="13034"/>
  <c r="AJ704" i="13034"/>
  <c r="AH704" i="13034"/>
  <c r="AC704" i="13034"/>
  <c r="AC703" i="13034"/>
  <c r="AV702" i="13034"/>
  <c r="AT702" i="13034"/>
  <c r="AR702" i="13034"/>
  <c r="AP702" i="13034"/>
  <c r="AN702" i="13034"/>
  <c r="AL702" i="13034"/>
  <c r="AJ702" i="13034"/>
  <c r="AH702" i="13034"/>
  <c r="AC702" i="13034"/>
  <c r="AV701" i="13034"/>
  <c r="AT701" i="13034"/>
  <c r="AR701" i="13034"/>
  <c r="AP701" i="13034"/>
  <c r="AN701" i="13034"/>
  <c r="AL701" i="13034"/>
  <c r="AJ701" i="13034"/>
  <c r="AH701" i="13034"/>
  <c r="AC701" i="13034"/>
  <c r="AF700" i="13034"/>
  <c r="AE700" i="13034"/>
  <c r="AC700" i="13034"/>
  <c r="AF699" i="13034"/>
  <c r="AE699" i="13034"/>
  <c r="AC699" i="13034"/>
  <c r="AF698" i="13034"/>
  <c r="AE698" i="13034"/>
  <c r="AC698" i="13034"/>
  <c r="AF697" i="13034"/>
  <c r="AE697" i="13034"/>
  <c r="AC697" i="13034"/>
  <c r="AC696" i="13034"/>
  <c r="AC695" i="13034"/>
  <c r="AC694" i="13034"/>
  <c r="Z694" i="13034"/>
  <c r="AC693" i="13034"/>
  <c r="AV692" i="13034"/>
  <c r="AT692" i="13034"/>
  <c r="AR692" i="13034"/>
  <c r="AP692" i="13034"/>
  <c r="AN692" i="13034"/>
  <c r="AL692" i="13034"/>
  <c r="AJ692" i="13034"/>
  <c r="AH692" i="13034"/>
  <c r="AF692" i="13034"/>
  <c r="AE692" i="13034"/>
  <c r="AC692" i="13034"/>
  <c r="AA692" i="13034"/>
  <c r="Z692" i="13034"/>
  <c r="AV691" i="13034"/>
  <c r="AT691" i="13034"/>
  <c r="AR691" i="13034"/>
  <c r="AP691" i="13034"/>
  <c r="AN691" i="13034"/>
  <c r="AL691" i="13034"/>
  <c r="AJ691" i="13034"/>
  <c r="AH691" i="13034"/>
  <c r="AF691" i="13034"/>
  <c r="AE691" i="13034"/>
  <c r="AC691" i="13034"/>
  <c r="AA691" i="13034"/>
  <c r="Z691" i="13034"/>
  <c r="AN690" i="13034"/>
  <c r="AL690" i="13034"/>
  <c r="AJ690" i="13034"/>
  <c r="AH690" i="13034"/>
  <c r="AC690" i="13034"/>
  <c r="AV689" i="13034"/>
  <c r="AT689" i="13034"/>
  <c r="AR689" i="13034"/>
  <c r="AP689" i="13034"/>
  <c r="AN689" i="13034"/>
  <c r="AL689" i="13034"/>
  <c r="AJ689" i="13034"/>
  <c r="AH689" i="13034"/>
  <c r="AF689" i="13034"/>
  <c r="AE689" i="13034"/>
  <c r="AC689" i="13034"/>
  <c r="AT688" i="13034"/>
  <c r="AR688" i="13034"/>
  <c r="AP688" i="13034"/>
  <c r="AJ688" i="13034"/>
  <c r="AH688" i="13034"/>
  <c r="AF688" i="13034"/>
  <c r="AE688" i="13034"/>
  <c r="AC688" i="13034"/>
  <c r="AA688" i="13034"/>
  <c r="Z688" i="13034"/>
  <c r="AT687" i="13034"/>
  <c r="AR687" i="13034"/>
  <c r="AP687" i="13034"/>
  <c r="AJ687" i="13034"/>
  <c r="AH687" i="13034"/>
  <c r="AC687" i="13034"/>
  <c r="AA687" i="13034"/>
  <c r="Z687" i="13034"/>
  <c r="AV686" i="13034"/>
  <c r="AT686" i="13034"/>
  <c r="AR686" i="13034"/>
  <c r="AP686" i="13034"/>
  <c r="AN686" i="13034"/>
  <c r="AL686" i="13034"/>
  <c r="AJ686" i="13034"/>
  <c r="AH686" i="13034"/>
  <c r="AC686" i="13034"/>
  <c r="AP685" i="13034"/>
  <c r="AL685" i="13034"/>
  <c r="AH685" i="13034"/>
  <c r="AC685" i="13034"/>
  <c r="AV684" i="13034"/>
  <c r="AT684" i="13034"/>
  <c r="AR684" i="13034"/>
  <c r="AP684" i="13034"/>
  <c r="AN684" i="13034"/>
  <c r="AL684" i="13034"/>
  <c r="AJ684" i="13034"/>
  <c r="AH684" i="13034"/>
  <c r="AC684" i="13034"/>
  <c r="AV683" i="13034"/>
  <c r="AT683" i="13034"/>
  <c r="AR683" i="13034"/>
  <c r="AP683" i="13034"/>
  <c r="AN683" i="13034"/>
  <c r="AL683" i="13034"/>
  <c r="AJ683" i="13034"/>
  <c r="AH683" i="13034"/>
  <c r="AC683" i="13034"/>
  <c r="AR682" i="13034"/>
  <c r="AL682" i="13034"/>
  <c r="AJ682" i="13034"/>
  <c r="AC682" i="13034"/>
  <c r="AV681" i="13034"/>
  <c r="AT681" i="13034"/>
  <c r="AR681" i="13034"/>
  <c r="AP681" i="13034"/>
  <c r="AN681" i="13034"/>
  <c r="AL681" i="13034"/>
  <c r="AJ681" i="13034"/>
  <c r="AH681" i="13034"/>
  <c r="AC681" i="13034"/>
  <c r="AV680" i="13034"/>
  <c r="AT680" i="13034"/>
  <c r="AR680" i="13034"/>
  <c r="AP680" i="13034"/>
  <c r="AN680" i="13034"/>
  <c r="AL680" i="13034"/>
  <c r="AJ680" i="13034"/>
  <c r="AH680" i="13034"/>
  <c r="AC680" i="13034"/>
  <c r="AP679" i="13034"/>
  <c r="AH679" i="13034"/>
  <c r="AF679" i="13034"/>
  <c r="AE679" i="13034"/>
  <c r="AC679" i="13034"/>
  <c r="AP678" i="13034"/>
  <c r="AH678" i="13034"/>
  <c r="AF678" i="13034"/>
  <c r="AE678" i="13034"/>
  <c r="AC678" i="13034"/>
  <c r="AL677" i="13034"/>
  <c r="AF677" i="13034"/>
  <c r="AE677" i="13034"/>
  <c r="AC677" i="13034"/>
  <c r="AL676" i="13034"/>
  <c r="AF676" i="13034"/>
  <c r="AE676" i="13034"/>
  <c r="AC676" i="13034"/>
  <c r="AT675" i="13034"/>
  <c r="AR675" i="13034"/>
  <c r="AL675" i="13034"/>
  <c r="AJ675" i="13034"/>
  <c r="AC675" i="13034"/>
  <c r="AT674" i="13034"/>
  <c r="AR674" i="13034"/>
  <c r="AL674" i="13034"/>
  <c r="AJ674" i="13034"/>
  <c r="AC674" i="13034"/>
  <c r="AT673" i="13034"/>
  <c r="AR673" i="13034"/>
  <c r="AL673" i="13034"/>
  <c r="AJ673" i="13034"/>
  <c r="AC673" i="13034"/>
  <c r="AT672" i="13034"/>
  <c r="AR672" i="13034"/>
  <c r="AL672" i="13034"/>
  <c r="AJ672" i="13034"/>
  <c r="AC672" i="13034"/>
  <c r="AV671" i="13034"/>
  <c r="AT671" i="13034"/>
  <c r="AR671" i="13034"/>
  <c r="AP671" i="13034"/>
  <c r="AN671" i="13034"/>
  <c r="AL671" i="13034"/>
  <c r="AJ671" i="13034"/>
  <c r="AH671" i="13034"/>
  <c r="AF671" i="13034"/>
  <c r="AE671" i="13034"/>
  <c r="AC671" i="13034"/>
  <c r="AA671" i="13034"/>
  <c r="Z671" i="13034"/>
  <c r="AV670" i="13034"/>
  <c r="AT670" i="13034"/>
  <c r="AR670" i="13034"/>
  <c r="AP670" i="13034"/>
  <c r="AN670" i="13034"/>
  <c r="AL670" i="13034"/>
  <c r="AJ670" i="13034"/>
  <c r="AH670" i="13034"/>
  <c r="AF670" i="13034"/>
  <c r="AE670" i="13034"/>
  <c r="AC670" i="13034"/>
  <c r="AA670" i="13034"/>
  <c r="Z670" i="13034"/>
  <c r="AV669" i="13034"/>
  <c r="AT669" i="13034"/>
  <c r="AR669" i="13034"/>
  <c r="AP669" i="13034"/>
  <c r="AN669" i="13034"/>
  <c r="AL669" i="13034"/>
  <c r="AJ669" i="13034"/>
  <c r="AH669" i="13034"/>
  <c r="AF669" i="13034"/>
  <c r="AE669" i="13034"/>
  <c r="AC669" i="13034"/>
  <c r="AA669" i="13034"/>
  <c r="Z669" i="13034"/>
  <c r="AN668" i="13034"/>
  <c r="AL668" i="13034"/>
  <c r="AJ668" i="13034"/>
  <c r="AH668" i="13034"/>
  <c r="AC668" i="13034"/>
  <c r="AT667" i="13034"/>
  <c r="AR667" i="13034"/>
  <c r="AP667" i="13034"/>
  <c r="AJ667" i="13034"/>
  <c r="AH667" i="13034"/>
  <c r="AF667" i="13034"/>
  <c r="AE667" i="13034"/>
  <c r="AC667" i="13034"/>
  <c r="AA667" i="13034"/>
  <c r="Z667" i="13034"/>
  <c r="AT666" i="13034"/>
  <c r="AR666" i="13034"/>
  <c r="AP666" i="13034"/>
  <c r="AJ666" i="13034"/>
  <c r="AH666" i="13034"/>
  <c r="AA666" i="13034"/>
  <c r="Z666" i="13034"/>
  <c r="AV665" i="13034"/>
  <c r="AT665" i="13034"/>
  <c r="AR665" i="13034"/>
  <c r="AP665" i="13034"/>
  <c r="AN665" i="13034"/>
  <c r="AL665" i="13034"/>
  <c r="AJ665" i="13034"/>
  <c r="AH665" i="13034"/>
  <c r="AF665" i="13034"/>
  <c r="AE665" i="13034"/>
  <c r="AC665" i="13034"/>
  <c r="AA665" i="13034"/>
  <c r="Z665" i="13034"/>
  <c r="AV664" i="13034"/>
  <c r="AT664" i="13034"/>
  <c r="AR664" i="13034"/>
  <c r="AP664" i="13034"/>
  <c r="AN664" i="13034"/>
  <c r="AL664" i="13034"/>
  <c r="AJ664" i="13034"/>
  <c r="AH664" i="13034"/>
  <c r="AV663" i="13034"/>
  <c r="AT663" i="13034"/>
  <c r="AR663" i="13034"/>
  <c r="AP663" i="13034"/>
  <c r="AN663" i="13034"/>
  <c r="AL663" i="13034"/>
  <c r="AJ663" i="13034"/>
  <c r="AH663" i="13034"/>
  <c r="AV661" i="13034"/>
  <c r="AT661" i="13034"/>
  <c r="AR661" i="13034"/>
  <c r="AP661" i="13034"/>
  <c r="AN661" i="13034"/>
  <c r="AL661" i="13034"/>
  <c r="AJ661" i="13034"/>
  <c r="AH661" i="13034"/>
  <c r="AV660" i="13034"/>
  <c r="AT660" i="13034"/>
  <c r="AR660" i="13034"/>
  <c r="AP660" i="13034"/>
  <c r="AN660" i="13034"/>
  <c r="AL660" i="13034"/>
  <c r="AJ660" i="13034"/>
  <c r="AH660" i="13034"/>
  <c r="AF659" i="13034"/>
  <c r="AE659" i="13034"/>
  <c r="AC659" i="13034"/>
  <c r="AF658" i="13034"/>
  <c r="AE658" i="13034"/>
  <c r="AC658" i="13034"/>
  <c r="AF657" i="13034"/>
  <c r="AE657" i="13034"/>
  <c r="AC657" i="13034"/>
  <c r="AF656" i="13034"/>
  <c r="AE656" i="13034"/>
  <c r="AC656" i="13034"/>
  <c r="AA656" i="13034"/>
  <c r="AA654" i="13034"/>
  <c r="Z654" i="13034"/>
  <c r="AV652" i="13034"/>
  <c r="AT652" i="13034"/>
  <c r="AR652" i="13034"/>
  <c r="AP652" i="13034"/>
  <c r="AN652" i="13034"/>
  <c r="AL652" i="13034"/>
  <c r="AJ652" i="13034"/>
  <c r="AH652" i="13034"/>
  <c r="AF652" i="13034"/>
  <c r="AE652" i="13034"/>
  <c r="AC652" i="13034"/>
  <c r="AA652" i="13034"/>
  <c r="Z652" i="13034"/>
  <c r="AN651" i="13034"/>
  <c r="AL651" i="13034"/>
  <c r="AJ651" i="13034"/>
  <c r="AH651" i="13034"/>
  <c r="AF651" i="13034"/>
  <c r="AE651" i="13034"/>
  <c r="AC651" i="13034"/>
  <c r="AT650" i="13034"/>
  <c r="AR650" i="13034"/>
  <c r="AP650" i="13034"/>
  <c r="AJ650" i="13034"/>
  <c r="AH650" i="13034"/>
  <c r="AF650" i="13034"/>
  <c r="AE650" i="13034"/>
  <c r="AC650" i="13034"/>
  <c r="AA650" i="13034"/>
  <c r="Z650" i="13034"/>
  <c r="AT649" i="13034"/>
  <c r="AR649" i="13034"/>
  <c r="AP649" i="13034"/>
  <c r="AJ649" i="13034"/>
  <c r="AH649" i="13034"/>
  <c r="AF649" i="13034"/>
  <c r="AE649" i="13034"/>
  <c r="AC649" i="13034"/>
  <c r="AA649" i="13034"/>
  <c r="Z649" i="13034"/>
  <c r="AF648" i="13034"/>
  <c r="AE648" i="13034"/>
  <c r="AC648" i="13034"/>
  <c r="AF647" i="13034"/>
  <c r="AE647" i="13034"/>
  <c r="AC647" i="13034"/>
  <c r="AF646" i="13034"/>
  <c r="AE646" i="13034"/>
  <c r="AC646" i="13034"/>
  <c r="AF645" i="13034"/>
  <c r="AE645" i="13034"/>
  <c r="AC645" i="13034"/>
  <c r="AF644" i="13034"/>
  <c r="AE644" i="13034"/>
  <c r="AC644" i="13034"/>
  <c r="AF643" i="13034"/>
  <c r="AE643" i="13034"/>
  <c r="AC643" i="13034"/>
  <c r="AF642" i="13034"/>
  <c r="AE642" i="13034"/>
  <c r="AC642" i="13034"/>
  <c r="AF641" i="13034"/>
  <c r="AE641" i="13034"/>
  <c r="AC641" i="13034"/>
  <c r="AF640" i="13034"/>
  <c r="AE640" i="13034"/>
  <c r="AC640" i="13034"/>
  <c r="AF639" i="13034"/>
  <c r="AE639" i="13034"/>
  <c r="AC639" i="13034"/>
  <c r="AF638" i="13034"/>
  <c r="AE638" i="13034"/>
  <c r="AC638" i="13034"/>
  <c r="AV637" i="13034"/>
  <c r="AT637" i="13034"/>
  <c r="AR637" i="13034"/>
  <c r="AP637" i="13034"/>
  <c r="AN637" i="13034"/>
  <c r="AL637" i="13034"/>
  <c r="AJ637" i="13034"/>
  <c r="AH637" i="13034"/>
  <c r="AF637" i="13034"/>
  <c r="AE637" i="13034"/>
  <c r="AC637" i="13034"/>
  <c r="AA637" i="13034"/>
  <c r="Z637" i="13034"/>
  <c r="AV636" i="13034"/>
  <c r="AT636" i="13034"/>
  <c r="AR636" i="13034"/>
  <c r="AP636" i="13034"/>
  <c r="AN636" i="13034"/>
  <c r="AL636" i="13034"/>
  <c r="AJ636" i="13034"/>
  <c r="AH636" i="13034"/>
  <c r="AF636" i="13034"/>
  <c r="AE636" i="13034"/>
  <c r="AC636" i="13034"/>
  <c r="AA636" i="13034"/>
  <c r="Z636" i="13034"/>
  <c r="AN635" i="13034"/>
  <c r="AL635" i="13034"/>
  <c r="AJ635" i="13034"/>
  <c r="AH635" i="13034"/>
  <c r="AC635" i="13034"/>
  <c r="AT634" i="13034"/>
  <c r="AR634" i="13034"/>
  <c r="AP634" i="13034"/>
  <c r="AJ634" i="13034"/>
  <c r="AH634" i="13034"/>
  <c r="AF634" i="13034"/>
  <c r="AE634" i="13034"/>
  <c r="AC634" i="13034"/>
  <c r="AA634" i="13034"/>
  <c r="Z634" i="13034"/>
  <c r="AT633" i="13034"/>
  <c r="AR633" i="13034"/>
  <c r="AP633" i="13034"/>
  <c r="AJ633" i="13034"/>
  <c r="AH633" i="13034"/>
  <c r="AA633" i="13034"/>
  <c r="Z633" i="13034"/>
  <c r="AV632" i="13034"/>
  <c r="AT632" i="13034"/>
  <c r="AR632" i="13034"/>
  <c r="AP632" i="13034"/>
  <c r="AN632" i="13034"/>
  <c r="AL632" i="13034"/>
  <c r="AJ632" i="13034"/>
  <c r="AH632" i="13034"/>
  <c r="AF632" i="13034"/>
  <c r="AE632" i="13034"/>
  <c r="AC632" i="13034"/>
  <c r="AA632" i="13034"/>
  <c r="Z632" i="13034"/>
  <c r="AV631" i="13034"/>
  <c r="AT631" i="13034"/>
  <c r="AR631" i="13034"/>
  <c r="AP631" i="13034"/>
  <c r="AN631" i="13034"/>
  <c r="AL631" i="13034"/>
  <c r="AJ631" i="13034"/>
  <c r="AH631" i="13034"/>
  <c r="AV630" i="13034"/>
  <c r="AT630" i="13034"/>
  <c r="AR630" i="13034"/>
  <c r="AP630" i="13034"/>
  <c r="AN630" i="13034"/>
  <c r="AL630" i="13034"/>
  <c r="AJ630" i="13034"/>
  <c r="AH630" i="13034"/>
  <c r="AV628" i="13034"/>
  <c r="AT628" i="13034"/>
  <c r="AR628" i="13034"/>
  <c r="AP628" i="13034"/>
  <c r="AN628" i="13034"/>
  <c r="AL628" i="13034"/>
  <c r="AJ628" i="13034"/>
  <c r="AH628" i="13034"/>
  <c r="AV627" i="13034"/>
  <c r="AT627" i="13034"/>
  <c r="AR627" i="13034"/>
  <c r="AP627" i="13034"/>
  <c r="AN627" i="13034"/>
  <c r="AL627" i="13034"/>
  <c r="AJ627" i="13034"/>
  <c r="AH627" i="13034"/>
  <c r="AF626" i="13034"/>
  <c r="AE626" i="13034"/>
  <c r="AC626" i="13034"/>
  <c r="AF625" i="13034"/>
  <c r="AE625" i="13034"/>
  <c r="AC625" i="13034"/>
  <c r="AF624" i="13034"/>
  <c r="AE624" i="13034"/>
  <c r="AC624" i="13034"/>
  <c r="AF623" i="13034"/>
  <c r="AE623" i="13034"/>
  <c r="AC623" i="13034"/>
  <c r="AA621" i="13034"/>
  <c r="Z621" i="13034"/>
  <c r="AV619" i="13034"/>
  <c r="AT619" i="13034"/>
  <c r="AR619" i="13034"/>
  <c r="AP619" i="13034"/>
  <c r="AN619" i="13034"/>
  <c r="AL619" i="13034"/>
  <c r="AJ619" i="13034"/>
  <c r="AH619" i="13034"/>
  <c r="AF619" i="13034"/>
  <c r="AE619" i="13034"/>
  <c r="AC619" i="13034"/>
  <c r="AA619" i="13034"/>
  <c r="Z619" i="13034"/>
  <c r="AN618" i="13034"/>
  <c r="AL618" i="13034"/>
  <c r="AJ618" i="13034"/>
  <c r="AH618" i="13034"/>
  <c r="AF618" i="13034"/>
  <c r="AE618" i="13034"/>
  <c r="AC618" i="13034"/>
  <c r="AT617" i="13034"/>
  <c r="AR617" i="13034"/>
  <c r="AP617" i="13034"/>
  <c r="AJ617" i="13034"/>
  <c r="AH617" i="13034"/>
  <c r="AF617" i="13034"/>
  <c r="AE617" i="13034"/>
  <c r="AC617" i="13034"/>
  <c r="AA617" i="13034"/>
  <c r="Z617" i="13034"/>
  <c r="AT616" i="13034"/>
  <c r="AR616" i="13034"/>
  <c r="AP616" i="13034"/>
  <c r="AJ616" i="13034"/>
  <c r="AH616" i="13034"/>
  <c r="AF616" i="13034"/>
  <c r="AE616" i="13034"/>
  <c r="AC616" i="13034"/>
  <c r="AA616" i="13034"/>
  <c r="Z616" i="13034"/>
  <c r="AF615" i="13034"/>
  <c r="AE615" i="13034"/>
  <c r="AC615" i="13034"/>
  <c r="AF614" i="13034"/>
  <c r="AE614" i="13034"/>
  <c r="AC614" i="13034"/>
  <c r="AF613" i="13034"/>
  <c r="AE613" i="13034"/>
  <c r="AC613" i="13034"/>
  <c r="AF612" i="13034"/>
  <c r="AE612" i="13034"/>
  <c r="AC612" i="13034"/>
  <c r="AF611" i="13034"/>
  <c r="AE611" i="13034"/>
  <c r="AC611" i="13034"/>
  <c r="AF610" i="13034"/>
  <c r="AE610" i="13034"/>
  <c r="AC610" i="13034"/>
  <c r="AF609" i="13034"/>
  <c r="AE609" i="13034"/>
  <c r="AC609" i="13034"/>
  <c r="AF608" i="13034"/>
  <c r="AE608" i="13034"/>
  <c r="AC608" i="13034"/>
  <c r="AF607" i="13034"/>
  <c r="AE607" i="13034"/>
  <c r="AC607" i="13034"/>
  <c r="AF606" i="13034"/>
  <c r="AE606" i="13034"/>
  <c r="AC606" i="13034"/>
  <c r="AF605" i="13034"/>
  <c r="AE605" i="13034"/>
  <c r="AC605" i="13034"/>
  <c r="AV604" i="13034"/>
  <c r="AT604" i="13034"/>
  <c r="AR604" i="13034"/>
  <c r="AP604" i="13034"/>
  <c r="AN604" i="13034"/>
  <c r="AL604" i="13034"/>
  <c r="AJ604" i="13034"/>
  <c r="AH604" i="13034"/>
  <c r="AF604" i="13034"/>
  <c r="AE604" i="13034"/>
  <c r="AC604" i="13034"/>
  <c r="AA604" i="13034"/>
  <c r="Z604" i="13034"/>
  <c r="AV603" i="13034"/>
  <c r="AT603" i="13034"/>
  <c r="AR603" i="13034"/>
  <c r="AP603" i="13034"/>
  <c r="AN603" i="13034"/>
  <c r="AL603" i="13034"/>
  <c r="AJ603" i="13034"/>
  <c r="AH603" i="13034"/>
  <c r="AF603" i="13034"/>
  <c r="AE603" i="13034"/>
  <c r="AC603" i="13034"/>
  <c r="AA603" i="13034"/>
  <c r="Z603" i="13034"/>
  <c r="AN602" i="13034"/>
  <c r="AL602" i="13034"/>
  <c r="AJ602" i="13034"/>
  <c r="AH602" i="13034"/>
  <c r="AC602" i="13034"/>
  <c r="AT601" i="13034"/>
  <c r="AR601" i="13034"/>
  <c r="AP601" i="13034"/>
  <c r="AJ601" i="13034"/>
  <c r="AH601" i="13034"/>
  <c r="AF601" i="13034"/>
  <c r="AE601" i="13034"/>
  <c r="AC601" i="13034"/>
  <c r="AA601" i="13034"/>
  <c r="Z601" i="13034"/>
  <c r="AT600" i="13034"/>
  <c r="AR600" i="13034"/>
  <c r="AP600" i="13034"/>
  <c r="AJ600" i="13034"/>
  <c r="AH600" i="13034"/>
  <c r="AA600" i="13034"/>
  <c r="Z600" i="13034"/>
  <c r="AV599" i="13034"/>
  <c r="AT599" i="13034"/>
  <c r="AR599" i="13034"/>
  <c r="AP599" i="13034"/>
  <c r="AN599" i="13034"/>
  <c r="AL599" i="13034"/>
  <c r="AJ599" i="13034"/>
  <c r="AH599" i="13034"/>
  <c r="AF599" i="13034"/>
  <c r="AE599" i="13034"/>
  <c r="AC599" i="13034"/>
  <c r="AA599" i="13034"/>
  <c r="Z599" i="13034"/>
  <c r="AV598" i="13034"/>
  <c r="AT598" i="13034"/>
  <c r="AR598" i="13034"/>
  <c r="AP598" i="13034"/>
  <c r="AN598" i="13034"/>
  <c r="AL598" i="13034"/>
  <c r="AJ598" i="13034"/>
  <c r="AH598" i="13034"/>
  <c r="AV597" i="13034"/>
  <c r="AT597" i="13034"/>
  <c r="AR597" i="13034"/>
  <c r="AP597" i="13034"/>
  <c r="AN597" i="13034"/>
  <c r="AL597" i="13034"/>
  <c r="AJ597" i="13034"/>
  <c r="AH597" i="13034"/>
  <c r="AV595" i="13034"/>
  <c r="AT595" i="13034"/>
  <c r="AR595" i="13034"/>
  <c r="AP595" i="13034"/>
  <c r="AN595" i="13034"/>
  <c r="AL595" i="13034"/>
  <c r="AJ595" i="13034"/>
  <c r="AH595" i="13034"/>
  <c r="AV594" i="13034"/>
  <c r="AT594" i="13034"/>
  <c r="AR594" i="13034"/>
  <c r="AP594" i="13034"/>
  <c r="AN594" i="13034"/>
  <c r="AL594" i="13034"/>
  <c r="AJ594" i="13034"/>
  <c r="AH594" i="13034"/>
  <c r="AF593" i="13034"/>
  <c r="AE593" i="13034"/>
  <c r="AC593" i="13034"/>
  <c r="AF592" i="13034"/>
  <c r="AE592" i="13034"/>
  <c r="AC592" i="13034"/>
  <c r="AF591" i="13034"/>
  <c r="AE591" i="13034"/>
  <c r="AC591" i="13034"/>
  <c r="AF590" i="13034"/>
  <c r="AE590" i="13034"/>
  <c r="AC590" i="13034"/>
  <c r="AA588" i="13034"/>
  <c r="Z588" i="13034"/>
  <c r="AV586" i="13034"/>
  <c r="AT586" i="13034"/>
  <c r="AR586" i="13034"/>
  <c r="AP586" i="13034"/>
  <c r="AN586" i="13034"/>
  <c r="AL586" i="13034"/>
  <c r="AJ586" i="13034"/>
  <c r="AH586" i="13034"/>
  <c r="AF586" i="13034"/>
  <c r="AE586" i="13034"/>
  <c r="AC586" i="13034"/>
  <c r="AA586" i="13034"/>
  <c r="Z586" i="13034"/>
  <c r="AN585" i="13034"/>
  <c r="AL585" i="13034"/>
  <c r="AJ585" i="13034"/>
  <c r="AH585" i="13034"/>
  <c r="AF585" i="13034"/>
  <c r="AE585" i="13034"/>
  <c r="AC585" i="13034"/>
  <c r="AT584" i="13034"/>
  <c r="AR584" i="13034"/>
  <c r="AP584" i="13034"/>
  <c r="AJ584" i="13034"/>
  <c r="AH584" i="13034"/>
  <c r="AF584" i="13034"/>
  <c r="AE584" i="13034"/>
  <c r="AC584" i="13034"/>
  <c r="AA584" i="13034"/>
  <c r="Z584" i="13034"/>
  <c r="AT583" i="13034"/>
  <c r="AR583" i="13034"/>
  <c r="AP583" i="13034"/>
  <c r="AJ583" i="13034"/>
  <c r="AH583" i="13034"/>
  <c r="AF583" i="13034"/>
  <c r="AE583" i="13034"/>
  <c r="AC583" i="13034"/>
  <c r="AA583" i="13034"/>
  <c r="Z583" i="13034"/>
  <c r="AF582" i="13034"/>
  <c r="AE582" i="13034"/>
  <c r="AC582" i="13034"/>
  <c r="AF581" i="13034"/>
  <c r="AE581" i="13034"/>
  <c r="AC581" i="13034"/>
  <c r="AF580" i="13034"/>
  <c r="AE580" i="13034"/>
  <c r="AC580" i="13034"/>
  <c r="AF579" i="13034"/>
  <c r="AE579" i="13034"/>
  <c r="AC579" i="13034"/>
  <c r="AF578" i="13034"/>
  <c r="AE578" i="13034"/>
  <c r="AC578" i="13034"/>
  <c r="AF577" i="13034"/>
  <c r="AE577" i="13034"/>
  <c r="AC577" i="13034"/>
  <c r="AF576" i="13034"/>
  <c r="AE576" i="13034"/>
  <c r="AC576" i="13034"/>
  <c r="AF575" i="13034"/>
  <c r="AE575" i="13034"/>
  <c r="AC575" i="13034"/>
  <c r="AF574" i="13034"/>
  <c r="AE574" i="13034"/>
  <c r="AC574" i="13034"/>
  <c r="AF573" i="13034"/>
  <c r="AE573" i="13034"/>
  <c r="AC573" i="13034"/>
  <c r="AF572" i="13034"/>
  <c r="AE572" i="13034"/>
  <c r="AC572" i="13034"/>
  <c r="AV571" i="13034"/>
  <c r="AT571" i="13034"/>
  <c r="AR571" i="13034"/>
  <c r="AP571" i="13034"/>
  <c r="AN571" i="13034"/>
  <c r="AL571" i="13034"/>
  <c r="AJ571" i="13034"/>
  <c r="AH571" i="13034"/>
  <c r="AF571" i="13034"/>
  <c r="AE571" i="13034"/>
  <c r="AC571" i="13034"/>
  <c r="AA571" i="13034"/>
  <c r="Z571" i="13034"/>
  <c r="AV570" i="13034"/>
  <c r="AT570" i="13034"/>
  <c r="AR570" i="13034"/>
  <c r="AP570" i="13034"/>
  <c r="AN570" i="13034"/>
  <c r="AL570" i="13034"/>
  <c r="AJ570" i="13034"/>
  <c r="AH570" i="13034"/>
  <c r="AF570" i="13034"/>
  <c r="AE570" i="13034"/>
  <c r="AC570" i="13034"/>
  <c r="AA570" i="13034"/>
  <c r="Z570" i="13034"/>
  <c r="AN569" i="13034"/>
  <c r="AL569" i="13034"/>
  <c r="AJ569" i="13034"/>
  <c r="AH569" i="13034"/>
  <c r="AC569" i="13034"/>
  <c r="AT568" i="13034"/>
  <c r="AR568" i="13034"/>
  <c r="AP568" i="13034"/>
  <c r="AJ568" i="13034"/>
  <c r="AH568" i="13034"/>
  <c r="AF568" i="13034"/>
  <c r="AE568" i="13034"/>
  <c r="AC568" i="13034"/>
  <c r="AA568" i="13034"/>
  <c r="Z568" i="13034"/>
  <c r="AT567" i="13034"/>
  <c r="AR567" i="13034"/>
  <c r="AP567" i="13034"/>
  <c r="AJ567" i="13034"/>
  <c r="AH567" i="13034"/>
  <c r="AA567" i="13034"/>
  <c r="Z567" i="13034"/>
  <c r="AV566" i="13034"/>
  <c r="AT566" i="13034"/>
  <c r="AR566" i="13034"/>
  <c r="AP566" i="13034"/>
  <c r="AN566" i="13034"/>
  <c r="AL566" i="13034"/>
  <c r="AJ566" i="13034"/>
  <c r="AH566" i="13034"/>
  <c r="AC566" i="13034"/>
  <c r="AV565" i="13034"/>
  <c r="AT565" i="13034"/>
  <c r="AR565" i="13034"/>
  <c r="AP565" i="13034"/>
  <c r="AN565" i="13034"/>
  <c r="AL565" i="13034"/>
  <c r="AJ565" i="13034"/>
  <c r="AH565" i="13034"/>
  <c r="AV564" i="13034"/>
  <c r="AT564" i="13034"/>
  <c r="AR564" i="13034"/>
  <c r="AP564" i="13034"/>
  <c r="AN564" i="13034"/>
  <c r="AL564" i="13034"/>
  <c r="AJ564" i="13034"/>
  <c r="AH564" i="13034"/>
  <c r="AV562" i="13034"/>
  <c r="AT562" i="13034"/>
  <c r="AR562" i="13034"/>
  <c r="AP562" i="13034"/>
  <c r="AN562" i="13034"/>
  <c r="AL562" i="13034"/>
  <c r="AJ562" i="13034"/>
  <c r="AH562" i="13034"/>
  <c r="AV561" i="13034"/>
  <c r="AT561" i="13034"/>
  <c r="AR561" i="13034"/>
  <c r="AP561" i="13034"/>
  <c r="AN561" i="13034"/>
  <c r="AL561" i="13034"/>
  <c r="AJ561" i="13034"/>
  <c r="AH561" i="13034"/>
  <c r="AF560" i="13034"/>
  <c r="AE560" i="13034"/>
  <c r="AC560" i="13034"/>
  <c r="AF559" i="13034"/>
  <c r="AE559" i="13034"/>
  <c r="AC559" i="13034"/>
  <c r="AF558" i="13034"/>
  <c r="AE558" i="13034"/>
  <c r="AC558" i="13034"/>
  <c r="AF557" i="13034"/>
  <c r="AE557" i="13034"/>
  <c r="AC557" i="13034"/>
  <c r="AV553" i="13034"/>
  <c r="AT553" i="13034"/>
  <c r="AR553" i="13034"/>
  <c r="AP553" i="13034"/>
  <c r="AN553" i="13034"/>
  <c r="AL553" i="13034"/>
  <c r="AJ553" i="13034"/>
  <c r="AH553" i="13034"/>
  <c r="AF553" i="13034"/>
  <c r="AE553" i="13034"/>
  <c r="AC553" i="13034"/>
  <c r="AA553" i="13034"/>
  <c r="Z553" i="13034"/>
  <c r="AN552" i="13034"/>
  <c r="AL552" i="13034"/>
  <c r="AJ552" i="13034"/>
  <c r="AH552" i="13034"/>
  <c r="AF552" i="13034"/>
  <c r="AE552" i="13034"/>
  <c r="AC552" i="13034"/>
  <c r="AT551" i="13034"/>
  <c r="AR551" i="13034"/>
  <c r="AP551" i="13034"/>
  <c r="AJ551" i="13034"/>
  <c r="AH551" i="13034"/>
  <c r="AF551" i="13034"/>
  <c r="AE551" i="13034"/>
  <c r="AC551" i="13034"/>
  <c r="AA551" i="13034"/>
  <c r="Z551" i="13034"/>
  <c r="AT550" i="13034"/>
  <c r="AR550" i="13034"/>
  <c r="AP550" i="13034"/>
  <c r="AJ550" i="13034"/>
  <c r="AH550" i="13034"/>
  <c r="AF550" i="13034"/>
  <c r="AE550" i="13034"/>
  <c r="AC550" i="13034"/>
  <c r="AA550" i="13034"/>
  <c r="Z550" i="13034"/>
  <c r="AF549" i="13034"/>
  <c r="AE549" i="13034"/>
  <c r="AC549" i="13034"/>
  <c r="AF548" i="13034"/>
  <c r="AE548" i="13034"/>
  <c r="AC548" i="13034"/>
  <c r="AF547" i="13034"/>
  <c r="AE547" i="13034"/>
  <c r="AC547" i="13034"/>
  <c r="AF546" i="13034"/>
  <c r="AE546" i="13034"/>
  <c r="AC546" i="13034"/>
  <c r="AF545" i="13034"/>
  <c r="AE545" i="13034"/>
  <c r="AC545" i="13034"/>
  <c r="AF544" i="13034"/>
  <c r="AE544" i="13034"/>
  <c r="AC544" i="13034"/>
  <c r="AF543" i="13034"/>
  <c r="AE543" i="13034"/>
  <c r="AC543" i="13034"/>
  <c r="AF542" i="13034"/>
  <c r="AE542" i="13034"/>
  <c r="AC542" i="13034"/>
  <c r="AF541" i="13034"/>
  <c r="AE541" i="13034"/>
  <c r="AC541" i="13034"/>
  <c r="AF540" i="13034"/>
  <c r="AE540" i="13034"/>
  <c r="AC540" i="13034"/>
  <c r="AF539" i="13034"/>
  <c r="AE539" i="13034"/>
  <c r="AC539" i="13034"/>
  <c r="AV538" i="13034"/>
  <c r="AT538" i="13034"/>
  <c r="AR538" i="13034"/>
  <c r="AP538" i="13034"/>
  <c r="AN538" i="13034"/>
  <c r="AL538" i="13034"/>
  <c r="AJ538" i="13034"/>
  <c r="AH538" i="13034"/>
  <c r="AF538" i="13034"/>
  <c r="AE538" i="13034"/>
  <c r="AC538" i="13034"/>
  <c r="AA538" i="13034"/>
  <c r="Z538" i="13034"/>
  <c r="AV537" i="13034"/>
  <c r="AT537" i="13034"/>
  <c r="AR537" i="13034"/>
  <c r="AP537" i="13034"/>
  <c r="AN537" i="13034"/>
  <c r="AL537" i="13034"/>
  <c r="AJ537" i="13034"/>
  <c r="AH537" i="13034"/>
  <c r="AF537" i="13034"/>
  <c r="AE537" i="13034"/>
  <c r="AC537" i="13034"/>
  <c r="AA537" i="13034"/>
  <c r="Z537" i="13034"/>
  <c r="AN536" i="13034"/>
  <c r="AL536" i="13034"/>
  <c r="AJ536" i="13034"/>
  <c r="AH536" i="13034"/>
  <c r="AC536" i="13034"/>
  <c r="AT535" i="13034"/>
  <c r="AR535" i="13034"/>
  <c r="AP535" i="13034"/>
  <c r="AJ535" i="13034"/>
  <c r="AH535" i="13034"/>
  <c r="AF535" i="13034"/>
  <c r="AE535" i="13034"/>
  <c r="AC535" i="13034"/>
  <c r="AA535" i="13034"/>
  <c r="Z535" i="13034"/>
  <c r="AT534" i="13034"/>
  <c r="AR534" i="13034"/>
  <c r="AP534" i="13034"/>
  <c r="AJ534" i="13034"/>
  <c r="AH534" i="13034"/>
  <c r="AA534" i="13034"/>
  <c r="Z534" i="13034"/>
  <c r="AV533" i="13034"/>
  <c r="AT533" i="13034"/>
  <c r="AR533" i="13034"/>
  <c r="AP533" i="13034"/>
  <c r="AN533" i="13034"/>
  <c r="AL533" i="13034"/>
  <c r="AJ533" i="13034"/>
  <c r="AH533" i="13034"/>
  <c r="AF533" i="13034"/>
  <c r="AE533" i="13034"/>
  <c r="AC533" i="13034"/>
  <c r="AA533" i="13034"/>
  <c r="Z533" i="13034"/>
  <c r="AV532" i="13034"/>
  <c r="AT532" i="13034"/>
  <c r="AR532" i="13034"/>
  <c r="AP532" i="13034"/>
  <c r="AN532" i="13034"/>
  <c r="AL532" i="13034"/>
  <c r="AJ532" i="13034"/>
  <c r="AH532" i="13034"/>
  <c r="AV531" i="13034"/>
  <c r="AT531" i="13034"/>
  <c r="AR531" i="13034"/>
  <c r="AP531" i="13034"/>
  <c r="AN531" i="13034"/>
  <c r="AL531" i="13034"/>
  <c r="AJ531" i="13034"/>
  <c r="AH531" i="13034"/>
  <c r="AV529" i="13034"/>
  <c r="AT529" i="13034"/>
  <c r="AR529" i="13034"/>
  <c r="AP529" i="13034"/>
  <c r="AN529" i="13034"/>
  <c r="AL529" i="13034"/>
  <c r="AJ529" i="13034"/>
  <c r="AH529" i="13034"/>
  <c r="AV528" i="13034"/>
  <c r="AT528" i="13034"/>
  <c r="AR528" i="13034"/>
  <c r="AP528" i="13034"/>
  <c r="AN528" i="13034"/>
  <c r="AL528" i="13034"/>
  <c r="AJ528" i="13034"/>
  <c r="AH528" i="13034"/>
  <c r="AF527" i="13034"/>
  <c r="AE527" i="13034"/>
  <c r="AC527" i="13034"/>
  <c r="AF526" i="13034"/>
  <c r="AE526" i="13034"/>
  <c r="AC526" i="13034"/>
  <c r="AF525" i="13034"/>
  <c r="AE525" i="13034"/>
  <c r="AC525" i="13034"/>
  <c r="AF524" i="13034"/>
  <c r="AE524" i="13034"/>
  <c r="AC524" i="13034"/>
  <c r="AA522" i="13034"/>
  <c r="Z522" i="13034"/>
  <c r="AA521" i="13034"/>
  <c r="Z521" i="13034"/>
  <c r="AV519" i="13034"/>
  <c r="AT519" i="13034"/>
  <c r="AR519" i="13034"/>
  <c r="AP519" i="13034"/>
  <c r="AN519" i="13034"/>
  <c r="AL519" i="13034"/>
  <c r="AJ519" i="13034"/>
  <c r="AH519" i="13034"/>
  <c r="AF519" i="13034"/>
  <c r="AE519" i="13034"/>
  <c r="AC519" i="13034"/>
  <c r="AA519" i="13034"/>
  <c r="Z519" i="13034"/>
  <c r="AN518" i="13034"/>
  <c r="AL518" i="13034"/>
  <c r="AJ518" i="13034"/>
  <c r="AH518" i="13034"/>
  <c r="AF518" i="13034"/>
  <c r="AE518" i="13034"/>
  <c r="AC518" i="13034"/>
  <c r="AT517" i="13034"/>
  <c r="AR517" i="13034"/>
  <c r="AP517" i="13034"/>
  <c r="AJ517" i="13034"/>
  <c r="AH517" i="13034"/>
  <c r="AF517" i="13034"/>
  <c r="AE517" i="13034"/>
  <c r="AC517" i="13034"/>
  <c r="AA517" i="13034"/>
  <c r="Z517" i="13034"/>
  <c r="AT516" i="13034"/>
  <c r="AR516" i="13034"/>
  <c r="AP516" i="13034"/>
  <c r="AJ516" i="13034"/>
  <c r="AH516" i="13034"/>
  <c r="AF516" i="13034"/>
  <c r="AE516" i="13034"/>
  <c r="AC516" i="13034"/>
  <c r="AA516" i="13034"/>
  <c r="Z516" i="13034"/>
  <c r="AF515" i="13034"/>
  <c r="AE515" i="13034"/>
  <c r="AC515" i="13034"/>
  <c r="AF514" i="13034"/>
  <c r="AE514" i="13034"/>
  <c r="AC514" i="13034"/>
  <c r="AF513" i="13034"/>
  <c r="AE513" i="13034"/>
  <c r="AC513" i="13034"/>
  <c r="AF512" i="13034"/>
  <c r="AE512" i="13034"/>
  <c r="AC512" i="13034"/>
  <c r="AF511" i="13034"/>
  <c r="AE511" i="13034"/>
  <c r="AC511" i="13034"/>
  <c r="AF510" i="13034"/>
  <c r="AE510" i="13034"/>
  <c r="AC510" i="13034"/>
  <c r="AF509" i="13034"/>
  <c r="AE509" i="13034"/>
  <c r="AC509" i="13034"/>
  <c r="AF508" i="13034"/>
  <c r="AE508" i="13034"/>
  <c r="AC508" i="13034"/>
  <c r="AF507" i="13034"/>
  <c r="AE507" i="13034"/>
  <c r="AC507" i="13034"/>
  <c r="AF506" i="13034"/>
  <c r="AE506" i="13034"/>
  <c r="AC506" i="13034"/>
  <c r="AF505" i="13034"/>
  <c r="AE505" i="13034"/>
  <c r="AC505" i="13034"/>
  <c r="AV504" i="13034"/>
  <c r="AT504" i="13034"/>
  <c r="AR504" i="13034"/>
  <c r="AP504" i="13034"/>
  <c r="AN504" i="13034"/>
  <c r="AL504" i="13034"/>
  <c r="AJ504" i="13034"/>
  <c r="AH504" i="13034"/>
  <c r="AF504" i="13034"/>
  <c r="AE504" i="13034"/>
  <c r="AC504" i="13034"/>
  <c r="AA504" i="13034"/>
  <c r="Z504" i="13034"/>
  <c r="AV503" i="13034"/>
  <c r="AT503" i="13034"/>
  <c r="AR503" i="13034"/>
  <c r="AP503" i="13034"/>
  <c r="AN503" i="13034"/>
  <c r="AL503" i="13034"/>
  <c r="AJ503" i="13034"/>
  <c r="AH503" i="13034"/>
  <c r="AF503" i="13034"/>
  <c r="AE503" i="13034"/>
  <c r="AC503" i="13034"/>
  <c r="AA503" i="13034"/>
  <c r="Z503" i="13034"/>
  <c r="AN502" i="13034"/>
  <c r="AL502" i="13034"/>
  <c r="AJ502" i="13034"/>
  <c r="AH502" i="13034"/>
  <c r="AC502" i="13034"/>
  <c r="AT501" i="13034"/>
  <c r="AR501" i="13034"/>
  <c r="AP501" i="13034"/>
  <c r="AJ501" i="13034"/>
  <c r="AH501" i="13034"/>
  <c r="AF501" i="13034"/>
  <c r="AE501" i="13034"/>
  <c r="AC501" i="13034"/>
  <c r="AA501" i="13034"/>
  <c r="Z501" i="13034"/>
  <c r="AT500" i="13034"/>
  <c r="AR500" i="13034"/>
  <c r="AP500" i="13034"/>
  <c r="AJ500" i="13034"/>
  <c r="AH500" i="13034"/>
  <c r="AA500" i="13034"/>
  <c r="Z500" i="13034"/>
  <c r="AV499" i="13034"/>
  <c r="AT499" i="13034"/>
  <c r="AR499" i="13034"/>
  <c r="AP499" i="13034"/>
  <c r="AN499" i="13034"/>
  <c r="AL499" i="13034"/>
  <c r="AJ499" i="13034"/>
  <c r="AH499" i="13034"/>
  <c r="AF499" i="13034"/>
  <c r="AE499" i="13034"/>
  <c r="AC499" i="13034"/>
  <c r="AA499" i="13034"/>
  <c r="Z499" i="13034"/>
  <c r="AV498" i="13034"/>
  <c r="AT498" i="13034"/>
  <c r="AR498" i="13034"/>
  <c r="AP498" i="13034"/>
  <c r="AN498" i="13034"/>
  <c r="AL498" i="13034"/>
  <c r="AJ498" i="13034"/>
  <c r="AH498" i="13034"/>
  <c r="AV497" i="13034"/>
  <c r="AT497" i="13034"/>
  <c r="AR497" i="13034"/>
  <c r="AP497" i="13034"/>
  <c r="AN497" i="13034"/>
  <c r="AL497" i="13034"/>
  <c r="AJ497" i="13034"/>
  <c r="AH497" i="13034"/>
  <c r="AV495" i="13034"/>
  <c r="AT495" i="13034"/>
  <c r="AR495" i="13034"/>
  <c r="AP495" i="13034"/>
  <c r="AN495" i="13034"/>
  <c r="AL495" i="13034"/>
  <c r="AJ495" i="13034"/>
  <c r="AH495" i="13034"/>
  <c r="AV494" i="13034"/>
  <c r="AT494" i="13034"/>
  <c r="AR494" i="13034"/>
  <c r="AP494" i="13034"/>
  <c r="AN494" i="13034"/>
  <c r="AL494" i="13034"/>
  <c r="AJ494" i="13034"/>
  <c r="AH494" i="13034"/>
  <c r="AF493" i="13034"/>
  <c r="AE493" i="13034"/>
  <c r="AC493" i="13034"/>
  <c r="AF492" i="13034"/>
  <c r="AE492" i="13034"/>
  <c r="AC492" i="13034"/>
  <c r="AF491" i="13034"/>
  <c r="AE491" i="13034"/>
  <c r="AC491" i="13034"/>
  <c r="AF490" i="13034"/>
  <c r="AE490" i="13034"/>
  <c r="AC490" i="13034"/>
  <c r="AA488" i="13034"/>
  <c r="Z488" i="13034"/>
  <c r="AA487" i="13034"/>
  <c r="Z487" i="13034"/>
  <c r="AV485" i="13034"/>
  <c r="AT485" i="13034"/>
  <c r="AR485" i="13034"/>
  <c r="AP485" i="13034"/>
  <c r="AN485" i="13034"/>
  <c r="AL485" i="13034"/>
  <c r="AJ485" i="13034"/>
  <c r="AH485" i="13034"/>
  <c r="AF485" i="13034"/>
  <c r="AE485" i="13034"/>
  <c r="AC485" i="13034"/>
  <c r="AA485" i="13034"/>
  <c r="Z485" i="13034"/>
  <c r="AN484" i="13034"/>
  <c r="AL484" i="13034"/>
  <c r="AJ484" i="13034"/>
  <c r="AH484" i="13034"/>
  <c r="AF484" i="13034"/>
  <c r="AE484" i="13034"/>
  <c r="AC484" i="13034"/>
  <c r="AT483" i="13034"/>
  <c r="AR483" i="13034"/>
  <c r="AP483" i="13034"/>
  <c r="AJ483" i="13034"/>
  <c r="AH483" i="13034"/>
  <c r="AF483" i="13034"/>
  <c r="AE483" i="13034"/>
  <c r="AC483" i="13034"/>
  <c r="AA483" i="13034"/>
  <c r="Z483" i="13034"/>
  <c r="AT482" i="13034"/>
  <c r="AR482" i="13034"/>
  <c r="AP482" i="13034"/>
  <c r="AJ482" i="13034"/>
  <c r="AH482" i="13034"/>
  <c r="AF482" i="13034"/>
  <c r="AE482" i="13034"/>
  <c r="AC482" i="13034"/>
  <c r="AA482" i="13034"/>
  <c r="Z482" i="13034"/>
  <c r="AF481" i="13034"/>
  <c r="AE481" i="13034"/>
  <c r="AC481" i="13034"/>
  <c r="AF480" i="13034"/>
  <c r="AE480" i="13034"/>
  <c r="AC480" i="13034"/>
  <c r="AF479" i="13034"/>
  <c r="AE479" i="13034"/>
  <c r="AC479" i="13034"/>
  <c r="AF478" i="13034"/>
  <c r="AE478" i="13034"/>
  <c r="AC478" i="13034"/>
  <c r="AF477" i="13034"/>
  <c r="AE477" i="13034"/>
  <c r="AC477" i="13034"/>
  <c r="AF476" i="13034"/>
  <c r="AE476" i="13034"/>
  <c r="AC476" i="13034"/>
  <c r="AF475" i="13034"/>
  <c r="AE475" i="13034"/>
  <c r="AC475" i="13034"/>
  <c r="AF474" i="13034"/>
  <c r="AE474" i="13034"/>
  <c r="AC474" i="13034"/>
  <c r="AF473" i="13034"/>
  <c r="AE473" i="13034"/>
  <c r="AC473" i="13034"/>
  <c r="AF472" i="13034"/>
  <c r="AE472" i="13034"/>
  <c r="AC472" i="13034"/>
  <c r="AF471" i="13034"/>
  <c r="AE471" i="13034"/>
  <c r="AC471" i="13034"/>
  <c r="AV470" i="13034"/>
  <c r="AT470" i="13034"/>
  <c r="AR470" i="13034"/>
  <c r="AP470" i="13034"/>
  <c r="AN470" i="13034"/>
  <c r="AL470" i="13034"/>
  <c r="AJ470" i="13034"/>
  <c r="AH470" i="13034"/>
  <c r="AF470" i="13034"/>
  <c r="AE470" i="13034"/>
  <c r="AC470" i="13034"/>
  <c r="AA470" i="13034"/>
  <c r="Z470" i="13034"/>
  <c r="AV469" i="13034"/>
  <c r="AT469" i="13034"/>
  <c r="AR469" i="13034"/>
  <c r="AP469" i="13034"/>
  <c r="AN469" i="13034"/>
  <c r="AL469" i="13034"/>
  <c r="AJ469" i="13034"/>
  <c r="AH469" i="13034"/>
  <c r="AF469" i="13034"/>
  <c r="AE469" i="13034"/>
  <c r="AC469" i="13034"/>
  <c r="AA469" i="13034"/>
  <c r="Z469" i="13034"/>
  <c r="AN468" i="13034"/>
  <c r="AL468" i="13034"/>
  <c r="AJ468" i="13034"/>
  <c r="AH468" i="13034"/>
  <c r="AC468" i="13034"/>
  <c r="AT467" i="13034"/>
  <c r="AR467" i="13034"/>
  <c r="AP467" i="13034"/>
  <c r="AJ467" i="13034"/>
  <c r="AH467" i="13034"/>
  <c r="AF467" i="13034"/>
  <c r="AE467" i="13034"/>
  <c r="AC467" i="13034"/>
  <c r="AA467" i="13034"/>
  <c r="Z467" i="13034"/>
  <c r="AT466" i="13034"/>
  <c r="AR466" i="13034"/>
  <c r="AP466" i="13034"/>
  <c r="AJ466" i="13034"/>
  <c r="AH466" i="13034"/>
  <c r="AA466" i="13034"/>
  <c r="Z466" i="13034"/>
  <c r="AV465" i="13034"/>
  <c r="AT465" i="13034"/>
  <c r="AR465" i="13034"/>
  <c r="AP465" i="13034"/>
  <c r="AN465" i="13034"/>
  <c r="AL465" i="13034"/>
  <c r="AJ465" i="13034"/>
  <c r="AH465" i="13034"/>
  <c r="AF465" i="13034"/>
  <c r="AE465" i="13034"/>
  <c r="AC465" i="13034"/>
  <c r="AA465" i="13034"/>
  <c r="Z465" i="13034"/>
  <c r="AV464" i="13034"/>
  <c r="AT464" i="13034"/>
  <c r="AR464" i="13034"/>
  <c r="AP464" i="13034"/>
  <c r="AN464" i="13034"/>
  <c r="AL464" i="13034"/>
  <c r="AJ464" i="13034"/>
  <c r="AH464" i="13034"/>
  <c r="AV463" i="13034"/>
  <c r="AT463" i="13034"/>
  <c r="AR463" i="13034"/>
  <c r="AP463" i="13034"/>
  <c r="AN463" i="13034"/>
  <c r="AL463" i="13034"/>
  <c r="AJ463" i="13034"/>
  <c r="AH463" i="13034"/>
  <c r="AV461" i="13034"/>
  <c r="AT461" i="13034"/>
  <c r="AR461" i="13034"/>
  <c r="AP461" i="13034"/>
  <c r="AN461" i="13034"/>
  <c r="AL461" i="13034"/>
  <c r="AJ461" i="13034"/>
  <c r="AH461" i="13034"/>
  <c r="AV460" i="13034"/>
  <c r="AT460" i="13034"/>
  <c r="AR460" i="13034"/>
  <c r="AP460" i="13034"/>
  <c r="AN460" i="13034"/>
  <c r="AL460" i="13034"/>
  <c r="AJ460" i="13034"/>
  <c r="AH460" i="13034"/>
  <c r="AF459" i="13034"/>
  <c r="AE459" i="13034"/>
  <c r="AC459" i="13034"/>
  <c r="AF458" i="13034"/>
  <c r="AE458" i="13034"/>
  <c r="AC458" i="13034"/>
  <c r="AF457" i="13034"/>
  <c r="AE457" i="13034"/>
  <c r="AC457" i="13034"/>
  <c r="AF456" i="13034"/>
  <c r="AE456" i="13034"/>
  <c r="AC456" i="13034"/>
  <c r="AA454" i="13034"/>
  <c r="Z454" i="13034"/>
  <c r="AA453" i="13034"/>
  <c r="Z453" i="13034"/>
  <c r="AV451" i="13034"/>
  <c r="AT451" i="13034"/>
  <c r="AR451" i="13034"/>
  <c r="AP451" i="13034"/>
  <c r="AN451" i="13034"/>
  <c r="AL451" i="13034"/>
  <c r="AJ451" i="13034"/>
  <c r="AH451" i="13034"/>
  <c r="AF451" i="13034"/>
  <c r="AE451" i="13034"/>
  <c r="AC451" i="13034"/>
  <c r="AA451" i="13034"/>
  <c r="Z451" i="13034"/>
  <c r="AN450" i="13034"/>
  <c r="AL450" i="13034"/>
  <c r="AJ450" i="13034"/>
  <c r="AH450" i="13034"/>
  <c r="AF450" i="13034"/>
  <c r="AE450" i="13034"/>
  <c r="AC450" i="13034"/>
  <c r="AT449" i="13034"/>
  <c r="AR449" i="13034"/>
  <c r="AP449" i="13034"/>
  <c r="AJ449" i="13034"/>
  <c r="AH449" i="13034"/>
  <c r="AF449" i="13034"/>
  <c r="AE449" i="13034"/>
  <c r="AC449" i="13034"/>
  <c r="AA449" i="13034"/>
  <c r="Z449" i="13034"/>
  <c r="AT448" i="13034"/>
  <c r="AR448" i="13034"/>
  <c r="AP448" i="13034"/>
  <c r="AJ448" i="13034"/>
  <c r="AH448" i="13034"/>
  <c r="AF448" i="13034"/>
  <c r="AE448" i="13034"/>
  <c r="AC448" i="13034"/>
  <c r="AA448" i="13034"/>
  <c r="Z448" i="13034"/>
  <c r="AF447" i="13034"/>
  <c r="AE447" i="13034"/>
  <c r="AC447" i="13034"/>
  <c r="AF446" i="13034"/>
  <c r="AE446" i="13034"/>
  <c r="AC446" i="13034"/>
  <c r="AF445" i="13034"/>
  <c r="AE445" i="13034"/>
  <c r="AC445" i="13034"/>
  <c r="AF444" i="13034"/>
  <c r="AE444" i="13034"/>
  <c r="AC444" i="13034"/>
  <c r="AF443" i="13034"/>
  <c r="AE443" i="13034"/>
  <c r="AC443" i="13034"/>
  <c r="AF442" i="13034"/>
  <c r="AE442" i="13034"/>
  <c r="AC442" i="13034"/>
  <c r="AF441" i="13034"/>
  <c r="AE441" i="13034"/>
  <c r="AC441" i="13034"/>
  <c r="AF440" i="13034"/>
  <c r="AE440" i="13034"/>
  <c r="AC440" i="13034"/>
  <c r="AF439" i="13034"/>
  <c r="AE439" i="13034"/>
  <c r="AC439" i="13034"/>
  <c r="AF438" i="13034"/>
  <c r="AE438" i="13034"/>
  <c r="AC438" i="13034"/>
  <c r="AF437" i="13034"/>
  <c r="AE437" i="13034"/>
  <c r="AC437" i="13034"/>
  <c r="AV436" i="13034"/>
  <c r="AT436" i="13034"/>
  <c r="AR436" i="13034"/>
  <c r="AP436" i="13034"/>
  <c r="AN436" i="13034"/>
  <c r="AL436" i="13034"/>
  <c r="AJ436" i="13034"/>
  <c r="AH436" i="13034"/>
  <c r="AF436" i="13034"/>
  <c r="AE436" i="13034"/>
  <c r="AC436" i="13034"/>
  <c r="AA436" i="13034"/>
  <c r="Z436" i="13034"/>
  <c r="AV435" i="13034"/>
  <c r="AT435" i="13034"/>
  <c r="AR435" i="13034"/>
  <c r="AP435" i="13034"/>
  <c r="AN435" i="13034"/>
  <c r="AL435" i="13034"/>
  <c r="AJ435" i="13034"/>
  <c r="AH435" i="13034"/>
  <c r="AF435" i="13034"/>
  <c r="AE435" i="13034"/>
  <c r="AC435" i="13034"/>
  <c r="AA435" i="13034"/>
  <c r="Z435" i="13034"/>
  <c r="AN434" i="13034"/>
  <c r="AL434" i="13034"/>
  <c r="AJ434" i="13034"/>
  <c r="AH434" i="13034"/>
  <c r="AC434" i="13034"/>
  <c r="AT433" i="13034"/>
  <c r="AR433" i="13034"/>
  <c r="AP433" i="13034"/>
  <c r="AJ433" i="13034"/>
  <c r="AH433" i="13034"/>
  <c r="AF433" i="13034"/>
  <c r="AE433" i="13034"/>
  <c r="AC433" i="13034"/>
  <c r="AA433" i="13034"/>
  <c r="Z433" i="13034"/>
  <c r="AT432" i="13034"/>
  <c r="AR432" i="13034"/>
  <c r="AP432" i="13034"/>
  <c r="AJ432" i="13034"/>
  <c r="AH432" i="13034"/>
  <c r="AA432" i="13034"/>
  <c r="Z432" i="13034"/>
  <c r="AV431" i="13034"/>
  <c r="AT431" i="13034"/>
  <c r="AR431" i="13034"/>
  <c r="AP431" i="13034"/>
  <c r="AN431" i="13034"/>
  <c r="AL431" i="13034"/>
  <c r="AJ431" i="13034"/>
  <c r="AH431" i="13034"/>
  <c r="AF431" i="13034"/>
  <c r="AE431" i="13034"/>
  <c r="AC431" i="13034"/>
  <c r="AA431" i="13034"/>
  <c r="Z431" i="13034"/>
  <c r="AV430" i="13034"/>
  <c r="AT430" i="13034"/>
  <c r="AR430" i="13034"/>
  <c r="AP430" i="13034"/>
  <c r="AN430" i="13034"/>
  <c r="AL430" i="13034"/>
  <c r="AJ430" i="13034"/>
  <c r="AH430" i="13034"/>
  <c r="AV429" i="13034"/>
  <c r="AT429" i="13034"/>
  <c r="AR429" i="13034"/>
  <c r="AP429" i="13034"/>
  <c r="AN429" i="13034"/>
  <c r="AL429" i="13034"/>
  <c r="AJ429" i="13034"/>
  <c r="AH429" i="13034"/>
  <c r="AV427" i="13034"/>
  <c r="AT427" i="13034"/>
  <c r="AR427" i="13034"/>
  <c r="AP427" i="13034"/>
  <c r="AN427" i="13034"/>
  <c r="AL427" i="13034"/>
  <c r="AJ427" i="13034"/>
  <c r="AH427" i="13034"/>
  <c r="AV426" i="13034"/>
  <c r="AT426" i="13034"/>
  <c r="AR426" i="13034"/>
  <c r="AP426" i="13034"/>
  <c r="AN426" i="13034"/>
  <c r="AL426" i="13034"/>
  <c r="AJ426" i="13034"/>
  <c r="AH426" i="13034"/>
  <c r="AF425" i="13034"/>
  <c r="AE425" i="13034"/>
  <c r="AC425" i="13034"/>
  <c r="AF424" i="13034"/>
  <c r="AE424" i="13034"/>
  <c r="AC424" i="13034"/>
  <c r="AF423" i="13034"/>
  <c r="AE423" i="13034"/>
  <c r="AC423" i="13034"/>
  <c r="AF422" i="13034"/>
  <c r="AE422" i="13034"/>
  <c r="AC422" i="13034"/>
  <c r="AA420" i="13034"/>
  <c r="Z420" i="13034"/>
  <c r="AA419" i="13034"/>
  <c r="Z419" i="13034"/>
  <c r="AV417" i="13034"/>
  <c r="AT417" i="13034"/>
  <c r="AR417" i="13034"/>
  <c r="AP417" i="13034"/>
  <c r="AN417" i="13034"/>
  <c r="AL417" i="13034"/>
  <c r="AJ417" i="13034"/>
  <c r="AH417" i="13034"/>
  <c r="AF417" i="13034"/>
  <c r="AE417" i="13034"/>
  <c r="AC417" i="13034"/>
  <c r="AA417" i="13034"/>
  <c r="Z417" i="13034"/>
  <c r="AN416" i="13034"/>
  <c r="AL416" i="13034"/>
  <c r="AJ416" i="13034"/>
  <c r="AH416" i="13034"/>
  <c r="AF416" i="13034"/>
  <c r="AE416" i="13034"/>
  <c r="AC416" i="13034"/>
  <c r="AT415" i="13034"/>
  <c r="AR415" i="13034"/>
  <c r="AP415" i="13034"/>
  <c r="AJ415" i="13034"/>
  <c r="AH415" i="13034"/>
  <c r="AF415" i="13034"/>
  <c r="AE415" i="13034"/>
  <c r="AC415" i="13034"/>
  <c r="AA415" i="13034"/>
  <c r="Z415" i="13034"/>
  <c r="AT414" i="13034"/>
  <c r="AR414" i="13034"/>
  <c r="AP414" i="13034"/>
  <c r="AJ414" i="13034"/>
  <c r="AH414" i="13034"/>
  <c r="AF414" i="13034"/>
  <c r="AE414" i="13034"/>
  <c r="AC414" i="13034"/>
  <c r="AA414" i="13034"/>
  <c r="Z414" i="13034"/>
  <c r="AF413" i="13034"/>
  <c r="AE413" i="13034"/>
  <c r="AC413" i="13034"/>
  <c r="AF412" i="13034"/>
  <c r="AE412" i="13034"/>
  <c r="AC412" i="13034"/>
  <c r="AF411" i="13034"/>
  <c r="AE411" i="13034"/>
  <c r="AC411" i="13034"/>
  <c r="AF410" i="13034"/>
  <c r="AE410" i="13034"/>
  <c r="AC410" i="13034"/>
  <c r="AF409" i="13034"/>
  <c r="AE409" i="13034"/>
  <c r="AC409" i="13034"/>
  <c r="AF408" i="13034"/>
  <c r="AE408" i="13034"/>
  <c r="AC408" i="13034"/>
  <c r="AF407" i="13034"/>
  <c r="AE407" i="13034"/>
  <c r="AC407" i="13034"/>
  <c r="AF406" i="13034"/>
  <c r="AE406" i="13034"/>
  <c r="AC406" i="13034"/>
  <c r="AF405" i="13034"/>
  <c r="AE405" i="13034"/>
  <c r="AC405" i="13034"/>
  <c r="AF404" i="13034"/>
  <c r="AE404" i="13034"/>
  <c r="AC404" i="13034"/>
  <c r="AF403" i="13034"/>
  <c r="AE403" i="13034"/>
  <c r="AC403" i="13034"/>
  <c r="AV402" i="13034"/>
  <c r="AT402" i="13034"/>
  <c r="AR402" i="13034"/>
  <c r="AP402" i="13034"/>
  <c r="AN402" i="13034"/>
  <c r="AL402" i="13034"/>
  <c r="AJ402" i="13034"/>
  <c r="AH402" i="13034"/>
  <c r="AF402" i="13034"/>
  <c r="AE402" i="13034"/>
  <c r="AC402" i="13034"/>
  <c r="AA402" i="13034"/>
  <c r="Z402" i="13034"/>
  <c r="AV401" i="13034"/>
  <c r="AT401" i="13034"/>
  <c r="AR401" i="13034"/>
  <c r="AP401" i="13034"/>
  <c r="AN401" i="13034"/>
  <c r="AL401" i="13034"/>
  <c r="AJ401" i="13034"/>
  <c r="AH401" i="13034"/>
  <c r="AF401" i="13034"/>
  <c r="AE401" i="13034"/>
  <c r="AC401" i="13034"/>
  <c r="AA401" i="13034"/>
  <c r="Z401" i="13034"/>
  <c r="AN400" i="13034"/>
  <c r="AL400" i="13034"/>
  <c r="AJ400" i="13034"/>
  <c r="AH400" i="13034"/>
  <c r="AC400" i="13034"/>
  <c r="AT399" i="13034"/>
  <c r="AR399" i="13034"/>
  <c r="AP399" i="13034"/>
  <c r="AJ399" i="13034"/>
  <c r="AH399" i="13034"/>
  <c r="AF399" i="13034"/>
  <c r="AE399" i="13034"/>
  <c r="AC399" i="13034"/>
  <c r="AA399" i="13034"/>
  <c r="Z399" i="13034"/>
  <c r="AT398" i="13034"/>
  <c r="AR398" i="13034"/>
  <c r="AP398" i="13034"/>
  <c r="AJ398" i="13034"/>
  <c r="AH398" i="13034"/>
  <c r="AA398" i="13034"/>
  <c r="Z398" i="13034"/>
  <c r="AV397" i="13034"/>
  <c r="AT397" i="13034"/>
  <c r="AR397" i="13034"/>
  <c r="AP397" i="13034"/>
  <c r="AN397" i="13034"/>
  <c r="AL397" i="13034"/>
  <c r="AJ397" i="13034"/>
  <c r="AH397" i="13034"/>
  <c r="AC397" i="13034"/>
  <c r="AV396" i="13034"/>
  <c r="AT396" i="13034"/>
  <c r="AR396" i="13034"/>
  <c r="AP396" i="13034"/>
  <c r="AN396" i="13034"/>
  <c r="AL396" i="13034"/>
  <c r="AJ396" i="13034"/>
  <c r="AH396" i="13034"/>
  <c r="AV395" i="13034"/>
  <c r="AT395" i="13034"/>
  <c r="AR395" i="13034"/>
  <c r="AP395" i="13034"/>
  <c r="AN395" i="13034"/>
  <c r="AL395" i="13034"/>
  <c r="AJ395" i="13034"/>
  <c r="AH395" i="13034"/>
  <c r="AV393" i="13034"/>
  <c r="AT393" i="13034"/>
  <c r="AR393" i="13034"/>
  <c r="AP393" i="13034"/>
  <c r="AN393" i="13034"/>
  <c r="AL393" i="13034"/>
  <c r="AJ393" i="13034"/>
  <c r="AH393" i="13034"/>
  <c r="AV392" i="13034"/>
  <c r="AT392" i="13034"/>
  <c r="AR392" i="13034"/>
  <c r="AP392" i="13034"/>
  <c r="AN392" i="13034"/>
  <c r="AL392" i="13034"/>
  <c r="AJ392" i="13034"/>
  <c r="AH392" i="13034"/>
  <c r="AF391" i="13034"/>
  <c r="AE391" i="13034"/>
  <c r="AC391" i="13034"/>
  <c r="AF390" i="13034"/>
  <c r="AE390" i="13034"/>
  <c r="AC390" i="13034"/>
  <c r="AF389" i="13034"/>
  <c r="AE389" i="13034"/>
  <c r="AC389" i="13034"/>
  <c r="AF388" i="13034"/>
  <c r="AE388" i="13034"/>
  <c r="AC388" i="13034"/>
  <c r="AV383" i="13034"/>
  <c r="AT383" i="13034"/>
  <c r="AR383" i="13034"/>
  <c r="AP383" i="13034"/>
  <c r="AN383" i="13034"/>
  <c r="AL383" i="13034"/>
  <c r="AJ383" i="13034"/>
  <c r="AH383" i="13034"/>
  <c r="AF383" i="13034"/>
  <c r="AE383" i="13034"/>
  <c r="AC383" i="13034"/>
  <c r="AA383" i="13034"/>
  <c r="Z383" i="13034"/>
  <c r="AN382" i="13034"/>
  <c r="AL382" i="13034"/>
  <c r="AJ382" i="13034"/>
  <c r="AH382" i="13034"/>
  <c r="AF382" i="13034"/>
  <c r="AE382" i="13034"/>
  <c r="AC382" i="13034"/>
  <c r="AT381" i="13034"/>
  <c r="AR381" i="13034"/>
  <c r="AP381" i="13034"/>
  <c r="AJ381" i="13034"/>
  <c r="AH381" i="13034"/>
  <c r="AF381" i="13034"/>
  <c r="AE381" i="13034"/>
  <c r="AC381" i="13034"/>
  <c r="AA381" i="13034"/>
  <c r="Z381" i="13034"/>
  <c r="AT380" i="13034"/>
  <c r="AR380" i="13034"/>
  <c r="AP380" i="13034"/>
  <c r="AJ380" i="13034"/>
  <c r="AH380" i="13034"/>
  <c r="AF380" i="13034"/>
  <c r="AE380" i="13034"/>
  <c r="AC380" i="13034"/>
  <c r="AA380" i="13034"/>
  <c r="Z380" i="13034"/>
  <c r="AF379" i="13034"/>
  <c r="AE379" i="13034"/>
  <c r="AC379" i="13034"/>
  <c r="AF378" i="13034"/>
  <c r="AE378" i="13034"/>
  <c r="AC378" i="13034"/>
  <c r="AF377" i="13034"/>
  <c r="AE377" i="13034"/>
  <c r="AC377" i="13034"/>
  <c r="AF376" i="13034"/>
  <c r="AE376" i="13034"/>
  <c r="AC376" i="13034"/>
  <c r="AF375" i="13034"/>
  <c r="AE375" i="13034"/>
  <c r="AC375" i="13034"/>
  <c r="AF374" i="13034"/>
  <c r="AE374" i="13034"/>
  <c r="AC374" i="13034"/>
  <c r="AF373" i="13034"/>
  <c r="AE373" i="13034"/>
  <c r="AC373" i="13034"/>
  <c r="AF372" i="13034"/>
  <c r="AE372" i="13034"/>
  <c r="AC372" i="13034"/>
  <c r="AF371" i="13034"/>
  <c r="AE371" i="13034"/>
  <c r="AC371" i="13034"/>
  <c r="AF370" i="13034"/>
  <c r="AE370" i="13034"/>
  <c r="AC370" i="13034"/>
  <c r="AF369" i="13034"/>
  <c r="AE369" i="13034"/>
  <c r="AC369" i="13034"/>
  <c r="AV368" i="13034"/>
  <c r="AT368" i="13034"/>
  <c r="AR368" i="13034"/>
  <c r="AP368" i="13034"/>
  <c r="AN368" i="13034"/>
  <c r="AL368" i="13034"/>
  <c r="AJ368" i="13034"/>
  <c r="AH368" i="13034"/>
  <c r="AF368" i="13034"/>
  <c r="AE368" i="13034"/>
  <c r="AC368" i="13034"/>
  <c r="AA368" i="13034"/>
  <c r="Z368" i="13034"/>
  <c r="AV367" i="13034"/>
  <c r="AT367" i="13034"/>
  <c r="AR367" i="13034"/>
  <c r="AP367" i="13034"/>
  <c r="AN367" i="13034"/>
  <c r="AL367" i="13034"/>
  <c r="AJ367" i="13034"/>
  <c r="AH367" i="13034"/>
  <c r="AF367" i="13034"/>
  <c r="AE367" i="13034"/>
  <c r="AC367" i="13034"/>
  <c r="AA367" i="13034"/>
  <c r="Z367" i="13034"/>
  <c r="AN366" i="13034"/>
  <c r="AL366" i="13034"/>
  <c r="AJ366" i="13034"/>
  <c r="AH366" i="13034"/>
  <c r="AC366" i="13034"/>
  <c r="AV365" i="13034"/>
  <c r="AT365" i="13034"/>
  <c r="AR365" i="13034"/>
  <c r="AP365" i="13034"/>
  <c r="AN365" i="13034"/>
  <c r="AL365" i="13034"/>
  <c r="AJ365" i="13034"/>
  <c r="AH365" i="13034"/>
  <c r="AF365" i="13034"/>
  <c r="AE365" i="13034"/>
  <c r="AC365" i="13034"/>
  <c r="Z365" i="13034"/>
  <c r="AT364" i="13034"/>
  <c r="AR364" i="13034"/>
  <c r="AP364" i="13034"/>
  <c r="AJ364" i="13034"/>
  <c r="AH364" i="13034"/>
  <c r="AF364" i="13034"/>
  <c r="AE364" i="13034"/>
  <c r="AC364" i="13034"/>
  <c r="AA364" i="13034"/>
  <c r="Z364" i="13034"/>
  <c r="AT363" i="13034"/>
  <c r="AR363" i="13034"/>
  <c r="AP363" i="13034"/>
  <c r="AJ363" i="13034"/>
  <c r="AH363" i="13034"/>
  <c r="AA363" i="13034"/>
  <c r="Z363" i="13034"/>
  <c r="AV362" i="13034"/>
  <c r="AT362" i="13034"/>
  <c r="AR362" i="13034"/>
  <c r="AP362" i="13034"/>
  <c r="AN362" i="13034"/>
  <c r="AL362" i="13034"/>
  <c r="AJ362" i="13034"/>
  <c r="AH362" i="13034"/>
  <c r="AF362" i="13034"/>
  <c r="AE362" i="13034"/>
  <c r="AC362" i="13034"/>
  <c r="AA362" i="13034"/>
  <c r="Z362" i="13034"/>
  <c r="AV360" i="13034"/>
  <c r="AT360" i="13034"/>
  <c r="AR360" i="13034"/>
  <c r="AP360" i="13034"/>
  <c r="AN360" i="13034"/>
  <c r="AL360" i="13034"/>
  <c r="AJ360" i="13034"/>
  <c r="AH360" i="13034"/>
  <c r="AV359" i="13034"/>
  <c r="AT359" i="13034"/>
  <c r="AR359" i="13034"/>
  <c r="AP359" i="13034"/>
  <c r="AN359" i="13034"/>
  <c r="AL359" i="13034"/>
  <c r="AJ359" i="13034"/>
  <c r="AH359" i="13034"/>
  <c r="AV357" i="13034"/>
  <c r="AT357" i="13034"/>
  <c r="AR357" i="13034"/>
  <c r="AP357" i="13034"/>
  <c r="AN357" i="13034"/>
  <c r="AL357" i="13034"/>
  <c r="AJ357" i="13034"/>
  <c r="AH357" i="13034"/>
  <c r="AV356" i="13034"/>
  <c r="AT356" i="13034"/>
  <c r="AR356" i="13034"/>
  <c r="AP356" i="13034"/>
  <c r="AN356" i="13034"/>
  <c r="AL356" i="13034"/>
  <c r="AJ356" i="13034"/>
  <c r="AH356" i="13034"/>
  <c r="AF355" i="13034"/>
  <c r="AE355" i="13034"/>
  <c r="AC355" i="13034"/>
  <c r="AF354" i="13034"/>
  <c r="AE354" i="13034"/>
  <c r="AC354" i="13034"/>
  <c r="AF353" i="13034"/>
  <c r="AE353" i="13034"/>
  <c r="AC353" i="13034"/>
  <c r="AF352" i="13034"/>
  <c r="AE352" i="13034"/>
  <c r="AC352" i="13034"/>
  <c r="AA350" i="13034"/>
  <c r="Z350" i="13034"/>
  <c r="AA349" i="13034"/>
  <c r="Z349" i="13034"/>
  <c r="AV347" i="13034"/>
  <c r="AT347" i="13034"/>
  <c r="AR347" i="13034"/>
  <c r="AP347" i="13034"/>
  <c r="AN347" i="13034"/>
  <c r="AL347" i="13034"/>
  <c r="AJ347" i="13034"/>
  <c r="AH347" i="13034"/>
  <c r="AF347" i="13034"/>
  <c r="AE347" i="13034"/>
  <c r="AC347" i="13034"/>
  <c r="AA347" i="13034"/>
  <c r="Z347" i="13034"/>
  <c r="AN346" i="13034"/>
  <c r="AL346" i="13034"/>
  <c r="AJ346" i="13034"/>
  <c r="AH346" i="13034"/>
  <c r="AF346" i="13034"/>
  <c r="AE346" i="13034"/>
  <c r="AC346" i="13034"/>
  <c r="AT345" i="13034"/>
  <c r="AR345" i="13034"/>
  <c r="AP345" i="13034"/>
  <c r="AJ345" i="13034"/>
  <c r="AH345" i="13034"/>
  <c r="AF345" i="13034"/>
  <c r="AE345" i="13034"/>
  <c r="AC345" i="13034"/>
  <c r="AA345" i="13034"/>
  <c r="Z345" i="13034"/>
  <c r="AT344" i="13034"/>
  <c r="AR344" i="13034"/>
  <c r="AP344" i="13034"/>
  <c r="AJ344" i="13034"/>
  <c r="AH344" i="13034"/>
  <c r="AF344" i="13034"/>
  <c r="AE344" i="13034"/>
  <c r="AC344" i="13034"/>
  <c r="AA344" i="13034"/>
  <c r="Z344" i="13034"/>
  <c r="AF343" i="13034"/>
  <c r="AE343" i="13034"/>
  <c r="AC343" i="13034"/>
  <c r="AF342" i="13034"/>
  <c r="AE342" i="13034"/>
  <c r="AC342" i="13034"/>
  <c r="AF341" i="13034"/>
  <c r="AE341" i="13034"/>
  <c r="AC341" i="13034"/>
  <c r="AF340" i="13034"/>
  <c r="AE340" i="13034"/>
  <c r="AC340" i="13034"/>
  <c r="AF339" i="13034"/>
  <c r="AE339" i="13034"/>
  <c r="AC339" i="13034"/>
  <c r="AF338" i="13034"/>
  <c r="AE338" i="13034"/>
  <c r="AC338" i="13034"/>
  <c r="AF337" i="13034"/>
  <c r="AE337" i="13034"/>
  <c r="AC337" i="13034"/>
  <c r="AF336" i="13034"/>
  <c r="AE336" i="13034"/>
  <c r="AC336" i="13034"/>
  <c r="AF335" i="13034"/>
  <c r="AE335" i="13034"/>
  <c r="AC335" i="13034"/>
  <c r="AF334" i="13034"/>
  <c r="AE334" i="13034"/>
  <c r="AC334" i="13034"/>
  <c r="AF333" i="13034"/>
  <c r="AE333" i="13034"/>
  <c r="AC333" i="13034"/>
  <c r="AV332" i="13034"/>
  <c r="AT332" i="13034"/>
  <c r="AR332" i="13034"/>
  <c r="AP332" i="13034"/>
  <c r="AN332" i="13034"/>
  <c r="AL332" i="13034"/>
  <c r="AJ332" i="13034"/>
  <c r="AH332" i="13034"/>
  <c r="AF332" i="13034"/>
  <c r="AE332" i="13034"/>
  <c r="AC332" i="13034"/>
  <c r="AA332" i="13034"/>
  <c r="Z332" i="13034"/>
  <c r="AV331" i="13034"/>
  <c r="AT331" i="13034"/>
  <c r="AR331" i="13034"/>
  <c r="AP331" i="13034"/>
  <c r="AN331" i="13034"/>
  <c r="AL331" i="13034"/>
  <c r="AJ331" i="13034"/>
  <c r="AH331" i="13034"/>
  <c r="AF331" i="13034"/>
  <c r="AE331" i="13034"/>
  <c r="AC331" i="13034"/>
  <c r="AA331" i="13034"/>
  <c r="Z331" i="13034"/>
  <c r="AN330" i="13034"/>
  <c r="AL330" i="13034"/>
  <c r="AJ330" i="13034"/>
  <c r="AH330" i="13034"/>
  <c r="AC330" i="13034"/>
  <c r="AV329" i="13034"/>
  <c r="AT329" i="13034"/>
  <c r="AR329" i="13034"/>
  <c r="AP329" i="13034"/>
  <c r="AN329" i="13034"/>
  <c r="AL329" i="13034"/>
  <c r="AJ329" i="13034"/>
  <c r="AH329" i="13034"/>
  <c r="AF329" i="13034"/>
  <c r="AE329" i="13034"/>
  <c r="AC329" i="13034"/>
  <c r="Z329" i="13034"/>
  <c r="AT328" i="13034"/>
  <c r="AR328" i="13034"/>
  <c r="AP328" i="13034"/>
  <c r="AJ328" i="13034"/>
  <c r="AH328" i="13034"/>
  <c r="AF328" i="13034"/>
  <c r="AE328" i="13034"/>
  <c r="AC328" i="13034"/>
  <c r="AA328" i="13034"/>
  <c r="Z328" i="13034"/>
  <c r="AT327" i="13034"/>
  <c r="AR327" i="13034"/>
  <c r="AP327" i="13034"/>
  <c r="AJ327" i="13034"/>
  <c r="AH327" i="13034"/>
  <c r="AA327" i="13034"/>
  <c r="Z327" i="13034"/>
  <c r="AV326" i="13034"/>
  <c r="AT326" i="13034"/>
  <c r="AR326" i="13034"/>
  <c r="AP326" i="13034"/>
  <c r="AN326" i="13034"/>
  <c r="AL326" i="13034"/>
  <c r="AJ326" i="13034"/>
  <c r="AH326" i="13034"/>
  <c r="AF326" i="13034"/>
  <c r="AE326" i="13034"/>
  <c r="AC326" i="13034"/>
  <c r="AA326" i="13034"/>
  <c r="Z326" i="13034"/>
  <c r="AV324" i="13034"/>
  <c r="AT324" i="13034"/>
  <c r="AR324" i="13034"/>
  <c r="AP324" i="13034"/>
  <c r="AN324" i="13034"/>
  <c r="AL324" i="13034"/>
  <c r="AJ324" i="13034"/>
  <c r="AH324" i="13034"/>
  <c r="AV323" i="13034"/>
  <c r="AT323" i="13034"/>
  <c r="AR323" i="13034"/>
  <c r="AP323" i="13034"/>
  <c r="AN323" i="13034"/>
  <c r="AL323" i="13034"/>
  <c r="AJ323" i="13034"/>
  <c r="AH323" i="13034"/>
  <c r="AV321" i="13034"/>
  <c r="AT321" i="13034"/>
  <c r="AR321" i="13034"/>
  <c r="AP321" i="13034"/>
  <c r="AN321" i="13034"/>
  <c r="AL321" i="13034"/>
  <c r="AJ321" i="13034"/>
  <c r="AH321" i="13034"/>
  <c r="AV320" i="13034"/>
  <c r="AT320" i="13034"/>
  <c r="AR320" i="13034"/>
  <c r="AP320" i="13034"/>
  <c r="AN320" i="13034"/>
  <c r="AL320" i="13034"/>
  <c r="AJ320" i="13034"/>
  <c r="AH320" i="13034"/>
  <c r="AF319" i="13034"/>
  <c r="AE319" i="13034"/>
  <c r="AC319" i="13034"/>
  <c r="AF318" i="13034"/>
  <c r="AE318" i="13034"/>
  <c r="AC318" i="13034"/>
  <c r="AF317" i="13034"/>
  <c r="AE317" i="13034"/>
  <c r="AC317" i="13034"/>
  <c r="AF316" i="13034"/>
  <c r="AE316" i="13034"/>
  <c r="AC316" i="13034"/>
  <c r="AA314" i="13034"/>
  <c r="Z314" i="13034"/>
  <c r="AA313" i="13034"/>
  <c r="Z313" i="13034"/>
  <c r="AV311" i="13034"/>
  <c r="AT311" i="13034"/>
  <c r="AR311" i="13034"/>
  <c r="AP311" i="13034"/>
  <c r="AN311" i="13034"/>
  <c r="AL311" i="13034"/>
  <c r="AJ311" i="13034"/>
  <c r="AH311" i="13034"/>
  <c r="AF311" i="13034"/>
  <c r="AE311" i="13034"/>
  <c r="AC311" i="13034"/>
  <c r="AA311" i="13034"/>
  <c r="Z311" i="13034"/>
  <c r="AN310" i="13034"/>
  <c r="AL310" i="13034"/>
  <c r="AJ310" i="13034"/>
  <c r="AH310" i="13034"/>
  <c r="AF310" i="13034"/>
  <c r="AE310" i="13034"/>
  <c r="AC310" i="13034"/>
  <c r="AT309" i="13034"/>
  <c r="AR309" i="13034"/>
  <c r="AP309" i="13034"/>
  <c r="AJ309" i="13034"/>
  <c r="AH309" i="13034"/>
  <c r="AF309" i="13034"/>
  <c r="AE309" i="13034"/>
  <c r="AC309" i="13034"/>
  <c r="AA309" i="13034"/>
  <c r="Z309" i="13034"/>
  <c r="AT308" i="13034"/>
  <c r="AR308" i="13034"/>
  <c r="AP308" i="13034"/>
  <c r="AJ308" i="13034"/>
  <c r="AH308" i="13034"/>
  <c r="AF308" i="13034"/>
  <c r="AE308" i="13034"/>
  <c r="AC308" i="13034"/>
  <c r="AA308" i="13034"/>
  <c r="Z308" i="13034"/>
  <c r="AF307" i="13034"/>
  <c r="AE307" i="13034"/>
  <c r="AC307" i="13034"/>
  <c r="AF306" i="13034"/>
  <c r="AE306" i="13034"/>
  <c r="AC306" i="13034"/>
  <c r="AF305" i="13034"/>
  <c r="AE305" i="13034"/>
  <c r="AC305" i="13034"/>
  <c r="AF304" i="13034"/>
  <c r="AE304" i="13034"/>
  <c r="AC304" i="13034"/>
  <c r="AF303" i="13034"/>
  <c r="AE303" i="13034"/>
  <c r="AC303" i="13034"/>
  <c r="AF302" i="13034"/>
  <c r="AE302" i="13034"/>
  <c r="AC302" i="13034"/>
  <c r="AF301" i="13034"/>
  <c r="AE301" i="13034"/>
  <c r="AC301" i="13034"/>
  <c r="AF300" i="13034"/>
  <c r="AE300" i="13034"/>
  <c r="AC300" i="13034"/>
  <c r="AF299" i="13034"/>
  <c r="AE299" i="13034"/>
  <c r="AC299" i="13034"/>
  <c r="AF298" i="13034"/>
  <c r="AE298" i="13034"/>
  <c r="AC298" i="13034"/>
  <c r="AF297" i="13034"/>
  <c r="AE297" i="13034"/>
  <c r="AC297" i="13034"/>
  <c r="AV296" i="13034"/>
  <c r="AT296" i="13034"/>
  <c r="AR296" i="13034"/>
  <c r="AP296" i="13034"/>
  <c r="AN296" i="13034"/>
  <c r="AL296" i="13034"/>
  <c r="AJ296" i="13034"/>
  <c r="AH296" i="13034"/>
  <c r="AF296" i="13034"/>
  <c r="AE296" i="13034"/>
  <c r="AC296" i="13034"/>
  <c r="AA296" i="13034"/>
  <c r="Z296" i="13034"/>
  <c r="AV295" i="13034"/>
  <c r="AT295" i="13034"/>
  <c r="AR295" i="13034"/>
  <c r="AP295" i="13034"/>
  <c r="AN295" i="13034"/>
  <c r="AL295" i="13034"/>
  <c r="AJ295" i="13034"/>
  <c r="AH295" i="13034"/>
  <c r="AF295" i="13034"/>
  <c r="AE295" i="13034"/>
  <c r="AC295" i="13034"/>
  <c r="AA295" i="13034"/>
  <c r="Z295" i="13034"/>
  <c r="AN294" i="13034"/>
  <c r="AL294" i="13034"/>
  <c r="AJ294" i="13034"/>
  <c r="AH294" i="13034"/>
  <c r="AC294" i="13034"/>
  <c r="AV293" i="13034"/>
  <c r="AT293" i="13034"/>
  <c r="AR293" i="13034"/>
  <c r="AP293" i="13034"/>
  <c r="AN293" i="13034"/>
  <c r="AL293" i="13034"/>
  <c r="AJ293" i="13034"/>
  <c r="AH293" i="13034"/>
  <c r="AF293" i="13034"/>
  <c r="AE293" i="13034"/>
  <c r="AC293" i="13034"/>
  <c r="Z293" i="13034"/>
  <c r="AT292" i="13034"/>
  <c r="AR292" i="13034"/>
  <c r="AP292" i="13034"/>
  <c r="AJ292" i="13034"/>
  <c r="AH292" i="13034"/>
  <c r="AF292" i="13034"/>
  <c r="AE292" i="13034"/>
  <c r="AC292" i="13034"/>
  <c r="AA292" i="13034"/>
  <c r="Z292" i="13034"/>
  <c r="AT291" i="13034"/>
  <c r="AR291" i="13034"/>
  <c r="AP291" i="13034"/>
  <c r="AC291" i="13034"/>
  <c r="AA291" i="13034"/>
  <c r="Z291" i="13034"/>
  <c r="AV290" i="13034"/>
  <c r="AT290" i="13034"/>
  <c r="AR290" i="13034"/>
  <c r="AP290" i="13034"/>
  <c r="AN290" i="13034"/>
  <c r="AL290" i="13034"/>
  <c r="AJ290" i="13034"/>
  <c r="AH290" i="13034"/>
  <c r="AF290" i="13034"/>
  <c r="AE290" i="13034"/>
  <c r="AC290" i="13034"/>
  <c r="AA290" i="13034"/>
  <c r="Z290" i="13034"/>
  <c r="AC289" i="13034"/>
  <c r="AV288" i="13034"/>
  <c r="AT288" i="13034"/>
  <c r="AR288" i="13034"/>
  <c r="AP288" i="13034"/>
  <c r="AN288" i="13034"/>
  <c r="AL288" i="13034"/>
  <c r="AJ288" i="13034"/>
  <c r="AH288" i="13034"/>
  <c r="AC288" i="13034"/>
  <c r="AV287" i="13034"/>
  <c r="AT287" i="13034"/>
  <c r="AR287" i="13034"/>
  <c r="AP287" i="13034"/>
  <c r="AN287" i="13034"/>
  <c r="AL287" i="13034"/>
  <c r="AJ287" i="13034"/>
  <c r="AH287" i="13034"/>
  <c r="AC287" i="13034"/>
  <c r="AC286" i="13034"/>
  <c r="AV285" i="13034"/>
  <c r="AT285" i="13034"/>
  <c r="AR285" i="13034"/>
  <c r="AP285" i="13034"/>
  <c r="AN285" i="13034"/>
  <c r="AL285" i="13034"/>
  <c r="AJ285" i="13034"/>
  <c r="AH285" i="13034"/>
  <c r="AC285" i="13034"/>
  <c r="AV284" i="13034"/>
  <c r="AT284" i="13034"/>
  <c r="AR284" i="13034"/>
  <c r="AP284" i="13034"/>
  <c r="AN284" i="13034"/>
  <c r="AL284" i="13034"/>
  <c r="AJ284" i="13034"/>
  <c r="AH284" i="13034"/>
  <c r="AC284" i="13034"/>
  <c r="AF283" i="13034"/>
  <c r="AE283" i="13034"/>
  <c r="AC283" i="13034"/>
  <c r="AF282" i="13034"/>
  <c r="AE282" i="13034"/>
  <c r="AC282" i="13034"/>
  <c r="AF281" i="13034"/>
  <c r="AE281" i="13034"/>
  <c r="AC281" i="13034"/>
  <c r="AF280" i="13034"/>
  <c r="AE280" i="13034"/>
  <c r="AC280" i="13034"/>
  <c r="AC279" i="13034"/>
  <c r="AC278" i="13034"/>
  <c r="AA278" i="13034"/>
  <c r="Z278" i="13034"/>
  <c r="AC277" i="13034"/>
  <c r="AA277" i="13034"/>
  <c r="Z277" i="13034"/>
  <c r="AC276" i="13034"/>
  <c r="AV275" i="13034"/>
  <c r="AT275" i="13034"/>
  <c r="AR275" i="13034"/>
  <c r="AP275" i="13034"/>
  <c r="AN275" i="13034"/>
  <c r="AL275" i="13034"/>
  <c r="AJ275" i="13034"/>
  <c r="AH275" i="13034"/>
  <c r="AF275" i="13034"/>
  <c r="AE275" i="13034"/>
  <c r="AC275" i="13034"/>
  <c r="AA275" i="13034"/>
  <c r="Z275" i="13034"/>
  <c r="AN274" i="13034"/>
  <c r="AL274" i="13034"/>
  <c r="AJ274" i="13034"/>
  <c r="AH274" i="13034"/>
  <c r="AF274" i="13034"/>
  <c r="AE274" i="13034"/>
  <c r="AC274" i="13034"/>
  <c r="AT273" i="13034"/>
  <c r="AR273" i="13034"/>
  <c r="AP273" i="13034"/>
  <c r="AJ273" i="13034"/>
  <c r="AH273" i="13034"/>
  <c r="AF273" i="13034"/>
  <c r="AE273" i="13034"/>
  <c r="AC273" i="13034"/>
  <c r="AA273" i="13034"/>
  <c r="Z273" i="13034"/>
  <c r="AT272" i="13034"/>
  <c r="AR272" i="13034"/>
  <c r="AP272" i="13034"/>
  <c r="AJ272" i="13034"/>
  <c r="AH272" i="13034"/>
  <c r="AF272" i="13034"/>
  <c r="AE272" i="13034"/>
  <c r="AC272" i="13034"/>
  <c r="AA272" i="13034"/>
  <c r="Z272" i="13034"/>
  <c r="AF271" i="13034"/>
  <c r="AE271" i="13034"/>
  <c r="AC271" i="13034"/>
  <c r="AF270" i="13034"/>
  <c r="AE270" i="13034"/>
  <c r="AC270" i="13034"/>
  <c r="AF269" i="13034"/>
  <c r="AE269" i="13034"/>
  <c r="AC269" i="13034"/>
  <c r="AF268" i="13034"/>
  <c r="AE268" i="13034"/>
  <c r="AC268" i="13034"/>
  <c r="AF267" i="13034"/>
  <c r="AE267" i="13034"/>
  <c r="AC267" i="13034"/>
  <c r="AF266" i="13034"/>
  <c r="AE266" i="13034"/>
  <c r="AC266" i="13034"/>
  <c r="AF265" i="13034"/>
  <c r="AE265" i="13034"/>
  <c r="AC265" i="13034"/>
  <c r="AF264" i="13034"/>
  <c r="AE264" i="13034"/>
  <c r="AC264" i="13034"/>
  <c r="AF263" i="13034"/>
  <c r="AE263" i="13034"/>
  <c r="AC263" i="13034"/>
  <c r="AF262" i="13034"/>
  <c r="AE262" i="13034"/>
  <c r="AC262" i="13034"/>
  <c r="AF261" i="13034"/>
  <c r="AE261" i="13034"/>
  <c r="AC261" i="13034"/>
  <c r="AV260" i="13034"/>
  <c r="AT260" i="13034"/>
  <c r="AR260" i="13034"/>
  <c r="AP260" i="13034"/>
  <c r="AN260" i="13034"/>
  <c r="AL260" i="13034"/>
  <c r="AJ260" i="13034"/>
  <c r="AH260" i="13034"/>
  <c r="AF260" i="13034"/>
  <c r="AE260" i="13034"/>
  <c r="AC260" i="13034"/>
  <c r="AA260" i="13034"/>
  <c r="Z260" i="13034"/>
  <c r="AV259" i="13034"/>
  <c r="AT259" i="13034"/>
  <c r="AR259" i="13034"/>
  <c r="AP259" i="13034"/>
  <c r="AN259" i="13034"/>
  <c r="AL259" i="13034"/>
  <c r="AJ259" i="13034"/>
  <c r="AH259" i="13034"/>
  <c r="AF259" i="13034"/>
  <c r="AE259" i="13034"/>
  <c r="AC259" i="13034"/>
  <c r="AA259" i="13034"/>
  <c r="Z259" i="13034"/>
  <c r="AN258" i="13034"/>
  <c r="AL258" i="13034"/>
  <c r="AJ258" i="13034"/>
  <c r="AH258" i="13034"/>
  <c r="AC258" i="13034"/>
  <c r="AV257" i="13034"/>
  <c r="AT257" i="13034"/>
  <c r="AR257" i="13034"/>
  <c r="AP257" i="13034"/>
  <c r="AN257" i="13034"/>
  <c r="AL257" i="13034"/>
  <c r="AJ257" i="13034"/>
  <c r="AH257" i="13034"/>
  <c r="AF257" i="13034"/>
  <c r="AE257" i="13034"/>
  <c r="AC257" i="13034"/>
  <c r="AT256" i="13034"/>
  <c r="AR256" i="13034"/>
  <c r="AP256" i="13034"/>
  <c r="AJ256" i="13034"/>
  <c r="AH256" i="13034"/>
  <c r="AF256" i="13034"/>
  <c r="AE256" i="13034"/>
  <c r="AC256" i="13034"/>
  <c r="AA256" i="13034"/>
  <c r="Z256" i="13034"/>
  <c r="AT255" i="13034"/>
  <c r="AR255" i="13034"/>
  <c r="AP255" i="13034"/>
  <c r="AJ255" i="13034"/>
  <c r="AH255" i="13034"/>
  <c r="AA255" i="13034"/>
  <c r="Z255" i="13034"/>
  <c r="AV254" i="13034"/>
  <c r="AT254" i="13034"/>
  <c r="AR254" i="13034"/>
  <c r="AP254" i="13034"/>
  <c r="AN254" i="13034"/>
  <c r="AL254" i="13034"/>
  <c r="AJ254" i="13034"/>
  <c r="AH254" i="13034"/>
  <c r="AC254" i="13034"/>
  <c r="AV252" i="13034"/>
  <c r="AT252" i="13034"/>
  <c r="AR252" i="13034"/>
  <c r="AP252" i="13034"/>
  <c r="AN252" i="13034"/>
  <c r="AL252" i="13034"/>
  <c r="AJ252" i="13034"/>
  <c r="AH252" i="13034"/>
  <c r="AV251" i="13034"/>
  <c r="AT251" i="13034"/>
  <c r="AR251" i="13034"/>
  <c r="AP251" i="13034"/>
  <c r="AN251" i="13034"/>
  <c r="AL251" i="13034"/>
  <c r="AJ251" i="13034"/>
  <c r="AH251" i="13034"/>
  <c r="AV249" i="13034"/>
  <c r="AT249" i="13034"/>
  <c r="AR249" i="13034"/>
  <c r="AP249" i="13034"/>
  <c r="AN249" i="13034"/>
  <c r="AL249" i="13034"/>
  <c r="AJ249" i="13034"/>
  <c r="AH249" i="13034"/>
  <c r="AV248" i="13034"/>
  <c r="AT248" i="13034"/>
  <c r="AR248" i="13034"/>
  <c r="AP248" i="13034"/>
  <c r="AN248" i="13034"/>
  <c r="AL248" i="13034"/>
  <c r="AJ248" i="13034"/>
  <c r="AH248" i="13034"/>
  <c r="AF247" i="13034"/>
  <c r="AE247" i="13034"/>
  <c r="AC247" i="13034"/>
  <c r="AF246" i="13034"/>
  <c r="AE246" i="13034"/>
  <c r="AC246" i="13034"/>
  <c r="AF245" i="13034"/>
  <c r="AE245" i="13034"/>
  <c r="AC245" i="13034"/>
  <c r="AF244" i="13034"/>
  <c r="AE244" i="13034"/>
  <c r="AC244" i="13034"/>
  <c r="AV239" i="13034"/>
  <c r="AT239" i="13034"/>
  <c r="AR239" i="13034"/>
  <c r="AP239" i="13034"/>
  <c r="AN239" i="13034"/>
  <c r="AL239" i="13034"/>
  <c r="AJ239" i="13034"/>
  <c r="AH239" i="13034"/>
  <c r="AF239" i="13034"/>
  <c r="AE239" i="13034"/>
  <c r="AC239" i="13034"/>
  <c r="AA239" i="13034"/>
  <c r="Z239" i="13034"/>
  <c r="AN238" i="13034"/>
  <c r="AL238" i="13034"/>
  <c r="AJ238" i="13034"/>
  <c r="AH238" i="13034"/>
  <c r="AF238" i="13034"/>
  <c r="AE238" i="13034"/>
  <c r="AC238" i="13034"/>
  <c r="AT237" i="13034"/>
  <c r="AR237" i="13034"/>
  <c r="AP237" i="13034"/>
  <c r="AJ237" i="13034"/>
  <c r="AH237" i="13034"/>
  <c r="AF237" i="13034"/>
  <c r="AE237" i="13034"/>
  <c r="AC237" i="13034"/>
  <c r="AA237" i="13034"/>
  <c r="Z237" i="13034"/>
  <c r="AT236" i="13034"/>
  <c r="AR236" i="13034"/>
  <c r="AP236" i="13034"/>
  <c r="AJ236" i="13034"/>
  <c r="AH236" i="13034"/>
  <c r="AF236" i="13034"/>
  <c r="AE236" i="13034"/>
  <c r="AC236" i="13034"/>
  <c r="AA236" i="13034"/>
  <c r="Z236" i="13034"/>
  <c r="AF235" i="13034"/>
  <c r="AE235" i="13034"/>
  <c r="AC235" i="13034"/>
  <c r="AF234" i="13034"/>
  <c r="AE234" i="13034"/>
  <c r="AC234" i="13034"/>
  <c r="AF233" i="13034"/>
  <c r="AE233" i="13034"/>
  <c r="AC233" i="13034"/>
  <c r="AF232" i="13034"/>
  <c r="AE232" i="13034"/>
  <c r="AC232" i="13034"/>
  <c r="AF231" i="13034"/>
  <c r="AE231" i="13034"/>
  <c r="AC231" i="13034"/>
  <c r="AF230" i="13034"/>
  <c r="AE230" i="13034"/>
  <c r="AC230" i="13034"/>
  <c r="AF229" i="13034"/>
  <c r="AE229" i="13034"/>
  <c r="AC229" i="13034"/>
  <c r="AF228" i="13034"/>
  <c r="AE228" i="13034"/>
  <c r="AC228" i="13034"/>
  <c r="AF227" i="13034"/>
  <c r="AE227" i="13034"/>
  <c r="AC227" i="13034"/>
  <c r="AF226" i="13034"/>
  <c r="AE226" i="13034"/>
  <c r="AC226" i="13034"/>
  <c r="AF225" i="13034"/>
  <c r="AE225" i="13034"/>
  <c r="AC225" i="13034"/>
  <c r="AV224" i="13034"/>
  <c r="AT224" i="13034"/>
  <c r="AR224" i="13034"/>
  <c r="AP224" i="13034"/>
  <c r="AN224" i="13034"/>
  <c r="AL224" i="13034"/>
  <c r="AJ224" i="13034"/>
  <c r="AH224" i="13034"/>
  <c r="AF224" i="13034"/>
  <c r="AE224" i="13034"/>
  <c r="AC224" i="13034"/>
  <c r="AA224" i="13034"/>
  <c r="Z224" i="13034"/>
  <c r="AV223" i="13034"/>
  <c r="AT223" i="13034"/>
  <c r="AR223" i="13034"/>
  <c r="AP223" i="13034"/>
  <c r="AN223" i="13034"/>
  <c r="AL223" i="13034"/>
  <c r="AJ223" i="13034"/>
  <c r="AH223" i="13034"/>
  <c r="AF223" i="13034"/>
  <c r="AE223" i="13034"/>
  <c r="AC223" i="13034"/>
  <c r="AA223" i="13034"/>
  <c r="Z223" i="13034"/>
  <c r="AN222" i="13034"/>
  <c r="AL222" i="13034"/>
  <c r="AJ222" i="13034"/>
  <c r="AH222" i="13034"/>
  <c r="AC222" i="13034"/>
  <c r="AT221" i="13034"/>
  <c r="AR221" i="13034"/>
  <c r="AP221" i="13034"/>
  <c r="AJ221" i="13034"/>
  <c r="AH221" i="13034"/>
  <c r="AF221" i="13034"/>
  <c r="AE221" i="13034"/>
  <c r="AC221" i="13034"/>
  <c r="AT220" i="13034"/>
  <c r="AR220" i="13034"/>
  <c r="AP220" i="13034"/>
  <c r="AJ220" i="13034"/>
  <c r="AH220" i="13034"/>
  <c r="AC220" i="13034"/>
  <c r="AA220" i="13034"/>
  <c r="Z220" i="13034"/>
  <c r="AV219" i="13034"/>
  <c r="AT219" i="13034"/>
  <c r="AR219" i="13034"/>
  <c r="AP219" i="13034"/>
  <c r="AN219" i="13034"/>
  <c r="AL219" i="13034"/>
  <c r="AJ219" i="13034"/>
  <c r="AH219" i="13034"/>
  <c r="AF219" i="13034"/>
  <c r="AC219" i="13034"/>
  <c r="AA219" i="13034"/>
  <c r="AC218" i="13034"/>
  <c r="AV217" i="13034"/>
  <c r="AT217" i="13034"/>
  <c r="AR217" i="13034"/>
  <c r="AP217" i="13034"/>
  <c r="AN217" i="13034"/>
  <c r="AL217" i="13034"/>
  <c r="AJ217" i="13034"/>
  <c r="AH217" i="13034"/>
  <c r="AC217" i="13034"/>
  <c r="AV216" i="13034"/>
  <c r="AT216" i="13034"/>
  <c r="AR216" i="13034"/>
  <c r="AP216" i="13034"/>
  <c r="AN216" i="13034"/>
  <c r="AL216" i="13034"/>
  <c r="AJ216" i="13034"/>
  <c r="AH216" i="13034"/>
  <c r="AC216" i="13034"/>
  <c r="AV215" i="13034"/>
  <c r="AT215" i="13034"/>
  <c r="AR215" i="13034"/>
  <c r="AP215" i="13034"/>
  <c r="AN215" i="13034"/>
  <c r="AL215" i="13034"/>
  <c r="AJ215" i="13034"/>
  <c r="AH215" i="13034"/>
  <c r="AC215" i="13034"/>
  <c r="AV214" i="13034"/>
  <c r="AT214" i="13034"/>
  <c r="AR214" i="13034"/>
  <c r="AP214" i="13034"/>
  <c r="AN214" i="13034"/>
  <c r="AL214" i="13034"/>
  <c r="AJ214" i="13034"/>
  <c r="AH214" i="13034"/>
  <c r="AC214" i="13034"/>
  <c r="AV213" i="13034"/>
  <c r="AT213" i="13034"/>
  <c r="AR213" i="13034"/>
  <c r="AP213" i="13034"/>
  <c r="AN213" i="13034"/>
  <c r="AL213" i="13034"/>
  <c r="AJ213" i="13034"/>
  <c r="AH213" i="13034"/>
  <c r="AC213" i="13034"/>
  <c r="AV212" i="13034"/>
  <c r="AT212" i="13034"/>
  <c r="AR212" i="13034"/>
  <c r="AP212" i="13034"/>
  <c r="AN212" i="13034"/>
  <c r="AL212" i="13034"/>
  <c r="AJ212" i="13034"/>
  <c r="AH212" i="13034"/>
  <c r="AC212" i="13034"/>
  <c r="AV211" i="13034"/>
  <c r="AT211" i="13034"/>
  <c r="AR211" i="13034"/>
  <c r="AP211" i="13034"/>
  <c r="AN211" i="13034"/>
  <c r="AL211" i="13034"/>
  <c r="AJ211" i="13034"/>
  <c r="AH211" i="13034"/>
  <c r="AC211" i="13034"/>
  <c r="AF210" i="13034"/>
  <c r="AE210" i="13034"/>
  <c r="AC210" i="13034"/>
  <c r="AF209" i="13034"/>
  <c r="AE209" i="13034"/>
  <c r="AC209" i="13034"/>
  <c r="AF208" i="13034"/>
  <c r="AE208" i="13034"/>
  <c r="AC208" i="13034"/>
  <c r="AF207" i="13034"/>
  <c r="AE207" i="13034"/>
  <c r="AC207" i="13034"/>
  <c r="AF206" i="13034"/>
  <c r="AE206" i="13034"/>
  <c r="AC206" i="13034"/>
  <c r="AF205" i="13034"/>
  <c r="AE205" i="13034"/>
  <c r="AC205" i="13034"/>
  <c r="AF204" i="13034"/>
  <c r="AE204" i="13034"/>
  <c r="AC204" i="13034"/>
  <c r="AV203" i="13034"/>
  <c r="AT203" i="13034"/>
  <c r="AR203" i="13034"/>
  <c r="AP203" i="13034"/>
  <c r="AN203" i="13034"/>
  <c r="AL203" i="13034"/>
  <c r="AJ203" i="13034"/>
  <c r="AH203" i="13034"/>
  <c r="AC203" i="13034"/>
  <c r="AV202" i="13034"/>
  <c r="AT202" i="13034"/>
  <c r="AR202" i="13034"/>
  <c r="AP202" i="13034"/>
  <c r="AN202" i="13034"/>
  <c r="AL202" i="13034"/>
  <c r="AJ202" i="13034"/>
  <c r="AH202" i="13034"/>
  <c r="AF202" i="13034"/>
  <c r="AE202" i="13034"/>
  <c r="AC202" i="13034"/>
  <c r="AA202" i="13034"/>
  <c r="AV201" i="13034"/>
  <c r="AT201" i="13034"/>
  <c r="AR201" i="13034"/>
  <c r="AP201" i="13034"/>
  <c r="AN201" i="13034"/>
  <c r="AL201" i="13034"/>
  <c r="AJ201" i="13034"/>
  <c r="AH201" i="13034"/>
  <c r="AF201" i="13034"/>
  <c r="AE201" i="13034"/>
  <c r="AC201" i="13034"/>
  <c r="AA201" i="13034"/>
  <c r="AV200" i="13034"/>
  <c r="AT200" i="13034"/>
  <c r="AR200" i="13034"/>
  <c r="AP200" i="13034"/>
  <c r="AN200" i="13034"/>
  <c r="AL200" i="13034"/>
  <c r="AJ200" i="13034"/>
  <c r="AH200" i="13034"/>
  <c r="AC200" i="13034"/>
  <c r="AV199" i="13034"/>
  <c r="AT199" i="13034"/>
  <c r="AR199" i="13034"/>
  <c r="AP199" i="13034"/>
  <c r="AN199" i="13034"/>
  <c r="AL199" i="13034"/>
  <c r="AJ199" i="13034"/>
  <c r="AH199" i="13034"/>
  <c r="AF199" i="13034"/>
  <c r="AE199" i="13034"/>
  <c r="AC199" i="13034"/>
  <c r="AV198" i="13034"/>
  <c r="AT198" i="13034"/>
  <c r="AR198" i="13034"/>
  <c r="AP198" i="13034"/>
  <c r="AN198" i="13034"/>
  <c r="AL198" i="13034"/>
  <c r="AJ198" i="13034"/>
  <c r="AH198" i="13034"/>
  <c r="AF198" i="13034"/>
  <c r="AE198" i="13034"/>
  <c r="AC198" i="13034"/>
  <c r="AV197" i="13034"/>
  <c r="AT197" i="13034"/>
  <c r="AR197" i="13034"/>
  <c r="AP197" i="13034"/>
  <c r="AN197" i="13034"/>
  <c r="AL197" i="13034"/>
  <c r="AJ197" i="13034"/>
  <c r="AH197" i="13034"/>
  <c r="AC197" i="13034"/>
  <c r="AC196" i="13034"/>
  <c r="AC195" i="13034"/>
  <c r="AF194" i="13034"/>
  <c r="AE194" i="13034"/>
  <c r="AC194" i="13034"/>
  <c r="AA194" i="13034"/>
  <c r="AF193" i="13034"/>
  <c r="AE193" i="13034"/>
  <c r="AC193" i="13034"/>
  <c r="AA193" i="13034"/>
  <c r="AV192" i="13034"/>
  <c r="AT192" i="13034"/>
  <c r="AR192" i="13034"/>
  <c r="AP192" i="13034"/>
  <c r="AN192" i="13034"/>
  <c r="AL192" i="13034"/>
  <c r="AJ192" i="13034"/>
  <c r="AH192" i="13034"/>
  <c r="AC192" i="13034"/>
  <c r="AF191" i="13034"/>
  <c r="AE191" i="13034"/>
  <c r="AC191" i="13034"/>
  <c r="AF190" i="13034"/>
  <c r="AE190" i="13034"/>
  <c r="AC190" i="13034"/>
  <c r="AV189" i="13034"/>
  <c r="AT189" i="13034"/>
  <c r="AR189" i="13034"/>
  <c r="AP189" i="13034"/>
  <c r="AN189" i="13034"/>
  <c r="AL189" i="13034"/>
  <c r="AJ189" i="13034"/>
  <c r="AH189" i="13034"/>
  <c r="AC189" i="13034"/>
  <c r="AV188" i="13034"/>
  <c r="AT188" i="13034"/>
  <c r="AR188" i="13034"/>
  <c r="AP188" i="13034"/>
  <c r="AN188" i="13034"/>
  <c r="AL188" i="13034"/>
  <c r="AJ188" i="13034"/>
  <c r="AH188" i="13034"/>
  <c r="AF188" i="13034"/>
  <c r="AE188" i="13034"/>
  <c r="AC188" i="13034"/>
  <c r="AV187" i="13034"/>
  <c r="AT187" i="13034"/>
  <c r="AR187" i="13034"/>
  <c r="AP187" i="13034"/>
  <c r="AN187" i="13034"/>
  <c r="AL187" i="13034"/>
  <c r="AJ187" i="13034"/>
  <c r="AH187" i="13034"/>
  <c r="AF187" i="13034"/>
  <c r="AE187" i="13034"/>
  <c r="AC187" i="13034"/>
  <c r="AA187" i="13034"/>
  <c r="Z187" i="13034"/>
  <c r="AV186" i="13034"/>
  <c r="AT186" i="13034"/>
  <c r="AR186" i="13034"/>
  <c r="AP186" i="13034"/>
  <c r="AN186" i="13034"/>
  <c r="AL186" i="13034"/>
  <c r="AJ186" i="13034"/>
  <c r="AH186" i="13034"/>
  <c r="AF186" i="13034"/>
  <c r="AE186" i="13034"/>
  <c r="AC186" i="13034"/>
  <c r="AA186" i="13034"/>
  <c r="Z186" i="13034"/>
  <c r="AN185" i="13034"/>
  <c r="AL185" i="13034"/>
  <c r="AJ185" i="13034"/>
  <c r="AH185" i="13034"/>
  <c r="AC185" i="13034"/>
  <c r="AT184" i="13034"/>
  <c r="AR184" i="13034"/>
  <c r="AP184" i="13034"/>
  <c r="AJ184" i="13034"/>
  <c r="AH184" i="13034"/>
  <c r="AF184" i="13034"/>
  <c r="AE184" i="13034"/>
  <c r="AC184" i="13034"/>
  <c r="AT183" i="13034"/>
  <c r="AR183" i="13034"/>
  <c r="AP183" i="13034"/>
  <c r="AJ183" i="13034"/>
  <c r="AH183" i="13034"/>
  <c r="AC183" i="13034"/>
  <c r="AA183" i="13034"/>
  <c r="Z183" i="13034"/>
  <c r="AV182" i="13034"/>
  <c r="AT182" i="13034"/>
  <c r="AR182" i="13034"/>
  <c r="AP182" i="13034"/>
  <c r="AN182" i="13034"/>
  <c r="AL182" i="13034"/>
  <c r="AJ182" i="13034"/>
  <c r="AH182" i="13034"/>
  <c r="AF182" i="13034"/>
  <c r="AC182" i="13034"/>
  <c r="AA182" i="13034"/>
  <c r="AC181" i="13034"/>
  <c r="AV180" i="13034"/>
  <c r="AT180" i="13034"/>
  <c r="AR180" i="13034"/>
  <c r="AP180" i="13034"/>
  <c r="AN180" i="13034"/>
  <c r="AL180" i="13034"/>
  <c r="AJ180" i="13034"/>
  <c r="AH180" i="13034"/>
  <c r="AC180" i="13034"/>
  <c r="AV179" i="13034"/>
  <c r="AT179" i="13034"/>
  <c r="AR179" i="13034"/>
  <c r="AP179" i="13034"/>
  <c r="AN179" i="13034"/>
  <c r="AL179" i="13034"/>
  <c r="AJ179" i="13034"/>
  <c r="AH179" i="13034"/>
  <c r="AC179" i="13034"/>
  <c r="AV178" i="13034"/>
  <c r="AT178" i="13034"/>
  <c r="AR178" i="13034"/>
  <c r="AP178" i="13034"/>
  <c r="AN178" i="13034"/>
  <c r="AL178" i="13034"/>
  <c r="AJ178" i="13034"/>
  <c r="AH178" i="13034"/>
  <c r="AC178" i="13034"/>
  <c r="AV177" i="13034"/>
  <c r="AT177" i="13034"/>
  <c r="AR177" i="13034"/>
  <c r="AP177" i="13034"/>
  <c r="AN177" i="13034"/>
  <c r="AL177" i="13034"/>
  <c r="AJ177" i="13034"/>
  <c r="AH177" i="13034"/>
  <c r="AC177" i="13034"/>
  <c r="AV176" i="13034"/>
  <c r="AT176" i="13034"/>
  <c r="AR176" i="13034"/>
  <c r="AP176" i="13034"/>
  <c r="AN176" i="13034"/>
  <c r="AL176" i="13034"/>
  <c r="AJ176" i="13034"/>
  <c r="AH176" i="13034"/>
  <c r="AC176" i="13034"/>
  <c r="AV175" i="13034"/>
  <c r="AT175" i="13034"/>
  <c r="AR175" i="13034"/>
  <c r="AP175" i="13034"/>
  <c r="AN175" i="13034"/>
  <c r="AL175" i="13034"/>
  <c r="AJ175" i="13034"/>
  <c r="AH175" i="13034"/>
  <c r="AC175" i="13034"/>
  <c r="AV174" i="13034"/>
  <c r="AT174" i="13034"/>
  <c r="AR174" i="13034"/>
  <c r="AP174" i="13034"/>
  <c r="AN174" i="13034"/>
  <c r="AL174" i="13034"/>
  <c r="AJ174" i="13034"/>
  <c r="AH174" i="13034"/>
  <c r="AC174" i="13034"/>
  <c r="AF173" i="13034"/>
  <c r="AE173" i="13034"/>
  <c r="AC173" i="13034"/>
  <c r="AF172" i="13034"/>
  <c r="AE172" i="13034"/>
  <c r="AC172" i="13034"/>
  <c r="AF171" i="13034"/>
  <c r="AE171" i="13034"/>
  <c r="AC171" i="13034"/>
  <c r="AF170" i="13034"/>
  <c r="AE170" i="13034"/>
  <c r="AC170" i="13034"/>
  <c r="AF169" i="13034"/>
  <c r="AE169" i="13034"/>
  <c r="AC169" i="13034"/>
  <c r="AF168" i="13034"/>
  <c r="AE168" i="13034"/>
  <c r="AC168" i="13034"/>
  <c r="AF167" i="13034"/>
  <c r="AE167" i="13034"/>
  <c r="AC167" i="13034"/>
  <c r="AV166" i="13034"/>
  <c r="AT166" i="13034"/>
  <c r="AR166" i="13034"/>
  <c r="AP166" i="13034"/>
  <c r="AN166" i="13034"/>
  <c r="AL166" i="13034"/>
  <c r="AJ166" i="13034"/>
  <c r="AH166" i="13034"/>
  <c r="AC166" i="13034"/>
  <c r="AV165" i="13034"/>
  <c r="AT165" i="13034"/>
  <c r="AR165" i="13034"/>
  <c r="AP165" i="13034"/>
  <c r="AN165" i="13034"/>
  <c r="AL165" i="13034"/>
  <c r="AJ165" i="13034"/>
  <c r="AH165" i="13034"/>
  <c r="AF165" i="13034"/>
  <c r="AE165" i="13034"/>
  <c r="AC165" i="13034"/>
  <c r="AV164" i="13034"/>
  <c r="AT164" i="13034"/>
  <c r="AR164" i="13034"/>
  <c r="AP164" i="13034"/>
  <c r="AN164" i="13034"/>
  <c r="AL164" i="13034"/>
  <c r="AJ164" i="13034"/>
  <c r="AH164" i="13034"/>
  <c r="AF164" i="13034"/>
  <c r="AE164" i="13034"/>
  <c r="AC164" i="13034"/>
  <c r="AV163" i="13034"/>
  <c r="AT163" i="13034"/>
  <c r="AR163" i="13034"/>
  <c r="AP163" i="13034"/>
  <c r="AN163" i="13034"/>
  <c r="AL163" i="13034"/>
  <c r="AJ163" i="13034"/>
  <c r="AH163" i="13034"/>
  <c r="AC163" i="13034"/>
  <c r="AV162" i="13034"/>
  <c r="AT162" i="13034"/>
  <c r="AR162" i="13034"/>
  <c r="AP162" i="13034"/>
  <c r="AN162" i="13034"/>
  <c r="AL162" i="13034"/>
  <c r="AJ162" i="13034"/>
  <c r="AH162" i="13034"/>
  <c r="AF162" i="13034"/>
  <c r="AE162" i="13034"/>
  <c r="AC162" i="13034"/>
  <c r="AV161" i="13034"/>
  <c r="AT161" i="13034"/>
  <c r="AR161" i="13034"/>
  <c r="AP161" i="13034"/>
  <c r="AN161" i="13034"/>
  <c r="AL161" i="13034"/>
  <c r="AJ161" i="13034"/>
  <c r="AH161" i="13034"/>
  <c r="AF161" i="13034"/>
  <c r="AE161" i="13034"/>
  <c r="AC161" i="13034"/>
  <c r="AV160" i="13034"/>
  <c r="AT160" i="13034"/>
  <c r="AR160" i="13034"/>
  <c r="AP160" i="13034"/>
  <c r="AN160" i="13034"/>
  <c r="AL160" i="13034"/>
  <c r="AJ160" i="13034"/>
  <c r="AH160" i="13034"/>
  <c r="AC160" i="13034"/>
  <c r="AC159" i="13034"/>
  <c r="AC158" i="13034"/>
  <c r="AF157" i="13034"/>
  <c r="AE157" i="13034"/>
  <c r="AC157" i="13034"/>
  <c r="AF156" i="13034"/>
  <c r="AE156" i="13034"/>
  <c r="AC156" i="13034"/>
  <c r="AV155" i="13034"/>
  <c r="AT155" i="13034"/>
  <c r="AR155" i="13034"/>
  <c r="AP155" i="13034"/>
  <c r="AN155" i="13034"/>
  <c r="AL155" i="13034"/>
  <c r="AJ155" i="13034"/>
  <c r="AH155" i="13034"/>
  <c r="AC155" i="13034"/>
  <c r="AF154" i="13034"/>
  <c r="AE154" i="13034"/>
  <c r="AC154" i="13034"/>
  <c r="AF153" i="13034"/>
  <c r="AE153" i="13034"/>
  <c r="AC153" i="13034"/>
  <c r="AV152" i="13034"/>
  <c r="AT152" i="13034"/>
  <c r="AR152" i="13034"/>
  <c r="AP152" i="13034"/>
  <c r="AN152" i="13034"/>
  <c r="AL152" i="13034"/>
  <c r="AJ152" i="13034"/>
  <c r="AH152" i="13034"/>
  <c r="AC152" i="13034"/>
  <c r="AV151" i="13034"/>
  <c r="AT151" i="13034"/>
  <c r="AR151" i="13034"/>
  <c r="AP151" i="13034"/>
  <c r="AN151" i="13034"/>
  <c r="AL151" i="13034"/>
  <c r="AJ151" i="13034"/>
  <c r="AH151" i="13034"/>
  <c r="AF151" i="13034"/>
  <c r="AE151" i="13034"/>
  <c r="AC151" i="13034"/>
  <c r="AV150" i="13034"/>
  <c r="AT150" i="13034"/>
  <c r="AR150" i="13034"/>
  <c r="AP150" i="13034"/>
  <c r="AN150" i="13034"/>
  <c r="AL150" i="13034"/>
  <c r="AJ150" i="13034"/>
  <c r="AH150" i="13034"/>
  <c r="AF150" i="13034"/>
  <c r="AE150" i="13034"/>
  <c r="AC150" i="13034"/>
  <c r="AA150" i="13034"/>
  <c r="Z150" i="13034"/>
  <c r="AV149" i="13034"/>
  <c r="AT149" i="13034"/>
  <c r="AR149" i="13034"/>
  <c r="AP149" i="13034"/>
  <c r="AN149" i="13034"/>
  <c r="AL149" i="13034"/>
  <c r="AJ149" i="13034"/>
  <c r="AH149" i="13034"/>
  <c r="AF149" i="13034"/>
  <c r="AE149" i="13034"/>
  <c r="AC149" i="13034"/>
  <c r="AA149" i="13034"/>
  <c r="Z149" i="13034"/>
  <c r="AN148" i="13034"/>
  <c r="AL148" i="13034"/>
  <c r="AJ148" i="13034"/>
  <c r="AH148" i="13034"/>
  <c r="AC148" i="13034"/>
  <c r="AT147" i="13034"/>
  <c r="AR147" i="13034"/>
  <c r="AP147" i="13034"/>
  <c r="AJ147" i="13034"/>
  <c r="AH147" i="13034"/>
  <c r="AF147" i="13034"/>
  <c r="AE147" i="13034"/>
  <c r="AC147" i="13034"/>
  <c r="AT146" i="13034"/>
  <c r="AR146" i="13034"/>
  <c r="AP146" i="13034"/>
  <c r="AJ146" i="13034"/>
  <c r="AH146" i="13034"/>
  <c r="AC146" i="13034"/>
  <c r="AA146" i="13034"/>
  <c r="Z146" i="13034"/>
  <c r="AV145" i="13034"/>
  <c r="AT145" i="13034"/>
  <c r="AR145" i="13034"/>
  <c r="AP145" i="13034"/>
  <c r="AN145" i="13034"/>
  <c r="AL145" i="13034"/>
  <c r="AJ145" i="13034"/>
  <c r="AH145" i="13034"/>
  <c r="AF145" i="13034"/>
  <c r="AC145" i="13034"/>
  <c r="AA145" i="13034"/>
  <c r="AC144" i="13034"/>
  <c r="AV143" i="13034"/>
  <c r="AT143" i="13034"/>
  <c r="AR143" i="13034"/>
  <c r="AP143" i="13034"/>
  <c r="AN143" i="13034"/>
  <c r="AL143" i="13034"/>
  <c r="AJ143" i="13034"/>
  <c r="AH143" i="13034"/>
  <c r="AC143" i="13034"/>
  <c r="AV142" i="13034"/>
  <c r="AT142" i="13034"/>
  <c r="AR142" i="13034"/>
  <c r="AP142" i="13034"/>
  <c r="AN142" i="13034"/>
  <c r="AL142" i="13034"/>
  <c r="AJ142" i="13034"/>
  <c r="AH142" i="13034"/>
  <c r="AC142" i="13034"/>
  <c r="AV141" i="13034"/>
  <c r="AT141" i="13034"/>
  <c r="AR141" i="13034"/>
  <c r="AP141" i="13034"/>
  <c r="AN141" i="13034"/>
  <c r="AL141" i="13034"/>
  <c r="AJ141" i="13034"/>
  <c r="AH141" i="13034"/>
  <c r="AC141" i="13034"/>
  <c r="AV140" i="13034"/>
  <c r="AT140" i="13034"/>
  <c r="AR140" i="13034"/>
  <c r="AP140" i="13034"/>
  <c r="AN140" i="13034"/>
  <c r="AL140" i="13034"/>
  <c r="AJ140" i="13034"/>
  <c r="AH140" i="13034"/>
  <c r="AC140" i="13034"/>
  <c r="AV139" i="13034"/>
  <c r="AT139" i="13034"/>
  <c r="AR139" i="13034"/>
  <c r="AP139" i="13034"/>
  <c r="AN139" i="13034"/>
  <c r="AL139" i="13034"/>
  <c r="AJ139" i="13034"/>
  <c r="AH139" i="13034"/>
  <c r="AC139" i="13034"/>
  <c r="AV138" i="13034"/>
  <c r="AT138" i="13034"/>
  <c r="AR138" i="13034"/>
  <c r="AP138" i="13034"/>
  <c r="AN138" i="13034"/>
  <c r="AL138" i="13034"/>
  <c r="AJ138" i="13034"/>
  <c r="AH138" i="13034"/>
  <c r="AC138" i="13034"/>
  <c r="AV137" i="13034"/>
  <c r="AT137" i="13034"/>
  <c r="AR137" i="13034"/>
  <c r="AP137" i="13034"/>
  <c r="AN137" i="13034"/>
  <c r="AL137" i="13034"/>
  <c r="AJ137" i="13034"/>
  <c r="AH137" i="13034"/>
  <c r="AC137" i="13034"/>
  <c r="AF136" i="13034"/>
  <c r="AE136" i="13034"/>
  <c r="AC136" i="13034"/>
  <c r="AF135" i="13034"/>
  <c r="AE135" i="13034"/>
  <c r="AC135" i="13034"/>
  <c r="AF134" i="13034"/>
  <c r="AE134" i="13034"/>
  <c r="AC134" i="13034"/>
  <c r="AF133" i="13034"/>
  <c r="AE133" i="13034"/>
  <c r="AC133" i="13034"/>
  <c r="AF132" i="13034"/>
  <c r="AE132" i="13034"/>
  <c r="AC132" i="13034"/>
  <c r="AF131" i="13034"/>
  <c r="AE131" i="13034"/>
  <c r="AC131" i="13034"/>
  <c r="AF130" i="13034"/>
  <c r="AE130" i="13034"/>
  <c r="AC130" i="13034"/>
  <c r="AV129" i="13034"/>
  <c r="AT129" i="13034"/>
  <c r="AR129" i="13034"/>
  <c r="AP129" i="13034"/>
  <c r="AN129" i="13034"/>
  <c r="AL129" i="13034"/>
  <c r="AJ129" i="13034"/>
  <c r="AH129" i="13034"/>
  <c r="AC129" i="13034"/>
  <c r="AV128" i="13034"/>
  <c r="AT128" i="13034"/>
  <c r="AR128" i="13034"/>
  <c r="AP128" i="13034"/>
  <c r="AN128" i="13034"/>
  <c r="AL128" i="13034"/>
  <c r="AJ128" i="13034"/>
  <c r="AH128" i="13034"/>
  <c r="AF128" i="13034"/>
  <c r="AE128" i="13034"/>
  <c r="AC128" i="13034"/>
  <c r="AA128" i="13034"/>
  <c r="AV127" i="13034"/>
  <c r="AT127" i="13034"/>
  <c r="AR127" i="13034"/>
  <c r="AP127" i="13034"/>
  <c r="AN127" i="13034"/>
  <c r="AL127" i="13034"/>
  <c r="AJ127" i="13034"/>
  <c r="AH127" i="13034"/>
  <c r="AF127" i="13034"/>
  <c r="AE127" i="13034"/>
  <c r="AC127" i="13034"/>
  <c r="AA127" i="13034"/>
  <c r="AV126" i="13034"/>
  <c r="AT126" i="13034"/>
  <c r="AR126" i="13034"/>
  <c r="AP126" i="13034"/>
  <c r="AN126" i="13034"/>
  <c r="AL126" i="13034"/>
  <c r="AJ126" i="13034"/>
  <c r="AH126" i="13034"/>
  <c r="AC126" i="13034"/>
  <c r="AV125" i="13034"/>
  <c r="AT125" i="13034"/>
  <c r="AR125" i="13034"/>
  <c r="AP125" i="13034"/>
  <c r="AN125" i="13034"/>
  <c r="AL125" i="13034"/>
  <c r="AJ125" i="13034"/>
  <c r="AH125" i="13034"/>
  <c r="AF125" i="13034"/>
  <c r="AE125" i="13034"/>
  <c r="AC125" i="13034"/>
  <c r="AV124" i="13034"/>
  <c r="AT124" i="13034"/>
  <c r="AR124" i="13034"/>
  <c r="AP124" i="13034"/>
  <c r="AN124" i="13034"/>
  <c r="AL124" i="13034"/>
  <c r="AJ124" i="13034"/>
  <c r="AH124" i="13034"/>
  <c r="AF124" i="13034"/>
  <c r="AE124" i="13034"/>
  <c r="AC124" i="13034"/>
  <c r="AV123" i="13034"/>
  <c r="AT123" i="13034"/>
  <c r="AR123" i="13034"/>
  <c r="AP123" i="13034"/>
  <c r="AN123" i="13034"/>
  <c r="AL123" i="13034"/>
  <c r="AJ123" i="13034"/>
  <c r="AH123" i="13034"/>
  <c r="AC123" i="13034"/>
  <c r="AC122" i="13034"/>
  <c r="AC121" i="13034"/>
  <c r="AF120" i="13034"/>
  <c r="AE120" i="13034"/>
  <c r="AC120" i="13034"/>
  <c r="AF119" i="13034"/>
  <c r="AE119" i="13034"/>
  <c r="AC119" i="13034"/>
  <c r="AV118" i="13034"/>
  <c r="AT118" i="13034"/>
  <c r="AR118" i="13034"/>
  <c r="AP118" i="13034"/>
  <c r="AN118" i="13034"/>
  <c r="AL118" i="13034"/>
  <c r="AJ118" i="13034"/>
  <c r="AH118" i="13034"/>
  <c r="AC118" i="13034"/>
  <c r="AF117" i="13034"/>
  <c r="AE117" i="13034"/>
  <c r="AC117" i="13034"/>
  <c r="AF116" i="13034"/>
  <c r="AE116" i="13034"/>
  <c r="AC116" i="13034"/>
  <c r="AV115" i="13034"/>
  <c r="AT115" i="13034"/>
  <c r="AR115" i="13034"/>
  <c r="AP115" i="13034"/>
  <c r="AN115" i="13034"/>
  <c r="AL115" i="13034"/>
  <c r="AJ115" i="13034"/>
  <c r="AH115" i="13034"/>
  <c r="AC115" i="13034"/>
  <c r="AV114" i="13034"/>
  <c r="AT114" i="13034"/>
  <c r="AR114" i="13034"/>
  <c r="AP114" i="13034"/>
  <c r="AN114" i="13034"/>
  <c r="AL114" i="13034"/>
  <c r="AJ114" i="13034"/>
  <c r="AH114" i="13034"/>
  <c r="AF114" i="13034"/>
  <c r="AE114" i="13034"/>
  <c r="AC114" i="13034"/>
  <c r="AV113" i="13034"/>
  <c r="AT113" i="13034"/>
  <c r="AR113" i="13034"/>
  <c r="AP113" i="13034"/>
  <c r="AN113" i="13034"/>
  <c r="AL113" i="13034"/>
  <c r="AJ113" i="13034"/>
  <c r="AH113" i="13034"/>
  <c r="AF113" i="13034"/>
  <c r="AE113" i="13034"/>
  <c r="AC113" i="13034"/>
  <c r="AA113" i="13034"/>
  <c r="Z113" i="13034"/>
  <c r="AV112" i="13034"/>
  <c r="AT112" i="13034"/>
  <c r="AR112" i="13034"/>
  <c r="AP112" i="13034"/>
  <c r="AN112" i="13034"/>
  <c r="AL112" i="13034"/>
  <c r="AJ112" i="13034"/>
  <c r="AH112" i="13034"/>
  <c r="AF112" i="13034"/>
  <c r="AE112" i="13034"/>
  <c r="AC112" i="13034"/>
  <c r="AA112" i="13034"/>
  <c r="Z112" i="13034"/>
  <c r="AN111" i="13034"/>
  <c r="AL111" i="13034"/>
  <c r="AJ111" i="13034"/>
  <c r="AH111" i="13034"/>
  <c r="AC111" i="13034"/>
  <c r="AT110" i="13034"/>
  <c r="AR110" i="13034"/>
  <c r="AP110" i="13034"/>
  <c r="AJ110" i="13034"/>
  <c r="AH110" i="13034"/>
  <c r="AF110" i="13034"/>
  <c r="AE110" i="13034"/>
  <c r="AC110" i="13034"/>
  <c r="AT109" i="13034"/>
  <c r="AR109" i="13034"/>
  <c r="AP109" i="13034"/>
  <c r="AJ109" i="13034"/>
  <c r="AH109" i="13034"/>
  <c r="AC109" i="13034"/>
  <c r="AA109" i="13034"/>
  <c r="Z109" i="13034"/>
  <c r="AV108" i="13034"/>
  <c r="AT108" i="13034"/>
  <c r="AR108" i="13034"/>
  <c r="AP108" i="13034"/>
  <c r="AN108" i="13034"/>
  <c r="AL108" i="13034"/>
  <c r="AJ108" i="13034"/>
  <c r="AH108" i="13034"/>
  <c r="AF108" i="13034"/>
  <c r="AC108" i="13034"/>
  <c r="AA108" i="13034"/>
  <c r="AC107" i="13034"/>
  <c r="AL106" i="13034"/>
  <c r="AC106" i="13034"/>
  <c r="AC105" i="13034"/>
  <c r="AV104" i="13034"/>
  <c r="AT104" i="13034"/>
  <c r="AR104" i="13034"/>
  <c r="AP104" i="13034"/>
  <c r="AN104" i="13034"/>
  <c r="AL104" i="13034"/>
  <c r="AJ104" i="13034"/>
  <c r="AH104" i="13034"/>
  <c r="AF104" i="13034"/>
  <c r="AE104" i="13034"/>
  <c r="AC104" i="13034"/>
  <c r="AA104" i="13034"/>
  <c r="Z104" i="13034"/>
  <c r="AL103" i="13034"/>
  <c r="AC103" i="13034"/>
  <c r="AC102" i="13034"/>
  <c r="AV101" i="13034"/>
  <c r="AT101" i="13034"/>
  <c r="AR101" i="13034"/>
  <c r="AP101" i="13034"/>
  <c r="AN101" i="13034"/>
  <c r="AL101" i="13034"/>
  <c r="AJ101" i="13034"/>
  <c r="AH101" i="13034"/>
  <c r="AF101" i="13034"/>
  <c r="AE101" i="13034"/>
  <c r="AC101" i="13034"/>
  <c r="AA101" i="13034"/>
  <c r="Z101" i="13034"/>
  <c r="AV100" i="13034"/>
  <c r="AT100" i="13034"/>
  <c r="AR100" i="13034"/>
  <c r="AP100" i="13034"/>
  <c r="AN100" i="13034"/>
  <c r="AL100" i="13034"/>
  <c r="AJ100" i="13034"/>
  <c r="AH100" i="13034"/>
  <c r="AC100" i="13034"/>
  <c r="AV99" i="13034"/>
  <c r="AT99" i="13034"/>
  <c r="AR99" i="13034"/>
  <c r="AP99" i="13034"/>
  <c r="AN99" i="13034"/>
  <c r="AL99" i="13034"/>
  <c r="AJ99" i="13034"/>
  <c r="AH99" i="13034"/>
  <c r="AF99" i="13034"/>
  <c r="AE99" i="13034"/>
  <c r="AC99" i="13034"/>
  <c r="AA99" i="13034"/>
  <c r="AV98" i="13034"/>
  <c r="AT98" i="13034"/>
  <c r="AR98" i="13034"/>
  <c r="AP98" i="13034"/>
  <c r="AN98" i="13034"/>
  <c r="AL98" i="13034"/>
  <c r="AJ98" i="13034"/>
  <c r="AH98" i="13034"/>
  <c r="AF98" i="13034"/>
  <c r="AE98" i="13034"/>
  <c r="AC98" i="13034"/>
  <c r="AA98" i="13034"/>
  <c r="AV97" i="13034"/>
  <c r="AT97" i="13034"/>
  <c r="AR97" i="13034"/>
  <c r="AP97" i="13034"/>
  <c r="AN97" i="13034"/>
  <c r="AL97" i="13034"/>
  <c r="AJ97" i="13034"/>
  <c r="AH97" i="13034"/>
  <c r="AC97" i="13034"/>
  <c r="AV96" i="13034"/>
  <c r="AT96" i="13034"/>
  <c r="AR96" i="13034"/>
  <c r="AP96" i="13034"/>
  <c r="AN96" i="13034"/>
  <c r="AL96" i="13034"/>
  <c r="AJ96" i="13034"/>
  <c r="AH96" i="13034"/>
  <c r="AF96" i="13034"/>
  <c r="AE96" i="13034"/>
  <c r="AC96" i="13034"/>
  <c r="AV95" i="13034"/>
  <c r="AT95" i="13034"/>
  <c r="AR95" i="13034"/>
  <c r="AP95" i="13034"/>
  <c r="AN95" i="13034"/>
  <c r="AL95" i="13034"/>
  <c r="AJ95" i="13034"/>
  <c r="AH95" i="13034"/>
  <c r="AF95" i="13034"/>
  <c r="AE95" i="13034"/>
  <c r="AC95" i="13034"/>
  <c r="AV94" i="13034"/>
  <c r="AT94" i="13034"/>
  <c r="AR94" i="13034"/>
  <c r="AP94" i="13034"/>
  <c r="AN94" i="13034"/>
  <c r="AL94" i="13034"/>
  <c r="AJ94" i="13034"/>
  <c r="AH94" i="13034"/>
  <c r="AC94" i="13034"/>
  <c r="AC93" i="13034"/>
  <c r="AC92" i="13034"/>
  <c r="Z92" i="13034"/>
  <c r="AF91" i="13034"/>
  <c r="AE91" i="13034"/>
  <c r="AC91" i="13034"/>
  <c r="AA91" i="13034"/>
  <c r="AF90" i="13034"/>
  <c r="AE90" i="13034"/>
  <c r="AC90" i="13034"/>
  <c r="AA90" i="13034"/>
  <c r="AV89" i="13034"/>
  <c r="AT89" i="13034"/>
  <c r="AR89" i="13034"/>
  <c r="AP89" i="13034"/>
  <c r="AN89" i="13034"/>
  <c r="AL89" i="13034"/>
  <c r="AJ89" i="13034"/>
  <c r="AH89" i="13034"/>
  <c r="AC89" i="13034"/>
  <c r="AF88" i="13034"/>
  <c r="AE88" i="13034"/>
  <c r="AC88" i="13034"/>
  <c r="AF87" i="13034"/>
  <c r="AE87" i="13034"/>
  <c r="AC87" i="13034"/>
  <c r="AV86" i="13034"/>
  <c r="AT86" i="13034"/>
  <c r="AR86" i="13034"/>
  <c r="AP86" i="13034"/>
  <c r="AN86" i="13034"/>
  <c r="AL86" i="13034"/>
  <c r="AJ86" i="13034"/>
  <c r="AH86" i="13034"/>
  <c r="AC86" i="13034"/>
  <c r="AV85" i="13034"/>
  <c r="AT85" i="13034"/>
  <c r="AR85" i="13034"/>
  <c r="AP85" i="13034"/>
  <c r="AN85" i="13034"/>
  <c r="AL85" i="13034"/>
  <c r="AJ85" i="13034"/>
  <c r="AH85" i="13034"/>
  <c r="AF85" i="13034"/>
  <c r="AE85" i="13034"/>
  <c r="AC85" i="13034"/>
  <c r="AV84" i="13034"/>
  <c r="AT84" i="13034"/>
  <c r="AR84" i="13034"/>
  <c r="AP84" i="13034"/>
  <c r="AN84" i="13034"/>
  <c r="AL84" i="13034"/>
  <c r="AJ84" i="13034"/>
  <c r="AH84" i="13034"/>
  <c r="AF84" i="13034"/>
  <c r="AE84" i="13034"/>
  <c r="AC84" i="13034"/>
  <c r="AA84" i="13034"/>
  <c r="Z84" i="13034"/>
  <c r="AV83" i="13034"/>
  <c r="AT83" i="13034"/>
  <c r="AR83" i="13034"/>
  <c r="AP83" i="13034"/>
  <c r="AN83" i="13034"/>
  <c r="AL83" i="13034"/>
  <c r="AJ83" i="13034"/>
  <c r="AH83" i="13034"/>
  <c r="AF83" i="13034"/>
  <c r="AE83" i="13034"/>
  <c r="AC83" i="13034"/>
  <c r="AA83" i="13034"/>
  <c r="Z83" i="13034"/>
  <c r="AN82" i="13034"/>
  <c r="AL82" i="13034"/>
  <c r="AJ82" i="13034"/>
  <c r="AH82" i="13034"/>
  <c r="AC82" i="13034"/>
  <c r="AT81" i="13034"/>
  <c r="AR81" i="13034"/>
  <c r="AP81" i="13034"/>
  <c r="AJ81" i="13034"/>
  <c r="AH81" i="13034"/>
  <c r="AF81" i="13034"/>
  <c r="AE81" i="13034"/>
  <c r="AC81" i="13034"/>
  <c r="AT80" i="13034"/>
  <c r="AR80" i="13034"/>
  <c r="AP80" i="13034"/>
  <c r="AJ80" i="13034"/>
  <c r="AH80" i="13034"/>
  <c r="AC80" i="13034"/>
  <c r="AA80" i="13034"/>
  <c r="Z80" i="13034"/>
  <c r="AV79" i="13034"/>
  <c r="AT79" i="13034"/>
  <c r="AR79" i="13034"/>
  <c r="AP79" i="13034"/>
  <c r="AN79" i="13034"/>
  <c r="AL79" i="13034"/>
  <c r="AJ79" i="13034"/>
  <c r="AH79" i="13034"/>
  <c r="AF79" i="13034"/>
  <c r="AC79" i="13034"/>
  <c r="AA79" i="13034"/>
  <c r="AC78" i="13034"/>
  <c r="AV77" i="13034"/>
  <c r="AT77" i="13034"/>
  <c r="AR77" i="13034"/>
  <c r="AP77" i="13034"/>
  <c r="AN77" i="13034"/>
  <c r="AL77" i="13034"/>
  <c r="AJ77" i="13034"/>
  <c r="AH77" i="13034"/>
  <c r="AC77" i="13034"/>
  <c r="AV76" i="13034"/>
  <c r="AT76" i="13034"/>
  <c r="AR76" i="13034"/>
  <c r="AP76" i="13034"/>
  <c r="AN76" i="13034"/>
  <c r="AL76" i="13034"/>
  <c r="AJ76" i="13034"/>
  <c r="AH76" i="13034"/>
  <c r="AC76" i="13034"/>
  <c r="AV75" i="13034"/>
  <c r="AT75" i="13034"/>
  <c r="AR75" i="13034"/>
  <c r="AP75" i="13034"/>
  <c r="AN75" i="13034"/>
  <c r="AL75" i="13034"/>
  <c r="AJ75" i="13034"/>
  <c r="AH75" i="13034"/>
  <c r="AC75" i="13034"/>
  <c r="AV74" i="13034"/>
  <c r="AT74" i="13034"/>
  <c r="AR74" i="13034"/>
  <c r="AP74" i="13034"/>
  <c r="AN74" i="13034"/>
  <c r="AL74" i="13034"/>
  <c r="AJ74" i="13034"/>
  <c r="AH74" i="13034"/>
  <c r="AC74" i="13034"/>
  <c r="AV73" i="13034"/>
  <c r="AT73" i="13034"/>
  <c r="AR73" i="13034"/>
  <c r="AP73" i="13034"/>
  <c r="AN73" i="13034"/>
  <c r="AL73" i="13034"/>
  <c r="AJ73" i="13034"/>
  <c r="AH73" i="13034"/>
  <c r="AC73" i="13034"/>
  <c r="AV72" i="13034"/>
  <c r="AT72" i="13034"/>
  <c r="AR72" i="13034"/>
  <c r="AP72" i="13034"/>
  <c r="AN72" i="13034"/>
  <c r="AL72" i="13034"/>
  <c r="AJ72" i="13034"/>
  <c r="AH72" i="13034"/>
  <c r="AC72" i="13034"/>
  <c r="AV71" i="13034"/>
  <c r="AT71" i="13034"/>
  <c r="AR71" i="13034"/>
  <c r="AP71" i="13034"/>
  <c r="AN71" i="13034"/>
  <c r="AL71" i="13034"/>
  <c r="AJ71" i="13034"/>
  <c r="AH71" i="13034"/>
  <c r="AC71" i="13034"/>
  <c r="AF70" i="13034"/>
  <c r="AE70" i="13034"/>
  <c r="AC70" i="13034"/>
  <c r="AF69" i="13034"/>
  <c r="AE69" i="13034"/>
  <c r="AC69" i="13034"/>
  <c r="AF68" i="13034"/>
  <c r="AE68" i="13034"/>
  <c r="AC68" i="13034"/>
  <c r="AF67" i="13034"/>
  <c r="AE67" i="13034"/>
  <c r="AC67" i="13034"/>
  <c r="AF66" i="13034"/>
  <c r="AE66" i="13034"/>
  <c r="AC66" i="13034"/>
  <c r="AF65" i="13034"/>
  <c r="AE65" i="13034"/>
  <c r="AC65" i="13034"/>
  <c r="AF64" i="13034"/>
  <c r="AE64" i="13034"/>
  <c r="AC64" i="13034"/>
  <c r="AV63" i="13034"/>
  <c r="AT63" i="13034"/>
  <c r="AR63" i="13034"/>
  <c r="AP63" i="13034"/>
  <c r="AN63" i="13034"/>
  <c r="AL63" i="13034"/>
  <c r="AJ63" i="13034"/>
  <c r="AH63" i="13034"/>
  <c r="AC63" i="13034"/>
  <c r="AV62" i="13034"/>
  <c r="AT62" i="13034"/>
  <c r="AR62" i="13034"/>
  <c r="AP62" i="13034"/>
  <c r="AN62" i="13034"/>
  <c r="AL62" i="13034"/>
  <c r="AJ62" i="13034"/>
  <c r="AH62" i="13034"/>
  <c r="AF62" i="13034"/>
  <c r="AE62" i="13034"/>
  <c r="AC62" i="13034"/>
  <c r="AA62" i="13034"/>
  <c r="AV61" i="13034"/>
  <c r="AT61" i="13034"/>
  <c r="AR61" i="13034"/>
  <c r="AP61" i="13034"/>
  <c r="AN61" i="13034"/>
  <c r="AL61" i="13034"/>
  <c r="AJ61" i="13034"/>
  <c r="AH61" i="13034"/>
  <c r="AF61" i="13034"/>
  <c r="AE61" i="13034"/>
  <c r="AC61" i="13034"/>
  <c r="AA61" i="13034"/>
  <c r="AV60" i="13034"/>
  <c r="AT60" i="13034"/>
  <c r="AR60" i="13034"/>
  <c r="AP60" i="13034"/>
  <c r="AN60" i="13034"/>
  <c r="AL60" i="13034"/>
  <c r="AJ60" i="13034"/>
  <c r="AH60" i="13034"/>
  <c r="AC60" i="13034"/>
  <c r="AV59" i="13034"/>
  <c r="AT59" i="13034"/>
  <c r="AR59" i="13034"/>
  <c r="AP59" i="13034"/>
  <c r="AN59" i="13034"/>
  <c r="AL59" i="13034"/>
  <c r="AJ59" i="13034"/>
  <c r="AH59" i="13034"/>
  <c r="AF59" i="13034"/>
  <c r="AE59" i="13034"/>
  <c r="AC59" i="13034"/>
  <c r="AV58" i="13034"/>
  <c r="AT58" i="13034"/>
  <c r="AR58" i="13034"/>
  <c r="AP58" i="13034"/>
  <c r="AN58" i="13034"/>
  <c r="AL58" i="13034"/>
  <c r="AJ58" i="13034"/>
  <c r="AH58" i="13034"/>
  <c r="AF58" i="13034"/>
  <c r="AE58" i="13034"/>
  <c r="AC58" i="13034"/>
  <c r="AV57" i="13034"/>
  <c r="AT57" i="13034"/>
  <c r="AR57" i="13034"/>
  <c r="AP57" i="13034"/>
  <c r="AN57" i="13034"/>
  <c r="AL57" i="13034"/>
  <c r="AJ57" i="13034"/>
  <c r="AH57" i="13034"/>
  <c r="AC57" i="13034"/>
  <c r="AC56" i="13034"/>
  <c r="AC55" i="13034"/>
  <c r="AF54" i="13034"/>
  <c r="AE54" i="13034"/>
  <c r="AC54" i="13034"/>
  <c r="AF53" i="13034"/>
  <c r="AE53" i="13034"/>
  <c r="AC53" i="13034"/>
  <c r="AV52" i="13034"/>
  <c r="AT52" i="13034"/>
  <c r="AR52" i="13034"/>
  <c r="AP52" i="13034"/>
  <c r="AN52" i="13034"/>
  <c r="AL52" i="13034"/>
  <c r="AJ52" i="13034"/>
  <c r="AH52" i="13034"/>
  <c r="AC52" i="13034"/>
  <c r="AF51" i="13034"/>
  <c r="AE51" i="13034"/>
  <c r="AC51" i="13034"/>
  <c r="AF50" i="13034"/>
  <c r="AE50" i="13034"/>
  <c r="AC50" i="13034"/>
  <c r="AV49" i="13034"/>
  <c r="AT49" i="13034"/>
  <c r="AR49" i="13034"/>
  <c r="AP49" i="13034"/>
  <c r="AN49" i="13034"/>
  <c r="AL49" i="13034"/>
  <c r="AJ49" i="13034"/>
  <c r="AH49" i="13034"/>
  <c r="AC49" i="13034"/>
  <c r="AV48" i="13034"/>
  <c r="AT48" i="13034"/>
  <c r="AR48" i="13034"/>
  <c r="AP48" i="13034"/>
  <c r="AN48" i="13034"/>
  <c r="AL48" i="13034"/>
  <c r="AJ48" i="13034"/>
  <c r="AH48" i="13034"/>
  <c r="AF48" i="13034"/>
  <c r="AE48" i="13034"/>
  <c r="AC48" i="13034"/>
  <c r="AV47" i="13034"/>
  <c r="AT47" i="13034"/>
  <c r="AR47" i="13034"/>
  <c r="AP47" i="13034"/>
  <c r="AN47" i="13034"/>
  <c r="AL47" i="13034"/>
  <c r="AJ47" i="13034"/>
  <c r="AH47" i="13034"/>
  <c r="AF47" i="13034"/>
  <c r="AE47" i="13034"/>
  <c r="AC47" i="13034"/>
  <c r="AA47" i="13034"/>
  <c r="Z47" i="13034"/>
  <c r="AV46" i="13034"/>
  <c r="AT46" i="13034"/>
  <c r="AR46" i="13034"/>
  <c r="AP46" i="13034"/>
  <c r="AN46" i="13034"/>
  <c r="AL46" i="13034"/>
  <c r="AJ46" i="13034"/>
  <c r="AH46" i="13034"/>
  <c r="AF46" i="13034"/>
  <c r="AE46" i="13034"/>
  <c r="AC46" i="13034"/>
  <c r="AA46" i="13034"/>
  <c r="Z46" i="13034"/>
  <c r="AN45" i="13034"/>
  <c r="AL45" i="13034"/>
  <c r="AJ45" i="13034"/>
  <c r="AH45" i="13034"/>
  <c r="AC45" i="13034"/>
  <c r="AT44" i="13034"/>
  <c r="AR44" i="13034"/>
  <c r="AP44" i="13034"/>
  <c r="AL44" i="13034"/>
  <c r="AJ44" i="13034"/>
  <c r="AH44" i="13034"/>
  <c r="AF44" i="13034"/>
  <c r="AE44" i="13034"/>
  <c r="AC44" i="13034"/>
  <c r="AT43" i="13034"/>
  <c r="AR43" i="13034"/>
  <c r="AP43" i="13034"/>
  <c r="AL43" i="13034"/>
  <c r="AJ43" i="13034"/>
  <c r="AH43" i="13034"/>
  <c r="AC43" i="13034"/>
  <c r="AA43" i="13034"/>
  <c r="Z43" i="13034"/>
  <c r="AV42" i="13034"/>
  <c r="AT42" i="13034"/>
  <c r="AR42" i="13034"/>
  <c r="AP42" i="13034"/>
  <c r="AN42" i="13034"/>
  <c r="AL42" i="13034"/>
  <c r="AJ42" i="13034"/>
  <c r="AH42" i="13034"/>
  <c r="AF42" i="13034"/>
  <c r="AC42" i="13034"/>
  <c r="AA42" i="13034"/>
  <c r="AJ41" i="13034"/>
  <c r="AC41" i="13034"/>
  <c r="AV40" i="13034"/>
  <c r="AT40" i="13034"/>
  <c r="AR40" i="13034"/>
  <c r="AP40" i="13034"/>
  <c r="AN40" i="13034"/>
  <c r="AL40" i="13034"/>
  <c r="AJ40" i="13034"/>
  <c r="AH40" i="13034"/>
  <c r="AC40" i="13034"/>
  <c r="AV39" i="13034"/>
  <c r="AT39" i="13034"/>
  <c r="AR39" i="13034"/>
  <c r="AP39" i="13034"/>
  <c r="AN39" i="13034"/>
  <c r="AL39" i="13034"/>
  <c r="AJ39" i="13034"/>
  <c r="AH39" i="13034"/>
  <c r="AC39" i="13034"/>
  <c r="AV38" i="13034"/>
  <c r="AT38" i="13034"/>
  <c r="AR38" i="13034"/>
  <c r="AP38" i="13034"/>
  <c r="AN38" i="13034"/>
  <c r="AL38" i="13034"/>
  <c r="AJ38" i="13034"/>
  <c r="AH38" i="13034"/>
  <c r="AC38" i="13034"/>
  <c r="AV37" i="13034"/>
  <c r="AT37" i="13034"/>
  <c r="AR37" i="13034"/>
  <c r="AP37" i="13034"/>
  <c r="AN37" i="13034"/>
  <c r="AL37" i="13034"/>
  <c r="AJ37" i="13034"/>
  <c r="AH37" i="13034"/>
  <c r="AC37" i="13034"/>
  <c r="AV36" i="13034"/>
  <c r="AT36" i="13034"/>
  <c r="AR36" i="13034"/>
  <c r="AP36" i="13034"/>
  <c r="AN36" i="13034"/>
  <c r="AL36" i="13034"/>
  <c r="AJ36" i="13034"/>
  <c r="AH36" i="13034"/>
  <c r="AC36" i="13034"/>
  <c r="AV35" i="13034"/>
  <c r="AT35" i="13034"/>
  <c r="AR35" i="13034"/>
  <c r="AP35" i="13034"/>
  <c r="AN35" i="13034"/>
  <c r="AL35" i="13034"/>
  <c r="AJ35" i="13034"/>
  <c r="AH35" i="13034"/>
  <c r="AC35" i="13034"/>
  <c r="AV34" i="13034"/>
  <c r="AT34" i="13034"/>
  <c r="AR34" i="13034"/>
  <c r="AP34" i="13034"/>
  <c r="AN34" i="13034"/>
  <c r="AL34" i="13034"/>
  <c r="AJ34" i="13034"/>
  <c r="AH34" i="13034"/>
  <c r="AC34" i="13034"/>
  <c r="AF33" i="13034"/>
  <c r="AE33" i="13034"/>
  <c r="AC33" i="13034"/>
  <c r="AF32" i="13034"/>
  <c r="AE32" i="13034"/>
  <c r="AC32" i="13034"/>
  <c r="AF31" i="13034"/>
  <c r="AE31" i="13034"/>
  <c r="AC31" i="13034"/>
  <c r="AF30" i="13034"/>
  <c r="AE30" i="13034"/>
  <c r="AC30" i="13034"/>
  <c r="AF29" i="13034"/>
  <c r="AE29" i="13034"/>
  <c r="AC29" i="13034"/>
  <c r="AN28" i="13034"/>
  <c r="AJ28" i="13034"/>
  <c r="AH28" i="13034"/>
  <c r="AF28" i="13034"/>
  <c r="AE28" i="13034"/>
  <c r="AC28" i="13034"/>
  <c r="AN27" i="13034"/>
  <c r="AJ27" i="13034"/>
  <c r="AH27" i="13034"/>
  <c r="AF27" i="13034"/>
  <c r="AE27" i="13034"/>
  <c r="AC27" i="13034"/>
  <c r="AV26" i="13034"/>
  <c r="AT26" i="13034"/>
  <c r="AR26" i="13034"/>
  <c r="AP26" i="13034"/>
  <c r="AN26" i="13034"/>
  <c r="AL26" i="13034"/>
  <c r="AJ26" i="13034"/>
  <c r="AH26" i="13034"/>
  <c r="AC26" i="13034"/>
  <c r="AV25" i="13034"/>
  <c r="AT25" i="13034"/>
  <c r="AR25" i="13034"/>
  <c r="AP25" i="13034"/>
  <c r="AN25" i="13034"/>
  <c r="AL25" i="13034"/>
  <c r="AJ25" i="13034"/>
  <c r="AH25" i="13034"/>
  <c r="AF25" i="13034"/>
  <c r="AE25" i="13034"/>
  <c r="AC25" i="13034"/>
  <c r="AV24" i="13034"/>
  <c r="AT24" i="13034"/>
  <c r="AR24" i="13034"/>
  <c r="AP24" i="13034"/>
  <c r="AN24" i="13034"/>
  <c r="AL24" i="13034"/>
  <c r="AJ24" i="13034"/>
  <c r="AH24" i="13034"/>
  <c r="AF24" i="13034"/>
  <c r="AE24" i="13034"/>
  <c r="AC24" i="13034"/>
  <c r="AV23" i="13034"/>
  <c r="AT23" i="13034"/>
  <c r="AR23" i="13034"/>
  <c r="AP23" i="13034"/>
  <c r="AN23" i="13034"/>
  <c r="AL23" i="13034"/>
  <c r="AJ23" i="13034"/>
  <c r="AH23" i="13034"/>
  <c r="AC23" i="13034"/>
  <c r="AV22" i="13034"/>
  <c r="AT22" i="13034"/>
  <c r="AR22" i="13034"/>
  <c r="AP22" i="13034"/>
  <c r="AN22" i="13034"/>
  <c r="AL22" i="13034"/>
  <c r="AJ22" i="13034"/>
  <c r="AH22" i="13034"/>
  <c r="AF22" i="13034"/>
  <c r="AE22" i="13034"/>
  <c r="AC22" i="13034"/>
  <c r="AV21" i="13034"/>
  <c r="AT21" i="13034"/>
  <c r="AR21" i="13034"/>
  <c r="AP21" i="13034"/>
  <c r="AN21" i="13034"/>
  <c r="AL21" i="13034"/>
  <c r="AJ21" i="13034"/>
  <c r="AH21" i="13034"/>
  <c r="AF21" i="13034"/>
  <c r="AE21" i="13034"/>
  <c r="AC21" i="13034"/>
  <c r="AV20" i="13034"/>
  <c r="AT20" i="13034"/>
  <c r="AR20" i="13034"/>
  <c r="AP20" i="13034"/>
  <c r="AN20" i="13034"/>
  <c r="AL20" i="13034"/>
  <c r="AJ20" i="13034"/>
  <c r="AH20" i="13034"/>
  <c r="AC20" i="13034"/>
  <c r="AT19" i="13034"/>
  <c r="AR19" i="13034"/>
  <c r="AN19" i="13034"/>
  <c r="AL19" i="13034"/>
  <c r="AJ19" i="13034"/>
  <c r="AC19" i="13034"/>
  <c r="AT18" i="13034"/>
  <c r="AR18" i="13034"/>
  <c r="AN18" i="13034"/>
  <c r="AL18" i="13034"/>
  <c r="AJ18" i="13034"/>
  <c r="AC18" i="13034"/>
  <c r="AT17" i="13034"/>
  <c r="AR17" i="13034"/>
  <c r="AL17" i="13034"/>
  <c r="AJ17" i="13034"/>
  <c r="AF17" i="13034"/>
  <c r="AE17" i="13034"/>
  <c r="AC17" i="13034"/>
  <c r="AT16" i="13034"/>
  <c r="AR16" i="13034"/>
  <c r="AL16" i="13034"/>
  <c r="AJ16" i="13034"/>
  <c r="AF16" i="13034"/>
  <c r="AE16" i="13034"/>
  <c r="AC16" i="13034"/>
  <c r="AV15" i="13034"/>
  <c r="AT15" i="13034"/>
  <c r="AR15" i="13034"/>
  <c r="AP15" i="13034"/>
  <c r="AN15" i="13034"/>
  <c r="AL15" i="13034"/>
  <c r="AJ15" i="13034"/>
  <c r="AH15" i="13034"/>
  <c r="AC15" i="13034"/>
  <c r="AT14" i="13034"/>
  <c r="AR14" i="13034"/>
  <c r="AN14" i="13034"/>
  <c r="AL14" i="13034"/>
  <c r="AJ14" i="13034"/>
  <c r="AF14" i="13034"/>
  <c r="AE14" i="13034"/>
  <c r="AC14" i="13034"/>
  <c r="AT13" i="13034"/>
  <c r="AR13" i="13034"/>
  <c r="AN13" i="13034"/>
  <c r="AL13" i="13034"/>
  <c r="AJ13" i="13034"/>
  <c r="AF13" i="13034"/>
  <c r="AE13" i="13034"/>
  <c r="AC13" i="13034"/>
  <c r="AV12" i="13034"/>
  <c r="AT12" i="13034"/>
  <c r="AR12" i="13034"/>
  <c r="AP12" i="13034"/>
  <c r="AN12" i="13034"/>
  <c r="AL12" i="13034"/>
  <c r="AJ12" i="13034"/>
  <c r="AH12" i="13034"/>
  <c r="AC12" i="13034"/>
  <c r="AV11" i="13034"/>
  <c r="AT11" i="13034"/>
  <c r="AR11" i="13034"/>
  <c r="AP11" i="13034"/>
  <c r="AN11" i="13034"/>
  <c r="AL11" i="13034"/>
  <c r="AJ11" i="13034"/>
  <c r="AH11" i="13034"/>
  <c r="AF11" i="13034"/>
  <c r="AE11" i="13034"/>
  <c r="AC11" i="13034"/>
  <c r="AA10" i="13034"/>
  <c r="AC10" i="13034"/>
  <c r="AE10" i="13034"/>
  <c r="AF10" i="13034"/>
  <c r="AH10" i="13034"/>
  <c r="AJ10" i="13034"/>
  <c r="AL10" i="13034"/>
  <c r="AN10" i="13034"/>
  <c r="AP10" i="13034"/>
  <c r="AR10" i="13034"/>
  <c r="AT10" i="13034"/>
  <c r="AV10" i="13034"/>
  <c r="Z10" i="13034"/>
  <c r="AJ2677" i="13015" l="1"/>
  <c r="AJ2676" i="13015"/>
  <c r="AI2676" i="13015"/>
  <c r="AJ2675" i="13015"/>
  <c r="AI2675" i="13015"/>
  <c r="AJ2674" i="13015"/>
  <c r="AI2674" i="13015"/>
  <c r="AJ2673" i="13015"/>
  <c r="AI2673" i="13015"/>
  <c r="AJ2672" i="13015"/>
  <c r="AI2672" i="13015"/>
  <c r="AJ2671" i="13015"/>
  <c r="AI2671" i="13015"/>
  <c r="AJ2670" i="13015"/>
  <c r="AI2670" i="13015"/>
  <c r="AJ2669" i="13015"/>
  <c r="AI2669" i="13015"/>
  <c r="AJ2668" i="13015"/>
  <c r="AI2668" i="13015"/>
  <c r="AJ2667" i="13015"/>
  <c r="AJ2666" i="13015"/>
  <c r="AI2666" i="13015"/>
  <c r="AJ2665" i="13015"/>
  <c r="AI2665" i="13015"/>
  <c r="AJ2664" i="13015"/>
  <c r="AJ2661" i="13015"/>
  <c r="AI2661" i="13015"/>
  <c r="AJ2660" i="13015"/>
  <c r="AI2660" i="13015"/>
  <c r="AJ2659" i="13015"/>
  <c r="AI2659" i="13015"/>
  <c r="AJ2658" i="13015"/>
  <c r="AJ2657" i="13015"/>
  <c r="AI2657" i="13015"/>
  <c r="AJ2656" i="13015"/>
  <c r="AI2656" i="13015"/>
  <c r="AJ2655" i="13015"/>
  <c r="AJ2652" i="13015"/>
  <c r="AI2652" i="13015"/>
  <c r="AJ2651" i="13015"/>
  <c r="AI2651" i="13015"/>
  <c r="AJ2650" i="13015"/>
  <c r="AI2650" i="13015"/>
  <c r="AJ2649" i="13015"/>
  <c r="AJ2648" i="13015"/>
  <c r="AI2648" i="13015"/>
  <c r="AJ2647" i="13015"/>
  <c r="AI2647" i="13015"/>
  <c r="AJ2646" i="13015"/>
  <c r="AI2646" i="13015"/>
  <c r="AJ2643" i="13015"/>
  <c r="AI2643" i="13015"/>
  <c r="AJ2642" i="13015"/>
  <c r="AI2642" i="13015"/>
  <c r="AJ2641" i="13015"/>
  <c r="AI2641" i="13015"/>
  <c r="AJ2640" i="13015"/>
  <c r="AJ2639" i="13015"/>
  <c r="AJ2638" i="13015"/>
  <c r="AI2638" i="13015"/>
  <c r="AJ2637" i="13015"/>
  <c r="AJ2636" i="13015"/>
  <c r="AI2636" i="13015"/>
  <c r="AJ2635" i="13015"/>
  <c r="AI2635" i="13015"/>
  <c r="AJ2634" i="13015"/>
  <c r="AI2634" i="13015"/>
  <c r="AJ2633" i="13015"/>
  <c r="AI2632" i="13015"/>
  <c r="AI2631" i="13015"/>
  <c r="AJ2626" i="13015"/>
  <c r="AI2626" i="13015"/>
  <c r="AJ2625" i="13015"/>
  <c r="AI2625" i="13015"/>
  <c r="AJ2624" i="13015"/>
  <c r="AI2624" i="13015"/>
  <c r="AJ2623" i="13015"/>
  <c r="AI2622" i="13015"/>
  <c r="AI2621" i="13015"/>
  <c r="AJ2612" i="13015"/>
  <c r="AI2612" i="13015"/>
  <c r="AJ2611" i="13015"/>
  <c r="AI2611" i="13015"/>
  <c r="AJ2610" i="13015"/>
  <c r="AJ2609" i="13015"/>
  <c r="AI2609" i="13015"/>
  <c r="AJ2608" i="13015"/>
  <c r="AI2608" i="13015"/>
  <c r="AJ2607" i="13015"/>
  <c r="AI2607" i="13015"/>
  <c r="AJ2606" i="13015"/>
  <c r="AJ2605" i="13015"/>
  <c r="AI2605" i="13015"/>
  <c r="AJ2604" i="13015"/>
  <c r="AI2603" i="13015"/>
  <c r="AI2602" i="13015"/>
  <c r="AJ2601" i="13015"/>
  <c r="AI2601" i="13015"/>
  <c r="AJ2600" i="13015"/>
  <c r="AI2600" i="13015"/>
  <c r="AJ2599" i="13015"/>
  <c r="AI2599" i="13015"/>
  <c r="AJ2598" i="13015"/>
  <c r="AI2598" i="13015"/>
  <c r="AJ2597" i="13015"/>
  <c r="AI2597" i="13015"/>
  <c r="AJ2589" i="13015"/>
  <c r="AI2589" i="13015"/>
  <c r="AJ2588" i="13015"/>
  <c r="AI2588" i="13015"/>
  <c r="AJ2587" i="13015"/>
  <c r="AJ2585" i="13015"/>
  <c r="AI2585" i="13015"/>
  <c r="AJ2584" i="13015"/>
  <c r="AI2584" i="13015"/>
  <c r="AJ2583" i="13015"/>
  <c r="AI2583" i="13015"/>
  <c r="AJ2582" i="13015"/>
  <c r="AI2582" i="13015"/>
  <c r="AJ2581" i="13015"/>
  <c r="AI2581" i="13015"/>
  <c r="AJ2580" i="13015"/>
  <c r="AI2580" i="13015"/>
  <c r="AJ2579" i="13015"/>
  <c r="AI2579" i="13015"/>
  <c r="AJ2578" i="13015"/>
  <c r="AI2578" i="13015"/>
  <c r="AJ2577" i="13015"/>
  <c r="AI2577" i="13015"/>
  <c r="AJ2576" i="13015"/>
  <c r="AI2576" i="13015"/>
  <c r="AJ2575" i="13015"/>
  <c r="AI2575" i="13015"/>
  <c r="AJ2574" i="13015"/>
  <c r="AI2574" i="13015"/>
  <c r="AJ2573" i="13015"/>
  <c r="AI2573" i="13015"/>
  <c r="AJ2572" i="13015"/>
  <c r="AI2572" i="13015"/>
  <c r="AJ2571" i="13015"/>
  <c r="AI2571" i="13015"/>
  <c r="AJ2568" i="13015"/>
  <c r="AI2568" i="13015"/>
  <c r="AJ2565" i="13015"/>
  <c r="AI2565" i="13015"/>
  <c r="AJ2562" i="13015"/>
  <c r="AI2562" i="13015"/>
  <c r="AJ2559" i="13015"/>
  <c r="AI2559" i="13015"/>
  <c r="AJ2556" i="13015"/>
  <c r="AI2556" i="13015"/>
  <c r="AJ2555" i="13015"/>
  <c r="AI2555" i="13015"/>
  <c r="AJ2549" i="13015"/>
  <c r="AI2549" i="13015"/>
  <c r="AJ2546" i="13015"/>
  <c r="AI2546" i="13015"/>
  <c r="AJ2542" i="13015"/>
  <c r="AI2542" i="13015"/>
  <c r="AJ2541" i="13015"/>
  <c r="AI2541" i="13015"/>
  <c r="AJ2540" i="13015"/>
  <c r="AI2540" i="13015"/>
  <c r="AJ2539" i="13015"/>
  <c r="AJ2538" i="13015"/>
  <c r="AI2538" i="13015"/>
  <c r="AJ2537" i="13015"/>
  <c r="AI2536" i="13015"/>
  <c r="AI2535" i="13015"/>
  <c r="AJ2534" i="13015"/>
  <c r="AI2534" i="13015"/>
  <c r="AJ2533" i="13015"/>
  <c r="AI2533" i="13015"/>
  <c r="AJ2532" i="13015"/>
  <c r="AI2532" i="13015"/>
  <c r="AJ2531" i="13015"/>
  <c r="AI2531" i="13015"/>
  <c r="AJ2530" i="13015"/>
  <c r="AI2530" i="13015"/>
  <c r="AJ2522" i="13015"/>
  <c r="AI2522" i="13015"/>
  <c r="AI2521" i="13015"/>
  <c r="AI2520" i="13015"/>
  <c r="AJ2519" i="13015"/>
  <c r="AI2519" i="13015"/>
  <c r="AJ2518" i="13015"/>
  <c r="AI2518" i="13015"/>
  <c r="AJ2517" i="13015"/>
  <c r="AI2517" i="13015"/>
  <c r="AJ2515" i="13015"/>
  <c r="AI2515" i="13015"/>
  <c r="AJ2514" i="13015"/>
  <c r="AI2514" i="13015"/>
  <c r="AJ2506" i="13015"/>
  <c r="AI2506" i="13015"/>
  <c r="AJ2505" i="13015"/>
  <c r="AI2505" i="13015"/>
  <c r="AJ2504" i="13015"/>
  <c r="AJ2503" i="13015"/>
  <c r="AI2503" i="13015"/>
  <c r="AJ2502" i="13015"/>
  <c r="AI2502" i="13015"/>
  <c r="AJ2501" i="13015"/>
  <c r="AI2501" i="13015"/>
  <c r="AJ2500" i="13015"/>
  <c r="AI2500" i="13015"/>
  <c r="AJ2499" i="13015"/>
  <c r="AI2499" i="13015"/>
  <c r="AJ2498" i="13015"/>
  <c r="AI2498" i="13015"/>
  <c r="AJ2497" i="13015"/>
  <c r="AI2497" i="13015"/>
  <c r="AJ2496" i="13015"/>
  <c r="AI2496" i="13015"/>
  <c r="AJ2495" i="13015"/>
  <c r="AI2495" i="13015"/>
  <c r="AJ2492" i="13015"/>
  <c r="AI2492" i="13015"/>
  <c r="AJ2489" i="13015"/>
  <c r="AI2489" i="13015"/>
  <c r="AJ2486" i="13015"/>
  <c r="AI2486" i="13015"/>
  <c r="AJ2485" i="13015"/>
  <c r="AI2485" i="13015"/>
  <c r="AJ2482" i="13015"/>
  <c r="AI2482" i="13015"/>
  <c r="AJ2481" i="13015"/>
  <c r="AI2481" i="13015"/>
  <c r="AJ2480" i="13015"/>
  <c r="AI2480" i="13015"/>
  <c r="AJ2479" i="13015"/>
  <c r="AI2479" i="13015"/>
  <c r="AJ2478" i="13015"/>
  <c r="AI2478" i="13015"/>
  <c r="AJ2477" i="13015"/>
  <c r="AI2477" i="13015"/>
  <c r="AJ2476" i="13015"/>
  <c r="AI2476" i="13015"/>
  <c r="AJ2475" i="13015"/>
  <c r="AI2475" i="13015"/>
  <c r="AJ2474" i="13015"/>
  <c r="AI2474" i="13015"/>
  <c r="AJ2473" i="13015"/>
  <c r="AI2473" i="13015"/>
  <c r="AJ2470" i="13015"/>
  <c r="AI2470" i="13015"/>
  <c r="AJ2467" i="13015"/>
  <c r="AI2467" i="13015"/>
  <c r="AJ2464" i="13015"/>
  <c r="AI2464" i="13015"/>
  <c r="AJ2463" i="13015"/>
  <c r="AI2463" i="13015"/>
  <c r="AJ2460" i="13015"/>
  <c r="AI2460" i="13015"/>
  <c r="AJ2459" i="13015"/>
  <c r="AI2459" i="13015"/>
  <c r="AJ2458" i="13015"/>
  <c r="AI2458" i="13015"/>
  <c r="AJ2457" i="13015"/>
  <c r="AI2457" i="13015"/>
  <c r="AJ2456" i="13015"/>
  <c r="AI2456" i="13015"/>
  <c r="AJ2455" i="13015"/>
  <c r="AI2455" i="13015"/>
  <c r="AJ2454" i="13015"/>
  <c r="AI2454" i="13015"/>
  <c r="AJ2453" i="13015"/>
  <c r="AI2453" i="13015"/>
  <c r="AJ2452" i="13015"/>
  <c r="AI2452" i="13015"/>
  <c r="AJ2451" i="13015"/>
  <c r="AI2451" i="13015"/>
  <c r="AJ2448" i="13015"/>
  <c r="AI2448" i="13015"/>
  <c r="AJ2445" i="13015"/>
  <c r="AI2445" i="13015"/>
  <c r="AJ2442" i="13015"/>
  <c r="AI2442" i="13015"/>
  <c r="AJ2441" i="13015"/>
  <c r="AI2441" i="13015"/>
  <c r="AJ2438" i="13015"/>
  <c r="AI2438" i="13015"/>
  <c r="AJ2437" i="13015"/>
  <c r="AI2437" i="13015"/>
  <c r="AJ2436" i="13015"/>
  <c r="AI2436" i="13015"/>
  <c r="AJ2435" i="13015"/>
  <c r="AJ2434" i="13015"/>
  <c r="AI2434" i="13015"/>
  <c r="AJ2433" i="13015"/>
  <c r="AI2432" i="13015"/>
  <c r="AI2431" i="13015"/>
  <c r="AJ2430" i="13015"/>
  <c r="AI2430" i="13015"/>
  <c r="AJ2429" i="13015"/>
  <c r="AI2429" i="13015"/>
  <c r="AJ2428" i="13015"/>
  <c r="AI2428" i="13015"/>
  <c r="AJ2427" i="13015"/>
  <c r="AI2427" i="13015"/>
  <c r="AJ2426" i="13015"/>
  <c r="AI2426" i="13015"/>
  <c r="AJ2418" i="13015"/>
  <c r="AI2418" i="13015"/>
  <c r="AI2417" i="13015"/>
  <c r="AI2416" i="13015"/>
  <c r="AJ2415" i="13015"/>
  <c r="AI2415" i="13015"/>
  <c r="AJ2414" i="13015"/>
  <c r="AI2414" i="13015"/>
  <c r="AJ2413" i="13015"/>
  <c r="AI2413" i="13015"/>
  <c r="AJ2411" i="13015"/>
  <c r="AI2411" i="13015"/>
  <c r="AJ2410" i="13015"/>
  <c r="AI2410" i="13015"/>
  <c r="AJ2402" i="13015"/>
  <c r="AI2402" i="13015"/>
  <c r="AJ2401" i="13015"/>
  <c r="AI2401" i="13015"/>
  <c r="AJ2400" i="13015"/>
  <c r="AJ2399" i="13015"/>
  <c r="AI2399" i="13015"/>
  <c r="AJ2398" i="13015"/>
  <c r="AI2398" i="13015"/>
  <c r="AJ2397" i="13015"/>
  <c r="AI2397" i="13015"/>
  <c r="AJ2396" i="13015"/>
  <c r="AI2396" i="13015"/>
  <c r="AJ2395" i="13015"/>
  <c r="AI2395" i="13015"/>
  <c r="AJ2394" i="13015"/>
  <c r="AI2394" i="13015"/>
  <c r="AJ2393" i="13015"/>
  <c r="AI2393" i="13015"/>
  <c r="AJ2392" i="13015"/>
  <c r="AI2392" i="13015"/>
  <c r="AJ2391" i="13015"/>
  <c r="AI2391" i="13015"/>
  <c r="AJ2388" i="13015"/>
  <c r="AI2388" i="13015"/>
  <c r="AJ2385" i="13015"/>
  <c r="AI2385" i="13015"/>
  <c r="AJ2382" i="13015"/>
  <c r="AI2382" i="13015"/>
  <c r="AJ2381" i="13015"/>
  <c r="AI2381" i="13015"/>
  <c r="AJ2378" i="13015"/>
  <c r="AI2378" i="13015"/>
  <c r="AJ2377" i="13015"/>
  <c r="AI2377" i="13015"/>
  <c r="AJ2376" i="13015"/>
  <c r="AI2376" i="13015"/>
  <c r="AJ2375" i="13015"/>
  <c r="AI2375" i="13015"/>
  <c r="AJ2374" i="13015"/>
  <c r="AI2374" i="13015"/>
  <c r="AJ2373" i="13015"/>
  <c r="AI2373" i="13015"/>
  <c r="AJ2372" i="13015"/>
  <c r="AI2372" i="13015"/>
  <c r="AJ2371" i="13015"/>
  <c r="AI2371" i="13015"/>
  <c r="AJ2370" i="13015"/>
  <c r="AI2370" i="13015"/>
  <c r="AJ2369" i="13015"/>
  <c r="AI2369" i="13015"/>
  <c r="AJ2366" i="13015"/>
  <c r="AI2366" i="13015"/>
  <c r="AJ2363" i="13015"/>
  <c r="AI2363" i="13015"/>
  <c r="AJ2360" i="13015"/>
  <c r="AI2360" i="13015"/>
  <c r="AJ2359" i="13015"/>
  <c r="AI2359" i="13015"/>
  <c r="AJ2356" i="13015"/>
  <c r="AI2356" i="13015"/>
  <c r="AJ2355" i="13015"/>
  <c r="AI2355" i="13015"/>
  <c r="AJ2354" i="13015"/>
  <c r="AI2354" i="13015"/>
  <c r="AJ2353" i="13015"/>
  <c r="AI2353" i="13015"/>
  <c r="AJ2352" i="13015"/>
  <c r="AI2352" i="13015"/>
  <c r="AJ2351" i="13015"/>
  <c r="AI2351" i="13015"/>
  <c r="AJ2350" i="13015"/>
  <c r="AI2350" i="13015"/>
  <c r="AJ2349" i="13015"/>
  <c r="AI2349" i="13015"/>
  <c r="AJ2348" i="13015"/>
  <c r="AI2348" i="13015"/>
  <c r="AJ2347" i="13015"/>
  <c r="AI2347" i="13015"/>
  <c r="AJ2344" i="13015"/>
  <c r="AI2344" i="13015"/>
  <c r="AJ2341" i="13015"/>
  <c r="AI2341" i="13015"/>
  <c r="AJ2338" i="13015"/>
  <c r="AI2338" i="13015"/>
  <c r="AJ2337" i="13015"/>
  <c r="AI2337" i="13015"/>
  <c r="AJ2334" i="13015"/>
  <c r="AI2334" i="13015"/>
  <c r="AJ2333" i="13015"/>
  <c r="AI2333" i="13015"/>
  <c r="AJ2332" i="13015"/>
  <c r="AI2332" i="13015"/>
  <c r="AJ2331" i="13015"/>
  <c r="AJ2330" i="13015"/>
  <c r="AI2330" i="13015"/>
  <c r="AJ2329" i="13015"/>
  <c r="AI2328" i="13015"/>
  <c r="AI2327" i="13015"/>
  <c r="AJ2326" i="13015"/>
  <c r="AI2326" i="13015"/>
  <c r="AJ2325" i="13015"/>
  <c r="AI2325" i="13015"/>
  <c r="AJ2324" i="13015"/>
  <c r="AI2324" i="13015"/>
  <c r="AJ2323" i="13015"/>
  <c r="AI2323" i="13015"/>
  <c r="AJ2322" i="13015"/>
  <c r="AI2322" i="13015"/>
  <c r="AJ2314" i="13015"/>
  <c r="AI2314" i="13015"/>
  <c r="AI2313" i="13015"/>
  <c r="AI2312" i="13015"/>
  <c r="AJ2311" i="13015"/>
  <c r="AI2311" i="13015"/>
  <c r="AJ2310" i="13015"/>
  <c r="AI2310" i="13015"/>
  <c r="AJ2309" i="13015"/>
  <c r="AI2309" i="13015"/>
  <c r="AJ2307" i="13015"/>
  <c r="AI2307" i="13015"/>
  <c r="AJ2306" i="13015"/>
  <c r="AI2306" i="13015"/>
  <c r="AJ2298" i="13015"/>
  <c r="AI2298" i="13015"/>
  <c r="AJ2297" i="13015"/>
  <c r="AI2297" i="13015"/>
  <c r="AJ2296" i="13015"/>
  <c r="AJ2295" i="13015"/>
  <c r="AI2295" i="13015"/>
  <c r="AJ2294" i="13015"/>
  <c r="AI2294" i="13015"/>
  <c r="AJ2293" i="13015"/>
  <c r="AI2293" i="13015"/>
  <c r="AJ2292" i="13015"/>
  <c r="AI2292" i="13015"/>
  <c r="AJ2291" i="13015"/>
  <c r="AI2291" i="13015"/>
  <c r="AJ2290" i="13015"/>
  <c r="AI2290" i="13015"/>
  <c r="AJ2289" i="13015"/>
  <c r="AI2289" i="13015"/>
  <c r="AJ2288" i="13015"/>
  <c r="AI2288" i="13015"/>
  <c r="AJ2287" i="13015"/>
  <c r="AI2287" i="13015"/>
  <c r="AJ2286" i="13015"/>
  <c r="AJ2285" i="13015"/>
  <c r="AJ2284" i="13015"/>
  <c r="AI2284" i="13015"/>
  <c r="AJ2283" i="13015"/>
  <c r="AJ2282" i="13015"/>
  <c r="AJ2281" i="13015"/>
  <c r="AI2281" i="13015"/>
  <c r="AJ2280" i="13015"/>
  <c r="AJ2279" i="13015"/>
  <c r="AJ2278" i="13015"/>
  <c r="AI2278" i="13015"/>
  <c r="AJ2277" i="13015"/>
  <c r="AI2277" i="13015"/>
  <c r="AJ2274" i="13015"/>
  <c r="AI2274" i="13015"/>
  <c r="AJ2273" i="13015"/>
  <c r="AI2273" i="13015"/>
  <c r="AJ2272" i="13015"/>
  <c r="AI2272" i="13015"/>
  <c r="AJ2271" i="13015"/>
  <c r="AI2271" i="13015"/>
  <c r="AJ2270" i="13015"/>
  <c r="AI2270" i="13015"/>
  <c r="AJ2269" i="13015"/>
  <c r="AI2269" i="13015"/>
  <c r="AJ2268" i="13015"/>
  <c r="AI2268" i="13015"/>
  <c r="AJ2267" i="13015"/>
  <c r="AI2267" i="13015"/>
  <c r="AJ2266" i="13015"/>
  <c r="AI2266" i="13015"/>
  <c r="AJ2265" i="13015"/>
  <c r="AI2265" i="13015"/>
  <c r="AJ2264" i="13015"/>
  <c r="AJ2263" i="13015"/>
  <c r="AJ2262" i="13015"/>
  <c r="AI2262" i="13015"/>
  <c r="AJ2261" i="13015"/>
  <c r="AJ2260" i="13015"/>
  <c r="AJ2259" i="13015"/>
  <c r="AI2259" i="13015"/>
  <c r="AJ2258" i="13015"/>
  <c r="AJ2257" i="13015"/>
  <c r="AJ2256" i="13015"/>
  <c r="AI2256" i="13015"/>
  <c r="AJ2255" i="13015"/>
  <c r="AI2255" i="13015"/>
  <c r="AJ2252" i="13015"/>
  <c r="AI2252" i="13015"/>
  <c r="AJ2251" i="13015"/>
  <c r="AI2251" i="13015"/>
  <c r="AJ2250" i="13015"/>
  <c r="AI2250" i="13015"/>
  <c r="AJ2249" i="13015"/>
  <c r="AI2249" i="13015"/>
  <c r="AJ2248" i="13015"/>
  <c r="AI2248" i="13015"/>
  <c r="AJ2247" i="13015"/>
  <c r="AI2247" i="13015"/>
  <c r="AJ2246" i="13015"/>
  <c r="AI2246" i="13015"/>
  <c r="AJ2245" i="13015"/>
  <c r="AI2245" i="13015"/>
  <c r="AJ2244" i="13015"/>
  <c r="AI2244" i="13015"/>
  <c r="AJ2243" i="13015"/>
  <c r="AI2243" i="13015"/>
  <c r="AJ2242" i="13015"/>
  <c r="AJ2241" i="13015"/>
  <c r="AJ2240" i="13015"/>
  <c r="AI2240" i="13015"/>
  <c r="AJ2239" i="13015"/>
  <c r="AJ2238" i="13015"/>
  <c r="AJ2237" i="13015"/>
  <c r="AI2237" i="13015"/>
  <c r="AJ2236" i="13015"/>
  <c r="AJ2235" i="13015"/>
  <c r="AJ2234" i="13015"/>
  <c r="AI2234" i="13015"/>
  <c r="AJ2233" i="13015"/>
  <c r="AI2233" i="13015"/>
  <c r="AJ2230" i="13015"/>
  <c r="AI2230" i="13015"/>
  <c r="AJ2229" i="13015"/>
  <c r="AI2229" i="13015"/>
  <c r="AJ2228" i="13015"/>
  <c r="AI2228" i="13015"/>
  <c r="AJ2227" i="13015"/>
  <c r="AI2226" i="13015"/>
  <c r="AI2225" i="13015"/>
  <c r="AJ2224" i="13015"/>
  <c r="AI2224" i="13015"/>
  <c r="AJ2223" i="13015"/>
  <c r="AI2223" i="13015"/>
  <c r="AJ2222" i="13015"/>
  <c r="AI2222" i="13015"/>
  <c r="AJ2221" i="13015"/>
  <c r="AI2221" i="13015"/>
  <c r="AJ2220" i="13015"/>
  <c r="AI2220" i="13015"/>
  <c r="AJ2218" i="13015"/>
  <c r="AI2218" i="13015"/>
  <c r="AJ2217" i="13015"/>
  <c r="AI2217" i="13015"/>
  <c r="AJ2206" i="13015"/>
  <c r="AI2206" i="13015"/>
  <c r="AJ2205" i="13015"/>
  <c r="AI2205" i="13015"/>
  <c r="AJ2204" i="13015"/>
  <c r="AI2203" i="13015"/>
  <c r="AI2202" i="13015"/>
  <c r="AJ2201" i="13015"/>
  <c r="AI2201" i="13015"/>
  <c r="AJ2200" i="13015"/>
  <c r="AI2200" i="13015"/>
  <c r="AJ2199" i="13015"/>
  <c r="AI2199" i="13015"/>
  <c r="AJ2198" i="13015"/>
  <c r="AI2198" i="13015"/>
  <c r="AJ2197" i="13015"/>
  <c r="AI2197" i="13015"/>
  <c r="AJ2195" i="13015"/>
  <c r="AI2195" i="13015"/>
  <c r="AJ2194" i="13015"/>
  <c r="AI2194" i="13015"/>
  <c r="AJ2183" i="13015"/>
  <c r="AI2183" i="13015"/>
  <c r="AJ2182" i="13015"/>
  <c r="AI2182" i="13015"/>
  <c r="AJ2181" i="13015"/>
  <c r="AI2180" i="13015"/>
  <c r="AI2179" i="13015"/>
  <c r="AJ2178" i="13015"/>
  <c r="AI2178" i="13015"/>
  <c r="AJ2177" i="13015"/>
  <c r="AI2177" i="13015"/>
  <c r="AJ2176" i="13015"/>
  <c r="AI2176" i="13015"/>
  <c r="AJ2175" i="13015"/>
  <c r="AI2175" i="13015"/>
  <c r="AJ2174" i="13015"/>
  <c r="AI2174" i="13015"/>
  <c r="AJ2172" i="13015"/>
  <c r="AI2172" i="13015"/>
  <c r="AJ2171" i="13015"/>
  <c r="AI2171" i="13015"/>
  <c r="AJ2163" i="13015"/>
  <c r="AJ2160" i="13015"/>
  <c r="AI2160" i="13015"/>
  <c r="AJ2159" i="13015"/>
  <c r="AI2159" i="13015"/>
  <c r="AJ2158" i="13015"/>
  <c r="AI2157" i="13015"/>
  <c r="AI2156" i="13015"/>
  <c r="AJ2155" i="13015"/>
  <c r="AI2155" i="13015"/>
  <c r="AJ2154" i="13015"/>
  <c r="AI2154" i="13015"/>
  <c r="AJ2153" i="13015"/>
  <c r="AI2153" i="13015"/>
  <c r="AJ2152" i="13015"/>
  <c r="AI2152" i="13015"/>
  <c r="AJ2151" i="13015"/>
  <c r="AI2151" i="13015"/>
  <c r="AJ2149" i="13015"/>
  <c r="AI2149" i="13015"/>
  <c r="AJ2148" i="13015"/>
  <c r="AI2148" i="13015"/>
  <c r="AJ2138" i="13015"/>
  <c r="AI2138" i="13015"/>
  <c r="AJ2137" i="13015"/>
  <c r="AI2137" i="13015"/>
  <c r="AJ2136" i="13015"/>
  <c r="AI2135" i="13015"/>
  <c r="AI2134" i="13015"/>
  <c r="AJ2133" i="13015"/>
  <c r="AI2133" i="13015"/>
  <c r="AJ2132" i="13015"/>
  <c r="AI2132" i="13015"/>
  <c r="AJ2131" i="13015"/>
  <c r="AI2131" i="13015"/>
  <c r="AJ2130" i="13015"/>
  <c r="AI2130" i="13015"/>
  <c r="AJ2129" i="13015"/>
  <c r="AI2129" i="13015"/>
  <c r="AJ2127" i="13015"/>
  <c r="AI2127" i="13015"/>
  <c r="AJ2126" i="13015"/>
  <c r="AI2126" i="13015"/>
  <c r="AJ2116" i="13015"/>
  <c r="AI2116" i="13015"/>
  <c r="AJ2115" i="13015"/>
  <c r="AI2115" i="13015"/>
  <c r="AJ2114" i="13015"/>
  <c r="AI2113" i="13015"/>
  <c r="AI2112" i="13015"/>
  <c r="AJ2111" i="13015"/>
  <c r="AI2111" i="13015"/>
  <c r="AJ2110" i="13015"/>
  <c r="AI2110" i="13015"/>
  <c r="AJ2109" i="13015"/>
  <c r="AI2109" i="13015"/>
  <c r="AJ2108" i="13015"/>
  <c r="AI2108" i="13015"/>
  <c r="AJ2107" i="13015"/>
  <c r="AI2107" i="13015"/>
  <c r="AJ2105" i="13015"/>
  <c r="AI2105" i="13015"/>
  <c r="AJ2104" i="13015"/>
  <c r="AI2104" i="13015"/>
  <c r="AJ2094" i="13015"/>
  <c r="AI2094" i="13015"/>
  <c r="AJ2093" i="13015"/>
  <c r="AI2093" i="13015"/>
  <c r="AJ2092" i="13015"/>
  <c r="AI2091" i="13015"/>
  <c r="AI2090" i="13015"/>
  <c r="AJ2089" i="13015"/>
  <c r="AI2089" i="13015"/>
  <c r="AJ2088" i="13015"/>
  <c r="AI2088" i="13015"/>
  <c r="AJ2087" i="13015"/>
  <c r="AI2087" i="13015"/>
  <c r="AJ2086" i="13015"/>
  <c r="AI2086" i="13015"/>
  <c r="AJ2085" i="13015"/>
  <c r="AI2085" i="13015"/>
  <c r="AJ2083" i="13015"/>
  <c r="AI2083" i="13015"/>
  <c r="AJ2082" i="13015"/>
  <c r="AI2082" i="13015"/>
  <c r="AJ2072" i="13015"/>
  <c r="AI2072" i="13015"/>
  <c r="AJ2071" i="13015"/>
  <c r="AI2071" i="13015"/>
  <c r="AJ2070" i="13015"/>
  <c r="AJ2069" i="13015"/>
  <c r="AI2069" i="13015"/>
  <c r="AI2068" i="13015"/>
  <c r="AI2067" i="13015"/>
  <c r="AJ2066" i="13015"/>
  <c r="AI2066" i="13015"/>
  <c r="AJ2064" i="13015"/>
  <c r="AI2064" i="13015"/>
  <c r="AJ2063" i="13015"/>
  <c r="AI2063" i="13015"/>
  <c r="AJ2062" i="13015"/>
  <c r="AI2062" i="13015"/>
  <c r="AJ2061" i="13015"/>
  <c r="AI2061" i="13015"/>
  <c r="AJ2059" i="13015"/>
  <c r="AI2059" i="13015"/>
  <c r="AJ2058" i="13015"/>
  <c r="AI2058" i="13015"/>
  <c r="AJ2048" i="13015"/>
  <c r="AI2048" i="13015"/>
  <c r="AJ2047" i="13015"/>
  <c r="AI2047" i="13015"/>
  <c r="AJ2046" i="13015"/>
  <c r="AJ2045" i="13015"/>
  <c r="AI2045" i="13015"/>
  <c r="AI2044" i="13015"/>
  <c r="AI2043" i="13015"/>
  <c r="AJ2042" i="13015"/>
  <c r="AI2042" i="13015"/>
  <c r="AJ2040" i="13015"/>
  <c r="AI2040" i="13015"/>
  <c r="AJ2039" i="13015"/>
  <c r="AI2039" i="13015"/>
  <c r="AJ2038" i="13015"/>
  <c r="AI2038" i="13015"/>
  <c r="AJ2037" i="13015"/>
  <c r="AI2037" i="13015"/>
  <c r="AJ2035" i="13015"/>
  <c r="AI2035" i="13015"/>
  <c r="AJ2034" i="13015"/>
  <c r="AI2034" i="13015"/>
  <c r="AJ2024" i="13015"/>
  <c r="AI2024" i="13015"/>
  <c r="AJ2023" i="13015"/>
  <c r="AI2023" i="13015"/>
  <c r="AJ2022" i="13015"/>
  <c r="AJ2021" i="13015"/>
  <c r="AI2021" i="13015"/>
  <c r="AI2020" i="13015"/>
  <c r="AI2019" i="13015"/>
  <c r="AJ2018" i="13015"/>
  <c r="AI2018" i="13015"/>
  <c r="AJ2016" i="13015"/>
  <c r="AI2016" i="13015"/>
  <c r="AJ2015" i="13015"/>
  <c r="AI2015" i="13015"/>
  <c r="AJ2014" i="13015"/>
  <c r="AI2014" i="13015"/>
  <c r="AJ2013" i="13015"/>
  <c r="AI2013" i="13015"/>
  <c r="AJ2011" i="13015"/>
  <c r="AI2011" i="13015"/>
  <c r="AJ2010" i="13015"/>
  <c r="AI2010" i="13015"/>
  <c r="AJ2000" i="13015"/>
  <c r="AI2000" i="13015"/>
  <c r="AJ1999" i="13015"/>
  <c r="AI1999" i="13015"/>
  <c r="AJ1998" i="13015"/>
  <c r="AJ1997" i="13015"/>
  <c r="AI1997" i="13015"/>
  <c r="AI1996" i="13015"/>
  <c r="AI1995" i="13015"/>
  <c r="AJ1994" i="13015"/>
  <c r="AI1994" i="13015"/>
  <c r="AJ1992" i="13015"/>
  <c r="AI1992" i="13015"/>
  <c r="AJ1991" i="13015"/>
  <c r="AI1991" i="13015"/>
  <c r="AJ1990" i="13015"/>
  <c r="AI1990" i="13015"/>
  <c r="AJ1989" i="13015"/>
  <c r="AI1989" i="13015"/>
  <c r="AJ1987" i="13015"/>
  <c r="AI1987" i="13015"/>
  <c r="AJ1986" i="13015"/>
  <c r="AI1986" i="13015"/>
  <c r="AJ1976" i="13015"/>
  <c r="AI1976" i="13015"/>
  <c r="AJ1975" i="13015"/>
  <c r="AI1975" i="13015"/>
  <c r="AJ1974" i="13015"/>
  <c r="AI1973" i="13015"/>
  <c r="AI1972" i="13015"/>
  <c r="AI1971" i="13015"/>
  <c r="AI1970" i="13015"/>
  <c r="AI1969" i="13015"/>
  <c r="AI1968" i="13015"/>
  <c r="AJ1967" i="13015"/>
  <c r="AI1967" i="13015"/>
  <c r="AI1966" i="13015"/>
  <c r="AI1965" i="13015"/>
  <c r="AI1964" i="13015"/>
  <c r="AI1963" i="13015"/>
  <c r="AJ1962" i="13015"/>
  <c r="AI1962" i="13015"/>
  <c r="AI1961" i="13015"/>
  <c r="AI1960" i="13015"/>
  <c r="AI1959" i="13015"/>
  <c r="AI1958" i="13015"/>
  <c r="AJ1957" i="13015"/>
  <c r="AI1957" i="13015"/>
  <c r="AJ1956" i="13015"/>
  <c r="AI1956" i="13015"/>
  <c r="AI1955" i="13015"/>
  <c r="AI1954" i="13015"/>
  <c r="AJ1953" i="13015"/>
  <c r="AI1953" i="13015"/>
  <c r="AI1952" i="13015"/>
  <c r="AI1951" i="13015"/>
  <c r="AJ1950" i="13015"/>
  <c r="AI1950" i="13015"/>
  <c r="AI1949" i="13015"/>
  <c r="AI1948" i="13015"/>
  <c r="AJ1947" i="13015"/>
  <c r="AI1947" i="13015"/>
  <c r="AJ1946" i="13015"/>
  <c r="AI1946" i="13015"/>
  <c r="AJ1945" i="13015"/>
  <c r="AI1945" i="13015"/>
  <c r="AJ1944" i="13015"/>
  <c r="AI1944" i="13015"/>
  <c r="AJ1943" i="13015"/>
  <c r="AI1943" i="13015"/>
  <c r="AJ1942" i="13015"/>
  <c r="AI1942" i="13015"/>
  <c r="AJ1941" i="13015"/>
  <c r="AI1941" i="13015"/>
  <c r="AJ1940" i="13015"/>
  <c r="AI1940" i="13015"/>
  <c r="AJ1939" i="13015"/>
  <c r="AI1939" i="13015"/>
  <c r="AJ1938" i="13015"/>
  <c r="AI1938" i="13015"/>
  <c r="AJ1937" i="13015"/>
  <c r="AI1937" i="13015"/>
  <c r="AJ1936" i="13015"/>
  <c r="AI1936" i="13015"/>
  <c r="AJ1935" i="13015"/>
  <c r="AJ1934" i="13015"/>
  <c r="AI1934" i="13015"/>
  <c r="AJ1933" i="13015"/>
  <c r="AI1933" i="13015"/>
  <c r="AJ1932" i="13015"/>
  <c r="AI1932" i="13015"/>
  <c r="AJ1931" i="13015"/>
  <c r="AI1931" i="13015"/>
  <c r="AJ1930" i="13015"/>
  <c r="AI1930" i="13015"/>
  <c r="AJ1929" i="13015"/>
  <c r="AI1929" i="13015"/>
  <c r="AJ1928" i="13015"/>
  <c r="AI1928" i="13015"/>
  <c r="AJ1927" i="13015"/>
  <c r="AI1927" i="13015"/>
  <c r="AJ1926" i="13015"/>
  <c r="AI1926" i="13015"/>
  <c r="AJ1925" i="13015"/>
  <c r="AI1925" i="13015"/>
  <c r="AJ1924" i="13015"/>
  <c r="AI1924" i="13015"/>
  <c r="AJ1923" i="13015"/>
  <c r="AI1923" i="13015"/>
  <c r="AJ1922" i="13015"/>
  <c r="AI1922" i="13015"/>
  <c r="AJ1921" i="13015"/>
  <c r="AI1921" i="13015"/>
  <c r="AJ1920" i="13015"/>
  <c r="AI1920" i="13015"/>
  <c r="AJ1919" i="13015"/>
  <c r="AI1919" i="13015"/>
  <c r="AJ1918" i="13015"/>
  <c r="AI1918" i="13015"/>
  <c r="AJ1917" i="13015"/>
  <c r="AI1916" i="13015"/>
  <c r="AI1915" i="13015"/>
  <c r="AJ1914" i="13015"/>
  <c r="AI1914" i="13015"/>
  <c r="AJ1913" i="13015"/>
  <c r="AI1913" i="13015"/>
  <c r="AJ1912" i="13015"/>
  <c r="AI1912" i="13015"/>
  <c r="AJ1911" i="13015"/>
  <c r="AI1911" i="13015"/>
  <c r="AJ1910" i="13015"/>
  <c r="AI1910" i="13015"/>
  <c r="AJ1909" i="13015"/>
  <c r="AI1909" i="13015"/>
  <c r="AJ1900" i="13015"/>
  <c r="AI1900" i="13015"/>
  <c r="AJ1899" i="13015"/>
  <c r="AI1898" i="13015"/>
  <c r="AI1897" i="13015"/>
  <c r="AJ1886" i="13015"/>
  <c r="AI1886" i="13015"/>
  <c r="AJ1885" i="13015"/>
  <c r="AI1885" i="13015"/>
  <c r="AJ1884" i="13015"/>
  <c r="AI1884" i="13015"/>
  <c r="AJ1883" i="13015"/>
  <c r="AI1882" i="13015"/>
  <c r="AI1881" i="13015"/>
  <c r="AJ1880" i="13015"/>
  <c r="AI1880" i="13015"/>
  <c r="AJ1877" i="13015"/>
  <c r="AI1877" i="13015"/>
  <c r="AJ1876" i="13015"/>
  <c r="AI1876" i="13015"/>
  <c r="AJ1875" i="13015"/>
  <c r="AI1874" i="13015"/>
  <c r="AI1873" i="13015"/>
  <c r="AJ1872" i="13015"/>
  <c r="AI1872" i="13015"/>
  <c r="AJ1869" i="13015"/>
  <c r="AI1869" i="13015"/>
  <c r="AJ1868" i="13015"/>
  <c r="AI1868" i="13015"/>
  <c r="AJ1867" i="13015"/>
  <c r="AI1866" i="13015"/>
  <c r="AI1865" i="13015"/>
  <c r="AJ1864" i="13015"/>
  <c r="AI1864" i="13015"/>
  <c r="AJ1861" i="13015"/>
  <c r="AI1861" i="13015"/>
  <c r="AJ1860" i="13015"/>
  <c r="AI1860" i="13015"/>
  <c r="AJ1859" i="13015"/>
  <c r="AI1858" i="13015"/>
  <c r="AI1857" i="13015"/>
  <c r="AJ1856" i="13015"/>
  <c r="AI1856" i="13015"/>
  <c r="AI1854" i="13015"/>
  <c r="AJ1853" i="13015"/>
  <c r="AI1853" i="13015"/>
  <c r="AJ1852" i="13015"/>
  <c r="AI1852" i="13015"/>
  <c r="AJ1851" i="13015"/>
  <c r="AI1850" i="13015"/>
  <c r="AI1849" i="13015"/>
  <c r="AJ1848" i="13015"/>
  <c r="AI1848" i="13015"/>
  <c r="AJ1842" i="13015"/>
  <c r="AI1842" i="13015"/>
  <c r="AJ1841" i="13015"/>
  <c r="AI1841" i="13015"/>
  <c r="AJ1840" i="13015"/>
  <c r="AI1839" i="13015"/>
  <c r="AI1838" i="13015"/>
  <c r="AJ1837" i="13015"/>
  <c r="AI1837" i="13015"/>
  <c r="AJ1831" i="13015"/>
  <c r="AI1831" i="13015"/>
  <c r="AJ1830" i="13015"/>
  <c r="AI1830" i="13015"/>
  <c r="AJ1829" i="13015"/>
  <c r="AI1828" i="13015"/>
  <c r="AI1827" i="13015"/>
  <c r="AJ1826" i="13015"/>
  <c r="AI1826" i="13015"/>
  <c r="AJ1820" i="13015"/>
  <c r="AI1820" i="13015"/>
  <c r="AJ1819" i="13015"/>
  <c r="AI1819" i="13015"/>
  <c r="AJ1818" i="13015"/>
  <c r="AI1817" i="13015"/>
  <c r="AI1816" i="13015"/>
  <c r="AJ1815" i="13015"/>
  <c r="AI1815" i="13015"/>
  <c r="AJ1809" i="13015"/>
  <c r="AI1809" i="13015"/>
  <c r="AJ1808" i="13015"/>
  <c r="AI1808" i="13015"/>
  <c r="AJ1807" i="13015"/>
  <c r="AI1806" i="13015"/>
  <c r="AI1805" i="13015"/>
  <c r="AJ1804" i="13015"/>
  <c r="AI1804" i="13015"/>
  <c r="AJ1803" i="13015"/>
  <c r="AI1803" i="13015"/>
  <c r="AJ1802" i="13015"/>
  <c r="AI1802" i="13015"/>
  <c r="AJ1801" i="13015"/>
  <c r="AI1801" i="13015"/>
  <c r="AJ1800" i="13015"/>
  <c r="AI1800" i="13015"/>
  <c r="AJ1799" i="13015"/>
  <c r="AI1799" i="13015"/>
  <c r="AJ1798" i="13015"/>
  <c r="AI1798" i="13015"/>
  <c r="AJ1797" i="13015"/>
  <c r="AI1797" i="13015"/>
  <c r="AJ1796" i="13015"/>
  <c r="AI1796" i="13015"/>
  <c r="AJ1795" i="13015"/>
  <c r="AI1795" i="13015"/>
  <c r="AJ1794" i="13015"/>
  <c r="AI1794" i="13015"/>
  <c r="AJ1793" i="13015"/>
  <c r="AI1793" i="13015"/>
  <c r="AJ1792" i="13015"/>
  <c r="AI1792" i="13015"/>
  <c r="AJ1791" i="13015"/>
  <c r="AI1791" i="13015"/>
  <c r="AJ1790" i="13015"/>
  <c r="AI1790" i="13015"/>
  <c r="AJ1789" i="13015"/>
  <c r="AI1789" i="13015"/>
  <c r="AJ1788" i="13015"/>
  <c r="AI1788" i="13015"/>
  <c r="AJ1787" i="13015"/>
  <c r="AI1787" i="13015"/>
  <c r="AJ1786" i="13015"/>
  <c r="AI1786" i="13015"/>
  <c r="AJ1785" i="13015"/>
  <c r="AI1785" i="13015"/>
  <c r="AJ1784" i="13015"/>
  <c r="AI1784" i="13015"/>
  <c r="AJ1783" i="13015"/>
  <c r="AI1783" i="13015"/>
  <c r="AJ1782" i="13015"/>
  <c r="AI1782" i="13015"/>
  <c r="AJ1781" i="13015"/>
  <c r="AI1781" i="13015"/>
  <c r="AJ1780" i="13015"/>
  <c r="AI1780" i="13015"/>
  <c r="AJ1779" i="13015"/>
  <c r="AI1779" i="13015"/>
  <c r="AJ1778" i="13015"/>
  <c r="AI1778" i="13015"/>
  <c r="AJ1777" i="13015"/>
  <c r="AI1777" i="13015"/>
  <c r="AJ1776" i="13015"/>
  <c r="AI1776" i="13015"/>
  <c r="AJ1775" i="13015"/>
  <c r="AI1775" i="13015"/>
  <c r="AJ1774" i="13015"/>
  <c r="AI1774" i="13015"/>
  <c r="AJ1773" i="13015"/>
  <c r="AI1773" i="13015"/>
  <c r="AJ1772" i="13015"/>
  <c r="AI1772" i="13015"/>
  <c r="AJ1771" i="13015"/>
  <c r="AI1771" i="13015"/>
  <c r="AJ1770" i="13015"/>
  <c r="AI1770" i="13015"/>
  <c r="AJ1769" i="13015"/>
  <c r="AI1769" i="13015"/>
  <c r="AJ1768" i="13015"/>
  <c r="AI1768" i="13015"/>
  <c r="AJ1767" i="13015"/>
  <c r="AI1767" i="13015"/>
  <c r="AJ1766" i="13015"/>
  <c r="AI1766" i="13015"/>
  <c r="AJ1765" i="13015"/>
  <c r="AI1765" i="13015"/>
  <c r="AJ1764" i="13015"/>
  <c r="AI1764" i="13015"/>
  <c r="AJ1763" i="13015"/>
  <c r="AI1763" i="13015"/>
  <c r="AJ1762" i="13015"/>
  <c r="AI1762" i="13015"/>
  <c r="AJ1761" i="13015"/>
  <c r="AI1761" i="13015"/>
  <c r="AJ1760" i="13015"/>
  <c r="AI1760" i="13015"/>
  <c r="AJ1759" i="13015"/>
  <c r="AI1759" i="13015"/>
  <c r="AJ1758" i="13015"/>
  <c r="AI1758" i="13015"/>
  <c r="AJ1757" i="13015"/>
  <c r="AI1757" i="13015"/>
  <c r="AJ1756" i="13015"/>
  <c r="AI1756" i="13015"/>
  <c r="AJ1755" i="13015"/>
  <c r="AI1755" i="13015"/>
  <c r="AJ1754" i="13015"/>
  <c r="AI1754" i="13015"/>
  <c r="AJ1753" i="13015"/>
  <c r="AI1753" i="13015"/>
  <c r="AJ1752" i="13015"/>
  <c r="AI1752" i="13015"/>
  <c r="AJ1751" i="13015"/>
  <c r="AI1751" i="13015"/>
  <c r="AJ1750" i="13015"/>
  <c r="AI1750" i="13015"/>
  <c r="AJ1749" i="13015"/>
  <c r="AI1749" i="13015"/>
  <c r="AJ1748" i="13015"/>
  <c r="AI1748" i="13015"/>
  <c r="AJ1747" i="13015"/>
  <c r="AI1747" i="13015"/>
  <c r="AJ1746" i="13015"/>
  <c r="AI1746" i="13015"/>
  <c r="AJ1745" i="13015"/>
  <c r="AI1745" i="13015"/>
  <c r="AJ1744" i="13015"/>
  <c r="AI1744" i="13015"/>
  <c r="AJ1743" i="13015"/>
  <c r="AI1743" i="13015"/>
  <c r="AJ1742" i="13015"/>
  <c r="AI1742" i="13015"/>
  <c r="AJ1741" i="13015"/>
  <c r="AI1741" i="13015"/>
  <c r="AJ1740" i="13015"/>
  <c r="AI1740" i="13015"/>
  <c r="AJ1739" i="13015"/>
  <c r="AI1739" i="13015"/>
  <c r="AJ1738" i="13015"/>
  <c r="AI1738" i="13015"/>
  <c r="AJ1737" i="13015"/>
  <c r="AI1737" i="13015"/>
  <c r="AJ1736" i="13015"/>
  <c r="AI1736" i="13015"/>
  <c r="AJ1735" i="13015"/>
  <c r="AI1735" i="13015"/>
  <c r="AJ1734" i="13015"/>
  <c r="AI1734" i="13015"/>
  <c r="AJ1733" i="13015"/>
  <c r="AI1733" i="13015"/>
  <c r="AJ1732" i="13015"/>
  <c r="AI1732" i="13015"/>
  <c r="AJ1731" i="13015"/>
  <c r="AI1731" i="13015"/>
  <c r="AJ1730" i="13015"/>
  <c r="AI1730" i="13015"/>
  <c r="AJ1729" i="13015"/>
  <c r="AI1729" i="13015"/>
  <c r="AJ1728" i="13015"/>
  <c r="AI1728" i="13015"/>
  <c r="AJ1727" i="13015"/>
  <c r="AI1727" i="13015"/>
  <c r="AJ1726" i="13015"/>
  <c r="AI1726" i="13015"/>
  <c r="AJ1725" i="13015"/>
  <c r="AI1725" i="13015"/>
  <c r="AJ1724" i="13015"/>
  <c r="AI1724" i="13015"/>
  <c r="AJ1723" i="13015"/>
  <c r="AI1723" i="13015"/>
  <c r="AJ1722" i="13015"/>
  <c r="AI1722" i="13015"/>
  <c r="AJ1721" i="13015"/>
  <c r="AI1721" i="13015"/>
  <c r="AJ1720" i="13015"/>
  <c r="AI1720" i="13015"/>
  <c r="AJ1719" i="13015"/>
  <c r="AI1719" i="13015"/>
  <c r="AJ1718" i="13015"/>
  <c r="AI1718" i="13015"/>
  <c r="AJ1717" i="13015"/>
  <c r="AI1717" i="13015"/>
  <c r="AJ1716" i="13015"/>
  <c r="AI1715" i="13015"/>
  <c r="AI1714" i="13015"/>
  <c r="AJ1713" i="13015"/>
  <c r="AI1713" i="13015"/>
  <c r="AJ1712" i="13015"/>
  <c r="AI1712" i="13015"/>
  <c r="AJ1711" i="13015"/>
  <c r="AI1711" i="13015"/>
  <c r="AJ1710" i="13015"/>
  <c r="AI1710" i="13015"/>
  <c r="AJ1709" i="13015"/>
  <c r="AI1709" i="13015"/>
  <c r="AJ1708" i="13015"/>
  <c r="AI1708" i="13015"/>
  <c r="AJ1707" i="13015"/>
  <c r="AI1707" i="13015"/>
  <c r="AJ1706" i="13015"/>
  <c r="AI1706" i="13015"/>
  <c r="AJ1705" i="13015"/>
  <c r="AI1705" i="13015"/>
  <c r="AJ1704" i="13015"/>
  <c r="AI1704" i="13015"/>
  <c r="AJ1703" i="13015"/>
  <c r="AI1703" i="13015"/>
  <c r="AJ1702" i="13015"/>
  <c r="AI1702" i="13015"/>
  <c r="AJ1701" i="13015"/>
  <c r="AI1701" i="13015"/>
  <c r="AJ1700" i="13015"/>
  <c r="AI1700" i="13015"/>
  <c r="AJ1699" i="13015"/>
  <c r="AI1699" i="13015"/>
  <c r="AJ1698" i="13015"/>
  <c r="AI1698" i="13015"/>
  <c r="AJ1697" i="13015"/>
  <c r="AI1697" i="13015"/>
  <c r="AJ1696" i="13015"/>
  <c r="AI1696" i="13015"/>
  <c r="AJ1695" i="13015"/>
  <c r="AI1695" i="13015"/>
  <c r="AJ1694" i="13015"/>
  <c r="AI1694" i="13015"/>
  <c r="AJ1693" i="13015"/>
  <c r="AI1693" i="13015"/>
  <c r="AJ1692" i="13015"/>
  <c r="AI1692" i="13015"/>
  <c r="AJ1691" i="13015"/>
  <c r="AI1691" i="13015"/>
  <c r="AJ1690" i="13015"/>
  <c r="AI1690" i="13015"/>
  <c r="AJ1689" i="13015"/>
  <c r="AI1689" i="13015"/>
  <c r="AJ1688" i="13015"/>
  <c r="AI1688" i="13015"/>
  <c r="AJ1687" i="13015"/>
  <c r="AI1687" i="13015"/>
  <c r="AJ1686" i="13015"/>
  <c r="AI1686" i="13015"/>
  <c r="AJ1685" i="13015"/>
  <c r="AI1685" i="13015"/>
  <c r="AJ1684" i="13015"/>
  <c r="AI1684" i="13015"/>
  <c r="AJ1683" i="13015"/>
  <c r="AI1683" i="13015"/>
  <c r="AJ1682" i="13015"/>
  <c r="AI1682" i="13015"/>
  <c r="AJ1681" i="13015"/>
  <c r="AI1681" i="13015"/>
  <c r="AJ1680" i="13015"/>
  <c r="AI1680" i="13015"/>
  <c r="AJ1679" i="13015"/>
  <c r="AI1679" i="13015"/>
  <c r="AJ1678" i="13015"/>
  <c r="AI1678" i="13015"/>
  <c r="AJ1677" i="13015"/>
  <c r="AI1677" i="13015"/>
  <c r="AJ1676" i="13015"/>
  <c r="AI1676" i="13015"/>
  <c r="AJ1675" i="13015"/>
  <c r="AI1675" i="13015"/>
  <c r="AJ1674" i="13015"/>
  <c r="AI1674" i="13015"/>
  <c r="AJ1673" i="13015"/>
  <c r="AI1673" i="13015"/>
  <c r="AJ1672" i="13015"/>
  <c r="AI1672" i="13015"/>
  <c r="AJ1671" i="13015"/>
  <c r="AI1671" i="13015"/>
  <c r="AJ1670" i="13015"/>
  <c r="AI1670" i="13015"/>
  <c r="AJ1669" i="13015"/>
  <c r="AI1669" i="13015"/>
  <c r="AJ1668" i="13015"/>
  <c r="AI1668" i="13015"/>
  <c r="AJ1667" i="13015"/>
  <c r="AI1667" i="13015"/>
  <c r="AJ1666" i="13015"/>
  <c r="AI1666" i="13015"/>
  <c r="AJ1665" i="13015"/>
  <c r="AI1665" i="13015"/>
  <c r="AJ1664" i="13015"/>
  <c r="AI1664" i="13015"/>
  <c r="AJ1663" i="13015"/>
  <c r="AI1663" i="13015"/>
  <c r="AJ1662" i="13015"/>
  <c r="AI1662" i="13015"/>
  <c r="AJ1661" i="13015"/>
  <c r="AI1661" i="13015"/>
  <c r="AJ1660" i="13015"/>
  <c r="AI1660" i="13015"/>
  <c r="AJ1659" i="13015"/>
  <c r="AI1659" i="13015"/>
  <c r="AJ1658" i="13015"/>
  <c r="AI1658" i="13015"/>
  <c r="AJ1657" i="13015"/>
  <c r="AI1656" i="13015"/>
  <c r="AI1655" i="13015"/>
  <c r="AJ1654" i="13015"/>
  <c r="AI1654" i="13015"/>
  <c r="AJ1653" i="13015"/>
  <c r="AJ1650" i="13015"/>
  <c r="AI1650" i="13015"/>
  <c r="AJ1649" i="13015"/>
  <c r="AI1649" i="13015"/>
  <c r="AJ1641" i="13015"/>
  <c r="AI1641" i="13015"/>
  <c r="AJ1640" i="13015"/>
  <c r="AI1640" i="13015"/>
  <c r="AJ1639" i="13015"/>
  <c r="AI1638" i="13015"/>
  <c r="AI1637" i="13015"/>
  <c r="AJ1636" i="13015"/>
  <c r="AI1636" i="13015"/>
  <c r="AJ1635" i="13015"/>
  <c r="AJ1632" i="13015"/>
  <c r="AI1632" i="13015"/>
  <c r="AJ1631" i="13015"/>
  <c r="AJ1621" i="13015"/>
  <c r="AI1621" i="13015"/>
  <c r="AJ1620" i="13015"/>
  <c r="AI1620" i="13015"/>
  <c r="AJ1619" i="13015"/>
  <c r="AI1618" i="13015"/>
  <c r="AI1617" i="13015"/>
  <c r="AJ1616" i="13015"/>
  <c r="AI1616" i="13015"/>
  <c r="AJ1615" i="13015"/>
  <c r="AI1615" i="13015"/>
  <c r="AJ1613" i="13015"/>
  <c r="AJ1612" i="13015"/>
  <c r="AI1612" i="13015"/>
  <c r="AJ1611" i="13015"/>
  <c r="AI1611" i="13015"/>
  <c r="AJ1608" i="13015"/>
  <c r="AJ1607" i="13015"/>
  <c r="AJ1606" i="13015"/>
  <c r="AJ1605" i="13015"/>
  <c r="AJ1604" i="13015"/>
  <c r="AJ1603" i="13015"/>
  <c r="AI1603" i="13015"/>
  <c r="AJ1602" i="13015"/>
  <c r="AI1602" i="13015"/>
  <c r="AJ1601" i="13015"/>
  <c r="AI1600" i="13015"/>
  <c r="AI1599" i="13015"/>
  <c r="AJ1598" i="13015"/>
  <c r="AI1598" i="13015"/>
  <c r="AJ1597" i="13015"/>
  <c r="AI1597" i="13015"/>
  <c r="AJ1596" i="13015"/>
  <c r="AI1596" i="13015"/>
  <c r="AJ1595" i="13015"/>
  <c r="AI1595" i="13015"/>
  <c r="AJ1594" i="13015"/>
  <c r="AI1594" i="13015"/>
  <c r="AJ1593" i="13015"/>
  <c r="AI1593" i="13015"/>
  <c r="AJ1592" i="13015"/>
  <c r="AI1592" i="13015"/>
  <c r="AJ1591" i="13015"/>
  <c r="AI1591" i="13015"/>
  <c r="AJ1590" i="13015"/>
  <c r="AI1590" i="13015"/>
  <c r="AJ1581" i="13015"/>
  <c r="AI1581" i="13015"/>
  <c r="AJ1580" i="13015"/>
  <c r="AI1580" i="13015"/>
  <c r="AJ1579" i="13015"/>
  <c r="AI1578" i="13015"/>
  <c r="AI1577" i="13015"/>
  <c r="AJ1576" i="13015"/>
  <c r="AI1576" i="13015"/>
  <c r="AJ1575" i="13015"/>
  <c r="AI1575" i="13015"/>
  <c r="AJ1574" i="13015"/>
  <c r="AI1574" i="13015"/>
  <c r="AJ1573" i="13015"/>
  <c r="AI1573" i="13015"/>
  <c r="AJ1572" i="13015"/>
  <c r="AI1572" i="13015"/>
  <c r="AJ1571" i="13015"/>
  <c r="AI1571" i="13015"/>
  <c r="AJ1570" i="13015"/>
  <c r="AI1570" i="13015"/>
  <c r="AJ1569" i="13015"/>
  <c r="AI1569" i="13015"/>
  <c r="AJ1568" i="13015"/>
  <c r="AI1568" i="13015"/>
  <c r="AJ1559" i="13015"/>
  <c r="AI1559" i="13015"/>
  <c r="AJ1558" i="13015"/>
  <c r="AI1558" i="13015"/>
  <c r="AJ1557" i="13015"/>
  <c r="AI1556" i="13015"/>
  <c r="AI1555" i="13015"/>
  <c r="AJ1554" i="13015"/>
  <c r="AI1554" i="13015"/>
  <c r="AJ1553" i="13015"/>
  <c r="AI1553" i="13015"/>
  <c r="AJ1552" i="13015"/>
  <c r="AI1552" i="13015"/>
  <c r="AJ1551" i="13015"/>
  <c r="AI1551" i="13015"/>
  <c r="AJ1550" i="13015"/>
  <c r="AI1550" i="13015"/>
  <c r="AJ1549" i="13015"/>
  <c r="AI1549" i="13015"/>
  <c r="AJ1548" i="13015"/>
  <c r="AI1548" i="13015"/>
  <c r="AJ1547" i="13015"/>
  <c r="AI1547" i="13015"/>
  <c r="AJ1546" i="13015"/>
  <c r="AI1546" i="13015"/>
  <c r="AJ1537" i="13015"/>
  <c r="AI1537" i="13015"/>
  <c r="AJ1536" i="13015"/>
  <c r="AI1536" i="13015"/>
  <c r="AJ1535" i="13015"/>
  <c r="AI1534" i="13015"/>
  <c r="AI1533" i="13015"/>
  <c r="AJ1532" i="13015"/>
  <c r="AI1532" i="13015"/>
  <c r="AJ1531" i="13015"/>
  <c r="AI1531" i="13015"/>
  <c r="AJ1530" i="13015"/>
  <c r="AI1530" i="13015"/>
  <c r="AJ1529" i="13015"/>
  <c r="AI1529" i="13015"/>
  <c r="AJ1528" i="13015"/>
  <c r="AI1528" i="13015"/>
  <c r="AJ1527" i="13015"/>
  <c r="AI1527" i="13015"/>
  <c r="AJ1518" i="13015"/>
  <c r="AI1518" i="13015"/>
  <c r="AJ1517" i="13015"/>
  <c r="AI1517" i="13015"/>
  <c r="AJ1516" i="13015"/>
  <c r="AI1515" i="13015"/>
  <c r="AI1514" i="13015"/>
  <c r="AJ1513" i="13015"/>
  <c r="AI1513" i="13015"/>
  <c r="AJ1512" i="13015"/>
  <c r="AI1512" i="13015"/>
  <c r="AJ1511" i="13015"/>
  <c r="AI1511" i="13015"/>
  <c r="AJ1510" i="13015"/>
  <c r="AI1510" i="13015"/>
  <c r="AJ1509" i="13015"/>
  <c r="AI1509" i="13015"/>
  <c r="AJ1508" i="13015"/>
  <c r="AI1508" i="13015"/>
  <c r="AJ1499" i="13015"/>
  <c r="AI1499" i="13015"/>
  <c r="AJ1498" i="13015"/>
  <c r="AI1498" i="13015"/>
  <c r="AI1497" i="13015"/>
  <c r="AI1496" i="13015"/>
  <c r="AJ1495" i="13015"/>
  <c r="AI1494" i="13015"/>
  <c r="AI1493" i="13015"/>
  <c r="AJ1492" i="13015"/>
  <c r="AI1492" i="13015"/>
  <c r="AJ1491" i="13015"/>
  <c r="AI1491" i="13015"/>
  <c r="AJ1490" i="13015"/>
  <c r="AI1490" i="13015"/>
  <c r="AJ1489" i="13015"/>
  <c r="AI1489" i="13015"/>
  <c r="AJ1488" i="13015"/>
  <c r="AI1488" i="13015"/>
  <c r="AJ1487" i="13015"/>
  <c r="AI1487" i="13015"/>
  <c r="AJ1482" i="13015"/>
  <c r="AJ1481" i="13015"/>
  <c r="AJ1480" i="13015"/>
  <c r="AJ1479" i="13015"/>
  <c r="AJ1478" i="13015"/>
  <c r="AI1478" i="13015"/>
  <c r="AJ1477" i="13015"/>
  <c r="AI1477" i="13015"/>
  <c r="AJ1476" i="13015"/>
  <c r="AI1475" i="13015"/>
  <c r="AI1474" i="13015"/>
  <c r="AJ1473" i="13015"/>
  <c r="AI1473" i="13015"/>
  <c r="AJ1472" i="13015"/>
  <c r="AI1472" i="13015"/>
  <c r="AJ1471" i="13015"/>
  <c r="AI1471" i="13015"/>
  <c r="AJ1470" i="13015"/>
  <c r="AI1470" i="13015"/>
  <c r="AJ1468" i="13015"/>
  <c r="AI1468" i="13015"/>
  <c r="AJ1467" i="13015"/>
  <c r="AI1467" i="13015"/>
  <c r="AI1460" i="13015"/>
  <c r="AI1459" i="13015"/>
  <c r="AJ1458" i="13015"/>
  <c r="AI1458" i="13015"/>
  <c r="AJ1457" i="13015"/>
  <c r="AI1457" i="13015"/>
  <c r="AJ1456" i="13015"/>
  <c r="AI1455" i="13015"/>
  <c r="AI1454" i="13015"/>
  <c r="AJ1453" i="13015"/>
  <c r="AI1453" i="13015"/>
  <c r="AJ1452" i="13015"/>
  <c r="AI1452" i="13015"/>
  <c r="AJ1451" i="13015"/>
  <c r="AI1451" i="13015"/>
  <c r="AJ1450" i="13015"/>
  <c r="AI1450" i="13015"/>
  <c r="AJ1448" i="13015"/>
  <c r="AI1448" i="13015"/>
  <c r="AJ1447" i="13015"/>
  <c r="AI1447" i="13015"/>
  <c r="AI1440" i="13015"/>
  <c r="AI1439" i="13015"/>
  <c r="AJ1438" i="13015"/>
  <c r="AI1438" i="13015"/>
  <c r="AJ1437" i="13015"/>
  <c r="AI1437" i="13015"/>
  <c r="AJ1436" i="13015"/>
  <c r="AI1435" i="13015"/>
  <c r="AI1434" i="13015"/>
  <c r="AJ1433" i="13015"/>
  <c r="AI1433" i="13015"/>
  <c r="AJ1432" i="13015"/>
  <c r="AI1432" i="13015"/>
  <c r="AJ1431" i="13015"/>
  <c r="AI1431" i="13015"/>
  <c r="AJ1430" i="13015"/>
  <c r="AI1430" i="13015"/>
  <c r="AJ1428" i="13015"/>
  <c r="AI1428" i="13015"/>
  <c r="AJ1427" i="13015"/>
  <c r="AI1427" i="13015"/>
  <c r="AI1420" i="13015"/>
  <c r="AI1419" i="13015"/>
  <c r="AJ1418" i="13015"/>
  <c r="AI1418" i="13015"/>
  <c r="AJ1417" i="13015"/>
  <c r="AI1417" i="13015"/>
  <c r="AJ1416" i="13015"/>
  <c r="AI1415" i="13015"/>
  <c r="AI1414" i="13015"/>
  <c r="AJ1413" i="13015"/>
  <c r="AI1413" i="13015"/>
  <c r="AJ1412" i="13015"/>
  <c r="AI1412" i="13015"/>
  <c r="AJ1411" i="13015"/>
  <c r="AI1411" i="13015"/>
  <c r="AJ1410" i="13015"/>
  <c r="AI1410" i="13015"/>
  <c r="AJ1408" i="13015"/>
  <c r="AI1408" i="13015"/>
  <c r="AJ1407" i="13015"/>
  <c r="AI1407" i="13015"/>
  <c r="AI1400" i="13015"/>
  <c r="AI1399" i="13015"/>
  <c r="AJ1398" i="13015"/>
  <c r="AI1398" i="13015"/>
  <c r="AJ1397" i="13015"/>
  <c r="AI1397" i="13015"/>
  <c r="AI1396" i="13015"/>
  <c r="AI1395" i="13015"/>
  <c r="AJ1394" i="13015"/>
  <c r="AI1393" i="13015"/>
  <c r="AI1392" i="13015"/>
  <c r="AJ1391" i="13015"/>
  <c r="AI1391" i="13015"/>
  <c r="AJ1390" i="13015"/>
  <c r="AI1390" i="13015"/>
  <c r="AJ1389" i="13015"/>
  <c r="AI1389" i="13015"/>
  <c r="AJ1388" i="13015"/>
  <c r="AI1388" i="13015"/>
  <c r="AJ1387" i="13015"/>
  <c r="AJ1386" i="13015"/>
  <c r="AI1386" i="13015"/>
  <c r="AJ1385" i="13015"/>
  <c r="AI1385" i="13015"/>
  <c r="AJ1380" i="13015"/>
  <c r="AJ1379" i="13015"/>
  <c r="AJ1378" i="13015"/>
  <c r="AI1378" i="13015"/>
  <c r="AJ1377" i="13015"/>
  <c r="AI1377" i="13015"/>
  <c r="AJ1376" i="13015"/>
  <c r="AI1376" i="13015"/>
  <c r="AJ1375" i="13015"/>
  <c r="AI1375" i="13015"/>
  <c r="AJ1374" i="13015"/>
  <c r="AJ1373" i="13015"/>
  <c r="AI1373" i="13015"/>
  <c r="AI1372" i="13015"/>
  <c r="AI1371" i="13015"/>
  <c r="AJ1370" i="13015"/>
  <c r="AI1370" i="13015"/>
  <c r="AJ1369" i="13015"/>
  <c r="AI1369" i="13015"/>
  <c r="AJ1368" i="13015"/>
  <c r="AI1368" i="13015"/>
  <c r="AJ1367" i="13015"/>
  <c r="AI1367" i="13015"/>
  <c r="AJ1366" i="13015"/>
  <c r="AI1366" i="13015"/>
  <c r="AJ1365" i="13015"/>
  <c r="AI1365" i="13015"/>
  <c r="AJ1364" i="13015"/>
  <c r="AI1364" i="13015"/>
  <c r="AJ1363" i="13015"/>
  <c r="AI1363" i="13015"/>
  <c r="AJ1362" i="13015"/>
  <c r="AI1362" i="13015"/>
  <c r="AJ1361" i="13015"/>
  <c r="AI1361" i="13015"/>
  <c r="AJ1360" i="13015"/>
  <c r="AI1360" i="13015"/>
  <c r="AJ1359" i="13015"/>
  <c r="AI1359" i="13015"/>
  <c r="AJ1358" i="13015"/>
  <c r="AI1358" i="13015"/>
  <c r="AJ1357" i="13015"/>
  <c r="AI1357" i="13015"/>
  <c r="AJ1356" i="13015"/>
  <c r="AI1356" i="13015"/>
  <c r="AJ1355" i="13015"/>
  <c r="AI1355" i="13015"/>
  <c r="AJ1354" i="13015"/>
  <c r="AI1354" i="13015"/>
  <c r="AJ1353" i="13015"/>
  <c r="AI1353" i="13015"/>
  <c r="AJ1352" i="13015"/>
  <c r="AI1352" i="13015"/>
  <c r="AJ1351" i="13015"/>
  <c r="AI1351" i="13015"/>
  <c r="AJ1350" i="13015"/>
  <c r="AI1350" i="13015"/>
  <c r="AJ1349" i="13015"/>
  <c r="AI1349" i="13015"/>
  <c r="AJ1348" i="13015"/>
  <c r="AI1348" i="13015"/>
  <c r="AJ1347" i="13015"/>
  <c r="AI1347" i="13015"/>
  <c r="AJ1346" i="13015"/>
  <c r="AI1346" i="13015"/>
  <c r="AJ1345" i="13015"/>
  <c r="AI1345" i="13015"/>
  <c r="AJ1344" i="13015"/>
  <c r="AI1344" i="13015"/>
  <c r="AJ1343" i="13015"/>
  <c r="AI1343" i="13015"/>
  <c r="AJ1342" i="13015"/>
  <c r="AI1342" i="13015"/>
  <c r="AJ1341" i="13015"/>
  <c r="AI1341" i="13015"/>
  <c r="AJ1340" i="13015"/>
  <c r="AI1340" i="13015"/>
  <c r="AJ1339" i="13015"/>
  <c r="AI1339" i="13015"/>
  <c r="AJ1338" i="13015"/>
  <c r="AI1338" i="13015"/>
  <c r="AJ1337" i="13015"/>
  <c r="AI1337" i="13015"/>
  <c r="AJ1336" i="13015"/>
  <c r="AI1336" i="13015"/>
  <c r="AJ1335" i="13015"/>
  <c r="AI1335" i="13015"/>
  <c r="AJ1334" i="13015"/>
  <c r="AI1334" i="13015"/>
  <c r="AJ1333" i="13015"/>
  <c r="AI1333" i="13015"/>
  <c r="AJ1332" i="13015"/>
  <c r="AJ1331" i="13015"/>
  <c r="AI1331" i="13015"/>
  <c r="AI1330" i="13015"/>
  <c r="AI1329" i="13015"/>
  <c r="AJ1328" i="13015"/>
  <c r="AI1328" i="13015"/>
  <c r="AJ1327" i="13015"/>
  <c r="AI1327" i="13015"/>
  <c r="AJ1326" i="13015"/>
  <c r="AI1326" i="13015"/>
  <c r="AJ1325" i="13015"/>
  <c r="AI1325" i="13015"/>
  <c r="AJ1324" i="13015"/>
  <c r="AI1324" i="13015"/>
  <c r="AJ1323" i="13015"/>
  <c r="AI1323" i="13015"/>
  <c r="AJ1322" i="13015"/>
  <c r="AI1322" i="13015"/>
  <c r="AJ1321" i="13015"/>
  <c r="AI1321" i="13015"/>
  <c r="AJ1320" i="13015"/>
  <c r="AI1320" i="13015"/>
  <c r="AJ1319" i="13015"/>
  <c r="AI1319" i="13015"/>
  <c r="AJ1318" i="13015"/>
  <c r="AI1318" i="13015"/>
  <c r="AJ1317" i="13015"/>
  <c r="AI1317" i="13015"/>
  <c r="AJ1316" i="13015"/>
  <c r="AI1316" i="13015"/>
  <c r="AJ1315" i="13015"/>
  <c r="AI1315" i="13015"/>
  <c r="AJ1314" i="13015"/>
  <c r="AI1314" i="13015"/>
  <c r="AJ1313" i="13015"/>
  <c r="AI1313" i="13015"/>
  <c r="AJ1312" i="13015"/>
  <c r="AI1312" i="13015"/>
  <c r="AJ1311" i="13015"/>
  <c r="AI1311" i="13015"/>
  <c r="AJ1310" i="13015"/>
  <c r="AI1310" i="13015"/>
  <c r="AJ1309" i="13015"/>
  <c r="AI1309" i="13015"/>
  <c r="AJ1308" i="13015"/>
  <c r="AI1308" i="13015"/>
  <c r="AJ1307" i="13015"/>
  <c r="AI1307" i="13015"/>
  <c r="AJ1306" i="13015"/>
  <c r="AI1306" i="13015"/>
  <c r="AJ1305" i="13015"/>
  <c r="AI1305" i="13015"/>
  <c r="AJ1304" i="13015"/>
  <c r="AI1304" i="13015"/>
  <c r="AJ1303" i="13015"/>
  <c r="AI1303" i="13015"/>
  <c r="AJ1302" i="13015"/>
  <c r="AI1302" i="13015"/>
  <c r="AJ1301" i="13015"/>
  <c r="AI1301" i="13015"/>
  <c r="AJ1300" i="13015"/>
  <c r="AI1300" i="13015"/>
  <c r="AJ1299" i="13015"/>
  <c r="AI1299" i="13015"/>
  <c r="AJ1298" i="13015"/>
  <c r="AI1298" i="13015"/>
  <c r="AJ1297" i="13015"/>
  <c r="AI1297" i="13015"/>
  <c r="AJ1296" i="13015"/>
  <c r="AI1296" i="13015"/>
  <c r="AJ1295" i="13015"/>
  <c r="AI1295" i="13015"/>
  <c r="AJ1294" i="13015"/>
  <c r="AI1294" i="13015"/>
  <c r="AJ1293" i="13015"/>
  <c r="AI1293" i="13015"/>
  <c r="AJ1292" i="13015"/>
  <c r="AI1292" i="13015"/>
  <c r="AJ1291" i="13015"/>
  <c r="AI1291" i="13015"/>
  <c r="AJ1290" i="13015"/>
  <c r="AJ1289" i="13015"/>
  <c r="AI1289" i="13015"/>
  <c r="AI1288" i="13015"/>
  <c r="AI1287" i="13015"/>
  <c r="AJ1286" i="13015"/>
  <c r="AI1286" i="13015"/>
  <c r="AJ1285" i="13015"/>
  <c r="AI1285" i="13015"/>
  <c r="AJ1284" i="13015"/>
  <c r="AI1284" i="13015"/>
  <c r="AJ1283" i="13015"/>
  <c r="AI1283" i="13015"/>
  <c r="AJ1282" i="13015"/>
  <c r="AI1282" i="13015"/>
  <c r="AJ1281" i="13015"/>
  <c r="AI1281" i="13015"/>
  <c r="AJ1280" i="13015"/>
  <c r="AI1280" i="13015"/>
  <c r="AJ1279" i="13015"/>
  <c r="AI1279" i="13015"/>
  <c r="AJ1278" i="13015"/>
  <c r="AI1278" i="13015"/>
  <c r="AJ1277" i="13015"/>
  <c r="AI1277" i="13015"/>
  <c r="AJ1276" i="13015"/>
  <c r="AI1276" i="13015"/>
  <c r="AJ1275" i="13015"/>
  <c r="AI1275" i="13015"/>
  <c r="AJ1274" i="13015"/>
  <c r="AI1274" i="13015"/>
  <c r="AJ1273" i="13015"/>
  <c r="AI1273" i="13015"/>
  <c r="AJ1272" i="13015"/>
  <c r="AI1272" i="13015"/>
  <c r="AJ1271" i="13015"/>
  <c r="AI1271" i="13015"/>
  <c r="AJ1270" i="13015"/>
  <c r="AI1270" i="13015"/>
  <c r="AJ1269" i="13015"/>
  <c r="AI1269" i="13015"/>
  <c r="AJ1268" i="13015"/>
  <c r="AI1268" i="13015"/>
  <c r="AJ1267" i="13015"/>
  <c r="AI1267" i="13015"/>
  <c r="AJ1266" i="13015"/>
  <c r="AI1266" i="13015"/>
  <c r="AJ1265" i="13015"/>
  <c r="AI1265" i="13015"/>
  <c r="AJ1264" i="13015"/>
  <c r="AI1264" i="13015"/>
  <c r="AJ1263" i="13015"/>
  <c r="AI1263" i="13015"/>
  <c r="AJ1262" i="13015"/>
  <c r="AI1262" i="13015"/>
  <c r="AJ1261" i="13015"/>
  <c r="AI1261" i="13015"/>
  <c r="AJ1260" i="13015"/>
  <c r="AI1260" i="13015"/>
  <c r="AJ1259" i="13015"/>
  <c r="AI1259" i="13015"/>
  <c r="AJ1258" i="13015"/>
  <c r="AI1258" i="13015"/>
  <c r="AJ1257" i="13015"/>
  <c r="AI1257" i="13015"/>
  <c r="AJ1256" i="13015"/>
  <c r="AI1256" i="13015"/>
  <c r="AJ1255" i="13015"/>
  <c r="AI1255" i="13015"/>
  <c r="AJ1254" i="13015"/>
  <c r="AI1254" i="13015"/>
  <c r="AJ1253" i="13015"/>
  <c r="AI1253" i="13015"/>
  <c r="AJ1252" i="13015"/>
  <c r="AI1252" i="13015"/>
  <c r="AJ1251" i="13015"/>
  <c r="AI1251" i="13015"/>
  <c r="AJ1250" i="13015"/>
  <c r="AI1250" i="13015"/>
  <c r="AJ1249" i="13015"/>
  <c r="AI1249" i="13015"/>
  <c r="AJ1248" i="13015"/>
  <c r="AJ1247" i="13015"/>
  <c r="AI1247" i="13015"/>
  <c r="AI1246" i="13015"/>
  <c r="AI1245" i="13015"/>
  <c r="AJ1244" i="13015"/>
  <c r="AI1244" i="13015"/>
  <c r="AJ1243" i="13015"/>
  <c r="AI1243" i="13015"/>
  <c r="AJ1242" i="13015"/>
  <c r="AI1242" i="13015"/>
  <c r="AJ1241" i="13015"/>
  <c r="AI1241" i="13015"/>
  <c r="AJ1240" i="13015"/>
  <c r="AI1240" i="13015"/>
  <c r="AJ1239" i="13015"/>
  <c r="AI1239" i="13015"/>
  <c r="AJ1238" i="13015"/>
  <c r="AI1238" i="13015"/>
  <c r="AJ1237" i="13015"/>
  <c r="AI1237" i="13015"/>
  <c r="AJ1236" i="13015"/>
  <c r="AI1236" i="13015"/>
  <c r="AJ1235" i="13015"/>
  <c r="AI1235" i="13015"/>
  <c r="AJ1234" i="13015"/>
  <c r="AI1234" i="13015"/>
  <c r="AJ1233" i="13015"/>
  <c r="AI1233" i="13015"/>
  <c r="AJ1232" i="13015"/>
  <c r="AI1232" i="13015"/>
  <c r="AJ1231" i="13015"/>
  <c r="AI1231" i="13015"/>
  <c r="AJ1230" i="13015"/>
  <c r="AI1230" i="13015"/>
  <c r="AJ1229" i="13015"/>
  <c r="AI1229" i="13015"/>
  <c r="AJ1228" i="13015"/>
  <c r="AI1228" i="13015"/>
  <c r="AJ1227" i="13015"/>
  <c r="AI1227" i="13015"/>
  <c r="AJ1226" i="13015"/>
  <c r="AI1226" i="13015"/>
  <c r="AJ1225" i="13015"/>
  <c r="AI1225" i="13015"/>
  <c r="AJ1224" i="13015"/>
  <c r="AI1224" i="13015"/>
  <c r="AJ1223" i="13015"/>
  <c r="AI1223" i="13015"/>
  <c r="AJ1222" i="13015"/>
  <c r="AI1222" i="13015"/>
  <c r="AJ1221" i="13015"/>
  <c r="AI1221" i="13015"/>
  <c r="AJ1220" i="13015"/>
  <c r="AI1220" i="13015"/>
  <c r="AJ1219" i="13015"/>
  <c r="AI1219" i="13015"/>
  <c r="AJ1218" i="13015"/>
  <c r="AI1218" i="13015"/>
  <c r="AJ1217" i="13015"/>
  <c r="AI1217" i="13015"/>
  <c r="AJ1216" i="13015"/>
  <c r="AI1216" i="13015"/>
  <c r="AJ1215" i="13015"/>
  <c r="AI1215" i="13015"/>
  <c r="AJ1214" i="13015"/>
  <c r="AI1214" i="13015"/>
  <c r="AJ1213" i="13015"/>
  <c r="AI1213" i="13015"/>
  <c r="AJ1212" i="13015"/>
  <c r="AI1212" i="13015"/>
  <c r="AJ1211" i="13015"/>
  <c r="AI1211" i="13015"/>
  <c r="AJ1210" i="13015"/>
  <c r="AI1210" i="13015"/>
  <c r="AJ1209" i="13015"/>
  <c r="AI1209" i="13015"/>
  <c r="AJ1208" i="13015"/>
  <c r="AI1208" i="13015"/>
  <c r="AJ1207" i="13015"/>
  <c r="AI1207" i="13015"/>
  <c r="AJ1206" i="13015"/>
  <c r="AJ1205" i="13015"/>
  <c r="AI1205" i="13015"/>
  <c r="AI1204" i="13015"/>
  <c r="AI1203" i="13015"/>
  <c r="AJ1202" i="13015"/>
  <c r="AI1202" i="13015"/>
  <c r="AJ1201" i="13015"/>
  <c r="AI1201" i="13015"/>
  <c r="AJ1200" i="13015"/>
  <c r="AI1200" i="13015"/>
  <c r="AJ1199" i="13015"/>
  <c r="AI1199" i="13015"/>
  <c r="AJ1198" i="13015"/>
  <c r="AI1198" i="13015"/>
  <c r="AJ1197" i="13015"/>
  <c r="AI1197" i="13015"/>
  <c r="AJ1196" i="13015"/>
  <c r="AI1196" i="13015"/>
  <c r="AJ1195" i="13015"/>
  <c r="AI1195" i="13015"/>
  <c r="AJ1194" i="13015"/>
  <c r="AI1194" i="13015"/>
  <c r="AJ1193" i="13015"/>
  <c r="AI1193" i="13015"/>
  <c r="AJ1192" i="13015"/>
  <c r="AI1192" i="13015"/>
  <c r="AJ1191" i="13015"/>
  <c r="AI1191" i="13015"/>
  <c r="AJ1190" i="13015"/>
  <c r="AI1190" i="13015"/>
  <c r="AJ1189" i="13015"/>
  <c r="AI1189" i="13015"/>
  <c r="AJ1188" i="13015"/>
  <c r="AI1188" i="13015"/>
  <c r="AJ1187" i="13015"/>
  <c r="AI1187" i="13015"/>
  <c r="AJ1186" i="13015"/>
  <c r="AI1186" i="13015"/>
  <c r="AJ1185" i="13015"/>
  <c r="AI1185" i="13015"/>
  <c r="AJ1184" i="13015"/>
  <c r="AI1184" i="13015"/>
  <c r="AJ1183" i="13015"/>
  <c r="AI1183" i="13015"/>
  <c r="AJ1182" i="13015"/>
  <c r="AI1182" i="13015"/>
  <c r="AJ1181" i="13015"/>
  <c r="AI1181" i="13015"/>
  <c r="AJ1180" i="13015"/>
  <c r="AI1180" i="13015"/>
  <c r="AJ1179" i="13015"/>
  <c r="AI1179" i="13015"/>
  <c r="AJ1178" i="13015"/>
  <c r="AI1178" i="13015"/>
  <c r="AJ1177" i="13015"/>
  <c r="AI1177" i="13015"/>
  <c r="AJ1176" i="13015"/>
  <c r="AI1176" i="13015"/>
  <c r="AJ1175" i="13015"/>
  <c r="AI1175" i="13015"/>
  <c r="AJ1174" i="13015"/>
  <c r="AI1174" i="13015"/>
  <c r="AJ1173" i="13015"/>
  <c r="AI1173" i="13015"/>
  <c r="AJ1172" i="13015"/>
  <c r="AI1172" i="13015"/>
  <c r="AJ1171" i="13015"/>
  <c r="AI1171" i="13015"/>
  <c r="AJ1170" i="13015"/>
  <c r="AI1170" i="13015"/>
  <c r="AJ1169" i="13015"/>
  <c r="AI1169" i="13015"/>
  <c r="AJ1168" i="13015"/>
  <c r="AI1168" i="13015"/>
  <c r="AJ1167" i="13015"/>
  <c r="AI1167" i="13015"/>
  <c r="AJ1166" i="13015"/>
  <c r="AI1166" i="13015"/>
  <c r="AJ1165" i="13015"/>
  <c r="AI1165" i="13015"/>
  <c r="AJ1164" i="13015"/>
  <c r="AI1163" i="13015"/>
  <c r="AI1162" i="13015"/>
  <c r="AJ1161" i="13015"/>
  <c r="AI1161" i="13015"/>
  <c r="AJ1160" i="13015"/>
  <c r="AI1160" i="13015"/>
  <c r="AJ1159" i="13015"/>
  <c r="AI1159" i="13015"/>
  <c r="AJ1158" i="13015"/>
  <c r="AI1158" i="13015"/>
  <c r="AJ1157" i="13015"/>
  <c r="AI1157" i="13015"/>
  <c r="AJ1155" i="13015"/>
  <c r="AI1155" i="13015"/>
  <c r="AJ1154" i="13015"/>
  <c r="AI1154" i="13015"/>
  <c r="AJ1144" i="13015"/>
  <c r="AI1144" i="13015"/>
  <c r="AJ1143" i="13015"/>
  <c r="AI1143" i="13015"/>
  <c r="AJ1142" i="13015"/>
  <c r="AI1141" i="13015"/>
  <c r="AI1140" i="13015"/>
  <c r="AJ1139" i="13015"/>
  <c r="AI1139" i="13015"/>
  <c r="AJ1138" i="13015"/>
  <c r="AI1138" i="13015"/>
  <c r="AJ1137" i="13015"/>
  <c r="AI1137" i="13015"/>
  <c r="AJ1136" i="13015"/>
  <c r="AI1136" i="13015"/>
  <c r="AJ1135" i="13015"/>
  <c r="AI1135" i="13015"/>
  <c r="AJ1133" i="13015"/>
  <c r="AI1133" i="13015"/>
  <c r="AJ1132" i="13015"/>
  <c r="AI1132" i="13015"/>
  <c r="AJ1122" i="13015"/>
  <c r="AI1122" i="13015"/>
  <c r="AJ1121" i="13015"/>
  <c r="AI1121" i="13015"/>
  <c r="AJ1120" i="13015"/>
  <c r="AI1119" i="13015"/>
  <c r="AI1118" i="13015"/>
  <c r="AJ1117" i="13015"/>
  <c r="AI1117" i="13015"/>
  <c r="AJ1116" i="13015"/>
  <c r="AI1116" i="13015"/>
  <c r="AJ1115" i="13015"/>
  <c r="AI1115" i="13015"/>
  <c r="AJ1114" i="13015"/>
  <c r="AI1114" i="13015"/>
  <c r="AJ1113" i="13015"/>
  <c r="AI1113" i="13015"/>
  <c r="AJ1111" i="13015"/>
  <c r="AI1111" i="13015"/>
  <c r="AJ1110" i="13015"/>
  <c r="AI1110" i="13015"/>
  <c r="AJ1100" i="13015"/>
  <c r="AI1100" i="13015"/>
  <c r="AJ1099" i="13015"/>
  <c r="AI1099" i="13015"/>
  <c r="AJ1098" i="13015"/>
  <c r="AI1097" i="13015"/>
  <c r="AI1096" i="13015"/>
  <c r="AJ1095" i="13015"/>
  <c r="AI1095" i="13015"/>
  <c r="AJ1094" i="13015"/>
  <c r="AI1094" i="13015"/>
  <c r="AJ1093" i="13015"/>
  <c r="AI1093" i="13015"/>
  <c r="AJ1092" i="13015"/>
  <c r="AI1092" i="13015"/>
  <c r="AJ1091" i="13015"/>
  <c r="AI1091" i="13015"/>
  <c r="AJ1089" i="13015"/>
  <c r="AI1089" i="13015"/>
  <c r="AJ1088" i="13015"/>
  <c r="AI1088" i="13015"/>
  <c r="AJ1078" i="13015"/>
  <c r="AI1078" i="13015"/>
  <c r="AJ1077" i="13015"/>
  <c r="AI1077" i="13015"/>
  <c r="AJ1076" i="13015"/>
  <c r="AI1075" i="13015"/>
  <c r="AI1074" i="13015"/>
  <c r="AJ1073" i="13015"/>
  <c r="AI1073" i="13015"/>
  <c r="AJ1072" i="13015"/>
  <c r="AI1072" i="13015"/>
  <c r="AJ1071" i="13015"/>
  <c r="AI1071" i="13015"/>
  <c r="AJ1070" i="13015"/>
  <c r="AI1070" i="13015"/>
  <c r="AJ1069" i="13015"/>
  <c r="AI1069" i="13015"/>
  <c r="AJ1067" i="13015"/>
  <c r="AI1067" i="13015"/>
  <c r="AJ1066" i="13015"/>
  <c r="AI1066" i="13015"/>
  <c r="AJ1056" i="13015"/>
  <c r="AI1056" i="13015"/>
  <c r="AJ1055" i="13015"/>
  <c r="AI1055" i="13015"/>
  <c r="AJ1054" i="13015"/>
  <c r="AJ1053" i="13015"/>
  <c r="AI1053" i="13015"/>
  <c r="AI1052" i="13015"/>
  <c r="AI1051" i="13015"/>
  <c r="AJ1050" i="13015"/>
  <c r="AI1050" i="13015"/>
  <c r="AJ1048" i="13015"/>
  <c r="AI1048" i="13015"/>
  <c r="AJ1047" i="13015"/>
  <c r="AI1047" i="13015"/>
  <c r="AJ1046" i="13015"/>
  <c r="AI1046" i="13015"/>
  <c r="AJ1045" i="13015"/>
  <c r="AI1045" i="13015"/>
  <c r="AJ1043" i="13015"/>
  <c r="AI1043" i="13015"/>
  <c r="AJ1042" i="13015"/>
  <c r="AI1042" i="13015"/>
  <c r="AJ1032" i="13015"/>
  <c r="AI1032" i="13015"/>
  <c r="AJ1031" i="13015"/>
  <c r="AI1031" i="13015"/>
  <c r="AJ1030" i="13015"/>
  <c r="AJ1029" i="13015"/>
  <c r="AI1029" i="13015"/>
  <c r="AI1028" i="13015"/>
  <c r="AI1027" i="13015"/>
  <c r="AJ1026" i="13015"/>
  <c r="AI1026" i="13015"/>
  <c r="AJ1024" i="13015"/>
  <c r="AI1024" i="13015"/>
  <c r="AJ1023" i="13015"/>
  <c r="AI1023" i="13015"/>
  <c r="AJ1022" i="13015"/>
  <c r="AI1022" i="13015"/>
  <c r="AJ1021" i="13015"/>
  <c r="AI1021" i="13015"/>
  <c r="AJ1019" i="13015"/>
  <c r="AI1019" i="13015"/>
  <c r="AJ1018" i="13015"/>
  <c r="AI1018" i="13015"/>
  <c r="AJ1008" i="13015"/>
  <c r="AI1008" i="13015"/>
  <c r="AJ1007" i="13015"/>
  <c r="AI1007" i="13015"/>
  <c r="AJ1006" i="13015"/>
  <c r="AJ1005" i="13015"/>
  <c r="AI1005" i="13015"/>
  <c r="AI1004" i="13015"/>
  <c r="AI1003" i="13015"/>
  <c r="AJ1002" i="13015"/>
  <c r="AI1002" i="13015"/>
  <c r="AJ1000" i="13015"/>
  <c r="AI1000" i="13015"/>
  <c r="AJ999" i="13015"/>
  <c r="AI999" i="13015"/>
  <c r="AJ998" i="13015"/>
  <c r="AI998" i="13015"/>
  <c r="AJ997" i="13015"/>
  <c r="AI997" i="13015"/>
  <c r="AJ995" i="13015"/>
  <c r="AI995" i="13015"/>
  <c r="AJ994" i="13015"/>
  <c r="AI994" i="13015"/>
  <c r="AJ984" i="13015"/>
  <c r="AI984" i="13015"/>
  <c r="AJ983" i="13015"/>
  <c r="AI983" i="13015"/>
  <c r="AJ982" i="13015"/>
  <c r="AJ981" i="13015"/>
  <c r="AI981" i="13015"/>
  <c r="AI980" i="13015"/>
  <c r="AI979" i="13015"/>
  <c r="AJ978" i="13015"/>
  <c r="AI978" i="13015"/>
  <c r="AJ977" i="13015"/>
  <c r="AI977" i="13015"/>
  <c r="AJ976" i="13015"/>
  <c r="AI976" i="13015"/>
  <c r="AJ975" i="13015"/>
  <c r="AI975" i="13015"/>
  <c r="AJ974" i="13015"/>
  <c r="AI974" i="13015"/>
  <c r="AJ973" i="13015"/>
  <c r="AI973" i="13015"/>
  <c r="AJ972" i="13015"/>
  <c r="AI972" i="13015"/>
  <c r="AJ971" i="13015"/>
  <c r="AI971" i="13015"/>
  <c r="AJ970" i="13015"/>
  <c r="AI970" i="13015"/>
  <c r="AJ969" i="13015"/>
  <c r="AI969" i="13015"/>
  <c r="AJ960" i="13015"/>
  <c r="AI960" i="13015"/>
  <c r="AJ959" i="13015"/>
  <c r="AI959" i="13015"/>
  <c r="AJ958" i="13015"/>
  <c r="AI957" i="13015"/>
  <c r="AI956" i="13015"/>
  <c r="AJ955" i="13015"/>
  <c r="AI955" i="13015"/>
  <c r="AJ954" i="13015"/>
  <c r="AI954" i="13015"/>
  <c r="AJ953" i="13015"/>
  <c r="AI953" i="13015"/>
  <c r="AJ951" i="13015"/>
  <c r="AI951" i="13015"/>
  <c r="AJ950" i="13015"/>
  <c r="AI950" i="13015"/>
  <c r="AJ942" i="13015"/>
  <c r="AI942" i="13015"/>
  <c r="AJ941" i="13015"/>
  <c r="AI941" i="13015"/>
  <c r="AJ940" i="13015"/>
  <c r="AI939" i="13015"/>
  <c r="AI938" i="13015"/>
  <c r="AJ937" i="13015"/>
  <c r="AI937" i="13015"/>
  <c r="AJ936" i="13015"/>
  <c r="AI936" i="13015"/>
  <c r="AJ935" i="13015"/>
  <c r="AI935" i="13015"/>
  <c r="AJ933" i="13015"/>
  <c r="AI933" i="13015"/>
  <c r="AJ932" i="13015"/>
  <c r="AI932" i="13015"/>
  <c r="AJ924" i="13015"/>
  <c r="AI924" i="13015"/>
  <c r="AJ923" i="13015"/>
  <c r="AI923" i="13015"/>
  <c r="AJ922" i="13015"/>
  <c r="AI921" i="13015"/>
  <c r="AI920" i="13015"/>
  <c r="AJ919" i="13015"/>
  <c r="AI919" i="13015"/>
  <c r="AJ918" i="13015"/>
  <c r="AI918" i="13015"/>
  <c r="AJ917" i="13015"/>
  <c r="AI917" i="13015"/>
  <c r="AJ915" i="13015"/>
  <c r="AI915" i="13015"/>
  <c r="AJ914" i="13015"/>
  <c r="AI914" i="13015"/>
  <c r="AJ906" i="13015"/>
  <c r="AI906" i="13015"/>
  <c r="AJ905" i="13015"/>
  <c r="AI905" i="13015"/>
  <c r="AJ904" i="13015"/>
  <c r="AI903" i="13015"/>
  <c r="AI902" i="13015"/>
  <c r="AJ901" i="13015"/>
  <c r="AI901" i="13015"/>
  <c r="AJ900" i="13015"/>
  <c r="AI900" i="13015"/>
  <c r="AJ899" i="13015"/>
  <c r="AI899" i="13015"/>
  <c r="AJ897" i="13015"/>
  <c r="AI897" i="13015"/>
  <c r="AJ896" i="13015"/>
  <c r="AI896" i="13015"/>
  <c r="AJ888" i="13015"/>
  <c r="AI888" i="13015"/>
  <c r="AJ887" i="13015"/>
  <c r="AI887" i="13015"/>
  <c r="AJ886" i="13015"/>
  <c r="AI885" i="13015"/>
  <c r="AI884" i="13015"/>
  <c r="AJ883" i="13015"/>
  <c r="AI883" i="13015"/>
  <c r="AJ882" i="13015"/>
  <c r="AI882" i="13015"/>
  <c r="AJ881" i="13015"/>
  <c r="AI881" i="13015"/>
  <c r="AJ879" i="13015"/>
  <c r="AI879" i="13015"/>
  <c r="AJ878" i="13015"/>
  <c r="AI878" i="13015"/>
  <c r="AJ869" i="13015"/>
  <c r="AI869" i="13015"/>
  <c r="AJ868" i="13015"/>
  <c r="AI868" i="13015"/>
  <c r="AJ867" i="13015"/>
  <c r="AI866" i="13015"/>
  <c r="AI865" i="13015"/>
  <c r="AJ864" i="13015"/>
  <c r="AI864" i="13015"/>
  <c r="AJ863" i="13015"/>
  <c r="AI863" i="13015"/>
  <c r="AJ862" i="13015"/>
  <c r="AI862" i="13015"/>
  <c r="AJ860" i="13015"/>
  <c r="AI860" i="13015"/>
  <c r="AJ859" i="13015"/>
  <c r="AI859" i="13015"/>
  <c r="AJ850" i="13015"/>
  <c r="AI850" i="13015"/>
  <c r="AJ849" i="13015"/>
  <c r="AI849" i="13015"/>
  <c r="AJ848" i="13015"/>
  <c r="AI847" i="13015"/>
  <c r="AI846" i="13015"/>
  <c r="AJ845" i="13015"/>
  <c r="AI845" i="13015"/>
  <c r="AJ844" i="13015"/>
  <c r="AI844" i="13015"/>
  <c r="AJ843" i="13015"/>
  <c r="AI843" i="13015"/>
  <c r="AJ841" i="13015"/>
  <c r="AI841" i="13015"/>
  <c r="AJ840" i="13015"/>
  <c r="AI840" i="13015"/>
  <c r="AJ834" i="13015"/>
  <c r="AJ831" i="13015"/>
  <c r="AI831" i="13015"/>
  <c r="AJ830" i="13015"/>
  <c r="AI830" i="13015"/>
  <c r="AJ829" i="13015"/>
  <c r="AI828" i="13015"/>
  <c r="AI827" i="13015"/>
  <c r="AJ826" i="13015"/>
  <c r="AI826" i="13015"/>
  <c r="AJ825" i="13015"/>
  <c r="AI825" i="13015"/>
  <c r="AJ824" i="13015"/>
  <c r="AI824" i="13015"/>
  <c r="AJ822" i="13015"/>
  <c r="AI822" i="13015"/>
  <c r="AJ821" i="13015"/>
  <c r="AI821" i="13015"/>
  <c r="AJ812" i="13015"/>
  <c r="AI812" i="13015"/>
  <c r="AJ811" i="13015"/>
  <c r="AI811" i="13015"/>
  <c r="AJ810" i="13015"/>
  <c r="AI809" i="13015"/>
  <c r="AI808" i="13015"/>
  <c r="AJ807" i="13015"/>
  <c r="AI807" i="13015"/>
  <c r="AJ806" i="13015"/>
  <c r="AI806" i="13015"/>
  <c r="AJ805" i="13015"/>
  <c r="AI805" i="13015"/>
  <c r="AJ803" i="13015"/>
  <c r="AI803" i="13015"/>
  <c r="AJ802" i="13015"/>
  <c r="AI802" i="13015"/>
  <c r="AJ793" i="13015"/>
  <c r="AI793" i="13015"/>
  <c r="AJ792" i="13015"/>
  <c r="AI792" i="13015"/>
  <c r="AJ791" i="13015"/>
  <c r="AI790" i="13015"/>
  <c r="AI789" i="13015"/>
  <c r="AJ788" i="13015"/>
  <c r="AI788" i="13015"/>
  <c r="AJ787" i="13015"/>
  <c r="AI787" i="13015"/>
  <c r="AJ786" i="13015"/>
  <c r="AI786" i="13015"/>
  <c r="AJ784" i="13015"/>
  <c r="AI784" i="13015"/>
  <c r="AJ783" i="13015"/>
  <c r="AI783" i="13015"/>
  <c r="AJ774" i="13015"/>
  <c r="AI774" i="13015"/>
  <c r="AJ773" i="13015"/>
  <c r="AI773" i="13015"/>
  <c r="AJ772" i="13015"/>
  <c r="AI771" i="13015"/>
  <c r="AI770" i="13015"/>
  <c r="AJ769" i="13015"/>
  <c r="AI769" i="13015"/>
  <c r="AJ768" i="13015"/>
  <c r="AI768" i="13015"/>
  <c r="AJ767" i="13015"/>
  <c r="AI767" i="13015"/>
  <c r="AJ765" i="13015"/>
  <c r="AI765" i="13015"/>
  <c r="AJ764" i="13015"/>
  <c r="AI764" i="13015"/>
  <c r="AJ755" i="13015"/>
  <c r="AI755" i="13015"/>
  <c r="AJ754" i="13015"/>
  <c r="AI754" i="13015"/>
  <c r="AJ753" i="13015"/>
  <c r="AJ752" i="13015"/>
  <c r="AI752" i="13015"/>
  <c r="AI751" i="13015"/>
  <c r="AI750" i="13015"/>
  <c r="AJ749" i="13015"/>
  <c r="AI749" i="13015"/>
  <c r="AJ747" i="13015"/>
  <c r="AI747" i="13015"/>
  <c r="AJ746" i="13015"/>
  <c r="AI746" i="13015"/>
  <c r="AJ744" i="13015"/>
  <c r="AI744" i="13015"/>
  <c r="AJ743" i="13015"/>
  <c r="AI743" i="13015"/>
  <c r="AJ734" i="13015"/>
  <c r="AI734" i="13015"/>
  <c r="AJ733" i="13015"/>
  <c r="AI733" i="13015"/>
  <c r="AJ732" i="13015"/>
  <c r="AJ731" i="13015"/>
  <c r="AI731" i="13015"/>
  <c r="AI730" i="13015"/>
  <c r="AI729" i="13015"/>
  <c r="AJ728" i="13015"/>
  <c r="AI728" i="13015"/>
  <c r="AJ726" i="13015"/>
  <c r="AI726" i="13015"/>
  <c r="AJ725" i="13015"/>
  <c r="AI725" i="13015"/>
  <c r="AJ723" i="13015"/>
  <c r="AI723" i="13015"/>
  <c r="AJ722" i="13015"/>
  <c r="AI722" i="13015"/>
  <c r="AJ713" i="13015"/>
  <c r="AI713" i="13015"/>
  <c r="AJ712" i="13015"/>
  <c r="AI712" i="13015"/>
  <c r="AJ711" i="13015"/>
  <c r="AJ710" i="13015"/>
  <c r="AI710" i="13015"/>
  <c r="AI709" i="13015"/>
  <c r="AI708" i="13015"/>
  <c r="AJ707" i="13015"/>
  <c r="AI707" i="13015"/>
  <c r="AJ705" i="13015"/>
  <c r="AI705" i="13015"/>
  <c r="AJ704" i="13015"/>
  <c r="AI704" i="13015"/>
  <c r="AJ702" i="13015"/>
  <c r="AI702" i="13015"/>
  <c r="AJ701" i="13015"/>
  <c r="AI701" i="13015"/>
  <c r="AJ692" i="13015"/>
  <c r="AI692" i="13015"/>
  <c r="AJ691" i="13015"/>
  <c r="AI691" i="13015"/>
  <c r="AJ690" i="13015"/>
  <c r="AJ689" i="13015"/>
  <c r="AI689" i="13015"/>
  <c r="AI688" i="13015"/>
  <c r="AI687" i="13015"/>
  <c r="AJ686" i="13015"/>
  <c r="AI686" i="13015"/>
  <c r="AJ685" i="13015"/>
  <c r="AJ684" i="13015"/>
  <c r="AI684" i="13015"/>
  <c r="AJ683" i="13015"/>
  <c r="AI683" i="13015"/>
  <c r="AJ682" i="13015"/>
  <c r="AJ681" i="13015"/>
  <c r="AI681" i="13015"/>
  <c r="AJ680" i="13015"/>
  <c r="AI680" i="13015"/>
  <c r="AJ675" i="13015"/>
  <c r="AJ674" i="13015"/>
  <c r="AJ673" i="13015"/>
  <c r="AJ672" i="13015"/>
  <c r="AJ671" i="13015"/>
  <c r="AI671" i="13015"/>
  <c r="AJ670" i="13015"/>
  <c r="AI670" i="13015"/>
  <c r="AJ669" i="13015"/>
  <c r="AI669" i="13015"/>
  <c r="AJ668" i="13015"/>
  <c r="AI667" i="13015"/>
  <c r="AI666" i="13015"/>
  <c r="AJ665" i="13015"/>
  <c r="AI665" i="13015"/>
  <c r="AJ664" i="13015"/>
  <c r="AI664" i="13015"/>
  <c r="AJ663" i="13015"/>
  <c r="AI663" i="13015"/>
  <c r="AJ661" i="13015"/>
  <c r="AI661" i="13015"/>
  <c r="AJ660" i="13015"/>
  <c r="AI660" i="13015"/>
  <c r="AJ652" i="13015"/>
  <c r="AI652" i="13015"/>
  <c r="AJ651" i="13015"/>
  <c r="AI650" i="13015"/>
  <c r="AI649" i="13015"/>
  <c r="AJ637" i="13015"/>
  <c r="AI637" i="13015"/>
  <c r="AJ636" i="13015"/>
  <c r="AI636" i="13015"/>
  <c r="AJ635" i="13015"/>
  <c r="AI634" i="13015"/>
  <c r="AI633" i="13015"/>
  <c r="AJ632" i="13015"/>
  <c r="AI632" i="13015"/>
  <c r="AJ631" i="13015"/>
  <c r="AI631" i="13015"/>
  <c r="AJ630" i="13015"/>
  <c r="AI630" i="13015"/>
  <c r="AJ628" i="13015"/>
  <c r="AI628" i="13015"/>
  <c r="AJ627" i="13015"/>
  <c r="AI627" i="13015"/>
  <c r="AJ619" i="13015"/>
  <c r="AI619" i="13015"/>
  <c r="AJ618" i="13015"/>
  <c r="AI617" i="13015"/>
  <c r="AI616" i="13015"/>
  <c r="AJ604" i="13015"/>
  <c r="AI604" i="13015"/>
  <c r="AJ603" i="13015"/>
  <c r="AI603" i="13015"/>
  <c r="AJ602" i="13015"/>
  <c r="AI601" i="13015"/>
  <c r="AI600" i="13015"/>
  <c r="AJ599" i="13015"/>
  <c r="AI599" i="13015"/>
  <c r="AJ598" i="13015"/>
  <c r="AI598" i="13015"/>
  <c r="AJ597" i="13015"/>
  <c r="AI597" i="13015"/>
  <c r="AJ595" i="13015"/>
  <c r="AI595" i="13015"/>
  <c r="AJ594" i="13015"/>
  <c r="AI594" i="13015"/>
  <c r="AJ586" i="13015"/>
  <c r="AI586" i="13015"/>
  <c r="AJ585" i="13015"/>
  <c r="AI584" i="13015"/>
  <c r="AI583" i="13015"/>
  <c r="AJ571" i="13015"/>
  <c r="AI571" i="13015"/>
  <c r="AJ570" i="13015"/>
  <c r="AI570" i="13015"/>
  <c r="AJ569" i="13015"/>
  <c r="AI568" i="13015"/>
  <c r="AI567" i="13015"/>
  <c r="AJ566" i="13015"/>
  <c r="AI566" i="13015"/>
  <c r="AJ565" i="13015"/>
  <c r="AI565" i="13015"/>
  <c r="AJ564" i="13015"/>
  <c r="AI564" i="13015"/>
  <c r="AJ562" i="13015"/>
  <c r="AI562" i="13015"/>
  <c r="AJ561" i="13015"/>
  <c r="AI561" i="13015"/>
  <c r="AJ553" i="13015"/>
  <c r="AI553" i="13015"/>
  <c r="AJ552" i="13015"/>
  <c r="AI551" i="13015"/>
  <c r="AI550" i="13015"/>
  <c r="AJ538" i="13015"/>
  <c r="AI538" i="13015"/>
  <c r="AJ537" i="13015"/>
  <c r="AI537" i="13015"/>
  <c r="AJ536" i="13015"/>
  <c r="AI535" i="13015"/>
  <c r="AI534" i="13015"/>
  <c r="AJ533" i="13015"/>
  <c r="AI533" i="13015"/>
  <c r="AJ532" i="13015"/>
  <c r="AI532" i="13015"/>
  <c r="AJ531" i="13015"/>
  <c r="AI531" i="13015"/>
  <c r="AJ529" i="13015"/>
  <c r="AI529" i="13015"/>
  <c r="AJ528" i="13015"/>
  <c r="AI528" i="13015"/>
  <c r="AJ519" i="13015"/>
  <c r="AI519" i="13015"/>
  <c r="AJ518" i="13015"/>
  <c r="AI517" i="13015"/>
  <c r="AI516" i="13015"/>
  <c r="AJ504" i="13015"/>
  <c r="AI504" i="13015"/>
  <c r="AJ503" i="13015"/>
  <c r="AI503" i="13015"/>
  <c r="AJ502" i="13015"/>
  <c r="AI501" i="13015"/>
  <c r="AI500" i="13015"/>
  <c r="AJ499" i="13015"/>
  <c r="AI499" i="13015"/>
  <c r="AJ498" i="13015"/>
  <c r="AI498" i="13015"/>
  <c r="AJ497" i="13015"/>
  <c r="AI497" i="13015"/>
  <c r="AJ495" i="13015"/>
  <c r="AI495" i="13015"/>
  <c r="AJ494" i="13015"/>
  <c r="AI494" i="13015"/>
  <c r="AJ485" i="13015"/>
  <c r="AI485" i="13015"/>
  <c r="AJ484" i="13015"/>
  <c r="AI483" i="13015"/>
  <c r="AI482" i="13015"/>
  <c r="AJ470" i="13015"/>
  <c r="AI470" i="13015"/>
  <c r="AJ469" i="13015"/>
  <c r="AI469" i="13015"/>
  <c r="AJ468" i="13015"/>
  <c r="AI467" i="13015"/>
  <c r="AI466" i="13015"/>
  <c r="AJ465" i="13015"/>
  <c r="AI465" i="13015"/>
  <c r="AJ464" i="13015"/>
  <c r="AI464" i="13015"/>
  <c r="AJ463" i="13015"/>
  <c r="AI463" i="13015"/>
  <c r="AJ461" i="13015"/>
  <c r="AI461" i="13015"/>
  <c r="AJ460" i="13015"/>
  <c r="AI460" i="13015"/>
  <c r="AJ451" i="13015"/>
  <c r="AI451" i="13015"/>
  <c r="AJ450" i="13015"/>
  <c r="AI449" i="13015"/>
  <c r="AI448" i="13015"/>
  <c r="AJ436" i="13015"/>
  <c r="AI436" i="13015"/>
  <c r="AJ435" i="13015"/>
  <c r="AI435" i="13015"/>
  <c r="AJ434" i="13015"/>
  <c r="AI433" i="13015"/>
  <c r="AI432" i="13015"/>
  <c r="AJ431" i="13015"/>
  <c r="AI431" i="13015"/>
  <c r="AJ430" i="13015"/>
  <c r="AI430" i="13015"/>
  <c r="AJ429" i="13015"/>
  <c r="AI429" i="13015"/>
  <c r="AJ427" i="13015"/>
  <c r="AI427" i="13015"/>
  <c r="AJ426" i="13015"/>
  <c r="AI426" i="13015"/>
  <c r="AJ417" i="13015"/>
  <c r="AI417" i="13015"/>
  <c r="AJ416" i="13015"/>
  <c r="AI415" i="13015"/>
  <c r="AI414" i="13015"/>
  <c r="AJ402" i="13015"/>
  <c r="AI402" i="13015"/>
  <c r="AJ401" i="13015"/>
  <c r="AI401" i="13015"/>
  <c r="AJ400" i="13015"/>
  <c r="AI399" i="13015"/>
  <c r="AI398" i="13015"/>
  <c r="AJ397" i="13015"/>
  <c r="AI397" i="13015"/>
  <c r="AJ396" i="13015"/>
  <c r="AI396" i="13015"/>
  <c r="AJ395" i="13015"/>
  <c r="AI395" i="13015"/>
  <c r="AJ393" i="13015"/>
  <c r="AI393" i="13015"/>
  <c r="AJ392" i="13015"/>
  <c r="AI392" i="13015"/>
  <c r="AJ383" i="13015"/>
  <c r="AI383" i="13015"/>
  <c r="AJ382" i="13015"/>
  <c r="AI381" i="13015"/>
  <c r="AI380" i="13015"/>
  <c r="AJ368" i="13015"/>
  <c r="AI368" i="13015"/>
  <c r="AJ367" i="13015"/>
  <c r="AI367" i="13015"/>
  <c r="AJ366" i="13015"/>
  <c r="AJ365" i="13015"/>
  <c r="AI365" i="13015"/>
  <c r="AI364" i="13015"/>
  <c r="AI363" i="13015"/>
  <c r="AJ362" i="13015"/>
  <c r="AI362" i="13015"/>
  <c r="AJ360" i="13015"/>
  <c r="AI360" i="13015"/>
  <c r="AJ359" i="13015"/>
  <c r="AI359" i="13015"/>
  <c r="AJ357" i="13015"/>
  <c r="AI357" i="13015"/>
  <c r="AJ356" i="13015"/>
  <c r="AI356" i="13015"/>
  <c r="AJ347" i="13015"/>
  <c r="AI347" i="13015"/>
  <c r="AJ346" i="13015"/>
  <c r="AI345" i="13015"/>
  <c r="AI344" i="13015"/>
  <c r="AJ332" i="13015"/>
  <c r="AI332" i="13015"/>
  <c r="AJ331" i="13015"/>
  <c r="AI331" i="13015"/>
  <c r="AJ330" i="13015"/>
  <c r="AJ329" i="13015"/>
  <c r="AI329" i="13015"/>
  <c r="AI328" i="13015"/>
  <c r="AI327" i="13015"/>
  <c r="AJ326" i="13015"/>
  <c r="AI326" i="13015"/>
  <c r="AJ324" i="13015"/>
  <c r="AI324" i="13015"/>
  <c r="AJ323" i="13015"/>
  <c r="AI323" i="13015"/>
  <c r="AJ321" i="13015"/>
  <c r="AI321" i="13015"/>
  <c r="AJ320" i="13015"/>
  <c r="AI320" i="13015"/>
  <c r="AJ311" i="13015"/>
  <c r="AI311" i="13015"/>
  <c r="AJ310" i="13015"/>
  <c r="AI309" i="13015"/>
  <c r="AI308" i="13015"/>
  <c r="AJ296" i="13015"/>
  <c r="AI296" i="13015"/>
  <c r="AJ295" i="13015"/>
  <c r="AI295" i="13015"/>
  <c r="AJ294" i="13015"/>
  <c r="AJ293" i="13015"/>
  <c r="AI293" i="13015"/>
  <c r="AI292" i="13015"/>
  <c r="AI291" i="13015"/>
  <c r="AJ290" i="13015"/>
  <c r="AI290" i="13015"/>
  <c r="AJ288" i="13015"/>
  <c r="AI288" i="13015"/>
  <c r="AJ287" i="13015"/>
  <c r="AI287" i="13015"/>
  <c r="AJ285" i="13015"/>
  <c r="AI285" i="13015"/>
  <c r="AJ284" i="13015"/>
  <c r="AI284" i="13015"/>
  <c r="AJ275" i="13015"/>
  <c r="AI275" i="13015"/>
  <c r="AJ274" i="13015"/>
  <c r="AI273" i="13015"/>
  <c r="AI272" i="13015"/>
  <c r="AJ260" i="13015"/>
  <c r="AI260" i="13015"/>
  <c r="AJ259" i="13015"/>
  <c r="AI259" i="13015"/>
  <c r="AJ258" i="13015"/>
  <c r="AJ257" i="13015"/>
  <c r="AI257" i="13015"/>
  <c r="AI256" i="13015"/>
  <c r="AI255" i="13015"/>
  <c r="AJ254" i="13015"/>
  <c r="AI254" i="13015"/>
  <c r="AJ252" i="13015"/>
  <c r="AI252" i="13015"/>
  <c r="AJ251" i="13015"/>
  <c r="AI251" i="13015"/>
  <c r="AJ249" i="13015"/>
  <c r="AI249" i="13015"/>
  <c r="AJ248" i="13015"/>
  <c r="AI248" i="13015"/>
  <c r="AJ239" i="13015"/>
  <c r="AI239" i="13015"/>
  <c r="AJ238" i="13015"/>
  <c r="AI237" i="13015"/>
  <c r="AI236" i="13015"/>
  <c r="AJ224" i="13015"/>
  <c r="AI224" i="13015"/>
  <c r="AJ223" i="13015"/>
  <c r="AI223" i="13015"/>
  <c r="AJ222" i="13015"/>
  <c r="AI221" i="13015"/>
  <c r="AI220" i="13015"/>
  <c r="AJ219" i="13015"/>
  <c r="AI219" i="13015"/>
  <c r="AJ217" i="13015"/>
  <c r="AI217" i="13015"/>
  <c r="AJ216" i="13015"/>
  <c r="AI216" i="13015"/>
  <c r="AJ215" i="13015"/>
  <c r="AI215" i="13015"/>
  <c r="AJ214" i="13015"/>
  <c r="AI214" i="13015"/>
  <c r="AJ213" i="13015"/>
  <c r="AI213" i="13015"/>
  <c r="AJ212" i="13015"/>
  <c r="AI212" i="13015"/>
  <c r="AJ211" i="13015"/>
  <c r="AI211" i="13015"/>
  <c r="AJ203" i="13015"/>
  <c r="AI203" i="13015"/>
  <c r="AJ202" i="13015"/>
  <c r="AI202" i="13015"/>
  <c r="AJ201" i="13015"/>
  <c r="AI201" i="13015"/>
  <c r="AJ200" i="13015"/>
  <c r="AI200" i="13015"/>
  <c r="AJ199" i="13015"/>
  <c r="AI199" i="13015"/>
  <c r="AJ198" i="13015"/>
  <c r="AI198" i="13015"/>
  <c r="AJ197" i="13015"/>
  <c r="AI197" i="13015"/>
  <c r="AJ192" i="13015"/>
  <c r="AI192" i="13015"/>
  <c r="AJ189" i="13015"/>
  <c r="AI189" i="13015"/>
  <c r="AJ188" i="13015"/>
  <c r="AI188" i="13015"/>
  <c r="AJ187" i="13015"/>
  <c r="AI187" i="13015"/>
  <c r="AJ186" i="13015"/>
  <c r="AI186" i="13015"/>
  <c r="AJ185" i="13015"/>
  <c r="AI184" i="13015"/>
  <c r="AI183" i="13015"/>
  <c r="AJ182" i="13015"/>
  <c r="AI182" i="13015"/>
  <c r="AJ180" i="13015"/>
  <c r="AI180" i="13015"/>
  <c r="AJ179" i="13015"/>
  <c r="AI179" i="13015"/>
  <c r="AJ178" i="13015"/>
  <c r="AI178" i="13015"/>
  <c r="AJ177" i="13015"/>
  <c r="AI177" i="13015"/>
  <c r="AJ176" i="13015"/>
  <c r="AI176" i="13015"/>
  <c r="AJ175" i="13015"/>
  <c r="AI175" i="13015"/>
  <c r="AJ174" i="13015"/>
  <c r="AI174" i="13015"/>
  <c r="AJ166" i="13015"/>
  <c r="AI166" i="13015"/>
  <c r="AJ165" i="13015"/>
  <c r="AI165" i="13015"/>
  <c r="AJ164" i="13015"/>
  <c r="AI164" i="13015"/>
  <c r="AJ163" i="13015"/>
  <c r="AI163" i="13015"/>
  <c r="AJ162" i="13015"/>
  <c r="AI162" i="13015"/>
  <c r="AJ161" i="13015"/>
  <c r="AI161" i="13015"/>
  <c r="AJ160" i="13015"/>
  <c r="AI160" i="13015"/>
  <c r="AJ155" i="13015"/>
  <c r="AI155" i="13015"/>
  <c r="AJ152" i="13015"/>
  <c r="AI152" i="13015"/>
  <c r="AJ151" i="13015"/>
  <c r="AI151" i="13015"/>
  <c r="AJ150" i="13015"/>
  <c r="AI150" i="13015"/>
  <c r="AJ149" i="13015"/>
  <c r="AI149" i="13015"/>
  <c r="AJ148" i="13015"/>
  <c r="AI147" i="13015"/>
  <c r="AI146" i="13015"/>
  <c r="AJ145" i="13015"/>
  <c r="AI145" i="13015"/>
  <c r="AJ143" i="13015"/>
  <c r="AI143" i="13015"/>
  <c r="AJ142" i="13015"/>
  <c r="AI142" i="13015"/>
  <c r="AJ141" i="13015"/>
  <c r="AI141" i="13015"/>
  <c r="AJ140" i="13015"/>
  <c r="AI140" i="13015"/>
  <c r="AJ139" i="13015"/>
  <c r="AI139" i="13015"/>
  <c r="AJ138" i="13015"/>
  <c r="AI138" i="13015"/>
  <c r="AJ137" i="13015"/>
  <c r="AI137" i="13015"/>
  <c r="AJ129" i="13015"/>
  <c r="AI129" i="13015"/>
  <c r="AJ128" i="13015"/>
  <c r="AI128" i="13015"/>
  <c r="AJ127" i="13015"/>
  <c r="AI127" i="13015"/>
  <c r="AJ126" i="13015"/>
  <c r="AI126" i="13015"/>
  <c r="AJ125" i="13015"/>
  <c r="AI125" i="13015"/>
  <c r="AJ124" i="13015"/>
  <c r="AI124" i="13015"/>
  <c r="AJ123" i="13015"/>
  <c r="AI123" i="13015"/>
  <c r="AJ118" i="13015"/>
  <c r="AI118" i="13015"/>
  <c r="AJ115" i="13015"/>
  <c r="AI115" i="13015"/>
  <c r="AJ114" i="13015"/>
  <c r="AI114" i="13015"/>
  <c r="AJ113" i="13015"/>
  <c r="AI113" i="13015"/>
  <c r="AJ112" i="13015"/>
  <c r="AI112" i="13015"/>
  <c r="AJ111" i="13015"/>
  <c r="AI110" i="13015"/>
  <c r="AI109" i="13015"/>
  <c r="AJ108" i="13015"/>
  <c r="AI108" i="13015"/>
  <c r="AJ104" i="13015"/>
  <c r="AI104" i="13015"/>
  <c r="AJ101" i="13015"/>
  <c r="AI101" i="13015"/>
  <c r="AJ100" i="13015"/>
  <c r="AI100" i="13015"/>
  <c r="AJ99" i="13015"/>
  <c r="AI99" i="13015"/>
  <c r="AJ98" i="13015"/>
  <c r="AI98" i="13015"/>
  <c r="AJ97" i="13015"/>
  <c r="AI97" i="13015"/>
  <c r="AJ96" i="13015"/>
  <c r="AI96" i="13015"/>
  <c r="AJ95" i="13015"/>
  <c r="AI95" i="13015"/>
  <c r="AJ94" i="13015"/>
  <c r="AI94" i="13015"/>
  <c r="AJ89" i="13015"/>
  <c r="AI89" i="13015"/>
  <c r="AJ86" i="13015"/>
  <c r="AI86" i="13015"/>
  <c r="AJ85" i="13015"/>
  <c r="AI85" i="13015"/>
  <c r="AJ84" i="13015"/>
  <c r="AI84" i="13015"/>
  <c r="AJ83" i="13015"/>
  <c r="AI83" i="13015"/>
  <c r="AJ82" i="13015"/>
  <c r="AI81" i="13015"/>
  <c r="AI80" i="13015"/>
  <c r="AJ79" i="13015"/>
  <c r="AI79" i="13015"/>
  <c r="AJ77" i="13015"/>
  <c r="AI77" i="13015"/>
  <c r="AJ76" i="13015"/>
  <c r="AI76" i="13015"/>
  <c r="AJ75" i="13015"/>
  <c r="AI75" i="13015"/>
  <c r="AJ74" i="13015"/>
  <c r="AI74" i="13015"/>
  <c r="AJ73" i="13015"/>
  <c r="AI73" i="13015"/>
  <c r="AJ72" i="13015"/>
  <c r="AI72" i="13015"/>
  <c r="AJ71" i="13015"/>
  <c r="AI71" i="13015"/>
  <c r="AJ63" i="13015"/>
  <c r="AI63" i="13015"/>
  <c r="AJ62" i="13015"/>
  <c r="AI62" i="13015"/>
  <c r="AJ61" i="13015"/>
  <c r="AI61" i="13015"/>
  <c r="AJ60" i="13015"/>
  <c r="AI60" i="13015"/>
  <c r="AJ59" i="13015"/>
  <c r="AI59" i="13015"/>
  <c r="AJ58" i="13015"/>
  <c r="AI58" i="13015"/>
  <c r="AJ57" i="13015"/>
  <c r="AI57" i="13015"/>
  <c r="AJ52" i="13015"/>
  <c r="AI52" i="13015"/>
  <c r="AJ49" i="13015"/>
  <c r="AI49" i="13015"/>
  <c r="AJ48" i="13015"/>
  <c r="AI48" i="13015"/>
  <c r="AJ47" i="13015"/>
  <c r="AI47" i="13015"/>
  <c r="AJ46" i="13015"/>
  <c r="AI46" i="13015"/>
  <c r="AJ45" i="13015"/>
  <c r="AJ44" i="13015"/>
  <c r="AI44" i="13015"/>
  <c r="AJ43" i="13015"/>
  <c r="AI43" i="13015"/>
  <c r="AJ42" i="13015"/>
  <c r="AI42" i="13015"/>
  <c r="AJ40" i="13015"/>
  <c r="AI40" i="13015"/>
  <c r="AJ39" i="13015"/>
  <c r="AI39" i="13015"/>
  <c r="AJ38" i="13015"/>
  <c r="AI38" i="13015"/>
  <c r="AJ37" i="13015"/>
  <c r="AI37" i="13015"/>
  <c r="AJ36" i="13015"/>
  <c r="AI36" i="13015"/>
  <c r="AJ35" i="13015"/>
  <c r="AI35" i="13015"/>
  <c r="AJ34" i="13015"/>
  <c r="AI34" i="13015"/>
  <c r="AJ26" i="13015"/>
  <c r="AI26" i="13015"/>
  <c r="AJ25" i="13015"/>
  <c r="AI25" i="13015"/>
  <c r="AJ24" i="13015"/>
  <c r="AI24" i="13015"/>
  <c r="AJ23" i="13015"/>
  <c r="AI23" i="13015"/>
  <c r="AJ22" i="13015"/>
  <c r="AI22" i="13015"/>
  <c r="AJ21" i="13015"/>
  <c r="AI21" i="13015"/>
  <c r="AJ20" i="13015"/>
  <c r="AI20" i="13015"/>
  <c r="AJ19" i="13015"/>
  <c r="AI19" i="13015"/>
  <c r="AJ18" i="13015"/>
  <c r="AI18" i="13015"/>
  <c r="AJ17" i="13015"/>
  <c r="AI17" i="13015"/>
  <c r="AJ16" i="13015"/>
  <c r="AI16" i="13015"/>
  <c r="AJ15" i="13015"/>
  <c r="AI15" i="13015"/>
  <c r="AJ14" i="13015"/>
  <c r="AI14" i="13015"/>
  <c r="AJ13" i="13015"/>
  <c r="AI13" i="13015"/>
  <c r="AJ12" i="13015"/>
  <c r="AI12" i="13015"/>
  <c r="AJ11" i="13015"/>
  <c r="AI11" i="13015"/>
  <c r="AA1994" i="13015" l="1"/>
  <c r="M1993" i="13015"/>
  <c r="M41" i="13015"/>
  <c r="AA42" i="13015"/>
  <c r="AA1994" i="12908" l="1"/>
  <c r="AA42" i="12908" l="1"/>
  <c r="S2679" i="13015"/>
  <c r="S2679" i="12908"/>
  <c r="AP2679" i="13034" s="1"/>
  <c r="AB45" i="12908"/>
  <c r="AA45" i="12908"/>
  <c r="AB690" i="12908"/>
  <c r="AA690" i="12908"/>
  <c r="AB982" i="12908"/>
  <c r="AA982" i="12908"/>
  <c r="AB1394" i="12908"/>
  <c r="AA1394" i="12908"/>
  <c r="AB1495" i="12908"/>
  <c r="AA1495" i="12908"/>
  <c r="AB1619" i="12908"/>
  <c r="AA1619" i="12908"/>
  <c r="AB1657" i="12908"/>
  <c r="AA1657" i="12908"/>
  <c r="AB1797" i="12908"/>
  <c r="AA1797" i="12908"/>
  <c r="AA1797" i="13015"/>
  <c r="AB1797" i="13015"/>
  <c r="AB1818" i="12908"/>
  <c r="AA1818" i="12908"/>
  <c r="AB1859" i="12908"/>
  <c r="AA1859" i="12908"/>
  <c r="AB1998" i="12908"/>
  <c r="AA1998" i="12908"/>
  <c r="AB2331" i="12908"/>
  <c r="AA2331" i="12908"/>
  <c r="AB2623" i="12908"/>
  <c r="AA2623" i="12908"/>
  <c r="AB2633" i="12908"/>
  <c r="AA2633" i="12908"/>
  <c r="AA2633" i="13015"/>
  <c r="AB2633" i="13015"/>
  <c r="AA2623" i="13015"/>
  <c r="AB2623" i="13015"/>
  <c r="AA2331" i="13015"/>
  <c r="AB2331" i="13015"/>
  <c r="AA1998" i="13015"/>
  <c r="AB1998" i="13015"/>
  <c r="AA1859" i="13015"/>
  <c r="AB1859" i="13015"/>
  <c r="AA1818" i="13015"/>
  <c r="AB1818" i="13015"/>
  <c r="AA1657" i="13015"/>
  <c r="AB1657" i="13015"/>
  <c r="AA1619" i="13015"/>
  <c r="AB1619" i="13015"/>
  <c r="AA1495" i="13015"/>
  <c r="AB1495" i="13015"/>
  <c r="AA1394" i="13015"/>
  <c r="AB1394" i="13015"/>
  <c r="AA982" i="13015"/>
  <c r="AB982" i="13015"/>
  <c r="AA690" i="13015"/>
  <c r="AB690" i="13015"/>
  <c r="AA45" i="13015"/>
  <c r="AB45" i="13015"/>
  <c r="Q8" i="13007" l="1"/>
  <c r="Y12" i="13020" l="1"/>
  <c r="K20" i="13020"/>
  <c r="C15" i="13020"/>
  <c r="K20" i="13009"/>
  <c r="C15" i="13009"/>
  <c r="K20" i="13018"/>
  <c r="C15" i="13018"/>
  <c r="K20" i="13008"/>
  <c r="C15" i="13008"/>
  <c r="V35" i="13031" l="1"/>
  <c r="V34" i="13031"/>
  <c r="V33" i="13031"/>
  <c r="V32" i="13031"/>
  <c r="W32" i="13031" s="1"/>
  <c r="V30" i="13031"/>
  <c r="V27" i="13031"/>
  <c r="V26" i="13031"/>
  <c r="V19" i="13031"/>
  <c r="V18" i="13031"/>
  <c r="V36" i="13031"/>
  <c r="W35" i="13031"/>
  <c r="W34" i="13031"/>
  <c r="W36" i="13031" s="1"/>
  <c r="W33" i="13031"/>
  <c r="W27" i="13031"/>
  <c r="L26" i="13031"/>
  <c r="L25" i="13031"/>
  <c r="A25" i="13031"/>
  <c r="A26" i="13031" s="1"/>
  <c r="L24" i="13031"/>
  <c r="L22" i="13031"/>
  <c r="L21" i="13031"/>
  <c r="A21" i="13031"/>
  <c r="L20" i="13031"/>
  <c r="W19" i="13031"/>
  <c r="W18" i="13031"/>
  <c r="W26" i="13031" s="1"/>
  <c r="A18" i="13031"/>
  <c r="A17" i="13031"/>
  <c r="Q15" i="13031"/>
  <c r="A14" i="13031"/>
  <c r="A13" i="13031"/>
  <c r="A12" i="13031"/>
  <c r="V36" i="13030"/>
  <c r="W35" i="13030"/>
  <c r="W34" i="13030"/>
  <c r="W36" i="13030" s="1"/>
  <c r="W33" i="13030"/>
  <c r="W32" i="13030"/>
  <c r="W26" i="13030"/>
  <c r="V26" i="13030"/>
  <c r="L26" i="13030"/>
  <c r="L25" i="13030"/>
  <c r="A25" i="13030"/>
  <c r="A26" i="13030" s="1"/>
  <c r="E26" i="13030" s="1"/>
  <c r="L24" i="13030"/>
  <c r="V23" i="13030"/>
  <c r="L22" i="13030"/>
  <c r="V21" i="13030"/>
  <c r="M24" i="13030" s="1"/>
  <c r="L21" i="13030"/>
  <c r="A21" i="13030"/>
  <c r="M21" i="13030" s="1"/>
  <c r="L20" i="13030"/>
  <c r="E20" i="13030"/>
  <c r="V19" i="13030"/>
  <c r="V27" i="13030" s="1"/>
  <c r="M11" i="13030" s="1"/>
  <c r="W18" i="13030"/>
  <c r="A18" i="13030"/>
  <c r="M18" i="13030" s="1"/>
  <c r="A17" i="13030"/>
  <c r="M17" i="13030" s="1"/>
  <c r="Q15" i="13030"/>
  <c r="A12" i="13030"/>
  <c r="A13" i="13030" s="1"/>
  <c r="E11" i="13030"/>
  <c r="W32" i="13029"/>
  <c r="W31" i="13029"/>
  <c r="W30" i="13029"/>
  <c r="W29" i="13029"/>
  <c r="X29" i="13029" s="1"/>
  <c r="W27" i="13029"/>
  <c r="W24" i="13029"/>
  <c r="W23" i="13029"/>
  <c r="W20" i="13029"/>
  <c r="W19" i="13029"/>
  <c r="W16" i="13029"/>
  <c r="W15" i="13029"/>
  <c r="W33" i="13029"/>
  <c r="A33" i="13029"/>
  <c r="D33" i="13029" s="1"/>
  <c r="X32" i="13029"/>
  <c r="A32" i="13029"/>
  <c r="X31" i="13029"/>
  <c r="X33" i="13029" s="1"/>
  <c r="D31" i="13029"/>
  <c r="X30" i="13029"/>
  <c r="R30" i="13029"/>
  <c r="T30" i="13029" s="1"/>
  <c r="A29" i="13029"/>
  <c r="D28" i="13029"/>
  <c r="A28" i="13029"/>
  <c r="D27" i="13029"/>
  <c r="T26" i="13029"/>
  <c r="R26" i="13029"/>
  <c r="A25" i="13029"/>
  <c r="A24" i="13029"/>
  <c r="D23" i="13029"/>
  <c r="T22" i="13029"/>
  <c r="R22" i="13029"/>
  <c r="D21" i="13029"/>
  <c r="A21" i="13029"/>
  <c r="A20" i="13029"/>
  <c r="D19" i="13029"/>
  <c r="R18" i="13029"/>
  <c r="T18" i="13029" s="1"/>
  <c r="D17" i="13029"/>
  <c r="A17" i="13029"/>
  <c r="D16" i="13029"/>
  <c r="A16" i="13029"/>
  <c r="X15" i="13029"/>
  <c r="X23" i="13029" s="1"/>
  <c r="D15" i="13029"/>
  <c r="R14" i="13029"/>
  <c r="T14" i="13029" s="1"/>
  <c r="D13" i="13029"/>
  <c r="A13" i="13029"/>
  <c r="D12" i="13029"/>
  <c r="A12" i="13029"/>
  <c r="D11" i="13029"/>
  <c r="W33" i="13028"/>
  <c r="A33" i="13028"/>
  <c r="X32" i="13028"/>
  <c r="D32" i="13028"/>
  <c r="A32" i="13028"/>
  <c r="X31" i="13028"/>
  <c r="X33" i="13028" s="1"/>
  <c r="D31" i="13028"/>
  <c r="X30" i="13028"/>
  <c r="R30" i="13028"/>
  <c r="T30" i="13028" s="1"/>
  <c r="X29" i="13028"/>
  <c r="D29" i="13028"/>
  <c r="A29" i="13028"/>
  <c r="D28" i="13028"/>
  <c r="A28" i="13028"/>
  <c r="D27" i="13028"/>
  <c r="T26" i="13028"/>
  <c r="R26" i="13028"/>
  <c r="D25" i="13028"/>
  <c r="A25" i="13028"/>
  <c r="D24" i="13028"/>
  <c r="A24" i="13028"/>
  <c r="X23" i="13028"/>
  <c r="W23" i="13028"/>
  <c r="D23" i="13028"/>
  <c r="W22" i="13028"/>
  <c r="T22" i="13028"/>
  <c r="R22" i="13028"/>
  <c r="D21" i="13028"/>
  <c r="A21" i="13028"/>
  <c r="F21" i="13028" s="1"/>
  <c r="D20" i="13028"/>
  <c r="A20" i="13028"/>
  <c r="D19" i="13028"/>
  <c r="F19" i="13028" s="1"/>
  <c r="W18" i="13028"/>
  <c r="R18" i="13028"/>
  <c r="T18" i="13028" s="1"/>
  <c r="D17" i="13028"/>
  <c r="A17" i="13028"/>
  <c r="W16" i="13028"/>
  <c r="F32" i="13028" s="1"/>
  <c r="F16" i="13028"/>
  <c r="D16" i="13028"/>
  <c r="A16" i="13028"/>
  <c r="X15" i="13028"/>
  <c r="D15" i="13028"/>
  <c r="F15" i="13028" s="1"/>
  <c r="T14" i="13028"/>
  <c r="R14" i="13028"/>
  <c r="F13" i="13028"/>
  <c r="D13" i="13028"/>
  <c r="A13" i="13028"/>
  <c r="D12" i="13028"/>
  <c r="A12" i="13028"/>
  <c r="F12" i="13028" s="1"/>
  <c r="D11" i="13028"/>
  <c r="Z32" i="13027"/>
  <c r="Z31" i="13027"/>
  <c r="Z30" i="13027"/>
  <c r="Z29" i="13027"/>
  <c r="AA29" i="13027" s="1"/>
  <c r="Z27" i="13027"/>
  <c r="Z24" i="13027"/>
  <c r="Z23" i="13027"/>
  <c r="Z16" i="13027"/>
  <c r="Z15" i="13027"/>
  <c r="E58" i="13027"/>
  <c r="C57" i="13027"/>
  <c r="C58" i="13027" s="1"/>
  <c r="C59" i="13027" s="1"/>
  <c r="G56" i="13027"/>
  <c r="E56" i="13027"/>
  <c r="F56" i="13027" s="1"/>
  <c r="G55" i="13027"/>
  <c r="F55" i="13027"/>
  <c r="E55" i="13027"/>
  <c r="C55" i="13027"/>
  <c r="C56" i="13027" s="1"/>
  <c r="E54" i="13027"/>
  <c r="C54" i="13027"/>
  <c r="G53" i="13027"/>
  <c r="F53" i="13027"/>
  <c r="G52" i="13027"/>
  <c r="F52" i="13027"/>
  <c r="A52" i="13027"/>
  <c r="A53" i="13027" s="1"/>
  <c r="G51" i="13027"/>
  <c r="F51" i="13027"/>
  <c r="C51" i="13027"/>
  <c r="C52" i="13027" s="1"/>
  <c r="C53" i="13027" s="1"/>
  <c r="U50" i="13027"/>
  <c r="W50" i="13027" s="1"/>
  <c r="O50" i="13027"/>
  <c r="M50" i="13027"/>
  <c r="E49" i="13027"/>
  <c r="C47" i="13027"/>
  <c r="C48" i="13027" s="1"/>
  <c r="C49" i="13027" s="1"/>
  <c r="E46" i="13027"/>
  <c r="G46" i="13027" s="1"/>
  <c r="E45" i="13027"/>
  <c r="G44" i="13027"/>
  <c r="F44" i="13027"/>
  <c r="E44" i="13027"/>
  <c r="E47" i="13027" s="1"/>
  <c r="F47" i="13027" s="1"/>
  <c r="C44" i="13027"/>
  <c r="C45" i="13027" s="1"/>
  <c r="C46" i="13027" s="1"/>
  <c r="G43" i="13027"/>
  <c r="F43" i="13027"/>
  <c r="G42" i="13027"/>
  <c r="F42" i="13027"/>
  <c r="A42" i="13027"/>
  <c r="A43" i="13027" s="1"/>
  <c r="G41" i="13027"/>
  <c r="F41" i="13027"/>
  <c r="C41" i="13027"/>
  <c r="C42" i="13027" s="1"/>
  <c r="C43" i="13027" s="1"/>
  <c r="U40" i="13027"/>
  <c r="W40" i="13027" s="1"/>
  <c r="M40" i="13027"/>
  <c r="O40" i="13027" s="1"/>
  <c r="G38" i="13027"/>
  <c r="C37" i="13027"/>
  <c r="C38" i="13027" s="1"/>
  <c r="C39" i="13027" s="1"/>
  <c r="E36" i="13027"/>
  <c r="F35" i="13027"/>
  <c r="E35" i="13027"/>
  <c r="E38" i="13027" s="1"/>
  <c r="F38" i="13027" s="1"/>
  <c r="C35" i="13027"/>
  <c r="C36" i="13027" s="1"/>
  <c r="G34" i="13027"/>
  <c r="E34" i="13027"/>
  <c r="F34" i="13027" s="1"/>
  <c r="C34" i="13027"/>
  <c r="A34" i="13027"/>
  <c r="Z33" i="13027"/>
  <c r="G33" i="13027"/>
  <c r="F33" i="13027"/>
  <c r="A33" i="13027"/>
  <c r="AA32" i="13027"/>
  <c r="G32" i="13027"/>
  <c r="F32" i="13027"/>
  <c r="C32" i="13027"/>
  <c r="C33" i="13027" s="1"/>
  <c r="A32" i="13027"/>
  <c r="AA31" i="13027"/>
  <c r="AA33" i="13027" s="1"/>
  <c r="G31" i="13027"/>
  <c r="F31" i="13027"/>
  <c r="C31" i="13027"/>
  <c r="AA30" i="13027"/>
  <c r="U30" i="13027"/>
  <c r="W30" i="13027" s="1"/>
  <c r="M30" i="13027"/>
  <c r="O30" i="13027" s="1"/>
  <c r="C27" i="13027"/>
  <c r="C28" i="13027" s="1"/>
  <c r="C29" i="13027" s="1"/>
  <c r="G26" i="13027"/>
  <c r="E26" i="13027"/>
  <c r="F26" i="13027" s="1"/>
  <c r="G25" i="13027"/>
  <c r="F25" i="13027"/>
  <c r="E25" i="13027"/>
  <c r="E28" i="13027" s="1"/>
  <c r="C25" i="13027"/>
  <c r="C26" i="13027" s="1"/>
  <c r="G24" i="13027"/>
  <c r="E24" i="13027"/>
  <c r="E27" i="13027" s="1"/>
  <c r="C24" i="13027"/>
  <c r="A24" i="13027"/>
  <c r="G23" i="13027"/>
  <c r="F23" i="13027"/>
  <c r="A23" i="13027"/>
  <c r="G22" i="13027"/>
  <c r="F22" i="13027"/>
  <c r="C22" i="13027"/>
  <c r="C23" i="13027" s="1"/>
  <c r="A22" i="13027"/>
  <c r="G21" i="13027"/>
  <c r="F21" i="13027"/>
  <c r="C21" i="13027"/>
  <c r="U20" i="13027"/>
  <c r="W20" i="13027" s="1"/>
  <c r="M20" i="13027"/>
  <c r="O20" i="13027" s="1"/>
  <c r="E18" i="13027"/>
  <c r="C17" i="13027"/>
  <c r="C18" i="13027" s="1"/>
  <c r="C19" i="13027" s="1"/>
  <c r="AA16" i="13027"/>
  <c r="AA24" i="13027" s="1"/>
  <c r="E16" i="13027"/>
  <c r="AA15" i="13027"/>
  <c r="AA23" i="13027" s="1"/>
  <c r="G15" i="13027"/>
  <c r="E15" i="13027"/>
  <c r="F15" i="13027" s="1"/>
  <c r="E14" i="13027"/>
  <c r="C14" i="13027"/>
  <c r="C15" i="13027" s="1"/>
  <c r="C16" i="13027" s="1"/>
  <c r="G13" i="13027"/>
  <c r="F13" i="13027"/>
  <c r="G12" i="13027"/>
  <c r="F12" i="13027"/>
  <c r="A12" i="13027"/>
  <c r="A13" i="13027" s="1"/>
  <c r="G11" i="13027"/>
  <c r="F11" i="13027"/>
  <c r="C11" i="13027"/>
  <c r="C59" i="13026"/>
  <c r="E58" i="13026"/>
  <c r="C57" i="13026"/>
  <c r="C58" i="13026" s="1"/>
  <c r="G56" i="13026"/>
  <c r="E56" i="13026"/>
  <c r="G55" i="13026"/>
  <c r="F55" i="13026"/>
  <c r="E55" i="13026"/>
  <c r="C55" i="13026"/>
  <c r="C56" i="13026" s="1"/>
  <c r="E54" i="13026"/>
  <c r="C54" i="13026"/>
  <c r="G53" i="13026"/>
  <c r="F53" i="13026"/>
  <c r="G52" i="13026"/>
  <c r="F52" i="13026"/>
  <c r="A52" i="13026"/>
  <c r="I51" i="13026"/>
  <c r="G51" i="13026"/>
  <c r="F51" i="13026"/>
  <c r="C51" i="13026"/>
  <c r="C52" i="13026" s="1"/>
  <c r="C53" i="13026" s="1"/>
  <c r="W50" i="13026"/>
  <c r="U50" i="13026"/>
  <c r="O50" i="13026"/>
  <c r="M50" i="13026"/>
  <c r="G49" i="13026"/>
  <c r="E49" i="13026"/>
  <c r="F49" i="13026" s="1"/>
  <c r="C48" i="13026"/>
  <c r="C49" i="13026" s="1"/>
  <c r="E47" i="13026"/>
  <c r="F47" i="13026" s="1"/>
  <c r="C47" i="13026"/>
  <c r="G46" i="13026"/>
  <c r="F46" i="13026"/>
  <c r="E46" i="13026"/>
  <c r="C46" i="13026"/>
  <c r="E45" i="13026"/>
  <c r="F44" i="13026"/>
  <c r="E44" i="13026"/>
  <c r="G44" i="13026" s="1"/>
  <c r="C44" i="13026"/>
  <c r="C45" i="13026" s="1"/>
  <c r="G43" i="13026"/>
  <c r="F43" i="13026"/>
  <c r="G42" i="13026"/>
  <c r="F42" i="13026"/>
  <c r="C42" i="13026"/>
  <c r="C43" i="13026" s="1"/>
  <c r="A42" i="13026"/>
  <c r="A43" i="13026" s="1"/>
  <c r="G41" i="13026"/>
  <c r="F41" i="13026"/>
  <c r="C41" i="13026"/>
  <c r="U40" i="13026"/>
  <c r="W40" i="13026" s="1"/>
  <c r="M40" i="13026"/>
  <c r="O40" i="13026" s="1"/>
  <c r="C39" i="13026"/>
  <c r="E38" i="13026"/>
  <c r="F38" i="13026" s="1"/>
  <c r="C37" i="13026"/>
  <c r="C38" i="13026" s="1"/>
  <c r="G36" i="13026"/>
  <c r="E36" i="13026"/>
  <c r="F35" i="13026"/>
  <c r="E35" i="13026"/>
  <c r="G35" i="13026" s="1"/>
  <c r="C35" i="13026"/>
  <c r="C36" i="13026" s="1"/>
  <c r="G34" i="13026"/>
  <c r="E34" i="13026"/>
  <c r="C34" i="13026"/>
  <c r="Z33" i="13026"/>
  <c r="I31" i="13026" s="1"/>
  <c r="I33" i="13026"/>
  <c r="G33" i="13026"/>
  <c r="F33" i="13026"/>
  <c r="A33" i="13026"/>
  <c r="A34" i="13026" s="1"/>
  <c r="AA32" i="13026"/>
  <c r="G32" i="13026"/>
  <c r="F32" i="13026"/>
  <c r="C32" i="13026"/>
  <c r="C33" i="13026" s="1"/>
  <c r="A32" i="13026"/>
  <c r="I32" i="13026" s="1"/>
  <c r="AA31" i="13026"/>
  <c r="AA33" i="13026" s="1"/>
  <c r="G31" i="13026"/>
  <c r="F31" i="13026"/>
  <c r="C31" i="13026"/>
  <c r="AA30" i="13026"/>
  <c r="U30" i="13026"/>
  <c r="W30" i="13026" s="1"/>
  <c r="M30" i="13026"/>
  <c r="O30" i="13026" s="1"/>
  <c r="AA29" i="13026"/>
  <c r="E28" i="13026"/>
  <c r="F28" i="13026" s="1"/>
  <c r="C27" i="13026"/>
  <c r="C28" i="13026" s="1"/>
  <c r="C29" i="13026" s="1"/>
  <c r="G26" i="13026"/>
  <c r="E26" i="13026"/>
  <c r="F26" i="13026" s="1"/>
  <c r="G25" i="13026"/>
  <c r="F25" i="13026"/>
  <c r="E25" i="13026"/>
  <c r="C25" i="13026"/>
  <c r="C26" i="13026" s="1"/>
  <c r="G24" i="13026"/>
  <c r="E24" i="13026"/>
  <c r="E27" i="13026" s="1"/>
  <c r="G27" i="13026" s="1"/>
  <c r="C24" i="13026"/>
  <c r="A24" i="13026"/>
  <c r="Z23" i="13026"/>
  <c r="G23" i="13026"/>
  <c r="F23" i="13026"/>
  <c r="A23" i="13026"/>
  <c r="I23" i="13026" s="1"/>
  <c r="G22" i="13026"/>
  <c r="F22" i="13026"/>
  <c r="C22" i="13026"/>
  <c r="C23" i="13026" s="1"/>
  <c r="A22" i="13026"/>
  <c r="I22" i="13026" s="1"/>
  <c r="Q21" i="13026"/>
  <c r="I21" i="13026"/>
  <c r="G21" i="13026"/>
  <c r="F21" i="13026"/>
  <c r="C21" i="13026"/>
  <c r="U20" i="13026"/>
  <c r="W20" i="13026" s="1"/>
  <c r="M20" i="13026"/>
  <c r="O20" i="13026" s="1"/>
  <c r="Z19" i="13026"/>
  <c r="Z18" i="13026"/>
  <c r="E18" i="13026"/>
  <c r="C17" i="13026"/>
  <c r="C18" i="13026" s="1"/>
  <c r="C19" i="13026" s="1"/>
  <c r="AA16" i="13026"/>
  <c r="AA24" i="13026" s="1"/>
  <c r="Z16" i="13026"/>
  <c r="Z24" i="13026" s="1"/>
  <c r="E16" i="13026"/>
  <c r="AA15" i="13026"/>
  <c r="AA23" i="13026" s="1"/>
  <c r="G15" i="13026"/>
  <c r="E15" i="13026"/>
  <c r="F15" i="13026" s="1"/>
  <c r="E14" i="13026"/>
  <c r="C14" i="13026"/>
  <c r="C15" i="13026" s="1"/>
  <c r="C16" i="13026" s="1"/>
  <c r="G13" i="13026"/>
  <c r="F13" i="13026"/>
  <c r="G12" i="13026"/>
  <c r="F12" i="13026"/>
  <c r="A12" i="13026"/>
  <c r="A13" i="13026" s="1"/>
  <c r="G11" i="13026"/>
  <c r="F11" i="13026"/>
  <c r="C11" i="13026"/>
  <c r="Z34" i="13025"/>
  <c r="Z33" i="13025"/>
  <c r="Z32" i="13025"/>
  <c r="Z31" i="13025"/>
  <c r="AA31" i="13025" s="1"/>
  <c r="Z29" i="13025"/>
  <c r="Z26" i="13025"/>
  <c r="Z25" i="13025"/>
  <c r="Z17" i="13025"/>
  <c r="Z16" i="13025"/>
  <c r="AA16" i="13025" s="1"/>
  <c r="AA25" i="13025" s="1"/>
  <c r="E59" i="13025"/>
  <c r="E58" i="13025"/>
  <c r="G58" i="13025" s="1"/>
  <c r="C57" i="13025"/>
  <c r="C58" i="13025" s="1"/>
  <c r="C59" i="13025" s="1"/>
  <c r="G56" i="13025"/>
  <c r="E56" i="13025"/>
  <c r="F56" i="13025" s="1"/>
  <c r="C56" i="13025"/>
  <c r="E55" i="13025"/>
  <c r="C55" i="13025"/>
  <c r="F54" i="13025"/>
  <c r="E54" i="13025"/>
  <c r="C54" i="13025"/>
  <c r="G53" i="13025"/>
  <c r="F53" i="13025"/>
  <c r="G52" i="13025"/>
  <c r="F52" i="13025"/>
  <c r="A52" i="13025"/>
  <c r="A53" i="13025" s="1"/>
  <c r="G51" i="13025"/>
  <c r="F51" i="13025"/>
  <c r="C51" i="13025"/>
  <c r="C52" i="13025" s="1"/>
  <c r="C53" i="13025" s="1"/>
  <c r="U50" i="13025"/>
  <c r="W50" i="13025" s="1"/>
  <c r="O50" i="13025"/>
  <c r="M50" i="13025"/>
  <c r="E49" i="13025"/>
  <c r="G49" i="13025" s="1"/>
  <c r="C47" i="13025"/>
  <c r="C48" i="13025" s="1"/>
  <c r="C49" i="13025" s="1"/>
  <c r="E46" i="13025"/>
  <c r="C46" i="13025"/>
  <c r="E45" i="13025"/>
  <c r="C45" i="13025"/>
  <c r="G44" i="13025"/>
  <c r="F44" i="13025"/>
  <c r="E44" i="13025"/>
  <c r="E47" i="13025" s="1"/>
  <c r="C44" i="13025"/>
  <c r="G43" i="13025"/>
  <c r="F43" i="13025"/>
  <c r="G42" i="13025"/>
  <c r="F42" i="13025"/>
  <c r="A42" i="13025"/>
  <c r="G41" i="13025"/>
  <c r="F41" i="13025"/>
  <c r="C41" i="13025"/>
  <c r="C42" i="13025" s="1"/>
  <c r="C43" i="13025" s="1"/>
  <c r="W40" i="13025"/>
  <c r="U40" i="13025"/>
  <c r="O40" i="13025"/>
  <c r="M40" i="13025"/>
  <c r="E37" i="13025"/>
  <c r="C37" i="13025"/>
  <c r="C38" i="13025" s="1"/>
  <c r="C39" i="13025" s="1"/>
  <c r="F36" i="13025"/>
  <c r="E36" i="13025"/>
  <c r="Z35" i="13025"/>
  <c r="E35" i="13025"/>
  <c r="C35" i="13025"/>
  <c r="C36" i="13025" s="1"/>
  <c r="AA34" i="13025"/>
  <c r="G34" i="13025"/>
  <c r="F34" i="13025"/>
  <c r="E34" i="13025"/>
  <c r="C34" i="13025"/>
  <c r="A34" i="13025"/>
  <c r="AA33" i="13025"/>
  <c r="AA35" i="13025" s="1"/>
  <c r="G33" i="13025"/>
  <c r="F33" i="13025"/>
  <c r="A33" i="13025"/>
  <c r="AA32" i="13025"/>
  <c r="G32" i="13025"/>
  <c r="F32" i="13025"/>
  <c r="C32" i="13025"/>
  <c r="C33" i="13025" s="1"/>
  <c r="A32" i="13025"/>
  <c r="G31" i="13025"/>
  <c r="F31" i="13025"/>
  <c r="C31" i="13025"/>
  <c r="U30" i="13025"/>
  <c r="W30" i="13025" s="1"/>
  <c r="M30" i="13025"/>
  <c r="O30" i="13025" s="1"/>
  <c r="C27" i="13025"/>
  <c r="C28" i="13025" s="1"/>
  <c r="C29" i="13025" s="1"/>
  <c r="E26" i="13025"/>
  <c r="E25" i="13025"/>
  <c r="C25" i="13025"/>
  <c r="C26" i="13025" s="1"/>
  <c r="G24" i="13025"/>
  <c r="F24" i="13025"/>
  <c r="E24" i="13025"/>
  <c r="E27" i="13025" s="1"/>
  <c r="G27" i="13025" s="1"/>
  <c r="C24" i="13025"/>
  <c r="A24" i="13025"/>
  <c r="G23" i="13025"/>
  <c r="F23" i="13025"/>
  <c r="C23" i="13025"/>
  <c r="A23" i="13025"/>
  <c r="G22" i="13025"/>
  <c r="F22" i="13025"/>
  <c r="A22" i="13025"/>
  <c r="G21" i="13025"/>
  <c r="F21" i="13025"/>
  <c r="C21" i="13025"/>
  <c r="C22" i="13025" s="1"/>
  <c r="U20" i="13025"/>
  <c r="W20" i="13025" s="1"/>
  <c r="M20" i="13025"/>
  <c r="O20" i="13025" s="1"/>
  <c r="G18" i="13025"/>
  <c r="C18" i="13025"/>
  <c r="C19" i="13025" s="1"/>
  <c r="C17" i="13025"/>
  <c r="E16" i="13025"/>
  <c r="G15" i="13025"/>
  <c r="F15" i="13025"/>
  <c r="E15" i="13025"/>
  <c r="E18" i="13025" s="1"/>
  <c r="F18" i="13025" s="1"/>
  <c r="E14" i="13025"/>
  <c r="C14" i="13025"/>
  <c r="C15" i="13025" s="1"/>
  <c r="C16" i="13025" s="1"/>
  <c r="G13" i="13025"/>
  <c r="F13" i="13025"/>
  <c r="G12" i="13025"/>
  <c r="F12" i="13025"/>
  <c r="A12" i="13025"/>
  <c r="A13" i="13025" s="1"/>
  <c r="G11" i="13025"/>
  <c r="F11" i="13025"/>
  <c r="C11" i="13025"/>
  <c r="C12" i="13025" s="1"/>
  <c r="C13" i="13025" s="1"/>
  <c r="E58" i="13024"/>
  <c r="C57" i="13024"/>
  <c r="C58" i="13024" s="1"/>
  <c r="C59" i="13024" s="1"/>
  <c r="G56" i="13024"/>
  <c r="E56" i="13024"/>
  <c r="F56" i="13024" s="1"/>
  <c r="G55" i="13024"/>
  <c r="F55" i="13024"/>
  <c r="E55" i="13024"/>
  <c r="C55" i="13024"/>
  <c r="C56" i="13024" s="1"/>
  <c r="E54" i="13024"/>
  <c r="C54" i="13024"/>
  <c r="G53" i="13024"/>
  <c r="F53" i="13024"/>
  <c r="G52" i="13024"/>
  <c r="F52" i="13024"/>
  <c r="A52" i="13024"/>
  <c r="A53" i="13024" s="1"/>
  <c r="G51" i="13024"/>
  <c r="F51" i="13024"/>
  <c r="C51" i="13024"/>
  <c r="C52" i="13024" s="1"/>
  <c r="C53" i="13024" s="1"/>
  <c r="U50" i="13024"/>
  <c r="W50" i="13024" s="1"/>
  <c r="O50" i="13024"/>
  <c r="M50" i="13024"/>
  <c r="E49" i="13024"/>
  <c r="C47" i="13024"/>
  <c r="C48" i="13024" s="1"/>
  <c r="C49" i="13024" s="1"/>
  <c r="E46" i="13024"/>
  <c r="G46" i="13024" s="1"/>
  <c r="E45" i="13024"/>
  <c r="F44" i="13024"/>
  <c r="E44" i="13024"/>
  <c r="E47" i="13024" s="1"/>
  <c r="F47" i="13024" s="1"/>
  <c r="C44" i="13024"/>
  <c r="C45" i="13024" s="1"/>
  <c r="C46" i="13024" s="1"/>
  <c r="G43" i="13024"/>
  <c r="F43" i="13024"/>
  <c r="G42" i="13024"/>
  <c r="F42" i="13024"/>
  <c r="A42" i="13024"/>
  <c r="A43" i="13024" s="1"/>
  <c r="G41" i="13024"/>
  <c r="F41" i="13024"/>
  <c r="C41" i="13024"/>
  <c r="C42" i="13024" s="1"/>
  <c r="C43" i="13024" s="1"/>
  <c r="U40" i="13024"/>
  <c r="W40" i="13024" s="1"/>
  <c r="M40" i="13024"/>
  <c r="O40" i="13024" s="1"/>
  <c r="C37" i="13024"/>
  <c r="C38" i="13024" s="1"/>
  <c r="C39" i="13024" s="1"/>
  <c r="E36" i="13024"/>
  <c r="Z35" i="13024"/>
  <c r="F35" i="13024"/>
  <c r="E35" i="13024"/>
  <c r="G35" i="13024" s="1"/>
  <c r="C35" i="13024"/>
  <c r="C36" i="13024" s="1"/>
  <c r="AA34" i="13024"/>
  <c r="G34" i="13024"/>
  <c r="F34" i="13024"/>
  <c r="E34" i="13024"/>
  <c r="E37" i="13024" s="1"/>
  <c r="C34" i="13024"/>
  <c r="AA33" i="13024"/>
  <c r="AA35" i="13024" s="1"/>
  <c r="G33" i="13024"/>
  <c r="F33" i="13024"/>
  <c r="A33" i="13024"/>
  <c r="A34" i="13024" s="1"/>
  <c r="AA32" i="13024"/>
  <c r="G32" i="13024"/>
  <c r="F32" i="13024"/>
  <c r="C32" i="13024"/>
  <c r="C33" i="13024" s="1"/>
  <c r="A32" i="13024"/>
  <c r="I32" i="13024" s="1"/>
  <c r="AA31" i="13024"/>
  <c r="I31" i="13024"/>
  <c r="G31" i="13024"/>
  <c r="F31" i="13024"/>
  <c r="C31" i="13024"/>
  <c r="U30" i="13024"/>
  <c r="W30" i="13024" s="1"/>
  <c r="M30" i="13024"/>
  <c r="O30" i="13024" s="1"/>
  <c r="C29" i="13024"/>
  <c r="C27" i="13024"/>
  <c r="C28" i="13024" s="1"/>
  <c r="Z26" i="13024"/>
  <c r="G26" i="13024"/>
  <c r="F26" i="13024"/>
  <c r="E26" i="13024"/>
  <c r="E29" i="13024" s="1"/>
  <c r="G29" i="13024" s="1"/>
  <c r="Z25" i="13024"/>
  <c r="G25" i="13024"/>
  <c r="F25" i="13024"/>
  <c r="E25" i="13024"/>
  <c r="E28" i="13024" s="1"/>
  <c r="E24" i="13024"/>
  <c r="G24" i="13024" s="1"/>
  <c r="C24" i="13024"/>
  <c r="C25" i="13024" s="1"/>
  <c r="C26" i="13024" s="1"/>
  <c r="G23" i="13024"/>
  <c r="F23" i="13024"/>
  <c r="Z22" i="13024"/>
  <c r="G22" i="13024"/>
  <c r="F22" i="13024"/>
  <c r="C22" i="13024"/>
  <c r="C23" i="13024" s="1"/>
  <c r="A22" i="13024"/>
  <c r="G21" i="13024"/>
  <c r="F21" i="13024"/>
  <c r="C21" i="13024"/>
  <c r="I21" i="13024" s="1"/>
  <c r="Z20" i="13024"/>
  <c r="W20" i="13024"/>
  <c r="U20" i="13024"/>
  <c r="O20" i="13024"/>
  <c r="M20" i="13024"/>
  <c r="Z19" i="13024"/>
  <c r="E19" i="13024"/>
  <c r="AA17" i="13024"/>
  <c r="Z17" i="13024"/>
  <c r="E17" i="13024"/>
  <c r="C17" i="13024"/>
  <c r="C18" i="13024" s="1"/>
  <c r="C19" i="13024" s="1"/>
  <c r="AA16" i="13024"/>
  <c r="AA25" i="13024" s="1"/>
  <c r="G16" i="13024"/>
  <c r="F16" i="13024"/>
  <c r="E16" i="13024"/>
  <c r="E15" i="13024"/>
  <c r="C15" i="13024"/>
  <c r="C16" i="13024" s="1"/>
  <c r="G14" i="13024"/>
  <c r="F14" i="13024"/>
  <c r="E14" i="13024"/>
  <c r="C14" i="13024"/>
  <c r="A14" i="13024"/>
  <c r="G13" i="13024"/>
  <c r="F13" i="13024"/>
  <c r="C13" i="13024"/>
  <c r="A13" i="13024"/>
  <c r="G12" i="13024"/>
  <c r="F12" i="13024"/>
  <c r="C12" i="13024"/>
  <c r="A12" i="13024"/>
  <c r="Q12" i="13024" s="1"/>
  <c r="G11" i="13024"/>
  <c r="F11" i="13024"/>
  <c r="C11" i="13024"/>
  <c r="Q11" i="13024" s="1"/>
  <c r="V32" i="13023"/>
  <c r="V31" i="13023"/>
  <c r="W31" i="13023" s="1"/>
  <c r="W33" i="13023" s="1"/>
  <c r="V30" i="13023"/>
  <c r="V29" i="13023"/>
  <c r="V27" i="13023"/>
  <c r="V24" i="13023"/>
  <c r="V23" i="13023"/>
  <c r="V16" i="13023"/>
  <c r="W16" i="13023" s="1"/>
  <c r="W24" i="13023" s="1"/>
  <c r="V15" i="13023"/>
  <c r="W32" i="13023"/>
  <c r="W30" i="13023"/>
  <c r="W29" i="13023"/>
  <c r="A28" i="13023"/>
  <c r="A29" i="13023" s="1"/>
  <c r="S26" i="13023"/>
  <c r="Q26" i="13023"/>
  <c r="A25" i="13023"/>
  <c r="A24" i="13023"/>
  <c r="Q22" i="13023"/>
  <c r="S22" i="13023" s="1"/>
  <c r="A20" i="13023"/>
  <c r="A21" i="13023" s="1"/>
  <c r="Q18" i="13023"/>
  <c r="S18" i="13023" s="1"/>
  <c r="A16" i="13023"/>
  <c r="A17" i="13023" s="1"/>
  <c r="W15" i="13023"/>
  <c r="W23" i="13023" s="1"/>
  <c r="Q14" i="13023"/>
  <c r="S14" i="13023" s="1"/>
  <c r="A13" i="13023"/>
  <c r="A12" i="13023"/>
  <c r="V33" i="13022"/>
  <c r="W32" i="13022"/>
  <c r="W31" i="13022"/>
  <c r="W33" i="13022" s="1"/>
  <c r="W30" i="13022"/>
  <c r="W29" i="13022"/>
  <c r="A28" i="13022"/>
  <c r="A29" i="13022" s="1"/>
  <c r="E29" i="13022" s="1"/>
  <c r="S26" i="13022"/>
  <c r="Q26" i="13022"/>
  <c r="A25" i="13022"/>
  <c r="V24" i="13022"/>
  <c r="A24" i="13022"/>
  <c r="W23" i="13022"/>
  <c r="V23" i="13022"/>
  <c r="Q22" i="13022"/>
  <c r="S22" i="13022" s="1"/>
  <c r="V21" i="13022"/>
  <c r="V20" i="13022"/>
  <c r="A20" i="13022"/>
  <c r="A21" i="13022" s="1"/>
  <c r="E21" i="13022" s="1"/>
  <c r="V19" i="13022"/>
  <c r="V18" i="13022"/>
  <c r="M27" i="13022" s="1"/>
  <c r="Q18" i="13022"/>
  <c r="S18" i="13022" s="1"/>
  <c r="W16" i="13022"/>
  <c r="W24" i="13022" s="1"/>
  <c r="V16" i="13022"/>
  <c r="A16" i="13022"/>
  <c r="A17" i="13022" s="1"/>
  <c r="E17" i="13022" s="1"/>
  <c r="W15" i="13022"/>
  <c r="Q14" i="13022"/>
  <c r="S14" i="13022" s="1"/>
  <c r="A13" i="13022"/>
  <c r="V12" i="13022"/>
  <c r="E24" i="13022" s="1"/>
  <c r="E12" i="13022"/>
  <c r="A12" i="13022"/>
  <c r="V11" i="13022"/>
  <c r="E27" i="13022" s="1"/>
  <c r="T31" i="13021"/>
  <c r="T30" i="13021"/>
  <c r="T29" i="13021"/>
  <c r="U29" i="13021" s="1"/>
  <c r="T28" i="13021"/>
  <c r="T18" i="13021" s="1"/>
  <c r="T25" i="13021"/>
  <c r="T24" i="13021"/>
  <c r="T17" i="13021"/>
  <c r="T16" i="13021"/>
  <c r="T32" i="13021"/>
  <c r="U31" i="13021"/>
  <c r="U30" i="13021"/>
  <c r="U32" i="13021" s="1"/>
  <c r="U28" i="13021"/>
  <c r="U25" i="13021"/>
  <c r="U17" i="13021"/>
  <c r="A17" i="13021"/>
  <c r="A15" i="13021"/>
  <c r="A13" i="13021"/>
  <c r="U12" i="13021"/>
  <c r="T32" i="13020"/>
  <c r="U31" i="13020"/>
  <c r="U30" i="13020"/>
  <c r="U32" i="13020" s="1"/>
  <c r="C30" i="13020"/>
  <c r="U29" i="13020"/>
  <c r="U28" i="13020"/>
  <c r="U18" i="13020" s="1"/>
  <c r="U26" i="13020" s="1"/>
  <c r="U25" i="13020"/>
  <c r="C22" i="13020"/>
  <c r="C20" i="13020"/>
  <c r="C19" i="13020"/>
  <c r="T18" i="13020"/>
  <c r="T26" i="13020" s="1"/>
  <c r="C18" i="13020"/>
  <c r="U17" i="13020"/>
  <c r="A17" i="13020"/>
  <c r="C16" i="13020"/>
  <c r="A15" i="13020"/>
  <c r="K15" i="13020" s="1"/>
  <c r="A13" i="13020"/>
  <c r="C12" i="13020"/>
  <c r="C11" i="13020"/>
  <c r="C10" i="13020"/>
  <c r="T31" i="13019"/>
  <c r="T32" i="13019" s="1"/>
  <c r="T30" i="13019"/>
  <c r="T29" i="13019"/>
  <c r="T28" i="13019"/>
  <c r="U28" i="13019" s="1"/>
  <c r="U18" i="13019" s="1"/>
  <c r="U26" i="13019" s="1"/>
  <c r="T25" i="13019"/>
  <c r="T24" i="13019"/>
  <c r="T17" i="13019"/>
  <c r="T16" i="13019"/>
  <c r="U30" i="13019"/>
  <c r="U29" i="13019"/>
  <c r="U25" i="13019"/>
  <c r="A21" i="13019"/>
  <c r="A18" i="13019"/>
  <c r="U17" i="13019"/>
  <c r="A16" i="13019"/>
  <c r="U12" i="13019"/>
  <c r="T32" i="13018"/>
  <c r="U31" i="13018"/>
  <c r="U30" i="13018"/>
  <c r="U32" i="13018" s="1"/>
  <c r="C30" i="13018"/>
  <c r="U29" i="13018"/>
  <c r="U28" i="13018"/>
  <c r="C27" i="13018"/>
  <c r="U25" i="13018"/>
  <c r="C23" i="13018"/>
  <c r="C22" i="13018"/>
  <c r="C21" i="13018"/>
  <c r="A21" i="13018"/>
  <c r="C20" i="13018"/>
  <c r="C19" i="13018"/>
  <c r="U18" i="13018"/>
  <c r="U26" i="13018" s="1"/>
  <c r="T18" i="13018"/>
  <c r="C29" i="13018" s="1"/>
  <c r="C18" i="13018"/>
  <c r="A18" i="13018"/>
  <c r="U17" i="13018"/>
  <c r="C17" i="13018"/>
  <c r="A16" i="13018"/>
  <c r="C14" i="13018"/>
  <c r="C13" i="13018"/>
  <c r="Y12" i="13018"/>
  <c r="C12" i="13018"/>
  <c r="C11" i="13018"/>
  <c r="C10" i="13018"/>
  <c r="A22" i="13031" l="1"/>
  <c r="M13" i="13030"/>
  <c r="E13" i="13030"/>
  <c r="A14" i="13030"/>
  <c r="M20" i="13030"/>
  <c r="E16" i="13030"/>
  <c r="M16" i="13030"/>
  <c r="E18" i="13030"/>
  <c r="A22" i="13030"/>
  <c r="E22" i="13030" s="1"/>
  <c r="E25" i="13030"/>
  <c r="M26" i="13030"/>
  <c r="E21" i="13030"/>
  <c r="E24" i="13030"/>
  <c r="M25" i="13030"/>
  <c r="E12" i="13030"/>
  <c r="M12" i="13030"/>
  <c r="E17" i="13030"/>
  <c r="W19" i="13030"/>
  <c r="W27" i="13030" s="1"/>
  <c r="M22" i="13030"/>
  <c r="X16" i="13029"/>
  <c r="X24" i="13029" s="1"/>
  <c r="D20" i="13029"/>
  <c r="D24" i="13029"/>
  <c r="D25" i="13029"/>
  <c r="D29" i="13029"/>
  <c r="D32" i="13029"/>
  <c r="N12" i="13028"/>
  <c r="X16" i="13028"/>
  <c r="X24" i="13028" s="1"/>
  <c r="D33" i="13028"/>
  <c r="N33" i="13028" s="1"/>
  <c r="F17" i="13028"/>
  <c r="F28" i="13028"/>
  <c r="F31" i="13028"/>
  <c r="F11" i="13028"/>
  <c r="N11" i="13028"/>
  <c r="F27" i="13028"/>
  <c r="F20" i="13028"/>
  <c r="F23" i="13028"/>
  <c r="N23" i="13028"/>
  <c r="F24" i="13028"/>
  <c r="W24" i="13028"/>
  <c r="F25" i="13028"/>
  <c r="N25" i="13028"/>
  <c r="F29" i="13028"/>
  <c r="N29" i="13028"/>
  <c r="A14" i="13027"/>
  <c r="E17" i="13027"/>
  <c r="G14" i="13027"/>
  <c r="F14" i="13027"/>
  <c r="C12" i="13027"/>
  <c r="C13" i="13027" s="1"/>
  <c r="E19" i="13027"/>
  <c r="G16" i="13027"/>
  <c r="F16" i="13027"/>
  <c r="A25" i="13027"/>
  <c r="A27" i="13027"/>
  <c r="G27" i="13027"/>
  <c r="F27" i="13027"/>
  <c r="G18" i="13027"/>
  <c r="F18" i="13027"/>
  <c r="F28" i="13027"/>
  <c r="G28" i="13027"/>
  <c r="E57" i="13027"/>
  <c r="G54" i="13027"/>
  <c r="F54" i="13027"/>
  <c r="E29" i="13027"/>
  <c r="E39" i="13027"/>
  <c r="G36" i="13027"/>
  <c r="F36" i="13027"/>
  <c r="A44" i="13027"/>
  <c r="G47" i="13027"/>
  <c r="E48" i="13027"/>
  <c r="G45" i="13027"/>
  <c r="F45" i="13027"/>
  <c r="A37" i="13027"/>
  <c r="A35" i="13027"/>
  <c r="A54" i="13027"/>
  <c r="G58" i="13027"/>
  <c r="F58" i="13027"/>
  <c r="F24" i="13027"/>
  <c r="G49" i="13027"/>
  <c r="F49" i="13027"/>
  <c r="G35" i="13027"/>
  <c r="E37" i="13027"/>
  <c r="E59" i="13027"/>
  <c r="F46" i="13027"/>
  <c r="A14" i="13026"/>
  <c r="E17" i="13026"/>
  <c r="G14" i="13026"/>
  <c r="F14" i="13026"/>
  <c r="F27" i="13026"/>
  <c r="I41" i="13026"/>
  <c r="A53" i="13026"/>
  <c r="I52" i="13026"/>
  <c r="E57" i="13026"/>
  <c r="F54" i="13026"/>
  <c r="G54" i="13026"/>
  <c r="F58" i="13026"/>
  <c r="G58" i="13026"/>
  <c r="G18" i="13026"/>
  <c r="F18" i="13026"/>
  <c r="I11" i="13026"/>
  <c r="C12" i="13026"/>
  <c r="E19" i="13026"/>
  <c r="G16" i="13026"/>
  <c r="F16" i="13026"/>
  <c r="A25" i="13026"/>
  <c r="A27" i="13026"/>
  <c r="I27" i="13026" s="1"/>
  <c r="I24" i="13026"/>
  <c r="A37" i="13026"/>
  <c r="A35" i="13026"/>
  <c r="I34" i="13026"/>
  <c r="Q22" i="13026"/>
  <c r="Q24" i="13026"/>
  <c r="Q31" i="13026"/>
  <c r="E39" i="13026"/>
  <c r="F36" i="13026"/>
  <c r="Q52" i="13026"/>
  <c r="Q23" i="13026"/>
  <c r="E29" i="13026"/>
  <c r="Q33" i="13026"/>
  <c r="Q35" i="13026"/>
  <c r="E48" i="13026"/>
  <c r="F45" i="13026"/>
  <c r="Q51" i="13026"/>
  <c r="Q11" i="13026"/>
  <c r="Q14" i="13026"/>
  <c r="Q43" i="13026"/>
  <c r="Q42" i="13026"/>
  <c r="Q41" i="13026"/>
  <c r="Q34" i="13026"/>
  <c r="Q32" i="13026"/>
  <c r="F24" i="13026"/>
  <c r="G28" i="13026"/>
  <c r="F34" i="13026"/>
  <c r="E37" i="13026"/>
  <c r="Q37" i="13026" s="1"/>
  <c r="G38" i="13026"/>
  <c r="A44" i="13026"/>
  <c r="I43" i="13026"/>
  <c r="Q44" i="13026"/>
  <c r="G45" i="13026"/>
  <c r="G47" i="13026"/>
  <c r="F56" i="13026"/>
  <c r="E59" i="13026"/>
  <c r="I42" i="13026"/>
  <c r="A14" i="13025"/>
  <c r="E17" i="13025"/>
  <c r="G14" i="13025"/>
  <c r="E29" i="13025"/>
  <c r="G26" i="13025"/>
  <c r="G35" i="13025"/>
  <c r="E38" i="13025"/>
  <c r="F35" i="13025"/>
  <c r="A43" i="13025"/>
  <c r="E48" i="13025"/>
  <c r="G45" i="13025"/>
  <c r="F58" i="13025"/>
  <c r="E19" i="13025"/>
  <c r="G16" i="13025"/>
  <c r="F16" i="13025"/>
  <c r="A25" i="13025"/>
  <c r="F47" i="13025"/>
  <c r="G47" i="13025"/>
  <c r="F14" i="13025"/>
  <c r="A27" i="13025"/>
  <c r="A37" i="13025"/>
  <c r="A35" i="13025"/>
  <c r="E28" i="13025"/>
  <c r="G25" i="13025"/>
  <c r="F25" i="13025"/>
  <c r="F26" i="13025"/>
  <c r="F27" i="13025"/>
  <c r="F45" i="13025"/>
  <c r="E57" i="13025"/>
  <c r="G54" i="13025"/>
  <c r="G37" i="13025"/>
  <c r="F37" i="13025"/>
  <c r="A54" i="13025"/>
  <c r="AA17" i="13025"/>
  <c r="AA26" i="13025" s="1"/>
  <c r="E39" i="13025"/>
  <c r="G36" i="13025"/>
  <c r="G46" i="13025"/>
  <c r="F46" i="13025"/>
  <c r="F49" i="13025"/>
  <c r="G55" i="13025"/>
  <c r="F55" i="13025"/>
  <c r="G59" i="13025"/>
  <c r="F59" i="13025"/>
  <c r="F28" i="13024"/>
  <c r="G28" i="13024"/>
  <c r="A17" i="13024"/>
  <c r="A15" i="13024"/>
  <c r="I14" i="13024"/>
  <c r="Q13" i="13024"/>
  <c r="E18" i="13024"/>
  <c r="G15" i="13024"/>
  <c r="F15" i="13024"/>
  <c r="G17" i="13024"/>
  <c r="F17" i="13024"/>
  <c r="AA26" i="13024"/>
  <c r="G19" i="13024"/>
  <c r="F19" i="13024"/>
  <c r="I22" i="13024"/>
  <c r="E27" i="13024"/>
  <c r="I11" i="13024"/>
  <c r="Q14" i="13024"/>
  <c r="A23" i="13024"/>
  <c r="Q23" i="13024" s="1"/>
  <c r="F24" i="13024"/>
  <c r="F29" i="13024"/>
  <c r="I51" i="13024"/>
  <c r="I41" i="13024"/>
  <c r="G47" i="13024"/>
  <c r="E57" i="13024"/>
  <c r="G54" i="13024"/>
  <c r="F54" i="13024"/>
  <c r="I12" i="13024"/>
  <c r="Q21" i="13024"/>
  <c r="I33" i="13024"/>
  <c r="G37" i="13024"/>
  <c r="F37" i="13024"/>
  <c r="E39" i="13024"/>
  <c r="G36" i="13024"/>
  <c r="F36" i="13024"/>
  <c r="A44" i="13024"/>
  <c r="I43" i="13024"/>
  <c r="A54" i="13024"/>
  <c r="Q54" i="13024" s="1"/>
  <c r="I53" i="13024"/>
  <c r="G58" i="13024"/>
  <c r="F58" i="13024"/>
  <c r="E48" i="13024"/>
  <c r="G45" i="13024"/>
  <c r="F45" i="13024"/>
  <c r="I13" i="13024"/>
  <c r="Q32" i="13024"/>
  <c r="Q53" i="13024"/>
  <c r="Q52" i="13024"/>
  <c r="Q51" i="13024"/>
  <c r="Q44" i="13024"/>
  <c r="Q34" i="13024"/>
  <c r="Q31" i="13024"/>
  <c r="Q43" i="13024"/>
  <c r="Q42" i="13024"/>
  <c r="Q41" i="13024"/>
  <c r="Q22" i="13024"/>
  <c r="A37" i="13024"/>
  <c r="I37" i="13024" s="1"/>
  <c r="A35" i="13024"/>
  <c r="I34" i="13024"/>
  <c r="Q33" i="13024"/>
  <c r="Q37" i="13024"/>
  <c r="G49" i="13024"/>
  <c r="F49" i="13024"/>
  <c r="I42" i="13024"/>
  <c r="G44" i="13024"/>
  <c r="E59" i="13024"/>
  <c r="E38" i="13024"/>
  <c r="F46" i="13024"/>
  <c r="I52" i="13024"/>
  <c r="V33" i="13023"/>
  <c r="M12" i="13022"/>
  <c r="M17" i="13022"/>
  <c r="E19" i="13022"/>
  <c r="M19" i="13022"/>
  <c r="E28" i="13022"/>
  <c r="M28" i="13022"/>
  <c r="E11" i="13022"/>
  <c r="M11" i="13022"/>
  <c r="E16" i="13022"/>
  <c r="M16" i="13022"/>
  <c r="E25" i="13022"/>
  <c r="M25" i="13022"/>
  <c r="M21" i="13022"/>
  <c r="M24" i="13022"/>
  <c r="M29" i="13022"/>
  <c r="E13" i="13022"/>
  <c r="M13" i="13022"/>
  <c r="E15" i="13022"/>
  <c r="M15" i="13022"/>
  <c r="E20" i="13022"/>
  <c r="M20" i="13022"/>
  <c r="E23" i="13022"/>
  <c r="M23" i="13022"/>
  <c r="T26" i="13021"/>
  <c r="U18" i="13021"/>
  <c r="U26" i="13021" s="1"/>
  <c r="U20" i="13021"/>
  <c r="K14" i="13020"/>
  <c r="K24" i="13020"/>
  <c r="K13" i="13020"/>
  <c r="K11" i="13020"/>
  <c r="K10" i="13020"/>
  <c r="K28" i="13020"/>
  <c r="K25" i="13020"/>
  <c r="K18" i="13020"/>
  <c r="K16" i="13020"/>
  <c r="K12" i="13020"/>
  <c r="K30" i="13020"/>
  <c r="K22" i="13020"/>
  <c r="K19" i="13020"/>
  <c r="Y14" i="13020"/>
  <c r="K29" i="13020"/>
  <c r="C23" i="13020"/>
  <c r="K23" i="13020"/>
  <c r="C27" i="13020"/>
  <c r="K27" i="13020"/>
  <c r="C31" i="13020"/>
  <c r="K31" i="13020"/>
  <c r="C24" i="13020"/>
  <c r="C25" i="13020"/>
  <c r="C28" i="13020"/>
  <c r="C14" i="13020"/>
  <c r="C17" i="13020"/>
  <c r="C21" i="13020"/>
  <c r="K21" i="13020"/>
  <c r="C26" i="13020"/>
  <c r="K26" i="13020"/>
  <c r="C29" i="13020"/>
  <c r="U32" i="13019"/>
  <c r="U31" i="13019"/>
  <c r="T18" i="13019"/>
  <c r="T26" i="13019" s="1"/>
  <c r="U20" i="13019"/>
  <c r="C31" i="13018"/>
  <c r="C24" i="13018"/>
  <c r="C25" i="13018"/>
  <c r="C28" i="13018"/>
  <c r="C26" i="13018"/>
  <c r="T26" i="13018"/>
  <c r="O47" i="13017"/>
  <c r="O38" i="13017"/>
  <c r="O37" i="13017"/>
  <c r="O34" i="13017"/>
  <c r="O16" i="13017"/>
  <c r="O62" i="13016"/>
  <c r="O53" i="13016"/>
  <c r="O52" i="13016"/>
  <c r="O49" i="13016"/>
  <c r="O20" i="13016"/>
  <c r="O47" i="13014"/>
  <c r="O38" i="13014"/>
  <c r="O37" i="13014"/>
  <c r="O34" i="13014"/>
  <c r="O16" i="13014"/>
  <c r="AC12" i="13007"/>
  <c r="AA12" i="13007"/>
  <c r="Y12" i="13007"/>
  <c r="W12" i="13007"/>
  <c r="AC12" i="13005"/>
  <c r="AA12" i="13005"/>
  <c r="Y12" i="13005"/>
  <c r="W12" i="13005"/>
  <c r="M14" i="13030" l="1"/>
  <c r="E14" i="13030"/>
  <c r="N17" i="13028"/>
  <c r="N16" i="13028"/>
  <c r="N13" i="13028"/>
  <c r="N21" i="13028"/>
  <c r="F33" i="13028"/>
  <c r="N24" i="13028"/>
  <c r="N20" i="13028"/>
  <c r="N27" i="13028"/>
  <c r="N19" i="13028"/>
  <c r="N15" i="13028"/>
  <c r="N31" i="13028"/>
  <c r="N32" i="13028"/>
  <c r="N28" i="13028"/>
  <c r="G37" i="13027"/>
  <c r="F37" i="13027"/>
  <c r="A36" i="13027"/>
  <c r="A38" i="13027"/>
  <c r="G48" i="13027"/>
  <c r="F48" i="13027"/>
  <c r="G39" i="13027"/>
  <c r="F39" i="13027"/>
  <c r="G59" i="13027"/>
  <c r="F59" i="13027"/>
  <c r="A55" i="13027"/>
  <c r="A57" i="13027"/>
  <c r="A45" i="13027"/>
  <c r="A47" i="13027"/>
  <c r="G57" i="13027"/>
  <c r="F57" i="13027"/>
  <c r="A26" i="13027"/>
  <c r="A28" i="13027"/>
  <c r="G19" i="13027"/>
  <c r="F19" i="13027"/>
  <c r="G17" i="13027"/>
  <c r="F17" i="13027"/>
  <c r="A17" i="13027"/>
  <c r="A15" i="13027"/>
  <c r="F29" i="13027"/>
  <c r="G29" i="13027"/>
  <c r="G59" i="13026"/>
  <c r="F59" i="13026"/>
  <c r="A38" i="13026"/>
  <c r="I35" i="13026"/>
  <c r="A36" i="13026"/>
  <c r="C13" i="13026"/>
  <c r="I12" i="13026"/>
  <c r="G17" i="13026"/>
  <c r="F17" i="13026"/>
  <c r="I14" i="13026"/>
  <c r="A17" i="13026"/>
  <c r="A15" i="13026"/>
  <c r="G48" i="13026"/>
  <c r="F48" i="13026"/>
  <c r="F29" i="13026"/>
  <c r="G29" i="13026"/>
  <c r="G39" i="13026"/>
  <c r="F39" i="13026"/>
  <c r="I37" i="13026"/>
  <c r="A28" i="13026"/>
  <c r="A26" i="13026"/>
  <c r="Q25" i="13026"/>
  <c r="I25" i="13026"/>
  <c r="G19" i="13026"/>
  <c r="F19" i="13026"/>
  <c r="A54" i="13026"/>
  <c r="I53" i="13026"/>
  <c r="Q53" i="13026"/>
  <c r="Q12" i="13026"/>
  <c r="G37" i="13026"/>
  <c r="F37" i="13026"/>
  <c r="G57" i="13026"/>
  <c r="F57" i="13026"/>
  <c r="A45" i="13026"/>
  <c r="I44" i="13026"/>
  <c r="A47" i="13026"/>
  <c r="Q27" i="13026"/>
  <c r="A36" i="13025"/>
  <c r="A38" i="13025"/>
  <c r="G29" i="13025"/>
  <c r="F29" i="13025"/>
  <c r="G17" i="13025"/>
  <c r="F17" i="13025"/>
  <c r="F39" i="13025"/>
  <c r="G39" i="13025"/>
  <c r="A55" i="13025"/>
  <c r="A57" i="13025"/>
  <c r="A26" i="13025"/>
  <c r="A28" i="13025"/>
  <c r="F19" i="13025"/>
  <c r="G19" i="13025"/>
  <c r="G48" i="13025"/>
  <c r="F48" i="13025"/>
  <c r="F38" i="13025"/>
  <c r="G38" i="13025"/>
  <c r="G57" i="13025"/>
  <c r="F57" i="13025"/>
  <c r="F28" i="13025"/>
  <c r="G28" i="13025"/>
  <c r="A44" i="13025"/>
  <c r="A17" i="13025"/>
  <c r="A15" i="13025"/>
  <c r="F38" i="13024"/>
  <c r="G38" i="13024"/>
  <c r="G18" i="13024"/>
  <c r="F18" i="13024"/>
  <c r="G59" i="13024"/>
  <c r="F59" i="13024"/>
  <c r="A45" i="13024"/>
  <c r="I44" i="13024"/>
  <c r="A47" i="13024"/>
  <c r="Q17" i="13024"/>
  <c r="I17" i="13024"/>
  <c r="A36" i="13024"/>
  <c r="I35" i="13024"/>
  <c r="A38" i="13024"/>
  <c r="Q35" i="13024"/>
  <c r="Q15" i="13024"/>
  <c r="I15" i="13024"/>
  <c r="A18" i="13024"/>
  <c r="A16" i="13024"/>
  <c r="A24" i="13024"/>
  <c r="I23" i="13024"/>
  <c r="G39" i="13024"/>
  <c r="F39" i="13024"/>
  <c r="G27" i="13024"/>
  <c r="F27" i="13024"/>
  <c r="G48" i="13024"/>
  <c r="F48" i="13024"/>
  <c r="A55" i="13024"/>
  <c r="I54" i="13024"/>
  <c r="A57" i="13024"/>
  <c r="G57" i="13024"/>
  <c r="F57" i="13024"/>
  <c r="Y15" i="13020"/>
  <c r="Y13" i="13020"/>
  <c r="K29" i="13018"/>
  <c r="K26" i="13018"/>
  <c r="K18" i="13018"/>
  <c r="K15" i="13018"/>
  <c r="K14" i="13018"/>
  <c r="K27" i="13018"/>
  <c r="K28" i="13018"/>
  <c r="K25" i="13018"/>
  <c r="K24" i="13018"/>
  <c r="K31" i="13018"/>
  <c r="K30" i="13018"/>
  <c r="K22" i="13018"/>
  <c r="K12" i="13018"/>
  <c r="K11" i="13018"/>
  <c r="K10" i="13018"/>
  <c r="K23" i="13018"/>
  <c r="K19" i="13018"/>
  <c r="K17" i="13018"/>
  <c r="K16" i="13018"/>
  <c r="K13" i="13018"/>
  <c r="O2586" i="13015"/>
  <c r="AJ2586" i="13015" s="1"/>
  <c r="A18" i="13027" l="1"/>
  <c r="A16" i="13027"/>
  <c r="A29" i="13027"/>
  <c r="A58" i="13027"/>
  <c r="A56" i="13027"/>
  <c r="A46" i="13027"/>
  <c r="A48" i="13027"/>
  <c r="A39" i="13027"/>
  <c r="I13" i="13026"/>
  <c r="Q13" i="13026"/>
  <c r="I47" i="13026"/>
  <c r="Q47" i="13026"/>
  <c r="A55" i="13026"/>
  <c r="I54" i="13026"/>
  <c r="A57" i="13026"/>
  <c r="Q54" i="13026"/>
  <c r="A18" i="13026"/>
  <c r="A16" i="13026"/>
  <c r="I15" i="13026"/>
  <c r="Q15" i="13026"/>
  <c r="I36" i="13026"/>
  <c r="A39" i="13026"/>
  <c r="Q36" i="13026"/>
  <c r="A29" i="13026"/>
  <c r="I26" i="13026"/>
  <c r="Q26" i="13026"/>
  <c r="A46" i="13026"/>
  <c r="I45" i="13026"/>
  <c r="A48" i="13026"/>
  <c r="Q45" i="13026"/>
  <c r="I28" i="13026"/>
  <c r="Q28" i="13026"/>
  <c r="Q17" i="13026"/>
  <c r="I17" i="13026"/>
  <c r="I38" i="13026"/>
  <c r="Q38" i="13026"/>
  <c r="A45" i="13025"/>
  <c r="A47" i="13025"/>
  <c r="A29" i="13025"/>
  <c r="A39" i="13025"/>
  <c r="A58" i="13025"/>
  <c r="A56" i="13025"/>
  <c r="A16" i="13025"/>
  <c r="A18" i="13025"/>
  <c r="I57" i="13024"/>
  <c r="Q57" i="13024"/>
  <c r="I36" i="13024"/>
  <c r="A39" i="13024"/>
  <c r="Q36" i="13024"/>
  <c r="A46" i="13024"/>
  <c r="I45" i="13024"/>
  <c r="A48" i="13024"/>
  <c r="Q45" i="13024"/>
  <c r="I24" i="13024"/>
  <c r="A27" i="13024"/>
  <c r="A25" i="13024"/>
  <c r="Q24" i="13024"/>
  <c r="I18" i="13024"/>
  <c r="Q18" i="13024"/>
  <c r="A58" i="13024"/>
  <c r="I55" i="13024"/>
  <c r="Q55" i="13024"/>
  <c r="A56" i="13024"/>
  <c r="A19" i="13024"/>
  <c r="I16" i="13024"/>
  <c r="Q16" i="13024"/>
  <c r="I38" i="13024"/>
  <c r="Q38" i="13024"/>
  <c r="I47" i="13024"/>
  <c r="Q47" i="13024"/>
  <c r="Y14" i="13018"/>
  <c r="Y15" i="13018"/>
  <c r="Y13" i="13018"/>
  <c r="AC1998" i="13015"/>
  <c r="AD1998" i="13015" s="1"/>
  <c r="AE1998" i="13015" s="1"/>
  <c r="AC1998" i="12908"/>
  <c r="A19" i="13027" l="1"/>
  <c r="A49" i="13027"/>
  <c r="A59" i="13027"/>
  <c r="I48" i="13026"/>
  <c r="Q48" i="13026"/>
  <c r="I29" i="13026"/>
  <c r="Q29" i="13026"/>
  <c r="I39" i="13026"/>
  <c r="Q39" i="13026"/>
  <c r="A58" i="13026"/>
  <c r="A56" i="13026"/>
  <c r="I55" i="13026"/>
  <c r="Q55" i="13026"/>
  <c r="I18" i="13026"/>
  <c r="Q18" i="13026"/>
  <c r="I57" i="13026"/>
  <c r="Q57" i="13026"/>
  <c r="A49" i="13026"/>
  <c r="I46" i="13026"/>
  <c r="Q46" i="13026"/>
  <c r="I16" i="13026"/>
  <c r="A19" i="13026"/>
  <c r="Q16" i="13026"/>
  <c r="A59" i="13025"/>
  <c r="A19" i="13025"/>
  <c r="A46" i="13025"/>
  <c r="A48" i="13025"/>
  <c r="Q19" i="13024"/>
  <c r="I19" i="13024"/>
  <c r="A59" i="13024"/>
  <c r="I56" i="13024"/>
  <c r="Q56" i="13024"/>
  <c r="I27" i="13024"/>
  <c r="Q27" i="13024"/>
  <c r="A49" i="13024"/>
  <c r="I46" i="13024"/>
  <c r="Q46" i="13024"/>
  <c r="I39" i="13024"/>
  <c r="Q39" i="13024"/>
  <c r="I48" i="13024"/>
  <c r="Q48" i="13024"/>
  <c r="I58" i="13024"/>
  <c r="Q58" i="13024"/>
  <c r="A26" i="13024"/>
  <c r="A28" i="13024"/>
  <c r="I25" i="13024"/>
  <c r="Q25" i="13024"/>
  <c r="AH62" i="12989"/>
  <c r="AH53" i="12989"/>
  <c r="AH52" i="12989"/>
  <c r="AH49" i="12989"/>
  <c r="O677" i="13015"/>
  <c r="AJ677" i="13015" s="1"/>
  <c r="O676" i="13015"/>
  <c r="AJ676" i="13015" s="1"/>
  <c r="O106" i="13015"/>
  <c r="AJ106" i="13015" s="1"/>
  <c r="O103" i="13015"/>
  <c r="AJ103" i="13015" s="1"/>
  <c r="K8" i="13007"/>
  <c r="M47" i="13007"/>
  <c r="M38" i="13007"/>
  <c r="M37" i="13007"/>
  <c r="M34" i="13007"/>
  <c r="M16" i="13007"/>
  <c r="M62" i="13005"/>
  <c r="M53" i="13005"/>
  <c r="M52" i="13005"/>
  <c r="M49" i="13005"/>
  <c r="M20" i="13005"/>
  <c r="A15" i="13017"/>
  <c r="G11" i="13017"/>
  <c r="E11" i="13017"/>
  <c r="A6" i="13017"/>
  <c r="A5" i="13017"/>
  <c r="G49" i="13016"/>
  <c r="I33" i="13016"/>
  <c r="G33" i="13016"/>
  <c r="I28" i="13016"/>
  <c r="G28" i="13016"/>
  <c r="A15" i="13016"/>
  <c r="E11" i="13016"/>
  <c r="A6" i="13016"/>
  <c r="A5" i="13016"/>
  <c r="O63" i="13013"/>
  <c r="O48" i="13014" s="1"/>
  <c r="G49" i="13013"/>
  <c r="I33" i="13013"/>
  <c r="G33" i="13013"/>
  <c r="I28" i="13013"/>
  <c r="G28" i="13013"/>
  <c r="Q28" i="13015"/>
  <c r="Q27" i="13015"/>
  <c r="Q19" i="13015"/>
  <c r="Q18" i="13015"/>
  <c r="Q14" i="13015"/>
  <c r="U12" i="13020" s="1"/>
  <c r="Q13" i="13015"/>
  <c r="U12" i="13018" s="1"/>
  <c r="AH63" i="12989" l="1"/>
  <c r="M63" i="13005"/>
  <c r="M48" i="13007" s="1"/>
  <c r="T12" i="13019"/>
  <c r="U20" i="13018"/>
  <c r="T20" i="13019" s="1"/>
  <c r="T12" i="13021"/>
  <c r="U20" i="13020"/>
  <c r="T20" i="13021" s="1"/>
  <c r="A59" i="13026"/>
  <c r="I56" i="13026"/>
  <c r="Q56" i="13026"/>
  <c r="Q19" i="13026"/>
  <c r="I19" i="13026"/>
  <c r="I58" i="13026"/>
  <c r="Q58" i="13026"/>
  <c r="I49" i="13026"/>
  <c r="Q49" i="13026"/>
  <c r="A49" i="13025"/>
  <c r="I59" i="13024"/>
  <c r="Q59" i="13024"/>
  <c r="I28" i="13024"/>
  <c r="Q28" i="13024"/>
  <c r="I49" i="13024"/>
  <c r="Q49" i="13024"/>
  <c r="A29" i="13024"/>
  <c r="Q26" i="13024"/>
  <c r="I26" i="13024"/>
  <c r="A16" i="13017"/>
  <c r="I11" i="13017"/>
  <c r="A16" i="13016"/>
  <c r="G11" i="13016"/>
  <c r="I59" i="13026" l="1"/>
  <c r="Q59" i="13026"/>
  <c r="I29" i="13024"/>
  <c r="Q29" i="13024"/>
  <c r="O11" i="13017"/>
  <c r="Q11" i="13017" s="1"/>
  <c r="W12" i="13017" s="1"/>
  <c r="K11" i="13017"/>
  <c r="M11" i="13017"/>
  <c r="S12" i="13017" s="1"/>
  <c r="A17" i="13017"/>
  <c r="A17" i="13016"/>
  <c r="A18" i="13016"/>
  <c r="I11" i="13016"/>
  <c r="Y2679" i="13015"/>
  <c r="W2679" i="13015"/>
  <c r="W2680" i="13015" s="1"/>
  <c r="S2680" i="13015"/>
  <c r="H2674" i="13015"/>
  <c r="I2674" i="13015" s="1"/>
  <c r="K63" i="13013" s="1"/>
  <c r="I2673" i="13015"/>
  <c r="Y2673" i="13015" s="1"/>
  <c r="H2673" i="13015"/>
  <c r="H2672" i="13015"/>
  <c r="I2672" i="13015" s="1"/>
  <c r="Y2672" i="13015" s="1"/>
  <c r="I2671" i="13015"/>
  <c r="H2671" i="13015"/>
  <c r="H2670" i="13015"/>
  <c r="D2667" i="13015"/>
  <c r="D2665" i="13015" s="1"/>
  <c r="H2666" i="13015"/>
  <c r="H2648" i="13015" s="1"/>
  <c r="C2666" i="13015"/>
  <c r="C2665" i="13015"/>
  <c r="C2664" i="13015"/>
  <c r="H2663" i="13015"/>
  <c r="C2662" i="13015"/>
  <c r="H2662" i="13015" s="1"/>
  <c r="H2664" i="13015" s="1"/>
  <c r="D2661" i="13015"/>
  <c r="D2658" i="13015"/>
  <c r="H2657" i="13015"/>
  <c r="C2657" i="13015"/>
  <c r="D2656" i="13015"/>
  <c r="C2656" i="13015"/>
  <c r="C2654" i="13015"/>
  <c r="H2653" i="13015"/>
  <c r="D2652" i="13015"/>
  <c r="D2643" i="13015" s="1"/>
  <c r="G62" i="13013" s="1"/>
  <c r="I2648" i="13015"/>
  <c r="D2648" i="13015"/>
  <c r="C2648" i="13015"/>
  <c r="H2644" i="13015"/>
  <c r="C2644" i="13015"/>
  <c r="I2640" i="13015"/>
  <c r="K52" i="13013" s="1"/>
  <c r="D2640" i="13015"/>
  <c r="I52" i="13013" s="1"/>
  <c r="I2639" i="13015"/>
  <c r="Y2639" i="13015" s="1"/>
  <c r="H2639" i="13015"/>
  <c r="C2639" i="13015"/>
  <c r="I2637" i="13015"/>
  <c r="Y2637" i="13015" s="1"/>
  <c r="H2637" i="13015"/>
  <c r="D2637" i="13015"/>
  <c r="W2637" i="13015" s="1"/>
  <c r="C2637" i="13015"/>
  <c r="C2640" i="13015" s="1"/>
  <c r="D2636" i="13015"/>
  <c r="G52" i="13013" s="1"/>
  <c r="AC2633" i="13015"/>
  <c r="AD2633" i="13015"/>
  <c r="AE2633" i="13015" s="1"/>
  <c r="O2632" i="13015"/>
  <c r="O2631" i="13015"/>
  <c r="C2629" i="13015"/>
  <c r="C2628" i="13015"/>
  <c r="H2628" i="13015" s="1"/>
  <c r="H2627" i="13015"/>
  <c r="D2627" i="13015"/>
  <c r="C2627" i="13015"/>
  <c r="D2626" i="13015"/>
  <c r="G51" i="13013" s="1"/>
  <c r="AC2623" i="13015"/>
  <c r="D2623" i="13015"/>
  <c r="I50" i="13013" s="1"/>
  <c r="O2622" i="13015"/>
  <c r="O2621" i="13015"/>
  <c r="C2620" i="13015"/>
  <c r="H2620" i="13015" s="1"/>
  <c r="H2618" i="13015"/>
  <c r="C2618" i="13015"/>
  <c r="C2617" i="13015"/>
  <c r="H2615" i="13015"/>
  <c r="C2615" i="13015"/>
  <c r="C2616" i="13015" s="1"/>
  <c r="H2616" i="13015" s="1"/>
  <c r="C2614" i="13015"/>
  <c r="H2614" i="13015" s="1"/>
  <c r="I2613" i="13015"/>
  <c r="H2613" i="13015"/>
  <c r="D2613" i="13015"/>
  <c r="G50" i="13013" s="1"/>
  <c r="W2610" i="13015"/>
  <c r="I2610" i="13015"/>
  <c r="D2610" i="13015"/>
  <c r="I49" i="13013" s="1"/>
  <c r="H2605" i="13015"/>
  <c r="C2605" i="13015"/>
  <c r="O2603" i="13015"/>
  <c r="O2602" i="13015"/>
  <c r="I2601" i="13015"/>
  <c r="H2601" i="13015"/>
  <c r="D2601" i="13015"/>
  <c r="C2601" i="13015"/>
  <c r="I2600" i="13015"/>
  <c r="H2600" i="13015"/>
  <c r="D2600" i="13015"/>
  <c r="C2600" i="13015"/>
  <c r="I2599" i="13015"/>
  <c r="H2599" i="13015"/>
  <c r="D2599" i="13015"/>
  <c r="C2599" i="13015"/>
  <c r="I2598" i="13015"/>
  <c r="H2598" i="13015"/>
  <c r="D2598" i="13015"/>
  <c r="C2598" i="13015"/>
  <c r="I2597" i="13015"/>
  <c r="I2602" i="13015" s="1"/>
  <c r="H2597" i="13015"/>
  <c r="H2602" i="13015" s="1"/>
  <c r="D2597" i="13015"/>
  <c r="C2597" i="13015"/>
  <c r="K2596" i="13015"/>
  <c r="K2595" i="13015"/>
  <c r="K2594" i="13015"/>
  <c r="K2593" i="13015"/>
  <c r="O2592" i="13015"/>
  <c r="O2591" i="13015"/>
  <c r="O2590" i="13015"/>
  <c r="D2590" i="13015"/>
  <c r="I2590" i="13015" s="1"/>
  <c r="C2590" i="13015"/>
  <c r="H2590" i="13015" s="1"/>
  <c r="Q2586" i="13015"/>
  <c r="Y2586" i="13015" s="1"/>
  <c r="I2586" i="13015"/>
  <c r="D2586" i="13015"/>
  <c r="W2586" i="13015" s="1"/>
  <c r="C2586" i="13015"/>
  <c r="H2586" i="13015" s="1"/>
  <c r="I2585" i="13015"/>
  <c r="D2585" i="13015"/>
  <c r="C2585" i="13015"/>
  <c r="H2585" i="13015" s="1"/>
  <c r="I2584" i="13015"/>
  <c r="D2584" i="13015"/>
  <c r="C2584" i="13015"/>
  <c r="H2584" i="13015" s="1"/>
  <c r="I2582" i="13015"/>
  <c r="I2581" i="13015"/>
  <c r="I2579" i="13015"/>
  <c r="I2578" i="13015"/>
  <c r="I2576" i="13015"/>
  <c r="I2575" i="13015"/>
  <c r="I2573" i="13015"/>
  <c r="I2572" i="13015"/>
  <c r="C2570" i="13015"/>
  <c r="I2554" i="13015"/>
  <c r="H2554" i="13015"/>
  <c r="D2554" i="13015"/>
  <c r="C2554" i="13015"/>
  <c r="I2553" i="13015"/>
  <c r="I2552" i="13015"/>
  <c r="I2551" i="13015"/>
  <c r="I2550" i="13015"/>
  <c r="H2548" i="13015"/>
  <c r="D2548" i="13015"/>
  <c r="C2548" i="13015"/>
  <c r="H2547" i="13015"/>
  <c r="D2547" i="13015"/>
  <c r="I2547" i="13015" s="1"/>
  <c r="C2547" i="13015"/>
  <c r="D2545" i="13015"/>
  <c r="G48" i="13013" s="1"/>
  <c r="C2545" i="13015"/>
  <c r="H2545" i="13015" s="1"/>
  <c r="I2544" i="13015"/>
  <c r="I2543" i="13015"/>
  <c r="D2539" i="13015"/>
  <c r="H2538" i="13015"/>
  <c r="C2538" i="13015"/>
  <c r="O2536" i="13015"/>
  <c r="O2535" i="13015"/>
  <c r="H2534" i="13015"/>
  <c r="C2534" i="13015"/>
  <c r="C2533" i="13015"/>
  <c r="C2532" i="13015"/>
  <c r="H2531" i="13015"/>
  <c r="C2531" i="13015"/>
  <c r="C2530" i="13015"/>
  <c r="H2530" i="13015" s="1"/>
  <c r="H2523" i="13015"/>
  <c r="C2523" i="13015"/>
  <c r="O2521" i="13015"/>
  <c r="O2520" i="13015"/>
  <c r="I2519" i="13015"/>
  <c r="H2519" i="13015"/>
  <c r="I2518" i="13015"/>
  <c r="H2518" i="13015"/>
  <c r="I2517" i="13015"/>
  <c r="H2517" i="13015"/>
  <c r="I2516" i="13015"/>
  <c r="H2516" i="13015"/>
  <c r="I2515" i="13015"/>
  <c r="H2515" i="13015"/>
  <c r="I2514" i="13015"/>
  <c r="H2514" i="13015"/>
  <c r="H2520" i="13015" s="1"/>
  <c r="I2507" i="13015"/>
  <c r="H2507" i="13015"/>
  <c r="C2503" i="13015"/>
  <c r="C2502" i="13015"/>
  <c r="H2502" i="13015" s="1"/>
  <c r="H2500" i="13015"/>
  <c r="C2500" i="13015"/>
  <c r="C2499" i="13015"/>
  <c r="H2499" i="13015" s="1"/>
  <c r="H2497" i="13015"/>
  <c r="C2497" i="13015"/>
  <c r="C2496" i="13015"/>
  <c r="H2496" i="13015" s="1"/>
  <c r="O2494" i="13015"/>
  <c r="O2493" i="13015"/>
  <c r="O2491" i="13015"/>
  <c r="O2490" i="13015"/>
  <c r="O2488" i="13015"/>
  <c r="O2487" i="13015"/>
  <c r="C2484" i="13015"/>
  <c r="H2484" i="13015" s="1"/>
  <c r="D2483" i="13015"/>
  <c r="C2483" i="13015"/>
  <c r="I2481" i="13015"/>
  <c r="H2481" i="13015"/>
  <c r="I2480" i="13015"/>
  <c r="H2480" i="13015"/>
  <c r="I2478" i="13015"/>
  <c r="H2478" i="13015"/>
  <c r="I2477" i="13015"/>
  <c r="H2477" i="13015"/>
  <c r="I2475" i="13015"/>
  <c r="H2475" i="13015"/>
  <c r="I2474" i="13015"/>
  <c r="H2474" i="13015"/>
  <c r="O2472" i="13015"/>
  <c r="W2472" i="13015" s="1"/>
  <c r="O2471" i="13015"/>
  <c r="W2471" i="13015" s="1"/>
  <c r="O2469" i="13015"/>
  <c r="W2469" i="13015" s="1"/>
  <c r="O2468" i="13015"/>
  <c r="W2468" i="13015" s="1"/>
  <c r="O2466" i="13015"/>
  <c r="W2466" i="13015" s="1"/>
  <c r="O2465" i="13015"/>
  <c r="W2465" i="13015" s="1"/>
  <c r="I2462" i="13015"/>
  <c r="H2462" i="13015"/>
  <c r="I2461" i="13015"/>
  <c r="H2461" i="13015"/>
  <c r="I2459" i="13015"/>
  <c r="H2459" i="13015"/>
  <c r="I2458" i="13015"/>
  <c r="H2458" i="13015"/>
  <c r="I2456" i="13015"/>
  <c r="H2456" i="13015"/>
  <c r="I2455" i="13015"/>
  <c r="H2455" i="13015"/>
  <c r="I2453" i="13015"/>
  <c r="H2453" i="13015"/>
  <c r="I2452" i="13015"/>
  <c r="H2452" i="13015"/>
  <c r="O2450" i="13015"/>
  <c r="W2450" i="13015" s="1"/>
  <c r="O2449" i="13015"/>
  <c r="W2449" i="13015" s="1"/>
  <c r="O2447" i="13015"/>
  <c r="W2447" i="13015" s="1"/>
  <c r="O2446" i="13015"/>
  <c r="W2446" i="13015" s="1"/>
  <c r="O2444" i="13015"/>
  <c r="W2444" i="13015" s="1"/>
  <c r="O2443" i="13015"/>
  <c r="W2443" i="13015" s="1"/>
  <c r="I2440" i="13015"/>
  <c r="H2440" i="13015"/>
  <c r="I2439" i="13015"/>
  <c r="H2439" i="13015"/>
  <c r="D2435" i="13015"/>
  <c r="H2434" i="13015"/>
  <c r="C2434" i="13015"/>
  <c r="O2432" i="13015"/>
  <c r="O2431" i="13015"/>
  <c r="C2430" i="13015"/>
  <c r="C2429" i="13015"/>
  <c r="C2428" i="13015"/>
  <c r="H2428" i="13015" s="1"/>
  <c r="H2427" i="13015"/>
  <c r="C2427" i="13015"/>
  <c r="C2323" i="13015" s="1"/>
  <c r="H2323" i="13015" s="1"/>
  <c r="C2426" i="13015"/>
  <c r="H2419" i="13015"/>
  <c r="C2419" i="13015"/>
  <c r="O2417" i="13015"/>
  <c r="O2416" i="13015"/>
  <c r="H2415" i="13015"/>
  <c r="C2415" i="13015"/>
  <c r="C2414" i="13015"/>
  <c r="H2414" i="13015" s="1"/>
  <c r="H2413" i="13015"/>
  <c r="C2413" i="13015"/>
  <c r="C2412" i="13015"/>
  <c r="H2412" i="13015" s="1"/>
  <c r="H2411" i="13015"/>
  <c r="C2411" i="13015"/>
  <c r="C2410" i="13015"/>
  <c r="H2410" i="13015" s="1"/>
  <c r="H2416" i="13015" s="1"/>
  <c r="C2403" i="13015"/>
  <c r="H2403" i="13015" s="1"/>
  <c r="C2399" i="13015"/>
  <c r="H2399" i="13015" s="1"/>
  <c r="C2398" i="13015"/>
  <c r="C2396" i="13015"/>
  <c r="C2395" i="13015"/>
  <c r="H2395" i="13015" s="1"/>
  <c r="C2393" i="13015"/>
  <c r="H2393" i="13015" s="1"/>
  <c r="C2392" i="13015"/>
  <c r="O2390" i="13015"/>
  <c r="O2389" i="13015"/>
  <c r="O2387" i="13015"/>
  <c r="O2386" i="13015"/>
  <c r="O2384" i="13015"/>
  <c r="O2383" i="13015"/>
  <c r="C2380" i="13015"/>
  <c r="H2380" i="13015" s="1"/>
  <c r="H2379" i="13015"/>
  <c r="C2379" i="13015"/>
  <c r="C2377" i="13015"/>
  <c r="H2377" i="13015" s="1"/>
  <c r="H2376" i="13015"/>
  <c r="C2376" i="13015"/>
  <c r="C2374" i="13015"/>
  <c r="H2374" i="13015" s="1"/>
  <c r="H2373" i="13015"/>
  <c r="C2373" i="13015"/>
  <c r="C2371" i="13015"/>
  <c r="H2371" i="13015" s="1"/>
  <c r="H2370" i="13015"/>
  <c r="C2370" i="13015"/>
  <c r="O2368" i="13015"/>
  <c r="O2367" i="13015"/>
  <c r="O2365" i="13015"/>
  <c r="O2364" i="13015"/>
  <c r="O2362" i="13015"/>
  <c r="O2361" i="13015"/>
  <c r="C2358" i="13015"/>
  <c r="C2357" i="13015"/>
  <c r="I2355" i="13015"/>
  <c r="H2355" i="13015"/>
  <c r="I2354" i="13015"/>
  <c r="H2354" i="13015"/>
  <c r="I2352" i="13015"/>
  <c r="H2352" i="13015"/>
  <c r="I2351" i="13015"/>
  <c r="H2351" i="13015"/>
  <c r="I2349" i="13015"/>
  <c r="H2349" i="13015"/>
  <c r="I2348" i="13015"/>
  <c r="H2348" i="13015"/>
  <c r="O2346" i="13015"/>
  <c r="W2346" i="13015" s="1"/>
  <c r="O2345" i="13015"/>
  <c r="W2345" i="13015" s="1"/>
  <c r="O2343" i="13015"/>
  <c r="W2343" i="13015" s="1"/>
  <c r="O2342" i="13015"/>
  <c r="W2342" i="13015" s="1"/>
  <c r="Z2340" i="13015"/>
  <c r="Z2558" i="13015" s="1"/>
  <c r="Z2561" i="13015" s="1"/>
  <c r="O2340" i="13015"/>
  <c r="W2340" i="13015" s="1"/>
  <c r="Z2339" i="13015"/>
  <c r="Z2557" i="13015" s="1"/>
  <c r="O2339" i="13015"/>
  <c r="W2339" i="13015" s="1"/>
  <c r="I2336" i="13015"/>
  <c r="H2336" i="13015"/>
  <c r="I2335" i="13015"/>
  <c r="H2335" i="13015"/>
  <c r="AC2331" i="13015"/>
  <c r="AD2331" i="13015" s="1"/>
  <c r="AE2331" i="13015" s="1"/>
  <c r="I2330" i="13015"/>
  <c r="H2330" i="13015"/>
  <c r="D2330" i="13015"/>
  <c r="C2330" i="13015"/>
  <c r="O2328" i="13015"/>
  <c r="O2327" i="13015"/>
  <c r="C2324" i="13015"/>
  <c r="H2324" i="13015" s="1"/>
  <c r="K2321" i="13015"/>
  <c r="K2425" i="13015" s="1"/>
  <c r="K2320" i="13015"/>
  <c r="K2319" i="13015"/>
  <c r="K2423" i="13015" s="1"/>
  <c r="K2318" i="13015"/>
  <c r="O2317" i="13015"/>
  <c r="O2316" i="13015"/>
  <c r="O2315" i="13015"/>
  <c r="C2315" i="13015"/>
  <c r="H2315" i="13015" s="1"/>
  <c r="O2313" i="13015"/>
  <c r="O2312" i="13015"/>
  <c r="C2311" i="13015"/>
  <c r="H2311" i="13015" s="1"/>
  <c r="C2310" i="13015"/>
  <c r="H2310" i="13015" s="1"/>
  <c r="C2309" i="13015"/>
  <c r="H2309" i="13015" s="1"/>
  <c r="O2308" i="13015"/>
  <c r="M2308" i="13015"/>
  <c r="C2308" i="13015"/>
  <c r="H2308" i="13015" s="1"/>
  <c r="C2307" i="13015"/>
  <c r="H2307" i="13015" s="1"/>
  <c r="H2306" i="13015"/>
  <c r="C2306" i="13015"/>
  <c r="K2305" i="13015"/>
  <c r="K2304" i="13015"/>
  <c r="K2303" i="13015"/>
  <c r="K2511" i="13015" s="1"/>
  <c r="S2511" i="13015" s="1"/>
  <c r="K2302" i="13015"/>
  <c r="O2301" i="13015"/>
  <c r="O2509" i="13015" s="1"/>
  <c r="W2509" i="13015" s="1"/>
  <c r="O2300" i="13015"/>
  <c r="O2404" i="13015" s="1"/>
  <c r="O2299" i="13015"/>
  <c r="O2507" i="13015" s="1"/>
  <c r="W2507" i="13015" s="1"/>
  <c r="M2299" i="13015"/>
  <c r="C2299" i="13015"/>
  <c r="H2299" i="13015" s="1"/>
  <c r="C2295" i="13015"/>
  <c r="H2295" i="13015" s="1"/>
  <c r="C2291" i="13015"/>
  <c r="H2291" i="13015" s="1"/>
  <c r="C2289" i="13015"/>
  <c r="H2289" i="13015" s="1"/>
  <c r="C2276" i="13015"/>
  <c r="H2276" i="13015" s="1"/>
  <c r="C2273" i="13015"/>
  <c r="H2273" i="13015" s="1"/>
  <c r="C2272" i="13015"/>
  <c r="H2272" i="13015" s="1"/>
  <c r="C2270" i="13015"/>
  <c r="H2270" i="13015" s="1"/>
  <c r="C2269" i="13015"/>
  <c r="H2269" i="13015" s="1"/>
  <c r="C2267" i="13015"/>
  <c r="H2267" i="13015" s="1"/>
  <c r="C2266" i="13015"/>
  <c r="H2266" i="13015" s="1"/>
  <c r="D2251" i="13015"/>
  <c r="I2251" i="13015" s="1"/>
  <c r="C2251" i="13015"/>
  <c r="H2251" i="13015" s="1"/>
  <c r="D2250" i="13015"/>
  <c r="I2250" i="13015" s="1"/>
  <c r="C2250" i="13015"/>
  <c r="H2250" i="13015" s="1"/>
  <c r="I2248" i="13015"/>
  <c r="D2248" i="13015"/>
  <c r="C2248" i="13015"/>
  <c r="H2248" i="13015" s="1"/>
  <c r="I2247" i="13015"/>
  <c r="D2247" i="13015"/>
  <c r="C2247" i="13015"/>
  <c r="H2247" i="13015" s="1"/>
  <c r="D2245" i="13015"/>
  <c r="I2245" i="13015" s="1"/>
  <c r="C2245" i="13015"/>
  <c r="H2245" i="13015" s="1"/>
  <c r="D2244" i="13015"/>
  <c r="I2244" i="13015" s="1"/>
  <c r="C2244" i="13015"/>
  <c r="H2244" i="13015" s="1"/>
  <c r="W2242" i="13015"/>
  <c r="D2242" i="13015"/>
  <c r="C2242" i="13015"/>
  <c r="D2241" i="13015"/>
  <c r="C2241" i="13015"/>
  <c r="D2239" i="13015"/>
  <c r="W2239" i="13015" s="1"/>
  <c r="C2239" i="13015"/>
  <c r="D2238" i="13015"/>
  <c r="C2238" i="13015"/>
  <c r="D2236" i="13015"/>
  <c r="W2236" i="13015" s="1"/>
  <c r="C2236" i="13015"/>
  <c r="D2235" i="13015"/>
  <c r="C2235" i="13015"/>
  <c r="D2232" i="13015"/>
  <c r="I2232" i="13015" s="1"/>
  <c r="C2232" i="13015"/>
  <c r="H2232" i="13015" s="1"/>
  <c r="D2231" i="13015"/>
  <c r="C2231" i="13015"/>
  <c r="H2231" i="13015" s="1"/>
  <c r="D2227" i="13015"/>
  <c r="O2226" i="13015"/>
  <c r="O2225" i="13015"/>
  <c r="H2224" i="13015"/>
  <c r="C2224" i="13015"/>
  <c r="C2223" i="13015"/>
  <c r="H2223" i="13015" s="1"/>
  <c r="C2222" i="13015"/>
  <c r="H2222" i="13015" s="1"/>
  <c r="C2221" i="13015"/>
  <c r="H2221" i="13015" s="1"/>
  <c r="C2220" i="13015"/>
  <c r="C2219" i="13015"/>
  <c r="H2219" i="13015" s="1"/>
  <c r="C2218" i="13015"/>
  <c r="C2217" i="13015"/>
  <c r="H2217" i="13015" s="1"/>
  <c r="C2216" i="13015"/>
  <c r="D2216" i="13015" s="1"/>
  <c r="C2215" i="13015"/>
  <c r="D2215" i="13015" s="1"/>
  <c r="C2214" i="13015"/>
  <c r="D2214" i="13015" s="1"/>
  <c r="C2213" i="13015"/>
  <c r="C2212" i="13015"/>
  <c r="C2211" i="13015"/>
  <c r="C2210" i="13015"/>
  <c r="O2209" i="13015"/>
  <c r="M2209" i="13015"/>
  <c r="C2209" i="13015"/>
  <c r="H2209" i="13015" s="1"/>
  <c r="H2208" i="13015"/>
  <c r="H2207" i="13015"/>
  <c r="D2207" i="13015"/>
  <c r="I2207" i="13015" s="1"/>
  <c r="C2207" i="13015"/>
  <c r="D2208" i="13015" s="1"/>
  <c r="D2204" i="13015"/>
  <c r="O2203" i="13015"/>
  <c r="O2202" i="13015"/>
  <c r="H2201" i="13015"/>
  <c r="H2178" i="13015" s="1"/>
  <c r="C2201" i="13015"/>
  <c r="C2200" i="13015"/>
  <c r="H2200" i="13015" s="1"/>
  <c r="H2199" i="13015"/>
  <c r="C2199" i="13015"/>
  <c r="D2199" i="13015" s="1"/>
  <c r="H2198" i="13015"/>
  <c r="D2198" i="13015"/>
  <c r="C2198" i="13015"/>
  <c r="C2197" i="13015"/>
  <c r="C2204" i="13015" s="1"/>
  <c r="H2196" i="13015"/>
  <c r="C2196" i="13015"/>
  <c r="C2195" i="13015"/>
  <c r="H2195" i="13015" s="1"/>
  <c r="H2194" i="13015"/>
  <c r="C2194" i="13015"/>
  <c r="C2193" i="13015"/>
  <c r="C2192" i="13015"/>
  <c r="D2192" i="13015" s="1"/>
  <c r="C2191" i="13015"/>
  <c r="D2191" i="13015" s="1"/>
  <c r="D2168" i="13015" s="1"/>
  <c r="C2190" i="13015"/>
  <c r="C2189" i="13015"/>
  <c r="C2188" i="13015"/>
  <c r="C2187" i="13015"/>
  <c r="H2187" i="13015" s="1"/>
  <c r="O2186" i="13015"/>
  <c r="M2186" i="13015"/>
  <c r="C2186" i="13015"/>
  <c r="H2186" i="13015" s="1"/>
  <c r="H2185" i="13015"/>
  <c r="D2184" i="13015"/>
  <c r="C2184" i="13015"/>
  <c r="D2185" i="13015" s="1"/>
  <c r="O2180" i="13015"/>
  <c r="O2179" i="13015"/>
  <c r="Y2178" i="13015"/>
  <c r="I2178" i="13015"/>
  <c r="D2178" i="13015"/>
  <c r="C2177" i="13015"/>
  <c r="H2177" i="13015" s="1"/>
  <c r="C2176" i="13015"/>
  <c r="H2176" i="13015" s="1"/>
  <c r="C2175" i="13015"/>
  <c r="H2175" i="13015" s="1"/>
  <c r="C2173" i="13015"/>
  <c r="H2173" i="13015" s="1"/>
  <c r="C2171" i="13015"/>
  <c r="H2171" i="13015" s="1"/>
  <c r="C2170" i="13015"/>
  <c r="C2169" i="13015"/>
  <c r="C2168" i="13015"/>
  <c r="C2167" i="13015"/>
  <c r="C2166" i="13015"/>
  <c r="C2165" i="13015"/>
  <c r="Q2163" i="13015"/>
  <c r="Q2186" i="13015" s="1"/>
  <c r="K2163" i="13015"/>
  <c r="C2163" i="13015"/>
  <c r="H2163" i="13015" s="1"/>
  <c r="C2162" i="13015"/>
  <c r="H2162" i="13015" s="1"/>
  <c r="D2161" i="13015"/>
  <c r="G45" i="13013" s="1"/>
  <c r="C2161" i="13015"/>
  <c r="H2161" i="13015" s="1"/>
  <c r="D2158" i="13015"/>
  <c r="O2157" i="13015"/>
  <c r="O2156" i="13015"/>
  <c r="H2155" i="13015"/>
  <c r="C2155" i="13015"/>
  <c r="C2154" i="13015"/>
  <c r="H2154" i="13015" s="1"/>
  <c r="C2153" i="13015"/>
  <c r="H2153" i="13015" s="1"/>
  <c r="C2152" i="13015"/>
  <c r="C2151" i="13015"/>
  <c r="C2150" i="13015"/>
  <c r="C2149" i="13015"/>
  <c r="H2149" i="13015" s="1"/>
  <c r="C2148" i="13015"/>
  <c r="H2148" i="13015" s="1"/>
  <c r="C2147" i="13015"/>
  <c r="C2146" i="13015"/>
  <c r="D2147" i="13015" s="1"/>
  <c r="C2145" i="13015"/>
  <c r="D2145" i="13015" s="1"/>
  <c r="C2144" i="13015"/>
  <c r="C2143" i="13015"/>
  <c r="C2142" i="13015"/>
  <c r="H2141" i="13015"/>
  <c r="C2141" i="13015"/>
  <c r="H2140" i="13015"/>
  <c r="D2139" i="13015"/>
  <c r="C2139" i="13015"/>
  <c r="D2136" i="13015"/>
  <c r="O2135" i="13015"/>
  <c r="O2134" i="13015"/>
  <c r="H2133" i="13015"/>
  <c r="H2089" i="13015" s="1"/>
  <c r="C2133" i="13015"/>
  <c r="C2132" i="13015"/>
  <c r="C2131" i="13015"/>
  <c r="C2130" i="13015"/>
  <c r="C2129" i="13015"/>
  <c r="C2128" i="13015"/>
  <c r="C2127" i="13015"/>
  <c r="C2126" i="13015"/>
  <c r="C2125" i="13015"/>
  <c r="D2125" i="13015" s="1"/>
  <c r="C2124" i="13015"/>
  <c r="C2123" i="13015"/>
  <c r="C2122" i="13015"/>
  <c r="C2121" i="13015"/>
  <c r="C2120" i="13015"/>
  <c r="C2119" i="13015"/>
  <c r="H2118" i="13015"/>
  <c r="D2117" i="13015"/>
  <c r="C2117" i="13015"/>
  <c r="D2118" i="13015" s="1"/>
  <c r="D2114" i="13015"/>
  <c r="O2113" i="13015"/>
  <c r="O2112" i="13015"/>
  <c r="H2111" i="13015"/>
  <c r="C2111" i="13015"/>
  <c r="C2089" i="13015" s="1"/>
  <c r="C2110" i="13015"/>
  <c r="C2109" i="13015"/>
  <c r="C2108" i="13015"/>
  <c r="C2107" i="13015"/>
  <c r="C2106" i="13015"/>
  <c r="C2105" i="13015"/>
  <c r="C2104" i="13015"/>
  <c r="C2103" i="13015"/>
  <c r="C2102" i="13015"/>
  <c r="C2101" i="13015"/>
  <c r="D2101" i="13015" s="1"/>
  <c r="C2100" i="13015"/>
  <c r="C2099" i="13015"/>
  <c r="C2077" i="13015" s="1"/>
  <c r="C2098" i="13015"/>
  <c r="C2097" i="13015"/>
  <c r="H2096" i="13015"/>
  <c r="I2095" i="13015"/>
  <c r="D2095" i="13015"/>
  <c r="C2095" i="13015"/>
  <c r="H2095" i="13015" s="1"/>
  <c r="O2091" i="13015"/>
  <c r="O2090" i="13015"/>
  <c r="Y2089" i="13015"/>
  <c r="I2089" i="13015"/>
  <c r="D2089" i="13015"/>
  <c r="C2074" i="13015"/>
  <c r="H2074" i="13015" s="1"/>
  <c r="D2073" i="13015"/>
  <c r="G44" i="13013" s="1"/>
  <c r="D2070" i="13015"/>
  <c r="C2069" i="13015"/>
  <c r="O2068" i="13015"/>
  <c r="O2067" i="13015"/>
  <c r="H2066" i="13015"/>
  <c r="C2066" i="13015"/>
  <c r="H2065" i="13015"/>
  <c r="C2065" i="13015"/>
  <c r="C2064" i="13015"/>
  <c r="H2064" i="13015" s="1"/>
  <c r="H2063" i="13015"/>
  <c r="C2063" i="13015"/>
  <c r="C2062" i="13015"/>
  <c r="H2062" i="13015" s="1"/>
  <c r="H2061" i="13015"/>
  <c r="C2061" i="13015"/>
  <c r="H2060" i="13015"/>
  <c r="C2060" i="13015"/>
  <c r="H2059" i="13015"/>
  <c r="C2059" i="13015"/>
  <c r="H2058" i="13015"/>
  <c r="C2058" i="13015"/>
  <c r="C2057" i="13015"/>
  <c r="C1985" i="13015" s="1"/>
  <c r="C2056" i="13015"/>
  <c r="C2055" i="13015"/>
  <c r="C2054" i="13015"/>
  <c r="C2053" i="13015"/>
  <c r="C2052" i="13015"/>
  <c r="H2051" i="13015"/>
  <c r="C2051" i="13015"/>
  <c r="H2050" i="13015"/>
  <c r="D2049" i="13015"/>
  <c r="C2049" i="13015"/>
  <c r="D2046" i="13015"/>
  <c r="C2045" i="13015"/>
  <c r="O2044" i="13015"/>
  <c r="O2043" i="13015"/>
  <c r="H2042" i="13015"/>
  <c r="C2042" i="13015"/>
  <c r="C1994" i="13015" s="1"/>
  <c r="H2041" i="13015"/>
  <c r="C2041" i="13015"/>
  <c r="C2040" i="13015"/>
  <c r="H2040" i="13015" s="1"/>
  <c r="H2039" i="13015"/>
  <c r="C2039" i="13015"/>
  <c r="C2038" i="13015"/>
  <c r="H2038" i="13015" s="1"/>
  <c r="H2037" i="13015"/>
  <c r="C2037" i="13015"/>
  <c r="C2036" i="13015"/>
  <c r="H2036" i="13015" s="1"/>
  <c r="H2035" i="13015"/>
  <c r="C2035" i="13015"/>
  <c r="C2034" i="13015"/>
  <c r="H2034" i="13015" s="1"/>
  <c r="H2043" i="13015" s="1"/>
  <c r="C2033" i="13015"/>
  <c r="C2032" i="13015"/>
  <c r="C2031" i="13015"/>
  <c r="C2030" i="13015"/>
  <c r="C1982" i="13015" s="1"/>
  <c r="C2029" i="13015"/>
  <c r="C2028" i="13015"/>
  <c r="C2027" i="13015"/>
  <c r="H2027" i="13015" s="1"/>
  <c r="H2026" i="13015"/>
  <c r="D2025" i="13015"/>
  <c r="C2025" i="13015"/>
  <c r="D2022" i="13015"/>
  <c r="C2021" i="13015"/>
  <c r="O2020" i="13015"/>
  <c r="O2019" i="13015"/>
  <c r="H2018" i="13015"/>
  <c r="C2018" i="13015"/>
  <c r="C2017" i="13015"/>
  <c r="H2017" i="13015" s="1"/>
  <c r="H2016" i="13015"/>
  <c r="C2016" i="13015"/>
  <c r="C1992" i="13015" s="1"/>
  <c r="H1992" i="13015" s="1"/>
  <c r="C2015" i="13015"/>
  <c r="H2015" i="13015" s="1"/>
  <c r="H2014" i="13015"/>
  <c r="C2014" i="13015"/>
  <c r="C2013" i="13015"/>
  <c r="C1989" i="13015" s="1"/>
  <c r="H2012" i="13015"/>
  <c r="C2012" i="13015"/>
  <c r="C2011" i="13015"/>
  <c r="H2011" i="13015" s="1"/>
  <c r="H2010" i="13015"/>
  <c r="C2010" i="13015"/>
  <c r="C2009" i="13015"/>
  <c r="C2008" i="13015"/>
  <c r="C2007" i="13015"/>
  <c r="C1983" i="13015" s="1"/>
  <c r="C2006" i="13015"/>
  <c r="C2005" i="13015"/>
  <c r="C2004" i="13015"/>
  <c r="H2003" i="13015"/>
  <c r="C2003" i="13015"/>
  <c r="C1979" i="13015" s="1"/>
  <c r="H1979" i="13015" s="1"/>
  <c r="H2002" i="13015"/>
  <c r="D2001" i="13015"/>
  <c r="C2001" i="13015"/>
  <c r="O1996" i="13015"/>
  <c r="O1995" i="13015"/>
  <c r="I1994" i="13015"/>
  <c r="H1994" i="13015"/>
  <c r="D1994" i="13015"/>
  <c r="Q1993" i="13015"/>
  <c r="H1993" i="13015"/>
  <c r="C1993" i="13015"/>
  <c r="Q1988" i="13015"/>
  <c r="AB1985" i="13015"/>
  <c r="C1984" i="13015"/>
  <c r="C1980" i="13015"/>
  <c r="C1978" i="13015"/>
  <c r="H1978" i="13015" s="1"/>
  <c r="D1977" i="13015"/>
  <c r="Y1974" i="13015"/>
  <c r="W1974" i="13015"/>
  <c r="U1974" i="13015"/>
  <c r="S1974" i="13015"/>
  <c r="O1973" i="13015"/>
  <c r="O1972" i="13015"/>
  <c r="D1935" i="13015"/>
  <c r="I42" i="13013" s="1"/>
  <c r="H1931" i="13015"/>
  <c r="C1931" i="13015"/>
  <c r="C1930" i="13015"/>
  <c r="H1930" i="13015" s="1"/>
  <c r="C1929" i="13015"/>
  <c r="C1928" i="13015"/>
  <c r="H1928" i="13015" s="1"/>
  <c r="C1927" i="13015"/>
  <c r="H1922" i="13015"/>
  <c r="C1922" i="13015"/>
  <c r="C1921" i="13015"/>
  <c r="H1921" i="13015" s="1"/>
  <c r="H1920" i="13015"/>
  <c r="C1920" i="13015"/>
  <c r="C1919" i="13015"/>
  <c r="H1919" i="13015" s="1"/>
  <c r="O1916" i="13015"/>
  <c r="O1915" i="13015"/>
  <c r="I1915" i="13015"/>
  <c r="H1915" i="13015"/>
  <c r="Z1912" i="13015"/>
  <c r="C1912" i="13015" s="1"/>
  <c r="Z1911" i="13015"/>
  <c r="Z1913" i="13015" s="1"/>
  <c r="C1913" i="13015" s="1"/>
  <c r="Z1910" i="13015"/>
  <c r="Z1909" i="13015"/>
  <c r="Z1908" i="13015"/>
  <c r="K1908" i="13015"/>
  <c r="Z1907" i="13015"/>
  <c r="K1907" i="13015"/>
  <c r="Z1906" i="13015"/>
  <c r="K1906" i="13015"/>
  <c r="C1906" i="13015"/>
  <c r="Z1905" i="13015"/>
  <c r="K1905" i="13015"/>
  <c r="Z1904" i="13015"/>
  <c r="O1904" i="13015"/>
  <c r="Z1903" i="13015"/>
  <c r="O1903" i="13015"/>
  <c r="O1902" i="13015"/>
  <c r="C1902" i="13015"/>
  <c r="O1901" i="13015"/>
  <c r="C1901" i="13015"/>
  <c r="O1898" i="13015"/>
  <c r="O1897" i="13015"/>
  <c r="M1896" i="13015"/>
  <c r="K1896" i="13015"/>
  <c r="C1896" i="13015"/>
  <c r="M1895" i="13015"/>
  <c r="K1895" i="13015"/>
  <c r="C1895" i="13015"/>
  <c r="M1894" i="13015"/>
  <c r="K1894" i="13015"/>
  <c r="C1894" i="13015"/>
  <c r="M1893" i="13015"/>
  <c r="K1893" i="13015"/>
  <c r="C1893" i="13015"/>
  <c r="C1892" i="13015"/>
  <c r="C1891" i="13015"/>
  <c r="C1890" i="13015"/>
  <c r="C1889" i="13015"/>
  <c r="O1888" i="13015"/>
  <c r="M1888" i="13015"/>
  <c r="O1887" i="13015"/>
  <c r="M1887" i="13015"/>
  <c r="C1887" i="13015"/>
  <c r="D1883" i="13015"/>
  <c r="D1879" i="13015" s="1"/>
  <c r="I1879" i="13015" s="1"/>
  <c r="O1882" i="13015"/>
  <c r="O1881" i="13015"/>
  <c r="H1880" i="13015"/>
  <c r="C1880" i="13015"/>
  <c r="C1879" i="13015"/>
  <c r="C1883" i="13015" s="1"/>
  <c r="I1878" i="13015"/>
  <c r="D1878" i="13015"/>
  <c r="C1878" i="13015"/>
  <c r="H1878" i="13015" s="1"/>
  <c r="D1875" i="13015"/>
  <c r="D1871" i="13015" s="1"/>
  <c r="O1874" i="13015"/>
  <c r="O1873" i="13015"/>
  <c r="H1872" i="13015"/>
  <c r="C1872" i="13015"/>
  <c r="C1856" i="13015" s="1"/>
  <c r="C1871" i="13015"/>
  <c r="D1870" i="13015"/>
  <c r="I1870" i="13015" s="1"/>
  <c r="C1870" i="13015"/>
  <c r="C1854" i="13015" s="1"/>
  <c r="H1854" i="13015" s="1"/>
  <c r="D1867" i="13015"/>
  <c r="O1866" i="13015"/>
  <c r="O1865" i="13015"/>
  <c r="H1864" i="13015"/>
  <c r="C1864" i="13015"/>
  <c r="D1863" i="13015"/>
  <c r="C1863" i="13015"/>
  <c r="C1867" i="13015" s="1"/>
  <c r="H1862" i="13015"/>
  <c r="D1862" i="13015"/>
  <c r="C1862" i="13015"/>
  <c r="AC1859" i="13015"/>
  <c r="AD1859" i="13015" s="1"/>
  <c r="AE1859" i="13015" s="1"/>
  <c r="O1858" i="13015"/>
  <c r="O1857" i="13015"/>
  <c r="I1856" i="13015"/>
  <c r="H1856" i="13015"/>
  <c r="D1856" i="13015"/>
  <c r="D1851" i="13015"/>
  <c r="O1850" i="13015"/>
  <c r="O1849" i="13015"/>
  <c r="H1848" i="13015"/>
  <c r="C1848" i="13015"/>
  <c r="K1847" i="13015"/>
  <c r="D1847" i="13015"/>
  <c r="C1847" i="13015"/>
  <c r="C1851" i="13015" s="1"/>
  <c r="D1846" i="13015"/>
  <c r="C1846" i="13015"/>
  <c r="H1846" i="13015" s="1"/>
  <c r="C1845" i="13015"/>
  <c r="H1845" i="13015" s="1"/>
  <c r="C1844" i="13015"/>
  <c r="H1844" i="13015" s="1"/>
  <c r="C1843" i="13015"/>
  <c r="D1840" i="13015"/>
  <c r="O1839" i="13015"/>
  <c r="O1838" i="13015"/>
  <c r="H1837" i="13015"/>
  <c r="C1837" i="13015"/>
  <c r="K1836" i="13015"/>
  <c r="D1836" i="13015"/>
  <c r="C1836" i="13015"/>
  <c r="C1840" i="13015" s="1"/>
  <c r="D1835" i="13015"/>
  <c r="C1835" i="13015"/>
  <c r="H1835" i="13015" s="1"/>
  <c r="C1834" i="13015"/>
  <c r="H1833" i="13015"/>
  <c r="C1833" i="13015"/>
  <c r="H1832" i="13015"/>
  <c r="C1832" i="13015"/>
  <c r="D1832" i="13015" s="1"/>
  <c r="D1829" i="13015"/>
  <c r="D1825" i="13015" s="1"/>
  <c r="O1828" i="13015"/>
  <c r="O1827" i="13015"/>
  <c r="H1826" i="13015"/>
  <c r="C1826" i="13015"/>
  <c r="K1825" i="13015"/>
  <c r="H1825" i="13015"/>
  <c r="H1827" i="13015" s="1"/>
  <c r="C1825" i="13015"/>
  <c r="C1829" i="13015" s="1"/>
  <c r="D1824" i="13015"/>
  <c r="I1824" i="13015" s="1"/>
  <c r="C1824" i="13015"/>
  <c r="C1813" i="13015" s="1"/>
  <c r="H1813" i="13015" s="1"/>
  <c r="C1823" i="13015"/>
  <c r="H1823" i="13015" s="1"/>
  <c r="C1822" i="13015"/>
  <c r="H1821" i="13015"/>
  <c r="C1821" i="13015"/>
  <c r="AC1818" i="13015"/>
  <c r="AD1818" i="13015" s="1"/>
  <c r="AE1818" i="13015" s="1"/>
  <c r="O1817" i="13015"/>
  <c r="O1816" i="13015"/>
  <c r="I1815" i="13015"/>
  <c r="D1815" i="13015"/>
  <c r="C1815" i="13015"/>
  <c r="C1810" i="13015"/>
  <c r="H1810" i="13015" s="1"/>
  <c r="O1806" i="13015"/>
  <c r="O1805" i="13015"/>
  <c r="I1804" i="13015"/>
  <c r="D1804" i="13015"/>
  <c r="D1800" i="13015"/>
  <c r="C1800" i="13015"/>
  <c r="AC1797" i="13015"/>
  <c r="AD1797" i="13015" s="1"/>
  <c r="H1796" i="13015"/>
  <c r="C1796" i="13015"/>
  <c r="D1795" i="13015"/>
  <c r="D1799" i="13015" s="1"/>
  <c r="C1795" i="13015"/>
  <c r="C1799" i="13015" s="1"/>
  <c r="C1794" i="13015"/>
  <c r="H1794" i="13015" s="1"/>
  <c r="C1793" i="13015"/>
  <c r="H1793" i="13015" s="1"/>
  <c r="C1792" i="13015"/>
  <c r="H1792" i="13015" s="1"/>
  <c r="C1791" i="13015"/>
  <c r="H1791" i="13015" s="1"/>
  <c r="C1789" i="13015"/>
  <c r="H1789" i="13015" s="1"/>
  <c r="C1788" i="13015"/>
  <c r="H1788" i="13015" s="1"/>
  <c r="C1787" i="13015"/>
  <c r="H1787" i="13015" s="1"/>
  <c r="C1786" i="13015"/>
  <c r="H1786" i="13015" s="1"/>
  <c r="C1785" i="13015"/>
  <c r="H1785" i="13015" s="1"/>
  <c r="C1784" i="13015"/>
  <c r="H1784" i="13015" s="1"/>
  <c r="C1782" i="13015"/>
  <c r="H1782" i="13015" s="1"/>
  <c r="C1781" i="13015"/>
  <c r="H1781" i="13015" s="1"/>
  <c r="C1780" i="13015"/>
  <c r="H1780" i="13015" s="1"/>
  <c r="C1778" i="13015"/>
  <c r="H1778" i="13015" s="1"/>
  <c r="C1777" i="13015"/>
  <c r="H1777" i="13015" s="1"/>
  <c r="H1795" i="13015" s="1"/>
  <c r="D1774" i="13015"/>
  <c r="C1774" i="13015"/>
  <c r="H1770" i="13015"/>
  <c r="C1770" i="13015"/>
  <c r="D1769" i="13015"/>
  <c r="D1773" i="13015" s="1"/>
  <c r="C1769" i="13015"/>
  <c r="C1768" i="13015"/>
  <c r="C1767" i="13015"/>
  <c r="D1767" i="13015" s="1"/>
  <c r="I1767" i="13015" s="1"/>
  <c r="C1765" i="13015"/>
  <c r="C1764" i="13015"/>
  <c r="D1764" i="13015" s="1"/>
  <c r="I1764" i="13015" s="1"/>
  <c r="C1763" i="13015"/>
  <c r="C1762" i="13015"/>
  <c r="D1762" i="13015" s="1"/>
  <c r="I1762" i="13015" s="1"/>
  <c r="C1761" i="13015"/>
  <c r="C1760" i="13015"/>
  <c r="D1760" i="13015" s="1"/>
  <c r="I1760" i="13015" s="1"/>
  <c r="C1759" i="13015"/>
  <c r="C1757" i="13015"/>
  <c r="D1757" i="13015" s="1"/>
  <c r="I1757" i="13015" s="1"/>
  <c r="C1756" i="13015"/>
  <c r="C1755" i="13015"/>
  <c r="D1755" i="13015" s="1"/>
  <c r="I1755" i="13015" s="1"/>
  <c r="C1754" i="13015"/>
  <c r="C1753" i="13015"/>
  <c r="D1753" i="13015" s="1"/>
  <c r="I1753" i="13015" s="1"/>
  <c r="C1752" i="13015"/>
  <c r="C1751" i="13015"/>
  <c r="D1751" i="13015" s="1"/>
  <c r="I1751" i="13015" s="1"/>
  <c r="C1750" i="13015"/>
  <c r="C1749" i="13015"/>
  <c r="D1749" i="13015" s="1"/>
  <c r="I1749" i="13015" s="1"/>
  <c r="C1748" i="13015"/>
  <c r="C1746" i="13015"/>
  <c r="D1746" i="13015" s="1"/>
  <c r="I1746" i="13015" s="1"/>
  <c r="C1745" i="13015"/>
  <c r="C1744" i="13015"/>
  <c r="D1744" i="13015" s="1"/>
  <c r="I1744" i="13015" s="1"/>
  <c r="C1743" i="13015"/>
  <c r="C1741" i="13015"/>
  <c r="D1741" i="13015" s="1"/>
  <c r="I1741" i="13015" s="1"/>
  <c r="C1740" i="13015"/>
  <c r="D1737" i="13015"/>
  <c r="D1803" i="13015" s="1"/>
  <c r="G58" i="13013" s="1"/>
  <c r="C1737" i="13015"/>
  <c r="C1803" i="13015" s="1"/>
  <c r="H1733" i="13015"/>
  <c r="H1804" i="13015" s="1"/>
  <c r="C1733" i="13015"/>
  <c r="C1804" i="13015" s="1"/>
  <c r="D1732" i="13015"/>
  <c r="D1736" i="13015" s="1"/>
  <c r="C1732" i="13015"/>
  <c r="C1731" i="13015"/>
  <c r="H1731" i="13015" s="1"/>
  <c r="C1730" i="13015"/>
  <c r="H1730" i="13015" s="1"/>
  <c r="C1729" i="13015"/>
  <c r="H1729" i="13015" s="1"/>
  <c r="C1728" i="13015"/>
  <c r="H1728" i="13015" s="1"/>
  <c r="C1727" i="13015"/>
  <c r="H1727" i="13015" s="1"/>
  <c r="C1725" i="13015"/>
  <c r="C1724" i="13015"/>
  <c r="C1723" i="13015"/>
  <c r="C1722" i="13015"/>
  <c r="C1721" i="13015"/>
  <c r="O1715" i="13015"/>
  <c r="O1714" i="13015"/>
  <c r="H1713" i="13015"/>
  <c r="C1713" i="13015"/>
  <c r="D1712" i="13015"/>
  <c r="G57" i="13013" s="1"/>
  <c r="C1712" i="13015"/>
  <c r="D1711" i="13015"/>
  <c r="C1711" i="13015"/>
  <c r="C1709" i="13015"/>
  <c r="D1707" i="13015"/>
  <c r="I1707" i="13015" s="1"/>
  <c r="C1707" i="13015"/>
  <c r="H1707" i="13015" s="1"/>
  <c r="C1705" i="13015"/>
  <c r="D1704" i="13015"/>
  <c r="I1704" i="13015" s="1"/>
  <c r="C1704" i="13015"/>
  <c r="H1704" i="13015" s="1"/>
  <c r="C1703" i="13015"/>
  <c r="D1702" i="13015"/>
  <c r="I1702" i="13015" s="1"/>
  <c r="C1702" i="13015"/>
  <c r="H1702" i="13015" s="1"/>
  <c r="C1701" i="13015"/>
  <c r="D1700" i="13015"/>
  <c r="I1700" i="13015" s="1"/>
  <c r="C1700" i="13015"/>
  <c r="H1700" i="13015" s="1"/>
  <c r="C1698" i="13015"/>
  <c r="H1697" i="13015"/>
  <c r="H1696" i="13015"/>
  <c r="C1696" i="13015"/>
  <c r="H1695" i="13015"/>
  <c r="C1695" i="13015"/>
  <c r="H1694" i="13015"/>
  <c r="C1694" i="13015"/>
  <c r="H1692" i="13015"/>
  <c r="C1692" i="13015"/>
  <c r="H1691" i="13015"/>
  <c r="C1691" i="13015"/>
  <c r="H1690" i="13015"/>
  <c r="C1690" i="13015"/>
  <c r="H1689" i="13015"/>
  <c r="C1689" i="13015"/>
  <c r="H1688" i="13015"/>
  <c r="C1688" i="13015"/>
  <c r="H1687" i="13015"/>
  <c r="C1687" i="13015"/>
  <c r="C1686" i="13015"/>
  <c r="D1686" i="13015" s="1"/>
  <c r="I1686" i="13015" s="1"/>
  <c r="H1685" i="13015"/>
  <c r="C1685" i="13015"/>
  <c r="C1684" i="13015"/>
  <c r="D1684" i="13015" s="1"/>
  <c r="I1684" i="13015" s="1"/>
  <c r="H1683" i="13015"/>
  <c r="C1683" i="13015"/>
  <c r="C1682" i="13015"/>
  <c r="D1682" i="13015" s="1"/>
  <c r="I1682" i="13015" s="1"/>
  <c r="H1680" i="13015"/>
  <c r="C1679" i="13015"/>
  <c r="H1679" i="13015" s="1"/>
  <c r="H1678" i="13015"/>
  <c r="C1678" i="13015"/>
  <c r="D1678" i="13015" s="1"/>
  <c r="I1678" i="13015" s="1"/>
  <c r="H1677" i="13015"/>
  <c r="D1677" i="13015"/>
  <c r="I1677" i="13015" s="1"/>
  <c r="C1677" i="13015"/>
  <c r="C1676" i="13015"/>
  <c r="H1676" i="13015" s="1"/>
  <c r="C1675" i="13015"/>
  <c r="H1675" i="13015" s="1"/>
  <c r="H1674" i="13015"/>
  <c r="C1674" i="13015"/>
  <c r="D1674" i="13015" s="1"/>
  <c r="I1674" i="13015" s="1"/>
  <c r="H1673" i="13015"/>
  <c r="D1673" i="13015"/>
  <c r="I1673" i="13015" s="1"/>
  <c r="C1673" i="13015"/>
  <c r="C1672" i="13015"/>
  <c r="H1672" i="13015" s="1"/>
  <c r="C1671" i="13015"/>
  <c r="H1671" i="13015" s="1"/>
  <c r="H1670" i="13015"/>
  <c r="C1670" i="13015"/>
  <c r="D1670" i="13015" s="1"/>
  <c r="I1670" i="13015" s="1"/>
  <c r="H1669" i="13015"/>
  <c r="D1669" i="13015"/>
  <c r="I1669" i="13015" s="1"/>
  <c r="C1669" i="13015"/>
  <c r="C1668" i="13015"/>
  <c r="H1668" i="13015" s="1"/>
  <c r="C1667" i="13015"/>
  <c r="H1667" i="13015" s="1"/>
  <c r="H1666" i="13015"/>
  <c r="C1666" i="13015"/>
  <c r="D1666" i="13015" s="1"/>
  <c r="I1666" i="13015" s="1"/>
  <c r="H1664" i="13015"/>
  <c r="D1664" i="13015"/>
  <c r="I1664" i="13015" s="1"/>
  <c r="C1664" i="13015"/>
  <c r="C1663" i="13015"/>
  <c r="H1663" i="13015" s="1"/>
  <c r="C1662" i="13015"/>
  <c r="H1662" i="13015" s="1"/>
  <c r="C1661" i="13015"/>
  <c r="C1710" i="13015" s="1"/>
  <c r="AC1657" i="13015"/>
  <c r="AD1657" i="13015"/>
  <c r="AE1657" i="13015" s="1"/>
  <c r="O1656" i="13015"/>
  <c r="O1655" i="13015"/>
  <c r="C1652" i="13015"/>
  <c r="H1652" i="13015" s="1"/>
  <c r="C1651" i="13015"/>
  <c r="H1651" i="13015" s="1"/>
  <c r="H1653" i="13015" s="1"/>
  <c r="C1648" i="13015"/>
  <c r="H1648" i="13015" s="1"/>
  <c r="C1647" i="13015"/>
  <c r="H1647" i="13015" s="1"/>
  <c r="C1646" i="13015"/>
  <c r="H1645" i="13015"/>
  <c r="C1645" i="13015"/>
  <c r="C1644" i="13015"/>
  <c r="H1644" i="13015" s="1"/>
  <c r="C1643" i="13015"/>
  <c r="H1643" i="13015" s="1"/>
  <c r="C1642" i="13015"/>
  <c r="D1639" i="13015"/>
  <c r="I39" i="13013" s="1"/>
  <c r="O1638" i="13015"/>
  <c r="O1637" i="13015"/>
  <c r="H1636" i="13015"/>
  <c r="C1636" i="13015"/>
  <c r="C1634" i="13015"/>
  <c r="O1633" i="13015"/>
  <c r="M1633" i="13015"/>
  <c r="C1633" i="13015"/>
  <c r="H1633" i="13015" s="1"/>
  <c r="C1630" i="13015"/>
  <c r="H1630" i="13015" s="1"/>
  <c r="C1629" i="13015"/>
  <c r="H1629" i="13015" s="1"/>
  <c r="C1628" i="13015"/>
  <c r="H1628" i="13015" s="1"/>
  <c r="C1627" i="13015"/>
  <c r="H1627" i="13015" s="1"/>
  <c r="O1626" i="13015"/>
  <c r="M1626" i="13015"/>
  <c r="C1626" i="13015"/>
  <c r="H1626" i="13015" s="1"/>
  <c r="O1625" i="13015"/>
  <c r="M1625" i="13015"/>
  <c r="C1625" i="13015"/>
  <c r="H1625" i="13015" s="1"/>
  <c r="O1624" i="13015"/>
  <c r="M1624" i="13015"/>
  <c r="C1624" i="13015"/>
  <c r="H1624" i="13015" s="1"/>
  <c r="O1623" i="13015"/>
  <c r="M1623" i="13015"/>
  <c r="C1623" i="13015"/>
  <c r="H1623" i="13015" s="1"/>
  <c r="O1622" i="13015"/>
  <c r="M1622" i="13015"/>
  <c r="D1622" i="13015"/>
  <c r="C1622" i="13015"/>
  <c r="H1622" i="13015" s="1"/>
  <c r="AC1619" i="13015"/>
  <c r="O1618" i="13015"/>
  <c r="O1617" i="13015"/>
  <c r="C1614" i="13015"/>
  <c r="C1615" i="13015" s="1"/>
  <c r="C1613" i="13015"/>
  <c r="C1610" i="13015"/>
  <c r="H1610" i="13015" s="1"/>
  <c r="C1609" i="13015"/>
  <c r="H1609" i="13015" s="1"/>
  <c r="Q1608" i="13015"/>
  <c r="X12" i="13028" s="1"/>
  <c r="W12" i="13029" s="1"/>
  <c r="H1608" i="13015"/>
  <c r="C1608" i="13015"/>
  <c r="C1607" i="13015"/>
  <c r="C1606" i="13015"/>
  <c r="H1606" i="13015" s="1"/>
  <c r="H1605" i="13015"/>
  <c r="C1605" i="13015"/>
  <c r="C1604" i="13015"/>
  <c r="H1604" i="13015" s="1"/>
  <c r="D1601" i="13015"/>
  <c r="O1600" i="13015"/>
  <c r="O1599" i="13015"/>
  <c r="H1598" i="13015"/>
  <c r="C1598" i="13015"/>
  <c r="C1597" i="13015"/>
  <c r="H1597" i="13015" s="1"/>
  <c r="C1596" i="13015"/>
  <c r="C1594" i="13015"/>
  <c r="C1595" i="13015" s="1"/>
  <c r="C1593" i="13015"/>
  <c r="C1592" i="13015"/>
  <c r="C1590" i="13015"/>
  <c r="O1583" i="13015"/>
  <c r="C1583" i="13015"/>
  <c r="H1582" i="13015"/>
  <c r="D1582" i="13015"/>
  <c r="C1582" i="13015"/>
  <c r="D1579" i="13015"/>
  <c r="O1578" i="13015"/>
  <c r="O1577" i="13015"/>
  <c r="H1576" i="13015"/>
  <c r="C1576" i="13015"/>
  <c r="C1554" i="13015" s="1"/>
  <c r="H1575" i="13015"/>
  <c r="C1575" i="13015"/>
  <c r="H1574" i="13015"/>
  <c r="C1574" i="13015"/>
  <c r="C1572" i="13015"/>
  <c r="C1566" i="13015" s="1"/>
  <c r="C1571" i="13015"/>
  <c r="C1570" i="13015"/>
  <c r="C1568" i="13015"/>
  <c r="C1562" i="13015" s="1"/>
  <c r="Z1566" i="13015"/>
  <c r="Z1588" i="13015" s="1"/>
  <c r="C1588" i="13015" s="1"/>
  <c r="Z1565" i="13015"/>
  <c r="Z1587" i="13015" s="1"/>
  <c r="Z1564" i="13015"/>
  <c r="Z1586" i="13015" s="1"/>
  <c r="C1586" i="13015" s="1"/>
  <c r="C1564" i="13015"/>
  <c r="Z1563" i="13015"/>
  <c r="Z1585" i="13015" s="1"/>
  <c r="Z1562" i="13015"/>
  <c r="Z1584" i="13015" s="1"/>
  <c r="C1584" i="13015" s="1"/>
  <c r="O1562" i="13015"/>
  <c r="C1561" i="13015"/>
  <c r="C1569" i="13015" s="1"/>
  <c r="C1563" i="13015" s="1"/>
  <c r="D1560" i="13015"/>
  <c r="C1560" i="13015"/>
  <c r="C1538" i="13015" s="1"/>
  <c r="H1538" i="13015" s="1"/>
  <c r="AC1556" i="13015"/>
  <c r="O1556" i="13015"/>
  <c r="O1555" i="13015"/>
  <c r="I1554" i="13015"/>
  <c r="D1554" i="13015"/>
  <c r="C1553" i="13015"/>
  <c r="H1553" i="13015" s="1"/>
  <c r="H1552" i="13015"/>
  <c r="C1552" i="13015"/>
  <c r="D1551" i="13015"/>
  <c r="D1550" i="13015"/>
  <c r="C1550" i="13015"/>
  <c r="D1549" i="13015"/>
  <c r="D1548" i="13015"/>
  <c r="C1548" i="13015"/>
  <c r="D1547" i="13015"/>
  <c r="D1546" i="13015"/>
  <c r="K1545" i="13015"/>
  <c r="K1544" i="13015"/>
  <c r="K1566" i="13015" s="1"/>
  <c r="K1543" i="13015"/>
  <c r="K1542" i="13015"/>
  <c r="K1586" i="13015" s="1"/>
  <c r="AB1541" i="13015"/>
  <c r="O1541" i="13015"/>
  <c r="O1563" i="13015" s="1"/>
  <c r="O1540" i="13015"/>
  <c r="O1584" i="13015" s="1"/>
  <c r="O1539" i="13015"/>
  <c r="O1561" i="13015" s="1"/>
  <c r="O1538" i="13015"/>
  <c r="O1582" i="13015" s="1"/>
  <c r="D1538" i="13015"/>
  <c r="D1535" i="13015"/>
  <c r="O1534" i="13015"/>
  <c r="O1533" i="13015"/>
  <c r="Y1532" i="13015"/>
  <c r="H1532" i="13015"/>
  <c r="C1532" i="13015"/>
  <c r="C1531" i="13015"/>
  <c r="H1531" i="13015" s="1"/>
  <c r="C1530" i="13015"/>
  <c r="H1530" i="13015" s="1"/>
  <c r="C1529" i="13015"/>
  <c r="H1529" i="13015" s="1"/>
  <c r="C1528" i="13015"/>
  <c r="H1528" i="13015" s="1"/>
  <c r="H1533" i="13015" s="1"/>
  <c r="C1527" i="13015"/>
  <c r="H1527" i="13015" s="1"/>
  <c r="K1526" i="13015"/>
  <c r="K1525" i="13015"/>
  <c r="K1524" i="13015"/>
  <c r="K1523" i="13015"/>
  <c r="O1522" i="13015"/>
  <c r="O1521" i="13015"/>
  <c r="O1520" i="13015"/>
  <c r="C1520" i="13015"/>
  <c r="O1519" i="13015"/>
  <c r="D1519" i="13015"/>
  <c r="C1519" i="13015"/>
  <c r="H1519" i="13015" s="1"/>
  <c r="D1516" i="13015"/>
  <c r="O1515" i="13015"/>
  <c r="O1514" i="13015"/>
  <c r="Y1513" i="13015"/>
  <c r="H1513" i="13015"/>
  <c r="C1513" i="13015"/>
  <c r="C1512" i="13015"/>
  <c r="C1491" i="13015" s="1"/>
  <c r="H1491" i="13015" s="1"/>
  <c r="C1511" i="13015"/>
  <c r="C1490" i="13015" s="1"/>
  <c r="H1490" i="13015" s="1"/>
  <c r="C1510" i="13015"/>
  <c r="C1509" i="13015"/>
  <c r="C1503" i="13015" s="1"/>
  <c r="C1508" i="13015"/>
  <c r="H1508" i="13015" s="1"/>
  <c r="K1507" i="13015"/>
  <c r="Z1506" i="13015"/>
  <c r="K1506" i="13015"/>
  <c r="C1506" i="13015"/>
  <c r="Z1505" i="13015"/>
  <c r="K1505" i="13015"/>
  <c r="Z1504" i="13015"/>
  <c r="C1504" i="13015" s="1"/>
  <c r="K1504" i="13015"/>
  <c r="Z1503" i="13015"/>
  <c r="O1503" i="13015"/>
  <c r="Z1502" i="13015"/>
  <c r="O1502" i="13015"/>
  <c r="O1501" i="13015"/>
  <c r="C1501" i="13015"/>
  <c r="C1480" i="13015" s="1"/>
  <c r="H1480" i="13015" s="1"/>
  <c r="O1500" i="13015"/>
  <c r="D1500" i="13015"/>
  <c r="C1500" i="13015"/>
  <c r="H1500" i="13015" s="1"/>
  <c r="AD1495" i="13015"/>
  <c r="AE1495" i="13015" s="1"/>
  <c r="AC1495" i="13015"/>
  <c r="O1494" i="13015"/>
  <c r="O1493" i="13015"/>
  <c r="Y1492" i="13015"/>
  <c r="I1492" i="13015"/>
  <c r="H1492" i="13015"/>
  <c r="D1492" i="13015"/>
  <c r="C1492" i="13015"/>
  <c r="AB1488" i="13015"/>
  <c r="C1487" i="13015"/>
  <c r="H1487" i="13015" s="1"/>
  <c r="C1479" i="13015"/>
  <c r="H1479" i="13015" s="1"/>
  <c r="O1475" i="13015"/>
  <c r="O1474" i="13015"/>
  <c r="H1473" i="13015"/>
  <c r="C1473" i="13015"/>
  <c r="C1472" i="13015"/>
  <c r="H1472" i="13015" s="1"/>
  <c r="C1471" i="13015"/>
  <c r="H1471" i="13015" s="1"/>
  <c r="C1470" i="13015"/>
  <c r="O1469" i="13015"/>
  <c r="M1469" i="13015"/>
  <c r="C1469" i="13015"/>
  <c r="H1469" i="13015" s="1"/>
  <c r="C1468" i="13015"/>
  <c r="H1468" i="13015" s="1"/>
  <c r="C1467" i="13015"/>
  <c r="H1467" i="13015" s="1"/>
  <c r="K1466" i="13015"/>
  <c r="K1465" i="13015"/>
  <c r="K1464" i="13015"/>
  <c r="K1463" i="13015"/>
  <c r="O1462" i="13015"/>
  <c r="O1461" i="13015"/>
  <c r="O1460" i="13015"/>
  <c r="M1460" i="13015"/>
  <c r="C1460" i="13015"/>
  <c r="H1460" i="13015" s="1"/>
  <c r="O1459" i="13015"/>
  <c r="M1459" i="13015"/>
  <c r="I1459" i="13015"/>
  <c r="C1459" i="13015"/>
  <c r="H1459" i="13015" s="1"/>
  <c r="D1456" i="13015"/>
  <c r="I32" i="13013" s="1"/>
  <c r="O1455" i="13015"/>
  <c r="O1454" i="13015"/>
  <c r="H1453" i="13015"/>
  <c r="C1453" i="13015"/>
  <c r="C1452" i="13015"/>
  <c r="H1452" i="13015" s="1"/>
  <c r="C1451" i="13015"/>
  <c r="H1451" i="13015" s="1"/>
  <c r="C1450" i="13015"/>
  <c r="C1456" i="13015" s="1"/>
  <c r="O1449" i="13015"/>
  <c r="M1449" i="13015"/>
  <c r="C1449" i="13015"/>
  <c r="H1449" i="13015" s="1"/>
  <c r="C1448" i="13015"/>
  <c r="H1448" i="13015" s="1"/>
  <c r="C1447" i="13015"/>
  <c r="H1447" i="13015" s="1"/>
  <c r="K1446" i="13015"/>
  <c r="K1445" i="13015"/>
  <c r="K1444" i="13015"/>
  <c r="K1443" i="13015"/>
  <c r="O1442" i="13015"/>
  <c r="O1441" i="13015"/>
  <c r="O1440" i="13015"/>
  <c r="M1440" i="13015"/>
  <c r="C1440" i="13015"/>
  <c r="H1440" i="13015" s="1"/>
  <c r="O1439" i="13015"/>
  <c r="M1439" i="13015"/>
  <c r="D1439" i="13015"/>
  <c r="C1439" i="13015"/>
  <c r="H1439" i="13015" s="1"/>
  <c r="D1436" i="13015"/>
  <c r="O1435" i="13015"/>
  <c r="O1434" i="13015"/>
  <c r="H1433" i="13015"/>
  <c r="C1433" i="13015"/>
  <c r="C1391" i="13015" s="1"/>
  <c r="C1432" i="13015"/>
  <c r="H1432" i="13015" s="1"/>
  <c r="C1431" i="13015"/>
  <c r="H1431" i="13015" s="1"/>
  <c r="C1430" i="13015"/>
  <c r="O1429" i="13015"/>
  <c r="M1429" i="13015"/>
  <c r="C1429" i="13015"/>
  <c r="H1429" i="13015" s="1"/>
  <c r="C1428" i="13015"/>
  <c r="H1428" i="13015" s="1"/>
  <c r="C1427" i="13015"/>
  <c r="H1427" i="13015" s="1"/>
  <c r="K1426" i="13015"/>
  <c r="K1425" i="13015"/>
  <c r="K1424" i="13015"/>
  <c r="K1423" i="13015"/>
  <c r="O1422" i="13015"/>
  <c r="Z1421" i="13015"/>
  <c r="C1421" i="13015" s="1"/>
  <c r="O1421" i="13015"/>
  <c r="O1420" i="13015"/>
  <c r="M1420" i="13015"/>
  <c r="C1420" i="13015"/>
  <c r="H1420" i="13015" s="1"/>
  <c r="O1419" i="13015"/>
  <c r="M1419" i="13015"/>
  <c r="H1419" i="13015"/>
  <c r="D1419" i="13015"/>
  <c r="I1419" i="13015" s="1"/>
  <c r="C1419" i="13015"/>
  <c r="D1416" i="13015"/>
  <c r="O1415" i="13015"/>
  <c r="O1414" i="13015"/>
  <c r="H1413" i="13015"/>
  <c r="C1413" i="13015"/>
  <c r="C1412" i="13015"/>
  <c r="H1412" i="13015" s="1"/>
  <c r="C1411" i="13015"/>
  <c r="H1411" i="13015" s="1"/>
  <c r="C1410" i="13015"/>
  <c r="O1409" i="13015"/>
  <c r="M1409" i="13015"/>
  <c r="C1409" i="13015"/>
  <c r="H1409" i="13015" s="1"/>
  <c r="C1408" i="13015"/>
  <c r="H1408" i="13015" s="1"/>
  <c r="C1407" i="13015"/>
  <c r="H1407" i="13015" s="1"/>
  <c r="K1406" i="13015"/>
  <c r="Z1405" i="13015"/>
  <c r="Z2408" i="13015" s="1"/>
  <c r="K1405" i="13015"/>
  <c r="Z1404" i="13015"/>
  <c r="Z2407" i="13015" s="1"/>
  <c r="K1404" i="13015"/>
  <c r="Z1403" i="13015"/>
  <c r="Z2406" i="13015" s="1"/>
  <c r="K1403" i="13015"/>
  <c r="C1403" i="13015"/>
  <c r="Z1402" i="13015"/>
  <c r="Z2405" i="13015" s="1"/>
  <c r="O1402" i="13015"/>
  <c r="Z1401" i="13015"/>
  <c r="Z2404" i="13015" s="1"/>
  <c r="O1401" i="13015"/>
  <c r="O1400" i="13015"/>
  <c r="M1400" i="13015"/>
  <c r="C1400" i="13015"/>
  <c r="H1400" i="13015" s="1"/>
  <c r="O1399" i="13015"/>
  <c r="M1399" i="13015"/>
  <c r="I1399" i="13015"/>
  <c r="H1399" i="13015"/>
  <c r="D1399" i="13015"/>
  <c r="C1399" i="13015"/>
  <c r="AC1394" i="13015"/>
  <c r="AD1394" i="13015"/>
  <c r="AE1394" i="13015" s="1"/>
  <c r="O1393" i="13015"/>
  <c r="O1392" i="13015"/>
  <c r="Y1391" i="13015"/>
  <c r="I1391" i="13015"/>
  <c r="D1391" i="13015"/>
  <c r="C1388" i="13015"/>
  <c r="Q1387" i="13015"/>
  <c r="Q1409" i="13015" s="1"/>
  <c r="C1387" i="13015"/>
  <c r="H1387" i="13015" s="1"/>
  <c r="C1386" i="13015"/>
  <c r="H1386" i="13015" s="1"/>
  <c r="AB1384" i="13015"/>
  <c r="D1377" i="13015"/>
  <c r="G31" i="13013" s="1"/>
  <c r="D1374" i="13015"/>
  <c r="D1373" i="13015"/>
  <c r="C1373" i="13015"/>
  <c r="O1372" i="13015"/>
  <c r="O1371" i="13015"/>
  <c r="H1370" i="13015"/>
  <c r="C1370" i="13015"/>
  <c r="C1374" i="13015" s="1"/>
  <c r="D1369" i="13015"/>
  <c r="C1369" i="13015"/>
  <c r="C1367" i="13015"/>
  <c r="H1367" i="13015" s="1"/>
  <c r="C1366" i="13015"/>
  <c r="H1366" i="13015" s="1"/>
  <c r="C1365" i="13015"/>
  <c r="H1365" i="13015" s="1"/>
  <c r="C1364" i="13015"/>
  <c r="H1364" i="13015" s="1"/>
  <c r="C1363" i="13015"/>
  <c r="H1363" i="13015" s="1"/>
  <c r="C1362" i="13015"/>
  <c r="H1362" i="13015" s="1"/>
  <c r="C1361" i="13015"/>
  <c r="H1361" i="13015" s="1"/>
  <c r="C1360" i="13015"/>
  <c r="H1360" i="13015" s="1"/>
  <c r="C1358" i="13015"/>
  <c r="H1358" i="13015" s="1"/>
  <c r="C1357" i="13015"/>
  <c r="H1357" i="13015" s="1"/>
  <c r="C1356" i="13015"/>
  <c r="H1356" i="13015" s="1"/>
  <c r="C1355" i="13015"/>
  <c r="H1355" i="13015" s="1"/>
  <c r="C1354" i="13015"/>
  <c r="H1354" i="13015" s="1"/>
  <c r="C1353" i="13015"/>
  <c r="H1353" i="13015" s="1"/>
  <c r="C1351" i="13015"/>
  <c r="H1351" i="13015" s="1"/>
  <c r="C1350" i="13015"/>
  <c r="H1350" i="13015" s="1"/>
  <c r="C1349" i="13015"/>
  <c r="H1349" i="13015" s="1"/>
  <c r="C1348" i="13015"/>
  <c r="H1348" i="13015" s="1"/>
  <c r="C1347" i="13015"/>
  <c r="H1347" i="13015" s="1"/>
  <c r="C1346" i="13015"/>
  <c r="H1346" i="13015" s="1"/>
  <c r="C1345" i="13015"/>
  <c r="H1345" i="13015" s="1"/>
  <c r="C1344" i="13015"/>
  <c r="H1344" i="13015" s="1"/>
  <c r="C1343" i="13015"/>
  <c r="H1343" i="13015" s="1"/>
  <c r="C1342" i="13015"/>
  <c r="H1342" i="13015" s="1"/>
  <c r="C1341" i="13015"/>
  <c r="H1341" i="13015" s="1"/>
  <c r="C1339" i="13015"/>
  <c r="H1339" i="13015" s="1"/>
  <c r="C1338" i="13015"/>
  <c r="H1338" i="13015" s="1"/>
  <c r="C1337" i="13015"/>
  <c r="H1337" i="13015" s="1"/>
  <c r="C1336" i="13015"/>
  <c r="D1332" i="13015"/>
  <c r="D1327" i="13015" s="1"/>
  <c r="D1331" i="13015"/>
  <c r="O1330" i="13015"/>
  <c r="O1329" i="13015"/>
  <c r="H1328" i="13015"/>
  <c r="C1328" i="13015"/>
  <c r="C1327" i="13015"/>
  <c r="C1325" i="13015"/>
  <c r="H1325" i="13015" s="1"/>
  <c r="C1324" i="13015"/>
  <c r="H1324" i="13015" s="1"/>
  <c r="C1323" i="13015"/>
  <c r="H1323" i="13015" s="1"/>
  <c r="C1322" i="13015"/>
  <c r="H1322" i="13015" s="1"/>
  <c r="C1321" i="13015"/>
  <c r="H1321" i="13015" s="1"/>
  <c r="C1320" i="13015"/>
  <c r="H1320" i="13015" s="1"/>
  <c r="C1319" i="13015"/>
  <c r="H1319" i="13015" s="1"/>
  <c r="C1318" i="13015"/>
  <c r="H1318" i="13015" s="1"/>
  <c r="C1316" i="13015"/>
  <c r="H1316" i="13015" s="1"/>
  <c r="C1315" i="13015"/>
  <c r="H1315" i="13015" s="1"/>
  <c r="C1314" i="13015"/>
  <c r="H1314" i="13015" s="1"/>
  <c r="C1313" i="13015"/>
  <c r="H1313" i="13015" s="1"/>
  <c r="C1312" i="13015"/>
  <c r="H1312" i="13015" s="1"/>
  <c r="C1311" i="13015"/>
  <c r="H1311" i="13015" s="1"/>
  <c r="C1309" i="13015"/>
  <c r="H1309" i="13015" s="1"/>
  <c r="C1308" i="13015"/>
  <c r="H1308" i="13015" s="1"/>
  <c r="C1307" i="13015"/>
  <c r="H1307" i="13015" s="1"/>
  <c r="C1306" i="13015"/>
  <c r="H1306" i="13015" s="1"/>
  <c r="C1305" i="13015"/>
  <c r="H1305" i="13015" s="1"/>
  <c r="C1304" i="13015"/>
  <c r="H1304" i="13015" s="1"/>
  <c r="C1303" i="13015"/>
  <c r="H1303" i="13015" s="1"/>
  <c r="C1302" i="13015"/>
  <c r="H1302" i="13015" s="1"/>
  <c r="C1301" i="13015"/>
  <c r="H1301" i="13015" s="1"/>
  <c r="C1300" i="13015"/>
  <c r="H1300" i="13015" s="1"/>
  <c r="C1299" i="13015"/>
  <c r="H1299" i="13015" s="1"/>
  <c r="C1297" i="13015"/>
  <c r="H1297" i="13015" s="1"/>
  <c r="C1296" i="13015"/>
  <c r="H1296" i="13015" s="1"/>
  <c r="C1295" i="13015"/>
  <c r="H1295" i="13015" s="1"/>
  <c r="C1294" i="13015"/>
  <c r="H1294" i="13015" s="1"/>
  <c r="D1290" i="13015"/>
  <c r="D1285" i="13015" s="1"/>
  <c r="D1289" i="13015"/>
  <c r="O1288" i="13015"/>
  <c r="O1287" i="13015"/>
  <c r="H1286" i="13015"/>
  <c r="C1286" i="13015"/>
  <c r="C1290" i="13015" s="1"/>
  <c r="C1285" i="13015"/>
  <c r="C1283" i="13015"/>
  <c r="H1283" i="13015" s="1"/>
  <c r="C1282" i="13015"/>
  <c r="C1198" i="13015" s="1"/>
  <c r="H1198" i="13015" s="1"/>
  <c r="C1281" i="13015"/>
  <c r="H1281" i="13015" s="1"/>
  <c r="C1280" i="13015"/>
  <c r="H1280" i="13015" s="1"/>
  <c r="C1279" i="13015"/>
  <c r="H1279" i="13015" s="1"/>
  <c r="C1278" i="13015"/>
  <c r="H1278" i="13015" s="1"/>
  <c r="C1277" i="13015"/>
  <c r="H1277" i="13015" s="1"/>
  <c r="C1276" i="13015"/>
  <c r="H1276" i="13015" s="1"/>
  <c r="C1274" i="13015"/>
  <c r="H1274" i="13015" s="1"/>
  <c r="C1273" i="13015"/>
  <c r="H1273" i="13015" s="1"/>
  <c r="C1272" i="13015"/>
  <c r="H1272" i="13015" s="1"/>
  <c r="C1271" i="13015"/>
  <c r="H1271" i="13015" s="1"/>
  <c r="C1270" i="13015"/>
  <c r="H1270" i="13015" s="1"/>
  <c r="C1269" i="13015"/>
  <c r="H1269" i="13015" s="1"/>
  <c r="C1267" i="13015"/>
  <c r="H1267" i="13015" s="1"/>
  <c r="C1266" i="13015"/>
  <c r="H1266" i="13015" s="1"/>
  <c r="C1265" i="13015"/>
  <c r="H1265" i="13015" s="1"/>
  <c r="C1264" i="13015"/>
  <c r="C1263" i="13015"/>
  <c r="H1263" i="13015" s="1"/>
  <c r="C1262" i="13015"/>
  <c r="H1262" i="13015" s="1"/>
  <c r="C1261" i="13015"/>
  <c r="H1261" i="13015" s="1"/>
  <c r="C1260" i="13015"/>
  <c r="H1260" i="13015" s="1"/>
  <c r="C1259" i="13015"/>
  <c r="H1259" i="13015" s="1"/>
  <c r="C1258" i="13015"/>
  <c r="H1258" i="13015" s="1"/>
  <c r="C1257" i="13015"/>
  <c r="H1257" i="13015" s="1"/>
  <c r="C1255" i="13015"/>
  <c r="H1255" i="13015" s="1"/>
  <c r="C1254" i="13015"/>
  <c r="H1254" i="13015" s="1"/>
  <c r="C1253" i="13015"/>
  <c r="H1253" i="13015" s="1"/>
  <c r="C1252" i="13015"/>
  <c r="H1252" i="13015" s="1"/>
  <c r="D1248" i="13015"/>
  <c r="D1243" i="13015" s="1"/>
  <c r="D1247" i="13015"/>
  <c r="O1246" i="13015"/>
  <c r="O1245" i="13015"/>
  <c r="H1244" i="13015"/>
  <c r="H1202" i="13015" s="1"/>
  <c r="C1244" i="13015"/>
  <c r="C1243" i="13015"/>
  <c r="C1241" i="13015"/>
  <c r="C1240" i="13015"/>
  <c r="H1240" i="13015" s="1"/>
  <c r="C1239" i="13015"/>
  <c r="H1238" i="13015"/>
  <c r="C1238" i="13015"/>
  <c r="C1237" i="13015"/>
  <c r="C1236" i="13015"/>
  <c r="H1236" i="13015" s="1"/>
  <c r="C1235" i="13015"/>
  <c r="H1234" i="13015"/>
  <c r="D1234" i="13015"/>
  <c r="C1234" i="13015"/>
  <c r="C1232" i="13015"/>
  <c r="C1231" i="13015"/>
  <c r="H1231" i="13015" s="1"/>
  <c r="H1230" i="13015"/>
  <c r="C1230" i="13015"/>
  <c r="C1229" i="13015"/>
  <c r="C1228" i="13015"/>
  <c r="C1227" i="13015"/>
  <c r="H1227" i="13015" s="1"/>
  <c r="C1225" i="13015"/>
  <c r="C1224" i="13015"/>
  <c r="H1224" i="13015" s="1"/>
  <c r="C1223" i="13015"/>
  <c r="C1222" i="13015"/>
  <c r="H1222" i="13015" s="1"/>
  <c r="C1221" i="13015"/>
  <c r="H1220" i="13015"/>
  <c r="C1220" i="13015"/>
  <c r="C1219" i="13015"/>
  <c r="D1219" i="13015" s="1"/>
  <c r="C1218" i="13015"/>
  <c r="H1218" i="13015" s="1"/>
  <c r="C1217" i="13015"/>
  <c r="H1216" i="13015"/>
  <c r="D1216" i="13015"/>
  <c r="C1216" i="13015"/>
  <c r="C1215" i="13015"/>
  <c r="C1213" i="13015"/>
  <c r="H1212" i="13015"/>
  <c r="C1212" i="13015"/>
  <c r="C1211" i="13015"/>
  <c r="C1210" i="13015"/>
  <c r="O1204" i="13015"/>
  <c r="O1203" i="13015"/>
  <c r="I1202" i="13015"/>
  <c r="D1202" i="13015"/>
  <c r="C1202" i="13015"/>
  <c r="C1201" i="13015"/>
  <c r="C1196" i="13015"/>
  <c r="H1196" i="13015" s="1"/>
  <c r="C1194" i="13015"/>
  <c r="H1194" i="13015" s="1"/>
  <c r="C1192" i="13015"/>
  <c r="H1192" i="13015" s="1"/>
  <c r="C1182" i="13015"/>
  <c r="H1182" i="13015" s="1"/>
  <c r="C1178" i="13015"/>
  <c r="H1178" i="13015" s="1"/>
  <c r="C1176" i="13015"/>
  <c r="H1176" i="13015" s="1"/>
  <c r="C1174" i="13015"/>
  <c r="H1174" i="13015" s="1"/>
  <c r="O1163" i="13015"/>
  <c r="O1162" i="13015"/>
  <c r="H1161" i="13015"/>
  <c r="C1161" i="13015"/>
  <c r="I1160" i="13015"/>
  <c r="C1160" i="13015"/>
  <c r="H1160" i="13015" s="1"/>
  <c r="I1159" i="13015"/>
  <c r="C1159" i="13015"/>
  <c r="H1159" i="13015" s="1"/>
  <c r="I1158" i="13015"/>
  <c r="C1158" i="13015"/>
  <c r="H1158" i="13015" s="1"/>
  <c r="D1157" i="13015"/>
  <c r="I1157" i="13015" s="1"/>
  <c r="C1157" i="13015"/>
  <c r="O1156" i="13015"/>
  <c r="M1156" i="13015"/>
  <c r="C1156" i="13015"/>
  <c r="H1156" i="13015" s="1"/>
  <c r="C1155" i="13015"/>
  <c r="H1155" i="13015" s="1"/>
  <c r="C1154" i="13015"/>
  <c r="H1154" i="13015" s="1"/>
  <c r="O1153" i="13015"/>
  <c r="W1153" i="13015" s="1"/>
  <c r="M1153" i="13015"/>
  <c r="U1153" i="13015" s="1"/>
  <c r="I1153" i="13015"/>
  <c r="H1153" i="13015"/>
  <c r="C1153" i="13015"/>
  <c r="M1152" i="13015"/>
  <c r="U1152" i="13015" s="1"/>
  <c r="K1152" i="13015"/>
  <c r="S1152" i="13015" s="1"/>
  <c r="C1152" i="13015"/>
  <c r="M1151" i="13015"/>
  <c r="U1151" i="13015" s="1"/>
  <c r="K1151" i="13015"/>
  <c r="S1151" i="13015" s="1"/>
  <c r="C1151" i="13015"/>
  <c r="M1150" i="13015"/>
  <c r="U1150" i="13015" s="1"/>
  <c r="K1150" i="13015"/>
  <c r="S1150" i="13015" s="1"/>
  <c r="C1150" i="13015"/>
  <c r="M1149" i="13015"/>
  <c r="K1149" i="13015"/>
  <c r="S1149" i="13015" s="1"/>
  <c r="D1149" i="13015"/>
  <c r="C1149" i="13015"/>
  <c r="D1145" i="13015"/>
  <c r="D1142" i="13015"/>
  <c r="O1141" i="13015"/>
  <c r="O1140" i="13015"/>
  <c r="H1139" i="13015"/>
  <c r="C1139" i="13015"/>
  <c r="C1138" i="13015"/>
  <c r="C1137" i="13015"/>
  <c r="C1136" i="13015"/>
  <c r="C1135" i="13015"/>
  <c r="C1134" i="13015"/>
  <c r="C1133" i="13015"/>
  <c r="C1132" i="13015"/>
  <c r="D1131" i="13015"/>
  <c r="C1131" i="13015"/>
  <c r="H1131" i="13015" s="1"/>
  <c r="K1130" i="13015"/>
  <c r="C1130" i="13015"/>
  <c r="C1129" i="13015"/>
  <c r="D1129" i="13015" s="1"/>
  <c r="K1128" i="13015"/>
  <c r="C1128" i="13015"/>
  <c r="C1127" i="13015"/>
  <c r="C1126" i="13015"/>
  <c r="C1125" i="13015"/>
  <c r="C1124" i="13015"/>
  <c r="C1123" i="13015"/>
  <c r="D1120" i="13015"/>
  <c r="O1119" i="13015"/>
  <c r="O1118" i="13015"/>
  <c r="H1117" i="13015"/>
  <c r="H1073" i="13015" s="1"/>
  <c r="C1117" i="13015"/>
  <c r="C1116" i="13015"/>
  <c r="C1115" i="13015"/>
  <c r="H1115" i="13015" s="1"/>
  <c r="C1114" i="13015"/>
  <c r="H1114" i="13015" s="1"/>
  <c r="C1113" i="13015"/>
  <c r="C1112" i="13015"/>
  <c r="H1112" i="13015" s="1"/>
  <c r="C1111" i="13015"/>
  <c r="H1111" i="13015" s="1"/>
  <c r="C1110" i="13015"/>
  <c r="H1110" i="13015" s="1"/>
  <c r="D1109" i="13015"/>
  <c r="I1109" i="13015" s="1"/>
  <c r="C1109" i="13015"/>
  <c r="H1109" i="13015" s="1"/>
  <c r="C1108" i="13015"/>
  <c r="C1107" i="13015"/>
  <c r="D1106" i="13015"/>
  <c r="C1106" i="13015"/>
  <c r="C1105" i="13015"/>
  <c r="C1101" i="13015"/>
  <c r="D1098" i="13015"/>
  <c r="O1097" i="13015"/>
  <c r="O1096" i="13015"/>
  <c r="H1095" i="13015"/>
  <c r="C1095" i="13015"/>
  <c r="C1073" i="13015" s="1"/>
  <c r="H1094" i="13015"/>
  <c r="C1094" i="13015"/>
  <c r="C1093" i="13015"/>
  <c r="H1092" i="13015"/>
  <c r="C1092" i="13015"/>
  <c r="C1091" i="13015"/>
  <c r="H1090" i="13015"/>
  <c r="C1090" i="13015"/>
  <c r="C1089" i="13015"/>
  <c r="H1089" i="13015" s="1"/>
  <c r="H1088" i="13015"/>
  <c r="C1088" i="13015"/>
  <c r="O1087" i="13015"/>
  <c r="W1087" i="13015" s="1"/>
  <c r="I1087" i="13015"/>
  <c r="D1087" i="13015"/>
  <c r="C1087" i="13015"/>
  <c r="K1086" i="13015"/>
  <c r="S1086" i="13015" s="1"/>
  <c r="C1086" i="13015"/>
  <c r="C1064" i="13015" s="1"/>
  <c r="C1085" i="13015"/>
  <c r="C1063" i="13015" s="1"/>
  <c r="K1084" i="13015"/>
  <c r="S1084" i="13015" s="1"/>
  <c r="C1084" i="13015"/>
  <c r="C1083" i="13015"/>
  <c r="C1082" i="13015"/>
  <c r="C1081" i="13015"/>
  <c r="C1080" i="13015"/>
  <c r="C1079" i="13015"/>
  <c r="O1075" i="13015"/>
  <c r="O1074" i="13015"/>
  <c r="I1073" i="13015"/>
  <c r="D1073" i="13015"/>
  <c r="O1068" i="13015"/>
  <c r="M1068" i="13015"/>
  <c r="M1090" i="13015" s="1"/>
  <c r="O1065" i="13015"/>
  <c r="O1109" i="13015" s="1"/>
  <c r="M1065" i="13015"/>
  <c r="M1087" i="13015" s="1"/>
  <c r="I1065" i="13015"/>
  <c r="D1065" i="13015"/>
  <c r="M1064" i="13015"/>
  <c r="M1086" i="13015" s="1"/>
  <c r="U1086" i="13015" s="1"/>
  <c r="K1064" i="13015"/>
  <c r="K1108" i="13015" s="1"/>
  <c r="M1063" i="13015"/>
  <c r="M1107" i="13015" s="1"/>
  <c r="K1063" i="13015"/>
  <c r="M1062" i="13015"/>
  <c r="M1106" i="13015" s="1"/>
  <c r="K1062" i="13015"/>
  <c r="K1106" i="13015" s="1"/>
  <c r="M1061" i="13015"/>
  <c r="M1127" i="13015" s="1"/>
  <c r="K1061" i="13015"/>
  <c r="D1054" i="13015"/>
  <c r="C1053" i="13015"/>
  <c r="O1052" i="13015"/>
  <c r="O1051" i="13015"/>
  <c r="H1050" i="13015"/>
  <c r="C1050" i="13015"/>
  <c r="O1049" i="13015"/>
  <c r="K1049" i="13015"/>
  <c r="C1049" i="13015"/>
  <c r="H1049" i="13015" s="1"/>
  <c r="C1048" i="13015"/>
  <c r="H1048" i="13015" s="1"/>
  <c r="C1047" i="13015"/>
  <c r="H1047" i="13015" s="1"/>
  <c r="C1046" i="13015"/>
  <c r="H1046" i="13015" s="1"/>
  <c r="C1045" i="13015"/>
  <c r="O1044" i="13015"/>
  <c r="M1044" i="13015"/>
  <c r="C1044" i="13015"/>
  <c r="H1044" i="13015" s="1"/>
  <c r="C1043" i="13015"/>
  <c r="C1042" i="13015"/>
  <c r="H1042" i="13015" s="1"/>
  <c r="O1041" i="13015"/>
  <c r="M1041" i="13015"/>
  <c r="D1041" i="13015"/>
  <c r="C1041" i="13015"/>
  <c r="H1041" i="13015" s="1"/>
  <c r="M1040" i="13015"/>
  <c r="K1040" i="13015"/>
  <c r="C1040" i="13015"/>
  <c r="M1039" i="13015"/>
  <c r="K1039" i="13015"/>
  <c r="C1039" i="13015"/>
  <c r="M1038" i="13015"/>
  <c r="K1038" i="13015"/>
  <c r="C1038" i="13015"/>
  <c r="M1037" i="13015"/>
  <c r="K1037" i="13015"/>
  <c r="C1037" i="13015"/>
  <c r="C1036" i="13015"/>
  <c r="C1035" i="13015"/>
  <c r="C1034" i="13015"/>
  <c r="C1033" i="13015"/>
  <c r="D1030" i="13015"/>
  <c r="C1029" i="13015"/>
  <c r="O1028" i="13015"/>
  <c r="O1027" i="13015"/>
  <c r="H1026" i="13015"/>
  <c r="C1026" i="13015"/>
  <c r="O1025" i="13015"/>
  <c r="K1025" i="13015"/>
  <c r="C1025" i="13015"/>
  <c r="H1024" i="13015"/>
  <c r="C1024" i="13015"/>
  <c r="C1023" i="13015"/>
  <c r="H1023" i="13015" s="1"/>
  <c r="H1022" i="13015"/>
  <c r="C1022" i="13015"/>
  <c r="C1021" i="13015"/>
  <c r="Q1020" i="13015"/>
  <c r="O1020" i="13015"/>
  <c r="M1020" i="13015"/>
  <c r="H1020" i="13015"/>
  <c r="C1020" i="13015"/>
  <c r="H1019" i="13015"/>
  <c r="C1019" i="13015"/>
  <c r="H1018" i="13015"/>
  <c r="C1018" i="13015"/>
  <c r="O1017" i="13015"/>
  <c r="M1017" i="13015"/>
  <c r="U1017" i="13015" s="1"/>
  <c r="I1017" i="13015"/>
  <c r="D1017" i="13015"/>
  <c r="C1017" i="13015"/>
  <c r="H1017" i="13015" s="1"/>
  <c r="M1016" i="13015"/>
  <c r="K1016" i="13015"/>
  <c r="C1016" i="13015"/>
  <c r="M1015" i="13015"/>
  <c r="K1015" i="13015"/>
  <c r="C1015" i="13015"/>
  <c r="M1014" i="13015"/>
  <c r="K1014" i="13015"/>
  <c r="C1014" i="13015"/>
  <c r="C1009" i="13015" s="1"/>
  <c r="C1010" i="13015" s="1"/>
  <c r="M1013" i="13015"/>
  <c r="K1013" i="13015"/>
  <c r="C1013" i="13015"/>
  <c r="D1006" i="13015"/>
  <c r="C1005" i="13015"/>
  <c r="O1004" i="13015"/>
  <c r="O1003" i="13015"/>
  <c r="H1002" i="13015"/>
  <c r="C1002" i="13015"/>
  <c r="O1001" i="13015"/>
  <c r="K1001" i="13015"/>
  <c r="H1001" i="13015"/>
  <c r="C1001" i="13015"/>
  <c r="C1000" i="13015"/>
  <c r="H1000" i="13015" s="1"/>
  <c r="C999" i="13015"/>
  <c r="C975" i="13015" s="1"/>
  <c r="H975" i="13015" s="1"/>
  <c r="C998" i="13015"/>
  <c r="H998" i="13015" s="1"/>
  <c r="C997" i="13015"/>
  <c r="H997" i="13015" s="1"/>
  <c r="Q996" i="13015"/>
  <c r="O996" i="13015"/>
  <c r="M996" i="13015"/>
  <c r="C996" i="13015"/>
  <c r="H996" i="13015" s="1"/>
  <c r="C995" i="13015"/>
  <c r="H995" i="13015" s="1"/>
  <c r="C994" i="13015"/>
  <c r="H994" i="13015" s="1"/>
  <c r="O993" i="13015"/>
  <c r="M993" i="13015"/>
  <c r="D993" i="13015"/>
  <c r="C993" i="13015"/>
  <c r="M992" i="13015"/>
  <c r="K992" i="13015"/>
  <c r="C992" i="13015"/>
  <c r="M991" i="13015"/>
  <c r="K991" i="13015"/>
  <c r="C991" i="13015"/>
  <c r="M990" i="13015"/>
  <c r="K990" i="13015"/>
  <c r="C990" i="13015"/>
  <c r="M989" i="13015"/>
  <c r="K989" i="13015"/>
  <c r="C989" i="13015"/>
  <c r="C965" i="13015" s="1"/>
  <c r="C988" i="13015"/>
  <c r="C987" i="13015"/>
  <c r="C986" i="13015"/>
  <c r="C962" i="13015" s="1"/>
  <c r="C985" i="13015"/>
  <c r="AC982" i="13015"/>
  <c r="AD982" i="13015"/>
  <c r="AE982" i="13015" s="1"/>
  <c r="C981" i="13015"/>
  <c r="O980" i="13015"/>
  <c r="O979" i="13015"/>
  <c r="I978" i="13015"/>
  <c r="H978" i="13015"/>
  <c r="D978" i="13015"/>
  <c r="C978" i="13015"/>
  <c r="AB977" i="13015"/>
  <c r="Q977" i="13015"/>
  <c r="Q1049" i="13015" s="1"/>
  <c r="C977" i="13015"/>
  <c r="H977" i="13015" s="1"/>
  <c r="C974" i="13015"/>
  <c r="H974" i="13015" s="1"/>
  <c r="Q972" i="13015"/>
  <c r="K972" i="13015" s="1"/>
  <c r="K1044" i="13015" s="1"/>
  <c r="C972" i="13015"/>
  <c r="H972" i="13015" s="1"/>
  <c r="C970" i="13015"/>
  <c r="H970" i="13015" s="1"/>
  <c r="AC969" i="13015"/>
  <c r="AA968" i="13015"/>
  <c r="C968" i="13015"/>
  <c r="AA967" i="13015"/>
  <c r="C967" i="13015"/>
  <c r="AA966" i="13015"/>
  <c r="C966" i="13015"/>
  <c r="AA965" i="13015"/>
  <c r="Q965" i="13015" s="1"/>
  <c r="AA964" i="13015"/>
  <c r="AA963" i="13015"/>
  <c r="AA962" i="13015"/>
  <c r="AA961" i="13015"/>
  <c r="O957" i="13015"/>
  <c r="O956" i="13015"/>
  <c r="M956" i="13015"/>
  <c r="K956" i="13015"/>
  <c r="H955" i="13015"/>
  <c r="C955" i="13015"/>
  <c r="D954" i="13015"/>
  <c r="I954" i="13015" s="1"/>
  <c r="C954" i="13015"/>
  <c r="H954" i="13015" s="1"/>
  <c r="D953" i="13015"/>
  <c r="I953" i="13015" s="1"/>
  <c r="C953" i="13015"/>
  <c r="H953" i="13015" s="1"/>
  <c r="C952" i="13015"/>
  <c r="H952" i="13015" s="1"/>
  <c r="C951" i="13015"/>
  <c r="H951" i="13015" s="1"/>
  <c r="C950" i="13015"/>
  <c r="H950" i="13015" s="1"/>
  <c r="D949" i="13015"/>
  <c r="C949" i="13015"/>
  <c r="D948" i="13015"/>
  <c r="C948" i="13015"/>
  <c r="C947" i="13015"/>
  <c r="D947" i="13015" s="1"/>
  <c r="D946" i="13015" s="1"/>
  <c r="C946" i="13015"/>
  <c r="H945" i="13015"/>
  <c r="C945" i="13015"/>
  <c r="H944" i="13015"/>
  <c r="D943" i="13015"/>
  <c r="U943" i="13015" s="1"/>
  <c r="C943" i="13015"/>
  <c r="H943" i="13015" s="1"/>
  <c r="O939" i="13015"/>
  <c r="O938" i="13015"/>
  <c r="H937" i="13015"/>
  <c r="C937" i="13015"/>
  <c r="D936" i="13015"/>
  <c r="I936" i="13015" s="1"/>
  <c r="C936" i="13015"/>
  <c r="H936" i="13015" s="1"/>
  <c r="D935" i="13015"/>
  <c r="D940" i="13015" s="1"/>
  <c r="C935" i="13015"/>
  <c r="C940" i="13015" s="1"/>
  <c r="C934" i="13015"/>
  <c r="H934" i="13015" s="1"/>
  <c r="C933" i="13015"/>
  <c r="H933" i="13015" s="1"/>
  <c r="C932" i="13015"/>
  <c r="H932" i="13015" s="1"/>
  <c r="D931" i="13015"/>
  <c r="C931" i="13015"/>
  <c r="D930" i="13015"/>
  <c r="C930" i="13015"/>
  <c r="D929" i="13015"/>
  <c r="C929" i="13015"/>
  <c r="C928" i="13015"/>
  <c r="M927" i="13015"/>
  <c r="C927" i="13015"/>
  <c r="H927" i="13015" s="1"/>
  <c r="H926" i="13015"/>
  <c r="H925" i="13015"/>
  <c r="D925" i="13015"/>
  <c r="C925" i="13015"/>
  <c r="O921" i="13015"/>
  <c r="O920" i="13015"/>
  <c r="H919" i="13015"/>
  <c r="C919" i="13015"/>
  <c r="D918" i="13015"/>
  <c r="I918" i="13015" s="1"/>
  <c r="C918" i="13015"/>
  <c r="H918" i="13015" s="1"/>
  <c r="D917" i="13015"/>
  <c r="C917" i="13015"/>
  <c r="C916" i="13015"/>
  <c r="H916" i="13015" s="1"/>
  <c r="C915" i="13015"/>
  <c r="H915" i="13015" s="1"/>
  <c r="C914" i="13015"/>
  <c r="H914" i="13015" s="1"/>
  <c r="D913" i="13015"/>
  <c r="C913" i="13015"/>
  <c r="C895" i="13015" s="1"/>
  <c r="D912" i="13015"/>
  <c r="C912" i="13015"/>
  <c r="C911" i="13015"/>
  <c r="C893" i="13015" s="1"/>
  <c r="C910" i="13015"/>
  <c r="D910" i="13015" s="1"/>
  <c r="C909" i="13015"/>
  <c r="H909" i="13015" s="1"/>
  <c r="M908" i="13015"/>
  <c r="H908" i="13015"/>
  <c r="D907" i="13015"/>
  <c r="C907" i="13015"/>
  <c r="H907" i="13015" s="1"/>
  <c r="O903" i="13015"/>
  <c r="O902" i="13015"/>
  <c r="Y901" i="13015"/>
  <c r="I901" i="13015"/>
  <c r="H901" i="13015"/>
  <c r="D901" i="13015"/>
  <c r="C901" i="13015"/>
  <c r="C899" i="13015"/>
  <c r="H899" i="13015" s="1"/>
  <c r="O898" i="13015"/>
  <c r="O952" i="13015" s="1"/>
  <c r="M898" i="13015"/>
  <c r="M952" i="13015" s="1"/>
  <c r="C898" i="13015"/>
  <c r="H898" i="13015" s="1"/>
  <c r="C897" i="13015"/>
  <c r="H897" i="13015" s="1"/>
  <c r="C896" i="13015"/>
  <c r="H896" i="13015" s="1"/>
  <c r="K895" i="13015"/>
  <c r="K931" i="13015" s="1"/>
  <c r="K894" i="13015"/>
  <c r="K948" i="13015" s="1"/>
  <c r="C894" i="13015"/>
  <c r="O893" i="13015"/>
  <c r="O892" i="13015"/>
  <c r="C892" i="13015"/>
  <c r="O891" i="13015"/>
  <c r="O945" i="13015" s="1"/>
  <c r="M891" i="13015"/>
  <c r="M945" i="13015" s="1"/>
  <c r="C891" i="13015"/>
  <c r="H891" i="13015" s="1"/>
  <c r="O890" i="13015"/>
  <c r="O944" i="13015" s="1"/>
  <c r="M890" i="13015"/>
  <c r="C890" i="13015"/>
  <c r="H890" i="13015" s="1"/>
  <c r="O889" i="13015"/>
  <c r="O943" i="13015" s="1"/>
  <c r="W943" i="13015" s="1"/>
  <c r="M889" i="13015"/>
  <c r="M943" i="13015" s="1"/>
  <c r="D889" i="13015"/>
  <c r="G29" i="13013" s="1"/>
  <c r="D886" i="13015"/>
  <c r="O885" i="13015"/>
  <c r="O884" i="13015"/>
  <c r="H883" i="13015"/>
  <c r="C883" i="13015"/>
  <c r="C845" i="13015" s="1"/>
  <c r="I882" i="13015"/>
  <c r="C882" i="13015"/>
  <c r="H882" i="13015" s="1"/>
  <c r="I881" i="13015"/>
  <c r="C881" i="13015"/>
  <c r="C886" i="13015" s="1"/>
  <c r="C880" i="13015"/>
  <c r="H880" i="13015" s="1"/>
  <c r="C879" i="13015"/>
  <c r="D879" i="13015" s="1"/>
  <c r="I879" i="13015" s="1"/>
  <c r="C878" i="13015"/>
  <c r="H878" i="13015" s="1"/>
  <c r="C877" i="13015"/>
  <c r="C876" i="13015"/>
  <c r="C875" i="13015"/>
  <c r="C874" i="13015"/>
  <c r="C873" i="13015"/>
  <c r="D873" i="13015" s="1"/>
  <c r="O872" i="13015"/>
  <c r="M872" i="13015"/>
  <c r="C872" i="13015"/>
  <c r="D872" i="13015" s="1"/>
  <c r="H871" i="13015"/>
  <c r="I870" i="13015"/>
  <c r="C870" i="13015"/>
  <c r="H870" i="13015" s="1"/>
  <c r="O866" i="13015"/>
  <c r="O865" i="13015"/>
  <c r="H864" i="13015"/>
  <c r="C864" i="13015"/>
  <c r="D863" i="13015"/>
  <c r="D844" i="13015" s="1"/>
  <c r="I844" i="13015" s="1"/>
  <c r="C863" i="13015"/>
  <c r="H863" i="13015" s="1"/>
  <c r="D862" i="13015"/>
  <c r="D843" i="13015" s="1"/>
  <c r="C862" i="13015"/>
  <c r="C867" i="13015" s="1"/>
  <c r="C861" i="13015"/>
  <c r="H861" i="13015" s="1"/>
  <c r="C860" i="13015"/>
  <c r="H860" i="13015" s="1"/>
  <c r="C859" i="13015"/>
  <c r="H859" i="13015" s="1"/>
  <c r="D858" i="13015"/>
  <c r="C858" i="13015"/>
  <c r="D857" i="13015"/>
  <c r="C857" i="13015"/>
  <c r="C856" i="13015"/>
  <c r="C855" i="13015"/>
  <c r="M854" i="13015"/>
  <c r="C854" i="13015"/>
  <c r="H854" i="13015" s="1"/>
  <c r="O853" i="13015"/>
  <c r="M853" i="13015"/>
  <c r="C853" i="13015"/>
  <c r="H853" i="13015" s="1"/>
  <c r="H852" i="13015"/>
  <c r="O851" i="13015"/>
  <c r="D851" i="13015"/>
  <c r="I851" i="13015" s="1"/>
  <c r="C851" i="13015"/>
  <c r="D853" i="13015" s="1"/>
  <c r="O847" i="13015"/>
  <c r="O846" i="13015"/>
  <c r="H845" i="13015"/>
  <c r="D845" i="13015"/>
  <c r="C844" i="13015"/>
  <c r="H844" i="13015" s="1"/>
  <c r="O842" i="13015"/>
  <c r="M842" i="13015"/>
  <c r="M880" i="13015" s="1"/>
  <c r="C842" i="13015"/>
  <c r="H842" i="13015" s="1"/>
  <c r="C841" i="13015"/>
  <c r="H841" i="13015" s="1"/>
  <c r="K839" i="13015"/>
  <c r="K877" i="13015" s="1"/>
  <c r="S877" i="13015" s="1"/>
  <c r="C839" i="13015"/>
  <c r="K838" i="13015"/>
  <c r="O837" i="13015"/>
  <c r="C837" i="13015"/>
  <c r="O836" i="13015"/>
  <c r="C836" i="13015"/>
  <c r="O835" i="13015"/>
  <c r="M835" i="13015"/>
  <c r="M873" i="13015" s="1"/>
  <c r="Q834" i="13015"/>
  <c r="Q872" i="13015" s="1"/>
  <c r="O833" i="13015"/>
  <c r="O852" i="13015" s="1"/>
  <c r="M833" i="13015"/>
  <c r="M871" i="13015" s="1"/>
  <c r="C833" i="13015"/>
  <c r="H833" i="13015" s="1"/>
  <c r="O832" i="13015"/>
  <c r="M832" i="13015"/>
  <c r="M851" i="13015" s="1"/>
  <c r="D832" i="13015"/>
  <c r="O828" i="13015"/>
  <c r="O827" i="13015"/>
  <c r="H826" i="13015"/>
  <c r="C826" i="13015"/>
  <c r="D825" i="13015"/>
  <c r="I825" i="13015" s="1"/>
  <c r="C825" i="13015"/>
  <c r="H825" i="13015" s="1"/>
  <c r="D824" i="13015"/>
  <c r="D829" i="13015" s="1"/>
  <c r="D818" i="13015" s="1"/>
  <c r="C824" i="13015"/>
  <c r="C829" i="13015" s="1"/>
  <c r="C823" i="13015"/>
  <c r="H823" i="13015" s="1"/>
  <c r="C822" i="13015"/>
  <c r="H822" i="13015" s="1"/>
  <c r="C821" i="13015"/>
  <c r="H821" i="13015" s="1"/>
  <c r="D820" i="13015"/>
  <c r="C820" i="13015"/>
  <c r="D819" i="13015"/>
  <c r="C819" i="13015"/>
  <c r="C818" i="13015"/>
  <c r="C817" i="13015"/>
  <c r="C816" i="13015"/>
  <c r="H816" i="13015" s="1"/>
  <c r="H815" i="13015"/>
  <c r="H814" i="13015"/>
  <c r="D813" i="13015"/>
  <c r="C813" i="13015"/>
  <c r="H813" i="13015" s="1"/>
  <c r="O809" i="13015"/>
  <c r="O808" i="13015"/>
  <c r="H807" i="13015"/>
  <c r="C807" i="13015"/>
  <c r="I806" i="13015"/>
  <c r="D806" i="13015"/>
  <c r="C806" i="13015"/>
  <c r="H806" i="13015" s="1"/>
  <c r="I805" i="13015"/>
  <c r="D805" i="13015"/>
  <c r="D810" i="13015" s="1"/>
  <c r="C805" i="13015"/>
  <c r="C810" i="13015" s="1"/>
  <c r="C804" i="13015"/>
  <c r="C803" i="13015"/>
  <c r="H803" i="13015" s="1"/>
  <c r="C802" i="13015"/>
  <c r="D802" i="13015" s="1"/>
  <c r="I802" i="13015" s="1"/>
  <c r="D801" i="13015"/>
  <c r="C801" i="13015"/>
  <c r="D800" i="13015"/>
  <c r="C800" i="13015"/>
  <c r="C799" i="13015"/>
  <c r="D799" i="13015" s="1"/>
  <c r="C798" i="13015"/>
  <c r="C797" i="13015"/>
  <c r="H796" i="13015"/>
  <c r="M795" i="13015"/>
  <c r="H795" i="13015"/>
  <c r="H794" i="13015"/>
  <c r="D794" i="13015"/>
  <c r="D795" i="13015" s="1"/>
  <c r="C794" i="13015"/>
  <c r="O790" i="13015"/>
  <c r="O789" i="13015"/>
  <c r="H788" i="13015"/>
  <c r="H769" i="13015" s="1"/>
  <c r="C788" i="13015"/>
  <c r="D787" i="13015"/>
  <c r="I787" i="13015" s="1"/>
  <c r="C787" i="13015"/>
  <c r="H787" i="13015" s="1"/>
  <c r="I786" i="13015"/>
  <c r="D786" i="13015"/>
  <c r="C786" i="13015"/>
  <c r="M785" i="13015"/>
  <c r="C785" i="13015"/>
  <c r="H785" i="13015" s="1"/>
  <c r="C784" i="13015"/>
  <c r="H784" i="13015" s="1"/>
  <c r="C783" i="13015"/>
  <c r="H783" i="13015" s="1"/>
  <c r="D782" i="13015"/>
  <c r="D763" i="13015" s="1"/>
  <c r="C782" i="13015"/>
  <c r="D781" i="13015"/>
  <c r="C781" i="13015"/>
  <c r="C762" i="13015" s="1"/>
  <c r="C780" i="13015"/>
  <c r="C779" i="13015"/>
  <c r="C760" i="13015" s="1"/>
  <c r="C778" i="13015"/>
  <c r="H778" i="13015" s="1"/>
  <c r="H777" i="13015"/>
  <c r="H776" i="13015"/>
  <c r="H775" i="13015"/>
  <c r="D775" i="13015"/>
  <c r="C775" i="13015"/>
  <c r="O771" i="13015"/>
  <c r="O770" i="13015"/>
  <c r="Y769" i="13015"/>
  <c r="I769" i="13015"/>
  <c r="D769" i="13015"/>
  <c r="C769" i="13015"/>
  <c r="C768" i="13015"/>
  <c r="H768" i="13015" s="1"/>
  <c r="D767" i="13015"/>
  <c r="I767" i="13015" s="1"/>
  <c r="C767" i="13015"/>
  <c r="H767" i="13015" s="1"/>
  <c r="O766" i="13015"/>
  <c r="M766" i="13015"/>
  <c r="C765" i="13015"/>
  <c r="H765" i="13015" s="1"/>
  <c r="C764" i="13015"/>
  <c r="H764" i="13015" s="1"/>
  <c r="K763" i="13015"/>
  <c r="C763" i="13015"/>
  <c r="K762" i="13015"/>
  <c r="O761" i="13015"/>
  <c r="C761" i="13015"/>
  <c r="O760" i="13015"/>
  <c r="O759" i="13015"/>
  <c r="O816" i="13015" s="1"/>
  <c r="M759" i="13015"/>
  <c r="C759" i="13015"/>
  <c r="H759" i="13015" s="1"/>
  <c r="O758" i="13015"/>
  <c r="O815" i="13015" s="1"/>
  <c r="M758" i="13015"/>
  <c r="C758" i="13015"/>
  <c r="H758" i="13015" s="1"/>
  <c r="O757" i="13015"/>
  <c r="O795" i="13015" s="1"/>
  <c r="M757" i="13015"/>
  <c r="M814" i="13015" s="1"/>
  <c r="C757" i="13015"/>
  <c r="H757" i="13015" s="1"/>
  <c r="O756" i="13015"/>
  <c r="O813" i="13015" s="1"/>
  <c r="M756" i="13015"/>
  <c r="M794" i="13015" s="1"/>
  <c r="D753" i="13015"/>
  <c r="C752" i="13015"/>
  <c r="O751" i="13015"/>
  <c r="O750" i="13015"/>
  <c r="H749" i="13015"/>
  <c r="C749" i="13015"/>
  <c r="O748" i="13015"/>
  <c r="K748" i="13015"/>
  <c r="C748" i="13015"/>
  <c r="H748" i="13015" s="1"/>
  <c r="C747" i="13015"/>
  <c r="H747" i="13015" s="1"/>
  <c r="C746" i="13015"/>
  <c r="C753" i="13015" s="1"/>
  <c r="O745" i="13015"/>
  <c r="M745" i="13015"/>
  <c r="C745" i="13015"/>
  <c r="H745" i="13015" s="1"/>
  <c r="C744" i="13015"/>
  <c r="H744" i="13015" s="1"/>
  <c r="C743" i="13015"/>
  <c r="H743" i="13015" s="1"/>
  <c r="K742" i="13015"/>
  <c r="C742" i="13015"/>
  <c r="K741" i="13015"/>
  <c r="C741" i="13015"/>
  <c r="O740" i="13015"/>
  <c r="C740" i="13015"/>
  <c r="D740" i="13015" s="1"/>
  <c r="O739" i="13015"/>
  <c r="C739" i="13015"/>
  <c r="O738" i="13015"/>
  <c r="M738" i="13015"/>
  <c r="C738" i="13015"/>
  <c r="H738" i="13015" s="1"/>
  <c r="O737" i="13015"/>
  <c r="M737" i="13015"/>
  <c r="C737" i="13015"/>
  <c r="H737" i="13015" s="1"/>
  <c r="O736" i="13015"/>
  <c r="M736" i="13015"/>
  <c r="H736" i="13015"/>
  <c r="O735" i="13015"/>
  <c r="M735" i="13015"/>
  <c r="D735" i="13015"/>
  <c r="C735" i="13015"/>
  <c r="D737" i="13015" s="1"/>
  <c r="D732" i="13015"/>
  <c r="C731" i="13015"/>
  <c r="O730" i="13015"/>
  <c r="O729" i="13015"/>
  <c r="H728" i="13015"/>
  <c r="H686" i="13015" s="1"/>
  <c r="C728" i="13015"/>
  <c r="O727" i="13015"/>
  <c r="K727" i="13015"/>
  <c r="C727" i="13015"/>
  <c r="H727" i="13015" s="1"/>
  <c r="C726" i="13015"/>
  <c r="H726" i="13015" s="1"/>
  <c r="C725" i="13015"/>
  <c r="O724" i="13015"/>
  <c r="M724" i="13015"/>
  <c r="C724" i="13015"/>
  <c r="H724" i="13015" s="1"/>
  <c r="C723" i="13015"/>
  <c r="H723" i="13015" s="1"/>
  <c r="C722" i="13015"/>
  <c r="H722" i="13015" s="1"/>
  <c r="K721" i="13015"/>
  <c r="C721" i="13015"/>
  <c r="K720" i="13015"/>
  <c r="C720" i="13015"/>
  <c r="C678" i="13015" s="1"/>
  <c r="O719" i="13015"/>
  <c r="C719" i="13015"/>
  <c r="O718" i="13015"/>
  <c r="C718" i="13015"/>
  <c r="O717" i="13015"/>
  <c r="M717" i="13015"/>
  <c r="C717" i="13015"/>
  <c r="H717" i="13015" s="1"/>
  <c r="O716" i="13015"/>
  <c r="M716" i="13015"/>
  <c r="C716" i="13015"/>
  <c r="H716" i="13015" s="1"/>
  <c r="O715" i="13015"/>
  <c r="M715" i="13015"/>
  <c r="H715" i="13015"/>
  <c r="O714" i="13015"/>
  <c r="M714" i="13015"/>
  <c r="I714" i="13015"/>
  <c r="D714" i="13015"/>
  <c r="W714" i="13015" s="1"/>
  <c r="C714" i="13015"/>
  <c r="D711" i="13015"/>
  <c r="C710" i="13015"/>
  <c r="O709" i="13015"/>
  <c r="O708" i="13015"/>
  <c r="H707" i="13015"/>
  <c r="C707" i="13015"/>
  <c r="C686" i="13015" s="1"/>
  <c r="O706" i="13015"/>
  <c r="K706" i="13015"/>
  <c r="C706" i="13015"/>
  <c r="H706" i="13015" s="1"/>
  <c r="C705" i="13015"/>
  <c r="H705" i="13015" s="1"/>
  <c r="C704" i="13015"/>
  <c r="O703" i="13015"/>
  <c r="M703" i="13015"/>
  <c r="C703" i="13015"/>
  <c r="C682" i="13015" s="1"/>
  <c r="H682" i="13015" s="1"/>
  <c r="C702" i="13015"/>
  <c r="C681" i="13015" s="1"/>
  <c r="H681" i="13015" s="1"/>
  <c r="C701" i="13015"/>
  <c r="K700" i="13015"/>
  <c r="C700" i="13015"/>
  <c r="C679" i="13015" s="1"/>
  <c r="K699" i="13015"/>
  <c r="C699" i="13015"/>
  <c r="O698" i="13015"/>
  <c r="C698" i="13015"/>
  <c r="O697" i="13015"/>
  <c r="C697" i="13015"/>
  <c r="O696" i="13015"/>
  <c r="M696" i="13015"/>
  <c r="C696" i="13015"/>
  <c r="H696" i="13015" s="1"/>
  <c r="O695" i="13015"/>
  <c r="M695" i="13015"/>
  <c r="C695" i="13015"/>
  <c r="H695" i="13015" s="1"/>
  <c r="O694" i="13015"/>
  <c r="M694" i="13015"/>
  <c r="H694" i="13015"/>
  <c r="O693" i="13015"/>
  <c r="M693" i="13015"/>
  <c r="D693" i="13015"/>
  <c r="C693" i="13015"/>
  <c r="D695" i="13015" s="1"/>
  <c r="AC690" i="13015"/>
  <c r="AD690" i="13015" s="1"/>
  <c r="O688" i="13015"/>
  <c r="O687" i="13015"/>
  <c r="I686" i="13015"/>
  <c r="D686" i="13015"/>
  <c r="Q685" i="13015"/>
  <c r="Q748" i="13015" s="1"/>
  <c r="C684" i="13015"/>
  <c r="H684" i="13015" s="1"/>
  <c r="Q682" i="13015"/>
  <c r="C677" i="13015"/>
  <c r="C675" i="13015"/>
  <c r="H675" i="13015" s="1"/>
  <c r="C673" i="13015"/>
  <c r="H673" i="13015" s="1"/>
  <c r="D672" i="13015"/>
  <c r="C672" i="13015"/>
  <c r="H672" i="13015" s="1"/>
  <c r="O667" i="13015"/>
  <c r="O666" i="13015"/>
  <c r="C659" i="13015"/>
  <c r="C663" i="13015" s="1"/>
  <c r="C658" i="13015"/>
  <c r="C657" i="13015"/>
  <c r="C656" i="13015"/>
  <c r="C655" i="13015"/>
  <c r="O650" i="13015"/>
  <c r="O649" i="13015"/>
  <c r="C648" i="13015"/>
  <c r="C647" i="13015"/>
  <c r="C662" i="13015" s="1"/>
  <c r="C646" i="13015"/>
  <c r="C645" i="13015"/>
  <c r="C644" i="13015"/>
  <c r="C643" i="13015"/>
  <c r="C651" i="13015" s="1"/>
  <c r="C642" i="13015"/>
  <c r="C641" i="13015"/>
  <c r="C640" i="13015"/>
  <c r="C639" i="13015"/>
  <c r="C638" i="13015"/>
  <c r="C653" i="13015" s="1"/>
  <c r="D653" i="13015" s="1"/>
  <c r="O634" i="13015"/>
  <c r="O633" i="13015"/>
  <c r="C626" i="13015"/>
  <c r="C625" i="13015"/>
  <c r="C624" i="13015"/>
  <c r="C623" i="13015"/>
  <c r="C622" i="13015"/>
  <c r="O617" i="13015"/>
  <c r="O616" i="13015"/>
  <c r="C615" i="13015"/>
  <c r="C614" i="13015"/>
  <c r="C548" i="13015" s="1"/>
  <c r="C613" i="13015"/>
  <c r="C612" i="13015"/>
  <c r="C611" i="13015"/>
  <c r="C545" i="13015" s="1"/>
  <c r="C610" i="13015"/>
  <c r="C609" i="13015"/>
  <c r="C608" i="13015"/>
  <c r="C607" i="13015"/>
  <c r="C606" i="13015"/>
  <c r="C605" i="13015"/>
  <c r="C620" i="13015" s="1"/>
  <c r="D620" i="13015" s="1"/>
  <c r="O601" i="13015"/>
  <c r="O600" i="13015"/>
  <c r="M596" i="13015"/>
  <c r="C593" i="13015"/>
  <c r="C560" i="13015" s="1"/>
  <c r="C592" i="13015"/>
  <c r="C591" i="13015"/>
  <c r="C590" i="13015"/>
  <c r="C594" i="13015" s="1"/>
  <c r="C589" i="13015"/>
  <c r="M588" i="13015"/>
  <c r="U588" i="13015" s="1"/>
  <c r="O584" i="13015"/>
  <c r="O583" i="13015"/>
  <c r="C582" i="13015"/>
  <c r="C549" i="13015" s="1"/>
  <c r="C581" i="13015"/>
  <c r="C596" i="13015" s="1"/>
  <c r="C580" i="13015"/>
  <c r="C579" i="13015"/>
  <c r="C578" i="13015"/>
  <c r="C577" i="13015"/>
  <c r="C544" i="13015" s="1"/>
  <c r="C576" i="13015"/>
  <c r="C575" i="13015"/>
  <c r="C574" i="13015"/>
  <c r="C541" i="13015" s="1"/>
  <c r="C573" i="13015"/>
  <c r="C540" i="13015" s="1"/>
  <c r="C572" i="13015"/>
  <c r="C587" i="13015" s="1"/>
  <c r="O568" i="13015"/>
  <c r="O567" i="13015"/>
  <c r="F567" i="13015"/>
  <c r="F633" i="13015" s="1"/>
  <c r="I566" i="13015"/>
  <c r="H566" i="13015"/>
  <c r="D566" i="13015"/>
  <c r="C566" i="13015"/>
  <c r="F565" i="13015"/>
  <c r="F564" i="13015"/>
  <c r="F630" i="13015" s="1"/>
  <c r="O563" i="13015"/>
  <c r="O629" i="13015" s="1"/>
  <c r="M563" i="13015"/>
  <c r="M629" i="13015" s="1"/>
  <c r="F563" i="13015"/>
  <c r="F629" i="13015" s="1"/>
  <c r="F562" i="13015"/>
  <c r="F661" i="13015" s="1"/>
  <c r="F561" i="13015"/>
  <c r="K560" i="13015"/>
  <c r="K626" i="13015" s="1"/>
  <c r="K559" i="13015"/>
  <c r="K658" i="13015" s="1"/>
  <c r="C558" i="13015"/>
  <c r="O556" i="13015"/>
  <c r="O655" i="13015" s="1"/>
  <c r="M556" i="13015"/>
  <c r="M622" i="13015" s="1"/>
  <c r="F556" i="13015"/>
  <c r="F622" i="13015" s="1"/>
  <c r="C556" i="13015"/>
  <c r="H556" i="13015" s="1"/>
  <c r="O555" i="13015"/>
  <c r="O621" i="13015" s="1"/>
  <c r="W621" i="13015" s="1"/>
  <c r="M555" i="13015"/>
  <c r="M621" i="13015" s="1"/>
  <c r="U621" i="13015" s="1"/>
  <c r="F555" i="13015"/>
  <c r="F621" i="13015" s="1"/>
  <c r="D555" i="13015"/>
  <c r="I555" i="13015" s="1"/>
  <c r="C555" i="13015"/>
  <c r="O554" i="13015"/>
  <c r="O653" i="13015" s="1"/>
  <c r="M554" i="13015"/>
  <c r="M620" i="13015" s="1"/>
  <c r="F554" i="13015"/>
  <c r="F620" i="13015" s="1"/>
  <c r="O551" i="13015"/>
  <c r="O550" i="13015"/>
  <c r="O549" i="13015"/>
  <c r="O582" i="13015" s="1"/>
  <c r="K549" i="13015"/>
  <c r="K648" i="13015" s="1"/>
  <c r="Q548" i="13015"/>
  <c r="Q614" i="13015" s="1"/>
  <c r="O548" i="13015"/>
  <c r="O647" i="13015" s="1"/>
  <c r="M548" i="13015"/>
  <c r="M614" i="13015" s="1"/>
  <c r="M547" i="13015"/>
  <c r="M613" i="13015" s="1"/>
  <c r="K547" i="13015"/>
  <c r="K646" i="13015" s="1"/>
  <c r="C547" i="13015"/>
  <c r="M546" i="13015"/>
  <c r="M612" i="13015" s="1"/>
  <c r="K546" i="13015"/>
  <c r="K579" i="13015" s="1"/>
  <c r="C546" i="13015"/>
  <c r="M545" i="13015"/>
  <c r="M611" i="13015" s="1"/>
  <c r="K545" i="13015"/>
  <c r="K644" i="13015" s="1"/>
  <c r="Q544" i="13015"/>
  <c r="Q610" i="13015" s="1"/>
  <c r="M544" i="13015"/>
  <c r="M610" i="13015" s="1"/>
  <c r="K544" i="13015"/>
  <c r="K577" i="13015" s="1"/>
  <c r="C543" i="13015"/>
  <c r="C542" i="13015"/>
  <c r="O539" i="13015"/>
  <c r="O572" i="13015" s="1"/>
  <c r="M539" i="13015"/>
  <c r="M605" i="13015" s="1"/>
  <c r="C539" i="13015"/>
  <c r="O535" i="13015"/>
  <c r="O534" i="13015"/>
  <c r="C531" i="13015"/>
  <c r="C527" i="13015"/>
  <c r="C526" i="13015"/>
  <c r="C525" i="13015"/>
  <c r="C524" i="13015"/>
  <c r="C528" i="13015" s="1"/>
  <c r="C523" i="13015"/>
  <c r="O517" i="13015"/>
  <c r="O516" i="13015"/>
  <c r="C515" i="13015"/>
  <c r="C514" i="13015"/>
  <c r="C513" i="13015"/>
  <c r="C512" i="13015"/>
  <c r="C511" i="13015"/>
  <c r="C510" i="13015"/>
  <c r="C509" i="13015"/>
  <c r="C508" i="13015"/>
  <c r="C507" i="13015"/>
  <c r="C506" i="13015"/>
  <c r="C505" i="13015"/>
  <c r="C520" i="13015" s="1"/>
  <c r="D520" i="13015" s="1"/>
  <c r="O501" i="13015"/>
  <c r="O500" i="13015"/>
  <c r="C493" i="13015"/>
  <c r="C492" i="13015"/>
  <c r="C390" i="13015" s="1"/>
  <c r="C491" i="13015"/>
  <c r="C490" i="13015"/>
  <c r="C494" i="13015" s="1"/>
  <c r="C489" i="13015"/>
  <c r="O483" i="13015"/>
  <c r="O482" i="13015"/>
  <c r="C481" i="13015"/>
  <c r="C480" i="13015"/>
  <c r="C496" i="13015" s="1"/>
  <c r="C479" i="13015"/>
  <c r="C478" i="13015"/>
  <c r="C477" i="13015"/>
  <c r="C476" i="13015"/>
  <c r="C475" i="13015"/>
  <c r="C373" i="13015" s="1"/>
  <c r="C474" i="13015"/>
  <c r="C473" i="13015"/>
  <c r="C472" i="13015"/>
  <c r="C471" i="13015"/>
  <c r="C486" i="13015" s="1"/>
  <c r="D486" i="13015" s="1"/>
  <c r="O467" i="13015"/>
  <c r="O466" i="13015"/>
  <c r="C459" i="13015"/>
  <c r="C463" i="13015" s="1"/>
  <c r="C458" i="13015"/>
  <c r="C457" i="13015"/>
  <c r="C456" i="13015"/>
  <c r="C460" i="13015" s="1"/>
  <c r="C455" i="13015"/>
  <c r="O449" i="13015"/>
  <c r="O448" i="13015"/>
  <c r="C447" i="13015"/>
  <c r="C446" i="13015"/>
  <c r="C445" i="13015"/>
  <c r="C444" i="13015"/>
  <c r="C443" i="13015"/>
  <c r="C442" i="13015"/>
  <c r="C441" i="13015"/>
  <c r="C440" i="13015"/>
  <c r="C439" i="13015"/>
  <c r="C438" i="13015"/>
  <c r="C437" i="13015"/>
  <c r="C452" i="13015" s="1"/>
  <c r="D452" i="13015" s="1"/>
  <c r="O433" i="13015"/>
  <c r="O432" i="13015"/>
  <c r="C425" i="13015"/>
  <c r="C424" i="13015"/>
  <c r="C423" i="13015"/>
  <c r="C422" i="13015"/>
  <c r="C426" i="13015" s="1"/>
  <c r="C427" i="13015" s="1"/>
  <c r="C421" i="13015"/>
  <c r="O415" i="13015"/>
  <c r="O414" i="13015"/>
  <c r="C413" i="13015"/>
  <c r="C412" i="13015"/>
  <c r="C428" i="13015" s="1"/>
  <c r="C411" i="13015"/>
  <c r="C410" i="13015"/>
  <c r="C409" i="13015"/>
  <c r="C375" i="13015" s="1"/>
  <c r="C408" i="13015"/>
  <c r="C407" i="13015"/>
  <c r="C406" i="13015"/>
  <c r="C405" i="13015"/>
  <c r="C404" i="13015"/>
  <c r="C403" i="13015"/>
  <c r="C418" i="13015" s="1"/>
  <c r="O399" i="13015"/>
  <c r="O398" i="13015"/>
  <c r="I397" i="13015"/>
  <c r="H397" i="13015"/>
  <c r="D397" i="13015"/>
  <c r="C397" i="13015"/>
  <c r="C391" i="13015"/>
  <c r="C389" i="13015"/>
  <c r="C388" i="13015"/>
  <c r="C387" i="13015"/>
  <c r="D386" i="13015"/>
  <c r="C386" i="13015"/>
  <c r="D385" i="13015"/>
  <c r="C385" i="13015"/>
  <c r="O381" i="13015"/>
  <c r="O380" i="13015"/>
  <c r="C379" i="13015"/>
  <c r="C377" i="13015"/>
  <c r="C371" i="13015"/>
  <c r="C369" i="13015"/>
  <c r="O364" i="13015"/>
  <c r="O363" i="13015"/>
  <c r="C355" i="13015"/>
  <c r="C354" i="13015"/>
  <c r="C353" i="13015"/>
  <c r="C352" i="13015"/>
  <c r="C356" i="13015" s="1"/>
  <c r="C351" i="13015"/>
  <c r="O345" i="13015"/>
  <c r="O344" i="13015"/>
  <c r="C343" i="13015"/>
  <c r="C342" i="13015"/>
  <c r="C358" i="13015" s="1"/>
  <c r="C341" i="13015"/>
  <c r="C340" i="13015"/>
  <c r="C339" i="13015"/>
  <c r="C338" i="13015"/>
  <c r="C337" i="13015"/>
  <c r="C336" i="13015"/>
  <c r="C335" i="13015"/>
  <c r="C334" i="13015"/>
  <c r="C333" i="13015"/>
  <c r="C348" i="13015" s="1"/>
  <c r="D348" i="13015" s="1"/>
  <c r="O328" i="13015"/>
  <c r="O327" i="13015"/>
  <c r="C319" i="13015"/>
  <c r="C318" i="13015"/>
  <c r="C317" i="13015"/>
  <c r="C316" i="13015"/>
  <c r="C315" i="13015"/>
  <c r="F313" i="13015"/>
  <c r="H313" i="13015" s="1"/>
  <c r="O309" i="13015"/>
  <c r="O308" i="13015"/>
  <c r="C307" i="13015"/>
  <c r="C306" i="13015"/>
  <c r="C322" i="13015" s="1"/>
  <c r="C305" i="13015"/>
  <c r="C304" i="13015"/>
  <c r="C303" i="13015"/>
  <c r="C302" i="13015"/>
  <c r="C230" i="13015" s="1"/>
  <c r="C301" i="13015"/>
  <c r="C300" i="13015"/>
  <c r="C299" i="13015"/>
  <c r="C227" i="13015" s="1"/>
  <c r="C298" i="13015"/>
  <c r="C226" i="13015" s="1"/>
  <c r="C297" i="13015"/>
  <c r="C312" i="13015" s="1"/>
  <c r="D312" i="13015" s="1"/>
  <c r="O292" i="13015"/>
  <c r="O291" i="13015"/>
  <c r="M291" i="13015"/>
  <c r="K291" i="13015"/>
  <c r="C289" i="13015"/>
  <c r="M286" i="13015"/>
  <c r="C286" i="13015"/>
  <c r="C283" i="13015"/>
  <c r="C282" i="13015"/>
  <c r="C281" i="13015"/>
  <c r="C280" i="13015"/>
  <c r="C279" i="13015"/>
  <c r="M278" i="13015"/>
  <c r="U278" i="13015" s="1"/>
  <c r="I278" i="13015"/>
  <c r="H278" i="13015"/>
  <c r="O277" i="13015"/>
  <c r="W277" i="13015" s="1"/>
  <c r="I277" i="13015"/>
  <c r="H277" i="13015"/>
  <c r="O273" i="13015"/>
  <c r="O272" i="13015"/>
  <c r="C271" i="13015"/>
  <c r="C270" i="13015"/>
  <c r="C234" i="13015" s="1"/>
  <c r="M269" i="13015"/>
  <c r="C269" i="13015"/>
  <c r="C268" i="13015"/>
  <c r="C267" i="13015"/>
  <c r="C274" i="13015" s="1"/>
  <c r="C266" i="13015"/>
  <c r="C265" i="13015"/>
  <c r="C264" i="13015"/>
  <c r="C263" i="13015"/>
  <c r="C262" i="13015"/>
  <c r="C261" i="13015"/>
  <c r="C225" i="13015" s="1"/>
  <c r="C257" i="13015"/>
  <c r="O256" i="13015"/>
  <c r="O255" i="13015"/>
  <c r="F255" i="13015"/>
  <c r="F363" i="13015" s="1"/>
  <c r="I254" i="13015"/>
  <c r="H254" i="13015"/>
  <c r="D254" i="13015"/>
  <c r="C254" i="13015"/>
  <c r="Q253" i="13015"/>
  <c r="Q361" i="13015" s="1"/>
  <c r="O253" i="13015"/>
  <c r="O361" i="13015" s="1"/>
  <c r="K253" i="13015"/>
  <c r="K361" i="13015" s="1"/>
  <c r="F253" i="13015"/>
  <c r="F252" i="13015"/>
  <c r="F396" i="13015" s="1"/>
  <c r="F251" i="13015"/>
  <c r="Q250" i="13015"/>
  <c r="Q394" i="13015" s="1"/>
  <c r="O250" i="13015"/>
  <c r="O394" i="13015" s="1"/>
  <c r="M250" i="13015"/>
  <c r="M394" i="13015" s="1"/>
  <c r="F250" i="13015"/>
  <c r="F394" i="13015" s="1"/>
  <c r="F249" i="13015"/>
  <c r="F248" i="13015"/>
  <c r="F392" i="13015" s="1"/>
  <c r="K247" i="13015"/>
  <c r="K391" i="13015" s="1"/>
  <c r="C247" i="13015"/>
  <c r="K246" i="13015"/>
  <c r="K390" i="13015" s="1"/>
  <c r="O245" i="13015"/>
  <c r="C245" i="13015"/>
  <c r="O244" i="13015"/>
  <c r="O243" i="13015"/>
  <c r="O387" i="13015" s="1"/>
  <c r="M243" i="13015"/>
  <c r="M279" i="13015" s="1"/>
  <c r="F243" i="13015"/>
  <c r="O242" i="13015"/>
  <c r="O386" i="13015" s="1"/>
  <c r="M242" i="13015"/>
  <c r="M386" i="13015" s="1"/>
  <c r="F242" i="13015"/>
  <c r="F386" i="13015" s="1"/>
  <c r="D242" i="13015"/>
  <c r="C242" i="13015"/>
  <c r="O241" i="13015"/>
  <c r="O349" i="13015" s="1"/>
  <c r="W349" i="13015" s="1"/>
  <c r="M241" i="13015"/>
  <c r="M349" i="13015" s="1"/>
  <c r="U349" i="13015" s="1"/>
  <c r="I241" i="13015"/>
  <c r="F241" i="13015"/>
  <c r="F349" i="13015" s="1"/>
  <c r="D241" i="13015"/>
  <c r="C241" i="13015"/>
  <c r="H241" i="13015" s="1"/>
  <c r="O240" i="13015"/>
  <c r="O384" i="13015" s="1"/>
  <c r="M240" i="13015"/>
  <c r="M384" i="13015" s="1"/>
  <c r="F240" i="13015"/>
  <c r="F384" i="13015" s="1"/>
  <c r="O237" i="13015"/>
  <c r="O236" i="13015"/>
  <c r="Q235" i="13015"/>
  <c r="Q379" i="13015" s="1"/>
  <c r="O235" i="13015"/>
  <c r="O271" i="13015" s="1"/>
  <c r="K235" i="13015"/>
  <c r="K271" i="13015" s="1"/>
  <c r="C235" i="13015"/>
  <c r="Q234" i="13015"/>
  <c r="Q378" i="13015" s="1"/>
  <c r="O234" i="13015"/>
  <c r="O270" i="13015" s="1"/>
  <c r="M234" i="13015"/>
  <c r="M378" i="13015" s="1"/>
  <c r="K234" i="13015"/>
  <c r="K270" i="13015" s="1"/>
  <c r="M233" i="13015"/>
  <c r="M377" i="13015" s="1"/>
  <c r="K233" i="13015"/>
  <c r="K269" i="13015" s="1"/>
  <c r="C233" i="13015"/>
  <c r="M232" i="13015"/>
  <c r="M376" i="13015" s="1"/>
  <c r="K232" i="13015"/>
  <c r="K268" i="13015" s="1"/>
  <c r="C232" i="13015"/>
  <c r="M231" i="13015"/>
  <c r="M375" i="13015" s="1"/>
  <c r="K231" i="13015"/>
  <c r="K267" i="13015" s="1"/>
  <c r="Q230" i="13015"/>
  <c r="Q374" i="13015" s="1"/>
  <c r="M230" i="13015"/>
  <c r="M374" i="13015" s="1"/>
  <c r="K230" i="13015"/>
  <c r="K266" i="13015" s="1"/>
  <c r="C229" i="13015"/>
  <c r="C228" i="13015"/>
  <c r="O225" i="13015"/>
  <c r="O261" i="13015" s="1"/>
  <c r="M225" i="13015"/>
  <c r="M369" i="13015" s="1"/>
  <c r="D222" i="13015"/>
  <c r="I19" i="13013" s="1"/>
  <c r="O221" i="13015"/>
  <c r="C221" i="13015"/>
  <c r="O220" i="13015"/>
  <c r="H219" i="13015"/>
  <c r="C219" i="13015"/>
  <c r="M218" i="13015"/>
  <c r="C218" i="13015"/>
  <c r="C217" i="13015"/>
  <c r="C216" i="13015"/>
  <c r="C215" i="13015"/>
  <c r="C214" i="13015"/>
  <c r="C213" i="13015"/>
  <c r="C212" i="13015"/>
  <c r="C211" i="13015"/>
  <c r="C210" i="13015"/>
  <c r="C209" i="13015"/>
  <c r="C208" i="13015"/>
  <c r="C207" i="13015"/>
  <c r="C206" i="13015"/>
  <c r="Q205" i="13015"/>
  <c r="M205" i="13015"/>
  <c r="K205" i="13015"/>
  <c r="C205" i="13015"/>
  <c r="Q204" i="13015"/>
  <c r="M204" i="13015"/>
  <c r="K204" i="13015"/>
  <c r="C204" i="13015"/>
  <c r="C203" i="13015"/>
  <c r="C202" i="13015"/>
  <c r="C200" i="13015"/>
  <c r="C199" i="13015"/>
  <c r="C197" i="13015"/>
  <c r="Q196" i="13015"/>
  <c r="O196" i="13015"/>
  <c r="M196" i="13015"/>
  <c r="C196" i="13015"/>
  <c r="Q195" i="13015"/>
  <c r="O195" i="13015"/>
  <c r="M195" i="13015"/>
  <c r="C195" i="13015"/>
  <c r="O194" i="13015"/>
  <c r="W194" i="13015" s="1"/>
  <c r="M194" i="13015"/>
  <c r="U194" i="13015" s="1"/>
  <c r="C194" i="13015"/>
  <c r="O193" i="13015"/>
  <c r="W193" i="13015" s="1"/>
  <c r="M193" i="13015"/>
  <c r="U193" i="13015" s="1"/>
  <c r="H192" i="13015"/>
  <c r="C192" i="13015"/>
  <c r="C193" i="13015" s="1"/>
  <c r="Q191" i="13015"/>
  <c r="O191" i="13015"/>
  <c r="M191" i="13015"/>
  <c r="C191" i="13015"/>
  <c r="Q190" i="13015"/>
  <c r="O190" i="13015"/>
  <c r="M190" i="13015"/>
  <c r="C189" i="13015"/>
  <c r="D189" i="13015" s="1"/>
  <c r="D188" i="13015"/>
  <c r="C188" i="13015"/>
  <c r="D185" i="13015"/>
  <c r="I18" i="13013" s="1"/>
  <c r="O184" i="13015"/>
  <c r="C184" i="13015"/>
  <c r="O183" i="13015"/>
  <c r="H182" i="13015"/>
  <c r="C182" i="13015"/>
  <c r="AB181" i="13015"/>
  <c r="M181" i="13015"/>
  <c r="C181" i="13015"/>
  <c r="C180" i="13015"/>
  <c r="C179" i="13015"/>
  <c r="C178" i="13015"/>
  <c r="C177" i="13015"/>
  <c r="C176" i="13015"/>
  <c r="C185" i="13015" s="1"/>
  <c r="C175" i="13015"/>
  <c r="C174" i="13015"/>
  <c r="C173" i="13015"/>
  <c r="C172" i="13015"/>
  <c r="C171" i="13015"/>
  <c r="C170" i="13015"/>
  <c r="C169" i="13015"/>
  <c r="Q168" i="13015"/>
  <c r="M168" i="13015"/>
  <c r="K168" i="13015"/>
  <c r="C168" i="13015"/>
  <c r="Q167" i="13015"/>
  <c r="M167" i="13015"/>
  <c r="K167" i="13015"/>
  <c r="C167" i="13015"/>
  <c r="H166" i="13015"/>
  <c r="C166" i="13015"/>
  <c r="D166" i="13015" s="1"/>
  <c r="I166" i="13015" s="1"/>
  <c r="C165" i="13015"/>
  <c r="C163" i="13015"/>
  <c r="D163" i="13015" s="1"/>
  <c r="C162" i="13015"/>
  <c r="C160" i="13015"/>
  <c r="Q159" i="13015"/>
  <c r="O159" i="13015"/>
  <c r="M159" i="13015"/>
  <c r="C159" i="13015"/>
  <c r="D159" i="13015" s="1"/>
  <c r="Q158" i="13015"/>
  <c r="O158" i="13015"/>
  <c r="M158" i="13015"/>
  <c r="H158" i="13015"/>
  <c r="C158" i="13015"/>
  <c r="D158" i="13015" s="1"/>
  <c r="O157" i="13015"/>
  <c r="M157" i="13015"/>
  <c r="C157" i="13015"/>
  <c r="O156" i="13015"/>
  <c r="M156" i="13015"/>
  <c r="C155" i="13015"/>
  <c r="C156" i="13015" s="1"/>
  <c r="Q154" i="13015"/>
  <c r="O154" i="13015"/>
  <c r="M154" i="13015"/>
  <c r="C154" i="13015"/>
  <c r="D154" i="13015" s="1"/>
  <c r="Q153" i="13015"/>
  <c r="O153" i="13015"/>
  <c r="M153" i="13015"/>
  <c r="H152" i="13015"/>
  <c r="C152" i="13015"/>
  <c r="D152" i="13015" s="1"/>
  <c r="D151" i="13015"/>
  <c r="C151" i="13015"/>
  <c r="D148" i="13015"/>
  <c r="I17" i="13013" s="1"/>
  <c r="O147" i="13015"/>
  <c r="C147" i="13015"/>
  <c r="O146" i="13015"/>
  <c r="H145" i="13015"/>
  <c r="C145" i="13015"/>
  <c r="M144" i="13015"/>
  <c r="C144" i="13015"/>
  <c r="C143" i="13015"/>
  <c r="C142" i="13015"/>
  <c r="C141" i="13015"/>
  <c r="C140" i="13015"/>
  <c r="C139" i="13015"/>
  <c r="C138" i="13015"/>
  <c r="C137" i="13015"/>
  <c r="C136" i="13015"/>
  <c r="C135" i="13015"/>
  <c r="C134" i="13015"/>
  <c r="C133" i="13015"/>
  <c r="C132" i="13015"/>
  <c r="Q131" i="13015"/>
  <c r="M131" i="13015"/>
  <c r="K131" i="13015"/>
  <c r="C131" i="13015"/>
  <c r="Q130" i="13015"/>
  <c r="M130" i="13015"/>
  <c r="K130" i="13015"/>
  <c r="C130" i="13015"/>
  <c r="H129" i="13015"/>
  <c r="C129" i="13015"/>
  <c r="C128" i="13015"/>
  <c r="C126" i="13015"/>
  <c r="D126" i="13015" s="1"/>
  <c r="I126" i="13015" s="1"/>
  <c r="C125" i="13015"/>
  <c r="C123" i="13015"/>
  <c r="Q122" i="13015"/>
  <c r="O122" i="13015"/>
  <c r="M122" i="13015"/>
  <c r="C122" i="13015"/>
  <c r="Q121" i="13015"/>
  <c r="O121" i="13015"/>
  <c r="M121" i="13015"/>
  <c r="C121" i="13015"/>
  <c r="O120" i="13015"/>
  <c r="M120" i="13015"/>
  <c r="C120" i="13015"/>
  <c r="O119" i="13015"/>
  <c r="M119" i="13015"/>
  <c r="C118" i="13015"/>
  <c r="C119" i="13015" s="1"/>
  <c r="Q117" i="13015"/>
  <c r="O117" i="13015"/>
  <c r="M117" i="13015"/>
  <c r="C117" i="13015"/>
  <c r="Q116" i="13015"/>
  <c r="O116" i="13015"/>
  <c r="M116" i="13015"/>
  <c r="C115" i="13015"/>
  <c r="D115" i="13015" s="1"/>
  <c r="D114" i="13015"/>
  <c r="G17" i="13013" s="1"/>
  <c r="C114" i="13015"/>
  <c r="O110" i="13015"/>
  <c r="C110" i="13015"/>
  <c r="O109" i="13015"/>
  <c r="H108" i="13015"/>
  <c r="C108" i="13015"/>
  <c r="M107" i="13015"/>
  <c r="H107" i="13015"/>
  <c r="C107" i="13015"/>
  <c r="C106" i="13015"/>
  <c r="H106" i="13015" s="1"/>
  <c r="H105" i="13015"/>
  <c r="C105" i="13015"/>
  <c r="C103" i="13015"/>
  <c r="C102" i="13015"/>
  <c r="C111" i="13015" s="1"/>
  <c r="C100" i="13015"/>
  <c r="C99" i="13015"/>
  <c r="C97" i="13015"/>
  <c r="H97" i="13015" s="1"/>
  <c r="C96" i="13015"/>
  <c r="H94" i="13015"/>
  <c r="C94" i="13015"/>
  <c r="Q93" i="13015"/>
  <c r="O93" i="13015"/>
  <c r="M93" i="13015"/>
  <c r="C93" i="13015"/>
  <c r="H93" i="13015" s="1"/>
  <c r="Q92" i="13015"/>
  <c r="O92" i="13015"/>
  <c r="M92" i="13015"/>
  <c r="H92" i="13015"/>
  <c r="O91" i="13015"/>
  <c r="W91" i="13015" s="1"/>
  <c r="M91" i="13015"/>
  <c r="U91" i="13015" s="1"/>
  <c r="C91" i="13015"/>
  <c r="O90" i="13015"/>
  <c r="W90" i="13015" s="1"/>
  <c r="M90" i="13015"/>
  <c r="U90" i="13015" s="1"/>
  <c r="C89" i="13015"/>
  <c r="C90" i="13015" s="1"/>
  <c r="Q88" i="13015"/>
  <c r="O88" i="13015"/>
  <c r="M88" i="13015"/>
  <c r="C88" i="13015"/>
  <c r="Q87" i="13015"/>
  <c r="O87" i="13015"/>
  <c r="M87" i="13015"/>
  <c r="C86" i="13015"/>
  <c r="C87" i="13015" s="1"/>
  <c r="C85" i="13015"/>
  <c r="O81" i="13015"/>
  <c r="C81" i="13015"/>
  <c r="O80" i="13015"/>
  <c r="H79" i="13015"/>
  <c r="C79" i="13015"/>
  <c r="M78" i="13015"/>
  <c r="H78" i="13015"/>
  <c r="C78" i="13015"/>
  <c r="H77" i="13015"/>
  <c r="C77" i="13015"/>
  <c r="H76" i="13015"/>
  <c r="C76" i="13015"/>
  <c r="H75" i="13015"/>
  <c r="C75" i="13015"/>
  <c r="H74" i="13015"/>
  <c r="C74" i="13015"/>
  <c r="H73" i="13015"/>
  <c r="H80" i="13015" s="1"/>
  <c r="C73" i="13015"/>
  <c r="C82" i="13015" s="1"/>
  <c r="H72" i="13015"/>
  <c r="C72" i="13015"/>
  <c r="H71" i="13015"/>
  <c r="C71" i="13015"/>
  <c r="C70" i="13015"/>
  <c r="C69" i="13015"/>
  <c r="C68" i="13015"/>
  <c r="C67" i="13015"/>
  <c r="C66" i="13015"/>
  <c r="Q65" i="13015"/>
  <c r="M65" i="13015"/>
  <c r="K65" i="13015"/>
  <c r="C65" i="13015"/>
  <c r="Q64" i="13015"/>
  <c r="M64" i="13015"/>
  <c r="K64" i="13015"/>
  <c r="C64" i="13015"/>
  <c r="C63" i="13015"/>
  <c r="H63" i="13015" s="1"/>
  <c r="C62" i="13015"/>
  <c r="H60" i="13015"/>
  <c r="C60" i="13015"/>
  <c r="C59" i="13015"/>
  <c r="C57" i="13015"/>
  <c r="C58" i="13015" s="1"/>
  <c r="Q56" i="13015"/>
  <c r="O56" i="13015"/>
  <c r="M56" i="13015"/>
  <c r="H56" i="13015"/>
  <c r="C56" i="13015"/>
  <c r="Q55" i="13015"/>
  <c r="O55" i="13015"/>
  <c r="M55" i="13015"/>
  <c r="H55" i="13015"/>
  <c r="C55" i="13015"/>
  <c r="O54" i="13015"/>
  <c r="M54" i="13015"/>
  <c r="C54" i="13015"/>
  <c r="O53" i="13015"/>
  <c r="M53" i="13015"/>
  <c r="H52" i="13015"/>
  <c r="C52" i="13015"/>
  <c r="C53" i="13015" s="1"/>
  <c r="Q51" i="13015"/>
  <c r="O51" i="13015"/>
  <c r="M51" i="13015"/>
  <c r="C51" i="13015"/>
  <c r="Q50" i="13015"/>
  <c r="O50" i="13015"/>
  <c r="M50" i="13015"/>
  <c r="H49" i="13015"/>
  <c r="C49" i="13015"/>
  <c r="C48" i="13015"/>
  <c r="AC45" i="13015"/>
  <c r="AD45" i="13015" s="1"/>
  <c r="AE45" i="13015" s="1"/>
  <c r="D45" i="13015"/>
  <c r="I14" i="13013" s="1"/>
  <c r="C44" i="13015"/>
  <c r="H42" i="13015"/>
  <c r="C42" i="13015"/>
  <c r="Q41" i="13015"/>
  <c r="H41" i="13015"/>
  <c r="C41" i="13015"/>
  <c r="C40" i="13015"/>
  <c r="H40" i="13015" s="1"/>
  <c r="H39" i="13015"/>
  <c r="C39" i="13015"/>
  <c r="C38" i="13015"/>
  <c r="H38" i="13015" s="1"/>
  <c r="H37" i="13015"/>
  <c r="C37" i="13015"/>
  <c r="C36" i="13015"/>
  <c r="H36" i="13015" s="1"/>
  <c r="H43" i="13015" s="1"/>
  <c r="H35" i="13015"/>
  <c r="C35" i="13015"/>
  <c r="C34" i="13015"/>
  <c r="H34" i="13015" s="1"/>
  <c r="C33" i="13015"/>
  <c r="C32" i="13015"/>
  <c r="C31" i="13015"/>
  <c r="C30" i="13015"/>
  <c r="C29" i="13015"/>
  <c r="C28" i="13015"/>
  <c r="C27" i="13015"/>
  <c r="C26" i="13015"/>
  <c r="H26" i="13015" s="1"/>
  <c r="AB25" i="13015"/>
  <c r="C25" i="13015"/>
  <c r="C23" i="13015"/>
  <c r="C24" i="13015" s="1"/>
  <c r="C22" i="13015"/>
  <c r="C20" i="13015"/>
  <c r="C21" i="13015" s="1"/>
  <c r="AB19" i="13015"/>
  <c r="K19" i="13015"/>
  <c r="K196" i="13015" s="1"/>
  <c r="C19" i="13015"/>
  <c r="H19" i="13015" s="1"/>
  <c r="K18" i="13015"/>
  <c r="K195" i="13015" s="1"/>
  <c r="C18" i="13015"/>
  <c r="H18" i="13015" s="1"/>
  <c r="C17" i="13015"/>
  <c r="C15" i="13015"/>
  <c r="K14" i="13015"/>
  <c r="C14" i="13015"/>
  <c r="K13" i="13015"/>
  <c r="K190" i="13015" s="1"/>
  <c r="C12" i="13015"/>
  <c r="H12" i="13015" s="1"/>
  <c r="D11" i="13015"/>
  <c r="G14" i="13013" s="1"/>
  <c r="C11" i="13015"/>
  <c r="A4" i="13015"/>
  <c r="A3" i="13015"/>
  <c r="A15" i="13014"/>
  <c r="I11" i="13014"/>
  <c r="G11" i="13014"/>
  <c r="E11" i="13014"/>
  <c r="A6" i="13014"/>
  <c r="A5" i="13014"/>
  <c r="A17" i="13013"/>
  <c r="A16" i="13013"/>
  <c r="A18" i="13013" s="1"/>
  <c r="A15" i="13013"/>
  <c r="E11" i="13013"/>
  <c r="A6" i="13013"/>
  <c r="A5" i="13013"/>
  <c r="C250" i="13015" l="1"/>
  <c r="H250" i="13015" s="1"/>
  <c r="C148" i="13015"/>
  <c r="AB218" i="13015"/>
  <c r="G19" i="13013"/>
  <c r="C320" i="13015"/>
  <c r="Q745" i="13015"/>
  <c r="W13" i="13022"/>
  <c r="C711" i="13015"/>
  <c r="D698" i="13015" s="1"/>
  <c r="C838" i="13015"/>
  <c r="C1030" i="13015"/>
  <c r="D1029" i="13015" s="1"/>
  <c r="H1021" i="13015"/>
  <c r="H1027" i="13015" s="1"/>
  <c r="O1112" i="13015"/>
  <c r="O1134" i="13015"/>
  <c r="C1098" i="13015"/>
  <c r="C1104" i="13015"/>
  <c r="D1107" i="13015"/>
  <c r="S1107" i="13015" s="1"/>
  <c r="D1221" i="13015"/>
  <c r="H1221" i="13015"/>
  <c r="D1225" i="13015"/>
  <c r="H1225" i="13015"/>
  <c r="H23" i="13015"/>
  <c r="H57" i="13015"/>
  <c r="D144" i="13015"/>
  <c r="D195" i="13015"/>
  <c r="D196" i="13015"/>
  <c r="D197" i="13015"/>
  <c r="D203" i="13015"/>
  <c r="I203" i="13015" s="1"/>
  <c r="M261" i="13015"/>
  <c r="M267" i="13015"/>
  <c r="M313" i="13015"/>
  <c r="U313" i="13015" s="1"/>
  <c r="Q577" i="13015"/>
  <c r="O776" i="13015"/>
  <c r="C835" i="13015"/>
  <c r="H835" i="13015" s="1"/>
  <c r="C843" i="13015"/>
  <c r="H843" i="13015" s="1"/>
  <c r="W851" i="13015"/>
  <c r="I863" i="13015"/>
  <c r="M870" i="13015"/>
  <c r="U870" i="13015" s="1"/>
  <c r="H872" i="13015"/>
  <c r="H873" i="13015"/>
  <c r="H879" i="13015"/>
  <c r="D928" i="13015"/>
  <c r="H993" i="13015"/>
  <c r="C969" i="13015"/>
  <c r="H969" i="13015" s="1"/>
  <c r="O1090" i="13015"/>
  <c r="D1093" i="13015"/>
  <c r="H1093" i="13015"/>
  <c r="H1116" i="13015"/>
  <c r="D1116" i="13015"/>
  <c r="I1116" i="13015" s="1"/>
  <c r="H1264" i="13015"/>
  <c r="C1180" i="13015"/>
  <c r="H1180" i="13015" s="1"/>
  <c r="H20" i="13015"/>
  <c r="C50" i="13015"/>
  <c r="H155" i="13015"/>
  <c r="H159" i="13015"/>
  <c r="D160" i="13015"/>
  <c r="H163" i="13015"/>
  <c r="H189" i="13015"/>
  <c r="H203" i="13015"/>
  <c r="C222" i="13015"/>
  <c r="C231" i="13015"/>
  <c r="I242" i="13015"/>
  <c r="Q270" i="13015"/>
  <c r="C276" i="13015"/>
  <c r="D276" i="13015" s="1"/>
  <c r="K283" i="13015"/>
  <c r="O313" i="13015"/>
  <c r="W313" i="13015" s="1"/>
  <c r="C532" i="13015"/>
  <c r="C585" i="13015"/>
  <c r="M580" i="13015"/>
  <c r="K593" i="13015"/>
  <c r="C685" i="13015"/>
  <c r="H685" i="13015" s="1"/>
  <c r="C689" i="13015"/>
  <c r="W693" i="13015"/>
  <c r="C732" i="13015"/>
  <c r="W735" i="13015"/>
  <c r="C766" i="13015"/>
  <c r="H766" i="13015" s="1"/>
  <c r="M775" i="13015"/>
  <c r="U775" i="13015" s="1"/>
  <c r="C791" i="13015"/>
  <c r="I824" i="13015"/>
  <c r="C834" i="13015"/>
  <c r="H834" i="13015" s="1"/>
  <c r="H851" i="13015"/>
  <c r="I862" i="13015"/>
  <c r="D867" i="13015"/>
  <c r="D856" i="13015" s="1"/>
  <c r="C900" i="13015"/>
  <c r="H900" i="13015" s="1"/>
  <c r="D911" i="13015"/>
  <c r="M916" i="13015"/>
  <c r="H999" i="13015"/>
  <c r="H1025" i="13015"/>
  <c r="D1025" i="13015"/>
  <c r="W1041" i="13015"/>
  <c r="D1092" i="13015"/>
  <c r="H1091" i="13015"/>
  <c r="H1096" i="13015" s="1"/>
  <c r="D1108" i="13015"/>
  <c r="D1114" i="13015"/>
  <c r="I1114" i="13015" s="1"/>
  <c r="H1211" i="13015"/>
  <c r="C1169" i="13015"/>
  <c r="H1169" i="13015" s="1"/>
  <c r="H1213" i="13015"/>
  <c r="C1171" i="13015"/>
  <c r="H1171" i="13015" s="1"/>
  <c r="D1220" i="13015"/>
  <c r="D1223" i="13015"/>
  <c r="D1238" i="13015"/>
  <c r="D1241" i="13015"/>
  <c r="C61" i="13015"/>
  <c r="D121" i="13015"/>
  <c r="D122" i="13015"/>
  <c r="D123" i="13015"/>
  <c r="D129" i="13015"/>
  <c r="I129" i="13015" s="1"/>
  <c r="D134" i="13015"/>
  <c r="AB144" i="13015"/>
  <c r="D147" i="13015"/>
  <c r="D155" i="13015"/>
  <c r="G18" i="13013"/>
  <c r="H160" i="13015"/>
  <c r="D165" i="13015"/>
  <c r="D200" i="13015"/>
  <c r="I200" i="13015" s="1"/>
  <c r="D218" i="13015"/>
  <c r="H242" i="13015"/>
  <c r="Q266" i="13015"/>
  <c r="M572" i="13015"/>
  <c r="M578" i="13015"/>
  <c r="F588" i="13015"/>
  <c r="I588" i="13015" s="1"/>
  <c r="F596" i="13015"/>
  <c r="C674" i="13015"/>
  <c r="H674" i="13015" s="1"/>
  <c r="M685" i="13015"/>
  <c r="I693" i="13015"/>
  <c r="C676" i="13015"/>
  <c r="C680" i="13015"/>
  <c r="H680" i="13015" s="1"/>
  <c r="D716" i="13015"/>
  <c r="I735" i="13015"/>
  <c r="C756" i="13015"/>
  <c r="H756" i="13015" s="1"/>
  <c r="D776" i="13015"/>
  <c r="O775" i="13015"/>
  <c r="W775" i="13015" s="1"/>
  <c r="D791" i="13015"/>
  <c r="D783" i="13015" s="1"/>
  <c r="D796" i="13015"/>
  <c r="H805" i="13015"/>
  <c r="C832" i="13015"/>
  <c r="H832" i="13015" s="1"/>
  <c r="K834" i="13015"/>
  <c r="C840" i="13015"/>
  <c r="H840" i="13015" s="1"/>
  <c r="M852" i="13015"/>
  <c r="Q853" i="13015"/>
  <c r="M861" i="13015"/>
  <c r="O871" i="13015"/>
  <c r="M944" i="13015"/>
  <c r="M926" i="13015"/>
  <c r="M909" i="13015"/>
  <c r="M934" i="13015"/>
  <c r="C973" i="13015"/>
  <c r="H973" i="13015" s="1"/>
  <c r="K1105" i="13015"/>
  <c r="K1127" i="13015"/>
  <c r="K1107" i="13015"/>
  <c r="K1129" i="13015"/>
  <c r="K1085" i="13015"/>
  <c r="S1085" i="13015" s="1"/>
  <c r="C1059" i="13015"/>
  <c r="C1065" i="13015"/>
  <c r="H1065" i="13015" s="1"/>
  <c r="H1087" i="13015"/>
  <c r="C1103" i="13015"/>
  <c r="C1164" i="13015"/>
  <c r="C1185" i="13015"/>
  <c r="H1185" i="13015" s="1"/>
  <c r="C1206" i="13015"/>
  <c r="D1211" i="13015"/>
  <c r="H1229" i="13015"/>
  <c r="C1187" i="13015"/>
  <c r="H1187" i="13015" s="1"/>
  <c r="D1229" i="13015"/>
  <c r="I1519" i="13015"/>
  <c r="W1519" i="13015"/>
  <c r="W1582" i="13015"/>
  <c r="U1622" i="13015"/>
  <c r="H1655" i="13015"/>
  <c r="D1740" i="13015"/>
  <c r="I1740" i="13015" s="1"/>
  <c r="H1740" i="13015"/>
  <c r="D1745" i="13015"/>
  <c r="I1745" i="13015" s="1"/>
  <c r="H1745" i="13015"/>
  <c r="D1750" i="13015"/>
  <c r="I1750" i="13015" s="1"/>
  <c r="H1750" i="13015"/>
  <c r="D1754" i="13015"/>
  <c r="I1754" i="13015" s="1"/>
  <c r="H1754" i="13015"/>
  <c r="D1759" i="13015"/>
  <c r="I1759" i="13015" s="1"/>
  <c r="H1759" i="13015"/>
  <c r="D1763" i="13015"/>
  <c r="I1763" i="13015" s="1"/>
  <c r="H1763" i="13015"/>
  <c r="D1768" i="13015"/>
  <c r="I1768" i="13015" s="1"/>
  <c r="H1768" i="13015"/>
  <c r="D1237" i="13015"/>
  <c r="D1239" i="13015"/>
  <c r="H1282" i="13015"/>
  <c r="H1284" i="13015" s="1"/>
  <c r="H1287" i="13015" s="1"/>
  <c r="H1290" i="13015" s="1"/>
  <c r="C1378" i="13015"/>
  <c r="H1378" i="13015" s="1"/>
  <c r="C1389" i="13015"/>
  <c r="H1389" i="13015" s="1"/>
  <c r="C1436" i="13015"/>
  <c r="C1488" i="13015"/>
  <c r="H1488" i="13015" s="1"/>
  <c r="H1501" i="13015"/>
  <c r="I1560" i="13015"/>
  <c r="H1561" i="13015"/>
  <c r="C1579" i="13015"/>
  <c r="D1574" i="13015" s="1"/>
  <c r="I1574" i="13015" s="1"/>
  <c r="I1622" i="13015"/>
  <c r="Q1626" i="13015"/>
  <c r="D1661" i="13015"/>
  <c r="D1668" i="13015"/>
  <c r="I1668" i="13015" s="1"/>
  <c r="D1672" i="13015"/>
  <c r="I1672" i="13015" s="1"/>
  <c r="D1676" i="13015"/>
  <c r="I1676" i="13015" s="1"/>
  <c r="D1680" i="13015"/>
  <c r="I1680" i="13015" s="1"/>
  <c r="D1716" i="13015"/>
  <c r="I57" i="13013" s="1"/>
  <c r="D1697" i="13015"/>
  <c r="I1697" i="13015" s="1"/>
  <c r="H1843" i="13015"/>
  <c r="D1843" i="13015"/>
  <c r="D2002" i="13015"/>
  <c r="C1977" i="13015"/>
  <c r="H1977" i="13015" s="1"/>
  <c r="D2140" i="13015"/>
  <c r="C2073" i="13015"/>
  <c r="H2073" i="13015" s="1"/>
  <c r="C922" i="13015"/>
  <c r="D926" i="13015"/>
  <c r="C1011" i="13015"/>
  <c r="C1012" i="13015" s="1"/>
  <c r="C964" i="13015" s="1"/>
  <c r="C1054" i="13015"/>
  <c r="C1057" i="13015"/>
  <c r="C1061" i="13015"/>
  <c r="D1088" i="13015"/>
  <c r="D1090" i="13015"/>
  <c r="C1102" i="13015"/>
  <c r="C1058" i="13015" s="1"/>
  <c r="I1162" i="13015"/>
  <c r="D1215" i="13015"/>
  <c r="D1217" i="13015"/>
  <c r="D1224" i="13015"/>
  <c r="D1232" i="13015"/>
  <c r="D1235" i="13015"/>
  <c r="H1239" i="13015"/>
  <c r="K1387" i="13015"/>
  <c r="K2308" i="13015" s="1"/>
  <c r="C1390" i="13015"/>
  <c r="H1390" i="13015" s="1"/>
  <c r="C1402" i="13015"/>
  <c r="Z1425" i="13015"/>
  <c r="C1425" i="13015" s="1"/>
  <c r="I1439" i="13015"/>
  <c r="G32" i="13013"/>
  <c r="G34" i="13013" s="1"/>
  <c r="C1476" i="13015"/>
  <c r="D1479" i="13015"/>
  <c r="I1500" i="13015"/>
  <c r="W1500" i="13015"/>
  <c r="D1520" i="13015"/>
  <c r="C1535" i="13015"/>
  <c r="C1546" i="13015"/>
  <c r="H1560" i="13015"/>
  <c r="C1573" i="13015"/>
  <c r="C1551" i="13015" s="1"/>
  <c r="H1554" i="13015"/>
  <c r="I1582" i="13015"/>
  <c r="C1601" i="13015"/>
  <c r="D1596" i="13015" s="1"/>
  <c r="I1596" i="13015" s="1"/>
  <c r="D1663" i="13015"/>
  <c r="I1663" i="13015" s="1"/>
  <c r="D1667" i="13015"/>
  <c r="I1667" i="13015" s="1"/>
  <c r="D1671" i="13015"/>
  <c r="I1671" i="13015" s="1"/>
  <c r="D1675" i="13015"/>
  <c r="I1675" i="13015" s="1"/>
  <c r="D1679" i="13015"/>
  <c r="I1679" i="13015" s="1"/>
  <c r="H1682" i="13015"/>
  <c r="H1684" i="13015"/>
  <c r="H1686" i="13015"/>
  <c r="H1698" i="13015"/>
  <c r="D1698" i="13015"/>
  <c r="I1698" i="13015" s="1"/>
  <c r="H1701" i="13015"/>
  <c r="D1701" i="13015"/>
  <c r="I1701" i="13015" s="1"/>
  <c r="H1703" i="13015"/>
  <c r="D1703" i="13015"/>
  <c r="I1703" i="13015" s="1"/>
  <c r="H1705" i="13015"/>
  <c r="D1705" i="13015"/>
  <c r="I1705" i="13015" s="1"/>
  <c r="H1709" i="13015"/>
  <c r="D1709" i="13015"/>
  <c r="I1709" i="13015" s="1"/>
  <c r="D1743" i="13015"/>
  <c r="I1743" i="13015" s="1"/>
  <c r="H1743" i="13015"/>
  <c r="D1748" i="13015"/>
  <c r="I1748" i="13015" s="1"/>
  <c r="H1748" i="13015"/>
  <c r="D1752" i="13015"/>
  <c r="I1752" i="13015" s="1"/>
  <c r="H1752" i="13015"/>
  <c r="D1756" i="13015"/>
  <c r="I1756" i="13015" s="1"/>
  <c r="H1756" i="13015"/>
  <c r="D1761" i="13015"/>
  <c r="I1761" i="13015" s="1"/>
  <c r="H1761" i="13015"/>
  <c r="D1765" i="13015"/>
  <c r="I1765" i="13015" s="1"/>
  <c r="H1765" i="13015"/>
  <c r="H1822" i="13015"/>
  <c r="D1822" i="13015"/>
  <c r="C1811" i="13015"/>
  <c r="H1811" i="13015" s="1"/>
  <c r="D1844" i="13015"/>
  <c r="I1844" i="13015" s="1"/>
  <c r="I1846" i="13015"/>
  <c r="D2103" i="13015"/>
  <c r="C2081" i="13015"/>
  <c r="D2119" i="13015"/>
  <c r="H2119" i="13015"/>
  <c r="D922" i="13015"/>
  <c r="I935" i="13015"/>
  <c r="H1045" i="13015"/>
  <c r="H1051" i="13015" s="1"/>
  <c r="C1070" i="13015"/>
  <c r="H1070" i="13015" s="1"/>
  <c r="D1094" i="13015"/>
  <c r="C1120" i="13015"/>
  <c r="D1115" i="13015"/>
  <c r="I1115" i="13015" s="1"/>
  <c r="D1125" i="13015"/>
  <c r="O1131" i="13015"/>
  <c r="W1131" i="13015" s="1"/>
  <c r="U1149" i="13015"/>
  <c r="C1189" i="13015"/>
  <c r="H1189" i="13015" s="1"/>
  <c r="C1242" i="13015"/>
  <c r="D1212" i="13015"/>
  <c r="H1217" i="13015"/>
  <c r="D1228" i="13015"/>
  <c r="D1230" i="13015"/>
  <c r="H1235" i="13015"/>
  <c r="C1248" i="13015"/>
  <c r="D1205" i="13015"/>
  <c r="G56" i="13013" s="1"/>
  <c r="C1332" i="13015"/>
  <c r="C1385" i="13015"/>
  <c r="H1385" i="13015" s="1"/>
  <c r="Q2308" i="13015"/>
  <c r="AA13" i="13024"/>
  <c r="C1401" i="13015"/>
  <c r="C1416" i="13015"/>
  <c r="H1391" i="13015"/>
  <c r="C1377" i="13015"/>
  <c r="H1377" i="13015" s="1"/>
  <c r="Z1423" i="13015"/>
  <c r="C1423" i="13015" s="1"/>
  <c r="C1381" i="13015" s="1"/>
  <c r="Q1449" i="13015"/>
  <c r="C1502" i="13015"/>
  <c r="O1560" i="13015"/>
  <c r="W1560" i="13015" s="1"/>
  <c r="H1614" i="13015"/>
  <c r="H1631" i="13015"/>
  <c r="D1642" i="13015"/>
  <c r="D1662" i="13015"/>
  <c r="I1662" i="13015" s="1"/>
  <c r="D1683" i="13015"/>
  <c r="I1683" i="13015" s="1"/>
  <c r="D1685" i="13015"/>
  <c r="I1685" i="13015" s="1"/>
  <c r="D1687" i="13015"/>
  <c r="I1687" i="13015" s="1"/>
  <c r="D1689" i="13015"/>
  <c r="I1689" i="13015" s="1"/>
  <c r="D1691" i="13015"/>
  <c r="I1691" i="13015" s="1"/>
  <c r="D1694" i="13015"/>
  <c r="I1694" i="13015" s="1"/>
  <c r="C1855" i="13015"/>
  <c r="H1855" i="13015" s="1"/>
  <c r="C1925" i="13015"/>
  <c r="D1688" i="13015"/>
  <c r="I1688" i="13015" s="1"/>
  <c r="D1690" i="13015"/>
  <c r="I1690" i="13015" s="1"/>
  <c r="D1692" i="13015"/>
  <c r="I1692" i="13015" s="1"/>
  <c r="D1695" i="13015"/>
  <c r="I1695" i="13015" s="1"/>
  <c r="H1824" i="13015"/>
  <c r="D1833" i="13015"/>
  <c r="H1836" i="13015"/>
  <c r="H1838" i="13015" s="1"/>
  <c r="H1870" i="13015"/>
  <c r="C1911" i="13015"/>
  <c r="C1905" i="13015" s="1"/>
  <c r="Q2084" i="13015"/>
  <c r="W15" i="13030"/>
  <c r="D2026" i="13015"/>
  <c r="C2078" i="13015"/>
  <c r="D2153" i="13015"/>
  <c r="I2153" i="13015" s="1"/>
  <c r="H2184" i="13015"/>
  <c r="D2193" i="13015"/>
  <c r="H2197" i="13015"/>
  <c r="H2202" i="13015" s="1"/>
  <c r="D2200" i="13015"/>
  <c r="Z2342" i="13015"/>
  <c r="O2403" i="13015"/>
  <c r="C2487" i="13015"/>
  <c r="O2508" i="13015"/>
  <c r="W2508" i="13015" s="1"/>
  <c r="I2545" i="13015"/>
  <c r="Z2564" i="13015"/>
  <c r="C2606" i="13015"/>
  <c r="K63" i="13016"/>
  <c r="K48" i="13017" s="1"/>
  <c r="K48" i="13014"/>
  <c r="C1736" i="13015"/>
  <c r="C1773" i="13015"/>
  <c r="D1821" i="13015"/>
  <c r="S1836" i="13015"/>
  <c r="D1845" i="13015"/>
  <c r="C1907" i="13015"/>
  <c r="H2013" i="13015"/>
  <c r="D2050" i="13015"/>
  <c r="D2124" i="13015"/>
  <c r="Q2209" i="13015"/>
  <c r="Z2383" i="13015"/>
  <c r="Z2487" i="13015" s="1"/>
  <c r="O2405" i="13015"/>
  <c r="Z2444" i="13015"/>
  <c r="C2569" i="13015"/>
  <c r="Y2674" i="13015"/>
  <c r="M63" i="13013" s="1"/>
  <c r="D1696" i="13015"/>
  <c r="I1696" i="13015" s="1"/>
  <c r="C1716" i="13015"/>
  <c r="H1741" i="13015"/>
  <c r="H1744" i="13015"/>
  <c r="H1746" i="13015"/>
  <c r="H1749" i="13015"/>
  <c r="H1751" i="13015"/>
  <c r="H1753" i="13015"/>
  <c r="H1755" i="13015"/>
  <c r="H1757" i="13015"/>
  <c r="H1760" i="13015"/>
  <c r="H1762" i="13015"/>
  <c r="H1764" i="13015"/>
  <c r="H1767" i="13015"/>
  <c r="H1815" i="13015"/>
  <c r="D1834" i="13015"/>
  <c r="C1875" i="13015"/>
  <c r="C1997" i="13015"/>
  <c r="D2141" i="13015"/>
  <c r="K2407" i="13015"/>
  <c r="Y2610" i="13015"/>
  <c r="K49" i="13013"/>
  <c r="C2178" i="13015"/>
  <c r="Z2384" i="13015"/>
  <c r="Z2488" i="13015" s="1"/>
  <c r="C2488" i="13015" s="1"/>
  <c r="K52" i="13016"/>
  <c r="K37" i="13017" s="1"/>
  <c r="K37" i="13014"/>
  <c r="Y2671" i="13015"/>
  <c r="M53" i="13013" s="1"/>
  <c r="K53" i="13013"/>
  <c r="O388" i="13015"/>
  <c r="K121" i="13015"/>
  <c r="O389" i="13015"/>
  <c r="O423" i="13015" s="1"/>
  <c r="O817" i="13015"/>
  <c r="O947" i="13015"/>
  <c r="O818" i="13015"/>
  <c r="O928" i="13015"/>
  <c r="W928" i="13015" s="1"/>
  <c r="O557" i="13015"/>
  <c r="O874" i="13015"/>
  <c r="Q107" i="13015"/>
  <c r="I1977" i="13015"/>
  <c r="G43" i="13013"/>
  <c r="G46" i="13013" s="1"/>
  <c r="H2019" i="13015"/>
  <c r="H2067" i="13015"/>
  <c r="I1881" i="13015"/>
  <c r="H1555" i="13015"/>
  <c r="C1549" i="13015"/>
  <c r="H1577" i="13015"/>
  <c r="H1579" i="13015" s="1"/>
  <c r="W1538" i="13015"/>
  <c r="G36" i="13013"/>
  <c r="C1557" i="13015"/>
  <c r="W1479" i="13015"/>
  <c r="G35" i="13013"/>
  <c r="G37" i="13013" s="1"/>
  <c r="W1520" i="13015"/>
  <c r="I1479" i="13015"/>
  <c r="I1377" i="13015"/>
  <c r="D1402" i="13015"/>
  <c r="C1168" i="13015"/>
  <c r="C1170" i="13015"/>
  <c r="H1170" i="13015" s="1"/>
  <c r="C1173" i="13015"/>
  <c r="H1173" i="13015" s="1"/>
  <c r="C1175" i="13015"/>
  <c r="H1175" i="13015" s="1"/>
  <c r="C1177" i="13015"/>
  <c r="H1177" i="13015" s="1"/>
  <c r="C1179" i="13015"/>
  <c r="H1179" i="13015" s="1"/>
  <c r="C1181" i="13015"/>
  <c r="H1181" i="13015" s="1"/>
  <c r="C1183" i="13015"/>
  <c r="H1183" i="13015" s="1"/>
  <c r="C1186" i="13015"/>
  <c r="H1186" i="13015" s="1"/>
  <c r="C1188" i="13015"/>
  <c r="H1188" i="13015" s="1"/>
  <c r="C1190" i="13015"/>
  <c r="H1190" i="13015" s="1"/>
  <c r="C1193" i="13015"/>
  <c r="H1193" i="13015" s="1"/>
  <c r="C1195" i="13015"/>
  <c r="H1195" i="13015" s="1"/>
  <c r="C1197" i="13015"/>
  <c r="H1197" i="13015" s="1"/>
  <c r="C1199" i="13015"/>
  <c r="H1199" i="13015" s="1"/>
  <c r="H1210" i="13015"/>
  <c r="D1213" i="13015"/>
  <c r="H1215" i="13015"/>
  <c r="D1218" i="13015"/>
  <c r="H1219" i="13015"/>
  <c r="D1222" i="13015"/>
  <c r="H1223" i="13015"/>
  <c r="D1227" i="13015"/>
  <c r="H1228" i="13015"/>
  <c r="D1231" i="13015"/>
  <c r="H1232" i="13015"/>
  <c r="D1236" i="13015"/>
  <c r="H1237" i="13015"/>
  <c r="D1240" i="13015"/>
  <c r="H1241" i="13015"/>
  <c r="D1210" i="13015"/>
  <c r="C1368" i="13015"/>
  <c r="H1098" i="13015"/>
  <c r="W1065" i="13015"/>
  <c r="G27" i="13013"/>
  <c r="D1089" i="13015"/>
  <c r="I1089" i="13015" s="1"/>
  <c r="U1107" i="13015"/>
  <c r="C1060" i="13015"/>
  <c r="C963" i="13015"/>
  <c r="Q581" i="13015"/>
  <c r="D1010" i="13015"/>
  <c r="C961" i="13015"/>
  <c r="H902" i="13015"/>
  <c r="C664" i="13015"/>
  <c r="C904" i="13015"/>
  <c r="U832" i="13015"/>
  <c r="G25" i="13013"/>
  <c r="W832" i="13015"/>
  <c r="C464" i="13015"/>
  <c r="D779" i="13015"/>
  <c r="D804" i="13015"/>
  <c r="D418" i="13015" s="1"/>
  <c r="D784" i="13015"/>
  <c r="D797" i="13015"/>
  <c r="W672" i="13015"/>
  <c r="AI672" i="13015" s="1"/>
  <c r="G23" i="13013"/>
  <c r="U672" i="13015"/>
  <c r="C552" i="13015"/>
  <c r="C238" i="13015"/>
  <c r="O558" i="13015"/>
  <c r="O280" i="13015"/>
  <c r="O590" i="13015"/>
  <c r="A19" i="13017"/>
  <c r="S11" i="13017"/>
  <c r="U12" i="13017" s="1"/>
  <c r="M11" i="13016"/>
  <c r="S12" i="13016" s="1"/>
  <c r="K11" i="13016"/>
  <c r="A21" i="13016"/>
  <c r="A19" i="13016"/>
  <c r="A20" i="13016"/>
  <c r="K122" i="13015"/>
  <c r="S122" i="13015" s="1"/>
  <c r="K50" i="13015"/>
  <c r="D23" i="13015"/>
  <c r="D20" i="13015"/>
  <c r="D19" i="13015"/>
  <c r="C16" i="13015"/>
  <c r="H15" i="13015"/>
  <c r="D118" i="13015"/>
  <c r="I115" i="13015"/>
  <c r="D138" i="13015"/>
  <c r="I138" i="13015" s="1"/>
  <c r="I155" i="13015"/>
  <c r="U218" i="13015"/>
  <c r="I218" i="13015"/>
  <c r="M480" i="13015"/>
  <c r="M514" i="13015"/>
  <c r="M446" i="13015"/>
  <c r="M412" i="13015"/>
  <c r="O488" i="13015"/>
  <c r="W488" i="13015" s="1"/>
  <c r="O522" i="13015"/>
  <c r="W522" i="13015" s="1"/>
  <c r="O454" i="13015"/>
  <c r="W454" i="13015" s="1"/>
  <c r="W386" i="13015"/>
  <c r="O420" i="13015"/>
  <c r="W420" i="13015" s="1"/>
  <c r="O496" i="13015"/>
  <c r="O530" i="13015"/>
  <c r="O462" i="13015"/>
  <c r="O428" i="13015"/>
  <c r="D240" i="13015"/>
  <c r="I276" i="13015"/>
  <c r="D261" i="13015"/>
  <c r="K11" i="13014"/>
  <c r="C13" i="13015"/>
  <c r="C45" i="13015"/>
  <c r="D44" i="13015" s="1"/>
  <c r="H82" i="13015"/>
  <c r="D125" i="13015"/>
  <c r="D135" i="13015"/>
  <c r="D143" i="13015"/>
  <c r="I143" i="13015" s="1"/>
  <c r="I152" i="13015"/>
  <c r="D153" i="13015"/>
  <c r="Y158" i="13015"/>
  <c r="I158" i="13015"/>
  <c r="W158" i="13015"/>
  <c r="U158" i="13015"/>
  <c r="D162" i="13015"/>
  <c r="D161" i="13015" s="1"/>
  <c r="D184" i="13015"/>
  <c r="D215" i="13015"/>
  <c r="I215" i="13015" s="1"/>
  <c r="D221" i="13015"/>
  <c r="D207" i="13015" s="1"/>
  <c r="M505" i="13015"/>
  <c r="M437" i="13015"/>
  <c r="M471" i="13015"/>
  <c r="M403" i="13015"/>
  <c r="M513" i="13015"/>
  <c r="M445" i="13015"/>
  <c r="M479" i="13015"/>
  <c r="M411" i="13015"/>
  <c r="F486" i="13015"/>
  <c r="F520" i="13015"/>
  <c r="F452" i="13015"/>
  <c r="F418" i="13015"/>
  <c r="K527" i="13015"/>
  <c r="K459" i="13015"/>
  <c r="K493" i="13015"/>
  <c r="K425" i="13015"/>
  <c r="F530" i="13015"/>
  <c r="F462" i="13015"/>
  <c r="F496" i="13015"/>
  <c r="F428" i="13015"/>
  <c r="Q496" i="13015"/>
  <c r="Q428" i="13015"/>
  <c r="Q530" i="13015"/>
  <c r="Q462" i="13015"/>
  <c r="D117" i="13015"/>
  <c r="D124" i="13015"/>
  <c r="I123" i="13015"/>
  <c r="D142" i="13015"/>
  <c r="I142" i="13015" s="1"/>
  <c r="F522" i="13015"/>
  <c r="F454" i="13015"/>
  <c r="F488" i="13015"/>
  <c r="F420" i="13015"/>
  <c r="I386" i="13015"/>
  <c r="H386" i="13015"/>
  <c r="G11" i="13013"/>
  <c r="A19" i="13013"/>
  <c r="H45" i="13015"/>
  <c r="U121" i="13015"/>
  <c r="S121" i="13015"/>
  <c r="Y121" i="13015"/>
  <c r="I121" i="13015"/>
  <c r="W121" i="13015"/>
  <c r="D130" i="13015"/>
  <c r="D131" i="13015"/>
  <c r="D136" i="13015"/>
  <c r="D140" i="13015"/>
  <c r="I140" i="13015" s="1"/>
  <c r="U144" i="13015"/>
  <c r="I144" i="13015"/>
  <c r="Y154" i="13015"/>
  <c r="W154" i="13015"/>
  <c r="U154" i="13015"/>
  <c r="D157" i="13015"/>
  <c r="Y159" i="13015"/>
  <c r="I159" i="13015"/>
  <c r="W159" i="13015"/>
  <c r="U159" i="13015"/>
  <c r="I163" i="13015"/>
  <c r="D164" i="13015"/>
  <c r="I189" i="13015"/>
  <c r="U195" i="13015"/>
  <c r="S195" i="13015"/>
  <c r="Y195" i="13015"/>
  <c r="I195" i="13015"/>
  <c r="W195" i="13015"/>
  <c r="U196" i="13015"/>
  <c r="S196" i="13015"/>
  <c r="Y196" i="13015"/>
  <c r="I196" i="13015"/>
  <c r="W196" i="13015"/>
  <c r="I197" i="13015"/>
  <c r="D208" i="13015"/>
  <c r="M476" i="13015"/>
  <c r="M510" i="13015"/>
  <c r="M442" i="13015"/>
  <c r="M408" i="13015"/>
  <c r="M478" i="13015"/>
  <c r="M512" i="13015"/>
  <c r="M444" i="13015"/>
  <c r="M410" i="13015"/>
  <c r="Q514" i="13015"/>
  <c r="Q446" i="13015"/>
  <c r="Q480" i="13015"/>
  <c r="Q412" i="13015"/>
  <c r="Q481" i="13015"/>
  <c r="Q515" i="13015"/>
  <c r="Q447" i="13015"/>
  <c r="Q413" i="13015"/>
  <c r="M486" i="13015"/>
  <c r="U486" i="13015" s="1"/>
  <c r="M418" i="13015"/>
  <c r="M520" i="13015"/>
  <c r="M452" i="13015"/>
  <c r="H349" i="13015"/>
  <c r="I349" i="13015"/>
  <c r="O491" i="13015"/>
  <c r="O525" i="13015"/>
  <c r="O457" i="13015"/>
  <c r="F494" i="13015"/>
  <c r="F426" i="13015"/>
  <c r="F528" i="13015"/>
  <c r="F460" i="13015"/>
  <c r="D297" i="13015"/>
  <c r="D333" i="13015"/>
  <c r="D18" i="13015"/>
  <c r="D204" i="13015"/>
  <c r="Q510" i="13015"/>
  <c r="Q442" i="13015"/>
  <c r="Q476" i="13015"/>
  <c r="Q408" i="13015"/>
  <c r="O524" i="13015"/>
  <c r="O456" i="13015"/>
  <c r="O490" i="13015"/>
  <c r="O422" i="13015"/>
  <c r="C357" i="13015"/>
  <c r="I11" i="13013"/>
  <c r="D12" i="13015"/>
  <c r="D14" i="13015" s="1"/>
  <c r="Y14" i="13015" s="1"/>
  <c r="K88" i="13015"/>
  <c r="K117" i="13015"/>
  <c r="K51" i="13015"/>
  <c r="K191" i="13015"/>
  <c r="K154" i="13015"/>
  <c r="S154" i="13015" s="1"/>
  <c r="D82" i="13015"/>
  <c r="I15" i="13013" s="1"/>
  <c r="D81" i="13015"/>
  <c r="D120" i="13015"/>
  <c r="U122" i="13015"/>
  <c r="Y122" i="13015"/>
  <c r="I122" i="13015"/>
  <c r="W122" i="13015"/>
  <c r="D133" i="13015"/>
  <c r="D137" i="13015"/>
  <c r="I137" i="13015" s="1"/>
  <c r="D141" i="13015"/>
  <c r="I141" i="13015" s="1"/>
  <c r="I160" i="13015"/>
  <c r="D168" i="13015"/>
  <c r="D173" i="13015"/>
  <c r="D181" i="13015"/>
  <c r="D170" i="13015" s="1"/>
  <c r="D191" i="13015"/>
  <c r="D199" i="13015"/>
  <c r="D198" i="13015" s="1"/>
  <c r="D209" i="13015"/>
  <c r="D217" i="13015"/>
  <c r="I217" i="13015" s="1"/>
  <c r="M511" i="13015"/>
  <c r="M443" i="13015"/>
  <c r="M477" i="13015"/>
  <c r="M409" i="13015"/>
  <c r="O520" i="13015"/>
  <c r="O452" i="13015"/>
  <c r="W452" i="13015" s="1"/>
  <c r="O486" i="13015"/>
  <c r="O418" i="13015"/>
  <c r="M522" i="13015"/>
  <c r="U522" i="13015" s="1"/>
  <c r="M454" i="13015"/>
  <c r="U454" i="13015" s="1"/>
  <c r="M488" i="13015"/>
  <c r="U488" i="13015" s="1"/>
  <c r="M420" i="13015"/>
  <c r="U420" i="13015" s="1"/>
  <c r="U386" i="13015"/>
  <c r="O489" i="13015"/>
  <c r="O421" i="13015"/>
  <c r="O523" i="13015"/>
  <c r="O455" i="13015"/>
  <c r="K492" i="13015"/>
  <c r="K424" i="13015"/>
  <c r="K526" i="13015"/>
  <c r="K458" i="13015"/>
  <c r="M530" i="13015"/>
  <c r="M462" i="13015"/>
  <c r="M496" i="13015"/>
  <c r="M428" i="13015"/>
  <c r="F498" i="13015"/>
  <c r="F430" i="13015"/>
  <c r="F532" i="13015"/>
  <c r="F464" i="13015"/>
  <c r="C321" i="13015"/>
  <c r="M11" i="13014"/>
  <c r="S12" i="13014" s="1"/>
  <c r="A16" i="13014"/>
  <c r="D26" i="13015"/>
  <c r="I26" i="13015" s="1"/>
  <c r="D48" i="13015"/>
  <c r="G15" i="13013" s="1"/>
  <c r="Q78" i="13015"/>
  <c r="K92" i="13015"/>
  <c r="K93" i="13015"/>
  <c r="C95" i="13015"/>
  <c r="C98" i="13015"/>
  <c r="H100" i="13015"/>
  <c r="H102" i="13015"/>
  <c r="H103" i="13015"/>
  <c r="H115" i="13015"/>
  <c r="K116" i="13015"/>
  <c r="H118" i="13015"/>
  <c r="H121" i="13015"/>
  <c r="H122" i="13015"/>
  <c r="H123" i="13015"/>
  <c r="H126" i="13015"/>
  <c r="H137" i="13015"/>
  <c r="H138" i="13015"/>
  <c r="H139" i="13015"/>
  <c r="H140" i="13015"/>
  <c r="H141" i="13015"/>
  <c r="H142" i="13015"/>
  <c r="H143" i="13015"/>
  <c r="H144" i="13015"/>
  <c r="C153" i="13015"/>
  <c r="K158" i="13015"/>
  <c r="S158" i="13015" s="1"/>
  <c r="K159" i="13015"/>
  <c r="S159" i="13015" s="1"/>
  <c r="C161" i="13015"/>
  <c r="C164" i="13015"/>
  <c r="H174" i="13015"/>
  <c r="H175" i="13015"/>
  <c r="H176" i="13015"/>
  <c r="H177" i="13015"/>
  <c r="H178" i="13015"/>
  <c r="H179" i="13015"/>
  <c r="H180" i="13015"/>
  <c r="H181" i="13015"/>
  <c r="C190" i="13015"/>
  <c r="H195" i="13015"/>
  <c r="H196" i="13015"/>
  <c r="H197" i="13015"/>
  <c r="H200" i="13015"/>
  <c r="H211" i="13015"/>
  <c r="H212" i="13015"/>
  <c r="H213" i="13015"/>
  <c r="H214" i="13015"/>
  <c r="H215" i="13015"/>
  <c r="H216" i="13015"/>
  <c r="H217" i="13015"/>
  <c r="H218" i="13015"/>
  <c r="U241" i="13015"/>
  <c r="C243" i="13015"/>
  <c r="H243" i="13015" s="1"/>
  <c r="M266" i="13015"/>
  <c r="M268" i="13015"/>
  <c r="M270" i="13015"/>
  <c r="Q271" i="13015"/>
  <c r="H276" i="13015"/>
  <c r="O276" i="13015"/>
  <c r="W276" i="13015" s="1"/>
  <c r="O278" i="13015"/>
  <c r="W278" i="13015" s="1"/>
  <c r="H279" i="13015"/>
  <c r="O279" i="13015"/>
  <c r="O281" i="13015"/>
  <c r="K282" i="13015"/>
  <c r="H286" i="13015"/>
  <c r="O286" i="13015"/>
  <c r="H289" i="13015"/>
  <c r="O289" i="13015"/>
  <c r="K303" i="13015"/>
  <c r="K305" i="13015"/>
  <c r="O306" i="13015"/>
  <c r="K307" i="13015"/>
  <c r="O312" i="13015"/>
  <c r="W312" i="13015" s="1"/>
  <c r="I313" i="13015"/>
  <c r="F321" i="13015"/>
  <c r="C323" i="13015"/>
  <c r="F325" i="13015"/>
  <c r="K339" i="13015"/>
  <c r="K341" i="13015"/>
  <c r="O342" i="13015"/>
  <c r="K343" i="13015"/>
  <c r="O348" i="13015"/>
  <c r="W348" i="13015" s="1"/>
  <c r="F357" i="13015"/>
  <c r="C359" i="13015"/>
  <c r="F361" i="13015"/>
  <c r="C370" i="13015"/>
  <c r="C372" i="13015"/>
  <c r="C374" i="13015"/>
  <c r="K375" i="13015"/>
  <c r="C376" i="13015"/>
  <c r="K377" i="13015"/>
  <c r="C378" i="13015"/>
  <c r="O378" i="13015"/>
  <c r="K379" i="13015"/>
  <c r="F385" i="13015"/>
  <c r="M385" i="13015"/>
  <c r="U385" i="13015"/>
  <c r="F393" i="13015"/>
  <c r="U452" i="13015"/>
  <c r="D437" i="13015"/>
  <c r="U716" i="13015"/>
  <c r="I716" i="13015"/>
  <c r="W716" i="13015"/>
  <c r="D719" i="13015"/>
  <c r="D731" i="13015"/>
  <c r="I776" i="13015"/>
  <c r="W776" i="13015"/>
  <c r="I783" i="13015"/>
  <c r="O11" i="13014"/>
  <c r="A17" i="13014"/>
  <c r="K55" i="13015"/>
  <c r="K56" i="13015"/>
  <c r="H86" i="13015"/>
  <c r="K87" i="13015"/>
  <c r="H89" i="13015"/>
  <c r="D132" i="13015"/>
  <c r="AB145" i="13015" s="1"/>
  <c r="Q144" i="13015"/>
  <c r="Y144" i="13015" s="1"/>
  <c r="Q181" i="13015"/>
  <c r="D192" i="13015"/>
  <c r="I192" i="13015" s="1"/>
  <c r="Q218" i="13015"/>
  <c r="Y218" i="13015" s="1"/>
  <c r="C240" i="13015"/>
  <c r="H240" i="13015" s="1"/>
  <c r="I240" i="13015"/>
  <c r="W241" i="13015"/>
  <c r="U242" i="13015"/>
  <c r="C244" i="13015"/>
  <c r="C246" i="13015"/>
  <c r="M277" i="13015"/>
  <c r="U277" i="13015" s="1"/>
  <c r="Q286" i="13015"/>
  <c r="Q289" i="13015"/>
  <c r="M297" i="13015"/>
  <c r="Q302" i="13015"/>
  <c r="M303" i="13015"/>
  <c r="M305" i="13015"/>
  <c r="Q306" i="13015"/>
  <c r="F314" i="13015"/>
  <c r="M314" i="13015"/>
  <c r="U314" i="13015" s="1"/>
  <c r="O316" i="13015"/>
  <c r="K319" i="13015"/>
  <c r="F322" i="13015"/>
  <c r="M322" i="13015"/>
  <c r="O325" i="13015"/>
  <c r="M333" i="13015"/>
  <c r="Q338" i="13015"/>
  <c r="M339" i="13015"/>
  <c r="M341" i="13015"/>
  <c r="Q342" i="13015"/>
  <c r="F350" i="13015"/>
  <c r="M350" i="13015"/>
  <c r="U350" i="13015" s="1"/>
  <c r="O352" i="13015"/>
  <c r="K355" i="13015"/>
  <c r="F358" i="13015"/>
  <c r="M358" i="13015"/>
  <c r="C384" i="13015"/>
  <c r="H384" i="13015" s="1"/>
  <c r="O385" i="13015"/>
  <c r="W385" i="13015"/>
  <c r="C392" i="13015"/>
  <c r="H392" i="13015" s="1"/>
  <c r="C416" i="13015"/>
  <c r="C495" i="13015"/>
  <c r="W520" i="13015"/>
  <c r="U520" i="13015"/>
  <c r="D505" i="13015"/>
  <c r="I620" i="13015"/>
  <c r="H620" i="13015"/>
  <c r="C668" i="13015"/>
  <c r="D706" i="13015"/>
  <c r="D703" i="13015"/>
  <c r="D702" i="13015"/>
  <c r="D701" i="13015"/>
  <c r="D697" i="13015"/>
  <c r="D696" i="13015"/>
  <c r="D748" i="13015"/>
  <c r="D745" i="13015"/>
  <c r="D744" i="13015"/>
  <c r="I744" i="13015" s="1"/>
  <c r="D743" i="13015"/>
  <c r="I743" i="13015" s="1"/>
  <c r="D739" i="13015"/>
  <c r="D738" i="13015"/>
  <c r="D752" i="13015"/>
  <c r="H770" i="13015"/>
  <c r="H772" i="13015" s="1"/>
  <c r="C116" i="13015"/>
  <c r="C124" i="13015"/>
  <c r="C127" i="13015"/>
  <c r="K153" i="13015"/>
  <c r="C198" i="13015"/>
  <c r="C201" i="13015"/>
  <c r="W242" i="13015"/>
  <c r="C284" i="13015"/>
  <c r="C287" i="13015"/>
  <c r="C288" i="13015" s="1"/>
  <c r="K289" i="13015"/>
  <c r="O297" i="13015"/>
  <c r="K302" i="13015"/>
  <c r="K304" i="13015"/>
  <c r="K306" i="13015"/>
  <c r="O307" i="13015"/>
  <c r="C310" i="13015"/>
  <c r="O314" i="13015"/>
  <c r="W314" i="13015" s="1"/>
  <c r="F315" i="13015"/>
  <c r="M315" i="13015"/>
  <c r="O322" i="13015"/>
  <c r="F323" i="13015"/>
  <c r="C325" i="13015"/>
  <c r="Q325" i="13015"/>
  <c r="O333" i="13015"/>
  <c r="K338" i="13015"/>
  <c r="K340" i="13015"/>
  <c r="K342" i="13015"/>
  <c r="O343" i="13015"/>
  <c r="C346" i="13015"/>
  <c r="O350" i="13015"/>
  <c r="W350" i="13015" s="1"/>
  <c r="F351" i="13015"/>
  <c r="M351" i="13015"/>
  <c r="O358" i="13015"/>
  <c r="F359" i="13015"/>
  <c r="C361" i="13015"/>
  <c r="O369" i="13015"/>
  <c r="K374" i="13015"/>
  <c r="K376" i="13015"/>
  <c r="K378" i="13015"/>
  <c r="O379" i="13015"/>
  <c r="F387" i="13015"/>
  <c r="M387" i="13015"/>
  <c r="F395" i="13015"/>
  <c r="F398" i="13015"/>
  <c r="H621" i="13015"/>
  <c r="I621" i="13015"/>
  <c r="U695" i="13015"/>
  <c r="D674" i="13015"/>
  <c r="I695" i="13015"/>
  <c r="W695" i="13015"/>
  <c r="U737" i="13015"/>
  <c r="I737" i="13015"/>
  <c r="W737" i="13015"/>
  <c r="W740" i="13015"/>
  <c r="M276" i="13015"/>
  <c r="U276" i="13015" s="1"/>
  <c r="M302" i="13015"/>
  <c r="M304" i="13015"/>
  <c r="M306" i="13015"/>
  <c r="Q307" i="13015"/>
  <c r="F312" i="13015"/>
  <c r="M312" i="13015"/>
  <c r="U312" i="13015" s="1"/>
  <c r="O315" i="13015"/>
  <c r="O317" i="13015"/>
  <c r="K318" i="13015"/>
  <c r="F320" i="13015"/>
  <c r="Q322" i="13015"/>
  <c r="F324" i="13015"/>
  <c r="K325" i="13015"/>
  <c r="F327" i="13015"/>
  <c r="M338" i="13015"/>
  <c r="M340" i="13015"/>
  <c r="M342" i="13015"/>
  <c r="Q343" i="13015"/>
  <c r="F348" i="13015"/>
  <c r="M348" i="13015"/>
  <c r="U348" i="13015" s="1"/>
  <c r="O351" i="13015"/>
  <c r="O353" i="13015"/>
  <c r="K354" i="13015"/>
  <c r="F356" i="13015"/>
  <c r="Q358" i="13015"/>
  <c r="F360" i="13015"/>
  <c r="D471" i="13015"/>
  <c r="W486" i="13015"/>
  <c r="H622" i="13015"/>
  <c r="D587" i="13015"/>
  <c r="C554" i="13015"/>
  <c r="U620" i="13015"/>
  <c r="D605" i="13015"/>
  <c r="W653" i="13015"/>
  <c r="D638" i="13015"/>
  <c r="AE690" i="13015"/>
  <c r="D727" i="13015"/>
  <c r="D724" i="13015"/>
  <c r="D723" i="13015"/>
  <c r="I723" i="13015" s="1"/>
  <c r="D722" i="13015"/>
  <c r="I722" i="13015" s="1"/>
  <c r="D718" i="13015"/>
  <c r="D717" i="13015"/>
  <c r="I784" i="13015"/>
  <c r="C429" i="13015"/>
  <c r="C450" i="13015"/>
  <c r="C461" i="13015"/>
  <c r="C497" i="13015"/>
  <c r="C498" i="13015" s="1"/>
  <c r="C518" i="13015"/>
  <c r="C529" i="13015"/>
  <c r="H554" i="13015"/>
  <c r="U555" i="13015"/>
  <c r="C557" i="13015"/>
  <c r="C559" i="13015"/>
  <c r="M577" i="13015"/>
  <c r="M579" i="13015"/>
  <c r="M581" i="13015"/>
  <c r="F587" i="13015"/>
  <c r="M587" i="13015"/>
  <c r="H588" i="13015"/>
  <c r="O588" i="13015"/>
  <c r="W588" i="13015" s="1"/>
  <c r="F589" i="13015"/>
  <c r="M589" i="13015"/>
  <c r="C595" i="13015"/>
  <c r="H596" i="13015"/>
  <c r="O596" i="13015"/>
  <c r="F597" i="13015"/>
  <c r="F600" i="13015"/>
  <c r="K611" i="13015"/>
  <c r="K613" i="13015"/>
  <c r="O614" i="13015"/>
  <c r="K615" i="13015"/>
  <c r="O620" i="13015"/>
  <c r="W620" i="13015" s="1"/>
  <c r="O622" i="13015"/>
  <c r="O624" i="13015"/>
  <c r="K625" i="13015"/>
  <c r="F627" i="13015"/>
  <c r="C629" i="13015"/>
  <c r="H629" i="13015" s="1"/>
  <c r="F631" i="13015"/>
  <c r="M638" i="13015"/>
  <c r="Q643" i="13015"/>
  <c r="M644" i="13015"/>
  <c r="M646" i="13015"/>
  <c r="Q647" i="13015"/>
  <c r="O656" i="13015"/>
  <c r="K659" i="13015"/>
  <c r="C660" i="13015"/>
  <c r="F662" i="13015"/>
  <c r="M662" i="13015"/>
  <c r="U693" i="13015"/>
  <c r="H701" i="13015"/>
  <c r="H702" i="13015"/>
  <c r="H703" i="13015"/>
  <c r="H704" i="13015"/>
  <c r="U714" i="13015"/>
  <c r="H725" i="13015"/>
  <c r="H729" i="13015" s="1"/>
  <c r="U735" i="13015"/>
  <c r="H746" i="13015"/>
  <c r="H750" i="13015" s="1"/>
  <c r="D756" i="13015"/>
  <c r="G24" i="13013" s="1"/>
  <c r="M815" i="13015"/>
  <c r="M796" i="13015"/>
  <c r="M816" i="13015"/>
  <c r="M797" i="13015"/>
  <c r="D762" i="13015"/>
  <c r="M823" i="13015"/>
  <c r="M804" i="13015"/>
  <c r="D768" i="13015"/>
  <c r="I768" i="13015" s="1"/>
  <c r="C772" i="13015"/>
  <c r="I775" i="13015"/>
  <c r="D777" i="13015"/>
  <c r="M777" i="13015"/>
  <c r="D778" i="13015"/>
  <c r="M778" i="13015"/>
  <c r="U796" i="13015"/>
  <c r="I796" i="13015"/>
  <c r="O794" i="13015"/>
  <c r="W794" i="13015" s="1"/>
  <c r="U795" i="13015"/>
  <c r="O796" i="13015"/>
  <c r="W796" i="13015" s="1"/>
  <c r="H797" i="13015"/>
  <c r="H810" i="13015" s="1"/>
  <c r="O799" i="13015"/>
  <c r="H802" i="13015"/>
  <c r="H808" i="13015" s="1"/>
  <c r="H804" i="13015"/>
  <c r="O875" i="13015"/>
  <c r="O856" i="13015"/>
  <c r="D878" i="13015"/>
  <c r="I878" i="13015" s="1"/>
  <c r="I884" i="13015" s="1"/>
  <c r="D880" i="13015"/>
  <c r="D916" i="13015"/>
  <c r="D915" i="13015"/>
  <c r="D914" i="13015"/>
  <c r="D909" i="13015"/>
  <c r="U926" i="13015"/>
  <c r="I926" i="13015"/>
  <c r="D1024" i="13015"/>
  <c r="I1024" i="13015" s="1"/>
  <c r="D1023" i="13015"/>
  <c r="I1023" i="13015" s="1"/>
  <c r="D1022" i="13015"/>
  <c r="D1015" i="13015"/>
  <c r="D1012" i="13015"/>
  <c r="C462" i="13015"/>
  <c r="C394" i="13015" s="1"/>
  <c r="H394" i="13015" s="1"/>
  <c r="C468" i="13015"/>
  <c r="C530" i="13015"/>
  <c r="C536" i="13015"/>
  <c r="H555" i="13015"/>
  <c r="W555" i="13015"/>
  <c r="K578" i="13015"/>
  <c r="K580" i="13015"/>
  <c r="O581" i="13015"/>
  <c r="K582" i="13015"/>
  <c r="O587" i="13015"/>
  <c r="O589" i="13015"/>
  <c r="O591" i="13015"/>
  <c r="K592" i="13015"/>
  <c r="F594" i="13015"/>
  <c r="F598" i="13015"/>
  <c r="F628" i="13015"/>
  <c r="C630" i="13015"/>
  <c r="H630" i="13015" s="1"/>
  <c r="O638" i="13015"/>
  <c r="K643" i="13015"/>
  <c r="K645" i="13015"/>
  <c r="O648" i="13015"/>
  <c r="F654" i="13015"/>
  <c r="M654" i="13015"/>
  <c r="U654" i="13015" s="1"/>
  <c r="O662" i="13015"/>
  <c r="F663" i="13015"/>
  <c r="F666" i="13015"/>
  <c r="I672" i="13015"/>
  <c r="K682" i="13015"/>
  <c r="C683" i="13015"/>
  <c r="H693" i="13015"/>
  <c r="Q703" i="13015"/>
  <c r="Q706" i="13015"/>
  <c r="H714" i="13015"/>
  <c r="Q724" i="13015"/>
  <c r="Q727" i="13015"/>
  <c r="H735" i="13015"/>
  <c r="K781" i="13015"/>
  <c r="S781" i="13015" s="1"/>
  <c r="K819" i="13015"/>
  <c r="S819" i="13015" s="1"/>
  <c r="O785" i="13015"/>
  <c r="O823" i="13015"/>
  <c r="M776" i="13015"/>
  <c r="U776" i="13015" s="1"/>
  <c r="O777" i="13015"/>
  <c r="O778" i="13015"/>
  <c r="O780" i="13015"/>
  <c r="D785" i="13015"/>
  <c r="I795" i="13015"/>
  <c r="D798" i="13015"/>
  <c r="K800" i="13015"/>
  <c r="S800" i="13015" s="1"/>
  <c r="D803" i="13015"/>
  <c r="I803" i="13015" s="1"/>
  <c r="D815" i="13015"/>
  <c r="I813" i="13015"/>
  <c r="W813" i="13015"/>
  <c r="O814" i="13015"/>
  <c r="O873" i="13015"/>
  <c r="W873" i="13015" s="1"/>
  <c r="O854" i="13015"/>
  <c r="H846" i="13015"/>
  <c r="H848" i="13015" s="1"/>
  <c r="C848" i="13015"/>
  <c r="U853" i="13015"/>
  <c r="D834" i="13015"/>
  <c r="W853" i="13015"/>
  <c r="I853" i="13015"/>
  <c r="Y853" i="13015"/>
  <c r="H956" i="13015"/>
  <c r="H1003" i="13015"/>
  <c r="H1006" i="13015" s="1"/>
  <c r="C484" i="13015"/>
  <c r="F595" i="13015"/>
  <c r="C597" i="13015"/>
  <c r="C598" i="13015" s="1"/>
  <c r="O605" i="13015"/>
  <c r="K610" i="13015"/>
  <c r="K612" i="13015"/>
  <c r="O615" i="13015"/>
  <c r="C618" i="13015"/>
  <c r="C627" i="13015"/>
  <c r="M643" i="13015"/>
  <c r="M645" i="13015"/>
  <c r="M647" i="13015"/>
  <c r="F653" i="13015"/>
  <c r="M653" i="13015"/>
  <c r="U653" i="13015" s="1"/>
  <c r="O654" i="13015"/>
  <c r="W654" i="13015" s="1"/>
  <c r="F655" i="13015"/>
  <c r="M655" i="13015"/>
  <c r="F660" i="13015"/>
  <c r="F664" i="13015"/>
  <c r="Q898" i="13015"/>
  <c r="Q842" i="13015"/>
  <c r="Q766" i="13015"/>
  <c r="D780" i="13015"/>
  <c r="O797" i="13015"/>
  <c r="W797" i="13015" s="1"/>
  <c r="O804" i="13015"/>
  <c r="M813" i="13015"/>
  <c r="U813" i="13015" s="1"/>
  <c r="D823" i="13015"/>
  <c r="D822" i="13015"/>
  <c r="I822" i="13015" s="1"/>
  <c r="D821" i="13015"/>
  <c r="I821" i="13015" s="1"/>
  <c r="I827" i="13015" s="1"/>
  <c r="D817" i="13015"/>
  <c r="D816" i="13015"/>
  <c r="K876" i="13015"/>
  <c r="S876" i="13015" s="1"/>
  <c r="K857" i="13015"/>
  <c r="S857" i="13015" s="1"/>
  <c r="D861" i="13015"/>
  <c r="D860" i="13015"/>
  <c r="D859" i="13015"/>
  <c r="D855" i="13015"/>
  <c r="D854" i="13015"/>
  <c r="Y872" i="13015"/>
  <c r="I872" i="13015"/>
  <c r="W872" i="13015"/>
  <c r="U872" i="13015"/>
  <c r="I873" i="13015"/>
  <c r="U873" i="13015"/>
  <c r="H958" i="13015"/>
  <c r="D694" i="13015"/>
  <c r="M706" i="13015"/>
  <c r="D715" i="13015"/>
  <c r="M727" i="13015"/>
  <c r="D736" i="13015"/>
  <c r="K820" i="13015"/>
  <c r="K782" i="13015"/>
  <c r="S782" i="13015" s="1"/>
  <c r="S763" i="13015"/>
  <c r="O779" i="13015"/>
  <c r="W795" i="13015"/>
  <c r="U797" i="13015"/>
  <c r="I797" i="13015"/>
  <c r="O798" i="13015"/>
  <c r="K801" i="13015"/>
  <c r="S801" i="13015" s="1"/>
  <c r="I808" i="13015"/>
  <c r="U804" i="13015"/>
  <c r="W818" i="13015"/>
  <c r="S820" i="13015"/>
  <c r="K872" i="13015"/>
  <c r="S872" i="13015" s="1"/>
  <c r="K853" i="13015"/>
  <c r="S853" i="13015" s="1"/>
  <c r="O880" i="13015"/>
  <c r="O861" i="13015"/>
  <c r="D837" i="13015"/>
  <c r="D839" i="13015"/>
  <c r="D848" i="13015"/>
  <c r="I25" i="13013" s="1"/>
  <c r="I843" i="13015"/>
  <c r="D934" i="13015"/>
  <c r="D933" i="13015"/>
  <c r="I933" i="13015" s="1"/>
  <c r="D932" i="13015"/>
  <c r="I932" i="13015" s="1"/>
  <c r="D927" i="13015"/>
  <c r="U794" i="13015"/>
  <c r="D814" i="13015"/>
  <c r="H824" i="13015"/>
  <c r="I832" i="13015"/>
  <c r="D838" i="13015"/>
  <c r="U851" i="13015"/>
  <c r="H862" i="13015"/>
  <c r="D871" i="13015"/>
  <c r="H881" i="13015"/>
  <c r="U889" i="13015"/>
  <c r="D892" i="13015"/>
  <c r="D894" i="13015"/>
  <c r="D899" i="13015"/>
  <c r="D900" i="13015"/>
  <c r="I900" i="13015" s="1"/>
  <c r="I907" i="13015"/>
  <c r="O910" i="13015"/>
  <c r="K913" i="13015"/>
  <c r="S913" i="13015" s="1"/>
  <c r="M925" i="13015"/>
  <c r="U925" i="13015" s="1"/>
  <c r="O926" i="13015"/>
  <c r="W926" i="13015" s="1"/>
  <c r="O927" i="13015"/>
  <c r="O929" i="13015"/>
  <c r="W929" i="13015" s="1"/>
  <c r="K930" i="13015"/>
  <c r="S930" i="13015" s="1"/>
  <c r="O934" i="13015"/>
  <c r="H935" i="13015"/>
  <c r="H938" i="13015" s="1"/>
  <c r="I943" i="13015"/>
  <c r="O946" i="13015"/>
  <c r="W946" i="13015" s="1"/>
  <c r="K949" i="13015"/>
  <c r="S949" i="13015"/>
  <c r="C958" i="13015"/>
  <c r="Q1888" i="13015"/>
  <c r="Q1156" i="13015"/>
  <c r="Q1044" i="13015"/>
  <c r="C976" i="13015"/>
  <c r="H976" i="13015" s="1"/>
  <c r="H979" i="13015" s="1"/>
  <c r="M977" i="13015"/>
  <c r="K996" i="13015"/>
  <c r="K548" i="13015" s="1"/>
  <c r="C1006" i="13015"/>
  <c r="D1005" i="13015" s="1"/>
  <c r="D1011" i="13015"/>
  <c r="D1016" i="13015"/>
  <c r="H1030" i="13015"/>
  <c r="D1018" i="13015"/>
  <c r="I1018" i="13015" s="1"/>
  <c r="D1019" i="13015"/>
  <c r="I1019" i="13015" s="1"/>
  <c r="D1020" i="13015"/>
  <c r="U1087" i="13015"/>
  <c r="D1091" i="13015"/>
  <c r="M1105" i="13015"/>
  <c r="D1124" i="13015"/>
  <c r="S1129" i="13015"/>
  <c r="D1063" i="13015"/>
  <c r="D1130" i="13015"/>
  <c r="H1132" i="13015"/>
  <c r="H1137" i="13015"/>
  <c r="D1137" i="13015"/>
  <c r="I1137" i="13015" s="1"/>
  <c r="D1253" i="13015"/>
  <c r="I1253" i="13015" s="1"/>
  <c r="D1255" i="13015"/>
  <c r="I1255" i="13015" s="1"/>
  <c r="D1258" i="13015"/>
  <c r="I1258" i="13015" s="1"/>
  <c r="D1260" i="13015"/>
  <c r="I1260" i="13015" s="1"/>
  <c r="D1262" i="13015"/>
  <c r="I1262" i="13015" s="1"/>
  <c r="D1264" i="13015"/>
  <c r="I1264" i="13015" s="1"/>
  <c r="D1266" i="13015"/>
  <c r="I1266" i="13015" s="1"/>
  <c r="D1269" i="13015"/>
  <c r="I1269" i="13015" s="1"/>
  <c r="D1271" i="13015"/>
  <c r="I1271" i="13015" s="1"/>
  <c r="D1273" i="13015"/>
  <c r="I1273" i="13015" s="1"/>
  <c r="D1276" i="13015"/>
  <c r="I1276" i="13015" s="1"/>
  <c r="D1278" i="13015"/>
  <c r="I1278" i="13015" s="1"/>
  <c r="D1280" i="13015"/>
  <c r="I1280" i="13015" s="1"/>
  <c r="D1282" i="13015"/>
  <c r="I1282" i="13015" s="1"/>
  <c r="H1326" i="13015"/>
  <c r="D1452" i="13015"/>
  <c r="I1452" i="13015" s="1"/>
  <c r="D1451" i="13015"/>
  <c r="D1449" i="13015"/>
  <c r="D1448" i="13015"/>
  <c r="I1448" i="13015" s="1"/>
  <c r="D1447" i="13015"/>
  <c r="I1447" i="13015" s="1"/>
  <c r="D1440" i="13015"/>
  <c r="W889" i="13015"/>
  <c r="D908" i="13015"/>
  <c r="O925" i="13015"/>
  <c r="W925" i="13015" s="1"/>
  <c r="D944" i="13015"/>
  <c r="D958" i="13015"/>
  <c r="Q1893" i="13015"/>
  <c r="Q1061" i="13015"/>
  <c r="Q1149" i="13015"/>
  <c r="Y1149" i="13015" s="1"/>
  <c r="Q1037" i="13015"/>
  <c r="Q989" i="13015"/>
  <c r="U993" i="13015"/>
  <c r="S1025" i="13015"/>
  <c r="W1025" i="13015"/>
  <c r="D1043" i="13015"/>
  <c r="I1043" i="13015" s="1"/>
  <c r="M1129" i="13015"/>
  <c r="U1129" i="13015" s="1"/>
  <c r="M1085" i="13015"/>
  <c r="U1085" i="13015" s="1"/>
  <c r="I1088" i="13015"/>
  <c r="U1090" i="13015"/>
  <c r="I1090" i="13015"/>
  <c r="I1092" i="13015"/>
  <c r="I1093" i="13015"/>
  <c r="D1128" i="13015"/>
  <c r="H1133" i="13015"/>
  <c r="H1138" i="13015"/>
  <c r="D1138" i="13015"/>
  <c r="I1138" i="13015" s="1"/>
  <c r="C1147" i="13015"/>
  <c r="C1148" i="13015" s="1"/>
  <c r="W1402" i="13015"/>
  <c r="H786" i="13015"/>
  <c r="H789" i="13015" s="1"/>
  <c r="I794" i="13015"/>
  <c r="O855" i="13015"/>
  <c r="K858" i="13015"/>
  <c r="S858" i="13015" s="1"/>
  <c r="O870" i="13015"/>
  <c r="W870" i="13015" s="1"/>
  <c r="I889" i="13015"/>
  <c r="D893" i="13015"/>
  <c r="D895" i="13015"/>
  <c r="M907" i="13015"/>
  <c r="U907" i="13015" s="1"/>
  <c r="O908" i="13015"/>
  <c r="O909" i="13015"/>
  <c r="O911" i="13015"/>
  <c r="W911" i="13015" s="1"/>
  <c r="K912" i="13015"/>
  <c r="S912" i="13015" s="1"/>
  <c r="O916" i="13015"/>
  <c r="H917" i="13015"/>
  <c r="I925" i="13015"/>
  <c r="S931" i="13015"/>
  <c r="W947" i="13015"/>
  <c r="S948" i="13015"/>
  <c r="Q966" i="13015"/>
  <c r="C971" i="13015"/>
  <c r="H971" i="13015" s="1"/>
  <c r="W993" i="13015"/>
  <c r="D1001" i="13015"/>
  <c r="Q1013" i="13015"/>
  <c r="D1014" i="13015"/>
  <c r="H1043" i="13015"/>
  <c r="H1054" i="13015" s="1"/>
  <c r="D1049" i="13015"/>
  <c r="D1034" i="13015" s="1"/>
  <c r="M1083" i="13015"/>
  <c r="U1083" i="13015" s="1"/>
  <c r="D1102" i="13015"/>
  <c r="D1126" i="13015"/>
  <c r="H1134" i="13015"/>
  <c r="C1142" i="13015"/>
  <c r="D1134" i="13015" s="1"/>
  <c r="H1135" i="13015"/>
  <c r="D1201" i="13015"/>
  <c r="D1206" i="13015" s="1"/>
  <c r="I56" i="13013" s="1"/>
  <c r="D1252" i="13015"/>
  <c r="D1254" i="13015"/>
  <c r="I1254" i="13015" s="1"/>
  <c r="D1257" i="13015"/>
  <c r="I1257" i="13015" s="1"/>
  <c r="D1259" i="13015"/>
  <c r="I1259" i="13015" s="1"/>
  <c r="D1261" i="13015"/>
  <c r="I1261" i="13015" s="1"/>
  <c r="D1263" i="13015"/>
  <c r="I1263" i="13015" s="1"/>
  <c r="D1265" i="13015"/>
  <c r="I1265" i="13015" s="1"/>
  <c r="D1267" i="13015"/>
  <c r="I1267" i="13015" s="1"/>
  <c r="D1270" i="13015"/>
  <c r="I1270" i="13015" s="1"/>
  <c r="D1272" i="13015"/>
  <c r="I1272" i="13015" s="1"/>
  <c r="D1274" i="13015"/>
  <c r="I1274" i="13015" s="1"/>
  <c r="D1277" i="13015"/>
  <c r="I1277" i="13015" s="1"/>
  <c r="D1279" i="13015"/>
  <c r="I1279" i="13015" s="1"/>
  <c r="D1281" i="13015"/>
  <c r="I1281" i="13015" s="1"/>
  <c r="D1283" i="13015"/>
  <c r="I1283" i="13015" s="1"/>
  <c r="D1401" i="13015"/>
  <c r="D1412" i="13015"/>
  <c r="D1411" i="13015"/>
  <c r="D1409" i="13015"/>
  <c r="D1408" i="13015"/>
  <c r="D1407" i="13015"/>
  <c r="D1400" i="13015"/>
  <c r="D1425" i="13015"/>
  <c r="D1472" i="13015"/>
  <c r="I1472" i="13015" s="1"/>
  <c r="D1471" i="13015"/>
  <c r="D1469" i="13015"/>
  <c r="D1468" i="13015"/>
  <c r="I1468" i="13015" s="1"/>
  <c r="D1467" i="13015"/>
  <c r="I1467" i="13015" s="1"/>
  <c r="D1460" i="13015"/>
  <c r="D852" i="13015"/>
  <c r="C889" i="13015"/>
  <c r="H889" i="13015" s="1"/>
  <c r="H904" i="13015" s="1"/>
  <c r="O907" i="13015"/>
  <c r="W907" i="13015" s="1"/>
  <c r="I917" i="13015"/>
  <c r="Q967" i="13015"/>
  <c r="D969" i="13015"/>
  <c r="G26" i="13013" s="1"/>
  <c r="K1888" i="13015"/>
  <c r="K1156" i="13015"/>
  <c r="K1020" i="13015"/>
  <c r="K1068" i="13015"/>
  <c r="I993" i="13015"/>
  <c r="Q1001" i="13015"/>
  <c r="Q549" i="13015" s="1"/>
  <c r="W1017" i="13015"/>
  <c r="I1025" i="13015"/>
  <c r="Q1025" i="13015"/>
  <c r="Y1025" i="13015" s="1"/>
  <c r="D1042" i="13015"/>
  <c r="I1042" i="13015" s="1"/>
  <c r="D1044" i="13015"/>
  <c r="D1053" i="13015"/>
  <c r="Q1068" i="13015"/>
  <c r="D1072" i="13015"/>
  <c r="I1072" i="13015" s="1"/>
  <c r="I1094" i="13015"/>
  <c r="U1106" i="13015"/>
  <c r="S1106" i="13015"/>
  <c r="S1108" i="13015"/>
  <c r="W1109" i="13015"/>
  <c r="D1112" i="13015"/>
  <c r="D1068" i="13015" s="1"/>
  <c r="D1111" i="13015"/>
  <c r="I1111" i="13015" s="1"/>
  <c r="D1110" i="13015"/>
  <c r="I1110" i="13015" s="1"/>
  <c r="D1113" i="13015"/>
  <c r="I1113" i="13015" s="1"/>
  <c r="I1118" i="13015" s="1"/>
  <c r="D1105" i="13015"/>
  <c r="H1136" i="13015"/>
  <c r="D1136" i="13015"/>
  <c r="C1145" i="13015"/>
  <c r="C1146" i="13015" s="1"/>
  <c r="C1379" i="13015"/>
  <c r="D1421" i="13015"/>
  <c r="U1041" i="13015"/>
  <c r="C1066" i="13015"/>
  <c r="H1066" i="13015" s="1"/>
  <c r="C1067" i="13015"/>
  <c r="H1067" i="13015" s="1"/>
  <c r="C1068" i="13015"/>
  <c r="H1068" i="13015" s="1"/>
  <c r="C1069" i="13015"/>
  <c r="C1071" i="13015"/>
  <c r="H1071" i="13015" s="1"/>
  <c r="C1072" i="13015"/>
  <c r="H1072" i="13015" s="1"/>
  <c r="M1084" i="13015"/>
  <c r="U1084" i="13015" s="1"/>
  <c r="M1128" i="13015"/>
  <c r="M1130" i="13015"/>
  <c r="M1131" i="13015"/>
  <c r="U1131" i="13015" s="1"/>
  <c r="M1134" i="13015"/>
  <c r="D1154" i="13015"/>
  <c r="I1154" i="13015" s="1"/>
  <c r="D1155" i="13015"/>
  <c r="I1155" i="13015" s="1"/>
  <c r="D1156" i="13015"/>
  <c r="C1326" i="13015"/>
  <c r="D1336" i="13015"/>
  <c r="D1337" i="13015"/>
  <c r="I1337" i="13015" s="1"/>
  <c r="D1338" i="13015"/>
  <c r="I1338" i="13015" s="1"/>
  <c r="D1339" i="13015"/>
  <c r="I1339" i="13015" s="1"/>
  <c r="D1341" i="13015"/>
  <c r="I1341" i="13015" s="1"/>
  <c r="D1342" i="13015"/>
  <c r="I1342" i="13015" s="1"/>
  <c r="D1343" i="13015"/>
  <c r="I1343" i="13015" s="1"/>
  <c r="D1344" i="13015"/>
  <c r="I1344" i="13015" s="1"/>
  <c r="D1345" i="13015"/>
  <c r="I1345" i="13015" s="1"/>
  <c r="D1346" i="13015"/>
  <c r="I1346" i="13015" s="1"/>
  <c r="D1347" i="13015"/>
  <c r="I1347" i="13015" s="1"/>
  <c r="D1348" i="13015"/>
  <c r="I1348" i="13015" s="1"/>
  <c r="D1349" i="13015"/>
  <c r="I1349" i="13015" s="1"/>
  <c r="D1350" i="13015"/>
  <c r="I1350" i="13015" s="1"/>
  <c r="D1351" i="13015"/>
  <c r="I1351" i="13015" s="1"/>
  <c r="D1353" i="13015"/>
  <c r="I1353" i="13015" s="1"/>
  <c r="D1354" i="13015"/>
  <c r="I1354" i="13015" s="1"/>
  <c r="D1355" i="13015"/>
  <c r="I1355" i="13015" s="1"/>
  <c r="D1356" i="13015"/>
  <c r="I1356" i="13015" s="1"/>
  <c r="D1357" i="13015"/>
  <c r="I1357" i="13015" s="1"/>
  <c r="D1358" i="13015"/>
  <c r="I1358" i="13015" s="1"/>
  <c r="D1360" i="13015"/>
  <c r="I1360" i="13015" s="1"/>
  <c r="D1361" i="13015"/>
  <c r="I1361" i="13015" s="1"/>
  <c r="D1362" i="13015"/>
  <c r="I1362" i="13015" s="1"/>
  <c r="D1363" i="13015"/>
  <c r="I1363" i="13015" s="1"/>
  <c r="D1364" i="13015"/>
  <c r="I1364" i="13015" s="1"/>
  <c r="D1365" i="13015"/>
  <c r="I1365" i="13015" s="1"/>
  <c r="D1366" i="13015"/>
  <c r="I1366" i="13015" s="1"/>
  <c r="D1367" i="13015"/>
  <c r="I1367" i="13015" s="1"/>
  <c r="Q2516" i="13015"/>
  <c r="Y2516" i="13015" s="1"/>
  <c r="Q2412" i="13015"/>
  <c r="Z2508" i="13015"/>
  <c r="C2404" i="13015"/>
  <c r="C2408" i="13015"/>
  <c r="Z2512" i="13015"/>
  <c r="K1409" i="13015"/>
  <c r="Z1422" i="13015"/>
  <c r="C1422" i="13015" s="1"/>
  <c r="Q1429" i="13015"/>
  <c r="Z1443" i="13015"/>
  <c r="C1443" i="13015" s="1"/>
  <c r="H1450" i="13015"/>
  <c r="Z1463" i="13015"/>
  <c r="C1463" i="13015" s="1"/>
  <c r="H1470" i="13015"/>
  <c r="Z2421" i="13015"/>
  <c r="Z2592" i="13015"/>
  <c r="Z1522" i="13015"/>
  <c r="C1522" i="13015" s="1"/>
  <c r="D1522" i="13015" s="1"/>
  <c r="C1505" i="13015"/>
  <c r="H1509" i="13015"/>
  <c r="H1511" i="13015"/>
  <c r="D1530" i="13015"/>
  <c r="I1538" i="13015"/>
  <c r="C1542" i="13015"/>
  <c r="K1589" i="13015"/>
  <c r="K1567" i="13015"/>
  <c r="D1561" i="13015"/>
  <c r="W1561" i="13015" s="1"/>
  <c r="C1539" i="13015"/>
  <c r="H1539" i="13015" s="1"/>
  <c r="H1557" i="13015" s="1"/>
  <c r="C1591" i="13015"/>
  <c r="C1585" i="13015" s="1"/>
  <c r="D1585" i="13015" s="1"/>
  <c r="W1622" i="13015"/>
  <c r="D1623" i="13015"/>
  <c r="G39" i="13013" s="1"/>
  <c r="C1649" i="13015"/>
  <c r="I1661" i="13015"/>
  <c r="I1710" i="13015" s="1"/>
  <c r="H1722" i="13015"/>
  <c r="D1722" i="13015"/>
  <c r="I1722" i="13015" s="1"/>
  <c r="I1821" i="13015"/>
  <c r="D1810" i="13015"/>
  <c r="I1832" i="13015"/>
  <c r="U1065" i="13015"/>
  <c r="M1108" i="13015"/>
  <c r="U1108" i="13015" s="1"/>
  <c r="M1109" i="13015"/>
  <c r="U1109" i="13015" s="1"/>
  <c r="M1112" i="13015"/>
  <c r="H1157" i="13015"/>
  <c r="H1162" i="13015" s="1"/>
  <c r="I1211" i="13015"/>
  <c r="I1212" i="13015"/>
  <c r="I1213" i="13015"/>
  <c r="I1215" i="13015"/>
  <c r="I1216" i="13015"/>
  <c r="I1217" i="13015"/>
  <c r="I1218" i="13015"/>
  <c r="I1219" i="13015"/>
  <c r="I1220" i="13015"/>
  <c r="I1221" i="13015"/>
  <c r="I1222" i="13015"/>
  <c r="I1223" i="13015"/>
  <c r="I1224" i="13015"/>
  <c r="I1225" i="13015"/>
  <c r="I1227" i="13015"/>
  <c r="I1228" i="13015"/>
  <c r="I1229" i="13015"/>
  <c r="I1230" i="13015"/>
  <c r="I1231" i="13015"/>
  <c r="I1232" i="13015"/>
  <c r="I1234" i="13015"/>
  <c r="I1235" i="13015"/>
  <c r="I1236" i="13015"/>
  <c r="I1237" i="13015"/>
  <c r="I1238" i="13015"/>
  <c r="I1239" i="13015"/>
  <c r="I1240" i="13015"/>
  <c r="I1241" i="13015"/>
  <c r="C1284" i="13015"/>
  <c r="D1294" i="13015"/>
  <c r="D1295" i="13015"/>
  <c r="I1295" i="13015" s="1"/>
  <c r="D1296" i="13015"/>
  <c r="I1296" i="13015" s="1"/>
  <c r="D1297" i="13015"/>
  <c r="I1297" i="13015" s="1"/>
  <c r="D1299" i="13015"/>
  <c r="I1299" i="13015" s="1"/>
  <c r="D1300" i="13015"/>
  <c r="I1300" i="13015" s="1"/>
  <c r="D1301" i="13015"/>
  <c r="I1301" i="13015" s="1"/>
  <c r="D1302" i="13015"/>
  <c r="I1302" i="13015" s="1"/>
  <c r="D1303" i="13015"/>
  <c r="I1303" i="13015" s="1"/>
  <c r="D1304" i="13015"/>
  <c r="I1304" i="13015" s="1"/>
  <c r="D1305" i="13015"/>
  <c r="I1305" i="13015" s="1"/>
  <c r="D1306" i="13015"/>
  <c r="I1306" i="13015" s="1"/>
  <c r="D1307" i="13015"/>
  <c r="I1307" i="13015" s="1"/>
  <c r="D1308" i="13015"/>
  <c r="I1308" i="13015" s="1"/>
  <c r="D1309" i="13015"/>
  <c r="I1309" i="13015" s="1"/>
  <c r="D1311" i="13015"/>
  <c r="I1311" i="13015" s="1"/>
  <c r="D1312" i="13015"/>
  <c r="I1312" i="13015" s="1"/>
  <c r="D1313" i="13015"/>
  <c r="I1313" i="13015" s="1"/>
  <c r="D1314" i="13015"/>
  <c r="I1314" i="13015" s="1"/>
  <c r="D1315" i="13015"/>
  <c r="I1315" i="13015" s="1"/>
  <c r="D1316" i="13015"/>
  <c r="I1316" i="13015" s="1"/>
  <c r="D1318" i="13015"/>
  <c r="I1318" i="13015" s="1"/>
  <c r="D1319" i="13015"/>
  <c r="I1319" i="13015" s="1"/>
  <c r="D1320" i="13015"/>
  <c r="I1320" i="13015" s="1"/>
  <c r="D1321" i="13015"/>
  <c r="I1321" i="13015" s="1"/>
  <c r="D1322" i="13015"/>
  <c r="I1322" i="13015" s="1"/>
  <c r="D1323" i="13015"/>
  <c r="I1323" i="13015" s="1"/>
  <c r="D1324" i="13015"/>
  <c r="I1324" i="13015" s="1"/>
  <c r="D1325" i="13015"/>
  <c r="I1325" i="13015" s="1"/>
  <c r="H1336" i="13015"/>
  <c r="H1368" i="13015" s="1"/>
  <c r="Z2511" i="13015"/>
  <c r="C2407" i="13015"/>
  <c r="K1429" i="13015"/>
  <c r="Z1442" i="13015"/>
  <c r="C1442" i="13015" s="1"/>
  <c r="D1442" i="13015" s="1"/>
  <c r="Z1462" i="13015"/>
  <c r="C1462" i="13015" s="1"/>
  <c r="D1462" i="13015" s="1"/>
  <c r="Q1469" i="13015"/>
  <c r="Z2591" i="13015"/>
  <c r="Z2420" i="13015"/>
  <c r="Z2524" i="13015" s="1"/>
  <c r="C2524" i="13015" s="1"/>
  <c r="D2524" i="13015" s="1"/>
  <c r="Z2595" i="13015"/>
  <c r="Z2424" i="13015"/>
  <c r="C1516" i="13015"/>
  <c r="D1508" i="13015" s="1"/>
  <c r="I1520" i="13015"/>
  <c r="D1562" i="13015"/>
  <c r="W1562" i="13015" s="1"/>
  <c r="C1540" i="13015"/>
  <c r="C1541" i="13015"/>
  <c r="K1588" i="13015"/>
  <c r="D1597" i="13015"/>
  <c r="I1597" i="13015" s="1"/>
  <c r="I1599" i="13015" s="1"/>
  <c r="AD1619" i="13015"/>
  <c r="AE1619" i="13015" s="1"/>
  <c r="I1642" i="13015"/>
  <c r="H1723" i="13015"/>
  <c r="D1723" i="13015"/>
  <c r="I1723" i="13015" s="1"/>
  <c r="H1829" i="13015"/>
  <c r="I1041" i="13015"/>
  <c r="C1062" i="13015"/>
  <c r="K1083" i="13015"/>
  <c r="S1083" i="13015" s="1"/>
  <c r="H1113" i="13015"/>
  <c r="H1118" i="13015" s="1"/>
  <c r="I1131" i="13015"/>
  <c r="Z2510" i="13015"/>
  <c r="C2406" i="13015"/>
  <c r="C1405" i="13015"/>
  <c r="H1410" i="13015"/>
  <c r="H1414" i="13015" s="1"/>
  <c r="D1420" i="13015"/>
  <c r="Z1424" i="13015"/>
  <c r="C1424" i="13015" s="1"/>
  <c r="D1427" i="13015"/>
  <c r="I1427" i="13015" s="1"/>
  <c r="D1428" i="13015"/>
  <c r="I1428" i="13015" s="1"/>
  <c r="D1429" i="13015"/>
  <c r="D1431" i="13015"/>
  <c r="D1432" i="13015"/>
  <c r="I1432" i="13015" s="1"/>
  <c r="Z1441" i="13015"/>
  <c r="C1441" i="13015" s="1"/>
  <c r="D1441" i="13015" s="1"/>
  <c r="Z1445" i="13015"/>
  <c r="C1445" i="13015" s="1"/>
  <c r="D1445" i="13015" s="1"/>
  <c r="K1449" i="13015"/>
  <c r="Z1461" i="13015"/>
  <c r="C1461" i="13015" s="1"/>
  <c r="D1461" i="13015" s="1"/>
  <c r="Z1465" i="13015"/>
  <c r="C1465" i="13015" s="1"/>
  <c r="D1465" i="13015" s="1"/>
  <c r="K1469" i="13015"/>
  <c r="C1489" i="13015"/>
  <c r="Z2594" i="13015"/>
  <c r="Z2423" i="13015"/>
  <c r="Z1524" i="13015"/>
  <c r="C1524" i="13015" s="1"/>
  <c r="D1524" i="13015" s="1"/>
  <c r="S1524" i="13015" s="1"/>
  <c r="C1507" i="13015"/>
  <c r="H1510" i="13015"/>
  <c r="H1512" i="13015"/>
  <c r="H1520" i="13015"/>
  <c r="H1535" i="13015" s="1"/>
  <c r="K1565" i="13015"/>
  <c r="K1587" i="13015"/>
  <c r="C1544" i="13015"/>
  <c r="K1564" i="13015"/>
  <c r="H1583" i="13015"/>
  <c r="H1601" i="13015" s="1"/>
  <c r="C1587" i="13015"/>
  <c r="D1587" i="13015" s="1"/>
  <c r="S1587" i="13015" s="1"/>
  <c r="D1604" i="13015"/>
  <c r="D1605" i="13015"/>
  <c r="H1607" i="13015"/>
  <c r="H1617" i="13015" s="1"/>
  <c r="Q1646" i="13015"/>
  <c r="K1608" i="13015"/>
  <c r="H1613" i="13015"/>
  <c r="H1615" i="13015" s="1"/>
  <c r="H1642" i="13015"/>
  <c r="H1646" i="13015"/>
  <c r="H1724" i="13015"/>
  <c r="D1724" i="13015"/>
  <c r="I1724" i="13015" s="1"/>
  <c r="AE1797" i="13015"/>
  <c r="I1833" i="13015"/>
  <c r="K2516" i="13015"/>
  <c r="S2516" i="13015" s="1"/>
  <c r="K2412" i="13015"/>
  <c r="H1388" i="13015"/>
  <c r="Z2509" i="13015"/>
  <c r="C2405" i="13015"/>
  <c r="C1404" i="13015"/>
  <c r="H1430" i="13015"/>
  <c r="Z1444" i="13015"/>
  <c r="C1444" i="13015" s="1"/>
  <c r="D1444" i="13015" s="1"/>
  <c r="Z1464" i="13015"/>
  <c r="C1464" i="13015" s="1"/>
  <c r="D1464" i="13015" s="1"/>
  <c r="Z2422" i="13015"/>
  <c r="Z2593" i="13015"/>
  <c r="D2593" i="13015" s="1"/>
  <c r="D1509" i="13015"/>
  <c r="D1511" i="13015"/>
  <c r="Z1521" i="13015"/>
  <c r="C1521" i="13015" s="1"/>
  <c r="D1521" i="13015" s="1"/>
  <c r="Z1523" i="13015"/>
  <c r="C1523" i="13015" s="1"/>
  <c r="D1523" i="13015" s="1"/>
  <c r="S1523" i="13015" s="1"/>
  <c r="Z1525" i="13015"/>
  <c r="C1525" i="13015" s="1"/>
  <c r="D1525" i="13015" s="1"/>
  <c r="S1525" i="13015" s="1"/>
  <c r="C1565" i="13015"/>
  <c r="C1567" i="13015" s="1"/>
  <c r="D1552" i="13015"/>
  <c r="H1611" i="13015"/>
  <c r="C1611" i="13015"/>
  <c r="H1721" i="13015"/>
  <c r="D1721" i="13015"/>
  <c r="I1721" i="13015" s="1"/>
  <c r="H1725" i="13015"/>
  <c r="D1725" i="13015"/>
  <c r="I1725" i="13015" s="1"/>
  <c r="H1797" i="13015"/>
  <c r="H1799" i="13015" s="1"/>
  <c r="S1825" i="13015"/>
  <c r="I1825" i="13015"/>
  <c r="I1827" i="13015" s="1"/>
  <c r="D1814" i="13015"/>
  <c r="O1585" i="13015"/>
  <c r="C1631" i="13015"/>
  <c r="C1635" i="13015"/>
  <c r="C1653" i="13015"/>
  <c r="C1802" i="13015"/>
  <c r="C1807" i="13015" s="1"/>
  <c r="D1811" i="13015"/>
  <c r="C1814" i="13015"/>
  <c r="I1843" i="13015"/>
  <c r="I1847" i="13015"/>
  <c r="I1849" i="13015" s="1"/>
  <c r="D1802" i="13015"/>
  <c r="D1807" i="13015" s="1"/>
  <c r="I58" i="13013" s="1"/>
  <c r="I1834" i="13015"/>
  <c r="H1596" i="13015"/>
  <c r="H1599" i="13015" s="1"/>
  <c r="H1634" i="13015"/>
  <c r="H1635" i="13015" s="1"/>
  <c r="H1661" i="13015"/>
  <c r="H1710" i="13015" s="1"/>
  <c r="H1714" i="13015" s="1"/>
  <c r="D1727" i="13015"/>
  <c r="I1727" i="13015" s="1"/>
  <c r="D1728" i="13015"/>
  <c r="I1728" i="13015" s="1"/>
  <c r="D1729" i="13015"/>
  <c r="I1729" i="13015" s="1"/>
  <c r="D1730" i="13015"/>
  <c r="I1730" i="13015" s="1"/>
  <c r="D1731" i="13015"/>
  <c r="I1731" i="13015" s="1"/>
  <c r="D1777" i="13015"/>
  <c r="I1777" i="13015" s="1"/>
  <c r="D1778" i="13015"/>
  <c r="I1778" i="13015" s="1"/>
  <c r="D1780" i="13015"/>
  <c r="I1780" i="13015" s="1"/>
  <c r="D1781" i="13015"/>
  <c r="I1781" i="13015" s="1"/>
  <c r="D1782" i="13015"/>
  <c r="I1782" i="13015" s="1"/>
  <c r="D1784" i="13015"/>
  <c r="I1784" i="13015" s="1"/>
  <c r="D1785" i="13015"/>
  <c r="I1785" i="13015" s="1"/>
  <c r="D1786" i="13015"/>
  <c r="I1786" i="13015" s="1"/>
  <c r="D1787" i="13015"/>
  <c r="I1787" i="13015" s="1"/>
  <c r="D1788" i="13015"/>
  <c r="I1788" i="13015" s="1"/>
  <c r="D1789" i="13015"/>
  <c r="I1789" i="13015" s="1"/>
  <c r="D1791" i="13015"/>
  <c r="I1791" i="13015" s="1"/>
  <c r="D1792" i="13015"/>
  <c r="I1792" i="13015" s="1"/>
  <c r="D1793" i="13015"/>
  <c r="I1793" i="13015" s="1"/>
  <c r="D1794" i="13015"/>
  <c r="I1794" i="13015" s="1"/>
  <c r="C1812" i="13015"/>
  <c r="H1812" i="13015" s="1"/>
  <c r="D1813" i="13015"/>
  <c r="G59" i="13013" s="1"/>
  <c r="D1823" i="13015"/>
  <c r="H1834" i="13015"/>
  <c r="H1840" i="13015" s="1"/>
  <c r="I1845" i="13015"/>
  <c r="D1855" i="13015"/>
  <c r="I1871" i="13015"/>
  <c r="I1822" i="13015"/>
  <c r="S1847" i="13015"/>
  <c r="I1835" i="13015"/>
  <c r="I1836" i="13015"/>
  <c r="I1838" i="13015" s="1"/>
  <c r="D1854" i="13015"/>
  <c r="G60" i="13013" s="1"/>
  <c r="C1910" i="13015"/>
  <c r="C1904" i="13015" s="1"/>
  <c r="C1909" i="13015"/>
  <c r="C1903" i="13015" s="1"/>
  <c r="D1919" i="13015"/>
  <c r="H1927" i="13015"/>
  <c r="C1914" i="13015"/>
  <c r="H1929" i="13015"/>
  <c r="I2001" i="13015"/>
  <c r="H1989" i="13015"/>
  <c r="I2025" i="13015"/>
  <c r="C2046" i="13015"/>
  <c r="D2036" i="13015" s="1"/>
  <c r="I2049" i="13015"/>
  <c r="C2070" i="13015"/>
  <c r="D2058" i="13015" s="1"/>
  <c r="I2058" i="13015" s="1"/>
  <c r="I2073" i="13015"/>
  <c r="C2076" i="13015"/>
  <c r="C2080" i="13015"/>
  <c r="D2102" i="13015"/>
  <c r="C2084" i="13015"/>
  <c r="H2084" i="13015" s="1"/>
  <c r="H2106" i="13015"/>
  <c r="C2086" i="13015"/>
  <c r="H2086" i="13015" s="1"/>
  <c r="H2108" i="13015"/>
  <c r="D2108" i="13015"/>
  <c r="I2117" i="13015"/>
  <c r="D2123" i="13015"/>
  <c r="D2079" i="13015" s="1"/>
  <c r="C2079" i="13015"/>
  <c r="H2152" i="13015"/>
  <c r="D2152" i="13015"/>
  <c r="W2238" i="13015"/>
  <c r="H1857" i="13015"/>
  <c r="H1859" i="13015" s="1"/>
  <c r="C1859" i="13015"/>
  <c r="I1862" i="13015"/>
  <c r="H1863" i="13015"/>
  <c r="I1883" i="13015"/>
  <c r="C2075" i="13015"/>
  <c r="H2075" i="13015" s="1"/>
  <c r="H2097" i="13015"/>
  <c r="D2097" i="13015"/>
  <c r="D2100" i="13015"/>
  <c r="C2087" i="13015"/>
  <c r="H2087" i="13015" s="1"/>
  <c r="H2109" i="13015"/>
  <c r="D2109" i="13015"/>
  <c r="H2127" i="13015"/>
  <c r="I2140" i="13015"/>
  <c r="H1847" i="13015"/>
  <c r="H1849" i="13015" s="1"/>
  <c r="I1863" i="13015"/>
  <c r="H1879" i="13015"/>
  <c r="H1924" i="13015"/>
  <c r="H1932" i="13015"/>
  <c r="C1933" i="13015"/>
  <c r="C1981" i="13015"/>
  <c r="D2003" i="13015"/>
  <c r="D2027" i="13015"/>
  <c r="D2051" i="13015"/>
  <c r="C2082" i="13015"/>
  <c r="H2082" i="13015" s="1"/>
  <c r="H2104" i="13015"/>
  <c r="C2088" i="13015"/>
  <c r="H2088" i="13015" s="1"/>
  <c r="H2110" i="13015"/>
  <c r="D2110" i="13015"/>
  <c r="I2119" i="13015"/>
  <c r="H2150" i="13015"/>
  <c r="I2185" i="13015"/>
  <c r="D2162" i="13015"/>
  <c r="I2199" i="13015"/>
  <c r="D2197" i="13015"/>
  <c r="H2210" i="13015"/>
  <c r="D2210" i="13015"/>
  <c r="C2164" i="13015"/>
  <c r="H2164" i="13015" s="1"/>
  <c r="D2213" i="13015"/>
  <c r="H2483" i="13015"/>
  <c r="C2275" i="13015"/>
  <c r="H2275" i="13015" s="1"/>
  <c r="H1871" i="13015"/>
  <c r="H1873" i="13015" s="1"/>
  <c r="C1908" i="13015"/>
  <c r="Z1914" i="13015"/>
  <c r="H1925" i="13015"/>
  <c r="Q2128" i="13015"/>
  <c r="Q2150" i="13015"/>
  <c r="Q2106" i="13015"/>
  <c r="Q2173" i="13015" s="1"/>
  <c r="Q2065" i="13015"/>
  <c r="Q2041" i="13015"/>
  <c r="Q2017" i="13015"/>
  <c r="D1978" i="13015"/>
  <c r="I2002" i="13015"/>
  <c r="I2026" i="13015"/>
  <c r="I2050" i="13015"/>
  <c r="D2081" i="13015"/>
  <c r="C2083" i="13015"/>
  <c r="H2083" i="13015" s="1"/>
  <c r="H2105" i="13015"/>
  <c r="C2085" i="13015"/>
  <c r="C2114" i="13015"/>
  <c r="D2104" i="13015" s="1"/>
  <c r="H2107" i="13015"/>
  <c r="I2118" i="13015"/>
  <c r="C2136" i="13015"/>
  <c r="D2127" i="13015" s="1"/>
  <c r="I2127" i="13015" s="1"/>
  <c r="H2129" i="13015"/>
  <c r="K2186" i="13015"/>
  <c r="K2209" i="13015"/>
  <c r="D2190" i="13015"/>
  <c r="D2170" i="13015"/>
  <c r="C1990" i="13015"/>
  <c r="H1990" i="13015" s="1"/>
  <c r="C1991" i="13015"/>
  <c r="H1991" i="13015" s="1"/>
  <c r="H2001" i="13015"/>
  <c r="H2022" i="13015" s="1"/>
  <c r="Q2012" i="13015"/>
  <c r="H2025" i="13015"/>
  <c r="H2046" i="13015" s="1"/>
  <c r="Q2036" i="13015"/>
  <c r="H2049" i="13015"/>
  <c r="H2070" i="13015" s="1"/>
  <c r="Q2060" i="13015"/>
  <c r="D2096" i="13015"/>
  <c r="H2117" i="13015"/>
  <c r="D2120" i="13015"/>
  <c r="H2128" i="13015"/>
  <c r="D2128" i="13015"/>
  <c r="H2130" i="13015"/>
  <c r="D2130" i="13015"/>
  <c r="I2139" i="13015"/>
  <c r="I2161" i="13015"/>
  <c r="I2184" i="13015"/>
  <c r="D2186" i="13015"/>
  <c r="I2198" i="13015"/>
  <c r="H2218" i="13015"/>
  <c r="C2172" i="13015"/>
  <c r="H2172" i="13015" s="1"/>
  <c r="C2227" i="13015"/>
  <c r="H2220" i="13015"/>
  <c r="H2225" i="13015" s="1"/>
  <c r="H2227" i="13015" s="1"/>
  <c r="C2174" i="13015"/>
  <c r="W2235" i="13015"/>
  <c r="C2022" i="13015"/>
  <c r="D2010" i="13015" s="1"/>
  <c r="D2121" i="13015"/>
  <c r="H2131" i="13015"/>
  <c r="D2131" i="13015"/>
  <c r="I2131" i="13015" s="1"/>
  <c r="D2196" i="13015"/>
  <c r="D2195" i="13015"/>
  <c r="D2194" i="13015"/>
  <c r="D2189" i="13015"/>
  <c r="D2188" i="13015"/>
  <c r="H2357" i="13015"/>
  <c r="C2253" i="13015"/>
  <c r="H2253" i="13015" s="1"/>
  <c r="D2357" i="13015"/>
  <c r="C1986" i="13015"/>
  <c r="H1986" i="13015" s="1"/>
  <c r="C1987" i="13015"/>
  <c r="H1987" i="13015" s="1"/>
  <c r="C1988" i="13015"/>
  <c r="H1988" i="13015" s="1"/>
  <c r="H2126" i="13015"/>
  <c r="D2126" i="13015"/>
  <c r="I2126" i="13015" s="1"/>
  <c r="H2132" i="13015"/>
  <c r="D2132" i="13015"/>
  <c r="I2132" i="13015" s="1"/>
  <c r="I2141" i="13015"/>
  <c r="D2187" i="13015"/>
  <c r="I2200" i="13015"/>
  <c r="D2221" i="13015"/>
  <c r="I2221" i="13015" s="1"/>
  <c r="H2139" i="13015"/>
  <c r="C2158" i="13015"/>
  <c r="D2149" i="13015" s="1"/>
  <c r="I2149" i="13015" s="1"/>
  <c r="H2151" i="13015"/>
  <c r="H2156" i="13015" s="1"/>
  <c r="H2204" i="13015"/>
  <c r="D2169" i="13015"/>
  <c r="D2223" i="13015"/>
  <c r="I2223" i="13015" s="1"/>
  <c r="W2241" i="13015"/>
  <c r="H2392" i="13015"/>
  <c r="C2383" i="13015"/>
  <c r="C2288" i="13015"/>
  <c r="H2288" i="13015" s="1"/>
  <c r="D2146" i="13015"/>
  <c r="D2148" i="13015"/>
  <c r="I2148" i="13015" s="1"/>
  <c r="D2154" i="13015"/>
  <c r="I2154" i="13015" s="1"/>
  <c r="I2208" i="13015"/>
  <c r="D2209" i="13015"/>
  <c r="D2222" i="13015"/>
  <c r="I2222" i="13015" s="1"/>
  <c r="I2231" i="13015"/>
  <c r="H2398" i="13015"/>
  <c r="C2294" i="13015"/>
  <c r="H2294" i="13015" s="1"/>
  <c r="D2398" i="13015"/>
  <c r="H2426" i="13015"/>
  <c r="C2322" i="13015"/>
  <c r="H2322" i="13015" s="1"/>
  <c r="D2426" i="13015"/>
  <c r="K2510" i="13015"/>
  <c r="S2510" i="13015" s="1"/>
  <c r="K2406" i="13015"/>
  <c r="K2512" i="13015"/>
  <c r="S2512" i="13015" s="1"/>
  <c r="K2408" i="13015"/>
  <c r="H2358" i="13015"/>
  <c r="C2254" i="13015"/>
  <c r="H2254" i="13015" s="1"/>
  <c r="O2419" i="13015"/>
  <c r="O2523" i="13015"/>
  <c r="O2421" i="13015"/>
  <c r="O2525" i="13015"/>
  <c r="C2325" i="13015"/>
  <c r="H2429" i="13015"/>
  <c r="C2435" i="13015"/>
  <c r="D2392" i="13015" s="1"/>
  <c r="M2507" i="13015"/>
  <c r="U2507" i="13015" s="1"/>
  <c r="M2403" i="13015"/>
  <c r="H2312" i="13015"/>
  <c r="O2516" i="13015"/>
  <c r="W2516" i="13015" s="1"/>
  <c r="O2412" i="13015"/>
  <c r="H2396" i="13015"/>
  <c r="D2396" i="13015"/>
  <c r="C2292" i="13015"/>
  <c r="H2292" i="13015" s="1"/>
  <c r="H2430" i="13015"/>
  <c r="D2430" i="13015"/>
  <c r="C2326" i="13015"/>
  <c r="H2326" i="13015" s="1"/>
  <c r="K2526" i="13015"/>
  <c r="K2422" i="13015"/>
  <c r="K2424" i="13015"/>
  <c r="K2528" i="13015"/>
  <c r="Z2343" i="13015"/>
  <c r="Z2362" i="13015"/>
  <c r="C2384" i="13015"/>
  <c r="I2483" i="13015"/>
  <c r="H2503" i="13015"/>
  <c r="I2520" i="13015"/>
  <c r="M2516" i="13015"/>
  <c r="U2516" i="13015" s="1"/>
  <c r="M2412" i="13015"/>
  <c r="Z2570" i="13015"/>
  <c r="D2570" i="13015" s="1"/>
  <c r="Z2567" i="13015"/>
  <c r="Z2446" i="13015"/>
  <c r="Z2386" i="13015"/>
  <c r="Z2346" i="13015"/>
  <c r="Z2364" i="13015"/>
  <c r="H2587" i="13015"/>
  <c r="K2527" i="13015"/>
  <c r="K2529" i="13015"/>
  <c r="H2533" i="13015"/>
  <c r="I2548" i="13015"/>
  <c r="I2587" i="13015" s="1"/>
  <c r="I2606" i="13015" s="1"/>
  <c r="K48" i="13013" s="1"/>
  <c r="I2604" i="13015"/>
  <c r="K2513" i="13015"/>
  <c r="S2513" i="13015" s="1"/>
  <c r="K2409" i="13015"/>
  <c r="O2524" i="13015"/>
  <c r="O2420" i="13015"/>
  <c r="Z2569" i="13015"/>
  <c r="D2569" i="13015" s="1"/>
  <c r="Z2566" i="13015"/>
  <c r="Z2560" i="13015"/>
  <c r="Z2563" i="13015"/>
  <c r="Z2345" i="13015"/>
  <c r="Z2361" i="13015"/>
  <c r="Z2443" i="13015"/>
  <c r="D2502" i="13015"/>
  <c r="I2502" i="13015" s="1"/>
  <c r="C2539" i="13015"/>
  <c r="D2488" i="13015" s="1"/>
  <c r="H2532" i="13015"/>
  <c r="H2535" i="13015" s="1"/>
  <c r="H2604" i="13015"/>
  <c r="W2590" i="13015"/>
  <c r="K2586" i="13015"/>
  <c r="D2587" i="13015"/>
  <c r="D2606" i="13015" s="1"/>
  <c r="I48" i="13013" s="1"/>
  <c r="C2593" i="13015"/>
  <c r="D2629" i="13015"/>
  <c r="I2629" i="13015" s="1"/>
  <c r="I2627" i="13015"/>
  <c r="Y2640" i="13015"/>
  <c r="M52" i="13013" s="1"/>
  <c r="Q2637" i="13015"/>
  <c r="H2654" i="13015"/>
  <c r="H2655" i="13015" s="1"/>
  <c r="H2658" i="13015" s="1"/>
  <c r="D2654" i="13015"/>
  <c r="C2645" i="13015"/>
  <c r="C2655" i="13015"/>
  <c r="C2619" i="13015"/>
  <c r="C2623" i="13015" s="1"/>
  <c r="H2617" i="13015"/>
  <c r="D2663" i="13015"/>
  <c r="D2662" i="13015"/>
  <c r="C2667" i="13015"/>
  <c r="C2630" i="13015"/>
  <c r="H2630" i="13015" s="1"/>
  <c r="H2629" i="13015"/>
  <c r="F2639" i="13015"/>
  <c r="D2653" i="13015"/>
  <c r="C2647" i="13015"/>
  <c r="C2649" i="13015" s="1"/>
  <c r="C2658" i="13015"/>
  <c r="H2675" i="13015"/>
  <c r="I2675" i="13015" s="1"/>
  <c r="Y2675" i="13015" s="1"/>
  <c r="I2670" i="13015"/>
  <c r="U2672" i="13015"/>
  <c r="D2647" i="13015"/>
  <c r="D2649" i="13015" s="1"/>
  <c r="I62" i="13013" s="1"/>
  <c r="U2679" i="13015"/>
  <c r="U2680" i="13015" s="1"/>
  <c r="Y2680" i="13015" s="1"/>
  <c r="AD2623" i="13015"/>
  <c r="AE2623" i="13015" s="1"/>
  <c r="D2628" i="13015"/>
  <c r="H2640" i="13015"/>
  <c r="F2637" i="13015"/>
  <c r="H2667" i="13015"/>
  <c r="D2639" i="13015"/>
  <c r="Q2639" i="13015" s="1"/>
  <c r="E11" i="12998"/>
  <c r="D11" i="12998"/>
  <c r="D677" i="13015" l="1"/>
  <c r="W677" i="13015" s="1"/>
  <c r="W698" i="13015"/>
  <c r="M38" i="13014"/>
  <c r="K53" i="13005"/>
  <c r="S53" i="13013"/>
  <c r="U53" i="13013" s="1"/>
  <c r="Q53" i="13013"/>
  <c r="W53" i="13013" s="1"/>
  <c r="Y53" i="13013" s="1"/>
  <c r="C1394" i="13015"/>
  <c r="D1103" i="13015"/>
  <c r="D1104" i="13015"/>
  <c r="G61" i="13013"/>
  <c r="G64" i="13013" s="1"/>
  <c r="W1605" i="13015"/>
  <c r="AI1605" i="13015" s="1"/>
  <c r="U1605" i="13015"/>
  <c r="D1633" i="13015"/>
  <c r="W1585" i="13015"/>
  <c r="D1039" i="13015"/>
  <c r="C382" i="13015"/>
  <c r="D216" i="13015"/>
  <c r="I216" i="13015" s="1"/>
  <c r="D211" i="13015"/>
  <c r="I211" i="13015" s="1"/>
  <c r="D1242" i="13015"/>
  <c r="K34" i="13014"/>
  <c r="K49" i="13016"/>
  <c r="K34" i="13017" s="1"/>
  <c r="AA22" i="13024"/>
  <c r="Z22" i="13025" s="1"/>
  <c r="Z13" i="13025"/>
  <c r="D1528" i="13015"/>
  <c r="I1528" i="13015" s="1"/>
  <c r="D1527" i="13015"/>
  <c r="I1527" i="13015" s="1"/>
  <c r="D1531" i="13015"/>
  <c r="I1531" i="13015" s="1"/>
  <c r="W1090" i="13015"/>
  <c r="D1710" i="13015"/>
  <c r="D1586" i="13015"/>
  <c r="S1586" i="13015" s="1"/>
  <c r="D1564" i="13015"/>
  <c r="D1575" i="13015"/>
  <c r="I1575" i="13015" s="1"/>
  <c r="I1577" i="13015" s="1"/>
  <c r="D710" i="13015"/>
  <c r="V13" i="13023"/>
  <c r="W21" i="13022"/>
  <c r="V21" i="13023" s="1"/>
  <c r="C2420" i="13015"/>
  <c r="H1732" i="13015"/>
  <c r="D1613" i="13015"/>
  <c r="W1604" i="13015"/>
  <c r="AI1604" i="13015" s="1"/>
  <c r="U1604" i="13015"/>
  <c r="G38" i="13013"/>
  <c r="D1624" i="13015"/>
  <c r="I938" i="13015"/>
  <c r="D214" i="13015"/>
  <c r="I214" i="13015" s="1"/>
  <c r="D212" i="13015"/>
  <c r="I212" i="13015" s="1"/>
  <c r="D210" i="13015"/>
  <c r="D206" i="13015" s="1"/>
  <c r="AB219" i="13015" s="1"/>
  <c r="Q2610" i="13015"/>
  <c r="K2610" i="13015" s="1"/>
  <c r="S2610" i="13015" s="1"/>
  <c r="M49" i="13013"/>
  <c r="V15" i="13031"/>
  <c r="W23" i="13030"/>
  <c r="V23" i="13031" s="1"/>
  <c r="H1769" i="13015"/>
  <c r="D1566" i="13015"/>
  <c r="D1584" i="13015"/>
  <c r="W1584" i="13015" s="1"/>
  <c r="D1563" i="13015"/>
  <c r="W1563" i="13015" s="1"/>
  <c r="Y2670" i="13015"/>
  <c r="M20" i="13013" s="1"/>
  <c r="K20" i="13013"/>
  <c r="K48" i="13016"/>
  <c r="K33" i="13017" s="1"/>
  <c r="K33" i="13014"/>
  <c r="M37" i="13014"/>
  <c r="K52" i="13005"/>
  <c r="Q52" i="13013"/>
  <c r="W52" i="13013" s="1"/>
  <c r="Y52" i="13013" s="1"/>
  <c r="S52" i="13013"/>
  <c r="U52" i="13013" s="1"/>
  <c r="D689" i="13015"/>
  <c r="AB220" i="13015"/>
  <c r="K53" i="13016"/>
  <c r="K38" i="13017" s="1"/>
  <c r="K38" i="13014"/>
  <c r="M48" i="13014"/>
  <c r="K63" i="13005"/>
  <c r="S63" i="13013"/>
  <c r="U63" i="13013" s="1"/>
  <c r="Q63" i="13013"/>
  <c r="W63" i="13013" s="1"/>
  <c r="Y63" i="13013" s="1"/>
  <c r="I1769" i="13015"/>
  <c r="D1583" i="13015"/>
  <c r="D1588" i="13015"/>
  <c r="S1588" i="13015" s="1"/>
  <c r="M748" i="13015"/>
  <c r="M253" i="13015"/>
  <c r="W656" i="13015"/>
  <c r="W874" i="13015"/>
  <c r="W856" i="13015"/>
  <c r="W799" i="13015"/>
  <c r="O623" i="13015"/>
  <c r="W910" i="13015"/>
  <c r="W779" i="13015"/>
  <c r="W875" i="13015"/>
  <c r="O657" i="13015"/>
  <c r="S2671" i="13015"/>
  <c r="M2610" i="13015"/>
  <c r="U2610" i="13015" s="1"/>
  <c r="M2586" i="13015"/>
  <c r="U2586" i="13015" s="1"/>
  <c r="H2400" i="13015"/>
  <c r="H2296" i="13015"/>
  <c r="D2358" i="13015"/>
  <c r="H2504" i="13015"/>
  <c r="D2099" i="13015"/>
  <c r="D2035" i="13015"/>
  <c r="I2035" i="13015" s="1"/>
  <c r="D2060" i="13015"/>
  <c r="D2034" i="13015"/>
  <c r="I2034" i="13015" s="1"/>
  <c r="D2059" i="13015"/>
  <c r="I2059" i="13015" s="1"/>
  <c r="D2028" i="13015"/>
  <c r="D2053" i="13015"/>
  <c r="D2069" i="13015"/>
  <c r="D2045" i="13015"/>
  <c r="D2038" i="13015" s="1"/>
  <c r="I2038" i="13015" s="1"/>
  <c r="D2052" i="13015"/>
  <c r="D2029" i="13015"/>
  <c r="D2041" i="13015"/>
  <c r="I1873" i="13015"/>
  <c r="I1875" i="13015" s="1"/>
  <c r="D1541" i="13015"/>
  <c r="D1553" i="13015"/>
  <c r="I1553" i="13015" s="1"/>
  <c r="C1547" i="13015"/>
  <c r="W1521" i="13015"/>
  <c r="W1522" i="13015"/>
  <c r="H1242" i="13015"/>
  <c r="H1245" i="13015" s="1"/>
  <c r="H1248" i="13015" s="1"/>
  <c r="D1168" i="13015"/>
  <c r="I1168" i="13015" s="1"/>
  <c r="I1210" i="13015"/>
  <c r="C1200" i="13015"/>
  <c r="H1168" i="13015"/>
  <c r="H1200" i="13015" s="1"/>
  <c r="H1203" i="13015" s="1"/>
  <c r="H1206" i="13015" s="1"/>
  <c r="D1071" i="13015"/>
  <c r="I1071" i="13015" s="1"/>
  <c r="D999" i="13015"/>
  <c r="D1036" i="13015"/>
  <c r="D403" i="13015"/>
  <c r="U418" i="13015"/>
  <c r="D384" i="13015"/>
  <c r="W804" i="13015"/>
  <c r="I804" i="13015"/>
  <c r="I810" i="13015" s="1"/>
  <c r="W418" i="13015"/>
  <c r="U674" i="13015"/>
  <c r="W674" i="13015"/>
  <c r="AI674" i="13015" s="1"/>
  <c r="G30" i="13013"/>
  <c r="A20" i="13017"/>
  <c r="Y11" i="13017"/>
  <c r="U11" i="13017"/>
  <c r="W11" i="13017" s="1"/>
  <c r="Y12" i="13017" s="1"/>
  <c r="A23" i="13016"/>
  <c r="A24" i="13016" s="1"/>
  <c r="O11" i="13016"/>
  <c r="Q11" i="13016"/>
  <c r="W12" i="13016" s="1"/>
  <c r="K2639" i="13015"/>
  <c r="M2639" i="13015" s="1"/>
  <c r="U2639" i="13015" s="1"/>
  <c r="Y2036" i="13015"/>
  <c r="I2036" i="13015"/>
  <c r="W1068" i="13015"/>
  <c r="U1068" i="13015"/>
  <c r="S1068" i="13015"/>
  <c r="Y1068" i="13015"/>
  <c r="I1068" i="13015"/>
  <c r="I999" i="13015"/>
  <c r="H288" i="13015"/>
  <c r="W2488" i="13015"/>
  <c r="I2104" i="13015"/>
  <c r="D2082" i="13015"/>
  <c r="I2082" i="13015" s="1"/>
  <c r="I1613" i="13015"/>
  <c r="D1424" i="13015"/>
  <c r="C1426" i="13015"/>
  <c r="D1426" i="13015" s="1"/>
  <c r="I2010" i="13015"/>
  <c r="I1134" i="13015"/>
  <c r="W1134" i="13015"/>
  <c r="U1134" i="13015"/>
  <c r="H982" i="13015"/>
  <c r="I2628" i="13015"/>
  <c r="I2631" i="13015" s="1"/>
  <c r="I2633" i="13015" s="1"/>
  <c r="K51" i="13013" s="1"/>
  <c r="D2630" i="13015"/>
  <c r="I2630" i="13015" s="1"/>
  <c r="D2620" i="13015"/>
  <c r="D2615" i="13015"/>
  <c r="U2674" i="13015"/>
  <c r="C2633" i="13015"/>
  <c r="S2672" i="13015"/>
  <c r="H2631" i="13015"/>
  <c r="H2633" i="13015" s="1"/>
  <c r="D2617" i="13015"/>
  <c r="D2616" i="13015"/>
  <c r="S2674" i="13015"/>
  <c r="S2673" i="13015"/>
  <c r="Z2367" i="13015"/>
  <c r="Z2389" i="13015"/>
  <c r="Z2449" i="13015"/>
  <c r="D2531" i="13015"/>
  <c r="I2531" i="13015" s="1"/>
  <c r="D2503" i="13015"/>
  <c r="I2503" i="13015" s="1"/>
  <c r="D2384" i="13015"/>
  <c r="C2280" i="13015"/>
  <c r="I2430" i="13015"/>
  <c r="I2396" i="13015"/>
  <c r="D2428" i="13015"/>
  <c r="D2415" i="13015"/>
  <c r="D2414" i="13015"/>
  <c r="D2412" i="13015"/>
  <c r="D2411" i="13015"/>
  <c r="D2410" i="13015"/>
  <c r="D2395" i="13015"/>
  <c r="D2377" i="13015"/>
  <c r="D2376" i="13015"/>
  <c r="D2374" i="13015"/>
  <c r="D2373" i="13015"/>
  <c r="D2371" i="13015"/>
  <c r="D2370" i="13015"/>
  <c r="D2399" i="13015"/>
  <c r="D2393" i="13015"/>
  <c r="D2427" i="13015"/>
  <c r="D2419" i="13015"/>
  <c r="D2403" i="13015"/>
  <c r="D2380" i="13015"/>
  <c r="D2429" i="13015"/>
  <c r="W2209" i="13015"/>
  <c r="Y2209" i="13015"/>
  <c r="U2209" i="13015"/>
  <c r="S2209" i="13015"/>
  <c r="I2209" i="13015"/>
  <c r="Y2128" i="13015"/>
  <c r="I2128" i="13015"/>
  <c r="D2167" i="13015"/>
  <c r="D2105" i="13015"/>
  <c r="I2110" i="13015"/>
  <c r="D2088" i="13015"/>
  <c r="I2088" i="13015" s="1"/>
  <c r="H2112" i="13015"/>
  <c r="H2114" i="13015" s="1"/>
  <c r="I2051" i="13015"/>
  <c r="H1875" i="13015"/>
  <c r="D2080" i="13015"/>
  <c r="D2065" i="13015"/>
  <c r="H1933" i="13015"/>
  <c r="H1935" i="13015" s="1"/>
  <c r="H1881" i="13015"/>
  <c r="H1883" i="13015" s="1"/>
  <c r="I1813" i="13015"/>
  <c r="D1818" i="13015"/>
  <c r="I59" i="13013" s="1"/>
  <c r="I1814" i="13015"/>
  <c r="I1816" i="13015" s="1"/>
  <c r="H1734" i="13015"/>
  <c r="H1736" i="13015" s="1"/>
  <c r="H1802" i="13015"/>
  <c r="H1637" i="13015"/>
  <c r="H1639" i="13015" s="1"/>
  <c r="D1565" i="13015"/>
  <c r="S1565" i="13015" s="1"/>
  <c r="C1543" i="13015"/>
  <c r="Z2526" i="13015"/>
  <c r="C2526" i="13015" s="1"/>
  <c r="C2422" i="13015"/>
  <c r="C1382" i="13015"/>
  <c r="C1406" i="13015"/>
  <c r="D1404" i="13015"/>
  <c r="H1649" i="13015"/>
  <c r="C1589" i="13015"/>
  <c r="C1495" i="13015"/>
  <c r="H1489" i="13015"/>
  <c r="D1430" i="13015"/>
  <c r="I1430" i="13015" s="1"/>
  <c r="I1431" i="13015"/>
  <c r="Z2528" i="13015"/>
  <c r="C2528" i="13015" s="1"/>
  <c r="D2528" i="13015" s="1"/>
  <c r="C2424" i="13015"/>
  <c r="I1242" i="13015"/>
  <c r="I1716" i="13015"/>
  <c r="K57" i="13013" s="1"/>
  <c r="I1714" i="13015"/>
  <c r="W1633" i="13015"/>
  <c r="U1633" i="13015"/>
  <c r="I1633" i="13015"/>
  <c r="D2592" i="13015"/>
  <c r="C2592" i="13015"/>
  <c r="I1336" i="13015"/>
  <c r="I1368" i="13015" s="1"/>
  <c r="D1368" i="13015"/>
  <c r="H1416" i="13015"/>
  <c r="D1199" i="13015"/>
  <c r="I1199" i="13015" s="1"/>
  <c r="D1181" i="13015"/>
  <c r="I1181" i="13015" s="1"/>
  <c r="Q1134" i="13015"/>
  <c r="Y1134" i="13015" s="1"/>
  <c r="Q1090" i="13015"/>
  <c r="Y1090" i="13015" s="1"/>
  <c r="Q1112" i="13015"/>
  <c r="U1039" i="13015"/>
  <c r="S1039" i="13015"/>
  <c r="D1504" i="13015"/>
  <c r="H1454" i="13015"/>
  <c r="H1456" i="13015" s="1"/>
  <c r="I1400" i="13015"/>
  <c r="D1378" i="13015"/>
  <c r="I1411" i="13015"/>
  <c r="D1389" i="13015"/>
  <c r="I1389" i="13015" s="1"/>
  <c r="D1410" i="13015"/>
  <c r="H1392" i="13015"/>
  <c r="H1394" i="13015" s="1"/>
  <c r="D1182" i="13015"/>
  <c r="I1182" i="13015" s="1"/>
  <c r="H1140" i="13015"/>
  <c r="H1142" i="13015" s="1"/>
  <c r="D1060" i="13015"/>
  <c r="W893" i="13015"/>
  <c r="H1514" i="13015"/>
  <c r="H1516" i="13015" s="1"/>
  <c r="D1197" i="13015"/>
  <c r="I1197" i="13015" s="1"/>
  <c r="D1179" i="13015"/>
  <c r="I1179" i="13015" s="1"/>
  <c r="H1164" i="13015"/>
  <c r="D1035" i="13015"/>
  <c r="Q1105" i="13015"/>
  <c r="Q1083" i="13015"/>
  <c r="Y1083" i="13015" s="1"/>
  <c r="Q1127" i="13015"/>
  <c r="I1440" i="13015"/>
  <c r="D1450" i="13015"/>
  <c r="I1450" i="13015" s="1"/>
  <c r="I1451" i="13015"/>
  <c r="H1329" i="13015"/>
  <c r="H1332" i="13015" s="1"/>
  <c r="D1194" i="13015"/>
  <c r="I1194" i="13015" s="1"/>
  <c r="D1176" i="13015"/>
  <c r="I1176" i="13015" s="1"/>
  <c r="U1130" i="13015"/>
  <c r="D1064" i="13015"/>
  <c r="S1130" i="13015"/>
  <c r="D952" i="13015"/>
  <c r="D951" i="13015"/>
  <c r="I951" i="13015" s="1"/>
  <c r="D950" i="13015"/>
  <c r="I950" i="13015" s="1"/>
  <c r="D945" i="13015"/>
  <c r="W892" i="13015"/>
  <c r="I814" i="13015"/>
  <c r="U814" i="13015"/>
  <c r="W814" i="13015"/>
  <c r="W837" i="13015"/>
  <c r="U715" i="13015"/>
  <c r="I715" i="13015"/>
  <c r="W715" i="13015"/>
  <c r="U854" i="13015"/>
  <c r="W854" i="13015"/>
  <c r="D835" i="13015"/>
  <c r="I854" i="13015"/>
  <c r="U861" i="13015"/>
  <c r="W861" i="13015"/>
  <c r="D842" i="13015"/>
  <c r="I861" i="13015"/>
  <c r="W780" i="13015"/>
  <c r="D761" i="13015"/>
  <c r="H653" i="13015"/>
  <c r="I653" i="13015"/>
  <c r="W785" i="13015"/>
  <c r="I785" i="13015"/>
  <c r="U785" i="13015"/>
  <c r="D766" i="13015"/>
  <c r="I654" i="13015"/>
  <c r="H654" i="13015"/>
  <c r="H594" i="13015"/>
  <c r="I909" i="13015"/>
  <c r="W909" i="13015"/>
  <c r="U909" i="13015"/>
  <c r="D891" i="13015"/>
  <c r="H920" i="13015"/>
  <c r="H922" i="13015" s="1"/>
  <c r="I778" i="13015"/>
  <c r="W778" i="13015"/>
  <c r="U778" i="13015"/>
  <c r="D759" i="13015"/>
  <c r="H597" i="13015"/>
  <c r="D765" i="13015"/>
  <c r="I765" i="13015" s="1"/>
  <c r="H356" i="13015"/>
  <c r="M489" i="13015"/>
  <c r="M523" i="13015"/>
  <c r="M455" i="13015"/>
  <c r="M421" i="13015"/>
  <c r="K480" i="13015"/>
  <c r="K514" i="13015"/>
  <c r="K446" i="13015"/>
  <c r="K412" i="13015"/>
  <c r="H351" i="13015"/>
  <c r="C248" i="13015"/>
  <c r="H248" i="13015" s="1"/>
  <c r="H284" i="13015"/>
  <c r="D681" i="13015"/>
  <c r="I681" i="13015" s="1"/>
  <c r="I702" i="13015"/>
  <c r="D668" i="13015"/>
  <c r="D659" i="13015" s="1"/>
  <c r="C563" i="13015"/>
  <c r="H563" i="13015" s="1"/>
  <c r="H358" i="13015"/>
  <c r="I350" i="13015"/>
  <c r="H350" i="13015"/>
  <c r="W719" i="13015"/>
  <c r="F487" i="13015"/>
  <c r="F521" i="13015"/>
  <c r="F453" i="13015"/>
  <c r="I385" i="13015"/>
  <c r="F419" i="13015"/>
  <c r="H385" i="13015"/>
  <c r="K513" i="13015"/>
  <c r="K445" i="13015"/>
  <c r="K479" i="13015"/>
  <c r="K411" i="13015"/>
  <c r="H220" i="13015"/>
  <c r="H222" i="13015" s="1"/>
  <c r="D85" i="13015"/>
  <c r="G16" i="13013" s="1"/>
  <c r="G21" i="13013" s="1"/>
  <c r="D60" i="13015"/>
  <c r="I60" i="13015" s="1"/>
  <c r="D57" i="13015"/>
  <c r="D56" i="13015"/>
  <c r="D55" i="13015"/>
  <c r="D49" i="13015"/>
  <c r="D52" i="13015" s="1"/>
  <c r="H498" i="13015"/>
  <c r="D213" i="13015"/>
  <c r="I213" i="13015" s="1"/>
  <c r="I220" i="13015" s="1"/>
  <c r="Y191" i="13015"/>
  <c r="W191" i="13015"/>
  <c r="U191" i="13015"/>
  <c r="S191" i="13015"/>
  <c r="D177" i="13015"/>
  <c r="D92" i="13015"/>
  <c r="Y18" i="13015"/>
  <c r="I18" i="13015"/>
  <c r="H426" i="13015"/>
  <c r="D139" i="13015"/>
  <c r="I139" i="13015" s="1"/>
  <c r="I146" i="13015" s="1"/>
  <c r="Q11" i="13014"/>
  <c r="W12" i="13014" s="1"/>
  <c r="I420" i="13015"/>
  <c r="H420" i="13015"/>
  <c r="U117" i="13015"/>
  <c r="S117" i="13015"/>
  <c r="Y117" i="13015"/>
  <c r="W117" i="13015"/>
  <c r="H428" i="13015"/>
  <c r="I418" i="13015"/>
  <c r="H418" i="13015"/>
  <c r="D205" i="13015"/>
  <c r="D119" i="13015"/>
  <c r="I118" i="13015"/>
  <c r="U2673" i="13015"/>
  <c r="D2614" i="13015"/>
  <c r="H2537" i="13015"/>
  <c r="C2364" i="13015"/>
  <c r="Z2468" i="13015"/>
  <c r="Z2466" i="13015"/>
  <c r="C2362" i="13015"/>
  <c r="H2431" i="13015"/>
  <c r="H2433" i="13015" s="1"/>
  <c r="H2435" i="13015" s="1"/>
  <c r="I2392" i="13015"/>
  <c r="D2177" i="13015"/>
  <c r="I2177" i="13015" s="1"/>
  <c r="I2194" i="13015"/>
  <c r="D2217" i="13015"/>
  <c r="I2217" i="13015" s="1"/>
  <c r="D2212" i="13015"/>
  <c r="D2211" i="13015"/>
  <c r="D2165" i="13015" s="1"/>
  <c r="D2219" i="13015"/>
  <c r="S2186" i="13015"/>
  <c r="Y2186" i="13015"/>
  <c r="D2163" i="13015"/>
  <c r="W2186" i="13015"/>
  <c r="I2186" i="13015"/>
  <c r="U2186" i="13015"/>
  <c r="D2144" i="13015"/>
  <c r="D2021" i="13015"/>
  <c r="D1997" i="13015" s="1"/>
  <c r="I1978" i="13015"/>
  <c r="Q2196" i="13015"/>
  <c r="Y2196" i="13015" s="1"/>
  <c r="Q2219" i="13015"/>
  <c r="I2197" i="13015"/>
  <c r="I2162" i="13015"/>
  <c r="D2004" i="13015"/>
  <c r="H1865" i="13015"/>
  <c r="H1867" i="13015" s="1"/>
  <c r="D2122" i="13015"/>
  <c r="D2078" i="13015" s="1"/>
  <c r="D2106" i="13015"/>
  <c r="Y2041" i="13015"/>
  <c r="C1998" i="13015"/>
  <c r="D1927" i="13015"/>
  <c r="G42" i="13013" s="1"/>
  <c r="I1919" i="13015"/>
  <c r="I1854" i="13015"/>
  <c r="D1887" i="13015"/>
  <c r="D1859" i="13015"/>
  <c r="I60" i="13013" s="1"/>
  <c r="I61" i="13013" s="1"/>
  <c r="I64" i="13013" s="1"/>
  <c r="I1855" i="13015"/>
  <c r="I1795" i="13015"/>
  <c r="I1851" i="13015"/>
  <c r="C1818" i="13015"/>
  <c r="H1814" i="13015"/>
  <c r="H1816" i="13015" s="1"/>
  <c r="D1631" i="13015"/>
  <c r="D1635" i="13015" s="1"/>
  <c r="D1634" i="13015" s="1"/>
  <c r="D1630" i="13015"/>
  <c r="D1625" i="13015"/>
  <c r="C1545" i="13015"/>
  <c r="I1511" i="13015"/>
  <c r="D1490" i="13015"/>
  <c r="I1490" i="13015" s="1"/>
  <c r="S1464" i="13015"/>
  <c r="D2405" i="13015"/>
  <c r="C2301" i="13015"/>
  <c r="S1445" i="13015"/>
  <c r="W1429" i="13015"/>
  <c r="U1429" i="13015"/>
  <c r="S1429" i="13015"/>
  <c r="Y1429" i="13015"/>
  <c r="I1429" i="13015"/>
  <c r="D1405" i="13015"/>
  <c r="C1383" i="13015"/>
  <c r="D2595" i="13015"/>
  <c r="C2595" i="13015"/>
  <c r="W1462" i="13015"/>
  <c r="D2407" i="13015"/>
  <c r="C2303" i="13015"/>
  <c r="I1294" i="13015"/>
  <c r="I1326" i="13015" s="1"/>
  <c r="D1326" i="13015"/>
  <c r="W1624" i="13015"/>
  <c r="U1624" i="13015"/>
  <c r="I1624" i="13015"/>
  <c r="I1530" i="13015"/>
  <c r="D1529" i="13015"/>
  <c r="I1529" i="13015" s="1"/>
  <c r="D1506" i="13015"/>
  <c r="Z2525" i="13015"/>
  <c r="C2525" i="13015" s="1"/>
  <c r="D2525" i="13015" s="1"/>
  <c r="C2421" i="13015"/>
  <c r="C1466" i="13015"/>
  <c r="D1466" i="13015" s="1"/>
  <c r="H1069" i="13015"/>
  <c r="H1074" i="13015" s="1"/>
  <c r="C1076" i="13015"/>
  <c r="W1421" i="13015"/>
  <c r="D1195" i="13015"/>
  <c r="I1195" i="13015" s="1"/>
  <c r="D1177" i="13015"/>
  <c r="I1177" i="13015" s="1"/>
  <c r="I1136" i="13015"/>
  <c r="D1135" i="13015"/>
  <c r="I1135" i="13015" s="1"/>
  <c r="D981" i="13015"/>
  <c r="K1090" i="13015"/>
  <c r="S1090" i="13015" s="1"/>
  <c r="K1112" i="13015"/>
  <c r="K1134" i="13015"/>
  <c r="S1134" i="13015" s="1"/>
  <c r="I969" i="13015"/>
  <c r="C1482" i="13015"/>
  <c r="U1469" i="13015"/>
  <c r="S1469" i="13015"/>
  <c r="Y1469" i="13015"/>
  <c r="I1469" i="13015"/>
  <c r="W1469" i="13015"/>
  <c r="I1407" i="13015"/>
  <c r="D1385" i="13015"/>
  <c r="I1385" i="13015" s="1"/>
  <c r="I1412" i="13015"/>
  <c r="D1390" i="13015"/>
  <c r="I1390" i="13015" s="1"/>
  <c r="D1196" i="13015"/>
  <c r="I1196" i="13015" s="1"/>
  <c r="D1178" i="13015"/>
  <c r="I1178" i="13015" s="1"/>
  <c r="H1120" i="13015"/>
  <c r="Y1049" i="13015"/>
  <c r="I1049" i="13015"/>
  <c r="W1049" i="13015"/>
  <c r="S1049" i="13015"/>
  <c r="S1014" i="13015"/>
  <c r="D1013" i="13015"/>
  <c r="U1014" i="13015"/>
  <c r="C1485" i="13015"/>
  <c r="D1193" i="13015"/>
  <c r="I1193" i="13015" s="1"/>
  <c r="D1175" i="13015"/>
  <c r="I1175" i="13015" s="1"/>
  <c r="D1133" i="13015"/>
  <c r="I1133" i="13015" s="1"/>
  <c r="I944" i="13015"/>
  <c r="W944" i="13015"/>
  <c r="U944" i="13015"/>
  <c r="I1454" i="13015"/>
  <c r="D1189" i="13015"/>
  <c r="I1189" i="13015" s="1"/>
  <c r="D1171" i="13015"/>
  <c r="I1171" i="13015" s="1"/>
  <c r="D1132" i="13015"/>
  <c r="I1132" i="13015" s="1"/>
  <c r="D1123" i="13015"/>
  <c r="D1048" i="13015"/>
  <c r="I1048" i="13015" s="1"/>
  <c r="S1020" i="13015"/>
  <c r="W1020" i="13015"/>
  <c r="Y1020" i="13015"/>
  <c r="U1020" i="13015"/>
  <c r="I1020" i="13015"/>
  <c r="S1016" i="13015"/>
  <c r="U1016" i="13015"/>
  <c r="K581" i="13015"/>
  <c r="K614" i="13015"/>
  <c r="K647" i="13015"/>
  <c r="W855" i="13015"/>
  <c r="D836" i="13015"/>
  <c r="H865" i="13015"/>
  <c r="H867" i="13015" s="1"/>
  <c r="Q804" i="13015"/>
  <c r="Y804" i="13015" s="1"/>
  <c r="Q823" i="13015"/>
  <c r="Q785" i="13015"/>
  <c r="Y785" i="13015" s="1"/>
  <c r="H655" i="13015"/>
  <c r="H884" i="13015"/>
  <c r="H886" i="13015" s="1"/>
  <c r="W798" i="13015"/>
  <c r="H732" i="13015"/>
  <c r="H683" i="13015"/>
  <c r="C690" i="13015"/>
  <c r="H663" i="13015"/>
  <c r="D468" i="13015"/>
  <c r="D459" i="13015" s="1"/>
  <c r="S1015" i="13015"/>
  <c r="U1015" i="13015"/>
  <c r="I914" i="13015"/>
  <c r="D896" i="13015"/>
  <c r="I896" i="13015" s="1"/>
  <c r="H627" i="13015"/>
  <c r="C502" i="13015"/>
  <c r="C395" i="13015"/>
  <c r="H395" i="13015" s="1"/>
  <c r="U717" i="13015"/>
  <c r="I717" i="13015"/>
  <c r="W717" i="13015"/>
  <c r="U724" i="13015"/>
  <c r="Y724" i="13015"/>
  <c r="I724" i="13015"/>
  <c r="W724" i="13015"/>
  <c r="C631" i="13015"/>
  <c r="C635" i="13015" s="1"/>
  <c r="I348" i="13015"/>
  <c r="H348" i="13015"/>
  <c r="I674" i="13015"/>
  <c r="C430" i="13015"/>
  <c r="C396" i="13015" s="1"/>
  <c r="H396" i="13015" s="1"/>
  <c r="F489" i="13015"/>
  <c r="F523" i="13015"/>
  <c r="F455" i="13015"/>
  <c r="H387" i="13015"/>
  <c r="F421" i="13015"/>
  <c r="K478" i="13015"/>
  <c r="K512" i="13015"/>
  <c r="K444" i="13015"/>
  <c r="K410" i="13015"/>
  <c r="H359" i="13015"/>
  <c r="C253" i="13015"/>
  <c r="H253" i="13015" s="1"/>
  <c r="H315" i="13015"/>
  <c r="U696" i="13015"/>
  <c r="I696" i="13015"/>
  <c r="W696" i="13015"/>
  <c r="D675" i="13015"/>
  <c r="U703" i="13015"/>
  <c r="D682" i="13015"/>
  <c r="Y703" i="13015"/>
  <c r="I703" i="13015"/>
  <c r="W703" i="13015"/>
  <c r="C661" i="13015"/>
  <c r="O487" i="13015"/>
  <c r="W487" i="13015" s="1"/>
  <c r="O419" i="13015"/>
  <c r="W419" i="13015" s="1"/>
  <c r="O521" i="13015"/>
  <c r="W521" i="13015" s="1"/>
  <c r="O453" i="13015"/>
  <c r="W453" i="13015" s="1"/>
  <c r="H322" i="13015"/>
  <c r="I314" i="13015"/>
  <c r="H314" i="13015"/>
  <c r="D655" i="13015"/>
  <c r="I655" i="13015" s="1"/>
  <c r="D460" i="13015"/>
  <c r="U437" i="13015"/>
  <c r="F529" i="13015"/>
  <c r="F461" i="13015"/>
  <c r="F495" i="13015"/>
  <c r="F427" i="13015"/>
  <c r="K515" i="13015"/>
  <c r="K447" i="13015"/>
  <c r="K481" i="13015"/>
  <c r="K413" i="13015"/>
  <c r="H357" i="13015"/>
  <c r="H325" i="13015"/>
  <c r="H183" i="13015"/>
  <c r="H185" i="13015" s="1"/>
  <c r="H109" i="13015"/>
  <c r="H464" i="13015"/>
  <c r="I12" i="13015"/>
  <c r="D13" i="13015"/>
  <c r="Y13" i="13015" s="1"/>
  <c r="D15" i="13015"/>
  <c r="U403" i="13015"/>
  <c r="D369" i="13015"/>
  <c r="W333" i="13015"/>
  <c r="U333" i="13015"/>
  <c r="H494" i="13015"/>
  <c r="D180" i="13015"/>
  <c r="I180" i="13015" s="1"/>
  <c r="I488" i="13015"/>
  <c r="H488" i="13015"/>
  <c r="H496" i="13015"/>
  <c r="I452" i="13015"/>
  <c r="H452" i="13015"/>
  <c r="D179" i="13015"/>
  <c r="I179" i="13015" s="1"/>
  <c r="W261" i="13015"/>
  <c r="D225" i="13015"/>
  <c r="U261" i="13015"/>
  <c r="U240" i="13015"/>
  <c r="W240" i="13015"/>
  <c r="D178" i="13015"/>
  <c r="I178" i="13015" s="1"/>
  <c r="I19" i="13015"/>
  <c r="Y19" i="13015"/>
  <c r="I2662" i="13015"/>
  <c r="Y2662" i="13015"/>
  <c r="D2664" i="13015"/>
  <c r="K2637" i="13015"/>
  <c r="S2637" i="13015" s="1"/>
  <c r="D2618" i="13015"/>
  <c r="S2670" i="13015"/>
  <c r="U2670" i="13015"/>
  <c r="Y2653" i="13015"/>
  <c r="D2655" i="13015"/>
  <c r="D2644" i="13015"/>
  <c r="I2653" i="13015"/>
  <c r="Y2663" i="13015"/>
  <c r="I2663" i="13015"/>
  <c r="H2619" i="13015"/>
  <c r="H2621" i="13015" s="1"/>
  <c r="D2619" i="13015"/>
  <c r="S2586" i="13015"/>
  <c r="C2646" i="13015"/>
  <c r="H2645" i="13015"/>
  <c r="H2646" i="13015" s="1"/>
  <c r="H2649" i="13015" s="1"/>
  <c r="W2524" i="13015"/>
  <c r="U2671" i="13015"/>
  <c r="D2532" i="13015"/>
  <c r="I2532" i="13015" s="1"/>
  <c r="D2500" i="13015"/>
  <c r="I2500" i="13015" s="1"/>
  <c r="D2499" i="13015"/>
  <c r="I2499" i="13015" s="1"/>
  <c r="D2497" i="13015"/>
  <c r="I2497" i="13015" s="1"/>
  <c r="D2496" i="13015"/>
  <c r="I2496" i="13015" s="1"/>
  <c r="D2530" i="13015"/>
  <c r="I2530" i="13015" s="1"/>
  <c r="D2534" i="13015"/>
  <c r="I2534" i="13015" s="1"/>
  <c r="D2484" i="13015"/>
  <c r="D2533" i="13015"/>
  <c r="I2533" i="13015" s="1"/>
  <c r="D2523" i="13015"/>
  <c r="H2606" i="13015"/>
  <c r="Z2450" i="13015"/>
  <c r="Z2390" i="13015"/>
  <c r="Z2368" i="13015"/>
  <c r="Z2447" i="13015"/>
  <c r="Z2365" i="13015"/>
  <c r="Z2387" i="13015"/>
  <c r="D2487" i="13015"/>
  <c r="C2316" i="13015"/>
  <c r="D2420" i="13015"/>
  <c r="D2164" i="13015"/>
  <c r="I2187" i="13015"/>
  <c r="D2142" i="13015"/>
  <c r="H2134" i="13015"/>
  <c r="H2136" i="13015" s="1"/>
  <c r="H1995" i="13015"/>
  <c r="H1998" i="13015" s="1"/>
  <c r="I2195" i="13015"/>
  <c r="D2143" i="13015"/>
  <c r="D2077" i="13015" s="1"/>
  <c r="D2218" i="13015"/>
  <c r="I2218" i="13015" s="1"/>
  <c r="D2175" i="13015"/>
  <c r="I2175" i="13015" s="1"/>
  <c r="I2130" i="13015"/>
  <c r="D2129" i="13015"/>
  <c r="I2129" i="13015" s="1"/>
  <c r="I2210" i="13015"/>
  <c r="D2150" i="13015"/>
  <c r="I2003" i="13015"/>
  <c r="D1979" i="13015"/>
  <c r="I2109" i="13015"/>
  <c r="D2087" i="13015"/>
  <c r="I2087" i="13015" s="1"/>
  <c r="I2097" i="13015"/>
  <c r="D2075" i="13015"/>
  <c r="I2152" i="13015"/>
  <c r="D2151" i="13015"/>
  <c r="I2151" i="13015" s="1"/>
  <c r="I2108" i="13015"/>
  <c r="D2107" i="13015"/>
  <c r="D2086" i="13015"/>
  <c r="I2086" i="13015" s="1"/>
  <c r="D2098" i="13015"/>
  <c r="D2017" i="13015"/>
  <c r="D2012" i="13015"/>
  <c r="H1851" i="13015"/>
  <c r="D1812" i="13015"/>
  <c r="I1823" i="13015"/>
  <c r="I1829" i="13015" s="1"/>
  <c r="C1526" i="13015"/>
  <c r="C1486" i="13015" s="1"/>
  <c r="I1811" i="13015"/>
  <c r="C1639" i="13015"/>
  <c r="D1526" i="13015"/>
  <c r="S1526" i="13015" s="1"/>
  <c r="I1509" i="13015"/>
  <c r="D1488" i="13015"/>
  <c r="I1488" i="13015" s="1"/>
  <c r="S1444" i="13015"/>
  <c r="I1605" i="13015"/>
  <c r="Z2527" i="13015"/>
  <c r="C2527" i="13015" s="1"/>
  <c r="D2527" i="13015" s="1"/>
  <c r="C2423" i="13015"/>
  <c r="S1465" i="13015"/>
  <c r="W1441" i="13015"/>
  <c r="D1422" i="13015"/>
  <c r="C1380" i="13015"/>
  <c r="C2409" i="13015"/>
  <c r="C2302" i="13015"/>
  <c r="D2406" i="13015"/>
  <c r="D1540" i="13015"/>
  <c r="D1512" i="13015"/>
  <c r="D1510" i="13015" s="1"/>
  <c r="W1442" i="13015"/>
  <c r="I1840" i="13015"/>
  <c r="I1810" i="13015"/>
  <c r="D1649" i="13015"/>
  <c r="C1654" i="13015"/>
  <c r="C1657" i="13015" s="1"/>
  <c r="W1623" i="13015"/>
  <c r="U1623" i="13015"/>
  <c r="I1623" i="13015"/>
  <c r="D1505" i="13015"/>
  <c r="C1484" i="13015"/>
  <c r="D1502" i="13015"/>
  <c r="D2408" i="13015"/>
  <c r="C2304" i="13015"/>
  <c r="D1589" i="13015"/>
  <c r="S1589" i="13015" s="1"/>
  <c r="D1190" i="13015"/>
  <c r="I1190" i="13015" s="1"/>
  <c r="D1173" i="13015"/>
  <c r="I1173" i="13015" s="1"/>
  <c r="D1067" i="13015"/>
  <c r="I1067" i="13015" s="1"/>
  <c r="Y1044" i="13015"/>
  <c r="I1044" i="13015"/>
  <c r="U1044" i="13015"/>
  <c r="W1044" i="13015"/>
  <c r="S1044" i="13015"/>
  <c r="Q615" i="13015"/>
  <c r="Q648" i="13015"/>
  <c r="Q582" i="13015"/>
  <c r="Q1895" i="13015"/>
  <c r="Q1151" i="13015"/>
  <c r="Y1151" i="13015" s="1"/>
  <c r="Q1063" i="13015"/>
  <c r="Q1039" i="13015"/>
  <c r="Y1039" i="13015" s="1"/>
  <c r="Q991" i="13015"/>
  <c r="Q1015" i="13015"/>
  <c r="Y1015" i="13015" s="1"/>
  <c r="Q546" i="13015"/>
  <c r="Q232" i="13015"/>
  <c r="U852" i="13015"/>
  <c r="D833" i="13015"/>
  <c r="W852" i="13015"/>
  <c r="I852" i="13015"/>
  <c r="D1503" i="13015"/>
  <c r="I1460" i="13015"/>
  <c r="D1470" i="13015"/>
  <c r="I1470" i="13015" s="1"/>
  <c r="I1471" i="13015"/>
  <c r="S1425" i="13015"/>
  <c r="I1408" i="13015"/>
  <c r="D1386" i="13015"/>
  <c r="I1386" i="13015" s="1"/>
  <c r="W1401" i="13015"/>
  <c r="D1379" i="13015"/>
  <c r="W1379" i="13015" s="1"/>
  <c r="D1192" i="13015"/>
  <c r="I1192" i="13015" s="1"/>
  <c r="D1174" i="13015"/>
  <c r="I1174" i="13015" s="1"/>
  <c r="D1058" i="13015"/>
  <c r="D1047" i="13015"/>
  <c r="I1047" i="13015" s="1"/>
  <c r="Q1894" i="13015"/>
  <c r="Q1038" i="13015"/>
  <c r="Q1150" i="13015"/>
  <c r="Y1150" i="13015" s="1"/>
  <c r="Q990" i="13015"/>
  <c r="Q1062" i="13015"/>
  <c r="Q968" i="13015"/>
  <c r="AG965" i="13015"/>
  <c r="Q1014" i="13015"/>
  <c r="Y1014" i="13015" s="1"/>
  <c r="Q545" i="13015"/>
  <c r="Q231" i="13015"/>
  <c r="D1501" i="13015"/>
  <c r="D1188" i="13015"/>
  <c r="I1188" i="13015" s="1"/>
  <c r="D1170" i="13015"/>
  <c r="I1170" i="13015" s="1"/>
  <c r="D1066" i="13015"/>
  <c r="I1066" i="13015" s="1"/>
  <c r="D1040" i="13015"/>
  <c r="C1481" i="13015"/>
  <c r="H1434" i="13015"/>
  <c r="H1436" i="13015" s="1"/>
  <c r="D1185" i="13015"/>
  <c r="I1185" i="13015" s="1"/>
  <c r="S1063" i="13015"/>
  <c r="Y1063" i="13015"/>
  <c r="U1063" i="13015"/>
  <c r="D1046" i="13015"/>
  <c r="I899" i="13015"/>
  <c r="D904" i="13015"/>
  <c r="I29" i="13013" s="1"/>
  <c r="U934" i="13015"/>
  <c r="I934" i="13015"/>
  <c r="W934" i="13015"/>
  <c r="H791" i="13015"/>
  <c r="U736" i="13015"/>
  <c r="I736" i="13015"/>
  <c r="W736" i="13015"/>
  <c r="U694" i="13015"/>
  <c r="I694" i="13015"/>
  <c r="W694" i="13015"/>
  <c r="D673" i="13015"/>
  <c r="H940" i="13015"/>
  <c r="D840" i="13015"/>
  <c r="I840" i="13015" s="1"/>
  <c r="I859" i="13015"/>
  <c r="U816" i="13015"/>
  <c r="W816" i="13015"/>
  <c r="I816" i="13015"/>
  <c r="U823" i="13015"/>
  <c r="W823" i="13015"/>
  <c r="I823" i="13015"/>
  <c r="Y823" i="13015"/>
  <c r="Q880" i="13015"/>
  <c r="Q861" i="13015"/>
  <c r="Y861" i="13015" s="1"/>
  <c r="H664" i="13015"/>
  <c r="C564" i="13015"/>
  <c r="C602" i="13015"/>
  <c r="S834" i="13015"/>
  <c r="Y834" i="13015"/>
  <c r="U834" i="13015"/>
  <c r="I834" i="13015"/>
  <c r="W834" i="13015"/>
  <c r="U815" i="13015"/>
  <c r="W815" i="13015"/>
  <c r="I815" i="13015"/>
  <c r="H753" i="13015"/>
  <c r="K898" i="13015"/>
  <c r="K842" i="13015"/>
  <c r="K766" i="13015"/>
  <c r="K745" i="13015"/>
  <c r="S745" i="13015" s="1"/>
  <c r="K724" i="13015"/>
  <c r="S724" i="13015" s="1"/>
  <c r="K703" i="13015"/>
  <c r="S703" i="13015" s="1"/>
  <c r="K250" i="13015"/>
  <c r="I1022" i="13015"/>
  <c r="D1021" i="13015"/>
  <c r="I1021" i="13015" s="1"/>
  <c r="C982" i="13015"/>
  <c r="I915" i="13015"/>
  <c r="D897" i="13015"/>
  <c r="I897" i="13015" s="1"/>
  <c r="Y880" i="13015"/>
  <c r="I880" i="13015"/>
  <c r="W880" i="13015"/>
  <c r="U880" i="13015"/>
  <c r="I777" i="13015"/>
  <c r="W777" i="13015"/>
  <c r="U777" i="13015"/>
  <c r="D758" i="13015"/>
  <c r="S762" i="13015"/>
  <c r="H589" i="13015"/>
  <c r="I587" i="13015"/>
  <c r="H587" i="13015"/>
  <c r="D772" i="13015"/>
  <c r="I24" i="13013" s="1"/>
  <c r="W718" i="13015"/>
  <c r="U727" i="13015"/>
  <c r="D726" i="13015"/>
  <c r="S727" i="13015"/>
  <c r="Y727" i="13015"/>
  <c r="I727" i="13015"/>
  <c r="D721" i="13015"/>
  <c r="W727" i="13015"/>
  <c r="W638" i="13015"/>
  <c r="U638" i="13015"/>
  <c r="D554" i="13015"/>
  <c r="W587" i="13015"/>
  <c r="U587" i="13015"/>
  <c r="D572" i="13015"/>
  <c r="U471" i="13015"/>
  <c r="H320" i="13015"/>
  <c r="F500" i="13015"/>
  <c r="F534" i="13015"/>
  <c r="F466" i="13015"/>
  <c r="F432" i="13015"/>
  <c r="K476" i="13015"/>
  <c r="K510" i="13015"/>
  <c r="K442" i="13015"/>
  <c r="K408" i="13015"/>
  <c r="H323" i="13015"/>
  <c r="C294" i="13015"/>
  <c r="H287" i="13015"/>
  <c r="C251" i="13015"/>
  <c r="D760" i="13015"/>
  <c r="U738" i="13015"/>
  <c r="I738" i="13015"/>
  <c r="W738" i="13015"/>
  <c r="U745" i="13015"/>
  <c r="Y745" i="13015"/>
  <c r="I745" i="13015"/>
  <c r="W745" i="13015"/>
  <c r="W697" i="13015"/>
  <c r="D676" i="13015"/>
  <c r="W676" i="13015" s="1"/>
  <c r="U706" i="13015"/>
  <c r="D705" i="13015"/>
  <c r="S706" i="13015"/>
  <c r="Y706" i="13015"/>
  <c r="I706" i="13015"/>
  <c r="D700" i="13015"/>
  <c r="W706" i="13015"/>
  <c r="D685" i="13015"/>
  <c r="C628" i="13015"/>
  <c r="C561" i="13015"/>
  <c r="H561" i="13015" s="1"/>
  <c r="D764" i="13015"/>
  <c r="I764" i="13015" s="1"/>
  <c r="D757" i="13015"/>
  <c r="O514" i="13015"/>
  <c r="O446" i="13015"/>
  <c r="O480" i="13015"/>
  <c r="O412" i="13015"/>
  <c r="K511" i="13015"/>
  <c r="K443" i="13015"/>
  <c r="K477" i="13015"/>
  <c r="K409" i="13015"/>
  <c r="H146" i="13015"/>
  <c r="D63" i="13015"/>
  <c r="I63" i="13015" s="1"/>
  <c r="A19" i="13014"/>
  <c r="H532" i="13015"/>
  <c r="Y168" i="13015"/>
  <c r="U168" i="13015"/>
  <c r="S168" i="13015"/>
  <c r="U120" i="13015"/>
  <c r="W120" i="13015"/>
  <c r="AB78" i="13015"/>
  <c r="D111" i="13015"/>
  <c r="I16" i="13013" s="1"/>
  <c r="I21" i="13013" s="1"/>
  <c r="U204" i="13015"/>
  <c r="S204" i="13015"/>
  <c r="Y204" i="13015"/>
  <c r="U384" i="13015"/>
  <c r="W384" i="13015"/>
  <c r="W297" i="13015"/>
  <c r="U297" i="13015"/>
  <c r="I460" i="13015"/>
  <c r="H460" i="13015"/>
  <c r="D172" i="13015"/>
  <c r="W157" i="13015"/>
  <c r="U157" i="13015"/>
  <c r="Y131" i="13015"/>
  <c r="U131" i="13015"/>
  <c r="S131" i="13015"/>
  <c r="I454" i="13015"/>
  <c r="H454" i="13015"/>
  <c r="C324" i="13015"/>
  <c r="C330" i="13015" s="1"/>
  <c r="H462" i="13015"/>
  <c r="I520" i="13015"/>
  <c r="H520" i="13015"/>
  <c r="D175" i="13015"/>
  <c r="I175" i="13015" s="1"/>
  <c r="U153" i="13015"/>
  <c r="S153" i="13015"/>
  <c r="Y153" i="13015"/>
  <c r="W153" i="13015"/>
  <c r="I148" i="13015"/>
  <c r="K17" i="13013" s="1"/>
  <c r="K17" i="13016" s="1"/>
  <c r="I20" i="13015"/>
  <c r="D22" i="13015"/>
  <c r="D21" i="13015" s="1"/>
  <c r="W2639" i="13015"/>
  <c r="W2640" i="13015" s="1"/>
  <c r="S2639" i="13015"/>
  <c r="Y2654" i="13015"/>
  <c r="D2645" i="13015"/>
  <c r="I2654" i="13015"/>
  <c r="D2633" i="13015"/>
  <c r="I51" i="13013" s="1"/>
  <c r="Z2465" i="13015"/>
  <c r="C2361" i="13015"/>
  <c r="Z2490" i="13015"/>
  <c r="C2490" i="13015" s="1"/>
  <c r="D2490" i="13015" s="1"/>
  <c r="C2386" i="13015"/>
  <c r="H2325" i="13015"/>
  <c r="H2327" i="13015" s="1"/>
  <c r="C2331" i="13015"/>
  <c r="I2358" i="13015"/>
  <c r="D2254" i="13015"/>
  <c r="I2426" i="13015"/>
  <c r="D2322" i="13015"/>
  <c r="I2322" i="13015" s="1"/>
  <c r="D2294" i="13015"/>
  <c r="I2294" i="13015" s="1"/>
  <c r="I2398" i="13015"/>
  <c r="D2383" i="13015"/>
  <c r="C2279" i="13015"/>
  <c r="H2158" i="13015"/>
  <c r="D2379" i="13015"/>
  <c r="I2357" i="13015"/>
  <c r="D2253" i="13015"/>
  <c r="D2173" i="13015"/>
  <c r="I2196" i="13015"/>
  <c r="C2181" i="13015"/>
  <c r="H2174" i="13015"/>
  <c r="H2179" i="13015" s="1"/>
  <c r="I2096" i="13015"/>
  <c r="D2074" i="13015"/>
  <c r="H2085" i="13015"/>
  <c r="H2090" i="13015" s="1"/>
  <c r="C2092" i="13015"/>
  <c r="D2220" i="13015"/>
  <c r="I2220" i="13015" s="1"/>
  <c r="D2176" i="13015"/>
  <c r="I2176" i="13015" s="1"/>
  <c r="I2027" i="13015"/>
  <c r="D2011" i="13015"/>
  <c r="C1935" i="13015"/>
  <c r="D1925" i="13015" s="1"/>
  <c r="D2005" i="13015"/>
  <c r="I1865" i="13015"/>
  <c r="I1867" i="13015" s="1"/>
  <c r="Y2060" i="13015"/>
  <c r="I2060" i="13015"/>
  <c r="I1732" i="13015"/>
  <c r="D1611" i="13015"/>
  <c r="D1653" i="13015" s="1"/>
  <c r="D1615" i="13015"/>
  <c r="I1552" i="13015"/>
  <c r="I1555" i="13015" s="1"/>
  <c r="D1557" i="13015"/>
  <c r="I36" i="13013" s="1"/>
  <c r="S2593" i="13015"/>
  <c r="K1626" i="13015"/>
  <c r="K1646" i="13015"/>
  <c r="I1604" i="13015"/>
  <c r="D1643" i="13015"/>
  <c r="G40" i="13013" s="1"/>
  <c r="D1606" i="13015"/>
  <c r="D2594" i="13015"/>
  <c r="C2594" i="13015"/>
  <c r="C2596" i="13015" s="1"/>
  <c r="W1461" i="13015"/>
  <c r="I1434" i="13015"/>
  <c r="I1420" i="13015"/>
  <c r="W1541" i="13015"/>
  <c r="I1508" i="13015"/>
  <c r="D1487" i="13015"/>
  <c r="I1487" i="13015" s="1"/>
  <c r="D2591" i="13015"/>
  <c r="C2591" i="13015"/>
  <c r="H1371" i="13015"/>
  <c r="H1374" i="13015" s="1"/>
  <c r="H1716" i="13015"/>
  <c r="I1561" i="13015"/>
  <c r="I1579" i="13015" s="1"/>
  <c r="D1539" i="13015"/>
  <c r="W1539" i="13015" s="1"/>
  <c r="C1446" i="13015"/>
  <c r="D1446" i="13015" s="1"/>
  <c r="D1443" i="13015" s="1"/>
  <c r="C2300" i="13015"/>
  <c r="D2404" i="13015"/>
  <c r="S1156" i="13015"/>
  <c r="Y1156" i="13015"/>
  <c r="I1156" i="13015"/>
  <c r="I1164" i="13015" s="1"/>
  <c r="K28" i="13013" s="1"/>
  <c r="K28" i="13016" s="1"/>
  <c r="W1156" i="13015"/>
  <c r="U1156" i="13015"/>
  <c r="D1186" i="13015"/>
  <c r="I1186" i="13015" s="1"/>
  <c r="S1105" i="13015"/>
  <c r="Y1105" i="13015"/>
  <c r="U1105" i="13015"/>
  <c r="W1112" i="13015"/>
  <c r="U1112" i="13015"/>
  <c r="S1112" i="13015"/>
  <c r="Y1112" i="13015"/>
  <c r="I1112" i="13015"/>
  <c r="I1120" i="13015" s="1"/>
  <c r="D1000" i="13015"/>
  <c r="C1483" i="13015"/>
  <c r="I1474" i="13015"/>
  <c r="Y1409" i="13015"/>
  <c r="I1409" i="13015"/>
  <c r="W1409" i="13015"/>
  <c r="U1409" i="13015"/>
  <c r="S1409" i="13015"/>
  <c r="D1387" i="13015"/>
  <c r="D1284" i="13015"/>
  <c r="I1252" i="13015"/>
  <c r="I1284" i="13015" s="1"/>
  <c r="D1187" i="13015"/>
  <c r="I1187" i="13015" s="1"/>
  <c r="D1169" i="13015"/>
  <c r="I1169" i="13015" s="1"/>
  <c r="D992" i="13015"/>
  <c r="D990" i="13015"/>
  <c r="D988" i="13015"/>
  <c r="D986" i="13015"/>
  <c r="Y1001" i="13015"/>
  <c r="W1001" i="13015"/>
  <c r="D998" i="13015"/>
  <c r="D991" i="13015"/>
  <c r="D987" i="13015"/>
  <c r="D977" i="13015"/>
  <c r="S1001" i="13015"/>
  <c r="I1001" i="13015"/>
  <c r="S895" i="13015"/>
  <c r="H1474" i="13015"/>
  <c r="H1476" i="13015" s="1"/>
  <c r="D1183" i="13015"/>
  <c r="I1183" i="13015" s="1"/>
  <c r="U1128" i="13015"/>
  <c r="D1127" i="13015"/>
  <c r="D1061" i="13015" s="1"/>
  <c r="S1128" i="13015"/>
  <c r="D1062" i="13015"/>
  <c r="D1070" i="13015"/>
  <c r="I1070" i="13015" s="1"/>
  <c r="D1038" i="13015"/>
  <c r="I908" i="13015"/>
  <c r="W908" i="13015"/>
  <c r="U908" i="13015"/>
  <c r="D890" i="13015"/>
  <c r="U1449" i="13015"/>
  <c r="S1449" i="13015"/>
  <c r="Y1449" i="13015"/>
  <c r="I1449" i="13015"/>
  <c r="W1449" i="13015"/>
  <c r="D1198" i="13015"/>
  <c r="I1198" i="13015" s="1"/>
  <c r="D1180" i="13015"/>
  <c r="I1180" i="13015" s="1"/>
  <c r="D1069" i="13015"/>
  <c r="I1091" i="13015"/>
  <c r="I1096" i="13015" s="1"/>
  <c r="D996" i="13015"/>
  <c r="D995" i="13015"/>
  <c r="D994" i="13015"/>
  <c r="M1001" i="13015"/>
  <c r="M549" i="13015" s="1"/>
  <c r="M1049" i="13015"/>
  <c r="U1049" i="13015" s="1"/>
  <c r="M1025" i="13015"/>
  <c r="U1025" i="13015" s="1"/>
  <c r="M235" i="13015"/>
  <c r="S894" i="13015"/>
  <c r="I871" i="13015"/>
  <c r="I886" i="13015" s="1"/>
  <c r="W871" i="13015"/>
  <c r="U871" i="13015"/>
  <c r="S838" i="13015"/>
  <c r="U927" i="13015"/>
  <c r="I927" i="13015"/>
  <c r="I940" i="13015" s="1"/>
  <c r="W927" i="13015"/>
  <c r="S839" i="13015"/>
  <c r="D1009" i="13015"/>
  <c r="D841" i="13015"/>
  <c r="I841" i="13015" s="1"/>
  <c r="I860" i="13015"/>
  <c r="W817" i="13015"/>
  <c r="H827" i="13015"/>
  <c r="H829" i="13015" s="1"/>
  <c r="Q952" i="13015"/>
  <c r="Q916" i="13015"/>
  <c r="Y916" i="13015" s="1"/>
  <c r="Q934" i="13015"/>
  <c r="Y934" i="13015" s="1"/>
  <c r="Q563" i="13015"/>
  <c r="H660" i="13015"/>
  <c r="H595" i="13015"/>
  <c r="H598" i="13015"/>
  <c r="H600" i="13015" s="1"/>
  <c r="D536" i="13015"/>
  <c r="D523" i="13015" s="1"/>
  <c r="D527" i="13015"/>
  <c r="I916" i="13015"/>
  <c r="W916" i="13015"/>
  <c r="U916" i="13015"/>
  <c r="D898" i="13015"/>
  <c r="I756" i="13015"/>
  <c r="W756" i="13015"/>
  <c r="U756" i="13015"/>
  <c r="H708" i="13015"/>
  <c r="H711" i="13015" s="1"/>
  <c r="H662" i="13015"/>
  <c r="C562" i="13015"/>
  <c r="H562" i="13015" s="1"/>
  <c r="D524" i="13015"/>
  <c r="D456" i="13015"/>
  <c r="W605" i="13015"/>
  <c r="U605" i="13015"/>
  <c r="I312" i="13015"/>
  <c r="H312" i="13015"/>
  <c r="F497" i="13015"/>
  <c r="F531" i="13015"/>
  <c r="F463" i="13015"/>
  <c r="F429" i="13015"/>
  <c r="O481" i="13015"/>
  <c r="O515" i="13015"/>
  <c r="O447" i="13015"/>
  <c r="O413" i="13015"/>
  <c r="O471" i="13015"/>
  <c r="W471" i="13015" s="1"/>
  <c r="O505" i="13015"/>
  <c r="W505" i="13015" s="1"/>
  <c r="O437" i="13015"/>
  <c r="W437" i="13015" s="1"/>
  <c r="O403" i="13015"/>
  <c r="W403" i="13015" s="1"/>
  <c r="C285" i="13015"/>
  <c r="W739" i="13015"/>
  <c r="U748" i="13015"/>
  <c r="D747" i="13015"/>
  <c r="S748" i="13015"/>
  <c r="Y748" i="13015"/>
  <c r="I748" i="13015"/>
  <c r="D742" i="13015"/>
  <c r="W748" i="13015"/>
  <c r="D680" i="13015"/>
  <c r="I680" i="13015" s="1"/>
  <c r="I701" i="13015"/>
  <c r="U505" i="13015"/>
  <c r="H111" i="13015"/>
  <c r="I789" i="13015"/>
  <c r="M487" i="13015"/>
  <c r="U487" i="13015" s="1"/>
  <c r="M521" i="13015"/>
  <c r="U521" i="13015" s="1"/>
  <c r="M453" i="13015"/>
  <c r="U453" i="13015" s="1"/>
  <c r="M419" i="13015"/>
  <c r="U419" i="13015" s="1"/>
  <c r="H361" i="13015"/>
  <c r="H321" i="13015"/>
  <c r="H148" i="13015"/>
  <c r="A21" i="13014"/>
  <c r="A20" i="13014"/>
  <c r="AB183" i="13015"/>
  <c r="U181" i="13015"/>
  <c r="Y181" i="13015"/>
  <c r="I181" i="13015"/>
  <c r="D167" i="13015"/>
  <c r="D78" i="13015"/>
  <c r="D70" i="13015" s="1"/>
  <c r="D174" i="13015"/>
  <c r="I174" i="13015" s="1"/>
  <c r="C360" i="13015"/>
  <c r="H360" i="13015" s="1"/>
  <c r="H528" i="13015"/>
  <c r="D190" i="13015"/>
  <c r="AB146" i="13015"/>
  <c r="U130" i="13015"/>
  <c r="S130" i="13015"/>
  <c r="Y130" i="13015"/>
  <c r="D64" i="13015"/>
  <c r="K11" i="13013"/>
  <c r="A20" i="13013"/>
  <c r="I522" i="13015"/>
  <c r="H522" i="13015"/>
  <c r="H530" i="13015"/>
  <c r="I384" i="13015"/>
  <c r="I486" i="13015"/>
  <c r="H486" i="13015"/>
  <c r="D171" i="13015"/>
  <c r="D41" i="13015"/>
  <c r="C393" i="13015"/>
  <c r="H393" i="13015" s="1"/>
  <c r="D156" i="13015"/>
  <c r="D116" i="13015"/>
  <c r="I23" i="13015"/>
  <c r="D25" i="13015"/>
  <c r="D24" i="13015" s="1"/>
  <c r="I222" i="13015" l="1"/>
  <c r="K19" i="13013" s="1"/>
  <c r="K19" i="13016" s="1"/>
  <c r="K42" i="13014"/>
  <c r="K57" i="13016"/>
  <c r="K42" i="13017" s="1"/>
  <c r="W1583" i="13015"/>
  <c r="I1583" i="13015"/>
  <c r="I1601" i="13015" s="1"/>
  <c r="K48" i="13007"/>
  <c r="O48" i="13007" s="1"/>
  <c r="O63" i="13005"/>
  <c r="O52" i="13005"/>
  <c r="K37" i="13007"/>
  <c r="O37" i="13007" s="1"/>
  <c r="K20" i="13016"/>
  <c r="K16" i="13017" s="1"/>
  <c r="K16" i="13014"/>
  <c r="S1566" i="13015"/>
  <c r="D1544" i="13015"/>
  <c r="S1544" i="13015" s="1"/>
  <c r="G41" i="13013"/>
  <c r="I2156" i="13015"/>
  <c r="D1627" i="13015"/>
  <c r="M361" i="13015"/>
  <c r="M289" i="13015"/>
  <c r="M325" i="13015"/>
  <c r="I1773" i="13015"/>
  <c r="I1771" i="13015"/>
  <c r="M16" i="13014"/>
  <c r="K20" i="13005"/>
  <c r="S20" i="13013"/>
  <c r="U20" i="13013" s="1"/>
  <c r="Q20" i="13013"/>
  <c r="W20" i="13013" s="1"/>
  <c r="Y20" i="13013" s="1"/>
  <c r="H1771" i="13015"/>
  <c r="H1773" i="13015" s="1"/>
  <c r="M34" i="13014"/>
  <c r="K49" i="13005"/>
  <c r="Q49" i="13013"/>
  <c r="W49" i="13013" s="1"/>
  <c r="Y49" i="13013" s="1"/>
  <c r="S49" i="13013"/>
  <c r="U49" i="13013" s="1"/>
  <c r="D1057" i="13015"/>
  <c r="K51" i="13016"/>
  <c r="K36" i="13017" s="1"/>
  <c r="K36" i="13014"/>
  <c r="S1564" i="13015"/>
  <c r="D1542" i="13015"/>
  <c r="S1542" i="13015" s="1"/>
  <c r="D1059" i="13015"/>
  <c r="D1101" i="13015"/>
  <c r="K38" i="13007"/>
  <c r="O38" i="13007" s="1"/>
  <c r="O53" i="13005"/>
  <c r="W1606" i="13015"/>
  <c r="AI1606" i="13015" s="1"/>
  <c r="U1606" i="13015"/>
  <c r="I2134" i="13015"/>
  <c r="I2136" i="13015" s="1"/>
  <c r="D1629" i="13015"/>
  <c r="H1805" i="13015"/>
  <c r="H1807" i="13015" s="1"/>
  <c r="W1613" i="13015"/>
  <c r="AI1613" i="13015" s="1"/>
  <c r="U1613" i="13015"/>
  <c r="S2675" i="13015"/>
  <c r="H2539" i="13015"/>
  <c r="D2172" i="13015"/>
  <c r="I2172" i="13015" s="1"/>
  <c r="D2033" i="13015"/>
  <c r="D2030" i="13015" s="1"/>
  <c r="D2039" i="13015"/>
  <c r="I2039" i="13015" s="1"/>
  <c r="D2032" i="13015"/>
  <c r="D1986" i="13015"/>
  <c r="I1986" i="13015" s="1"/>
  <c r="D2040" i="13015"/>
  <c r="I2040" i="13015" s="1"/>
  <c r="I2041" i="13015"/>
  <c r="D2031" i="13015"/>
  <c r="W1501" i="13015"/>
  <c r="W1387" i="13015"/>
  <c r="AI1387" i="13015" s="1"/>
  <c r="U1387" i="13015"/>
  <c r="I1436" i="13015"/>
  <c r="I791" i="13015"/>
  <c r="D457" i="13015"/>
  <c r="W457" i="13015" s="1"/>
  <c r="I770" i="13015"/>
  <c r="I829" i="13015"/>
  <c r="W685" i="13015"/>
  <c r="Y685" i="13015"/>
  <c r="U685" i="13015"/>
  <c r="W675" i="13015"/>
  <c r="AI675" i="13015" s="1"/>
  <c r="U675" i="13015"/>
  <c r="U682" i="13015"/>
  <c r="W682" i="13015"/>
  <c r="U673" i="13015"/>
  <c r="W673" i="13015"/>
  <c r="AI673" i="13015" s="1"/>
  <c r="H631" i="13015"/>
  <c r="H398" i="13015"/>
  <c r="H400" i="13015" s="1"/>
  <c r="H430" i="13015"/>
  <c r="D461" i="13015"/>
  <c r="A21" i="13017"/>
  <c r="A25" i="13016"/>
  <c r="A26" i="13016" s="1"/>
  <c r="S11" i="13016"/>
  <c r="U12" i="13016" s="1"/>
  <c r="S1061" i="13015"/>
  <c r="Y1061" i="13015"/>
  <c r="U1061" i="13015"/>
  <c r="D635" i="13015"/>
  <c r="D626" i="13015" s="1"/>
  <c r="D657" i="13015"/>
  <c r="S659" i="13015"/>
  <c r="S459" i="13015"/>
  <c r="W523" i="13015"/>
  <c r="U523" i="13015"/>
  <c r="D330" i="13015"/>
  <c r="D316" i="13015" s="1"/>
  <c r="I1510" i="13015"/>
  <c r="D1489" i="13015"/>
  <c r="I52" i="13015"/>
  <c r="D54" i="13015"/>
  <c r="D53" i="13015" s="1"/>
  <c r="S1443" i="13015"/>
  <c r="U156" i="13015"/>
  <c r="W156" i="13015"/>
  <c r="U167" i="13015"/>
  <c r="S167" i="13015"/>
  <c r="Y167" i="13015"/>
  <c r="C249" i="13015"/>
  <c r="H249" i="13015" s="1"/>
  <c r="H285" i="13015"/>
  <c r="H463" i="13015"/>
  <c r="D525" i="13015"/>
  <c r="M582" i="13015"/>
  <c r="M615" i="13015"/>
  <c r="M648" i="13015"/>
  <c r="I998" i="13015"/>
  <c r="D974" i="13015"/>
  <c r="I974" i="13015" s="1"/>
  <c r="D997" i="13015"/>
  <c r="D964" i="13015"/>
  <c r="Y1387" i="13015"/>
  <c r="S1387" i="13015" s="1"/>
  <c r="I1387" i="13015"/>
  <c r="I1000" i="13015"/>
  <c r="D976" i="13015"/>
  <c r="I976" i="13015" s="1"/>
  <c r="I1539" i="13015"/>
  <c r="I1557" i="13015" s="1"/>
  <c r="K36" i="13013" s="1"/>
  <c r="W2591" i="13015"/>
  <c r="D1607" i="13015"/>
  <c r="I2173" i="13015"/>
  <c r="Y2173" i="13015"/>
  <c r="W2383" i="13015"/>
  <c r="D2279" i="13015"/>
  <c r="W2490" i="13015"/>
  <c r="I2645" i="13015"/>
  <c r="Y2645" i="13015"/>
  <c r="AB107" i="13015"/>
  <c r="D103" i="13015"/>
  <c r="D110" i="13015"/>
  <c r="D107" i="13015"/>
  <c r="D106" i="13015"/>
  <c r="D105" i="13015"/>
  <c r="D69" i="13015"/>
  <c r="D74" i="13015"/>
  <c r="U554" i="13015"/>
  <c r="W554" i="13015"/>
  <c r="I554" i="13015"/>
  <c r="I1027" i="13015"/>
  <c r="I1030" i="13015" s="1"/>
  <c r="K286" i="13015"/>
  <c r="K394" i="13015"/>
  <c r="K358" i="13015"/>
  <c r="K322" i="13015"/>
  <c r="K823" i="13015"/>
  <c r="S823" i="13015" s="1"/>
  <c r="K785" i="13015"/>
  <c r="S785" i="13015" s="1"/>
  <c r="K804" i="13015"/>
  <c r="S804" i="13015" s="1"/>
  <c r="I846" i="13015"/>
  <c r="W1503" i="13015"/>
  <c r="D1482" i="13015"/>
  <c r="W833" i="13015"/>
  <c r="U833" i="13015"/>
  <c r="I833" i="13015"/>
  <c r="Q579" i="13015"/>
  <c r="Q612" i="13015"/>
  <c r="Q645" i="13015"/>
  <c r="W1502" i="13015"/>
  <c r="D1481" i="13015"/>
  <c r="I1979" i="13015"/>
  <c r="W2487" i="13015"/>
  <c r="Z2472" i="13015"/>
  <c r="C2368" i="13015"/>
  <c r="I2523" i="13015"/>
  <c r="I2537" i="13015" s="1"/>
  <c r="W2523" i="13015"/>
  <c r="I2535" i="13015"/>
  <c r="U2675" i="13015"/>
  <c r="M2637" i="13015"/>
  <c r="U2637" i="13015" s="1"/>
  <c r="U2640" i="13015" s="1"/>
  <c r="I2664" i="13015"/>
  <c r="I2667" i="13015" s="1"/>
  <c r="H495" i="13015"/>
  <c r="H455" i="13015"/>
  <c r="C434" i="13015"/>
  <c r="I920" i="13015"/>
  <c r="I922" i="13015" s="1"/>
  <c r="D1485" i="13015"/>
  <c r="S1506" i="13015"/>
  <c r="D2303" i="13015"/>
  <c r="S2407" i="13015"/>
  <c r="D1626" i="13015"/>
  <c r="D1628" i="13015"/>
  <c r="I1857" i="13015"/>
  <c r="I1859" i="13015" s="1"/>
  <c r="Y2106" i="13015"/>
  <c r="I2106" i="13015"/>
  <c r="D2084" i="13015"/>
  <c r="H2092" i="13015"/>
  <c r="Y2219" i="13015"/>
  <c r="I2219" i="13015"/>
  <c r="I2202" i="13015"/>
  <c r="I2204" i="13015" s="1"/>
  <c r="I2614" i="13015"/>
  <c r="W119" i="13015"/>
  <c r="U119" i="13015"/>
  <c r="C366" i="13015"/>
  <c r="I453" i="13015"/>
  <c r="H453" i="13015"/>
  <c r="H363" i="13015"/>
  <c r="I891" i="13015"/>
  <c r="W891" i="13015"/>
  <c r="U891" i="13015"/>
  <c r="S766" i="13015"/>
  <c r="Y766" i="13015"/>
  <c r="I766" i="13015"/>
  <c r="W766" i="13015"/>
  <c r="U766" i="13015"/>
  <c r="W761" i="13015"/>
  <c r="I835" i="13015"/>
  <c r="U835" i="13015"/>
  <c r="W835" i="13015"/>
  <c r="I945" i="13015"/>
  <c r="W945" i="13015"/>
  <c r="U945" i="13015"/>
  <c r="I1378" i="13015"/>
  <c r="D1507" i="13015"/>
  <c r="S1504" i="13015"/>
  <c r="D1483" i="13015"/>
  <c r="W2592" i="13015"/>
  <c r="S2528" i="13015"/>
  <c r="D1543" i="13015"/>
  <c r="D1567" i="13015"/>
  <c r="S1567" i="13015" s="1"/>
  <c r="Y2065" i="13015"/>
  <c r="I2065" i="13015"/>
  <c r="D2064" i="13015"/>
  <c r="I2064" i="13015" s="1"/>
  <c r="D2057" i="13015"/>
  <c r="D2056" i="13015"/>
  <c r="D2055" i="13015"/>
  <c r="D2063" i="13015"/>
  <c r="I2063" i="13015" s="1"/>
  <c r="D2062" i="13015"/>
  <c r="I2429" i="13015"/>
  <c r="D2325" i="13015"/>
  <c r="I2325" i="13015" s="1"/>
  <c r="I2427" i="13015"/>
  <c r="D2323" i="13015"/>
  <c r="I2323" i="13015" s="1"/>
  <c r="D2267" i="13015"/>
  <c r="I2267" i="13015" s="1"/>
  <c r="I2371" i="13015"/>
  <c r="D2273" i="13015"/>
  <c r="I2273" i="13015" s="1"/>
  <c r="I2377" i="13015"/>
  <c r="S2412" i="13015"/>
  <c r="W2412" i="13015"/>
  <c r="Y2412" i="13015"/>
  <c r="U2412" i="13015"/>
  <c r="I2412" i="13015"/>
  <c r="D2308" i="13015"/>
  <c r="D2292" i="13015"/>
  <c r="I2292" i="13015" s="1"/>
  <c r="I2617" i="13015"/>
  <c r="K2617" i="13015"/>
  <c r="I2615" i="13015"/>
  <c r="M11" i="13013"/>
  <c r="S12" i="13013" s="1"/>
  <c r="D1609" i="13015"/>
  <c r="H1076" i="13015"/>
  <c r="C565" i="13015"/>
  <c r="H565" i="13015" s="1"/>
  <c r="Y41" i="13015"/>
  <c r="U41" i="13015"/>
  <c r="D28" i="13015"/>
  <c r="D27" i="13015"/>
  <c r="S41" i="13015"/>
  <c r="I41" i="13015"/>
  <c r="D38" i="13015"/>
  <c r="I38" i="13015" s="1"/>
  <c r="D34" i="13015"/>
  <c r="I34" i="13015" s="1"/>
  <c r="D37" i="13015"/>
  <c r="D39" i="13015"/>
  <c r="I39" i="13015" s="1"/>
  <c r="D35" i="13015"/>
  <c r="I35" i="13015" s="1"/>
  <c r="D40" i="13015"/>
  <c r="I40" i="13015" s="1"/>
  <c r="D30" i="13015"/>
  <c r="D32" i="13015"/>
  <c r="AB27" i="13015" s="1"/>
  <c r="D31" i="13015"/>
  <c r="D33" i="13015"/>
  <c r="I890" i="13015"/>
  <c r="W890" i="13015"/>
  <c r="U890" i="13015"/>
  <c r="Y977" i="13015"/>
  <c r="U977" i="13015" s="1"/>
  <c r="I977" i="13015"/>
  <c r="S2594" i="13015"/>
  <c r="D1657" i="13015"/>
  <c r="I40" i="13013" s="1"/>
  <c r="D1652" i="13015"/>
  <c r="D2361" i="13015"/>
  <c r="C2257" i="13015"/>
  <c r="D68" i="13015"/>
  <c r="D71" i="13015"/>
  <c r="I71" i="13015" s="1"/>
  <c r="D75" i="13015"/>
  <c r="I75" i="13015" s="1"/>
  <c r="I757" i="13015"/>
  <c r="W757" i="13015"/>
  <c r="U757" i="13015"/>
  <c r="D699" i="13015"/>
  <c r="S700" i="13015"/>
  <c r="D679" i="13015"/>
  <c r="D704" i="13015"/>
  <c r="I705" i="13015"/>
  <c r="D684" i="13015"/>
  <c r="I684" i="13015" s="1"/>
  <c r="D294" i="13015"/>
  <c r="D293" i="13015" s="1"/>
  <c r="W572" i="13015"/>
  <c r="D539" i="13015"/>
  <c r="U572" i="13015"/>
  <c r="D720" i="13015"/>
  <c r="S721" i="13015"/>
  <c r="D725" i="13015"/>
  <c r="I725" i="13015" s="1"/>
  <c r="I726" i="13015"/>
  <c r="D529" i="13015"/>
  <c r="I529" i="13015" s="1"/>
  <c r="K880" i="13015"/>
  <c r="S880" i="13015" s="1"/>
  <c r="K861" i="13015"/>
  <c r="S861" i="13015" s="1"/>
  <c r="Q375" i="13015"/>
  <c r="Q339" i="13015"/>
  <c r="Q303" i="13015"/>
  <c r="Q267" i="13015"/>
  <c r="Q1107" i="13015"/>
  <c r="Y1107" i="13015" s="1"/>
  <c r="Q1129" i="13015"/>
  <c r="Y1129" i="13015" s="1"/>
  <c r="Q1085" i="13015"/>
  <c r="Y1085" i="13015" s="1"/>
  <c r="H1654" i="13015"/>
  <c r="H1616" i="13015" s="1"/>
  <c r="H1619" i="13015" s="1"/>
  <c r="C1616" i="13015"/>
  <c r="C1619" i="13015" s="1"/>
  <c r="C2677" i="13015" s="1"/>
  <c r="W1540" i="13015"/>
  <c r="S2406" i="13015"/>
  <c r="D2302" i="13015"/>
  <c r="W1422" i="13015"/>
  <c r="D1380" i="13015"/>
  <c r="W1380" i="13015" s="1"/>
  <c r="I1812" i="13015"/>
  <c r="Y2012" i="13015"/>
  <c r="I2012" i="13015"/>
  <c r="D1988" i="13015"/>
  <c r="D2076" i="13015"/>
  <c r="Z2491" i="13015"/>
  <c r="C2491" i="13015" s="1"/>
  <c r="D2491" i="13015" s="1"/>
  <c r="C2387" i="13015"/>
  <c r="C2390" i="13015"/>
  <c r="Z2494" i="13015"/>
  <c r="C2494" i="13015" s="1"/>
  <c r="D2494" i="13015" s="1"/>
  <c r="I2655" i="13015"/>
  <c r="I2658" i="13015" s="1"/>
  <c r="Y2655" i="13015"/>
  <c r="Y2658" i="13015" s="1"/>
  <c r="AB2658" i="13015" s="1"/>
  <c r="W369" i="13015"/>
  <c r="U369" i="13015"/>
  <c r="H461" i="13015"/>
  <c r="I461" i="13015"/>
  <c r="I675" i="13015"/>
  <c r="I523" i="13015"/>
  <c r="H523" i="13015"/>
  <c r="D450" i="13015"/>
  <c r="D458" i="13015"/>
  <c r="W836" i="13015"/>
  <c r="S1013" i="13015"/>
  <c r="U1013" i="13015"/>
  <c r="Y1013" i="13015"/>
  <c r="Z1466" i="13015"/>
  <c r="S1466" i="13015"/>
  <c r="I1533" i="13015"/>
  <c r="I1535" i="13015" s="1"/>
  <c r="I1627" i="13015"/>
  <c r="I1634" i="13015"/>
  <c r="I1797" i="13015"/>
  <c r="I1799" i="13015" s="1"/>
  <c r="W1887" i="13015"/>
  <c r="U1887" i="13015"/>
  <c r="U2163" i="13015"/>
  <c r="I2163" i="13015"/>
  <c r="W2163" i="13015"/>
  <c r="S2163" i="13015"/>
  <c r="Y2163" i="13015"/>
  <c r="D2171" i="13015"/>
  <c r="I2171" i="13015" s="1"/>
  <c r="D2288" i="13015"/>
  <c r="I2288" i="13015" s="1"/>
  <c r="Y205" i="13015"/>
  <c r="U205" i="13015"/>
  <c r="S205" i="13015"/>
  <c r="W55" i="13015"/>
  <c r="U55" i="13015"/>
  <c r="S55" i="13015"/>
  <c r="Y55" i="13015"/>
  <c r="I55" i="13015"/>
  <c r="D100" i="13015"/>
  <c r="I100" i="13015" s="1"/>
  <c r="D97" i="13015"/>
  <c r="I97" i="13015" s="1"/>
  <c r="D93" i="13015"/>
  <c r="D94" i="13015"/>
  <c r="D86" i="13015"/>
  <c r="I521" i="13015"/>
  <c r="H521" i="13015"/>
  <c r="I759" i="13015"/>
  <c r="W759" i="13015"/>
  <c r="U759" i="13015"/>
  <c r="S842" i="13015"/>
  <c r="Y842" i="13015"/>
  <c r="I842" i="13015"/>
  <c r="U842" i="13015"/>
  <c r="W842" i="13015"/>
  <c r="I956" i="13015"/>
  <c r="U1064" i="13015"/>
  <c r="S1064" i="13015"/>
  <c r="I1410" i="13015"/>
  <c r="I1414" i="13015" s="1"/>
  <c r="I1416" i="13015" s="1"/>
  <c r="D1388" i="13015"/>
  <c r="I1200" i="13015"/>
  <c r="H1493" i="13015"/>
  <c r="H1495" i="13015" s="1"/>
  <c r="H1657" i="13015"/>
  <c r="C2318" i="13015"/>
  <c r="D2422" i="13015"/>
  <c r="C2425" i="13015"/>
  <c r="I2105" i="13015"/>
  <c r="D2083" i="13015"/>
  <c r="I2083" i="13015" s="1"/>
  <c r="I2380" i="13015"/>
  <c r="D2276" i="13015"/>
  <c r="D2289" i="13015"/>
  <c r="I2289" i="13015" s="1"/>
  <c r="I2393" i="13015"/>
  <c r="I2373" i="13015"/>
  <c r="D2269" i="13015"/>
  <c r="I2269" i="13015" s="1"/>
  <c r="D2291" i="13015"/>
  <c r="I2291" i="13015" s="1"/>
  <c r="I2395" i="13015"/>
  <c r="D2310" i="13015"/>
  <c r="I2310" i="13015" s="1"/>
  <c r="I2414" i="13015"/>
  <c r="D2413" i="13015"/>
  <c r="D2280" i="13015"/>
  <c r="W2384" i="13015"/>
  <c r="Z2493" i="13015"/>
  <c r="C2493" i="13015" s="1"/>
  <c r="D2493" i="13015" s="1"/>
  <c r="C2389" i="13015"/>
  <c r="I2620" i="13015"/>
  <c r="K2620" i="13015"/>
  <c r="D169" i="13015"/>
  <c r="H2623" i="13015"/>
  <c r="A22" i="13014"/>
  <c r="H531" i="13015"/>
  <c r="M271" i="13015"/>
  <c r="M379" i="13015"/>
  <c r="M343" i="13015"/>
  <c r="M307" i="13015"/>
  <c r="D1076" i="13015"/>
  <c r="I27" i="13013" s="1"/>
  <c r="I1069" i="13015"/>
  <c r="I1074" i="13015" s="1"/>
  <c r="U1062" i="13015"/>
  <c r="S1062" i="13015"/>
  <c r="Y1062" i="13015"/>
  <c r="Y990" i="13015"/>
  <c r="U990" i="13015"/>
  <c r="D989" i="13015"/>
  <c r="S990" i="13015"/>
  <c r="D966" i="13015"/>
  <c r="Y966" i="13015" s="1"/>
  <c r="W966" i="13015" s="1"/>
  <c r="W2404" i="13015"/>
  <c r="D2300" i="13015"/>
  <c r="D741" i="13015"/>
  <c r="S742" i="13015"/>
  <c r="D746" i="13015"/>
  <c r="I746" i="13015" s="1"/>
  <c r="I747" i="13015"/>
  <c r="H497" i="13015"/>
  <c r="H500" i="13015" s="1"/>
  <c r="W524" i="13015"/>
  <c r="D518" i="13015"/>
  <c r="D526" i="13015"/>
  <c r="I995" i="13015"/>
  <c r="D971" i="13015"/>
  <c r="I971" i="13015" s="1"/>
  <c r="D963" i="13015"/>
  <c r="U992" i="13015"/>
  <c r="S992" i="13015"/>
  <c r="D968" i="13015"/>
  <c r="Y968" i="13015" s="1"/>
  <c r="W968" i="13015" s="1"/>
  <c r="I1287" i="13015"/>
  <c r="I1290" i="13015" s="1"/>
  <c r="I1606" i="13015"/>
  <c r="D1608" i="13015"/>
  <c r="D1981" i="13015"/>
  <c r="H2181" i="13015"/>
  <c r="I2254" i="13015"/>
  <c r="D65" i="13015"/>
  <c r="D72" i="13015"/>
  <c r="I72" i="13015" s="1"/>
  <c r="D76" i="13015"/>
  <c r="I76" i="13015" s="1"/>
  <c r="W760" i="13015"/>
  <c r="H602" i="13015"/>
  <c r="I758" i="13015"/>
  <c r="W758" i="13015"/>
  <c r="U758" i="13015"/>
  <c r="H628" i="13015"/>
  <c r="K934" i="13015"/>
  <c r="S934" i="13015" s="1"/>
  <c r="K952" i="13015"/>
  <c r="K916" i="13015"/>
  <c r="S916" i="13015" s="1"/>
  <c r="K563" i="13015"/>
  <c r="D602" i="13015"/>
  <c r="D593" i="13015" s="1"/>
  <c r="I673" i="13015"/>
  <c r="Q611" i="13015"/>
  <c r="Q644" i="13015"/>
  <c r="Q578" i="13015"/>
  <c r="Q1896" i="13015"/>
  <c r="Q1040" i="13015"/>
  <c r="Y1040" i="13015" s="1"/>
  <c r="Q1016" i="13015"/>
  <c r="Y1016" i="13015" s="1"/>
  <c r="Q992" i="13015"/>
  <c r="Y992" i="13015" s="1"/>
  <c r="AG966" i="13015"/>
  <c r="Q1064" i="13015"/>
  <c r="Y1064" i="13015" s="1"/>
  <c r="Q1152" i="13015"/>
  <c r="Y1152" i="13015" s="1"/>
  <c r="Q547" i="13015"/>
  <c r="Q233" i="13015"/>
  <c r="I1476" i="13015"/>
  <c r="K33" i="13013" s="1"/>
  <c r="K33" i="13016" s="1"/>
  <c r="S1505" i="13015"/>
  <c r="D1484" i="13015"/>
  <c r="D1647" i="13015"/>
  <c r="D1645" i="13015"/>
  <c r="D1646" i="13015"/>
  <c r="D1648" i="13015"/>
  <c r="I1512" i="13015"/>
  <c r="I1514" i="13015" s="1"/>
  <c r="D1491" i="13015"/>
  <c r="I1491" i="13015" s="1"/>
  <c r="D2423" i="13015"/>
  <c r="C2319" i="13015"/>
  <c r="D1610" i="13015"/>
  <c r="D1993" i="13015"/>
  <c r="Y2017" i="13015"/>
  <c r="I2017" i="13015"/>
  <c r="D2015" i="13015"/>
  <c r="D2009" i="13015"/>
  <c r="D2014" i="13015"/>
  <c r="D2007" i="13015"/>
  <c r="D2016" i="13015"/>
  <c r="D2008" i="13015"/>
  <c r="I2150" i="13015"/>
  <c r="I2158" i="13015" s="1"/>
  <c r="Y2150" i="13015"/>
  <c r="W2420" i="13015"/>
  <c r="D2316" i="13015"/>
  <c r="Z2469" i="13015"/>
  <c r="C2365" i="13015"/>
  <c r="I2484" i="13015"/>
  <c r="I2504" i="13015" s="1"/>
  <c r="I2539" i="13015" s="1"/>
  <c r="K2619" i="13015"/>
  <c r="I2619" i="13015"/>
  <c r="D2646" i="13015"/>
  <c r="I2644" i="13015"/>
  <c r="I2646" i="13015" s="1"/>
  <c r="I2649" i="13015" s="1"/>
  <c r="K62" i="13013" s="1"/>
  <c r="Y2644" i="13015"/>
  <c r="K2618" i="13015"/>
  <c r="I2618" i="13015"/>
  <c r="W225" i="13015"/>
  <c r="U225" i="13015"/>
  <c r="H529" i="13015"/>
  <c r="D661" i="13015"/>
  <c r="I661" i="13015" s="1"/>
  <c r="H661" i="13015"/>
  <c r="H666" i="13015" s="1"/>
  <c r="Y682" i="13015"/>
  <c r="S682" i="13015" s="1"/>
  <c r="I682" i="13015"/>
  <c r="H421" i="13015"/>
  <c r="H489" i="13015"/>
  <c r="D528" i="13015"/>
  <c r="I528" i="13015" s="1"/>
  <c r="C400" i="13015"/>
  <c r="D502" i="13015"/>
  <c r="D494" i="13015" s="1"/>
  <c r="I494" i="13015" s="1"/>
  <c r="I1140" i="13015"/>
  <c r="I1142" i="13015" s="1"/>
  <c r="D2421" i="13015"/>
  <c r="C2317" i="13015"/>
  <c r="I1329" i="13015"/>
  <c r="I1332" i="13015" s="1"/>
  <c r="S2595" i="13015"/>
  <c r="W2405" i="13015"/>
  <c r="D2301" i="13015"/>
  <c r="D1463" i="13015"/>
  <c r="I1630" i="13015"/>
  <c r="I1927" i="13015"/>
  <c r="D1901" i="13015"/>
  <c r="D1980" i="13015"/>
  <c r="D2364" i="13015"/>
  <c r="C2260" i="13015"/>
  <c r="Y92" i="13015"/>
  <c r="I92" i="13015"/>
  <c r="W92" i="13015"/>
  <c r="U92" i="13015"/>
  <c r="S92" i="13015"/>
  <c r="W56" i="13015"/>
  <c r="U56" i="13015"/>
  <c r="S56" i="13015"/>
  <c r="Y56" i="13015"/>
  <c r="I56" i="13015"/>
  <c r="H419" i="13015"/>
  <c r="I419" i="13015"/>
  <c r="H487" i="13015"/>
  <c r="I487" i="13015"/>
  <c r="D651" i="13015"/>
  <c r="D658" i="13015"/>
  <c r="D663" i="13015"/>
  <c r="I663" i="13015" s="1"/>
  <c r="H291" i="13015"/>
  <c r="H324" i="13015"/>
  <c r="D455" i="13015"/>
  <c r="I455" i="13015" s="1"/>
  <c r="D660" i="13015"/>
  <c r="I660" i="13015" s="1"/>
  <c r="I1371" i="13015"/>
  <c r="I1374" i="13015" s="1"/>
  <c r="I1245" i="13015"/>
  <c r="I1248" i="13015" s="1"/>
  <c r="D1200" i="13015"/>
  <c r="D1382" i="13015"/>
  <c r="S1404" i="13015"/>
  <c r="D2526" i="13015"/>
  <c r="C2529" i="13015"/>
  <c r="D2166" i="13015"/>
  <c r="W2403" i="13015"/>
  <c r="U2403" i="13015"/>
  <c r="I2403" i="13015"/>
  <c r="D2299" i="13015"/>
  <c r="D2295" i="13015"/>
  <c r="I2295" i="13015" s="1"/>
  <c r="I2399" i="13015"/>
  <c r="I2374" i="13015"/>
  <c r="D2270" i="13015"/>
  <c r="I2270" i="13015" s="1"/>
  <c r="I2410" i="13015"/>
  <c r="D2306" i="13015"/>
  <c r="I2306" i="13015" s="1"/>
  <c r="D2311" i="13015"/>
  <c r="I2311" i="13015" s="1"/>
  <c r="I2415" i="13015"/>
  <c r="D2326" i="13015"/>
  <c r="I2326" i="13015" s="1"/>
  <c r="Z2471" i="13015"/>
  <c r="C2367" i="13015"/>
  <c r="D463" i="13015"/>
  <c r="I463" i="13015" s="1"/>
  <c r="Z1426" i="13015"/>
  <c r="S1426" i="13015"/>
  <c r="H2329" i="13015"/>
  <c r="H2331" i="13015" s="1"/>
  <c r="C252" i="13015"/>
  <c r="H252" i="13015" s="1"/>
  <c r="I1098" i="13015"/>
  <c r="U190" i="13015"/>
  <c r="S190" i="13015"/>
  <c r="Y190" i="13015"/>
  <c r="W190" i="13015"/>
  <c r="W456" i="13015"/>
  <c r="S527" i="13015"/>
  <c r="I994" i="13015"/>
  <c r="D970" i="13015"/>
  <c r="I970" i="13015" s="1"/>
  <c r="Y116" i="13015"/>
  <c r="W116" i="13015"/>
  <c r="U116" i="13015"/>
  <c r="S116" i="13015"/>
  <c r="U64" i="13015"/>
  <c r="S64" i="13015"/>
  <c r="Y64" i="13015"/>
  <c r="AB80" i="13015"/>
  <c r="U78" i="13015"/>
  <c r="Y78" i="13015"/>
  <c r="I78" i="13015"/>
  <c r="H429" i="13015"/>
  <c r="I772" i="13015"/>
  <c r="K24" i="13013" s="1"/>
  <c r="K24" i="13016" s="1"/>
  <c r="S898" i="13015"/>
  <c r="Y898" i="13015"/>
  <c r="I898" i="13015"/>
  <c r="W898" i="13015"/>
  <c r="U898" i="13015"/>
  <c r="Q662" i="13015"/>
  <c r="Q596" i="13015"/>
  <c r="Q629" i="13015"/>
  <c r="Y996" i="13015"/>
  <c r="I996" i="13015"/>
  <c r="W996" i="13015"/>
  <c r="U996" i="13015"/>
  <c r="S996" i="13015"/>
  <c r="D972" i="13015"/>
  <c r="AC671" i="13015" s="1"/>
  <c r="Y1038" i="13015"/>
  <c r="U1038" i="13015"/>
  <c r="D1037" i="13015"/>
  <c r="S1038" i="13015"/>
  <c r="U1127" i="13015"/>
  <c r="S1127" i="13015"/>
  <c r="Y1127" i="13015"/>
  <c r="U991" i="13015"/>
  <c r="S991" i="13015"/>
  <c r="Y991" i="13015"/>
  <c r="D967" i="13015"/>
  <c r="Y967" i="13015" s="1"/>
  <c r="W967" i="13015" s="1"/>
  <c r="D985" i="13015"/>
  <c r="D962" i="13015"/>
  <c r="U1001" i="13015"/>
  <c r="Z1446" i="13015"/>
  <c r="S1446" i="13015"/>
  <c r="I1643" i="13015"/>
  <c r="D1651" i="13015"/>
  <c r="D1644" i="13015"/>
  <c r="D2596" i="13015"/>
  <c r="D1619" i="13015"/>
  <c r="I38" i="13013" s="1"/>
  <c r="I41" i="13013" s="1"/>
  <c r="D1614" i="13015"/>
  <c r="I1802" i="13015"/>
  <c r="I1734" i="13015"/>
  <c r="I1805" i="13015" s="1"/>
  <c r="D1889" i="13015"/>
  <c r="D1893" i="13015"/>
  <c r="D1922" i="13015"/>
  <c r="I1922" i="13015" s="1"/>
  <c r="D1891" i="13015"/>
  <c r="D1921" i="13015"/>
  <c r="I1921" i="13015" s="1"/>
  <c r="D1890" i="13015"/>
  <c r="D1895" i="13015"/>
  <c r="D1894" i="13015"/>
  <c r="D1920" i="13015"/>
  <c r="D1892" i="13015"/>
  <c r="D1933" i="13015"/>
  <c r="D1896" i="13015"/>
  <c r="I2011" i="13015"/>
  <c r="D1987" i="13015"/>
  <c r="I1987" i="13015" s="1"/>
  <c r="I2074" i="13015"/>
  <c r="I2253" i="13015"/>
  <c r="I2379" i="13015"/>
  <c r="D2275" i="13015"/>
  <c r="G47" i="13013" s="1"/>
  <c r="G54" i="13013" s="1"/>
  <c r="G65" i="13013" s="1"/>
  <c r="D2386" i="13015"/>
  <c r="C2282" i="13015"/>
  <c r="A21" i="13013"/>
  <c r="D67" i="13015"/>
  <c r="D77" i="13015"/>
  <c r="I77" i="13015" s="1"/>
  <c r="I685" i="13015"/>
  <c r="H251" i="13015"/>
  <c r="H564" i="13015"/>
  <c r="I865" i="13015"/>
  <c r="I867" i="13015" s="1"/>
  <c r="K25" i="13013" s="1"/>
  <c r="K25" i="13016" s="1"/>
  <c r="I1046" i="13015"/>
  <c r="D1045" i="13015"/>
  <c r="I1045" i="13015" s="1"/>
  <c r="U1040" i="13015"/>
  <c r="S1040" i="13015"/>
  <c r="I1501" i="13015"/>
  <c r="D1480" i="13015"/>
  <c r="Q1128" i="13015"/>
  <c r="Y1128" i="13015" s="1"/>
  <c r="Q1084" i="13015"/>
  <c r="Y1084" i="13015" s="1"/>
  <c r="Q1106" i="13015"/>
  <c r="Y1106" i="13015" s="1"/>
  <c r="Q268" i="13015"/>
  <c r="Q376" i="13015"/>
  <c r="Q340" i="13015"/>
  <c r="Q304" i="13015"/>
  <c r="S2408" i="13015"/>
  <c r="D2304" i="13015"/>
  <c r="I1818" i="13015"/>
  <c r="C2305" i="13015"/>
  <c r="D2409" i="13015"/>
  <c r="S2527" i="13015"/>
  <c r="I2107" i="13015"/>
  <c r="D2085" i="13015"/>
  <c r="I2075" i="13015"/>
  <c r="I2164" i="13015"/>
  <c r="S2640" i="13015"/>
  <c r="Y2664" i="13015"/>
  <c r="Y2667" i="13015" s="1"/>
  <c r="I15" i="13015"/>
  <c r="D17" i="13015"/>
  <c r="D16" i="13015" s="1"/>
  <c r="A23" i="13014"/>
  <c r="H427" i="13015"/>
  <c r="W655" i="13015"/>
  <c r="U655" i="13015"/>
  <c r="H366" i="13015"/>
  <c r="I902" i="13015"/>
  <c r="H687" i="13015"/>
  <c r="H690" i="13015" s="1"/>
  <c r="W2525" i="13015"/>
  <c r="S1405" i="13015"/>
  <c r="D1383" i="13015"/>
  <c r="W1625" i="13015"/>
  <c r="U1625" i="13015"/>
  <c r="I1625" i="13015"/>
  <c r="I1629" i="13015"/>
  <c r="D2174" i="13015"/>
  <c r="I2225" i="13015"/>
  <c r="I2227" i="13015" s="1"/>
  <c r="D2362" i="13015"/>
  <c r="C2258" i="13015"/>
  <c r="I177" i="13015"/>
  <c r="D176" i="13015"/>
  <c r="I176" i="13015" s="1"/>
  <c r="I49" i="13015"/>
  <c r="D51" i="13015"/>
  <c r="D50" i="13015" s="1"/>
  <c r="I57" i="13015"/>
  <c r="D59" i="13015"/>
  <c r="D58" i="13015" s="1"/>
  <c r="D531" i="13015"/>
  <c r="I531" i="13015" s="1"/>
  <c r="Y952" i="13015"/>
  <c r="I952" i="13015"/>
  <c r="W952" i="13015"/>
  <c r="U952" i="13015"/>
  <c r="S952" i="13015"/>
  <c r="I1456" i="13015"/>
  <c r="K32" i="13013" s="1"/>
  <c r="K32" i="13016" s="1"/>
  <c r="I1635" i="13015"/>
  <c r="C2320" i="13015"/>
  <c r="D2424" i="13015"/>
  <c r="D1406" i="13015"/>
  <c r="C1384" i="13015"/>
  <c r="W2419" i="13015"/>
  <c r="I2419" i="13015"/>
  <c r="D2315" i="13015"/>
  <c r="I2370" i="13015"/>
  <c r="D2266" i="13015"/>
  <c r="I2266" i="13015" s="1"/>
  <c r="D2272" i="13015"/>
  <c r="I2272" i="13015" s="1"/>
  <c r="I2376" i="13015"/>
  <c r="I2411" i="13015"/>
  <c r="D2307" i="13015"/>
  <c r="I2307" i="13015" s="1"/>
  <c r="I2428" i="13015"/>
  <c r="D2324" i="13015"/>
  <c r="I2324" i="13015" s="1"/>
  <c r="I2616" i="13015"/>
  <c r="S1424" i="13015"/>
  <c r="D1423" i="13015"/>
  <c r="S11" i="13014"/>
  <c r="D975" i="13015"/>
  <c r="I975" i="13015" s="1"/>
  <c r="D1033" i="13015"/>
  <c r="H1818" i="13015"/>
  <c r="H502" i="13015" l="1"/>
  <c r="D2037" i="13015"/>
  <c r="I2037" i="13015" s="1"/>
  <c r="K16" i="13007"/>
  <c r="O16" i="13007" s="1"/>
  <c r="O20" i="13005"/>
  <c r="H567" i="13015"/>
  <c r="H569" i="13015" s="1"/>
  <c r="I1807" i="13015"/>
  <c r="K58" i="13013" s="1"/>
  <c r="I2431" i="13015"/>
  <c r="AB2667" i="13015"/>
  <c r="C569" i="13015"/>
  <c r="H633" i="13015"/>
  <c r="H635" i="13015" s="1"/>
  <c r="W1608" i="13015"/>
  <c r="AI1608" i="13015" s="1"/>
  <c r="U1608" i="13015"/>
  <c r="W1607" i="13015"/>
  <c r="AI1607" i="13015" s="1"/>
  <c r="U1607" i="13015"/>
  <c r="O49" i="13005"/>
  <c r="K34" i="13007"/>
  <c r="O34" i="13007" s="1"/>
  <c r="K62" i="13016"/>
  <c r="K47" i="13014"/>
  <c r="I2327" i="13015"/>
  <c r="I2400" i="13015"/>
  <c r="K60" i="13013"/>
  <c r="K59" i="13013"/>
  <c r="K25" i="13014"/>
  <c r="K36" i="13016"/>
  <c r="K25" i="13017" s="1"/>
  <c r="W1481" i="13015"/>
  <c r="W1482" i="13015"/>
  <c r="W1480" i="13015"/>
  <c r="H2677" i="13015"/>
  <c r="I958" i="13015"/>
  <c r="H534" i="13015"/>
  <c r="H536" i="13015" s="1"/>
  <c r="H466" i="13015"/>
  <c r="H468" i="13015" s="1"/>
  <c r="D489" i="13015"/>
  <c r="I489" i="13015" s="1"/>
  <c r="D493" i="13015"/>
  <c r="D287" i="13015"/>
  <c r="D325" i="13015"/>
  <c r="D283" i="13015"/>
  <c r="H255" i="13015"/>
  <c r="H258" i="13015" s="1"/>
  <c r="D315" i="13015"/>
  <c r="D628" i="13015"/>
  <c r="I628" i="13015" s="1"/>
  <c r="D627" i="13015"/>
  <c r="I627" i="13015" s="1"/>
  <c r="D491" i="13015"/>
  <c r="D490" i="13015"/>
  <c r="H432" i="13015"/>
  <c r="H434" i="13015" s="1"/>
  <c r="D320" i="13015"/>
  <c r="I320" i="13015" s="1"/>
  <c r="D329" i="13015"/>
  <c r="C258" i="13015"/>
  <c r="A22" i="13017"/>
  <c r="A25" i="13017"/>
  <c r="A26" i="13017" s="1"/>
  <c r="A23" i="13017"/>
  <c r="A24" i="13017" s="1"/>
  <c r="A28" i="13016"/>
  <c r="A29" i="13016" s="1"/>
  <c r="A30" i="13016" s="1"/>
  <c r="A31" i="13016" s="1"/>
  <c r="A32" i="13016" s="1"/>
  <c r="A27" i="13016"/>
  <c r="U11" i="13016"/>
  <c r="W11" i="13016" s="1"/>
  <c r="Y12" i="13016" s="1"/>
  <c r="S593" i="13015"/>
  <c r="D560" i="13015"/>
  <c r="D591" i="13015"/>
  <c r="W316" i="13015"/>
  <c r="Z1406" i="13015"/>
  <c r="S1406" i="13015"/>
  <c r="D1384" i="13015"/>
  <c r="S1423" i="13015"/>
  <c r="W2315" i="13015"/>
  <c r="I2315" i="13015"/>
  <c r="I2085" i="13015"/>
  <c r="I2090" i="13015" s="1"/>
  <c r="D2092" i="13015"/>
  <c r="I44" i="13013" s="1"/>
  <c r="S2304" i="13015"/>
  <c r="I1051" i="13015"/>
  <c r="D2282" i="13015"/>
  <c r="W2386" i="13015"/>
  <c r="D1902" i="13015"/>
  <c r="D1906" i="13015"/>
  <c r="D1905" i="13015"/>
  <c r="D1907" i="13015"/>
  <c r="D1908" i="13015"/>
  <c r="D1904" i="13015"/>
  <c r="D1930" i="13015"/>
  <c r="I1930" i="13015" s="1"/>
  <c r="D1928" i="13015"/>
  <c r="I1928" i="13015" s="1"/>
  <c r="D1903" i="13015"/>
  <c r="D1929" i="13015"/>
  <c r="I1929" i="13015" s="1"/>
  <c r="U1895" i="13015"/>
  <c r="S1895" i="13015"/>
  <c r="Y1895" i="13015"/>
  <c r="I1736" i="13015"/>
  <c r="S2596" i="13015"/>
  <c r="D961" i="13015"/>
  <c r="D664" i="13015"/>
  <c r="I664" i="13015" s="1"/>
  <c r="W1901" i="13015"/>
  <c r="U489" i="13015"/>
  <c r="D484" i="13015"/>
  <c r="D492" i="13015"/>
  <c r="D497" i="13015"/>
  <c r="I497" i="13015" s="1"/>
  <c r="D495" i="13015"/>
  <c r="I495" i="13015" s="1"/>
  <c r="D2365" i="13015"/>
  <c r="C2261" i="13015"/>
  <c r="D1984" i="13015"/>
  <c r="D1985" i="13015"/>
  <c r="I1647" i="13015"/>
  <c r="Q613" i="13015"/>
  <c r="Q646" i="13015"/>
  <c r="Q580" i="13015"/>
  <c r="Y1608" i="13015"/>
  <c r="I1608" i="13015"/>
  <c r="D532" i="13015"/>
  <c r="I532" i="13015" s="1"/>
  <c r="I534" i="13015" s="1"/>
  <c r="AB182" i="13015"/>
  <c r="W2280" i="13015"/>
  <c r="D2309" i="13015"/>
  <c r="I2413" i="13015"/>
  <c r="I2416" i="13015" s="1"/>
  <c r="I2433" i="13015" s="1"/>
  <c r="I2435" i="13015" s="1"/>
  <c r="D1394" i="13015"/>
  <c r="I31" i="13013" s="1"/>
  <c r="I34" i="13013" s="1"/>
  <c r="I1388" i="13015"/>
  <c r="I1392" i="13015" s="1"/>
  <c r="D464" i="13015"/>
  <c r="I464" i="13015" s="1"/>
  <c r="I466" i="13015" s="1"/>
  <c r="W2494" i="13015"/>
  <c r="I729" i="13015"/>
  <c r="I732" i="13015" s="1"/>
  <c r="S720" i="13015"/>
  <c r="D280" i="13015"/>
  <c r="I904" i="13015"/>
  <c r="K29" i="13013" s="1"/>
  <c r="I1609" i="13015"/>
  <c r="S1507" i="13015"/>
  <c r="D1486" i="13015"/>
  <c r="D366" i="13015"/>
  <c r="D352" i="13015" s="1"/>
  <c r="I848" i="13015"/>
  <c r="W103" i="13015"/>
  <c r="I103" i="13015"/>
  <c r="I1607" i="13015"/>
  <c r="I997" i="13015"/>
  <c r="I1003" i="13015" s="1"/>
  <c r="D973" i="13015"/>
  <c r="W53" i="13015"/>
  <c r="U53" i="13015"/>
  <c r="D321" i="13015"/>
  <c r="I321" i="13015" s="1"/>
  <c r="D319" i="13015"/>
  <c r="D318" i="13015" s="1"/>
  <c r="S50" i="13015"/>
  <c r="Y50" i="13015"/>
  <c r="W50" i="13015"/>
  <c r="U50" i="13015"/>
  <c r="W2362" i="13015"/>
  <c r="D2258" i="13015"/>
  <c r="Q512" i="13015"/>
  <c r="Q444" i="13015"/>
  <c r="Q478" i="13015"/>
  <c r="Q410" i="13015"/>
  <c r="I1480" i="13015"/>
  <c r="U1893" i="13015"/>
  <c r="S1893" i="13015"/>
  <c r="Y1893" i="13015"/>
  <c r="I1644" i="13015"/>
  <c r="A24" i="13014"/>
  <c r="S2526" i="13015"/>
  <c r="D2529" i="13015"/>
  <c r="D639" i="13015"/>
  <c r="D642" i="13015"/>
  <c r="D645" i="13015"/>
  <c r="D648" i="13015"/>
  <c r="D640" i="13015"/>
  <c r="D646" i="13015"/>
  <c r="D644" i="13015"/>
  <c r="D641" i="13015"/>
  <c r="D643" i="13015"/>
  <c r="D647" i="13015"/>
  <c r="W2364" i="13015"/>
  <c r="D2260" i="13015"/>
  <c r="W491" i="13015"/>
  <c r="W490" i="13015"/>
  <c r="Y2646" i="13015"/>
  <c r="Y2649" i="13015" s="1"/>
  <c r="M62" i="13013" s="1"/>
  <c r="D1992" i="13015"/>
  <c r="I1992" i="13015" s="1"/>
  <c r="I2016" i="13015"/>
  <c r="D1991" i="13015"/>
  <c r="I1991" i="13015" s="1"/>
  <c r="I2015" i="13015"/>
  <c r="S2423" i="13015"/>
  <c r="D2319" i="13015"/>
  <c r="I1648" i="13015"/>
  <c r="D592" i="13015"/>
  <c r="D585" i="13015"/>
  <c r="D597" i="13015"/>
  <c r="D598" i="13015" s="1"/>
  <c r="D595" i="13015"/>
  <c r="D509" i="13015"/>
  <c r="D506" i="13015"/>
  <c r="D508" i="13015"/>
  <c r="D511" i="13015"/>
  <c r="D513" i="13015"/>
  <c r="D514" i="13015"/>
  <c r="D510" i="13015"/>
  <c r="D507" i="13015"/>
  <c r="D512" i="13015"/>
  <c r="D515" i="13015"/>
  <c r="D2389" i="13015"/>
  <c r="C2285" i="13015"/>
  <c r="C2321" i="13015"/>
  <c r="H668" i="13015"/>
  <c r="D88" i="13015"/>
  <c r="D87" i="13015" s="1"/>
  <c r="I86" i="13015"/>
  <c r="D2390" i="13015"/>
  <c r="C2286" i="13015"/>
  <c r="S283" i="13015"/>
  <c r="D274" i="13015"/>
  <c r="D683" i="13015"/>
  <c r="I704" i="13015"/>
  <c r="S27" i="13015"/>
  <c r="U27" i="13015"/>
  <c r="Y27" i="13015"/>
  <c r="I2043" i="13015"/>
  <c r="I2046" i="13015" s="1"/>
  <c r="D2061" i="13015"/>
  <c r="I2061" i="13015" s="1"/>
  <c r="I2062" i="13015"/>
  <c r="I1394" i="13015"/>
  <c r="I1628" i="13015"/>
  <c r="S2303" i="13015"/>
  <c r="D434" i="13015"/>
  <c r="D422" i="13015" s="1"/>
  <c r="I74" i="13015"/>
  <c r="D73" i="13015"/>
  <c r="I73" i="13015" s="1"/>
  <c r="W106" i="13015"/>
  <c r="I106" i="13015"/>
  <c r="AB108" i="13015"/>
  <c r="AB109" i="13015"/>
  <c r="W2279" i="13015"/>
  <c r="D285" i="13015"/>
  <c r="H327" i="13015"/>
  <c r="H330" i="13015" s="1"/>
  <c r="W315" i="13015"/>
  <c r="U315" i="13015"/>
  <c r="I315" i="13015"/>
  <c r="W657" i="13015"/>
  <c r="S626" i="13015"/>
  <c r="D624" i="13015"/>
  <c r="U12" i="13014"/>
  <c r="U11" i="13014"/>
  <c r="S2409" i="13015"/>
  <c r="D2305" i="13015"/>
  <c r="I1516" i="13015"/>
  <c r="D66" i="13015"/>
  <c r="I2275" i="13015"/>
  <c r="I1920" i="13015"/>
  <c r="D1888" i="13015"/>
  <c r="I1614" i="13015"/>
  <c r="I1615" i="13015" s="1"/>
  <c r="I1651" i="13015"/>
  <c r="I1649" i="13015"/>
  <c r="Y972" i="13015"/>
  <c r="S972" i="13015" s="1"/>
  <c r="I972" i="13015"/>
  <c r="I2112" i="13015"/>
  <c r="I2114" i="13015" s="1"/>
  <c r="C2263" i="13015"/>
  <c r="D2367" i="13015"/>
  <c r="W2299" i="13015"/>
  <c r="I2299" i="13015"/>
  <c r="U2299" i="13015"/>
  <c r="I666" i="13015"/>
  <c r="S1463" i="13015"/>
  <c r="W2316" i="13015"/>
  <c r="D2006" i="13015"/>
  <c r="D1983" i="13015"/>
  <c r="Y1993" i="13015"/>
  <c r="S1993" i="13015"/>
  <c r="I1993" i="13015"/>
  <c r="Y1646" i="13015"/>
  <c r="I1646" i="13015"/>
  <c r="S1646" i="13015"/>
  <c r="D589" i="13015"/>
  <c r="K662" i="13015"/>
  <c r="K596" i="13015"/>
  <c r="K629" i="13015"/>
  <c r="I287" i="13015"/>
  <c r="A23" i="13013"/>
  <c r="W2300" i="13015"/>
  <c r="W2493" i="13015"/>
  <c r="I2276" i="13015"/>
  <c r="S2422" i="13015"/>
  <c r="D2318" i="13015"/>
  <c r="I94" i="13015"/>
  <c r="D95" i="13015"/>
  <c r="D96" i="13015"/>
  <c r="D89" i="13015"/>
  <c r="I89" i="13015" s="1"/>
  <c r="AB671" i="13015"/>
  <c r="AD671" i="13015" s="1"/>
  <c r="D2387" i="13015"/>
  <c r="C2283" i="13015"/>
  <c r="I1988" i="13015"/>
  <c r="Y1988" i="13015"/>
  <c r="S1988" i="13015" s="1"/>
  <c r="K1988" i="13015" s="1"/>
  <c r="S2302" i="13015"/>
  <c r="Q477" i="13015"/>
  <c r="Q511" i="13015"/>
  <c r="Q443" i="13015"/>
  <c r="Q409" i="13015"/>
  <c r="W539" i="13015"/>
  <c r="U539" i="13015"/>
  <c r="D289" i="13015"/>
  <c r="D279" i="13015"/>
  <c r="S699" i="13015"/>
  <c r="D678" i="13015"/>
  <c r="I1652" i="13015"/>
  <c r="S28" i="13015"/>
  <c r="U28" i="13015"/>
  <c r="Y28" i="13015"/>
  <c r="S2308" i="13015"/>
  <c r="W2308" i="13015"/>
  <c r="U2308" i="13015"/>
  <c r="I2308" i="13015"/>
  <c r="Y2308" i="13015"/>
  <c r="D1545" i="13015"/>
  <c r="Y2084" i="13015"/>
  <c r="I2084" i="13015"/>
  <c r="I2092" i="13015" s="1"/>
  <c r="K44" i="13013" s="1"/>
  <c r="K44" i="13016" s="1"/>
  <c r="W1626" i="13015"/>
  <c r="S1626" i="13015"/>
  <c r="Y1626" i="13015"/>
  <c r="U1626" i="13015"/>
  <c r="I1626" i="13015"/>
  <c r="D2368" i="13015"/>
  <c r="C2264" i="13015"/>
  <c r="I1076" i="13015"/>
  <c r="K27" i="13013" s="1"/>
  <c r="K27" i="13016" s="1"/>
  <c r="Y107" i="13015"/>
  <c r="I107" i="13015"/>
  <c r="U107" i="13015"/>
  <c r="D102" i="13015"/>
  <c r="O11" i="13013"/>
  <c r="W54" i="13015"/>
  <c r="U54" i="13015"/>
  <c r="D1495" i="13015"/>
  <c r="I35" i="13013" s="1"/>
  <c r="I37" i="13013" s="1"/>
  <c r="I1489" i="13015"/>
  <c r="I1493" i="13015" s="1"/>
  <c r="D323" i="13015"/>
  <c r="I323" i="13015" s="1"/>
  <c r="D317" i="13015"/>
  <c r="I1054" i="13015"/>
  <c r="D625" i="13015"/>
  <c r="D618" i="13015"/>
  <c r="D284" i="13015"/>
  <c r="I183" i="13015"/>
  <c r="I185" i="13015"/>
  <c r="K18" i="13013" s="1"/>
  <c r="K18" i="13016" s="1"/>
  <c r="D2320" i="13015"/>
  <c r="S2424" i="13015"/>
  <c r="W51" i="13015"/>
  <c r="U51" i="13015"/>
  <c r="S51" i="13015"/>
  <c r="Y51" i="13015"/>
  <c r="D2181" i="13015"/>
  <c r="I45" i="13013" s="1"/>
  <c r="I2174" i="13015"/>
  <c r="I2179" i="13015" s="1"/>
  <c r="I2181" i="13015" s="1"/>
  <c r="K45" i="13013" s="1"/>
  <c r="K45" i="13016" s="1"/>
  <c r="Y1896" i="13015"/>
  <c r="U1896" i="13015"/>
  <c r="S1896" i="13015"/>
  <c r="Y1894" i="13015"/>
  <c r="S1894" i="13015"/>
  <c r="U1894" i="13015"/>
  <c r="U1037" i="13015"/>
  <c r="Y1037" i="13015"/>
  <c r="S1037" i="13015"/>
  <c r="D1403" i="13015"/>
  <c r="W455" i="13015"/>
  <c r="U455" i="13015"/>
  <c r="S658" i="13015"/>
  <c r="W2301" i="13015"/>
  <c r="W2421" i="13015"/>
  <c r="D2317" i="13015"/>
  <c r="S493" i="13015"/>
  <c r="D2013" i="13015"/>
  <c r="D1990" i="13015"/>
  <c r="I1990" i="13015" s="1"/>
  <c r="I2014" i="13015"/>
  <c r="I1610" i="13015"/>
  <c r="I1645" i="13015"/>
  <c r="Q377" i="13015"/>
  <c r="Q341" i="13015"/>
  <c r="Q305" i="13015"/>
  <c r="Q269" i="13015"/>
  <c r="Q1130" i="13015"/>
  <c r="Y1130" i="13015" s="1"/>
  <c r="Q1086" i="13015"/>
  <c r="Y1086" i="13015" s="1"/>
  <c r="Q1108" i="13015"/>
  <c r="Y1108" i="13015" s="1"/>
  <c r="D594" i="13015"/>
  <c r="S65" i="13015"/>
  <c r="Y65" i="13015"/>
  <c r="U65" i="13015"/>
  <c r="S526" i="13015"/>
  <c r="I750" i="13015"/>
  <c r="I753" i="13015" s="1"/>
  <c r="S741" i="13015"/>
  <c r="A24" i="13013"/>
  <c r="U989" i="13015"/>
  <c r="D965" i="13015"/>
  <c r="Y965" i="13015" s="1"/>
  <c r="W965" i="13015" s="1"/>
  <c r="S989" i="13015"/>
  <c r="Y989" i="13015"/>
  <c r="M515" i="13015"/>
  <c r="M447" i="13015"/>
  <c r="M481" i="13015"/>
  <c r="M413" i="13015"/>
  <c r="I1203" i="13015"/>
  <c r="I1206" i="13015" s="1"/>
  <c r="K56" i="13013" s="1"/>
  <c r="Y93" i="13015"/>
  <c r="I93" i="13015"/>
  <c r="W93" i="13015"/>
  <c r="U93" i="13015"/>
  <c r="S93" i="13015"/>
  <c r="S458" i="13015"/>
  <c r="W2491" i="13015"/>
  <c r="D2425" i="13015"/>
  <c r="D286" i="13015"/>
  <c r="D281" i="13015"/>
  <c r="D2257" i="13015"/>
  <c r="W2361" i="13015"/>
  <c r="D29" i="13015"/>
  <c r="I37" i="13015"/>
  <c r="D36" i="13015"/>
  <c r="I36" i="13015" s="1"/>
  <c r="I2621" i="13015"/>
  <c r="I2623" i="13015" s="1"/>
  <c r="K50" i="13013" s="1"/>
  <c r="D2054" i="13015"/>
  <c r="S1543" i="13015"/>
  <c r="K530" i="13015"/>
  <c r="K462" i="13015"/>
  <c r="K496" i="13015"/>
  <c r="K428" i="13015"/>
  <c r="I105" i="13015"/>
  <c r="W525" i="13015"/>
  <c r="H294" i="13015"/>
  <c r="S325" i="13015"/>
  <c r="Y325" i="13015"/>
  <c r="W325" i="13015"/>
  <c r="U325" i="13015"/>
  <c r="I325" i="13015"/>
  <c r="D310" i="13015"/>
  <c r="D630" i="13015"/>
  <c r="I630" i="13015" s="1"/>
  <c r="D622" i="13015"/>
  <c r="Q1993" i="12908"/>
  <c r="D282" i="13015" l="1"/>
  <c r="I1631" i="13015"/>
  <c r="W489" i="13015"/>
  <c r="D357" i="13015"/>
  <c r="I357" i="13015" s="1"/>
  <c r="K43" i="13014"/>
  <c r="K58" i="13016"/>
  <c r="K43" i="13017" s="1"/>
  <c r="D324" i="13015"/>
  <c r="I324" i="13015" s="1"/>
  <c r="I327" i="13015" s="1"/>
  <c r="K50" i="13016"/>
  <c r="K35" i="13017" s="1"/>
  <c r="K35" i="13014"/>
  <c r="D353" i="13015"/>
  <c r="AN1993" i="13034"/>
  <c r="M47" i="13014"/>
  <c r="K62" i="13005"/>
  <c r="S62" i="13013"/>
  <c r="U62" i="13013" s="1"/>
  <c r="Q62" i="13013"/>
  <c r="W62" i="13013" s="1"/>
  <c r="Y62" i="13013" s="1"/>
  <c r="K47" i="13017"/>
  <c r="I2296" i="13015"/>
  <c r="K45" i="13014"/>
  <c r="K60" i="13016"/>
  <c r="K59" i="13016"/>
  <c r="K44" i="13014"/>
  <c r="I1495" i="13015"/>
  <c r="K35" i="13013" s="1"/>
  <c r="K31" i="13013"/>
  <c r="K56" i="13016"/>
  <c r="K41" i="13014"/>
  <c r="K46" i="13014" s="1"/>
  <c r="K49" i="13014" s="1"/>
  <c r="K61" i="13013"/>
  <c r="K64" i="13013" s="1"/>
  <c r="K29" i="13016"/>
  <c r="K21" i="13014"/>
  <c r="D426" i="13015"/>
  <c r="D423" i="13015"/>
  <c r="D429" i="13015"/>
  <c r="D430" i="13015" s="1"/>
  <c r="D427" i="13015"/>
  <c r="I427" i="13015" s="1"/>
  <c r="D421" i="13015"/>
  <c r="W421" i="13015" s="1"/>
  <c r="D359" i="13015"/>
  <c r="D355" i="13015"/>
  <c r="D247" i="13015" s="1"/>
  <c r="A27" i="13017"/>
  <c r="A28" i="13017"/>
  <c r="A29" i="13017" s="1"/>
  <c r="A30" i="13017" s="1"/>
  <c r="A31" i="13017" s="1"/>
  <c r="A33" i="13016"/>
  <c r="A34" i="13016"/>
  <c r="A35" i="13016" s="1"/>
  <c r="A36" i="13016" s="1"/>
  <c r="A37" i="13016" s="1"/>
  <c r="A38" i="13016" s="1"/>
  <c r="A39" i="13016" s="1"/>
  <c r="A40" i="13016" s="1"/>
  <c r="A41" i="13016" s="1"/>
  <c r="A42" i="13016" s="1"/>
  <c r="A43" i="13016" s="1"/>
  <c r="A44" i="13016" s="1"/>
  <c r="A45" i="13016" s="1"/>
  <c r="A46" i="13016" s="1"/>
  <c r="A47" i="13016" s="1"/>
  <c r="A48" i="13016" s="1"/>
  <c r="A49" i="13016" s="1"/>
  <c r="A50" i="13016" s="1"/>
  <c r="A51" i="13016" s="1"/>
  <c r="A52" i="13016" s="1"/>
  <c r="A53" i="13016" s="1"/>
  <c r="A54" i="13016" s="1"/>
  <c r="A56" i="13016" s="1"/>
  <c r="Y11" i="13016"/>
  <c r="S282" i="13015"/>
  <c r="W422" i="13015"/>
  <c r="D388" i="13015"/>
  <c r="W87" i="13015"/>
  <c r="U87" i="13015"/>
  <c r="S87" i="13015"/>
  <c r="Y87" i="13015"/>
  <c r="W352" i="13015"/>
  <c r="I598" i="13015"/>
  <c r="S2425" i="13015"/>
  <c r="D2321" i="13015"/>
  <c r="I102" i="13015"/>
  <c r="I109" i="13015" s="1"/>
  <c r="S318" i="13015"/>
  <c r="AB26" i="13015"/>
  <c r="W317" i="13015"/>
  <c r="W11" i="13014"/>
  <c r="Y12" i="13014" s="1"/>
  <c r="U622" i="13015"/>
  <c r="W622" i="13015"/>
  <c r="I622" i="13015"/>
  <c r="I1655" i="13015"/>
  <c r="S1403" i="13015"/>
  <c r="D1381" i="13015"/>
  <c r="S625" i="13015"/>
  <c r="D623" i="13015"/>
  <c r="A25" i="13014"/>
  <c r="W2368" i="13015"/>
  <c r="D2264" i="13015"/>
  <c r="U279" i="13015"/>
  <c r="I279" i="13015"/>
  <c r="W279" i="13015"/>
  <c r="W589" i="13015"/>
  <c r="U589" i="13015"/>
  <c r="D556" i="13015"/>
  <c r="I589" i="13015"/>
  <c r="I1653" i="13015"/>
  <c r="U1888" i="13015"/>
  <c r="S1888" i="13015"/>
  <c r="Y1888" i="13015"/>
  <c r="W1888" i="13015"/>
  <c r="A25" i="13013"/>
  <c r="A26" i="13013" s="1"/>
  <c r="I80" i="13015"/>
  <c r="I82" i="13015" s="1"/>
  <c r="K15" i="13013" s="1"/>
  <c r="D425" i="13015"/>
  <c r="D424" i="13015" s="1"/>
  <c r="U511" i="13015"/>
  <c r="S511" i="13015"/>
  <c r="Y511" i="13015"/>
  <c r="S592" i="13015"/>
  <c r="D559" i="13015"/>
  <c r="D590" i="13015"/>
  <c r="S2319" i="13015"/>
  <c r="W2260" i="13015"/>
  <c r="D662" i="13015"/>
  <c r="W647" i="13015"/>
  <c r="U647" i="13015"/>
  <c r="S647" i="13015"/>
  <c r="Y647" i="13015"/>
  <c r="S646" i="13015"/>
  <c r="Y646" i="13015"/>
  <c r="U646" i="13015"/>
  <c r="I1637" i="13015"/>
  <c r="I1639" i="13015" s="1"/>
  <c r="K39" i="13013" s="1"/>
  <c r="K39" i="13016" s="1"/>
  <c r="D361" i="13015"/>
  <c r="D360" i="13015" s="1"/>
  <c r="I360" i="13015" s="1"/>
  <c r="D365" i="13015"/>
  <c r="D257" i="13015" s="1"/>
  <c r="D498" i="13015"/>
  <c r="I498" i="13015" s="1"/>
  <c r="I500" i="13015" s="1"/>
  <c r="W1903" i="13015"/>
  <c r="S1908" i="13015"/>
  <c r="W1902" i="13015"/>
  <c r="S560" i="13015"/>
  <c r="I284" i="13015"/>
  <c r="W2257" i="13015"/>
  <c r="S2320" i="13015"/>
  <c r="D606" i="13015"/>
  <c r="D613" i="13015"/>
  <c r="D612" i="13015"/>
  <c r="D609" i="13015"/>
  <c r="D614" i="13015"/>
  <c r="D615" i="13015"/>
  <c r="D607" i="13015"/>
  <c r="D611" i="13015"/>
  <c r="D610" i="13015"/>
  <c r="D608" i="13015"/>
  <c r="D2283" i="13015"/>
  <c r="W2387" i="13015"/>
  <c r="D1982" i="13015"/>
  <c r="S2305" i="13015"/>
  <c r="D300" i="13015"/>
  <c r="D305" i="13015"/>
  <c r="D302" i="13015"/>
  <c r="D307" i="13015"/>
  <c r="D301" i="13015"/>
  <c r="D298" i="13015"/>
  <c r="D304" i="13015"/>
  <c r="D303" i="13015"/>
  <c r="D306" i="13015"/>
  <c r="D299" i="13015"/>
  <c r="I43" i="13015"/>
  <c r="W281" i="13015"/>
  <c r="D245" i="13015"/>
  <c r="D631" i="13015"/>
  <c r="I631" i="13015" s="1"/>
  <c r="I633" i="13015" s="1"/>
  <c r="Q11" i="13013"/>
  <c r="U289" i="13015"/>
  <c r="D253" i="13015"/>
  <c r="S289" i="13015"/>
  <c r="Y289" i="13015"/>
  <c r="I289" i="13015"/>
  <c r="W289" i="13015"/>
  <c r="W2367" i="13015"/>
  <c r="D2263" i="13015"/>
  <c r="I1924" i="13015"/>
  <c r="I1925" i="13015"/>
  <c r="I285" i="13015"/>
  <c r="D416" i="13015"/>
  <c r="I2067" i="13015"/>
  <c r="I2070" i="13015" s="1"/>
  <c r="I708" i="13015"/>
  <c r="I711" i="13015" s="1"/>
  <c r="D288" i="13015"/>
  <c r="Y510" i="13015"/>
  <c r="U510" i="13015"/>
  <c r="S510" i="13015"/>
  <c r="D562" i="13015"/>
  <c r="I562" i="13015" s="1"/>
  <c r="I595" i="13015"/>
  <c r="U643" i="13015"/>
  <c r="S643" i="13015"/>
  <c r="Y643" i="13015"/>
  <c r="W2258" i="13015"/>
  <c r="I973" i="13015"/>
  <c r="I979" i="13015" s="1"/>
  <c r="I982" i="13015" s="1"/>
  <c r="K26" i="13013" s="1"/>
  <c r="D982" i="13015"/>
  <c r="I26" i="13013" s="1"/>
  <c r="D356" i="13015"/>
  <c r="I356" i="13015" s="1"/>
  <c r="D351" i="13015"/>
  <c r="D243" i="13015" s="1"/>
  <c r="D472" i="13015"/>
  <c r="D481" i="13015"/>
  <c r="D475" i="13015"/>
  <c r="D478" i="13015"/>
  <c r="D476" i="13015"/>
  <c r="D479" i="13015"/>
  <c r="D477" i="13015"/>
  <c r="D474" i="13015"/>
  <c r="D480" i="13015"/>
  <c r="D473" i="13015"/>
  <c r="I1932" i="13015"/>
  <c r="I1933" i="13015" s="1"/>
  <c r="S1907" i="13015"/>
  <c r="U286" i="13015"/>
  <c r="S286" i="13015"/>
  <c r="Y286" i="13015"/>
  <c r="I286" i="13015"/>
  <c r="W286" i="13015"/>
  <c r="Q479" i="13015"/>
  <c r="Q513" i="13015"/>
  <c r="Q445" i="13015"/>
  <c r="Q411" i="13015"/>
  <c r="W2317" i="13015"/>
  <c r="AB79" i="13015"/>
  <c r="I429" i="13015"/>
  <c r="I421" i="13015"/>
  <c r="D690" i="13015"/>
  <c r="I23" i="13013" s="1"/>
  <c r="I683" i="13015"/>
  <c r="S247" i="13015"/>
  <c r="W2390" i="13015"/>
  <c r="D2286" i="13015"/>
  <c r="S88" i="13015"/>
  <c r="Y88" i="13015"/>
  <c r="W88" i="13015"/>
  <c r="U88" i="13015"/>
  <c r="W2389" i="13015"/>
  <c r="D2285" i="13015"/>
  <c r="U515" i="13015"/>
  <c r="S515" i="13015"/>
  <c r="Y515" i="13015"/>
  <c r="W515" i="13015"/>
  <c r="Y514" i="13015"/>
  <c r="D530" i="13015"/>
  <c r="W514" i="13015"/>
  <c r="U514" i="13015"/>
  <c r="S514" i="13015"/>
  <c r="D564" i="13015"/>
  <c r="I597" i="13015"/>
  <c r="S648" i="13015"/>
  <c r="Y648" i="13015"/>
  <c r="W648" i="13015"/>
  <c r="U648" i="13015"/>
  <c r="S2529" i="13015"/>
  <c r="S355" i="13015"/>
  <c r="W280" i="13015"/>
  <c r="D244" i="13015"/>
  <c r="W2365" i="13015"/>
  <c r="D2261" i="13015"/>
  <c r="S1905" i="13015"/>
  <c r="A26" i="13014"/>
  <c r="D558" i="13015"/>
  <c r="W591" i="13015"/>
  <c r="I2013" i="13015"/>
  <c r="I2019" i="13015" s="1"/>
  <c r="I2022" i="13015" s="1"/>
  <c r="D1989" i="13015"/>
  <c r="D561" i="13015"/>
  <c r="I561" i="13015" s="1"/>
  <c r="I594" i="13015"/>
  <c r="S1545" i="13015"/>
  <c r="K2084" i="13015"/>
  <c r="K2060" i="13015"/>
  <c r="S2060" i="13015" s="1"/>
  <c r="K2036" i="13015"/>
  <c r="S2036" i="13015" s="1"/>
  <c r="K2012" i="13015"/>
  <c r="S2012" i="13015" s="1"/>
  <c r="S2318" i="13015"/>
  <c r="W624" i="13015"/>
  <c r="W423" i="13015"/>
  <c r="D389" i="13015"/>
  <c r="D392" i="13015"/>
  <c r="I392" i="13015" s="1"/>
  <c r="I426" i="13015"/>
  <c r="D263" i="13015"/>
  <c r="D264" i="13015"/>
  <c r="D269" i="13015"/>
  <c r="D270" i="13015"/>
  <c r="D262" i="13015"/>
  <c r="D265" i="13015"/>
  <c r="D271" i="13015"/>
  <c r="D268" i="13015"/>
  <c r="D267" i="13015"/>
  <c r="D266" i="13015"/>
  <c r="Y512" i="13015"/>
  <c r="U512" i="13015"/>
  <c r="S512" i="13015"/>
  <c r="U513" i="13015"/>
  <c r="S513" i="13015"/>
  <c r="Y513" i="13015"/>
  <c r="D575" i="13015"/>
  <c r="D580" i="13015"/>
  <c r="D581" i="13015"/>
  <c r="D573" i="13015"/>
  <c r="D582" i="13015"/>
  <c r="D579" i="13015"/>
  <c r="D576" i="13015"/>
  <c r="D578" i="13015"/>
  <c r="D577" i="13015"/>
  <c r="D574" i="13015"/>
  <c r="U2649" i="13015"/>
  <c r="S2649" i="13015"/>
  <c r="W2649" i="13015" s="1"/>
  <c r="AB2649" i="13015"/>
  <c r="S644" i="13015"/>
  <c r="Y644" i="13015"/>
  <c r="U644" i="13015"/>
  <c r="U645" i="13015"/>
  <c r="S645" i="13015"/>
  <c r="Y645" i="13015"/>
  <c r="S319" i="13015"/>
  <c r="I1617" i="13015"/>
  <c r="W353" i="13015"/>
  <c r="D346" i="13015"/>
  <c r="D354" i="13015"/>
  <c r="D246" i="13015" s="1"/>
  <c r="D2331" i="13015"/>
  <c r="I47" i="13013" s="1"/>
  <c r="I2309" i="13015"/>
  <c r="I2312" i="13015" s="1"/>
  <c r="S492" i="13015"/>
  <c r="I1006" i="13015"/>
  <c r="W1904" i="13015"/>
  <c r="S1906" i="13015"/>
  <c r="W2282" i="13015"/>
  <c r="I1611" i="13015"/>
  <c r="I45" i="13015"/>
  <c r="K14" i="13013" s="1"/>
  <c r="D393" i="13015" l="1"/>
  <c r="I393" i="13015" s="1"/>
  <c r="I1657" i="13015"/>
  <c r="K40" i="13013" s="1"/>
  <c r="D395" i="13015"/>
  <c r="K14" i="13014"/>
  <c r="K14" i="13016"/>
  <c r="I111" i="13015"/>
  <c r="K16" i="13013" s="1"/>
  <c r="K16" i="13016" s="1"/>
  <c r="D249" i="13015"/>
  <c r="I249" i="13015" s="1"/>
  <c r="K15" i="13016"/>
  <c r="K47" i="13007"/>
  <c r="O62" i="13005"/>
  <c r="K45" i="13017"/>
  <c r="K44" i="13017"/>
  <c r="K35" i="13016"/>
  <c r="K24" i="13014"/>
  <c r="K26" i="13014" s="1"/>
  <c r="K37" i="13013"/>
  <c r="K31" i="13016"/>
  <c r="K34" i="13013"/>
  <c r="K23" i="13014" s="1"/>
  <c r="K41" i="13017"/>
  <c r="K61" i="13016"/>
  <c r="K64" i="13016" s="1"/>
  <c r="K26" i="13016"/>
  <c r="K20" i="13014"/>
  <c r="D565" i="13015"/>
  <c r="I565" i="13015" s="1"/>
  <c r="K21" i="13017"/>
  <c r="D387" i="13015"/>
  <c r="U421" i="13015"/>
  <c r="I30" i="13013"/>
  <c r="I600" i="13015"/>
  <c r="I359" i="13015"/>
  <c r="D251" i="13015"/>
  <c r="I251" i="13015" s="1"/>
  <c r="A32" i="13017"/>
  <c r="A33" i="13017" s="1"/>
  <c r="A34" i="13017" s="1"/>
  <c r="A35" i="13017" s="1"/>
  <c r="A36" i="13017" s="1"/>
  <c r="A37" i="13017" s="1"/>
  <c r="A38" i="13017" s="1"/>
  <c r="A39" i="13017" s="1"/>
  <c r="A41" i="13017" s="1"/>
  <c r="A42" i="13017" s="1"/>
  <c r="A43" i="13017" s="1"/>
  <c r="A44" i="13017" s="1"/>
  <c r="A45" i="13017" s="1"/>
  <c r="A46" i="13017" s="1"/>
  <c r="A47" i="13017" s="1"/>
  <c r="A48" i="13017" s="1"/>
  <c r="A49" i="13017" s="1"/>
  <c r="A50" i="13017" s="1"/>
  <c r="A57" i="13016"/>
  <c r="A58" i="13016" s="1"/>
  <c r="A59" i="13016" s="1"/>
  <c r="A60" i="13016" s="1"/>
  <c r="A61" i="13016" s="1"/>
  <c r="A62" i="13016" s="1"/>
  <c r="A63" i="13016" s="1"/>
  <c r="A64" i="13016" s="1"/>
  <c r="A65" i="13016" s="1"/>
  <c r="S246" i="13015"/>
  <c r="A27" i="13013"/>
  <c r="A28" i="13013" s="1"/>
  <c r="A29" i="13013" s="1"/>
  <c r="A30" i="13013" s="1"/>
  <c r="A31" i="13013" s="1"/>
  <c r="A32" i="13013" s="1"/>
  <c r="A33" i="13013" s="1"/>
  <c r="A34" i="13013" s="1"/>
  <c r="A35" i="13013" s="1"/>
  <c r="A36" i="13013" s="1"/>
  <c r="A37" i="13013" s="1"/>
  <c r="A38" i="13013" s="1"/>
  <c r="A39" i="13013" s="1"/>
  <c r="A40" i="13013" s="1"/>
  <c r="A41" i="13013" s="1"/>
  <c r="A42" i="13013" s="1"/>
  <c r="A43" i="13013" s="1"/>
  <c r="A44" i="13013" s="1"/>
  <c r="A45" i="13013" s="1"/>
  <c r="A46" i="13013" s="1"/>
  <c r="A47" i="13013" s="1"/>
  <c r="A48" i="13013" s="1"/>
  <c r="A49" i="13013" s="1"/>
  <c r="A50" i="13013" s="1"/>
  <c r="A51" i="13013" s="1"/>
  <c r="A52" i="13013" s="1"/>
  <c r="A53" i="13013" s="1"/>
  <c r="A54" i="13013" s="1"/>
  <c r="A56" i="13013" s="1"/>
  <c r="A57" i="13013" s="1"/>
  <c r="A58" i="13013" s="1"/>
  <c r="A59" i="13013" s="1"/>
  <c r="A60" i="13013" s="1"/>
  <c r="A61" i="13013" s="1"/>
  <c r="A62" i="13013" s="1"/>
  <c r="A63" i="13013" s="1"/>
  <c r="A64" i="13013" s="1"/>
  <c r="A65" i="13013" s="1"/>
  <c r="W243" i="13015"/>
  <c r="U243" i="13015"/>
  <c r="I243" i="13015"/>
  <c r="S579" i="13015"/>
  <c r="Y579" i="13015"/>
  <c r="D546" i="13015"/>
  <c r="U579" i="13015"/>
  <c r="S266" i="13015"/>
  <c r="Y266" i="13015"/>
  <c r="U266" i="13015"/>
  <c r="S577" i="13015"/>
  <c r="Y577" i="13015"/>
  <c r="D544" i="13015"/>
  <c r="U577" i="13015"/>
  <c r="D542" i="13015"/>
  <c r="U267" i="13015"/>
  <c r="S267" i="13015"/>
  <c r="Y267" i="13015"/>
  <c r="W2286" i="13015"/>
  <c r="I395" i="13015"/>
  <c r="U480" i="13015"/>
  <c r="S480" i="13015"/>
  <c r="Y480" i="13015"/>
  <c r="D496" i="13015"/>
  <c r="W480" i="13015"/>
  <c r="U476" i="13015"/>
  <c r="S476" i="13015"/>
  <c r="Y476" i="13015"/>
  <c r="D439" i="13015"/>
  <c r="D438" i="13015"/>
  <c r="D441" i="13015"/>
  <c r="D442" i="13015"/>
  <c r="D445" i="13015"/>
  <c r="D446" i="13015"/>
  <c r="D440" i="13015"/>
  <c r="D412" i="13015"/>
  <c r="D407" i="13015"/>
  <c r="D443" i="13015"/>
  <c r="D408" i="13015"/>
  <c r="D413" i="13015"/>
  <c r="D405" i="13015"/>
  <c r="D406" i="13015"/>
  <c r="D410" i="13015"/>
  <c r="D411" i="13015"/>
  <c r="D447" i="13015"/>
  <c r="D409" i="13015"/>
  <c r="D404" i="13015"/>
  <c r="D444" i="13015"/>
  <c r="W245" i="13015"/>
  <c r="U306" i="13015"/>
  <c r="S306" i="13015"/>
  <c r="Y306" i="13015"/>
  <c r="D322" i="13015"/>
  <c r="W306" i="13015"/>
  <c r="Y611" i="13015"/>
  <c r="U611" i="13015"/>
  <c r="S611" i="13015"/>
  <c r="D248" i="13015"/>
  <c r="I248" i="13015" s="1"/>
  <c r="S361" i="13015"/>
  <c r="Y361" i="13015"/>
  <c r="W361" i="13015"/>
  <c r="U361" i="13015"/>
  <c r="I361" i="13015"/>
  <c r="I363" i="13015" s="1"/>
  <c r="S559" i="13015"/>
  <c r="S425" i="13015"/>
  <c r="D391" i="13015"/>
  <c r="W2264" i="13015"/>
  <c r="A28" i="13014"/>
  <c r="A29" i="13014" s="1"/>
  <c r="A30" i="13014" s="1"/>
  <c r="A31" i="13014" s="1"/>
  <c r="Y11" i="13014"/>
  <c r="S354" i="13015"/>
  <c r="S581" i="13015"/>
  <c r="D596" i="13015"/>
  <c r="Y581" i="13015"/>
  <c r="W581" i="13015"/>
  <c r="D548" i="13015"/>
  <c r="U581" i="13015"/>
  <c r="U269" i="13015"/>
  <c r="S269" i="13015"/>
  <c r="Y269" i="13015"/>
  <c r="I1619" i="13015"/>
  <c r="K38" i="13013" s="1"/>
  <c r="D547" i="13015"/>
  <c r="U580" i="13015"/>
  <c r="S580" i="13015"/>
  <c r="Y580" i="13015"/>
  <c r="D335" i="13015"/>
  <c r="D227" i="13015" s="1"/>
  <c r="D341" i="13015"/>
  <c r="D233" i="13015" s="1"/>
  <c r="D336" i="13015"/>
  <c r="D334" i="13015"/>
  <c r="D226" i="13015" s="1"/>
  <c r="D343" i="13015"/>
  <c r="D235" i="13015" s="1"/>
  <c r="D338" i="13015"/>
  <c r="D230" i="13015" s="1"/>
  <c r="D342" i="13015"/>
  <c r="D340" i="13015"/>
  <c r="D337" i="13015"/>
  <c r="D339" i="13015"/>
  <c r="S2645" i="13015"/>
  <c r="S2644" i="13015"/>
  <c r="W582" i="13015"/>
  <c r="D549" i="13015"/>
  <c r="U582" i="13015"/>
  <c r="S582" i="13015"/>
  <c r="Y582" i="13015"/>
  <c r="K2150" i="13015"/>
  <c r="S2150" i="13015" s="1"/>
  <c r="K2128" i="13015"/>
  <c r="S2128" i="13015" s="1"/>
  <c r="K2106" i="13015"/>
  <c r="S2084" i="13015"/>
  <c r="D1998" i="13015"/>
  <c r="I1989" i="13015"/>
  <c r="A27" i="13014"/>
  <c r="U2645" i="13015"/>
  <c r="M2645" i="13015" s="1"/>
  <c r="M2654" i="13015" s="1"/>
  <c r="U2644" i="13015"/>
  <c r="M2644" i="13015" s="1"/>
  <c r="M2653" i="13015" s="1"/>
  <c r="D545" i="13015"/>
  <c r="U578" i="13015"/>
  <c r="S578" i="13015"/>
  <c r="Y578" i="13015"/>
  <c r="D540" i="13015"/>
  <c r="S268" i="13015"/>
  <c r="Y268" i="13015"/>
  <c r="D232" i="13015"/>
  <c r="U268" i="13015"/>
  <c r="S270" i="13015"/>
  <c r="Y270" i="13015"/>
  <c r="W270" i="13015"/>
  <c r="U270" i="13015"/>
  <c r="W558" i="13015"/>
  <c r="W2261" i="13015"/>
  <c r="W244" i="13015"/>
  <c r="W2285" i="13015"/>
  <c r="I1935" i="13015"/>
  <c r="K42" i="13013" s="1"/>
  <c r="U478" i="13015"/>
  <c r="S478" i="13015"/>
  <c r="Y478" i="13015"/>
  <c r="S424" i="13015"/>
  <c r="D390" i="13015"/>
  <c r="Y303" i="13015"/>
  <c r="U303" i="13015"/>
  <c r="S303" i="13015"/>
  <c r="Y307" i="13015"/>
  <c r="W307" i="13015"/>
  <c r="U307" i="13015"/>
  <c r="S307" i="13015"/>
  <c r="U612" i="13015"/>
  <c r="S612" i="13015"/>
  <c r="Y612" i="13015"/>
  <c r="S662" i="13015"/>
  <c r="Y662" i="13015"/>
  <c r="W662" i="13015"/>
  <c r="U662" i="13015"/>
  <c r="I662" i="13015"/>
  <c r="I668" i="13015" s="1"/>
  <c r="W623" i="13015"/>
  <c r="S2321" i="13015"/>
  <c r="W271" i="13015"/>
  <c r="U271" i="13015"/>
  <c r="S271" i="13015"/>
  <c r="Y271" i="13015"/>
  <c r="W389" i="13015"/>
  <c r="D569" i="13015"/>
  <c r="I564" i="13015"/>
  <c r="I567" i="13015" s="1"/>
  <c r="U530" i="13015"/>
  <c r="S530" i="13015"/>
  <c r="Y530" i="13015"/>
  <c r="W530" i="13015"/>
  <c r="I530" i="13015"/>
  <c r="I536" i="13015" s="1"/>
  <c r="W387" i="13015"/>
  <c r="U387" i="13015"/>
  <c r="I387" i="13015"/>
  <c r="Y477" i="13015"/>
  <c r="U477" i="13015"/>
  <c r="S477" i="13015"/>
  <c r="D252" i="13015"/>
  <c r="I288" i="13015"/>
  <c r="I291" i="13015" s="1"/>
  <c r="I294" i="13015" s="1"/>
  <c r="U304" i="13015"/>
  <c r="S304" i="13015"/>
  <c r="Y304" i="13015"/>
  <c r="U302" i="13015"/>
  <c r="S302" i="13015"/>
  <c r="Y302" i="13015"/>
  <c r="W2283" i="13015"/>
  <c r="Y615" i="13015"/>
  <c r="W615" i="13015"/>
  <c r="U615" i="13015"/>
  <c r="S615" i="13015"/>
  <c r="Y613" i="13015"/>
  <c r="U613" i="13015"/>
  <c r="S613" i="13015"/>
  <c r="W590" i="13015"/>
  <c r="D557" i="13015"/>
  <c r="I556" i="13015"/>
  <c r="W556" i="13015"/>
  <c r="U556" i="13015"/>
  <c r="W388" i="13015"/>
  <c r="D543" i="13015"/>
  <c r="D541" i="13015"/>
  <c r="D229" i="13015"/>
  <c r="I687" i="13015"/>
  <c r="I690" i="13015" s="1"/>
  <c r="Y479" i="13015"/>
  <c r="U479" i="13015"/>
  <c r="S479" i="13015"/>
  <c r="Y481" i="13015"/>
  <c r="W481" i="13015"/>
  <c r="U481" i="13015"/>
  <c r="S481" i="13015"/>
  <c r="W351" i="13015"/>
  <c r="U351" i="13015"/>
  <c r="I351" i="13015"/>
  <c r="D396" i="13015"/>
  <c r="I396" i="13015" s="1"/>
  <c r="I398" i="13015" s="1"/>
  <c r="I430" i="13015"/>
  <c r="I432" i="13015" s="1"/>
  <c r="W2263" i="13015"/>
  <c r="I2329" i="13015"/>
  <c r="I2331" i="13015" s="1"/>
  <c r="S253" i="13015"/>
  <c r="Y253" i="13015"/>
  <c r="I253" i="13015"/>
  <c r="W253" i="13015"/>
  <c r="U253" i="13015"/>
  <c r="W12" i="13013"/>
  <c r="S11" i="13013"/>
  <c r="Y305" i="13015"/>
  <c r="U305" i="13015"/>
  <c r="S305" i="13015"/>
  <c r="U610" i="13015"/>
  <c r="S610" i="13015"/>
  <c r="Y610" i="13015"/>
  <c r="U614" i="13015"/>
  <c r="S614" i="13015"/>
  <c r="D629" i="13015"/>
  <c r="Y614" i="13015"/>
  <c r="W614" i="13015"/>
  <c r="K30" i="13014" l="1"/>
  <c r="K42" i="13016"/>
  <c r="K30" i="13017" s="1"/>
  <c r="K38" i="13016"/>
  <c r="K27" i="13014"/>
  <c r="K29" i="13014" s="1"/>
  <c r="K41" i="13013"/>
  <c r="K17" i="13014"/>
  <c r="K15" i="13017"/>
  <c r="K21" i="13013"/>
  <c r="K28" i="13014"/>
  <c r="K40" i="13016"/>
  <c r="K28" i="13017" s="1"/>
  <c r="K15" i="13014"/>
  <c r="K14" i="13017"/>
  <c r="K21" i="13016"/>
  <c r="O47" i="13007"/>
  <c r="K47" i="13013"/>
  <c r="D2677" i="13015"/>
  <c r="I43" i="13013"/>
  <c r="K46" i="13017"/>
  <c r="K49" i="13017" s="1"/>
  <c r="K24" i="13017"/>
  <c r="K26" i="13017" s="1"/>
  <c r="K37" i="13016"/>
  <c r="K34" i="13016"/>
  <c r="K23" i="13017" s="1"/>
  <c r="K20" i="13017"/>
  <c r="K23" i="13013"/>
  <c r="U12" i="13013"/>
  <c r="U11" i="13013"/>
  <c r="W11" i="13013" s="1"/>
  <c r="Y235" i="13015"/>
  <c r="W235" i="13015"/>
  <c r="U235" i="13015"/>
  <c r="S235" i="13015"/>
  <c r="S390" i="13015"/>
  <c r="U342" i="13015"/>
  <c r="S342" i="13015"/>
  <c r="Y342" i="13015"/>
  <c r="D358" i="13015"/>
  <c r="D250" i="13015" s="1"/>
  <c r="W342" i="13015"/>
  <c r="Y233" i="13015"/>
  <c r="U233" i="13015"/>
  <c r="S233" i="13015"/>
  <c r="M2662" i="13015"/>
  <c r="U2662" i="13015" s="1"/>
  <c r="U2653" i="13015"/>
  <c r="Y549" i="13015"/>
  <c r="W549" i="13015"/>
  <c r="U549" i="13015"/>
  <c r="S549" i="13015"/>
  <c r="Y339" i="13015"/>
  <c r="U339" i="13015"/>
  <c r="S339" i="13015"/>
  <c r="U338" i="13015"/>
  <c r="S338" i="13015"/>
  <c r="Y338" i="13015"/>
  <c r="Y341" i="13015"/>
  <c r="U341" i="13015"/>
  <c r="S341" i="13015"/>
  <c r="Y547" i="13015"/>
  <c r="U547" i="13015"/>
  <c r="S547" i="13015"/>
  <c r="U447" i="13015"/>
  <c r="S447" i="13015"/>
  <c r="Y447" i="13015"/>
  <c r="W447" i="13015"/>
  <c r="D371" i="13015"/>
  <c r="D373" i="13015"/>
  <c r="U445" i="13015"/>
  <c r="S445" i="13015"/>
  <c r="Y445" i="13015"/>
  <c r="D231" i="13015"/>
  <c r="D552" i="13015"/>
  <c r="U544" i="13015"/>
  <c r="S544" i="13015"/>
  <c r="Y544" i="13015"/>
  <c r="K2645" i="13015"/>
  <c r="W2645" i="13015"/>
  <c r="D234" i="13015"/>
  <c r="M2663" i="13015"/>
  <c r="U2663" i="13015" s="1"/>
  <c r="U2654" i="13015"/>
  <c r="A39" i="13014"/>
  <c r="A41" i="13014" s="1"/>
  <c r="A42" i="13014" s="1"/>
  <c r="A43" i="13014" s="1"/>
  <c r="A44" i="13014" s="1"/>
  <c r="A45" i="13014" s="1"/>
  <c r="A46" i="13014" s="1"/>
  <c r="A47" i="13014" s="1"/>
  <c r="A48" i="13014" s="1"/>
  <c r="A49" i="13014" s="1"/>
  <c r="A50" i="13014" s="1"/>
  <c r="A32" i="13014"/>
  <c r="A33" i="13014" s="1"/>
  <c r="A34" i="13014" s="1"/>
  <c r="A35" i="13014" s="1"/>
  <c r="A36" i="13014" s="1"/>
  <c r="K2173" i="13015"/>
  <c r="S2106" i="13015"/>
  <c r="Y343" i="13015"/>
  <c r="W343" i="13015"/>
  <c r="U343" i="13015"/>
  <c r="S343" i="13015"/>
  <c r="U596" i="13015"/>
  <c r="D563" i="13015"/>
  <c r="S596" i="13015"/>
  <c r="Y596" i="13015"/>
  <c r="W596" i="13015"/>
  <c r="I596" i="13015"/>
  <c r="I602" i="13015" s="1"/>
  <c r="A37" i="13014"/>
  <c r="A38" i="13014" s="1"/>
  <c r="S391" i="13015"/>
  <c r="Y322" i="13015"/>
  <c r="W322" i="13015"/>
  <c r="U322" i="13015"/>
  <c r="S322" i="13015"/>
  <c r="I322" i="13015"/>
  <c r="I330" i="13015" s="1"/>
  <c r="Y444" i="13015"/>
  <c r="U444" i="13015"/>
  <c r="S444" i="13015"/>
  <c r="U411" i="13015"/>
  <c r="D377" i="13015"/>
  <c r="S411" i="13015"/>
  <c r="Y411" i="13015"/>
  <c r="U413" i="13015"/>
  <c r="S413" i="13015"/>
  <c r="D379" i="13015"/>
  <c r="Y413" i="13015"/>
  <c r="W413" i="13015"/>
  <c r="D428" i="13015"/>
  <c r="Y412" i="13015"/>
  <c r="W412" i="13015"/>
  <c r="U412" i="13015"/>
  <c r="D378" i="13015"/>
  <c r="S412" i="13015"/>
  <c r="Y442" i="13015"/>
  <c r="U442" i="13015"/>
  <c r="S442" i="13015"/>
  <c r="D228" i="13015"/>
  <c r="W557" i="13015"/>
  <c r="U232" i="13015"/>
  <c r="S232" i="13015"/>
  <c r="Y232" i="13015"/>
  <c r="Y545" i="13015"/>
  <c r="U545" i="13015"/>
  <c r="S545" i="13015"/>
  <c r="I1995" i="13015"/>
  <c r="I1998" i="13015" s="1"/>
  <c r="K2644" i="13015"/>
  <c r="W2644" i="13015"/>
  <c r="U340" i="13015"/>
  <c r="S340" i="13015"/>
  <c r="Y340" i="13015"/>
  <c r="U548" i="13015"/>
  <c r="S548" i="13015"/>
  <c r="Y548" i="13015"/>
  <c r="W548" i="13015"/>
  <c r="D370" i="13015"/>
  <c r="Y410" i="13015"/>
  <c r="U410" i="13015"/>
  <c r="D376" i="13015"/>
  <c r="S410" i="13015"/>
  <c r="Y408" i="13015"/>
  <c r="U408" i="13015"/>
  <c r="D374" i="13015"/>
  <c r="S408" i="13015"/>
  <c r="D400" i="13015"/>
  <c r="D238" i="13015"/>
  <c r="U230" i="13015"/>
  <c r="S230" i="13015"/>
  <c r="Y230" i="13015"/>
  <c r="I252" i="13015"/>
  <c r="I255" i="13015" s="1"/>
  <c r="D258" i="13015"/>
  <c r="W629" i="13015"/>
  <c r="U629" i="13015"/>
  <c r="S629" i="13015"/>
  <c r="Y629" i="13015"/>
  <c r="I629" i="13015"/>
  <c r="I635" i="13015" s="1"/>
  <c r="U409" i="13015"/>
  <c r="D375" i="13015"/>
  <c r="S409" i="13015"/>
  <c r="Y409" i="13015"/>
  <c r="D372" i="13015"/>
  <c r="U443" i="13015"/>
  <c r="S443" i="13015"/>
  <c r="Y443" i="13015"/>
  <c r="Y446" i="13015"/>
  <c r="D462" i="13015"/>
  <c r="W446" i="13015"/>
  <c r="U446" i="13015"/>
  <c r="S446" i="13015"/>
  <c r="Y496" i="13015"/>
  <c r="W496" i="13015"/>
  <c r="U496" i="13015"/>
  <c r="S496" i="13015"/>
  <c r="I496" i="13015"/>
  <c r="I502" i="13015" s="1"/>
  <c r="U546" i="13015"/>
  <c r="S546" i="13015"/>
  <c r="Y546" i="13015"/>
  <c r="K17" i="13017" l="1"/>
  <c r="K27" i="13017"/>
  <c r="K29" i="13017" s="1"/>
  <c r="K41" i="13016"/>
  <c r="U2664" i="13015"/>
  <c r="U2667" i="13015" s="1"/>
  <c r="K47" i="13016"/>
  <c r="K32" i="13017" s="1"/>
  <c r="K32" i="13014"/>
  <c r="K43" i="13013"/>
  <c r="I46" i="13013"/>
  <c r="I54" i="13013"/>
  <c r="I65" i="13013" s="1"/>
  <c r="K19" i="13014"/>
  <c r="K23" i="13016"/>
  <c r="K54" i="13013"/>
  <c r="K65" i="13013" s="1"/>
  <c r="K30" i="13013"/>
  <c r="I2677" i="13015"/>
  <c r="Y250" i="13015"/>
  <c r="I250" i="13015"/>
  <c r="I258" i="13015" s="1"/>
  <c r="W250" i="13015"/>
  <c r="U250" i="13015"/>
  <c r="S250" i="13015"/>
  <c r="K2653" i="13015"/>
  <c r="O2644" i="13015"/>
  <c r="O2653" i="13015" s="1"/>
  <c r="U378" i="13015"/>
  <c r="S378" i="13015"/>
  <c r="Y378" i="13015"/>
  <c r="W378" i="13015"/>
  <c r="Y428" i="13015"/>
  <c r="U428" i="13015"/>
  <c r="S428" i="13015"/>
  <c r="W428" i="13015"/>
  <c r="D394" i="13015"/>
  <c r="I428" i="13015"/>
  <c r="I434" i="13015" s="1"/>
  <c r="K2654" i="13015"/>
  <c r="O2645" i="13015"/>
  <c r="O2654" i="13015" s="1"/>
  <c r="Y358" i="13015"/>
  <c r="W358" i="13015"/>
  <c r="U358" i="13015"/>
  <c r="S358" i="13015"/>
  <c r="I358" i="13015"/>
  <c r="I366" i="13015" s="1"/>
  <c r="S563" i="13015"/>
  <c r="Y563" i="13015"/>
  <c r="I563" i="13015"/>
  <c r="I569" i="13015" s="1"/>
  <c r="W563" i="13015"/>
  <c r="U563" i="13015"/>
  <c r="Y375" i="13015"/>
  <c r="U375" i="13015"/>
  <c r="S375" i="13015"/>
  <c r="Y379" i="13015"/>
  <c r="W379" i="13015"/>
  <c r="U379" i="13015"/>
  <c r="S379" i="13015"/>
  <c r="U462" i="13015"/>
  <c r="S462" i="13015"/>
  <c r="Y462" i="13015"/>
  <c r="W462" i="13015"/>
  <c r="I462" i="13015"/>
  <c r="I468" i="13015" s="1"/>
  <c r="D382" i="13015"/>
  <c r="U374" i="13015"/>
  <c r="S374" i="13015"/>
  <c r="Y374" i="13015"/>
  <c r="Y377" i="13015"/>
  <c r="U377" i="13015"/>
  <c r="S377" i="13015"/>
  <c r="K2196" i="13015"/>
  <c r="S2196" i="13015" s="1"/>
  <c r="K2219" i="13015"/>
  <c r="S2219" i="13015" s="1"/>
  <c r="S2173" i="13015"/>
  <c r="U234" i="13015"/>
  <c r="S234" i="13015"/>
  <c r="Y234" i="13015"/>
  <c r="W234" i="13015"/>
  <c r="U2655" i="13015"/>
  <c r="U2658" i="13015" s="1"/>
  <c r="Y12" i="13013"/>
  <c r="Y11" i="13013"/>
  <c r="Y231" i="13015"/>
  <c r="U231" i="13015"/>
  <c r="S231" i="13015"/>
  <c r="U376" i="13015"/>
  <c r="S376" i="13015"/>
  <c r="Y376" i="13015"/>
  <c r="AB19" i="12908"/>
  <c r="O85" i="12989"/>
  <c r="W67" i="12989"/>
  <c r="V67" i="12989"/>
  <c r="Y12" i="12989"/>
  <c r="Y11" i="12989"/>
  <c r="V11" i="12989"/>
  <c r="X67" i="12989"/>
  <c r="K43" i="13016" l="1"/>
  <c r="K46" i="13016" s="1"/>
  <c r="K31" i="13017" s="1"/>
  <c r="K46" i="13013"/>
  <c r="K31" i="13014" s="1"/>
  <c r="K22" i="13014"/>
  <c r="K39" i="13014"/>
  <c r="K50" i="13014" s="1"/>
  <c r="K19" i="13017"/>
  <c r="K30" i="13016"/>
  <c r="Y394" i="13015"/>
  <c r="W394" i="13015"/>
  <c r="U394" i="13015"/>
  <c r="S394" i="13015"/>
  <c r="I394" i="13015"/>
  <c r="I400" i="13015" s="1"/>
  <c r="K2663" i="13015"/>
  <c r="S2663" i="13015" s="1"/>
  <c r="S2654" i="13015"/>
  <c r="O2662" i="13015"/>
  <c r="W2662" i="13015" s="1"/>
  <c r="W2653" i="13015"/>
  <c r="O2663" i="13015"/>
  <c r="W2663" i="13015" s="1"/>
  <c r="W2654" i="13015"/>
  <c r="K2662" i="13015"/>
  <c r="S2662" i="13015" s="1"/>
  <c r="S2653" i="13015"/>
  <c r="AF62" i="12989"/>
  <c r="M58" i="12989"/>
  <c r="M57" i="12989"/>
  <c r="M56" i="12989"/>
  <c r="AF53" i="12989"/>
  <c r="AF52" i="12989"/>
  <c r="Q52" i="12989"/>
  <c r="AF49" i="12989"/>
  <c r="Q49" i="12989"/>
  <c r="G49" i="12989"/>
  <c r="I33" i="12989"/>
  <c r="G33" i="12989"/>
  <c r="I28" i="12989"/>
  <c r="G28" i="12989"/>
  <c r="A15" i="12989"/>
  <c r="G11" i="12989"/>
  <c r="E11" i="12989"/>
  <c r="A6" i="12989"/>
  <c r="A5" i="12989"/>
  <c r="Y1206" i="13015" l="1"/>
  <c r="Y1807" i="13015"/>
  <c r="Y1716" i="13015"/>
  <c r="S2655" i="13015"/>
  <c r="S2658" i="13015" s="1"/>
  <c r="K54" i="13016"/>
  <c r="K65" i="13016" s="1"/>
  <c r="K22" i="13017"/>
  <c r="K39" i="13017"/>
  <c r="K50" i="13017" s="1"/>
  <c r="W2655" i="13015"/>
  <c r="W2658" i="13015" s="1"/>
  <c r="S2664" i="13015"/>
  <c r="S2667" i="13015" s="1"/>
  <c r="W2664" i="13015"/>
  <c r="W2667" i="13015" s="1"/>
  <c r="I11" i="12989"/>
  <c r="A16" i="12989"/>
  <c r="A17" i="12989"/>
  <c r="M57" i="13013" l="1"/>
  <c r="AC1715" i="13015"/>
  <c r="Q1715" i="13015" s="1"/>
  <c r="Y1715" i="13015" s="1"/>
  <c r="U1716" i="13015"/>
  <c r="S1716" i="13015"/>
  <c r="W1716" i="13015" s="1"/>
  <c r="AB1716" i="13015"/>
  <c r="M56" i="13013"/>
  <c r="AC1204" i="13015"/>
  <c r="S1206" i="13015"/>
  <c r="U1206" i="13015"/>
  <c r="AB1206" i="13015"/>
  <c r="Y1290" i="13015"/>
  <c r="Y1374" i="13015"/>
  <c r="Y1248" i="13015"/>
  <c r="Y1332" i="13015"/>
  <c r="M58" i="13013"/>
  <c r="AC1806" i="13015"/>
  <c r="Q1806" i="13015" s="1"/>
  <c r="Y1806" i="13015" s="1"/>
  <c r="U1807" i="13015"/>
  <c r="AB1798" i="13015" s="1"/>
  <c r="S1807" i="13015"/>
  <c r="AA1798" i="13015" s="1"/>
  <c r="AB1807" i="13015"/>
  <c r="M11" i="12989"/>
  <c r="K11" i="12989"/>
  <c r="A18" i="12989"/>
  <c r="W1807" i="13015" l="1"/>
  <c r="AC1798" i="13015" s="1"/>
  <c r="AD1798" i="13015" s="1"/>
  <c r="AB1374" i="13015"/>
  <c r="M43" i="13014"/>
  <c r="K58" i="13005"/>
  <c r="K43" i="13007" s="1"/>
  <c r="S58" i="13013"/>
  <c r="U58" i="13013" s="1"/>
  <c r="AB1290" i="13015"/>
  <c r="Q1372" i="13015"/>
  <c r="Y1372" i="13015" s="1"/>
  <c r="Q1288" i="13015"/>
  <c r="Y1288" i="13015" s="1"/>
  <c r="Q1246" i="13015"/>
  <c r="Y1246" i="13015" s="1"/>
  <c r="Q1330" i="13015"/>
  <c r="Y1330" i="13015" s="1"/>
  <c r="Q1204" i="13015"/>
  <c r="Y1204" i="13015" s="1"/>
  <c r="AB1332" i="13015"/>
  <c r="M41" i="13014"/>
  <c r="K56" i="13005"/>
  <c r="K41" i="13007" s="1"/>
  <c r="S56" i="13013"/>
  <c r="U56" i="13013" s="1"/>
  <c r="U1248" i="13015"/>
  <c r="U1290" i="13015" s="1"/>
  <c r="U1332" i="13015" s="1"/>
  <c r="U1374" i="13015" s="1"/>
  <c r="AB1248" i="13015"/>
  <c r="S1248" i="13015"/>
  <c r="S1290" i="13015" s="1"/>
  <c r="S1332" i="13015" s="1"/>
  <c r="W1206" i="13015"/>
  <c r="M42" i="13014"/>
  <c r="K57" i="13005"/>
  <c r="K42" i="13007" s="1"/>
  <c r="S57" i="13013"/>
  <c r="U57" i="13013" s="1"/>
  <c r="A19" i="12989"/>
  <c r="S12" i="12989"/>
  <c r="O12" i="12989"/>
  <c r="O11" i="12989"/>
  <c r="Q12" i="12989" s="1"/>
  <c r="A20" i="12989"/>
  <c r="S1374" i="13015" l="1"/>
  <c r="W1374" i="13015" s="1"/>
  <c r="W1332" i="13015"/>
  <c r="W1290" i="13015"/>
  <c r="W1248" i="13015"/>
  <c r="Q11" i="12989"/>
  <c r="A21" i="12989"/>
  <c r="A23" i="12989" l="1"/>
  <c r="S11" i="12989"/>
  <c r="U11" i="12989"/>
  <c r="W11" i="12989" s="1"/>
  <c r="Z12" i="12989" s="1"/>
  <c r="X11" i="12989" l="1"/>
  <c r="AA12" i="12989" s="1"/>
  <c r="A24" i="12989"/>
  <c r="Z11" i="12989" l="1"/>
  <c r="AA11" i="12989" s="1"/>
  <c r="A25" i="12989"/>
  <c r="A26" i="12989" l="1"/>
  <c r="A27" i="12989" s="1"/>
  <c r="A28" i="12989" s="1"/>
  <c r="A29" i="12989" s="1"/>
  <c r="A30" i="12989" s="1"/>
  <c r="A31" i="12989" s="1"/>
  <c r="A32" i="12989" s="1"/>
  <c r="A33" i="12989" s="1"/>
  <c r="A34" i="12989" s="1"/>
  <c r="A35" i="12989" s="1"/>
  <c r="A36" i="12989" s="1"/>
  <c r="A37" i="12989" s="1"/>
  <c r="A38" i="12989" s="1"/>
  <c r="A39" i="12989" s="1"/>
  <c r="A40" i="12989" s="1"/>
  <c r="A41" i="12989" s="1"/>
  <c r="A42" i="12989" s="1"/>
  <c r="A43" i="12989" s="1"/>
  <c r="A44" i="12989" s="1"/>
  <c r="A45" i="12989" s="1"/>
  <c r="A46" i="12989" s="1"/>
  <c r="A47" i="12989" s="1"/>
  <c r="A48" i="12989" s="1"/>
  <c r="A49" i="12989" s="1"/>
  <c r="A50" i="12989" s="1"/>
  <c r="A51" i="12989" s="1"/>
  <c r="A52" i="12989" s="1"/>
  <c r="A53" i="12989" s="1"/>
  <c r="A54" i="12989" s="1"/>
  <c r="A56" i="12989" s="1"/>
  <c r="A57" i="12989" s="1"/>
  <c r="A58" i="12989" s="1"/>
  <c r="A59" i="12989" s="1"/>
  <c r="A60" i="12989" s="1"/>
  <c r="A61" i="12989" s="1"/>
  <c r="A62" i="12989" s="1"/>
  <c r="A63" i="12989" s="1"/>
  <c r="A64" i="12989" s="1"/>
  <c r="A65" i="12989" s="1"/>
  <c r="M26" i="12991" l="1"/>
  <c r="M25" i="12991"/>
  <c r="M24" i="12991"/>
  <c r="M22" i="12991"/>
  <c r="M21" i="12991"/>
  <c r="M20" i="12991"/>
  <c r="M18" i="12991"/>
  <c r="M17" i="12991"/>
  <c r="M16" i="12991"/>
  <c r="M14" i="12991"/>
  <c r="M13" i="12991"/>
  <c r="M12" i="12991"/>
  <c r="M11" i="12991"/>
  <c r="E26" i="12991"/>
  <c r="E25" i="12991"/>
  <c r="E24" i="12991"/>
  <c r="E22" i="12991"/>
  <c r="E21" i="12991"/>
  <c r="E20" i="12991"/>
  <c r="E18" i="12991"/>
  <c r="E17" i="12991"/>
  <c r="E16" i="12991"/>
  <c r="E14" i="12991"/>
  <c r="E13" i="12991"/>
  <c r="E12" i="12991"/>
  <c r="E11" i="12991"/>
  <c r="A26" i="12991"/>
  <c r="A25" i="12991"/>
  <c r="A22" i="12991"/>
  <c r="A21" i="12991"/>
  <c r="A18" i="12991"/>
  <c r="A17" i="12991"/>
  <c r="A13" i="12991"/>
  <c r="A14" i="12991"/>
  <c r="A12" i="12991"/>
  <c r="M29" i="12992" l="1"/>
  <c r="K31" i="13008" l="1"/>
  <c r="W16" i="12995" l="1"/>
  <c r="W18" i="12995"/>
  <c r="W22" i="12995"/>
  <c r="N31" i="12995" s="1"/>
  <c r="W23" i="12995"/>
  <c r="N28" i="12995" s="1"/>
  <c r="W24" i="12995"/>
  <c r="W33" i="12995"/>
  <c r="N32" i="12995"/>
  <c r="N27" i="12995"/>
  <c r="N21" i="12995"/>
  <c r="N16" i="12995"/>
  <c r="N11" i="12995"/>
  <c r="F33" i="12995"/>
  <c r="F32" i="12995"/>
  <c r="F31" i="12995"/>
  <c r="F29" i="12995"/>
  <c r="F28" i="12995"/>
  <c r="F27" i="12995"/>
  <c r="F25" i="12995"/>
  <c r="F24" i="12995"/>
  <c r="F23" i="12995"/>
  <c r="F21" i="12995"/>
  <c r="F20" i="12995"/>
  <c r="F19" i="12995"/>
  <c r="F17" i="12995"/>
  <c r="F16" i="12995"/>
  <c r="F15" i="12995"/>
  <c r="F13" i="12995"/>
  <c r="F12" i="12995"/>
  <c r="F11" i="12995"/>
  <c r="W36" i="12991"/>
  <c r="V36" i="12991"/>
  <c r="Q11" i="12994"/>
  <c r="N12" i="12995" l="1"/>
  <c r="N23" i="12995"/>
  <c r="N33" i="12995"/>
  <c r="N13" i="12995"/>
  <c r="N19" i="12995"/>
  <c r="N24" i="12995"/>
  <c r="N29" i="12995"/>
  <c r="N17" i="12995"/>
  <c r="N15" i="12995"/>
  <c r="N20" i="12995"/>
  <c r="N25" i="12995"/>
  <c r="Q59" i="12994"/>
  <c r="Q58" i="12994"/>
  <c r="Q57" i="12994"/>
  <c r="Q56" i="12994"/>
  <c r="Q55" i="12994"/>
  <c r="Q54" i="12994"/>
  <c r="Q53" i="12994"/>
  <c r="Q52" i="12994"/>
  <c r="Q51" i="12994"/>
  <c r="Q49" i="12994"/>
  <c r="Q48" i="12994"/>
  <c r="Q47" i="12994"/>
  <c r="Q46" i="12994"/>
  <c r="Q45" i="12994"/>
  <c r="Q44" i="12994"/>
  <c r="Q43" i="12994"/>
  <c r="Q42" i="12994"/>
  <c r="Q41" i="12994"/>
  <c r="Q39" i="12994"/>
  <c r="Q38" i="12994"/>
  <c r="Q37" i="12994"/>
  <c r="Q36" i="12994"/>
  <c r="Q35" i="12994"/>
  <c r="Q34" i="12994"/>
  <c r="Q33" i="12994"/>
  <c r="Q32" i="12994"/>
  <c r="Q31" i="12994"/>
  <c r="Q29" i="12994"/>
  <c r="Q28" i="12994"/>
  <c r="Q27" i="12994"/>
  <c r="Q26" i="12994"/>
  <c r="Q25" i="12994"/>
  <c r="Q24" i="12994"/>
  <c r="Q23" i="12994"/>
  <c r="Q22" i="12994"/>
  <c r="Q21" i="12994"/>
  <c r="Q19" i="12994"/>
  <c r="Q18" i="12994"/>
  <c r="Q17" i="12994"/>
  <c r="Q16" i="12994"/>
  <c r="Q15" i="12994"/>
  <c r="Q14" i="12994"/>
  <c r="Q13" i="12994"/>
  <c r="Q12" i="12994"/>
  <c r="I59" i="12994"/>
  <c r="I58" i="12994"/>
  <c r="I57" i="12994"/>
  <c r="I56" i="12994"/>
  <c r="I55" i="12994"/>
  <c r="I54" i="12994"/>
  <c r="I53" i="12994"/>
  <c r="I52" i="12994"/>
  <c r="I51" i="12994"/>
  <c r="I49" i="12994"/>
  <c r="I48" i="12994"/>
  <c r="I47" i="12994"/>
  <c r="I46" i="12994"/>
  <c r="I45" i="12994"/>
  <c r="I44" i="12994"/>
  <c r="I43" i="12994"/>
  <c r="I42" i="12994"/>
  <c r="I41" i="12994"/>
  <c r="I39" i="12994"/>
  <c r="I38" i="12994"/>
  <c r="I37" i="12994"/>
  <c r="I36" i="12994"/>
  <c r="I35" i="12994"/>
  <c r="I34" i="12994"/>
  <c r="I33" i="12994"/>
  <c r="I32" i="12994"/>
  <c r="I31" i="12994"/>
  <c r="I29" i="12994"/>
  <c r="I28" i="12994"/>
  <c r="I27" i="12994"/>
  <c r="I26" i="12994"/>
  <c r="I25" i="12994"/>
  <c r="I24" i="12994"/>
  <c r="I23" i="12994"/>
  <c r="I22" i="12994"/>
  <c r="I21" i="12994"/>
  <c r="I19" i="12994"/>
  <c r="I18" i="12994"/>
  <c r="I17" i="12994"/>
  <c r="I16" i="12994"/>
  <c r="I15" i="12994"/>
  <c r="I14" i="12994"/>
  <c r="I13" i="12994"/>
  <c r="I12" i="12994"/>
  <c r="AA33" i="12994"/>
  <c r="Z33" i="12994"/>
  <c r="I11" i="12994"/>
  <c r="Z19" i="12993" l="1"/>
  <c r="Z20" i="12993"/>
  <c r="Z22" i="12993"/>
  <c r="Q37" i="12993" s="1"/>
  <c r="Z25" i="12993"/>
  <c r="Z26" i="12993"/>
  <c r="I11" i="12993"/>
  <c r="Q58" i="12993"/>
  <c r="Q56" i="12993"/>
  <c r="Q54" i="12993"/>
  <c r="Q52" i="12993"/>
  <c r="Q49" i="12993"/>
  <c r="Q47" i="12993"/>
  <c r="Q45" i="12993"/>
  <c r="Q43" i="12993"/>
  <c r="Q41" i="12993"/>
  <c r="Q38" i="12993"/>
  <c r="Q36" i="12993"/>
  <c r="Q34" i="12993"/>
  <c r="Q32" i="12993"/>
  <c r="Q29" i="12993"/>
  <c r="Q27" i="12993"/>
  <c r="Q25" i="12993"/>
  <c r="Q23" i="12993"/>
  <c r="Q21" i="12993"/>
  <c r="Q18" i="12993"/>
  <c r="Q16" i="12993"/>
  <c r="Q14" i="12993"/>
  <c r="Q12" i="12993"/>
  <c r="I59" i="12993"/>
  <c r="I58" i="12993"/>
  <c r="I57" i="12993"/>
  <c r="I56" i="12993"/>
  <c r="I55" i="12993"/>
  <c r="I54" i="12993"/>
  <c r="I53" i="12993"/>
  <c r="I52" i="12993"/>
  <c r="I51" i="12993"/>
  <c r="I49" i="12993"/>
  <c r="I48" i="12993"/>
  <c r="I47" i="12993"/>
  <c r="I46" i="12993"/>
  <c r="I45" i="12993"/>
  <c r="I44" i="12993"/>
  <c r="I43" i="12993"/>
  <c r="I42" i="12993"/>
  <c r="I41" i="12993"/>
  <c r="I39" i="12993"/>
  <c r="I38" i="12993"/>
  <c r="I37" i="12993"/>
  <c r="I36" i="12993"/>
  <c r="I35" i="12993"/>
  <c r="I34" i="12993"/>
  <c r="I33" i="12993"/>
  <c r="I32" i="12993"/>
  <c r="I31" i="12993"/>
  <c r="I29" i="12993"/>
  <c r="I28" i="12993"/>
  <c r="I27" i="12993"/>
  <c r="I26" i="12993"/>
  <c r="I25" i="12993"/>
  <c r="I24" i="12993"/>
  <c r="I23" i="12993"/>
  <c r="I22" i="12993"/>
  <c r="I21" i="12993"/>
  <c r="I19" i="12993"/>
  <c r="I18" i="12993"/>
  <c r="I17" i="12993"/>
  <c r="I16" i="12993"/>
  <c r="I15" i="12993"/>
  <c r="I14" i="12993"/>
  <c r="I13" i="12993"/>
  <c r="I12" i="12993"/>
  <c r="Q15" i="12993" l="1"/>
  <c r="Q19" i="12993"/>
  <c r="Q24" i="12993"/>
  <c r="Q28" i="12993"/>
  <c r="Q33" i="12993"/>
  <c r="Q35" i="12993"/>
  <c r="Q39" i="12993"/>
  <c r="Q42" i="12993"/>
  <c r="Q44" i="12993"/>
  <c r="Q46" i="12993"/>
  <c r="Q48" i="12993"/>
  <c r="Q51" i="12993"/>
  <c r="Q53" i="12993"/>
  <c r="Q55" i="12993"/>
  <c r="Q57" i="12993"/>
  <c r="Q59" i="12993"/>
  <c r="Q11" i="12993"/>
  <c r="Q13" i="12993"/>
  <c r="Q17" i="12993"/>
  <c r="Q22" i="12993"/>
  <c r="Q26" i="12993"/>
  <c r="Q31" i="12993"/>
  <c r="AA35" i="12993"/>
  <c r="Z35" i="12993"/>
  <c r="M28" i="12992"/>
  <c r="M27" i="12992"/>
  <c r="M25" i="12992"/>
  <c r="M24" i="12992"/>
  <c r="M23" i="12992"/>
  <c r="M21" i="12992"/>
  <c r="M20" i="12992"/>
  <c r="M19" i="12992"/>
  <c r="M17" i="12992"/>
  <c r="M16" i="12992"/>
  <c r="M15" i="12992"/>
  <c r="M13" i="12992"/>
  <c r="M12" i="12992"/>
  <c r="M11" i="12992"/>
  <c r="E29" i="12992"/>
  <c r="E28" i="12992"/>
  <c r="E27" i="12992"/>
  <c r="E25" i="12992"/>
  <c r="E24" i="12992"/>
  <c r="E23" i="12992"/>
  <c r="E21" i="12992"/>
  <c r="E20" i="12992"/>
  <c r="E19" i="12992"/>
  <c r="E17" i="12992"/>
  <c r="E16" i="12992"/>
  <c r="E15" i="12992"/>
  <c r="E13" i="12992"/>
  <c r="E12" i="12992"/>
  <c r="E11" i="12992"/>
  <c r="W33" i="12992"/>
  <c r="V33" i="12992"/>
  <c r="K31" i="13009"/>
  <c r="C31" i="13009"/>
  <c r="K30" i="13009"/>
  <c r="C30" i="13009"/>
  <c r="K29" i="13009"/>
  <c r="C29" i="13009"/>
  <c r="K28" i="13009"/>
  <c r="C28" i="13009"/>
  <c r="K27" i="13009"/>
  <c r="C27" i="13009"/>
  <c r="K26" i="13009"/>
  <c r="C26" i="13009"/>
  <c r="K25" i="13009"/>
  <c r="C25" i="13009"/>
  <c r="K24" i="13009"/>
  <c r="C24" i="13009"/>
  <c r="K23" i="13009"/>
  <c r="C23" i="13009"/>
  <c r="K22" i="13009"/>
  <c r="C22" i="13009"/>
  <c r="K21" i="13009"/>
  <c r="C21" i="13009"/>
  <c r="C20" i="13009"/>
  <c r="K19" i="13009"/>
  <c r="C19" i="13009"/>
  <c r="K18" i="13009"/>
  <c r="C18" i="13009"/>
  <c r="C17" i="13009"/>
  <c r="K16" i="13009"/>
  <c r="C16" i="13009"/>
  <c r="K15" i="13009"/>
  <c r="K14" i="13009"/>
  <c r="C14" i="13009"/>
  <c r="K13" i="13009"/>
  <c r="K12" i="13009"/>
  <c r="C12" i="13009"/>
  <c r="K11" i="13009"/>
  <c r="C11" i="13009"/>
  <c r="K10" i="13009"/>
  <c r="C10" i="13009"/>
  <c r="C31" i="13008"/>
  <c r="K30" i="13008"/>
  <c r="C30" i="13008"/>
  <c r="K29" i="13008"/>
  <c r="C29" i="13008"/>
  <c r="K28" i="13008"/>
  <c r="C28" i="13008"/>
  <c r="K27" i="13008"/>
  <c r="C27" i="13008"/>
  <c r="K26" i="13008"/>
  <c r="C26" i="13008"/>
  <c r="K25" i="13008"/>
  <c r="C25" i="13008"/>
  <c r="K24" i="13008"/>
  <c r="C24" i="13008"/>
  <c r="K23" i="13008"/>
  <c r="C23" i="13008"/>
  <c r="K22" i="13008"/>
  <c r="C22" i="13008"/>
  <c r="C21" i="13008"/>
  <c r="C20" i="13008"/>
  <c r="K19" i="13008"/>
  <c r="C19" i="13008"/>
  <c r="K18" i="13008"/>
  <c r="C18" i="13008"/>
  <c r="K17" i="13008"/>
  <c r="C17" i="13008"/>
  <c r="K16" i="13008"/>
  <c r="K15" i="13008"/>
  <c r="K14" i="13008"/>
  <c r="C14" i="13008"/>
  <c r="K13" i="13008"/>
  <c r="C13" i="13008"/>
  <c r="K12" i="13008"/>
  <c r="C12" i="13008"/>
  <c r="K11" i="13008"/>
  <c r="C11" i="13008"/>
  <c r="K10" i="13008"/>
  <c r="C10" i="13008"/>
  <c r="V16" i="12992" l="1"/>
  <c r="V20" i="12992"/>
  <c r="V19" i="12992"/>
  <c r="V12" i="12992"/>
  <c r="V11" i="12992"/>
  <c r="C17" i="12993" l="1"/>
  <c r="Q41" i="12908" l="1"/>
  <c r="AN41" i="13034" l="1"/>
  <c r="D2610" i="12908"/>
  <c r="W2610" i="12908" l="1"/>
  <c r="AA2610" i="13034"/>
  <c r="I49" i="13016"/>
  <c r="I49" i="12989"/>
  <c r="I2610" i="12908"/>
  <c r="Y2610" i="12908" l="1"/>
  <c r="AF2610" i="13034"/>
  <c r="K49" i="12989"/>
  <c r="AT2610" i="13034"/>
  <c r="AI2610" i="13015"/>
  <c r="Y1974" i="12908"/>
  <c r="AV1974" i="13034" s="1"/>
  <c r="W1974" i="12908"/>
  <c r="U1974" i="12908"/>
  <c r="AR1974" i="13034" s="1"/>
  <c r="S1974" i="12908"/>
  <c r="AP1974" i="13034" s="1"/>
  <c r="O1973" i="12908"/>
  <c r="O1972" i="12908"/>
  <c r="AL1972" i="13034" l="1"/>
  <c r="AJ1972" i="13015"/>
  <c r="AT1974" i="13034"/>
  <c r="AI1974" i="13015"/>
  <c r="O49" i="12989"/>
  <c r="AD49" i="12989" s="1"/>
  <c r="AL1973" i="13034"/>
  <c r="AJ1973" i="13015"/>
  <c r="Q2610" i="12908"/>
  <c r="AN2610" i="13034" s="1"/>
  <c r="AV2610" i="13034"/>
  <c r="P75" i="13001"/>
  <c r="O75" i="13001"/>
  <c r="N75" i="13001"/>
  <c r="M75" i="13001"/>
  <c r="L75" i="13001"/>
  <c r="K75" i="13001"/>
  <c r="J75" i="13001"/>
  <c r="I75" i="13001"/>
  <c r="H75" i="13001"/>
  <c r="G75" i="13001"/>
  <c r="F75" i="13001"/>
  <c r="E75" i="13001"/>
  <c r="D75" i="13001"/>
  <c r="P74" i="13001"/>
  <c r="O74" i="13001"/>
  <c r="N74" i="13001"/>
  <c r="M74" i="13001"/>
  <c r="L74" i="13001"/>
  <c r="K74" i="13001"/>
  <c r="J74" i="13001"/>
  <c r="I74" i="13001"/>
  <c r="H74" i="13001"/>
  <c r="G74" i="13001"/>
  <c r="F74" i="13001"/>
  <c r="E74" i="13001"/>
  <c r="D74" i="13001"/>
  <c r="P73" i="13001"/>
  <c r="O73" i="13001"/>
  <c r="N73" i="13001"/>
  <c r="M73" i="13001"/>
  <c r="L73" i="13001"/>
  <c r="K73" i="13001"/>
  <c r="J73" i="13001"/>
  <c r="I73" i="13001"/>
  <c r="H73" i="13001"/>
  <c r="G73" i="13001"/>
  <c r="F73" i="13001"/>
  <c r="E73" i="13001"/>
  <c r="D73" i="13001"/>
  <c r="P72" i="13001"/>
  <c r="O72" i="13001"/>
  <c r="N72" i="13001"/>
  <c r="M72" i="13001"/>
  <c r="L72" i="13001"/>
  <c r="K72" i="13001"/>
  <c r="J72" i="13001"/>
  <c r="I72" i="13001"/>
  <c r="H72" i="13001"/>
  <c r="G72" i="13001"/>
  <c r="F72" i="13001"/>
  <c r="E72" i="13001"/>
  <c r="D72" i="13001"/>
  <c r="P71" i="13001"/>
  <c r="O71" i="13001"/>
  <c r="N71" i="13001"/>
  <c r="M71" i="13001"/>
  <c r="L71" i="13001"/>
  <c r="K71" i="13001"/>
  <c r="J71" i="13001"/>
  <c r="I71" i="13001"/>
  <c r="H71" i="13001"/>
  <c r="G71" i="13001"/>
  <c r="F71" i="13001"/>
  <c r="E71" i="13001"/>
  <c r="D71" i="13001"/>
  <c r="P70" i="13001"/>
  <c r="O70" i="13001"/>
  <c r="N70" i="13001"/>
  <c r="M70" i="13001"/>
  <c r="L70" i="13001"/>
  <c r="K70" i="13001"/>
  <c r="J70" i="13001"/>
  <c r="I70" i="13001"/>
  <c r="H70" i="13001"/>
  <c r="G70" i="13001"/>
  <c r="F70" i="13001"/>
  <c r="E70" i="13001"/>
  <c r="D70" i="13001"/>
  <c r="P69" i="13001"/>
  <c r="O69" i="13001"/>
  <c r="N69" i="13001"/>
  <c r="M69" i="13001"/>
  <c r="L69" i="13001"/>
  <c r="K69" i="13001"/>
  <c r="J69" i="13001"/>
  <c r="I69" i="13001"/>
  <c r="H69" i="13001"/>
  <c r="G69" i="13001"/>
  <c r="F69" i="13001"/>
  <c r="E69" i="13001"/>
  <c r="D69" i="13001"/>
  <c r="P68" i="13001"/>
  <c r="O68" i="13001"/>
  <c r="N68" i="13001"/>
  <c r="M68" i="13001"/>
  <c r="L68" i="13001"/>
  <c r="K68" i="13001"/>
  <c r="J68" i="13001"/>
  <c r="I68" i="13001"/>
  <c r="H68" i="13001"/>
  <c r="G68" i="13001"/>
  <c r="F68" i="13001"/>
  <c r="E68" i="13001"/>
  <c r="D68" i="13001"/>
  <c r="P67" i="13001"/>
  <c r="O67" i="13001"/>
  <c r="N67" i="13001"/>
  <c r="M67" i="13001"/>
  <c r="L67" i="13001"/>
  <c r="K67" i="13001"/>
  <c r="J67" i="13001"/>
  <c r="I67" i="13001"/>
  <c r="H67" i="13001"/>
  <c r="G67" i="13001"/>
  <c r="F67" i="13001"/>
  <c r="E67" i="13001"/>
  <c r="D67" i="13001"/>
  <c r="P62" i="13001"/>
  <c r="O62" i="13001"/>
  <c r="N62" i="13001"/>
  <c r="M62" i="13001"/>
  <c r="L62" i="13001"/>
  <c r="K62" i="13001"/>
  <c r="J62" i="13001"/>
  <c r="I62" i="13001"/>
  <c r="H62" i="13001"/>
  <c r="G62" i="13001"/>
  <c r="F62" i="13001"/>
  <c r="E62" i="13001"/>
  <c r="D62" i="13001"/>
  <c r="P61" i="13001"/>
  <c r="O61" i="13001"/>
  <c r="N61" i="13001"/>
  <c r="M61" i="13001"/>
  <c r="L61" i="13001"/>
  <c r="K61" i="13001"/>
  <c r="J61" i="13001"/>
  <c r="I61" i="13001"/>
  <c r="H61" i="13001"/>
  <c r="G61" i="13001"/>
  <c r="F61" i="13001"/>
  <c r="E61" i="13001"/>
  <c r="D61" i="13001"/>
  <c r="P60" i="13001"/>
  <c r="O60" i="13001"/>
  <c r="N60" i="13001"/>
  <c r="M60" i="13001"/>
  <c r="L60" i="13001"/>
  <c r="K60" i="13001"/>
  <c r="J60" i="13001"/>
  <c r="I60" i="13001"/>
  <c r="H60" i="13001"/>
  <c r="G60" i="13001"/>
  <c r="F60" i="13001"/>
  <c r="E60" i="13001"/>
  <c r="D60" i="13001"/>
  <c r="P59" i="13001"/>
  <c r="O59" i="13001"/>
  <c r="N59" i="13001"/>
  <c r="M59" i="13001"/>
  <c r="L59" i="13001"/>
  <c r="K59" i="13001"/>
  <c r="J59" i="13001"/>
  <c r="I59" i="13001"/>
  <c r="H59" i="13001"/>
  <c r="G59" i="13001"/>
  <c r="F59" i="13001"/>
  <c r="E59" i="13001"/>
  <c r="D59" i="13001"/>
  <c r="P58" i="13001"/>
  <c r="O58" i="13001"/>
  <c r="N58" i="13001"/>
  <c r="M58" i="13001"/>
  <c r="L58" i="13001"/>
  <c r="K58" i="13001"/>
  <c r="J58" i="13001"/>
  <c r="I58" i="13001"/>
  <c r="H58" i="13001"/>
  <c r="G58" i="13001"/>
  <c r="F58" i="13001"/>
  <c r="E58" i="13001"/>
  <c r="D58" i="13001"/>
  <c r="P57" i="13001"/>
  <c r="O57" i="13001"/>
  <c r="N57" i="13001"/>
  <c r="M57" i="13001"/>
  <c r="L57" i="13001"/>
  <c r="K57" i="13001"/>
  <c r="J57" i="13001"/>
  <c r="I57" i="13001"/>
  <c r="H57" i="13001"/>
  <c r="G57" i="13001"/>
  <c r="F57" i="13001"/>
  <c r="E57" i="13001"/>
  <c r="D57" i="13001"/>
  <c r="P56" i="13001"/>
  <c r="O56" i="13001"/>
  <c r="N56" i="13001"/>
  <c r="M56" i="13001"/>
  <c r="L56" i="13001"/>
  <c r="K56" i="13001"/>
  <c r="J56" i="13001"/>
  <c r="I56" i="13001"/>
  <c r="H56" i="13001"/>
  <c r="G56" i="13001"/>
  <c r="F56" i="13001"/>
  <c r="E56" i="13001"/>
  <c r="D56" i="13001"/>
  <c r="P55" i="13001"/>
  <c r="O55" i="13001"/>
  <c r="N55" i="13001"/>
  <c r="M55" i="13001"/>
  <c r="L55" i="13001"/>
  <c r="K55" i="13001"/>
  <c r="J55" i="13001"/>
  <c r="I55" i="13001"/>
  <c r="H55" i="13001"/>
  <c r="G55" i="13001"/>
  <c r="F55" i="13001"/>
  <c r="E55" i="13001"/>
  <c r="D55" i="13001"/>
  <c r="P54" i="13001"/>
  <c r="O54" i="13001"/>
  <c r="N54" i="13001"/>
  <c r="M54" i="13001"/>
  <c r="L54" i="13001"/>
  <c r="K54" i="13001"/>
  <c r="J54" i="13001"/>
  <c r="I54" i="13001"/>
  <c r="H54" i="13001"/>
  <c r="G54" i="13001"/>
  <c r="F54" i="13001"/>
  <c r="E54" i="13001"/>
  <c r="D54" i="13001"/>
  <c r="P49" i="13001"/>
  <c r="O49" i="13001"/>
  <c r="N49" i="13001"/>
  <c r="M49" i="13001"/>
  <c r="L49" i="13001"/>
  <c r="K49" i="13001"/>
  <c r="J49" i="13001"/>
  <c r="I49" i="13001"/>
  <c r="H49" i="13001"/>
  <c r="G49" i="13001"/>
  <c r="F49" i="13001"/>
  <c r="E49" i="13001"/>
  <c r="D49" i="13001"/>
  <c r="P48" i="13001"/>
  <c r="O48" i="13001"/>
  <c r="N48" i="13001"/>
  <c r="M48" i="13001"/>
  <c r="L48" i="13001"/>
  <c r="K48" i="13001"/>
  <c r="J48" i="13001"/>
  <c r="I48" i="13001"/>
  <c r="H48" i="13001"/>
  <c r="G48" i="13001"/>
  <c r="F48" i="13001"/>
  <c r="E48" i="13001"/>
  <c r="D48" i="13001"/>
  <c r="P47" i="13001"/>
  <c r="O47" i="13001"/>
  <c r="N47" i="13001"/>
  <c r="M47" i="13001"/>
  <c r="L47" i="13001"/>
  <c r="K47" i="13001"/>
  <c r="J47" i="13001"/>
  <c r="I47" i="13001"/>
  <c r="H47" i="13001"/>
  <c r="G47" i="13001"/>
  <c r="F47" i="13001"/>
  <c r="E47" i="13001"/>
  <c r="D47" i="13001"/>
  <c r="P46" i="13001"/>
  <c r="O46" i="13001"/>
  <c r="N46" i="13001"/>
  <c r="M46" i="13001"/>
  <c r="L46" i="13001"/>
  <c r="K46" i="13001"/>
  <c r="J46" i="13001"/>
  <c r="I46" i="13001"/>
  <c r="H46" i="13001"/>
  <c r="G46" i="13001"/>
  <c r="F46" i="13001"/>
  <c r="E46" i="13001"/>
  <c r="D46" i="13001"/>
  <c r="P45" i="13001"/>
  <c r="O45" i="13001"/>
  <c r="N45" i="13001"/>
  <c r="M45" i="13001"/>
  <c r="L45" i="13001"/>
  <c r="K45" i="13001"/>
  <c r="J45" i="13001"/>
  <c r="I45" i="13001"/>
  <c r="H45" i="13001"/>
  <c r="G45" i="13001"/>
  <c r="F45" i="13001"/>
  <c r="E45" i="13001"/>
  <c r="D45" i="13001"/>
  <c r="P44" i="13001"/>
  <c r="O44" i="13001"/>
  <c r="N44" i="13001"/>
  <c r="M44" i="13001"/>
  <c r="L44" i="13001"/>
  <c r="K44" i="13001"/>
  <c r="J44" i="13001"/>
  <c r="I44" i="13001"/>
  <c r="H44" i="13001"/>
  <c r="G44" i="13001"/>
  <c r="F44" i="13001"/>
  <c r="E44" i="13001"/>
  <c r="D44" i="13001"/>
  <c r="P43" i="13001"/>
  <c r="O43" i="13001"/>
  <c r="N43" i="13001"/>
  <c r="M43" i="13001"/>
  <c r="L43" i="13001"/>
  <c r="K43" i="13001"/>
  <c r="J43" i="13001"/>
  <c r="I43" i="13001"/>
  <c r="H43" i="13001"/>
  <c r="G43" i="13001"/>
  <c r="F43" i="13001"/>
  <c r="E43" i="13001"/>
  <c r="D43" i="13001"/>
  <c r="P42" i="13001"/>
  <c r="O42" i="13001"/>
  <c r="N42" i="13001"/>
  <c r="M42" i="13001"/>
  <c r="L42" i="13001"/>
  <c r="K42" i="13001"/>
  <c r="J42" i="13001"/>
  <c r="I42" i="13001"/>
  <c r="H42" i="13001"/>
  <c r="G42" i="13001"/>
  <c r="F42" i="13001"/>
  <c r="E42" i="13001"/>
  <c r="D42" i="13001"/>
  <c r="P41" i="13001"/>
  <c r="O41" i="13001"/>
  <c r="N41" i="13001"/>
  <c r="M41" i="13001"/>
  <c r="L41" i="13001"/>
  <c r="K41" i="13001"/>
  <c r="J41" i="13001"/>
  <c r="I41" i="13001"/>
  <c r="H41" i="13001"/>
  <c r="G41" i="13001"/>
  <c r="F41" i="13001"/>
  <c r="E41" i="13001"/>
  <c r="D41" i="13001"/>
  <c r="P40" i="13001"/>
  <c r="O40" i="13001"/>
  <c r="N40" i="13001"/>
  <c r="M40" i="13001"/>
  <c r="L40" i="13001"/>
  <c r="K40" i="13001"/>
  <c r="J40" i="13001"/>
  <c r="I40" i="13001"/>
  <c r="H40" i="13001"/>
  <c r="G40" i="13001"/>
  <c r="F40" i="13001"/>
  <c r="E40" i="13001"/>
  <c r="D40" i="13001"/>
  <c r="P39" i="13001"/>
  <c r="O39" i="13001"/>
  <c r="N39" i="13001"/>
  <c r="M39" i="13001"/>
  <c r="L39" i="13001"/>
  <c r="K39" i="13001"/>
  <c r="J39" i="13001"/>
  <c r="I39" i="13001"/>
  <c r="H39" i="13001"/>
  <c r="G39" i="13001"/>
  <c r="F39" i="13001"/>
  <c r="E39" i="13001"/>
  <c r="D39" i="13001"/>
  <c r="P38" i="13001"/>
  <c r="O38" i="13001"/>
  <c r="N38" i="13001"/>
  <c r="M38" i="13001"/>
  <c r="L38" i="13001"/>
  <c r="K38" i="13001"/>
  <c r="J38" i="13001"/>
  <c r="I38" i="13001"/>
  <c r="H38" i="13001"/>
  <c r="G38" i="13001"/>
  <c r="F38" i="13001"/>
  <c r="E38" i="13001"/>
  <c r="D38" i="13001"/>
  <c r="P33" i="13001"/>
  <c r="O33" i="13001"/>
  <c r="N33" i="13001"/>
  <c r="M33" i="13001"/>
  <c r="L33" i="13001"/>
  <c r="K33" i="13001"/>
  <c r="J33" i="13001"/>
  <c r="I33" i="13001"/>
  <c r="H33" i="13001"/>
  <c r="G33" i="13001"/>
  <c r="F33" i="13001"/>
  <c r="E33" i="13001"/>
  <c r="D33" i="13001"/>
  <c r="P32" i="13001"/>
  <c r="O32" i="13001"/>
  <c r="N32" i="13001"/>
  <c r="M32" i="13001"/>
  <c r="L32" i="13001"/>
  <c r="K32" i="13001"/>
  <c r="J32" i="13001"/>
  <c r="I32" i="13001"/>
  <c r="H32" i="13001"/>
  <c r="G32" i="13001"/>
  <c r="F32" i="13001"/>
  <c r="E32" i="13001"/>
  <c r="D32" i="13001"/>
  <c r="P31" i="13001"/>
  <c r="O31" i="13001"/>
  <c r="N31" i="13001"/>
  <c r="M31" i="13001"/>
  <c r="L31" i="13001"/>
  <c r="K31" i="13001"/>
  <c r="J31" i="13001"/>
  <c r="I31" i="13001"/>
  <c r="H31" i="13001"/>
  <c r="G31" i="13001"/>
  <c r="F31" i="13001"/>
  <c r="E31" i="13001"/>
  <c r="D31" i="13001"/>
  <c r="P30" i="13001"/>
  <c r="O30" i="13001"/>
  <c r="N30" i="13001"/>
  <c r="M30" i="13001"/>
  <c r="L30" i="13001"/>
  <c r="K30" i="13001"/>
  <c r="J30" i="13001"/>
  <c r="I30" i="13001"/>
  <c r="H30" i="13001"/>
  <c r="G30" i="13001"/>
  <c r="F30" i="13001"/>
  <c r="E30" i="13001"/>
  <c r="D30" i="13001"/>
  <c r="P29" i="13001"/>
  <c r="O29" i="13001"/>
  <c r="N29" i="13001"/>
  <c r="M29" i="13001"/>
  <c r="L29" i="13001"/>
  <c r="K29" i="13001"/>
  <c r="J29" i="13001"/>
  <c r="I29" i="13001"/>
  <c r="H29" i="13001"/>
  <c r="G29" i="13001"/>
  <c r="F29" i="13001"/>
  <c r="E29" i="13001"/>
  <c r="D29" i="13001"/>
  <c r="P28" i="13001"/>
  <c r="O28" i="13001"/>
  <c r="N28" i="13001"/>
  <c r="M28" i="13001"/>
  <c r="L28" i="13001"/>
  <c r="K28" i="13001"/>
  <c r="J28" i="13001"/>
  <c r="I28" i="13001"/>
  <c r="H28" i="13001"/>
  <c r="G28" i="13001"/>
  <c r="F28" i="13001"/>
  <c r="E28" i="13001"/>
  <c r="D28" i="13001"/>
  <c r="P27" i="13001"/>
  <c r="O27" i="13001"/>
  <c r="N27" i="13001"/>
  <c r="M27" i="13001"/>
  <c r="L27" i="13001"/>
  <c r="K27" i="13001"/>
  <c r="J27" i="13001"/>
  <c r="I27" i="13001"/>
  <c r="H27" i="13001"/>
  <c r="G27" i="13001"/>
  <c r="F27" i="13001"/>
  <c r="E27" i="13001"/>
  <c r="D27" i="13001"/>
  <c r="P26" i="13001"/>
  <c r="O26" i="13001"/>
  <c r="N26" i="13001"/>
  <c r="M26" i="13001"/>
  <c r="L26" i="13001"/>
  <c r="K26" i="13001"/>
  <c r="J26" i="13001"/>
  <c r="I26" i="13001"/>
  <c r="H26" i="13001"/>
  <c r="G26" i="13001"/>
  <c r="F26" i="13001"/>
  <c r="E26" i="13001"/>
  <c r="D26" i="13001"/>
  <c r="P25" i="13001"/>
  <c r="O25" i="13001"/>
  <c r="N25" i="13001"/>
  <c r="M25" i="13001"/>
  <c r="L25" i="13001"/>
  <c r="K25" i="13001"/>
  <c r="J25" i="13001"/>
  <c r="I25" i="13001"/>
  <c r="H25" i="13001"/>
  <c r="G25" i="13001"/>
  <c r="F25" i="13001"/>
  <c r="E25" i="13001"/>
  <c r="D25" i="13001"/>
  <c r="P24" i="13001"/>
  <c r="O24" i="13001"/>
  <c r="N24" i="13001"/>
  <c r="M24" i="13001"/>
  <c r="L24" i="13001"/>
  <c r="K24" i="13001"/>
  <c r="J24" i="13001"/>
  <c r="I24" i="13001"/>
  <c r="H24" i="13001"/>
  <c r="G24" i="13001"/>
  <c r="F24" i="13001"/>
  <c r="E24" i="13001"/>
  <c r="D24" i="13001"/>
  <c r="P23" i="13001"/>
  <c r="O23" i="13001"/>
  <c r="N23" i="13001"/>
  <c r="M23" i="13001"/>
  <c r="L23" i="13001"/>
  <c r="K23" i="13001"/>
  <c r="J23" i="13001"/>
  <c r="I23" i="13001"/>
  <c r="H23" i="13001"/>
  <c r="G23" i="13001"/>
  <c r="F23" i="13001"/>
  <c r="E23" i="13001"/>
  <c r="D23" i="13001"/>
  <c r="P22" i="13001"/>
  <c r="O22" i="13001"/>
  <c r="N22" i="13001"/>
  <c r="M22" i="13001"/>
  <c r="L22" i="13001"/>
  <c r="K22" i="13001"/>
  <c r="J22" i="13001"/>
  <c r="I22" i="13001"/>
  <c r="H22" i="13001"/>
  <c r="G22" i="13001"/>
  <c r="F22" i="13001"/>
  <c r="E22" i="13001"/>
  <c r="D22" i="13001"/>
  <c r="P17" i="13001"/>
  <c r="O17" i="13001"/>
  <c r="N17" i="13001"/>
  <c r="M17" i="13001"/>
  <c r="L17" i="13001"/>
  <c r="K17" i="13001"/>
  <c r="J17" i="13001"/>
  <c r="I17" i="13001"/>
  <c r="H17" i="13001"/>
  <c r="G17" i="13001"/>
  <c r="F17" i="13001"/>
  <c r="E17" i="13001"/>
  <c r="D17" i="13001"/>
  <c r="P16" i="13001"/>
  <c r="O16" i="13001"/>
  <c r="N16" i="13001"/>
  <c r="M16" i="13001"/>
  <c r="L16" i="13001"/>
  <c r="K16" i="13001"/>
  <c r="J16" i="13001"/>
  <c r="I16" i="13001"/>
  <c r="H16" i="13001"/>
  <c r="G16" i="13001"/>
  <c r="F16" i="13001"/>
  <c r="E16" i="13001"/>
  <c r="D16" i="13001"/>
  <c r="P15" i="13001"/>
  <c r="O15" i="13001"/>
  <c r="N15" i="13001"/>
  <c r="M15" i="13001"/>
  <c r="L15" i="13001"/>
  <c r="K15" i="13001"/>
  <c r="J15" i="13001"/>
  <c r="I15" i="13001"/>
  <c r="H15" i="13001"/>
  <c r="G15" i="13001"/>
  <c r="F15" i="13001"/>
  <c r="E15" i="13001"/>
  <c r="D15" i="13001"/>
  <c r="P14" i="13001"/>
  <c r="O14" i="13001"/>
  <c r="N14" i="13001"/>
  <c r="M14" i="13001"/>
  <c r="L14" i="13001"/>
  <c r="K14" i="13001"/>
  <c r="J14" i="13001"/>
  <c r="I14" i="13001"/>
  <c r="H14" i="13001"/>
  <c r="G14" i="13001"/>
  <c r="F14" i="13001"/>
  <c r="E14" i="13001"/>
  <c r="D14" i="13001"/>
  <c r="P13" i="13001"/>
  <c r="O13" i="13001"/>
  <c r="N13" i="13001"/>
  <c r="M13" i="13001"/>
  <c r="L13" i="13001"/>
  <c r="K13" i="13001"/>
  <c r="J13" i="13001"/>
  <c r="I13" i="13001"/>
  <c r="H13" i="13001"/>
  <c r="G13" i="13001"/>
  <c r="F13" i="13001"/>
  <c r="E13" i="13001"/>
  <c r="D13" i="13001"/>
  <c r="P12" i="13001"/>
  <c r="O12" i="13001"/>
  <c r="N12" i="13001"/>
  <c r="M12" i="13001"/>
  <c r="L12" i="13001"/>
  <c r="K12" i="13001"/>
  <c r="J12" i="13001"/>
  <c r="I12" i="13001"/>
  <c r="H12" i="13001"/>
  <c r="G12" i="13001"/>
  <c r="F12" i="13001"/>
  <c r="E12" i="13001"/>
  <c r="D12" i="13001"/>
  <c r="P11" i="13001"/>
  <c r="O11" i="13001"/>
  <c r="N11" i="13001"/>
  <c r="M11" i="13001"/>
  <c r="L11" i="13001"/>
  <c r="K11" i="13001"/>
  <c r="J11" i="13001"/>
  <c r="I11" i="13001"/>
  <c r="H11" i="13001"/>
  <c r="G11" i="13001"/>
  <c r="F11" i="13001"/>
  <c r="E11" i="13001"/>
  <c r="D11" i="13001"/>
  <c r="P10" i="13001"/>
  <c r="O10" i="13001"/>
  <c r="N10" i="13001"/>
  <c r="M10" i="13001"/>
  <c r="L10" i="13001"/>
  <c r="K10" i="13001"/>
  <c r="J10" i="13001"/>
  <c r="I10" i="13001"/>
  <c r="H10" i="13001"/>
  <c r="G10" i="13001"/>
  <c r="F10" i="13001"/>
  <c r="E10" i="13001"/>
  <c r="D10" i="13001"/>
  <c r="P9" i="13001"/>
  <c r="O9" i="13001"/>
  <c r="N9" i="13001"/>
  <c r="M9" i="13001"/>
  <c r="L9" i="13001"/>
  <c r="K9" i="13001"/>
  <c r="J9" i="13001"/>
  <c r="I9" i="13001"/>
  <c r="H9" i="13001"/>
  <c r="G9" i="13001"/>
  <c r="F9" i="13001"/>
  <c r="E9" i="13001"/>
  <c r="D9" i="13001"/>
  <c r="P8" i="13001"/>
  <c r="O8" i="13001"/>
  <c r="N8" i="13001"/>
  <c r="M8" i="13001"/>
  <c r="L8" i="13001"/>
  <c r="K8" i="13001"/>
  <c r="J8" i="13001"/>
  <c r="I8" i="13001"/>
  <c r="H8" i="13001"/>
  <c r="G8" i="13001"/>
  <c r="F8" i="13001"/>
  <c r="E8" i="13001"/>
  <c r="D8" i="13001"/>
  <c r="P7" i="13001"/>
  <c r="O7" i="13001"/>
  <c r="N7" i="13001"/>
  <c r="M7" i="13001"/>
  <c r="L7" i="13001"/>
  <c r="K7" i="13001"/>
  <c r="J7" i="13001"/>
  <c r="I7" i="13001"/>
  <c r="H7" i="13001"/>
  <c r="G7" i="13001"/>
  <c r="F7" i="13001"/>
  <c r="E7" i="13001"/>
  <c r="D7" i="13001"/>
  <c r="P6" i="13001"/>
  <c r="O6" i="13001"/>
  <c r="N6" i="13001"/>
  <c r="M6" i="13001"/>
  <c r="L6" i="13001"/>
  <c r="K6" i="13001"/>
  <c r="J6" i="13001"/>
  <c r="I6" i="13001"/>
  <c r="H6" i="13001"/>
  <c r="G6" i="13001"/>
  <c r="F6" i="13001"/>
  <c r="E6" i="13001"/>
  <c r="D6" i="13001"/>
  <c r="F37" i="13006"/>
  <c r="E37" i="13006"/>
  <c r="D37" i="13006"/>
  <c r="C37" i="13006"/>
  <c r="B37" i="13006"/>
  <c r="E28" i="13006"/>
  <c r="F24" i="13006"/>
  <c r="E24" i="13006"/>
  <c r="D24" i="13006"/>
  <c r="C24" i="13006"/>
  <c r="B24" i="13006"/>
  <c r="F10" i="13006"/>
  <c r="D10" i="13006"/>
  <c r="B10" i="13006"/>
  <c r="E10" i="13006"/>
  <c r="C10" i="13006"/>
  <c r="M49" i="12989" l="1"/>
  <c r="Y1807" i="12908"/>
  <c r="AV1807" i="13034" s="1"/>
  <c r="S47" i="13007"/>
  <c r="S38" i="13007"/>
  <c r="S37" i="13007"/>
  <c r="S34" i="13007"/>
  <c r="S16" i="13007"/>
  <c r="W35" i="12991"/>
  <c r="W34" i="12991"/>
  <c r="W33" i="12991"/>
  <c r="W32" i="12991"/>
  <c r="V26" i="12991"/>
  <c r="L26" i="12991"/>
  <c r="L25" i="12991"/>
  <c r="L24" i="12991"/>
  <c r="V23" i="12991"/>
  <c r="L22" i="12991"/>
  <c r="V21" i="12991"/>
  <c r="L21" i="12991"/>
  <c r="L20" i="12991"/>
  <c r="V19" i="12991"/>
  <c r="V27" i="12991" s="1"/>
  <c r="W18" i="12991"/>
  <c r="W26" i="12991" s="1"/>
  <c r="Q15" i="12991"/>
  <c r="A33" i="12995"/>
  <c r="X32" i="12995"/>
  <c r="A32" i="12995"/>
  <c r="X31" i="12995"/>
  <c r="X33" i="12995" s="1"/>
  <c r="D31" i="12995"/>
  <c r="X30" i="12995"/>
  <c r="R30" i="12995"/>
  <c r="T30" i="12995" s="1"/>
  <c r="X29" i="12995"/>
  <c r="A29" i="12995"/>
  <c r="D28" i="12995"/>
  <c r="A28" i="12995"/>
  <c r="D27" i="12995"/>
  <c r="T26" i="12995"/>
  <c r="R26" i="12995"/>
  <c r="A25" i="12995"/>
  <c r="A24" i="12995"/>
  <c r="D23" i="12995"/>
  <c r="T22" i="12995"/>
  <c r="R22" i="12995"/>
  <c r="A21" i="12995"/>
  <c r="A20" i="12995"/>
  <c r="D20" i="12995" s="1"/>
  <c r="D19" i="12995"/>
  <c r="R18" i="12995"/>
  <c r="T18" i="12995" s="1"/>
  <c r="D17" i="12995"/>
  <c r="A17" i="12995"/>
  <c r="D16" i="12995"/>
  <c r="A16" i="12995"/>
  <c r="X15" i="12995"/>
  <c r="X23" i="12995" s="1"/>
  <c r="D15" i="12995"/>
  <c r="R14" i="12995"/>
  <c r="T14" i="12995" s="1"/>
  <c r="D13" i="12995"/>
  <c r="A13" i="12995"/>
  <c r="A12" i="12995"/>
  <c r="D11" i="12995"/>
  <c r="G59" i="12994"/>
  <c r="F59" i="12994"/>
  <c r="G58" i="12994"/>
  <c r="F58" i="12994"/>
  <c r="G57" i="12994"/>
  <c r="F57" i="12994"/>
  <c r="G56" i="12994"/>
  <c r="F56" i="12994"/>
  <c r="G55" i="12994"/>
  <c r="F55" i="12994"/>
  <c r="G54" i="12994"/>
  <c r="F54" i="12994"/>
  <c r="G53" i="12994"/>
  <c r="F53" i="12994"/>
  <c r="G52" i="12994"/>
  <c r="F52" i="12994"/>
  <c r="G51" i="12994"/>
  <c r="F51" i="12994"/>
  <c r="G49" i="12994"/>
  <c r="F49" i="12994"/>
  <c r="G48" i="12994"/>
  <c r="F48" i="12994"/>
  <c r="G47" i="12994"/>
  <c r="F47" i="12994"/>
  <c r="G46" i="12994"/>
  <c r="F46" i="12994"/>
  <c r="G45" i="12994"/>
  <c r="F45" i="12994"/>
  <c r="G44" i="12994"/>
  <c r="F44" i="12994"/>
  <c r="G43" i="12994"/>
  <c r="F43" i="12994"/>
  <c r="G42" i="12994"/>
  <c r="F42" i="12994"/>
  <c r="G41" i="12994"/>
  <c r="F41" i="12994"/>
  <c r="G39" i="12994"/>
  <c r="F39" i="12994"/>
  <c r="G38" i="12994"/>
  <c r="F38" i="12994"/>
  <c r="G37" i="12994"/>
  <c r="F37" i="12994"/>
  <c r="G36" i="12994"/>
  <c r="F36" i="12994"/>
  <c r="G35" i="12994"/>
  <c r="F35" i="12994"/>
  <c r="G34" i="12994"/>
  <c r="F34" i="12994"/>
  <c r="G33" i="12994"/>
  <c r="F33" i="12994"/>
  <c r="G32" i="12994"/>
  <c r="F32" i="12994"/>
  <c r="G31" i="12994"/>
  <c r="F31" i="12994"/>
  <c r="G29" i="12994"/>
  <c r="F29" i="12994"/>
  <c r="G28" i="12994"/>
  <c r="F28" i="12994"/>
  <c r="G27" i="12994"/>
  <c r="F27" i="12994"/>
  <c r="G26" i="12994"/>
  <c r="F26" i="12994"/>
  <c r="G25" i="12994"/>
  <c r="F25" i="12994"/>
  <c r="G24" i="12994"/>
  <c r="F24" i="12994"/>
  <c r="G23" i="12994"/>
  <c r="F23" i="12994"/>
  <c r="G22" i="12994"/>
  <c r="F22" i="12994"/>
  <c r="G21" i="12994"/>
  <c r="F21" i="12994"/>
  <c r="G19" i="12994"/>
  <c r="F19" i="12994"/>
  <c r="G18" i="12994"/>
  <c r="F18" i="12994"/>
  <c r="G17" i="12994"/>
  <c r="F17" i="12994"/>
  <c r="G16" i="12994"/>
  <c r="F16" i="12994"/>
  <c r="G15" i="12994"/>
  <c r="F15" i="12994"/>
  <c r="G14" i="12994"/>
  <c r="F14" i="12994"/>
  <c r="G13" i="12994"/>
  <c r="F13" i="12994"/>
  <c r="G12" i="12994"/>
  <c r="F12" i="12994"/>
  <c r="G11" i="12994"/>
  <c r="F11" i="12994"/>
  <c r="E58" i="12994"/>
  <c r="C57" i="12994"/>
  <c r="C58" i="12994" s="1"/>
  <c r="C59" i="12994" s="1"/>
  <c r="E56" i="12994"/>
  <c r="E55" i="12994"/>
  <c r="C55" i="12994"/>
  <c r="C56" i="12994" s="1"/>
  <c r="E54" i="12994"/>
  <c r="C54" i="12994"/>
  <c r="A53" i="12994"/>
  <c r="A54" i="12994" s="1"/>
  <c r="A52" i="12994"/>
  <c r="C51" i="12994"/>
  <c r="C52" i="12994" s="1"/>
  <c r="C53" i="12994" s="1"/>
  <c r="W50" i="12994"/>
  <c r="U50" i="12994"/>
  <c r="O50" i="12994"/>
  <c r="M50" i="12994"/>
  <c r="E49" i="12994"/>
  <c r="C48" i="12994"/>
  <c r="C49" i="12994" s="1"/>
  <c r="E47" i="12994"/>
  <c r="C47" i="12994"/>
  <c r="E46" i="12994"/>
  <c r="E45" i="12994"/>
  <c r="A45" i="12994"/>
  <c r="E44" i="12994"/>
  <c r="C44" i="12994"/>
  <c r="C45" i="12994" s="1"/>
  <c r="C46" i="12994" s="1"/>
  <c r="A42" i="12994"/>
  <c r="A43" i="12994" s="1"/>
  <c r="A44" i="12994" s="1"/>
  <c r="A47" i="12994" s="1"/>
  <c r="C41" i="12994"/>
  <c r="C42" i="12994" s="1"/>
  <c r="C43" i="12994" s="1"/>
  <c r="U40" i="12994"/>
  <c r="W40" i="12994" s="1"/>
  <c r="M40" i="12994"/>
  <c r="O40" i="12994" s="1"/>
  <c r="E38" i="12994"/>
  <c r="C37" i="12994"/>
  <c r="C38" i="12994" s="1"/>
  <c r="C39" i="12994" s="1"/>
  <c r="E36" i="12994"/>
  <c r="E35" i="12994"/>
  <c r="C35" i="12994"/>
  <c r="C36" i="12994" s="1"/>
  <c r="E34" i="12994"/>
  <c r="C34" i="12994"/>
  <c r="A33" i="12994"/>
  <c r="AA32" i="12994"/>
  <c r="C32" i="12994"/>
  <c r="C33" i="12994" s="1"/>
  <c r="A32" i="12994"/>
  <c r="AA31" i="12994"/>
  <c r="C31" i="12994"/>
  <c r="AA30" i="12994"/>
  <c r="U30" i="12994"/>
  <c r="W30" i="12994" s="1"/>
  <c r="M30" i="12994"/>
  <c r="O30" i="12994" s="1"/>
  <c r="AA29" i="12994"/>
  <c r="E29" i="12994"/>
  <c r="C27" i="12994"/>
  <c r="C28" i="12994" s="1"/>
  <c r="C29" i="12994" s="1"/>
  <c r="E26" i="12994"/>
  <c r="C26" i="12994"/>
  <c r="E25" i="12994"/>
  <c r="Z24" i="12994"/>
  <c r="E24" i="12994"/>
  <c r="C24" i="12994"/>
  <c r="C25" i="12994" s="1"/>
  <c r="Z23" i="12994"/>
  <c r="A22" i="12994"/>
  <c r="A23" i="12994" s="1"/>
  <c r="C21" i="12994"/>
  <c r="U20" i="12994"/>
  <c r="W20" i="12994" s="1"/>
  <c r="O20" i="12994"/>
  <c r="M20" i="12994"/>
  <c r="Z19" i="12994"/>
  <c r="Z18" i="12994"/>
  <c r="E17" i="12994"/>
  <c r="C17" i="12994"/>
  <c r="C18" i="12994" s="1"/>
  <c r="C19" i="12994" s="1"/>
  <c r="Z16" i="12994"/>
  <c r="AA16" i="12994" s="1"/>
  <c r="AA24" i="12994" s="1"/>
  <c r="E16" i="12994"/>
  <c r="E19" i="12994" s="1"/>
  <c r="AA15" i="12994"/>
  <c r="AA23" i="12994" s="1"/>
  <c r="E15" i="12994"/>
  <c r="C15" i="12994"/>
  <c r="C16" i="12994" s="1"/>
  <c r="E14" i="12994"/>
  <c r="C14" i="12994"/>
  <c r="A14" i="12994"/>
  <c r="C13" i="12994"/>
  <c r="A13" i="12994"/>
  <c r="C12" i="12994"/>
  <c r="A12" i="12994"/>
  <c r="C11" i="12994"/>
  <c r="G59" i="12993"/>
  <c r="F59" i="12993"/>
  <c r="G58" i="12993"/>
  <c r="F58" i="12993"/>
  <c r="G57" i="12993"/>
  <c r="F57" i="12993"/>
  <c r="G56" i="12993"/>
  <c r="F56" i="12993"/>
  <c r="G55" i="12993"/>
  <c r="F55" i="12993"/>
  <c r="G54" i="12993"/>
  <c r="F54" i="12993"/>
  <c r="G53" i="12993"/>
  <c r="F53" i="12993"/>
  <c r="G52" i="12993"/>
  <c r="F52" i="12993"/>
  <c r="G51" i="12993"/>
  <c r="F51" i="12993"/>
  <c r="G49" i="12993"/>
  <c r="F49" i="12993"/>
  <c r="G48" i="12993"/>
  <c r="F48" i="12993"/>
  <c r="G47" i="12993"/>
  <c r="F47" i="12993"/>
  <c r="G46" i="12993"/>
  <c r="F46" i="12993"/>
  <c r="G45" i="12993"/>
  <c r="F45" i="12993"/>
  <c r="G44" i="12993"/>
  <c r="F44" i="12993"/>
  <c r="G43" i="12993"/>
  <c r="F43" i="12993"/>
  <c r="G42" i="12993"/>
  <c r="F42" i="12993"/>
  <c r="G41" i="12993"/>
  <c r="F41" i="12993"/>
  <c r="G39" i="12993"/>
  <c r="F39" i="12993"/>
  <c r="G38" i="12993"/>
  <c r="F38" i="12993"/>
  <c r="G37" i="12993"/>
  <c r="F37" i="12993"/>
  <c r="G36" i="12993"/>
  <c r="F36" i="12993"/>
  <c r="G35" i="12993"/>
  <c r="F35" i="12993"/>
  <c r="G34" i="12993"/>
  <c r="F34" i="12993"/>
  <c r="G33" i="12993"/>
  <c r="F33" i="12993"/>
  <c r="G32" i="12993"/>
  <c r="F32" i="12993"/>
  <c r="G31" i="12993"/>
  <c r="F31" i="12993"/>
  <c r="G29" i="12993"/>
  <c r="F29" i="12993"/>
  <c r="G28" i="12993"/>
  <c r="F28" i="12993"/>
  <c r="G27" i="12993"/>
  <c r="F27" i="12993"/>
  <c r="G26" i="12993"/>
  <c r="F26" i="12993"/>
  <c r="G25" i="12993"/>
  <c r="F25" i="12993"/>
  <c r="G24" i="12993"/>
  <c r="F24" i="12993"/>
  <c r="G23" i="12993"/>
  <c r="F23" i="12993"/>
  <c r="G22" i="12993"/>
  <c r="F22" i="12993"/>
  <c r="G21" i="12993"/>
  <c r="F21" i="12993"/>
  <c r="G17" i="12993"/>
  <c r="F17" i="12993"/>
  <c r="G14" i="12993"/>
  <c r="F14" i="12993"/>
  <c r="G13" i="12993"/>
  <c r="F13" i="12993"/>
  <c r="G12" i="12993"/>
  <c r="F12" i="12993"/>
  <c r="G11" i="12993"/>
  <c r="F11" i="12993"/>
  <c r="E59" i="12993"/>
  <c r="C57" i="12993"/>
  <c r="C58" i="12993" s="1"/>
  <c r="C59" i="12993" s="1"/>
  <c r="E56" i="12993"/>
  <c r="E55" i="12993"/>
  <c r="C55" i="12993"/>
  <c r="C56" i="12993" s="1"/>
  <c r="E54" i="12993"/>
  <c r="E57" i="12993" s="1"/>
  <c r="C54" i="12993"/>
  <c r="A53" i="12993"/>
  <c r="A54" i="12993" s="1"/>
  <c r="A52" i="12993"/>
  <c r="C51" i="12993"/>
  <c r="C52" i="12993" s="1"/>
  <c r="C53" i="12993" s="1"/>
  <c r="U50" i="12993"/>
  <c r="W50" i="12993" s="1"/>
  <c r="O50" i="12993"/>
  <c r="M50" i="12993"/>
  <c r="E47" i="12993"/>
  <c r="C47" i="12993"/>
  <c r="C48" i="12993" s="1"/>
  <c r="C49" i="12993" s="1"/>
  <c r="E46" i="12993"/>
  <c r="E45" i="12993"/>
  <c r="E48" i="12993" s="1"/>
  <c r="E44" i="12993"/>
  <c r="C44" i="12993"/>
  <c r="C45" i="12993" s="1"/>
  <c r="C46" i="12993" s="1"/>
  <c r="A43" i="12993"/>
  <c r="A44" i="12993" s="1"/>
  <c r="A45" i="12993" s="1"/>
  <c r="A42" i="12993"/>
  <c r="C41" i="12993"/>
  <c r="C42" i="12993" s="1"/>
  <c r="C43" i="12993" s="1"/>
  <c r="W40" i="12993"/>
  <c r="U40" i="12993"/>
  <c r="M40" i="12993"/>
  <c r="O40" i="12993" s="1"/>
  <c r="C39" i="12993"/>
  <c r="E37" i="12993"/>
  <c r="C37" i="12993"/>
  <c r="C38" i="12993" s="1"/>
  <c r="E36" i="12993"/>
  <c r="E35" i="12993"/>
  <c r="AA34" i="12993"/>
  <c r="E34" i="12993"/>
  <c r="C34" i="12993"/>
  <c r="C35" i="12993" s="1"/>
  <c r="C36" i="12993" s="1"/>
  <c r="AA33" i="12993"/>
  <c r="C33" i="12993"/>
  <c r="A33" i="12993"/>
  <c r="AA32" i="12993"/>
  <c r="C32" i="12993"/>
  <c r="A32" i="12993"/>
  <c r="AA31" i="12993"/>
  <c r="C31" i="12993"/>
  <c r="U30" i="12993"/>
  <c r="W30" i="12993" s="1"/>
  <c r="M30" i="12993"/>
  <c r="O30" i="12993" s="1"/>
  <c r="C27" i="12993"/>
  <c r="C28" i="12993" s="1"/>
  <c r="C29" i="12993" s="1"/>
  <c r="E26" i="12993"/>
  <c r="E29" i="12993" s="1"/>
  <c r="AA25" i="12993"/>
  <c r="E25" i="12993"/>
  <c r="E24" i="12993"/>
  <c r="C24" i="12993"/>
  <c r="C25" i="12993" s="1"/>
  <c r="C26" i="12993" s="1"/>
  <c r="C23" i="12993"/>
  <c r="C22" i="12993"/>
  <c r="A22" i="12993"/>
  <c r="A23" i="12993" s="1"/>
  <c r="A24" i="12993" s="1"/>
  <c r="C21" i="12993"/>
  <c r="W20" i="12993"/>
  <c r="U20" i="12993"/>
  <c r="O20" i="12993"/>
  <c r="M20" i="12993"/>
  <c r="C18" i="12993"/>
  <c r="C19" i="12993" s="1"/>
  <c r="Z17" i="12993"/>
  <c r="AA16" i="12993"/>
  <c r="E16" i="12993"/>
  <c r="E19" i="12993" s="1"/>
  <c r="G19" i="12993" s="1"/>
  <c r="E15" i="12993"/>
  <c r="G15" i="12993" s="1"/>
  <c r="C15" i="12993"/>
  <c r="C16" i="12993" s="1"/>
  <c r="E14" i="12993"/>
  <c r="E17" i="12993" s="1"/>
  <c r="C14" i="12993"/>
  <c r="C13" i="12993"/>
  <c r="C12" i="12993"/>
  <c r="A12" i="12993"/>
  <c r="A13" i="12993" s="1"/>
  <c r="C11" i="12993"/>
  <c r="W32" i="12992"/>
  <c r="W31" i="12992"/>
  <c r="W30" i="12992"/>
  <c r="A28" i="12992"/>
  <c r="A29" i="12992" s="1"/>
  <c r="W29" i="12992"/>
  <c r="Q26" i="12992"/>
  <c r="S26" i="12992" s="1"/>
  <c r="A24" i="12992"/>
  <c r="A25" i="12992" s="1"/>
  <c r="Q22" i="12992"/>
  <c r="S22" i="12992" s="1"/>
  <c r="V23" i="12992"/>
  <c r="A20" i="12992"/>
  <c r="A21" i="12992" s="1"/>
  <c r="V21" i="12992"/>
  <c r="Q18" i="12992"/>
  <c r="S18" i="12992" s="1"/>
  <c r="V18" i="12992"/>
  <c r="A16" i="12992"/>
  <c r="A17" i="12992" s="1"/>
  <c r="V24" i="12992"/>
  <c r="W15" i="12992"/>
  <c r="W23" i="12992" s="1"/>
  <c r="Q14" i="12992"/>
  <c r="S14" i="12992" s="1"/>
  <c r="A12" i="12992"/>
  <c r="A13" i="12992" s="1"/>
  <c r="U12" i="13009"/>
  <c r="T32" i="13009"/>
  <c r="U31" i="13009"/>
  <c r="U30" i="13009"/>
  <c r="U32" i="13009" s="1"/>
  <c r="U29" i="13009"/>
  <c r="U28" i="13009"/>
  <c r="U25" i="13009"/>
  <c r="U18" i="13009"/>
  <c r="U26" i="13009" s="1"/>
  <c r="T18" i="13009"/>
  <c r="U17" i="13009"/>
  <c r="A17" i="13009"/>
  <c r="A15" i="13009"/>
  <c r="A13" i="13009"/>
  <c r="U12" i="13008"/>
  <c r="U20" i="13008" s="1"/>
  <c r="T32" i="13008"/>
  <c r="U31" i="13008"/>
  <c r="U30" i="13008"/>
  <c r="U32" i="13008" s="1"/>
  <c r="U29" i="13008"/>
  <c r="U28" i="13008"/>
  <c r="U26" i="13008"/>
  <c r="U25" i="13008"/>
  <c r="A21" i="13008"/>
  <c r="U18" i="13008"/>
  <c r="T18" i="13008"/>
  <c r="A18" i="13008"/>
  <c r="U17" i="13008"/>
  <c r="A16" i="13008"/>
  <c r="Y49" i="12989" l="1"/>
  <c r="S49" i="12989"/>
  <c r="AA49" i="12989"/>
  <c r="Z49" i="12989"/>
  <c r="W16" i="12992"/>
  <c r="W24" i="12992" s="1"/>
  <c r="G16" i="12993"/>
  <c r="F16" i="12993"/>
  <c r="F15" i="12993"/>
  <c r="F19" i="12993"/>
  <c r="W19" i="12991"/>
  <c r="W27" i="12991" s="1"/>
  <c r="X16" i="12995"/>
  <c r="D12" i="12995"/>
  <c r="D21" i="12995"/>
  <c r="D33" i="12995"/>
  <c r="D24" i="12995"/>
  <c r="D25" i="12995"/>
  <c r="D29" i="12995"/>
  <c r="D32" i="12995"/>
  <c r="A55" i="12994"/>
  <c r="A57" i="12994"/>
  <c r="A24" i="12994"/>
  <c r="A15" i="12994"/>
  <c r="E27" i="12994"/>
  <c r="A46" i="12994"/>
  <c r="A48" i="12994"/>
  <c r="E59" i="12994"/>
  <c r="E39" i="12994"/>
  <c r="E48" i="12994"/>
  <c r="A17" i="12994"/>
  <c r="E18" i="12994"/>
  <c r="C22" i="12994"/>
  <c r="E28" i="12994"/>
  <c r="A34" i="12994"/>
  <c r="E37" i="12994"/>
  <c r="E57" i="12994"/>
  <c r="A14" i="12993"/>
  <c r="A46" i="12993"/>
  <c r="A48" i="12993"/>
  <c r="A55" i="12993"/>
  <c r="A57" i="12993"/>
  <c r="A27" i="12993"/>
  <c r="A25" i="12993"/>
  <c r="A34" i="12993"/>
  <c r="E39" i="12993"/>
  <c r="E18" i="12993"/>
  <c r="E27" i="12993"/>
  <c r="A47" i="12993"/>
  <c r="E49" i="12993"/>
  <c r="AA17" i="12993"/>
  <c r="AA26" i="12993" s="1"/>
  <c r="E28" i="12993"/>
  <c r="E38" i="12993"/>
  <c r="E58" i="12993"/>
  <c r="Y12" i="13009"/>
  <c r="U20" i="13009"/>
  <c r="T26" i="13009"/>
  <c r="Y12" i="13008"/>
  <c r="T26" i="13008"/>
  <c r="F18" i="12993" l="1"/>
  <c r="G18" i="12993"/>
  <c r="X24" i="12995"/>
  <c r="C23" i="12994"/>
  <c r="A49" i="12994"/>
  <c r="A25" i="12994"/>
  <c r="A27" i="12994"/>
  <c r="A18" i="12994"/>
  <c r="A16" i="12994"/>
  <c r="A56" i="12994"/>
  <c r="A58" i="12994"/>
  <c r="A37" i="12994"/>
  <c r="A35" i="12994"/>
  <c r="A37" i="12993"/>
  <c r="A35" i="12993"/>
  <c r="A58" i="12993"/>
  <c r="A56" i="12993"/>
  <c r="A26" i="12993"/>
  <c r="A28" i="12993"/>
  <c r="A49" i="12993"/>
  <c r="A15" i="12993"/>
  <c r="A17" i="12993"/>
  <c r="Y14" i="13009"/>
  <c r="A59" i="12994" l="1"/>
  <c r="A36" i="12994"/>
  <c r="A38" i="12994"/>
  <c r="A26" i="12994"/>
  <c r="A28" i="12994"/>
  <c r="A19" i="12994"/>
  <c r="A18" i="12993"/>
  <c r="A16" i="12993"/>
  <c r="A29" i="12993"/>
  <c r="A59" i="12993"/>
  <c r="A36" i="12993"/>
  <c r="A38" i="12993"/>
  <c r="Y15" i="13009"/>
  <c r="Y13" i="13009"/>
  <c r="Y15" i="13008"/>
  <c r="Y14" i="13008"/>
  <c r="Y13" i="13008"/>
  <c r="A29" i="12994" l="1"/>
  <c r="A39" i="12994"/>
  <c r="A19" i="12993"/>
  <c r="A39" i="12993"/>
  <c r="A15" i="13007" l="1"/>
  <c r="E11" i="13007"/>
  <c r="A6" i="13007"/>
  <c r="A5" i="13007"/>
  <c r="G11" i="13007" l="1"/>
  <c r="I11" i="13007" s="1"/>
  <c r="K11" i="13007" l="1"/>
  <c r="M11" i="13007" l="1"/>
  <c r="O11" i="13007" s="1"/>
  <c r="Q11" i="13007"/>
  <c r="A16" i="13007"/>
  <c r="A17" i="13007" s="1"/>
  <c r="S11" i="13007" l="1"/>
  <c r="A19" i="13007"/>
  <c r="U11" i="13007" l="1"/>
  <c r="W11" i="13007"/>
  <c r="Y11" i="13007" l="1"/>
  <c r="AA11" i="13007" s="1"/>
  <c r="A20" i="13007"/>
  <c r="AC11" i="13007" l="1"/>
  <c r="A21" i="13007"/>
  <c r="A22" i="13007" l="1"/>
  <c r="A23" i="13007" s="1"/>
  <c r="A24" i="13007" s="1"/>
  <c r="A25" i="13007" s="1"/>
  <c r="A26" i="13007" s="1"/>
  <c r="A27" i="13007" s="1"/>
  <c r="A28" i="13007" s="1"/>
  <c r="A29" i="13007" s="1"/>
  <c r="A30" i="13007" s="1"/>
  <c r="A31" i="13007" s="1"/>
  <c r="A32" i="13007" s="1"/>
  <c r="A33" i="13007" s="1"/>
  <c r="A34" i="13007" s="1"/>
  <c r="A35" i="13007" s="1"/>
  <c r="A36" i="13007" s="1"/>
  <c r="A37" i="13007" s="1"/>
  <c r="A38" i="13007" s="1"/>
  <c r="A39" i="13007" s="1"/>
  <c r="A41" i="13007" s="1"/>
  <c r="A42" i="13007" s="1"/>
  <c r="A43" i="13007" s="1"/>
  <c r="A44" i="13007" s="1"/>
  <c r="A45" i="13007" s="1"/>
  <c r="A46" i="13007" s="1"/>
  <c r="A47" i="13007" s="1"/>
  <c r="A48" i="13007" s="1"/>
  <c r="A49" i="13007" s="1"/>
  <c r="A50" i="13007" s="1"/>
  <c r="O28" i="12908" l="1"/>
  <c r="O27" i="12908"/>
  <c r="K19" i="12908"/>
  <c r="AH19" i="13034" s="1"/>
  <c r="K18" i="12908"/>
  <c r="AH18" i="13034" s="1"/>
  <c r="K14" i="12908"/>
  <c r="AH14" i="13034" s="1"/>
  <c r="K13" i="12908"/>
  <c r="AH13" i="13034" s="1"/>
  <c r="AL27" i="13034" l="1"/>
  <c r="O27" i="13015"/>
  <c r="AL28" i="13034"/>
  <c r="O28" i="13015"/>
  <c r="I20" i="12773"/>
  <c r="AC1556" i="12908"/>
  <c r="AJ27" i="13015" l="1"/>
  <c r="O167" i="13015"/>
  <c r="O130" i="13015"/>
  <c r="O204" i="13015"/>
  <c r="O64" i="13015"/>
  <c r="W27" i="13015"/>
  <c r="AJ28" i="13015"/>
  <c r="O131" i="13015"/>
  <c r="O65" i="13015"/>
  <c r="O205" i="13015"/>
  <c r="O168" i="13015"/>
  <c r="W28" i="13015"/>
  <c r="M107" i="12908"/>
  <c r="AJ107" i="13034" s="1"/>
  <c r="W131" i="13015" l="1"/>
  <c r="W204" i="13015"/>
  <c r="W168" i="13015"/>
  <c r="W130" i="13015"/>
  <c r="W205" i="13015"/>
  <c r="W167" i="13015"/>
  <c r="W65" i="13015"/>
  <c r="W64" i="13015"/>
  <c r="E23" i="12998"/>
  <c r="E14" i="12998"/>
  <c r="E20" i="12998"/>
  <c r="O1372" i="12908"/>
  <c r="O1371" i="12908"/>
  <c r="O1330" i="12908"/>
  <c r="O1329" i="12908"/>
  <c r="O1288" i="12908"/>
  <c r="O1287" i="12908"/>
  <c r="O1246" i="12908"/>
  <c r="O1245" i="12908"/>
  <c r="AL1246" i="13034" l="1"/>
  <c r="AJ1246" i="13015"/>
  <c r="AL1330" i="13034"/>
  <c r="AJ1330" i="13015"/>
  <c r="AL1371" i="13034"/>
  <c r="AJ1371" i="13015"/>
  <c r="AL1287" i="13034"/>
  <c r="AJ1287" i="13015"/>
  <c r="AL1288" i="13034"/>
  <c r="AJ1288" i="13015"/>
  <c r="AL1372" i="13034"/>
  <c r="AJ1372" i="13015"/>
  <c r="AL1245" i="13034"/>
  <c r="AJ1245" i="13015"/>
  <c r="AL1329" i="13034"/>
  <c r="AJ1329" i="13015"/>
  <c r="AB1541" i="12908"/>
  <c r="S63" i="13005"/>
  <c r="O63" i="13016" s="1"/>
  <c r="O48" i="13017" s="1"/>
  <c r="G49" i="13005"/>
  <c r="I33" i="13005"/>
  <c r="G33" i="13005"/>
  <c r="I28" i="13005"/>
  <c r="G28" i="13005"/>
  <c r="A15" i="13005"/>
  <c r="E11" i="13005"/>
  <c r="A6" i="13005"/>
  <c r="A5" i="13005"/>
  <c r="O2590" i="12908"/>
  <c r="O2315" i="12908"/>
  <c r="O2226" i="12908"/>
  <c r="O2225" i="12908"/>
  <c r="O2203" i="12908"/>
  <c r="O2202" i="12908"/>
  <c r="O2180" i="12908"/>
  <c r="O2179" i="12908"/>
  <c r="O2157" i="12908"/>
  <c r="O2156" i="12908"/>
  <c r="O2135" i="12908"/>
  <c r="O2134" i="12908"/>
  <c r="O2113" i="12908"/>
  <c r="O2112" i="12908"/>
  <c r="O2091" i="12908"/>
  <c r="O2090" i="12908"/>
  <c r="O2068" i="12908"/>
  <c r="O2067" i="12908"/>
  <c r="O2044" i="12908"/>
  <c r="O2043" i="12908"/>
  <c r="O2020" i="12908"/>
  <c r="O2019" i="12908"/>
  <c r="Q1988" i="12908"/>
  <c r="AB1985" i="12908"/>
  <c r="O1882" i="12908"/>
  <c r="O1881" i="12908"/>
  <c r="O1874" i="12908"/>
  <c r="O1873" i="12908"/>
  <c r="O1866" i="12908"/>
  <c r="O1865" i="12908"/>
  <c r="O1850" i="12908"/>
  <c r="O1849" i="12908"/>
  <c r="O1839" i="12908"/>
  <c r="O1838" i="12908"/>
  <c r="O1828" i="12908"/>
  <c r="O1827" i="12908"/>
  <c r="O1520" i="12908"/>
  <c r="O1519" i="12908"/>
  <c r="O1539" i="12908"/>
  <c r="O1538" i="12908"/>
  <c r="O1501" i="12908"/>
  <c r="O1500" i="12908"/>
  <c r="O2299" i="12908"/>
  <c r="M2299" i="12908"/>
  <c r="AJ2299" i="13034" s="1"/>
  <c r="AL1500" i="13034" l="1"/>
  <c r="AJ1500" i="13015"/>
  <c r="AL1838" i="13034"/>
  <c r="AJ1838" i="13015"/>
  <c r="AL1865" i="13034"/>
  <c r="AJ1865" i="13015"/>
  <c r="AL2019" i="13034"/>
  <c r="AJ2019" i="13015"/>
  <c r="AL2112" i="13034"/>
  <c r="AJ2112" i="13015"/>
  <c r="AL1501" i="13034"/>
  <c r="AJ1501" i="13015"/>
  <c r="AL1520" i="13034"/>
  <c r="AJ1520" i="13015"/>
  <c r="AL1839" i="13034"/>
  <c r="AJ1839" i="13015"/>
  <c r="AL1866" i="13034"/>
  <c r="AJ1866" i="13015"/>
  <c r="AL1882" i="13034"/>
  <c r="AJ1882" i="13015"/>
  <c r="AL2020" i="13034"/>
  <c r="AJ2020" i="13015"/>
  <c r="AL2068" i="13034"/>
  <c r="AJ2068" i="13015"/>
  <c r="AL2113" i="13034"/>
  <c r="AJ2113" i="13015"/>
  <c r="AL2157" i="13034"/>
  <c r="AJ2157" i="13015"/>
  <c r="AL2203" i="13034"/>
  <c r="AJ2203" i="13015"/>
  <c r="AL2590" i="13034"/>
  <c r="AJ2590" i="13015"/>
  <c r="O1560" i="12908"/>
  <c r="AL1538" i="13034"/>
  <c r="AJ1538" i="13015"/>
  <c r="AL1827" i="13034"/>
  <c r="AJ1827" i="13015"/>
  <c r="AL1849" i="13034"/>
  <c r="AJ1849" i="13015"/>
  <c r="AL1873" i="13034"/>
  <c r="AJ1873" i="13015"/>
  <c r="AL2043" i="13034"/>
  <c r="AJ2043" i="13015"/>
  <c r="AL2090" i="13034"/>
  <c r="AJ2090" i="13015"/>
  <c r="AL2134" i="13034"/>
  <c r="AJ2134" i="13015"/>
  <c r="AL2179" i="13034"/>
  <c r="AJ2179" i="13015"/>
  <c r="AL2225" i="13034"/>
  <c r="AJ2225" i="13015"/>
  <c r="AL2299" i="13034"/>
  <c r="AJ2299" i="13015"/>
  <c r="O1561" i="12908"/>
  <c r="AL1539" i="13034"/>
  <c r="AJ1539" i="13015"/>
  <c r="AL1828" i="13034"/>
  <c r="AJ1828" i="13015"/>
  <c r="AL1850" i="13034"/>
  <c r="AJ1850" i="13015"/>
  <c r="AL1874" i="13034"/>
  <c r="AJ1874" i="13015"/>
  <c r="AN1988" i="13034"/>
  <c r="W15" i="13031"/>
  <c r="W23" i="13031" s="1"/>
  <c r="AL2044" i="13034"/>
  <c r="AJ2044" i="13015"/>
  <c r="AL2091" i="13034"/>
  <c r="AJ2091" i="13015"/>
  <c r="AL2135" i="13034"/>
  <c r="AJ2135" i="13015"/>
  <c r="AL2180" i="13034"/>
  <c r="AJ2180" i="13015"/>
  <c r="AL2226" i="13034"/>
  <c r="AJ2226" i="13015"/>
  <c r="AL1519" i="13034"/>
  <c r="AJ1519" i="13015"/>
  <c r="AL1881" i="13034"/>
  <c r="AJ1881" i="13015"/>
  <c r="AL2067" i="13034"/>
  <c r="AJ2067" i="13015"/>
  <c r="AL2156" i="13034"/>
  <c r="AJ2156" i="13015"/>
  <c r="AL2202" i="13034"/>
  <c r="AJ2202" i="13015"/>
  <c r="AL2315" i="13034"/>
  <c r="AJ2315" i="13015"/>
  <c r="G11" i="13005"/>
  <c r="G34" i="13007"/>
  <c r="G34" i="13017"/>
  <c r="G34" i="13014"/>
  <c r="AF63" i="12989"/>
  <c r="S48" i="13007"/>
  <c r="W15" i="12991"/>
  <c r="W23" i="12991" s="1"/>
  <c r="O1582" i="12908"/>
  <c r="O1583" i="12908"/>
  <c r="A16" i="13005"/>
  <c r="Q2586" i="12908"/>
  <c r="AN2586" i="13034" s="1"/>
  <c r="AL1583" i="13034" l="1"/>
  <c r="AJ1583" i="13015"/>
  <c r="AL1582" i="13034"/>
  <c r="AJ1582" i="13015"/>
  <c r="AL1561" i="13034"/>
  <c r="AJ1561" i="13015"/>
  <c r="AL1560" i="13034"/>
  <c r="AJ1560" i="13015"/>
  <c r="I11" i="13005"/>
  <c r="A17" i="13005"/>
  <c r="O1902" i="12908"/>
  <c r="O1901" i="12908"/>
  <c r="Z1910" i="12908"/>
  <c r="Z1909" i="12908"/>
  <c r="Z1912" i="12908"/>
  <c r="Z1911" i="12908"/>
  <c r="G20" i="12773"/>
  <c r="C1902" i="12908" s="1"/>
  <c r="Z1902" i="13034" s="1"/>
  <c r="H20" i="12773"/>
  <c r="J20" i="12773"/>
  <c r="K20" i="12773"/>
  <c r="L20" i="12773"/>
  <c r="M20" i="12773"/>
  <c r="N20" i="12773"/>
  <c r="E20" i="12773"/>
  <c r="C1901" i="12908" s="1"/>
  <c r="Z1901" i="13034" s="1"/>
  <c r="F20" i="12773"/>
  <c r="O1916" i="12908"/>
  <c r="O1915" i="12908"/>
  <c r="O1898" i="12908"/>
  <c r="O1897" i="12908"/>
  <c r="O1888" i="12908"/>
  <c r="O1887" i="12908"/>
  <c r="M1888" i="12908"/>
  <c r="AJ1888" i="13034" s="1"/>
  <c r="M1887" i="12908"/>
  <c r="AJ1887" i="13034" s="1"/>
  <c r="C1887" i="12908"/>
  <c r="Z1887" i="13034" s="1"/>
  <c r="C1896" i="12908"/>
  <c r="Z1896" i="13034" s="1"/>
  <c r="C1895" i="12908"/>
  <c r="Z1895" i="13034" s="1"/>
  <c r="C1894" i="12908"/>
  <c r="Z1894" i="13034" s="1"/>
  <c r="C1893" i="12908"/>
  <c r="Z1893" i="13034" s="1"/>
  <c r="C1892" i="12908"/>
  <c r="Z1892" i="13034" s="1"/>
  <c r="C1891" i="12908"/>
  <c r="Z1891" i="13034" s="1"/>
  <c r="C1890" i="12908"/>
  <c r="Z1890" i="13034" s="1"/>
  <c r="C1889" i="12908"/>
  <c r="Z1889" i="13034" s="1"/>
  <c r="M14" i="13003"/>
  <c r="L14" i="13003"/>
  <c r="K14" i="13003"/>
  <c r="J14" i="13003"/>
  <c r="I14" i="13003"/>
  <c r="H14" i="13003"/>
  <c r="G14" i="13003"/>
  <c r="F14" i="13003"/>
  <c r="E14" i="13003"/>
  <c r="V13" i="13003"/>
  <c r="U13" i="13003"/>
  <c r="T13" i="13003"/>
  <c r="R13" i="13003"/>
  <c r="S13" i="13003" s="1"/>
  <c r="Q13" i="13003"/>
  <c r="P13" i="13003"/>
  <c r="O13" i="13003"/>
  <c r="N13" i="13003"/>
  <c r="W13" i="13003" s="1"/>
  <c r="V12" i="13003"/>
  <c r="T12" i="13003"/>
  <c r="U12" i="13003" s="1"/>
  <c r="R12" i="13003"/>
  <c r="S12" i="13003" s="1"/>
  <c r="Q12" i="13003"/>
  <c r="P12" i="13003"/>
  <c r="O12" i="13003"/>
  <c r="N12" i="13003"/>
  <c r="W12" i="13003" s="1"/>
  <c r="X12" i="13003" s="1"/>
  <c r="V11" i="13003"/>
  <c r="U11" i="13003"/>
  <c r="T11" i="13003"/>
  <c r="S11" i="13003"/>
  <c r="R11" i="13003"/>
  <c r="Q11" i="13003"/>
  <c r="P11" i="13003"/>
  <c r="O11" i="13003"/>
  <c r="W11" i="13003" s="1"/>
  <c r="N11" i="13003"/>
  <c r="V10" i="13003"/>
  <c r="U10" i="13003"/>
  <c r="T10" i="13003"/>
  <c r="S10" i="13003"/>
  <c r="R10" i="13003"/>
  <c r="P10" i="13003"/>
  <c r="Q10" i="13003" s="1"/>
  <c r="N10" i="13003"/>
  <c r="V9" i="13003"/>
  <c r="U9" i="13003"/>
  <c r="T9" i="13003"/>
  <c r="S9" i="13003"/>
  <c r="R9" i="13003"/>
  <c r="Q9" i="13003"/>
  <c r="P9" i="13003"/>
  <c r="O9" i="13003"/>
  <c r="N9" i="13003"/>
  <c r="W9" i="13003" s="1"/>
  <c r="V8" i="13003"/>
  <c r="U8" i="13003"/>
  <c r="T8" i="13003"/>
  <c r="S8" i="13003"/>
  <c r="R8" i="13003"/>
  <c r="P8" i="13003"/>
  <c r="Q8" i="13003" s="1"/>
  <c r="N8" i="13003"/>
  <c r="V7" i="13003"/>
  <c r="U7" i="13003"/>
  <c r="T7" i="13003"/>
  <c r="S7" i="13003"/>
  <c r="R7" i="13003"/>
  <c r="Q7" i="13003"/>
  <c r="P7" i="13003"/>
  <c r="O7" i="13003"/>
  <c r="W7" i="13003" s="1"/>
  <c r="N7" i="13003"/>
  <c r="V6" i="13003"/>
  <c r="T6" i="13003"/>
  <c r="U6" i="13003" s="1"/>
  <c r="R6" i="13003"/>
  <c r="S6" i="13003" s="1"/>
  <c r="Q6" i="13003"/>
  <c r="P6" i="13003"/>
  <c r="O6" i="13003"/>
  <c r="N6" i="13003"/>
  <c r="V5" i="13003"/>
  <c r="U5" i="13003"/>
  <c r="T5" i="13003"/>
  <c r="S5" i="13003"/>
  <c r="R5" i="13003"/>
  <c r="Q5" i="13003"/>
  <c r="P5" i="13003"/>
  <c r="O5" i="13003"/>
  <c r="W5" i="13003" s="1"/>
  <c r="N5" i="13003"/>
  <c r="V4" i="13003"/>
  <c r="T4" i="13003"/>
  <c r="U4" i="13003" s="1"/>
  <c r="R4" i="13003"/>
  <c r="S4" i="13003" s="1"/>
  <c r="Q4" i="13003"/>
  <c r="P4" i="13003"/>
  <c r="O4" i="13003"/>
  <c r="N4" i="13003"/>
  <c r="W4" i="13003" s="1"/>
  <c r="X4" i="13003" s="1"/>
  <c r="V3" i="13003"/>
  <c r="U3" i="13003"/>
  <c r="T3" i="13003"/>
  <c r="S3" i="13003"/>
  <c r="R3" i="13003"/>
  <c r="Q3" i="13003"/>
  <c r="Q14" i="13003" s="1"/>
  <c r="P3" i="13003"/>
  <c r="O3" i="13003"/>
  <c r="W3" i="13003" s="1"/>
  <c r="X3" i="13003" s="1"/>
  <c r="N3" i="13003"/>
  <c r="V2" i="13003"/>
  <c r="T2" i="13003"/>
  <c r="T14" i="13003" s="1"/>
  <c r="R2" i="13003"/>
  <c r="R14" i="13003" s="1"/>
  <c r="Q2" i="13003"/>
  <c r="P2" i="13003"/>
  <c r="P14" i="13003" s="1"/>
  <c r="O2" i="13003"/>
  <c r="N2" i="13003"/>
  <c r="N14" i="13003" s="1"/>
  <c r="AL1887" i="13034" l="1"/>
  <c r="AJ1887" i="13015"/>
  <c r="AL1915" i="13034"/>
  <c r="AJ1915" i="13015"/>
  <c r="AL1902" i="13034"/>
  <c r="AJ1902" i="13015"/>
  <c r="AL1901" i="13034"/>
  <c r="AJ1901" i="13015"/>
  <c r="AL1888" i="13034"/>
  <c r="AJ1888" i="13015"/>
  <c r="AL1916" i="13034"/>
  <c r="AJ1916" i="13015"/>
  <c r="AL1898" i="13034"/>
  <c r="AJ1898" i="13015"/>
  <c r="AL1897" i="13034"/>
  <c r="AJ1897" i="13015"/>
  <c r="K11" i="13005"/>
  <c r="C1909" i="12908"/>
  <c r="Z1909" i="13034" s="1"/>
  <c r="C1910" i="12908"/>
  <c r="Z1910" i="13034" s="1"/>
  <c r="Z1913" i="12908"/>
  <c r="C1913" i="12908" s="1"/>
  <c r="Z1913" i="13034" s="1"/>
  <c r="C1911" i="12908"/>
  <c r="Z1911" i="13034" s="1"/>
  <c r="C1912" i="12908"/>
  <c r="Z1912" i="13034" s="1"/>
  <c r="A18" i="13005"/>
  <c r="Z1914" i="12908"/>
  <c r="W6" i="13003"/>
  <c r="X6" i="13003" s="1"/>
  <c r="X13" i="13003"/>
  <c r="W10" i="13003"/>
  <c r="X10" i="13003" s="1"/>
  <c r="X5" i="13003"/>
  <c r="X7" i="13003"/>
  <c r="X9" i="13003"/>
  <c r="X11" i="13003"/>
  <c r="S2" i="13003"/>
  <c r="S14" i="13003" s="1"/>
  <c r="O10" i="13003"/>
  <c r="V14" i="13003"/>
  <c r="U2" i="13003"/>
  <c r="U14" i="13003" s="1"/>
  <c r="O8" i="13003"/>
  <c r="O14" i="13003" s="1"/>
  <c r="D2242" i="12908"/>
  <c r="AA2242" i="13034" s="1"/>
  <c r="C2242" i="12908"/>
  <c r="Z2242" i="13034" s="1"/>
  <c r="D2241" i="12908"/>
  <c r="AA2241" i="13034" s="1"/>
  <c r="C2241" i="12908"/>
  <c r="Z2241" i="13034" s="1"/>
  <c r="D2239" i="12908"/>
  <c r="AA2239" i="13034" s="1"/>
  <c r="C2239" i="12908"/>
  <c r="Z2239" i="13034" s="1"/>
  <c r="D2238" i="12908"/>
  <c r="AA2238" i="13034" s="1"/>
  <c r="C2238" i="12908"/>
  <c r="Z2238" i="13034" s="1"/>
  <c r="D2236" i="12908"/>
  <c r="AA2236" i="13034" s="1"/>
  <c r="C2236" i="12908"/>
  <c r="Z2236" i="13034" s="1"/>
  <c r="D2235" i="12908"/>
  <c r="AA2235" i="13034" s="1"/>
  <c r="C2235" i="12908"/>
  <c r="Z2235" i="13034" s="1"/>
  <c r="I1915" i="12908"/>
  <c r="AF1915" i="13034" s="1"/>
  <c r="H1915" i="12908"/>
  <c r="AE1915" i="13034" s="1"/>
  <c r="M11" i="13005" l="1"/>
  <c r="O11" i="13005" s="1"/>
  <c r="A19" i="13005"/>
  <c r="W8" i="13003"/>
  <c r="X8" i="13003" s="1"/>
  <c r="W2" i="13003"/>
  <c r="O1600" i="12908"/>
  <c r="O1599" i="12908"/>
  <c r="O1578" i="12908"/>
  <c r="O1577" i="12908"/>
  <c r="O1556" i="12908"/>
  <c r="O1555" i="12908"/>
  <c r="O1534" i="12908"/>
  <c r="O1533" i="12908"/>
  <c r="O1515" i="12908"/>
  <c r="O1514" i="12908"/>
  <c r="Y1532" i="12908"/>
  <c r="AV1532" i="13034" s="1"/>
  <c r="S9" i="12998"/>
  <c r="C1594" i="12908"/>
  <c r="Z1594" i="13034" s="1"/>
  <c r="C1592" i="12908"/>
  <c r="Z1592" i="13034" s="1"/>
  <c r="C1590" i="12908"/>
  <c r="Z1590" i="13034" s="1"/>
  <c r="D1546" i="12908"/>
  <c r="AA1546" i="13034" s="1"/>
  <c r="D1547" i="12908"/>
  <c r="AA1547" i="13034" s="1"/>
  <c r="D1548" i="12908"/>
  <c r="AA1548" i="13034" s="1"/>
  <c r="D1549" i="12908"/>
  <c r="AA1549" i="13034" s="1"/>
  <c r="D1550" i="12908"/>
  <c r="AA1550" i="13034" s="1"/>
  <c r="D1551" i="12908"/>
  <c r="AA1551" i="13034" s="1"/>
  <c r="C1572" i="12908"/>
  <c r="Z1572" i="13034" s="1"/>
  <c r="C1570" i="12908"/>
  <c r="Z1570" i="13034" s="1"/>
  <c r="C1568" i="12908"/>
  <c r="Z1568" i="13034" s="1"/>
  <c r="Q6" i="12762"/>
  <c r="R6" i="12762"/>
  <c r="S6" i="12762"/>
  <c r="S8" i="12762" s="1"/>
  <c r="Q7" i="12762"/>
  <c r="R7" i="12762"/>
  <c r="S7" i="12762"/>
  <c r="Q8" i="12762"/>
  <c r="R8" i="12762"/>
  <c r="Q1608" i="12908"/>
  <c r="O1715" i="12908"/>
  <c r="O1714" i="12908"/>
  <c r="AC969" i="12908"/>
  <c r="AA962" i="12908"/>
  <c r="O650" i="12908"/>
  <c r="O649" i="12908"/>
  <c r="O617" i="12908"/>
  <c r="O616" i="12908"/>
  <c r="O584" i="12908"/>
  <c r="O583" i="12908"/>
  <c r="O551" i="12908"/>
  <c r="O550" i="12908"/>
  <c r="O517" i="12908"/>
  <c r="O516" i="12908"/>
  <c r="O483" i="12908"/>
  <c r="O482" i="12908"/>
  <c r="O449" i="12908"/>
  <c r="O448" i="12908"/>
  <c r="O415" i="12908"/>
  <c r="O414" i="12908"/>
  <c r="O381" i="12908"/>
  <c r="O380" i="12908"/>
  <c r="O345" i="12908"/>
  <c r="O344" i="12908"/>
  <c r="O309" i="12908"/>
  <c r="O308" i="12908"/>
  <c r="O273" i="12908"/>
  <c r="O272" i="12908"/>
  <c r="O237" i="12908"/>
  <c r="O236" i="12908"/>
  <c r="O256" i="12908"/>
  <c r="O255" i="12908"/>
  <c r="O292" i="12908"/>
  <c r="O291" i="12908"/>
  <c r="O328" i="12908"/>
  <c r="O327" i="12908"/>
  <c r="O364" i="12908"/>
  <c r="O363" i="12908"/>
  <c r="O399" i="12908"/>
  <c r="O398" i="12908"/>
  <c r="O433" i="12908"/>
  <c r="O432" i="12908"/>
  <c r="O467" i="12908"/>
  <c r="O466" i="12908"/>
  <c r="O501" i="12908"/>
  <c r="O500" i="12908"/>
  <c r="O535" i="12908"/>
  <c r="O534" i="12908"/>
  <c r="O568" i="12908"/>
  <c r="O567" i="12908"/>
  <c r="O601" i="12908"/>
  <c r="O600" i="12908"/>
  <c r="O634" i="12908"/>
  <c r="O633" i="12908"/>
  <c r="O667" i="12908"/>
  <c r="O666" i="12908"/>
  <c r="AA963" i="12908"/>
  <c r="AA964" i="12908"/>
  <c r="AA965" i="12908"/>
  <c r="Q965" i="12908" s="1"/>
  <c r="AA966" i="12908"/>
  <c r="AA967" i="12908"/>
  <c r="AA968" i="12908"/>
  <c r="AA961" i="12908"/>
  <c r="AB977" i="12908"/>
  <c r="Q977" i="12908"/>
  <c r="AN977" i="13034" s="1"/>
  <c r="Q972" i="12908"/>
  <c r="AN972" i="13034" s="1"/>
  <c r="Q685" i="12908"/>
  <c r="AN685" i="13034" s="1"/>
  <c r="Q682" i="12908"/>
  <c r="AL633" i="13034" l="1"/>
  <c r="AJ633" i="13015"/>
  <c r="AL567" i="13034"/>
  <c r="AJ567" i="13015"/>
  <c r="AL500" i="13034"/>
  <c r="AJ500" i="13015"/>
  <c r="AL432" i="13034"/>
  <c r="AJ432" i="13015"/>
  <c r="AL363" i="13034"/>
  <c r="AJ363" i="13015"/>
  <c r="AL291" i="13034"/>
  <c r="AJ291" i="13015"/>
  <c r="AL236" i="13034"/>
  <c r="AJ236" i="13015"/>
  <c r="AL308" i="13034"/>
  <c r="AJ308" i="13015"/>
  <c r="AL380" i="13034"/>
  <c r="AJ380" i="13015"/>
  <c r="AL448" i="13034"/>
  <c r="AJ448" i="13015"/>
  <c r="AL516" i="13034"/>
  <c r="AJ516" i="13015"/>
  <c r="AL583" i="13034"/>
  <c r="AJ583" i="13015"/>
  <c r="AL649" i="13034"/>
  <c r="AJ649" i="13015"/>
  <c r="AL1714" i="13034"/>
  <c r="AJ1714" i="13015"/>
  <c r="AL1534" i="13034"/>
  <c r="AJ1534" i="13015"/>
  <c r="AL1578" i="13034"/>
  <c r="AJ1578" i="13015"/>
  <c r="AL601" i="13034"/>
  <c r="AJ601" i="13015"/>
  <c r="AL399" i="13034"/>
  <c r="AJ399" i="13015"/>
  <c r="AL273" i="13034"/>
  <c r="AJ273" i="13015"/>
  <c r="AL415" i="13034"/>
  <c r="AJ415" i="13015"/>
  <c r="AL551" i="13034"/>
  <c r="AJ551" i="13015"/>
  <c r="AL1577" i="13034"/>
  <c r="AJ1577" i="13015"/>
  <c r="AL634" i="13034"/>
  <c r="AJ634" i="13015"/>
  <c r="AL568" i="13034"/>
  <c r="AJ568" i="13015"/>
  <c r="AL501" i="13034"/>
  <c r="AJ501" i="13015"/>
  <c r="AL433" i="13034"/>
  <c r="AJ433" i="13015"/>
  <c r="AL364" i="13034"/>
  <c r="AJ364" i="13015"/>
  <c r="AL292" i="13034"/>
  <c r="AJ292" i="13015"/>
  <c r="AL237" i="13034"/>
  <c r="AJ237" i="13015"/>
  <c r="AL309" i="13034"/>
  <c r="AJ309" i="13015"/>
  <c r="AL381" i="13034"/>
  <c r="AJ381" i="13015"/>
  <c r="AL449" i="13034"/>
  <c r="AJ449" i="13015"/>
  <c r="AL517" i="13034"/>
  <c r="AJ517" i="13015"/>
  <c r="AL584" i="13034"/>
  <c r="AJ584" i="13015"/>
  <c r="AL650" i="13034"/>
  <c r="AJ650" i="13015"/>
  <c r="AL1715" i="13034"/>
  <c r="AJ1715" i="13015"/>
  <c r="AL1514" i="13034"/>
  <c r="AJ1514" i="13015"/>
  <c r="AL1555" i="13034"/>
  <c r="AJ1555" i="13015"/>
  <c r="AL1599" i="13034"/>
  <c r="AJ1599" i="13015"/>
  <c r="AN965" i="13034"/>
  <c r="Q967" i="12908"/>
  <c r="AN967" i="13034" s="1"/>
  <c r="AL667" i="13034"/>
  <c r="AJ667" i="13015"/>
  <c r="AL535" i="13034"/>
  <c r="AJ535" i="13015"/>
  <c r="AL467" i="13034"/>
  <c r="AJ467" i="13015"/>
  <c r="AL328" i="13034"/>
  <c r="AJ328" i="13015"/>
  <c r="AL256" i="13034"/>
  <c r="AJ256" i="13015"/>
  <c r="AL345" i="13034"/>
  <c r="AJ345" i="13015"/>
  <c r="AL483" i="13034"/>
  <c r="AJ483" i="13015"/>
  <c r="AL617" i="13034"/>
  <c r="AJ617" i="13015"/>
  <c r="AL1533" i="13034"/>
  <c r="AJ1533" i="13015"/>
  <c r="C14" i="13006"/>
  <c r="AN682" i="13034"/>
  <c r="W13" i="13023"/>
  <c r="W21" i="13023" s="1"/>
  <c r="AL666" i="13034"/>
  <c r="AJ666" i="13015"/>
  <c r="AL600" i="13034"/>
  <c r="AJ600" i="13015"/>
  <c r="AL534" i="13034"/>
  <c r="AJ534" i="13015"/>
  <c r="AL466" i="13034"/>
  <c r="AJ466" i="13015"/>
  <c r="AL398" i="13034"/>
  <c r="AJ398" i="13015"/>
  <c r="AL327" i="13034"/>
  <c r="AJ327" i="13015"/>
  <c r="AL255" i="13034"/>
  <c r="AJ255" i="13015"/>
  <c r="AL272" i="13034"/>
  <c r="AJ272" i="13015"/>
  <c r="AL344" i="13034"/>
  <c r="AJ344" i="13015"/>
  <c r="AL414" i="13034"/>
  <c r="AJ414" i="13015"/>
  <c r="AL482" i="13034"/>
  <c r="AJ482" i="13015"/>
  <c r="AL550" i="13034"/>
  <c r="AJ550" i="13015"/>
  <c r="AL616" i="13034"/>
  <c r="AJ616" i="13015"/>
  <c r="AN1608" i="13034"/>
  <c r="X12" i="13029"/>
  <c r="AL1515" i="13034"/>
  <c r="AJ1515" i="13015"/>
  <c r="AL1556" i="13034"/>
  <c r="AJ1556" i="13015"/>
  <c r="AL1600" i="13034"/>
  <c r="AJ1600" i="13015"/>
  <c r="C21" i="13006"/>
  <c r="C34" i="13006"/>
  <c r="Q966" i="12908"/>
  <c r="M977" i="12908"/>
  <c r="AJ977" i="13034" s="1"/>
  <c r="X12" i="12995"/>
  <c r="K682" i="12908"/>
  <c r="AH682" i="13034" s="1"/>
  <c r="W13" i="12992"/>
  <c r="W21" i="12992" s="1"/>
  <c r="Y1513" i="12908"/>
  <c r="AV1513" i="13034" s="1"/>
  <c r="Q1893" i="12908"/>
  <c r="AN1893" i="13034" s="1"/>
  <c r="O965" i="12908"/>
  <c r="Q706" i="12908"/>
  <c r="AN706" i="13034" s="1"/>
  <c r="M685" i="12908"/>
  <c r="AJ685" i="13034" s="1"/>
  <c r="Q1626" i="12908"/>
  <c r="AN1626" i="13034" s="1"/>
  <c r="K1608" i="12908"/>
  <c r="AH1608" i="13034" s="1"/>
  <c r="A20" i="13005"/>
  <c r="K972" i="12908"/>
  <c r="Q1888" i="12908"/>
  <c r="AN1888" i="13034" s="1"/>
  <c r="W14" i="13003"/>
  <c r="X14" i="13003" s="1"/>
  <c r="X2" i="13003"/>
  <c r="C1548" i="12908"/>
  <c r="Z1548" i="13034" s="1"/>
  <c r="C1550" i="12908"/>
  <c r="Z1550" i="13034" s="1"/>
  <c r="C1546" i="12908"/>
  <c r="Z1546" i="13034" s="1"/>
  <c r="O2632" i="12908"/>
  <c r="O2631" i="12908"/>
  <c r="O2622" i="12908"/>
  <c r="O2621" i="12908"/>
  <c r="O2603" i="12908"/>
  <c r="O2602" i="12908"/>
  <c r="O2536" i="12908"/>
  <c r="O2535" i="12908"/>
  <c r="O2521" i="12908"/>
  <c r="O2520" i="12908"/>
  <c r="O2432" i="12908"/>
  <c r="O2431" i="12908"/>
  <c r="O2417" i="12908"/>
  <c r="O2416" i="12908"/>
  <c r="O2328" i="12908"/>
  <c r="O2327" i="12908"/>
  <c r="O2313" i="12908"/>
  <c r="O2312" i="12908"/>
  <c r="O1996" i="12908"/>
  <c r="O1995" i="12908"/>
  <c r="O1858" i="12908"/>
  <c r="O1857" i="12908"/>
  <c r="O1817" i="12908"/>
  <c r="O1816" i="12908"/>
  <c r="O1806" i="12908"/>
  <c r="O1805" i="12908"/>
  <c r="O1656" i="12908"/>
  <c r="O1655" i="12908"/>
  <c r="O1638" i="12908"/>
  <c r="O1637" i="12908"/>
  <c r="O1618" i="12908"/>
  <c r="O1617" i="12908"/>
  <c r="O1494" i="12908"/>
  <c r="O1493" i="12908"/>
  <c r="O1204" i="12908"/>
  <c r="O1203" i="12908"/>
  <c r="O1163" i="12908"/>
  <c r="O1162" i="12908"/>
  <c r="O1141" i="12908"/>
  <c r="O1140" i="12908"/>
  <c r="O1119" i="12908"/>
  <c r="O1118" i="12908"/>
  <c r="O1097" i="12908"/>
  <c r="O1096" i="12908"/>
  <c r="O1075" i="12908"/>
  <c r="O1074" i="12908"/>
  <c r="O1052" i="12908"/>
  <c r="O1051" i="12908"/>
  <c r="O1028" i="12908"/>
  <c r="O1027" i="12908"/>
  <c r="O1004" i="12908"/>
  <c r="O1003" i="12908"/>
  <c r="O980" i="12908"/>
  <c r="O979" i="12908"/>
  <c r="O957" i="12908"/>
  <c r="O956" i="12908"/>
  <c r="O939" i="12908"/>
  <c r="O938" i="12908"/>
  <c r="O921" i="12908"/>
  <c r="O920" i="12908"/>
  <c r="O903" i="12908"/>
  <c r="O902" i="12908"/>
  <c r="O885" i="12908"/>
  <c r="O884" i="12908"/>
  <c r="O866" i="12908"/>
  <c r="O865" i="12908"/>
  <c r="O847" i="12908"/>
  <c r="O846" i="12908"/>
  <c r="O828" i="12908"/>
  <c r="O827" i="12908"/>
  <c r="O809" i="12908"/>
  <c r="O808" i="12908"/>
  <c r="O790" i="12908"/>
  <c r="O789" i="12908"/>
  <c r="O771" i="12908"/>
  <c r="O770" i="12908"/>
  <c r="O751" i="12908"/>
  <c r="O750" i="12908"/>
  <c r="O730" i="12908"/>
  <c r="O729" i="12908"/>
  <c r="O709" i="12908"/>
  <c r="O708" i="12908"/>
  <c r="O688" i="12908"/>
  <c r="O687" i="12908"/>
  <c r="Q235" i="12908"/>
  <c r="AN235" i="13034" s="1"/>
  <c r="AL688" i="13034" l="1"/>
  <c r="AJ688" i="13015"/>
  <c r="AL771" i="13034"/>
  <c r="AJ771" i="13015"/>
  <c r="AL885" i="13034"/>
  <c r="AJ885" i="13015"/>
  <c r="AL957" i="13034"/>
  <c r="AJ957" i="13015"/>
  <c r="AL1004" i="13034"/>
  <c r="AJ1004" i="13015"/>
  <c r="AL1052" i="13034"/>
  <c r="AJ1052" i="13015"/>
  <c r="AL1097" i="13034"/>
  <c r="AJ1097" i="13015"/>
  <c r="AL1204" i="13034"/>
  <c r="AJ1204" i="13015"/>
  <c r="AL1656" i="13034"/>
  <c r="AJ1656" i="13015"/>
  <c r="AL1817" i="13034"/>
  <c r="AJ1817" i="13015"/>
  <c r="AL2432" i="13034"/>
  <c r="AJ2432" i="13015"/>
  <c r="AL2622" i="13034"/>
  <c r="AJ2622" i="13015"/>
  <c r="AL708" i="13034"/>
  <c r="AJ708" i="13015"/>
  <c r="AL750" i="13034"/>
  <c r="AJ750" i="13015"/>
  <c r="AL789" i="13034"/>
  <c r="AJ789" i="13015"/>
  <c r="AL827" i="13034"/>
  <c r="AJ827" i="13015"/>
  <c r="AL865" i="13034"/>
  <c r="AJ865" i="13015"/>
  <c r="AL902" i="13034"/>
  <c r="AJ902" i="13015"/>
  <c r="AL938" i="13034"/>
  <c r="AJ938" i="13015"/>
  <c r="AL979" i="13034"/>
  <c r="AJ979" i="13015"/>
  <c r="AL1027" i="13034"/>
  <c r="AJ1027" i="13015"/>
  <c r="AL1074" i="13034"/>
  <c r="AJ1074" i="13015"/>
  <c r="AL1118" i="13034"/>
  <c r="AJ1118" i="13015"/>
  <c r="AL1162" i="13034"/>
  <c r="AJ1162" i="13015"/>
  <c r="AL1493" i="13034"/>
  <c r="AJ1493" i="13015"/>
  <c r="AL1637" i="13034"/>
  <c r="AJ1637" i="13015"/>
  <c r="AL1805" i="13034"/>
  <c r="AJ1805" i="13015"/>
  <c r="AL1857" i="13034"/>
  <c r="AJ1857" i="13015"/>
  <c r="AL2312" i="13034"/>
  <c r="AJ2312" i="13015"/>
  <c r="AL2416" i="13034"/>
  <c r="AJ2416" i="13015"/>
  <c r="AL2520" i="13034"/>
  <c r="AJ2520" i="13015"/>
  <c r="AL2602" i="13034"/>
  <c r="AJ2602" i="13015"/>
  <c r="AL2631" i="13034"/>
  <c r="AJ2631" i="13015"/>
  <c r="K1888" i="12908"/>
  <c r="AH1888" i="13034" s="1"/>
  <c r="AH972" i="13034"/>
  <c r="AL847" i="13034"/>
  <c r="AJ847" i="13015"/>
  <c r="AL2328" i="13034"/>
  <c r="AJ2328" i="13015"/>
  <c r="AL2536" i="13034"/>
  <c r="AJ2536" i="13015"/>
  <c r="AL709" i="13034"/>
  <c r="AJ709" i="13015"/>
  <c r="AL751" i="13034"/>
  <c r="AJ751" i="13015"/>
  <c r="AL790" i="13034"/>
  <c r="AJ790" i="13015"/>
  <c r="AL828" i="13034"/>
  <c r="AJ828" i="13015"/>
  <c r="AL866" i="13034"/>
  <c r="AJ866" i="13015"/>
  <c r="AL903" i="13034"/>
  <c r="AJ903" i="13015"/>
  <c r="AL939" i="13034"/>
  <c r="AJ939" i="13015"/>
  <c r="AL980" i="13034"/>
  <c r="AJ980" i="13015"/>
  <c r="AL1028" i="13034"/>
  <c r="AJ1028" i="13015"/>
  <c r="AL1075" i="13034"/>
  <c r="AJ1075" i="13015"/>
  <c r="AL1119" i="13034"/>
  <c r="AJ1119" i="13015"/>
  <c r="AL1163" i="13034"/>
  <c r="AJ1163" i="13015"/>
  <c r="AL1494" i="13034"/>
  <c r="AJ1494" i="13015"/>
  <c r="AL1638" i="13034"/>
  <c r="AJ1638" i="13015"/>
  <c r="AL1806" i="13034"/>
  <c r="AJ1806" i="13015"/>
  <c r="AL1858" i="13034"/>
  <c r="AJ1858" i="13015"/>
  <c r="AL2313" i="13034"/>
  <c r="AJ2313" i="13015"/>
  <c r="AL2417" i="13034"/>
  <c r="AJ2417" i="13015"/>
  <c r="AL2521" i="13034"/>
  <c r="AJ2521" i="13015"/>
  <c r="AL2603" i="13034"/>
  <c r="AJ2603" i="13015"/>
  <c r="AL2632" i="13034"/>
  <c r="AJ2632" i="13015"/>
  <c r="AG965" i="12908"/>
  <c r="AN966" i="13034"/>
  <c r="Q968" i="12908"/>
  <c r="AN968" i="13034" s="1"/>
  <c r="AL730" i="13034"/>
  <c r="AJ730" i="13015"/>
  <c r="AL809" i="13034"/>
  <c r="AJ809" i="13015"/>
  <c r="AL921" i="13034"/>
  <c r="AJ921" i="13015"/>
  <c r="AL1141" i="13034"/>
  <c r="AJ1141" i="13015"/>
  <c r="AL1618" i="13034"/>
  <c r="AJ1618" i="13015"/>
  <c r="AL1996" i="13034"/>
  <c r="AJ1996" i="13015"/>
  <c r="AL687" i="13034"/>
  <c r="AJ687" i="13015"/>
  <c r="AL729" i="13034"/>
  <c r="AJ729" i="13015"/>
  <c r="AL770" i="13034"/>
  <c r="AJ770" i="13015"/>
  <c r="AL808" i="13034"/>
  <c r="AJ808" i="13015"/>
  <c r="AL846" i="13034"/>
  <c r="AJ846" i="13015"/>
  <c r="AL884" i="13034"/>
  <c r="AJ884" i="13015"/>
  <c r="AL920" i="13034"/>
  <c r="AJ920" i="13015"/>
  <c r="AL956" i="13034"/>
  <c r="AJ956" i="13015"/>
  <c r="AL1003" i="13034"/>
  <c r="AJ1003" i="13015"/>
  <c r="AL1051" i="13034"/>
  <c r="AJ1051" i="13015"/>
  <c r="AL1096" i="13034"/>
  <c r="AJ1096" i="13015"/>
  <c r="AL1140" i="13034"/>
  <c r="AJ1140" i="13015"/>
  <c r="AL1203" i="13034"/>
  <c r="AJ1203" i="13015"/>
  <c r="AL1617" i="13034"/>
  <c r="AJ1617" i="13015"/>
  <c r="AL1655" i="13034"/>
  <c r="AJ1655" i="13015"/>
  <c r="AL1816" i="13034"/>
  <c r="AJ1816" i="13015"/>
  <c r="AL1995" i="13034"/>
  <c r="AJ1995" i="13015"/>
  <c r="AL2327" i="13034"/>
  <c r="AJ2327" i="13015"/>
  <c r="AL2431" i="13034"/>
  <c r="AJ2431" i="13015"/>
  <c r="AL2535" i="13034"/>
  <c r="AJ2535" i="13015"/>
  <c r="AL2621" i="13034"/>
  <c r="AJ2621" i="13015"/>
  <c r="AL965" i="13034"/>
  <c r="O965" i="13015"/>
  <c r="Q11" i="13005"/>
  <c r="Q1895" i="12908"/>
  <c r="AN1895" i="13034" s="1"/>
  <c r="O967" i="12908"/>
  <c r="Q1894" i="12908"/>
  <c r="AN1894" i="13034" s="1"/>
  <c r="O966" i="12908"/>
  <c r="A21" i="13005"/>
  <c r="A23" i="13005" s="1"/>
  <c r="AG966" i="12908"/>
  <c r="AL967" i="13034" l="1"/>
  <c r="O967" i="13015"/>
  <c r="AE965" i="12908"/>
  <c r="AL966" i="13034"/>
  <c r="O966" i="13015"/>
  <c r="AJ965" i="13015"/>
  <c r="O544" i="13015"/>
  <c r="O230" i="13015"/>
  <c r="O1061" i="13015"/>
  <c r="O989" i="13015"/>
  <c r="O1149" i="13015"/>
  <c r="O1893" i="13015"/>
  <c r="O1037" i="13015"/>
  <c r="O1013" i="13015"/>
  <c r="S11" i="13005"/>
  <c r="Q1896" i="12908"/>
  <c r="AN1896" i="13034" s="1"/>
  <c r="O968" i="12908"/>
  <c r="A24" i="13005"/>
  <c r="W1893" i="13015" l="1"/>
  <c r="O266" i="13015"/>
  <c r="O338" i="13015"/>
  <c r="O374" i="13015"/>
  <c r="O302" i="13015"/>
  <c r="W230" i="13015"/>
  <c r="W1149" i="13015"/>
  <c r="O643" i="13015"/>
  <c r="O610" i="13015"/>
  <c r="O577" i="13015"/>
  <c r="W544" i="13015"/>
  <c r="W1013" i="13015"/>
  <c r="W989" i="13015"/>
  <c r="AJ967" i="13015"/>
  <c r="O1063" i="13015"/>
  <c r="O232" i="13015"/>
  <c r="O546" i="13015"/>
  <c r="O1895" i="13015"/>
  <c r="O1039" i="13015"/>
  <c r="O1151" i="13015"/>
  <c r="O1015" i="13015"/>
  <c r="O991" i="13015"/>
  <c r="AE966" i="12908"/>
  <c r="AL968" i="13034"/>
  <c r="O968" i="13015"/>
  <c r="W1037" i="13015"/>
  <c r="O1083" i="13015"/>
  <c r="O1105" i="13015"/>
  <c r="O1127" i="13015"/>
  <c r="W1061" i="13015"/>
  <c r="AJ966" i="13015"/>
  <c r="O1014" i="13015"/>
  <c r="O545" i="13015"/>
  <c r="O1894" i="13015"/>
  <c r="O990" i="13015"/>
  <c r="O231" i="13015"/>
  <c r="O1150" i="13015"/>
  <c r="O1062" i="13015"/>
  <c r="AE965" i="13015"/>
  <c r="O1038" i="13015"/>
  <c r="U11" i="13005"/>
  <c r="A25" i="13005"/>
  <c r="O1475" i="12908"/>
  <c r="O1474" i="12908"/>
  <c r="O1455" i="12908"/>
  <c r="O1454" i="12908"/>
  <c r="O1435" i="12908"/>
  <c r="O1434" i="12908"/>
  <c r="O1415" i="12908"/>
  <c r="O1414" i="12908"/>
  <c r="O1393" i="12908"/>
  <c r="O1392" i="12908"/>
  <c r="AL1434" i="13034" l="1"/>
  <c r="AJ1434" i="13015"/>
  <c r="W1038" i="13015"/>
  <c r="W1014" i="13015"/>
  <c r="W991" i="13015"/>
  <c r="W1895" i="13015"/>
  <c r="AL1393" i="13034"/>
  <c r="AJ1393" i="13015"/>
  <c r="AL1435" i="13034"/>
  <c r="AJ1435" i="13015"/>
  <c r="W990" i="13015"/>
  <c r="W1083" i="13015"/>
  <c r="AJ968" i="13015"/>
  <c r="O1896" i="13015"/>
  <c r="O992" i="13015"/>
  <c r="O233" i="13015"/>
  <c r="O1016" i="13015"/>
  <c r="O1152" i="13015"/>
  <c r="AE966" i="13015"/>
  <c r="O547" i="13015"/>
  <c r="O1064" i="13015"/>
  <c r="O1040" i="13015"/>
  <c r="W1015" i="13015"/>
  <c r="O645" i="13015"/>
  <c r="O612" i="13015"/>
  <c r="O579" i="13015"/>
  <c r="W546" i="13015"/>
  <c r="W643" i="13015"/>
  <c r="W302" i="13015"/>
  <c r="W266" i="13015"/>
  <c r="AL1414" i="13034"/>
  <c r="AJ1414" i="13015"/>
  <c r="AL1454" i="13034"/>
  <c r="AJ1454" i="13015"/>
  <c r="W1062" i="13015"/>
  <c r="O1106" i="13015"/>
  <c r="O1128" i="13015"/>
  <c r="O1084" i="13015"/>
  <c r="W1894" i="13015"/>
  <c r="W1151" i="13015"/>
  <c r="O268" i="13015"/>
  <c r="O376" i="13015"/>
  <c r="O304" i="13015"/>
  <c r="O340" i="13015"/>
  <c r="W232" i="13015"/>
  <c r="W577" i="13015"/>
  <c r="O510" i="13015"/>
  <c r="O442" i="13015"/>
  <c r="O476" i="13015"/>
  <c r="O408" i="13015"/>
  <c r="W374" i="13015"/>
  <c r="AL1392" i="13034"/>
  <c r="AJ1392" i="13015"/>
  <c r="AL1474" i="13034"/>
  <c r="AJ1474" i="13015"/>
  <c r="O267" i="13015"/>
  <c r="O375" i="13015"/>
  <c r="O303" i="13015"/>
  <c r="O339" i="13015"/>
  <c r="W231" i="13015"/>
  <c r="W1105" i="13015"/>
  <c r="AL1475" i="13034"/>
  <c r="AJ1475" i="13015"/>
  <c r="AL1415" i="13034"/>
  <c r="AJ1415" i="13015"/>
  <c r="AL1455" i="13034"/>
  <c r="AJ1455" i="13015"/>
  <c r="W1150" i="13015"/>
  <c r="O578" i="13015"/>
  <c r="O611" i="13015"/>
  <c r="O644" i="13015"/>
  <c r="W545" i="13015"/>
  <c r="W1127" i="13015"/>
  <c r="W1039" i="13015"/>
  <c r="O1085" i="13015"/>
  <c r="O1107" i="13015"/>
  <c r="O1129" i="13015"/>
  <c r="W1063" i="13015"/>
  <c r="W610" i="13015"/>
  <c r="W338" i="13015"/>
  <c r="W11" i="13005"/>
  <c r="Y11" i="13005"/>
  <c r="AA11" i="13005" s="1"/>
  <c r="A26" i="13005"/>
  <c r="Z1506" i="12908"/>
  <c r="Z1405" i="12908"/>
  <c r="Q1387" i="12908"/>
  <c r="W611" i="13015" l="1"/>
  <c r="O478" i="13015"/>
  <c r="O410" i="13015"/>
  <c r="O512" i="13015"/>
  <c r="O444" i="13015"/>
  <c r="W376" i="13015"/>
  <c r="W1129" i="13015"/>
  <c r="W578" i="13015"/>
  <c r="O511" i="13015"/>
  <c r="O443" i="13015"/>
  <c r="O477" i="13015"/>
  <c r="O409" i="13015"/>
  <c r="W375" i="13015"/>
  <c r="W510" i="13015"/>
  <c r="W268" i="13015"/>
  <c r="W1128" i="13015"/>
  <c r="W579" i="13015"/>
  <c r="O580" i="13015"/>
  <c r="O613" i="13015"/>
  <c r="O646" i="13015"/>
  <c r="W547" i="13015"/>
  <c r="O341" i="13015"/>
  <c r="O305" i="13015"/>
  <c r="O269" i="13015"/>
  <c r="O377" i="13015"/>
  <c r="W233" i="13015"/>
  <c r="E14" i="13006"/>
  <c r="E21" i="13006" s="1"/>
  <c r="AN1387" i="13034"/>
  <c r="AA13" i="13025"/>
  <c r="AA22" i="13025" s="1"/>
  <c r="O1130" i="13015"/>
  <c r="O1086" i="13015"/>
  <c r="W1064" i="13015"/>
  <c r="O1108" i="13015"/>
  <c r="W1016" i="13015"/>
  <c r="W1107" i="13015"/>
  <c r="W267" i="13015"/>
  <c r="W408" i="13015"/>
  <c r="W340" i="13015"/>
  <c r="W1106" i="13015"/>
  <c r="W612" i="13015"/>
  <c r="W992" i="13015"/>
  <c r="W303" i="13015"/>
  <c r="W442" i="13015"/>
  <c r="W1084" i="13015"/>
  <c r="W1085" i="13015"/>
  <c r="W644" i="13015"/>
  <c r="W339" i="13015"/>
  <c r="W476" i="13015"/>
  <c r="W304" i="13015"/>
  <c r="W645" i="13015"/>
  <c r="W1040" i="13015"/>
  <c r="W1152" i="13015"/>
  <c r="W1896" i="13015"/>
  <c r="AC11" i="13005"/>
  <c r="A27" i="13005"/>
  <c r="E34" i="13006"/>
  <c r="K1387" i="12908"/>
  <c r="AH1387" i="13034" s="1"/>
  <c r="AA13" i="12993"/>
  <c r="AA22" i="12993" s="1"/>
  <c r="Z1445" i="12908"/>
  <c r="Z2408" i="12908"/>
  <c r="Z2595" i="12908"/>
  <c r="Z2424" i="12908"/>
  <c r="Z1525" i="12908"/>
  <c r="Z1465" i="12908"/>
  <c r="Z1425" i="12908"/>
  <c r="AB1488" i="12908"/>
  <c r="AB1384" i="12908"/>
  <c r="W1130" i="13015" l="1"/>
  <c r="W341" i="13015"/>
  <c r="W613" i="13015"/>
  <c r="W409" i="13015"/>
  <c r="W444" i="13015"/>
  <c r="W1108" i="13015"/>
  <c r="O513" i="13015"/>
  <c r="O445" i="13015"/>
  <c r="O479" i="13015"/>
  <c r="O411" i="13015"/>
  <c r="W377" i="13015"/>
  <c r="W580" i="13015"/>
  <c r="W477" i="13015"/>
  <c r="W512" i="13015"/>
  <c r="W269" i="13015"/>
  <c r="W443" i="13015"/>
  <c r="W410" i="13015"/>
  <c r="W1086" i="13015"/>
  <c r="W305" i="13015"/>
  <c r="W646" i="13015"/>
  <c r="W511" i="13015"/>
  <c r="W478" i="13015"/>
  <c r="A28" i="13005"/>
  <c r="Z2528" i="12908"/>
  <c r="Z2512" i="12908"/>
  <c r="W445" i="13015" l="1"/>
  <c r="W513" i="13015"/>
  <c r="W479" i="13015"/>
  <c r="W411" i="13015"/>
  <c r="A29" i="13005"/>
  <c r="S10" i="12998"/>
  <c r="O10" i="12998"/>
  <c r="O9" i="12998"/>
  <c r="Q10" i="12998"/>
  <c r="P10" i="12998"/>
  <c r="Q9" i="12998"/>
  <c r="Z1404" i="12908" s="1"/>
  <c r="P9" i="12998"/>
  <c r="Z1402" i="12908" s="1"/>
  <c r="L10" i="12998"/>
  <c r="M10" i="12998"/>
  <c r="M9" i="12998"/>
  <c r="Z1403" i="12908" s="1"/>
  <c r="L9" i="12998"/>
  <c r="Z1401" i="12908" s="1"/>
  <c r="Q218" i="12908"/>
  <c r="AN218" i="13034" s="1"/>
  <c r="O221" i="12908"/>
  <c r="O220" i="12908"/>
  <c r="O184" i="12908"/>
  <c r="O183" i="12908"/>
  <c r="O147" i="12908"/>
  <c r="O146" i="12908"/>
  <c r="O110" i="12908"/>
  <c r="O109" i="12908"/>
  <c r="O81" i="12908"/>
  <c r="O80" i="12908"/>
  <c r="AL81" i="13034" l="1"/>
  <c r="AJ81" i="13015"/>
  <c r="AL109" i="13034"/>
  <c r="AJ109" i="13015"/>
  <c r="AL183" i="13034"/>
  <c r="AJ183" i="13015"/>
  <c r="AL147" i="13034"/>
  <c r="AJ147" i="13015"/>
  <c r="AL110" i="13034"/>
  <c r="AJ110" i="13015"/>
  <c r="AL184" i="13034"/>
  <c r="AJ184" i="13015"/>
  <c r="AL221" i="13034"/>
  <c r="AJ221" i="13015"/>
  <c r="AL80" i="13034"/>
  <c r="AJ80" i="13015"/>
  <c r="AL146" i="13034"/>
  <c r="AJ146" i="13015"/>
  <c r="AL220" i="13034"/>
  <c r="AJ220" i="13015"/>
  <c r="A30" i="13005"/>
  <c r="A31" i="13005" s="1"/>
  <c r="Z2340" i="12908"/>
  <c r="P14" i="12998"/>
  <c r="P13" i="12998"/>
  <c r="P12" i="12998"/>
  <c r="P11" i="12998"/>
  <c r="Z1503" i="12908"/>
  <c r="Z2339" i="12908"/>
  <c r="L12" i="12998"/>
  <c r="L13" i="12998"/>
  <c r="L14" i="12998"/>
  <c r="L11" i="12998"/>
  <c r="Z1502" i="12908"/>
  <c r="Q14" i="12998"/>
  <c r="Q13" i="12998"/>
  <c r="Q12" i="12998"/>
  <c r="Q11" i="12998"/>
  <c r="Z1505" i="12908"/>
  <c r="O14" i="12998"/>
  <c r="O13" i="12998"/>
  <c r="O12" i="12998"/>
  <c r="O11" i="12998"/>
  <c r="M14" i="12998"/>
  <c r="M13" i="12998"/>
  <c r="M12" i="12998"/>
  <c r="M11" i="12998"/>
  <c r="Z1504" i="12908"/>
  <c r="S14" i="12998"/>
  <c r="S13" i="12998"/>
  <c r="S12" i="12998"/>
  <c r="S11" i="12998"/>
  <c r="Z1908" i="12908" s="1"/>
  <c r="Z1461" i="12908"/>
  <c r="Z2404" i="12908"/>
  <c r="Z2508" i="12908" s="1"/>
  <c r="Z1462" i="12908"/>
  <c r="Z2405" i="12908"/>
  <c r="Z1464" i="12908"/>
  <c r="Z2407" i="12908"/>
  <c r="Z2511" i="12908" s="1"/>
  <c r="Z1463" i="12908"/>
  <c r="Z2406" i="12908"/>
  <c r="Z2510" i="12908" s="1"/>
  <c r="Z1441" i="12908"/>
  <c r="Z1442" i="12908"/>
  <c r="Z1421" i="12908"/>
  <c r="Z1422" i="12908"/>
  <c r="Z1424" i="12908"/>
  <c r="Z1444" i="12908"/>
  <c r="Z1423" i="12908"/>
  <c r="Z1443" i="12908"/>
  <c r="A32" i="13005" l="1"/>
  <c r="Z1905" i="12908"/>
  <c r="C1905" i="12908" s="1"/>
  <c r="Z1905" i="13034" s="1"/>
  <c r="Z1564" i="12908"/>
  <c r="Z1907" i="12908"/>
  <c r="C1907" i="12908" s="1"/>
  <c r="Z1907" i="13034" s="1"/>
  <c r="Z1566" i="12908"/>
  <c r="Z1524" i="12908"/>
  <c r="Z2423" i="12908"/>
  <c r="Z2527" i="12908" s="1"/>
  <c r="Z2594" i="12908"/>
  <c r="Z1906" i="12908"/>
  <c r="Z1565" i="12908"/>
  <c r="Z1587" i="12908" s="1"/>
  <c r="Z2591" i="12908"/>
  <c r="Z2420" i="12908"/>
  <c r="Z2524" i="12908" s="1"/>
  <c r="Z1521" i="12908"/>
  <c r="Z1903" i="12908"/>
  <c r="C1903" i="12908" s="1"/>
  <c r="Z1903" i="13034" s="1"/>
  <c r="Z1562" i="12908"/>
  <c r="Z2383" i="12908"/>
  <c r="Z2487" i="12908" s="1"/>
  <c r="Z2345" i="12908"/>
  <c r="Z2342" i="12908"/>
  <c r="Z2361" i="12908"/>
  <c r="Z2465" i="12908" s="1"/>
  <c r="Z2557" i="12908"/>
  <c r="Z2443" i="12908"/>
  <c r="Z2593" i="12908"/>
  <c r="Z2422" i="12908"/>
  <c r="Z2526" i="12908" s="1"/>
  <c r="Z1523" i="12908"/>
  <c r="Z1522" i="12908"/>
  <c r="Z2592" i="12908"/>
  <c r="Z2421" i="12908"/>
  <c r="Z2525" i="12908" s="1"/>
  <c r="Z1904" i="12908"/>
  <c r="Z1563" i="12908"/>
  <c r="Z1585" i="12908" s="1"/>
  <c r="Z2444" i="12908"/>
  <c r="Z2346" i="12908"/>
  <c r="Z2558" i="12908"/>
  <c r="Z2384" i="12908"/>
  <c r="Z2488" i="12908" s="1"/>
  <c r="Z2343" i="12908"/>
  <c r="Z2362" i="12908"/>
  <c r="Z2466" i="12908" s="1"/>
  <c r="Z2509" i="12908"/>
  <c r="A33" i="13005" l="1"/>
  <c r="Z2390" i="12908"/>
  <c r="Z2494" i="12908" s="1"/>
  <c r="Z2450" i="12908"/>
  <c r="Z2368" i="12908"/>
  <c r="Z2472" i="12908" s="1"/>
  <c r="Z2449" i="12908"/>
  <c r="Z2367" i="12908"/>
  <c r="Z2471" i="12908" s="1"/>
  <c r="Z2389" i="12908"/>
  <c r="Z2493" i="12908" s="1"/>
  <c r="Z1588" i="12908"/>
  <c r="C1588" i="12908" s="1"/>
  <c r="Z1588" i="13034" s="1"/>
  <c r="C1566" i="12908"/>
  <c r="Z1566" i="13034" s="1"/>
  <c r="Z2570" i="12908"/>
  <c r="Z2564" i="12908"/>
  <c r="Z2567" i="12908"/>
  <c r="Z2561" i="12908"/>
  <c r="Z2566" i="12908"/>
  <c r="Z2569" i="12908"/>
  <c r="Z2563" i="12908"/>
  <c r="Z2560" i="12908"/>
  <c r="Z1584" i="12908"/>
  <c r="C1584" i="12908" s="1"/>
  <c r="Z1584" i="13034" s="1"/>
  <c r="C1562" i="12908"/>
  <c r="Z1562" i="13034" s="1"/>
  <c r="Z1586" i="12908"/>
  <c r="C1586" i="12908" s="1"/>
  <c r="Z1586" i="13034" s="1"/>
  <c r="C1564" i="12908"/>
  <c r="Z1564" i="13034" s="1"/>
  <c r="Z2365" i="12908"/>
  <c r="Z2469" i="12908" s="1"/>
  <c r="Z2387" i="12908"/>
  <c r="Z2491" i="12908" s="1"/>
  <c r="Z2447" i="12908"/>
  <c r="Z2386" i="12908"/>
  <c r="Z2490" i="12908" s="1"/>
  <c r="Z2446" i="12908"/>
  <c r="Z2364" i="12908"/>
  <c r="Z2468" i="12908" s="1"/>
  <c r="A34" i="13005" l="1"/>
  <c r="A35" i="13005" s="1"/>
  <c r="F567" i="12908"/>
  <c r="F255" i="12908"/>
  <c r="F253" i="12908"/>
  <c r="F252" i="12908"/>
  <c r="AC252" i="13034" s="1"/>
  <c r="F251" i="12908"/>
  <c r="AC251" i="13034" s="1"/>
  <c r="F250" i="12908"/>
  <c r="F249" i="12908"/>
  <c r="AC249" i="13034" s="1"/>
  <c r="F248" i="12908"/>
  <c r="AC248" i="13034" s="1"/>
  <c r="F243" i="12908"/>
  <c r="F242" i="12908"/>
  <c r="F241" i="12908"/>
  <c r="F240" i="12908"/>
  <c r="F666" i="12908"/>
  <c r="AC666" i="13034" s="1"/>
  <c r="C657" i="12908"/>
  <c r="Z657" i="13034" s="1"/>
  <c r="C656" i="12908"/>
  <c r="Z656" i="13034" s="1"/>
  <c r="C655" i="12908"/>
  <c r="Z655" i="13034" s="1"/>
  <c r="C659" i="12908"/>
  <c r="Z659" i="13034" s="1"/>
  <c r="C658" i="12908"/>
  <c r="Z658" i="13034" s="1"/>
  <c r="C639" i="12908"/>
  <c r="Z639" i="13034" s="1"/>
  <c r="C640" i="12908"/>
  <c r="Z640" i="13034" s="1"/>
  <c r="C641" i="12908"/>
  <c r="Z641" i="13034" s="1"/>
  <c r="C642" i="12908"/>
  <c r="Z642" i="13034" s="1"/>
  <c r="C643" i="12908"/>
  <c r="Z643" i="13034" s="1"/>
  <c r="C644" i="12908"/>
  <c r="Z644" i="13034" s="1"/>
  <c r="C645" i="12908"/>
  <c r="Z645" i="13034" s="1"/>
  <c r="C646" i="12908"/>
  <c r="Z646" i="13034" s="1"/>
  <c r="C647" i="12908"/>
  <c r="C648" i="12908"/>
  <c r="Z648" i="13034" s="1"/>
  <c r="C638" i="12908"/>
  <c r="C626" i="12908"/>
  <c r="Z626" i="13034" s="1"/>
  <c r="C625" i="12908"/>
  <c r="Z625" i="13034" s="1"/>
  <c r="C624" i="12908"/>
  <c r="Z624" i="13034" s="1"/>
  <c r="C623" i="12908"/>
  <c r="Z623" i="13034" s="1"/>
  <c r="C622" i="12908"/>
  <c r="Z622" i="13034" s="1"/>
  <c r="C606" i="12908"/>
  <c r="Z606" i="13034" s="1"/>
  <c r="C607" i="12908"/>
  <c r="Z607" i="13034" s="1"/>
  <c r="C608" i="12908"/>
  <c r="Z608" i="13034" s="1"/>
  <c r="C609" i="12908"/>
  <c r="Z609" i="13034" s="1"/>
  <c r="C610" i="12908"/>
  <c r="Z610" i="13034" s="1"/>
  <c r="C611" i="12908"/>
  <c r="Z611" i="13034" s="1"/>
  <c r="C612" i="12908"/>
  <c r="Z612" i="13034" s="1"/>
  <c r="C613" i="12908"/>
  <c r="Z613" i="13034" s="1"/>
  <c r="C614" i="12908"/>
  <c r="Z614" i="13034" s="1"/>
  <c r="C615" i="12908"/>
  <c r="Z615" i="13034" s="1"/>
  <c r="C605" i="12908"/>
  <c r="F565" i="12908"/>
  <c r="AC565" i="13034" s="1"/>
  <c r="F564" i="12908"/>
  <c r="AC564" i="13034" s="1"/>
  <c r="F563" i="12908"/>
  <c r="AC563" i="13034" s="1"/>
  <c r="F562" i="12908"/>
  <c r="AC562" i="13034" s="1"/>
  <c r="F561" i="12908"/>
  <c r="AC561" i="13034" s="1"/>
  <c r="F556" i="12908"/>
  <c r="F555" i="12908"/>
  <c r="F554" i="12908"/>
  <c r="O539" i="12908"/>
  <c r="M539" i="12908"/>
  <c r="Q544" i="12908"/>
  <c r="AN544" i="13034" s="1"/>
  <c r="Q545" i="12908"/>
  <c r="AN545" i="13034" s="1"/>
  <c r="Q546" i="12908"/>
  <c r="AN546" i="13034" s="1"/>
  <c r="Q547" i="12908"/>
  <c r="AN547" i="13034" s="1"/>
  <c r="C593" i="12908"/>
  <c r="Z593" i="13034" s="1"/>
  <c r="C592" i="12908"/>
  <c r="Z592" i="13034" s="1"/>
  <c r="C591" i="12908"/>
  <c r="Z591" i="13034" s="1"/>
  <c r="C590" i="12908"/>
  <c r="Z590" i="13034" s="1"/>
  <c r="C589" i="12908"/>
  <c r="Z589" i="13034" s="1"/>
  <c r="C573" i="12908"/>
  <c r="Z573" i="13034" s="1"/>
  <c r="C574" i="12908"/>
  <c r="Z574" i="13034" s="1"/>
  <c r="C575" i="12908"/>
  <c r="Z575" i="13034" s="1"/>
  <c r="C576" i="12908"/>
  <c r="Z576" i="13034" s="1"/>
  <c r="C577" i="12908"/>
  <c r="Z577" i="13034" s="1"/>
  <c r="C578" i="12908"/>
  <c r="Z578" i="13034" s="1"/>
  <c r="C579" i="12908"/>
  <c r="Z579" i="13034" s="1"/>
  <c r="C580" i="12908"/>
  <c r="Z580" i="13034" s="1"/>
  <c r="C581" i="12908"/>
  <c r="C582" i="12908"/>
  <c r="Z582" i="13034" s="1"/>
  <c r="C572" i="12908"/>
  <c r="Z572" i="13034" s="1"/>
  <c r="D566" i="12908"/>
  <c r="AA566" i="13034" s="1"/>
  <c r="C566" i="12908"/>
  <c r="Z566" i="13034" s="1"/>
  <c r="C555" i="12908"/>
  <c r="Z555" i="13034" s="1"/>
  <c r="I566" i="12908"/>
  <c r="AF566" i="13034" s="1"/>
  <c r="H566" i="12908"/>
  <c r="AE566" i="13034" s="1"/>
  <c r="C527" i="12908"/>
  <c r="Z527" i="13034" s="1"/>
  <c r="C526" i="12908"/>
  <c r="Z526" i="13034" s="1"/>
  <c r="C525" i="12908"/>
  <c r="Z525" i="13034" s="1"/>
  <c r="C524" i="12908"/>
  <c r="Z524" i="13034" s="1"/>
  <c r="C523" i="12908"/>
  <c r="Z523" i="13034" s="1"/>
  <c r="C506" i="12908"/>
  <c r="Z506" i="13034" s="1"/>
  <c r="C507" i="12908"/>
  <c r="Z507" i="13034" s="1"/>
  <c r="C508" i="12908"/>
  <c r="Z508" i="13034" s="1"/>
  <c r="C509" i="12908"/>
  <c r="Z509" i="13034" s="1"/>
  <c r="C510" i="12908"/>
  <c r="Z510" i="13034" s="1"/>
  <c r="C511" i="12908"/>
  <c r="Z511" i="13034" s="1"/>
  <c r="C512" i="12908"/>
  <c r="Z512" i="13034" s="1"/>
  <c r="C513" i="12908"/>
  <c r="Z513" i="13034" s="1"/>
  <c r="C514" i="12908"/>
  <c r="C515" i="12908"/>
  <c r="Z515" i="13034" s="1"/>
  <c r="C505" i="12908"/>
  <c r="C493" i="12908"/>
  <c r="Z493" i="13034" s="1"/>
  <c r="C492" i="12908"/>
  <c r="Z492" i="13034" s="1"/>
  <c r="C491" i="12908"/>
  <c r="Z491" i="13034" s="1"/>
  <c r="C490" i="12908"/>
  <c r="Z490" i="13034" s="1"/>
  <c r="C489" i="12908"/>
  <c r="Z489" i="13034" s="1"/>
  <c r="C472" i="12908"/>
  <c r="Z472" i="13034" s="1"/>
  <c r="C473" i="12908"/>
  <c r="Z473" i="13034" s="1"/>
  <c r="C474" i="12908"/>
  <c r="Z474" i="13034" s="1"/>
  <c r="C475" i="12908"/>
  <c r="Z475" i="13034" s="1"/>
  <c r="C476" i="12908"/>
  <c r="Z476" i="13034" s="1"/>
  <c r="C477" i="12908"/>
  <c r="Z477" i="13034" s="1"/>
  <c r="C478" i="12908"/>
  <c r="Z478" i="13034" s="1"/>
  <c r="C479" i="12908"/>
  <c r="Z479" i="13034" s="1"/>
  <c r="C480" i="12908"/>
  <c r="C481" i="12908"/>
  <c r="Z481" i="13034" s="1"/>
  <c r="C471" i="12908"/>
  <c r="C459" i="12908"/>
  <c r="Z459" i="13034" s="1"/>
  <c r="C458" i="12908"/>
  <c r="Z458" i="13034" s="1"/>
  <c r="C457" i="12908"/>
  <c r="Z457" i="13034" s="1"/>
  <c r="C456" i="12908"/>
  <c r="Z456" i="13034" s="1"/>
  <c r="C455" i="12908"/>
  <c r="Z455" i="13034" s="1"/>
  <c r="C438" i="12908"/>
  <c r="Z438" i="13034" s="1"/>
  <c r="C439" i="12908"/>
  <c r="Z439" i="13034" s="1"/>
  <c r="C440" i="12908"/>
  <c r="Z440" i="13034" s="1"/>
  <c r="C441" i="12908"/>
  <c r="Z441" i="13034" s="1"/>
  <c r="C442" i="12908"/>
  <c r="Z442" i="13034" s="1"/>
  <c r="C443" i="12908"/>
  <c r="Z443" i="13034" s="1"/>
  <c r="C444" i="12908"/>
  <c r="Z444" i="13034" s="1"/>
  <c r="C445" i="12908"/>
  <c r="Z445" i="13034" s="1"/>
  <c r="C446" i="12908"/>
  <c r="C447" i="12908"/>
  <c r="Z447" i="13034" s="1"/>
  <c r="C437" i="12908"/>
  <c r="C425" i="12908"/>
  <c r="Z425" i="13034" s="1"/>
  <c r="C424" i="12908"/>
  <c r="Z424" i="13034" s="1"/>
  <c r="C423" i="12908"/>
  <c r="Z423" i="13034" s="1"/>
  <c r="C422" i="12908"/>
  <c r="Z422" i="13034" s="1"/>
  <c r="C421" i="12908"/>
  <c r="Z421" i="13034" s="1"/>
  <c r="C404" i="12908"/>
  <c r="Z404" i="13034" s="1"/>
  <c r="C405" i="12908"/>
  <c r="Z405" i="13034" s="1"/>
  <c r="C406" i="12908"/>
  <c r="Z406" i="13034" s="1"/>
  <c r="C407" i="12908"/>
  <c r="Z407" i="13034" s="1"/>
  <c r="C408" i="12908"/>
  <c r="Z408" i="13034" s="1"/>
  <c r="C409" i="12908"/>
  <c r="Z409" i="13034" s="1"/>
  <c r="C410" i="12908"/>
  <c r="Z410" i="13034" s="1"/>
  <c r="C411" i="12908"/>
  <c r="Z411" i="13034" s="1"/>
  <c r="C412" i="12908"/>
  <c r="C413" i="12908"/>
  <c r="Z413" i="13034" s="1"/>
  <c r="C403" i="12908"/>
  <c r="Z403" i="13034" s="1"/>
  <c r="D386" i="12908"/>
  <c r="AA386" i="13034" s="1"/>
  <c r="C386" i="12908"/>
  <c r="Z386" i="13034" s="1"/>
  <c r="D385" i="12908"/>
  <c r="AA385" i="13034" s="1"/>
  <c r="C385" i="12908"/>
  <c r="Z385" i="13034" s="1"/>
  <c r="C257" i="12908"/>
  <c r="Z257" i="13034" s="1"/>
  <c r="C261" i="12908"/>
  <c r="Z261" i="13034" s="1"/>
  <c r="C262" i="12908"/>
  <c r="Z262" i="13034" s="1"/>
  <c r="C263" i="12908"/>
  <c r="Z263" i="13034" s="1"/>
  <c r="C264" i="12908"/>
  <c r="Z264" i="13034" s="1"/>
  <c r="C265" i="12908"/>
  <c r="Z265" i="13034" s="1"/>
  <c r="C266" i="12908"/>
  <c r="Z266" i="13034" s="1"/>
  <c r="C267" i="12908"/>
  <c r="Z267" i="13034" s="1"/>
  <c r="C268" i="12908"/>
  <c r="Z268" i="13034" s="1"/>
  <c r="C269" i="12908"/>
  <c r="Z269" i="13034" s="1"/>
  <c r="C270" i="12908"/>
  <c r="Z270" i="13034" s="1"/>
  <c r="C271" i="12908"/>
  <c r="Z271" i="13034" s="1"/>
  <c r="D254" i="12908"/>
  <c r="AA254" i="13034" s="1"/>
  <c r="D242" i="12908"/>
  <c r="AA242" i="13034" s="1"/>
  <c r="D241" i="12908"/>
  <c r="AA241" i="13034" s="1"/>
  <c r="C254" i="12908"/>
  <c r="Z254" i="13034" s="1"/>
  <c r="C242" i="12908"/>
  <c r="Z242" i="13034" s="1"/>
  <c r="C241" i="12908"/>
  <c r="Z241" i="13034" s="1"/>
  <c r="C355" i="12908"/>
  <c r="Z355" i="13034" s="1"/>
  <c r="C354" i="12908"/>
  <c r="Z354" i="13034" s="1"/>
  <c r="C353" i="12908"/>
  <c r="Z353" i="13034" s="1"/>
  <c r="C352" i="12908"/>
  <c r="Z352" i="13034" s="1"/>
  <c r="C351" i="12908"/>
  <c r="Z351" i="13034" s="1"/>
  <c r="C334" i="12908"/>
  <c r="Z334" i="13034" s="1"/>
  <c r="C335" i="12908"/>
  <c r="Z335" i="13034" s="1"/>
  <c r="C336" i="12908"/>
  <c r="Z336" i="13034" s="1"/>
  <c r="C337" i="12908"/>
  <c r="Z337" i="13034" s="1"/>
  <c r="C338" i="12908"/>
  <c r="Z338" i="13034" s="1"/>
  <c r="C339" i="12908"/>
  <c r="Z339" i="13034" s="1"/>
  <c r="C340" i="12908"/>
  <c r="Z340" i="13034" s="1"/>
  <c r="C341" i="12908"/>
  <c r="Z341" i="13034" s="1"/>
  <c r="C342" i="12908"/>
  <c r="C343" i="12908"/>
  <c r="C333" i="12908"/>
  <c r="C319" i="12908"/>
  <c r="Z319" i="13034" s="1"/>
  <c r="C318" i="12908"/>
  <c r="Z318" i="13034" s="1"/>
  <c r="C317" i="12908"/>
  <c r="Z317" i="13034" s="1"/>
  <c r="C316" i="12908"/>
  <c r="Z316" i="13034" s="1"/>
  <c r="C315" i="12908"/>
  <c r="Z315" i="13034" s="1"/>
  <c r="C307" i="12908"/>
  <c r="Z307" i="13034" s="1"/>
  <c r="C306" i="12908"/>
  <c r="C298" i="12908"/>
  <c r="Z298" i="13034" s="1"/>
  <c r="C299" i="12908"/>
  <c r="Z299" i="13034" s="1"/>
  <c r="C300" i="12908"/>
  <c r="Z300" i="13034" s="1"/>
  <c r="C301" i="12908"/>
  <c r="Z301" i="13034" s="1"/>
  <c r="C302" i="12908"/>
  <c r="Z302" i="13034" s="1"/>
  <c r="C303" i="12908"/>
  <c r="Z303" i="13034" s="1"/>
  <c r="C304" i="12908"/>
  <c r="Z304" i="13034" s="1"/>
  <c r="C305" i="12908"/>
  <c r="Z305" i="13034" s="1"/>
  <c r="C297" i="12908"/>
  <c r="C289" i="12908"/>
  <c r="Z289" i="13034" s="1"/>
  <c r="C286" i="12908"/>
  <c r="Z286" i="13034" s="1"/>
  <c r="C283" i="12908"/>
  <c r="Z283" i="13034" s="1"/>
  <c r="C282" i="12908"/>
  <c r="Z282" i="13034" s="1"/>
  <c r="C280" i="12908"/>
  <c r="Z280" i="13034" s="1"/>
  <c r="C281" i="12908"/>
  <c r="Z281" i="13034" s="1"/>
  <c r="C279" i="12908"/>
  <c r="Z279" i="13034" s="1"/>
  <c r="M605" i="12908" l="1"/>
  <c r="AJ605" i="13034" s="1"/>
  <c r="AJ539" i="13034"/>
  <c r="F361" i="12908"/>
  <c r="AC361" i="13034" s="1"/>
  <c r="AC253" i="13034"/>
  <c r="C312" i="12908"/>
  <c r="Z312" i="13034" s="1"/>
  <c r="Z297" i="13034"/>
  <c r="C348" i="12908"/>
  <c r="Z348" i="13034" s="1"/>
  <c r="Z333" i="13034"/>
  <c r="C428" i="12908"/>
  <c r="Z428" i="13034" s="1"/>
  <c r="Z412" i="13034"/>
  <c r="C462" i="12908"/>
  <c r="Z462" i="13034" s="1"/>
  <c r="Z446" i="13034"/>
  <c r="C496" i="12908"/>
  <c r="Z496" i="13034" s="1"/>
  <c r="Z480" i="13034"/>
  <c r="C530" i="12908"/>
  <c r="Z530" i="13034" s="1"/>
  <c r="Z514" i="13034"/>
  <c r="O605" i="12908"/>
  <c r="AL539" i="13034"/>
  <c r="AJ539" i="13015"/>
  <c r="F350" i="12908"/>
  <c r="AC350" i="13034" s="1"/>
  <c r="AC242" i="13034"/>
  <c r="F322" i="12908"/>
  <c r="AC322" i="13034" s="1"/>
  <c r="AC250" i="13034"/>
  <c r="F327" i="12908"/>
  <c r="AC327" i="13034" s="1"/>
  <c r="AC255" i="13034"/>
  <c r="C322" i="12908"/>
  <c r="Z322" i="13034" s="1"/>
  <c r="Z306" i="13034"/>
  <c r="C361" i="12908"/>
  <c r="Z361" i="13034" s="1"/>
  <c r="Z343" i="13034"/>
  <c r="C596" i="12908"/>
  <c r="Z596" i="13034" s="1"/>
  <c r="Z581" i="13034"/>
  <c r="F653" i="12908"/>
  <c r="AC653" i="13034" s="1"/>
  <c r="AC554" i="13034"/>
  <c r="C620" i="12908"/>
  <c r="Z620" i="13034" s="1"/>
  <c r="Z605" i="13034"/>
  <c r="C653" i="12908"/>
  <c r="Z653" i="13034" s="1"/>
  <c r="Z638" i="13034"/>
  <c r="F351" i="12908"/>
  <c r="AC351" i="13034" s="1"/>
  <c r="AC243" i="13034"/>
  <c r="F600" i="12908"/>
  <c r="AC600" i="13034" s="1"/>
  <c r="AC567" i="13034"/>
  <c r="F622" i="12908"/>
  <c r="AC622" i="13034" s="1"/>
  <c r="AC556" i="13034"/>
  <c r="C662" i="12908"/>
  <c r="Z662" i="13034" s="1"/>
  <c r="Z647" i="13034"/>
  <c r="F349" i="12908"/>
  <c r="AC349" i="13034" s="1"/>
  <c r="AC241" i="13034"/>
  <c r="C358" i="12908"/>
  <c r="Z358" i="13034" s="1"/>
  <c r="Z342" i="13034"/>
  <c r="C452" i="12908"/>
  <c r="Z452" i="13034" s="1"/>
  <c r="Z437" i="13034"/>
  <c r="C486" i="12908"/>
  <c r="Z486" i="13034" s="1"/>
  <c r="Z471" i="13034"/>
  <c r="C520" i="12908"/>
  <c r="Z520" i="13034" s="1"/>
  <c r="Z505" i="13034"/>
  <c r="F654" i="12908"/>
  <c r="AC555" i="13034"/>
  <c r="F312" i="12908"/>
  <c r="AC312" i="13034" s="1"/>
  <c r="AC240" i="13034"/>
  <c r="A36" i="13005"/>
  <c r="F320" i="12908"/>
  <c r="AC320" i="13034" s="1"/>
  <c r="F324" i="12908"/>
  <c r="AC324" i="13034" s="1"/>
  <c r="Q613" i="12908"/>
  <c r="AN613" i="13034" s="1"/>
  <c r="F357" i="12908"/>
  <c r="AC357" i="13034" s="1"/>
  <c r="Q645" i="12908"/>
  <c r="AN645" i="13034" s="1"/>
  <c r="F660" i="12908"/>
  <c r="AC660" i="13034" s="1"/>
  <c r="F598" i="12908"/>
  <c r="AC598" i="13034" s="1"/>
  <c r="Q644" i="12908"/>
  <c r="AN644" i="13034" s="1"/>
  <c r="F661" i="12908"/>
  <c r="AC661" i="13034" s="1"/>
  <c r="F395" i="12908"/>
  <c r="AC395" i="13034" s="1"/>
  <c r="F633" i="12908"/>
  <c r="AC633" i="13034" s="1"/>
  <c r="O638" i="12908"/>
  <c r="F363" i="12908"/>
  <c r="AC363" i="13034" s="1"/>
  <c r="O572" i="12908"/>
  <c r="M638" i="12908"/>
  <c r="AJ638" i="13034" s="1"/>
  <c r="F384" i="12908"/>
  <c r="F398" i="12908"/>
  <c r="H555" i="12908"/>
  <c r="AE555" i="13034" s="1"/>
  <c r="C542" i="12908"/>
  <c r="Z542" i="13034" s="1"/>
  <c r="C539" i="12908"/>
  <c r="Z539" i="13034" s="1"/>
  <c r="F360" i="12908"/>
  <c r="AC360" i="13034" s="1"/>
  <c r="H622" i="12908"/>
  <c r="AE622" i="13034" s="1"/>
  <c r="F313" i="12908"/>
  <c r="F385" i="12908"/>
  <c r="F628" i="12908"/>
  <c r="AC628" i="13034" s="1"/>
  <c r="F325" i="12908"/>
  <c r="AC325" i="13034" s="1"/>
  <c r="F358" i="12908"/>
  <c r="AC358" i="13034" s="1"/>
  <c r="Q579" i="12908"/>
  <c r="AN579" i="13034" s="1"/>
  <c r="Q612" i="12908"/>
  <c r="AN612" i="13034" s="1"/>
  <c r="F394" i="12908"/>
  <c r="AC394" i="13034" s="1"/>
  <c r="F386" i="12908"/>
  <c r="F594" i="12908"/>
  <c r="AC594" i="13034" s="1"/>
  <c r="F314" i="12908"/>
  <c r="F392" i="12908"/>
  <c r="AC392" i="13034" s="1"/>
  <c r="Q646" i="12908"/>
  <c r="AN646" i="13034" s="1"/>
  <c r="F393" i="12908"/>
  <c r="AC393" i="13034" s="1"/>
  <c r="C618" i="12908"/>
  <c r="Z618" i="13034" s="1"/>
  <c r="C587" i="12908"/>
  <c r="F597" i="12908"/>
  <c r="AC597" i="13034" s="1"/>
  <c r="F630" i="12908"/>
  <c r="AC630" i="13034" s="1"/>
  <c r="F655" i="12908"/>
  <c r="Q577" i="12908"/>
  <c r="AN577" i="13034" s="1"/>
  <c r="Q643" i="12908"/>
  <c r="AN643" i="13034" s="1"/>
  <c r="F664" i="12908"/>
  <c r="AC664" i="13034" s="1"/>
  <c r="F631" i="12908"/>
  <c r="AC631" i="13034" s="1"/>
  <c r="F627" i="12908"/>
  <c r="AC627" i="13034" s="1"/>
  <c r="Q610" i="12908"/>
  <c r="AN610" i="13034" s="1"/>
  <c r="F663" i="12908"/>
  <c r="AC663" i="13034" s="1"/>
  <c r="C546" i="12908"/>
  <c r="Z546" i="13034" s="1"/>
  <c r="C543" i="12908"/>
  <c r="Z543" i="13034" s="1"/>
  <c r="C544" i="12908"/>
  <c r="Z544" i="13034" s="1"/>
  <c r="C547" i="12908"/>
  <c r="Z547" i="13034" s="1"/>
  <c r="C585" i="12908"/>
  <c r="Z585" i="13034" s="1"/>
  <c r="Q578" i="12908"/>
  <c r="AN578" i="13034" s="1"/>
  <c r="M572" i="12908"/>
  <c r="AJ572" i="13034" s="1"/>
  <c r="F589" i="12908"/>
  <c r="Q611" i="12908"/>
  <c r="AN611" i="13034" s="1"/>
  <c r="F387" i="12908"/>
  <c r="AC387" i="13034" s="1"/>
  <c r="F315" i="12908"/>
  <c r="F323" i="12908"/>
  <c r="AC323" i="13034" s="1"/>
  <c r="F359" i="12908"/>
  <c r="AC359" i="13034" s="1"/>
  <c r="F595" i="12908"/>
  <c r="AC595" i="13034" s="1"/>
  <c r="F620" i="12908"/>
  <c r="F356" i="12908"/>
  <c r="AC356" i="13034" s="1"/>
  <c r="Q580" i="12908"/>
  <c r="AN580" i="13034" s="1"/>
  <c r="F621" i="12908"/>
  <c r="AC621" i="13034" s="1"/>
  <c r="F588" i="12908"/>
  <c r="F629" i="12908"/>
  <c r="AC629" i="13034" s="1"/>
  <c r="F596" i="12908"/>
  <c r="F587" i="12908"/>
  <c r="AC587" i="13034" s="1"/>
  <c r="F662" i="12908"/>
  <c r="F321" i="12908"/>
  <c r="AC321" i="13034" s="1"/>
  <c r="F348" i="12908"/>
  <c r="AC348" i="13034" s="1"/>
  <c r="F396" i="12908"/>
  <c r="AC396" i="13034" s="1"/>
  <c r="C559" i="12908"/>
  <c r="Z559" i="13034" s="1"/>
  <c r="C557" i="12908"/>
  <c r="Z557" i="13034" s="1"/>
  <c r="C651" i="12908"/>
  <c r="Z651" i="13034" s="1"/>
  <c r="C548" i="12908"/>
  <c r="Z548" i="13034" s="1"/>
  <c r="C540" i="12908"/>
  <c r="Z540" i="13034" s="1"/>
  <c r="C629" i="12908"/>
  <c r="C541" i="12908"/>
  <c r="Z541" i="13034" s="1"/>
  <c r="C549" i="12908"/>
  <c r="Z549" i="13034" s="1"/>
  <c r="C545" i="12908"/>
  <c r="Z545" i="13034" s="1"/>
  <c r="C556" i="12908"/>
  <c r="C560" i="12908"/>
  <c r="Z560" i="13034" s="1"/>
  <c r="C558" i="12908"/>
  <c r="Z558" i="13034" s="1"/>
  <c r="C246" i="12908"/>
  <c r="Z246" i="13034" s="1"/>
  <c r="C229" i="12908"/>
  <c r="Z229" i="13034" s="1"/>
  <c r="C244" i="12908"/>
  <c r="Z244" i="13034" s="1"/>
  <c r="C247" i="12908"/>
  <c r="Z247" i="13034" s="1"/>
  <c r="C243" i="12908"/>
  <c r="Z243" i="13034" s="1"/>
  <c r="C245" i="12908"/>
  <c r="Z245" i="13034" s="1"/>
  <c r="D555" i="12908"/>
  <c r="AA555" i="13034" s="1"/>
  <c r="C371" i="12908"/>
  <c r="Z371" i="13034" s="1"/>
  <c r="I654" i="12908"/>
  <c r="AF654" i="13034" s="1"/>
  <c r="C374" i="12908"/>
  <c r="Z374" i="13034" s="1"/>
  <c r="C370" i="12908"/>
  <c r="Z370" i="13034" s="1"/>
  <c r="C450" i="12908"/>
  <c r="Z450" i="13034" s="1"/>
  <c r="C250" i="12908"/>
  <c r="Z250" i="13034" s="1"/>
  <c r="C232" i="12908"/>
  <c r="Z232" i="13034" s="1"/>
  <c r="C228" i="12908"/>
  <c r="Z228" i="13034" s="1"/>
  <c r="C346" i="12908"/>
  <c r="Z346" i="13034" s="1"/>
  <c r="C234" i="12908"/>
  <c r="Z234" i="13034" s="1"/>
  <c r="C226" i="12908"/>
  <c r="Z226" i="13034" s="1"/>
  <c r="C376" i="12908"/>
  <c r="Z376" i="13034" s="1"/>
  <c r="C518" i="12908"/>
  <c r="Z518" i="13034" s="1"/>
  <c r="C375" i="12908"/>
  <c r="Z375" i="13034" s="1"/>
  <c r="C231" i="12908"/>
  <c r="Z231" i="13034" s="1"/>
  <c r="C233" i="12908"/>
  <c r="Z233" i="13034" s="1"/>
  <c r="C225" i="12908"/>
  <c r="Z225" i="13034" s="1"/>
  <c r="C416" i="12908"/>
  <c r="Z416" i="13034" s="1"/>
  <c r="C230" i="12908"/>
  <c r="Z230" i="13034" s="1"/>
  <c r="C325" i="12908"/>
  <c r="C235" i="12908"/>
  <c r="Z235" i="13034" s="1"/>
  <c r="C227" i="12908"/>
  <c r="Z227" i="13034" s="1"/>
  <c r="C373" i="12908"/>
  <c r="Z373" i="13034" s="1"/>
  <c r="C394" i="12908"/>
  <c r="Z394" i="13034" s="1"/>
  <c r="C388" i="12908"/>
  <c r="Z388" i="13034" s="1"/>
  <c r="C484" i="12908"/>
  <c r="Z484" i="13034" s="1"/>
  <c r="C391" i="12908"/>
  <c r="Z391" i="13034" s="1"/>
  <c r="C377" i="12908"/>
  <c r="Z377" i="13034" s="1"/>
  <c r="C372" i="12908"/>
  <c r="Z372" i="13034" s="1"/>
  <c r="C389" i="12908"/>
  <c r="Z389" i="13034" s="1"/>
  <c r="C369" i="12908"/>
  <c r="Z369" i="13034" s="1"/>
  <c r="C387" i="12908"/>
  <c r="Z387" i="13034" s="1"/>
  <c r="C418" i="12908"/>
  <c r="C390" i="12908"/>
  <c r="Z390" i="13034" s="1"/>
  <c r="C379" i="12908"/>
  <c r="Z379" i="13034" s="1"/>
  <c r="C378" i="12908"/>
  <c r="Z378" i="13034" s="1"/>
  <c r="C397" i="12908"/>
  <c r="Z397" i="13034" s="1"/>
  <c r="C310" i="12908"/>
  <c r="Z310" i="13034" s="1"/>
  <c r="C276" i="12908"/>
  <c r="Z276" i="13034" s="1"/>
  <c r="M291" i="12908"/>
  <c r="AJ291" i="13034" s="1"/>
  <c r="K291" i="12908"/>
  <c r="AH291" i="13034" s="1"/>
  <c r="O243" i="12908"/>
  <c r="O242" i="12908"/>
  <c r="O241" i="12908"/>
  <c r="O240" i="12908"/>
  <c r="M243" i="12908"/>
  <c r="AJ243" i="13034" s="1"/>
  <c r="M242" i="12908"/>
  <c r="AJ242" i="13034" s="1"/>
  <c r="M241" i="12908"/>
  <c r="AJ241" i="13034" s="1"/>
  <c r="M240" i="12908"/>
  <c r="AJ240" i="13034" s="1"/>
  <c r="Q253" i="12908"/>
  <c r="AN253" i="13034" s="1"/>
  <c r="Q250" i="12908"/>
  <c r="AN250" i="13034" s="1"/>
  <c r="O234" i="12908"/>
  <c r="O225" i="12908"/>
  <c r="M234" i="12908"/>
  <c r="M225" i="12908"/>
  <c r="AJ225" i="13034" s="1"/>
  <c r="K234" i="12908"/>
  <c r="Q343" i="12908"/>
  <c r="AN343" i="13034" s="1"/>
  <c r="Q234" i="12908"/>
  <c r="AN234" i="13034" s="1"/>
  <c r="Q233" i="12908"/>
  <c r="AN233" i="13034" s="1"/>
  <c r="Q232" i="12908"/>
  <c r="AN232" i="13034" s="1"/>
  <c r="Q231" i="12908"/>
  <c r="AN231" i="13034" s="1"/>
  <c r="Q230" i="12908"/>
  <c r="AN230" i="13034" s="1"/>
  <c r="I397" i="12908"/>
  <c r="AF397" i="13034" s="1"/>
  <c r="H351" i="12908"/>
  <c r="AE351" i="13034" s="1"/>
  <c r="H349" i="12908"/>
  <c r="AE349" i="13034" s="1"/>
  <c r="H348" i="12908"/>
  <c r="AE348" i="13034" s="1"/>
  <c r="H322" i="12908"/>
  <c r="AE322" i="13034" s="1"/>
  <c r="H286" i="12908"/>
  <c r="AE286" i="13034" s="1"/>
  <c r="H278" i="12908"/>
  <c r="AE278" i="13034" s="1"/>
  <c r="H277" i="12908"/>
  <c r="AE277" i="13034" s="1"/>
  <c r="I254" i="12908"/>
  <c r="AF254" i="13034" s="1"/>
  <c r="H241" i="12908"/>
  <c r="AE241" i="13034" s="1"/>
  <c r="Q727" i="12908"/>
  <c r="AN727" i="13034" s="1"/>
  <c r="M956" i="12908"/>
  <c r="AJ956" i="13034" s="1"/>
  <c r="K956" i="12908"/>
  <c r="AH956" i="13034" s="1"/>
  <c r="O1156" i="12908"/>
  <c r="O1153" i="12908"/>
  <c r="M1156" i="12908"/>
  <c r="AJ1156" i="13034" s="1"/>
  <c r="M1153" i="12908"/>
  <c r="K1156" i="12908"/>
  <c r="AH1156" i="13034" s="1"/>
  <c r="Q1156" i="12908"/>
  <c r="AN1156" i="13034" s="1"/>
  <c r="Q1152" i="12908"/>
  <c r="AN1152" i="13034" s="1"/>
  <c r="Q1151" i="12908"/>
  <c r="AN1151" i="13034" s="1"/>
  <c r="Q1150" i="12908"/>
  <c r="AN1150" i="13034" s="1"/>
  <c r="Q1149" i="12908"/>
  <c r="AN1149" i="13034" s="1"/>
  <c r="D1145" i="12908"/>
  <c r="AA1145" i="13034" s="1"/>
  <c r="C1152" i="12908"/>
  <c r="Z1152" i="13034" s="1"/>
  <c r="C1151" i="12908"/>
  <c r="Z1151" i="13034" s="1"/>
  <c r="C1150" i="12908"/>
  <c r="Z1150" i="13034" s="1"/>
  <c r="C1149" i="12908"/>
  <c r="Z1149" i="13034" s="1"/>
  <c r="O1068" i="12908"/>
  <c r="O1065" i="12908"/>
  <c r="M1068" i="12908"/>
  <c r="M1065" i="12908"/>
  <c r="K1068" i="12908"/>
  <c r="Q1068" i="12908"/>
  <c r="AN1068" i="13034" s="1"/>
  <c r="Q1064" i="12908"/>
  <c r="AN1064" i="13034" s="1"/>
  <c r="Q1063" i="12908"/>
  <c r="AN1063" i="13034" s="1"/>
  <c r="Q1062" i="12908"/>
  <c r="AN1062" i="13034" s="1"/>
  <c r="Q1061" i="12908"/>
  <c r="AN1061" i="13034" s="1"/>
  <c r="C1124" i="12908"/>
  <c r="Z1124" i="13034" s="1"/>
  <c r="C1125" i="12908"/>
  <c r="Z1125" i="13034" s="1"/>
  <c r="C1126" i="12908"/>
  <c r="Z1126" i="13034" s="1"/>
  <c r="C1127" i="12908"/>
  <c r="Z1127" i="13034" s="1"/>
  <c r="C1128" i="12908"/>
  <c r="Z1128" i="13034" s="1"/>
  <c r="C1129" i="12908"/>
  <c r="Z1129" i="13034" s="1"/>
  <c r="C1130" i="12908"/>
  <c r="Z1130" i="13034" s="1"/>
  <c r="C1123" i="12908"/>
  <c r="Z1123" i="13034" s="1"/>
  <c r="C1108" i="12908"/>
  <c r="Z1108" i="13034" s="1"/>
  <c r="C1107" i="12908"/>
  <c r="Z1107" i="13034" s="1"/>
  <c r="C1106" i="12908"/>
  <c r="Z1106" i="13034" s="1"/>
  <c r="C1105" i="12908"/>
  <c r="Z1105" i="13034" s="1"/>
  <c r="C1080" i="12908"/>
  <c r="Z1080" i="13034" s="1"/>
  <c r="C1081" i="12908"/>
  <c r="Z1081" i="13034" s="1"/>
  <c r="C1082" i="12908"/>
  <c r="Z1082" i="13034" s="1"/>
  <c r="C1083" i="12908"/>
  <c r="Z1083" i="13034" s="1"/>
  <c r="C1084" i="12908"/>
  <c r="Z1084" i="13034" s="1"/>
  <c r="C1085" i="12908"/>
  <c r="Z1085" i="13034" s="1"/>
  <c r="C1086" i="12908"/>
  <c r="Z1086" i="13034" s="1"/>
  <c r="C1079" i="12908"/>
  <c r="Z1079" i="13034" s="1"/>
  <c r="M342" i="12908" l="1"/>
  <c r="AJ342" i="13034" s="1"/>
  <c r="AJ234" i="13034"/>
  <c r="H556" i="12908"/>
  <c r="AE556" i="13034" s="1"/>
  <c r="Z556" i="13034"/>
  <c r="H589" i="12908"/>
  <c r="AE589" i="13034" s="1"/>
  <c r="AC589" i="13034"/>
  <c r="F487" i="12908"/>
  <c r="AC385" i="13034"/>
  <c r="F452" i="12908"/>
  <c r="AC384" i="13034"/>
  <c r="H654" i="12908"/>
  <c r="AE654" i="13034" s="1"/>
  <c r="AC654" i="13034"/>
  <c r="O1131" i="12908"/>
  <c r="AL1065" i="13034"/>
  <c r="AJ1065" i="13015"/>
  <c r="AL1156" i="13034"/>
  <c r="AJ1156" i="13015"/>
  <c r="O333" i="12908"/>
  <c r="AL225" i="13034"/>
  <c r="AJ225" i="13015"/>
  <c r="AL240" i="13034"/>
  <c r="AJ240" i="13015"/>
  <c r="C384" i="12908"/>
  <c r="Z384" i="13034" s="1"/>
  <c r="Z418" i="13034"/>
  <c r="H653" i="12908"/>
  <c r="AE653" i="13034" s="1"/>
  <c r="H662" i="12908"/>
  <c r="AE662" i="13034" s="1"/>
  <c r="AC662" i="13034"/>
  <c r="H588" i="12908"/>
  <c r="AE588" i="13034" s="1"/>
  <c r="AC588" i="13034"/>
  <c r="H620" i="12908"/>
  <c r="AE620" i="13034" s="1"/>
  <c r="AC620" i="13034"/>
  <c r="H315" i="12908"/>
  <c r="AE315" i="13034" s="1"/>
  <c r="AC315" i="13034"/>
  <c r="H386" i="12908"/>
  <c r="AE386" i="13034" s="1"/>
  <c r="AC386" i="13034"/>
  <c r="H313" i="12908"/>
  <c r="AE313" i="13034" s="1"/>
  <c r="AC313" i="13034"/>
  <c r="M1134" i="12908"/>
  <c r="AJ1134" i="13034" s="1"/>
  <c r="AJ1068" i="13034"/>
  <c r="AL243" i="13034"/>
  <c r="AJ243" i="13015"/>
  <c r="AL638" i="13034"/>
  <c r="AJ638" i="13015"/>
  <c r="K1134" i="12908"/>
  <c r="AH1134" i="13034" s="1"/>
  <c r="AH1068" i="13034"/>
  <c r="O1134" i="12908"/>
  <c r="AL1068" i="13034"/>
  <c r="AJ1068" i="13015"/>
  <c r="U1153" i="12908"/>
  <c r="AR1153" i="13034" s="1"/>
  <c r="AJ1153" i="13034"/>
  <c r="H361" i="12908"/>
  <c r="AE361" i="13034" s="1"/>
  <c r="K342" i="12908"/>
  <c r="AH342" i="13034" s="1"/>
  <c r="AH234" i="13034"/>
  <c r="O270" i="12908"/>
  <c r="AL234" i="13034"/>
  <c r="AJ234" i="13015"/>
  <c r="W241" i="12908"/>
  <c r="AL241" i="13034"/>
  <c r="AJ241" i="13015"/>
  <c r="C253" i="12908"/>
  <c r="Z253" i="13034" s="1"/>
  <c r="Z325" i="13034"/>
  <c r="C554" i="12908"/>
  <c r="Z587" i="13034"/>
  <c r="AL572" i="13034"/>
  <c r="AJ572" i="13015"/>
  <c r="W1153" i="12908"/>
  <c r="AL1153" i="13034"/>
  <c r="AJ1153" i="13015"/>
  <c r="C563" i="12908"/>
  <c r="Z629" i="13034"/>
  <c r="M1131" i="12908"/>
  <c r="AJ1131" i="13034" s="1"/>
  <c r="AJ1065" i="13034"/>
  <c r="AL242" i="13034"/>
  <c r="AJ242" i="13015"/>
  <c r="H596" i="12908"/>
  <c r="AE596" i="13034" s="1"/>
  <c r="AC596" i="13034"/>
  <c r="H655" i="12908"/>
  <c r="AE655" i="13034" s="1"/>
  <c r="AC655" i="13034"/>
  <c r="H314" i="12908"/>
  <c r="AE314" i="13034" s="1"/>
  <c r="AC314" i="13034"/>
  <c r="F466" i="12908"/>
  <c r="AC466" i="13034" s="1"/>
  <c r="AC398" i="13034"/>
  <c r="AL605" i="13034"/>
  <c r="AJ605" i="13015"/>
  <c r="A37" i="13005"/>
  <c r="A38" i="13005" s="1"/>
  <c r="F497" i="12908"/>
  <c r="AC497" i="13034" s="1"/>
  <c r="F429" i="12908"/>
  <c r="AC429" i="13034" s="1"/>
  <c r="F531" i="12908"/>
  <c r="AC531" i="13034" s="1"/>
  <c r="F463" i="12908"/>
  <c r="AC463" i="13034" s="1"/>
  <c r="F500" i="12908"/>
  <c r="AC500" i="13034" s="1"/>
  <c r="Q306" i="12908"/>
  <c r="AN306" i="13034" s="1"/>
  <c r="Q289" i="12908"/>
  <c r="AN289" i="13034" s="1"/>
  <c r="Y1150" i="12908"/>
  <c r="AV1150" i="13034" s="1"/>
  <c r="Q339" i="12908"/>
  <c r="AN339" i="13034" s="1"/>
  <c r="F529" i="12908"/>
  <c r="AC529" i="13034" s="1"/>
  <c r="Y1151" i="12908"/>
  <c r="AV1151" i="13034" s="1"/>
  <c r="Q268" i="12908"/>
  <c r="AN268" i="13034" s="1"/>
  <c r="Y1152" i="12908"/>
  <c r="AV1152" i="13034" s="1"/>
  <c r="Q269" i="12908"/>
  <c r="AN269" i="13034" s="1"/>
  <c r="M278" i="12908"/>
  <c r="U242" i="12908"/>
  <c r="AR242" i="13034" s="1"/>
  <c r="O279" i="12908"/>
  <c r="M384" i="12908"/>
  <c r="AJ384" i="13034" s="1"/>
  <c r="O276" i="12908"/>
  <c r="O350" i="12908"/>
  <c r="W242" i="12908"/>
  <c r="M313" i="12908"/>
  <c r="U241" i="12908"/>
  <c r="AR241" i="13034" s="1"/>
  <c r="O1109" i="12908"/>
  <c r="O1112" i="12908"/>
  <c r="Q1129" i="12908"/>
  <c r="AN1129" i="13034" s="1"/>
  <c r="Q1108" i="12908"/>
  <c r="AN1108" i="13034" s="1"/>
  <c r="Q1127" i="12908"/>
  <c r="AN1127" i="13034" s="1"/>
  <c r="Q1106" i="12908"/>
  <c r="AN1106" i="13034" s="1"/>
  <c r="F534" i="12908"/>
  <c r="AC534" i="13034" s="1"/>
  <c r="F520" i="12908"/>
  <c r="O315" i="12908"/>
  <c r="F486" i="12908"/>
  <c r="F432" i="12908"/>
  <c r="AC432" i="13034" s="1"/>
  <c r="F418" i="12908"/>
  <c r="F495" i="12908"/>
  <c r="AC495" i="13034" s="1"/>
  <c r="H385" i="12908"/>
  <c r="AE385" i="13034" s="1"/>
  <c r="F419" i="12908"/>
  <c r="F453" i="12908"/>
  <c r="F521" i="12908"/>
  <c r="F462" i="12908"/>
  <c r="F530" i="12908"/>
  <c r="F496" i="12908"/>
  <c r="F428" i="12908"/>
  <c r="F427" i="12908"/>
  <c r="AC427" i="13034" s="1"/>
  <c r="F461" i="12908"/>
  <c r="AC461" i="13034" s="1"/>
  <c r="F454" i="12908"/>
  <c r="F420" i="12908"/>
  <c r="F488" i="12908"/>
  <c r="F522" i="12908"/>
  <c r="H587" i="12908"/>
  <c r="AE587" i="13034" s="1"/>
  <c r="F494" i="12908"/>
  <c r="AC494" i="13034" s="1"/>
  <c r="F460" i="12908"/>
  <c r="AC460" i="13034" s="1"/>
  <c r="F528" i="12908"/>
  <c r="AC528" i="13034" s="1"/>
  <c r="F426" i="12908"/>
  <c r="AC426" i="13034" s="1"/>
  <c r="H629" i="12908"/>
  <c r="AE629" i="13034" s="1"/>
  <c r="F532" i="12908"/>
  <c r="AC532" i="13034" s="1"/>
  <c r="F430" i="12908"/>
  <c r="AC430" i="13034" s="1"/>
  <c r="F498" i="12908"/>
  <c r="AC498" i="13034" s="1"/>
  <c r="F464" i="12908"/>
  <c r="AC464" i="13034" s="1"/>
  <c r="O1087" i="12908"/>
  <c r="F489" i="12908"/>
  <c r="F523" i="12908"/>
  <c r="F421" i="12908"/>
  <c r="F455" i="12908"/>
  <c r="H621" i="12908"/>
  <c r="AE621" i="13034" s="1"/>
  <c r="I621" i="12908"/>
  <c r="AF621" i="13034" s="1"/>
  <c r="C552" i="12908"/>
  <c r="Z552" i="13034" s="1"/>
  <c r="Q361" i="12908"/>
  <c r="AN361" i="13034" s="1"/>
  <c r="Q303" i="12908"/>
  <c r="AN303" i="13034" s="1"/>
  <c r="Q271" i="12908"/>
  <c r="AN271" i="13034" s="1"/>
  <c r="Q307" i="12908"/>
  <c r="AN307" i="13034" s="1"/>
  <c r="M349" i="12908"/>
  <c r="Q375" i="12908"/>
  <c r="AN375" i="13034" s="1"/>
  <c r="O386" i="12908"/>
  <c r="O297" i="12908"/>
  <c r="Q325" i="12908"/>
  <c r="AN325" i="13034" s="1"/>
  <c r="O351" i="12908"/>
  <c r="M276" i="12908"/>
  <c r="AJ276" i="13034" s="1"/>
  <c r="O261" i="12908"/>
  <c r="O314" i="12908"/>
  <c r="M385" i="12908"/>
  <c r="AJ385" i="13034" s="1"/>
  <c r="O369" i="12908"/>
  <c r="O387" i="12908"/>
  <c r="H325" i="12908"/>
  <c r="AE325" i="13034" s="1"/>
  <c r="C238" i="12908"/>
  <c r="Z238" i="13034" s="1"/>
  <c r="I588" i="12908"/>
  <c r="AF588" i="13034" s="1"/>
  <c r="Q266" i="12908"/>
  <c r="AN266" i="13034" s="1"/>
  <c r="Q374" i="12908"/>
  <c r="AN374" i="13034" s="1"/>
  <c r="M520" i="12908"/>
  <c r="AJ520" i="13034" s="1"/>
  <c r="Q338" i="12908"/>
  <c r="AN338" i="13034" s="1"/>
  <c r="Q270" i="12908"/>
  <c r="AN270" i="13034" s="1"/>
  <c r="Q342" i="12908"/>
  <c r="AN342" i="13034" s="1"/>
  <c r="K306" i="12908"/>
  <c r="AH306" i="13034" s="1"/>
  <c r="K270" i="12908"/>
  <c r="AH270" i="13034" s="1"/>
  <c r="Q322" i="12908"/>
  <c r="AN322" i="13034" s="1"/>
  <c r="Q358" i="12908"/>
  <c r="AN358" i="13034" s="1"/>
  <c r="O385" i="12908"/>
  <c r="O349" i="12908"/>
  <c r="O313" i="12908"/>
  <c r="K378" i="12908"/>
  <c r="Q376" i="12908"/>
  <c r="AN376" i="13034" s="1"/>
  <c r="Q340" i="12908"/>
  <c r="AN340" i="13034" s="1"/>
  <c r="Q304" i="12908"/>
  <c r="AN304" i="13034" s="1"/>
  <c r="M297" i="12908"/>
  <c r="AJ297" i="13034" s="1"/>
  <c r="M261" i="12908"/>
  <c r="AJ261" i="13034" s="1"/>
  <c r="M369" i="12908"/>
  <c r="M333" i="12908"/>
  <c r="AJ333" i="13034" s="1"/>
  <c r="O378" i="12908"/>
  <c r="O342" i="12908"/>
  <c r="O306" i="12908"/>
  <c r="O277" i="12908"/>
  <c r="Q302" i="12908"/>
  <c r="AN302" i="13034" s="1"/>
  <c r="Q378" i="12908"/>
  <c r="AN378" i="13034" s="1"/>
  <c r="Q394" i="12908"/>
  <c r="AN394" i="13034" s="1"/>
  <c r="M351" i="12908"/>
  <c r="AJ351" i="13034" s="1"/>
  <c r="M387" i="12908"/>
  <c r="AJ387" i="13034" s="1"/>
  <c r="M315" i="12908"/>
  <c r="AJ315" i="13034" s="1"/>
  <c r="M279" i="12908"/>
  <c r="AJ279" i="13034" s="1"/>
  <c r="Q286" i="12908"/>
  <c r="AN286" i="13034" s="1"/>
  <c r="Q305" i="12908"/>
  <c r="AN305" i="13034" s="1"/>
  <c r="Q377" i="12908"/>
  <c r="AN377" i="13034" s="1"/>
  <c r="Q341" i="12908"/>
  <c r="AN341" i="13034" s="1"/>
  <c r="M378" i="12908"/>
  <c r="M306" i="12908"/>
  <c r="AJ306" i="13034" s="1"/>
  <c r="M270" i="12908"/>
  <c r="AJ270" i="13034" s="1"/>
  <c r="M386" i="12908"/>
  <c r="AJ386" i="13034" s="1"/>
  <c r="M350" i="12908"/>
  <c r="M314" i="12908"/>
  <c r="O312" i="12908"/>
  <c r="O384" i="12908"/>
  <c r="O348" i="12908"/>
  <c r="Q267" i="12908"/>
  <c r="AN267" i="13034" s="1"/>
  <c r="O278" i="12908"/>
  <c r="M312" i="12908"/>
  <c r="AJ312" i="13034" s="1"/>
  <c r="M348" i="12908"/>
  <c r="AJ348" i="13034" s="1"/>
  <c r="Q379" i="12908"/>
  <c r="AN379" i="13034" s="1"/>
  <c r="C382" i="12908"/>
  <c r="Z382" i="13034" s="1"/>
  <c r="M277" i="12908"/>
  <c r="H276" i="12908"/>
  <c r="AE276" i="13034" s="1"/>
  <c r="C240" i="12908"/>
  <c r="C274" i="12908"/>
  <c r="Z274" i="13034" s="1"/>
  <c r="H250" i="12908"/>
  <c r="AE250" i="13034" s="1"/>
  <c r="M1112" i="12908"/>
  <c r="AJ1112" i="13034" s="1"/>
  <c r="C1063" i="12908"/>
  <c r="Z1063" i="13034" s="1"/>
  <c r="C1103" i="12908"/>
  <c r="C1064" i="12908"/>
  <c r="Z1064" i="13034" s="1"/>
  <c r="H358" i="12908"/>
  <c r="AE358" i="13034" s="1"/>
  <c r="M1087" i="12908"/>
  <c r="AJ1087" i="13034" s="1"/>
  <c r="M1109" i="12908"/>
  <c r="AJ1109" i="13034" s="1"/>
  <c r="H254" i="12908"/>
  <c r="AE254" i="13034" s="1"/>
  <c r="C1145" i="12908"/>
  <c r="M1090" i="12908"/>
  <c r="AJ1090" i="13034" s="1"/>
  <c r="K1090" i="12908"/>
  <c r="AH1090" i="13034" s="1"/>
  <c r="H279" i="12908"/>
  <c r="AE279" i="13034" s="1"/>
  <c r="H384" i="12908"/>
  <c r="AE384" i="13034" s="1"/>
  <c r="Q1130" i="12908"/>
  <c r="AN1130" i="13034" s="1"/>
  <c r="K1112" i="12908"/>
  <c r="AH1112" i="13034" s="1"/>
  <c r="I313" i="12908"/>
  <c r="AF313" i="13034" s="1"/>
  <c r="I350" i="12908"/>
  <c r="AF350" i="13034" s="1"/>
  <c r="C1062" i="12908"/>
  <c r="Z1062" i="13034" s="1"/>
  <c r="C1061" i="12908"/>
  <c r="Z1061" i="13034" s="1"/>
  <c r="O1090" i="12908"/>
  <c r="Q1112" i="12908"/>
  <c r="AN1112" i="13034" s="1"/>
  <c r="Q1134" i="12908"/>
  <c r="AN1134" i="13034" s="1"/>
  <c r="Q1083" i="12908"/>
  <c r="AN1083" i="13034" s="1"/>
  <c r="I314" i="12908"/>
  <c r="AF314" i="13034" s="1"/>
  <c r="H350" i="12908"/>
  <c r="AE350" i="13034" s="1"/>
  <c r="H242" i="12908"/>
  <c r="AE242" i="13034" s="1"/>
  <c r="I487" i="12908"/>
  <c r="AF487" i="13034" s="1"/>
  <c r="Q1128" i="12908"/>
  <c r="AN1128" i="13034" s="1"/>
  <c r="Q1084" i="12908"/>
  <c r="AN1084" i="13034" s="1"/>
  <c r="H289" i="12908"/>
  <c r="AE289" i="13034" s="1"/>
  <c r="Q1105" i="12908"/>
  <c r="AN1105" i="13034" s="1"/>
  <c r="C1147" i="12908"/>
  <c r="Z1147" i="13034" s="1"/>
  <c r="H243" i="12908"/>
  <c r="AE243" i="13034" s="1"/>
  <c r="H312" i="12908"/>
  <c r="AE312" i="13034" s="1"/>
  <c r="I349" i="12908"/>
  <c r="AF349" i="13034" s="1"/>
  <c r="H394" i="12908"/>
  <c r="AE394" i="13034" s="1"/>
  <c r="H387" i="12908"/>
  <c r="AE387" i="13034" s="1"/>
  <c r="H397" i="12908"/>
  <c r="AE397" i="13034" s="1"/>
  <c r="Q1090" i="12908"/>
  <c r="AN1090" i="13034" s="1"/>
  <c r="Q1085" i="12908"/>
  <c r="AN1085" i="13034" s="1"/>
  <c r="Q1107" i="12908"/>
  <c r="AN1107" i="13034" s="1"/>
  <c r="Q1086" i="12908"/>
  <c r="AN1086" i="13034" s="1"/>
  <c r="C1101" i="12908"/>
  <c r="O996" i="12908"/>
  <c r="O993" i="12908"/>
  <c r="M996" i="12908"/>
  <c r="M993" i="12908"/>
  <c r="AJ993" i="13034" s="1"/>
  <c r="K996" i="12908"/>
  <c r="Q1001" i="12908"/>
  <c r="AN1001" i="13034" s="1"/>
  <c r="Q996" i="12908"/>
  <c r="AN996" i="13034" s="1"/>
  <c r="O1020" i="12908"/>
  <c r="O1017" i="12908"/>
  <c r="M1020" i="12908"/>
  <c r="AJ1020" i="13034" s="1"/>
  <c r="M1017" i="12908"/>
  <c r="AJ1017" i="13034" s="1"/>
  <c r="K1020" i="12908"/>
  <c r="AH1020" i="13034" s="1"/>
  <c r="Q1025" i="12908"/>
  <c r="AN1025" i="13034" s="1"/>
  <c r="Q1020" i="12908"/>
  <c r="AN1020" i="13034" s="1"/>
  <c r="O1044" i="12908"/>
  <c r="O1041" i="12908"/>
  <c r="M1044" i="12908"/>
  <c r="AJ1044" i="13034" s="1"/>
  <c r="M1041" i="12908"/>
  <c r="AJ1041" i="13034" s="1"/>
  <c r="K1044" i="12908"/>
  <c r="AH1044" i="13034" s="1"/>
  <c r="Q1049" i="12908"/>
  <c r="AN1049" i="13034" s="1"/>
  <c r="Q1044" i="12908"/>
  <c r="AN1044" i="13034" s="1"/>
  <c r="Q1040" i="12908"/>
  <c r="AN1040" i="13034" s="1"/>
  <c r="Q1039" i="12908"/>
  <c r="AN1039" i="13034" s="1"/>
  <c r="Q1038" i="12908"/>
  <c r="AN1038" i="13034" s="1"/>
  <c r="Q1037" i="12908"/>
  <c r="AN1037" i="13034" s="1"/>
  <c r="Q1016" i="12908"/>
  <c r="AN1016" i="13034" s="1"/>
  <c r="Q1015" i="12908"/>
  <c r="AN1015" i="13034" s="1"/>
  <c r="Q1014" i="12908"/>
  <c r="AN1014" i="13034" s="1"/>
  <c r="Q1013" i="12908"/>
  <c r="AN1013" i="13034" s="1"/>
  <c r="Q992" i="12908"/>
  <c r="AN992" i="13034" s="1"/>
  <c r="Q991" i="12908"/>
  <c r="AN991" i="13034" s="1"/>
  <c r="Q990" i="12908"/>
  <c r="AN990" i="13034" s="1"/>
  <c r="Q989" i="12908"/>
  <c r="AN989" i="13034" s="1"/>
  <c r="C1102" i="12908" l="1"/>
  <c r="Z1102" i="13034" s="1"/>
  <c r="Z1101" i="13034"/>
  <c r="M403" i="12908"/>
  <c r="AJ403" i="13034" s="1"/>
  <c r="AJ369" i="13034"/>
  <c r="H520" i="12908"/>
  <c r="AE520" i="13034" s="1"/>
  <c r="AC520" i="13034"/>
  <c r="M548" i="12908"/>
  <c r="AJ548" i="13034" s="1"/>
  <c r="AJ996" i="13034"/>
  <c r="C1059" i="12908"/>
  <c r="Z1059" i="13034" s="1"/>
  <c r="Z1103" i="13034"/>
  <c r="W278" i="12908"/>
  <c r="AL278" i="13034"/>
  <c r="AJ278" i="13015"/>
  <c r="AL312" i="13034"/>
  <c r="AJ312" i="13015"/>
  <c r="AL342" i="13034"/>
  <c r="AJ342" i="13015"/>
  <c r="W385" i="12908"/>
  <c r="AL385" i="13034"/>
  <c r="AJ385" i="13015"/>
  <c r="AL351" i="13034"/>
  <c r="AJ351" i="13015"/>
  <c r="H489" i="12908"/>
  <c r="AE489" i="13034" s="1"/>
  <c r="AC489" i="13034"/>
  <c r="H522" i="12908"/>
  <c r="AE522" i="13034" s="1"/>
  <c r="AC522" i="13034"/>
  <c r="H530" i="12908"/>
  <c r="AE530" i="13034" s="1"/>
  <c r="AC530" i="13034"/>
  <c r="H419" i="12908"/>
  <c r="AE419" i="13034" s="1"/>
  <c r="AC419" i="13034"/>
  <c r="U313" i="12908"/>
  <c r="AR313" i="13034" s="1"/>
  <c r="AJ313" i="13034"/>
  <c r="H487" i="12908"/>
  <c r="AE487" i="13034" s="1"/>
  <c r="AC487" i="13034"/>
  <c r="AL1041" i="13034"/>
  <c r="AJ1041" i="13015"/>
  <c r="U277" i="12908"/>
  <c r="AR277" i="13034" s="1"/>
  <c r="AJ277" i="13034"/>
  <c r="AL384" i="13034"/>
  <c r="AJ384" i="13015"/>
  <c r="AL306" i="13034"/>
  <c r="AJ306" i="13015"/>
  <c r="W349" i="12908"/>
  <c r="AL349" i="13034"/>
  <c r="AJ349" i="13015"/>
  <c r="AL386" i="13034"/>
  <c r="AJ386" i="13015"/>
  <c r="H523" i="12908"/>
  <c r="AE523" i="13034" s="1"/>
  <c r="AC523" i="13034"/>
  <c r="H496" i="12908"/>
  <c r="AE496" i="13034" s="1"/>
  <c r="AC496" i="13034"/>
  <c r="H418" i="12908"/>
  <c r="AE418" i="13034" s="1"/>
  <c r="AC418" i="13034"/>
  <c r="U278" i="12908"/>
  <c r="AR278" i="13034" s="1"/>
  <c r="AJ278" i="13034"/>
  <c r="AL993" i="13034"/>
  <c r="AJ993" i="13015"/>
  <c r="H240" i="12908"/>
  <c r="AE240" i="13034" s="1"/>
  <c r="Z240" i="13034"/>
  <c r="U314" i="12908"/>
  <c r="AR314" i="13034" s="1"/>
  <c r="AJ314" i="13034"/>
  <c r="O412" i="12908"/>
  <c r="AL378" i="13034"/>
  <c r="AJ378" i="13015"/>
  <c r="K412" i="12908"/>
  <c r="AH412" i="13034" s="1"/>
  <c r="AH378" i="13034"/>
  <c r="W314" i="12908"/>
  <c r="AL314" i="13034"/>
  <c r="AJ314" i="13015"/>
  <c r="U349" i="12908"/>
  <c r="AR349" i="13034" s="1"/>
  <c r="AJ349" i="13034"/>
  <c r="H455" i="12908"/>
  <c r="AE455" i="13034" s="1"/>
  <c r="AC455" i="13034"/>
  <c r="AL1087" i="13034"/>
  <c r="AJ1087" i="13015"/>
  <c r="H488" i="12908"/>
  <c r="AE488" i="13034" s="1"/>
  <c r="AC488" i="13034"/>
  <c r="H462" i="12908"/>
  <c r="AE462" i="13034" s="1"/>
  <c r="AC462" i="13034"/>
  <c r="H486" i="12908"/>
  <c r="AE486" i="13034" s="1"/>
  <c r="AC486" i="13034"/>
  <c r="AL1112" i="13034"/>
  <c r="AJ1112" i="13015"/>
  <c r="AT242" i="13034"/>
  <c r="AI242" i="13015"/>
  <c r="AL279" i="13034"/>
  <c r="AJ279" i="13015"/>
  <c r="AT1153" i="13034"/>
  <c r="AI1153" i="13015"/>
  <c r="H554" i="12908"/>
  <c r="AE554" i="13034" s="1"/>
  <c r="Z554" i="13034"/>
  <c r="AL270" i="13034"/>
  <c r="AJ270" i="13015"/>
  <c r="AL1134" i="13034"/>
  <c r="AJ1134" i="13015"/>
  <c r="AL333" i="13034"/>
  <c r="AJ333" i="13015"/>
  <c r="AL1020" i="13034"/>
  <c r="AJ1020" i="13015"/>
  <c r="AL1090" i="13034"/>
  <c r="AJ1090" i="13015"/>
  <c r="AL369" i="13034"/>
  <c r="AJ369" i="13015"/>
  <c r="H454" i="12908"/>
  <c r="AE454" i="13034" s="1"/>
  <c r="AC454" i="13034"/>
  <c r="H453" i="12908"/>
  <c r="AE453" i="13034" s="1"/>
  <c r="AC453" i="13034"/>
  <c r="AL276" i="13034"/>
  <c r="AJ276" i="13015"/>
  <c r="AL1044" i="13034"/>
  <c r="AJ1044" i="13015"/>
  <c r="AL1017" i="13034"/>
  <c r="AJ1017" i="13015"/>
  <c r="K548" i="12908"/>
  <c r="AH548" i="13034" s="1"/>
  <c r="AH996" i="13034"/>
  <c r="O548" i="12908"/>
  <c r="O614" i="12908" s="1"/>
  <c r="AL996" i="13034"/>
  <c r="AJ996" i="13015"/>
  <c r="H253" i="12908"/>
  <c r="AE253" i="13034" s="1"/>
  <c r="C1146" i="12908"/>
  <c r="Z1146" i="13034" s="1"/>
  <c r="Z1145" i="13034"/>
  <c r="AL348" i="13034"/>
  <c r="AJ348" i="13015"/>
  <c r="U350" i="12908"/>
  <c r="AR350" i="13034" s="1"/>
  <c r="AJ350" i="13034"/>
  <c r="M412" i="12908"/>
  <c r="AJ412" i="13034" s="1"/>
  <c r="AJ378" i="13034"/>
  <c r="W277" i="12908"/>
  <c r="AL277" i="13034"/>
  <c r="AJ277" i="13015"/>
  <c r="W313" i="12908"/>
  <c r="AL313" i="13034"/>
  <c r="AJ313" i="13015"/>
  <c r="AL387" i="13034"/>
  <c r="AJ387" i="13015"/>
  <c r="AL261" i="13034"/>
  <c r="AJ261" i="13015"/>
  <c r="AL297" i="13034"/>
  <c r="AJ297" i="13015"/>
  <c r="H421" i="12908"/>
  <c r="AE421" i="13034" s="1"/>
  <c r="AC421" i="13034"/>
  <c r="H420" i="12908"/>
  <c r="AE420" i="13034" s="1"/>
  <c r="AC420" i="13034"/>
  <c r="H428" i="12908"/>
  <c r="AE428" i="13034" s="1"/>
  <c r="AC428" i="13034"/>
  <c r="H521" i="12908"/>
  <c r="AE521" i="13034" s="1"/>
  <c r="AC521" i="13034"/>
  <c r="AL315" i="13034"/>
  <c r="AJ315" i="13015"/>
  <c r="AL1109" i="13034"/>
  <c r="AJ1109" i="13015"/>
  <c r="W350" i="12908"/>
  <c r="AL350" i="13034"/>
  <c r="AJ350" i="13015"/>
  <c r="H563" i="12908"/>
  <c r="AE563" i="13034" s="1"/>
  <c r="Z563" i="13034"/>
  <c r="AT241" i="13034"/>
  <c r="AI241" i="13015"/>
  <c r="AL1131" i="13034"/>
  <c r="AJ1131" i="13015"/>
  <c r="H452" i="12908"/>
  <c r="AE452" i="13034" s="1"/>
  <c r="AC452" i="13034"/>
  <c r="A39" i="13005"/>
  <c r="Y1086" i="12908"/>
  <c r="AV1086" i="13034" s="1"/>
  <c r="Y1084" i="12908"/>
  <c r="AV1084" i="13034" s="1"/>
  <c r="Q411" i="12908"/>
  <c r="AN411" i="13034" s="1"/>
  <c r="Q412" i="12908"/>
  <c r="AN412" i="13034" s="1"/>
  <c r="Q410" i="12908"/>
  <c r="AN410" i="13034" s="1"/>
  <c r="Q413" i="12908"/>
  <c r="AN413" i="13034" s="1"/>
  <c r="Q408" i="12908"/>
  <c r="AN408" i="13034" s="1"/>
  <c r="Y1085" i="12908"/>
  <c r="AV1085" i="13034" s="1"/>
  <c r="Y1083" i="12908"/>
  <c r="AV1083" i="13034" s="1"/>
  <c r="M452" i="12908"/>
  <c r="AJ452" i="13034" s="1"/>
  <c r="O471" i="12908"/>
  <c r="O403" i="12908"/>
  <c r="M418" i="12908"/>
  <c r="AJ418" i="13034" s="1"/>
  <c r="M486" i="12908"/>
  <c r="AJ486" i="13034" s="1"/>
  <c r="Q443" i="12908"/>
  <c r="AN443" i="13034" s="1"/>
  <c r="Q409" i="12908"/>
  <c r="AN409" i="13034" s="1"/>
  <c r="O488" i="12908"/>
  <c r="W386" i="12908"/>
  <c r="M453" i="12908"/>
  <c r="U385" i="12908"/>
  <c r="AR385" i="13034" s="1"/>
  <c r="M420" i="12908"/>
  <c r="U386" i="12908"/>
  <c r="AR386" i="13034" s="1"/>
  <c r="M421" i="12908"/>
  <c r="AJ421" i="13034" s="1"/>
  <c r="O421" i="12908"/>
  <c r="O437" i="12908"/>
  <c r="Q549" i="12908"/>
  <c r="AN549" i="13034" s="1"/>
  <c r="Q548" i="12908"/>
  <c r="AN548" i="13034" s="1"/>
  <c r="O420" i="12908"/>
  <c r="O522" i="12908"/>
  <c r="O454" i="12908"/>
  <c r="O505" i="12908"/>
  <c r="M521" i="12908"/>
  <c r="O419" i="12908"/>
  <c r="I453" i="12908"/>
  <c r="AF453" i="13034" s="1"/>
  <c r="Q511" i="12908"/>
  <c r="AN511" i="13034" s="1"/>
  <c r="I522" i="12908"/>
  <c r="AF522" i="13034" s="1"/>
  <c r="I420" i="12908"/>
  <c r="AF420" i="13034" s="1"/>
  <c r="I488" i="12908"/>
  <c r="AF488" i="13034" s="1"/>
  <c r="I454" i="12908"/>
  <c r="AF454" i="13034" s="1"/>
  <c r="K647" i="12908"/>
  <c r="AH647" i="13034" s="1"/>
  <c r="K614" i="12908"/>
  <c r="AH614" i="13034" s="1"/>
  <c r="K581" i="12908"/>
  <c r="AH581" i="13034" s="1"/>
  <c r="O647" i="12908"/>
  <c r="Q477" i="12908"/>
  <c r="AN477" i="13034" s="1"/>
  <c r="O489" i="12908"/>
  <c r="M647" i="12908"/>
  <c r="AJ647" i="13034" s="1"/>
  <c r="M614" i="12908"/>
  <c r="AJ614" i="13034" s="1"/>
  <c r="M581" i="12908"/>
  <c r="AJ581" i="13034" s="1"/>
  <c r="M419" i="12908"/>
  <c r="I555" i="12908"/>
  <c r="AF555" i="13034" s="1"/>
  <c r="O455" i="12908"/>
  <c r="O523" i="12908"/>
  <c r="M487" i="12908"/>
  <c r="O520" i="12908"/>
  <c r="O452" i="12908"/>
  <c r="O486" i="12908"/>
  <c r="Q530" i="12908"/>
  <c r="AN530" i="13034" s="1"/>
  <c r="Q462" i="12908"/>
  <c r="AN462" i="13034" s="1"/>
  <c r="Q428" i="12908"/>
  <c r="AN428" i="13034" s="1"/>
  <c r="Q496" i="12908"/>
  <c r="AN496" i="13034" s="1"/>
  <c r="K446" i="12908"/>
  <c r="AH446" i="13034" s="1"/>
  <c r="K480" i="12908"/>
  <c r="AH480" i="13034" s="1"/>
  <c r="K514" i="12908"/>
  <c r="AH514" i="13034" s="1"/>
  <c r="O487" i="12908"/>
  <c r="O521" i="12908"/>
  <c r="O453" i="12908"/>
  <c r="O418" i="12908"/>
  <c r="M455" i="12908"/>
  <c r="AJ455" i="13034" s="1"/>
  <c r="M523" i="12908"/>
  <c r="AJ523" i="13034" s="1"/>
  <c r="M489" i="12908"/>
  <c r="AJ489" i="13034" s="1"/>
  <c r="Q514" i="12908"/>
  <c r="AN514" i="13034" s="1"/>
  <c r="Q480" i="12908"/>
  <c r="AN480" i="13034" s="1"/>
  <c r="Q446" i="12908"/>
  <c r="AN446" i="13034" s="1"/>
  <c r="O446" i="12908"/>
  <c r="O514" i="12908"/>
  <c r="O480" i="12908"/>
  <c r="Q512" i="12908"/>
  <c r="AN512" i="13034" s="1"/>
  <c r="Q444" i="12908"/>
  <c r="AN444" i="13034" s="1"/>
  <c r="Q478" i="12908"/>
  <c r="AN478" i="13034" s="1"/>
  <c r="M471" i="12908"/>
  <c r="AJ471" i="13034" s="1"/>
  <c r="M505" i="12908"/>
  <c r="AJ505" i="13034" s="1"/>
  <c r="M437" i="12908"/>
  <c r="AJ437" i="13034" s="1"/>
  <c r="Q476" i="12908"/>
  <c r="AN476" i="13034" s="1"/>
  <c r="Q442" i="12908"/>
  <c r="AN442" i="13034" s="1"/>
  <c r="Q510" i="12908"/>
  <c r="AN510" i="13034" s="1"/>
  <c r="Q481" i="12908"/>
  <c r="AN481" i="13034" s="1"/>
  <c r="Q447" i="12908"/>
  <c r="AN447" i="13034" s="1"/>
  <c r="Q515" i="12908"/>
  <c r="AN515" i="13034" s="1"/>
  <c r="M522" i="12908"/>
  <c r="M488" i="12908"/>
  <c r="M454" i="12908"/>
  <c r="M514" i="12908"/>
  <c r="AJ514" i="13034" s="1"/>
  <c r="M446" i="12908"/>
  <c r="AJ446" i="13034" s="1"/>
  <c r="M480" i="12908"/>
  <c r="AJ480" i="13034" s="1"/>
  <c r="Q513" i="12908"/>
  <c r="AN513" i="13034" s="1"/>
  <c r="Q445" i="12908"/>
  <c r="AN445" i="13034" s="1"/>
  <c r="Q479" i="12908"/>
  <c r="AN479" i="13034" s="1"/>
  <c r="D397" i="12908"/>
  <c r="AA397" i="13034" s="1"/>
  <c r="C1104" i="12908"/>
  <c r="Z1104" i="13034" s="1"/>
  <c r="C1058" i="12908"/>
  <c r="Z1058" i="13034" s="1"/>
  <c r="I419" i="12908"/>
  <c r="AF419" i="13034" s="1"/>
  <c r="I278" i="12908"/>
  <c r="AF278" i="13034" s="1"/>
  <c r="I277" i="12908"/>
  <c r="AF277" i="13034" s="1"/>
  <c r="C1057" i="12908"/>
  <c r="Z1057" i="13034" s="1"/>
  <c r="I521" i="12908"/>
  <c r="AF521" i="13034" s="1"/>
  <c r="D1149" i="12908"/>
  <c r="C1148" i="12908"/>
  <c r="Z1148" i="13034" s="1"/>
  <c r="C1034" i="12908"/>
  <c r="Z1034" i="13034" s="1"/>
  <c r="C1035" i="12908"/>
  <c r="Z1035" i="13034" s="1"/>
  <c r="C1036" i="12908"/>
  <c r="Z1036" i="13034" s="1"/>
  <c r="C1037" i="12908"/>
  <c r="Z1037" i="13034" s="1"/>
  <c r="C1038" i="12908"/>
  <c r="Z1038" i="13034" s="1"/>
  <c r="C1039" i="12908"/>
  <c r="Z1039" i="13034" s="1"/>
  <c r="C1040" i="12908"/>
  <c r="Z1040" i="13034" s="1"/>
  <c r="C1033" i="12908"/>
  <c r="Z1033" i="13034" s="1"/>
  <c r="AL614" i="13034" l="1"/>
  <c r="AJ614" i="13015"/>
  <c r="U454" i="12908"/>
  <c r="AR454" i="13034" s="1"/>
  <c r="AJ454" i="13034"/>
  <c r="AL647" i="13034"/>
  <c r="AJ647" i="13015"/>
  <c r="W419" i="12908"/>
  <c r="AL419" i="13034"/>
  <c r="AJ419" i="13015"/>
  <c r="Y1149" i="12908"/>
  <c r="AV1149" i="13034" s="1"/>
  <c r="AA1149" i="13034"/>
  <c r="U488" i="12908"/>
  <c r="AR488" i="13034" s="1"/>
  <c r="AJ488" i="13034"/>
  <c r="AL446" i="13034"/>
  <c r="AJ446" i="13015"/>
  <c r="W453" i="12908"/>
  <c r="AL453" i="13034"/>
  <c r="AJ453" i="13015"/>
  <c r="AL520" i="13034"/>
  <c r="AJ520" i="13015"/>
  <c r="O581" i="12908"/>
  <c r="U521" i="12908"/>
  <c r="AR521" i="13034" s="1"/>
  <c r="AJ521" i="13034"/>
  <c r="W420" i="12908"/>
  <c r="AL420" i="13034"/>
  <c r="AJ420" i="13015"/>
  <c r="AL421" i="13034"/>
  <c r="AJ421" i="13015"/>
  <c r="AL403" i="13034"/>
  <c r="AJ403" i="13015"/>
  <c r="AT313" i="13034"/>
  <c r="AI313" i="13015"/>
  <c r="AT314" i="13034"/>
  <c r="AI314" i="13015"/>
  <c r="AT349" i="13034"/>
  <c r="AI349" i="13015"/>
  <c r="AT278" i="13034"/>
  <c r="AI278" i="13015"/>
  <c r="AL418" i="13034"/>
  <c r="AJ418" i="13015"/>
  <c r="AL452" i="13034"/>
  <c r="AJ452" i="13015"/>
  <c r="W522" i="12908"/>
  <c r="AL522" i="13034"/>
  <c r="AJ522" i="13015"/>
  <c r="U420" i="12908"/>
  <c r="AR420" i="13034" s="1"/>
  <c r="AJ420" i="13034"/>
  <c r="U522" i="12908"/>
  <c r="AR522" i="13034" s="1"/>
  <c r="AJ522" i="13034"/>
  <c r="W521" i="12908"/>
  <c r="AL521" i="13034"/>
  <c r="AJ521" i="13015"/>
  <c r="U487" i="12908"/>
  <c r="AR487" i="13034" s="1"/>
  <c r="AJ487" i="13034"/>
  <c r="U419" i="12908"/>
  <c r="AR419" i="13034" s="1"/>
  <c r="AJ419" i="13034"/>
  <c r="AL489" i="13034"/>
  <c r="AJ489" i="13015"/>
  <c r="AL505" i="13034"/>
  <c r="AJ505" i="13015"/>
  <c r="U453" i="12908"/>
  <c r="AR453" i="13034" s="1"/>
  <c r="AJ453" i="13034"/>
  <c r="AL471" i="13034"/>
  <c r="AJ471" i="13015"/>
  <c r="AL412" i="13034"/>
  <c r="AJ412" i="13015"/>
  <c r="AT385" i="13034"/>
  <c r="AI385" i="13015"/>
  <c r="AL514" i="13034"/>
  <c r="AJ514" i="13015"/>
  <c r="AL455" i="13034"/>
  <c r="AJ455" i="13015"/>
  <c r="AL437" i="13034"/>
  <c r="AJ437" i="13015"/>
  <c r="W488" i="12908"/>
  <c r="AL488" i="13034"/>
  <c r="AJ488" i="13015"/>
  <c r="AT350" i="13034"/>
  <c r="AI350" i="13015"/>
  <c r="AT277" i="13034"/>
  <c r="AI277" i="13015"/>
  <c r="AL548" i="13034"/>
  <c r="AJ548" i="13015"/>
  <c r="AL480" i="13034"/>
  <c r="AJ480" i="13015"/>
  <c r="W487" i="12908"/>
  <c r="AL487" i="13034"/>
  <c r="AJ487" i="13015"/>
  <c r="AL486" i="13034"/>
  <c r="AJ486" i="13015"/>
  <c r="AL523" i="13034"/>
  <c r="AJ523" i="13015"/>
  <c r="W454" i="12908"/>
  <c r="AL454" i="13034"/>
  <c r="AJ454" i="13015"/>
  <c r="AT386" i="13034"/>
  <c r="AI386" i="13015"/>
  <c r="A40" i="13005"/>
  <c r="Q647" i="12908"/>
  <c r="AN647" i="13034" s="1"/>
  <c r="Q648" i="12908"/>
  <c r="AN648" i="13034" s="1"/>
  <c r="Q582" i="12908"/>
  <c r="AN582" i="13034" s="1"/>
  <c r="Q581" i="12908"/>
  <c r="AN581" i="13034" s="1"/>
  <c r="Q615" i="12908"/>
  <c r="AN615" i="13034" s="1"/>
  <c r="Q614" i="12908"/>
  <c r="AN614" i="13034" s="1"/>
  <c r="C1060" i="12908"/>
  <c r="Z1060" i="13034" s="1"/>
  <c r="I386" i="12908"/>
  <c r="AF386" i="13034" s="1"/>
  <c r="I385" i="12908"/>
  <c r="AF385" i="13034" s="1"/>
  <c r="I241" i="12908"/>
  <c r="AF241" i="13034" s="1"/>
  <c r="I242" i="12908"/>
  <c r="AF242" i="13034" s="1"/>
  <c r="C986" i="12908"/>
  <c r="Z986" i="13034" s="1"/>
  <c r="C987" i="12908"/>
  <c r="Z987" i="13034" s="1"/>
  <c r="C988" i="12908"/>
  <c r="Z988" i="13034" s="1"/>
  <c r="C989" i="12908"/>
  <c r="Z989" i="13034" s="1"/>
  <c r="C990" i="12908"/>
  <c r="Z990" i="13034" s="1"/>
  <c r="C991" i="12908"/>
  <c r="Z991" i="13034" s="1"/>
  <c r="C992" i="12908"/>
  <c r="Z992" i="13034" s="1"/>
  <c r="C985" i="12908"/>
  <c r="Z985" i="13034" s="1"/>
  <c r="AT420" i="13034" l="1"/>
  <c r="AI420" i="13015"/>
  <c r="AT488" i="13034"/>
  <c r="AI488" i="13015"/>
  <c r="AT522" i="13034"/>
  <c r="AI522" i="13015"/>
  <c r="AT419" i="13034"/>
  <c r="AI419" i="13015"/>
  <c r="AT453" i="13034"/>
  <c r="AI453" i="13015"/>
  <c r="AT487" i="13034"/>
  <c r="AI487" i="13015"/>
  <c r="AT521" i="13034"/>
  <c r="AI521" i="13015"/>
  <c r="AT454" i="13034"/>
  <c r="AI454" i="13015"/>
  <c r="AL581" i="13034"/>
  <c r="AJ581" i="13015"/>
  <c r="A41" i="13005"/>
  <c r="A42" i="13005" s="1"/>
  <c r="Q2163" i="12908"/>
  <c r="AN2163" i="13034" s="1"/>
  <c r="O1633" i="12908"/>
  <c r="O1626" i="12908"/>
  <c r="O1625" i="12908"/>
  <c r="O1624" i="12908"/>
  <c r="O1623" i="12908"/>
  <c r="O1622" i="12908"/>
  <c r="M1633" i="12908"/>
  <c r="AJ1633" i="13034" s="1"/>
  <c r="M1626" i="12908"/>
  <c r="AJ1626" i="13034" s="1"/>
  <c r="M1625" i="12908"/>
  <c r="AJ1625" i="13034" s="1"/>
  <c r="M1624" i="12908"/>
  <c r="AJ1624" i="13034" s="1"/>
  <c r="M1623" i="12908"/>
  <c r="AJ1623" i="13034" s="1"/>
  <c r="M1622" i="12908"/>
  <c r="AJ1622" i="13034" s="1"/>
  <c r="K1626" i="12908"/>
  <c r="AH1626" i="13034" s="1"/>
  <c r="O1651" i="12908"/>
  <c r="O1646" i="12908"/>
  <c r="O1645" i="12908"/>
  <c r="O1644" i="12908"/>
  <c r="O1643" i="12908"/>
  <c r="O1642" i="12908"/>
  <c r="M1651" i="12908"/>
  <c r="AJ1651" i="13034" s="1"/>
  <c r="M1646" i="12908"/>
  <c r="AJ1646" i="13034" s="1"/>
  <c r="M1645" i="12908"/>
  <c r="AJ1645" i="13034" s="1"/>
  <c r="M1644" i="12908"/>
  <c r="AJ1644" i="13034" s="1"/>
  <c r="M1643" i="12908"/>
  <c r="AJ1643" i="13034" s="1"/>
  <c r="M1642" i="12908"/>
  <c r="AJ1642" i="13034" s="1"/>
  <c r="K1646" i="12908"/>
  <c r="AH1646" i="13034" s="1"/>
  <c r="Q1646" i="12908"/>
  <c r="AN1646" i="13034" s="1"/>
  <c r="O872" i="12908"/>
  <c r="M872" i="12908"/>
  <c r="AJ872" i="13034" s="1"/>
  <c r="O853" i="12908"/>
  <c r="M853" i="12908"/>
  <c r="AJ853" i="13034" s="1"/>
  <c r="O835" i="12908"/>
  <c r="O833" i="12908"/>
  <c r="O832" i="12908"/>
  <c r="M835" i="12908"/>
  <c r="AJ835" i="13034" s="1"/>
  <c r="M833" i="12908"/>
  <c r="AJ833" i="13034" s="1"/>
  <c r="M832" i="12908"/>
  <c r="AJ832" i="13034" s="1"/>
  <c r="Q842" i="12908"/>
  <c r="AN842" i="13034" s="1"/>
  <c r="Q834" i="12908"/>
  <c r="AN834" i="13034" s="1"/>
  <c r="Q205" i="12908"/>
  <c r="AN205" i="13034" s="1"/>
  <c r="Q204" i="12908"/>
  <c r="AN204" i="13034" s="1"/>
  <c r="Q168" i="12908"/>
  <c r="AN168" i="13034" s="1"/>
  <c r="Q167" i="12908"/>
  <c r="AN167" i="13034" s="1"/>
  <c r="Q2308" i="12908"/>
  <c r="AN2308" i="13034" s="1"/>
  <c r="AL1642" i="13034" l="1"/>
  <c r="O1642" i="13015"/>
  <c r="AL1646" i="13034"/>
  <c r="O1646" i="13015"/>
  <c r="AL1625" i="13034"/>
  <c r="AJ1625" i="13015"/>
  <c r="AL1624" i="13034"/>
  <c r="AJ1624" i="13015"/>
  <c r="AL832" i="13034"/>
  <c r="AJ832" i="13015"/>
  <c r="AL853" i="13034"/>
  <c r="AJ853" i="13015"/>
  <c r="AL1643" i="13034"/>
  <c r="O1643" i="13015"/>
  <c r="AL1651" i="13034"/>
  <c r="O1651" i="13015"/>
  <c r="AL1622" i="13034"/>
  <c r="AJ1622" i="13015"/>
  <c r="AL1626" i="13034"/>
  <c r="AJ1626" i="13015"/>
  <c r="AL835" i="13034"/>
  <c r="AJ835" i="13015"/>
  <c r="AL872" i="13034"/>
  <c r="AJ872" i="13015"/>
  <c r="AL1645" i="13034"/>
  <c r="O1645" i="13015"/>
  <c r="AL833" i="13034"/>
  <c r="AJ833" i="13015"/>
  <c r="AL1644" i="13034"/>
  <c r="O1644" i="13015"/>
  <c r="AL1623" i="13034"/>
  <c r="AJ1623" i="13015"/>
  <c r="AL1633" i="13034"/>
  <c r="AJ1633" i="13015"/>
  <c r="A43" i="13005"/>
  <c r="Q2186" i="12908"/>
  <c r="AN2186" i="13034" s="1"/>
  <c r="Q872" i="12908"/>
  <c r="AN872" i="13034" s="1"/>
  <c r="Q880" i="12908"/>
  <c r="AN880" i="13034" s="1"/>
  <c r="M871" i="12908"/>
  <c r="AJ871" i="13034" s="1"/>
  <c r="O873" i="12908"/>
  <c r="O871" i="12908"/>
  <c r="M873" i="12908"/>
  <c r="AJ873" i="13034" s="1"/>
  <c r="M870" i="12908"/>
  <c r="O870" i="12908"/>
  <c r="Q2412" i="12908"/>
  <c r="AN2412" i="13034" s="1"/>
  <c r="Q2516" i="12908"/>
  <c r="AN2516" i="13034" s="1"/>
  <c r="O2523" i="12908"/>
  <c r="O2419" i="12908"/>
  <c r="M2507" i="12908"/>
  <c r="M2403" i="12908"/>
  <c r="AJ2403" i="13034" s="1"/>
  <c r="O2403" i="12908"/>
  <c r="O2507" i="12908"/>
  <c r="K834" i="12908"/>
  <c r="AH834" i="13034" s="1"/>
  <c r="M852" i="12908"/>
  <c r="AJ852" i="13034" s="1"/>
  <c r="O851" i="12908"/>
  <c r="K2163" i="12908"/>
  <c r="AH2163" i="13034" s="1"/>
  <c r="Q861" i="12908"/>
  <c r="AN861" i="13034" s="1"/>
  <c r="O852" i="12908"/>
  <c r="M854" i="12908"/>
  <c r="AJ854" i="13034" s="1"/>
  <c r="Q853" i="12908"/>
  <c r="AN853" i="13034" s="1"/>
  <c r="M851" i="12908"/>
  <c r="AJ851" i="13034" s="1"/>
  <c r="O854" i="12908"/>
  <c r="W2507" i="12908" l="1"/>
  <c r="AL2507" i="13034"/>
  <c r="AJ2507" i="13015"/>
  <c r="AL2419" i="13034"/>
  <c r="AJ2419" i="13015"/>
  <c r="W870" i="12908"/>
  <c r="AL870" i="13034"/>
  <c r="AJ870" i="13015"/>
  <c r="AL873" i="13034"/>
  <c r="AJ873" i="13015"/>
  <c r="AJ1651" i="13015"/>
  <c r="W1651" i="13015"/>
  <c r="AJ1646" i="13015"/>
  <c r="M1646" i="13015"/>
  <c r="U1646" i="13015" s="1"/>
  <c r="W1646" i="13015"/>
  <c r="AL851" i="13034"/>
  <c r="AJ851" i="13015"/>
  <c r="AL2403" i="13034"/>
  <c r="AJ2403" i="13015"/>
  <c r="AL2523" i="13034"/>
  <c r="AJ2523" i="13015"/>
  <c r="U870" i="12908"/>
  <c r="AR870" i="13034" s="1"/>
  <c r="AJ870" i="13034"/>
  <c r="AL854" i="13034"/>
  <c r="AJ854" i="13015"/>
  <c r="AL852" i="13034"/>
  <c r="AJ852" i="13015"/>
  <c r="AJ1644" i="13015"/>
  <c r="W1644" i="13015"/>
  <c r="AJ1645" i="13015"/>
  <c r="W1645" i="13015"/>
  <c r="AJ1643" i="13015"/>
  <c r="W1643" i="13015"/>
  <c r="AJ1642" i="13015"/>
  <c r="W1642" i="13015"/>
  <c r="U2507" i="12908"/>
  <c r="AR2507" i="13034" s="1"/>
  <c r="AJ2507" i="13034"/>
  <c r="AL871" i="13034"/>
  <c r="AJ871" i="13015"/>
  <c r="A44" i="13005"/>
  <c r="Y2516" i="12908"/>
  <c r="AV2516" i="13034" s="1"/>
  <c r="K872" i="12908"/>
  <c r="AH872" i="13034" s="1"/>
  <c r="K853" i="12908"/>
  <c r="AH853" i="13034" s="1"/>
  <c r="C2216" i="12908"/>
  <c r="Z2216" i="13034" s="1"/>
  <c r="C2215" i="12908"/>
  <c r="Z2215" i="13034" s="1"/>
  <c r="C2214" i="12908"/>
  <c r="Z2214" i="13034" s="1"/>
  <c r="C2213" i="12908"/>
  <c r="Z2213" i="13034" s="1"/>
  <c r="C2212" i="12908"/>
  <c r="Z2212" i="13034" s="1"/>
  <c r="C2211" i="12908"/>
  <c r="Z2211" i="13034" s="1"/>
  <c r="C2193" i="12908"/>
  <c r="Z2193" i="13034" s="1"/>
  <c r="C2192" i="12908"/>
  <c r="Z2192" i="13034" s="1"/>
  <c r="C2191" i="12908"/>
  <c r="Z2191" i="13034" s="1"/>
  <c r="C2190" i="12908"/>
  <c r="Z2190" i="13034" s="1"/>
  <c r="C2189" i="12908"/>
  <c r="Z2189" i="13034" s="1"/>
  <c r="C2188" i="12908"/>
  <c r="Z2188" i="13034" s="1"/>
  <c r="C2147" i="12908"/>
  <c r="Z2147" i="13034" s="1"/>
  <c r="C2146" i="12908"/>
  <c r="Z2146" i="13034" s="1"/>
  <c r="C2145" i="12908"/>
  <c r="Z2145" i="13034" s="1"/>
  <c r="C2144" i="12908"/>
  <c r="Z2144" i="13034" s="1"/>
  <c r="C2143" i="12908"/>
  <c r="Z2143" i="13034" s="1"/>
  <c r="C2142" i="12908"/>
  <c r="Z2142" i="13034" s="1"/>
  <c r="C2125" i="12908"/>
  <c r="Z2125" i="13034" s="1"/>
  <c r="C2124" i="12908"/>
  <c r="Z2124" i="13034" s="1"/>
  <c r="C2123" i="12908"/>
  <c r="Z2123" i="13034" s="1"/>
  <c r="C2122" i="12908"/>
  <c r="Z2122" i="13034" s="1"/>
  <c r="C2121" i="12908"/>
  <c r="Z2121" i="13034" s="1"/>
  <c r="C2120" i="12908"/>
  <c r="Z2120" i="13034" s="1"/>
  <c r="C2005" i="12908"/>
  <c r="Z2005" i="13034" s="1"/>
  <c r="C2004" i="12908"/>
  <c r="Z2004" i="13034" s="1"/>
  <c r="C2029" i="12908"/>
  <c r="Z2029" i="13034" s="1"/>
  <c r="C2028" i="12908"/>
  <c r="Z2028" i="13034" s="1"/>
  <c r="C2053" i="12908"/>
  <c r="Z2053" i="13034" s="1"/>
  <c r="C2052" i="12908"/>
  <c r="Z2052" i="13034" s="1"/>
  <c r="C2057" i="12908"/>
  <c r="Z2057" i="13034" s="1"/>
  <c r="C2056" i="12908"/>
  <c r="Z2056" i="13034" s="1"/>
  <c r="C2055" i="12908"/>
  <c r="Z2055" i="13034" s="1"/>
  <c r="C2054" i="12908"/>
  <c r="Z2054" i="13034" s="1"/>
  <c r="C2033" i="12908"/>
  <c r="Z2033" i="13034" s="1"/>
  <c r="C2032" i="12908"/>
  <c r="Z2032" i="13034" s="1"/>
  <c r="C2031" i="12908"/>
  <c r="Z2031" i="13034" s="1"/>
  <c r="C2030" i="12908"/>
  <c r="Z2030" i="13034" s="1"/>
  <c r="C2009" i="12908"/>
  <c r="Z2009" i="13034" s="1"/>
  <c r="C2016" i="12908"/>
  <c r="Z2016" i="13034" s="1"/>
  <c r="C2008" i="12908"/>
  <c r="Z2008" i="13034" s="1"/>
  <c r="C2015" i="12908"/>
  <c r="Z2015" i="13034" s="1"/>
  <c r="C2007" i="12908"/>
  <c r="Z2007" i="13034" s="1"/>
  <c r="C2014" i="12908"/>
  <c r="Z2014" i="13034" s="1"/>
  <c r="C2006" i="12908"/>
  <c r="Z2006" i="13034" s="1"/>
  <c r="C2013" i="12908"/>
  <c r="Z2013" i="13034" s="1"/>
  <c r="O2209" i="12908"/>
  <c r="M2209" i="12908"/>
  <c r="AJ2209" i="13034" s="1"/>
  <c r="K2209" i="12908"/>
  <c r="AH2209" i="13034" s="1"/>
  <c r="Q2209" i="12908"/>
  <c r="AN2209" i="13034" s="1"/>
  <c r="Q2084" i="12908"/>
  <c r="AN2084" i="13034" s="1"/>
  <c r="Q2065" i="12908"/>
  <c r="AN2065" i="13034" s="1"/>
  <c r="Q2060" i="12908"/>
  <c r="AN2060" i="13034" s="1"/>
  <c r="Q2041" i="12908"/>
  <c r="AN2041" i="13034" s="1"/>
  <c r="Q2036" i="12908"/>
  <c r="AN2036" i="13034" s="1"/>
  <c r="Q2017" i="12908"/>
  <c r="AN2017" i="13034" s="1"/>
  <c r="Q2012" i="12908"/>
  <c r="AN2012" i="13034" s="1"/>
  <c r="C2103" i="12908"/>
  <c r="Z2103" i="13034" s="1"/>
  <c r="C2110" i="12908"/>
  <c r="Z2110" i="13034" s="1"/>
  <c r="C2102" i="12908"/>
  <c r="Z2102" i="13034" s="1"/>
  <c r="C2109" i="12908"/>
  <c r="Z2109" i="13034" s="1"/>
  <c r="C2101" i="12908"/>
  <c r="Z2101" i="13034" s="1"/>
  <c r="C2108" i="12908"/>
  <c r="Z2108" i="13034" s="1"/>
  <c r="C2100" i="12908"/>
  <c r="Z2100" i="13034" s="1"/>
  <c r="AL2209" i="13034" l="1"/>
  <c r="AJ2209" i="13015"/>
  <c r="AT870" i="13034"/>
  <c r="AI870" i="13015"/>
  <c r="AT2507" i="13034"/>
  <c r="AI2507" i="13015"/>
  <c r="A45" i="13005"/>
  <c r="Q2128" i="12908"/>
  <c r="AN2128" i="13034" s="1"/>
  <c r="Q2106" i="12908"/>
  <c r="AN2106" i="13034" s="1"/>
  <c r="Q2150" i="12908"/>
  <c r="AN2150" i="13034" s="1"/>
  <c r="M2186" i="12908"/>
  <c r="AJ2186" i="13034" s="1"/>
  <c r="O2186" i="12908"/>
  <c r="K2186" i="12908"/>
  <c r="AH2186" i="13034" s="1"/>
  <c r="C1982" i="12908"/>
  <c r="Z1982" i="13034" s="1"/>
  <c r="C2166" i="12908"/>
  <c r="Z2166" i="13034" s="1"/>
  <c r="C2168" i="12908"/>
  <c r="Z2168" i="13034" s="1"/>
  <c r="C1980" i="12908"/>
  <c r="Z1980" i="13034" s="1"/>
  <c r="C2167" i="12908"/>
  <c r="Z2167" i="13034" s="1"/>
  <c r="C2165" i="12908"/>
  <c r="Z2165" i="13034" s="1"/>
  <c r="C2170" i="12908"/>
  <c r="Z2170" i="13034" s="1"/>
  <c r="C2169" i="12908"/>
  <c r="Z2169" i="13034" s="1"/>
  <c r="C2078" i="12908"/>
  <c r="Z2078" i="13034" s="1"/>
  <c r="C2079" i="12908"/>
  <c r="Z2079" i="13034" s="1"/>
  <c r="C2080" i="12908"/>
  <c r="Z2080" i="13034" s="1"/>
  <c r="C2081" i="12908"/>
  <c r="Z2081" i="13034" s="1"/>
  <c r="C1983" i="12908"/>
  <c r="Z1983" i="13034" s="1"/>
  <c r="C1981" i="12908"/>
  <c r="Z1981" i="13034" s="1"/>
  <c r="C1984" i="12908"/>
  <c r="Z1984" i="13034" s="1"/>
  <c r="C1985" i="12908"/>
  <c r="Z1985" i="13034" s="1"/>
  <c r="C2107" i="12908"/>
  <c r="Z2107" i="13034" s="1"/>
  <c r="C2099" i="12908"/>
  <c r="Z2099" i="13034" s="1"/>
  <c r="C2098" i="12908"/>
  <c r="Z2098" i="13034" s="1"/>
  <c r="C2104" i="12908"/>
  <c r="Z2104" i="13034" s="1"/>
  <c r="AC6" i="12990"/>
  <c r="AC10" i="12990"/>
  <c r="AC14" i="12990"/>
  <c r="AD14" i="12990"/>
  <c r="AE14" i="12990"/>
  <c r="AC18" i="12990"/>
  <c r="AB14" i="12990"/>
  <c r="AB12" i="12990"/>
  <c r="R5" i="12990"/>
  <c r="R13" i="12990"/>
  <c r="Q14" i="12990"/>
  <c r="R14" i="12990"/>
  <c r="R17" i="12990"/>
  <c r="O6" i="12990"/>
  <c r="O8" i="12990"/>
  <c r="N14" i="12990"/>
  <c r="O14" i="12990"/>
  <c r="O16" i="12990"/>
  <c r="O20" i="12990"/>
  <c r="I14" i="12990"/>
  <c r="J14" i="12990"/>
  <c r="I2" i="12990"/>
  <c r="AK61" i="12990"/>
  <c r="AL61" i="12990" s="1"/>
  <c r="AK62" i="12990"/>
  <c r="AL62" i="12990"/>
  <c r="AK63" i="12990"/>
  <c r="AL63" i="12990" s="1"/>
  <c r="AK64" i="12990"/>
  <c r="AL64" i="12990"/>
  <c r="AK65" i="12990"/>
  <c r="AL65" i="12990" s="1"/>
  <c r="AK66" i="12990"/>
  <c r="AL66" i="12990"/>
  <c r="AK67" i="12990"/>
  <c r="AL67" i="12990" s="1"/>
  <c r="AK68" i="12990"/>
  <c r="AL68" i="12990"/>
  <c r="AK69" i="12990"/>
  <c r="AL69" i="12990" s="1"/>
  <c r="AK70" i="12990"/>
  <c r="AL70" i="12990" s="1"/>
  <c r="AK71" i="12990"/>
  <c r="AL71" i="12990" s="1"/>
  <c r="AK72" i="12990"/>
  <c r="AL72" i="12990" s="1"/>
  <c r="AK73" i="12990"/>
  <c r="AL73" i="12990" s="1"/>
  <c r="AK74" i="12990"/>
  <c r="AL74" i="12990" s="1"/>
  <c r="AK75" i="12990"/>
  <c r="AL75" i="12990" s="1"/>
  <c r="AK76" i="12990"/>
  <c r="AL76" i="12990"/>
  <c r="AK77" i="12990"/>
  <c r="AL77" i="12990" s="1"/>
  <c r="AK78" i="12990"/>
  <c r="AL78" i="12990" s="1"/>
  <c r="AK60" i="12990"/>
  <c r="AL60" i="12990" s="1"/>
  <c r="AP61" i="12990"/>
  <c r="AS61" i="12990" s="1"/>
  <c r="AQ61" i="12990"/>
  <c r="AT61" i="12990" s="1"/>
  <c r="BD61" i="12990"/>
  <c r="BF61" i="12990" s="1"/>
  <c r="BE61" i="12990"/>
  <c r="BG61" i="12990" s="1"/>
  <c r="AP62" i="12990"/>
  <c r="AS62" i="12990" s="1"/>
  <c r="AQ62" i="12990"/>
  <c r="O4" i="12990" s="1"/>
  <c r="O24" i="12990" s="1"/>
  <c r="AT62" i="12990"/>
  <c r="BD62" i="12990"/>
  <c r="BF62" i="12990" s="1"/>
  <c r="BE62" i="12990"/>
  <c r="BG62" i="12990"/>
  <c r="AP63" i="12990"/>
  <c r="AS63" i="12990" s="1"/>
  <c r="AQ63" i="12990"/>
  <c r="AT63" i="12990" s="1"/>
  <c r="BD63" i="12990"/>
  <c r="BF63" i="12990" s="1"/>
  <c r="BE63" i="12990"/>
  <c r="BG63" i="12990" s="1"/>
  <c r="AP64" i="12990"/>
  <c r="AS64" i="12990" s="1"/>
  <c r="AQ64" i="12990"/>
  <c r="AT64" i="12990" s="1"/>
  <c r="BD64" i="12990"/>
  <c r="BF64" i="12990" s="1"/>
  <c r="BE64" i="12990"/>
  <c r="BG64" i="12990"/>
  <c r="AP65" i="12990"/>
  <c r="AS65" i="12990" s="1"/>
  <c r="AQ65" i="12990"/>
  <c r="AT65" i="12990" s="1"/>
  <c r="BD65" i="12990"/>
  <c r="BF65" i="12990" s="1"/>
  <c r="BE65" i="12990"/>
  <c r="BG65" i="12990" s="1"/>
  <c r="AP66" i="12990"/>
  <c r="AS66" i="12990" s="1"/>
  <c r="AQ66" i="12990"/>
  <c r="AT66" i="12990"/>
  <c r="BD66" i="12990"/>
  <c r="BF66" i="12990" s="1"/>
  <c r="BE66" i="12990"/>
  <c r="BG66" i="12990"/>
  <c r="AP67" i="12990"/>
  <c r="AS67" i="12990" s="1"/>
  <c r="AQ67" i="12990"/>
  <c r="AT67" i="12990" s="1"/>
  <c r="BD67" i="12990"/>
  <c r="BF67" i="12990" s="1"/>
  <c r="BE67" i="12990"/>
  <c r="BG67" i="12990" s="1"/>
  <c r="AP68" i="12990"/>
  <c r="AS68" i="12990" s="1"/>
  <c r="AQ68" i="12990"/>
  <c r="O10" i="12990" s="1"/>
  <c r="O25" i="12990" s="1"/>
  <c r="AT68" i="12990"/>
  <c r="BD68" i="12990"/>
  <c r="BF68" i="12990" s="1"/>
  <c r="BE68" i="12990"/>
  <c r="BG68" i="12990"/>
  <c r="AP69" i="12990"/>
  <c r="AS69" i="12990" s="1"/>
  <c r="AQ69" i="12990"/>
  <c r="AT69" i="12990" s="1"/>
  <c r="BD69" i="12990"/>
  <c r="BF69" i="12990" s="1"/>
  <c r="BE69" i="12990"/>
  <c r="BG69" i="12990" s="1"/>
  <c r="AP70" i="12990"/>
  <c r="AS70" i="12990" s="1"/>
  <c r="AQ70" i="12990"/>
  <c r="O12" i="12990" s="1"/>
  <c r="AT70" i="12990"/>
  <c r="BD70" i="12990"/>
  <c r="BF70" i="12990" s="1"/>
  <c r="BE70" i="12990"/>
  <c r="BG70" i="12990"/>
  <c r="AP71" i="12990"/>
  <c r="AS71" i="12990" s="1"/>
  <c r="AQ71" i="12990"/>
  <c r="AT71" i="12990" s="1"/>
  <c r="BD71" i="12990"/>
  <c r="BF71" i="12990" s="1"/>
  <c r="BE71" i="12990"/>
  <c r="BG71" i="12990" s="1"/>
  <c r="AP72" i="12990"/>
  <c r="AS72" i="12990" s="1"/>
  <c r="AQ72" i="12990"/>
  <c r="AT72" i="12990"/>
  <c r="BD72" i="12990"/>
  <c r="BF72" i="12990" s="1"/>
  <c r="BE72" i="12990"/>
  <c r="BG72" i="12990"/>
  <c r="AP73" i="12990"/>
  <c r="AS73" i="12990" s="1"/>
  <c r="AQ73" i="12990"/>
  <c r="AT73" i="12990" s="1"/>
  <c r="BD73" i="12990"/>
  <c r="BF73" i="12990" s="1"/>
  <c r="BE73" i="12990"/>
  <c r="BG73" i="12990" s="1"/>
  <c r="AP74" i="12990"/>
  <c r="AS74" i="12990" s="1"/>
  <c r="AQ74" i="12990"/>
  <c r="AT74" i="12990"/>
  <c r="BD74" i="12990"/>
  <c r="BF74" i="12990" s="1"/>
  <c r="BE74" i="12990"/>
  <c r="BG74" i="12990"/>
  <c r="AP75" i="12990"/>
  <c r="AS75" i="12990" s="1"/>
  <c r="AQ75" i="12990"/>
  <c r="AT75" i="12990" s="1"/>
  <c r="BD75" i="12990"/>
  <c r="BF75" i="12990" s="1"/>
  <c r="BE75" i="12990"/>
  <c r="BG75" i="12990" s="1"/>
  <c r="AP76" i="12990"/>
  <c r="AS76" i="12990" s="1"/>
  <c r="AQ76" i="12990"/>
  <c r="O18" i="12990" s="1"/>
  <c r="AT76" i="12990"/>
  <c r="BD76" i="12990"/>
  <c r="BF76" i="12990" s="1"/>
  <c r="BE76" i="12990"/>
  <c r="BG76" i="12990"/>
  <c r="AP77" i="12990"/>
  <c r="AS77" i="12990" s="1"/>
  <c r="AQ77" i="12990"/>
  <c r="AT77" i="12990" s="1"/>
  <c r="BD77" i="12990"/>
  <c r="BF77" i="12990" s="1"/>
  <c r="BE77" i="12990"/>
  <c r="BG77" i="12990" s="1"/>
  <c r="AP78" i="12990"/>
  <c r="AS78" i="12990" s="1"/>
  <c r="AQ78" i="12990"/>
  <c r="AT78" i="12990"/>
  <c r="BD78" i="12990"/>
  <c r="BF78" i="12990" s="1"/>
  <c r="BE78" i="12990"/>
  <c r="BG78" i="12990"/>
  <c r="BE60" i="12990"/>
  <c r="BG60" i="12990" s="1"/>
  <c r="BD60" i="12990"/>
  <c r="BF60" i="12990" s="1"/>
  <c r="AS60" i="12990"/>
  <c r="AQ60" i="12990"/>
  <c r="AT60" i="12990" s="1"/>
  <c r="AP60" i="12990"/>
  <c r="AE59" i="12988"/>
  <c r="AK42" i="12990"/>
  <c r="AP42" i="12990"/>
  <c r="AS42" i="12990" s="1"/>
  <c r="AQ42" i="12990"/>
  <c r="O3" i="12990" s="1"/>
  <c r="AT42" i="12990"/>
  <c r="R3" i="12990" s="1"/>
  <c r="BD42" i="12990"/>
  <c r="BE42" i="12990"/>
  <c r="BG42" i="12990"/>
  <c r="AE3" i="12990" s="1"/>
  <c r="AK43" i="12990"/>
  <c r="AP43" i="12990"/>
  <c r="AS43" i="12990" s="1"/>
  <c r="Q4" i="12990" s="1"/>
  <c r="AQ43" i="12990"/>
  <c r="AT43" i="12990"/>
  <c r="R4" i="12990" s="1"/>
  <c r="BD43" i="12990"/>
  <c r="BF43" i="12990" s="1"/>
  <c r="AD4" i="12990" s="1"/>
  <c r="BE43" i="12990"/>
  <c r="AC4" i="12990" s="1"/>
  <c r="BG43" i="12990"/>
  <c r="AE4" i="12990" s="1"/>
  <c r="AK44" i="12990"/>
  <c r="AP44" i="12990"/>
  <c r="AS44" i="12990" s="1"/>
  <c r="AQ44" i="12990"/>
  <c r="O5" i="12990" s="1"/>
  <c r="AT44" i="12990"/>
  <c r="BD44" i="12990"/>
  <c r="BE44" i="12990"/>
  <c r="AC5" i="12990" s="1"/>
  <c r="BG44" i="12990"/>
  <c r="AE5" i="12990" s="1"/>
  <c r="AK45" i="12990"/>
  <c r="AP45" i="12990"/>
  <c r="AS45" i="12990" s="1"/>
  <c r="Q6" i="12990" s="1"/>
  <c r="AQ45" i="12990"/>
  <c r="AT45" i="12990"/>
  <c r="BD45" i="12990"/>
  <c r="BE45" i="12990"/>
  <c r="BG45" i="12990"/>
  <c r="AE6" i="12990" s="1"/>
  <c r="AK46" i="12990"/>
  <c r="AP46" i="12990"/>
  <c r="AS46" i="12990" s="1"/>
  <c r="AQ46" i="12990"/>
  <c r="O7" i="12990" s="1"/>
  <c r="O28" i="12990" s="1"/>
  <c r="AT46" i="12990"/>
  <c r="R7" i="12990" s="1"/>
  <c r="R28" i="12990" s="1"/>
  <c r="BD46" i="12990"/>
  <c r="BE46" i="12990"/>
  <c r="BG46" i="12990"/>
  <c r="AE7" i="12990" s="1"/>
  <c r="AE28" i="12990" s="1"/>
  <c r="AE31" i="12990" s="1"/>
  <c r="AK47" i="12990"/>
  <c r="AP47" i="12990"/>
  <c r="AS47" i="12990" s="1"/>
  <c r="Q8" i="12990" s="1"/>
  <c r="AQ47" i="12990"/>
  <c r="AT47" i="12990"/>
  <c r="R8" i="12990" s="1"/>
  <c r="BD47" i="12990"/>
  <c r="BF47" i="12990" s="1"/>
  <c r="AD8" i="12990" s="1"/>
  <c r="BE47" i="12990"/>
  <c r="AC8" i="12990" s="1"/>
  <c r="BG47" i="12990"/>
  <c r="AE8" i="12990" s="1"/>
  <c r="AK48" i="12990"/>
  <c r="AP48" i="12990"/>
  <c r="AS48" i="12990" s="1"/>
  <c r="AQ48" i="12990"/>
  <c r="O9" i="12990" s="1"/>
  <c r="AT48" i="12990"/>
  <c r="R9" i="12990" s="1"/>
  <c r="BD48" i="12990"/>
  <c r="BE48" i="12990"/>
  <c r="AC9" i="12990" s="1"/>
  <c r="BG48" i="12990"/>
  <c r="AE9" i="12990" s="1"/>
  <c r="AK49" i="12990"/>
  <c r="AP49" i="12990"/>
  <c r="AS49" i="12990" s="1"/>
  <c r="Q10" i="12990" s="1"/>
  <c r="AQ49" i="12990"/>
  <c r="AT49" i="12990"/>
  <c r="R10" i="12990" s="1"/>
  <c r="BD49" i="12990"/>
  <c r="BE49" i="12990"/>
  <c r="BG49" i="12990"/>
  <c r="AE10" i="12990" s="1"/>
  <c r="AK50" i="12990"/>
  <c r="AP50" i="12990"/>
  <c r="AS50" i="12990" s="1"/>
  <c r="AQ50" i="12990"/>
  <c r="O11" i="12990" s="1"/>
  <c r="AT50" i="12990"/>
  <c r="R11" i="12990" s="1"/>
  <c r="BD50" i="12990"/>
  <c r="BE50" i="12990"/>
  <c r="BG50" i="12990"/>
  <c r="AE11" i="12990" s="1"/>
  <c r="AK51" i="12990"/>
  <c r="AP51" i="12990"/>
  <c r="AS51" i="12990" s="1"/>
  <c r="Q12" i="12990" s="1"/>
  <c r="AQ51" i="12990"/>
  <c r="AT51" i="12990"/>
  <c r="R12" i="12990" s="1"/>
  <c r="R29" i="12990" s="1"/>
  <c r="BD51" i="12990"/>
  <c r="BF51" i="12990" s="1"/>
  <c r="AD12" i="12990" s="1"/>
  <c r="AD29" i="12990" s="1"/>
  <c r="BE51" i="12990"/>
  <c r="AC12" i="12990" s="1"/>
  <c r="BG51" i="12990"/>
  <c r="AE12" i="12990" s="1"/>
  <c r="AE29" i="12990" s="1"/>
  <c r="AK52" i="12990"/>
  <c r="AP52" i="12990"/>
  <c r="AS52" i="12990" s="1"/>
  <c r="AQ52" i="12990"/>
  <c r="O13" i="12990" s="1"/>
  <c r="AT52" i="12990"/>
  <c r="BD52" i="12990"/>
  <c r="BE52" i="12990"/>
  <c r="AC13" i="12990" s="1"/>
  <c r="BG52" i="12990"/>
  <c r="AE13" i="12990" s="1"/>
  <c r="AK53" i="12990"/>
  <c r="AL53" i="12990" s="1"/>
  <c r="AP53" i="12990"/>
  <c r="AS53" i="12990" s="1"/>
  <c r="AQ53" i="12990"/>
  <c r="AT53" i="12990"/>
  <c r="BD53" i="12990"/>
  <c r="BF53" i="12990" s="1"/>
  <c r="BE53" i="12990"/>
  <c r="BG53" i="12990"/>
  <c r="AK54" i="12990"/>
  <c r="AP54" i="12990"/>
  <c r="AS54" i="12990" s="1"/>
  <c r="AQ54" i="12990"/>
  <c r="O15" i="12990" s="1"/>
  <c r="O34" i="12990" s="1"/>
  <c r="AT54" i="12990"/>
  <c r="R15" i="12990" s="1"/>
  <c r="R34" i="12990" s="1"/>
  <c r="BD54" i="12990"/>
  <c r="BE54" i="12990"/>
  <c r="BG54" i="12990"/>
  <c r="AE15" i="12990" s="1"/>
  <c r="AK55" i="12990"/>
  <c r="AP55" i="12990"/>
  <c r="AS55" i="12990" s="1"/>
  <c r="Q16" i="12990" s="1"/>
  <c r="AQ55" i="12990"/>
  <c r="AT55" i="12990"/>
  <c r="R16" i="12990" s="1"/>
  <c r="BD55" i="12990"/>
  <c r="BF55" i="12990" s="1"/>
  <c r="AD16" i="12990" s="1"/>
  <c r="BE55" i="12990"/>
  <c r="AC16" i="12990" s="1"/>
  <c r="BG55" i="12990"/>
  <c r="AE16" i="12990" s="1"/>
  <c r="AE26" i="12990" s="1"/>
  <c r="AK56" i="12990"/>
  <c r="AP56" i="12990"/>
  <c r="AS56" i="12990" s="1"/>
  <c r="AQ56" i="12990"/>
  <c r="O17" i="12990" s="1"/>
  <c r="AT56" i="12990"/>
  <c r="BD56" i="12990"/>
  <c r="BE56" i="12990"/>
  <c r="AC17" i="12990" s="1"/>
  <c r="BG56" i="12990"/>
  <c r="AE17" i="12990" s="1"/>
  <c r="AK57" i="12990"/>
  <c r="AP57" i="12990"/>
  <c r="AS57" i="12990" s="1"/>
  <c r="Q18" i="12990" s="1"/>
  <c r="Q26" i="12990" s="1"/>
  <c r="AQ57" i="12990"/>
  <c r="AT57" i="12990"/>
  <c r="R18" i="12990" s="1"/>
  <c r="BD57" i="12990"/>
  <c r="BE57" i="12990"/>
  <c r="BG57" i="12990"/>
  <c r="AE18" i="12990" s="1"/>
  <c r="AK58" i="12990"/>
  <c r="AP58" i="12990"/>
  <c r="AS58" i="12990" s="1"/>
  <c r="AQ58" i="12990"/>
  <c r="O19" i="12990" s="1"/>
  <c r="O30" i="12990" s="1"/>
  <c r="AT58" i="12990"/>
  <c r="R19" i="12990" s="1"/>
  <c r="R30" i="12990" s="1"/>
  <c r="BD58" i="12990"/>
  <c r="BE58" i="12990"/>
  <c r="AC19" i="12990" s="1"/>
  <c r="AC30" i="12990" s="1"/>
  <c r="BG58" i="12990"/>
  <c r="AE19" i="12990" s="1"/>
  <c r="AK59" i="12990"/>
  <c r="AP59" i="12990"/>
  <c r="AS59" i="12990" s="1"/>
  <c r="Q20" i="12990" s="1"/>
  <c r="AQ59" i="12990"/>
  <c r="AT59" i="12990"/>
  <c r="R20" i="12990" s="1"/>
  <c r="BD59" i="12990"/>
  <c r="BF59" i="12990" s="1"/>
  <c r="AD20" i="12990" s="1"/>
  <c r="BE59" i="12990"/>
  <c r="AC20" i="12990" s="1"/>
  <c r="BG59" i="12990"/>
  <c r="AE20" i="12990" s="1"/>
  <c r="BG41" i="12990"/>
  <c r="AE2" i="12990" s="1"/>
  <c r="BE41" i="12990"/>
  <c r="BD41" i="12990"/>
  <c r="AS41" i="12990"/>
  <c r="Q2" i="12990" s="1"/>
  <c r="AP41" i="12990"/>
  <c r="N2" i="12990" s="1"/>
  <c r="AQ41" i="12990"/>
  <c r="AL41" i="12990"/>
  <c r="J2" i="12990" s="1"/>
  <c r="AK41" i="12990"/>
  <c r="AH34" i="12990"/>
  <c r="AG34" i="12990"/>
  <c r="AF34" i="12990"/>
  <c r="AA34" i="12990"/>
  <c r="Z34" i="12990"/>
  <c r="Z35" i="12990" s="1"/>
  <c r="Y34" i="12990"/>
  <c r="X34" i="12990"/>
  <c r="W34" i="12990"/>
  <c r="V34" i="12990"/>
  <c r="U34" i="12990"/>
  <c r="T34" i="12990"/>
  <c r="S34" i="12990"/>
  <c r="P34" i="12990"/>
  <c r="M34" i="12990"/>
  <c r="L34" i="12990"/>
  <c r="K34" i="12990"/>
  <c r="H34" i="12990"/>
  <c r="G34" i="12990"/>
  <c r="F34" i="12990"/>
  <c r="E34" i="12990"/>
  <c r="D34" i="12990"/>
  <c r="C34" i="12990"/>
  <c r="AH33" i="12990"/>
  <c r="AG33" i="12990"/>
  <c r="AF33" i="12990"/>
  <c r="AE33" i="12990"/>
  <c r="AD33" i="12990"/>
  <c r="AC33" i="12990"/>
  <c r="AB33" i="12990"/>
  <c r="AA33" i="12990"/>
  <c r="Z33" i="12990"/>
  <c r="Y33" i="12990"/>
  <c r="X33" i="12990"/>
  <c r="W33" i="12990"/>
  <c r="V33" i="12990"/>
  <c r="U33" i="12990"/>
  <c r="T33" i="12990"/>
  <c r="S33" i="12990"/>
  <c r="R33" i="12990"/>
  <c r="Q33" i="12990"/>
  <c r="P33" i="12990"/>
  <c r="O33" i="12990"/>
  <c r="N33" i="12990"/>
  <c r="M33" i="12990"/>
  <c r="L33" i="12990"/>
  <c r="K33" i="12990"/>
  <c r="J33" i="12990"/>
  <c r="I33" i="12990"/>
  <c r="H33" i="12990"/>
  <c r="G33" i="12990"/>
  <c r="F33" i="12990"/>
  <c r="E33" i="12990"/>
  <c r="D33" i="12990"/>
  <c r="C33" i="12990"/>
  <c r="AH32" i="12990"/>
  <c r="AG32" i="12990"/>
  <c r="AF32" i="12990"/>
  <c r="AE32" i="12990"/>
  <c r="AA32" i="12990"/>
  <c r="Z32" i="12990"/>
  <c r="Y32" i="12990"/>
  <c r="X32" i="12990"/>
  <c r="X35" i="12990" s="1"/>
  <c r="W32" i="12990"/>
  <c r="V32" i="12990"/>
  <c r="U32" i="12990"/>
  <c r="T32" i="12990"/>
  <c r="T35" i="12990" s="1"/>
  <c r="S32" i="12990"/>
  <c r="P32" i="12990"/>
  <c r="P35" i="12990" s="1"/>
  <c r="M32" i="12990"/>
  <c r="M35" i="12990" s="1"/>
  <c r="L32" i="12990"/>
  <c r="K32" i="12990"/>
  <c r="H32" i="12990"/>
  <c r="H35" i="12990" s="1"/>
  <c r="G32" i="12990"/>
  <c r="F32" i="12990"/>
  <c r="F35" i="12990" s="1"/>
  <c r="E32" i="12990"/>
  <c r="D32" i="12990"/>
  <c r="D35" i="12990" s="1"/>
  <c r="C32" i="12990"/>
  <c r="AH31" i="12990"/>
  <c r="F31" i="12990"/>
  <c r="AH30" i="12990"/>
  <c r="AG30" i="12990"/>
  <c r="AF30" i="12990"/>
  <c r="AE30" i="12990"/>
  <c r="AA30" i="12990"/>
  <c r="Z30" i="12990"/>
  <c r="Y30" i="12990"/>
  <c r="X30" i="12990"/>
  <c r="W30" i="12990"/>
  <c r="V30" i="12990"/>
  <c r="U30" i="12990"/>
  <c r="T30" i="12990"/>
  <c r="S30" i="12990"/>
  <c r="P30" i="12990"/>
  <c r="M30" i="12990"/>
  <c r="L30" i="12990"/>
  <c r="K30" i="12990"/>
  <c r="H30" i="12990"/>
  <c r="G30" i="12990"/>
  <c r="F30" i="12990"/>
  <c r="E30" i="12990"/>
  <c r="D30" i="12990"/>
  <c r="C30" i="12990"/>
  <c r="AH29" i="12990"/>
  <c r="AG29" i="12990"/>
  <c r="AF29" i="12990"/>
  <c r="AC29" i="12990"/>
  <c r="AB29" i="12990"/>
  <c r="AA29" i="12990"/>
  <c r="Z29" i="12990"/>
  <c r="Y29" i="12990"/>
  <c r="X29" i="12990"/>
  <c r="W29" i="12990"/>
  <c r="V29" i="12990"/>
  <c r="U29" i="12990"/>
  <c r="T29" i="12990"/>
  <c r="S29" i="12990"/>
  <c r="Q29" i="12990"/>
  <c r="P29" i="12990"/>
  <c r="M29" i="12990"/>
  <c r="L29" i="12990"/>
  <c r="K29" i="12990"/>
  <c r="H29" i="12990"/>
  <c r="G29" i="12990"/>
  <c r="F29" i="12990"/>
  <c r="E29" i="12990"/>
  <c r="D29" i="12990"/>
  <c r="C29" i="12990"/>
  <c r="AH28" i="12990"/>
  <c r="AG28" i="12990"/>
  <c r="AG31" i="12990" s="1"/>
  <c r="AF28" i="12990"/>
  <c r="AA28" i="12990"/>
  <c r="Z28" i="12990"/>
  <c r="Y28" i="12990"/>
  <c r="X28" i="12990"/>
  <c r="W28" i="12990"/>
  <c r="W31" i="12990" s="1"/>
  <c r="V28" i="12990"/>
  <c r="V31" i="12990" s="1"/>
  <c r="U28" i="12990"/>
  <c r="T28" i="12990"/>
  <c r="S28" i="12990"/>
  <c r="P28" i="12990"/>
  <c r="M28" i="12990"/>
  <c r="L28" i="12990"/>
  <c r="K28" i="12990"/>
  <c r="H28" i="12990"/>
  <c r="H31" i="12990" s="1"/>
  <c r="G28" i="12990"/>
  <c r="F28" i="12990"/>
  <c r="E28" i="12990"/>
  <c r="D28" i="12990"/>
  <c r="D31" i="12990" s="1"/>
  <c r="C28" i="12990"/>
  <c r="AH26" i="12990"/>
  <c r="AG26" i="12990"/>
  <c r="AF26" i="12990"/>
  <c r="AC26" i="12990"/>
  <c r="AA26" i="12990"/>
  <c r="Z26" i="12990"/>
  <c r="Y26" i="12990"/>
  <c r="X26" i="12990"/>
  <c r="W26" i="12990"/>
  <c r="V26" i="12990"/>
  <c r="V27" i="12990" s="1"/>
  <c r="U26" i="12990"/>
  <c r="T26" i="12990"/>
  <c r="S26" i="12990"/>
  <c r="P26" i="12990"/>
  <c r="M26" i="12990"/>
  <c r="L26" i="12990"/>
  <c r="K26" i="12990"/>
  <c r="H26" i="12990"/>
  <c r="G26" i="12990"/>
  <c r="F26" i="12990"/>
  <c r="E26" i="12990"/>
  <c r="D26" i="12990"/>
  <c r="C26" i="12990"/>
  <c r="AH25" i="12990"/>
  <c r="AG25" i="12990"/>
  <c r="AF25" i="12990"/>
  <c r="AA25" i="12990"/>
  <c r="Z25" i="12990"/>
  <c r="Y25" i="12990"/>
  <c r="X25" i="12990"/>
  <c r="W25" i="12990"/>
  <c r="V25" i="12990"/>
  <c r="U25" i="12990"/>
  <c r="T25" i="12990"/>
  <c r="S25" i="12990"/>
  <c r="P25" i="12990"/>
  <c r="M25" i="12990"/>
  <c r="L25" i="12990"/>
  <c r="K25" i="12990"/>
  <c r="H25" i="12990"/>
  <c r="G25" i="12990"/>
  <c r="F25" i="12990"/>
  <c r="E25" i="12990"/>
  <c r="D25" i="12990"/>
  <c r="C25" i="12990"/>
  <c r="AH24" i="12990"/>
  <c r="AG24" i="12990"/>
  <c r="AF24" i="12990"/>
  <c r="AC24" i="12990"/>
  <c r="AA24" i="12990"/>
  <c r="Z24" i="12990"/>
  <c r="Y24" i="12990"/>
  <c r="Y27" i="12990" s="1"/>
  <c r="X24" i="12990"/>
  <c r="W24" i="12990"/>
  <c r="V24" i="12990"/>
  <c r="U24" i="12990"/>
  <c r="U27" i="12990" s="1"/>
  <c r="T24" i="12990"/>
  <c r="S24" i="12990"/>
  <c r="AJ24" i="12990" s="1"/>
  <c r="P24" i="12990"/>
  <c r="P27" i="12990" s="1"/>
  <c r="M24" i="12990"/>
  <c r="L24" i="12990"/>
  <c r="K24" i="12990"/>
  <c r="K27" i="12990" s="1"/>
  <c r="H24" i="12990"/>
  <c r="G24" i="12990"/>
  <c r="F24" i="12990"/>
  <c r="F27" i="12990" s="1"/>
  <c r="F37" i="12990" s="1"/>
  <c r="E24" i="12990"/>
  <c r="D24" i="12990"/>
  <c r="C24" i="12990"/>
  <c r="AK20" i="12990"/>
  <c r="AJ20" i="12990"/>
  <c r="AK19" i="12990"/>
  <c r="AJ19" i="12990"/>
  <c r="AK18" i="12990"/>
  <c r="AJ18" i="12990"/>
  <c r="AK17" i="12990"/>
  <c r="AJ17" i="12990"/>
  <c r="AK16" i="12990"/>
  <c r="AJ16" i="12990"/>
  <c r="AK15" i="12990"/>
  <c r="AJ15" i="12990"/>
  <c r="AK14" i="12990"/>
  <c r="AJ14" i="12990"/>
  <c r="AK13" i="12990"/>
  <c r="AJ13" i="12990"/>
  <c r="AK12" i="12990"/>
  <c r="AJ12" i="12990"/>
  <c r="AK11" i="12990"/>
  <c r="AJ11" i="12990"/>
  <c r="AK10" i="12990"/>
  <c r="AJ10" i="12990"/>
  <c r="AK9" i="12990"/>
  <c r="AJ9" i="12990"/>
  <c r="AK8" i="12990"/>
  <c r="AJ8" i="12990"/>
  <c r="AK7" i="12990"/>
  <c r="AJ7" i="12990"/>
  <c r="AK6" i="12990"/>
  <c r="AJ6" i="12990"/>
  <c r="AK5" i="12990"/>
  <c r="AJ5" i="12990"/>
  <c r="AK4" i="12990"/>
  <c r="AJ4" i="12990"/>
  <c r="AK3" i="12990"/>
  <c r="AJ3" i="12990"/>
  <c r="AK2" i="12990"/>
  <c r="AJ2" i="12990"/>
  <c r="O1460" i="12908"/>
  <c r="O1459" i="12908"/>
  <c r="M1460" i="12908"/>
  <c r="AJ1460" i="13034" s="1"/>
  <c r="M1459" i="12908"/>
  <c r="AJ1459" i="13034" s="1"/>
  <c r="Q1469" i="12908"/>
  <c r="AN1469" i="13034" s="1"/>
  <c r="O1440" i="12908"/>
  <c r="O1439" i="12908"/>
  <c r="M1440" i="12908"/>
  <c r="AJ1440" i="13034" s="1"/>
  <c r="M1439" i="12908"/>
  <c r="AJ1439" i="13034" s="1"/>
  <c r="Q1449" i="12908"/>
  <c r="AN1449" i="13034" s="1"/>
  <c r="O1420" i="12908"/>
  <c r="O1419" i="12908"/>
  <c r="M1420" i="12908"/>
  <c r="AJ1420" i="13034" s="1"/>
  <c r="M1419" i="12908"/>
  <c r="AJ1419" i="13034" s="1"/>
  <c r="Q1429" i="12908"/>
  <c r="AN1429" i="13034" s="1"/>
  <c r="O1400" i="12908"/>
  <c r="O1399" i="12908"/>
  <c r="M1400" i="12908"/>
  <c r="AJ1400" i="13034" s="1"/>
  <c r="M1399" i="12908"/>
  <c r="AJ1399" i="13034" s="1"/>
  <c r="Q1409" i="12908"/>
  <c r="AN1409" i="13034" s="1"/>
  <c r="O891" i="12908"/>
  <c r="O890" i="12908"/>
  <c r="O889" i="12908"/>
  <c r="M891" i="12908"/>
  <c r="AJ891" i="13034" s="1"/>
  <c r="M890" i="12908"/>
  <c r="AJ890" i="13034" s="1"/>
  <c r="M889" i="12908"/>
  <c r="AJ889" i="13034" s="1"/>
  <c r="Q898" i="12908"/>
  <c r="AN898" i="13034" s="1"/>
  <c r="AL889" i="13034" l="1"/>
  <c r="AJ889" i="13015"/>
  <c r="AL1420" i="13034"/>
  <c r="AJ1420" i="13015"/>
  <c r="AL1439" i="13034"/>
  <c r="AJ1439" i="13015"/>
  <c r="AL890" i="13034"/>
  <c r="AJ890" i="13015"/>
  <c r="AL1440" i="13034"/>
  <c r="AJ1440" i="13015"/>
  <c r="AL1459" i="13034"/>
  <c r="AJ1459" i="13015"/>
  <c r="AL891" i="13034"/>
  <c r="AJ891" i="13015"/>
  <c r="AL1399" i="13034"/>
  <c r="AJ1399" i="13015"/>
  <c r="AL1460" i="13034"/>
  <c r="AJ1460" i="13015"/>
  <c r="AL2186" i="13034"/>
  <c r="AJ2186" i="13015"/>
  <c r="AL1400" i="13034"/>
  <c r="AJ1400" i="13015"/>
  <c r="AL1419" i="13034"/>
  <c r="AJ1419" i="13015"/>
  <c r="A46" i="13005"/>
  <c r="A47" i="13005" s="1"/>
  <c r="Q2173" i="12908"/>
  <c r="AN2173" i="13034" s="1"/>
  <c r="C1906" i="12908"/>
  <c r="Z1906" i="13034" s="1"/>
  <c r="M907" i="12908"/>
  <c r="AJ907" i="13034" s="1"/>
  <c r="M554" i="12908"/>
  <c r="AJ554" i="13034" s="1"/>
  <c r="O907" i="12908"/>
  <c r="O554" i="12908"/>
  <c r="M926" i="12908"/>
  <c r="AJ926" i="13034" s="1"/>
  <c r="M555" i="12908"/>
  <c r="O926" i="12908"/>
  <c r="O555" i="12908"/>
  <c r="M945" i="12908"/>
  <c r="AJ945" i="13034" s="1"/>
  <c r="M556" i="12908"/>
  <c r="AJ556" i="13034" s="1"/>
  <c r="O945" i="12908"/>
  <c r="O556" i="12908"/>
  <c r="Q916" i="12908"/>
  <c r="AN916" i="13034" s="1"/>
  <c r="Q563" i="12908"/>
  <c r="AN563" i="13034" s="1"/>
  <c r="Q2196" i="12908"/>
  <c r="AN2196" i="13034" s="1"/>
  <c r="C2077" i="12908"/>
  <c r="Z2077" i="13034" s="1"/>
  <c r="C2076" i="12908"/>
  <c r="Z2076" i="13034" s="1"/>
  <c r="J32" i="12990"/>
  <c r="R24" i="12990"/>
  <c r="R27" i="12990" s="1"/>
  <c r="R37" i="12990" s="1"/>
  <c r="C27" i="12990"/>
  <c r="G27" i="12990"/>
  <c r="Z27" i="12990"/>
  <c r="Z37" i="12990" s="1"/>
  <c r="E31" i="12990"/>
  <c r="M31" i="12990"/>
  <c r="E35" i="12990"/>
  <c r="U35" i="12990"/>
  <c r="Y35" i="12990"/>
  <c r="Y37" i="12990" s="1"/>
  <c r="AF35" i="12990"/>
  <c r="AK33" i="12990"/>
  <c r="Q19" i="12990"/>
  <c r="Q30" i="12990" s="1"/>
  <c r="Q31" i="12990" s="1"/>
  <c r="BF57" i="12990"/>
  <c r="AD18" i="12990" s="1"/>
  <c r="AL18" i="12990" s="1"/>
  <c r="AB18" i="12990"/>
  <c r="AL57" i="12990"/>
  <c r="J18" i="12990" s="1"/>
  <c r="I18" i="12990"/>
  <c r="AC15" i="12990"/>
  <c r="Q15" i="12990"/>
  <c r="AC11" i="12990"/>
  <c r="Q11" i="12990"/>
  <c r="Q25" i="12990" s="1"/>
  <c r="BF49" i="12990"/>
  <c r="AD10" i="12990" s="1"/>
  <c r="AD25" i="12990" s="1"/>
  <c r="AB10" i="12990"/>
  <c r="AL49" i="12990"/>
  <c r="J10" i="12990" s="1"/>
  <c r="I10" i="12990"/>
  <c r="AC7" i="12990"/>
  <c r="AC28" i="12990" s="1"/>
  <c r="AC31" i="12990" s="1"/>
  <c r="Q7" i="12990"/>
  <c r="Q28" i="12990" s="1"/>
  <c r="BF45" i="12990"/>
  <c r="AD6" i="12990" s="1"/>
  <c r="AB6" i="12990"/>
  <c r="AL45" i="12990"/>
  <c r="J6" i="12990" s="1"/>
  <c r="I6" i="12990"/>
  <c r="AC3" i="12990"/>
  <c r="Q3" i="12990"/>
  <c r="Q32" i="12990" s="1"/>
  <c r="R26" i="12990"/>
  <c r="AB13" i="12990"/>
  <c r="BF52" i="12990"/>
  <c r="AD13" i="12990" s="1"/>
  <c r="AL52" i="12990"/>
  <c r="J13" i="12990" s="1"/>
  <c r="I13" i="12990"/>
  <c r="AB9" i="12990"/>
  <c r="BF48" i="12990"/>
  <c r="AD9" i="12990" s="1"/>
  <c r="H27" i="12990"/>
  <c r="H37" i="12990" s="1"/>
  <c r="AA27" i="12990"/>
  <c r="Z31" i="12990"/>
  <c r="K35" i="12990"/>
  <c r="V35" i="12990"/>
  <c r="V37" i="12990" s="1"/>
  <c r="AB2" i="12990"/>
  <c r="BF41" i="12990"/>
  <c r="AD2" i="12990" s="1"/>
  <c r="BF58" i="12990"/>
  <c r="AD19" i="12990" s="1"/>
  <c r="AD30" i="12990" s="1"/>
  <c r="AB19" i="12990"/>
  <c r="AB30" i="12990" s="1"/>
  <c r="AL58" i="12990"/>
  <c r="J19" i="12990" s="1"/>
  <c r="J30" i="12990" s="1"/>
  <c r="I19" i="12990"/>
  <c r="I30" i="12990" s="1"/>
  <c r="BF54" i="12990"/>
  <c r="AD15" i="12990" s="1"/>
  <c r="AD34" i="12990" s="1"/>
  <c r="AB15" i="12990"/>
  <c r="AL54" i="12990"/>
  <c r="J15" i="12990" s="1"/>
  <c r="I15" i="12990"/>
  <c r="I34" i="12990" s="1"/>
  <c r="AE25" i="12990"/>
  <c r="BF50" i="12990"/>
  <c r="AD11" i="12990" s="1"/>
  <c r="AB11" i="12990"/>
  <c r="AL50" i="12990"/>
  <c r="J11" i="12990" s="1"/>
  <c r="I11" i="12990"/>
  <c r="R25" i="12990"/>
  <c r="BF46" i="12990"/>
  <c r="AD7" i="12990" s="1"/>
  <c r="AD28" i="12990" s="1"/>
  <c r="AB7" i="12990"/>
  <c r="AB28" i="12990" s="1"/>
  <c r="AB31" i="12990" s="1"/>
  <c r="AL46" i="12990"/>
  <c r="J7" i="12990" s="1"/>
  <c r="J28" i="12990" s="1"/>
  <c r="I7" i="12990"/>
  <c r="I28" i="12990" s="1"/>
  <c r="R6" i="12990"/>
  <c r="AE24" i="12990"/>
  <c r="AE27" i="12990" s="1"/>
  <c r="BF42" i="12990"/>
  <c r="AD3" i="12990" s="1"/>
  <c r="AB3" i="12990"/>
  <c r="AL42" i="12990"/>
  <c r="J3" i="12990" s="1"/>
  <c r="I3" i="12990"/>
  <c r="I32" i="12990" s="1"/>
  <c r="I35" i="12990" s="1"/>
  <c r="AB4" i="12990"/>
  <c r="AL4" i="12990" s="1"/>
  <c r="AB16" i="12990"/>
  <c r="AB17" i="12990"/>
  <c r="BF56" i="12990"/>
  <c r="AD17" i="12990" s="1"/>
  <c r="AL56" i="12990"/>
  <c r="J17" i="12990" s="1"/>
  <c r="I17" i="12990"/>
  <c r="AL48" i="12990"/>
  <c r="J9" i="12990" s="1"/>
  <c r="I9" i="12990"/>
  <c r="AB5" i="12990"/>
  <c r="AL5" i="12990" s="1"/>
  <c r="BF44" i="12990"/>
  <c r="AD5" i="12990" s="1"/>
  <c r="AL44" i="12990"/>
  <c r="J5" i="12990" s="1"/>
  <c r="I5" i="12990"/>
  <c r="D27" i="12990"/>
  <c r="D37" i="12990" s="1"/>
  <c r="AH27" i="12990"/>
  <c r="E27" i="12990"/>
  <c r="T27" i="12990"/>
  <c r="X27" i="12990"/>
  <c r="AK25" i="12990"/>
  <c r="AK26" i="12990"/>
  <c r="C31" i="12990"/>
  <c r="G31" i="12990"/>
  <c r="AJ28" i="12990"/>
  <c r="AK29" i="12990"/>
  <c r="C35" i="12990"/>
  <c r="G35" i="12990"/>
  <c r="AJ32" i="12990"/>
  <c r="W35" i="12990"/>
  <c r="AA35" i="12990"/>
  <c r="O2" i="12990"/>
  <c r="O32" i="12990" s="1"/>
  <c r="O35" i="12990" s="1"/>
  <c r="AT41" i="12990"/>
  <c r="R2" i="12990" s="1"/>
  <c r="R32" i="12990" s="1"/>
  <c r="AL59" i="12990"/>
  <c r="J20" i="12990" s="1"/>
  <c r="I20" i="12990"/>
  <c r="Q17" i="12990"/>
  <c r="AL55" i="12990"/>
  <c r="J16" i="12990" s="1"/>
  <c r="J26" i="12990" s="1"/>
  <c r="I16" i="12990"/>
  <c r="I26" i="12990" s="1"/>
  <c r="Q13" i="12990"/>
  <c r="AL51" i="12990"/>
  <c r="J12" i="12990" s="1"/>
  <c r="J29" i="12990" s="1"/>
  <c r="I12" i="12990"/>
  <c r="I29" i="12990" s="1"/>
  <c r="I31" i="12990" s="1"/>
  <c r="Q9" i="12990"/>
  <c r="AL47" i="12990"/>
  <c r="J8" i="12990" s="1"/>
  <c r="I8" i="12990"/>
  <c r="Q5" i="12990"/>
  <c r="AD24" i="12990"/>
  <c r="AL43" i="12990"/>
  <c r="J4" i="12990" s="1"/>
  <c r="I4" i="12990"/>
  <c r="AB8" i="12990"/>
  <c r="AB20" i="12990"/>
  <c r="AL20" i="12990" s="1"/>
  <c r="AC2" i="12990"/>
  <c r="N19" i="12990"/>
  <c r="N30" i="12990" s="1"/>
  <c r="N17" i="12990"/>
  <c r="AL17" i="12990" s="1"/>
  <c r="N15" i="12990"/>
  <c r="N34" i="12990" s="1"/>
  <c r="N13" i="12990"/>
  <c r="N11" i="12990"/>
  <c r="N9" i="12990"/>
  <c r="N7" i="12990"/>
  <c r="N28" i="12990" s="1"/>
  <c r="N31" i="12990" s="1"/>
  <c r="N5" i="12990"/>
  <c r="N3" i="12990"/>
  <c r="AH35" i="12990"/>
  <c r="AJ34" i="12990"/>
  <c r="AK34" i="12990"/>
  <c r="N20" i="12990"/>
  <c r="N18" i="12990"/>
  <c r="N16" i="12990"/>
  <c r="N26" i="12990" s="1"/>
  <c r="N12" i="12990"/>
  <c r="N29" i="12990" s="1"/>
  <c r="N10" i="12990"/>
  <c r="N25" i="12990" s="1"/>
  <c r="N8" i="12990"/>
  <c r="AL8" i="12990" s="1"/>
  <c r="N6" i="12990"/>
  <c r="N4" i="12990"/>
  <c r="AD31" i="12990"/>
  <c r="AE35" i="12990"/>
  <c r="AL3" i="12990"/>
  <c r="AE34" i="12990"/>
  <c r="AL13" i="12990"/>
  <c r="R31" i="12990"/>
  <c r="AL16" i="12990"/>
  <c r="AL14" i="12990"/>
  <c r="AL12" i="12990"/>
  <c r="AL6" i="12990"/>
  <c r="R35" i="12990"/>
  <c r="AG35" i="12990"/>
  <c r="AF27" i="12990"/>
  <c r="AK30" i="12990"/>
  <c r="AG27" i="12990"/>
  <c r="AG37" i="12990" s="1"/>
  <c r="AF31" i="12990"/>
  <c r="AA31" i="12990"/>
  <c r="U37" i="12990"/>
  <c r="AJ25" i="12990"/>
  <c r="T31" i="12990"/>
  <c r="X31" i="12990"/>
  <c r="W27" i="12990"/>
  <c r="W37" i="12990" s="1"/>
  <c r="U31" i="12990"/>
  <c r="Y31" i="12990"/>
  <c r="X37" i="12990"/>
  <c r="AJ26" i="12990"/>
  <c r="AJ29" i="12990"/>
  <c r="AJ30" i="12990"/>
  <c r="AJ33" i="12990"/>
  <c r="P31" i="12990"/>
  <c r="P37" i="12990" s="1"/>
  <c r="O26" i="12990"/>
  <c r="O27" i="12990" s="1"/>
  <c r="O29" i="12990"/>
  <c r="O31" i="12990"/>
  <c r="AL33" i="12990"/>
  <c r="AL2" i="12990"/>
  <c r="AL29" i="12990"/>
  <c r="N32" i="12990"/>
  <c r="L27" i="12990"/>
  <c r="K31" i="12990"/>
  <c r="K37" i="12990" s="1"/>
  <c r="M27" i="12990"/>
  <c r="M37" i="12990" s="1"/>
  <c r="J31" i="12990"/>
  <c r="T37" i="12990"/>
  <c r="AK31" i="12990"/>
  <c r="AK35" i="12990"/>
  <c r="AK24" i="12990"/>
  <c r="S27" i="12990"/>
  <c r="AK28" i="12990"/>
  <c r="S31" i="12990"/>
  <c r="AJ31" i="12990" s="1"/>
  <c r="AK32" i="12990"/>
  <c r="S35" i="12990"/>
  <c r="AJ35" i="12990" s="1"/>
  <c r="L31" i="12990"/>
  <c r="L35" i="12990"/>
  <c r="M908" i="12908"/>
  <c r="AJ908" i="13034" s="1"/>
  <c r="O908" i="12908"/>
  <c r="Q952" i="12908"/>
  <c r="AN952" i="13034" s="1"/>
  <c r="M927" i="12908"/>
  <c r="AJ927" i="13034" s="1"/>
  <c r="O927" i="12908"/>
  <c r="M909" i="12908"/>
  <c r="AJ909" i="13034" s="1"/>
  <c r="O909" i="12908"/>
  <c r="Q934" i="12908"/>
  <c r="AN934" i="13034" s="1"/>
  <c r="M925" i="12908"/>
  <c r="AJ925" i="13034" s="1"/>
  <c r="O925" i="12908"/>
  <c r="M944" i="12908"/>
  <c r="AJ944" i="13034" s="1"/>
  <c r="O944" i="12908"/>
  <c r="M943" i="12908"/>
  <c r="AJ943" i="13034" s="1"/>
  <c r="O943" i="12908"/>
  <c r="O759" i="12908"/>
  <c r="O758" i="12908"/>
  <c r="O757" i="12908"/>
  <c r="O756" i="12908"/>
  <c r="M759" i="12908"/>
  <c r="AJ759" i="13034" s="1"/>
  <c r="M758" i="12908"/>
  <c r="AJ758" i="13034" s="1"/>
  <c r="M757" i="12908"/>
  <c r="AJ757" i="13034" s="1"/>
  <c r="M756" i="12908"/>
  <c r="AJ756" i="13034" s="1"/>
  <c r="Q766" i="12908"/>
  <c r="AN766" i="13034" s="1"/>
  <c r="C758" i="12908"/>
  <c r="H815" i="12908"/>
  <c r="AE815" i="13034" s="1"/>
  <c r="H796" i="12908"/>
  <c r="AE796" i="13034" s="1"/>
  <c r="H777" i="12908"/>
  <c r="AE777" i="13034" s="1"/>
  <c r="O738" i="12908"/>
  <c r="O737" i="12908"/>
  <c r="O736" i="12908"/>
  <c r="O735" i="12908"/>
  <c r="M738" i="12908"/>
  <c r="AJ738" i="13034" s="1"/>
  <c r="M737" i="12908"/>
  <c r="AJ737" i="13034" s="1"/>
  <c r="M736" i="12908"/>
  <c r="AJ736" i="13034" s="1"/>
  <c r="M735" i="12908"/>
  <c r="AJ735" i="13034" s="1"/>
  <c r="Q748" i="12908"/>
  <c r="AN748" i="13034" s="1"/>
  <c r="Q745" i="12908"/>
  <c r="AN745" i="13034" s="1"/>
  <c r="O717" i="12908"/>
  <c r="O716" i="12908"/>
  <c r="O715" i="12908"/>
  <c r="O714" i="12908"/>
  <c r="M717" i="12908"/>
  <c r="AJ717" i="13034" s="1"/>
  <c r="M716" i="12908"/>
  <c r="AJ716" i="13034" s="1"/>
  <c r="M715" i="12908"/>
  <c r="AJ715" i="13034" s="1"/>
  <c r="M714" i="12908"/>
  <c r="AJ714" i="13034" s="1"/>
  <c r="Q724" i="12908"/>
  <c r="AN724" i="13034" s="1"/>
  <c r="O696" i="12908"/>
  <c r="O695" i="12908"/>
  <c r="O694" i="12908"/>
  <c r="O693" i="12908"/>
  <c r="M696" i="12908"/>
  <c r="AJ696" i="13034" s="1"/>
  <c r="M695" i="12908"/>
  <c r="AJ695" i="13034" s="1"/>
  <c r="M694" i="12908"/>
  <c r="AJ694" i="13034" s="1"/>
  <c r="M693" i="12908"/>
  <c r="AJ693" i="13034" s="1"/>
  <c r="Q703" i="12908"/>
  <c r="AN703" i="13034" s="1"/>
  <c r="O159" i="12908"/>
  <c r="O158" i="12908"/>
  <c r="O157" i="12908"/>
  <c r="O156" i="12908"/>
  <c r="O154" i="12908"/>
  <c r="O153" i="12908"/>
  <c r="M159" i="12908"/>
  <c r="AJ159" i="13034" s="1"/>
  <c r="M158" i="12908"/>
  <c r="AJ158" i="13034" s="1"/>
  <c r="M157" i="12908"/>
  <c r="AJ157" i="13034" s="1"/>
  <c r="M156" i="12908"/>
  <c r="AJ156" i="13034" s="1"/>
  <c r="M154" i="12908"/>
  <c r="AJ154" i="13034" s="1"/>
  <c r="M153" i="12908"/>
  <c r="AJ153" i="13034" s="1"/>
  <c r="K159" i="12908"/>
  <c r="AH159" i="13034" s="1"/>
  <c r="K158" i="12908"/>
  <c r="AH158" i="13034" s="1"/>
  <c r="K154" i="12908"/>
  <c r="AH154" i="13034" s="1"/>
  <c r="K153" i="12908"/>
  <c r="AH153" i="13034" s="1"/>
  <c r="Q158" i="12908"/>
  <c r="AN158" i="13034" s="1"/>
  <c r="Q159" i="12908"/>
  <c r="AN159" i="13034" s="1"/>
  <c r="O122" i="12908"/>
  <c r="O121" i="12908"/>
  <c r="O120" i="12908"/>
  <c r="O119" i="12908"/>
  <c r="O117" i="12908"/>
  <c r="O116" i="12908"/>
  <c r="M122" i="12908"/>
  <c r="AJ122" i="13034" s="1"/>
  <c r="M121" i="12908"/>
  <c r="AJ121" i="13034" s="1"/>
  <c r="M120" i="12908"/>
  <c r="AJ120" i="13034" s="1"/>
  <c r="M119" i="12908"/>
  <c r="AJ119" i="13034" s="1"/>
  <c r="M117" i="12908"/>
  <c r="AJ117" i="13034" s="1"/>
  <c r="M116" i="12908"/>
  <c r="AJ116" i="13034" s="1"/>
  <c r="K122" i="12908"/>
  <c r="AH122" i="13034" s="1"/>
  <c r="K121" i="12908"/>
  <c r="AH121" i="13034" s="1"/>
  <c r="K117" i="12908"/>
  <c r="AH117" i="13034" s="1"/>
  <c r="K116" i="12908"/>
  <c r="AH116" i="13034" s="1"/>
  <c r="Q121" i="12908"/>
  <c r="AN121" i="13034" s="1"/>
  <c r="Q122" i="12908"/>
  <c r="AN122" i="13034" s="1"/>
  <c r="O93" i="12908"/>
  <c r="O92" i="12908"/>
  <c r="O91" i="12908"/>
  <c r="O90" i="12908"/>
  <c r="O88" i="12908"/>
  <c r="O87" i="12908"/>
  <c r="M93" i="12908"/>
  <c r="AJ93" i="13034" s="1"/>
  <c r="M92" i="12908"/>
  <c r="AJ92" i="13034" s="1"/>
  <c r="M91" i="12908"/>
  <c r="M90" i="12908"/>
  <c r="M88" i="12908"/>
  <c r="AJ88" i="13034" s="1"/>
  <c r="M87" i="12908"/>
  <c r="AJ87" i="13034" s="1"/>
  <c r="K93" i="12908"/>
  <c r="AH93" i="13034" s="1"/>
  <c r="K92" i="12908"/>
  <c r="AH92" i="13034" s="1"/>
  <c r="K88" i="12908"/>
  <c r="AH88" i="13034" s="1"/>
  <c r="K87" i="12908"/>
  <c r="AH87" i="13034" s="1"/>
  <c r="Q92" i="12908"/>
  <c r="AN92" i="13034" s="1"/>
  <c r="Q93" i="12908"/>
  <c r="AN93" i="13034" s="1"/>
  <c r="H92" i="12908"/>
  <c r="AE92" i="13034" s="1"/>
  <c r="O56" i="12908"/>
  <c r="O55" i="12908"/>
  <c r="O54" i="12908"/>
  <c r="O53" i="12908"/>
  <c r="O51" i="12908"/>
  <c r="O50" i="12908"/>
  <c r="M56" i="12908"/>
  <c r="AJ56" i="13034" s="1"/>
  <c r="M55" i="12908"/>
  <c r="AJ55" i="13034" s="1"/>
  <c r="M54" i="12908"/>
  <c r="AJ54" i="13034" s="1"/>
  <c r="M53" i="12908"/>
  <c r="AJ53" i="13034" s="1"/>
  <c r="M51" i="12908"/>
  <c r="AJ51" i="13034" s="1"/>
  <c r="M50" i="12908"/>
  <c r="AJ50" i="13034" s="1"/>
  <c r="K56" i="12908"/>
  <c r="AH56" i="13034" s="1"/>
  <c r="K55" i="12908"/>
  <c r="AH55" i="13034" s="1"/>
  <c r="K51" i="12908"/>
  <c r="AH51" i="13034" s="1"/>
  <c r="K50" i="12908"/>
  <c r="AH50" i="13034" s="1"/>
  <c r="Q55" i="12908"/>
  <c r="AN55" i="13034" s="1"/>
  <c r="Q56" i="12908"/>
  <c r="AN56" i="13034" s="1"/>
  <c r="O196" i="12908"/>
  <c r="O195" i="12908"/>
  <c r="O194" i="12908"/>
  <c r="O193" i="12908"/>
  <c r="O191" i="12908"/>
  <c r="O190" i="12908"/>
  <c r="M196" i="12908"/>
  <c r="AJ196" i="13034" s="1"/>
  <c r="M195" i="12908"/>
  <c r="AJ195" i="13034" s="1"/>
  <c r="M194" i="12908"/>
  <c r="M193" i="12908"/>
  <c r="M191" i="12908"/>
  <c r="AJ191" i="13034" s="1"/>
  <c r="M190" i="12908"/>
  <c r="AJ190" i="13034" s="1"/>
  <c r="K196" i="12908"/>
  <c r="AH196" i="13034" s="1"/>
  <c r="K195" i="12908"/>
  <c r="AH195" i="13034" s="1"/>
  <c r="K191" i="12908"/>
  <c r="AH191" i="13034" s="1"/>
  <c r="K190" i="12908"/>
  <c r="AH190" i="13034" s="1"/>
  <c r="Q195" i="12908"/>
  <c r="AN195" i="13034" s="1"/>
  <c r="Q196" i="12908"/>
  <c r="AN196" i="13034" s="1"/>
  <c r="Q191" i="12908"/>
  <c r="AN191" i="13034" s="1"/>
  <c r="Q190" i="12908"/>
  <c r="AN190" i="13034" s="1"/>
  <c r="Q181" i="12908"/>
  <c r="AN181" i="13034" s="1"/>
  <c r="Q154" i="12908"/>
  <c r="AN154" i="13034" s="1"/>
  <c r="Q153" i="12908"/>
  <c r="AN153" i="13034" s="1"/>
  <c r="Q107" i="12908"/>
  <c r="AN107" i="13034" s="1"/>
  <c r="Q78" i="12908"/>
  <c r="AN78" i="13034" s="1"/>
  <c r="Q144" i="12908"/>
  <c r="AN144" i="13034" s="1"/>
  <c r="Q131" i="12908"/>
  <c r="AN131" i="13034" s="1"/>
  <c r="Q130" i="12908"/>
  <c r="AN130" i="13034" s="1"/>
  <c r="Q65" i="12908"/>
  <c r="AN65" i="13034" s="1"/>
  <c r="Q64" i="12908"/>
  <c r="AN64" i="13034" s="1"/>
  <c r="Q117" i="12908"/>
  <c r="AN117" i="13034" s="1"/>
  <c r="Q116" i="12908"/>
  <c r="AN116" i="13034" s="1"/>
  <c r="Q88" i="12908"/>
  <c r="AN88" i="13034" s="1"/>
  <c r="Q87" i="12908"/>
  <c r="AN87" i="13034" s="1"/>
  <c r="Q51" i="12908"/>
  <c r="AN51" i="13034" s="1"/>
  <c r="Q50" i="12908"/>
  <c r="AN50" i="13034" s="1"/>
  <c r="Q17" i="12908"/>
  <c r="Q16" i="12908"/>
  <c r="AL191" i="13034" l="1"/>
  <c r="AJ191" i="13015"/>
  <c r="U90" i="12908"/>
  <c r="AR90" i="13034" s="1"/>
  <c r="AJ90" i="13034"/>
  <c r="AL119" i="13034"/>
  <c r="AJ119" i="13015"/>
  <c r="AL153" i="13034"/>
  <c r="AJ153" i="13015"/>
  <c r="AL158" i="13034"/>
  <c r="AJ158" i="13015"/>
  <c r="AL714" i="13034"/>
  <c r="AJ714" i="13015"/>
  <c r="AL737" i="13034"/>
  <c r="AJ737" i="13015"/>
  <c r="AL757" i="13034"/>
  <c r="AJ757" i="13015"/>
  <c r="AL927" i="13034"/>
  <c r="AJ927" i="13015"/>
  <c r="W193" i="12908"/>
  <c r="AL193" i="13034"/>
  <c r="AJ193" i="13015"/>
  <c r="AL55" i="13034"/>
  <c r="AJ55" i="13015"/>
  <c r="AL88" i="13034"/>
  <c r="AJ88" i="13015"/>
  <c r="AL93" i="13034"/>
  <c r="AJ93" i="13015"/>
  <c r="AL159" i="13034"/>
  <c r="AJ159" i="13015"/>
  <c r="H758" i="12908"/>
  <c r="AE758" i="13034" s="1"/>
  <c r="Z758" i="13034"/>
  <c r="AL758" i="13034"/>
  <c r="AJ758" i="13015"/>
  <c r="W194" i="12908"/>
  <c r="AL194" i="13034"/>
  <c r="AJ194" i="13015"/>
  <c r="AL51" i="13034"/>
  <c r="AJ51" i="13015"/>
  <c r="AL56" i="13034"/>
  <c r="AJ56" i="13015"/>
  <c r="AL121" i="13034"/>
  <c r="AJ121" i="13015"/>
  <c r="AL716" i="13034"/>
  <c r="AJ716" i="13015"/>
  <c r="AL735" i="13034"/>
  <c r="AJ735" i="13015"/>
  <c r="AL909" i="13034"/>
  <c r="AJ909" i="13015"/>
  <c r="AN17" i="13034"/>
  <c r="Q17" i="13015"/>
  <c r="U194" i="12908"/>
  <c r="AR194" i="13034" s="1"/>
  <c r="AJ194" i="13034"/>
  <c r="AL196" i="13034"/>
  <c r="AJ196" i="13015"/>
  <c r="AL54" i="13034"/>
  <c r="AJ54" i="13015"/>
  <c r="AL87" i="13034"/>
  <c r="AJ87" i="13015"/>
  <c r="AL92" i="13034"/>
  <c r="AJ92" i="13015"/>
  <c r="AL694" i="13034"/>
  <c r="AJ694" i="13015"/>
  <c r="AL50" i="13034"/>
  <c r="AJ50" i="13015"/>
  <c r="U91" i="12908"/>
  <c r="AR91" i="13034" s="1"/>
  <c r="AJ91" i="13034"/>
  <c r="AL120" i="13034"/>
  <c r="AJ120" i="13015"/>
  <c r="AL154" i="13034"/>
  <c r="AJ154" i="13015"/>
  <c r="AL695" i="13034"/>
  <c r="AJ695" i="13015"/>
  <c r="AL715" i="13034"/>
  <c r="AJ715" i="13015"/>
  <c r="AL738" i="13034"/>
  <c r="AJ738" i="13015"/>
  <c r="AL944" i="13034"/>
  <c r="AJ944" i="13015"/>
  <c r="AL556" i="13034"/>
  <c r="AJ556" i="13015"/>
  <c r="W555" i="12908"/>
  <c r="AL555" i="13034"/>
  <c r="AJ555" i="13015"/>
  <c r="AL554" i="13034"/>
  <c r="AJ554" i="13015"/>
  <c r="W90" i="12908"/>
  <c r="AL90" i="13034"/>
  <c r="AJ90" i="13015"/>
  <c r="AL116" i="13034"/>
  <c r="AJ116" i="13015"/>
  <c r="AL156" i="13034"/>
  <c r="AJ156" i="13015"/>
  <c r="AL696" i="13034"/>
  <c r="AJ696" i="13015"/>
  <c r="AL759" i="13034"/>
  <c r="AJ759" i="13015"/>
  <c r="AL945" i="13034"/>
  <c r="AJ945" i="13015"/>
  <c r="AL926" i="13034"/>
  <c r="AJ926" i="13015"/>
  <c r="AL907" i="13034"/>
  <c r="AJ907" i="13015"/>
  <c r="AN16" i="13034"/>
  <c r="Q16" i="13015"/>
  <c r="U193" i="12908"/>
  <c r="AR193" i="13034" s="1"/>
  <c r="AJ193" i="13034"/>
  <c r="AL190" i="13034"/>
  <c r="AJ190" i="13015"/>
  <c r="AL195" i="13034"/>
  <c r="AJ195" i="13015"/>
  <c r="AL53" i="13034"/>
  <c r="AJ53" i="13015"/>
  <c r="W91" i="12908"/>
  <c r="AL91" i="13034"/>
  <c r="AJ91" i="13015"/>
  <c r="AL117" i="13034"/>
  <c r="AJ117" i="13015"/>
  <c r="AL122" i="13034"/>
  <c r="AJ122" i="13015"/>
  <c r="AL157" i="13034"/>
  <c r="AJ157" i="13015"/>
  <c r="AL693" i="13034"/>
  <c r="AJ693" i="13015"/>
  <c r="AL717" i="13034"/>
  <c r="AJ717" i="13015"/>
  <c r="AL736" i="13034"/>
  <c r="AJ736" i="13015"/>
  <c r="AL756" i="13034"/>
  <c r="AJ756" i="13015"/>
  <c r="AL943" i="13034"/>
  <c r="AJ943" i="13015"/>
  <c r="AL925" i="13034"/>
  <c r="AJ925" i="13015"/>
  <c r="AL908" i="13034"/>
  <c r="AJ908" i="13015"/>
  <c r="U555" i="12908"/>
  <c r="AR555" i="13034" s="1"/>
  <c r="AJ555" i="13034"/>
  <c r="A48" i="13005"/>
  <c r="K16" i="12908"/>
  <c r="AH16" i="13034" s="1"/>
  <c r="K17" i="12908"/>
  <c r="AH17" i="13034" s="1"/>
  <c r="Q2219" i="12908"/>
  <c r="AN2219" i="13034" s="1"/>
  <c r="Q823" i="12908"/>
  <c r="AN823" i="13034" s="1"/>
  <c r="O778" i="12908"/>
  <c r="M775" i="12908"/>
  <c r="AJ775" i="13034" s="1"/>
  <c r="O813" i="12908"/>
  <c r="M814" i="12908"/>
  <c r="AJ814" i="13034" s="1"/>
  <c r="O814" i="12908"/>
  <c r="M797" i="12908"/>
  <c r="AJ797" i="13034" s="1"/>
  <c r="M815" i="12908"/>
  <c r="AJ815" i="13034" s="1"/>
  <c r="O796" i="12908"/>
  <c r="Q156" i="12908"/>
  <c r="AN156" i="13034" s="1"/>
  <c r="Q194" i="12908"/>
  <c r="AN194" i="13034" s="1"/>
  <c r="Q629" i="12908"/>
  <c r="AN629" i="13034" s="1"/>
  <c r="Q596" i="12908"/>
  <c r="AN596" i="13034" s="1"/>
  <c r="Q662" i="12908"/>
  <c r="AN662" i="13034" s="1"/>
  <c r="O588" i="12908"/>
  <c r="O654" i="12908"/>
  <c r="O621" i="12908"/>
  <c r="O653" i="12908"/>
  <c r="O587" i="12908"/>
  <c r="O620" i="12908"/>
  <c r="O622" i="12908"/>
  <c r="O589" i="12908"/>
  <c r="O655" i="12908"/>
  <c r="M589" i="12908"/>
  <c r="AJ589" i="13034" s="1"/>
  <c r="M655" i="12908"/>
  <c r="AJ655" i="13034" s="1"/>
  <c r="M622" i="12908"/>
  <c r="AJ622" i="13034" s="1"/>
  <c r="M621" i="12908"/>
  <c r="M588" i="12908"/>
  <c r="M654" i="12908"/>
  <c r="M620" i="12908"/>
  <c r="AJ620" i="13034" s="1"/>
  <c r="M653" i="12908"/>
  <c r="AJ653" i="13034" s="1"/>
  <c r="M587" i="12908"/>
  <c r="AJ587" i="13034" s="1"/>
  <c r="O775" i="12908"/>
  <c r="AL15" i="12990"/>
  <c r="AC34" i="12990"/>
  <c r="O37" i="12990"/>
  <c r="AL9" i="12990"/>
  <c r="AL30" i="12990"/>
  <c r="AL10" i="12990"/>
  <c r="AA37" i="12990"/>
  <c r="AF37" i="12990"/>
  <c r="AL7" i="12990"/>
  <c r="I24" i="12990"/>
  <c r="AD26" i="12990"/>
  <c r="AD27" i="12990" s="1"/>
  <c r="E37" i="12990"/>
  <c r="J34" i="12990"/>
  <c r="J35" i="12990" s="1"/>
  <c r="AD32" i="12990"/>
  <c r="AD35" i="12990" s="1"/>
  <c r="AC32" i="12990"/>
  <c r="AC35" i="12990" s="1"/>
  <c r="J25" i="12990"/>
  <c r="AL11" i="12990"/>
  <c r="AC25" i="12990"/>
  <c r="AC27" i="12990" s="1"/>
  <c r="G37" i="12990"/>
  <c r="AB24" i="12990"/>
  <c r="AL28" i="12990"/>
  <c r="Q24" i="12990"/>
  <c r="Q27" i="12990" s="1"/>
  <c r="I25" i="12990"/>
  <c r="AK27" i="12990"/>
  <c r="N35" i="12990"/>
  <c r="AL19" i="12990"/>
  <c r="N24" i="12990"/>
  <c r="J24" i="12990"/>
  <c r="AH37" i="12990"/>
  <c r="AB26" i="12990"/>
  <c r="AL26" i="12990" s="1"/>
  <c r="AB34" i="12990"/>
  <c r="AB32" i="12990"/>
  <c r="AB35" i="12990" s="1"/>
  <c r="AB25" i="12990"/>
  <c r="AL25" i="12990" s="1"/>
  <c r="Q34" i="12990"/>
  <c r="Q35" i="12990" s="1"/>
  <c r="C37" i="12990"/>
  <c r="AE37" i="12990"/>
  <c r="AD37" i="12990"/>
  <c r="AL31" i="12990"/>
  <c r="AL32" i="12990"/>
  <c r="S37" i="12990"/>
  <c r="L37" i="12990"/>
  <c r="AJ27" i="12990"/>
  <c r="M795" i="12908"/>
  <c r="AJ795" i="13034" s="1"/>
  <c r="Q157" i="12908"/>
  <c r="AN157" i="13034" s="1"/>
  <c r="O794" i="12908"/>
  <c r="M816" i="12908"/>
  <c r="AJ816" i="13034" s="1"/>
  <c r="Q120" i="12908"/>
  <c r="AN120" i="13034" s="1"/>
  <c r="Q91" i="12908"/>
  <c r="AN91" i="13034" s="1"/>
  <c r="M776" i="12908"/>
  <c r="AJ776" i="13034" s="1"/>
  <c r="M813" i="12908"/>
  <c r="AJ813" i="13034" s="1"/>
  <c r="O816" i="12908"/>
  <c r="M794" i="12908"/>
  <c r="AJ794" i="13034" s="1"/>
  <c r="O797" i="12908"/>
  <c r="O815" i="12908"/>
  <c r="Q785" i="12908"/>
  <c r="AN785" i="13034" s="1"/>
  <c r="M777" i="12908"/>
  <c r="AJ777" i="13034" s="1"/>
  <c r="O776" i="12908"/>
  <c r="Q54" i="12908"/>
  <c r="AN54" i="13034" s="1"/>
  <c r="M778" i="12908"/>
  <c r="AJ778" i="13034" s="1"/>
  <c r="O777" i="12908"/>
  <c r="Q804" i="12908"/>
  <c r="AN804" i="13034" s="1"/>
  <c r="M796" i="12908"/>
  <c r="AJ796" i="13034" s="1"/>
  <c r="O795" i="12908"/>
  <c r="Q53" i="12908"/>
  <c r="AN53" i="13034" s="1"/>
  <c r="Q193" i="12908"/>
  <c r="AN193" i="13034" s="1"/>
  <c r="Q90" i="12908"/>
  <c r="AN90" i="13034" s="1"/>
  <c r="Q119" i="12908"/>
  <c r="AN119" i="13034" s="1"/>
  <c r="AL655" i="13034" l="1"/>
  <c r="AJ655" i="13015"/>
  <c r="W588" i="12908"/>
  <c r="AL588" i="13034"/>
  <c r="AJ588" i="13015"/>
  <c r="Q119" i="13015"/>
  <c r="Y119" i="13015" s="1"/>
  <c r="K16" i="13015"/>
  <c r="Q156" i="13015"/>
  <c r="Y156" i="13015" s="1"/>
  <c r="Q90" i="13015"/>
  <c r="Y90" i="13015" s="1"/>
  <c r="Q193" i="13015"/>
  <c r="Y193" i="13015" s="1"/>
  <c r="Q53" i="13015"/>
  <c r="Y53" i="13015" s="1"/>
  <c r="Y16" i="13015"/>
  <c r="AL775" i="13034"/>
  <c r="AJ775" i="13015"/>
  <c r="U654" i="12908"/>
  <c r="AR654" i="13034" s="1"/>
  <c r="AJ654" i="13034"/>
  <c r="AL622" i="13034"/>
  <c r="AJ622" i="13015"/>
  <c r="W621" i="12908"/>
  <c r="AL621" i="13034"/>
  <c r="AJ621" i="13015"/>
  <c r="AL796" i="13034"/>
  <c r="AJ796" i="13015"/>
  <c r="AT90" i="13034"/>
  <c r="AI90" i="13015"/>
  <c r="Q157" i="13015"/>
  <c r="Y157" i="13015" s="1"/>
  <c r="Q54" i="13015"/>
  <c r="Y54" i="13015" s="1"/>
  <c r="Q120" i="13015"/>
  <c r="Y120" i="13015" s="1"/>
  <c r="Q91" i="13015"/>
  <c r="Y91" i="13015" s="1"/>
  <c r="K17" i="13015"/>
  <c r="Q194" i="13015"/>
  <c r="Y194" i="13015" s="1"/>
  <c r="Y17" i="13015"/>
  <c r="AT194" i="13034"/>
  <c r="AI194" i="13015"/>
  <c r="AL815" i="13034"/>
  <c r="AJ815" i="13015"/>
  <c r="U621" i="12908"/>
  <c r="AR621" i="13034" s="1"/>
  <c r="AJ621" i="13034"/>
  <c r="AL587" i="13034"/>
  <c r="AJ587" i="13015"/>
  <c r="AL776" i="13034"/>
  <c r="AJ776" i="13015"/>
  <c r="AL797" i="13034"/>
  <c r="AJ797" i="13015"/>
  <c r="AL794" i="13034"/>
  <c r="AJ794" i="13015"/>
  <c r="AL589" i="13034"/>
  <c r="AJ589" i="13015"/>
  <c r="AL653" i="13034"/>
  <c r="AJ653" i="13015"/>
  <c r="AL814" i="13034"/>
  <c r="AJ814" i="13015"/>
  <c r="AL778" i="13034"/>
  <c r="AJ778" i="13015"/>
  <c r="AT193" i="13034"/>
  <c r="AI193" i="13015"/>
  <c r="AL777" i="13034"/>
  <c r="AJ777" i="13015"/>
  <c r="AL795" i="13034"/>
  <c r="AJ795" i="13015"/>
  <c r="AL816" i="13034"/>
  <c r="AJ816" i="13015"/>
  <c r="U588" i="12908"/>
  <c r="AR588" i="13034" s="1"/>
  <c r="AJ588" i="13034"/>
  <c r="AL620" i="13034"/>
  <c r="AJ620" i="13015"/>
  <c r="W654" i="12908"/>
  <c r="AL654" i="13034"/>
  <c r="AJ654" i="13015"/>
  <c r="AL813" i="13034"/>
  <c r="AJ813" i="13015"/>
  <c r="AT91" i="13034"/>
  <c r="AI91" i="13015"/>
  <c r="AT555" i="13034"/>
  <c r="AI555" i="13015"/>
  <c r="A49" i="13005"/>
  <c r="Y91" i="12908"/>
  <c r="AV91" i="13034" s="1"/>
  <c r="Y90" i="12908"/>
  <c r="AV90" i="13034" s="1"/>
  <c r="Y194" i="12908"/>
  <c r="AV194" i="13034" s="1"/>
  <c r="Y193" i="12908"/>
  <c r="AV193" i="13034" s="1"/>
  <c r="K156" i="12908"/>
  <c r="AH156" i="13034" s="1"/>
  <c r="K119" i="12908"/>
  <c r="AH119" i="13034" s="1"/>
  <c r="K90" i="12908"/>
  <c r="K53" i="12908"/>
  <c r="AH53" i="13034" s="1"/>
  <c r="K193" i="12908"/>
  <c r="K157" i="12908"/>
  <c r="AH157" i="13034" s="1"/>
  <c r="K120" i="12908"/>
  <c r="AH120" i="13034" s="1"/>
  <c r="K91" i="12908"/>
  <c r="K54" i="12908"/>
  <c r="AH54" i="13034" s="1"/>
  <c r="K194" i="12908"/>
  <c r="Q37" i="12990"/>
  <c r="AL35" i="12990"/>
  <c r="AL34" i="12990"/>
  <c r="J27" i="12990"/>
  <c r="J37" i="12990" s="1"/>
  <c r="AC37" i="12990"/>
  <c r="I27" i="12990"/>
  <c r="I37" i="12990" s="1"/>
  <c r="AB27" i="12990"/>
  <c r="AB37" i="12990" s="1"/>
  <c r="AL24" i="12990"/>
  <c r="N27" i="12990"/>
  <c r="C935" i="12908"/>
  <c r="Z935" i="13034" s="1"/>
  <c r="C719" i="12908"/>
  <c r="Z719" i="13034" s="1"/>
  <c r="C718" i="12908"/>
  <c r="Z718" i="13034" s="1"/>
  <c r="S90" i="12908" l="1"/>
  <c r="AP90" i="13034" s="1"/>
  <c r="AH90" i="13034"/>
  <c r="AT588" i="13034"/>
  <c r="AI588" i="13015"/>
  <c r="S194" i="12908"/>
  <c r="AP194" i="13034" s="1"/>
  <c r="AH194" i="13034"/>
  <c r="K91" i="13015"/>
  <c r="S91" i="13015" s="1"/>
  <c r="K54" i="13015"/>
  <c r="S54" i="13015" s="1"/>
  <c r="K120" i="13015"/>
  <c r="S120" i="13015" s="1"/>
  <c r="K194" i="13015"/>
  <c r="S194" i="13015" s="1"/>
  <c r="K157" i="13015"/>
  <c r="S157" i="13015" s="1"/>
  <c r="S91" i="12908"/>
  <c r="AP91" i="13034" s="1"/>
  <c r="AH91" i="13034"/>
  <c r="AB20" i="13015"/>
  <c r="AT654" i="13034"/>
  <c r="AI654" i="13015"/>
  <c r="AT621" i="13034"/>
  <c r="AI621" i="13015"/>
  <c r="K156" i="13015"/>
  <c r="S156" i="13015" s="1"/>
  <c r="K119" i="13015"/>
  <c r="S119" i="13015" s="1"/>
  <c r="K53" i="13015"/>
  <c r="S53" i="13015" s="1"/>
  <c r="K193" i="13015"/>
  <c r="S193" i="13015" s="1"/>
  <c r="K90" i="13015"/>
  <c r="S90" i="13015" s="1"/>
  <c r="S193" i="12908"/>
  <c r="AP193" i="13034" s="1"/>
  <c r="AH193" i="13034"/>
  <c r="A50" i="13005"/>
  <c r="AL27" i="12990"/>
  <c r="AL37" i="12990" s="1"/>
  <c r="N37" i="12990"/>
  <c r="U18" i="12988"/>
  <c r="U35" i="12988" s="1"/>
  <c r="U16" i="12988"/>
  <c r="U14" i="12988"/>
  <c r="V10" i="12988"/>
  <c r="U10" i="12988"/>
  <c r="U32" i="12988" s="1"/>
  <c r="U8" i="12988"/>
  <c r="U6" i="12988"/>
  <c r="V5" i="12988"/>
  <c r="U5" i="12988"/>
  <c r="U4" i="12988"/>
  <c r="P19" i="12988"/>
  <c r="P36" i="12988" s="1"/>
  <c r="P17" i="12988"/>
  <c r="P29" i="12988" s="1"/>
  <c r="P13" i="12988"/>
  <c r="P28" i="12988" s="1"/>
  <c r="P11" i="12988"/>
  <c r="Q10" i="12988"/>
  <c r="P10" i="12988"/>
  <c r="P32" i="12988" s="1"/>
  <c r="P9" i="12988"/>
  <c r="P7" i="12988"/>
  <c r="P27" i="12988" s="1"/>
  <c r="Q5" i="12988"/>
  <c r="P5" i="12988"/>
  <c r="P3" i="12988"/>
  <c r="L5" i="12988"/>
  <c r="M5" i="12988"/>
  <c r="L10" i="12988"/>
  <c r="M10" i="12988"/>
  <c r="M32" i="12988" s="1"/>
  <c r="C875" i="12908" s="1"/>
  <c r="Z875" i="13034" s="1"/>
  <c r="M13" i="12988"/>
  <c r="M28" i="12988" s="1"/>
  <c r="C818" i="12908" s="1"/>
  <c r="Z818" i="13034" s="1"/>
  <c r="M19" i="12988"/>
  <c r="M36" i="12988" s="1"/>
  <c r="C947" i="12908" s="1"/>
  <c r="Z947" i="13034" s="1"/>
  <c r="L2" i="12988"/>
  <c r="AE73" i="12988"/>
  <c r="AF73" i="12988" s="1"/>
  <c r="AI73" i="12988"/>
  <c r="AJ73" i="12988" s="1"/>
  <c r="AN73" i="12988"/>
  <c r="AO73" i="12988" s="1"/>
  <c r="AE74" i="12988"/>
  <c r="AF74" i="12988"/>
  <c r="AI74" i="12988"/>
  <c r="AJ74" i="12988" s="1"/>
  <c r="AN74" i="12988"/>
  <c r="AO74" i="12988" s="1"/>
  <c r="AE60" i="12988"/>
  <c r="AF60" i="12988" s="1"/>
  <c r="AI60" i="12988"/>
  <c r="AJ60" i="12988"/>
  <c r="AN60" i="12988"/>
  <c r="AO60" i="12988" s="1"/>
  <c r="AE61" i="12988"/>
  <c r="AF61" i="12988" s="1"/>
  <c r="AI61" i="12988"/>
  <c r="AJ61" i="12988" s="1"/>
  <c r="AN61" i="12988"/>
  <c r="AO61" i="12988"/>
  <c r="AE62" i="12988"/>
  <c r="AF62" i="12988" s="1"/>
  <c r="AI62" i="12988"/>
  <c r="AJ62" i="12988" s="1"/>
  <c r="AN62" i="12988"/>
  <c r="AO62" i="12988" s="1"/>
  <c r="AE63" i="12988"/>
  <c r="AF63" i="12988"/>
  <c r="AI63" i="12988"/>
  <c r="AJ63" i="12988" s="1"/>
  <c r="AN63" i="12988"/>
  <c r="AO63" i="12988" s="1"/>
  <c r="AE64" i="12988"/>
  <c r="AF64" i="12988" s="1"/>
  <c r="AI64" i="12988"/>
  <c r="AJ64" i="12988"/>
  <c r="AN64" i="12988"/>
  <c r="AO64" i="12988" s="1"/>
  <c r="AE65" i="12988"/>
  <c r="AF65" i="12988" s="1"/>
  <c r="M11" i="12988" s="1"/>
  <c r="AI65" i="12988"/>
  <c r="AJ65" i="12988" s="1"/>
  <c r="AN65" i="12988"/>
  <c r="AO65" i="12988"/>
  <c r="AE66" i="12988"/>
  <c r="AF66" i="12988" s="1"/>
  <c r="AI66" i="12988"/>
  <c r="AJ66" i="12988" s="1"/>
  <c r="AN66" i="12988"/>
  <c r="AO66" i="12988" s="1"/>
  <c r="AE67" i="12988"/>
  <c r="AF67" i="12988"/>
  <c r="AI67" i="12988"/>
  <c r="AJ67" i="12988" s="1"/>
  <c r="AN67" i="12988"/>
  <c r="AO67" i="12988" s="1"/>
  <c r="AE68" i="12988"/>
  <c r="AF68" i="12988" s="1"/>
  <c r="AI68" i="12988"/>
  <c r="AJ68" i="12988"/>
  <c r="AN68" i="12988"/>
  <c r="AO68" i="12988" s="1"/>
  <c r="AE69" i="12988"/>
  <c r="AF69" i="12988" s="1"/>
  <c r="M15" i="12988" s="1"/>
  <c r="AI69" i="12988"/>
  <c r="AJ69" i="12988" s="1"/>
  <c r="AN69" i="12988"/>
  <c r="AO69" i="12988"/>
  <c r="AE70" i="12988"/>
  <c r="AF70" i="12988" s="1"/>
  <c r="AI70" i="12988"/>
  <c r="AJ70" i="12988" s="1"/>
  <c r="AN70" i="12988"/>
  <c r="AO70" i="12988" s="1"/>
  <c r="AE71" i="12988"/>
  <c r="AF71" i="12988"/>
  <c r="M17" i="12988" s="1"/>
  <c r="M29" i="12988" s="1"/>
  <c r="C780" i="12908" s="1"/>
  <c r="Z780" i="13034" s="1"/>
  <c r="AI71" i="12988"/>
  <c r="AJ71" i="12988" s="1"/>
  <c r="AN71" i="12988"/>
  <c r="AO71" i="12988" s="1"/>
  <c r="AE72" i="12988"/>
  <c r="AF72" i="12988" s="1"/>
  <c r="AI72" i="12988"/>
  <c r="AJ72" i="12988"/>
  <c r="AN72" i="12988"/>
  <c r="AO72" i="12988" s="1"/>
  <c r="AN59" i="12988"/>
  <c r="AO59" i="12988" s="1"/>
  <c r="V2" i="12988" s="1"/>
  <c r="AI59" i="12988"/>
  <c r="AJ59" i="12988" s="1"/>
  <c r="Q2" i="12988" s="1"/>
  <c r="AF59" i="12988"/>
  <c r="M2" i="12988" s="1"/>
  <c r="AE44" i="12988"/>
  <c r="L4" i="12988" s="1"/>
  <c r="AF44" i="12988"/>
  <c r="AI44" i="12988"/>
  <c r="P4" i="12988" s="1"/>
  <c r="AD4" i="12988" s="1"/>
  <c r="AJ44" i="12988"/>
  <c r="Q4" i="12988" s="1"/>
  <c r="AN44" i="12988"/>
  <c r="AO44" i="12988"/>
  <c r="V4" i="12988" s="1"/>
  <c r="AE45" i="12988"/>
  <c r="L6" i="12988" s="1"/>
  <c r="AF45" i="12988"/>
  <c r="M6" i="12988" s="1"/>
  <c r="AI45" i="12988"/>
  <c r="P6" i="12988" s="1"/>
  <c r="AD6" i="12988" s="1"/>
  <c r="AJ45" i="12988"/>
  <c r="Q6" i="12988" s="1"/>
  <c r="AN45" i="12988"/>
  <c r="AO45" i="12988"/>
  <c r="V6" i="12988" s="1"/>
  <c r="AE46" i="12988"/>
  <c r="L7" i="12988" s="1"/>
  <c r="L27" i="12988" s="1"/>
  <c r="C798" i="12908" s="1"/>
  <c r="Z798" i="13034" s="1"/>
  <c r="AF46" i="12988"/>
  <c r="M7" i="12988" s="1"/>
  <c r="M27" i="12988" s="1"/>
  <c r="C799" i="12908" s="1"/>
  <c r="Z799" i="13034" s="1"/>
  <c r="AI46" i="12988"/>
  <c r="AJ46" i="12988"/>
  <c r="Q7" i="12988" s="1"/>
  <c r="Q27" i="12988" s="1"/>
  <c r="AN46" i="12988"/>
  <c r="U7" i="12988" s="1"/>
  <c r="U27" i="12988" s="1"/>
  <c r="AO46" i="12988"/>
  <c r="V7" i="12988" s="1"/>
  <c r="V27" i="12988" s="1"/>
  <c r="AE47" i="12988"/>
  <c r="L8" i="12988" s="1"/>
  <c r="AF47" i="12988"/>
  <c r="M8" i="12988" s="1"/>
  <c r="AI47" i="12988"/>
  <c r="P8" i="12988" s="1"/>
  <c r="AD8" i="12988" s="1"/>
  <c r="AJ47" i="12988"/>
  <c r="Q8" i="12988" s="1"/>
  <c r="AN47" i="12988"/>
  <c r="AO47" i="12988"/>
  <c r="V8" i="12988" s="1"/>
  <c r="AE48" i="12988"/>
  <c r="L9" i="12988" s="1"/>
  <c r="AF48" i="12988"/>
  <c r="M9" i="12988" s="1"/>
  <c r="AI48" i="12988"/>
  <c r="AJ48" i="12988"/>
  <c r="Q9" i="12988" s="1"/>
  <c r="AN48" i="12988"/>
  <c r="U9" i="12988" s="1"/>
  <c r="AD9" i="12988" s="1"/>
  <c r="AO48" i="12988"/>
  <c r="V9" i="12988" s="1"/>
  <c r="AE49" i="12988"/>
  <c r="L11" i="12988" s="1"/>
  <c r="AF49" i="12988"/>
  <c r="AI49" i="12988"/>
  <c r="AJ49" i="12988"/>
  <c r="Q11" i="12988" s="1"/>
  <c r="AN49" i="12988"/>
  <c r="U11" i="12988" s="1"/>
  <c r="AO49" i="12988"/>
  <c r="V11" i="12988" s="1"/>
  <c r="AE50" i="12988"/>
  <c r="L12" i="12988" s="1"/>
  <c r="AF50" i="12988"/>
  <c r="M12" i="12988" s="1"/>
  <c r="AI50" i="12988"/>
  <c r="P12" i="12988" s="1"/>
  <c r="AJ50" i="12988"/>
  <c r="AN50" i="12988"/>
  <c r="AO50" i="12988"/>
  <c r="V12" i="12988" s="1"/>
  <c r="AE51" i="12988"/>
  <c r="L13" i="12988" s="1"/>
  <c r="L28" i="12988" s="1"/>
  <c r="C817" i="12908" s="1"/>
  <c r="Z817" i="13034" s="1"/>
  <c r="AF51" i="12988"/>
  <c r="AI51" i="12988"/>
  <c r="AJ51" i="12988"/>
  <c r="Q13" i="12988" s="1"/>
  <c r="AN51" i="12988"/>
  <c r="U13" i="12988" s="1"/>
  <c r="U28" i="12988" s="1"/>
  <c r="AO51" i="12988"/>
  <c r="V13" i="12988" s="1"/>
  <c r="V28" i="12988" s="1"/>
  <c r="AE52" i="12988"/>
  <c r="L14" i="12988" s="1"/>
  <c r="AF52" i="12988"/>
  <c r="M14" i="12988" s="1"/>
  <c r="AI52" i="12988"/>
  <c r="P14" i="12988" s="1"/>
  <c r="AJ52" i="12988"/>
  <c r="Q14" i="12988" s="1"/>
  <c r="AN52" i="12988"/>
  <c r="AO52" i="12988"/>
  <c r="V14" i="12988" s="1"/>
  <c r="AE53" i="12988"/>
  <c r="L15" i="12988" s="1"/>
  <c r="AF53" i="12988"/>
  <c r="AI53" i="12988"/>
  <c r="AJ53" i="12988"/>
  <c r="Q15" i="12988" s="1"/>
  <c r="Q25" i="12988" s="1"/>
  <c r="AN53" i="12988"/>
  <c r="U15" i="12988" s="1"/>
  <c r="U25" i="12988" s="1"/>
  <c r="AO53" i="12988"/>
  <c r="V15" i="12988" s="1"/>
  <c r="AE54" i="12988"/>
  <c r="L16" i="12988" s="1"/>
  <c r="AF54" i="12988"/>
  <c r="M16" i="12988" s="1"/>
  <c r="M25" i="12988" s="1"/>
  <c r="C698" i="12908" s="1"/>
  <c r="Z698" i="13034" s="1"/>
  <c r="AI54" i="12988"/>
  <c r="P16" i="12988" s="1"/>
  <c r="AJ54" i="12988"/>
  <c r="Q16" i="12988" s="1"/>
  <c r="AN54" i="12988"/>
  <c r="AO54" i="12988"/>
  <c r="V16" i="12988" s="1"/>
  <c r="AE55" i="12988"/>
  <c r="L17" i="12988" s="1"/>
  <c r="L29" i="12988" s="1"/>
  <c r="C779" i="12908" s="1"/>
  <c r="Z779" i="13034" s="1"/>
  <c r="AF55" i="12988"/>
  <c r="AI55" i="12988"/>
  <c r="AJ55" i="12988"/>
  <c r="Q17" i="12988" s="1"/>
  <c r="Q29" i="12988" s="1"/>
  <c r="AN55" i="12988"/>
  <c r="U17" i="12988" s="1"/>
  <c r="U29" i="12988" s="1"/>
  <c r="AO55" i="12988"/>
  <c r="AE56" i="12988"/>
  <c r="L18" i="12988" s="1"/>
  <c r="L35" i="12988" s="1"/>
  <c r="C928" i="12908" s="1"/>
  <c r="Z928" i="13034" s="1"/>
  <c r="AF56" i="12988"/>
  <c r="M18" i="12988" s="1"/>
  <c r="M35" i="12988" s="1"/>
  <c r="C929" i="12908" s="1"/>
  <c r="Z929" i="13034" s="1"/>
  <c r="AI56" i="12988"/>
  <c r="P18" i="12988" s="1"/>
  <c r="AJ56" i="12988"/>
  <c r="Q18" i="12988" s="1"/>
  <c r="Q35" i="12988" s="1"/>
  <c r="AN56" i="12988"/>
  <c r="AO56" i="12988"/>
  <c r="V18" i="12988" s="1"/>
  <c r="V35" i="12988" s="1"/>
  <c r="AE57" i="12988"/>
  <c r="L19" i="12988" s="1"/>
  <c r="L36" i="12988" s="1"/>
  <c r="C946" i="12908" s="1"/>
  <c r="Z946" i="13034" s="1"/>
  <c r="AF57" i="12988"/>
  <c r="AI57" i="12988"/>
  <c r="AJ57" i="12988"/>
  <c r="Q19" i="12988" s="1"/>
  <c r="Q36" i="12988" s="1"/>
  <c r="C949" i="12908" s="1"/>
  <c r="Z949" i="13034" s="1"/>
  <c r="AN57" i="12988"/>
  <c r="U19" i="12988" s="1"/>
  <c r="U36" i="12988" s="1"/>
  <c r="AO57" i="12988"/>
  <c r="V19" i="12988" s="1"/>
  <c r="V36" i="12988" s="1"/>
  <c r="AE58" i="12988"/>
  <c r="L20" i="12988" s="1"/>
  <c r="L37" i="12988" s="1"/>
  <c r="C910" i="12908" s="1"/>
  <c r="Z910" i="13034" s="1"/>
  <c r="AF58" i="12988"/>
  <c r="M20" i="12988" s="1"/>
  <c r="M37" i="12988" s="1"/>
  <c r="C911" i="12908" s="1"/>
  <c r="Z911" i="13034" s="1"/>
  <c r="AI58" i="12988"/>
  <c r="P20" i="12988" s="1"/>
  <c r="AJ58" i="12988"/>
  <c r="Q20" i="12988" s="1"/>
  <c r="Q37" i="12988" s="1"/>
  <c r="AN58" i="12988"/>
  <c r="AO58" i="12988"/>
  <c r="V20" i="12988" s="1"/>
  <c r="V37" i="12988" s="1"/>
  <c r="AN43" i="12988"/>
  <c r="AO43" i="12988" s="1"/>
  <c r="V3" i="12988" s="1"/>
  <c r="AJ43" i="12988"/>
  <c r="Q3" i="12988" s="1"/>
  <c r="AI43" i="12988"/>
  <c r="AF43" i="12988"/>
  <c r="M3" i="12988" s="1"/>
  <c r="AE43" i="12988"/>
  <c r="L3" i="12988" s="1"/>
  <c r="AC40" i="12988"/>
  <c r="AB37" i="12988"/>
  <c r="AA37" i="12988"/>
  <c r="Z37" i="12988"/>
  <c r="Y37" i="12988"/>
  <c r="X37" i="12988"/>
  <c r="W37" i="12988"/>
  <c r="T37" i="12988"/>
  <c r="S37" i="12988"/>
  <c r="R37" i="12988"/>
  <c r="O37" i="12988"/>
  <c r="N37" i="12988"/>
  <c r="K37" i="12988"/>
  <c r="J37" i="12988"/>
  <c r="I37" i="12988"/>
  <c r="H37" i="12988"/>
  <c r="G37" i="12988"/>
  <c r="F37" i="12988"/>
  <c r="E37" i="12988"/>
  <c r="D37" i="12988"/>
  <c r="AB36" i="12988"/>
  <c r="AA36" i="12988"/>
  <c r="Z36" i="12988"/>
  <c r="Y36" i="12988"/>
  <c r="X36" i="12988"/>
  <c r="W36" i="12988"/>
  <c r="T36" i="12988"/>
  <c r="S36" i="12988"/>
  <c r="R36" i="12988"/>
  <c r="O36" i="12988"/>
  <c r="N36" i="12988"/>
  <c r="K36" i="12988"/>
  <c r="J36" i="12988"/>
  <c r="I36" i="12988"/>
  <c r="H36" i="12988"/>
  <c r="G36" i="12988"/>
  <c r="F36" i="12988"/>
  <c r="E36" i="12988"/>
  <c r="D36" i="12988"/>
  <c r="AB35" i="12988"/>
  <c r="AA35" i="12988"/>
  <c r="Z35" i="12988"/>
  <c r="Y35" i="12988"/>
  <c r="X35" i="12988"/>
  <c r="W35" i="12988"/>
  <c r="T35" i="12988"/>
  <c r="S35" i="12988"/>
  <c r="R35" i="12988"/>
  <c r="O35" i="12988"/>
  <c r="N35" i="12988"/>
  <c r="K35" i="12988"/>
  <c r="J35" i="12988"/>
  <c r="I35" i="12988"/>
  <c r="I38" i="12988" s="1"/>
  <c r="H35" i="12988"/>
  <c r="G35" i="12988"/>
  <c r="F35" i="12988"/>
  <c r="E35" i="12988"/>
  <c r="E38" i="12988" s="1"/>
  <c r="D35" i="12988"/>
  <c r="AB33" i="12988"/>
  <c r="AA33" i="12988"/>
  <c r="Z33" i="12988"/>
  <c r="Y33" i="12988"/>
  <c r="X33" i="12988"/>
  <c r="W33" i="12988"/>
  <c r="V33" i="12988"/>
  <c r="U33" i="12988"/>
  <c r="T33" i="12988"/>
  <c r="S33" i="12988"/>
  <c r="R33" i="12988"/>
  <c r="Q33" i="12988"/>
  <c r="P33" i="12988"/>
  <c r="O33" i="12988"/>
  <c r="N33" i="12988"/>
  <c r="M33" i="12988"/>
  <c r="L33" i="12988"/>
  <c r="K33" i="12988"/>
  <c r="J33" i="12988"/>
  <c r="I33" i="12988"/>
  <c r="H33" i="12988"/>
  <c r="G33" i="12988"/>
  <c r="F33" i="12988"/>
  <c r="E33" i="12988"/>
  <c r="D33" i="12988"/>
  <c r="AB32" i="12988"/>
  <c r="AA32" i="12988"/>
  <c r="Z32" i="12988"/>
  <c r="Y32" i="12988"/>
  <c r="X32" i="12988"/>
  <c r="W32" i="12988"/>
  <c r="V32" i="12988"/>
  <c r="T32" i="12988"/>
  <c r="S32" i="12988"/>
  <c r="R32" i="12988"/>
  <c r="Q32" i="12988"/>
  <c r="O32" i="12988"/>
  <c r="N32" i="12988"/>
  <c r="L32" i="12988"/>
  <c r="C874" i="12908" s="1"/>
  <c r="Z874" i="13034" s="1"/>
  <c r="K32" i="12988"/>
  <c r="J32" i="12988"/>
  <c r="I32" i="12988"/>
  <c r="H32" i="12988"/>
  <c r="G32" i="12988"/>
  <c r="F32" i="12988"/>
  <c r="E32" i="12988"/>
  <c r="D32" i="12988"/>
  <c r="AB31" i="12988"/>
  <c r="AA31" i="12988"/>
  <c r="AA34" i="12988" s="1"/>
  <c r="Z31" i="12988"/>
  <c r="Y31" i="12988"/>
  <c r="X31" i="12988"/>
  <c r="W31" i="12988"/>
  <c r="W34" i="12988" s="1"/>
  <c r="T31" i="12988"/>
  <c r="S31" i="12988"/>
  <c r="R31" i="12988"/>
  <c r="O31" i="12988"/>
  <c r="N31" i="12988"/>
  <c r="K31" i="12988"/>
  <c r="J31" i="12988"/>
  <c r="I31" i="12988"/>
  <c r="H31" i="12988"/>
  <c r="G31" i="12988"/>
  <c r="F31" i="12988"/>
  <c r="E31" i="12988"/>
  <c r="D31" i="12988"/>
  <c r="AB29" i="12988"/>
  <c r="AA29" i="12988"/>
  <c r="Z29" i="12988"/>
  <c r="Y29" i="12988"/>
  <c r="X29" i="12988"/>
  <c r="W29" i="12988"/>
  <c r="T29" i="12988"/>
  <c r="S29" i="12988"/>
  <c r="R29" i="12988"/>
  <c r="O29" i="12988"/>
  <c r="N29" i="12988"/>
  <c r="K29" i="12988"/>
  <c r="J29" i="12988"/>
  <c r="I29" i="12988"/>
  <c r="H29" i="12988"/>
  <c r="G29" i="12988"/>
  <c r="F29" i="12988"/>
  <c r="E29" i="12988"/>
  <c r="D29" i="12988"/>
  <c r="AB28" i="12988"/>
  <c r="AA28" i="12988"/>
  <c r="Z28" i="12988"/>
  <c r="Y28" i="12988"/>
  <c r="X28" i="12988"/>
  <c r="W28" i="12988"/>
  <c r="T28" i="12988"/>
  <c r="S28" i="12988"/>
  <c r="R28" i="12988"/>
  <c r="O28" i="12988"/>
  <c r="N28" i="12988"/>
  <c r="K28" i="12988"/>
  <c r="J28" i="12988"/>
  <c r="I28" i="12988"/>
  <c r="H28" i="12988"/>
  <c r="G28" i="12988"/>
  <c r="F28" i="12988"/>
  <c r="E28" i="12988"/>
  <c r="D28" i="12988"/>
  <c r="AB27" i="12988"/>
  <c r="AA27" i="12988"/>
  <c r="Z27" i="12988"/>
  <c r="Y27" i="12988"/>
  <c r="X27" i="12988"/>
  <c r="W27" i="12988"/>
  <c r="T27" i="12988"/>
  <c r="S27" i="12988"/>
  <c r="R27" i="12988"/>
  <c r="O27" i="12988"/>
  <c r="N27" i="12988"/>
  <c r="K27" i="12988"/>
  <c r="K30" i="12988" s="1"/>
  <c r="J27" i="12988"/>
  <c r="I27" i="12988"/>
  <c r="H27" i="12988"/>
  <c r="H30" i="12988" s="1"/>
  <c r="G27" i="12988"/>
  <c r="G30" i="12988" s="1"/>
  <c r="F27" i="12988"/>
  <c r="E27" i="12988"/>
  <c r="D27" i="12988"/>
  <c r="D30" i="12988" s="1"/>
  <c r="AB25" i="12988"/>
  <c r="AA25" i="12988"/>
  <c r="Z25" i="12988"/>
  <c r="Y25" i="12988"/>
  <c r="X25" i="12988"/>
  <c r="W25" i="12988"/>
  <c r="T25" i="12988"/>
  <c r="S25" i="12988"/>
  <c r="R25" i="12988"/>
  <c r="O25" i="12988"/>
  <c r="N25" i="12988"/>
  <c r="K25" i="12988"/>
  <c r="J25" i="12988"/>
  <c r="I25" i="12988"/>
  <c r="H25" i="12988"/>
  <c r="G25" i="12988"/>
  <c r="F25" i="12988"/>
  <c r="E25" i="12988"/>
  <c r="D25" i="12988"/>
  <c r="AB24" i="12988"/>
  <c r="AA24" i="12988"/>
  <c r="Z24" i="12988"/>
  <c r="Y24" i="12988"/>
  <c r="X24" i="12988"/>
  <c r="W24" i="12988"/>
  <c r="T24" i="12988"/>
  <c r="S24" i="12988"/>
  <c r="R24" i="12988"/>
  <c r="O24" i="12988"/>
  <c r="N24" i="12988"/>
  <c r="K24" i="12988"/>
  <c r="J24" i="12988"/>
  <c r="I24" i="12988"/>
  <c r="H24" i="12988"/>
  <c r="G24" i="12988"/>
  <c r="F24" i="12988"/>
  <c r="E24" i="12988"/>
  <c r="D24" i="12988"/>
  <c r="AB23" i="12988"/>
  <c r="AA23" i="12988"/>
  <c r="Z23" i="12988"/>
  <c r="Y23" i="12988"/>
  <c r="X23" i="12988"/>
  <c r="W23" i="12988"/>
  <c r="T23" i="12988"/>
  <c r="S23" i="12988"/>
  <c r="R23" i="12988"/>
  <c r="O23" i="12988"/>
  <c r="N23" i="12988"/>
  <c r="K23" i="12988"/>
  <c r="J23" i="12988"/>
  <c r="I23" i="12988"/>
  <c r="H23" i="12988"/>
  <c r="G23" i="12988"/>
  <c r="F23" i="12988"/>
  <c r="E23" i="12988"/>
  <c r="D23" i="12988"/>
  <c r="AF20" i="12988"/>
  <c r="AE20" i="12988"/>
  <c r="AF19" i="12988"/>
  <c r="AE19" i="12988"/>
  <c r="AF18" i="12988"/>
  <c r="AE18" i="12988"/>
  <c r="AF17" i="12988"/>
  <c r="AE17" i="12988"/>
  <c r="AF16" i="12988"/>
  <c r="AE16" i="12988"/>
  <c r="AF15" i="12988"/>
  <c r="AE15" i="12988"/>
  <c r="AF14" i="12988"/>
  <c r="AE14" i="12988"/>
  <c r="AF13" i="12988"/>
  <c r="AE13" i="12988"/>
  <c r="AF12" i="12988"/>
  <c r="AE12" i="12988"/>
  <c r="AF11" i="12988"/>
  <c r="AE11" i="12988"/>
  <c r="AF10" i="12988"/>
  <c r="AE10" i="12988"/>
  <c r="AD10" i="12988"/>
  <c r="AF9" i="12988"/>
  <c r="AE9" i="12988"/>
  <c r="AF8" i="12988"/>
  <c r="AE8" i="12988"/>
  <c r="AF7" i="12988"/>
  <c r="AE7" i="12988"/>
  <c r="AF6" i="12988"/>
  <c r="AE6" i="12988"/>
  <c r="AF5" i="12988"/>
  <c r="AE5" i="12988"/>
  <c r="AF4" i="12988"/>
  <c r="AE4" i="12988"/>
  <c r="AF3" i="12988"/>
  <c r="AE3" i="12988"/>
  <c r="AF2" i="12988"/>
  <c r="AE2" i="12988"/>
  <c r="A51" i="13005" l="1"/>
  <c r="C463" i="12908"/>
  <c r="C460" i="12908"/>
  <c r="Z460" i="13034" s="1"/>
  <c r="C494" i="12908"/>
  <c r="Z494" i="13034" s="1"/>
  <c r="C913" i="12908"/>
  <c r="Z913" i="13034" s="1"/>
  <c r="C931" i="12908"/>
  <c r="Z931" i="13034" s="1"/>
  <c r="V17" i="12988"/>
  <c r="V29" i="12988" s="1"/>
  <c r="V25" i="12988"/>
  <c r="Q12" i="12988"/>
  <c r="AD12" i="12988" s="1"/>
  <c r="V24" i="12988"/>
  <c r="C801" i="12908"/>
  <c r="Z801" i="13034" s="1"/>
  <c r="Q23" i="12988"/>
  <c r="M31" i="12988"/>
  <c r="C856" i="12908" s="1"/>
  <c r="P35" i="12988"/>
  <c r="C930" i="12908" s="1"/>
  <c r="Z930" i="13034" s="1"/>
  <c r="AD18" i="12988"/>
  <c r="AD16" i="12988"/>
  <c r="L25" i="12988"/>
  <c r="C697" i="12908" s="1"/>
  <c r="Z697" i="13034" s="1"/>
  <c r="AD14" i="12988"/>
  <c r="P24" i="12988"/>
  <c r="L24" i="12988"/>
  <c r="C739" i="12908" s="1"/>
  <c r="Z739" i="13034" s="1"/>
  <c r="C761" i="12908"/>
  <c r="Z761" i="13034" s="1"/>
  <c r="V38" i="12988"/>
  <c r="C782" i="12908"/>
  <c r="Z782" i="13034" s="1"/>
  <c r="C700" i="12908"/>
  <c r="Z700" i="13034" s="1"/>
  <c r="AD13" i="12988"/>
  <c r="Q28" i="12988"/>
  <c r="C820" i="12908" s="1"/>
  <c r="Z820" i="13034" s="1"/>
  <c r="V23" i="12988"/>
  <c r="V26" i="12988" s="1"/>
  <c r="M4" i="12988"/>
  <c r="M23" i="12988" s="1"/>
  <c r="V31" i="12988"/>
  <c r="C819" i="12908"/>
  <c r="Z819" i="13034" s="1"/>
  <c r="C800" i="12908"/>
  <c r="Z800" i="13034" s="1"/>
  <c r="P15" i="12988"/>
  <c r="U2" i="12988"/>
  <c r="U12" i="12988"/>
  <c r="U24" i="12988" s="1"/>
  <c r="C948" i="12908"/>
  <c r="Z948" i="13034" s="1"/>
  <c r="U20" i="12988"/>
  <c r="U37" i="12988" s="1"/>
  <c r="K26" i="12988"/>
  <c r="E26" i="12988"/>
  <c r="I26" i="12988"/>
  <c r="R34" i="12988"/>
  <c r="P2" i="12988"/>
  <c r="AD2" i="12988" s="1"/>
  <c r="C876" i="12908"/>
  <c r="Z876" i="13034" s="1"/>
  <c r="U3" i="12988"/>
  <c r="U31" i="12988" s="1"/>
  <c r="AD5" i="12988"/>
  <c r="C781" i="12908"/>
  <c r="Z781" i="13034" s="1"/>
  <c r="G26" i="12988"/>
  <c r="D34" i="12988"/>
  <c r="H34" i="12988"/>
  <c r="C877" i="12908"/>
  <c r="Z877" i="13034" s="1"/>
  <c r="C760" i="12908"/>
  <c r="Z760" i="13034" s="1"/>
  <c r="L23" i="12988"/>
  <c r="N30" i="12988"/>
  <c r="F38" i="12988"/>
  <c r="J38" i="12988"/>
  <c r="O38" i="12988"/>
  <c r="S38" i="12988"/>
  <c r="W38" i="12988"/>
  <c r="AA38" i="12988"/>
  <c r="P37" i="12988"/>
  <c r="Q31" i="12988"/>
  <c r="C858" i="12908" s="1"/>
  <c r="Z858" i="13034" s="1"/>
  <c r="M24" i="12988"/>
  <c r="C740" i="12908" s="1"/>
  <c r="Z740" i="13034" s="1"/>
  <c r="X26" i="12988"/>
  <c r="AB26" i="12988"/>
  <c r="F26" i="12988"/>
  <c r="J26" i="12988"/>
  <c r="T26" i="12988"/>
  <c r="N34" i="12988"/>
  <c r="Y34" i="12988"/>
  <c r="X38" i="12988"/>
  <c r="AB38" i="12988"/>
  <c r="L31" i="12988"/>
  <c r="P23" i="12988"/>
  <c r="C720" i="12908" s="1"/>
  <c r="Z720" i="13034" s="1"/>
  <c r="P30" i="12988"/>
  <c r="P25" i="12988"/>
  <c r="C699" i="12908" s="1"/>
  <c r="Z699" i="13034" s="1"/>
  <c r="V30" i="12988"/>
  <c r="V39" i="12988" s="1"/>
  <c r="V40" i="12988" s="1"/>
  <c r="Z30" i="12988"/>
  <c r="V34" i="12988"/>
  <c r="Z34" i="12988"/>
  <c r="U23" i="12988"/>
  <c r="U34" i="12988"/>
  <c r="U30" i="12988"/>
  <c r="U38" i="12988"/>
  <c r="AD3" i="12988"/>
  <c r="AD11" i="12988"/>
  <c r="AD17" i="12988"/>
  <c r="AD29" i="12988"/>
  <c r="Q30" i="12988"/>
  <c r="P31" i="12988"/>
  <c r="AD33" i="12988"/>
  <c r="AD7" i="12988"/>
  <c r="AD15" i="12988"/>
  <c r="AD19" i="12988"/>
  <c r="AD32" i="12988"/>
  <c r="Q38" i="12988"/>
  <c r="M38" i="12988"/>
  <c r="M30" i="12988"/>
  <c r="M26" i="12988"/>
  <c r="M34" i="12988"/>
  <c r="L38" i="12988"/>
  <c r="L30" i="12988"/>
  <c r="Y30" i="12988"/>
  <c r="Z26" i="12988"/>
  <c r="Y26" i="12988"/>
  <c r="W30" i="12988"/>
  <c r="AA30" i="12988"/>
  <c r="X34" i="12988"/>
  <c r="X39" i="12988" s="1"/>
  <c r="X40" i="12988" s="1"/>
  <c r="AB34" i="12988"/>
  <c r="Y38" i="12988"/>
  <c r="W26" i="12988"/>
  <c r="AA26" i="12988"/>
  <c r="X30" i="12988"/>
  <c r="AB30" i="12988"/>
  <c r="AB39" i="12988" s="1"/>
  <c r="AB40" i="12988" s="1"/>
  <c r="Z38" i="12988"/>
  <c r="R30" i="12988"/>
  <c r="S34" i="12988"/>
  <c r="T38" i="12988"/>
  <c r="R26" i="12988"/>
  <c r="S30" i="12988"/>
  <c r="T34" i="12988"/>
  <c r="S26" i="12988"/>
  <c r="T30" i="12988"/>
  <c r="R38" i="12988"/>
  <c r="N26" i="12988"/>
  <c r="O30" i="12988"/>
  <c r="O26" i="12988"/>
  <c r="N38" i="12988"/>
  <c r="AD36" i="12988"/>
  <c r="D26" i="12988"/>
  <c r="H26" i="12988"/>
  <c r="F34" i="12988"/>
  <c r="J34" i="12988"/>
  <c r="E34" i="12988"/>
  <c r="I34" i="12988"/>
  <c r="G38" i="12988"/>
  <c r="K38" i="12988"/>
  <c r="F30" i="12988"/>
  <c r="J30" i="12988"/>
  <c r="J39" i="12988" s="1"/>
  <c r="J40" i="12988" s="1"/>
  <c r="E30" i="12988"/>
  <c r="I30" i="12988"/>
  <c r="G34" i="12988"/>
  <c r="K34" i="12988"/>
  <c r="K39" i="12988" s="1"/>
  <c r="K40" i="12988" s="1"/>
  <c r="D38" i="12988"/>
  <c r="H38" i="12988"/>
  <c r="AD28" i="12988"/>
  <c r="AD27" i="12988"/>
  <c r="O34" i="12988"/>
  <c r="AD35" i="12988"/>
  <c r="C351" i="12984"/>
  <c r="C350" i="12984"/>
  <c r="C349" i="12984"/>
  <c r="C348" i="12984"/>
  <c r="C345" i="12984"/>
  <c r="C344" i="12984"/>
  <c r="C342" i="12984"/>
  <c r="C341" i="12984"/>
  <c r="C334" i="12984"/>
  <c r="C333" i="12984"/>
  <c r="C330" i="12984"/>
  <c r="C329" i="12984"/>
  <c r="C328" i="12984"/>
  <c r="C327" i="12984"/>
  <c r="C325" i="12984"/>
  <c r="C324" i="12984"/>
  <c r="C464" i="12908" l="1"/>
  <c r="Z463" i="13034"/>
  <c r="C837" i="12908"/>
  <c r="Z837" i="13034" s="1"/>
  <c r="Z856" i="13034"/>
  <c r="A52" i="13005"/>
  <c r="H463" i="12908"/>
  <c r="AE463" i="13034" s="1"/>
  <c r="C356" i="12908"/>
  <c r="C468" i="12908"/>
  <c r="Z468" i="13034" s="1"/>
  <c r="C495" i="12908"/>
  <c r="Z495" i="13034" s="1"/>
  <c r="H494" i="12908"/>
  <c r="AE494" i="13034" s="1"/>
  <c r="C461" i="12908"/>
  <c r="Z461" i="13034" s="1"/>
  <c r="H460" i="12908"/>
  <c r="AE460" i="13034" s="1"/>
  <c r="C839" i="12908"/>
  <c r="Z839" i="13034" s="1"/>
  <c r="U26" i="12988"/>
  <c r="U39" i="12988" s="1"/>
  <c r="U40" i="12988" s="1"/>
  <c r="AD37" i="12988"/>
  <c r="C912" i="12908"/>
  <c r="Z912" i="13034" s="1"/>
  <c r="L26" i="12988"/>
  <c r="L39" i="12988" s="1"/>
  <c r="L40" i="12988" s="1"/>
  <c r="C762" i="12908"/>
  <c r="Z762" i="13034" s="1"/>
  <c r="Q24" i="12988"/>
  <c r="C763" i="12908"/>
  <c r="Z763" i="13034" s="1"/>
  <c r="C721" i="12908"/>
  <c r="Z721" i="13034" s="1"/>
  <c r="AD20" i="12988"/>
  <c r="AD30" i="12988"/>
  <c r="I39" i="12988"/>
  <c r="I40" i="12988" s="1"/>
  <c r="AD25" i="12988"/>
  <c r="Q34" i="12988"/>
  <c r="E39" i="12988"/>
  <c r="E40" i="12988" s="1"/>
  <c r="F39" i="12988"/>
  <c r="F40" i="12988" s="1"/>
  <c r="P34" i="12988"/>
  <c r="C857" i="12908"/>
  <c r="C741" i="12908"/>
  <c r="Z741" i="13034" s="1"/>
  <c r="L34" i="12988"/>
  <c r="C855" i="12908"/>
  <c r="Z855" i="13034" s="1"/>
  <c r="P39" i="12988"/>
  <c r="P40" i="12988" s="1"/>
  <c r="G39" i="12988"/>
  <c r="G40" i="12988" s="1"/>
  <c r="P38" i="12988"/>
  <c r="AD38" i="12988" s="1"/>
  <c r="AD23" i="12988"/>
  <c r="T39" i="12988"/>
  <c r="T40" i="12988" s="1"/>
  <c r="P26" i="12988"/>
  <c r="AD31" i="12988"/>
  <c r="M39" i="12988"/>
  <c r="M40" i="12988" s="1"/>
  <c r="AA39" i="12988"/>
  <c r="AA40" i="12988" s="1"/>
  <c r="Y39" i="12988"/>
  <c r="Y40" i="12988" s="1"/>
  <c r="W39" i="12988"/>
  <c r="W40" i="12988" s="1"/>
  <c r="Z39" i="12988"/>
  <c r="Z40" i="12988" s="1"/>
  <c r="S39" i="12988"/>
  <c r="S40" i="12988" s="1"/>
  <c r="R39" i="12988"/>
  <c r="R40" i="12988" s="1"/>
  <c r="N39" i="12988"/>
  <c r="N40" i="12988" s="1"/>
  <c r="D39" i="12988"/>
  <c r="D40" i="12988" s="1"/>
  <c r="H39" i="12988"/>
  <c r="H40" i="12988" s="1"/>
  <c r="AD34" i="12988"/>
  <c r="O39" i="12988"/>
  <c r="C895" i="12908"/>
  <c r="Z895" i="13034" s="1"/>
  <c r="C893" i="12908"/>
  <c r="Z893" i="13034" s="1"/>
  <c r="C892" i="12908"/>
  <c r="Z892" i="13034" s="1"/>
  <c r="C677" i="12908"/>
  <c r="Z677" i="13034" s="1"/>
  <c r="C676" i="12908"/>
  <c r="Z676" i="13034" s="1"/>
  <c r="C202" i="12908"/>
  <c r="Z202" i="13034" s="1"/>
  <c r="C199" i="12908"/>
  <c r="Z199" i="13034" s="1"/>
  <c r="C194" i="12908"/>
  <c r="Z194" i="13034" s="1"/>
  <c r="C191" i="12908"/>
  <c r="Z191" i="13034" s="1"/>
  <c r="C165" i="12908"/>
  <c r="Z165" i="13034" s="1"/>
  <c r="C162" i="12908"/>
  <c r="Z162" i="13034" s="1"/>
  <c r="C157" i="12908"/>
  <c r="Z157" i="13034" s="1"/>
  <c r="C154" i="12908"/>
  <c r="Z154" i="13034" s="1"/>
  <c r="C128" i="12908"/>
  <c r="Z128" i="13034" s="1"/>
  <c r="C125" i="12908"/>
  <c r="Z125" i="13034" s="1"/>
  <c r="C120" i="12908"/>
  <c r="Z120" i="13034" s="1"/>
  <c r="C117" i="12908"/>
  <c r="Z117" i="13034" s="1"/>
  <c r="C96" i="12908"/>
  <c r="Z96" i="13034" s="1"/>
  <c r="C91" i="12908"/>
  <c r="Z91" i="13034" s="1"/>
  <c r="C99" i="12908"/>
  <c r="Z99" i="13034" s="1"/>
  <c r="C88" i="12908"/>
  <c r="Z88" i="13034" s="1"/>
  <c r="C62" i="12908"/>
  <c r="Z62" i="13034" s="1"/>
  <c r="C59" i="12908"/>
  <c r="Z59" i="13034" s="1"/>
  <c r="C54" i="12908"/>
  <c r="Z54" i="13034" s="1"/>
  <c r="C51" i="12908"/>
  <c r="Z51" i="13034" s="1"/>
  <c r="C25" i="12908"/>
  <c r="Z25" i="13034" s="1"/>
  <c r="C22" i="12908"/>
  <c r="Z22" i="13034" s="1"/>
  <c r="C17" i="12908"/>
  <c r="Z17" i="13034" s="1"/>
  <c r="C14" i="12908"/>
  <c r="Z14" i="13034" s="1"/>
  <c r="H356" i="12908" l="1"/>
  <c r="AE356" i="13034" s="1"/>
  <c r="Z356" i="13034"/>
  <c r="C838" i="12908"/>
  <c r="Z838" i="13034" s="1"/>
  <c r="Z857" i="13034"/>
  <c r="H464" i="12908"/>
  <c r="AE464" i="13034" s="1"/>
  <c r="Z464" i="13034"/>
  <c r="A53" i="13005"/>
  <c r="C357" i="12908"/>
  <c r="C678" i="12908"/>
  <c r="Z678" i="13034" s="1"/>
  <c r="H461" i="12908"/>
  <c r="H495" i="12908"/>
  <c r="AE495" i="13034" s="1"/>
  <c r="C742" i="12908"/>
  <c r="Q26" i="12988"/>
  <c r="AD24" i="12988"/>
  <c r="C894" i="12908"/>
  <c r="Z894" i="13034" s="1"/>
  <c r="C836" i="12908"/>
  <c r="Z836" i="13034" s="1"/>
  <c r="O40" i="12988"/>
  <c r="D109" i="12973"/>
  <c r="O109" i="12973"/>
  <c r="N109" i="12973"/>
  <c r="M109" i="12973"/>
  <c r="L109" i="12973"/>
  <c r="K109" i="12973"/>
  <c r="J109" i="12973"/>
  <c r="I109" i="12973"/>
  <c r="H109" i="12973"/>
  <c r="G109" i="12973"/>
  <c r="F109" i="12973"/>
  <c r="E109" i="12973"/>
  <c r="P108" i="12973"/>
  <c r="C679" i="12908" l="1"/>
  <c r="Z679" i="13034" s="1"/>
  <c r="Z742" i="13034"/>
  <c r="H357" i="12908"/>
  <c r="AE357" i="13034" s="1"/>
  <c r="Z357" i="13034"/>
  <c r="H466" i="12908"/>
  <c r="AE466" i="13034" s="1"/>
  <c r="AE461" i="13034"/>
  <c r="A54" i="13005"/>
  <c r="A56" i="13005" s="1"/>
  <c r="H468" i="12908"/>
  <c r="AE468" i="13034" s="1"/>
  <c r="C359" i="12908"/>
  <c r="Z359" i="13034" s="1"/>
  <c r="Q39" i="12988"/>
  <c r="AD26" i="12988"/>
  <c r="B9" i="12858"/>
  <c r="G24" i="12858"/>
  <c r="F24" i="12858"/>
  <c r="E24" i="12858"/>
  <c r="E23" i="12858"/>
  <c r="F19" i="12858"/>
  <c r="E19" i="12858"/>
  <c r="A57" i="13005" l="1"/>
  <c r="C360" i="12908"/>
  <c r="H359" i="12908"/>
  <c r="AE359" i="13034" s="1"/>
  <c r="Q40" i="12988"/>
  <c r="AD39" i="12988"/>
  <c r="AD40" i="12988" s="1"/>
  <c r="G19" i="12858"/>
  <c r="C366" i="12908" l="1"/>
  <c r="Z366" i="13034" s="1"/>
  <c r="Z360" i="13034"/>
  <c r="A58" i="13005"/>
  <c r="H360" i="12908"/>
  <c r="E64" i="12709"/>
  <c r="H363" i="12908" l="1"/>
  <c r="AE363" i="13034" s="1"/>
  <c r="AE360" i="13034"/>
  <c r="A59" i="13005"/>
  <c r="H366" i="12908"/>
  <c r="AE366" i="13034" s="1"/>
  <c r="B14" i="12858"/>
  <c r="B13" i="12858"/>
  <c r="B4" i="12856"/>
  <c r="J13" i="12750"/>
  <c r="J12" i="12750"/>
  <c r="J11" i="12750"/>
  <c r="J10" i="12750"/>
  <c r="J9" i="12750"/>
  <c r="J8" i="12750"/>
  <c r="J7" i="12750"/>
  <c r="J6" i="12750"/>
  <c r="A60" i="13005" l="1"/>
  <c r="AC22" i="12987"/>
  <c r="AC31" i="12987" s="1"/>
  <c r="AC23" i="12987"/>
  <c r="AC32" i="12987" s="1"/>
  <c r="AC24" i="12987"/>
  <c r="AC25" i="12987"/>
  <c r="AC26" i="12987"/>
  <c r="AC27" i="12987"/>
  <c r="AC28" i="12987"/>
  <c r="AC29" i="12987"/>
  <c r="AC21" i="12987"/>
  <c r="E17" i="12987"/>
  <c r="D2545" i="12908" s="1"/>
  <c r="E15" i="12987"/>
  <c r="F30" i="12987"/>
  <c r="F33" i="12987" s="1"/>
  <c r="G30" i="12987"/>
  <c r="H30" i="12987"/>
  <c r="I30" i="12987"/>
  <c r="I33" i="12987" s="1"/>
  <c r="J30" i="12987"/>
  <c r="J33" i="12987" s="1"/>
  <c r="K30" i="12987"/>
  <c r="L30" i="12987"/>
  <c r="M30" i="12987"/>
  <c r="M33" i="12987" s="1"/>
  <c r="N30" i="12987"/>
  <c r="N33" i="12987" s="1"/>
  <c r="O30" i="12987"/>
  <c r="P30" i="12987"/>
  <c r="Q30" i="12987"/>
  <c r="Q33" i="12987" s="1"/>
  <c r="R30" i="12987"/>
  <c r="R33" i="12987" s="1"/>
  <c r="S30" i="12987"/>
  <c r="T30" i="12987"/>
  <c r="U30" i="12987"/>
  <c r="U33" i="12987" s="1"/>
  <c r="V30" i="12987"/>
  <c r="V33" i="12987" s="1"/>
  <c r="W30" i="12987"/>
  <c r="X30" i="12987"/>
  <c r="Y30" i="12987"/>
  <c r="Y33" i="12987" s="1"/>
  <c r="Z30" i="12987"/>
  <c r="Z33" i="12987" s="1"/>
  <c r="AA30" i="12987"/>
  <c r="AB30" i="12987"/>
  <c r="F31" i="12987"/>
  <c r="G31" i="12987"/>
  <c r="H31" i="12987"/>
  <c r="I31" i="12987"/>
  <c r="J31" i="12987"/>
  <c r="K31" i="12987"/>
  <c r="L31" i="12987"/>
  <c r="M31" i="12987"/>
  <c r="N31" i="12987"/>
  <c r="O31" i="12987"/>
  <c r="P31" i="12987"/>
  <c r="Q31" i="12987"/>
  <c r="R31" i="12987"/>
  <c r="S31" i="12987"/>
  <c r="T31" i="12987"/>
  <c r="U31" i="12987"/>
  <c r="V31" i="12987"/>
  <c r="W31" i="12987"/>
  <c r="X31" i="12987"/>
  <c r="Y31" i="12987"/>
  <c r="Z31" i="12987"/>
  <c r="AA31" i="12987"/>
  <c r="AB31" i="12987"/>
  <c r="F32" i="12987"/>
  <c r="G32" i="12987"/>
  <c r="H32" i="12987"/>
  <c r="I32" i="12987"/>
  <c r="J32" i="12987"/>
  <c r="K32" i="12987"/>
  <c r="L32" i="12987"/>
  <c r="M32" i="12987"/>
  <c r="N32" i="12987"/>
  <c r="O32" i="12987"/>
  <c r="P32" i="12987"/>
  <c r="Q32" i="12987"/>
  <c r="R32" i="12987"/>
  <c r="S32" i="12987"/>
  <c r="T32" i="12987"/>
  <c r="U32" i="12987"/>
  <c r="V32" i="12987"/>
  <c r="W32" i="12987"/>
  <c r="X32" i="12987"/>
  <c r="Y32" i="12987"/>
  <c r="Z32" i="12987"/>
  <c r="AA32" i="12987"/>
  <c r="AB32" i="12987"/>
  <c r="E31" i="12987"/>
  <c r="E32" i="12987"/>
  <c r="E30" i="12987"/>
  <c r="E33" i="12987" s="1"/>
  <c r="G48" i="13005" l="1"/>
  <c r="AA2545" i="13034"/>
  <c r="G48" i="13016"/>
  <c r="G48" i="12989"/>
  <c r="A61" i="13005"/>
  <c r="A62" i="13005" s="1"/>
  <c r="G33" i="13007"/>
  <c r="G33" i="13017"/>
  <c r="G33" i="13014"/>
  <c r="Y34" i="12987"/>
  <c r="U34" i="12987"/>
  <c r="AB33" i="12987"/>
  <c r="X33" i="12987"/>
  <c r="T33" i="12987"/>
  <c r="AB34" i="12987"/>
  <c r="X34" i="12987"/>
  <c r="T34" i="12987"/>
  <c r="P34" i="12987"/>
  <c r="L34" i="12987"/>
  <c r="H34" i="12987"/>
  <c r="AA33" i="12987"/>
  <c r="W33" i="12987"/>
  <c r="S33" i="12987"/>
  <c r="O33" i="12987"/>
  <c r="K33" i="12987"/>
  <c r="G33" i="12987"/>
  <c r="AC30" i="12987"/>
  <c r="AC33" i="12987" s="1"/>
  <c r="W34" i="12987"/>
  <c r="S34" i="12987"/>
  <c r="O34" i="12987"/>
  <c r="K34" i="12987"/>
  <c r="G34" i="12987"/>
  <c r="E16" i="12987"/>
  <c r="Q34" i="12987"/>
  <c r="M34" i="12987"/>
  <c r="I34" i="12987"/>
  <c r="P33" i="12987"/>
  <c r="L33" i="12987"/>
  <c r="H33" i="12987"/>
  <c r="AC34" i="12987"/>
  <c r="Z34" i="12987"/>
  <c r="V34" i="12987"/>
  <c r="R34" i="12987"/>
  <c r="N34" i="12987"/>
  <c r="J34" i="12987"/>
  <c r="F34" i="12987"/>
  <c r="AA34" i="12987"/>
  <c r="I2639" i="12908"/>
  <c r="I2637" i="12908"/>
  <c r="D2637" i="12908"/>
  <c r="Y2637" i="12908" l="1"/>
  <c r="AV2637" i="13034" s="1"/>
  <c r="AF2637" i="13034"/>
  <c r="Y2639" i="12908"/>
  <c r="AV2639" i="13034" s="1"/>
  <c r="AF2639" i="13034"/>
  <c r="W2637" i="12908"/>
  <c r="AA2637" i="13034"/>
  <c r="A63" i="13005"/>
  <c r="Q2637" i="12908"/>
  <c r="AN2637" i="13034" s="1"/>
  <c r="AT2637" i="13034" l="1"/>
  <c r="AI2637" i="13015"/>
  <c r="A64" i="13005"/>
  <c r="A65" i="13005" s="1"/>
  <c r="M44" i="12910"/>
  <c r="M39" i="12910"/>
  <c r="G25" i="12709"/>
  <c r="K199" i="12711"/>
  <c r="E200" i="12711"/>
  <c r="F200" i="12711"/>
  <c r="H200" i="12711"/>
  <c r="I200" i="12711"/>
  <c r="J200" i="12711"/>
  <c r="K200" i="12711"/>
  <c r="L200" i="12711"/>
  <c r="M200" i="12711"/>
  <c r="P200" i="12711"/>
  <c r="Q200" i="12711"/>
  <c r="D200" i="12711"/>
  <c r="I167" i="12711"/>
  <c r="K167" i="12711"/>
  <c r="I168" i="12711"/>
  <c r="K168" i="12711"/>
  <c r="I169" i="12711"/>
  <c r="K169" i="12711"/>
  <c r="I170" i="12711"/>
  <c r="K170" i="12711"/>
  <c r="I171" i="12711"/>
  <c r="K171" i="12711"/>
  <c r="I172" i="12711"/>
  <c r="K172" i="12711"/>
  <c r="I173" i="12711"/>
  <c r="K173" i="12711"/>
  <c r="I174" i="12711"/>
  <c r="K174" i="12711"/>
  <c r="I175" i="12711"/>
  <c r="K175" i="12711"/>
  <c r="I177" i="12711"/>
  <c r="I178" i="12711"/>
  <c r="I179" i="12711"/>
  <c r="K179" i="12711"/>
  <c r="K180" i="12711"/>
  <c r="K181" i="12711"/>
  <c r="I182" i="12711"/>
  <c r="K182" i="12711"/>
  <c r="I183" i="12711"/>
  <c r="K183" i="12711"/>
  <c r="I184" i="12711"/>
  <c r="K184" i="12711"/>
  <c r="K185" i="12711"/>
  <c r="I186" i="12711"/>
  <c r="K186" i="12711"/>
  <c r="I187" i="12711"/>
  <c r="K187" i="12711"/>
  <c r="I188" i="12711"/>
  <c r="K188" i="12711"/>
  <c r="I189" i="12711"/>
  <c r="K189" i="12711"/>
  <c r="I190" i="12711"/>
  <c r="K190" i="12711"/>
  <c r="I191" i="12711"/>
  <c r="K191" i="12711"/>
  <c r="K192" i="12711"/>
  <c r="I193" i="12711"/>
  <c r="K193" i="12711"/>
  <c r="K194" i="12711"/>
  <c r="K195" i="12711"/>
  <c r="I196" i="12711"/>
  <c r="K196" i="12711"/>
  <c r="I197" i="12711"/>
  <c r="K197" i="12711"/>
  <c r="I198" i="12711"/>
  <c r="K198" i="12711"/>
  <c r="I201" i="12711"/>
  <c r="K201" i="12711"/>
  <c r="K202" i="12711"/>
  <c r="I203" i="12711"/>
  <c r="K203" i="12711"/>
  <c r="K204" i="12711"/>
  <c r="K206" i="12711"/>
  <c r="L206" i="12711"/>
  <c r="M206" i="12711"/>
  <c r="N206" i="12711"/>
  <c r="O206" i="12711"/>
  <c r="R206" i="12711"/>
  <c r="E168" i="12709"/>
  <c r="G168" i="12709"/>
  <c r="G169" i="12709"/>
  <c r="E170" i="12709"/>
  <c r="G170" i="12709"/>
  <c r="G171" i="12709"/>
  <c r="G172" i="12709"/>
  <c r="E173" i="12709"/>
  <c r="G173" i="12709"/>
  <c r="E174" i="12709"/>
  <c r="G174" i="12709"/>
  <c r="E175" i="12709"/>
  <c r="G175" i="12709"/>
  <c r="G176" i="12709"/>
  <c r="E177" i="12709"/>
  <c r="E178" i="12709"/>
  <c r="E179" i="12709"/>
  <c r="E180" i="12709"/>
  <c r="G180" i="12709"/>
  <c r="G181" i="12709"/>
  <c r="G182" i="12709"/>
  <c r="E183" i="12709"/>
  <c r="G183" i="12709"/>
  <c r="E184" i="12709"/>
  <c r="G184" i="12709"/>
  <c r="E185" i="12709"/>
  <c r="G185" i="12709"/>
  <c r="G186" i="12709"/>
  <c r="G187" i="12709"/>
  <c r="E188" i="12709"/>
  <c r="G188" i="12709"/>
  <c r="E189" i="12709"/>
  <c r="G189" i="12709"/>
  <c r="E190" i="12709"/>
  <c r="G190" i="12709"/>
  <c r="E191" i="12709"/>
  <c r="G191" i="12709"/>
  <c r="E192" i="12709"/>
  <c r="G192" i="12709"/>
  <c r="G193" i="12709"/>
  <c r="E194" i="12709"/>
  <c r="G194" i="12709"/>
  <c r="G195" i="12709"/>
  <c r="G196" i="12709"/>
  <c r="G197" i="12709"/>
  <c r="G198" i="12709"/>
  <c r="E199" i="12709"/>
  <c r="G199" i="12709"/>
  <c r="E200" i="12709"/>
  <c r="G200" i="12709"/>
  <c r="E201" i="12709"/>
  <c r="F201" i="12709"/>
  <c r="G201" i="12709"/>
  <c r="H201" i="12709"/>
  <c r="I201" i="12709"/>
  <c r="K201" i="12709"/>
  <c r="G202" i="12709"/>
  <c r="G203" i="12709"/>
  <c r="G204" i="12709"/>
  <c r="K204" i="12709"/>
  <c r="E205" i="12709"/>
  <c r="G205" i="12709"/>
  <c r="K205" i="12709"/>
  <c r="G207" i="12709"/>
  <c r="J207" i="12709"/>
  <c r="K207" i="12709"/>
  <c r="J31" i="12852"/>
  <c r="C2629" i="12908" l="1"/>
  <c r="Z2629" i="13034" s="1"/>
  <c r="C2627" i="12908"/>
  <c r="Z2627" i="13034" s="1"/>
  <c r="C2618" i="12908"/>
  <c r="Z2618" i="13034" s="1"/>
  <c r="C2617" i="12908"/>
  <c r="Z2617" i="13034" s="1"/>
  <c r="C2615" i="12908"/>
  <c r="Z2615" i="13034" s="1"/>
  <c r="I56" i="12711" l="1"/>
  <c r="D8" i="12761"/>
  <c r="E8" i="12761"/>
  <c r="F8" i="12761"/>
  <c r="G8" i="12761"/>
  <c r="H8" i="12761"/>
  <c r="I8" i="12761"/>
  <c r="J8" i="12761"/>
  <c r="K8" i="12761"/>
  <c r="L8" i="12761"/>
  <c r="M8" i="12761"/>
  <c r="N8" i="12761"/>
  <c r="O8" i="12761"/>
  <c r="P8" i="12761"/>
  <c r="Q8" i="12761"/>
  <c r="R8" i="12761"/>
  <c r="S8" i="12761"/>
  <c r="T8" i="12761"/>
  <c r="U8" i="12761"/>
  <c r="V8" i="12761"/>
  <c r="W8" i="12761"/>
  <c r="D9" i="12761"/>
  <c r="E9" i="12761"/>
  <c r="F9" i="12761"/>
  <c r="G9" i="12761"/>
  <c r="H9" i="12761"/>
  <c r="I9" i="12761"/>
  <c r="J9" i="12761"/>
  <c r="K9" i="12761"/>
  <c r="L9" i="12761"/>
  <c r="M9" i="12761"/>
  <c r="N9" i="12761"/>
  <c r="O9" i="12761"/>
  <c r="P9" i="12761"/>
  <c r="Q9" i="12761"/>
  <c r="R9" i="12761"/>
  <c r="S9" i="12761"/>
  <c r="T9" i="12761"/>
  <c r="U9" i="12761"/>
  <c r="V9" i="12761"/>
  <c r="W9" i="12761"/>
  <c r="D10" i="12761"/>
  <c r="E10" i="12761"/>
  <c r="F10" i="12761"/>
  <c r="G10" i="12761"/>
  <c r="H10" i="12761"/>
  <c r="I10" i="12761"/>
  <c r="J10" i="12761"/>
  <c r="K10" i="12761"/>
  <c r="L10" i="12761"/>
  <c r="M10" i="12761"/>
  <c r="N10" i="12761"/>
  <c r="N12" i="12761" s="1"/>
  <c r="O10" i="12761"/>
  <c r="O12" i="12761" s="1"/>
  <c r="P10" i="12761"/>
  <c r="Q10" i="12761"/>
  <c r="R10" i="12761"/>
  <c r="R12" i="12761" s="1"/>
  <c r="S10" i="12761"/>
  <c r="S12" i="12761" s="1"/>
  <c r="T10" i="12761"/>
  <c r="U10" i="12761"/>
  <c r="V10" i="12761"/>
  <c r="V12" i="12761" s="1"/>
  <c r="W10" i="12761"/>
  <c r="W12" i="12761" s="1"/>
  <c r="D12" i="12761"/>
  <c r="E12" i="12761"/>
  <c r="F12" i="12761"/>
  <c r="G12" i="12761"/>
  <c r="H12" i="12761"/>
  <c r="I12" i="12761"/>
  <c r="J12" i="12761"/>
  <c r="K12" i="12761"/>
  <c r="L12" i="12761"/>
  <c r="M12" i="12761"/>
  <c r="P12" i="12761"/>
  <c r="Q12" i="12761"/>
  <c r="T12" i="12761"/>
  <c r="U12" i="12761"/>
  <c r="C8" i="12761"/>
  <c r="E56" i="12709"/>
  <c r="C2601" i="12908"/>
  <c r="Z2601" i="13034" s="1"/>
  <c r="C2600" i="12908"/>
  <c r="C2599" i="12908"/>
  <c r="Z2599" i="13034" s="1"/>
  <c r="C2598" i="12908"/>
  <c r="C2597" i="12908"/>
  <c r="C2590" i="12908"/>
  <c r="Z2590" i="13034" s="1"/>
  <c r="C2586" i="12908"/>
  <c r="Z2586" i="13034" s="1"/>
  <c r="C2585" i="12908"/>
  <c r="Z2585" i="13034" s="1"/>
  <c r="C2584" i="12908"/>
  <c r="Z2584" i="13034" s="1"/>
  <c r="C2554" i="12908"/>
  <c r="C2548" i="12908"/>
  <c r="C2547" i="12908"/>
  <c r="C2545" i="12908"/>
  <c r="N34" i="12925"/>
  <c r="G35" i="12925"/>
  <c r="H2554" i="12908" l="1"/>
  <c r="AE2554" i="13034" s="1"/>
  <c r="Z2554" i="13034"/>
  <c r="H2548" i="12908"/>
  <c r="AE2548" i="13034" s="1"/>
  <c r="Z2548" i="13034"/>
  <c r="C2594" i="12908"/>
  <c r="Z2594" i="13034" s="1"/>
  <c r="Z2600" i="13034"/>
  <c r="H2545" i="12908"/>
  <c r="AE2545" i="13034" s="1"/>
  <c r="Z2545" i="13034"/>
  <c r="C2591" i="12908"/>
  <c r="Z2591" i="13034" s="1"/>
  <c r="Z2597" i="13034"/>
  <c r="H2547" i="12908"/>
  <c r="AE2547" i="13034" s="1"/>
  <c r="Z2547" i="13034"/>
  <c r="C2592" i="12908"/>
  <c r="Z2592" i="13034" s="1"/>
  <c r="Z2598" i="13034"/>
  <c r="C2593" i="12908"/>
  <c r="Z2593" i="13034" s="1"/>
  <c r="C2595" i="12908"/>
  <c r="Z2595" i="13034" s="1"/>
  <c r="H2584" i="12908"/>
  <c r="AE2584" i="13034" s="1"/>
  <c r="C2569" i="12908"/>
  <c r="Z2569" i="13034" s="1"/>
  <c r="H2585" i="12908"/>
  <c r="AE2585" i="13034" s="1"/>
  <c r="C2570" i="12908"/>
  <c r="Z2570" i="13034" s="1"/>
  <c r="H2586" i="12908"/>
  <c r="AE2586" i="13034" s="1"/>
  <c r="D64" i="12709"/>
  <c r="AC4" i="12985"/>
  <c r="J40" i="12852"/>
  <c r="E40" i="12852"/>
  <c r="E31" i="12852"/>
  <c r="C2596" i="12908" l="1"/>
  <c r="Z2596" i="13034" s="1"/>
  <c r="H2587" i="12908"/>
  <c r="AE2587" i="13034" s="1"/>
  <c r="H64" i="12711"/>
  <c r="H56" i="12711"/>
  <c r="D56" i="12709"/>
  <c r="D64" i="12711"/>
  <c r="D199" i="12711" s="1"/>
  <c r="D56" i="12711"/>
  <c r="E53" i="12709"/>
  <c r="I53" i="12711"/>
  <c r="D40" i="12852" l="1"/>
  <c r="F40" i="12852" s="1"/>
  <c r="H199" i="12711"/>
  <c r="C13" i="12780"/>
  <c r="C11" i="12780"/>
  <c r="C10" i="12780"/>
  <c r="G40" i="12852" l="1"/>
  <c r="I64" i="12711"/>
  <c r="I199" i="12711" s="1"/>
  <c r="O55" i="12711"/>
  <c r="O183" i="12711" s="1"/>
  <c r="I55" i="12711"/>
  <c r="G55" i="12711"/>
  <c r="E55" i="12709"/>
  <c r="T344" i="12984"/>
  <c r="T344" i="12924"/>
  <c r="M29" i="12780"/>
  <c r="M28" i="12780"/>
  <c r="C1469" i="12908"/>
  <c r="C1468" i="12908"/>
  <c r="C1467" i="12908"/>
  <c r="C1460" i="12908"/>
  <c r="C1459" i="12908"/>
  <c r="Z1459" i="13034" s="1"/>
  <c r="D10" i="12780"/>
  <c r="E10" i="12780"/>
  <c r="F10" i="12780"/>
  <c r="F12" i="12780" s="1"/>
  <c r="F20" i="12780" s="1"/>
  <c r="G10" i="12780"/>
  <c r="G12" i="12780" s="1"/>
  <c r="G20" i="12780" s="1"/>
  <c r="H10" i="12780"/>
  <c r="I10" i="12780"/>
  <c r="J10" i="12780"/>
  <c r="J12" i="12780" s="1"/>
  <c r="J20" i="12780" s="1"/>
  <c r="K10" i="12780"/>
  <c r="K12" i="12780" s="1"/>
  <c r="K20" i="12780" s="1"/>
  <c r="L10" i="12780"/>
  <c r="M10" i="12780"/>
  <c r="N10" i="12780"/>
  <c r="N12" i="12780" s="1"/>
  <c r="N20" i="12780" s="1"/>
  <c r="O10" i="12780"/>
  <c r="O12" i="12780" s="1"/>
  <c r="O20" i="12780" s="1"/>
  <c r="P10" i="12780"/>
  <c r="Q10" i="12780"/>
  <c r="R10" i="12780"/>
  <c r="R12" i="12780" s="1"/>
  <c r="R20" i="12780" s="1"/>
  <c r="S10" i="12780"/>
  <c r="S12" i="12780" s="1"/>
  <c r="S20" i="12780" s="1"/>
  <c r="T10" i="12780"/>
  <c r="U10" i="12780"/>
  <c r="V10" i="12780"/>
  <c r="V12" i="12780" s="1"/>
  <c r="V20" i="12780" s="1"/>
  <c r="D11" i="12780"/>
  <c r="D12" i="12780" s="1"/>
  <c r="E11" i="12780"/>
  <c r="F11" i="12780"/>
  <c r="G11" i="12780"/>
  <c r="H11" i="12780"/>
  <c r="H12" i="12780" s="1"/>
  <c r="I11" i="12780"/>
  <c r="J11" i="12780"/>
  <c r="K11" i="12780"/>
  <c r="L11" i="12780"/>
  <c r="L12" i="12780" s="1"/>
  <c r="M11" i="12780"/>
  <c r="N11" i="12780"/>
  <c r="O11" i="12780"/>
  <c r="P11" i="12780"/>
  <c r="P12" i="12780" s="1"/>
  <c r="Q11" i="12780"/>
  <c r="R11" i="12780"/>
  <c r="S11" i="12780"/>
  <c r="T11" i="12780"/>
  <c r="T12" i="12780" s="1"/>
  <c r="U11" i="12780"/>
  <c r="V11" i="12780"/>
  <c r="E12" i="12780"/>
  <c r="E20" i="12780" s="1"/>
  <c r="I12" i="12780"/>
  <c r="I20" i="12780" s="1"/>
  <c r="M12" i="12780"/>
  <c r="Q12" i="12780"/>
  <c r="U12" i="12780"/>
  <c r="U20" i="12780" s="1"/>
  <c r="D13" i="12780"/>
  <c r="D15" i="12780" s="1"/>
  <c r="E13" i="12780"/>
  <c r="E15" i="12780" s="1"/>
  <c r="F13" i="12780"/>
  <c r="F15" i="12780" s="1"/>
  <c r="G13" i="12780"/>
  <c r="H13" i="12780"/>
  <c r="H15" i="12780" s="1"/>
  <c r="I13" i="12780"/>
  <c r="I15" i="12780" s="1"/>
  <c r="J13" i="12780"/>
  <c r="J15" i="12780" s="1"/>
  <c r="K13" i="12780"/>
  <c r="L13" i="12780"/>
  <c r="L15" i="12780" s="1"/>
  <c r="M13" i="12780"/>
  <c r="M15" i="12780" s="1"/>
  <c r="N13" i="12780"/>
  <c r="N15" i="12780" s="1"/>
  <c r="O13" i="12780"/>
  <c r="P13" i="12780"/>
  <c r="P15" i="12780" s="1"/>
  <c r="Q13" i="12780"/>
  <c r="Q15" i="12780" s="1"/>
  <c r="R13" i="12780"/>
  <c r="R15" i="12780" s="1"/>
  <c r="S13" i="12780"/>
  <c r="T13" i="12780"/>
  <c r="T15" i="12780" s="1"/>
  <c r="U13" i="12780"/>
  <c r="U15" i="12780" s="1"/>
  <c r="V13" i="12780"/>
  <c r="V15" i="12780" s="1"/>
  <c r="G15" i="12780"/>
  <c r="K15" i="12780"/>
  <c r="O15" i="12780"/>
  <c r="S15" i="12780"/>
  <c r="D16" i="12780"/>
  <c r="D18" i="12780" s="1"/>
  <c r="E16" i="12780"/>
  <c r="F16" i="12780"/>
  <c r="F18" i="12780" s="1"/>
  <c r="G16" i="12780"/>
  <c r="G18" i="12780" s="1"/>
  <c r="H16" i="12780"/>
  <c r="H18" i="12780" s="1"/>
  <c r="I16" i="12780"/>
  <c r="J16" i="12780"/>
  <c r="J18" i="12780" s="1"/>
  <c r="K16" i="12780"/>
  <c r="K18" i="12780" s="1"/>
  <c r="L16" i="12780"/>
  <c r="L18" i="12780" s="1"/>
  <c r="M16" i="12780"/>
  <c r="N16" i="12780"/>
  <c r="N18" i="12780" s="1"/>
  <c r="O16" i="12780"/>
  <c r="O18" i="12780" s="1"/>
  <c r="P16" i="12780"/>
  <c r="P18" i="12780" s="1"/>
  <c r="Q16" i="12780"/>
  <c r="R16" i="12780"/>
  <c r="R18" i="12780" s="1"/>
  <c r="S16" i="12780"/>
  <c r="S18" i="12780" s="1"/>
  <c r="T16" i="12780"/>
  <c r="T18" i="12780" s="1"/>
  <c r="U16" i="12780"/>
  <c r="V16" i="12780"/>
  <c r="V18" i="12780" s="1"/>
  <c r="Y18" i="12780" s="1"/>
  <c r="E18" i="12780"/>
  <c r="I18" i="12780"/>
  <c r="M18" i="12780"/>
  <c r="Q18" i="12780"/>
  <c r="U18" i="12780"/>
  <c r="C16" i="12780"/>
  <c r="C18" i="12780" s="1"/>
  <c r="Y17" i="12780"/>
  <c r="X17" i="12780"/>
  <c r="Y16" i="12780"/>
  <c r="E24" i="12771"/>
  <c r="E23" i="12771"/>
  <c r="E21" i="12771"/>
  <c r="E20" i="12771"/>
  <c r="E18" i="12771"/>
  <c r="E17" i="12771"/>
  <c r="C9" i="12761"/>
  <c r="F28" i="12786"/>
  <c r="H1469" i="12908" l="1"/>
  <c r="AE1469" i="13034" s="1"/>
  <c r="Z1469" i="13034"/>
  <c r="H1460" i="12908"/>
  <c r="AE1460" i="13034" s="1"/>
  <c r="Z1460" i="13034"/>
  <c r="C1462" i="12908"/>
  <c r="Z1462" i="13034" s="1"/>
  <c r="Z1468" i="13034"/>
  <c r="C1461" i="12908"/>
  <c r="Z1461" i="13034" s="1"/>
  <c r="Z1467" i="13034"/>
  <c r="H1467" i="12908"/>
  <c r="AE1467" i="13034" s="1"/>
  <c r="F55" i="12711"/>
  <c r="F183" i="12711" s="1"/>
  <c r="H1459" i="12908"/>
  <c r="AE1459" i="13034" s="1"/>
  <c r="G183" i="12711"/>
  <c r="I44" i="12910"/>
  <c r="H20" i="12780"/>
  <c r="Q20" i="12780"/>
  <c r="T20" i="12780"/>
  <c r="P20" i="12780"/>
  <c r="L20" i="12780"/>
  <c r="D20" i="12780"/>
  <c r="M20" i="12780"/>
  <c r="X18" i="12780"/>
  <c r="X16" i="12780"/>
  <c r="H1468" i="12908"/>
  <c r="AE1468" i="13034" s="1"/>
  <c r="I1459" i="12908"/>
  <c r="AF1459" i="13034" s="1"/>
  <c r="C882" i="12908"/>
  <c r="Z882" i="13034" s="1"/>
  <c r="C881" i="12908"/>
  <c r="I85" i="12711"/>
  <c r="H85" i="12711"/>
  <c r="G85" i="12711"/>
  <c r="I62" i="12910" s="1"/>
  <c r="D85" i="12711"/>
  <c r="E85" i="12709"/>
  <c r="D85" i="12709"/>
  <c r="P85" i="12711" s="1"/>
  <c r="C880" i="12908"/>
  <c r="Z880" i="13034" s="1"/>
  <c r="C879" i="12908"/>
  <c r="C878" i="12908"/>
  <c r="C873" i="12908"/>
  <c r="C872" i="12908"/>
  <c r="C870" i="12908"/>
  <c r="D845" i="12908"/>
  <c r="AA845" i="13034" s="1"/>
  <c r="C833" i="12908"/>
  <c r="I882" i="12908"/>
  <c r="AF882" i="13034" s="1"/>
  <c r="D886" i="12908"/>
  <c r="AA886" i="13034" s="1"/>
  <c r="H871" i="12908"/>
  <c r="AE871" i="13034" s="1"/>
  <c r="I870" i="12908"/>
  <c r="AF870" i="13034" s="1"/>
  <c r="H872" i="12908" l="1"/>
  <c r="AE872" i="13034" s="1"/>
  <c r="Z872" i="13034"/>
  <c r="H878" i="12908"/>
  <c r="AE878" i="13034" s="1"/>
  <c r="Z878" i="13034"/>
  <c r="H833" i="12908"/>
  <c r="AE833" i="13034" s="1"/>
  <c r="Z833" i="13034"/>
  <c r="H873" i="12908"/>
  <c r="AE873" i="13034" s="1"/>
  <c r="Z873" i="13034"/>
  <c r="H870" i="12908"/>
  <c r="AE870" i="13034" s="1"/>
  <c r="Z870" i="13034"/>
  <c r="H879" i="12908"/>
  <c r="AE879" i="13034" s="1"/>
  <c r="Z879" i="13034"/>
  <c r="H881" i="12908"/>
  <c r="AE881" i="13034" s="1"/>
  <c r="Z881" i="13034"/>
  <c r="G44" i="12910"/>
  <c r="O85" i="12711"/>
  <c r="M62" i="12910"/>
  <c r="F85" i="12711"/>
  <c r="D871" i="12908"/>
  <c r="AA871" i="13034" s="1"/>
  <c r="R85" i="12709"/>
  <c r="H882" i="12908"/>
  <c r="H880" i="12908"/>
  <c r="AE880" i="13034" s="1"/>
  <c r="D872" i="12908"/>
  <c r="AA872" i="13034" s="1"/>
  <c r="I881" i="12908"/>
  <c r="AF881" i="13034" s="1"/>
  <c r="O50" i="12711"/>
  <c r="O178" i="12711" s="1"/>
  <c r="G50" i="12711"/>
  <c r="I1153" i="12908"/>
  <c r="AF1153" i="13034" s="1"/>
  <c r="H50" i="12711"/>
  <c r="H178" i="12711" s="1"/>
  <c r="D50" i="12711"/>
  <c r="D178" i="12711" s="1"/>
  <c r="D50" i="12709"/>
  <c r="AD28" i="12786"/>
  <c r="D24" i="12786"/>
  <c r="AK26" i="12786"/>
  <c r="AJ26" i="12786"/>
  <c r="AE26" i="12786"/>
  <c r="AC26" i="12786"/>
  <c r="AB26" i="12786"/>
  <c r="AA26" i="12786"/>
  <c r="Z26" i="12786"/>
  <c r="Y26" i="12786"/>
  <c r="X26" i="12786"/>
  <c r="W26" i="12786"/>
  <c r="V26" i="12786"/>
  <c r="U26" i="12786"/>
  <c r="T26" i="12786"/>
  <c r="S26" i="12786"/>
  <c r="R26" i="12786"/>
  <c r="Q26" i="12786"/>
  <c r="P26" i="12786"/>
  <c r="O26" i="12786"/>
  <c r="N26" i="12786"/>
  <c r="M26" i="12786"/>
  <c r="L26" i="12786"/>
  <c r="K26" i="12786"/>
  <c r="J26" i="12786"/>
  <c r="I26" i="12786"/>
  <c r="H26" i="12786"/>
  <c r="G26" i="12786"/>
  <c r="F26" i="12786"/>
  <c r="E26" i="12786"/>
  <c r="D26" i="12786"/>
  <c r="AC25" i="12786"/>
  <c r="AB25" i="12786"/>
  <c r="AA25" i="12786"/>
  <c r="Z25" i="12786"/>
  <c r="Y25" i="12786"/>
  <c r="X25" i="12786"/>
  <c r="W25" i="12786"/>
  <c r="V25" i="12786"/>
  <c r="U25" i="12786"/>
  <c r="T25" i="12786"/>
  <c r="S25" i="12786"/>
  <c r="R25" i="12786"/>
  <c r="Q25" i="12786"/>
  <c r="P25" i="12786"/>
  <c r="O25" i="12786"/>
  <c r="N25" i="12786"/>
  <c r="M25" i="12786"/>
  <c r="L25" i="12786"/>
  <c r="K25" i="12786"/>
  <c r="J25" i="12786"/>
  <c r="I25" i="12786"/>
  <c r="H25" i="12786"/>
  <c r="G25" i="12786"/>
  <c r="F25" i="12786"/>
  <c r="E25" i="12786"/>
  <c r="D25" i="12786"/>
  <c r="AC24" i="12786"/>
  <c r="AB24" i="12786"/>
  <c r="AA24" i="12786"/>
  <c r="Z24" i="12786"/>
  <c r="Y24" i="12786"/>
  <c r="X24" i="12786"/>
  <c r="W24" i="12786"/>
  <c r="V24" i="12786"/>
  <c r="U24" i="12786"/>
  <c r="T24" i="12786"/>
  <c r="S24" i="12786"/>
  <c r="R24" i="12786"/>
  <c r="Q24" i="12786"/>
  <c r="P24" i="12786"/>
  <c r="O24" i="12786"/>
  <c r="N24" i="12786"/>
  <c r="M24" i="12786"/>
  <c r="L24" i="12786"/>
  <c r="C1156" i="12908" s="1"/>
  <c r="K24" i="12786"/>
  <c r="J24" i="12786"/>
  <c r="I24" i="12786"/>
  <c r="H24" i="12786"/>
  <c r="C1153" i="12908" s="1"/>
  <c r="Z1153" i="13034" s="1"/>
  <c r="G24" i="12786"/>
  <c r="F24" i="12786"/>
  <c r="I50" i="12711" s="1"/>
  <c r="E24" i="12786"/>
  <c r="H1156" i="12908" l="1"/>
  <c r="AE1156" i="13034" s="1"/>
  <c r="Z1156" i="13034"/>
  <c r="H884" i="12908"/>
  <c r="AE882" i="13034"/>
  <c r="Y872" i="12908"/>
  <c r="AV872" i="13034" s="1"/>
  <c r="W872" i="12908"/>
  <c r="U872" i="12908"/>
  <c r="AR872" i="13034" s="1"/>
  <c r="S872" i="12908"/>
  <c r="AP872" i="13034" s="1"/>
  <c r="U871" i="12908"/>
  <c r="AR871" i="13034" s="1"/>
  <c r="W871" i="12908"/>
  <c r="P50" i="12711"/>
  <c r="P178" i="12711" s="1"/>
  <c r="D179" i="12709"/>
  <c r="H1153" i="12908"/>
  <c r="AE1153" i="13034" s="1"/>
  <c r="I39" i="12910"/>
  <c r="G178" i="12711"/>
  <c r="E85" i="12711"/>
  <c r="G62" i="12910"/>
  <c r="I871" i="12908"/>
  <c r="AF871" i="13034" s="1"/>
  <c r="J27" i="12786"/>
  <c r="N27" i="12786"/>
  <c r="R27" i="12786"/>
  <c r="V27" i="12786"/>
  <c r="Z27" i="12786"/>
  <c r="G27" i="12786"/>
  <c r="K27" i="12786"/>
  <c r="O27" i="12786"/>
  <c r="S27" i="12786"/>
  <c r="W27" i="12786"/>
  <c r="AA27" i="12786"/>
  <c r="C1154" i="12908"/>
  <c r="C1155" i="12908"/>
  <c r="E50" i="12709"/>
  <c r="R50" i="12709" s="1"/>
  <c r="I27" i="12786"/>
  <c r="M27" i="12786"/>
  <c r="U27" i="12786"/>
  <c r="Y27" i="12786"/>
  <c r="AC27" i="12786"/>
  <c r="F50" i="12711"/>
  <c r="I872" i="12908"/>
  <c r="AF872" i="13034" s="1"/>
  <c r="I1160" i="12908"/>
  <c r="AF1160" i="13034" s="1"/>
  <c r="E27" i="12786"/>
  <c r="F27" i="12786"/>
  <c r="Q27" i="12786"/>
  <c r="D27" i="12786"/>
  <c r="H27" i="12786"/>
  <c r="L27" i="12786"/>
  <c r="P27" i="12786"/>
  <c r="T27" i="12786"/>
  <c r="X27" i="12786"/>
  <c r="AB27" i="12786"/>
  <c r="C37" i="12763"/>
  <c r="E7" i="12773"/>
  <c r="F7" i="12773"/>
  <c r="G7" i="12773"/>
  <c r="H7" i="12773"/>
  <c r="I7" i="12773"/>
  <c r="J7" i="12773"/>
  <c r="K7" i="12773"/>
  <c r="L7" i="12773"/>
  <c r="M7" i="12773"/>
  <c r="N7" i="12773"/>
  <c r="O7" i="12773"/>
  <c r="P7" i="12773"/>
  <c r="Q7" i="12773"/>
  <c r="R7" i="12773"/>
  <c r="S7" i="12773"/>
  <c r="E8" i="12773"/>
  <c r="E9" i="12773" s="1"/>
  <c r="F8" i="12773"/>
  <c r="G8" i="12773"/>
  <c r="H8" i="12773"/>
  <c r="I8" i="12773"/>
  <c r="I9" i="12773" s="1"/>
  <c r="J8" i="12773"/>
  <c r="K8" i="12773"/>
  <c r="L8" i="12773"/>
  <c r="M8" i="12773"/>
  <c r="M9" i="12773" s="1"/>
  <c r="N8" i="12773"/>
  <c r="O8" i="12773"/>
  <c r="P8" i="12773"/>
  <c r="Q8" i="12773"/>
  <c r="Q9" i="12773" s="1"/>
  <c r="R8" i="12773"/>
  <c r="R9" i="12773" s="1"/>
  <c r="S8" i="12773"/>
  <c r="F9" i="12773"/>
  <c r="J9" i="12773"/>
  <c r="N9" i="12773"/>
  <c r="D8" i="12773"/>
  <c r="D7" i="12773"/>
  <c r="C1253" i="12908"/>
  <c r="Z1253" i="13034" s="1"/>
  <c r="C1295" i="12908"/>
  <c r="Z1295" i="13034" s="1"/>
  <c r="C1337" i="12908"/>
  <c r="Z1337" i="13034" s="1"/>
  <c r="C1367" i="12908"/>
  <c r="Z1367" i="13034" s="1"/>
  <c r="C1366" i="12908"/>
  <c r="Z1366" i="13034" s="1"/>
  <c r="C1365" i="12908"/>
  <c r="Z1365" i="13034" s="1"/>
  <c r="C1364" i="12908"/>
  <c r="Z1364" i="13034" s="1"/>
  <c r="C1363" i="12908"/>
  <c r="Z1363" i="13034" s="1"/>
  <c r="C1362" i="12908"/>
  <c r="Z1362" i="13034" s="1"/>
  <c r="C1361" i="12908"/>
  <c r="Z1361" i="13034" s="1"/>
  <c r="C1360" i="12908"/>
  <c r="Z1360" i="13034" s="1"/>
  <c r="C1358" i="12908"/>
  <c r="Z1358" i="13034" s="1"/>
  <c r="C1357" i="12908"/>
  <c r="Z1357" i="13034" s="1"/>
  <c r="C1356" i="12908"/>
  <c r="Z1356" i="13034" s="1"/>
  <c r="C1355" i="12908"/>
  <c r="Z1355" i="13034" s="1"/>
  <c r="C1354" i="12908"/>
  <c r="Z1354" i="13034" s="1"/>
  <c r="C1353" i="12908"/>
  <c r="Z1353" i="13034" s="1"/>
  <c r="C1351" i="12908"/>
  <c r="Z1351" i="13034" s="1"/>
  <c r="C1350" i="12908"/>
  <c r="Z1350" i="13034" s="1"/>
  <c r="C1349" i="12908"/>
  <c r="Z1349" i="13034" s="1"/>
  <c r="C1348" i="12908"/>
  <c r="Z1348" i="13034" s="1"/>
  <c r="C1347" i="12908"/>
  <c r="Z1347" i="13034" s="1"/>
  <c r="C1346" i="12908"/>
  <c r="Z1346" i="13034" s="1"/>
  <c r="C1345" i="12908"/>
  <c r="Z1345" i="13034" s="1"/>
  <c r="C1344" i="12908"/>
  <c r="Z1344" i="13034" s="1"/>
  <c r="C1343" i="12908"/>
  <c r="Z1343" i="13034" s="1"/>
  <c r="C1342" i="12908"/>
  <c r="Z1342" i="13034" s="1"/>
  <c r="C1341" i="12908"/>
  <c r="Z1341" i="13034" s="1"/>
  <c r="C1339" i="12908"/>
  <c r="Z1339" i="13034" s="1"/>
  <c r="C1338" i="12908"/>
  <c r="Z1338" i="13034" s="1"/>
  <c r="C1336" i="12908"/>
  <c r="Z1336" i="13034" s="1"/>
  <c r="C1325" i="12908"/>
  <c r="Z1325" i="13034" s="1"/>
  <c r="C1324" i="12908"/>
  <c r="Z1324" i="13034" s="1"/>
  <c r="C1323" i="12908"/>
  <c r="Z1323" i="13034" s="1"/>
  <c r="C1322" i="12908"/>
  <c r="Z1322" i="13034" s="1"/>
  <c r="C1321" i="12908"/>
  <c r="Z1321" i="13034" s="1"/>
  <c r="C1320" i="12908"/>
  <c r="Z1320" i="13034" s="1"/>
  <c r="C1319" i="12908"/>
  <c r="Z1319" i="13034" s="1"/>
  <c r="C1318" i="12908"/>
  <c r="Z1318" i="13034" s="1"/>
  <c r="C1316" i="12908"/>
  <c r="Z1316" i="13034" s="1"/>
  <c r="C1315" i="12908"/>
  <c r="Z1315" i="13034" s="1"/>
  <c r="C1314" i="12908"/>
  <c r="Z1314" i="13034" s="1"/>
  <c r="C1313" i="12908"/>
  <c r="Z1313" i="13034" s="1"/>
  <c r="C1312" i="12908"/>
  <c r="Z1312" i="13034" s="1"/>
  <c r="C1311" i="12908"/>
  <c r="Z1311" i="13034" s="1"/>
  <c r="C1309" i="12908"/>
  <c r="Z1309" i="13034" s="1"/>
  <c r="C1308" i="12908"/>
  <c r="Z1308" i="13034" s="1"/>
  <c r="C1307" i="12908"/>
  <c r="Z1307" i="13034" s="1"/>
  <c r="C1306" i="12908"/>
  <c r="Z1306" i="13034" s="1"/>
  <c r="C1305" i="12908"/>
  <c r="Z1305" i="13034" s="1"/>
  <c r="C1304" i="12908"/>
  <c r="Z1304" i="13034" s="1"/>
  <c r="C1303" i="12908"/>
  <c r="Z1303" i="13034" s="1"/>
  <c r="C1302" i="12908"/>
  <c r="Z1302" i="13034" s="1"/>
  <c r="C1301" i="12908"/>
  <c r="Z1301" i="13034" s="1"/>
  <c r="C1300" i="12908"/>
  <c r="Z1300" i="13034" s="1"/>
  <c r="C1299" i="12908"/>
  <c r="Z1299" i="13034" s="1"/>
  <c r="C1297" i="12908"/>
  <c r="Z1297" i="13034" s="1"/>
  <c r="C1296" i="12908"/>
  <c r="Z1296" i="13034" s="1"/>
  <c r="C1294" i="12908"/>
  <c r="Z1294" i="13034" s="1"/>
  <c r="C1283" i="12908"/>
  <c r="Z1283" i="13034" s="1"/>
  <c r="C1282" i="12908"/>
  <c r="Z1282" i="13034" s="1"/>
  <c r="C1281" i="12908"/>
  <c r="Z1281" i="13034" s="1"/>
  <c r="C1280" i="12908"/>
  <c r="Z1280" i="13034" s="1"/>
  <c r="C1279" i="12908"/>
  <c r="Z1279" i="13034" s="1"/>
  <c r="C1278" i="12908"/>
  <c r="Z1278" i="13034" s="1"/>
  <c r="C1277" i="12908"/>
  <c r="Z1277" i="13034" s="1"/>
  <c r="C1276" i="12908"/>
  <c r="Z1276" i="13034" s="1"/>
  <c r="C1274" i="12908"/>
  <c r="Z1274" i="13034" s="1"/>
  <c r="C1273" i="12908"/>
  <c r="Z1273" i="13034" s="1"/>
  <c r="C1272" i="12908"/>
  <c r="Z1272" i="13034" s="1"/>
  <c r="C1271" i="12908"/>
  <c r="Z1271" i="13034" s="1"/>
  <c r="C1270" i="12908"/>
  <c r="Z1270" i="13034" s="1"/>
  <c r="C1269" i="12908"/>
  <c r="Z1269" i="13034" s="1"/>
  <c r="C1267" i="12908"/>
  <c r="Z1267" i="13034" s="1"/>
  <c r="C1266" i="12908"/>
  <c r="Z1266" i="13034" s="1"/>
  <c r="C1265" i="12908"/>
  <c r="Z1265" i="13034" s="1"/>
  <c r="C1264" i="12908"/>
  <c r="Z1264" i="13034" s="1"/>
  <c r="C1263" i="12908"/>
  <c r="Z1263" i="13034" s="1"/>
  <c r="C1262" i="12908"/>
  <c r="Z1262" i="13034" s="1"/>
  <c r="C1261" i="12908"/>
  <c r="Z1261" i="13034" s="1"/>
  <c r="C1260" i="12908"/>
  <c r="Z1260" i="13034" s="1"/>
  <c r="C1259" i="12908"/>
  <c r="Z1259" i="13034" s="1"/>
  <c r="C1258" i="12908"/>
  <c r="Z1258" i="13034" s="1"/>
  <c r="C1257" i="12908"/>
  <c r="Z1257" i="13034" s="1"/>
  <c r="C1255" i="12908"/>
  <c r="Z1255" i="13034" s="1"/>
  <c r="C1254" i="12908"/>
  <c r="Z1254" i="13034" s="1"/>
  <c r="C1252" i="12908"/>
  <c r="Z1252" i="13034" s="1"/>
  <c r="C1211" i="12908"/>
  <c r="Z1211" i="13034" s="1"/>
  <c r="C1241" i="12908"/>
  <c r="Z1241" i="13034" s="1"/>
  <c r="C1240" i="12908"/>
  <c r="Z1240" i="13034" s="1"/>
  <c r="C1239" i="12908"/>
  <c r="Z1239" i="13034" s="1"/>
  <c r="C1238" i="12908"/>
  <c r="Z1238" i="13034" s="1"/>
  <c r="C1237" i="12908"/>
  <c r="Z1237" i="13034" s="1"/>
  <c r="C1236" i="12908"/>
  <c r="Z1236" i="13034" s="1"/>
  <c r="C1235" i="12908"/>
  <c r="Z1235" i="13034" s="1"/>
  <c r="C1234" i="12908"/>
  <c r="Z1234" i="13034" s="1"/>
  <c r="C1232" i="12908"/>
  <c r="Z1232" i="13034" s="1"/>
  <c r="C1231" i="12908"/>
  <c r="Z1231" i="13034" s="1"/>
  <c r="C1230" i="12908"/>
  <c r="Z1230" i="13034" s="1"/>
  <c r="C1229" i="12908"/>
  <c r="Z1229" i="13034" s="1"/>
  <c r="C1228" i="12908"/>
  <c r="Z1228" i="13034" s="1"/>
  <c r="C1227" i="12908"/>
  <c r="Z1227" i="13034" s="1"/>
  <c r="C1225" i="12908"/>
  <c r="Z1225" i="13034" s="1"/>
  <c r="C1224" i="12908"/>
  <c r="Z1224" i="13034" s="1"/>
  <c r="C1223" i="12908"/>
  <c r="Z1223" i="13034" s="1"/>
  <c r="C1222" i="12908"/>
  <c r="Z1222" i="13034" s="1"/>
  <c r="C1221" i="12908"/>
  <c r="Z1221" i="13034" s="1"/>
  <c r="C1220" i="12908"/>
  <c r="Z1220" i="13034" s="1"/>
  <c r="C1219" i="12908"/>
  <c r="Z1219" i="13034" s="1"/>
  <c r="C1218" i="12908"/>
  <c r="Z1218" i="13034" s="1"/>
  <c r="C1217" i="12908"/>
  <c r="Z1217" i="13034" s="1"/>
  <c r="C1216" i="12908"/>
  <c r="Z1216" i="13034" s="1"/>
  <c r="C1215" i="12908"/>
  <c r="Z1215" i="13034" s="1"/>
  <c r="C1213" i="12908"/>
  <c r="Z1213" i="13034" s="1"/>
  <c r="C1212" i="12908"/>
  <c r="Z1212" i="13034" s="1"/>
  <c r="C1210" i="12908"/>
  <c r="Z1210" i="13034" s="1"/>
  <c r="H91" i="12760"/>
  <c r="H1155" i="12908" l="1"/>
  <c r="AE1155" i="13034" s="1"/>
  <c r="Z1155" i="13034"/>
  <c r="K85" i="12709"/>
  <c r="AE884" i="13034"/>
  <c r="H1154" i="12908"/>
  <c r="AE1154" i="13034" s="1"/>
  <c r="Z1154" i="13034"/>
  <c r="AT871" i="13034"/>
  <c r="AI871" i="13015"/>
  <c r="AT872" i="13034"/>
  <c r="AI872" i="13015"/>
  <c r="P9" i="12773"/>
  <c r="L9" i="12773"/>
  <c r="H9" i="12773"/>
  <c r="S9" i="12773"/>
  <c r="O9" i="12773"/>
  <c r="K9" i="12773"/>
  <c r="G9" i="12773"/>
  <c r="F178" i="12711"/>
  <c r="G39" i="12910"/>
  <c r="I1158" i="12908"/>
  <c r="AF1158" i="13034" s="1"/>
  <c r="D1157" i="12908"/>
  <c r="AA1157" i="13034" s="1"/>
  <c r="I1159" i="12908"/>
  <c r="AF1159" i="13034" s="1"/>
  <c r="I1157" i="12908" l="1"/>
  <c r="D10" i="12984"/>
  <c r="I1162" i="12908" l="1"/>
  <c r="AF1162" i="13034" s="1"/>
  <c r="AF1157" i="13034"/>
  <c r="AR22" i="12756"/>
  <c r="AQ22" i="12756"/>
  <c r="AP22" i="12756"/>
  <c r="AO22" i="12756"/>
  <c r="AN22" i="12756"/>
  <c r="AN2" i="12756"/>
  <c r="AO2" i="12756"/>
  <c r="AP2" i="12756"/>
  <c r="AQ2" i="12756"/>
  <c r="AR2" i="12756"/>
  <c r="AN3" i="12756"/>
  <c r="AO3" i="12756"/>
  <c r="AP3" i="12756"/>
  <c r="AQ3" i="12756"/>
  <c r="AR3" i="12756"/>
  <c r="AN4" i="12756"/>
  <c r="AO4" i="12756"/>
  <c r="AO20" i="12756" s="1"/>
  <c r="AP4" i="12756"/>
  <c r="AQ4" i="12756"/>
  <c r="AR4" i="12756"/>
  <c r="AN5" i="12756"/>
  <c r="AN20" i="12756" s="1"/>
  <c r="AO5" i="12756"/>
  <c r="AP5" i="12756"/>
  <c r="AQ5" i="12756"/>
  <c r="AR5" i="12756"/>
  <c r="AR20" i="12756" s="1"/>
  <c r="AN6" i="12756"/>
  <c r="AO6" i="12756"/>
  <c r="AP6" i="12756"/>
  <c r="AQ6" i="12756"/>
  <c r="AR6" i="12756"/>
  <c r="AN7" i="12756"/>
  <c r="AO7" i="12756"/>
  <c r="AP7" i="12756"/>
  <c r="AP19" i="12756" s="1"/>
  <c r="AQ7" i="12756"/>
  <c r="AR7" i="12756"/>
  <c r="AN8" i="12756"/>
  <c r="AO8" i="12756"/>
  <c r="AO15" i="12756" s="1"/>
  <c r="AO21" i="12756" s="1"/>
  <c r="AP8" i="12756"/>
  <c r="AQ8" i="12756"/>
  <c r="AR8" i="12756"/>
  <c r="AN9" i="12756"/>
  <c r="AN16" i="12756" s="1"/>
  <c r="AN21" i="12756" s="1"/>
  <c r="AO9" i="12756"/>
  <c r="AP9" i="12756"/>
  <c r="AQ9" i="12756"/>
  <c r="AR9" i="12756"/>
  <c r="AR16" i="12756" s="1"/>
  <c r="AR21" i="12756" s="1"/>
  <c r="AN10" i="12756"/>
  <c r="AO10" i="12756"/>
  <c r="AP10" i="12756"/>
  <c r="AQ10" i="12756"/>
  <c r="AQ18" i="12756" s="1"/>
  <c r="AR10" i="12756"/>
  <c r="AN11" i="12756"/>
  <c r="AO11" i="12756"/>
  <c r="AP11" i="12756"/>
  <c r="AP17" i="12756" s="1"/>
  <c r="AQ11" i="12756"/>
  <c r="AR11" i="12756"/>
  <c r="AN12" i="12756"/>
  <c r="AO12" i="12756"/>
  <c r="AP12" i="12756"/>
  <c r="AQ12" i="12756"/>
  <c r="AR12" i="12756"/>
  <c r="AN13" i="12756"/>
  <c r="AO13" i="12756"/>
  <c r="AP13" i="12756"/>
  <c r="AQ13" i="12756"/>
  <c r="AR13" i="12756"/>
  <c r="AN15" i="12756"/>
  <c r="AP15" i="12756"/>
  <c r="AQ15" i="12756"/>
  <c r="AR15" i="12756"/>
  <c r="AO16" i="12756"/>
  <c r="AP16" i="12756"/>
  <c r="AQ16" i="12756"/>
  <c r="AN17" i="12756"/>
  <c r="AO17" i="12756"/>
  <c r="AQ17" i="12756"/>
  <c r="AR17" i="12756"/>
  <c r="AN18" i="12756"/>
  <c r="AO18" i="12756"/>
  <c r="AP18" i="12756"/>
  <c r="AR18" i="12756"/>
  <c r="AN19" i="12756"/>
  <c r="AO19" i="12756"/>
  <c r="AQ19" i="12756"/>
  <c r="AR19" i="12756"/>
  <c r="AP20" i="12756"/>
  <c r="AQ20" i="12756"/>
  <c r="AQ21" i="12756" l="1"/>
  <c r="AP21" i="12756"/>
  <c r="A294" i="12984"/>
  <c r="K294" i="12984" s="1"/>
  <c r="A293" i="12984"/>
  <c r="K293" i="12984" s="1"/>
  <c r="A291" i="12984"/>
  <c r="K291" i="12984" s="1"/>
  <c r="A290" i="12984"/>
  <c r="K290" i="12984" s="1"/>
  <c r="K288" i="12984"/>
  <c r="D288" i="12984"/>
  <c r="D294" i="12984" s="1"/>
  <c r="N294" i="12984" s="1"/>
  <c r="A288" i="12984"/>
  <c r="D287" i="12984"/>
  <c r="D293" i="12984" s="1"/>
  <c r="N293" i="12984" s="1"/>
  <c r="A287" i="12984"/>
  <c r="K287" i="12984" s="1"/>
  <c r="D285" i="12984"/>
  <c r="A285" i="12984"/>
  <c r="K285" i="12984" s="1"/>
  <c r="K284" i="12984"/>
  <c r="A284" i="12984"/>
  <c r="A282" i="12984"/>
  <c r="K282" i="12984" s="1"/>
  <c r="A281" i="12984"/>
  <c r="K281" i="12984" s="1"/>
  <c r="N279" i="12984"/>
  <c r="D279" i="12984"/>
  <c r="A279" i="12984"/>
  <c r="K279" i="12984" s="1"/>
  <c r="N278" i="12984"/>
  <c r="D278" i="12984"/>
  <c r="A278" i="12984"/>
  <c r="K278" i="12984" s="1"/>
  <c r="P276" i="12984"/>
  <c r="N276" i="12984"/>
  <c r="F276" i="12984"/>
  <c r="D276" i="12984"/>
  <c r="A276" i="12984"/>
  <c r="K276" i="12984" s="1"/>
  <c r="P275" i="12984"/>
  <c r="N275" i="12984"/>
  <c r="K275" i="12984"/>
  <c r="F275" i="12984"/>
  <c r="D275" i="12984"/>
  <c r="A275" i="12984"/>
  <c r="D273" i="12984"/>
  <c r="A273" i="12984"/>
  <c r="K273" i="12984" s="1"/>
  <c r="D272" i="12984"/>
  <c r="A272" i="12984"/>
  <c r="K272" i="12984" s="1"/>
  <c r="A270" i="12984"/>
  <c r="K270" i="12984" s="1"/>
  <c r="P269" i="12984"/>
  <c r="F269" i="12984"/>
  <c r="A269" i="12984"/>
  <c r="K269" i="12984" s="1"/>
  <c r="D267" i="12984"/>
  <c r="A267" i="12984"/>
  <c r="K267" i="12984" s="1"/>
  <c r="D266" i="12984"/>
  <c r="A266" i="12984"/>
  <c r="K266" i="12984" s="1"/>
  <c r="A264" i="12984"/>
  <c r="K264" i="12984" s="1"/>
  <c r="A263" i="12984"/>
  <c r="K263" i="12984" s="1"/>
  <c r="K261" i="12984"/>
  <c r="F261" i="12984"/>
  <c r="H261" i="12984" s="1"/>
  <c r="D261" i="12984"/>
  <c r="D270" i="12984" s="1"/>
  <c r="A261" i="12984"/>
  <c r="F260" i="12984"/>
  <c r="D260" i="12984"/>
  <c r="D269" i="12984" s="1"/>
  <c r="N269" i="12984" s="1"/>
  <c r="A260" i="12984"/>
  <c r="K260" i="12984" s="1"/>
  <c r="M254" i="12984"/>
  <c r="C254" i="12984"/>
  <c r="A253" i="12984"/>
  <c r="K253" i="12984" s="1"/>
  <c r="A252" i="12984"/>
  <c r="K252" i="12984" s="1"/>
  <c r="M251" i="12984"/>
  <c r="C251" i="12984"/>
  <c r="A250" i="12984"/>
  <c r="K250" i="12984" s="1"/>
  <c r="A249" i="12984"/>
  <c r="K249" i="12984" s="1"/>
  <c r="M248" i="12984"/>
  <c r="C248" i="12984"/>
  <c r="D247" i="12984"/>
  <c r="A247" i="12984"/>
  <c r="K247" i="12984" s="1"/>
  <c r="D246" i="12984"/>
  <c r="N246" i="12984" s="1"/>
  <c r="A246" i="12984"/>
  <c r="K246" i="12984" s="1"/>
  <c r="M245" i="12984"/>
  <c r="C245" i="12984"/>
  <c r="A244" i="12984"/>
  <c r="K244" i="12984" s="1"/>
  <c r="K243" i="12984"/>
  <c r="A243" i="12984"/>
  <c r="M242" i="12984"/>
  <c r="C242" i="12984"/>
  <c r="A241" i="12984"/>
  <c r="K241" i="12984" s="1"/>
  <c r="A240" i="12984"/>
  <c r="K240" i="12984" s="1"/>
  <c r="M239" i="12984"/>
  <c r="C239" i="12984"/>
  <c r="K238" i="12984"/>
  <c r="D238" i="12984"/>
  <c r="D244" i="12984" s="1"/>
  <c r="A238" i="12984"/>
  <c r="F237" i="12984"/>
  <c r="D237" i="12984"/>
  <c r="D243" i="12984" s="1"/>
  <c r="A237" i="12984"/>
  <c r="K237" i="12984" s="1"/>
  <c r="M236" i="12984"/>
  <c r="C236" i="12984"/>
  <c r="D235" i="12984"/>
  <c r="A235" i="12984"/>
  <c r="K235" i="12984" s="1"/>
  <c r="H234" i="12984"/>
  <c r="D234" i="12984"/>
  <c r="F234" i="12984" s="1"/>
  <c r="A234" i="12984"/>
  <c r="K234" i="12984" s="1"/>
  <c r="M233" i="12984"/>
  <c r="C233" i="12984"/>
  <c r="P232" i="12984"/>
  <c r="K232" i="12984"/>
  <c r="F232" i="12984"/>
  <c r="D232" i="12984"/>
  <c r="A232" i="12984"/>
  <c r="P231" i="12984"/>
  <c r="F231" i="12984"/>
  <c r="H231" i="12984" s="1"/>
  <c r="D231" i="12984"/>
  <c r="A231" i="12984"/>
  <c r="K231" i="12984" s="1"/>
  <c r="M230" i="12984"/>
  <c r="C230" i="12984"/>
  <c r="A229" i="12984"/>
  <c r="K229" i="12984" s="1"/>
  <c r="K228" i="12984"/>
  <c r="A228" i="12984"/>
  <c r="M227" i="12984"/>
  <c r="C227" i="12984"/>
  <c r="K226" i="12984"/>
  <c r="A226" i="12984"/>
  <c r="A225" i="12984"/>
  <c r="K225" i="12984" s="1"/>
  <c r="M224" i="12984"/>
  <c r="C224" i="12984"/>
  <c r="N223" i="12984"/>
  <c r="F223" i="12984"/>
  <c r="D223" i="12984"/>
  <c r="A223" i="12984"/>
  <c r="K223" i="12984" s="1"/>
  <c r="A222" i="12984"/>
  <c r="K222" i="12984" s="1"/>
  <c r="M221" i="12984"/>
  <c r="C221" i="12984"/>
  <c r="N220" i="12984"/>
  <c r="F220" i="12984"/>
  <c r="D220" i="12984"/>
  <c r="A220" i="12984"/>
  <c r="K220" i="12984" s="1"/>
  <c r="D219" i="12984"/>
  <c r="A219" i="12984"/>
  <c r="K219" i="12984" s="1"/>
  <c r="C213" i="12984"/>
  <c r="A212" i="12984"/>
  <c r="D211" i="12984"/>
  <c r="A211" i="12984"/>
  <c r="C210" i="12984"/>
  <c r="A209" i="12984"/>
  <c r="D208" i="12984"/>
  <c r="A208" i="12984"/>
  <c r="C207" i="12984"/>
  <c r="D206" i="12984"/>
  <c r="D212" i="12984" s="1"/>
  <c r="A206" i="12984"/>
  <c r="D205" i="12984"/>
  <c r="A205" i="12984"/>
  <c r="C204" i="12984"/>
  <c r="A203" i="12984"/>
  <c r="A202" i="12984"/>
  <c r="C201" i="12984"/>
  <c r="A200" i="12984"/>
  <c r="A199" i="12984"/>
  <c r="C198" i="12984"/>
  <c r="D197" i="12984"/>
  <c r="D200" i="12984" s="1"/>
  <c r="A197" i="12984"/>
  <c r="D196" i="12984"/>
  <c r="A196" i="12984"/>
  <c r="C195" i="12984"/>
  <c r="A194" i="12984"/>
  <c r="A193" i="12984"/>
  <c r="C192" i="12984"/>
  <c r="F191" i="12984"/>
  <c r="D191" i="12984"/>
  <c r="A191" i="12984"/>
  <c r="F190" i="12984"/>
  <c r="H190" i="12984" s="1"/>
  <c r="D190" i="12984"/>
  <c r="A190" i="12984"/>
  <c r="C189" i="12984"/>
  <c r="A188" i="12984"/>
  <c r="A187" i="12984"/>
  <c r="C186" i="12984"/>
  <c r="A185" i="12984"/>
  <c r="A184" i="12984"/>
  <c r="C183" i="12984"/>
  <c r="A182" i="12984"/>
  <c r="A181" i="12984"/>
  <c r="C180" i="12984"/>
  <c r="D179" i="12984"/>
  <c r="A179" i="12984"/>
  <c r="F178" i="12984"/>
  <c r="D178" i="12984"/>
  <c r="D184" i="12984" s="1"/>
  <c r="A178" i="12984"/>
  <c r="C172" i="12984"/>
  <c r="C169" i="12984"/>
  <c r="D168" i="12984"/>
  <c r="C166" i="12984"/>
  <c r="D165" i="12984"/>
  <c r="D171" i="12984" s="1"/>
  <c r="D164" i="12984"/>
  <c r="C163" i="12984"/>
  <c r="D161" i="12984"/>
  <c r="C160" i="12984"/>
  <c r="C157" i="12984"/>
  <c r="F156" i="12984"/>
  <c r="D156" i="12984"/>
  <c r="D162" i="12984" s="1"/>
  <c r="D155" i="12984"/>
  <c r="D158" i="12984" s="1"/>
  <c r="C154" i="12984"/>
  <c r="F153" i="12984"/>
  <c r="D152" i="12984"/>
  <c r="F152" i="12984" s="1"/>
  <c r="C151" i="12984"/>
  <c r="F150" i="12984"/>
  <c r="D150" i="12984"/>
  <c r="D153" i="12984" s="1"/>
  <c r="H149" i="12984"/>
  <c r="D149" i="12984"/>
  <c r="F149" i="12984" s="1"/>
  <c r="C148" i="12984"/>
  <c r="H146" i="12984"/>
  <c r="F146" i="12984"/>
  <c r="D146" i="12984"/>
  <c r="C145" i="12984"/>
  <c r="F143" i="12984"/>
  <c r="C142" i="12984"/>
  <c r="D140" i="12984"/>
  <c r="C139" i="12984"/>
  <c r="D138" i="12984"/>
  <c r="F137" i="12984"/>
  <c r="D137" i="12984"/>
  <c r="D143" i="12984" s="1"/>
  <c r="C131" i="12984"/>
  <c r="C130" i="12984"/>
  <c r="A130" i="12984"/>
  <c r="C129" i="12984"/>
  <c r="A129" i="12984"/>
  <c r="C128" i="12984"/>
  <c r="A128" i="12984"/>
  <c r="C127" i="12984"/>
  <c r="A127" i="12984"/>
  <c r="C126" i="12984"/>
  <c r="A126" i="12984"/>
  <c r="C125" i="12984"/>
  <c r="A125" i="12984"/>
  <c r="C124" i="12984"/>
  <c r="A124" i="12984"/>
  <c r="D123" i="12984"/>
  <c r="C123" i="12984"/>
  <c r="A123" i="12984"/>
  <c r="C122" i="12984"/>
  <c r="A122" i="12984"/>
  <c r="F121" i="12984"/>
  <c r="G121" i="12984" s="1"/>
  <c r="C121" i="12984"/>
  <c r="A121" i="12984"/>
  <c r="C120" i="12984"/>
  <c r="A120" i="12984"/>
  <c r="D119" i="12984"/>
  <c r="E119" i="12984" s="1"/>
  <c r="C119" i="12984"/>
  <c r="A119" i="12984"/>
  <c r="M113" i="12984"/>
  <c r="K113" i="12984"/>
  <c r="D113" i="12984"/>
  <c r="C113" i="12984"/>
  <c r="M112" i="12984"/>
  <c r="K112" i="12984"/>
  <c r="D112" i="12984"/>
  <c r="D129" i="12984" s="1"/>
  <c r="C112" i="12984"/>
  <c r="M111" i="12984"/>
  <c r="K111" i="12984"/>
  <c r="D111" i="12984"/>
  <c r="C111" i="12984"/>
  <c r="M110" i="12984"/>
  <c r="K110" i="12984"/>
  <c r="D110" i="12984"/>
  <c r="C110" i="12984"/>
  <c r="M109" i="12984"/>
  <c r="K109" i="12984"/>
  <c r="D109" i="12984"/>
  <c r="C109" i="12984"/>
  <c r="M108" i="12984"/>
  <c r="K108" i="12984"/>
  <c r="D108" i="12984"/>
  <c r="N108" i="12984" s="1"/>
  <c r="C108" i="12984"/>
  <c r="M107" i="12984"/>
  <c r="K107" i="12984"/>
  <c r="D107" i="12984"/>
  <c r="C107" i="12984"/>
  <c r="M106" i="12984"/>
  <c r="K106" i="12984"/>
  <c r="D106" i="12984"/>
  <c r="F106" i="12984" s="1"/>
  <c r="C106" i="12984"/>
  <c r="M105" i="12984"/>
  <c r="K105" i="12984"/>
  <c r="F105" i="12984"/>
  <c r="P105" i="12984" s="1"/>
  <c r="D105" i="12984"/>
  <c r="C105" i="12984"/>
  <c r="M104" i="12984"/>
  <c r="K104" i="12984"/>
  <c r="F104" i="12984"/>
  <c r="H104" i="12984" s="1"/>
  <c r="D104" i="12984"/>
  <c r="N104" i="12984" s="1"/>
  <c r="C104" i="12984"/>
  <c r="E104" i="12984" s="1"/>
  <c r="M103" i="12984"/>
  <c r="K103" i="12984"/>
  <c r="D103" i="12984"/>
  <c r="C103" i="12984"/>
  <c r="M102" i="12984"/>
  <c r="K102" i="12984"/>
  <c r="D102" i="12984"/>
  <c r="F102" i="12984" s="1"/>
  <c r="C102" i="12984"/>
  <c r="C96" i="12984"/>
  <c r="A95" i="12984"/>
  <c r="A94" i="12984"/>
  <c r="C93" i="12984"/>
  <c r="A92" i="12984"/>
  <c r="A91" i="12984"/>
  <c r="C90" i="12984"/>
  <c r="A89" i="12984"/>
  <c r="A88" i="12984"/>
  <c r="C87" i="12984"/>
  <c r="A86" i="12984"/>
  <c r="A85" i="12984"/>
  <c r="A84" i="12984"/>
  <c r="K68" i="12984" s="1"/>
  <c r="K69" i="12984" s="1"/>
  <c r="C83" i="12984"/>
  <c r="A82" i="12984"/>
  <c r="A81" i="12984"/>
  <c r="A80" i="12984"/>
  <c r="C79" i="12984"/>
  <c r="M64" i="12984" s="1"/>
  <c r="A78" i="12984"/>
  <c r="A77" i="12984"/>
  <c r="A76" i="12984"/>
  <c r="C75" i="12984"/>
  <c r="A74" i="12984"/>
  <c r="A73" i="12984"/>
  <c r="A72" i="12984"/>
  <c r="C71" i="12984"/>
  <c r="A70" i="12984"/>
  <c r="A69" i="12984"/>
  <c r="A68" i="12984"/>
  <c r="M67" i="12984"/>
  <c r="C67" i="12984"/>
  <c r="A66" i="12984"/>
  <c r="K65" i="12984"/>
  <c r="K66" i="12984" s="1"/>
  <c r="A65" i="12984"/>
  <c r="C64" i="12984"/>
  <c r="A63" i="12984"/>
  <c r="K62" i="12984"/>
  <c r="K63" i="12984" s="1"/>
  <c r="A62" i="12984"/>
  <c r="M61" i="12984"/>
  <c r="C61" i="12984"/>
  <c r="K60" i="12984"/>
  <c r="A60" i="12984"/>
  <c r="K59" i="12984"/>
  <c r="A59" i="12984"/>
  <c r="M58" i="12984"/>
  <c r="C58" i="12984"/>
  <c r="K57" i="12984"/>
  <c r="A57" i="12984"/>
  <c r="K56" i="12984"/>
  <c r="A56" i="12984"/>
  <c r="M50" i="12984"/>
  <c r="C50" i="12984"/>
  <c r="K49" i="12984"/>
  <c r="K48" i="12984"/>
  <c r="D48" i="12984"/>
  <c r="D94" i="12984" s="1"/>
  <c r="M47" i="12984"/>
  <c r="C47" i="12984"/>
  <c r="K46" i="12984"/>
  <c r="F46" i="12984"/>
  <c r="K45" i="12984"/>
  <c r="M44" i="12984"/>
  <c r="C44" i="12984"/>
  <c r="K43" i="12984"/>
  <c r="D43" i="12984"/>
  <c r="D89" i="12984" s="1"/>
  <c r="K42" i="12984"/>
  <c r="D42" i="12984"/>
  <c r="D88" i="12984" s="1"/>
  <c r="M41" i="12984"/>
  <c r="C41" i="12984"/>
  <c r="K40" i="12984"/>
  <c r="K39" i="12984"/>
  <c r="D39" i="12984"/>
  <c r="K38" i="12984"/>
  <c r="M37" i="12984"/>
  <c r="C37" i="12984"/>
  <c r="K36" i="12984"/>
  <c r="K35" i="12984"/>
  <c r="K34" i="12984"/>
  <c r="D34" i="12984"/>
  <c r="D80" i="12984" s="1"/>
  <c r="M33" i="12984"/>
  <c r="C33" i="12984"/>
  <c r="K32" i="12984"/>
  <c r="D32" i="12984"/>
  <c r="N32" i="12984" s="1"/>
  <c r="K31" i="12984"/>
  <c r="D31" i="12984"/>
  <c r="D77" i="12984" s="1"/>
  <c r="N30" i="12984"/>
  <c r="K30" i="12984"/>
  <c r="D30" i="12984"/>
  <c r="D76" i="12984" s="1"/>
  <c r="M29" i="12984"/>
  <c r="C29" i="12984"/>
  <c r="K28" i="12984"/>
  <c r="K27" i="12984"/>
  <c r="K26" i="12984"/>
  <c r="M25" i="12984"/>
  <c r="C25" i="12984"/>
  <c r="K24" i="12984"/>
  <c r="D24" i="12984"/>
  <c r="N24" i="12984" s="1"/>
  <c r="K23" i="12984"/>
  <c r="D23" i="12984"/>
  <c r="K22" i="12984"/>
  <c r="D22" i="12984"/>
  <c r="M21" i="12984"/>
  <c r="C21" i="12984"/>
  <c r="N20" i="12984"/>
  <c r="K20" i="12984"/>
  <c r="D20" i="12984"/>
  <c r="K19" i="12984"/>
  <c r="D19" i="12984"/>
  <c r="M18" i="12984"/>
  <c r="C18" i="12984"/>
  <c r="K17" i="12984"/>
  <c r="K16" i="12984"/>
  <c r="M15" i="12984"/>
  <c r="C15" i="12984"/>
  <c r="K14" i="12984"/>
  <c r="D14" i="12984"/>
  <c r="N13" i="12984"/>
  <c r="K13" i="12984"/>
  <c r="D13" i="12984"/>
  <c r="M12" i="12984"/>
  <c r="C12" i="12984"/>
  <c r="C51" i="12984" s="1"/>
  <c r="K11" i="12984"/>
  <c r="F11" i="12984"/>
  <c r="D11" i="12984"/>
  <c r="D57" i="12984" s="1"/>
  <c r="K10" i="12984"/>
  <c r="F10" i="12984"/>
  <c r="P10" i="12984" s="1"/>
  <c r="N10" i="12984"/>
  <c r="P2" i="12982"/>
  <c r="P3" i="12982"/>
  <c r="P4" i="12982"/>
  <c r="P5" i="12982"/>
  <c r="P6" i="12982"/>
  <c r="P7" i="12982"/>
  <c r="P8" i="12982"/>
  <c r="P9" i="12982"/>
  <c r="P10" i="12982"/>
  <c r="P11" i="12982"/>
  <c r="P12" i="12982"/>
  <c r="P13" i="12982"/>
  <c r="L2" i="12982"/>
  <c r="M2" i="12982"/>
  <c r="N2" i="12982"/>
  <c r="O2" i="12982"/>
  <c r="L3" i="12982"/>
  <c r="M3" i="12982"/>
  <c r="N3" i="12982"/>
  <c r="O3" i="12982"/>
  <c r="L4" i="12982"/>
  <c r="M4" i="12982"/>
  <c r="N4" i="12982"/>
  <c r="O4" i="12982"/>
  <c r="L5" i="12982"/>
  <c r="M5" i="12982"/>
  <c r="N5" i="12982"/>
  <c r="O5" i="12982"/>
  <c r="L6" i="12982"/>
  <c r="M6" i="12982"/>
  <c r="N6" i="12982"/>
  <c r="O6" i="12982"/>
  <c r="L7" i="12982"/>
  <c r="M7" i="12982"/>
  <c r="N7" i="12982"/>
  <c r="O7" i="12982"/>
  <c r="L8" i="12982"/>
  <c r="M8" i="12982"/>
  <c r="N8" i="12982"/>
  <c r="O8" i="12982"/>
  <c r="L9" i="12982"/>
  <c r="M9" i="12982"/>
  <c r="N9" i="12982"/>
  <c r="O9" i="12982"/>
  <c r="L10" i="12982"/>
  <c r="M10" i="12982"/>
  <c r="N10" i="12982"/>
  <c r="O10" i="12982"/>
  <c r="L11" i="12982"/>
  <c r="M11" i="12982"/>
  <c r="N11" i="12982"/>
  <c r="O11" i="12982"/>
  <c r="L12" i="12982"/>
  <c r="M12" i="12982"/>
  <c r="N12" i="12982"/>
  <c r="O12" i="12982"/>
  <c r="L13" i="12982"/>
  <c r="M13" i="12982"/>
  <c r="N13" i="12982"/>
  <c r="O13" i="12982"/>
  <c r="I104" i="12984" l="1"/>
  <c r="E105" i="12984"/>
  <c r="E123" i="12984"/>
  <c r="C97" i="12984"/>
  <c r="O104" i="12984"/>
  <c r="Q105" i="12984"/>
  <c r="O108" i="12984"/>
  <c r="E109" i="12984"/>
  <c r="E110" i="12984"/>
  <c r="E129" i="12984"/>
  <c r="C343" i="12984"/>
  <c r="D49" i="12984"/>
  <c r="D95" i="12984" s="1"/>
  <c r="E108" i="12984"/>
  <c r="D240" i="12984"/>
  <c r="N240" i="12984" s="1"/>
  <c r="N34" i="12984"/>
  <c r="D36" i="12984"/>
  <c r="D82" i="12984" s="1"/>
  <c r="D38" i="12984"/>
  <c r="D84" i="12984" s="1"/>
  <c r="D40" i="12984"/>
  <c r="N40" i="12984" s="1"/>
  <c r="E112" i="12984"/>
  <c r="D127" i="12984"/>
  <c r="E127" i="12984" s="1"/>
  <c r="D209" i="12984"/>
  <c r="D290" i="12984"/>
  <c r="N31" i="12984"/>
  <c r="D35" i="12984"/>
  <c r="N48" i="12984"/>
  <c r="D241" i="12984"/>
  <c r="N241" i="12984" s="1"/>
  <c r="D291" i="12984"/>
  <c r="N291" i="12984" s="1"/>
  <c r="F43" i="12984"/>
  <c r="F49" i="12984"/>
  <c r="H11" i="12984"/>
  <c r="P11" i="12984"/>
  <c r="D60" i="12984"/>
  <c r="F14" i="12984"/>
  <c r="D65" i="12984"/>
  <c r="F19" i="12984"/>
  <c r="D69" i="12984"/>
  <c r="F23" i="12984"/>
  <c r="D27" i="12984"/>
  <c r="N23" i="12984"/>
  <c r="N38" i="12984"/>
  <c r="M70" i="12984"/>
  <c r="P106" i="12984"/>
  <c r="Q106" i="12984" s="1"/>
  <c r="F123" i="12984"/>
  <c r="G123" i="12984" s="1"/>
  <c r="H106" i="12984"/>
  <c r="G106" i="12984"/>
  <c r="F155" i="12984"/>
  <c r="H152" i="12984"/>
  <c r="M51" i="12984"/>
  <c r="F92" i="12984"/>
  <c r="H46" i="12984"/>
  <c r="D147" i="12984"/>
  <c r="F138" i="12984"/>
  <c r="D144" i="12984"/>
  <c r="D141" i="12984"/>
  <c r="D59" i="12984"/>
  <c r="F13" i="12984"/>
  <c r="N14" i="12984"/>
  <c r="D66" i="12984"/>
  <c r="F20" i="12984"/>
  <c r="D68" i="12984"/>
  <c r="F22" i="12984"/>
  <c r="D26" i="12984"/>
  <c r="N22" i="12984"/>
  <c r="D85" i="12984"/>
  <c r="N39" i="12984"/>
  <c r="P46" i="12984"/>
  <c r="H143" i="12984"/>
  <c r="F56" i="12984"/>
  <c r="F42" i="12984"/>
  <c r="F48" i="12984"/>
  <c r="H10" i="12984"/>
  <c r="N19" i="12984"/>
  <c r="D70" i="12984"/>
  <c r="F24" i="12984"/>
  <c r="D28" i="12984"/>
  <c r="D86" i="12984"/>
  <c r="F45" i="12984"/>
  <c r="F57" i="12984"/>
  <c r="P102" i="12984"/>
  <c r="Q102" i="12984" s="1"/>
  <c r="F119" i="12984"/>
  <c r="G119" i="12984" s="1"/>
  <c r="F111" i="12984"/>
  <c r="H102" i="12984"/>
  <c r="G102" i="12984"/>
  <c r="F159" i="12984"/>
  <c r="H156" i="12984"/>
  <c r="D167" i="12984"/>
  <c r="N219" i="12984"/>
  <c r="F219" i="12984"/>
  <c r="D228" i="12984"/>
  <c r="D225" i="12984"/>
  <c r="D222" i="12984"/>
  <c r="N11" i="12984"/>
  <c r="D16" i="12984"/>
  <c r="N43" i="12984"/>
  <c r="D56" i="12984"/>
  <c r="D78" i="12984"/>
  <c r="D128" i="12984"/>
  <c r="E128" i="12984" s="1"/>
  <c r="E111" i="12984"/>
  <c r="N111" i="12984"/>
  <c r="O111" i="12984" s="1"/>
  <c r="F184" i="12984"/>
  <c r="D188" i="12984"/>
  <c r="D182" i="12984"/>
  <c r="F179" i="12984"/>
  <c r="D185" i="12984"/>
  <c r="R234" i="12984"/>
  <c r="D250" i="12984"/>
  <c r="N247" i="12984"/>
  <c r="D253" i="12984"/>
  <c r="D17" i="12984"/>
  <c r="N42" i="12984"/>
  <c r="D45" i="12984"/>
  <c r="D46" i="12984"/>
  <c r="D120" i="12984"/>
  <c r="E120" i="12984" s="1"/>
  <c r="F103" i="12984"/>
  <c r="E103" i="12984"/>
  <c r="N103" i="12984"/>
  <c r="O103" i="12984" s="1"/>
  <c r="D124" i="12984"/>
  <c r="E124" i="12984" s="1"/>
  <c r="F107" i="12984"/>
  <c r="E107" i="12984"/>
  <c r="N107" i="12984"/>
  <c r="O107" i="12984" s="1"/>
  <c r="N113" i="12984"/>
  <c r="O113" i="12984" s="1"/>
  <c r="D130" i="12984"/>
  <c r="E130" i="12984" s="1"/>
  <c r="E113" i="12984"/>
  <c r="H153" i="12984"/>
  <c r="D170" i="12984"/>
  <c r="F205" i="12984"/>
  <c r="H178" i="12984"/>
  <c r="N36" i="12984"/>
  <c r="N49" i="12984"/>
  <c r="M114" i="12984"/>
  <c r="R104" i="12984"/>
  <c r="S104" i="12984" s="1"/>
  <c r="H121" i="12984"/>
  <c r="I121" i="12984" s="1"/>
  <c r="F122" i="12984"/>
  <c r="G122" i="12984" s="1"/>
  <c r="H105" i="12984"/>
  <c r="G105" i="12984"/>
  <c r="C326" i="12984"/>
  <c r="C335" i="12984"/>
  <c r="C114" i="12984"/>
  <c r="H137" i="12984"/>
  <c r="F167" i="12984"/>
  <c r="F164" i="12984"/>
  <c r="F170" i="12984"/>
  <c r="F235" i="12984"/>
  <c r="N235" i="12984"/>
  <c r="N102" i="12984"/>
  <c r="O102" i="12984" s="1"/>
  <c r="P104" i="12984"/>
  <c r="Q104" i="12984" s="1"/>
  <c r="N106" i="12984"/>
  <c r="O106" i="12984" s="1"/>
  <c r="N110" i="12984"/>
  <c r="O110" i="12984" s="1"/>
  <c r="D122" i="12984"/>
  <c r="E122" i="12984" s="1"/>
  <c r="D126" i="12984"/>
  <c r="E126" i="12984" s="1"/>
  <c r="D202" i="12984"/>
  <c r="D199" i="12984"/>
  <c r="P223" i="12984"/>
  <c r="H223" i="12984"/>
  <c r="E102" i="12984"/>
  <c r="G104" i="12984"/>
  <c r="N105" i="12984"/>
  <c r="O105" i="12984" s="1"/>
  <c r="E106" i="12984"/>
  <c r="N109" i="12984"/>
  <c r="O109" i="12984" s="1"/>
  <c r="N112" i="12984"/>
  <c r="O112" i="12984" s="1"/>
  <c r="F113" i="12984"/>
  <c r="D121" i="12984"/>
  <c r="E121" i="12984" s="1"/>
  <c r="D125" i="12984"/>
  <c r="E125" i="12984" s="1"/>
  <c r="H150" i="12984"/>
  <c r="D159" i="12984"/>
  <c r="F247" i="12984"/>
  <c r="P220" i="12984"/>
  <c r="H220" i="12984"/>
  <c r="F140" i="12984"/>
  <c r="D181" i="12984"/>
  <c r="D187" i="12984"/>
  <c r="H191" i="12984"/>
  <c r="F240" i="12984"/>
  <c r="H237" i="12984"/>
  <c r="P237" i="12984"/>
  <c r="F250" i="12984"/>
  <c r="N270" i="12984"/>
  <c r="F270" i="12984"/>
  <c r="D226" i="12984"/>
  <c r="D229" i="12984"/>
  <c r="R231" i="12984"/>
  <c r="H232" i="12984"/>
  <c r="N243" i="12984"/>
  <c r="N244" i="12984"/>
  <c r="D249" i="12984"/>
  <c r="D252" i="12984"/>
  <c r="H269" i="12984"/>
  <c r="P279" i="12984"/>
  <c r="R276" i="12984"/>
  <c r="D194" i="12984"/>
  <c r="D203" i="12984"/>
  <c r="H260" i="12984"/>
  <c r="F287" i="12984"/>
  <c r="R269" i="12984"/>
  <c r="F279" i="12984"/>
  <c r="H276" i="12984"/>
  <c r="D193" i="12984"/>
  <c r="P234" i="12984"/>
  <c r="N234" i="12984"/>
  <c r="N231" i="12984"/>
  <c r="N232" i="12984"/>
  <c r="N237" i="12984"/>
  <c r="N238" i="12984"/>
  <c r="F266" i="12984"/>
  <c r="N266" i="12984"/>
  <c r="F272" i="12984"/>
  <c r="N272" i="12984"/>
  <c r="F278" i="12984"/>
  <c r="H275" i="12984"/>
  <c r="D281" i="12984"/>
  <c r="N284" i="12984"/>
  <c r="N281" i="12984"/>
  <c r="D284" i="12984"/>
  <c r="F288" i="12984"/>
  <c r="F267" i="12984"/>
  <c r="N267" i="12984"/>
  <c r="F273" i="12984"/>
  <c r="N273" i="12984"/>
  <c r="P278" i="12984"/>
  <c r="R275" i="12984"/>
  <c r="D282" i="12984"/>
  <c r="N282" i="12984"/>
  <c r="N285" i="12984"/>
  <c r="N260" i="12984"/>
  <c r="D263" i="12984"/>
  <c r="N290" i="12984"/>
  <c r="N261" i="12984"/>
  <c r="D264" i="12984"/>
  <c r="N287" i="12984"/>
  <c r="N288" i="12984"/>
  <c r="U48" i="12982"/>
  <c r="T48" i="12982"/>
  <c r="S48" i="12982"/>
  <c r="R48" i="12982"/>
  <c r="Q48" i="12982"/>
  <c r="P48" i="12982"/>
  <c r="O48" i="12982"/>
  <c r="N48" i="12982"/>
  <c r="M48" i="12982"/>
  <c r="L48" i="12982"/>
  <c r="K48" i="12982"/>
  <c r="J48" i="12982"/>
  <c r="I48" i="12982"/>
  <c r="H48" i="12982"/>
  <c r="G48" i="12982"/>
  <c r="F48" i="12982"/>
  <c r="E48" i="12982"/>
  <c r="D48" i="12982"/>
  <c r="C48" i="12982"/>
  <c r="B48" i="12982"/>
  <c r="U47" i="12982"/>
  <c r="T47" i="12982"/>
  <c r="S47" i="12982"/>
  <c r="R47" i="12982"/>
  <c r="Q47" i="12982"/>
  <c r="P47" i="12982"/>
  <c r="O47" i="12982"/>
  <c r="N47" i="12982"/>
  <c r="M47" i="12982"/>
  <c r="L47" i="12982"/>
  <c r="K47" i="12982"/>
  <c r="J47" i="12982"/>
  <c r="I47" i="12982"/>
  <c r="H47" i="12982"/>
  <c r="G47" i="12982"/>
  <c r="F47" i="12982"/>
  <c r="E47" i="12982"/>
  <c r="D47" i="12982"/>
  <c r="C47" i="12982"/>
  <c r="B47" i="12982"/>
  <c r="U46" i="12982"/>
  <c r="T46" i="12982"/>
  <c r="S46" i="12982"/>
  <c r="R46" i="12982"/>
  <c r="Q46" i="12982"/>
  <c r="P46" i="12982"/>
  <c r="O46" i="12982"/>
  <c r="N46" i="12982"/>
  <c r="M46" i="12982"/>
  <c r="L46" i="12982"/>
  <c r="K46" i="12982"/>
  <c r="J46" i="12982"/>
  <c r="I46" i="12982"/>
  <c r="H46" i="12982"/>
  <c r="G46" i="12982"/>
  <c r="F46" i="12982"/>
  <c r="E46" i="12982"/>
  <c r="D46" i="12982"/>
  <c r="C46" i="12982"/>
  <c r="B46" i="12982"/>
  <c r="U45" i="12982"/>
  <c r="T45" i="12982"/>
  <c r="S45" i="12982"/>
  <c r="R45" i="12982"/>
  <c r="Q45" i="12982"/>
  <c r="P45" i="12982"/>
  <c r="O45" i="12982"/>
  <c r="N45" i="12982"/>
  <c r="M45" i="12982"/>
  <c r="L45" i="12982"/>
  <c r="K45" i="12982"/>
  <c r="J45" i="12982"/>
  <c r="I45" i="12982"/>
  <c r="H45" i="12982"/>
  <c r="G45" i="12982"/>
  <c r="F45" i="12982"/>
  <c r="E45" i="12982"/>
  <c r="D45" i="12982"/>
  <c r="C45" i="12982"/>
  <c r="B45" i="12982"/>
  <c r="U44" i="12982"/>
  <c r="T44" i="12982"/>
  <c r="S44" i="12982"/>
  <c r="R44" i="12982"/>
  <c r="Q44" i="12982"/>
  <c r="P44" i="12982"/>
  <c r="O44" i="12982"/>
  <c r="N44" i="12982"/>
  <c r="M44" i="12982"/>
  <c r="L44" i="12982"/>
  <c r="K44" i="12982"/>
  <c r="J44" i="12982"/>
  <c r="I44" i="12982"/>
  <c r="H44" i="12982"/>
  <c r="G44" i="12982"/>
  <c r="F44" i="12982"/>
  <c r="E44" i="12982"/>
  <c r="D44" i="12982"/>
  <c r="C44" i="12982"/>
  <c r="B44" i="12982"/>
  <c r="U43" i="12982"/>
  <c r="T43" i="12982"/>
  <c r="S43" i="12982"/>
  <c r="R43" i="12982"/>
  <c r="Q43" i="12982"/>
  <c r="P43" i="12982"/>
  <c r="O43" i="12982"/>
  <c r="N43" i="12982"/>
  <c r="M43" i="12982"/>
  <c r="L43" i="12982"/>
  <c r="K43" i="12982"/>
  <c r="J43" i="12982"/>
  <c r="I43" i="12982"/>
  <c r="H43" i="12982"/>
  <c r="G43" i="12982"/>
  <c r="F43" i="12982"/>
  <c r="E43" i="12982"/>
  <c r="D43" i="12982"/>
  <c r="C43" i="12982"/>
  <c r="B43" i="12982"/>
  <c r="U42" i="12982"/>
  <c r="T42" i="12982"/>
  <c r="S42" i="12982"/>
  <c r="R42" i="12982"/>
  <c r="Q42" i="12982"/>
  <c r="P42" i="12982"/>
  <c r="O42" i="12982"/>
  <c r="N42" i="12982"/>
  <c r="M42" i="12982"/>
  <c r="L42" i="12982"/>
  <c r="K42" i="12982"/>
  <c r="J42" i="12982"/>
  <c r="I42" i="12982"/>
  <c r="H42" i="12982"/>
  <c r="G42" i="12982"/>
  <c r="F42" i="12982"/>
  <c r="E42" i="12982"/>
  <c r="D42" i="12982"/>
  <c r="C42" i="12982"/>
  <c r="B42" i="12982"/>
  <c r="U41" i="12982"/>
  <c r="T41" i="12982"/>
  <c r="S41" i="12982"/>
  <c r="R41" i="12982"/>
  <c r="Q41" i="12982"/>
  <c r="P41" i="12982"/>
  <c r="O41" i="12982"/>
  <c r="N41" i="12982"/>
  <c r="M41" i="12982"/>
  <c r="L41" i="12982"/>
  <c r="K41" i="12982"/>
  <c r="J41" i="12982"/>
  <c r="I41" i="12982"/>
  <c r="H41" i="12982"/>
  <c r="G41" i="12982"/>
  <c r="F41" i="12982"/>
  <c r="E41" i="12982"/>
  <c r="D41" i="12982"/>
  <c r="C41" i="12982"/>
  <c r="B41" i="12982"/>
  <c r="U40" i="12982"/>
  <c r="T40" i="12982"/>
  <c r="S40" i="12982"/>
  <c r="R40" i="12982"/>
  <c r="Q40" i="12982"/>
  <c r="P40" i="12982"/>
  <c r="O40" i="12982"/>
  <c r="N40" i="12982"/>
  <c r="M40" i="12982"/>
  <c r="L40" i="12982"/>
  <c r="K40" i="12982"/>
  <c r="J40" i="12982"/>
  <c r="I40" i="12982"/>
  <c r="H40" i="12982"/>
  <c r="G40" i="12982"/>
  <c r="F40" i="12982"/>
  <c r="E40" i="12982"/>
  <c r="D40" i="12982"/>
  <c r="C40" i="12982"/>
  <c r="B40" i="12982"/>
  <c r="U39" i="12982"/>
  <c r="T39" i="12982"/>
  <c r="S39" i="12982"/>
  <c r="R39" i="12982"/>
  <c r="Q39" i="12982"/>
  <c r="P39" i="12982"/>
  <c r="O39" i="12982"/>
  <c r="N39" i="12982"/>
  <c r="M39" i="12982"/>
  <c r="L39" i="12982"/>
  <c r="K39" i="12982"/>
  <c r="J39" i="12982"/>
  <c r="I39" i="12982"/>
  <c r="H39" i="12982"/>
  <c r="G39" i="12982"/>
  <c r="F39" i="12982"/>
  <c r="E39" i="12982"/>
  <c r="D39" i="12982"/>
  <c r="C39" i="12982"/>
  <c r="B39" i="12982"/>
  <c r="U38" i="12982"/>
  <c r="T38" i="12982"/>
  <c r="S38" i="12982"/>
  <c r="R38" i="12982"/>
  <c r="Q38" i="12982"/>
  <c r="P38" i="12982"/>
  <c r="O38" i="12982"/>
  <c r="N38" i="12982"/>
  <c r="M38" i="12982"/>
  <c r="L38" i="12982"/>
  <c r="K38" i="12982"/>
  <c r="J38" i="12982"/>
  <c r="I38" i="12982"/>
  <c r="H38" i="12982"/>
  <c r="G38" i="12982"/>
  <c r="F38" i="12982"/>
  <c r="E38" i="12982"/>
  <c r="D38" i="12982"/>
  <c r="C38" i="12982"/>
  <c r="B38" i="12982"/>
  <c r="U37" i="12982"/>
  <c r="T37" i="12982"/>
  <c r="S37" i="12982"/>
  <c r="R37" i="12982"/>
  <c r="Q37" i="12982"/>
  <c r="P37" i="12982"/>
  <c r="O37" i="12982"/>
  <c r="N37" i="12982"/>
  <c r="M37" i="12982"/>
  <c r="L37" i="12982"/>
  <c r="K37" i="12982"/>
  <c r="J37" i="12982"/>
  <c r="I37" i="12982"/>
  <c r="H37" i="12982"/>
  <c r="G37" i="12982"/>
  <c r="F37" i="12982"/>
  <c r="E37" i="12982"/>
  <c r="D37" i="12982"/>
  <c r="C37" i="12982"/>
  <c r="B37" i="12982"/>
  <c r="U36" i="12982"/>
  <c r="T36" i="12982"/>
  <c r="S36" i="12982"/>
  <c r="AN36" i="12982" s="1"/>
  <c r="R36" i="12982"/>
  <c r="Q36" i="12982"/>
  <c r="P36" i="12982"/>
  <c r="O36" i="12982"/>
  <c r="N36" i="12982"/>
  <c r="M36" i="12982"/>
  <c r="L36" i="12982"/>
  <c r="K36" i="12982"/>
  <c r="J36" i="12982"/>
  <c r="I36" i="12982"/>
  <c r="H36" i="12982"/>
  <c r="G36" i="12982"/>
  <c r="AB36" i="12982" s="1"/>
  <c r="F36" i="12982"/>
  <c r="E36" i="12982"/>
  <c r="D36" i="12982"/>
  <c r="C36" i="12982"/>
  <c r="B36" i="12982"/>
  <c r="U35" i="12982"/>
  <c r="T35" i="12982"/>
  <c r="S35" i="12982"/>
  <c r="AN35" i="12982" s="1"/>
  <c r="R35" i="12982"/>
  <c r="Q35" i="12982"/>
  <c r="P35" i="12982"/>
  <c r="O35" i="12982"/>
  <c r="N35" i="12982"/>
  <c r="M35" i="12982"/>
  <c r="L35" i="12982"/>
  <c r="K35" i="12982"/>
  <c r="J35" i="12982"/>
  <c r="I35" i="12982"/>
  <c r="AD35" i="12982" s="1"/>
  <c r="H35" i="12982"/>
  <c r="G35" i="12982"/>
  <c r="F35" i="12982"/>
  <c r="E35" i="12982"/>
  <c r="D35" i="12982"/>
  <c r="C35" i="12982"/>
  <c r="B35" i="12982"/>
  <c r="U34" i="12982"/>
  <c r="T34" i="12982"/>
  <c r="S34" i="12982"/>
  <c r="AN34" i="12982" s="1"/>
  <c r="R34" i="12982"/>
  <c r="Q34" i="12982"/>
  <c r="P34" i="12982"/>
  <c r="O34" i="12982"/>
  <c r="N34" i="12982"/>
  <c r="M34" i="12982"/>
  <c r="L34" i="12982"/>
  <c r="K34" i="12982"/>
  <c r="J34" i="12982"/>
  <c r="I34" i="12982"/>
  <c r="H34" i="12982"/>
  <c r="G34" i="12982"/>
  <c r="F34" i="12982"/>
  <c r="E34" i="12982"/>
  <c r="D34" i="12982"/>
  <c r="C34" i="12982"/>
  <c r="B34" i="12982"/>
  <c r="U33" i="12982"/>
  <c r="T33" i="12982"/>
  <c r="S33" i="12982"/>
  <c r="AN33" i="12982" s="1"/>
  <c r="R33" i="12982"/>
  <c r="Q33" i="12982"/>
  <c r="P33" i="12982"/>
  <c r="O33" i="12982"/>
  <c r="N33" i="12982"/>
  <c r="M33" i="12982"/>
  <c r="L33" i="12982"/>
  <c r="K33" i="12982"/>
  <c r="J33" i="12982"/>
  <c r="I33" i="12982"/>
  <c r="H33" i="12982"/>
  <c r="G33" i="12982"/>
  <c r="F33" i="12982"/>
  <c r="E33" i="12982"/>
  <c r="D33" i="12982"/>
  <c r="C33" i="12982"/>
  <c r="B33" i="12982"/>
  <c r="U32" i="12982"/>
  <c r="T32" i="12982"/>
  <c r="S32" i="12982"/>
  <c r="AN32" i="12982" s="1"/>
  <c r="R32" i="12982"/>
  <c r="Q32" i="12982"/>
  <c r="P32" i="12982"/>
  <c r="O32" i="12982"/>
  <c r="N32" i="12982"/>
  <c r="M32" i="12982"/>
  <c r="L32" i="12982"/>
  <c r="K32" i="12982"/>
  <c r="J32" i="12982"/>
  <c r="I32" i="12982"/>
  <c r="H32" i="12982"/>
  <c r="G32" i="12982"/>
  <c r="F32" i="12982"/>
  <c r="E32" i="12982"/>
  <c r="D32" i="12982"/>
  <c r="C32" i="12982"/>
  <c r="B32" i="12982"/>
  <c r="U31" i="12982"/>
  <c r="T31" i="12982"/>
  <c r="S31" i="12982"/>
  <c r="AN31" i="12982" s="1"/>
  <c r="R31" i="12982"/>
  <c r="Q31" i="12982"/>
  <c r="P31" i="12982"/>
  <c r="O31" i="12982"/>
  <c r="N31" i="12982"/>
  <c r="M31" i="12982"/>
  <c r="L31" i="12982"/>
  <c r="K31" i="12982"/>
  <c r="J31" i="12982"/>
  <c r="I31" i="12982"/>
  <c r="AD31" i="12982" s="1"/>
  <c r="H31" i="12982"/>
  <c r="G31" i="12982"/>
  <c r="AB31" i="12982" s="1"/>
  <c r="F31" i="12982"/>
  <c r="E31" i="12982"/>
  <c r="D31" i="12982"/>
  <c r="C31" i="12982"/>
  <c r="B31" i="12982"/>
  <c r="U30" i="12982"/>
  <c r="T30" i="12982"/>
  <c r="S30" i="12982"/>
  <c r="AN30" i="12982" s="1"/>
  <c r="R30" i="12982"/>
  <c r="Q30" i="12982"/>
  <c r="P30" i="12982"/>
  <c r="O30" i="12982"/>
  <c r="N30" i="12982"/>
  <c r="M30" i="12982"/>
  <c r="L30" i="12982"/>
  <c r="K30" i="12982"/>
  <c r="J30" i="12982"/>
  <c r="I30" i="12982"/>
  <c r="H30" i="12982"/>
  <c r="G30" i="12982"/>
  <c r="F30" i="12982"/>
  <c r="E30" i="12982"/>
  <c r="D30" i="12982"/>
  <c r="C30" i="12982"/>
  <c r="B30" i="12982"/>
  <c r="U29" i="12982"/>
  <c r="T29" i="12982"/>
  <c r="S29" i="12982"/>
  <c r="AN29" i="12982" s="1"/>
  <c r="R29" i="12982"/>
  <c r="Q29" i="12982"/>
  <c r="P29" i="12982"/>
  <c r="O29" i="12982"/>
  <c r="N29" i="12982"/>
  <c r="M29" i="12982"/>
  <c r="L29" i="12982"/>
  <c r="K29" i="12982"/>
  <c r="J29" i="12982"/>
  <c r="I29" i="12982"/>
  <c r="H29" i="12982"/>
  <c r="G29" i="12982"/>
  <c r="F29" i="12982"/>
  <c r="E29" i="12982"/>
  <c r="D29" i="12982"/>
  <c r="C29" i="12982"/>
  <c r="B29" i="12982"/>
  <c r="U28" i="12982"/>
  <c r="T28" i="12982"/>
  <c r="S28" i="12982"/>
  <c r="AN28" i="12982" s="1"/>
  <c r="R28" i="12982"/>
  <c r="Q28" i="12982"/>
  <c r="P28" i="12982"/>
  <c r="O28" i="12982"/>
  <c r="N28" i="12982"/>
  <c r="M28" i="12982"/>
  <c r="L28" i="12982"/>
  <c r="K28" i="12982"/>
  <c r="J28" i="12982"/>
  <c r="I28" i="12982"/>
  <c r="H28" i="12982"/>
  <c r="G28" i="12982"/>
  <c r="F28" i="12982"/>
  <c r="E28" i="12982"/>
  <c r="D28" i="12982"/>
  <c r="C28" i="12982"/>
  <c r="B28" i="12982"/>
  <c r="U27" i="12982"/>
  <c r="T27" i="12982"/>
  <c r="S27" i="12982"/>
  <c r="AN27" i="12982" s="1"/>
  <c r="R27" i="12982"/>
  <c r="Q27" i="12982"/>
  <c r="P27" i="12982"/>
  <c r="O27" i="12982"/>
  <c r="N27" i="12982"/>
  <c r="M27" i="12982"/>
  <c r="L27" i="12982"/>
  <c r="K27" i="12982"/>
  <c r="J27" i="12982"/>
  <c r="I27" i="12982"/>
  <c r="AD27" i="12982" s="1"/>
  <c r="H27" i="12982"/>
  <c r="G27" i="12982"/>
  <c r="AB27" i="12982" s="1"/>
  <c r="F27" i="12982"/>
  <c r="E27" i="12982"/>
  <c r="D27" i="12982"/>
  <c r="C27" i="12982"/>
  <c r="B27" i="12982"/>
  <c r="U26" i="12982"/>
  <c r="T26" i="12982"/>
  <c r="S26" i="12982"/>
  <c r="AN26" i="12982" s="1"/>
  <c r="R26" i="12982"/>
  <c r="Q26" i="12982"/>
  <c r="P26" i="12982"/>
  <c r="O26" i="12982"/>
  <c r="N26" i="12982"/>
  <c r="M26" i="12982"/>
  <c r="L26" i="12982"/>
  <c r="K26" i="12982"/>
  <c r="J26" i="12982"/>
  <c r="I26" i="12982"/>
  <c r="H26" i="12982"/>
  <c r="G26" i="12982"/>
  <c r="F26" i="12982"/>
  <c r="E26" i="12982"/>
  <c r="D26" i="12982"/>
  <c r="C26" i="12982"/>
  <c r="B26" i="12982"/>
  <c r="U25" i="12982"/>
  <c r="T25" i="12982"/>
  <c r="S25" i="12982"/>
  <c r="AN25" i="12982" s="1"/>
  <c r="R25" i="12982"/>
  <c r="Q25" i="12982"/>
  <c r="P25" i="12982"/>
  <c r="O25" i="12982"/>
  <c r="N25" i="12982"/>
  <c r="M25" i="12982"/>
  <c r="L25" i="12982"/>
  <c r="K25" i="12982"/>
  <c r="J25" i="12982"/>
  <c r="I25" i="12982"/>
  <c r="H25" i="12982"/>
  <c r="G25" i="12982"/>
  <c r="F25" i="12982"/>
  <c r="E25" i="12982"/>
  <c r="D25" i="12982"/>
  <c r="C25" i="12982"/>
  <c r="B25" i="12982"/>
  <c r="E342" i="12984" l="1"/>
  <c r="E341" i="12984"/>
  <c r="E131" i="12984"/>
  <c r="D81" i="12984"/>
  <c r="N35" i="12984"/>
  <c r="AL40" i="12982"/>
  <c r="AM40" i="12982"/>
  <c r="AL42" i="12982"/>
  <c r="AM42" i="12982"/>
  <c r="AL45" i="12982"/>
  <c r="AM45" i="12982"/>
  <c r="AB46" i="12982"/>
  <c r="AC46" i="12982"/>
  <c r="AT34" i="12982"/>
  <c r="AB47" i="12982"/>
  <c r="AC47" i="12982"/>
  <c r="AB48" i="12982"/>
  <c r="G13" i="12982" s="1"/>
  <c r="AC48" i="12982"/>
  <c r="AT47" i="12982"/>
  <c r="AM37" i="12982"/>
  <c r="AL37" i="12982"/>
  <c r="AL38" i="12982"/>
  <c r="AM38" i="12982"/>
  <c r="AL41" i="12982"/>
  <c r="AM41" i="12982"/>
  <c r="AL44" i="12982"/>
  <c r="AM44" i="12982"/>
  <c r="Y46" i="12982"/>
  <c r="Y34" i="12982"/>
  <c r="Y48" i="12982"/>
  <c r="Y36" i="12982"/>
  <c r="D13" i="12982" s="1"/>
  <c r="AL39" i="12982"/>
  <c r="AM39" i="12982"/>
  <c r="AL43" i="12982"/>
  <c r="AM43" i="12982"/>
  <c r="AL46" i="12982"/>
  <c r="AM46" i="12982"/>
  <c r="Y47" i="12982"/>
  <c r="Y35" i="12982"/>
  <c r="D12" i="12982" s="1"/>
  <c r="AP37" i="12982"/>
  <c r="AO37" i="12982"/>
  <c r="AO25" i="12982"/>
  <c r="AO38" i="12982"/>
  <c r="AP38" i="12982"/>
  <c r="AO26" i="12982"/>
  <c r="AP39" i="12982"/>
  <c r="AO39" i="12982"/>
  <c r="AO27" i="12982"/>
  <c r="AP40" i="12982"/>
  <c r="AO40" i="12982"/>
  <c r="AO28" i="12982"/>
  <c r="T5" i="12982" s="1"/>
  <c r="AP41" i="12982"/>
  <c r="AO41" i="12982"/>
  <c r="AO29" i="12982"/>
  <c r="AP42" i="12982"/>
  <c r="AO42" i="12982"/>
  <c r="AO30" i="12982"/>
  <c r="AO43" i="12982"/>
  <c r="AP43" i="12982"/>
  <c r="AO31" i="12982"/>
  <c r="AO44" i="12982"/>
  <c r="AP44" i="12982"/>
  <c r="AO32" i="12982"/>
  <c r="AO45" i="12982"/>
  <c r="AP45" i="12982"/>
  <c r="AO33" i="12982"/>
  <c r="AO46" i="12982"/>
  <c r="AP46" i="12982"/>
  <c r="AO34" i="12982"/>
  <c r="AP47" i="12982"/>
  <c r="AO47" i="12982"/>
  <c r="AL47" i="12982" s="1"/>
  <c r="AO48" i="12982"/>
  <c r="AP48" i="12982"/>
  <c r="R237" i="12984"/>
  <c r="F187" i="12984"/>
  <c r="H164" i="12984"/>
  <c r="I105" i="12984"/>
  <c r="R105" i="12984"/>
  <c r="S105" i="12984" s="1"/>
  <c r="H122" i="12984"/>
  <c r="I122" i="12984" s="1"/>
  <c r="F246" i="12984"/>
  <c r="P219" i="12984"/>
  <c r="H219" i="12984"/>
  <c r="F91" i="12984"/>
  <c r="H45" i="12984"/>
  <c r="P45" i="12984"/>
  <c r="F94" i="12984"/>
  <c r="H48" i="12984"/>
  <c r="P48" i="12984"/>
  <c r="F141" i="12984"/>
  <c r="F65" i="12984"/>
  <c r="P19" i="12984"/>
  <c r="H19" i="12984"/>
  <c r="P273" i="12984"/>
  <c r="F281" i="12984"/>
  <c r="H278" i="12984"/>
  <c r="N226" i="12984"/>
  <c r="F226" i="12984"/>
  <c r="H250" i="12984"/>
  <c r="P250" i="12984"/>
  <c r="P240" i="12984"/>
  <c r="H240" i="12984"/>
  <c r="F243" i="12984"/>
  <c r="R223" i="12984"/>
  <c r="P260" i="12984"/>
  <c r="P281" i="12984"/>
  <c r="R278" i="12984"/>
  <c r="P267" i="12984"/>
  <c r="H288" i="12984"/>
  <c r="F193" i="12984"/>
  <c r="H279" i="12984"/>
  <c r="F282" i="12984"/>
  <c r="H287" i="12984"/>
  <c r="P282" i="12984"/>
  <c r="R279" i="12984"/>
  <c r="P235" i="12984"/>
  <c r="F238" i="12984"/>
  <c r="H235" i="12984"/>
  <c r="D63" i="12984"/>
  <c r="N17" i="12984"/>
  <c r="F17" i="12984"/>
  <c r="F182" i="12984"/>
  <c r="D72" i="12984"/>
  <c r="F26" i="12984"/>
  <c r="N26" i="12984"/>
  <c r="P13" i="12984"/>
  <c r="F59" i="12984"/>
  <c r="H13" i="12984"/>
  <c r="H123" i="12984"/>
  <c r="I123" i="12984" s="1"/>
  <c r="I106" i="12984"/>
  <c r="R106" i="12984"/>
  <c r="S106" i="12984" s="1"/>
  <c r="N264" i="12984"/>
  <c r="F264" i="12984"/>
  <c r="F194" i="12984"/>
  <c r="P247" i="12984"/>
  <c r="H247" i="12984"/>
  <c r="E333" i="12984"/>
  <c r="H167" i="12984"/>
  <c r="G107" i="12984"/>
  <c r="P107" i="12984"/>
  <c r="Q107" i="12984" s="1"/>
  <c r="F124" i="12984"/>
  <c r="G124" i="12984" s="1"/>
  <c r="F108" i="12984"/>
  <c r="H107" i="12984"/>
  <c r="F112" i="12984"/>
  <c r="G103" i="12984"/>
  <c r="P103" i="12984"/>
  <c r="Q103" i="12984" s="1"/>
  <c r="F120" i="12984"/>
  <c r="G120" i="12984" s="1"/>
  <c r="H103" i="12984"/>
  <c r="N45" i="12984"/>
  <c r="D91" i="12984"/>
  <c r="F222" i="12984"/>
  <c r="N222" i="12984"/>
  <c r="H119" i="12984"/>
  <c r="I119" i="12984" s="1"/>
  <c r="I102" i="12984"/>
  <c r="R102" i="12984"/>
  <c r="S102" i="12984" s="1"/>
  <c r="F88" i="12984"/>
  <c r="H42" i="12984"/>
  <c r="P42" i="12984"/>
  <c r="F68" i="12984"/>
  <c r="P22" i="12984"/>
  <c r="F38" i="12984"/>
  <c r="F34" i="12984"/>
  <c r="H22" i="12984"/>
  <c r="F30" i="12984"/>
  <c r="F144" i="12984"/>
  <c r="H155" i="12984"/>
  <c r="F158" i="12984"/>
  <c r="F69" i="12984"/>
  <c r="P23" i="12984"/>
  <c r="F39" i="12984"/>
  <c r="F35" i="12984"/>
  <c r="F31" i="12984"/>
  <c r="H23" i="12984"/>
  <c r="P261" i="12984"/>
  <c r="H267" i="12984"/>
  <c r="F294" i="12984"/>
  <c r="P272" i="12984"/>
  <c r="N252" i="12984"/>
  <c r="R232" i="12984"/>
  <c r="N229" i="12984"/>
  <c r="F229" i="12984"/>
  <c r="H270" i="12984"/>
  <c r="F181" i="12984"/>
  <c r="E325" i="12984"/>
  <c r="E114" i="12984"/>
  <c r="N250" i="12984"/>
  <c r="F185" i="12984"/>
  <c r="F188" i="12984"/>
  <c r="N225" i="12984"/>
  <c r="F225" i="12984"/>
  <c r="H159" i="12984"/>
  <c r="F162" i="12984"/>
  <c r="G111" i="12984"/>
  <c r="P111" i="12984"/>
  <c r="Q111" i="12984" s="1"/>
  <c r="F128" i="12984"/>
  <c r="G128" i="12984" s="1"/>
  <c r="H111" i="12984"/>
  <c r="D74" i="12984"/>
  <c r="F28" i="12984"/>
  <c r="N28" i="12984"/>
  <c r="F171" i="12984"/>
  <c r="F168" i="12984"/>
  <c r="H138" i="12984"/>
  <c r="F165" i="12984"/>
  <c r="R46" i="12984"/>
  <c r="H92" i="12984"/>
  <c r="H57" i="12984"/>
  <c r="R11" i="12984"/>
  <c r="H272" i="12984"/>
  <c r="G113" i="12984"/>
  <c r="F130" i="12984"/>
  <c r="G130" i="12984" s="1"/>
  <c r="H113" i="12984"/>
  <c r="P113" i="12984"/>
  <c r="Q113" i="12984" s="1"/>
  <c r="N46" i="12984"/>
  <c r="D92" i="12984"/>
  <c r="D73" i="12984"/>
  <c r="F27" i="12984"/>
  <c r="N27" i="12984"/>
  <c r="F89" i="12984"/>
  <c r="P43" i="12984"/>
  <c r="H43" i="12984"/>
  <c r="P266" i="12984"/>
  <c r="N263" i="12984"/>
  <c r="F263" i="12984"/>
  <c r="H273" i="12984"/>
  <c r="F293" i="12984"/>
  <c r="H266" i="12984"/>
  <c r="N249" i="12984"/>
  <c r="P270" i="12984"/>
  <c r="H140" i="12984"/>
  <c r="R220" i="12984"/>
  <c r="E324" i="12984"/>
  <c r="E334" i="12984"/>
  <c r="O114" i="12984"/>
  <c r="H170" i="12984"/>
  <c r="H205" i="12984"/>
  <c r="F208" i="12984"/>
  <c r="N253" i="12984"/>
  <c r="F206" i="12984"/>
  <c r="H179" i="12984"/>
  <c r="H184" i="12984"/>
  <c r="D62" i="12984"/>
  <c r="N16" i="12984"/>
  <c r="F16" i="12984"/>
  <c r="N228" i="12984"/>
  <c r="F228" i="12984"/>
  <c r="F70" i="12984"/>
  <c r="F40" i="12984"/>
  <c r="P24" i="12984"/>
  <c r="F36" i="12984"/>
  <c r="H24" i="12984"/>
  <c r="F32" i="12984"/>
  <c r="R10" i="12984"/>
  <c r="H56" i="12984"/>
  <c r="F66" i="12984"/>
  <c r="P20" i="12984"/>
  <c r="H20" i="12984"/>
  <c r="F147" i="12984"/>
  <c r="F60" i="12984"/>
  <c r="P14" i="12984"/>
  <c r="H14" i="12984"/>
  <c r="F95" i="12984"/>
  <c r="H49" i="12984"/>
  <c r="P49" i="12984"/>
  <c r="AR34" i="12982"/>
  <c r="AR47" i="12982"/>
  <c r="X25" i="12982"/>
  <c r="Y25" i="12982" s="1"/>
  <c r="AA25" i="12982"/>
  <c r="X28" i="12982"/>
  <c r="AA28" i="12982"/>
  <c r="AM28" i="12982"/>
  <c r="AE29" i="12982"/>
  <c r="AE41" i="12982"/>
  <c r="AA32" i="12982"/>
  <c r="X32" i="12982"/>
  <c r="Y32" i="12982" s="1"/>
  <c r="AM32" i="12982"/>
  <c r="AA33" i="12982"/>
  <c r="X33" i="12982"/>
  <c r="X34" i="12982"/>
  <c r="AA34" i="12982"/>
  <c r="AM34" i="12982"/>
  <c r="AE47" i="12982"/>
  <c r="AE35" i="12982"/>
  <c r="AD25" i="12982"/>
  <c r="AL25" i="12982"/>
  <c r="AD26" i="12982"/>
  <c r="AL26" i="12982"/>
  <c r="Q3" i="12982" s="1"/>
  <c r="AL27" i="12982"/>
  <c r="AD28" i="12982"/>
  <c r="AL28" i="12982"/>
  <c r="Q5" i="12982" s="1"/>
  <c r="AD29" i="12982"/>
  <c r="AL29" i="12982"/>
  <c r="Q6" i="12982" s="1"/>
  <c r="AD30" i="12982"/>
  <c r="AL30" i="12982"/>
  <c r="AP30" i="12982" s="1"/>
  <c r="AL31" i="12982"/>
  <c r="AD32" i="12982"/>
  <c r="AL32" i="12982"/>
  <c r="Q9" i="12982" s="1"/>
  <c r="AD33" i="12982"/>
  <c r="AL33" i="12982"/>
  <c r="Q10" i="12982" s="1"/>
  <c r="AD34" i="12982"/>
  <c r="AL34" i="12982"/>
  <c r="AL35" i="12982"/>
  <c r="AD36" i="12982"/>
  <c r="AL36" i="12982"/>
  <c r="AE37" i="12982"/>
  <c r="AE25" i="12982"/>
  <c r="AA26" i="12982"/>
  <c r="X26" i="12982"/>
  <c r="AM26" i="12982"/>
  <c r="R3" i="12982" s="1"/>
  <c r="AA27" i="12982"/>
  <c r="X27" i="12982"/>
  <c r="Y27" i="12982" s="1"/>
  <c r="AM27" i="12982"/>
  <c r="AA29" i="12982"/>
  <c r="X29" i="12982"/>
  <c r="AA30" i="12982"/>
  <c r="X30" i="12982"/>
  <c r="AM30" i="12982"/>
  <c r="AE43" i="12982"/>
  <c r="AE31" i="12982"/>
  <c r="AE44" i="12982"/>
  <c r="AE32" i="12982"/>
  <c r="AA35" i="12982"/>
  <c r="X35" i="12982"/>
  <c r="AM35" i="12982"/>
  <c r="AE48" i="12982"/>
  <c r="AE36" i="12982"/>
  <c r="X37" i="12982"/>
  <c r="Y37" i="12982" s="1"/>
  <c r="AB25" i="12982"/>
  <c r="AF25" i="12982"/>
  <c r="AF37" i="12982"/>
  <c r="X38" i="12982"/>
  <c r="Y38" i="12982" s="1"/>
  <c r="AB26" i="12982"/>
  <c r="AF26" i="12982"/>
  <c r="AF38" i="12982"/>
  <c r="X39" i="12982"/>
  <c r="Y39" i="12982" s="1"/>
  <c r="AF27" i="12982"/>
  <c r="AF39" i="12982"/>
  <c r="X40" i="12982"/>
  <c r="Y40" i="12982" s="1"/>
  <c r="AB28" i="12982"/>
  <c r="AF40" i="12982"/>
  <c r="AF28" i="12982"/>
  <c r="X41" i="12982"/>
  <c r="Y41" i="12982" s="1"/>
  <c r="AB29" i="12982"/>
  <c r="AF29" i="12982"/>
  <c r="AF41" i="12982"/>
  <c r="X42" i="12982"/>
  <c r="Y42" i="12982" s="1"/>
  <c r="AB30" i="12982"/>
  <c r="AF42" i="12982"/>
  <c r="AF30" i="12982"/>
  <c r="X43" i="12982"/>
  <c r="Y43" i="12982" s="1"/>
  <c r="AF31" i="12982"/>
  <c r="AF43" i="12982"/>
  <c r="X44" i="12982"/>
  <c r="Y44" i="12982" s="1"/>
  <c r="AB32" i="12982"/>
  <c r="AF44" i="12982"/>
  <c r="AF32" i="12982"/>
  <c r="X45" i="12982"/>
  <c r="Y45" i="12982" s="1"/>
  <c r="AB33" i="12982"/>
  <c r="AF33" i="12982"/>
  <c r="AF45" i="12982"/>
  <c r="X46" i="12982"/>
  <c r="AB34" i="12982"/>
  <c r="AF46" i="12982"/>
  <c r="AF34" i="12982"/>
  <c r="X47" i="12982"/>
  <c r="AB35" i="12982"/>
  <c r="G12" i="12982" s="1"/>
  <c r="AF35" i="12982"/>
  <c r="AF47" i="12982"/>
  <c r="X48" i="12982"/>
  <c r="AF48" i="12982"/>
  <c r="AF36" i="12982"/>
  <c r="AM25" i="12982"/>
  <c r="AE38" i="12982"/>
  <c r="AE26" i="12982"/>
  <c r="AE39" i="12982"/>
  <c r="AE27" i="12982"/>
  <c r="AE40" i="12982"/>
  <c r="AE28" i="12982"/>
  <c r="AM29" i="12982"/>
  <c r="AE42" i="12982"/>
  <c r="AE30" i="12982"/>
  <c r="X31" i="12982"/>
  <c r="C8" i="12982" s="1"/>
  <c r="AA31" i="12982"/>
  <c r="AM31" i="12982"/>
  <c r="AE33" i="12982"/>
  <c r="AE45" i="12982"/>
  <c r="AM33" i="12982"/>
  <c r="AE46" i="12982"/>
  <c r="AE34" i="12982"/>
  <c r="AA36" i="12982"/>
  <c r="X36" i="12982"/>
  <c r="AM36" i="12982"/>
  <c r="AC25" i="12982"/>
  <c r="AC26" i="12982"/>
  <c r="AC27" i="12982"/>
  <c r="AC28" i="12982"/>
  <c r="AC29" i="12982"/>
  <c r="AC30" i="12982"/>
  <c r="AC31" i="12982"/>
  <c r="AC32" i="12982"/>
  <c r="AC33" i="12982"/>
  <c r="AC34" i="12982"/>
  <c r="AP34" i="12982"/>
  <c r="AC35" i="12982"/>
  <c r="H12" i="12982" s="1"/>
  <c r="AC36" i="12982"/>
  <c r="E343" i="12984" l="1"/>
  <c r="J6" i="12982"/>
  <c r="AM48" i="12982"/>
  <c r="AP26" i="12982"/>
  <c r="J5" i="12982"/>
  <c r="J3" i="12982"/>
  <c r="T6" i="12982"/>
  <c r="T2" i="12982"/>
  <c r="Q11" i="12982"/>
  <c r="Q17" i="12982" s="1"/>
  <c r="AM47" i="12982"/>
  <c r="AN43" i="12982"/>
  <c r="S8" i="12982" s="1"/>
  <c r="U7" i="12982"/>
  <c r="Q4" i="12982"/>
  <c r="AP32" i="12982"/>
  <c r="U9" i="12982" s="1"/>
  <c r="T8" i="12982"/>
  <c r="AN42" i="12982"/>
  <c r="S7" i="12982" s="1"/>
  <c r="T4" i="12982"/>
  <c r="D11" i="12982"/>
  <c r="R13" i="12982"/>
  <c r="K12" i="12982"/>
  <c r="K8" i="12982"/>
  <c r="D4" i="12982"/>
  <c r="G11" i="12982"/>
  <c r="J13" i="12982"/>
  <c r="J2" i="12982"/>
  <c r="Q12" i="12982"/>
  <c r="Q7" i="12982"/>
  <c r="R9" i="12982"/>
  <c r="R16" i="12982" s="1"/>
  <c r="AO36" i="12982"/>
  <c r="T13" i="12982" s="1"/>
  <c r="K10" i="12982"/>
  <c r="D2" i="12982"/>
  <c r="J11" i="12982"/>
  <c r="J17" i="12982" s="1"/>
  <c r="J7" i="12982"/>
  <c r="J19" i="12982" s="1"/>
  <c r="K7" i="12982"/>
  <c r="K5" i="12982"/>
  <c r="J9" i="12982"/>
  <c r="J16" i="12982" s="1"/>
  <c r="Q2" i="12982"/>
  <c r="R11" i="12982"/>
  <c r="R17" i="12982" s="1"/>
  <c r="T11" i="12982"/>
  <c r="C5" i="12982"/>
  <c r="AN47" i="12982"/>
  <c r="S12" i="12982" s="1"/>
  <c r="AN46" i="12982"/>
  <c r="S11" i="12982" s="1"/>
  <c r="S17" i="12982" s="1"/>
  <c r="T9" i="12982"/>
  <c r="T16" i="12982" s="1"/>
  <c r="AN38" i="12982"/>
  <c r="S3" i="12982" s="1"/>
  <c r="Y31" i="12982"/>
  <c r="D8" i="12982" s="1"/>
  <c r="Y28" i="12982"/>
  <c r="D5" i="12982" s="1"/>
  <c r="R4" i="12982"/>
  <c r="AN44" i="12982"/>
  <c r="S9" i="12982" s="1"/>
  <c r="H13" i="12982"/>
  <c r="C10" i="12982"/>
  <c r="AO35" i="12982"/>
  <c r="D9" i="12982"/>
  <c r="U11" i="12982"/>
  <c r="U17" i="12982" s="1"/>
  <c r="AP27" i="12982"/>
  <c r="U4" i="12982" s="1"/>
  <c r="J10" i="12982"/>
  <c r="K3" i="12982"/>
  <c r="K2" i="12982"/>
  <c r="R7" i="12982"/>
  <c r="AP31" i="12982"/>
  <c r="U8" i="12982" s="1"/>
  <c r="J4" i="12982"/>
  <c r="AP25" i="12982"/>
  <c r="U2" i="12982" s="1"/>
  <c r="R2" i="12982"/>
  <c r="K11" i="12982"/>
  <c r="K9" i="12982"/>
  <c r="K16" i="12982" s="1"/>
  <c r="K6" i="12982"/>
  <c r="K4" i="12982"/>
  <c r="R12" i="12982"/>
  <c r="C7" i="12982"/>
  <c r="C3" i="12982"/>
  <c r="AL48" i="12982"/>
  <c r="AN48" i="12982" s="1"/>
  <c r="S13" i="12982" s="1"/>
  <c r="T10" i="12982"/>
  <c r="AN39" i="12982"/>
  <c r="S4" i="12982" s="1"/>
  <c r="H11" i="12982"/>
  <c r="R5" i="12982"/>
  <c r="C6" i="12982"/>
  <c r="AP28" i="12982"/>
  <c r="U5" i="12982" s="1"/>
  <c r="U3" i="12982"/>
  <c r="Z36" i="12982"/>
  <c r="C13" i="12982"/>
  <c r="AP33" i="12982"/>
  <c r="U10" i="12982" s="1"/>
  <c r="R10" i="12982"/>
  <c r="AP29" i="12982"/>
  <c r="U6" i="12982" s="1"/>
  <c r="R6" i="12982"/>
  <c r="K13" i="12982"/>
  <c r="C12" i="12982"/>
  <c r="J8" i="12982"/>
  <c r="C4" i="12982"/>
  <c r="Q8" i="12982"/>
  <c r="Q15" i="12982" s="1"/>
  <c r="J12" i="12982"/>
  <c r="C11" i="12982"/>
  <c r="C17" i="12982" s="1"/>
  <c r="Z32" i="12982"/>
  <c r="C9" i="12982"/>
  <c r="C2" i="12982"/>
  <c r="T7" i="12982"/>
  <c r="T3" i="12982"/>
  <c r="Y33" i="12982"/>
  <c r="D10" i="12982" s="1"/>
  <c r="Y30" i="12982"/>
  <c r="D7" i="12982" s="1"/>
  <c r="R8" i="12982"/>
  <c r="Y29" i="12982"/>
  <c r="D6" i="12982" s="1"/>
  <c r="Y26" i="12982"/>
  <c r="D3" i="12982" s="1"/>
  <c r="AN41" i="12982"/>
  <c r="S6" i="12982" s="1"/>
  <c r="AN45" i="12982"/>
  <c r="S10" i="12982" s="1"/>
  <c r="AN40" i="12982"/>
  <c r="S5" i="12982" s="1"/>
  <c r="E326" i="12984"/>
  <c r="H188" i="12984"/>
  <c r="P229" i="12984"/>
  <c r="H229" i="12984"/>
  <c r="H120" i="12984"/>
  <c r="I120" i="12984" s="1"/>
  <c r="I103" i="12984"/>
  <c r="R103" i="12984"/>
  <c r="S103" i="12984" s="1"/>
  <c r="H59" i="12984"/>
  <c r="R13" i="12984"/>
  <c r="F63" i="12984"/>
  <c r="H17" i="12984"/>
  <c r="P17" i="12984"/>
  <c r="F285" i="12984"/>
  <c r="H282" i="12984"/>
  <c r="F253" i="12984"/>
  <c r="P226" i="12984"/>
  <c r="H226" i="12984"/>
  <c r="R219" i="12984"/>
  <c r="H147" i="12984"/>
  <c r="F82" i="12984"/>
  <c r="H36" i="12984"/>
  <c r="P36" i="12984"/>
  <c r="H168" i="12984"/>
  <c r="H128" i="12984"/>
  <c r="I128" i="12984" s="1"/>
  <c r="I111" i="12984"/>
  <c r="R111" i="12984"/>
  <c r="S111" i="12984" s="1"/>
  <c r="F77" i="12984"/>
  <c r="H31" i="12984"/>
  <c r="P31" i="12984"/>
  <c r="F80" i="12984"/>
  <c r="H34" i="12984"/>
  <c r="P34" i="12984"/>
  <c r="H88" i="12984"/>
  <c r="R42" i="12984"/>
  <c r="H124" i="12984"/>
  <c r="I124" i="12984" s="1"/>
  <c r="I107" i="12984"/>
  <c r="R107" i="12984"/>
  <c r="S107" i="12984" s="1"/>
  <c r="H194" i="12984"/>
  <c r="F197" i="12984"/>
  <c r="H182" i="12984"/>
  <c r="R267" i="12984"/>
  <c r="R260" i="12984"/>
  <c r="P287" i="12984"/>
  <c r="H243" i="12984"/>
  <c r="P243" i="12984"/>
  <c r="R273" i="12984"/>
  <c r="H187" i="12984"/>
  <c r="P263" i="12984"/>
  <c r="H66" i="12984"/>
  <c r="R20" i="12984"/>
  <c r="P228" i="12984"/>
  <c r="H228" i="12984"/>
  <c r="F211" i="12984"/>
  <c r="H208" i="12984"/>
  <c r="F290" i="12984"/>
  <c r="H263" i="12984"/>
  <c r="H89" i="12984"/>
  <c r="R43" i="12984"/>
  <c r="H165" i="12984"/>
  <c r="H171" i="12984"/>
  <c r="H162" i="12984"/>
  <c r="F252" i="12984"/>
  <c r="P225" i="12984"/>
  <c r="H225" i="12984"/>
  <c r="H185" i="12984"/>
  <c r="H181" i="12984"/>
  <c r="R261" i="12984"/>
  <c r="P288" i="12984"/>
  <c r="F81" i="12984"/>
  <c r="H35" i="12984"/>
  <c r="P35" i="12984"/>
  <c r="F84" i="12984"/>
  <c r="P38" i="12984"/>
  <c r="H38" i="12984"/>
  <c r="H108" i="12984"/>
  <c r="G108" i="12984"/>
  <c r="P108" i="12984"/>
  <c r="Q108" i="12984" s="1"/>
  <c r="F125" i="12984"/>
  <c r="G125" i="12984" s="1"/>
  <c r="F109" i="12984"/>
  <c r="F291" i="12984"/>
  <c r="H264" i="12984"/>
  <c r="F72" i="12984"/>
  <c r="H26" i="12984"/>
  <c r="P26" i="12984"/>
  <c r="R235" i="12984"/>
  <c r="R240" i="12984"/>
  <c r="H281" i="12984"/>
  <c r="F284" i="12984"/>
  <c r="H94" i="12984"/>
  <c r="R48" i="12984"/>
  <c r="P246" i="12984"/>
  <c r="H246" i="12984"/>
  <c r="H70" i="12984"/>
  <c r="R24" i="12984"/>
  <c r="F62" i="12984"/>
  <c r="H16" i="12984"/>
  <c r="P16" i="12984"/>
  <c r="R266" i="12984"/>
  <c r="R272" i="12984"/>
  <c r="R23" i="12984"/>
  <c r="H69" i="12984"/>
  <c r="H144" i="12984"/>
  <c r="H68" i="12984"/>
  <c r="R22" i="12984"/>
  <c r="P222" i="12984"/>
  <c r="F249" i="12984"/>
  <c r="H222" i="12984"/>
  <c r="P112" i="12984"/>
  <c r="Q112" i="12984" s="1"/>
  <c r="G334" i="12984" s="1"/>
  <c r="H112" i="12984"/>
  <c r="G112" i="12984"/>
  <c r="G325" i="12984" s="1"/>
  <c r="F129" i="12984"/>
  <c r="G129" i="12984" s="1"/>
  <c r="G342" i="12984" s="1"/>
  <c r="R247" i="12984"/>
  <c r="P285" i="12984"/>
  <c r="R282" i="12984"/>
  <c r="H193" i="12984"/>
  <c r="F196" i="12984"/>
  <c r="H60" i="12984"/>
  <c r="R14" i="12984"/>
  <c r="H206" i="12984"/>
  <c r="F209" i="12984"/>
  <c r="H95" i="12984"/>
  <c r="R49" i="12984"/>
  <c r="F78" i="12984"/>
  <c r="H32" i="12984"/>
  <c r="P32" i="12984"/>
  <c r="F86" i="12984"/>
  <c r="P40" i="12984"/>
  <c r="H40" i="12984"/>
  <c r="R270" i="12984"/>
  <c r="H293" i="12984"/>
  <c r="F73" i="12984"/>
  <c r="H27" i="12984"/>
  <c r="P27" i="12984"/>
  <c r="R113" i="12984"/>
  <c r="S113" i="12984" s="1"/>
  <c r="H130" i="12984"/>
  <c r="I130" i="12984" s="1"/>
  <c r="I113" i="12984"/>
  <c r="F74" i="12984"/>
  <c r="P28" i="12984"/>
  <c r="H28" i="12984"/>
  <c r="H294" i="12984"/>
  <c r="P39" i="12984"/>
  <c r="F85" i="12984"/>
  <c r="H39" i="12984"/>
  <c r="F161" i="12984"/>
  <c r="H158" i="12984"/>
  <c r="F76" i="12984"/>
  <c r="H30" i="12984"/>
  <c r="P30" i="12984"/>
  <c r="E335" i="12984"/>
  <c r="P264" i="12984"/>
  <c r="F241" i="12984"/>
  <c r="H238" i="12984"/>
  <c r="P238" i="12984"/>
  <c r="R281" i="12984"/>
  <c r="P284" i="12984"/>
  <c r="R250" i="12984"/>
  <c r="H65" i="12984"/>
  <c r="R19" i="12984"/>
  <c r="H141" i="12984"/>
  <c r="R45" i="12984"/>
  <c r="H91" i="12984"/>
  <c r="AN37" i="12982"/>
  <c r="S2" i="12982" s="1"/>
  <c r="Z31" i="12982"/>
  <c r="Z42" i="12982"/>
  <c r="AA42" i="12982"/>
  <c r="F7" i="12982" s="1"/>
  <c r="Z40" i="12982"/>
  <c r="AA40" i="12982"/>
  <c r="AA39" i="12982"/>
  <c r="Z37" i="12982"/>
  <c r="AA37" i="12982"/>
  <c r="AA48" i="12982"/>
  <c r="AD48" i="12982" s="1"/>
  <c r="Z46" i="12982"/>
  <c r="AA46" i="12982"/>
  <c r="AD46" i="12982" s="1"/>
  <c r="Z44" i="12982"/>
  <c r="AA44" i="12982"/>
  <c r="Z25" i="12982"/>
  <c r="AA47" i="12982"/>
  <c r="AD47" i="12982" s="1"/>
  <c r="Z47" i="12982"/>
  <c r="AA45" i="12982"/>
  <c r="Z45" i="12982"/>
  <c r="D15" i="12982"/>
  <c r="AA43" i="12982"/>
  <c r="AA41" i="12982"/>
  <c r="F6" i="12982" s="1"/>
  <c r="AA38" i="12982"/>
  <c r="F3" i="12982" s="1"/>
  <c r="Z38" i="12982"/>
  <c r="Z35" i="12982"/>
  <c r="E12" i="12982" s="1"/>
  <c r="Z27" i="12982"/>
  <c r="Z34" i="12982"/>
  <c r="A186" i="12749"/>
  <c r="C186" i="12749"/>
  <c r="A187" i="12749"/>
  <c r="C187" i="12749"/>
  <c r="A188" i="12749"/>
  <c r="C188" i="12749"/>
  <c r="A189" i="12749"/>
  <c r="C189" i="12749"/>
  <c r="A190" i="12749"/>
  <c r="C190" i="12749"/>
  <c r="A191" i="12749"/>
  <c r="C191" i="12749"/>
  <c r="A192" i="12749"/>
  <c r="C192" i="12749"/>
  <c r="A193" i="12749"/>
  <c r="C193" i="12749"/>
  <c r="A194" i="12749"/>
  <c r="C194" i="12749"/>
  <c r="A195" i="12749"/>
  <c r="A196" i="12749"/>
  <c r="C196" i="12749"/>
  <c r="T17" i="12982"/>
  <c r="P17" i="12982"/>
  <c r="O17" i="12982"/>
  <c r="N17" i="12982"/>
  <c r="M17" i="12982"/>
  <c r="L17" i="12982"/>
  <c r="K17" i="12982"/>
  <c r="D17" i="12982"/>
  <c r="B17" i="12982"/>
  <c r="P18" i="12982"/>
  <c r="O18" i="12982"/>
  <c r="N18" i="12982"/>
  <c r="U16" i="12982"/>
  <c r="S16" i="12982"/>
  <c r="Q16" i="12982"/>
  <c r="P16" i="12982"/>
  <c r="O16" i="12982"/>
  <c r="N16" i="12982"/>
  <c r="M16" i="12982"/>
  <c r="L16" i="12982"/>
  <c r="B16" i="12982"/>
  <c r="S15" i="12982"/>
  <c r="P15" i="12982"/>
  <c r="O15" i="12982"/>
  <c r="N15" i="12982"/>
  <c r="M15" i="12982"/>
  <c r="L15" i="12982"/>
  <c r="B15" i="12982"/>
  <c r="T19" i="12982"/>
  <c r="P19" i="12982"/>
  <c r="O19" i="12982"/>
  <c r="N19" i="12982"/>
  <c r="AP36" i="12982" l="1"/>
  <c r="U13" i="12982" s="1"/>
  <c r="K15" i="12982"/>
  <c r="S19" i="12982"/>
  <c r="J15" i="12982"/>
  <c r="K18" i="12982"/>
  <c r="S18" i="12982"/>
  <c r="R15" i="12982"/>
  <c r="J18" i="12982"/>
  <c r="Z28" i="12982"/>
  <c r="E5" i="12982" s="1"/>
  <c r="T18" i="12982"/>
  <c r="F11" i="12982"/>
  <c r="K19" i="12982"/>
  <c r="Z26" i="12982"/>
  <c r="E2" i="12982"/>
  <c r="E9" i="12982"/>
  <c r="E16" i="12982" s="1"/>
  <c r="Z29" i="12982"/>
  <c r="AC45" i="12982"/>
  <c r="H10" i="12982" s="1"/>
  <c r="AB45" i="12982"/>
  <c r="G10" i="12982" s="1"/>
  <c r="AC43" i="12982"/>
  <c r="H8" i="12982" s="1"/>
  <c r="AB43" i="12982"/>
  <c r="G8" i="12982" s="1"/>
  <c r="Z30" i="12982"/>
  <c r="E7" i="12982" s="1"/>
  <c r="AB40" i="12982"/>
  <c r="G5" i="12982" s="1"/>
  <c r="AC40" i="12982"/>
  <c r="H5" i="12982" s="1"/>
  <c r="F8" i="12982"/>
  <c r="F12" i="12982"/>
  <c r="Q13" i="12982"/>
  <c r="Z33" i="12982"/>
  <c r="E10" i="12982" s="1"/>
  <c r="F13" i="12982"/>
  <c r="F10" i="12982"/>
  <c r="AC41" i="12982"/>
  <c r="H6" i="12982" s="1"/>
  <c r="AB41" i="12982"/>
  <c r="G6" i="12982" s="1"/>
  <c r="AB44" i="12982"/>
  <c r="G9" i="12982" s="1"/>
  <c r="G16" i="12982" s="1"/>
  <c r="AC44" i="12982"/>
  <c r="H9" i="12982" s="1"/>
  <c r="AC39" i="12982"/>
  <c r="H4" i="12982" s="1"/>
  <c r="AB39" i="12982"/>
  <c r="G4" i="12982" s="1"/>
  <c r="AB37" i="12982"/>
  <c r="G2" i="12982" s="1"/>
  <c r="AC37" i="12982"/>
  <c r="H2" i="12982" s="1"/>
  <c r="F9" i="12982"/>
  <c r="T12" i="12982"/>
  <c r="T15" i="12982" s="1"/>
  <c r="AP35" i="12982"/>
  <c r="U12" i="12982" s="1"/>
  <c r="U15" i="12982" s="1"/>
  <c r="F4" i="12982"/>
  <c r="AB38" i="12982"/>
  <c r="G3" i="12982" s="1"/>
  <c r="AC38" i="12982"/>
  <c r="H3" i="12982" s="1"/>
  <c r="C18" i="12982"/>
  <c r="AB42" i="12982"/>
  <c r="G7" i="12982" s="1"/>
  <c r="AC42" i="12982"/>
  <c r="H7" i="12982" s="1"/>
  <c r="H19" i="12982" s="1"/>
  <c r="F2" i="12982"/>
  <c r="F5" i="12982"/>
  <c r="F212" i="12984"/>
  <c r="H209" i="12984"/>
  <c r="H63" i="12984"/>
  <c r="R17" i="12984"/>
  <c r="H73" i="12984"/>
  <c r="R27" i="12984"/>
  <c r="H78" i="12984"/>
  <c r="R32" i="12984"/>
  <c r="F199" i="12984"/>
  <c r="H196" i="12984"/>
  <c r="I112" i="12984"/>
  <c r="I325" i="12984" s="1"/>
  <c r="H129" i="12984"/>
  <c r="I129" i="12984" s="1"/>
  <c r="I342" i="12984" s="1"/>
  <c r="R112" i="12984"/>
  <c r="S112" i="12984" s="1"/>
  <c r="I334" i="12984" s="1"/>
  <c r="H72" i="12984"/>
  <c r="R26" i="12984"/>
  <c r="F126" i="12984"/>
  <c r="G126" i="12984" s="1"/>
  <c r="F110" i="12984"/>
  <c r="H109" i="12984"/>
  <c r="G109" i="12984"/>
  <c r="P109" i="12984"/>
  <c r="Q109" i="12984" s="1"/>
  <c r="R108" i="12984"/>
  <c r="S108" i="12984" s="1"/>
  <c r="H125" i="12984"/>
  <c r="I125" i="12984" s="1"/>
  <c r="I108" i="12984"/>
  <c r="P252" i="12984"/>
  <c r="H252" i="12984"/>
  <c r="R263" i="12984"/>
  <c r="R243" i="12984"/>
  <c r="H80" i="12984"/>
  <c r="R34" i="12984"/>
  <c r="H82" i="12984"/>
  <c r="R36" i="12984"/>
  <c r="H285" i="12984"/>
  <c r="H290" i="12984"/>
  <c r="R226" i="12984"/>
  <c r="R285" i="12984"/>
  <c r="H284" i="12984"/>
  <c r="H291" i="12984"/>
  <c r="H84" i="12984"/>
  <c r="R38" i="12984"/>
  <c r="P291" i="12984"/>
  <c r="R288" i="12984"/>
  <c r="H211" i="12984"/>
  <c r="P290" i="12984"/>
  <c r="R287" i="12984"/>
  <c r="H77" i="12984"/>
  <c r="R31" i="12984"/>
  <c r="P253" i="12984"/>
  <c r="H253" i="12984"/>
  <c r="P241" i="12984"/>
  <c r="H241" i="12984"/>
  <c r="F244" i="12984"/>
  <c r="H85" i="12984"/>
  <c r="R39" i="12984"/>
  <c r="H249" i="12984"/>
  <c r="P249" i="12984"/>
  <c r="R284" i="12984"/>
  <c r="R238" i="12984"/>
  <c r="R264" i="12984"/>
  <c r="R30" i="12984"/>
  <c r="H76" i="12984"/>
  <c r="H161" i="12984"/>
  <c r="H74" i="12984"/>
  <c r="R28" i="12984"/>
  <c r="H86" i="12984"/>
  <c r="R40" i="12984"/>
  <c r="R222" i="12984"/>
  <c r="H62" i="12984"/>
  <c r="R16" i="12984"/>
  <c r="R246" i="12984"/>
  <c r="H81" i="12984"/>
  <c r="R35" i="12984"/>
  <c r="R225" i="12984"/>
  <c r="R228" i="12984"/>
  <c r="F200" i="12984"/>
  <c r="H197" i="12984"/>
  <c r="R229" i="12984"/>
  <c r="E3" i="12982"/>
  <c r="E11" i="12982"/>
  <c r="E17" i="12982" s="1"/>
  <c r="Z48" i="12982"/>
  <c r="E13" i="12982" s="1"/>
  <c r="Z41" i="12982"/>
  <c r="Z43" i="12982"/>
  <c r="E8" i="12982" s="1"/>
  <c r="H17" i="12982"/>
  <c r="H15" i="12982"/>
  <c r="Z39" i="12982"/>
  <c r="E4" i="12982" s="1"/>
  <c r="P20" i="12982"/>
  <c r="P21" i="12982" s="1"/>
  <c r="K20" i="12982"/>
  <c r="O20" i="12982"/>
  <c r="O21" i="12982" s="1"/>
  <c r="L18" i="12982"/>
  <c r="Q18" i="12982"/>
  <c r="U18" i="12982"/>
  <c r="D18" i="12982"/>
  <c r="M20" i="12982"/>
  <c r="M19" i="12982"/>
  <c r="R19" i="12982"/>
  <c r="R18" i="12982"/>
  <c r="M18" i="12982"/>
  <c r="B18" i="12982"/>
  <c r="L20" i="12982"/>
  <c r="U20" i="12982"/>
  <c r="B19" i="12982"/>
  <c r="Q20" i="12982"/>
  <c r="R20" i="12982"/>
  <c r="B20" i="12982"/>
  <c r="J20" i="12982"/>
  <c r="N20" i="12982"/>
  <c r="N21" i="12982" s="1"/>
  <c r="S20" i="12982"/>
  <c r="D19" i="12982"/>
  <c r="L19" i="12982"/>
  <c r="Q19" i="12982"/>
  <c r="U19" i="12982"/>
  <c r="T20" i="12982"/>
  <c r="U2" i="12756"/>
  <c r="E18" i="12982" l="1"/>
  <c r="AD44" i="12982"/>
  <c r="T21" i="12982"/>
  <c r="S21" i="12982"/>
  <c r="AD43" i="12982"/>
  <c r="K21" i="12982"/>
  <c r="AD37" i="12982"/>
  <c r="AD39" i="12982"/>
  <c r="I4" i="12982" s="1"/>
  <c r="E20" i="12982"/>
  <c r="AD42" i="12982"/>
  <c r="AD38" i="12982"/>
  <c r="J21" i="12982"/>
  <c r="AD41" i="12982"/>
  <c r="AD40" i="12982"/>
  <c r="AD45" i="12982"/>
  <c r="I10" i="12982" s="1"/>
  <c r="R252" i="12984"/>
  <c r="R249" i="12984"/>
  <c r="H244" i="12984"/>
  <c r="P244" i="12984"/>
  <c r="R253" i="12984"/>
  <c r="P294" i="12984"/>
  <c r="R291" i="12984"/>
  <c r="P110" i="12984"/>
  <c r="Q110" i="12984" s="1"/>
  <c r="G333" i="12984" s="1"/>
  <c r="F127" i="12984"/>
  <c r="G127" i="12984" s="1"/>
  <c r="H110" i="12984"/>
  <c r="G110" i="12984"/>
  <c r="G324" i="12984" s="1"/>
  <c r="F203" i="12984"/>
  <c r="H200" i="12984"/>
  <c r="R290" i="12984"/>
  <c r="P293" i="12984"/>
  <c r="I109" i="12984"/>
  <c r="R109" i="12984"/>
  <c r="S109" i="12984" s="1"/>
  <c r="H126" i="12984"/>
  <c r="I126" i="12984" s="1"/>
  <c r="H199" i="12984"/>
  <c r="F202" i="12984"/>
  <c r="H212" i="12984"/>
  <c r="R241" i="12984"/>
  <c r="C19" i="12982"/>
  <c r="E6" i="12982"/>
  <c r="E19" i="12982" s="1"/>
  <c r="I6" i="12982"/>
  <c r="C20" i="12982"/>
  <c r="I13" i="12982"/>
  <c r="H18" i="12982"/>
  <c r="I3" i="12982"/>
  <c r="I7" i="12982"/>
  <c r="G19" i="12982"/>
  <c r="C16" i="12982"/>
  <c r="D16" i="12982"/>
  <c r="I5" i="12982"/>
  <c r="H20" i="12982"/>
  <c r="I12" i="12982"/>
  <c r="D20" i="12982"/>
  <c r="I9" i="12982"/>
  <c r="H16" i="12982"/>
  <c r="G18" i="12982"/>
  <c r="I2" i="12982"/>
  <c r="C15" i="12982"/>
  <c r="E15" i="12982"/>
  <c r="M21" i="12982"/>
  <c r="Q21" i="12982"/>
  <c r="R21" i="12982"/>
  <c r="U21" i="12982"/>
  <c r="L21" i="12982"/>
  <c r="B21" i="12982"/>
  <c r="H21" i="12982" l="1"/>
  <c r="D21" i="12982"/>
  <c r="G341" i="12984"/>
  <c r="G343" i="12984" s="1"/>
  <c r="G131" i="12984"/>
  <c r="R294" i="12984"/>
  <c r="R293" i="12984"/>
  <c r="G335" i="12984"/>
  <c r="G114" i="12984"/>
  <c r="H202" i="12984"/>
  <c r="H127" i="12984"/>
  <c r="I127" i="12984" s="1"/>
  <c r="I110" i="12984"/>
  <c r="I114" i="12984" s="1"/>
  <c r="R110" i="12984"/>
  <c r="S110" i="12984" s="1"/>
  <c r="I333" i="12984" s="1"/>
  <c r="R244" i="12984"/>
  <c r="H203" i="12984"/>
  <c r="G326" i="12984"/>
  <c r="Q114" i="12984"/>
  <c r="I8" i="12982"/>
  <c r="I15" i="12982" s="1"/>
  <c r="I11" i="12982"/>
  <c r="I17" i="12982" s="1"/>
  <c r="E21" i="12982"/>
  <c r="G20" i="12982"/>
  <c r="C21" i="12982"/>
  <c r="F15" i="12982"/>
  <c r="G15" i="12982"/>
  <c r="I20" i="12982"/>
  <c r="F16" i="12982"/>
  <c r="I16" i="12982"/>
  <c r="F17" i="12982"/>
  <c r="G17" i="12982"/>
  <c r="F18" i="12982"/>
  <c r="I18" i="12982"/>
  <c r="F19" i="12982"/>
  <c r="I19" i="12982"/>
  <c r="I335" i="12984" l="1"/>
  <c r="I341" i="12984"/>
  <c r="I343" i="12984" s="1"/>
  <c r="I131" i="12984"/>
  <c r="S114" i="12984"/>
  <c r="I324" i="12984"/>
  <c r="I21" i="12982"/>
  <c r="F20" i="12982"/>
  <c r="F21" i="12982" s="1"/>
  <c r="G21" i="12982"/>
  <c r="D2636" i="12908"/>
  <c r="G52" i="13005" l="1"/>
  <c r="G37" i="13017" s="1"/>
  <c r="AA2636" i="13034"/>
  <c r="G52" i="13016"/>
  <c r="G52" i="12989"/>
  <c r="G37" i="13007"/>
  <c r="G101" i="12711"/>
  <c r="G203" i="12711" s="1"/>
  <c r="I326" i="12984"/>
  <c r="O54" i="12910"/>
  <c r="K54" i="12910"/>
  <c r="G54" i="12910"/>
  <c r="D201" i="12709"/>
  <c r="G37" i="13014" l="1"/>
  <c r="G65" i="12711"/>
  <c r="G64" i="12711"/>
  <c r="I53" i="12910" l="1"/>
  <c r="G199" i="12711"/>
  <c r="I54" i="12910"/>
  <c r="G200" i="12711"/>
  <c r="D200" i="12709"/>
  <c r="F64" i="12711"/>
  <c r="Q65" i="12711"/>
  <c r="P65" i="12711"/>
  <c r="P64" i="12711"/>
  <c r="P199" i="12711" s="1"/>
  <c r="L65" i="12709"/>
  <c r="L201" i="12709" s="1"/>
  <c r="R65" i="12709"/>
  <c r="G53" i="12910" l="1"/>
  <c r="F199" i="12711"/>
  <c r="I40" i="12852"/>
  <c r="K40" i="12852" s="1"/>
  <c r="L40" i="12852" s="1"/>
  <c r="E65" i="12711"/>
  <c r="R64" i="12709"/>
  <c r="I2582" i="12908" l="1"/>
  <c r="AF2582" i="13034" s="1"/>
  <c r="I2581" i="12908"/>
  <c r="AF2581" i="13034" s="1"/>
  <c r="I2579" i="12908"/>
  <c r="AF2579" i="13034" s="1"/>
  <c r="I2578" i="12908"/>
  <c r="AF2578" i="13034" s="1"/>
  <c r="I2576" i="12908"/>
  <c r="AF2576" i="13034" s="1"/>
  <c r="I2575" i="12908"/>
  <c r="AF2575" i="13034" s="1"/>
  <c r="I2573" i="12908"/>
  <c r="AF2573" i="13034" s="1"/>
  <c r="I2572" i="12908"/>
  <c r="AF2572" i="13034" s="1"/>
  <c r="I2553" i="12908"/>
  <c r="AF2553" i="13034" s="1"/>
  <c r="I2552" i="12908"/>
  <c r="AF2552" i="13034" s="1"/>
  <c r="I2551" i="12908"/>
  <c r="AF2551" i="13034" s="1"/>
  <c r="I2550" i="12908"/>
  <c r="AF2550" i="13034" s="1"/>
  <c r="I2545" i="12908"/>
  <c r="AF2545" i="13034" s="1"/>
  <c r="I2544" i="12908"/>
  <c r="AF2544" i="13034" s="1"/>
  <c r="I2543" i="12908"/>
  <c r="AF2543" i="13034" l="1"/>
  <c r="I49" i="13005"/>
  <c r="Q49" i="13005"/>
  <c r="N65" i="12709"/>
  <c r="N201" i="12709" s="1"/>
  <c r="Q54" i="12910"/>
  <c r="M54" i="12910"/>
  <c r="O65" i="12711"/>
  <c r="O200" i="12711" s="1"/>
  <c r="H2601" i="12908"/>
  <c r="AE2601" i="13034" s="1"/>
  <c r="H2600" i="12908"/>
  <c r="AE2600" i="13034" s="1"/>
  <c r="H2598" i="12908"/>
  <c r="AE2598" i="13034" s="1"/>
  <c r="H2597" i="12908"/>
  <c r="AE2597" i="13034" s="1"/>
  <c r="H2590" i="12908"/>
  <c r="AE2590" i="13034" s="1"/>
  <c r="M49" i="13016" l="1"/>
  <c r="W49" i="13005"/>
  <c r="Y49" i="13005" s="1"/>
  <c r="AC49" i="12989"/>
  <c r="Q34" i="13007"/>
  <c r="W34" i="13007" s="1"/>
  <c r="Y34" i="13007" s="1"/>
  <c r="AE49" i="12989"/>
  <c r="I34" i="13007"/>
  <c r="I34" i="13017"/>
  <c r="I34" i="13014"/>
  <c r="M65" i="12709"/>
  <c r="M201" i="12709" s="1"/>
  <c r="U49" i="13005"/>
  <c r="AA49" i="13005" s="1"/>
  <c r="AC49" i="13005" s="1"/>
  <c r="N65" i="12711"/>
  <c r="N200" i="12711" s="1"/>
  <c r="H2599" i="12908"/>
  <c r="AE2599" i="13034" s="1"/>
  <c r="M34" i="13017" l="1"/>
  <c r="Q49" i="13016"/>
  <c r="W49" i="13016" s="1"/>
  <c r="Y49" i="13016" s="1"/>
  <c r="S49" i="13016"/>
  <c r="U49" i="13016" s="1"/>
  <c r="U34" i="13007"/>
  <c r="AA34" i="13007" s="1"/>
  <c r="AC34" i="13007" s="1"/>
  <c r="S34" i="13014"/>
  <c r="U34" i="13014" s="1"/>
  <c r="Q34" i="13014"/>
  <c r="W34" i="13014" s="1"/>
  <c r="Y34" i="13014" s="1"/>
  <c r="Q34" i="13017"/>
  <c r="W34" i="13017" s="1"/>
  <c r="Y34" i="13017" s="1"/>
  <c r="S34" i="13017"/>
  <c r="U34" i="13017" s="1"/>
  <c r="S65" i="12711"/>
  <c r="S200" i="12711" s="1"/>
  <c r="H2602" i="12908"/>
  <c r="M95" i="12910"/>
  <c r="M86" i="12910"/>
  <c r="M79" i="12910"/>
  <c r="M56" i="12910"/>
  <c r="M30" i="12910"/>
  <c r="K95" i="12910"/>
  <c r="K86" i="12910"/>
  <c r="K79" i="12910"/>
  <c r="K56" i="12910"/>
  <c r="K30" i="12910"/>
  <c r="H2604" i="12908" l="1"/>
  <c r="AE2604" i="13034" s="1"/>
  <c r="AE2602" i="13034"/>
  <c r="V6" i="12981"/>
  <c r="K64" i="12709"/>
  <c r="K200" i="12709" s="1"/>
  <c r="D5" i="12856"/>
  <c r="S154" i="12711"/>
  <c r="S151" i="12711"/>
  <c r="S150" i="12711"/>
  <c r="S149" i="12711"/>
  <c r="S148" i="12711"/>
  <c r="S147" i="12711"/>
  <c r="S146" i="12711"/>
  <c r="S145" i="12711"/>
  <c r="S132" i="12711"/>
  <c r="S131" i="12711"/>
  <c r="S128" i="12711"/>
  <c r="S127" i="12711"/>
  <c r="S126" i="12711"/>
  <c r="S125" i="12711"/>
  <c r="S124" i="12711"/>
  <c r="S123" i="12711"/>
  <c r="S122" i="12711"/>
  <c r="S114" i="12711"/>
  <c r="S113" i="12711"/>
  <c r="S110" i="12711"/>
  <c r="S109" i="12711"/>
  <c r="S108" i="12711"/>
  <c r="S107" i="12711"/>
  <c r="S106" i="12711"/>
  <c r="S105" i="12711"/>
  <c r="S104" i="12711"/>
  <c r="S79" i="12711"/>
  <c r="S78" i="12711"/>
  <c r="S75" i="12711"/>
  <c r="S74" i="12711"/>
  <c r="S73" i="12711"/>
  <c r="S72" i="12711"/>
  <c r="S71" i="12711"/>
  <c r="S70" i="12711"/>
  <c r="S69" i="12711"/>
  <c r="S41" i="12711"/>
  <c r="S40" i="12711"/>
  <c r="S37" i="12711"/>
  <c r="S36" i="12711"/>
  <c r="S35" i="12711"/>
  <c r="S34" i="12711"/>
  <c r="S33" i="12711"/>
  <c r="S32" i="12711"/>
  <c r="S31" i="12711"/>
  <c r="M24" i="12709"/>
  <c r="N152" i="12709"/>
  <c r="M152" i="12709"/>
  <c r="N129" i="12709"/>
  <c r="M129" i="12709"/>
  <c r="N111" i="12709"/>
  <c r="M111" i="12709"/>
  <c r="N76" i="12709"/>
  <c r="M76" i="12709"/>
  <c r="N38" i="12709"/>
  <c r="M38" i="12709"/>
  <c r="N152" i="12711"/>
  <c r="N129" i="12711"/>
  <c r="N111" i="12711"/>
  <c r="N76" i="12711"/>
  <c r="N38" i="12711"/>
  <c r="N24" i="12711"/>
  <c r="O152" i="12711"/>
  <c r="O129" i="12711"/>
  <c r="O111" i="12711"/>
  <c r="O76" i="12711"/>
  <c r="O38" i="12711"/>
  <c r="G152" i="12711"/>
  <c r="G129" i="12711"/>
  <c r="G38" i="12711"/>
  <c r="E12" i="12910"/>
  <c r="G12" i="12910" s="1"/>
  <c r="S24" i="12711" l="1"/>
  <c r="S38" i="12711"/>
  <c r="S152" i="12711"/>
  <c r="S76" i="12711"/>
  <c r="S111" i="12711"/>
  <c r="S129" i="12711"/>
  <c r="I12" i="12910"/>
  <c r="K12" i="12910" l="1"/>
  <c r="M12" i="12910" l="1"/>
  <c r="O12" i="12910" l="1"/>
  <c r="Q12" i="12910" s="1"/>
  <c r="S12" i="12910" l="1"/>
  <c r="U12" i="12910" l="1"/>
  <c r="W12" i="12910" s="1"/>
  <c r="Y12" i="12910" s="1"/>
  <c r="AA12" i="12910" s="1"/>
  <c r="Y2178" i="12908" l="1"/>
  <c r="AV2178" i="13034" s="1"/>
  <c r="Y2089" i="12908"/>
  <c r="AV2089" i="13034" s="1"/>
  <c r="Y1492" i="12908"/>
  <c r="AV1492" i="13034" s="1"/>
  <c r="Y1391" i="12908"/>
  <c r="AV1391" i="13034" s="1"/>
  <c r="Y901" i="12908"/>
  <c r="AV901" i="13034" s="1"/>
  <c r="Y769" i="12908"/>
  <c r="AV769" i="13034" s="1"/>
  <c r="A6" i="12910" l="1"/>
  <c r="A4" i="12908"/>
  <c r="A3" i="12908"/>
  <c r="C1978" i="12908"/>
  <c r="Z1978" i="13034" s="1"/>
  <c r="I2519" i="12908" l="1"/>
  <c r="AF2519" i="13034" s="1"/>
  <c r="I2518" i="12908"/>
  <c r="AF2518" i="13034" s="1"/>
  <c r="I2517" i="12908"/>
  <c r="AF2517" i="13034" s="1"/>
  <c r="I2516" i="12908"/>
  <c r="AF2516" i="13034" s="1"/>
  <c r="I2515" i="12908"/>
  <c r="AF2515" i="13034" s="1"/>
  <c r="I2514" i="12908"/>
  <c r="AF2514" i="13034" s="1"/>
  <c r="I2507" i="12908"/>
  <c r="AF2507" i="13034" s="1"/>
  <c r="I2481" i="12908"/>
  <c r="AF2481" i="13034" s="1"/>
  <c r="I2480" i="12908"/>
  <c r="AF2480" i="13034" s="1"/>
  <c r="I2478" i="12908"/>
  <c r="AF2478" i="13034" s="1"/>
  <c r="I2477" i="12908"/>
  <c r="AF2477" i="13034" s="1"/>
  <c r="I2475" i="12908"/>
  <c r="AF2475" i="13034" s="1"/>
  <c r="I2474" i="12908"/>
  <c r="AF2474" i="13034" s="1"/>
  <c r="I2462" i="12908"/>
  <c r="AF2462" i="13034" s="1"/>
  <c r="I2461" i="12908"/>
  <c r="AF2461" i="13034" s="1"/>
  <c r="I2459" i="12908"/>
  <c r="AF2459" i="13034" s="1"/>
  <c r="I2458" i="12908"/>
  <c r="AF2458" i="13034" s="1"/>
  <c r="I2456" i="12908"/>
  <c r="AF2456" i="13034" s="1"/>
  <c r="I2455" i="12908"/>
  <c r="AF2455" i="13034" s="1"/>
  <c r="I2453" i="12908"/>
  <c r="AF2453" i="13034" s="1"/>
  <c r="I2452" i="12908"/>
  <c r="AF2452" i="13034" s="1"/>
  <c r="I2440" i="12908"/>
  <c r="AF2440" i="13034" s="1"/>
  <c r="I2439" i="12908"/>
  <c r="AF2439" i="13034" s="1"/>
  <c r="I2355" i="12908"/>
  <c r="AF2355" i="13034" s="1"/>
  <c r="I2354" i="12908"/>
  <c r="AF2354" i="13034" s="1"/>
  <c r="I2352" i="12908"/>
  <c r="AF2352" i="13034" s="1"/>
  <c r="I2351" i="12908"/>
  <c r="AF2351" i="13034" s="1"/>
  <c r="I2349" i="12908"/>
  <c r="AF2349" i="13034" s="1"/>
  <c r="I2348" i="12908"/>
  <c r="AF2348" i="13034" s="1"/>
  <c r="I2336" i="12908"/>
  <c r="AF2336" i="13034" s="1"/>
  <c r="I2335" i="12908"/>
  <c r="AF2335" i="13034" s="1"/>
  <c r="I2330" i="12908"/>
  <c r="AF2330" i="13034" s="1"/>
  <c r="I2178" i="12908"/>
  <c r="AF2178" i="13034" s="1"/>
  <c r="I2089" i="12908"/>
  <c r="AF2089" i="13034" s="1"/>
  <c r="I1994" i="12908"/>
  <c r="AF1994" i="13034" s="1"/>
  <c r="I1856" i="12908"/>
  <c r="AF1856" i="13034" s="1"/>
  <c r="I1815" i="12908"/>
  <c r="AF1815" i="13034" s="1"/>
  <c r="I1804" i="12908"/>
  <c r="AF1804" i="13034" s="1"/>
  <c r="I1554" i="12908"/>
  <c r="AF1554" i="13034" s="1"/>
  <c r="I1492" i="12908"/>
  <c r="AF1492" i="13034" s="1"/>
  <c r="I1202" i="12908"/>
  <c r="AF1202" i="13034" s="1"/>
  <c r="I1073" i="12908"/>
  <c r="AF1073" i="13034" s="1"/>
  <c r="I978" i="12908"/>
  <c r="AF978" i="13034" s="1"/>
  <c r="I901" i="12908"/>
  <c r="AF901" i="13034" s="1"/>
  <c r="I769" i="12908"/>
  <c r="AF769" i="13034" s="1"/>
  <c r="I686" i="12908"/>
  <c r="AF686" i="13034" s="1"/>
  <c r="H2519" i="12908"/>
  <c r="AE2519" i="13034" s="1"/>
  <c r="H2518" i="12908"/>
  <c r="AE2518" i="13034" s="1"/>
  <c r="H2517" i="12908"/>
  <c r="AE2517" i="13034" s="1"/>
  <c r="H2663" i="12908"/>
  <c r="AE2663" i="13034" s="1"/>
  <c r="H2653" i="12908"/>
  <c r="AE2653" i="13034" s="1"/>
  <c r="H2613" i="12908"/>
  <c r="AE2613" i="13034" s="1"/>
  <c r="H2516" i="12908"/>
  <c r="AE2516" i="13034" s="1"/>
  <c r="H2515" i="12908"/>
  <c r="AE2515" i="13034" s="1"/>
  <c r="H2514" i="12908"/>
  <c r="AE2514" i="13034" s="1"/>
  <c r="H2507" i="12908"/>
  <c r="AE2507" i="13034" s="1"/>
  <c r="H2481" i="12908"/>
  <c r="AE2481" i="13034" s="1"/>
  <c r="H2480" i="12908"/>
  <c r="AE2480" i="13034" s="1"/>
  <c r="H2478" i="12908"/>
  <c r="AE2478" i="13034" s="1"/>
  <c r="H2477" i="12908"/>
  <c r="AE2477" i="13034" s="1"/>
  <c r="H2475" i="12908"/>
  <c r="AE2475" i="13034" s="1"/>
  <c r="H2474" i="12908"/>
  <c r="AE2474" i="13034" s="1"/>
  <c r="H2462" i="12908"/>
  <c r="AE2462" i="13034" s="1"/>
  <c r="H2461" i="12908"/>
  <c r="AE2461" i="13034" s="1"/>
  <c r="H2459" i="12908"/>
  <c r="AE2459" i="13034" s="1"/>
  <c r="H2458" i="12908"/>
  <c r="AE2458" i="13034" s="1"/>
  <c r="H2456" i="12908"/>
  <c r="AE2456" i="13034" s="1"/>
  <c r="H2455" i="12908"/>
  <c r="AE2455" i="13034" s="1"/>
  <c r="H2453" i="12908"/>
  <c r="AE2453" i="13034" s="1"/>
  <c r="H2452" i="12908"/>
  <c r="AE2452" i="13034" s="1"/>
  <c r="H2440" i="12908"/>
  <c r="AE2440" i="13034" s="1"/>
  <c r="H2439" i="12908"/>
  <c r="AE2439" i="13034" s="1"/>
  <c r="H2355" i="12908"/>
  <c r="AE2355" i="13034" s="1"/>
  <c r="H2354" i="12908"/>
  <c r="AE2354" i="13034" s="1"/>
  <c r="H2352" i="12908"/>
  <c r="AE2352" i="13034" s="1"/>
  <c r="H2351" i="12908"/>
  <c r="AE2351" i="13034" s="1"/>
  <c r="H2349" i="12908"/>
  <c r="AE2349" i="13034" s="1"/>
  <c r="H2348" i="12908"/>
  <c r="AE2348" i="13034" s="1"/>
  <c r="H2336" i="12908"/>
  <c r="AE2336" i="13034" s="1"/>
  <c r="H2335" i="12908"/>
  <c r="AE2335" i="13034" s="1"/>
  <c r="H2520" i="12908" l="1"/>
  <c r="AE2520" i="13034" s="1"/>
  <c r="I2520" i="12908"/>
  <c r="AF2520" i="13034" s="1"/>
  <c r="I1391" i="12908"/>
  <c r="AF1391" i="13034" s="1"/>
  <c r="I2648" i="12908"/>
  <c r="AF2648" i="13034" s="1"/>
  <c r="D2178" i="12908"/>
  <c r="AA2178" i="13034" s="1"/>
  <c r="C2162" i="12908"/>
  <c r="Z2162" i="13034" s="1"/>
  <c r="D2089" i="12908"/>
  <c r="AA2089" i="13034" s="1"/>
  <c r="C2074" i="12908"/>
  <c r="Z2074" i="13034" s="1"/>
  <c r="D1994" i="12908"/>
  <c r="AA1994" i="13034" s="1"/>
  <c r="D1202" i="12908"/>
  <c r="AA1202" i="13034" s="1"/>
  <c r="D686" i="12908"/>
  <c r="AA686" i="13034" s="1"/>
  <c r="C673" i="12908"/>
  <c r="Z673" i="13034" s="1"/>
  <c r="D769" i="12908"/>
  <c r="AA769" i="13034" s="1"/>
  <c r="C757" i="12908"/>
  <c r="Z757" i="13034" s="1"/>
  <c r="D901" i="12908"/>
  <c r="AA901" i="13034" s="1"/>
  <c r="C890" i="12908"/>
  <c r="Z890" i="13034" s="1"/>
  <c r="D978" i="12908"/>
  <c r="AA978" i="13034" s="1"/>
  <c r="D1073" i="12908"/>
  <c r="AA1073" i="13034" s="1"/>
  <c r="D2661" i="12908" l="1"/>
  <c r="D2652" i="12908"/>
  <c r="D2626" i="12908"/>
  <c r="D2613" i="12908"/>
  <c r="D2483" i="12908"/>
  <c r="AA2483" i="13034" s="1"/>
  <c r="D2184" i="12908"/>
  <c r="AA2184" i="13034" s="1"/>
  <c r="D2207" i="12908"/>
  <c r="AA2207" i="13034" s="1"/>
  <c r="D2095" i="12908"/>
  <c r="AA2095" i="13034" s="1"/>
  <c r="D2139" i="12908"/>
  <c r="AA2139" i="13034" s="1"/>
  <c r="D2117" i="12908"/>
  <c r="AA2117" i="13034" s="1"/>
  <c r="D2049" i="12908"/>
  <c r="AA2049" i="13034" s="1"/>
  <c r="D2001" i="12908"/>
  <c r="AA2001" i="13034" s="1"/>
  <c r="D2025" i="12908"/>
  <c r="AA2025" i="13034" s="1"/>
  <c r="D1878" i="12908"/>
  <c r="AA1878" i="13034" s="1"/>
  <c r="D1870" i="12908"/>
  <c r="D1862" i="12908"/>
  <c r="AA1862" i="13034" s="1"/>
  <c r="D1846" i="12908"/>
  <c r="AA1846" i="13034" s="1"/>
  <c r="D1835" i="12908"/>
  <c r="D1824" i="12908"/>
  <c r="AA1824" i="13034" s="1"/>
  <c r="D1800" i="12908"/>
  <c r="D1774" i="12908"/>
  <c r="D1737" i="12908"/>
  <c r="D1712" i="12908"/>
  <c r="G140" i="12711" l="1"/>
  <c r="G191" i="12711" s="1"/>
  <c r="AA1774" i="13034"/>
  <c r="G139" i="12711"/>
  <c r="G190" i="12711" s="1"/>
  <c r="AA1800" i="13034"/>
  <c r="AA2613" i="13034"/>
  <c r="G50" i="13016"/>
  <c r="G50" i="12989"/>
  <c r="G57" i="13005"/>
  <c r="AA1712" i="13034"/>
  <c r="G57" i="13016"/>
  <c r="G57" i="12989"/>
  <c r="G94" i="12711"/>
  <c r="AA1870" i="13034"/>
  <c r="G51" i="13005"/>
  <c r="AA2626" i="13034"/>
  <c r="G51" i="13016"/>
  <c r="G51" i="12989"/>
  <c r="G93" i="12711"/>
  <c r="AA1835" i="13034"/>
  <c r="G66" i="12711"/>
  <c r="AA2652" i="13034"/>
  <c r="G138" i="12711"/>
  <c r="G189" i="12711" s="1"/>
  <c r="AA1737" i="13034"/>
  <c r="G28" i="12711"/>
  <c r="AA2661" i="13034"/>
  <c r="G42" i="13007"/>
  <c r="G42" i="13017"/>
  <c r="G42" i="13014"/>
  <c r="G36" i="13007"/>
  <c r="G36" i="13017"/>
  <c r="G36" i="13014"/>
  <c r="G50" i="13005"/>
  <c r="M2613" i="12908"/>
  <c r="AJ2613" i="13034" s="1"/>
  <c r="G137" i="12711"/>
  <c r="G188" i="12711" s="1"/>
  <c r="G99" i="12711"/>
  <c r="G201" i="12711" s="1"/>
  <c r="G100" i="12711"/>
  <c r="G202" i="12711" s="1"/>
  <c r="G204" i="12711"/>
  <c r="I1870" i="12908"/>
  <c r="AF1870" i="13034" s="1"/>
  <c r="I71" i="12910"/>
  <c r="I1824" i="12908"/>
  <c r="AF1824" i="13034" s="1"/>
  <c r="G58" i="12711"/>
  <c r="I1846" i="12908"/>
  <c r="AF1846" i="13034" s="1"/>
  <c r="G141" i="12711"/>
  <c r="I93" i="12910" s="1"/>
  <c r="I2025" i="12908"/>
  <c r="AF2025" i="13034" s="1"/>
  <c r="G60" i="12711"/>
  <c r="I49" i="12910" s="1"/>
  <c r="I2049" i="12908"/>
  <c r="AF2049" i="13034" s="1"/>
  <c r="G96" i="12711"/>
  <c r="I73" i="12910" s="1"/>
  <c r="I2139" i="12908"/>
  <c r="AF2139" i="13034" s="1"/>
  <c r="G97" i="12711"/>
  <c r="I74" i="12910" s="1"/>
  <c r="I2207" i="12908"/>
  <c r="AF2207" i="13034" s="1"/>
  <c r="G62" i="12711"/>
  <c r="I51" i="12910" s="1"/>
  <c r="I2613" i="12908"/>
  <c r="AF2613" i="13034" s="1"/>
  <c r="I1835" i="12908"/>
  <c r="AF1835" i="13034" s="1"/>
  <c r="I70" i="12910"/>
  <c r="I1862" i="12908"/>
  <c r="AF1862" i="13034" s="1"/>
  <c r="G59" i="12711"/>
  <c r="I1878" i="12908"/>
  <c r="AF1878" i="13034" s="1"/>
  <c r="G142" i="12711"/>
  <c r="I94" i="12910" s="1"/>
  <c r="I2001" i="12908"/>
  <c r="AF2001" i="13034" s="1"/>
  <c r="G25" i="12711"/>
  <c r="I2117" i="12908"/>
  <c r="AF2117" i="13034" s="1"/>
  <c r="G61" i="12711"/>
  <c r="I50" i="12910" s="1"/>
  <c r="I2095" i="12908"/>
  <c r="AF2095" i="13034" s="1"/>
  <c r="G26" i="12711"/>
  <c r="G27" i="12711"/>
  <c r="I2483" i="12908"/>
  <c r="AF2483" i="13034" s="1"/>
  <c r="G98" i="12711"/>
  <c r="I75" i="12910" s="1"/>
  <c r="I2184" i="12908"/>
  <c r="AF2184" i="13034" s="1"/>
  <c r="D2161" i="12908"/>
  <c r="AA2161" i="13034" s="1"/>
  <c r="D2073" i="12908"/>
  <c r="AA2073" i="13034" s="1"/>
  <c r="D1977" i="12908"/>
  <c r="AA1977" i="13034" s="1"/>
  <c r="D2643" i="12908"/>
  <c r="AA2643" i="13034" s="1"/>
  <c r="G62" i="13016" l="1"/>
  <c r="G62" i="12989"/>
  <c r="G45" i="13016"/>
  <c r="G45" i="12989"/>
  <c r="G44" i="13016"/>
  <c r="G44" i="12989"/>
  <c r="G43" i="13016"/>
  <c r="G46" i="13016" s="1"/>
  <c r="G43" i="12989"/>
  <c r="G35" i="13007"/>
  <c r="G35" i="13017"/>
  <c r="G35" i="13014"/>
  <c r="G62" i="13005"/>
  <c r="G43" i="13005"/>
  <c r="M1977" i="12908"/>
  <c r="AJ1977" i="13034" s="1"/>
  <c r="G44" i="13005"/>
  <c r="G45" i="13005"/>
  <c r="G195" i="12711"/>
  <c r="G197" i="12711"/>
  <c r="G192" i="12711"/>
  <c r="G193" i="12711"/>
  <c r="G196" i="12711"/>
  <c r="I1977" i="12908"/>
  <c r="AF1977" i="13034" s="1"/>
  <c r="I2073" i="12908"/>
  <c r="AF2073" i="13034" s="1"/>
  <c r="I48" i="12910"/>
  <c r="I47" i="12910"/>
  <c r="I28" i="12910"/>
  <c r="I26" i="12910"/>
  <c r="I2161" i="12908"/>
  <c r="AF2161" i="13034" s="1"/>
  <c r="I27" i="12910"/>
  <c r="D1582" i="12908"/>
  <c r="D1560" i="12908"/>
  <c r="D1519" i="12908"/>
  <c r="D1500" i="12908"/>
  <c r="D1439" i="12908"/>
  <c r="D1419" i="12908"/>
  <c r="AA1419" i="13034" s="1"/>
  <c r="D1399" i="12908"/>
  <c r="AA1399" i="13034" s="1"/>
  <c r="AA1519" i="13034" l="1"/>
  <c r="W1519" i="12908"/>
  <c r="G46" i="12989"/>
  <c r="AA1560" i="13034"/>
  <c r="W1560" i="12908"/>
  <c r="G32" i="13005"/>
  <c r="AA1439" i="13034"/>
  <c r="G32" i="13016"/>
  <c r="G32" i="12989"/>
  <c r="AA1582" i="13034"/>
  <c r="W1582" i="12908"/>
  <c r="AA1500" i="13034"/>
  <c r="W1500" i="12908"/>
  <c r="G47" i="13007"/>
  <c r="G47" i="13017"/>
  <c r="G47" i="13014"/>
  <c r="M2049" i="12908"/>
  <c r="M2025" i="12908"/>
  <c r="M2001" i="12908"/>
  <c r="M2073" i="12908"/>
  <c r="AJ2073" i="13034" s="1"/>
  <c r="G46" i="13005"/>
  <c r="I1419" i="12908"/>
  <c r="AF1419" i="13034" s="1"/>
  <c r="G90" i="12711"/>
  <c r="I67" i="12910" s="1"/>
  <c r="I1500" i="12908"/>
  <c r="AF1500" i="13034" s="1"/>
  <c r="G56" i="12711"/>
  <c r="I1560" i="12908"/>
  <c r="AF1560" i="13034" s="1"/>
  <c r="G57" i="12711"/>
  <c r="I1582" i="12908"/>
  <c r="AF1582" i="13034" s="1"/>
  <c r="G92" i="12711"/>
  <c r="I69" i="12910" s="1"/>
  <c r="I1399" i="12908"/>
  <c r="AF1399" i="13034" s="1"/>
  <c r="G53" i="12711"/>
  <c r="I1439" i="12908"/>
  <c r="AF1439" i="13034" s="1"/>
  <c r="G54" i="12711"/>
  <c r="G182" i="12711" s="1"/>
  <c r="I1519" i="12908"/>
  <c r="AF1519" i="13034" s="1"/>
  <c r="G91" i="12711"/>
  <c r="I68" i="12910" s="1"/>
  <c r="D1247" i="12908"/>
  <c r="D1373" i="12908"/>
  <c r="D1331" i="12908"/>
  <c r="D1289" i="12908"/>
  <c r="G23" i="12711" l="1"/>
  <c r="AA1247" i="13034"/>
  <c r="G52" i="12711"/>
  <c r="AA1289" i="13034"/>
  <c r="U2001" i="12908"/>
  <c r="AR2001" i="13034" s="1"/>
  <c r="AJ2001" i="13034"/>
  <c r="AT1582" i="13034"/>
  <c r="AI1582" i="13015"/>
  <c r="G89" i="12711"/>
  <c r="AA1331" i="13034"/>
  <c r="U2025" i="12908"/>
  <c r="AR2025" i="13034" s="1"/>
  <c r="AJ2025" i="13034"/>
  <c r="AT1519" i="13034"/>
  <c r="AI1519" i="13015"/>
  <c r="G136" i="12711"/>
  <c r="AA1373" i="13034"/>
  <c r="U2049" i="12908"/>
  <c r="AR2049" i="13034" s="1"/>
  <c r="AJ2049" i="13034"/>
  <c r="AT1500" i="13034"/>
  <c r="AI1500" i="13015"/>
  <c r="AT1560" i="13034"/>
  <c r="AI1560" i="13015"/>
  <c r="G31" i="13007"/>
  <c r="G31" i="13017"/>
  <c r="G31" i="13014"/>
  <c r="M2117" i="12908"/>
  <c r="M2095" i="12908"/>
  <c r="AJ2095" i="13034" s="1"/>
  <c r="M2139" i="12908"/>
  <c r="U2073" i="12908"/>
  <c r="AR2073" i="13034" s="1"/>
  <c r="G184" i="12711"/>
  <c r="G181" i="12711"/>
  <c r="G185" i="12711"/>
  <c r="G180" i="12711"/>
  <c r="I45" i="12910"/>
  <c r="I42" i="12910"/>
  <c r="I46" i="12910"/>
  <c r="I43" i="12910"/>
  <c r="D1205" i="12908"/>
  <c r="AA1205" i="13034" s="1"/>
  <c r="D1087" i="12908"/>
  <c r="AA1087" i="13034" s="1"/>
  <c r="D1131" i="12908"/>
  <c r="AA1131" i="13034" s="1"/>
  <c r="D1109" i="12908"/>
  <c r="AA1109" i="13034" s="1"/>
  <c r="U2139" i="12908" l="1"/>
  <c r="AR2139" i="13034" s="1"/>
  <c r="AJ2139" i="13034"/>
  <c r="U2117" i="12908"/>
  <c r="AR2117" i="13034" s="1"/>
  <c r="AJ2117" i="13034"/>
  <c r="G56" i="13016"/>
  <c r="G56" i="12989"/>
  <c r="G56" i="13005"/>
  <c r="M2161" i="12908"/>
  <c r="AJ2161" i="13034" s="1"/>
  <c r="U2095" i="12908"/>
  <c r="AR2095" i="13034" s="1"/>
  <c r="U1109" i="12908"/>
  <c r="AR1109" i="13034" s="1"/>
  <c r="W1109" i="12908"/>
  <c r="W1087" i="12908"/>
  <c r="U1087" i="12908"/>
  <c r="AR1087" i="13034" s="1"/>
  <c r="W1131" i="12908"/>
  <c r="U1131" i="12908"/>
  <c r="AR1131" i="13034" s="1"/>
  <c r="I1109" i="12908"/>
  <c r="AF1109" i="13034" s="1"/>
  <c r="G49" i="12711"/>
  <c r="I38" i="12910" s="1"/>
  <c r="I1087" i="12908"/>
  <c r="AF1087" i="13034" s="1"/>
  <c r="G21" i="12711"/>
  <c r="I1131" i="12908"/>
  <c r="AF1131" i="13034" s="1"/>
  <c r="G87" i="12711"/>
  <c r="I64" i="12910" s="1"/>
  <c r="D1065" i="12908"/>
  <c r="AA1065" i="13034" s="1"/>
  <c r="D993" i="12908"/>
  <c r="AA993" i="13034" s="1"/>
  <c r="D1041" i="12908"/>
  <c r="AA1041" i="13034" s="1"/>
  <c r="D1017" i="12908"/>
  <c r="AA1017" i="13034" s="1"/>
  <c r="D907" i="12908"/>
  <c r="AA907" i="13034" s="1"/>
  <c r="D943" i="12908"/>
  <c r="AA943" i="13034" s="1"/>
  <c r="D925" i="12908"/>
  <c r="AA925" i="13034" s="1"/>
  <c r="D851" i="12908"/>
  <c r="AA851" i="13034" s="1"/>
  <c r="AT1109" i="13034" l="1"/>
  <c r="AI1109" i="13015"/>
  <c r="AT1087" i="13034"/>
  <c r="AI1087" i="13015"/>
  <c r="AT1131" i="13034"/>
  <c r="AI1131" i="13015"/>
  <c r="G27" i="13005"/>
  <c r="G27" i="13016"/>
  <c r="G27" i="12989"/>
  <c r="G41" i="13007"/>
  <c r="G41" i="13017"/>
  <c r="G41" i="13014"/>
  <c r="W851" i="12908"/>
  <c r="U851" i="12908"/>
  <c r="AR851" i="13034" s="1"/>
  <c r="W925" i="12908"/>
  <c r="U925" i="12908"/>
  <c r="AR925" i="13034" s="1"/>
  <c r="W943" i="12908"/>
  <c r="U943" i="12908"/>
  <c r="AR943" i="13034" s="1"/>
  <c r="U907" i="12908"/>
  <c r="AR907" i="13034" s="1"/>
  <c r="W907" i="12908"/>
  <c r="M2207" i="12908"/>
  <c r="M2184" i="12908"/>
  <c r="U2161" i="12908"/>
  <c r="AR2161" i="13034" s="1"/>
  <c r="U1041" i="12908"/>
  <c r="AR1041" i="13034" s="1"/>
  <c r="W1041" i="12908"/>
  <c r="W1065" i="12908"/>
  <c r="U1065" i="12908"/>
  <c r="AR1065" i="13034" s="1"/>
  <c r="W1017" i="12908"/>
  <c r="U1017" i="12908"/>
  <c r="AR1017" i="13034" s="1"/>
  <c r="U993" i="12908"/>
  <c r="AR993" i="13034" s="1"/>
  <c r="W993" i="12908"/>
  <c r="D832" i="12908"/>
  <c r="AA832" i="13034" s="1"/>
  <c r="G177" i="12711"/>
  <c r="I943" i="12908"/>
  <c r="AF943" i="13034" s="1"/>
  <c r="G88" i="12711"/>
  <c r="I65" i="12910" s="1"/>
  <c r="I1065" i="12908"/>
  <c r="AF1065" i="13034" s="1"/>
  <c r="I23" i="12910"/>
  <c r="I851" i="12908"/>
  <c r="AF851" i="13034" s="1"/>
  <c r="G47" i="12711"/>
  <c r="G175" i="12711" s="1"/>
  <c r="I1017" i="12908"/>
  <c r="AF1017" i="13034" s="1"/>
  <c r="G48" i="12711"/>
  <c r="I37" i="12910" s="1"/>
  <c r="I993" i="12908"/>
  <c r="AF993" i="13034" s="1"/>
  <c r="G20" i="12711"/>
  <c r="I1041" i="12908"/>
  <c r="AF1041" i="13034" s="1"/>
  <c r="G86" i="12711"/>
  <c r="I63" i="12910" s="1"/>
  <c r="I925" i="12908"/>
  <c r="AF925" i="13034" s="1"/>
  <c r="G51" i="12711"/>
  <c r="I40" i="12910" s="1"/>
  <c r="I907" i="12908"/>
  <c r="AF907" i="13034" s="1"/>
  <c r="G22" i="12711"/>
  <c r="D969" i="12908"/>
  <c r="AA969" i="13034" s="1"/>
  <c r="D889" i="12908"/>
  <c r="AA889" i="13034" s="1"/>
  <c r="D813" i="12908"/>
  <c r="AA813" i="13034" s="1"/>
  <c r="D775" i="12908"/>
  <c r="AA775" i="13034" s="1"/>
  <c r="D794" i="12908"/>
  <c r="AA794" i="13034" s="1"/>
  <c r="AT1017" i="13034" l="1"/>
  <c r="AI1017" i="13015"/>
  <c r="AT907" i="13034"/>
  <c r="AI907" i="13015"/>
  <c r="AT993" i="13034"/>
  <c r="AI993" i="13015"/>
  <c r="AT925" i="13034"/>
  <c r="AI925" i="13015"/>
  <c r="AT1065" i="13034"/>
  <c r="AI1065" i="13015"/>
  <c r="U2184" i="12908"/>
  <c r="AR2184" i="13034" s="1"/>
  <c r="AJ2184" i="13034"/>
  <c r="AT1041" i="13034"/>
  <c r="AI1041" i="13015"/>
  <c r="U2207" i="12908"/>
  <c r="AR2207" i="13034" s="1"/>
  <c r="AJ2207" i="13034"/>
  <c r="AT943" i="13034"/>
  <c r="AI943" i="13015"/>
  <c r="AT851" i="13034"/>
  <c r="AI851" i="13015"/>
  <c r="G26" i="13016"/>
  <c r="G26" i="12989"/>
  <c r="G29" i="13016"/>
  <c r="G29" i="12989"/>
  <c r="G25" i="13016"/>
  <c r="G25" i="12989"/>
  <c r="U794" i="12908"/>
  <c r="AR794" i="13034" s="1"/>
  <c r="W794" i="12908"/>
  <c r="U775" i="12908"/>
  <c r="AR775" i="13034" s="1"/>
  <c r="W775" i="12908"/>
  <c r="W813" i="12908"/>
  <c r="U813" i="12908"/>
  <c r="AR813" i="13034" s="1"/>
  <c r="G26" i="13005"/>
  <c r="G29" i="13005"/>
  <c r="W889" i="12908"/>
  <c r="U889" i="12908"/>
  <c r="AR889" i="13034" s="1"/>
  <c r="G25" i="13005"/>
  <c r="W832" i="12908"/>
  <c r="U832" i="12908"/>
  <c r="AR832" i="13034" s="1"/>
  <c r="I832" i="12908"/>
  <c r="AF832" i="13034" s="1"/>
  <c r="G179" i="12711"/>
  <c r="G176" i="12711"/>
  <c r="I889" i="12908"/>
  <c r="AF889" i="13034" s="1"/>
  <c r="I775" i="12908"/>
  <c r="AF775" i="13034" s="1"/>
  <c r="G19" i="12711"/>
  <c r="I24" i="12910"/>
  <c r="I22" i="12910"/>
  <c r="I794" i="12908"/>
  <c r="AF794" i="13034" s="1"/>
  <c r="G46" i="12711"/>
  <c r="I35" i="12910" s="1"/>
  <c r="I813" i="12908"/>
  <c r="AF813" i="13034" s="1"/>
  <c r="G84" i="12711"/>
  <c r="I61" i="12910" s="1"/>
  <c r="I969" i="12908"/>
  <c r="AF969" i="13034" s="1"/>
  <c r="I36" i="12910"/>
  <c r="D756" i="12908"/>
  <c r="AA756" i="13034" s="1"/>
  <c r="D693" i="12908"/>
  <c r="AA693" i="13034" s="1"/>
  <c r="D735" i="12908"/>
  <c r="AA735" i="13034" s="1"/>
  <c r="D714" i="12908"/>
  <c r="AA714" i="13034" s="1"/>
  <c r="D188" i="12908"/>
  <c r="D151" i="12908"/>
  <c r="D114" i="12908"/>
  <c r="Q25" i="12973"/>
  <c r="E1" i="12973"/>
  <c r="Q21" i="12973" s="1"/>
  <c r="F1" i="12973"/>
  <c r="G1" i="12973"/>
  <c r="H1" i="12973"/>
  <c r="I1" i="12973"/>
  <c r="J1" i="12973"/>
  <c r="K1" i="12973"/>
  <c r="L1" i="12973"/>
  <c r="M1" i="12973"/>
  <c r="N1" i="12973"/>
  <c r="O1" i="12973"/>
  <c r="D1" i="12973"/>
  <c r="D11" i="12908"/>
  <c r="P94" i="12974"/>
  <c r="P93" i="12974"/>
  <c r="P92" i="12974"/>
  <c r="P91" i="12974"/>
  <c r="P90" i="12974"/>
  <c r="P89" i="12974"/>
  <c r="P88" i="12974"/>
  <c r="P87" i="12974"/>
  <c r="P86" i="12974"/>
  <c r="P85" i="12974"/>
  <c r="P82" i="12974"/>
  <c r="P81" i="12974"/>
  <c r="P80" i="12974"/>
  <c r="P76" i="12974"/>
  <c r="P75" i="12974"/>
  <c r="P74" i="12974"/>
  <c r="P73" i="12974"/>
  <c r="P72" i="12974"/>
  <c r="P71" i="12974"/>
  <c r="P70" i="12974"/>
  <c r="P69" i="12974"/>
  <c r="P68" i="12974"/>
  <c r="P67" i="12974"/>
  <c r="P66" i="12974"/>
  <c r="P65" i="12974"/>
  <c r="P64" i="12974"/>
  <c r="P63" i="12974"/>
  <c r="P62" i="12974"/>
  <c r="P61" i="12974"/>
  <c r="P60" i="12974"/>
  <c r="P59" i="12974"/>
  <c r="P58" i="12974"/>
  <c r="P57" i="12974"/>
  <c r="P56" i="12974"/>
  <c r="P52" i="12974"/>
  <c r="P51" i="12974"/>
  <c r="P50" i="12974"/>
  <c r="P49" i="12974"/>
  <c r="P48" i="12974"/>
  <c r="P47" i="12974"/>
  <c r="P46" i="12974"/>
  <c r="P45" i="12974"/>
  <c r="P44" i="12974"/>
  <c r="P43" i="12974"/>
  <c r="P42" i="12974"/>
  <c r="P41" i="12974"/>
  <c r="P40" i="12974"/>
  <c r="P39" i="12974"/>
  <c r="P38" i="12974"/>
  <c r="P37" i="12974"/>
  <c r="P36" i="12974"/>
  <c r="P35" i="12974"/>
  <c r="P34" i="12974"/>
  <c r="P33" i="12974"/>
  <c r="P32" i="12974"/>
  <c r="P31" i="12974"/>
  <c r="P8" i="12974"/>
  <c r="P9" i="12974"/>
  <c r="P10" i="12974"/>
  <c r="P11" i="12974"/>
  <c r="P12" i="12974"/>
  <c r="P13" i="12974"/>
  <c r="P14" i="12974"/>
  <c r="P15" i="12974"/>
  <c r="P16" i="12974"/>
  <c r="P17" i="12974"/>
  <c r="P18" i="12974"/>
  <c r="P19" i="12974"/>
  <c r="P20" i="12974"/>
  <c r="P21" i="12974"/>
  <c r="P22" i="12974"/>
  <c r="P23" i="12974"/>
  <c r="P24" i="12974"/>
  <c r="P25" i="12974"/>
  <c r="P26" i="12974"/>
  <c r="P27" i="12974"/>
  <c r="P7" i="12974"/>
  <c r="AA114" i="13034" l="1"/>
  <c r="G17" i="13016"/>
  <c r="G17" i="12989"/>
  <c r="AT794" i="13034"/>
  <c r="AI794" i="13015"/>
  <c r="AA151" i="13034"/>
  <c r="G18" i="13016"/>
  <c r="G18" i="12989"/>
  <c r="AT889" i="13034"/>
  <c r="AI889" i="13015"/>
  <c r="AT813" i="13034"/>
  <c r="AI813" i="13015"/>
  <c r="AA188" i="13034"/>
  <c r="G19" i="13016"/>
  <c r="G19" i="12989"/>
  <c r="AT832" i="13034"/>
  <c r="AI832" i="13015"/>
  <c r="AT775" i="13034"/>
  <c r="AI775" i="13015"/>
  <c r="AA11" i="13034"/>
  <c r="G14" i="13016"/>
  <c r="G14" i="12989"/>
  <c r="G24" i="13016"/>
  <c r="G24" i="12989"/>
  <c r="G21" i="13007"/>
  <c r="G21" i="13017"/>
  <c r="G21" i="13014"/>
  <c r="G20" i="13007"/>
  <c r="G20" i="13017"/>
  <c r="G20" i="13014"/>
  <c r="G18" i="13005"/>
  <c r="U693" i="12908"/>
  <c r="AR693" i="13034" s="1"/>
  <c r="W693" i="12908"/>
  <c r="G14" i="13005"/>
  <c r="G19" i="13005"/>
  <c r="U714" i="12908"/>
  <c r="AR714" i="13034" s="1"/>
  <c r="W714" i="12908"/>
  <c r="G17" i="13005"/>
  <c r="U735" i="12908"/>
  <c r="AR735" i="13034" s="1"/>
  <c r="W735" i="12908"/>
  <c r="S21" i="12973"/>
  <c r="Q13" i="12973"/>
  <c r="Q17" i="12973"/>
  <c r="Q108" i="12973"/>
  <c r="Q109" i="12973"/>
  <c r="Q7" i="12973"/>
  <c r="S7" i="12973" s="1"/>
  <c r="Q14" i="12973"/>
  <c r="Q22" i="12973"/>
  <c r="Q33" i="12973"/>
  <c r="Q37" i="12973"/>
  <c r="Q45" i="12973"/>
  <c r="Q56" i="12973"/>
  <c r="Q64" i="12973"/>
  <c r="Q68" i="12973"/>
  <c r="Q76" i="12973"/>
  <c r="Q89" i="12973"/>
  <c r="Q93" i="12973"/>
  <c r="Q11" i="12973"/>
  <c r="Q15" i="12973"/>
  <c r="Q19" i="12973"/>
  <c r="Q23" i="12973"/>
  <c r="Q27" i="12973"/>
  <c r="Q34" i="12973"/>
  <c r="Q38" i="12973"/>
  <c r="Q42" i="12973"/>
  <c r="Q46" i="12973"/>
  <c r="Q50" i="12973"/>
  <c r="Q57" i="12973"/>
  <c r="Q61" i="12973"/>
  <c r="Q65" i="12973"/>
  <c r="Q69" i="12973"/>
  <c r="Q73" i="12973"/>
  <c r="Q80" i="12973"/>
  <c r="Q86" i="12973"/>
  <c r="Q90" i="12973"/>
  <c r="Q94" i="12973"/>
  <c r="Q101" i="12973"/>
  <c r="Q9" i="12973"/>
  <c r="Q10" i="12973"/>
  <c r="Q18" i="12973"/>
  <c r="Q26" i="12973"/>
  <c r="Q41" i="12973"/>
  <c r="Q49" i="12973"/>
  <c r="Q60" i="12973"/>
  <c r="Q72" i="12973"/>
  <c r="Q85" i="12973"/>
  <c r="Q100" i="12973"/>
  <c r="Q8" i="12973"/>
  <c r="Q12" i="12973"/>
  <c r="Q16" i="12973"/>
  <c r="Q20" i="12973"/>
  <c r="Q24" i="12973"/>
  <c r="Q31" i="12973"/>
  <c r="Q35" i="12973"/>
  <c r="Q39" i="12973"/>
  <c r="Q43" i="12973"/>
  <c r="Q47" i="12973"/>
  <c r="Q51" i="12973"/>
  <c r="Q58" i="12973"/>
  <c r="Q62" i="12973"/>
  <c r="Q66" i="12973"/>
  <c r="Q70" i="12973"/>
  <c r="Q74" i="12973"/>
  <c r="Q81" i="12973"/>
  <c r="Q87" i="12973"/>
  <c r="Q91" i="12973"/>
  <c r="Q98" i="12973"/>
  <c r="Q102" i="12973"/>
  <c r="S25" i="12973"/>
  <c r="Q32" i="12973"/>
  <c r="Q36" i="12973"/>
  <c r="Q40" i="12973"/>
  <c r="Q44" i="12973"/>
  <c r="Q48" i="12973"/>
  <c r="Q52" i="12973"/>
  <c r="Q59" i="12973"/>
  <c r="Q63" i="12973"/>
  <c r="Q67" i="12973"/>
  <c r="Q71" i="12973"/>
  <c r="Q75" i="12973"/>
  <c r="Q82" i="12973"/>
  <c r="Q88" i="12973"/>
  <c r="Q92" i="12973"/>
  <c r="Q99" i="12973"/>
  <c r="G24" i="13005"/>
  <c r="W756" i="12908"/>
  <c r="U756" i="12908"/>
  <c r="AR756" i="13034" s="1"/>
  <c r="G174" i="12711"/>
  <c r="G12" i="12711"/>
  <c r="G167" i="12711" s="1"/>
  <c r="G15" i="12711"/>
  <c r="G170" i="12711" s="1"/>
  <c r="I714" i="12908"/>
  <c r="AF714" i="13034" s="1"/>
  <c r="G45" i="12711"/>
  <c r="I34" i="12910" s="1"/>
  <c r="I693" i="12908"/>
  <c r="AF693" i="13034" s="1"/>
  <c r="G18" i="12711"/>
  <c r="I21" i="12910"/>
  <c r="G16" i="12711"/>
  <c r="G171" i="12711" s="1"/>
  <c r="I756" i="12908"/>
  <c r="AF756" i="13034" s="1"/>
  <c r="I735" i="12908"/>
  <c r="AF735" i="13034" s="1"/>
  <c r="G83" i="12711"/>
  <c r="I60" i="12910" s="1"/>
  <c r="G17" i="12711"/>
  <c r="G172" i="12711" s="1"/>
  <c r="D672" i="12908"/>
  <c r="AA672" i="13034" s="1"/>
  <c r="AT735" i="13034" l="1"/>
  <c r="AI735" i="13015"/>
  <c r="AT756" i="13034"/>
  <c r="AI756" i="13015"/>
  <c r="AT714" i="13034"/>
  <c r="AI714" i="13015"/>
  <c r="AT693" i="13034"/>
  <c r="AI693" i="13015"/>
  <c r="G23" i="13016"/>
  <c r="G23" i="12989"/>
  <c r="G14" i="13017"/>
  <c r="G14" i="13014"/>
  <c r="G14" i="13007"/>
  <c r="S88" i="12973"/>
  <c r="S67" i="12973"/>
  <c r="S48" i="12973"/>
  <c r="S32" i="12973"/>
  <c r="R98" i="12973"/>
  <c r="S98" i="12973"/>
  <c r="T98" i="12973" s="1"/>
  <c r="S74" i="12973"/>
  <c r="S58" i="12973"/>
  <c r="D953" i="12908"/>
  <c r="AA953" i="13034" s="1"/>
  <c r="S39" i="12973"/>
  <c r="S20" i="12973"/>
  <c r="D781" i="12908" s="1"/>
  <c r="AA781" i="13034" s="1"/>
  <c r="D786" i="12908"/>
  <c r="AA786" i="13034" s="1"/>
  <c r="R100" i="12973"/>
  <c r="S100" i="12973"/>
  <c r="T100" i="12973" s="1"/>
  <c r="S49" i="12973"/>
  <c r="S10" i="12973"/>
  <c r="S90" i="12973"/>
  <c r="S69" i="12973"/>
  <c r="S50" i="12973"/>
  <c r="D862" i="12908"/>
  <c r="AA862" i="13034" s="1"/>
  <c r="S34" i="12973"/>
  <c r="S15" i="12973"/>
  <c r="S76" i="12973"/>
  <c r="S45" i="12973"/>
  <c r="S14" i="12973"/>
  <c r="S17" i="12973"/>
  <c r="S82" i="12973"/>
  <c r="S63" i="12973"/>
  <c r="S91" i="12973"/>
  <c r="S51" i="12973"/>
  <c r="S16" i="12973"/>
  <c r="S41" i="12973"/>
  <c r="S86" i="12973"/>
  <c r="S46" i="12973"/>
  <c r="D805" i="12908"/>
  <c r="AA805" i="13034" s="1"/>
  <c r="S11" i="12973"/>
  <c r="S37" i="12973"/>
  <c r="S13" i="12973"/>
  <c r="R99" i="12973"/>
  <c r="S99" i="12973"/>
  <c r="T99" i="12973" s="1"/>
  <c r="S75" i="12973"/>
  <c r="S59" i="12973"/>
  <c r="S40" i="12973"/>
  <c r="S87" i="12973"/>
  <c r="S66" i="12973"/>
  <c r="S47" i="12973"/>
  <c r="S31" i="12973"/>
  <c r="S12" i="12973"/>
  <c r="D912" i="12908" s="1"/>
  <c r="D917" i="12908"/>
  <c r="AA917" i="13034" s="1"/>
  <c r="S72" i="12973"/>
  <c r="D824" i="12908"/>
  <c r="AA824" i="13034" s="1"/>
  <c r="S26" i="12973"/>
  <c r="R101" i="12973"/>
  <c r="S101" i="12973"/>
  <c r="T101" i="12973" s="1"/>
  <c r="S80" i="12973"/>
  <c r="S61" i="12973"/>
  <c r="S42" i="12973"/>
  <c r="S23" i="12973"/>
  <c r="S93" i="12973"/>
  <c r="S64" i="12973"/>
  <c r="S33" i="12973"/>
  <c r="D935" i="12908"/>
  <c r="AA935" i="13034" s="1"/>
  <c r="S109" i="12973"/>
  <c r="D2627" i="12908"/>
  <c r="S44" i="12973"/>
  <c r="S70" i="12973"/>
  <c r="S35" i="12973"/>
  <c r="S85" i="12973"/>
  <c r="S9" i="12973"/>
  <c r="S65" i="12973"/>
  <c r="S27" i="12973"/>
  <c r="S68" i="12973"/>
  <c r="S92" i="12973"/>
  <c r="S71" i="12973"/>
  <c r="S52" i="12973"/>
  <c r="S36" i="12973"/>
  <c r="R102" i="12973"/>
  <c r="S102" i="12973"/>
  <c r="T102" i="12973" s="1"/>
  <c r="S81" i="12973"/>
  <c r="S62" i="12973"/>
  <c r="S43" i="12973"/>
  <c r="AD15" i="12987"/>
  <c r="S24" i="12973"/>
  <c r="S8" i="12973"/>
  <c r="S60" i="12973"/>
  <c r="S18" i="12973"/>
  <c r="S94" i="12973"/>
  <c r="S73" i="12973"/>
  <c r="S57" i="12973"/>
  <c r="S38" i="12973"/>
  <c r="S19" i="12973"/>
  <c r="S89" i="12973"/>
  <c r="S56" i="12973"/>
  <c r="S22" i="12973"/>
  <c r="S108" i="12973"/>
  <c r="T108" i="12973" s="1"/>
  <c r="R108" i="12973"/>
  <c r="G23" i="13005"/>
  <c r="G173" i="12711"/>
  <c r="I672" i="12908"/>
  <c r="AF672" i="13034" s="1"/>
  <c r="I17" i="12910"/>
  <c r="I20" i="12910"/>
  <c r="I19" i="12910"/>
  <c r="I14" i="12910"/>
  <c r="I18" i="12910"/>
  <c r="D2648" i="12908"/>
  <c r="AA2648" i="13034" s="1"/>
  <c r="D2251" i="12908"/>
  <c r="AA2251" i="13034" s="1"/>
  <c r="D2250" i="12908"/>
  <c r="AA2250" i="13034" s="1"/>
  <c r="D2248" i="12908"/>
  <c r="AA2248" i="13034" s="1"/>
  <c r="D2247" i="12908"/>
  <c r="AA2247" i="13034" s="1"/>
  <c r="D2245" i="12908"/>
  <c r="AA2245" i="13034" s="1"/>
  <c r="D2244" i="12908"/>
  <c r="AA2244" i="13034" s="1"/>
  <c r="D2232" i="12908"/>
  <c r="AA2232" i="13034" s="1"/>
  <c r="D2231" i="12908"/>
  <c r="AA2231" i="13034" s="1"/>
  <c r="D1479" i="12908"/>
  <c r="AA1479" i="13034" s="1"/>
  <c r="D1492" i="12908"/>
  <c r="AA1492" i="13034" s="1"/>
  <c r="D2629" i="12908" l="1"/>
  <c r="AA2629" i="13034" s="1"/>
  <c r="AA2627" i="13034"/>
  <c r="D910" i="12908"/>
  <c r="AA910" i="13034" s="1"/>
  <c r="AA912" i="13034"/>
  <c r="G35" i="13016"/>
  <c r="G35" i="12989"/>
  <c r="G30" i="12989"/>
  <c r="G30" i="13016"/>
  <c r="G19" i="13017"/>
  <c r="G19" i="13014"/>
  <c r="G30" i="13005"/>
  <c r="G19" i="13007"/>
  <c r="G22" i="13007" s="1"/>
  <c r="I917" i="12908"/>
  <c r="AF917" i="13034" s="1"/>
  <c r="D899" i="12908"/>
  <c r="AA899" i="13034" s="1"/>
  <c r="D2145" i="12908"/>
  <c r="AA2145" i="13034" s="1"/>
  <c r="T67" i="12973"/>
  <c r="D2101" i="12908"/>
  <c r="AA2101" i="13034" s="1"/>
  <c r="T18" i="12973"/>
  <c r="I824" i="12908"/>
  <c r="AF824" i="13034" s="1"/>
  <c r="T59" i="12973"/>
  <c r="T37" i="12973"/>
  <c r="I805" i="12908"/>
  <c r="AF805" i="13034" s="1"/>
  <c r="T82" i="12973"/>
  <c r="T14" i="12973"/>
  <c r="I953" i="12908"/>
  <c r="AF953" i="13034" s="1"/>
  <c r="D857" i="12908"/>
  <c r="AA857" i="13034" s="1"/>
  <c r="I786" i="12908"/>
  <c r="AF786" i="13034" s="1"/>
  <c r="D767" i="12908"/>
  <c r="AA767" i="13034" s="1"/>
  <c r="T32" i="12973"/>
  <c r="T85" i="12973"/>
  <c r="I935" i="12908"/>
  <c r="AF935" i="13034" s="1"/>
  <c r="T72" i="12973"/>
  <c r="D820" i="12908" s="1"/>
  <c r="AA820" i="13034" s="1"/>
  <c r="D819" i="12908"/>
  <c r="AA819" i="13034" s="1"/>
  <c r="D800" i="12908"/>
  <c r="AA800" i="13034" s="1"/>
  <c r="T41" i="12973"/>
  <c r="D2214" i="12908"/>
  <c r="AA2214" i="13034" s="1"/>
  <c r="T10" i="12973"/>
  <c r="D948" i="12908"/>
  <c r="AA948" i="13034" s="1"/>
  <c r="T48" i="12973"/>
  <c r="T88" i="12973"/>
  <c r="T9" i="12973"/>
  <c r="D2123" i="12908"/>
  <c r="AA2123" i="13034" s="1"/>
  <c r="T56" i="12973"/>
  <c r="D930" i="12908"/>
  <c r="T93" i="12973"/>
  <c r="D2191" i="12908"/>
  <c r="AA2191" i="13034" s="1"/>
  <c r="T40" i="12973"/>
  <c r="T75" i="12973"/>
  <c r="T13" i="12973"/>
  <c r="T63" i="12973"/>
  <c r="T17" i="12973"/>
  <c r="T45" i="12973"/>
  <c r="I862" i="12908"/>
  <c r="AF862" i="13034" s="1"/>
  <c r="D843" i="12908"/>
  <c r="AA843" i="13034" s="1"/>
  <c r="G35" i="13005"/>
  <c r="I2251" i="12908"/>
  <c r="AF2251" i="13034" s="1"/>
  <c r="I2231" i="12908"/>
  <c r="AF2231" i="13034" s="1"/>
  <c r="I2232" i="12908"/>
  <c r="AF2232" i="13034" s="1"/>
  <c r="I2248" i="12908"/>
  <c r="AF2248" i="13034" s="1"/>
  <c r="I2245" i="12908"/>
  <c r="AF2245" i="13034" s="1"/>
  <c r="I2247" i="12908"/>
  <c r="AF2247" i="13034" s="1"/>
  <c r="I2244" i="12908"/>
  <c r="AF2244" i="13034" s="1"/>
  <c r="I2250" i="12908"/>
  <c r="AF2250" i="13034" s="1"/>
  <c r="I1479" i="12908"/>
  <c r="AF1479" i="13034" s="1"/>
  <c r="D2330" i="12908"/>
  <c r="AA2330" i="13034" s="1"/>
  <c r="D1538" i="12908"/>
  <c r="AA1538" i="13034" s="1"/>
  <c r="D1856" i="12908"/>
  <c r="AA1856" i="13034" s="1"/>
  <c r="D1803" i="12908"/>
  <c r="D1815" i="12908"/>
  <c r="AA1815" i="13034" s="1"/>
  <c r="D1854" i="12908"/>
  <c r="AA1854" i="13034" s="1"/>
  <c r="D1813" i="12908"/>
  <c r="AA1813" i="13034" s="1"/>
  <c r="D1377" i="12908"/>
  <c r="AA1377" i="13034" s="1"/>
  <c r="D1391" i="12908"/>
  <c r="AA1391" i="13034" s="1"/>
  <c r="D1554" i="12908"/>
  <c r="AA1554" i="13034" s="1"/>
  <c r="D1804" i="12908"/>
  <c r="AA1804" i="13034" s="1"/>
  <c r="P104" i="12974"/>
  <c r="P8" i="12973"/>
  <c r="R8" i="12973" s="1"/>
  <c r="P9" i="12973"/>
  <c r="P10" i="12973"/>
  <c r="P11" i="12973"/>
  <c r="T11" i="12973" s="1"/>
  <c r="P12" i="12973"/>
  <c r="P13" i="12973"/>
  <c r="P14" i="12973"/>
  <c r="P15" i="12973"/>
  <c r="P16" i="12973"/>
  <c r="R16" i="12973" s="1"/>
  <c r="P17" i="12973"/>
  <c r="P18" i="12973"/>
  <c r="R18" i="12973" s="1"/>
  <c r="P19" i="12973"/>
  <c r="R19" i="12973" s="1"/>
  <c r="P20" i="12973"/>
  <c r="P21" i="12973"/>
  <c r="P22" i="12973"/>
  <c r="P23" i="12973"/>
  <c r="P24" i="12973"/>
  <c r="R24" i="12973" s="1"/>
  <c r="P25" i="12973"/>
  <c r="P26" i="12973"/>
  <c r="P27" i="12973"/>
  <c r="R27" i="12973" s="1"/>
  <c r="P31" i="12973"/>
  <c r="P32" i="12973"/>
  <c r="P33" i="12973"/>
  <c r="R33" i="12973" s="1"/>
  <c r="D936" i="12908" s="1"/>
  <c r="P34" i="12973"/>
  <c r="T34" i="12973" s="1"/>
  <c r="P35" i="12973"/>
  <c r="P36" i="12973"/>
  <c r="P37" i="12973"/>
  <c r="P38" i="12973"/>
  <c r="T38" i="12973" s="1"/>
  <c r="P39" i="12973"/>
  <c r="T39" i="12973" s="1"/>
  <c r="P40" i="12973"/>
  <c r="R40" i="12973" s="1"/>
  <c r="P41" i="12973"/>
  <c r="P42" i="12973"/>
  <c r="P43" i="12973"/>
  <c r="R43" i="12973" s="1"/>
  <c r="AD16" i="12987" s="1"/>
  <c r="AD17" i="12987" s="1"/>
  <c r="P44" i="12973"/>
  <c r="P45" i="12973"/>
  <c r="P46" i="12973"/>
  <c r="R46" i="12973" s="1"/>
  <c r="D806" i="12908" s="1"/>
  <c r="P47" i="12973"/>
  <c r="P48" i="12973"/>
  <c r="P49" i="12973"/>
  <c r="P50" i="12973"/>
  <c r="R50" i="12973" s="1"/>
  <c r="D863" i="12908" s="1"/>
  <c r="AA863" i="13034" s="1"/>
  <c r="P51" i="12973"/>
  <c r="T51" i="12973" s="1"/>
  <c r="P52" i="12973"/>
  <c r="P56" i="12973"/>
  <c r="P57" i="12973"/>
  <c r="P58" i="12973"/>
  <c r="R58" i="12973" s="1"/>
  <c r="D954" i="12908" s="1"/>
  <c r="P59" i="12973"/>
  <c r="P60" i="12973"/>
  <c r="P61" i="12973"/>
  <c r="P62" i="12973"/>
  <c r="P63" i="12973"/>
  <c r="P64" i="12973"/>
  <c r="P65" i="12973"/>
  <c r="T65" i="12973" s="1"/>
  <c r="P66" i="12973"/>
  <c r="T66" i="12973" s="1"/>
  <c r="P67" i="12973"/>
  <c r="P68" i="12973"/>
  <c r="P69" i="12973"/>
  <c r="P70" i="12973"/>
  <c r="P71" i="12973"/>
  <c r="R71" i="12973" s="1"/>
  <c r="P72" i="12973"/>
  <c r="R72" i="12973" s="1"/>
  <c r="D825" i="12908" s="1"/>
  <c r="P73" i="12973"/>
  <c r="P74" i="12973"/>
  <c r="T74" i="12973" s="1"/>
  <c r="P75" i="12973"/>
  <c r="R75" i="12973" s="1"/>
  <c r="P76" i="12973"/>
  <c r="P80" i="12973"/>
  <c r="R80" i="12973" s="1"/>
  <c r="P81" i="12973"/>
  <c r="P82" i="12973"/>
  <c r="R82" i="12973" s="1"/>
  <c r="P85" i="12973"/>
  <c r="P86" i="12973"/>
  <c r="P87" i="12973"/>
  <c r="P88" i="12973"/>
  <c r="P89" i="12973"/>
  <c r="P90" i="12973"/>
  <c r="P91" i="12973"/>
  <c r="R91" i="12973" s="1"/>
  <c r="P92" i="12973"/>
  <c r="P93" i="12973"/>
  <c r="R93" i="12973" s="1"/>
  <c r="P94" i="12973"/>
  <c r="R94" i="12973" s="1"/>
  <c r="P106" i="12973"/>
  <c r="G5" i="12856" s="1"/>
  <c r="P7" i="12973"/>
  <c r="I806" i="12908" l="1"/>
  <c r="AF806" i="13034" s="1"/>
  <c r="AA806" i="13034"/>
  <c r="AA1803" i="13034"/>
  <c r="G58" i="13016"/>
  <c r="G58" i="12989"/>
  <c r="D928" i="12908"/>
  <c r="AA928" i="13034" s="1"/>
  <c r="AA930" i="13034"/>
  <c r="I825" i="12908"/>
  <c r="AF825" i="13034" s="1"/>
  <c r="AA825" i="13034"/>
  <c r="I936" i="12908"/>
  <c r="AF936" i="13034" s="1"/>
  <c r="AA936" i="13034"/>
  <c r="I954" i="12908"/>
  <c r="AF954" i="13034" s="1"/>
  <c r="AA954" i="13034"/>
  <c r="G60" i="13016"/>
  <c r="G60" i="12989"/>
  <c r="G59" i="13016"/>
  <c r="G59" i="12989"/>
  <c r="G61" i="12989" s="1"/>
  <c r="G64" i="12989" s="1"/>
  <c r="W1538" i="12908"/>
  <c r="G36" i="13016"/>
  <c r="G37" i="13016" s="1"/>
  <c r="G36" i="12989"/>
  <c r="G37" i="12989"/>
  <c r="G31" i="13016"/>
  <c r="G31" i="12989"/>
  <c r="G22" i="13014"/>
  <c r="G22" i="13017"/>
  <c r="G24" i="13007"/>
  <c r="G24" i="13017"/>
  <c r="G24" i="13014"/>
  <c r="D2168" i="12908"/>
  <c r="AA2168" i="13034" s="1"/>
  <c r="D2215" i="12908"/>
  <c r="AA2215" i="13034" s="1"/>
  <c r="D2216" i="12908"/>
  <c r="AA2216" i="13034" s="1"/>
  <c r="D2147" i="12908"/>
  <c r="AA2147" i="13034" s="1"/>
  <c r="D2146" i="12908"/>
  <c r="AA2146" i="13034" s="1"/>
  <c r="D1732" i="12908"/>
  <c r="AA1732" i="13034" s="1"/>
  <c r="R87" i="12973"/>
  <c r="D1120" i="12908"/>
  <c r="AA1120" i="13034" s="1"/>
  <c r="R47" i="12973"/>
  <c r="D1883" i="12908"/>
  <c r="AA1883" i="13034" s="1"/>
  <c r="R90" i="12973"/>
  <c r="D1711" i="12908"/>
  <c r="R86" i="12973"/>
  <c r="D1142" i="12908"/>
  <c r="AA1142" i="13034" s="1"/>
  <c r="R73" i="12973"/>
  <c r="P109" i="12973"/>
  <c r="R69" i="12973"/>
  <c r="D1535" i="12908"/>
  <c r="AA1535" i="13034" s="1"/>
  <c r="R61" i="12973"/>
  <c r="D1054" i="12908"/>
  <c r="AA1054" i="13034" s="1"/>
  <c r="R57" i="12973"/>
  <c r="D844" i="12908"/>
  <c r="I863" i="12908"/>
  <c r="AF863" i="13034" s="1"/>
  <c r="D2435" i="12908"/>
  <c r="AA2435" i="13034" s="1"/>
  <c r="R42" i="12973"/>
  <c r="D222" i="12908"/>
  <c r="R23" i="12973"/>
  <c r="D2667" i="12908"/>
  <c r="AA2667" i="13034" s="1"/>
  <c r="R15" i="12973"/>
  <c r="T94" i="12973"/>
  <c r="T43" i="12973"/>
  <c r="D1769" i="12908"/>
  <c r="R89" i="12973"/>
  <c r="D1374" i="12908"/>
  <c r="AA1374" i="13034" s="1"/>
  <c r="R85" i="12973"/>
  <c r="T76" i="12973"/>
  <c r="R76" i="12973"/>
  <c r="T68" i="12973"/>
  <c r="D2623" i="12908"/>
  <c r="R68" i="12973"/>
  <c r="D1875" i="12908"/>
  <c r="AA1875" i="13034" s="1"/>
  <c r="R64" i="12973"/>
  <c r="T60" i="12973"/>
  <c r="D1436" i="12908"/>
  <c r="AA1436" i="13034" s="1"/>
  <c r="R60" i="12973"/>
  <c r="D753" i="12908"/>
  <c r="AA753" i="13034" s="1"/>
  <c r="R56" i="12973"/>
  <c r="D2136" i="12908"/>
  <c r="AA2136" i="13034" s="1"/>
  <c r="R49" i="12973"/>
  <c r="D2658" i="12908"/>
  <c r="AA2658" i="13034" s="1"/>
  <c r="R45" i="12973"/>
  <c r="D2046" i="12908"/>
  <c r="AA2046" i="13034" s="1"/>
  <c r="R41" i="12973"/>
  <c r="D1579" i="12908"/>
  <c r="AA1579" i="13034" s="1"/>
  <c r="R37" i="12973"/>
  <c r="D2204" i="12908"/>
  <c r="AA2204" i="13034" s="1"/>
  <c r="R26" i="12973"/>
  <c r="D2114" i="12908"/>
  <c r="AA2114" i="13034" s="1"/>
  <c r="R22" i="12973"/>
  <c r="D2022" i="12908"/>
  <c r="AA2022" i="13034" s="1"/>
  <c r="R14" i="12973"/>
  <c r="D711" i="12908"/>
  <c r="AA711" i="13034" s="1"/>
  <c r="R10" i="12973"/>
  <c r="D867" i="12908"/>
  <c r="AA867" i="13034" s="1"/>
  <c r="T26" i="12973"/>
  <c r="T57" i="12973"/>
  <c r="T49" i="12973"/>
  <c r="T69" i="12973"/>
  <c r="D940" i="12908"/>
  <c r="AA940" i="13034" s="1"/>
  <c r="D838" i="12908"/>
  <c r="AA838" i="13034" s="1"/>
  <c r="T27" i="12973"/>
  <c r="D762" i="12908"/>
  <c r="AA762" i="13034" s="1"/>
  <c r="D810" i="12908"/>
  <c r="AA810" i="13034" s="1"/>
  <c r="T87" i="12973"/>
  <c r="T64" i="12973"/>
  <c r="D1128" i="12908"/>
  <c r="D2079" i="12908"/>
  <c r="AA2079" i="13034" s="1"/>
  <c r="I899" i="12908"/>
  <c r="AF899" i="13034" s="1"/>
  <c r="T7" i="12973"/>
  <c r="D45" i="12908"/>
  <c r="R7" i="12973"/>
  <c r="T92" i="12973"/>
  <c r="D1851" i="12908"/>
  <c r="AA1851" i="13034" s="1"/>
  <c r="R92" i="12973"/>
  <c r="D1795" i="12908"/>
  <c r="R88" i="12973"/>
  <c r="D2539" i="12908"/>
  <c r="AA2539" i="13034" s="1"/>
  <c r="R67" i="12973"/>
  <c r="D1840" i="12908"/>
  <c r="AA1840" i="13034" s="1"/>
  <c r="R63" i="12973"/>
  <c r="D1332" i="12908"/>
  <c r="AA1332" i="13034" s="1"/>
  <c r="R59" i="12973"/>
  <c r="T52" i="12973"/>
  <c r="R52" i="12973"/>
  <c r="D1456" i="12908"/>
  <c r="R48" i="12973"/>
  <c r="T44" i="12973"/>
  <c r="R44" i="12973"/>
  <c r="T36" i="12973"/>
  <c r="D1516" i="12908"/>
  <c r="AA1516" i="13034" s="1"/>
  <c r="R36" i="12973"/>
  <c r="D1030" i="12908"/>
  <c r="AA1030" i="13034" s="1"/>
  <c r="R32" i="12973"/>
  <c r="R25" i="12973"/>
  <c r="T25" i="12973"/>
  <c r="D1098" i="12908"/>
  <c r="AA1098" i="13034" s="1"/>
  <c r="R21" i="12973"/>
  <c r="T21" i="12973"/>
  <c r="D185" i="12908"/>
  <c r="R17" i="12973"/>
  <c r="D1248" i="12908"/>
  <c r="AA1248" i="13034" s="1"/>
  <c r="R13" i="12973"/>
  <c r="D148" i="12908"/>
  <c r="R9" i="12973"/>
  <c r="T15" i="12973"/>
  <c r="T80" i="12973"/>
  <c r="T33" i="12973"/>
  <c r="D931" i="12908" s="1"/>
  <c r="T19" i="12973"/>
  <c r="T16" i="12973"/>
  <c r="T46" i="12973"/>
  <c r="D801" i="12908" s="1"/>
  <c r="AA801" i="13034" s="1"/>
  <c r="T71" i="12973"/>
  <c r="I767" i="12908"/>
  <c r="AF767" i="13034" s="1"/>
  <c r="T50" i="12973"/>
  <c r="D858" i="12908" s="1"/>
  <c r="AA858" i="13034" s="1"/>
  <c r="D1102" i="12908"/>
  <c r="AA1102" i="13034" s="1"/>
  <c r="D829" i="12908"/>
  <c r="AA829" i="13034" s="1"/>
  <c r="T8" i="12973"/>
  <c r="T73" i="12973"/>
  <c r="T22" i="12973"/>
  <c r="T90" i="12973"/>
  <c r="D1639" i="12908"/>
  <c r="R81" i="12973"/>
  <c r="D2640" i="12908"/>
  <c r="R70" i="12973"/>
  <c r="D1601" i="12908"/>
  <c r="AA1601" i="13034" s="1"/>
  <c r="R62" i="12973"/>
  <c r="AD13" i="12987"/>
  <c r="D1829" i="12908"/>
  <c r="AA1829" i="13034" s="1"/>
  <c r="R39" i="12973"/>
  <c r="D1416" i="12908"/>
  <c r="AA1416" i="13034" s="1"/>
  <c r="R35" i="12973"/>
  <c r="D732" i="12908"/>
  <c r="AA732" i="13034" s="1"/>
  <c r="R31" i="12973"/>
  <c r="T20" i="12973"/>
  <c r="D782" i="12908" s="1"/>
  <c r="AA782" i="13034" s="1"/>
  <c r="R20" i="12973"/>
  <c r="D787" i="12908" s="1"/>
  <c r="AA787" i="13034" s="1"/>
  <c r="T12" i="12973"/>
  <c r="D913" i="12908" s="1"/>
  <c r="R12" i="12973"/>
  <c r="D918" i="12908" s="1"/>
  <c r="AA918" i="13034" s="1"/>
  <c r="I843" i="12908"/>
  <c r="AF843" i="13034" s="1"/>
  <c r="T31" i="12973"/>
  <c r="T42" i="12973"/>
  <c r="T24" i="12973"/>
  <c r="T58" i="12973"/>
  <c r="D949" i="12908" s="1"/>
  <c r="T70" i="12973"/>
  <c r="T81" i="12973"/>
  <c r="T86" i="12973"/>
  <c r="D958" i="12908"/>
  <c r="AA958" i="13034" s="1"/>
  <c r="D1106" i="12908"/>
  <c r="AA1106" i="13034" s="1"/>
  <c r="T61" i="12973"/>
  <c r="T91" i="12973"/>
  <c r="T35" i="12973"/>
  <c r="D2158" i="12908"/>
  <c r="AA2158" i="13034" s="1"/>
  <c r="R74" i="12973"/>
  <c r="D2070" i="12908"/>
  <c r="AA2070" i="13034" s="1"/>
  <c r="R66" i="12973"/>
  <c r="D2227" i="12908"/>
  <c r="AA2227" i="13034" s="1"/>
  <c r="R51" i="12973"/>
  <c r="D1935" i="12908"/>
  <c r="R65" i="12973"/>
  <c r="D1867" i="12908"/>
  <c r="AA1867" i="13034" s="1"/>
  <c r="R38" i="12973"/>
  <c r="D1290" i="12908"/>
  <c r="AA1290" i="13034" s="1"/>
  <c r="R34" i="12973"/>
  <c r="D1006" i="12908"/>
  <c r="AA1006" i="13034" s="1"/>
  <c r="R11" i="12973"/>
  <c r="T47" i="12973"/>
  <c r="T23" i="12973"/>
  <c r="D1124" i="12908"/>
  <c r="AA1124" i="13034" s="1"/>
  <c r="T89" i="12973"/>
  <c r="T62" i="12973"/>
  <c r="G31" i="13005"/>
  <c r="G34" i="13005" s="1"/>
  <c r="G36" i="13005"/>
  <c r="G59" i="13005"/>
  <c r="G60" i="13005"/>
  <c r="M1854" i="12908"/>
  <c r="AJ1854" i="13034" s="1"/>
  <c r="G58" i="13005"/>
  <c r="I1377" i="12908"/>
  <c r="AF1377" i="13034" s="1"/>
  <c r="I1813" i="12908"/>
  <c r="AF1813" i="13034" s="1"/>
  <c r="I1854" i="12908"/>
  <c r="AF1854" i="13034" s="1"/>
  <c r="I1538" i="12908"/>
  <c r="AF1538" i="13034" s="1"/>
  <c r="AA2640" i="13034" l="1"/>
  <c r="I52" i="13016"/>
  <c r="I52" i="12989"/>
  <c r="AA45" i="13034"/>
  <c r="I14" i="13016"/>
  <c r="I14" i="12989"/>
  <c r="Y1128" i="12908"/>
  <c r="AV1128" i="13034" s="1"/>
  <c r="AA1128" i="13034"/>
  <c r="D1773" i="12908"/>
  <c r="AA1769" i="13034"/>
  <c r="D1716" i="12908"/>
  <c r="AA1711" i="13034"/>
  <c r="D947" i="12908"/>
  <c r="AA949" i="13034"/>
  <c r="AA1456" i="13034"/>
  <c r="I32" i="13016"/>
  <c r="I32" i="12989"/>
  <c r="AA2623" i="13034"/>
  <c r="I50" i="13016"/>
  <c r="I50" i="12989"/>
  <c r="AA1935" i="13034"/>
  <c r="I42" i="13016"/>
  <c r="I42" i="12989"/>
  <c r="AA1639" i="13034"/>
  <c r="I39" i="13016"/>
  <c r="I39" i="12989"/>
  <c r="AA222" i="13034"/>
  <c r="I19" i="13016"/>
  <c r="I19" i="12989"/>
  <c r="I844" i="12908"/>
  <c r="AF844" i="13034" s="1"/>
  <c r="AA844" i="13034"/>
  <c r="AT1538" i="13034"/>
  <c r="AI1538" i="13015"/>
  <c r="D911" i="12908"/>
  <c r="AA911" i="13034" s="1"/>
  <c r="AA913" i="13034"/>
  <c r="D929" i="12908"/>
  <c r="AA929" i="13034" s="1"/>
  <c r="AA931" i="13034"/>
  <c r="AA148" i="13034"/>
  <c r="I17" i="13016"/>
  <c r="I17" i="12989"/>
  <c r="AA185" i="13034"/>
  <c r="I18" i="13016"/>
  <c r="I18" i="12989"/>
  <c r="D1799" i="12908"/>
  <c r="AA1795" i="13034"/>
  <c r="G61" i="13016"/>
  <c r="G64" i="13016" s="1"/>
  <c r="G34" i="12989"/>
  <c r="G34" i="13016"/>
  <c r="G23" i="13007"/>
  <c r="G23" i="13017"/>
  <c r="G23" i="13014"/>
  <c r="G45" i="13007"/>
  <c r="G45" i="13017"/>
  <c r="G45" i="13014"/>
  <c r="G43" i="13007"/>
  <c r="G43" i="13017"/>
  <c r="G43" i="13014"/>
  <c r="G44" i="13007"/>
  <c r="G44" i="13017"/>
  <c r="G44" i="13014"/>
  <c r="G25" i="13017"/>
  <c r="G26" i="13017" s="1"/>
  <c r="G25" i="13014"/>
  <c r="G26" i="13014" s="1"/>
  <c r="D1058" i="12908"/>
  <c r="AA1058" i="13034" s="1"/>
  <c r="G37" i="13005"/>
  <c r="G25" i="13007"/>
  <c r="G26" i="13007" s="1"/>
  <c r="I42" i="13005"/>
  <c r="M72" i="12910"/>
  <c r="O95" i="12711"/>
  <c r="O194" i="12711" s="1"/>
  <c r="D763" i="12908"/>
  <c r="AA763" i="13034" s="1"/>
  <c r="M42" i="12910"/>
  <c r="O53" i="12711"/>
  <c r="I52" i="13005"/>
  <c r="M78" i="12910"/>
  <c r="O101" i="12711"/>
  <c r="D2102" i="12908"/>
  <c r="AA2102" i="13034" s="1"/>
  <c r="D2103" i="12908"/>
  <c r="AA2103" i="13034" s="1"/>
  <c r="I18" i="13005"/>
  <c r="M18" i="12910"/>
  <c r="AB181" i="12908"/>
  <c r="O16" i="12711"/>
  <c r="O171" i="12711" s="1"/>
  <c r="M70" i="12910"/>
  <c r="D1836" i="12908"/>
  <c r="O93" i="12711"/>
  <c r="I918" i="12908"/>
  <c r="AF918" i="13034" s="1"/>
  <c r="D900" i="12908"/>
  <c r="AA900" i="13034" s="1"/>
  <c r="D922" i="12908"/>
  <c r="AA922" i="13034" s="1"/>
  <c r="D1130" i="12908"/>
  <c r="D1129" i="12908"/>
  <c r="D1125" i="12908"/>
  <c r="AA1125" i="13034" s="1"/>
  <c r="D1126" i="12908"/>
  <c r="AA1126" i="13034" s="1"/>
  <c r="D839" i="12908"/>
  <c r="AA839" i="13034" s="1"/>
  <c r="M35" i="12910"/>
  <c r="O46" i="12711"/>
  <c r="O26" i="12711"/>
  <c r="M27" i="12910"/>
  <c r="O66" i="12711"/>
  <c r="D2656" i="12908"/>
  <c r="AA2656" i="13034" s="1"/>
  <c r="M55" i="12910"/>
  <c r="M90" i="12910"/>
  <c r="O136" i="12711"/>
  <c r="D1369" i="12908"/>
  <c r="AA1369" i="13034" s="1"/>
  <c r="M64" i="12910"/>
  <c r="O87" i="12711"/>
  <c r="M94" i="12910"/>
  <c r="O142" i="12711"/>
  <c r="D1736" i="12908"/>
  <c r="D1802" i="12908"/>
  <c r="M22" i="12910"/>
  <c r="O20" i="12711"/>
  <c r="O59" i="12711"/>
  <c r="D1863" i="12908"/>
  <c r="M48" i="12910"/>
  <c r="D2213" i="12908"/>
  <c r="AA2213" i="13034" s="1"/>
  <c r="M51" i="12910"/>
  <c r="O62" i="12711"/>
  <c r="D2144" i="12908"/>
  <c r="AA2144" i="13034" s="1"/>
  <c r="M74" i="12910"/>
  <c r="O97" i="12711"/>
  <c r="D1062" i="12908"/>
  <c r="Y1106" i="12908"/>
  <c r="AV1106" i="13034" s="1"/>
  <c r="M34" i="12910"/>
  <c r="O45" i="12711"/>
  <c r="D1825" i="12908"/>
  <c r="AA1825" i="13034" s="1"/>
  <c r="O58" i="12711"/>
  <c r="M47" i="12910"/>
  <c r="M69" i="12910"/>
  <c r="O92" i="12711"/>
  <c r="I39" i="13005"/>
  <c r="M84" i="12910"/>
  <c r="O119" i="12711"/>
  <c r="O187" i="12711" s="1"/>
  <c r="O23" i="12711"/>
  <c r="D1243" i="12908"/>
  <c r="AA1243" i="13034" s="1"/>
  <c r="M25" i="12910"/>
  <c r="I32" i="13005"/>
  <c r="O54" i="12711"/>
  <c r="O182" i="12711" s="1"/>
  <c r="M43" i="12910"/>
  <c r="M66" i="12910"/>
  <c r="O89" i="12711"/>
  <c r="O98" i="12711"/>
  <c r="M75" i="12910"/>
  <c r="D1847" i="12908"/>
  <c r="M93" i="12910"/>
  <c r="O141" i="12711"/>
  <c r="O51" i="12711"/>
  <c r="M40" i="12910"/>
  <c r="D2192" i="12908"/>
  <c r="D2193" i="12908"/>
  <c r="O94" i="12711"/>
  <c r="M71" i="12910"/>
  <c r="D1871" i="12908"/>
  <c r="M41" i="12910"/>
  <c r="D1285" i="12908"/>
  <c r="AA1285" i="13034" s="1"/>
  <c r="O52" i="12711"/>
  <c r="M73" i="12910"/>
  <c r="O96" i="12711"/>
  <c r="X5" i="12987"/>
  <c r="L13" i="12987"/>
  <c r="T10" i="12987"/>
  <c r="P5" i="12987"/>
  <c r="H13" i="12987"/>
  <c r="U4" i="12987"/>
  <c r="U14" i="12987"/>
  <c r="L4" i="12987"/>
  <c r="AB12" i="12987"/>
  <c r="T7" i="12987"/>
  <c r="H4" i="12987"/>
  <c r="Y12" i="12987"/>
  <c r="X9" i="12987"/>
  <c r="AB6" i="12987"/>
  <c r="T14" i="12987"/>
  <c r="P9" i="12987"/>
  <c r="Y6" i="12987"/>
  <c r="Y13" i="12987"/>
  <c r="X11" i="12987"/>
  <c r="AB8" i="12987"/>
  <c r="T3" i="12987"/>
  <c r="P11" i="12987"/>
  <c r="Y8" i="12987"/>
  <c r="U11" i="12987"/>
  <c r="F3" i="12987"/>
  <c r="F5" i="12987"/>
  <c r="F14" i="12987"/>
  <c r="V7" i="12987"/>
  <c r="V4" i="12987"/>
  <c r="V12" i="12987"/>
  <c r="M8" i="12987"/>
  <c r="M7" i="12987"/>
  <c r="M11" i="12987"/>
  <c r="S7" i="12987"/>
  <c r="S6" i="12987"/>
  <c r="S10" i="12987"/>
  <c r="J7" i="12987"/>
  <c r="J4" i="12987"/>
  <c r="J12" i="12987"/>
  <c r="AC12" i="12987" s="1"/>
  <c r="Z7" i="12987"/>
  <c r="Z4" i="12987"/>
  <c r="Z12" i="12987"/>
  <c r="Q8" i="12987"/>
  <c r="Q9" i="12987"/>
  <c r="Q3" i="12987"/>
  <c r="G7" i="12987"/>
  <c r="G8" i="12987"/>
  <c r="G12" i="12987"/>
  <c r="W7" i="12987"/>
  <c r="W8" i="12987"/>
  <c r="W12" i="12987"/>
  <c r="N7" i="12987"/>
  <c r="N4" i="12987"/>
  <c r="N12" i="12987"/>
  <c r="K7" i="12987"/>
  <c r="K10" i="12987"/>
  <c r="K4" i="12987"/>
  <c r="AA7" i="12987"/>
  <c r="AA10" i="12987"/>
  <c r="AA4" i="12987"/>
  <c r="R7" i="12987"/>
  <c r="R4" i="12987"/>
  <c r="R12" i="12987"/>
  <c r="I8" i="12987"/>
  <c r="I5" i="12987"/>
  <c r="I9" i="12987"/>
  <c r="O7" i="12987"/>
  <c r="O4" i="12987"/>
  <c r="O6" i="12987"/>
  <c r="R14" i="12987"/>
  <c r="I13" i="12987"/>
  <c r="O9" i="12987"/>
  <c r="O14" i="12987"/>
  <c r="K3" i="12987"/>
  <c r="K6" i="12987"/>
  <c r="AA11" i="12987"/>
  <c r="R11" i="12987"/>
  <c r="R8" i="12987"/>
  <c r="I3" i="12987"/>
  <c r="O11" i="12987"/>
  <c r="X13" i="12987"/>
  <c r="AB10" i="12987"/>
  <c r="T5" i="12987"/>
  <c r="P13" i="12987"/>
  <c r="Y10" i="12987"/>
  <c r="U12" i="12987"/>
  <c r="X4" i="12987"/>
  <c r="L12" i="12987"/>
  <c r="AB7" i="12987"/>
  <c r="P4" i="12987"/>
  <c r="H12" i="12987"/>
  <c r="U5" i="12987"/>
  <c r="L6" i="12987"/>
  <c r="AB14" i="12987"/>
  <c r="T9" i="12987"/>
  <c r="H6" i="12987"/>
  <c r="Y14" i="12987"/>
  <c r="U6" i="12987"/>
  <c r="L8" i="12987"/>
  <c r="AB3" i="12987"/>
  <c r="T11" i="12987"/>
  <c r="H8" i="12987"/>
  <c r="U13" i="12987"/>
  <c r="U3" i="12987"/>
  <c r="F4" i="12987"/>
  <c r="F9" i="12987"/>
  <c r="F6" i="12987"/>
  <c r="V9" i="12987"/>
  <c r="V6" i="12987"/>
  <c r="V14" i="12987"/>
  <c r="M10" i="12987"/>
  <c r="M5" i="12987"/>
  <c r="M9" i="12987"/>
  <c r="S9" i="12987"/>
  <c r="S14" i="12987"/>
  <c r="S8" i="12987"/>
  <c r="J9" i="12987"/>
  <c r="AC9" i="12987" s="1"/>
  <c r="J6" i="12987"/>
  <c r="J14" i="12987"/>
  <c r="Z9" i="12987"/>
  <c r="Z6" i="12987"/>
  <c r="Z14" i="12987"/>
  <c r="Q10" i="12987"/>
  <c r="Q7" i="12987"/>
  <c r="Q11" i="12987"/>
  <c r="G9" i="12987"/>
  <c r="G6" i="12987"/>
  <c r="G10" i="12987"/>
  <c r="W9" i="12987"/>
  <c r="W6" i="12987"/>
  <c r="W10" i="12987"/>
  <c r="N9" i="12987"/>
  <c r="N6" i="12987"/>
  <c r="N14" i="12987"/>
  <c r="K9" i="12987"/>
  <c r="K8" i="12987"/>
  <c r="K12" i="12987"/>
  <c r="AA9" i="12987"/>
  <c r="AA8" i="12987"/>
  <c r="AA12" i="12987"/>
  <c r="R9" i="12987"/>
  <c r="R6" i="12987"/>
  <c r="I10" i="12987"/>
  <c r="I7" i="12987"/>
  <c r="O12" i="12987"/>
  <c r="N8" i="12987"/>
  <c r="AA3" i="12987"/>
  <c r="R3" i="12987"/>
  <c r="I12" i="12987"/>
  <c r="O3" i="12987"/>
  <c r="U9" i="12987"/>
  <c r="L10" i="12987"/>
  <c r="AB5" i="12987"/>
  <c r="T13" i="12987"/>
  <c r="H10" i="12987"/>
  <c r="Y7" i="12987"/>
  <c r="Y5" i="12987"/>
  <c r="X12" i="12987"/>
  <c r="L7" i="12987"/>
  <c r="T4" i="12987"/>
  <c r="P12" i="12987"/>
  <c r="H7" i="12987"/>
  <c r="X6" i="12987"/>
  <c r="L14" i="12987"/>
  <c r="AB9" i="12987"/>
  <c r="P6" i="12987"/>
  <c r="H14" i="12987"/>
  <c r="Y11" i="12987"/>
  <c r="X8" i="12987"/>
  <c r="L3" i="12987"/>
  <c r="AB11" i="12987"/>
  <c r="P8" i="12987"/>
  <c r="H3" i="12987"/>
  <c r="Y3" i="12987"/>
  <c r="F7" i="12987"/>
  <c r="F15" i="12987" s="1"/>
  <c r="F8" i="12987"/>
  <c r="F13" i="12987"/>
  <c r="V3" i="12987"/>
  <c r="V11" i="12987"/>
  <c r="V8" i="12987"/>
  <c r="M4" i="12987"/>
  <c r="M12" i="12987"/>
  <c r="M13" i="12987"/>
  <c r="S3" i="12987"/>
  <c r="S11" i="12987"/>
  <c r="S4" i="12987"/>
  <c r="J3" i="12987"/>
  <c r="J11" i="12987"/>
  <c r="AC11" i="12987" s="1"/>
  <c r="J8" i="12987"/>
  <c r="Z3" i="12987"/>
  <c r="Z11" i="12987"/>
  <c r="Z8" i="12987"/>
  <c r="Q4" i="12987"/>
  <c r="Q12" i="12987"/>
  <c r="Q5" i="12987"/>
  <c r="G3" i="12987"/>
  <c r="G11" i="12987"/>
  <c r="G14" i="12987"/>
  <c r="W3" i="12987"/>
  <c r="W17" i="12987" s="1"/>
  <c r="W11" i="12987"/>
  <c r="W14" i="12987"/>
  <c r="N3" i="12987"/>
  <c r="N11" i="12987"/>
  <c r="K11" i="12987"/>
  <c r="AA6" i="12987"/>
  <c r="I4" i="12987"/>
  <c r="O10" i="12987"/>
  <c r="X10" i="12987"/>
  <c r="L5" i="12987"/>
  <c r="AB13" i="12987"/>
  <c r="P10" i="12987"/>
  <c r="H5" i="12987"/>
  <c r="Y9" i="12987"/>
  <c r="U7" i="12987"/>
  <c r="X7" i="12987"/>
  <c r="X15" i="12987" s="1"/>
  <c r="D2584" i="12908" s="1"/>
  <c r="AA2584" i="13034" s="1"/>
  <c r="AB4" i="12987"/>
  <c r="T12" i="12987"/>
  <c r="P7" i="12987"/>
  <c r="Y4" i="12987"/>
  <c r="X14" i="12987"/>
  <c r="L9" i="12987"/>
  <c r="T6" i="12987"/>
  <c r="P14" i="12987"/>
  <c r="H9" i="12987"/>
  <c r="U8" i="12987"/>
  <c r="X3" i="12987"/>
  <c r="L11" i="12987"/>
  <c r="T8" i="12987"/>
  <c r="P3" i="12987"/>
  <c r="H11" i="12987"/>
  <c r="U10" i="12987"/>
  <c r="F11" i="12987"/>
  <c r="F12" i="12987"/>
  <c r="F10" i="12987"/>
  <c r="V5" i="12987"/>
  <c r="V13" i="12987"/>
  <c r="V10" i="12987"/>
  <c r="M6" i="12987"/>
  <c r="M14" i="12987"/>
  <c r="M3" i="12987"/>
  <c r="S5" i="12987"/>
  <c r="S13" i="12987"/>
  <c r="S12" i="12987"/>
  <c r="J5" i="12987"/>
  <c r="J13" i="12987"/>
  <c r="AC13" i="12987" s="1"/>
  <c r="J10" i="12987"/>
  <c r="Z5" i="12987"/>
  <c r="Z13" i="12987"/>
  <c r="Z10" i="12987"/>
  <c r="Q6" i="12987"/>
  <c r="Q14" i="12987"/>
  <c r="Q13" i="12987"/>
  <c r="G5" i="12987"/>
  <c r="G13" i="12987"/>
  <c r="G4" i="12987"/>
  <c r="W5" i="12987"/>
  <c r="W13" i="12987"/>
  <c r="W4" i="12987"/>
  <c r="N5" i="12987"/>
  <c r="N13" i="12987"/>
  <c r="N10" i="12987"/>
  <c r="K5" i="12987"/>
  <c r="K13" i="12987"/>
  <c r="K14" i="12987"/>
  <c r="AA5" i="12987"/>
  <c r="AA13" i="12987"/>
  <c r="AA14" i="12987"/>
  <c r="R5" i="12987"/>
  <c r="R13" i="12987"/>
  <c r="R10" i="12987"/>
  <c r="I6" i="12987"/>
  <c r="I14" i="12987"/>
  <c r="I11" i="12987"/>
  <c r="O5" i="12987"/>
  <c r="O13" i="12987"/>
  <c r="O8" i="12987"/>
  <c r="I17" i="13005"/>
  <c r="AB144" i="12908"/>
  <c r="O15" i="12711"/>
  <c r="O170" i="12711" s="1"/>
  <c r="M17" i="12910"/>
  <c r="D2124" i="12908"/>
  <c r="AA2124" i="13034" s="1"/>
  <c r="D2125" i="12908"/>
  <c r="AA2125" i="13034" s="1"/>
  <c r="I50" i="13005"/>
  <c r="M76" i="12910"/>
  <c r="O99" i="12711"/>
  <c r="O56" i="12711"/>
  <c r="M45" i="12910"/>
  <c r="I14" i="13005"/>
  <c r="M14" i="12910"/>
  <c r="AB25" i="12908"/>
  <c r="O12" i="12711"/>
  <c r="O167" i="12711" s="1"/>
  <c r="M20" i="12910"/>
  <c r="O18" i="12711"/>
  <c r="M46" i="12910"/>
  <c r="O57" i="12711"/>
  <c r="O83" i="12711"/>
  <c r="M60" i="12910"/>
  <c r="I19" i="13005"/>
  <c r="AB218" i="12908"/>
  <c r="M19" i="12910"/>
  <c r="O17" i="12711"/>
  <c r="O172" i="12711" s="1"/>
  <c r="M68" i="12910"/>
  <c r="O91" i="12711"/>
  <c r="D1107" i="12908"/>
  <c r="AA1107" i="13034" s="1"/>
  <c r="D1108" i="12908"/>
  <c r="AA1108" i="13034" s="1"/>
  <c r="D1104" i="12908"/>
  <c r="AA1104" i="13034" s="1"/>
  <c r="D1103" i="12908"/>
  <c r="AA1103" i="13034" s="1"/>
  <c r="O88" i="12711"/>
  <c r="M65" i="12910"/>
  <c r="D848" i="12908"/>
  <c r="AA848" i="13034" s="1"/>
  <c r="D768" i="12908"/>
  <c r="AA768" i="13034" s="1"/>
  <c r="I787" i="12908"/>
  <c r="AF787" i="13034" s="1"/>
  <c r="D791" i="12908"/>
  <c r="AA791" i="13034" s="1"/>
  <c r="O84" i="12711"/>
  <c r="M61" i="12910"/>
  <c r="M23" i="12910"/>
  <c r="O21" i="12711"/>
  <c r="M37" i="12910"/>
  <c r="O48" i="12711"/>
  <c r="M36" i="12910"/>
  <c r="O47" i="12711"/>
  <c r="O175" i="12711" s="1"/>
  <c r="O25" i="12711"/>
  <c r="M26" i="12910"/>
  <c r="M28" i="12910"/>
  <c r="O27" i="12711"/>
  <c r="O60" i="12711"/>
  <c r="M49" i="12910"/>
  <c r="M50" i="12910"/>
  <c r="O61" i="12711"/>
  <c r="M67" i="12910"/>
  <c r="O90" i="12711"/>
  <c r="M29" i="12910"/>
  <c r="D2665" i="12908"/>
  <c r="AA2665" i="13034" s="1"/>
  <c r="O28" i="12711"/>
  <c r="M52" i="12910"/>
  <c r="O63" i="12711"/>
  <c r="M63" i="12910"/>
  <c r="O86" i="12711"/>
  <c r="R109" i="12973"/>
  <c r="T109" i="12973"/>
  <c r="I57" i="13005"/>
  <c r="M91" i="12910"/>
  <c r="O137" i="12711"/>
  <c r="O188" i="12711" s="1"/>
  <c r="M38" i="12910"/>
  <c r="O49" i="12711"/>
  <c r="G61" i="13005"/>
  <c r="G64" i="13005" s="1"/>
  <c r="M1862" i="12908"/>
  <c r="M1878" i="12908"/>
  <c r="M1870" i="12908"/>
  <c r="A5" i="12715"/>
  <c r="A4" i="12715"/>
  <c r="A5" i="6"/>
  <c r="A4" i="6"/>
  <c r="A5" i="12721"/>
  <c r="A4" i="12721"/>
  <c r="A5" i="12709"/>
  <c r="A4" i="12709"/>
  <c r="A5" i="12711"/>
  <c r="A4" i="12711"/>
  <c r="Y1129" i="12908" l="1"/>
  <c r="AV1129" i="13034" s="1"/>
  <c r="AA1129" i="13034"/>
  <c r="O139" i="12711"/>
  <c r="O190" i="12711" s="1"/>
  <c r="AA1799" i="13034"/>
  <c r="U1870" i="12908"/>
  <c r="AR1870" i="13034" s="1"/>
  <c r="AJ1870" i="13034"/>
  <c r="D2170" i="12908"/>
  <c r="AA2170" i="13034" s="1"/>
  <c r="AA2193" i="13034"/>
  <c r="Y1062" i="12908"/>
  <c r="AV1062" i="13034" s="1"/>
  <c r="AA1062" i="13034"/>
  <c r="I1863" i="12908"/>
  <c r="AA1863" i="13034"/>
  <c r="D1807" i="12908"/>
  <c r="AA1802" i="13034"/>
  <c r="Y1130" i="12908"/>
  <c r="AV1130" i="13034" s="1"/>
  <c r="AA1130" i="13034"/>
  <c r="AA1716" i="13034"/>
  <c r="I57" i="13016"/>
  <c r="I57" i="12989"/>
  <c r="S57" i="12989" s="1"/>
  <c r="U1878" i="12908"/>
  <c r="AR1878" i="13034" s="1"/>
  <c r="AJ1878" i="13034"/>
  <c r="I1871" i="12908"/>
  <c r="AA1871" i="13034"/>
  <c r="D2169" i="12908"/>
  <c r="AA2169" i="13034" s="1"/>
  <c r="AA2192" i="13034"/>
  <c r="O138" i="12711"/>
  <c r="O189" i="12711" s="1"/>
  <c r="AA1736" i="13034"/>
  <c r="I1836" i="12908"/>
  <c r="AA1836" i="13034"/>
  <c r="U1862" i="12908"/>
  <c r="AR1862" i="13034" s="1"/>
  <c r="AJ1862" i="13034"/>
  <c r="I1847" i="12908"/>
  <c r="AA1847" i="13034"/>
  <c r="D946" i="12908"/>
  <c r="AA946" i="13034" s="1"/>
  <c r="AA947" i="13034"/>
  <c r="O140" i="12711"/>
  <c r="O191" i="12711" s="1"/>
  <c r="AA1773" i="13034"/>
  <c r="O185" i="12711"/>
  <c r="I25" i="13016"/>
  <c r="I25" i="12989"/>
  <c r="G46" i="13007"/>
  <c r="G49" i="13007" s="1"/>
  <c r="G46" i="13014"/>
  <c r="G49" i="13014" s="1"/>
  <c r="I14" i="13017"/>
  <c r="I14" i="13014"/>
  <c r="I37" i="13007"/>
  <c r="I37" i="13017"/>
  <c r="I37" i="13014"/>
  <c r="I35" i="13007"/>
  <c r="I35" i="13017"/>
  <c r="I35" i="13014"/>
  <c r="I42" i="13007"/>
  <c r="I42" i="13017"/>
  <c r="I42" i="13014"/>
  <c r="I30" i="13007"/>
  <c r="I30" i="13017"/>
  <c r="I30" i="13014"/>
  <c r="G46" i="13017"/>
  <c r="G49" i="13017" s="1"/>
  <c r="O204" i="12711"/>
  <c r="O197" i="12711"/>
  <c r="M92" i="12910"/>
  <c r="I58" i="13005"/>
  <c r="D2190" i="12908"/>
  <c r="O173" i="12711"/>
  <c r="M96" i="12910"/>
  <c r="D1127" i="12908"/>
  <c r="O198" i="12711"/>
  <c r="O177" i="12711"/>
  <c r="O193" i="12711"/>
  <c r="D1105" i="12908"/>
  <c r="D1059" i="12908"/>
  <c r="AA1059" i="13034" s="1"/>
  <c r="D1123" i="12908"/>
  <c r="AA1123" i="13034" s="1"/>
  <c r="D2569" i="12908"/>
  <c r="AA2569" i="13034" s="1"/>
  <c r="I2584" i="12908"/>
  <c r="AF2584" i="13034" s="1"/>
  <c r="L15" i="12987"/>
  <c r="D2599" i="12908" s="1"/>
  <c r="AA2599" i="13034" s="1"/>
  <c r="AA17" i="12987"/>
  <c r="I17" i="12987"/>
  <c r="O15" i="12987"/>
  <c r="O143" i="12711"/>
  <c r="O156" i="12711" s="1"/>
  <c r="C24" i="12858" s="1"/>
  <c r="I24" i="12858" s="1"/>
  <c r="L24" i="12858" s="1"/>
  <c r="O22" i="12711"/>
  <c r="O179" i="12711" s="1"/>
  <c r="M24" i="12910"/>
  <c r="D2081" i="12908"/>
  <c r="AA2081" i="13034" s="1"/>
  <c r="O195" i="12711"/>
  <c r="I25" i="13005"/>
  <c r="D1060" i="12908"/>
  <c r="AA1060" i="13034" s="1"/>
  <c r="O184" i="12711"/>
  <c r="AC10" i="12987"/>
  <c r="X17" i="12987"/>
  <c r="X16" i="12987" s="1"/>
  <c r="D2585" i="12908" s="1"/>
  <c r="AA2585" i="13034" s="1"/>
  <c r="P15" i="12987"/>
  <c r="U15" i="12987"/>
  <c r="N17" i="12987"/>
  <c r="Z17" i="12987"/>
  <c r="V17" i="12987"/>
  <c r="Y17" i="12987"/>
  <c r="L17" i="12987"/>
  <c r="L16" i="12987" s="1"/>
  <c r="D2600" i="12908" s="1"/>
  <c r="AA2600" i="13034" s="1"/>
  <c r="H15" i="12987"/>
  <c r="O17" i="12987"/>
  <c r="AC6" i="12987"/>
  <c r="K17" i="12987"/>
  <c r="AA15" i="12987"/>
  <c r="G15" i="12987"/>
  <c r="D2597" i="12908" s="1"/>
  <c r="AA2597" i="13034" s="1"/>
  <c r="AC4" i="12987"/>
  <c r="S15" i="12987"/>
  <c r="T15" i="12987"/>
  <c r="O180" i="12711"/>
  <c r="O176" i="12711"/>
  <c r="I900" i="12908"/>
  <c r="AF900" i="13034" s="1"/>
  <c r="D904" i="12908"/>
  <c r="AA904" i="13034" s="1"/>
  <c r="D2080" i="12908"/>
  <c r="AA2080" i="13034" s="1"/>
  <c r="D1063" i="12908"/>
  <c r="Y1107" i="12908"/>
  <c r="AV1107" i="13034" s="1"/>
  <c r="I14" i="13007"/>
  <c r="I768" i="12908"/>
  <c r="AF768" i="13034" s="1"/>
  <c r="D772" i="12908"/>
  <c r="AA772" i="13034" s="1"/>
  <c r="J17" i="12987"/>
  <c r="J16" i="12987" s="1"/>
  <c r="AC3" i="12987"/>
  <c r="AC14" i="12987"/>
  <c r="K15" i="12987"/>
  <c r="D1101" i="12908"/>
  <c r="AA1101" i="13034" s="1"/>
  <c r="M21" i="12910"/>
  <c r="O19" i="12711"/>
  <c r="O174" i="12711" s="1"/>
  <c r="Y1108" i="12908"/>
  <c r="AV1108" i="13034" s="1"/>
  <c r="D1064" i="12908"/>
  <c r="Q15" i="12721"/>
  <c r="O201" i="12711"/>
  <c r="P17" i="12987"/>
  <c r="P16" i="12987" s="1"/>
  <c r="AC8" i="12987"/>
  <c r="H17" i="12987"/>
  <c r="H16" i="12987" s="1"/>
  <c r="AB15" i="12987"/>
  <c r="R15" i="12987"/>
  <c r="W15" i="12987"/>
  <c r="W16" i="12987" s="1"/>
  <c r="Q17" i="12987"/>
  <c r="AC7" i="12987"/>
  <c r="J15" i="12987"/>
  <c r="F17" i="12987"/>
  <c r="T17" i="12987"/>
  <c r="D2548" i="12908" s="1"/>
  <c r="AA2548" i="13034" s="1"/>
  <c r="O192" i="12711"/>
  <c r="O196" i="12711"/>
  <c r="D2122" i="12908"/>
  <c r="AA2122" i="13034" s="1"/>
  <c r="AC5" i="12987"/>
  <c r="M17" i="12987"/>
  <c r="G17" i="12987"/>
  <c r="G16" i="12987" s="1"/>
  <c r="D2598" i="12908" s="1"/>
  <c r="AA2598" i="13034" s="1"/>
  <c r="S17" i="12987"/>
  <c r="D2547" i="12908" s="1"/>
  <c r="AA2547" i="13034" s="1"/>
  <c r="Y15" i="12987"/>
  <c r="Y16" i="12987" s="1"/>
  <c r="R17" i="12987"/>
  <c r="I15" i="12987"/>
  <c r="Q15" i="12987"/>
  <c r="U17" i="12987"/>
  <c r="AB17" i="12987"/>
  <c r="AB16" i="12987" s="1"/>
  <c r="N15" i="12987"/>
  <c r="Z15" i="12987"/>
  <c r="M15" i="12987"/>
  <c r="V15" i="12987"/>
  <c r="I1825" i="12908"/>
  <c r="D1814" i="12908"/>
  <c r="AA1814" i="13034" s="1"/>
  <c r="D2647" i="12908"/>
  <c r="D2100" i="12908"/>
  <c r="O203" i="12711"/>
  <c r="Q17" i="12721"/>
  <c r="O181" i="12711"/>
  <c r="N279" i="12924"/>
  <c r="N285" i="12924" s="1"/>
  <c r="N278" i="12924"/>
  <c r="N281" i="12924" s="1"/>
  <c r="N276" i="12924"/>
  <c r="P276" i="12924" s="1"/>
  <c r="N275" i="12924"/>
  <c r="P275" i="12924" s="1"/>
  <c r="D275" i="12924"/>
  <c r="N260" i="12924"/>
  <c r="P260" i="12924" s="1"/>
  <c r="F278" i="12924"/>
  <c r="F281" i="12924" s="1"/>
  <c r="F275" i="12924"/>
  <c r="H275" i="12924" s="1"/>
  <c r="F260" i="12924"/>
  <c r="F287" i="12924" s="1"/>
  <c r="H287" i="12924" s="1"/>
  <c r="D288" i="12924"/>
  <c r="D294" i="12924" s="1"/>
  <c r="N294" i="12924" s="1"/>
  <c r="D287" i="12924"/>
  <c r="N287" i="12924" s="1"/>
  <c r="D279" i="12924"/>
  <c r="D282" i="12924" s="1"/>
  <c r="D278" i="12924"/>
  <c r="D284" i="12924" s="1"/>
  <c r="D276" i="12924"/>
  <c r="F276" i="12924" s="1"/>
  <c r="D260" i="12924"/>
  <c r="D272" i="12924"/>
  <c r="N272" i="12924" s="1"/>
  <c r="P272" i="12924" s="1"/>
  <c r="R272" i="12924" s="1"/>
  <c r="D270" i="12924"/>
  <c r="N270" i="12924" s="1"/>
  <c r="P270" i="12924" s="1"/>
  <c r="R270" i="12924" s="1"/>
  <c r="D269" i="12924"/>
  <c r="N269" i="12924" s="1"/>
  <c r="P269" i="12924" s="1"/>
  <c r="R269" i="12924" s="1"/>
  <c r="D266" i="12924"/>
  <c r="N266" i="12924" s="1"/>
  <c r="P266" i="12924" s="1"/>
  <c r="R266" i="12924" s="1"/>
  <c r="D264" i="12924"/>
  <c r="N264" i="12924" s="1"/>
  <c r="P264" i="12924" s="1"/>
  <c r="R264" i="12924" s="1"/>
  <c r="D263" i="12924"/>
  <c r="N263" i="12924" s="1"/>
  <c r="P263" i="12924" s="1"/>
  <c r="R263" i="12924" s="1"/>
  <c r="D261" i="12924"/>
  <c r="N261" i="12924" s="1"/>
  <c r="P261" i="12924" s="1"/>
  <c r="F229" i="12924"/>
  <c r="H229" i="12924" s="1"/>
  <c r="F223" i="12924"/>
  <c r="F250" i="12924" s="1"/>
  <c r="H250" i="12924" s="1"/>
  <c r="D247" i="12924"/>
  <c r="D250" i="12924" s="1"/>
  <c r="D246" i="12924"/>
  <c r="D252" i="12924" s="1"/>
  <c r="D238" i="12924"/>
  <c r="D241" i="12924" s="1"/>
  <c r="D237" i="12924"/>
  <c r="D240" i="12924" s="1"/>
  <c r="D235" i="12924"/>
  <c r="F235" i="12924" s="1"/>
  <c r="D234" i="12924"/>
  <c r="F234" i="12924" s="1"/>
  <c r="D232" i="12924"/>
  <c r="F232" i="12924" s="1"/>
  <c r="H232" i="12924" s="1"/>
  <c r="D231" i="12924"/>
  <c r="F231" i="12924" s="1"/>
  <c r="H231" i="12924" s="1"/>
  <c r="D219" i="12924"/>
  <c r="D228" i="12924" s="1"/>
  <c r="F228" i="12924" s="1"/>
  <c r="H228" i="12924" s="1"/>
  <c r="D229" i="12924"/>
  <c r="D223" i="12924"/>
  <c r="D220" i="12924"/>
  <c r="F220" i="12924" s="1"/>
  <c r="H212" i="12924"/>
  <c r="H211" i="12924"/>
  <c r="H209" i="12924"/>
  <c r="H208" i="12924"/>
  <c r="H206" i="12924"/>
  <c r="H205" i="12924"/>
  <c r="H203" i="12924"/>
  <c r="H202" i="12924"/>
  <c r="H200" i="12924"/>
  <c r="H199" i="12924"/>
  <c r="H197" i="12924"/>
  <c r="H196" i="12924"/>
  <c r="H194" i="12924"/>
  <c r="H193" i="12924"/>
  <c r="H191" i="12924"/>
  <c r="H190" i="12924"/>
  <c r="H188" i="12924"/>
  <c r="H187" i="12924"/>
  <c r="H185" i="12924"/>
  <c r="H184" i="12924"/>
  <c r="H182" i="12924"/>
  <c r="H181" i="12924"/>
  <c r="H179" i="12924"/>
  <c r="H178" i="12924"/>
  <c r="F212" i="12924"/>
  <c r="F211" i="12924"/>
  <c r="F209" i="12924"/>
  <c r="F208" i="12924"/>
  <c r="F206" i="12924"/>
  <c r="F205" i="12924"/>
  <c r="F203" i="12924"/>
  <c r="F202" i="12924"/>
  <c r="F200" i="12924"/>
  <c r="F199" i="12924"/>
  <c r="F197" i="12924"/>
  <c r="F196" i="12924"/>
  <c r="F194" i="12924"/>
  <c r="F193" i="12924"/>
  <c r="F191" i="12924"/>
  <c r="F190" i="12924"/>
  <c r="F188" i="12924"/>
  <c r="F187" i="12924"/>
  <c r="F185" i="12924"/>
  <c r="F184" i="12924"/>
  <c r="F182" i="12924"/>
  <c r="F181" i="12924"/>
  <c r="F179" i="12924"/>
  <c r="F178" i="12924"/>
  <c r="D206" i="12924"/>
  <c r="D212" i="12924" s="1"/>
  <c r="D205" i="12924"/>
  <c r="D211" i="12924" s="1"/>
  <c r="D197" i="12924"/>
  <c r="D203" i="12924" s="1"/>
  <c r="D196" i="12924"/>
  <c r="D199" i="12924" s="1"/>
  <c r="D194" i="12924"/>
  <c r="D193" i="12924"/>
  <c r="D191" i="12924"/>
  <c r="D190" i="12924"/>
  <c r="D178" i="12924"/>
  <c r="D188" i="12924"/>
  <c r="D187" i="12924"/>
  <c r="D185" i="12924"/>
  <c r="D184" i="12924"/>
  <c r="D182" i="12924"/>
  <c r="D181" i="12924"/>
  <c r="D179" i="12924"/>
  <c r="H171" i="12924"/>
  <c r="H170" i="12924"/>
  <c r="H168" i="12924"/>
  <c r="H167" i="12924"/>
  <c r="H165" i="12924"/>
  <c r="H164" i="12924"/>
  <c r="H162" i="12924"/>
  <c r="H161" i="12924"/>
  <c r="H159" i="12924"/>
  <c r="H158" i="12924"/>
  <c r="H156" i="12924"/>
  <c r="H155" i="12924"/>
  <c r="H153" i="12924"/>
  <c r="H152" i="12924"/>
  <c r="H150" i="12924"/>
  <c r="H149" i="12924"/>
  <c r="H147" i="12924"/>
  <c r="H146" i="12924"/>
  <c r="H144" i="12924"/>
  <c r="H143" i="12924"/>
  <c r="H141" i="12924"/>
  <c r="H140" i="12924"/>
  <c r="H138" i="12924"/>
  <c r="H137" i="12924"/>
  <c r="F171" i="12924"/>
  <c r="F170" i="12924"/>
  <c r="F168" i="12924"/>
  <c r="F167" i="12924"/>
  <c r="F165" i="12924"/>
  <c r="F164" i="12924"/>
  <c r="F162" i="12924"/>
  <c r="F161" i="12924"/>
  <c r="F159" i="12924"/>
  <c r="F158" i="12924"/>
  <c r="F156" i="12924"/>
  <c r="F155" i="12924"/>
  <c r="F153" i="12924"/>
  <c r="F152" i="12924"/>
  <c r="F150" i="12924"/>
  <c r="F149" i="12924"/>
  <c r="F147" i="12924"/>
  <c r="F146" i="12924"/>
  <c r="F144" i="12924"/>
  <c r="F143" i="12924"/>
  <c r="F141" i="12924"/>
  <c r="F140" i="12924"/>
  <c r="F138" i="12924"/>
  <c r="F137" i="12924"/>
  <c r="D165" i="12924"/>
  <c r="D171" i="12924" s="1"/>
  <c r="D164" i="12924"/>
  <c r="D170" i="12924" s="1"/>
  <c r="D155" i="12924"/>
  <c r="D161" i="12924" s="1"/>
  <c r="D156" i="12924"/>
  <c r="D159" i="12924" s="1"/>
  <c r="D153" i="12924"/>
  <c r="D152" i="12924"/>
  <c r="D150" i="12924"/>
  <c r="D149" i="12924"/>
  <c r="D137" i="12924"/>
  <c r="D147" i="12924"/>
  <c r="D146" i="12924"/>
  <c r="D144" i="12924"/>
  <c r="D143" i="12924"/>
  <c r="D141" i="12924"/>
  <c r="D140" i="12924"/>
  <c r="D138" i="12924"/>
  <c r="H103" i="12924"/>
  <c r="H104" i="12924"/>
  <c r="H105" i="12924"/>
  <c r="H106" i="12924"/>
  <c r="H107" i="12924"/>
  <c r="H108" i="12924"/>
  <c r="H109" i="12924"/>
  <c r="H110" i="12924"/>
  <c r="H111" i="12924"/>
  <c r="H112" i="12924"/>
  <c r="H113" i="12924"/>
  <c r="H102" i="12924"/>
  <c r="F112" i="12924"/>
  <c r="F113" i="12924"/>
  <c r="F111" i="12924"/>
  <c r="F109" i="12924"/>
  <c r="F110" i="12924" s="1"/>
  <c r="F108" i="12924"/>
  <c r="F103" i="12924"/>
  <c r="F104" i="12924"/>
  <c r="F105" i="12924"/>
  <c r="F106" i="12924"/>
  <c r="F107" i="12924"/>
  <c r="F102" i="12924"/>
  <c r="D112" i="12924"/>
  <c r="D113" i="12924"/>
  <c r="D111" i="12924"/>
  <c r="D109" i="12924"/>
  <c r="D110" i="12924"/>
  <c r="D108" i="12924"/>
  <c r="D107" i="12924"/>
  <c r="D106" i="12924"/>
  <c r="D105" i="12924"/>
  <c r="D103" i="12924"/>
  <c r="D104" i="12924"/>
  <c r="D102" i="12924"/>
  <c r="H49" i="12924"/>
  <c r="H48" i="12924"/>
  <c r="H46" i="12924"/>
  <c r="H45" i="12924"/>
  <c r="H43" i="12924"/>
  <c r="H42" i="12924"/>
  <c r="H40" i="12924"/>
  <c r="H39" i="12924"/>
  <c r="H38" i="12924"/>
  <c r="H36" i="12924"/>
  <c r="H35" i="12924"/>
  <c r="H34" i="12924"/>
  <c r="H32" i="12924"/>
  <c r="H31" i="12924"/>
  <c r="H30" i="12924"/>
  <c r="H28" i="12924"/>
  <c r="H27" i="12924"/>
  <c r="H26" i="12924"/>
  <c r="H24" i="12924"/>
  <c r="H23" i="12924"/>
  <c r="H22" i="12924"/>
  <c r="H20" i="12924"/>
  <c r="H19" i="12924"/>
  <c r="H17" i="12924"/>
  <c r="H16" i="12924"/>
  <c r="H14" i="12924"/>
  <c r="H13" i="12924"/>
  <c r="H11" i="12924"/>
  <c r="H10" i="12924"/>
  <c r="F49" i="12924"/>
  <c r="F48" i="12924"/>
  <c r="F46" i="12924"/>
  <c r="F45" i="12924"/>
  <c r="F43" i="12924"/>
  <c r="F42" i="12924"/>
  <c r="F39" i="12924"/>
  <c r="F40" i="12924"/>
  <c r="F38" i="12924"/>
  <c r="F35" i="12924"/>
  <c r="F36" i="12924"/>
  <c r="F34" i="12924"/>
  <c r="F31" i="12924"/>
  <c r="F32" i="12924"/>
  <c r="F30" i="12924"/>
  <c r="F28" i="12924"/>
  <c r="F27" i="12924"/>
  <c r="F26" i="12924"/>
  <c r="F24" i="12924"/>
  <c r="F23" i="12924"/>
  <c r="F22" i="12924"/>
  <c r="F20" i="12924"/>
  <c r="F19" i="12924"/>
  <c r="F17" i="12924"/>
  <c r="F16" i="12924"/>
  <c r="F14" i="12924"/>
  <c r="F13" i="12924"/>
  <c r="F11" i="12924"/>
  <c r="F10" i="12924"/>
  <c r="D32" i="12924"/>
  <c r="D36" i="12924" s="1"/>
  <c r="D31" i="12924"/>
  <c r="D35" i="12924" s="1"/>
  <c r="D30" i="12924"/>
  <c r="D34" i="12924" s="1"/>
  <c r="D27" i="12924"/>
  <c r="D28" i="12924"/>
  <c r="D26" i="12924"/>
  <c r="D24" i="12924"/>
  <c r="D23" i="12924"/>
  <c r="D22" i="12924"/>
  <c r="D10" i="12924"/>
  <c r="D43" i="12924"/>
  <c r="D49" i="12924" s="1"/>
  <c r="D42" i="12924"/>
  <c r="D45" i="12924" s="1"/>
  <c r="D20" i="12924"/>
  <c r="D19" i="12924"/>
  <c r="D17" i="12924"/>
  <c r="D16" i="12924"/>
  <c r="D14" i="12924"/>
  <c r="D13" i="12924"/>
  <c r="D11" i="12924"/>
  <c r="D2167" i="12908" l="1"/>
  <c r="AA2167" i="13034" s="1"/>
  <c r="AA2190" i="13034"/>
  <c r="I1838" i="12908"/>
  <c r="AF1838" i="13034" s="1"/>
  <c r="AF1836" i="13034"/>
  <c r="D1061" i="12908"/>
  <c r="AA1105" i="13034"/>
  <c r="Y1127" i="12908"/>
  <c r="AV1127" i="13034" s="1"/>
  <c r="AA1127" i="13034"/>
  <c r="I1865" i="12908"/>
  <c r="AF1863" i="13034"/>
  <c r="D2078" i="12908"/>
  <c r="AA2078" i="13034" s="1"/>
  <c r="AA2100" i="13034"/>
  <c r="Y1064" i="12908"/>
  <c r="AV1064" i="13034" s="1"/>
  <c r="AA1064" i="13034"/>
  <c r="I1873" i="12908"/>
  <c r="AF1871" i="13034"/>
  <c r="D2649" i="12908"/>
  <c r="AA2649" i="13034" s="1"/>
  <c r="AA2647" i="13034"/>
  <c r="I1827" i="12908"/>
  <c r="AF1827" i="13034" s="1"/>
  <c r="AF1825" i="13034"/>
  <c r="Y1063" i="12908"/>
  <c r="AV1063" i="13034" s="1"/>
  <c r="AA1063" i="13034"/>
  <c r="I1849" i="12908"/>
  <c r="AF1849" i="13034" s="1"/>
  <c r="AF1847" i="13034"/>
  <c r="AA1807" i="13034"/>
  <c r="I58" i="13016"/>
  <c r="I58" i="12989"/>
  <c r="S58" i="12989" s="1"/>
  <c r="I62" i="12989"/>
  <c r="I29" i="13016"/>
  <c r="I29" i="12989"/>
  <c r="I24" i="13016"/>
  <c r="I24" i="12989"/>
  <c r="I43" i="13007"/>
  <c r="I43" i="13017"/>
  <c r="I43" i="13014"/>
  <c r="Y1105" i="12908"/>
  <c r="AV1105" i="13034" s="1"/>
  <c r="D1057" i="12908"/>
  <c r="AA1057" i="13034" s="1"/>
  <c r="R16" i="12987"/>
  <c r="D2601" i="12908"/>
  <c r="M16" i="12987"/>
  <c r="AC15" i="12987"/>
  <c r="AE15" i="12987" s="1"/>
  <c r="I16" i="12987"/>
  <c r="D2590" i="12908"/>
  <c r="AA2590" i="13034" s="1"/>
  <c r="U16" i="12987"/>
  <c r="I2548" i="12908"/>
  <c r="AF2548" i="13034" s="1"/>
  <c r="Q16" i="12987"/>
  <c r="AC17" i="12987"/>
  <c r="I29" i="13005"/>
  <c r="D2591" i="12908"/>
  <c r="AA2591" i="13034" s="1"/>
  <c r="I2597" i="12908"/>
  <c r="AF2597" i="13034" s="1"/>
  <c r="V16" i="12987"/>
  <c r="AA16" i="12987"/>
  <c r="D2586" i="12908"/>
  <c r="AA2586" i="13034" s="1"/>
  <c r="I1814" i="12908"/>
  <c r="D1818" i="12908"/>
  <c r="AA1818" i="13034" s="1"/>
  <c r="I2547" i="12908"/>
  <c r="D2554" i="12908"/>
  <c r="F16" i="12987"/>
  <c r="T16" i="12987"/>
  <c r="Z16" i="12987"/>
  <c r="D2570" i="12908"/>
  <c r="AA2570" i="13034" s="1"/>
  <c r="I2585" i="12908"/>
  <c r="AF2585" i="13034" s="1"/>
  <c r="D2593" i="12908"/>
  <c r="AA2593" i="13034" s="1"/>
  <c r="D2595" i="12908"/>
  <c r="AA2595" i="13034" s="1"/>
  <c r="I2599" i="12908"/>
  <c r="AF2599" i="13034" s="1"/>
  <c r="I62" i="13005"/>
  <c r="D2592" i="12908"/>
  <c r="AA2592" i="13034" s="1"/>
  <c r="I2598" i="12908"/>
  <c r="AF2598" i="13034" s="1"/>
  <c r="I24" i="13005"/>
  <c r="S16" i="12987"/>
  <c r="K16" i="12987"/>
  <c r="D2594" i="12908"/>
  <c r="AA2594" i="13034" s="1"/>
  <c r="I2600" i="12908"/>
  <c r="AF2600" i="13034" s="1"/>
  <c r="N16" i="12987"/>
  <c r="O16" i="12987"/>
  <c r="D46" i="12924"/>
  <c r="D158" i="12924"/>
  <c r="N282" i="12924"/>
  <c r="D38" i="12924"/>
  <c r="D167" i="12924"/>
  <c r="D39" i="12924"/>
  <c r="D168" i="12924"/>
  <c r="D208" i="12924"/>
  <c r="D209" i="12924"/>
  <c r="D285" i="12924"/>
  <c r="D162" i="12924"/>
  <c r="D244" i="12924"/>
  <c r="D40" i="12924"/>
  <c r="D202" i="12924"/>
  <c r="D290" i="12924"/>
  <c r="N290" i="12924" s="1"/>
  <c r="D243" i="12924"/>
  <c r="D48" i="12924"/>
  <c r="D200" i="12924"/>
  <c r="N288" i="12924"/>
  <c r="H234" i="12924"/>
  <c r="F237" i="12924"/>
  <c r="P287" i="12924"/>
  <c r="R260" i="12924"/>
  <c r="F238" i="12924"/>
  <c r="H235" i="12924"/>
  <c r="H220" i="12924"/>
  <c r="F247" i="12924"/>
  <c r="H247" i="12924" s="1"/>
  <c r="R261" i="12924"/>
  <c r="P288" i="12924"/>
  <c r="H276" i="12924"/>
  <c r="F279" i="12924"/>
  <c r="R275" i="12924"/>
  <c r="P278" i="12924"/>
  <c r="H281" i="12924"/>
  <c r="F284" i="12924"/>
  <c r="H284" i="12924" s="1"/>
  <c r="P279" i="12924"/>
  <c r="R276" i="12924"/>
  <c r="D253" i="12924"/>
  <c r="H223" i="12924"/>
  <c r="F266" i="12924"/>
  <c r="H278" i="12924"/>
  <c r="D226" i="12924"/>
  <c r="F226" i="12924" s="1"/>
  <c r="D249" i="12924"/>
  <c r="F219" i="12924"/>
  <c r="D267" i="12924"/>
  <c r="D273" i="12924"/>
  <c r="D291" i="12924"/>
  <c r="N291" i="12924" s="1"/>
  <c r="F261" i="12924"/>
  <c r="N284" i="12924"/>
  <c r="D225" i="12924"/>
  <c r="F225" i="12924" s="1"/>
  <c r="D281" i="12924"/>
  <c r="F272" i="12924"/>
  <c r="H272" i="12924" s="1"/>
  <c r="H260" i="12924"/>
  <c r="D222" i="12924"/>
  <c r="F222" i="12924" s="1"/>
  <c r="D293" i="12924"/>
  <c r="N293" i="12924" s="1"/>
  <c r="F263" i="12924"/>
  <c r="F269" i="12924"/>
  <c r="H269" i="12924" s="1"/>
  <c r="F264" i="12924"/>
  <c r="F270" i="12924"/>
  <c r="H270" i="12924" s="1"/>
  <c r="A5" i="12910"/>
  <c r="I2601" i="12908" l="1"/>
  <c r="AF2601" i="13034" s="1"/>
  <c r="AA2601" i="13034"/>
  <c r="I62" i="13016"/>
  <c r="I2554" i="12908"/>
  <c r="AF2554" i="13034" s="1"/>
  <c r="AA2554" i="13034"/>
  <c r="I1816" i="12908"/>
  <c r="AF1816" i="13034" s="1"/>
  <c r="AF1814" i="13034"/>
  <c r="I1875" i="12908"/>
  <c r="AF1873" i="13034"/>
  <c r="AF2547" i="13034"/>
  <c r="I1867" i="12908"/>
  <c r="AF1865" i="13034"/>
  <c r="Y1061" i="12908"/>
  <c r="AV1061" i="13034" s="1"/>
  <c r="AA1061" i="13034"/>
  <c r="I59" i="13016"/>
  <c r="I59" i="12989"/>
  <c r="I47" i="13007"/>
  <c r="I47" i="13017"/>
  <c r="I47" i="13014"/>
  <c r="I21" i="13007"/>
  <c r="I21" i="13017"/>
  <c r="I21" i="13014"/>
  <c r="D2596" i="12908"/>
  <c r="AA2596" i="13034" s="1"/>
  <c r="Y2586" i="12908"/>
  <c r="AV2586" i="13034" s="1"/>
  <c r="W2586" i="12908"/>
  <c r="D2587" i="12908"/>
  <c r="I2586" i="12908"/>
  <c r="AF2586" i="13034" s="1"/>
  <c r="I59" i="13005"/>
  <c r="AC16" i="12987"/>
  <c r="AE16" i="12987" s="1"/>
  <c r="AE17" i="12987"/>
  <c r="W2590" i="12908"/>
  <c r="I2590" i="12908"/>
  <c r="AF2590" i="13034" s="1"/>
  <c r="K1847" i="12908"/>
  <c r="AH1847" i="13034" s="1"/>
  <c r="K1825" i="12908"/>
  <c r="AH1825" i="13034" s="1"/>
  <c r="K1836" i="12908"/>
  <c r="AH1836" i="13034" s="1"/>
  <c r="I2602" i="12908"/>
  <c r="H264" i="12924"/>
  <c r="F291" i="12924"/>
  <c r="H291" i="12924" s="1"/>
  <c r="H222" i="12924"/>
  <c r="F249" i="12924"/>
  <c r="H249" i="12924" s="1"/>
  <c r="F252" i="12924"/>
  <c r="H252" i="12924" s="1"/>
  <c r="H225" i="12924"/>
  <c r="N273" i="12924"/>
  <c r="P273" i="12924" s="1"/>
  <c r="R273" i="12924" s="1"/>
  <c r="F273" i="12924"/>
  <c r="H273" i="12924" s="1"/>
  <c r="F253" i="12924"/>
  <c r="H253" i="12924" s="1"/>
  <c r="H226" i="12924"/>
  <c r="R287" i="12924"/>
  <c r="P290" i="12924"/>
  <c r="N267" i="12924"/>
  <c r="P267" i="12924" s="1"/>
  <c r="R267" i="12924" s="1"/>
  <c r="F267" i="12924"/>
  <c r="P281" i="12924"/>
  <c r="R278" i="12924"/>
  <c r="P291" i="12924"/>
  <c r="R288" i="12924"/>
  <c r="F240" i="12924"/>
  <c r="H237" i="12924"/>
  <c r="F282" i="12924"/>
  <c r="H279" i="12924"/>
  <c r="H263" i="12924"/>
  <c r="F290" i="12924"/>
  <c r="H290" i="12924" s="1"/>
  <c r="F288" i="12924"/>
  <c r="H288" i="12924" s="1"/>
  <c r="H261" i="12924"/>
  <c r="F246" i="12924"/>
  <c r="H246" i="12924" s="1"/>
  <c r="H219" i="12924"/>
  <c r="F293" i="12924"/>
  <c r="H293" i="12924" s="1"/>
  <c r="H266" i="12924"/>
  <c r="R279" i="12924"/>
  <c r="P282" i="12924"/>
  <c r="H238" i="12924"/>
  <c r="F241" i="12924"/>
  <c r="AF1867" i="13034" l="1"/>
  <c r="N59" i="12709"/>
  <c r="Q48" i="12910"/>
  <c r="AF1875" i="13034"/>
  <c r="N94" i="12709"/>
  <c r="Q71" i="12910"/>
  <c r="D2606" i="12908"/>
  <c r="AA2587" i="13034"/>
  <c r="I2587" i="12908"/>
  <c r="AF2587" i="13034" s="1"/>
  <c r="I2604" i="12908"/>
  <c r="AF2604" i="13034" s="1"/>
  <c r="AF2602" i="13034"/>
  <c r="AT2590" i="13034"/>
  <c r="AI2590" i="13015"/>
  <c r="AT2586" i="13034"/>
  <c r="AI2586" i="13015"/>
  <c r="I44" i="13007"/>
  <c r="I44" i="13017"/>
  <c r="I44" i="13014"/>
  <c r="S1836" i="12908"/>
  <c r="AP1836" i="13034" s="1"/>
  <c r="S1847" i="12908"/>
  <c r="AP1847" i="13034" s="1"/>
  <c r="S1825" i="12908"/>
  <c r="AP1825" i="13034" s="1"/>
  <c r="I2606" i="12908"/>
  <c r="I48" i="13005"/>
  <c r="M53" i="12910"/>
  <c r="M57" i="12910" s="1"/>
  <c r="P293" i="12924"/>
  <c r="R293" i="12924" s="1"/>
  <c r="R290" i="12924"/>
  <c r="H240" i="12924"/>
  <c r="F243" i="12924"/>
  <c r="H243" i="12924" s="1"/>
  <c r="R281" i="12924"/>
  <c r="P284" i="12924"/>
  <c r="R284" i="12924" s="1"/>
  <c r="P285" i="12924"/>
  <c r="R285" i="12924" s="1"/>
  <c r="R282" i="12924"/>
  <c r="F244" i="12924"/>
  <c r="H244" i="12924" s="1"/>
  <c r="H241" i="12924"/>
  <c r="F294" i="12924"/>
  <c r="H294" i="12924" s="1"/>
  <c r="H267" i="12924"/>
  <c r="H282" i="12924"/>
  <c r="F285" i="12924"/>
  <c r="H285" i="12924" s="1"/>
  <c r="R291" i="12924"/>
  <c r="P294" i="12924"/>
  <c r="R294" i="12924" s="1"/>
  <c r="H1253" i="12908"/>
  <c r="AE1253" i="13034" s="1"/>
  <c r="H1295" i="12908"/>
  <c r="AE1295" i="13034" s="1"/>
  <c r="H1337" i="12908"/>
  <c r="AE1337" i="13034" s="1"/>
  <c r="AA2606" i="13034" l="1"/>
  <c r="I48" i="13016"/>
  <c r="I48" i="12989"/>
  <c r="AF2606" i="13034"/>
  <c r="K48" i="12989"/>
  <c r="O64" i="12711"/>
  <c r="I33" i="13007"/>
  <c r="I33" i="13017"/>
  <c r="I33" i="13014"/>
  <c r="Q53" i="12910"/>
  <c r="N64" i="12709"/>
  <c r="N200" i="12709" s="1"/>
  <c r="O199" i="12711"/>
  <c r="O67" i="12711"/>
  <c r="O80" i="12711" s="1"/>
  <c r="C20" i="12858" s="1"/>
  <c r="C1169" i="12908"/>
  <c r="H1211" i="12908"/>
  <c r="AE1211" i="13034" s="1"/>
  <c r="C1623" i="12908"/>
  <c r="Z1623" i="13034" s="1"/>
  <c r="C1622" i="12908"/>
  <c r="Z1622" i="13034" s="1"/>
  <c r="F23" i="12771"/>
  <c r="G23" i="12771"/>
  <c r="H23" i="12771"/>
  <c r="I23" i="12771"/>
  <c r="I25" i="12771" s="1"/>
  <c r="J23" i="12771"/>
  <c r="K23" i="12771"/>
  <c r="L23" i="12771"/>
  <c r="M23" i="12771"/>
  <c r="M25" i="12771" s="1"/>
  <c r="N23" i="12771"/>
  <c r="O23" i="12771"/>
  <c r="P23" i="12771"/>
  <c r="Q23" i="12771"/>
  <c r="Q25" i="12771" s="1"/>
  <c r="R23" i="12771"/>
  <c r="S23" i="12771"/>
  <c r="T23" i="12771"/>
  <c r="U23" i="12771"/>
  <c r="U25" i="12771" s="1"/>
  <c r="V23" i="12771"/>
  <c r="W23" i="12771"/>
  <c r="X23" i="12771"/>
  <c r="Y23" i="12771"/>
  <c r="Y25" i="12771" s="1"/>
  <c r="Z23" i="12771"/>
  <c r="F24" i="12771"/>
  <c r="G24" i="12771"/>
  <c r="H24" i="12771"/>
  <c r="H25" i="12771" s="1"/>
  <c r="I24" i="12771"/>
  <c r="J24" i="12771"/>
  <c r="K24" i="12771"/>
  <c r="K25" i="12771" s="1"/>
  <c r="L24" i="12771"/>
  <c r="L25" i="12771" s="1"/>
  <c r="M24" i="12771"/>
  <c r="N24" i="12771"/>
  <c r="O24" i="12771"/>
  <c r="P24" i="12771"/>
  <c r="P25" i="12771" s="1"/>
  <c r="Q24" i="12771"/>
  <c r="R24" i="12771"/>
  <c r="S24" i="12771"/>
  <c r="S25" i="12771" s="1"/>
  <c r="T24" i="12771"/>
  <c r="T25" i="12771" s="1"/>
  <c r="U24" i="12771"/>
  <c r="V24" i="12771"/>
  <c r="W24" i="12771"/>
  <c r="X24" i="12771"/>
  <c r="X25" i="12771" s="1"/>
  <c r="Y24" i="12771"/>
  <c r="Z24" i="12771"/>
  <c r="F25" i="12771"/>
  <c r="G25" i="12771"/>
  <c r="J25" i="12771"/>
  <c r="N25" i="12771"/>
  <c r="O25" i="12771"/>
  <c r="R25" i="12771"/>
  <c r="V25" i="12771"/>
  <c r="W25" i="12771"/>
  <c r="Z25" i="12771"/>
  <c r="E25" i="12771"/>
  <c r="H1169" i="12908" l="1"/>
  <c r="AE1169" i="13034" s="1"/>
  <c r="Z1169" i="13034"/>
  <c r="D1622" i="12908"/>
  <c r="AC40" i="12777"/>
  <c r="AA1622" i="13034" l="1"/>
  <c r="U1622" i="12908"/>
  <c r="AR1622" i="13034" s="1"/>
  <c r="W1622" i="12908"/>
  <c r="I1622" i="12908"/>
  <c r="AF1622" i="13034" s="1"/>
  <c r="D1623" i="12908"/>
  <c r="AA1623" i="13034" s="1"/>
  <c r="R155" i="12711"/>
  <c r="R154" i="12711"/>
  <c r="R151" i="12711"/>
  <c r="R150" i="12711"/>
  <c r="R149" i="12711"/>
  <c r="R148" i="12711"/>
  <c r="R147" i="12711"/>
  <c r="R146" i="12711"/>
  <c r="R145" i="12711"/>
  <c r="R132" i="12711"/>
  <c r="R131" i="12711"/>
  <c r="R128" i="12711"/>
  <c r="R127" i="12711"/>
  <c r="R126" i="12711"/>
  <c r="R125" i="12711"/>
  <c r="R124" i="12711"/>
  <c r="R123" i="12711"/>
  <c r="R122" i="12711"/>
  <c r="R114" i="12711"/>
  <c r="R113" i="12711"/>
  <c r="R110" i="12711"/>
  <c r="R109" i="12711"/>
  <c r="R108" i="12711"/>
  <c r="R107" i="12711"/>
  <c r="R106" i="12711"/>
  <c r="R105" i="12711"/>
  <c r="R104" i="12711"/>
  <c r="R79" i="12711"/>
  <c r="R78" i="12711"/>
  <c r="R75" i="12711"/>
  <c r="R74" i="12711"/>
  <c r="R73" i="12711"/>
  <c r="R72" i="12711"/>
  <c r="R71" i="12711"/>
  <c r="R70" i="12711"/>
  <c r="R69" i="12711"/>
  <c r="R41" i="12711"/>
  <c r="R40" i="12711"/>
  <c r="R37" i="12711"/>
  <c r="R36" i="12711"/>
  <c r="R35" i="12711"/>
  <c r="R34" i="12711"/>
  <c r="R33" i="12711"/>
  <c r="R32" i="12711"/>
  <c r="R31" i="12711"/>
  <c r="AL3" i="12763"/>
  <c r="AL4" i="12763"/>
  <c r="AL5" i="12763"/>
  <c r="AL6" i="12763"/>
  <c r="AL7" i="12763"/>
  <c r="AL8" i="12763"/>
  <c r="AL9" i="12763"/>
  <c r="AL10" i="12763"/>
  <c r="AL11" i="12763"/>
  <c r="AL12" i="12763"/>
  <c r="AL13" i="12763"/>
  <c r="AL14" i="12763"/>
  <c r="AL15" i="12763"/>
  <c r="AL16" i="12763"/>
  <c r="AL17" i="12763"/>
  <c r="AL18" i="12763"/>
  <c r="AL19" i="12763"/>
  <c r="AL20" i="12763"/>
  <c r="AL2" i="12763"/>
  <c r="AX33" i="12756"/>
  <c r="AX34" i="12756"/>
  <c r="AX35" i="12756"/>
  <c r="AX36" i="12756"/>
  <c r="AX37" i="12756"/>
  <c r="AX38" i="12756"/>
  <c r="AX39" i="12756"/>
  <c r="AX40" i="12756"/>
  <c r="AX41" i="12756"/>
  <c r="AX42" i="12756"/>
  <c r="AX43" i="12756"/>
  <c r="AX44" i="12756"/>
  <c r="AX45" i="12756"/>
  <c r="AX48" i="12756"/>
  <c r="AX49" i="12756"/>
  <c r="AX50" i="12756"/>
  <c r="AX51" i="12756"/>
  <c r="AX52" i="12756"/>
  <c r="AX53" i="12756"/>
  <c r="AX54" i="12756"/>
  <c r="AX55" i="12756"/>
  <c r="AX56" i="12756"/>
  <c r="AX57" i="12756"/>
  <c r="AX58" i="12756"/>
  <c r="AX59" i="12756"/>
  <c r="AX63" i="12756"/>
  <c r="AX64" i="12756"/>
  <c r="AX65" i="12756"/>
  <c r="AX66" i="12756"/>
  <c r="AX67" i="12756"/>
  <c r="AX68" i="12756"/>
  <c r="AX69" i="12756"/>
  <c r="AX70" i="12756"/>
  <c r="AX71" i="12756"/>
  <c r="AX72" i="12756"/>
  <c r="AX73" i="12756"/>
  <c r="AX74" i="12756"/>
  <c r="AF2" i="12786"/>
  <c r="AE2" i="12786"/>
  <c r="G39" i="12989" l="1"/>
  <c r="G39" i="13016"/>
  <c r="AT1622" i="13034"/>
  <c r="AI1622" i="13015"/>
  <c r="U1623" i="12908"/>
  <c r="AR1623" i="13034" s="1"/>
  <c r="W1623" i="12908"/>
  <c r="G39" i="13005"/>
  <c r="I84" i="12910"/>
  <c r="G119" i="12711"/>
  <c r="G187" i="12711" s="1"/>
  <c r="I1623" i="12908"/>
  <c r="AF1623" i="13034" s="1"/>
  <c r="E98" i="12709"/>
  <c r="G17" i="12721"/>
  <c r="E63" i="12709"/>
  <c r="AT1623" i="13034" l="1"/>
  <c r="AI1623" i="13015"/>
  <c r="K152" i="12709"/>
  <c r="K129" i="12709"/>
  <c r="K111" i="12709"/>
  <c r="K76" i="12709"/>
  <c r="K38" i="12709"/>
  <c r="D42" i="12763" l="1"/>
  <c r="C42" i="12763"/>
  <c r="D41" i="12763"/>
  <c r="D44" i="12763" s="1"/>
  <c r="C41" i="12763"/>
  <c r="C44" i="12763" s="1"/>
  <c r="D40" i="12763"/>
  <c r="D43" i="12763" s="1"/>
  <c r="C40" i="12763"/>
  <c r="C43" i="12763" s="1"/>
  <c r="N4" i="12925"/>
  <c r="H2629" i="12908"/>
  <c r="AE2629" i="13034" s="1"/>
  <c r="H2627" i="12908"/>
  <c r="AE2627" i="13034" s="1"/>
  <c r="H2618" i="12908"/>
  <c r="AE2618" i="13034" s="1"/>
  <c r="H2617" i="12908"/>
  <c r="AE2617" i="13034" s="1"/>
  <c r="H2615" i="12908"/>
  <c r="AE2615" i="13034" s="1"/>
  <c r="I2627" i="12908" l="1"/>
  <c r="AF2627" i="13034" s="1"/>
  <c r="I2629" i="12908" l="1"/>
  <c r="AF2629" i="13034" s="1"/>
  <c r="AA22" i="12930" l="1"/>
  <c r="AL2" i="12756" l="1"/>
  <c r="AM2" i="12756"/>
  <c r="AL3" i="12756"/>
  <c r="AM3" i="12756"/>
  <c r="AL4" i="12756"/>
  <c r="AM4" i="12756"/>
  <c r="AL5" i="12756"/>
  <c r="AM5" i="12756"/>
  <c r="AL6" i="12756"/>
  <c r="AM6" i="12756"/>
  <c r="AL7" i="12756"/>
  <c r="AM7" i="12756"/>
  <c r="AL8" i="12756"/>
  <c r="AM8" i="12756"/>
  <c r="AL9" i="12756"/>
  <c r="AL16" i="12756" s="1"/>
  <c r="C63" i="12908" s="1"/>
  <c r="Z63" i="13034" s="1"/>
  <c r="AM9" i="12756"/>
  <c r="AM16" i="12756" s="1"/>
  <c r="C56" i="12908" s="1"/>
  <c r="AL10" i="12756"/>
  <c r="AM10" i="12756"/>
  <c r="AL11" i="12756"/>
  <c r="AL17" i="12756" s="1"/>
  <c r="C100" i="12908" s="1"/>
  <c r="Z100" i="13034" s="1"/>
  <c r="AM11" i="12756"/>
  <c r="AM17" i="12756" s="1"/>
  <c r="C93" i="12908" s="1"/>
  <c r="AL12" i="12756"/>
  <c r="AM12" i="12756"/>
  <c r="AM15" i="12756" s="1"/>
  <c r="C19" i="12908" s="1"/>
  <c r="AL13" i="12756"/>
  <c r="AM13" i="12756"/>
  <c r="AL15" i="12756"/>
  <c r="C26" i="12908" s="1"/>
  <c r="Z26" i="13034" s="1"/>
  <c r="AB23" i="12777"/>
  <c r="C716" i="12908" s="1"/>
  <c r="Z716" i="13034" s="1"/>
  <c r="AB24" i="12777"/>
  <c r="C737" i="12908" s="1"/>
  <c r="Z737" i="13034" s="1"/>
  <c r="AB25" i="12777"/>
  <c r="C695" i="12908" s="1"/>
  <c r="Z695" i="13034" s="1"/>
  <c r="AB27" i="12777"/>
  <c r="AB28" i="12777"/>
  <c r="AB29" i="12777"/>
  <c r="AB31" i="12777"/>
  <c r="AB32" i="12777"/>
  <c r="AB33" i="12777"/>
  <c r="AB35" i="12777"/>
  <c r="AB36" i="12777"/>
  <c r="AB37" i="12777"/>
  <c r="C2119" i="12908"/>
  <c r="Z2119" i="13034" s="1"/>
  <c r="C2210" i="12908"/>
  <c r="Z2210" i="13034" s="1"/>
  <c r="AH24" i="12763"/>
  <c r="C2027" i="12908" s="1"/>
  <c r="Z2027" i="13034" s="1"/>
  <c r="AH25" i="12763"/>
  <c r="C2051" i="12908" s="1"/>
  <c r="Z2051" i="13034" s="1"/>
  <c r="AH26" i="12763"/>
  <c r="C2003" i="12908" s="1"/>
  <c r="Z2003" i="13034" s="1"/>
  <c r="AH28" i="12763"/>
  <c r="AH31" i="12763" s="1"/>
  <c r="AH29" i="12763"/>
  <c r="C2141" i="12908" s="1"/>
  <c r="Z2141" i="13034" s="1"/>
  <c r="AH30" i="12763"/>
  <c r="C2097" i="12908" s="1"/>
  <c r="Z2097" i="13034" s="1"/>
  <c r="AH32" i="12763"/>
  <c r="AH33" i="12763"/>
  <c r="AH34" i="12763"/>
  <c r="C2187" i="12908" s="1"/>
  <c r="Z2187" i="13034" s="1"/>
  <c r="H93" i="12908" l="1"/>
  <c r="AE93" i="13034" s="1"/>
  <c r="Z93" i="13034"/>
  <c r="H56" i="12908"/>
  <c r="AE56" i="13034" s="1"/>
  <c r="Z56" i="13034"/>
  <c r="H19" i="12908"/>
  <c r="AE19" i="13034" s="1"/>
  <c r="Z19" i="13034"/>
  <c r="AB30" i="12777"/>
  <c r="AH35" i="12763"/>
  <c r="AH27" i="12763"/>
  <c r="AB34" i="12777"/>
  <c r="AB38" i="12777"/>
  <c r="AL18" i="12756"/>
  <c r="C129" i="12908" s="1"/>
  <c r="Z129" i="13034" s="1"/>
  <c r="AM18" i="12756"/>
  <c r="C122" i="12908" s="1"/>
  <c r="AM19" i="12756"/>
  <c r="C159" i="12908" s="1"/>
  <c r="AL19" i="12756"/>
  <c r="C166" i="12908" s="1"/>
  <c r="Z166" i="13034" s="1"/>
  <c r="AM20" i="12756"/>
  <c r="C196" i="12908" s="1"/>
  <c r="AL20" i="12756"/>
  <c r="C203" i="12908" s="1"/>
  <c r="Z203" i="13034" s="1"/>
  <c r="C2164" i="12908"/>
  <c r="C1979" i="12908"/>
  <c r="Z1979" i="13034" s="1"/>
  <c r="C674" i="12908"/>
  <c r="Z674" i="13034" s="1"/>
  <c r="C2075" i="12908"/>
  <c r="H2210" i="12908"/>
  <c r="AE2210" i="13034" s="1"/>
  <c r="H2003" i="12908"/>
  <c r="AE2003" i="13034" s="1"/>
  <c r="H2187" i="12908"/>
  <c r="AE2187" i="13034" s="1"/>
  <c r="H2097" i="12908"/>
  <c r="AE2097" i="13034" s="1"/>
  <c r="H2051" i="12908"/>
  <c r="AE2051" i="13034" s="1"/>
  <c r="H2141" i="12908"/>
  <c r="AE2141" i="13034" s="1"/>
  <c r="H2027" i="12908"/>
  <c r="AE2027" i="13034" s="1"/>
  <c r="H2119" i="12908"/>
  <c r="AE2119" i="13034" s="1"/>
  <c r="H695" i="12908"/>
  <c r="AE695" i="13034" s="1"/>
  <c r="H737" i="12908"/>
  <c r="AE737" i="13034" s="1"/>
  <c r="H716" i="12908"/>
  <c r="AE716" i="13034" s="1"/>
  <c r="AB26" i="12777"/>
  <c r="H196" i="12908" l="1"/>
  <c r="AE196" i="13034" s="1"/>
  <c r="Z196" i="13034"/>
  <c r="H2164" i="12908"/>
  <c r="AE2164" i="13034" s="1"/>
  <c r="Z2164" i="13034"/>
  <c r="H159" i="12908"/>
  <c r="AE159" i="13034" s="1"/>
  <c r="Z159" i="13034"/>
  <c r="H2075" i="12908"/>
  <c r="AE2075" i="13034" s="1"/>
  <c r="Z2075" i="13034"/>
  <c r="H122" i="12908"/>
  <c r="AE122" i="13034" s="1"/>
  <c r="Z122" i="13034"/>
  <c r="H1979" i="12908"/>
  <c r="AE1979" i="13034" s="1"/>
  <c r="H674" i="12908"/>
  <c r="AE674" i="13034" s="1"/>
  <c r="AH37" i="12763"/>
  <c r="AB39" i="12777"/>
  <c r="AB40" i="12777" s="1"/>
  <c r="AL21" i="12756"/>
  <c r="AM21" i="12756"/>
  <c r="E41" i="12852"/>
  <c r="Q96" i="12905" l="1"/>
  <c r="AJ3" i="12763" l="1"/>
  <c r="AK3" i="12763"/>
  <c r="AJ4" i="12763"/>
  <c r="AK4" i="12763"/>
  <c r="AJ5" i="12763"/>
  <c r="AK5" i="12763"/>
  <c r="AJ6" i="12763"/>
  <c r="AK6" i="12763"/>
  <c r="AJ7" i="12763"/>
  <c r="AK7" i="12763"/>
  <c r="AJ8" i="12763"/>
  <c r="AK8" i="12763"/>
  <c r="AJ9" i="12763"/>
  <c r="AK9" i="12763"/>
  <c r="AJ10" i="12763"/>
  <c r="AK10" i="12763"/>
  <c r="AJ11" i="12763"/>
  <c r="AK11" i="12763"/>
  <c r="AJ12" i="12763"/>
  <c r="AK12" i="12763"/>
  <c r="AJ13" i="12763"/>
  <c r="AK13" i="12763"/>
  <c r="AJ14" i="12763"/>
  <c r="AK14" i="12763"/>
  <c r="AJ15" i="12763"/>
  <c r="AK15" i="12763"/>
  <c r="AJ16" i="12763"/>
  <c r="AK16" i="12763"/>
  <c r="AJ17" i="12763"/>
  <c r="AK17" i="12763"/>
  <c r="AJ18" i="12763"/>
  <c r="AK18" i="12763"/>
  <c r="AJ19" i="12763"/>
  <c r="AK19" i="12763"/>
  <c r="AJ20" i="12763"/>
  <c r="AK20" i="12763"/>
  <c r="AK2" i="12763"/>
  <c r="AJ2" i="12763"/>
  <c r="AJ3" i="12785"/>
  <c r="AK3" i="12785"/>
  <c r="AJ4" i="12785"/>
  <c r="AK4" i="12785"/>
  <c r="AK2" i="12785"/>
  <c r="AJ2" i="12785"/>
  <c r="U3" i="12773"/>
  <c r="V3" i="12773"/>
  <c r="U4" i="12773"/>
  <c r="V4" i="12773"/>
  <c r="U2" i="12773"/>
  <c r="V2" i="12773"/>
  <c r="O3" i="12776"/>
  <c r="P3" i="12776"/>
  <c r="O4" i="12776"/>
  <c r="P4" i="12776"/>
  <c r="O9" i="12776"/>
  <c r="P9" i="12776"/>
  <c r="O10" i="12776"/>
  <c r="P10" i="12776"/>
  <c r="O2" i="12776"/>
  <c r="P2" i="12776"/>
  <c r="Q3" i="12782"/>
  <c r="R3" i="12782"/>
  <c r="Q4" i="12782"/>
  <c r="R4" i="12782"/>
  <c r="R2" i="12782"/>
  <c r="Q2" i="12782"/>
  <c r="AB3" i="12771"/>
  <c r="AC3" i="12771"/>
  <c r="AB4" i="12771"/>
  <c r="AC4" i="12771"/>
  <c r="AB5" i="12771"/>
  <c r="AC5" i="12771"/>
  <c r="AB6" i="12771"/>
  <c r="AC6" i="12771"/>
  <c r="AB7" i="12771"/>
  <c r="AC7" i="12771"/>
  <c r="AB8" i="12771"/>
  <c r="AC8" i="12771"/>
  <c r="AB9" i="12771"/>
  <c r="AC9" i="12771"/>
  <c r="AB10" i="12771"/>
  <c r="AC10" i="12771"/>
  <c r="AB11" i="12771"/>
  <c r="AC11" i="12771"/>
  <c r="AB12" i="12771"/>
  <c r="AC12" i="12771"/>
  <c r="AB13" i="12771"/>
  <c r="AC13" i="12771"/>
  <c r="AB14" i="12771"/>
  <c r="AC14" i="12771"/>
  <c r="AC2" i="12771"/>
  <c r="AB2" i="12771"/>
  <c r="U3" i="12762"/>
  <c r="V3" i="12762"/>
  <c r="V2" i="12762"/>
  <c r="U2" i="12762"/>
  <c r="S3" i="12774"/>
  <c r="T3" i="12774"/>
  <c r="S4" i="12774"/>
  <c r="T4" i="12774"/>
  <c r="S5" i="12774"/>
  <c r="T5" i="12774"/>
  <c r="S6" i="12774"/>
  <c r="T6" i="12774"/>
  <c r="S7" i="12774"/>
  <c r="T7" i="12774"/>
  <c r="S8" i="12774"/>
  <c r="T8" i="12774"/>
  <c r="S9" i="12774"/>
  <c r="T9" i="12774"/>
  <c r="S10" i="12774"/>
  <c r="T10" i="12774"/>
  <c r="S11" i="12774"/>
  <c r="T11" i="12774"/>
  <c r="S12" i="12774"/>
  <c r="T12" i="12774"/>
  <c r="S13" i="12774"/>
  <c r="T13" i="12774"/>
  <c r="S14" i="12774"/>
  <c r="T14" i="12774"/>
  <c r="S15" i="12774"/>
  <c r="T15" i="12774"/>
  <c r="S16" i="12774"/>
  <c r="T16" i="12774"/>
  <c r="S17" i="12774"/>
  <c r="T17" i="12774"/>
  <c r="S18" i="12774"/>
  <c r="T18" i="12774"/>
  <c r="S19" i="12774"/>
  <c r="T19" i="12774"/>
  <c r="S20" i="12774"/>
  <c r="T20" i="12774"/>
  <c r="S21" i="12774"/>
  <c r="T21" i="12774"/>
  <c r="S22" i="12774"/>
  <c r="T22" i="12774"/>
  <c r="T2" i="12774"/>
  <c r="S2" i="12774"/>
  <c r="S3" i="12775"/>
  <c r="T3" i="12775"/>
  <c r="S4" i="12775"/>
  <c r="T4" i="12775"/>
  <c r="S5" i="12775"/>
  <c r="T5" i="12775"/>
  <c r="S6" i="12775"/>
  <c r="T6" i="12775"/>
  <c r="S7" i="12775"/>
  <c r="T7" i="12775"/>
  <c r="S8" i="12775"/>
  <c r="T8" i="12775"/>
  <c r="S9" i="12775"/>
  <c r="T9" i="12775"/>
  <c r="S10" i="12775"/>
  <c r="T10" i="12775"/>
  <c r="S11" i="12775"/>
  <c r="T11" i="12775"/>
  <c r="S12" i="12775"/>
  <c r="T12" i="12775"/>
  <c r="T2" i="12775"/>
  <c r="S2" i="12775"/>
  <c r="S3" i="12772"/>
  <c r="T3" i="12772"/>
  <c r="S4" i="12772"/>
  <c r="T4" i="12772"/>
  <c r="S5" i="12772"/>
  <c r="T5" i="12772"/>
  <c r="S6" i="12772"/>
  <c r="T6" i="12772"/>
  <c r="S7" i="12772"/>
  <c r="T7" i="12772"/>
  <c r="S8" i="12772"/>
  <c r="T8" i="12772"/>
  <c r="S9" i="12772"/>
  <c r="T9" i="12772"/>
  <c r="S10" i="12772"/>
  <c r="T10" i="12772"/>
  <c r="S11" i="12772"/>
  <c r="T11" i="12772"/>
  <c r="S12" i="12772"/>
  <c r="T12" i="12772"/>
  <c r="S13" i="12772"/>
  <c r="T13" i="12772"/>
  <c r="S14" i="12772"/>
  <c r="T14" i="12772"/>
  <c r="S15" i="12772"/>
  <c r="T15" i="12772"/>
  <c r="S16" i="12772"/>
  <c r="T16" i="12772"/>
  <c r="S17" i="12772"/>
  <c r="T17" i="12772"/>
  <c r="S18" i="12772"/>
  <c r="T18" i="12772"/>
  <c r="S19" i="12772"/>
  <c r="T19" i="12772"/>
  <c r="S20" i="12772"/>
  <c r="T20" i="12772"/>
  <c r="S21" i="12772"/>
  <c r="T21" i="12772"/>
  <c r="S22" i="12772"/>
  <c r="T22" i="12772"/>
  <c r="S23" i="12772"/>
  <c r="T23" i="12772"/>
  <c r="S24" i="12772"/>
  <c r="T24" i="12772"/>
  <c r="S25" i="12772"/>
  <c r="T25" i="12772"/>
  <c r="S26" i="12772"/>
  <c r="T26" i="12772"/>
  <c r="S27" i="12772"/>
  <c r="T27" i="12772"/>
  <c r="S28" i="12772"/>
  <c r="T28" i="12772"/>
  <c r="S29" i="12772"/>
  <c r="T29" i="12772"/>
  <c r="S30" i="12772"/>
  <c r="T30" i="12772"/>
  <c r="S31" i="12772"/>
  <c r="T31" i="12772"/>
  <c r="T2" i="12772"/>
  <c r="S2" i="12772"/>
  <c r="AE3" i="12777"/>
  <c r="AF3" i="12777"/>
  <c r="AE4" i="12777"/>
  <c r="AF4" i="12777"/>
  <c r="AE5" i="12777"/>
  <c r="AF5" i="12777"/>
  <c r="AE6" i="12777"/>
  <c r="AF6" i="12777"/>
  <c r="AE7" i="12777"/>
  <c r="AF7" i="12777"/>
  <c r="AE8" i="12777"/>
  <c r="AF8" i="12777"/>
  <c r="AE9" i="12777"/>
  <c r="AF9" i="12777"/>
  <c r="AE10" i="12777"/>
  <c r="AF10" i="12777"/>
  <c r="AE11" i="12777"/>
  <c r="AF11" i="12777"/>
  <c r="AE12" i="12777"/>
  <c r="AF12" i="12777"/>
  <c r="AE13" i="12777"/>
  <c r="AF13" i="12777"/>
  <c r="AE14" i="12777"/>
  <c r="AF14" i="12777"/>
  <c r="AE15" i="12777"/>
  <c r="AF15" i="12777"/>
  <c r="AE16" i="12777"/>
  <c r="AF16" i="12777"/>
  <c r="AE17" i="12777"/>
  <c r="AF17" i="12777"/>
  <c r="AE18" i="12777"/>
  <c r="AF18" i="12777"/>
  <c r="AE19" i="12777"/>
  <c r="AF19" i="12777"/>
  <c r="AE20" i="12777"/>
  <c r="AF20" i="12777"/>
  <c r="AF2" i="12777"/>
  <c r="AE2" i="12777"/>
  <c r="X3" i="12780"/>
  <c r="Y3" i="12780"/>
  <c r="X4" i="12780"/>
  <c r="Y4" i="12780"/>
  <c r="X5" i="12780"/>
  <c r="Y5" i="12780"/>
  <c r="X6" i="12780"/>
  <c r="Y6" i="12780"/>
  <c r="X7" i="12780"/>
  <c r="Y7" i="12780"/>
  <c r="X8" i="12780"/>
  <c r="Y8" i="12780"/>
  <c r="X9" i="12780"/>
  <c r="Y9" i="12780"/>
  <c r="X14" i="12780"/>
  <c r="Y14" i="12780"/>
  <c r="Y2" i="12780"/>
  <c r="Y3" i="12761"/>
  <c r="Z3" i="12761"/>
  <c r="Y4" i="12761"/>
  <c r="Z4" i="12761"/>
  <c r="Y5" i="12761"/>
  <c r="Z5" i="12761"/>
  <c r="Y6" i="12761"/>
  <c r="Z6" i="12761"/>
  <c r="Y7" i="12761"/>
  <c r="Z7" i="12761"/>
  <c r="Z2" i="12761"/>
  <c r="Y2" i="12761"/>
  <c r="X2" i="12780"/>
  <c r="Z17" i="12771"/>
  <c r="Z18" i="12771"/>
  <c r="Z20" i="12771"/>
  <c r="Z21" i="12771"/>
  <c r="D6" i="12762"/>
  <c r="E6" i="12762"/>
  <c r="F6" i="12762"/>
  <c r="E57" i="12709" s="1"/>
  <c r="G6" i="12762"/>
  <c r="H6" i="12762"/>
  <c r="I6" i="12762"/>
  <c r="J6" i="12762"/>
  <c r="K6" i="12762"/>
  <c r="L6" i="12762"/>
  <c r="M6" i="12762"/>
  <c r="N6" i="12762"/>
  <c r="O6" i="12762"/>
  <c r="P6" i="12762"/>
  <c r="D7" i="12762"/>
  <c r="E7" i="12762"/>
  <c r="F7" i="12762"/>
  <c r="E92" i="12709" s="1"/>
  <c r="G7" i="12762"/>
  <c r="H7" i="12762"/>
  <c r="I7" i="12762"/>
  <c r="J7" i="12762"/>
  <c r="J8" i="12762" s="1"/>
  <c r="K7" i="12762"/>
  <c r="L7" i="12762"/>
  <c r="M7" i="12762"/>
  <c r="N7" i="12762"/>
  <c r="O7" i="12762"/>
  <c r="P7" i="12762"/>
  <c r="C7" i="12762"/>
  <c r="AC16" i="12786"/>
  <c r="AC17" i="12786"/>
  <c r="AC18" i="12786"/>
  <c r="AC20" i="12786"/>
  <c r="AC21" i="12786"/>
  <c r="AC22" i="12786"/>
  <c r="AA23" i="12777"/>
  <c r="AA24" i="12777"/>
  <c r="AA25" i="12777"/>
  <c r="AA27" i="12777"/>
  <c r="AA28" i="12777"/>
  <c r="AA29" i="12777"/>
  <c r="AA31" i="12777"/>
  <c r="AA32" i="12777"/>
  <c r="AA33" i="12777"/>
  <c r="AA35" i="12777"/>
  <c r="AA36" i="12777"/>
  <c r="AA37" i="12777"/>
  <c r="N8" i="12762" l="1"/>
  <c r="E186" i="12709"/>
  <c r="F8" i="12762"/>
  <c r="M8" i="12762"/>
  <c r="I8" i="12762"/>
  <c r="E8" i="12762"/>
  <c r="AA26" i="12777"/>
  <c r="Z22" i="12771"/>
  <c r="P8" i="12762"/>
  <c r="L8" i="12762"/>
  <c r="H8" i="12762"/>
  <c r="D8" i="12762"/>
  <c r="O8" i="12762"/>
  <c r="K8" i="12762"/>
  <c r="G8" i="12762"/>
  <c r="AC23" i="12786"/>
  <c r="AA30" i="12777"/>
  <c r="AA34" i="12777"/>
  <c r="AA38" i="12777"/>
  <c r="AC19" i="12786"/>
  <c r="Z19" i="12771"/>
  <c r="Z26" i="12771" s="1"/>
  <c r="Z28" i="12771" s="1"/>
  <c r="G17" i="12771"/>
  <c r="H17" i="12771"/>
  <c r="H19" i="12771" s="1"/>
  <c r="I17" i="12771"/>
  <c r="J17" i="12771"/>
  <c r="K17" i="12771"/>
  <c r="L17" i="12771"/>
  <c r="L19" i="12771" s="1"/>
  <c r="M17" i="12771"/>
  <c r="N17" i="12771"/>
  <c r="O17" i="12771"/>
  <c r="P17" i="12771"/>
  <c r="P19" i="12771" s="1"/>
  <c r="P34" i="12771" s="1"/>
  <c r="J354" i="12984" s="1"/>
  <c r="Q17" i="12771"/>
  <c r="R17" i="12771"/>
  <c r="S17" i="12771"/>
  <c r="T17" i="12771"/>
  <c r="T19" i="12771" s="1"/>
  <c r="U17" i="12771"/>
  <c r="V17" i="12771"/>
  <c r="W17" i="12771"/>
  <c r="X17" i="12771"/>
  <c r="X19" i="12771" s="1"/>
  <c r="Y17" i="12771"/>
  <c r="G18" i="12771"/>
  <c r="H18" i="12771"/>
  <c r="I18" i="12771"/>
  <c r="J18" i="12771"/>
  <c r="K18" i="12771"/>
  <c r="L18" i="12771"/>
  <c r="M18" i="12771"/>
  <c r="N18" i="12771"/>
  <c r="O18" i="12771"/>
  <c r="P18" i="12771"/>
  <c r="Q18" i="12771"/>
  <c r="R18" i="12771"/>
  <c r="S18" i="12771"/>
  <c r="T18" i="12771"/>
  <c r="U18" i="12771"/>
  <c r="V18" i="12771"/>
  <c r="W18" i="12771"/>
  <c r="X18" i="12771"/>
  <c r="Y18" i="12771"/>
  <c r="G20" i="12771"/>
  <c r="H20" i="12771"/>
  <c r="H22" i="12771" s="1"/>
  <c r="I20" i="12771"/>
  <c r="I22" i="12771" s="1"/>
  <c r="J20" i="12771"/>
  <c r="K20" i="12771"/>
  <c r="L20" i="12771"/>
  <c r="L22" i="12771" s="1"/>
  <c r="M20" i="12771"/>
  <c r="M22" i="12771" s="1"/>
  <c r="N20" i="12771"/>
  <c r="O20" i="12771"/>
  <c r="O22" i="12771" s="1"/>
  <c r="P20" i="12771"/>
  <c r="P22" i="12771" s="1"/>
  <c r="Q20" i="12771"/>
  <c r="Q22" i="12771" s="1"/>
  <c r="R20" i="12771"/>
  <c r="S20" i="12771"/>
  <c r="T20" i="12771"/>
  <c r="T22" i="12771" s="1"/>
  <c r="U20" i="12771"/>
  <c r="U22" i="12771" s="1"/>
  <c r="V20" i="12771"/>
  <c r="W20" i="12771"/>
  <c r="X20" i="12771"/>
  <c r="Y20" i="12771"/>
  <c r="Y22" i="12771" s="1"/>
  <c r="G21" i="12771"/>
  <c r="H21" i="12771"/>
  <c r="I21" i="12771"/>
  <c r="J21" i="12771"/>
  <c r="J22" i="12771" s="1"/>
  <c r="K21" i="12771"/>
  <c r="L21" i="12771"/>
  <c r="M21" i="12771"/>
  <c r="N21" i="12771"/>
  <c r="N22" i="12771" s="1"/>
  <c r="O21" i="12771"/>
  <c r="P21" i="12771"/>
  <c r="Q21" i="12771"/>
  <c r="R21" i="12771"/>
  <c r="R22" i="12771" s="1"/>
  <c r="S21" i="12771"/>
  <c r="T21" i="12771"/>
  <c r="U21" i="12771"/>
  <c r="V21" i="12771"/>
  <c r="V22" i="12771" s="1"/>
  <c r="W21" i="12771"/>
  <c r="X21" i="12771"/>
  <c r="Y21" i="12771"/>
  <c r="G22" i="12771"/>
  <c r="X22" i="12771"/>
  <c r="E119" i="12709"/>
  <c r="F21" i="12771"/>
  <c r="F20" i="12771"/>
  <c r="F18" i="12771"/>
  <c r="F17" i="12771"/>
  <c r="H2185" i="12908"/>
  <c r="AE2185" i="13034" s="1"/>
  <c r="H2208" i="12908"/>
  <c r="AE2208" i="13034" s="1"/>
  <c r="H2162" i="12908"/>
  <c r="AE2162" i="13034" s="1"/>
  <c r="AU33" i="12756"/>
  <c r="AV33" i="12756" s="1"/>
  <c r="AW33" i="12756"/>
  <c r="AU34" i="12756"/>
  <c r="AV34" i="12756" s="1"/>
  <c r="AW34" i="12756"/>
  <c r="AU35" i="12756"/>
  <c r="AV35" i="12756" s="1"/>
  <c r="AW35" i="12756"/>
  <c r="AU36" i="12756"/>
  <c r="AV36" i="12756" s="1"/>
  <c r="AW36" i="12756"/>
  <c r="AU37" i="12756"/>
  <c r="AV37" i="12756" s="1"/>
  <c r="AW37" i="12756"/>
  <c r="AU38" i="12756"/>
  <c r="AV38" i="12756" s="1"/>
  <c r="AW38" i="12756"/>
  <c r="AU39" i="12756"/>
  <c r="AV39" i="12756" s="1"/>
  <c r="AW39" i="12756"/>
  <c r="AU40" i="12756"/>
  <c r="AV40" i="12756" s="1"/>
  <c r="AW40" i="12756"/>
  <c r="AU41" i="12756"/>
  <c r="AV41" i="12756" s="1"/>
  <c r="AW41" i="12756"/>
  <c r="AU42" i="12756"/>
  <c r="AV42" i="12756" s="1"/>
  <c r="AW42" i="12756"/>
  <c r="AU43" i="12756"/>
  <c r="AV43" i="12756" s="1"/>
  <c r="AW43" i="12756"/>
  <c r="AU44" i="12756"/>
  <c r="AV44" i="12756" s="1"/>
  <c r="AW44" i="12756"/>
  <c r="AU45" i="12756"/>
  <c r="AV45" i="12756"/>
  <c r="AW45" i="12756"/>
  <c r="AU48" i="12756"/>
  <c r="AV48" i="12756" s="1"/>
  <c r="AW48" i="12756"/>
  <c r="AU49" i="12756"/>
  <c r="AV49" i="12756" s="1"/>
  <c r="AW49" i="12756"/>
  <c r="AU50" i="12756"/>
  <c r="AV50" i="12756" s="1"/>
  <c r="AW50" i="12756"/>
  <c r="AU51" i="12756"/>
  <c r="AV51" i="12756" s="1"/>
  <c r="AW51" i="12756"/>
  <c r="AU52" i="12756"/>
  <c r="AV52" i="12756" s="1"/>
  <c r="AW52" i="12756"/>
  <c r="AU53" i="12756"/>
  <c r="AV53" i="12756" s="1"/>
  <c r="AW53" i="12756"/>
  <c r="AU54" i="12756"/>
  <c r="AV54" i="12756" s="1"/>
  <c r="AW54" i="12756"/>
  <c r="AU55" i="12756"/>
  <c r="AV55" i="12756" s="1"/>
  <c r="AW55" i="12756"/>
  <c r="AU56" i="12756"/>
  <c r="AV56" i="12756" s="1"/>
  <c r="AW56" i="12756"/>
  <c r="AU57" i="12756"/>
  <c r="AV57" i="12756" s="1"/>
  <c r="AW57" i="12756"/>
  <c r="AU58" i="12756"/>
  <c r="AV58" i="12756" s="1"/>
  <c r="AW58" i="12756"/>
  <c r="AU59" i="12756"/>
  <c r="AV59" i="12756" s="1"/>
  <c r="AW59" i="12756"/>
  <c r="AU63" i="12756"/>
  <c r="AV63" i="12756" s="1"/>
  <c r="AW63" i="12756"/>
  <c r="AU64" i="12756"/>
  <c r="AV64" i="12756" s="1"/>
  <c r="AW64" i="12756"/>
  <c r="AU65" i="12756"/>
  <c r="AV65" i="12756" s="1"/>
  <c r="AW65" i="12756"/>
  <c r="AU66" i="12756"/>
  <c r="AV66" i="12756" s="1"/>
  <c r="AW66" i="12756"/>
  <c r="AU67" i="12756"/>
  <c r="AV67" i="12756" s="1"/>
  <c r="AW67" i="12756"/>
  <c r="AU68" i="12756"/>
  <c r="AV68" i="12756" s="1"/>
  <c r="AW68" i="12756"/>
  <c r="AU69" i="12756"/>
  <c r="AV69" i="12756" s="1"/>
  <c r="AW69" i="12756"/>
  <c r="AU70" i="12756"/>
  <c r="AV70" i="12756" s="1"/>
  <c r="AW70" i="12756"/>
  <c r="AU71" i="12756"/>
  <c r="AV71" i="12756" s="1"/>
  <c r="AW71" i="12756"/>
  <c r="AU72" i="12756"/>
  <c r="AV72" i="12756" s="1"/>
  <c r="AW72" i="12756"/>
  <c r="AU73" i="12756"/>
  <c r="AV73" i="12756" s="1"/>
  <c r="AW73" i="12756"/>
  <c r="AU74" i="12756"/>
  <c r="AV74" i="12756" s="1"/>
  <c r="AW74" i="12756"/>
  <c r="H203" i="12908"/>
  <c r="AE203" i="13034" s="1"/>
  <c r="C2" i="12756"/>
  <c r="D2" i="12756"/>
  <c r="E2" i="12756"/>
  <c r="F2" i="12756"/>
  <c r="G2" i="12756"/>
  <c r="H2" i="12756"/>
  <c r="I2" i="12756"/>
  <c r="J2" i="12756"/>
  <c r="K2" i="12756"/>
  <c r="L2" i="12756"/>
  <c r="M2" i="12756"/>
  <c r="N2" i="12756"/>
  <c r="O2" i="12756"/>
  <c r="P2" i="12756"/>
  <c r="Q2" i="12756"/>
  <c r="R2" i="12756"/>
  <c r="S2" i="12756"/>
  <c r="T2" i="12756"/>
  <c r="V2" i="12756"/>
  <c r="W2" i="12756"/>
  <c r="X2" i="12756"/>
  <c r="Y2" i="12756"/>
  <c r="Z2" i="12756"/>
  <c r="AA2" i="12756"/>
  <c r="AB2" i="12756"/>
  <c r="AC2" i="12756"/>
  <c r="AD2" i="12756"/>
  <c r="AE2" i="12756"/>
  <c r="AF2" i="12756"/>
  <c r="AG2" i="12756"/>
  <c r="AH2" i="12756"/>
  <c r="AI2" i="12756"/>
  <c r="AJ2" i="12756"/>
  <c r="AK2" i="12756"/>
  <c r="C3" i="12756"/>
  <c r="D3" i="12756"/>
  <c r="E3" i="12756"/>
  <c r="F3" i="12756"/>
  <c r="G3" i="12756"/>
  <c r="H3" i="12756"/>
  <c r="I3" i="12756"/>
  <c r="J3" i="12756"/>
  <c r="K3" i="12756"/>
  <c r="L3" i="12756"/>
  <c r="M3" i="12756"/>
  <c r="N3" i="12756"/>
  <c r="O3" i="12756"/>
  <c r="P3" i="12756"/>
  <c r="Q3" i="12756"/>
  <c r="R3" i="12756"/>
  <c r="S3" i="12756"/>
  <c r="T3" i="12756"/>
  <c r="U3" i="12756"/>
  <c r="V3" i="12756"/>
  <c r="W3" i="12756"/>
  <c r="X3" i="12756"/>
  <c r="Y3" i="12756"/>
  <c r="Z3" i="12756"/>
  <c r="AA3" i="12756"/>
  <c r="AB3" i="12756"/>
  <c r="AC3" i="12756"/>
  <c r="AD3" i="12756"/>
  <c r="AE3" i="12756"/>
  <c r="AF3" i="12756"/>
  <c r="AG3" i="12756"/>
  <c r="AH3" i="12756"/>
  <c r="AI3" i="12756"/>
  <c r="AJ3" i="12756"/>
  <c r="AK3" i="12756"/>
  <c r="C4" i="12756"/>
  <c r="D4" i="12756"/>
  <c r="E4" i="12756"/>
  <c r="F4" i="12756"/>
  <c r="G4" i="12756"/>
  <c r="H4" i="12756"/>
  <c r="I4" i="12756"/>
  <c r="J4" i="12756"/>
  <c r="K4" i="12756"/>
  <c r="L4" i="12756"/>
  <c r="M4" i="12756"/>
  <c r="N4" i="12756"/>
  <c r="O4" i="12756"/>
  <c r="P4" i="12756"/>
  <c r="Q4" i="12756"/>
  <c r="R4" i="12756"/>
  <c r="S4" i="12756"/>
  <c r="T4" i="12756"/>
  <c r="U4" i="12756"/>
  <c r="V4" i="12756"/>
  <c r="W4" i="12756"/>
  <c r="X4" i="12756"/>
  <c r="Y4" i="12756"/>
  <c r="Z4" i="12756"/>
  <c r="AA4" i="12756"/>
  <c r="AB4" i="12756"/>
  <c r="AC4" i="12756"/>
  <c r="AD4" i="12756"/>
  <c r="AE4" i="12756"/>
  <c r="AF4" i="12756"/>
  <c r="AG4" i="12756"/>
  <c r="AH4" i="12756"/>
  <c r="AI4" i="12756"/>
  <c r="AJ4" i="12756"/>
  <c r="AK4" i="12756"/>
  <c r="C5" i="12756"/>
  <c r="D5" i="12756"/>
  <c r="E5" i="12756"/>
  <c r="F5" i="12756"/>
  <c r="G5" i="12756"/>
  <c r="H5" i="12756"/>
  <c r="I5" i="12756"/>
  <c r="J5" i="12756"/>
  <c r="K5" i="12756"/>
  <c r="L5" i="12756"/>
  <c r="M5" i="12756"/>
  <c r="N5" i="12756"/>
  <c r="O5" i="12756"/>
  <c r="P5" i="12756"/>
  <c r="Q5" i="12756"/>
  <c r="R5" i="12756"/>
  <c r="S5" i="12756"/>
  <c r="T5" i="12756"/>
  <c r="U5" i="12756"/>
  <c r="V5" i="12756"/>
  <c r="W5" i="12756"/>
  <c r="X5" i="12756"/>
  <c r="Y5" i="12756"/>
  <c r="Z5" i="12756"/>
  <c r="AA5" i="12756"/>
  <c r="AB5" i="12756"/>
  <c r="AC5" i="12756"/>
  <c r="AD5" i="12756"/>
  <c r="AE5" i="12756"/>
  <c r="AF5" i="12756"/>
  <c r="AG5" i="12756"/>
  <c r="AH5" i="12756"/>
  <c r="AI5" i="12756"/>
  <c r="AJ5" i="12756"/>
  <c r="AK5" i="12756"/>
  <c r="C6" i="12756"/>
  <c r="D6" i="12756"/>
  <c r="E6" i="12756"/>
  <c r="F6" i="12756"/>
  <c r="G6" i="12756"/>
  <c r="H6" i="12756"/>
  <c r="I6" i="12756"/>
  <c r="J6" i="12756"/>
  <c r="K6" i="12756"/>
  <c r="L6" i="12756"/>
  <c r="M6" i="12756"/>
  <c r="N6" i="12756"/>
  <c r="O6" i="12756"/>
  <c r="P6" i="12756"/>
  <c r="Q6" i="12756"/>
  <c r="R6" i="12756"/>
  <c r="S6" i="12756"/>
  <c r="T6" i="12756"/>
  <c r="U6" i="12756"/>
  <c r="V6" i="12756"/>
  <c r="W6" i="12756"/>
  <c r="X6" i="12756"/>
  <c r="Y6" i="12756"/>
  <c r="Z6" i="12756"/>
  <c r="AA6" i="12756"/>
  <c r="AB6" i="12756"/>
  <c r="AC6" i="12756"/>
  <c r="AD6" i="12756"/>
  <c r="AE6" i="12756"/>
  <c r="AF6" i="12756"/>
  <c r="AG6" i="12756"/>
  <c r="AH6" i="12756"/>
  <c r="AI6" i="12756"/>
  <c r="AJ6" i="12756"/>
  <c r="AK6" i="12756"/>
  <c r="C7" i="12756"/>
  <c r="D7" i="12756"/>
  <c r="E7" i="12756"/>
  <c r="F7" i="12756"/>
  <c r="G7" i="12756"/>
  <c r="H7" i="12756"/>
  <c r="I7" i="12756"/>
  <c r="J7" i="12756"/>
  <c r="K7" i="12756"/>
  <c r="L7" i="12756"/>
  <c r="M7" i="12756"/>
  <c r="N7" i="12756"/>
  <c r="O7" i="12756"/>
  <c r="P7" i="12756"/>
  <c r="Q7" i="12756"/>
  <c r="R7" i="12756"/>
  <c r="S7" i="12756"/>
  <c r="T7" i="12756"/>
  <c r="U7" i="12756"/>
  <c r="V7" i="12756"/>
  <c r="W7" i="12756"/>
  <c r="X7" i="12756"/>
  <c r="Y7" i="12756"/>
  <c r="Z7" i="12756"/>
  <c r="AA7" i="12756"/>
  <c r="AB7" i="12756"/>
  <c r="AC7" i="12756"/>
  <c r="AD7" i="12756"/>
  <c r="AE7" i="12756"/>
  <c r="AF7" i="12756"/>
  <c r="AG7" i="12756"/>
  <c r="AH7" i="12756"/>
  <c r="AI7" i="12756"/>
  <c r="AJ7" i="12756"/>
  <c r="AK7" i="12756"/>
  <c r="C8" i="12756"/>
  <c r="D8" i="12756"/>
  <c r="E8" i="12756"/>
  <c r="F8" i="12756"/>
  <c r="G8" i="12756"/>
  <c r="H8" i="12756"/>
  <c r="I8" i="12756"/>
  <c r="J8" i="12756"/>
  <c r="K8" i="12756"/>
  <c r="L8" i="12756"/>
  <c r="M8" i="12756"/>
  <c r="N8" i="12756"/>
  <c r="O8" i="12756"/>
  <c r="P8" i="12756"/>
  <c r="Q8" i="12756"/>
  <c r="R8" i="12756"/>
  <c r="S8" i="12756"/>
  <c r="C27" i="12908" s="1"/>
  <c r="Z27" i="13034" s="1"/>
  <c r="T8" i="12756"/>
  <c r="C28" i="12908" s="1"/>
  <c r="Z28" i="13034" s="1"/>
  <c r="U8" i="12756"/>
  <c r="V8" i="12756"/>
  <c r="W8" i="12756"/>
  <c r="X8" i="12756"/>
  <c r="Y8" i="12756"/>
  <c r="Z8" i="12756"/>
  <c r="AA8" i="12756"/>
  <c r="AB8" i="12756"/>
  <c r="AC8" i="12756"/>
  <c r="AD8" i="12756"/>
  <c r="AE8" i="12756"/>
  <c r="AF8" i="12756"/>
  <c r="AG8" i="12756"/>
  <c r="AH8" i="12756"/>
  <c r="AI8" i="12756"/>
  <c r="AJ8" i="12756"/>
  <c r="AK8" i="12756"/>
  <c r="C9" i="12756"/>
  <c r="D9" i="12756"/>
  <c r="E9" i="12756"/>
  <c r="F9" i="12756"/>
  <c r="G9" i="12756"/>
  <c r="H9" i="12756"/>
  <c r="I9" i="12756"/>
  <c r="J9" i="12756"/>
  <c r="K9" i="12756"/>
  <c r="L9" i="12756"/>
  <c r="M9" i="12756"/>
  <c r="N9" i="12756"/>
  <c r="O9" i="12756"/>
  <c r="P9" i="12756"/>
  <c r="Q9" i="12756"/>
  <c r="R9" i="12756"/>
  <c r="S9" i="12756"/>
  <c r="T9" i="12756"/>
  <c r="U9" i="12756"/>
  <c r="V9" i="12756"/>
  <c r="W9" i="12756"/>
  <c r="X9" i="12756"/>
  <c r="Y9" i="12756"/>
  <c r="Z9" i="12756"/>
  <c r="AA9" i="12756"/>
  <c r="AB9" i="12756"/>
  <c r="AC9" i="12756"/>
  <c r="AD9" i="12756"/>
  <c r="AE9" i="12756"/>
  <c r="AF9" i="12756"/>
  <c r="AG9" i="12756"/>
  <c r="AH9" i="12756"/>
  <c r="AI9" i="12756"/>
  <c r="AJ9" i="12756"/>
  <c r="AK9" i="12756"/>
  <c r="C10" i="12756"/>
  <c r="D10" i="12756"/>
  <c r="E10" i="12756"/>
  <c r="F10" i="12756"/>
  <c r="G10" i="12756"/>
  <c r="H10" i="12756"/>
  <c r="I10" i="12756"/>
  <c r="J10" i="12756"/>
  <c r="K10" i="12756"/>
  <c r="L10" i="12756"/>
  <c r="M10" i="12756"/>
  <c r="N10" i="12756"/>
  <c r="O10" i="12756"/>
  <c r="P10" i="12756"/>
  <c r="Q10" i="12756"/>
  <c r="R10" i="12756"/>
  <c r="S10" i="12756"/>
  <c r="T10" i="12756"/>
  <c r="U10" i="12756"/>
  <c r="V10" i="12756"/>
  <c r="W10" i="12756"/>
  <c r="X10" i="12756"/>
  <c r="Y10" i="12756"/>
  <c r="Z10" i="12756"/>
  <c r="AA10" i="12756"/>
  <c r="AB10" i="12756"/>
  <c r="AC10" i="12756"/>
  <c r="AD10" i="12756"/>
  <c r="AE10" i="12756"/>
  <c r="AF10" i="12756"/>
  <c r="AG10" i="12756"/>
  <c r="AH10" i="12756"/>
  <c r="AI10" i="12756"/>
  <c r="AJ10" i="12756"/>
  <c r="AK10" i="12756"/>
  <c r="C11" i="12756"/>
  <c r="D11" i="12756"/>
  <c r="E11" i="12756"/>
  <c r="F11" i="12756"/>
  <c r="G11" i="12756"/>
  <c r="H11" i="12756"/>
  <c r="I11" i="12756"/>
  <c r="J11" i="12756"/>
  <c r="K11" i="12756"/>
  <c r="L11" i="12756"/>
  <c r="M11" i="12756"/>
  <c r="N11" i="12756"/>
  <c r="O11" i="12756"/>
  <c r="P11" i="12756"/>
  <c r="Q11" i="12756"/>
  <c r="R11" i="12756"/>
  <c r="S11" i="12756"/>
  <c r="T11" i="12756"/>
  <c r="U11" i="12756"/>
  <c r="V11" i="12756"/>
  <c r="W11" i="12756"/>
  <c r="X11" i="12756"/>
  <c r="Y11" i="12756"/>
  <c r="Z11" i="12756"/>
  <c r="AA11" i="12756"/>
  <c r="AB11" i="12756"/>
  <c r="AC11" i="12756"/>
  <c r="AD11" i="12756"/>
  <c r="AE11" i="12756"/>
  <c r="AF11" i="12756"/>
  <c r="AG11" i="12756"/>
  <c r="AH11" i="12756"/>
  <c r="AI11" i="12756"/>
  <c r="AJ11" i="12756"/>
  <c r="AK11" i="12756"/>
  <c r="C12" i="12756"/>
  <c r="D12" i="12756"/>
  <c r="E12" i="12756"/>
  <c r="F12" i="12756"/>
  <c r="G12" i="12756"/>
  <c r="H12" i="12756"/>
  <c r="I12" i="12756"/>
  <c r="J12" i="12756"/>
  <c r="K12" i="12756"/>
  <c r="L12" i="12756"/>
  <c r="M12" i="12756"/>
  <c r="N12" i="12756"/>
  <c r="O12" i="12756"/>
  <c r="P12" i="12756"/>
  <c r="Q12" i="12756"/>
  <c r="R12" i="12756"/>
  <c r="S12" i="12756"/>
  <c r="T12" i="12756"/>
  <c r="U12" i="12756"/>
  <c r="V12" i="12756"/>
  <c r="W12" i="12756"/>
  <c r="X12" i="12756"/>
  <c r="Y12" i="12756"/>
  <c r="Z12" i="12756"/>
  <c r="AA12" i="12756"/>
  <c r="AB12" i="12756"/>
  <c r="AC12" i="12756"/>
  <c r="AD12" i="12756"/>
  <c r="AE12" i="12756"/>
  <c r="AF12" i="12756"/>
  <c r="AG12" i="12756"/>
  <c r="AH12" i="12756"/>
  <c r="AI12" i="12756"/>
  <c r="AJ12" i="12756"/>
  <c r="AK12" i="12756"/>
  <c r="C13" i="12756"/>
  <c r="D13" i="12756"/>
  <c r="E13" i="12756"/>
  <c r="F13" i="12756"/>
  <c r="G13" i="12756"/>
  <c r="H13" i="12756"/>
  <c r="I13" i="12756"/>
  <c r="J13" i="12756"/>
  <c r="K13" i="12756"/>
  <c r="L13" i="12756"/>
  <c r="M13" i="12756"/>
  <c r="N13" i="12756"/>
  <c r="O13" i="12756"/>
  <c r="P13" i="12756"/>
  <c r="Q13" i="12756"/>
  <c r="R13" i="12756"/>
  <c r="S13" i="12756"/>
  <c r="T13" i="12756"/>
  <c r="U13" i="12756"/>
  <c r="V13" i="12756"/>
  <c r="W13" i="12756"/>
  <c r="X13" i="12756"/>
  <c r="Y13" i="12756"/>
  <c r="Z13" i="12756"/>
  <c r="AA13" i="12756"/>
  <c r="AB13" i="12756"/>
  <c r="AC13" i="12756"/>
  <c r="AD13" i="12756"/>
  <c r="AE13" i="12756"/>
  <c r="AF13" i="12756"/>
  <c r="AG13" i="12756"/>
  <c r="AH13" i="12756"/>
  <c r="AI13" i="12756"/>
  <c r="AJ13" i="12756"/>
  <c r="AK13" i="12756"/>
  <c r="B3" i="12756"/>
  <c r="B4" i="12756"/>
  <c r="B5" i="12756"/>
  <c r="B6" i="12756"/>
  <c r="B7" i="12756"/>
  <c r="B8" i="12756"/>
  <c r="B9" i="12756"/>
  <c r="B10" i="12756"/>
  <c r="B11" i="12756"/>
  <c r="B12" i="12756"/>
  <c r="B13" i="12756"/>
  <c r="B2" i="12756"/>
  <c r="AC28" i="12786" l="1"/>
  <c r="AC29" i="12786" s="1"/>
  <c r="AA39" i="12777"/>
  <c r="AA40" i="12777" s="1"/>
  <c r="B20" i="12756"/>
  <c r="W22" i="12771"/>
  <c r="S22" i="12771"/>
  <c r="K22" i="12771"/>
  <c r="K26" i="12771" s="1"/>
  <c r="AX13" i="12756"/>
  <c r="AX12" i="12756"/>
  <c r="AX8" i="12756"/>
  <c r="AX4" i="12756"/>
  <c r="AX9" i="12756"/>
  <c r="AX5" i="12756"/>
  <c r="AX2" i="12756"/>
  <c r="AX10" i="12756"/>
  <c r="K29" i="12756"/>
  <c r="AX6" i="12756"/>
  <c r="AX11" i="12756"/>
  <c r="AX7" i="12756"/>
  <c r="AX3" i="12756"/>
  <c r="X26" i="12771"/>
  <c r="X28" i="12771" s="1"/>
  <c r="P26" i="12771"/>
  <c r="H26" i="12771"/>
  <c r="AW7" i="12756"/>
  <c r="AW3" i="12756"/>
  <c r="AU12" i="12756"/>
  <c r="AV12" i="12756" s="1"/>
  <c r="AU8" i="12756"/>
  <c r="AV8" i="12756" s="1"/>
  <c r="AU6" i="12756"/>
  <c r="AV6" i="12756" s="1"/>
  <c r="AU4" i="12756"/>
  <c r="AV4" i="12756" s="1"/>
  <c r="AW11" i="12756"/>
  <c r="AU11" i="12756"/>
  <c r="AV11" i="12756" s="1"/>
  <c r="AU7" i="12756"/>
  <c r="AV7" i="12756" s="1"/>
  <c r="E19" i="12771"/>
  <c r="W19" i="12771"/>
  <c r="S19" i="12771"/>
  <c r="S26" i="12771" s="1"/>
  <c r="O19" i="12771"/>
  <c r="O26" i="12771" s="1"/>
  <c r="K19" i="12771"/>
  <c r="G19" i="12771"/>
  <c r="G26" i="12771" s="1"/>
  <c r="E22" i="12771"/>
  <c r="Y19" i="12771"/>
  <c r="U19" i="12771"/>
  <c r="T31" i="12771" s="1"/>
  <c r="J263" i="12984" s="1"/>
  <c r="Q19" i="12771"/>
  <c r="Q26" i="12771" s="1"/>
  <c r="M19" i="12771"/>
  <c r="M26" i="12771" s="1"/>
  <c r="I19" i="12771"/>
  <c r="U26" i="12771"/>
  <c r="I26" i="12771"/>
  <c r="T26" i="12771"/>
  <c r="L26" i="12771"/>
  <c r="W26" i="12771"/>
  <c r="V19" i="12771"/>
  <c r="V26" i="12771" s="1"/>
  <c r="R19" i="12771"/>
  <c r="R26" i="12771" s="1"/>
  <c r="N19" i="12771"/>
  <c r="N26" i="12771" s="1"/>
  <c r="J19" i="12771"/>
  <c r="J26" i="12771" s="1"/>
  <c r="AW10" i="12756"/>
  <c r="AW6" i="12756"/>
  <c r="AU2" i="12756"/>
  <c r="AV2" i="12756" s="1"/>
  <c r="AU3" i="12756"/>
  <c r="AV3" i="12756" s="1"/>
  <c r="AW13" i="12756"/>
  <c r="AU10" i="12756"/>
  <c r="AV10" i="12756" s="1"/>
  <c r="AW9" i="12756"/>
  <c r="AW5" i="12756"/>
  <c r="AU13" i="12756"/>
  <c r="AV13" i="12756" s="1"/>
  <c r="AW12" i="12756"/>
  <c r="AU9" i="12756"/>
  <c r="AV9" i="12756" s="1"/>
  <c r="AW8" i="12756"/>
  <c r="AU5" i="12756"/>
  <c r="AV5" i="12756" s="1"/>
  <c r="AW4" i="12756"/>
  <c r="AW2" i="12756"/>
  <c r="J19" i="12756"/>
  <c r="N19" i="12756"/>
  <c r="X19" i="12756"/>
  <c r="AB19" i="12756"/>
  <c r="V19" i="12756"/>
  <c r="AD19" i="12756"/>
  <c r="C16" i="12756"/>
  <c r="E16" i="12756"/>
  <c r="F16" i="12756"/>
  <c r="G16" i="12756"/>
  <c r="C49" i="12908" s="1"/>
  <c r="Z49" i="13034" s="1"/>
  <c r="I16" i="12756"/>
  <c r="J16" i="12756"/>
  <c r="K16" i="12756"/>
  <c r="M16" i="12756"/>
  <c r="N16" i="12756"/>
  <c r="P16" i="12756"/>
  <c r="Q16" i="12756"/>
  <c r="R16" i="12756"/>
  <c r="S16" i="12756"/>
  <c r="T16" i="12756"/>
  <c r="U16" i="12756"/>
  <c r="X16" i="12756"/>
  <c r="Y16" i="12756"/>
  <c r="AA16" i="12756"/>
  <c r="AB16" i="12756"/>
  <c r="AE16" i="12756"/>
  <c r="C55" i="12908" s="1"/>
  <c r="AF16" i="12756"/>
  <c r="AG16" i="12756"/>
  <c r="AI16" i="12756"/>
  <c r="AJ16" i="12756"/>
  <c r="AK16" i="12756"/>
  <c r="H18" i="12756"/>
  <c r="C118" i="12908" s="1"/>
  <c r="Z118" i="13034" s="1"/>
  <c r="I18" i="12756"/>
  <c r="L18" i="12756"/>
  <c r="M18" i="12756"/>
  <c r="P18" i="12756"/>
  <c r="S18" i="12756"/>
  <c r="V18" i="12756"/>
  <c r="Z18" i="12756"/>
  <c r="AA18" i="12756"/>
  <c r="AD18" i="12756"/>
  <c r="AE18" i="12756"/>
  <c r="C121" i="12908" s="1"/>
  <c r="AH18" i="12756"/>
  <c r="AI18" i="12756"/>
  <c r="C17" i="12756"/>
  <c r="D17" i="12756"/>
  <c r="E17" i="12756"/>
  <c r="E14" i="12709" s="1"/>
  <c r="G17" i="12756"/>
  <c r="C86" i="12908" s="1"/>
  <c r="Z86" i="13034" s="1"/>
  <c r="H17" i="12756"/>
  <c r="C89" i="12908" s="1"/>
  <c r="Z89" i="13034" s="1"/>
  <c r="I17" i="12756"/>
  <c r="K17" i="12756"/>
  <c r="L17" i="12756"/>
  <c r="O17" i="12756"/>
  <c r="P17" i="12756"/>
  <c r="R17" i="12756"/>
  <c r="S17" i="12756"/>
  <c r="V17" i="12756"/>
  <c r="W17" i="12756"/>
  <c r="Y17" i="12756"/>
  <c r="Z17" i="12756"/>
  <c r="AC17" i="12756"/>
  <c r="AE17" i="12756"/>
  <c r="AG17" i="12756"/>
  <c r="AH17" i="12756"/>
  <c r="AK17" i="12756"/>
  <c r="E18" i="12756"/>
  <c r="R18" i="12756"/>
  <c r="AG18" i="12756"/>
  <c r="B19" i="12756"/>
  <c r="B16" i="12756"/>
  <c r="B17" i="12756"/>
  <c r="B18" i="12756"/>
  <c r="B25" i="12756"/>
  <c r="B27" i="12756" s="1"/>
  <c r="C25" i="12756"/>
  <c r="C27" i="12756" s="1"/>
  <c r="C24" i="12756"/>
  <c r="C26" i="12756" s="1"/>
  <c r="B24" i="12756"/>
  <c r="E15" i="12756"/>
  <c r="E12" i="12709" s="1"/>
  <c r="I15" i="12756"/>
  <c r="M15" i="12756"/>
  <c r="P15" i="12756"/>
  <c r="S15" i="12756"/>
  <c r="W15" i="12756"/>
  <c r="AA15" i="12756"/>
  <c r="AE15" i="12756"/>
  <c r="C18" i="12908" s="1"/>
  <c r="AI15" i="12756"/>
  <c r="D16" i="12756"/>
  <c r="H16" i="12756"/>
  <c r="C52" i="12908" s="1"/>
  <c r="Z52" i="13034" s="1"/>
  <c r="L16" i="12756"/>
  <c r="O16" i="12756"/>
  <c r="V16" i="12756"/>
  <c r="Z16" i="12756"/>
  <c r="AD16" i="12756"/>
  <c r="AH16" i="12756"/>
  <c r="F17" i="12756"/>
  <c r="J17" i="12756"/>
  <c r="M17" i="12756"/>
  <c r="N17" i="12756"/>
  <c r="Q17" i="12756"/>
  <c r="T17" i="12756"/>
  <c r="X17" i="12756"/>
  <c r="AA17" i="12756"/>
  <c r="AB17" i="12756"/>
  <c r="AF17" i="12756"/>
  <c r="AI17" i="12756"/>
  <c r="AJ17" i="12756"/>
  <c r="C18" i="12756"/>
  <c r="D18" i="12756"/>
  <c r="I15" i="12711" s="1"/>
  <c r="G18" i="12756"/>
  <c r="C115" i="12908" s="1"/>
  <c r="Z115" i="13034" s="1"/>
  <c r="K18" i="12756"/>
  <c r="O18" i="12756"/>
  <c r="U18" i="12756"/>
  <c r="Y18" i="12756"/>
  <c r="AC18" i="12756"/>
  <c r="AK18" i="12756"/>
  <c r="F19" i="12756"/>
  <c r="G19" i="12756"/>
  <c r="C152" i="12908" s="1"/>
  <c r="Z152" i="13034" s="1"/>
  <c r="K19" i="12756"/>
  <c r="L19" i="12756"/>
  <c r="Q19" i="12756"/>
  <c r="R19" i="12756"/>
  <c r="T19" i="12756"/>
  <c r="U19" i="12756"/>
  <c r="Y19" i="12756"/>
  <c r="AC19" i="12756"/>
  <c r="AF19" i="12756"/>
  <c r="AJ19" i="12756"/>
  <c r="AK19" i="12756"/>
  <c r="Y20" i="12756"/>
  <c r="D24" i="12763"/>
  <c r="E24" i="12763"/>
  <c r="F24" i="12763"/>
  <c r="G24" i="12763"/>
  <c r="H24" i="12763"/>
  <c r="I24" i="12763"/>
  <c r="J24" i="12763"/>
  <c r="K24" i="12763"/>
  <c r="L24" i="12763"/>
  <c r="M24" i="12763"/>
  <c r="N24" i="12763"/>
  <c r="O24" i="12763"/>
  <c r="P24" i="12763"/>
  <c r="Q24" i="12763"/>
  <c r="R24" i="12763"/>
  <c r="S24" i="12763"/>
  <c r="T24" i="12763"/>
  <c r="U24" i="12763"/>
  <c r="U27" i="12763" s="1"/>
  <c r="V24" i="12763"/>
  <c r="W24" i="12763"/>
  <c r="X24" i="12763"/>
  <c r="Y24" i="12763"/>
  <c r="Z24" i="12763"/>
  <c r="AA24" i="12763"/>
  <c r="AB24" i="12763"/>
  <c r="AC24" i="12763"/>
  <c r="AD24" i="12763"/>
  <c r="AE24" i="12763"/>
  <c r="AF24" i="12763"/>
  <c r="AG24" i="12763"/>
  <c r="D25" i="12763"/>
  <c r="E25" i="12763"/>
  <c r="I96" i="12711" s="1"/>
  <c r="F25" i="12763"/>
  <c r="G25" i="12763"/>
  <c r="H25" i="12763"/>
  <c r="I25" i="12763"/>
  <c r="J25" i="12763"/>
  <c r="K25" i="12763"/>
  <c r="L25" i="12763"/>
  <c r="M25" i="12763"/>
  <c r="N25" i="12763"/>
  <c r="O25" i="12763"/>
  <c r="P25" i="12763"/>
  <c r="Q25" i="12763"/>
  <c r="C2063" i="12908" s="1"/>
  <c r="Z2063" i="13034" s="1"/>
  <c r="R25" i="12763"/>
  <c r="S25" i="12763"/>
  <c r="T25" i="12763"/>
  <c r="U25" i="12763"/>
  <c r="V25" i="12763"/>
  <c r="W25" i="12763"/>
  <c r="X25" i="12763"/>
  <c r="Y25" i="12763"/>
  <c r="Z25" i="12763"/>
  <c r="AA25" i="12763"/>
  <c r="AB25" i="12763"/>
  <c r="AC25" i="12763"/>
  <c r="AD25" i="12763"/>
  <c r="AE25" i="12763"/>
  <c r="AF25" i="12763"/>
  <c r="AG25" i="12763"/>
  <c r="D26" i="12763"/>
  <c r="E26" i="12763"/>
  <c r="F26" i="12763"/>
  <c r="G26" i="12763"/>
  <c r="H26" i="12763"/>
  <c r="I26" i="12763"/>
  <c r="J26" i="12763"/>
  <c r="K26" i="12763"/>
  <c r="L26" i="12763"/>
  <c r="M26" i="12763"/>
  <c r="N26" i="12763"/>
  <c r="O26" i="12763"/>
  <c r="P26" i="12763"/>
  <c r="Q26" i="12763"/>
  <c r="R26" i="12763"/>
  <c r="S26" i="12763"/>
  <c r="T26" i="12763"/>
  <c r="U26" i="12763"/>
  <c r="V26" i="12763"/>
  <c r="W26" i="12763"/>
  <c r="X26" i="12763"/>
  <c r="Y26" i="12763"/>
  <c r="Z26" i="12763"/>
  <c r="AA26" i="12763"/>
  <c r="AB26" i="12763"/>
  <c r="AC26" i="12763"/>
  <c r="AD26" i="12763"/>
  <c r="AE26" i="12763"/>
  <c r="AF26" i="12763"/>
  <c r="AG26" i="12763"/>
  <c r="L27" i="12763"/>
  <c r="D28" i="12763"/>
  <c r="E28" i="12763"/>
  <c r="F28" i="12763"/>
  <c r="G28" i="12763"/>
  <c r="H28" i="12763"/>
  <c r="I28" i="12763"/>
  <c r="J28" i="12763"/>
  <c r="K28" i="12763"/>
  <c r="L28" i="12763"/>
  <c r="M28" i="12763"/>
  <c r="N28" i="12763"/>
  <c r="O28" i="12763"/>
  <c r="P28" i="12763"/>
  <c r="Q28" i="12763"/>
  <c r="R28" i="12763"/>
  <c r="S28" i="12763"/>
  <c r="T28" i="12763"/>
  <c r="AJ28" i="12763" s="1"/>
  <c r="U28" i="12763"/>
  <c r="U31" i="12763" s="1"/>
  <c r="V28" i="12763"/>
  <c r="W28" i="12763"/>
  <c r="X28" i="12763"/>
  <c r="Y28" i="12763"/>
  <c r="Z28" i="12763"/>
  <c r="AA28" i="12763"/>
  <c r="AB28" i="12763"/>
  <c r="AC28" i="12763"/>
  <c r="AD28" i="12763"/>
  <c r="AE28" i="12763"/>
  <c r="AF28" i="12763"/>
  <c r="AG28" i="12763"/>
  <c r="AK28" i="12763" s="1"/>
  <c r="D29" i="12763"/>
  <c r="E29" i="12763"/>
  <c r="F29" i="12763"/>
  <c r="E97" i="12709" s="1"/>
  <c r="G29" i="12763"/>
  <c r="H29" i="12763"/>
  <c r="I29" i="12763"/>
  <c r="J29" i="12763"/>
  <c r="K29" i="12763"/>
  <c r="L29" i="12763"/>
  <c r="M29" i="12763"/>
  <c r="N29" i="12763"/>
  <c r="O29" i="12763"/>
  <c r="P29" i="12763"/>
  <c r="Q29" i="12763"/>
  <c r="R29" i="12763"/>
  <c r="S29" i="12763"/>
  <c r="T29" i="12763"/>
  <c r="AJ29" i="12763" s="1"/>
  <c r="U29" i="12763"/>
  <c r="V29" i="12763"/>
  <c r="W29" i="12763"/>
  <c r="X29" i="12763"/>
  <c r="Y29" i="12763"/>
  <c r="Z29" i="12763"/>
  <c r="AA29" i="12763"/>
  <c r="AB29" i="12763"/>
  <c r="AB31" i="12763" s="1"/>
  <c r="AC29" i="12763"/>
  <c r="AD29" i="12763"/>
  <c r="AE29" i="12763"/>
  <c r="AF29" i="12763"/>
  <c r="AG29" i="12763"/>
  <c r="D30" i="12763"/>
  <c r="E30" i="12763"/>
  <c r="F30" i="12763"/>
  <c r="G30" i="12763"/>
  <c r="H30" i="12763"/>
  <c r="I30" i="12763"/>
  <c r="J30" i="12763"/>
  <c r="K30" i="12763"/>
  <c r="L30" i="12763"/>
  <c r="M30" i="12763"/>
  <c r="N30" i="12763"/>
  <c r="O30" i="12763"/>
  <c r="P30" i="12763"/>
  <c r="Q30" i="12763"/>
  <c r="R30" i="12763"/>
  <c r="S30" i="12763"/>
  <c r="T30" i="12763"/>
  <c r="AJ30" i="12763" s="1"/>
  <c r="U30" i="12763"/>
  <c r="V30" i="12763"/>
  <c r="W30" i="12763"/>
  <c r="X30" i="12763"/>
  <c r="Y30" i="12763"/>
  <c r="Z30" i="12763"/>
  <c r="AA30" i="12763"/>
  <c r="AB30" i="12763"/>
  <c r="AC30" i="12763"/>
  <c r="AC31" i="12763" s="1"/>
  <c r="AD30" i="12763"/>
  <c r="AE30" i="12763"/>
  <c r="AF30" i="12763"/>
  <c r="AG30" i="12763"/>
  <c r="AK30" i="12763" s="1"/>
  <c r="D31" i="12763"/>
  <c r="D32" i="12763"/>
  <c r="J38" i="12852" s="1"/>
  <c r="E32" i="12763"/>
  <c r="F32" i="12763"/>
  <c r="G32" i="12763"/>
  <c r="C2207" i="12908" s="1"/>
  <c r="Z2207" i="13034" s="1"/>
  <c r="H32" i="12763"/>
  <c r="I32" i="12763"/>
  <c r="J32" i="12763"/>
  <c r="C2218" i="12908" s="1"/>
  <c r="Z2218" i="13034" s="1"/>
  <c r="K32" i="12763"/>
  <c r="C2219" i="12908" s="1"/>
  <c r="Z2219" i="13034" s="1"/>
  <c r="L32" i="12763"/>
  <c r="L35" i="12763" s="1"/>
  <c r="M32" i="12763"/>
  <c r="N32" i="12763"/>
  <c r="O32" i="12763"/>
  <c r="P32" i="12763"/>
  <c r="Q32" i="12763"/>
  <c r="R32" i="12763"/>
  <c r="S32" i="12763"/>
  <c r="T32" i="12763"/>
  <c r="U32" i="12763"/>
  <c r="V32" i="12763"/>
  <c r="W32" i="12763"/>
  <c r="C2209" i="12908" s="1"/>
  <c r="Z2209" i="13034" s="1"/>
  <c r="X32" i="12763"/>
  <c r="Y32" i="12763"/>
  <c r="Z32" i="12763"/>
  <c r="AA32" i="12763"/>
  <c r="AB32" i="12763"/>
  <c r="AC32" i="12763"/>
  <c r="AD32" i="12763"/>
  <c r="AE32" i="12763"/>
  <c r="AF32" i="12763"/>
  <c r="AG32" i="12763"/>
  <c r="AK32" i="12763" s="1"/>
  <c r="D33" i="12763"/>
  <c r="E33" i="12763"/>
  <c r="F33" i="12763"/>
  <c r="G33" i="12763"/>
  <c r="H33" i="12763"/>
  <c r="I33" i="12763"/>
  <c r="J33" i="12763"/>
  <c r="K33" i="12763"/>
  <c r="L33" i="12763"/>
  <c r="M33" i="12763"/>
  <c r="N33" i="12763"/>
  <c r="O33" i="12763"/>
  <c r="P33" i="12763"/>
  <c r="Q33" i="12763"/>
  <c r="R33" i="12763"/>
  <c r="S33" i="12763"/>
  <c r="T33" i="12763"/>
  <c r="U33" i="12763"/>
  <c r="V33" i="12763"/>
  <c r="W33" i="12763"/>
  <c r="X33" i="12763"/>
  <c r="Y33" i="12763"/>
  <c r="Z33" i="12763"/>
  <c r="AA33" i="12763"/>
  <c r="AB33" i="12763"/>
  <c r="AC33" i="12763"/>
  <c r="AD33" i="12763"/>
  <c r="AE33" i="12763"/>
  <c r="AF33" i="12763"/>
  <c r="AG33" i="12763"/>
  <c r="AK33" i="12763" s="1"/>
  <c r="D34" i="12763"/>
  <c r="J18" i="12852" s="1"/>
  <c r="E34" i="12763"/>
  <c r="I27" i="12711" s="1"/>
  <c r="F34" i="12763"/>
  <c r="E27" i="12709" s="1"/>
  <c r="G34" i="12763"/>
  <c r="C2184" i="12908" s="1"/>
  <c r="Z2184" i="13034" s="1"/>
  <c r="H34" i="12763"/>
  <c r="I34" i="12763"/>
  <c r="C2194" i="12908" s="1"/>
  <c r="Z2194" i="13034" s="1"/>
  <c r="J34" i="12763"/>
  <c r="C2195" i="12908" s="1"/>
  <c r="Z2195" i="13034" s="1"/>
  <c r="K34" i="12763"/>
  <c r="C2196" i="12908" s="1"/>
  <c r="L34" i="12763"/>
  <c r="M34" i="12763"/>
  <c r="N34" i="12763"/>
  <c r="O34" i="12763"/>
  <c r="P34" i="12763"/>
  <c r="Q34" i="12763"/>
  <c r="R34" i="12763"/>
  <c r="S34" i="12763"/>
  <c r="T34" i="12763"/>
  <c r="U34" i="12763"/>
  <c r="V34" i="12763"/>
  <c r="W34" i="12763"/>
  <c r="C2186" i="12908" s="1"/>
  <c r="Z2186" i="13034" s="1"/>
  <c r="X34" i="12763"/>
  <c r="Y34" i="12763"/>
  <c r="Z34" i="12763"/>
  <c r="AA34" i="12763"/>
  <c r="AB34" i="12763"/>
  <c r="AC34" i="12763"/>
  <c r="AD34" i="12763"/>
  <c r="AE34" i="12763"/>
  <c r="AF34" i="12763"/>
  <c r="AG34" i="12763"/>
  <c r="AK34" i="12763" s="1"/>
  <c r="T35" i="12763"/>
  <c r="AB35" i="12763"/>
  <c r="C34" i="12763"/>
  <c r="E18" i="12852" s="1"/>
  <c r="C30" i="12763"/>
  <c r="C26" i="12763"/>
  <c r="C33" i="12763"/>
  <c r="C32" i="12763"/>
  <c r="C29" i="12763"/>
  <c r="C28" i="12763"/>
  <c r="C25" i="12763"/>
  <c r="C24" i="12763"/>
  <c r="H18" i="12908" l="1"/>
  <c r="AE18" i="13034" s="1"/>
  <c r="Z18" i="13034"/>
  <c r="C2173" i="12908"/>
  <c r="Z2173" i="13034" s="1"/>
  <c r="Z2196" i="13034"/>
  <c r="H121" i="12908"/>
  <c r="AE121" i="13034" s="1"/>
  <c r="Z121" i="13034"/>
  <c r="H55" i="12908"/>
  <c r="AE55" i="13034" s="1"/>
  <c r="Z55" i="13034"/>
  <c r="C2161" i="12908"/>
  <c r="Z2161" i="13034" s="1"/>
  <c r="C2172" i="12908"/>
  <c r="C153" i="12908"/>
  <c r="Z153" i="13034" s="1"/>
  <c r="C116" i="12908"/>
  <c r="Z116" i="13034" s="1"/>
  <c r="C87" i="12908"/>
  <c r="Z87" i="13034" s="1"/>
  <c r="C119" i="12908"/>
  <c r="Z119" i="13034" s="1"/>
  <c r="C90" i="12908"/>
  <c r="Z90" i="13034" s="1"/>
  <c r="C53" i="12908"/>
  <c r="Z53" i="13034" s="1"/>
  <c r="C50" i="12908"/>
  <c r="Z50" i="13034" s="1"/>
  <c r="C175" i="12908"/>
  <c r="Z175" i="13034" s="1"/>
  <c r="C168" i="12908"/>
  <c r="Z168" i="13034" s="1"/>
  <c r="C137" i="12908"/>
  <c r="Z137" i="13034" s="1"/>
  <c r="C130" i="12908"/>
  <c r="Z130" i="13034" s="1"/>
  <c r="L31" i="12763"/>
  <c r="AL29" i="12763"/>
  <c r="E27" i="12763"/>
  <c r="E37" i="12763" s="1"/>
  <c r="C2163" i="12908"/>
  <c r="H2186" i="12908"/>
  <c r="AE2186" i="13034" s="1"/>
  <c r="AL34" i="12763"/>
  <c r="M45" i="12763"/>
  <c r="AL32" i="12763"/>
  <c r="M46" i="12763"/>
  <c r="AL25" i="12763"/>
  <c r="C2069" i="12908" s="1"/>
  <c r="Z2069" i="13034" s="1"/>
  <c r="U35" i="12763"/>
  <c r="H2209" i="12908"/>
  <c r="AE2209" i="13034" s="1"/>
  <c r="D2209" i="12908"/>
  <c r="AA2209" i="13034" s="1"/>
  <c r="D2208" i="12908"/>
  <c r="AA2208" i="13034" s="1"/>
  <c r="D2210" i="12908"/>
  <c r="AA2210" i="13034" s="1"/>
  <c r="AL30" i="12763"/>
  <c r="L45" i="12763"/>
  <c r="J327" i="12984" s="1"/>
  <c r="AL28" i="12763"/>
  <c r="L46" i="12763"/>
  <c r="J348" i="12984" s="1"/>
  <c r="C2062" i="12908"/>
  <c r="Z2062" i="13034" s="1"/>
  <c r="C27" i="12763"/>
  <c r="D35" i="12763"/>
  <c r="AJ33" i="12763"/>
  <c r="AL33" i="12763"/>
  <c r="AL26" i="12763"/>
  <c r="C2021" i="12908" s="1"/>
  <c r="Z2021" i="13034" s="1"/>
  <c r="C2064" i="12908"/>
  <c r="Z2064" i="13034" s="1"/>
  <c r="C2061" i="12908"/>
  <c r="Z2061" i="13034" s="1"/>
  <c r="AJ24" i="12763"/>
  <c r="AL24" i="12763"/>
  <c r="C2045" i="12908" s="1"/>
  <c r="Z2045" i="13034" s="1"/>
  <c r="D27" i="12763"/>
  <c r="E26" i="12771"/>
  <c r="AX16" i="12756"/>
  <c r="C81" i="12908" s="1"/>
  <c r="Z81" i="13034" s="1"/>
  <c r="AX17" i="12756"/>
  <c r="C110" i="12908" s="1"/>
  <c r="Z110" i="13034" s="1"/>
  <c r="D2185" i="12908"/>
  <c r="AA2185" i="13034" s="1"/>
  <c r="D2186" i="12908"/>
  <c r="AA2186" i="13034" s="1"/>
  <c r="D2187" i="12908"/>
  <c r="AA2187" i="13034" s="1"/>
  <c r="H2219" i="12908"/>
  <c r="AE2219" i="13034" s="1"/>
  <c r="H2218" i="12908"/>
  <c r="AE2218" i="13034" s="1"/>
  <c r="H2194" i="12908"/>
  <c r="AE2194" i="13034" s="1"/>
  <c r="H2196" i="12908"/>
  <c r="AE2196" i="13034" s="1"/>
  <c r="H2195" i="12908"/>
  <c r="AE2195" i="13034" s="1"/>
  <c r="Y31" i="12763"/>
  <c r="Q31" i="12763"/>
  <c r="M31" i="12763"/>
  <c r="I31" i="12763"/>
  <c r="E31" i="12763"/>
  <c r="F62" i="12711"/>
  <c r="G51" i="12910" s="1"/>
  <c r="H2207" i="12908"/>
  <c r="AE2207" i="13034" s="1"/>
  <c r="AC35" i="12763"/>
  <c r="Y35" i="12763"/>
  <c r="Q35" i="12763"/>
  <c r="M35" i="12763"/>
  <c r="I35" i="12763"/>
  <c r="C2217" i="12908"/>
  <c r="E35" i="12763"/>
  <c r="I62" i="12711"/>
  <c r="T31" i="12763"/>
  <c r="R27" i="12763"/>
  <c r="N27" i="12763"/>
  <c r="AL27" i="12763" s="1"/>
  <c r="J27" i="12763"/>
  <c r="J37" i="12763" s="1"/>
  <c r="AB27" i="12763"/>
  <c r="AJ25" i="12763"/>
  <c r="C35" i="12763"/>
  <c r="E38" i="12852"/>
  <c r="AJ34" i="12763"/>
  <c r="AJ32" i="12763"/>
  <c r="AK29" i="12763"/>
  <c r="AK26" i="12763"/>
  <c r="AK24" i="12763"/>
  <c r="T27" i="12763"/>
  <c r="AG27" i="12763"/>
  <c r="AK25" i="12763"/>
  <c r="AC27" i="12763"/>
  <c r="AC37" i="12763" s="1"/>
  <c r="Y27" i="12763"/>
  <c r="Q27" i="12763"/>
  <c r="Q37" i="12763" s="1"/>
  <c r="M27" i="12763"/>
  <c r="I27" i="12763"/>
  <c r="F27" i="12763"/>
  <c r="AJ26" i="12763"/>
  <c r="Y26" i="12771"/>
  <c r="Y28" i="12771" s="1"/>
  <c r="AF27" i="12763"/>
  <c r="X27" i="12763"/>
  <c r="X37" i="12763" s="1"/>
  <c r="P27" i="12763"/>
  <c r="H27" i="12763"/>
  <c r="U37" i="12763"/>
  <c r="H2184" i="12908"/>
  <c r="AE2184" i="13034" s="1"/>
  <c r="F27" i="12711"/>
  <c r="Y37" i="12763"/>
  <c r="AF35" i="12763"/>
  <c r="X35" i="12763"/>
  <c r="P35" i="12763"/>
  <c r="H35" i="12763"/>
  <c r="AF31" i="12763"/>
  <c r="X31" i="12763"/>
  <c r="P31" i="12763"/>
  <c r="H31" i="12763"/>
  <c r="AW19" i="12756"/>
  <c r="AW18" i="12756"/>
  <c r="AH19" i="12756"/>
  <c r="D19" i="12756"/>
  <c r="AC20" i="12756"/>
  <c r="AG19" i="12756"/>
  <c r="C19" i="12756"/>
  <c r="B15" i="12756"/>
  <c r="Z19" i="12756"/>
  <c r="O19" i="12756"/>
  <c r="H19" i="12756"/>
  <c r="C155" i="12908" s="1"/>
  <c r="Z155" i="13034" s="1"/>
  <c r="K20" i="12756"/>
  <c r="W18" i="12756"/>
  <c r="AU18" i="12756" s="1"/>
  <c r="AV18" i="12756" s="1"/>
  <c r="AH15" i="12756"/>
  <c r="AD15" i="12756"/>
  <c r="Z15" i="12756"/>
  <c r="V15" i="12756"/>
  <c r="O15" i="12756"/>
  <c r="P24" i="12756" s="1"/>
  <c r="J22" i="12984" s="1"/>
  <c r="L15" i="12756"/>
  <c r="M24" i="12756" s="1"/>
  <c r="J10" i="12984" s="1"/>
  <c r="H15" i="12756"/>
  <c r="C15" i="12908" s="1"/>
  <c r="Z15" i="13034" s="1"/>
  <c r="D15" i="12756"/>
  <c r="AK20" i="12756"/>
  <c r="AG20" i="12756"/>
  <c r="R20" i="12756"/>
  <c r="G20" i="12756"/>
  <c r="C189" i="12908" s="1"/>
  <c r="Z189" i="13034" s="1"/>
  <c r="C20" i="12756"/>
  <c r="J9" i="12852" s="1"/>
  <c r="U20" i="12756"/>
  <c r="AC16" i="12756"/>
  <c r="AW16" i="12756" s="1"/>
  <c r="AJ18" i="12756"/>
  <c r="AF18" i="12756"/>
  <c r="AB18" i="12756"/>
  <c r="X18" i="12756"/>
  <c r="T18" i="12756"/>
  <c r="Q18" i="12756"/>
  <c r="N18" i="12756"/>
  <c r="J18" i="12756"/>
  <c r="F18" i="12756"/>
  <c r="AK15" i="12756"/>
  <c r="AK21" i="12756" s="1"/>
  <c r="AG15" i="12756"/>
  <c r="AC15" i="12756"/>
  <c r="Y15" i="12756"/>
  <c r="Y21" i="12756" s="1"/>
  <c r="U15" i="12756"/>
  <c r="AU15" i="12756" s="1"/>
  <c r="AV15" i="12756" s="1"/>
  <c r="R15" i="12756"/>
  <c r="K15" i="12756"/>
  <c r="G15" i="12756"/>
  <c r="C12" i="12908" s="1"/>
  <c r="Z12" i="13034" s="1"/>
  <c r="C15" i="12756"/>
  <c r="AI19" i="12756"/>
  <c r="AE19" i="12756"/>
  <c r="C158" i="12908" s="1"/>
  <c r="AA19" i="12756"/>
  <c r="W19" i="12756"/>
  <c r="AU19" i="12756" s="1"/>
  <c r="AV19" i="12756" s="1"/>
  <c r="S19" i="12756"/>
  <c r="P19" i="12756"/>
  <c r="M19" i="12756"/>
  <c r="I19" i="12756"/>
  <c r="E19" i="12756"/>
  <c r="AH20" i="12756"/>
  <c r="AD20" i="12756"/>
  <c r="Z20" i="12756"/>
  <c r="V20" i="12756"/>
  <c r="O20" i="12756"/>
  <c r="L20" i="12756"/>
  <c r="H20" i="12756"/>
  <c r="C192" i="12908" s="1"/>
  <c r="Z192" i="13034" s="1"/>
  <c r="D20" i="12756"/>
  <c r="I17" i="12711" s="1"/>
  <c r="AJ20" i="12756"/>
  <c r="AF20" i="12756"/>
  <c r="AB20" i="12756"/>
  <c r="X20" i="12756"/>
  <c r="C218" i="12908" s="1"/>
  <c r="T20" i="12756"/>
  <c r="Q20" i="12756"/>
  <c r="N20" i="12756"/>
  <c r="J20" i="12756"/>
  <c r="C200" i="12908" s="1"/>
  <c r="Z200" i="13034" s="1"/>
  <c r="F20" i="12756"/>
  <c r="C188" i="12908" s="1"/>
  <c r="Z188" i="13034" s="1"/>
  <c r="B26" i="12756"/>
  <c r="AJ15" i="12756"/>
  <c r="AF15" i="12756"/>
  <c r="AB15" i="12756"/>
  <c r="X15" i="12756"/>
  <c r="T15" i="12756"/>
  <c r="Q15" i="12756"/>
  <c r="N15" i="12756"/>
  <c r="J15" i="12756"/>
  <c r="F15" i="12756"/>
  <c r="AI20" i="12756"/>
  <c r="AE20" i="12756"/>
  <c r="C195" i="12908" s="1"/>
  <c r="Z195" i="13034" s="1"/>
  <c r="AA20" i="12756"/>
  <c r="W20" i="12756"/>
  <c r="S20" i="12756"/>
  <c r="P20" i="12756"/>
  <c r="M20" i="12756"/>
  <c r="I20" i="12756"/>
  <c r="C197" i="12908" s="1"/>
  <c r="Z197" i="13034" s="1"/>
  <c r="E20" i="12756"/>
  <c r="E17" i="12709" s="1"/>
  <c r="E9" i="12852"/>
  <c r="S25" i="12756"/>
  <c r="T57" i="12984" s="1"/>
  <c r="M25" i="12756"/>
  <c r="J62" i="12984" s="1"/>
  <c r="AD17" i="12756"/>
  <c r="AW17" i="12756" s="1"/>
  <c r="W16" i="12756"/>
  <c r="AU16" i="12756" s="1"/>
  <c r="AV16" i="12756" s="1"/>
  <c r="U17" i="12756"/>
  <c r="AU17" i="12756" s="1"/>
  <c r="AV17" i="12756" s="1"/>
  <c r="AD35" i="12763"/>
  <c r="V35" i="12763"/>
  <c r="R35" i="12763"/>
  <c r="J35" i="12763"/>
  <c r="AB37" i="12763"/>
  <c r="L37" i="12763"/>
  <c r="D37" i="12763"/>
  <c r="AD31" i="12763"/>
  <c r="V31" i="12763"/>
  <c r="V37" i="12763" s="1"/>
  <c r="N31" i="12763"/>
  <c r="F31" i="12763"/>
  <c r="AE27" i="12763"/>
  <c r="AE37" i="12763" s="1"/>
  <c r="W27" i="12763"/>
  <c r="O27" i="12763"/>
  <c r="G27" i="12763"/>
  <c r="C31" i="12763"/>
  <c r="AD27" i="12763"/>
  <c r="Z27" i="12763"/>
  <c r="V27" i="12763"/>
  <c r="Z35" i="12763"/>
  <c r="N35" i="12763"/>
  <c r="AL35" i="12763" s="1"/>
  <c r="F35" i="12763"/>
  <c r="T37" i="12763"/>
  <c r="Z31" i="12763"/>
  <c r="R31" i="12763"/>
  <c r="R37" i="12763" s="1"/>
  <c r="J31" i="12763"/>
  <c r="AA27" i="12763"/>
  <c r="S27" i="12763"/>
  <c r="K27" i="12763"/>
  <c r="AG35" i="12763"/>
  <c r="AK35" i="12763" s="1"/>
  <c r="AE35" i="12763"/>
  <c r="AA35" i="12763"/>
  <c r="W35" i="12763"/>
  <c r="S35" i="12763"/>
  <c r="AJ35" i="12763" s="1"/>
  <c r="O35" i="12763"/>
  <c r="K35" i="12763"/>
  <c r="G35" i="12763"/>
  <c r="AE31" i="12763"/>
  <c r="AA31" i="12763"/>
  <c r="W31" i="12763"/>
  <c r="S31" i="12763"/>
  <c r="O31" i="12763"/>
  <c r="K31" i="12763"/>
  <c r="G31" i="12763"/>
  <c r="AG31" i="12763"/>
  <c r="L13" i="12776"/>
  <c r="M13" i="12776"/>
  <c r="P13" i="12776" s="1"/>
  <c r="L14" i="12776"/>
  <c r="M14" i="12776"/>
  <c r="P14" i="12776" s="1"/>
  <c r="L15" i="12776"/>
  <c r="M15" i="12776"/>
  <c r="P15" i="12776" s="1"/>
  <c r="L11" i="12776"/>
  <c r="M11" i="12776"/>
  <c r="P11" i="12776" s="1"/>
  <c r="L5" i="12776"/>
  <c r="M5" i="12776"/>
  <c r="P5" i="12776" s="1"/>
  <c r="N5" i="12782"/>
  <c r="O5" i="12782"/>
  <c r="AG5" i="12785"/>
  <c r="AH5" i="12785"/>
  <c r="P24" i="12774"/>
  <c r="Q24" i="12774"/>
  <c r="P14" i="12775"/>
  <c r="Q14" i="12775"/>
  <c r="T3" i="12905"/>
  <c r="T4" i="12905"/>
  <c r="T5" i="12905"/>
  <c r="T6" i="12905"/>
  <c r="T7" i="12905"/>
  <c r="T8" i="12905"/>
  <c r="T9" i="12905"/>
  <c r="T10" i="12905"/>
  <c r="T11" i="12905"/>
  <c r="T12" i="12905"/>
  <c r="T13" i="12905"/>
  <c r="T14" i="12905"/>
  <c r="T15" i="12905"/>
  <c r="T16" i="12905"/>
  <c r="T17" i="12905"/>
  <c r="T18" i="12905"/>
  <c r="T19" i="12905"/>
  <c r="T20" i="12905"/>
  <c r="T21" i="12905"/>
  <c r="T22" i="12905"/>
  <c r="T23" i="12905"/>
  <c r="T24" i="12905"/>
  <c r="T25" i="12905"/>
  <c r="T26" i="12905"/>
  <c r="T27" i="12905"/>
  <c r="T28" i="12905"/>
  <c r="T29" i="12905"/>
  <c r="T30" i="12905"/>
  <c r="T31" i="12905"/>
  <c r="T32" i="12905"/>
  <c r="T33" i="12905"/>
  <c r="T34" i="12905"/>
  <c r="T35" i="12905"/>
  <c r="T36" i="12905"/>
  <c r="T37" i="12905"/>
  <c r="T38" i="12905"/>
  <c r="T39" i="12905"/>
  <c r="T40" i="12905"/>
  <c r="T41" i="12905"/>
  <c r="T42" i="12905"/>
  <c r="T43" i="12905"/>
  <c r="T44" i="12905"/>
  <c r="T45" i="12905"/>
  <c r="T46" i="12905"/>
  <c r="T47" i="12905"/>
  <c r="T48" i="12905"/>
  <c r="T49" i="12905"/>
  <c r="T50" i="12905"/>
  <c r="T51" i="12905"/>
  <c r="T52" i="12905"/>
  <c r="T53" i="12905"/>
  <c r="T54" i="12905"/>
  <c r="T55" i="12905"/>
  <c r="T56" i="12905"/>
  <c r="T57" i="12905"/>
  <c r="T58" i="12905"/>
  <c r="T59" i="12905"/>
  <c r="T60" i="12905"/>
  <c r="T61" i="12905"/>
  <c r="T62" i="12905"/>
  <c r="T63" i="12905"/>
  <c r="T64" i="12905"/>
  <c r="T65" i="12905"/>
  <c r="T66" i="12905"/>
  <c r="T67" i="12905"/>
  <c r="T68" i="12905"/>
  <c r="T69" i="12905"/>
  <c r="T70" i="12905"/>
  <c r="T71" i="12905"/>
  <c r="T72" i="12905"/>
  <c r="T73" i="12905"/>
  <c r="T74" i="12905"/>
  <c r="T75" i="12905"/>
  <c r="T76" i="12905"/>
  <c r="T77" i="12905"/>
  <c r="T78" i="12905"/>
  <c r="T79" i="12905"/>
  <c r="T80" i="12905"/>
  <c r="T81" i="12905"/>
  <c r="T82" i="12905"/>
  <c r="T83" i="12905"/>
  <c r="T84" i="12905"/>
  <c r="T85" i="12905"/>
  <c r="T86" i="12905"/>
  <c r="T87" i="12905"/>
  <c r="T88" i="12905"/>
  <c r="T89" i="12905"/>
  <c r="T90" i="12905"/>
  <c r="T91" i="12905"/>
  <c r="T92" i="12905"/>
  <c r="T93" i="12905"/>
  <c r="T94" i="12905"/>
  <c r="T2" i="12905"/>
  <c r="A80" i="12905"/>
  <c r="A81" i="12905"/>
  <c r="A82" i="12905"/>
  <c r="R96" i="12905"/>
  <c r="S96" i="12905"/>
  <c r="C1663" i="12908"/>
  <c r="Z1663" i="13034" s="1"/>
  <c r="C1664" i="12908"/>
  <c r="Z1664" i="13034" s="1"/>
  <c r="C1662" i="12908"/>
  <c r="Z1662" i="13034" s="1"/>
  <c r="Q33" i="12772"/>
  <c r="P33" i="12772"/>
  <c r="R88" i="12760"/>
  <c r="S88" i="12760"/>
  <c r="R89" i="12760"/>
  <c r="S89" i="12760"/>
  <c r="R90" i="12760"/>
  <c r="S90" i="12760"/>
  <c r="R91" i="12760"/>
  <c r="S91" i="12760"/>
  <c r="H158" i="12908" l="1"/>
  <c r="AE158" i="13034" s="1"/>
  <c r="Z158" i="13034"/>
  <c r="H2172" i="12908"/>
  <c r="AE2172" i="13034" s="1"/>
  <c r="Z2172" i="13034"/>
  <c r="C2171" i="12908"/>
  <c r="Z2171" i="13034" s="1"/>
  <c r="Z2217" i="13034"/>
  <c r="H218" i="12908"/>
  <c r="AE218" i="13034" s="1"/>
  <c r="Z218" i="13034"/>
  <c r="H2173" i="12908"/>
  <c r="AE2173" i="13034" s="1"/>
  <c r="H2163" i="12908"/>
  <c r="AE2163" i="13034" s="1"/>
  <c r="Z2163" i="13034"/>
  <c r="S2186" i="12908"/>
  <c r="AP2186" i="13034" s="1"/>
  <c r="W2186" i="12908"/>
  <c r="Y2186" i="12908"/>
  <c r="AV2186" i="13034" s="1"/>
  <c r="U2186" i="12908"/>
  <c r="AR2186" i="13034" s="1"/>
  <c r="Y2209" i="12908"/>
  <c r="AV2209" i="13034" s="1"/>
  <c r="U2209" i="12908"/>
  <c r="AR2209" i="13034" s="1"/>
  <c r="S2209" i="12908"/>
  <c r="AP2209" i="13034" s="1"/>
  <c r="W2209" i="12908"/>
  <c r="C190" i="12908"/>
  <c r="Z190" i="13034" s="1"/>
  <c r="C16" i="12908"/>
  <c r="Z16" i="13034" s="1"/>
  <c r="C201" i="12908"/>
  <c r="Z201" i="13034" s="1"/>
  <c r="C156" i="12908"/>
  <c r="Z156" i="13034" s="1"/>
  <c r="C13" i="12908"/>
  <c r="Z13" i="13034" s="1"/>
  <c r="C198" i="12908"/>
  <c r="Z198" i="13034" s="1"/>
  <c r="C193" i="12908"/>
  <c r="Z193" i="13034" s="1"/>
  <c r="G28" i="12910"/>
  <c r="F197" i="12711"/>
  <c r="C1997" i="12908"/>
  <c r="Z1997" i="13034" s="1"/>
  <c r="M59" i="12984"/>
  <c r="M56" i="12984"/>
  <c r="M62" i="12984"/>
  <c r="M65" i="12984"/>
  <c r="M68" i="12984"/>
  <c r="C211" i="12908"/>
  <c r="C204" i="12908"/>
  <c r="Z204" i="13034" s="1"/>
  <c r="C174" i="12908"/>
  <c r="Z174" i="13034" s="1"/>
  <c r="C167" i="12908"/>
  <c r="Z167" i="13034" s="1"/>
  <c r="J45" i="12984"/>
  <c r="C45" i="12984" s="1"/>
  <c r="C10" i="12984"/>
  <c r="J13" i="12984"/>
  <c r="C13" i="12984" s="1"/>
  <c r="J16" i="12984"/>
  <c r="C16" i="12984" s="1"/>
  <c r="J42" i="12984"/>
  <c r="C42" i="12984" s="1"/>
  <c r="J48" i="12984"/>
  <c r="C48" i="12984" s="1"/>
  <c r="J19" i="12984"/>
  <c r="C19" i="12984" s="1"/>
  <c r="C138" i="12908"/>
  <c r="Z138" i="13034" s="1"/>
  <c r="C131" i="12908"/>
  <c r="Z131" i="13034" s="1"/>
  <c r="P28" i="12756"/>
  <c r="C212" i="12908"/>
  <c r="C205" i="12908"/>
  <c r="Z205" i="13034" s="1"/>
  <c r="C56" i="12984"/>
  <c r="C94" i="12984"/>
  <c r="C59" i="12984"/>
  <c r="C62" i="12984"/>
  <c r="C88" i="12984"/>
  <c r="C91" i="12984"/>
  <c r="C65" i="12984"/>
  <c r="J38" i="12984"/>
  <c r="C38" i="12984" s="1"/>
  <c r="J30" i="12984"/>
  <c r="C30" i="12984" s="1"/>
  <c r="C22" i="12984"/>
  <c r="J26" i="12984"/>
  <c r="C26" i="12984" s="1"/>
  <c r="J34" i="12984"/>
  <c r="C34" i="12984" s="1"/>
  <c r="I2208" i="12908"/>
  <c r="AF2208" i="13034" s="1"/>
  <c r="H37" i="12763"/>
  <c r="AL31" i="12763"/>
  <c r="AL37" i="12763" s="1"/>
  <c r="S37" i="12763"/>
  <c r="AK27" i="12763"/>
  <c r="I2209" i="12908"/>
  <c r="AF2209" i="13034" s="1"/>
  <c r="T348" i="12984"/>
  <c r="T348" i="12924"/>
  <c r="AF37" i="12763"/>
  <c r="I2210" i="12908"/>
  <c r="AF2210" i="13034" s="1"/>
  <c r="T327" i="12984"/>
  <c r="T327" i="12924"/>
  <c r="AX19" i="12756"/>
  <c r="C184" i="12908" s="1"/>
  <c r="Z184" i="13034" s="1"/>
  <c r="AX18" i="12756"/>
  <c r="C147" i="12908" s="1"/>
  <c r="Z147" i="13034" s="1"/>
  <c r="AX15" i="12756"/>
  <c r="C44" i="12908" s="1"/>
  <c r="Z44" i="13034" s="1"/>
  <c r="AX20" i="12756"/>
  <c r="C221" i="12908" s="1"/>
  <c r="Z221" i="13034" s="1"/>
  <c r="D2163" i="12908"/>
  <c r="AA2163" i="13034" s="1"/>
  <c r="I2186" i="12908"/>
  <c r="AF2186" i="13034" s="1"/>
  <c r="D2162" i="12908"/>
  <c r="AA2162" i="13034" s="1"/>
  <c r="I2185" i="12908"/>
  <c r="AF2185" i="13034" s="1"/>
  <c r="D2164" i="12908"/>
  <c r="AA2164" i="13034" s="1"/>
  <c r="I2187" i="12908"/>
  <c r="AF2187" i="13034" s="1"/>
  <c r="H2217" i="12908"/>
  <c r="AE2217" i="13034" s="1"/>
  <c r="H197" i="12908"/>
  <c r="AE197" i="13034" s="1"/>
  <c r="D197" i="12908"/>
  <c r="AA197" i="13034" s="1"/>
  <c r="D195" i="12908"/>
  <c r="AA195" i="13034" s="1"/>
  <c r="D203" i="12908"/>
  <c r="AA203" i="13034" s="1"/>
  <c r="D189" i="12908"/>
  <c r="D196" i="12908"/>
  <c r="AA196" i="13034" s="1"/>
  <c r="H200" i="12908"/>
  <c r="AE200" i="13034" s="1"/>
  <c r="D200" i="12908"/>
  <c r="AA200" i="13034" s="1"/>
  <c r="H2171" i="12908"/>
  <c r="AE2171" i="13034" s="1"/>
  <c r="F17" i="12711"/>
  <c r="H2161" i="12908"/>
  <c r="AE2161" i="13034" s="1"/>
  <c r="L21" i="12756"/>
  <c r="AA37" i="12763"/>
  <c r="I37" i="12763"/>
  <c r="AG37" i="12763"/>
  <c r="AK31" i="12763"/>
  <c r="N37" i="12763"/>
  <c r="M37" i="12763"/>
  <c r="AJ31" i="12763"/>
  <c r="K37" i="12763"/>
  <c r="O37" i="12763"/>
  <c r="Z37" i="12763"/>
  <c r="P37" i="12763"/>
  <c r="AJ27" i="12763"/>
  <c r="G21" i="12756"/>
  <c r="K30" i="12756"/>
  <c r="J303" i="12984" s="1"/>
  <c r="AC21" i="12756"/>
  <c r="L30" i="12756"/>
  <c r="G37" i="12763"/>
  <c r="F37" i="12763"/>
  <c r="AD37" i="12763"/>
  <c r="W37" i="12763"/>
  <c r="M16" i="12776"/>
  <c r="L16" i="12776"/>
  <c r="R92" i="12760"/>
  <c r="S92" i="12760"/>
  <c r="R21" i="12756"/>
  <c r="B21" i="12756"/>
  <c r="AW20" i="12756"/>
  <c r="AW15" i="12756"/>
  <c r="S21" i="12756"/>
  <c r="Q21" i="12756"/>
  <c r="AF21" i="12756"/>
  <c r="H189" i="12908"/>
  <c r="AE189" i="13034" s="1"/>
  <c r="H192" i="12908"/>
  <c r="AE192" i="13034" s="1"/>
  <c r="Q28" i="12756"/>
  <c r="AU20" i="12756"/>
  <c r="AV20" i="12756" s="1"/>
  <c r="M21" i="12756"/>
  <c r="AA21" i="12756"/>
  <c r="V21" i="12756"/>
  <c r="H21" i="12756"/>
  <c r="E21" i="12756"/>
  <c r="Z21" i="12756"/>
  <c r="I21" i="12756"/>
  <c r="C21" i="12756"/>
  <c r="AG21" i="12756"/>
  <c r="O21" i="12756"/>
  <c r="U21" i="12756"/>
  <c r="J21" i="12756"/>
  <c r="X21" i="12756"/>
  <c r="D21" i="12756"/>
  <c r="AH21" i="12756"/>
  <c r="K21" i="12756"/>
  <c r="M28" i="12756"/>
  <c r="P21" i="12756"/>
  <c r="AE21" i="12756"/>
  <c r="F21" i="12756"/>
  <c r="T21" i="12756"/>
  <c r="AJ21" i="12756"/>
  <c r="N21" i="12756"/>
  <c r="AB21" i="12756"/>
  <c r="AI21" i="12756"/>
  <c r="AD21" i="12756"/>
  <c r="W21" i="12756"/>
  <c r="H1325" i="12908"/>
  <c r="AE1325" i="13034" s="1"/>
  <c r="H1324" i="12908"/>
  <c r="AE1324" i="13034" s="1"/>
  <c r="H1323" i="12908"/>
  <c r="AE1323" i="13034" s="1"/>
  <c r="H1322" i="12908"/>
  <c r="AE1322" i="13034" s="1"/>
  <c r="H1321" i="12908"/>
  <c r="AE1321" i="13034" s="1"/>
  <c r="H1320" i="12908"/>
  <c r="AE1320" i="13034" s="1"/>
  <c r="H1319" i="12908"/>
  <c r="AE1319" i="13034" s="1"/>
  <c r="H1318" i="12908"/>
  <c r="AE1318" i="13034" s="1"/>
  <c r="H1316" i="12908"/>
  <c r="AE1316" i="13034" s="1"/>
  <c r="H1315" i="12908"/>
  <c r="AE1315" i="13034" s="1"/>
  <c r="H1314" i="12908"/>
  <c r="AE1314" i="13034" s="1"/>
  <c r="H1313" i="12908"/>
  <c r="AE1313" i="13034" s="1"/>
  <c r="H1312" i="12908"/>
  <c r="AE1312" i="13034" s="1"/>
  <c r="H1311" i="12908"/>
  <c r="AE1311" i="13034" s="1"/>
  <c r="H1309" i="12908"/>
  <c r="AE1309" i="13034" s="1"/>
  <c r="H1308" i="12908"/>
  <c r="AE1308" i="13034" s="1"/>
  <c r="H1307" i="12908"/>
  <c r="AE1307" i="13034" s="1"/>
  <c r="H1306" i="12908"/>
  <c r="AE1306" i="13034" s="1"/>
  <c r="H1305" i="12908"/>
  <c r="AE1305" i="13034" s="1"/>
  <c r="H1304" i="12908"/>
  <c r="AE1304" i="13034" s="1"/>
  <c r="H1303" i="12908"/>
  <c r="AE1303" i="13034" s="1"/>
  <c r="H1302" i="12908"/>
  <c r="AE1302" i="13034" s="1"/>
  <c r="H1301" i="12908"/>
  <c r="AE1301" i="13034" s="1"/>
  <c r="H1300" i="12908"/>
  <c r="AE1300" i="13034" s="1"/>
  <c r="H1299" i="12908"/>
  <c r="AE1299" i="13034" s="1"/>
  <c r="H1297" i="12908"/>
  <c r="AE1297" i="13034" s="1"/>
  <c r="H1296" i="12908"/>
  <c r="AE1296" i="13034" s="1"/>
  <c r="H1294" i="12908"/>
  <c r="AE1294" i="13034" s="1"/>
  <c r="H1367" i="12908"/>
  <c r="AE1367" i="13034" s="1"/>
  <c r="H1366" i="12908"/>
  <c r="AE1366" i="13034" s="1"/>
  <c r="H1365" i="12908"/>
  <c r="AE1365" i="13034" s="1"/>
  <c r="H1364" i="12908"/>
  <c r="AE1364" i="13034" s="1"/>
  <c r="H1363" i="12908"/>
  <c r="AE1363" i="13034" s="1"/>
  <c r="H1362" i="12908"/>
  <c r="AE1362" i="13034" s="1"/>
  <c r="H1361" i="12908"/>
  <c r="AE1361" i="13034" s="1"/>
  <c r="H1360" i="12908"/>
  <c r="AE1360" i="13034" s="1"/>
  <c r="H1358" i="12908"/>
  <c r="AE1358" i="13034" s="1"/>
  <c r="H1357" i="12908"/>
  <c r="AE1357" i="13034" s="1"/>
  <c r="H1356" i="12908"/>
  <c r="AE1356" i="13034" s="1"/>
  <c r="H1355" i="12908"/>
  <c r="AE1355" i="13034" s="1"/>
  <c r="H1354" i="12908"/>
  <c r="AE1354" i="13034" s="1"/>
  <c r="H1353" i="12908"/>
  <c r="AE1353" i="13034" s="1"/>
  <c r="H1351" i="12908"/>
  <c r="AE1351" i="13034" s="1"/>
  <c r="H1350" i="12908"/>
  <c r="AE1350" i="13034" s="1"/>
  <c r="H1349" i="12908"/>
  <c r="AE1349" i="13034" s="1"/>
  <c r="H1348" i="12908"/>
  <c r="AE1348" i="13034" s="1"/>
  <c r="H1347" i="12908"/>
  <c r="AE1347" i="13034" s="1"/>
  <c r="H1346" i="12908"/>
  <c r="AE1346" i="13034" s="1"/>
  <c r="H1345" i="12908"/>
  <c r="AE1345" i="13034" s="1"/>
  <c r="H1344" i="12908"/>
  <c r="AE1344" i="13034" s="1"/>
  <c r="H1343" i="12908"/>
  <c r="AE1343" i="13034" s="1"/>
  <c r="H1342" i="12908"/>
  <c r="AE1342" i="13034" s="1"/>
  <c r="H1341" i="12908"/>
  <c r="AE1341" i="13034" s="1"/>
  <c r="H1339" i="12908"/>
  <c r="AE1339" i="13034" s="1"/>
  <c r="H1338" i="12908"/>
  <c r="AE1338" i="13034" s="1"/>
  <c r="H1336" i="12908"/>
  <c r="AE1336" i="13034" s="1"/>
  <c r="H1241" i="12908"/>
  <c r="AE1241" i="13034" s="1"/>
  <c r="H1240" i="12908"/>
  <c r="AE1240" i="13034" s="1"/>
  <c r="H1239" i="12908"/>
  <c r="AE1239" i="13034" s="1"/>
  <c r="H1238" i="12908"/>
  <c r="AE1238" i="13034" s="1"/>
  <c r="H1237" i="12908"/>
  <c r="AE1237" i="13034" s="1"/>
  <c r="H1236" i="12908"/>
  <c r="AE1236" i="13034" s="1"/>
  <c r="H1235" i="12908"/>
  <c r="AE1235" i="13034" s="1"/>
  <c r="H1234" i="12908"/>
  <c r="AE1234" i="13034" s="1"/>
  <c r="H1232" i="12908"/>
  <c r="AE1232" i="13034" s="1"/>
  <c r="H1231" i="12908"/>
  <c r="AE1231" i="13034" s="1"/>
  <c r="H1230" i="12908"/>
  <c r="AE1230" i="13034" s="1"/>
  <c r="H1229" i="12908"/>
  <c r="AE1229" i="13034" s="1"/>
  <c r="H1228" i="12908"/>
  <c r="AE1228" i="13034" s="1"/>
  <c r="H1227" i="12908"/>
  <c r="AE1227" i="13034" s="1"/>
  <c r="H1225" i="12908"/>
  <c r="AE1225" i="13034" s="1"/>
  <c r="H1224" i="12908"/>
  <c r="AE1224" i="13034" s="1"/>
  <c r="H1223" i="12908"/>
  <c r="AE1223" i="13034" s="1"/>
  <c r="H1222" i="12908"/>
  <c r="AE1222" i="13034" s="1"/>
  <c r="H1221" i="12908"/>
  <c r="AE1221" i="13034" s="1"/>
  <c r="H1220" i="12908"/>
  <c r="AE1220" i="13034" s="1"/>
  <c r="H1219" i="12908"/>
  <c r="AE1219" i="13034" s="1"/>
  <c r="H1218" i="12908"/>
  <c r="AE1218" i="13034" s="1"/>
  <c r="H1217" i="12908"/>
  <c r="AE1217" i="13034" s="1"/>
  <c r="H1216" i="12908"/>
  <c r="AE1216" i="13034" s="1"/>
  <c r="H1215" i="12908"/>
  <c r="AE1215" i="13034" s="1"/>
  <c r="H1213" i="12908"/>
  <c r="AE1213" i="13034" s="1"/>
  <c r="H1212" i="12908"/>
  <c r="AE1212" i="13034" s="1"/>
  <c r="H1210" i="12908"/>
  <c r="AE1210" i="13034" s="1"/>
  <c r="T3" i="12760"/>
  <c r="T4" i="12760"/>
  <c r="T5" i="12760"/>
  <c r="T6" i="12760"/>
  <c r="T7" i="12760"/>
  <c r="T8" i="12760"/>
  <c r="T9" i="12760"/>
  <c r="T10" i="12760"/>
  <c r="T11" i="12760"/>
  <c r="T12" i="12760"/>
  <c r="T13" i="12760"/>
  <c r="T14" i="12760"/>
  <c r="T15" i="12760"/>
  <c r="T16" i="12760"/>
  <c r="T17" i="12760"/>
  <c r="T18" i="12760"/>
  <c r="T19" i="12760"/>
  <c r="T20" i="12760"/>
  <c r="T21" i="12760"/>
  <c r="T22" i="12760"/>
  <c r="T23" i="12760"/>
  <c r="T24" i="12760"/>
  <c r="T25" i="12760"/>
  <c r="T26" i="12760"/>
  <c r="T27" i="12760"/>
  <c r="T28" i="12760"/>
  <c r="T29" i="12760"/>
  <c r="T30" i="12760"/>
  <c r="T31" i="12760"/>
  <c r="T32" i="12760"/>
  <c r="T33" i="12760"/>
  <c r="T34" i="12760"/>
  <c r="T35" i="12760"/>
  <c r="T36" i="12760"/>
  <c r="T37" i="12760"/>
  <c r="T38" i="12760"/>
  <c r="T39" i="12760"/>
  <c r="T40" i="12760"/>
  <c r="T41" i="12760"/>
  <c r="T42" i="12760"/>
  <c r="T43" i="12760"/>
  <c r="T44" i="12760"/>
  <c r="T45" i="12760"/>
  <c r="T46" i="12760"/>
  <c r="T47" i="12760"/>
  <c r="T48" i="12760"/>
  <c r="T49" i="12760"/>
  <c r="T50" i="12760"/>
  <c r="T51" i="12760"/>
  <c r="T52" i="12760"/>
  <c r="T53" i="12760"/>
  <c r="T54" i="12760"/>
  <c r="T55" i="12760"/>
  <c r="T56" i="12760"/>
  <c r="T57" i="12760"/>
  <c r="T58" i="12760"/>
  <c r="T59" i="12760"/>
  <c r="T60" i="12760"/>
  <c r="T61" i="12760"/>
  <c r="T62" i="12760"/>
  <c r="T63" i="12760"/>
  <c r="T64" i="12760"/>
  <c r="T65" i="12760"/>
  <c r="T66" i="12760"/>
  <c r="T67" i="12760"/>
  <c r="T68" i="12760"/>
  <c r="T69" i="12760"/>
  <c r="T70" i="12760"/>
  <c r="T71" i="12760"/>
  <c r="T72" i="12760"/>
  <c r="T73" i="12760"/>
  <c r="T74" i="12760"/>
  <c r="T75" i="12760"/>
  <c r="T76" i="12760"/>
  <c r="T77" i="12760"/>
  <c r="T78" i="12760"/>
  <c r="T79" i="12760"/>
  <c r="T80" i="12760"/>
  <c r="T81" i="12760"/>
  <c r="T82" i="12760"/>
  <c r="T83" i="12760"/>
  <c r="T84" i="12760"/>
  <c r="T85" i="12760"/>
  <c r="T2" i="12760"/>
  <c r="I88" i="12760"/>
  <c r="J28" i="12852" s="1"/>
  <c r="D191" i="12908" l="1"/>
  <c r="AA191" i="13034" s="1"/>
  <c r="AA189" i="13034"/>
  <c r="H211" i="12908"/>
  <c r="AE211" i="13034" s="1"/>
  <c r="Z211" i="13034"/>
  <c r="AT2209" i="13034"/>
  <c r="AI2209" i="13015"/>
  <c r="H212" i="12908"/>
  <c r="AE212" i="13034" s="1"/>
  <c r="Z212" i="13034"/>
  <c r="AT2186" i="13034"/>
  <c r="AI2186" i="13015"/>
  <c r="W196" i="12908"/>
  <c r="U196" i="12908"/>
  <c r="AR196" i="13034" s="1"/>
  <c r="S196" i="12908"/>
  <c r="AP196" i="13034" s="1"/>
  <c r="S191" i="12908"/>
  <c r="AP191" i="13034" s="1"/>
  <c r="U191" i="12908"/>
  <c r="AR191" i="13034" s="1"/>
  <c r="W191" i="12908"/>
  <c r="S195" i="12908"/>
  <c r="AP195" i="13034" s="1"/>
  <c r="W195" i="12908"/>
  <c r="U195" i="12908"/>
  <c r="AR195" i="13034" s="1"/>
  <c r="U2163" i="12908"/>
  <c r="AR2163" i="13034" s="1"/>
  <c r="Y2163" i="12908"/>
  <c r="AV2163" i="13034" s="1"/>
  <c r="W2163" i="12908"/>
  <c r="S2163" i="12908"/>
  <c r="AP2163" i="13034" s="1"/>
  <c r="Y196" i="12908"/>
  <c r="AV196" i="13034" s="1"/>
  <c r="Y191" i="12908"/>
  <c r="AV191" i="13034" s="1"/>
  <c r="Y195" i="12908"/>
  <c r="AV195" i="13034" s="1"/>
  <c r="D190" i="12908"/>
  <c r="AA190" i="13034" s="1"/>
  <c r="D199" i="12908"/>
  <c r="G19" i="12910"/>
  <c r="F172" i="12711"/>
  <c r="C89" i="12984"/>
  <c r="E88" i="12984"/>
  <c r="G88" i="12984"/>
  <c r="I88" i="12984"/>
  <c r="C46" i="12984"/>
  <c r="G45" i="12984"/>
  <c r="E45" i="12984"/>
  <c r="I45" i="12984"/>
  <c r="O68" i="12984"/>
  <c r="M69" i="12984"/>
  <c r="S68" i="12984"/>
  <c r="Q68" i="12984"/>
  <c r="E38" i="12984"/>
  <c r="G38" i="12984"/>
  <c r="I38" i="12984"/>
  <c r="C63" i="12984"/>
  <c r="E62" i="12984"/>
  <c r="G62" i="12984"/>
  <c r="I62" i="12984"/>
  <c r="C303" i="12984"/>
  <c r="E26" i="12984"/>
  <c r="G26" i="12984"/>
  <c r="I26" i="12984"/>
  <c r="C66" i="12984"/>
  <c r="E65" i="12984"/>
  <c r="G65" i="12984"/>
  <c r="I65" i="12984"/>
  <c r="C60" i="12984"/>
  <c r="E59" i="12984"/>
  <c r="G59" i="12984"/>
  <c r="I59" i="12984"/>
  <c r="C20" i="12984"/>
  <c r="G19" i="12984"/>
  <c r="E19" i="12984"/>
  <c r="I19" i="12984"/>
  <c r="C14" i="12984"/>
  <c r="G13" i="12984"/>
  <c r="E13" i="12984"/>
  <c r="I13" i="12984"/>
  <c r="M63" i="12984"/>
  <c r="Q62" i="12984"/>
  <c r="S62" i="12984"/>
  <c r="O62" i="12984"/>
  <c r="J309" i="12924"/>
  <c r="J309" i="12984"/>
  <c r="E30" i="12984"/>
  <c r="G30" i="12984"/>
  <c r="I30" i="12984"/>
  <c r="C57" i="12984"/>
  <c r="G56" i="12984"/>
  <c r="E56" i="12984"/>
  <c r="I56" i="12984"/>
  <c r="C43" i="12984"/>
  <c r="E42" i="12984"/>
  <c r="G42" i="12984"/>
  <c r="I42" i="12984"/>
  <c r="O59" i="12984"/>
  <c r="Q59" i="12984"/>
  <c r="M60" i="12984"/>
  <c r="S59" i="12984"/>
  <c r="E34" i="12984"/>
  <c r="G34" i="12984"/>
  <c r="I34" i="12984"/>
  <c r="C17" i="12984"/>
  <c r="E16" i="12984"/>
  <c r="G16" i="12984"/>
  <c r="I16" i="12984"/>
  <c r="M66" i="12984"/>
  <c r="Q65" i="12984"/>
  <c r="O65" i="12984"/>
  <c r="S65" i="12984"/>
  <c r="E22" i="12984"/>
  <c r="G22" i="12984"/>
  <c r="I22" i="12984"/>
  <c r="C92" i="12984"/>
  <c r="G91" i="12984"/>
  <c r="E91" i="12984"/>
  <c r="I91" i="12984"/>
  <c r="C95" i="12984"/>
  <c r="E94" i="12984"/>
  <c r="G94" i="12984"/>
  <c r="I94" i="12984"/>
  <c r="G48" i="12984"/>
  <c r="E48" i="12984"/>
  <c r="C49" i="12984"/>
  <c r="I48" i="12984"/>
  <c r="C306" i="12984"/>
  <c r="E10" i="12984"/>
  <c r="G10" i="12984"/>
  <c r="I10" i="12984"/>
  <c r="C11" i="12984"/>
  <c r="O56" i="12984"/>
  <c r="M57" i="12984"/>
  <c r="S56" i="12984"/>
  <c r="Q56" i="12984"/>
  <c r="M71" i="12984"/>
  <c r="C315" i="12984" s="1"/>
  <c r="C64" i="12908" s="1"/>
  <c r="Z64" i="13034" s="1"/>
  <c r="AB351" i="12984"/>
  <c r="AB348" i="12984"/>
  <c r="Z351" i="12984"/>
  <c r="AB350" i="12984"/>
  <c r="Z349" i="12984"/>
  <c r="Z348" i="12984"/>
  <c r="AB349" i="12984"/>
  <c r="Z350" i="12984"/>
  <c r="P16" i="12776"/>
  <c r="M29" i="12756"/>
  <c r="AX21" i="12756"/>
  <c r="I189" i="12908"/>
  <c r="AF189" i="13034" s="1"/>
  <c r="I2162" i="12908"/>
  <c r="AF2162" i="13034" s="1"/>
  <c r="I2164" i="12908"/>
  <c r="AF2164" i="13034" s="1"/>
  <c r="I2163" i="12908"/>
  <c r="AF2163" i="13034" s="1"/>
  <c r="I197" i="12908"/>
  <c r="AF197" i="13034" s="1"/>
  <c r="I200" i="12908"/>
  <c r="AF200" i="13034" s="1"/>
  <c r="I203" i="12908"/>
  <c r="AF203" i="13034" s="1"/>
  <c r="I196" i="12908"/>
  <c r="AF196" i="13034" s="1"/>
  <c r="I195" i="12908"/>
  <c r="AF195" i="13034" s="1"/>
  <c r="D192" i="12908"/>
  <c r="AA192" i="13034" s="1"/>
  <c r="AW21" i="12756"/>
  <c r="AU21" i="12756"/>
  <c r="AV21" i="12756" s="1"/>
  <c r="Z8" i="12761"/>
  <c r="Z9" i="12761"/>
  <c r="D198" i="12908" l="1"/>
  <c r="AA198" i="13034" s="1"/>
  <c r="AA199" i="13034"/>
  <c r="AT191" i="13034"/>
  <c r="AI191" i="13015"/>
  <c r="AT196" i="13034"/>
  <c r="AI196" i="13015"/>
  <c r="AT2163" i="13034"/>
  <c r="AI2163" i="13015"/>
  <c r="AT195" i="13034"/>
  <c r="AI195" i="13015"/>
  <c r="U190" i="12908"/>
  <c r="AR190" i="13034" s="1"/>
  <c r="S190" i="12908"/>
  <c r="AP190" i="13034" s="1"/>
  <c r="W190" i="12908"/>
  <c r="Y190" i="12908"/>
  <c r="AV190" i="13034" s="1"/>
  <c r="E306" i="12984"/>
  <c r="O312" i="12984" s="1"/>
  <c r="E303" i="12984"/>
  <c r="O309" i="12984" s="1"/>
  <c r="G11" i="12984"/>
  <c r="E11" i="12984"/>
  <c r="I11" i="12984"/>
  <c r="M306" i="12984"/>
  <c r="C172" i="12908" s="1"/>
  <c r="Z172" i="13034" s="1"/>
  <c r="M312" i="12984"/>
  <c r="C209" i="12908" s="1"/>
  <c r="Z209" i="13034" s="1"/>
  <c r="E95" i="12984"/>
  <c r="G95" i="12984"/>
  <c r="I95" i="12984"/>
  <c r="G92" i="12984"/>
  <c r="E92" i="12984"/>
  <c r="I92" i="12984"/>
  <c r="Q66" i="12984"/>
  <c r="O66" i="12984"/>
  <c r="S66" i="12984"/>
  <c r="E17" i="12984"/>
  <c r="G17" i="12984"/>
  <c r="I17" i="12984"/>
  <c r="E43" i="12984"/>
  <c r="G43" i="12984"/>
  <c r="I43" i="12984"/>
  <c r="G57" i="12984"/>
  <c r="E57" i="12984"/>
  <c r="I57" i="12984"/>
  <c r="I306" i="12984"/>
  <c r="I312" i="12984"/>
  <c r="Q71" i="12984"/>
  <c r="G315" i="12984" s="1"/>
  <c r="O57" i="12984"/>
  <c r="S57" i="12984"/>
  <c r="Q57" i="12984"/>
  <c r="M72" i="12984"/>
  <c r="C316" i="12984" s="1"/>
  <c r="C65" i="12908" s="1"/>
  <c r="Z65" i="13034" s="1"/>
  <c r="E49" i="12984"/>
  <c r="G49" i="12984"/>
  <c r="I49" i="12984"/>
  <c r="G303" i="12984"/>
  <c r="G306" i="12984"/>
  <c r="Q60" i="12984"/>
  <c r="O60" i="12984"/>
  <c r="S60" i="12984"/>
  <c r="E312" i="12984"/>
  <c r="G312" i="12984"/>
  <c r="S71" i="12984"/>
  <c r="I315" i="12984" s="1"/>
  <c r="S63" i="12984"/>
  <c r="Q63" i="12984"/>
  <c r="O63" i="12984"/>
  <c r="E14" i="12984"/>
  <c r="I14" i="12984"/>
  <c r="G14" i="12984"/>
  <c r="E20" i="12984"/>
  <c r="G20" i="12984"/>
  <c r="I20" i="12984"/>
  <c r="E60" i="12984"/>
  <c r="G60" i="12984"/>
  <c r="I60" i="12984"/>
  <c r="E66" i="12984"/>
  <c r="G66" i="12984"/>
  <c r="I66" i="12984"/>
  <c r="S69" i="12984"/>
  <c r="Q69" i="12984"/>
  <c r="O69" i="12984"/>
  <c r="I303" i="12984"/>
  <c r="M309" i="12984"/>
  <c r="C206" i="12908" s="1"/>
  <c r="Z206" i="13034" s="1"/>
  <c r="M303" i="12984"/>
  <c r="C169" i="12908" s="1"/>
  <c r="Z169" i="13034" s="1"/>
  <c r="E63" i="12984"/>
  <c r="G63" i="12984"/>
  <c r="I63" i="12984"/>
  <c r="O71" i="12984"/>
  <c r="E315" i="12984" s="1"/>
  <c r="G46" i="12984"/>
  <c r="E46" i="12984"/>
  <c r="I46" i="12984"/>
  <c r="E89" i="12984"/>
  <c r="G89" i="12984"/>
  <c r="I89" i="12984"/>
  <c r="Z10" i="12761"/>
  <c r="I192" i="12908"/>
  <c r="AF192" i="13034" s="1"/>
  <c r="N23" i="12780"/>
  <c r="J181" i="12984" s="1"/>
  <c r="X10" i="12780"/>
  <c r="Y10" i="12780"/>
  <c r="E90" i="12709"/>
  <c r="Y11" i="12780"/>
  <c r="E54" i="12709"/>
  <c r="J344" i="12984"/>
  <c r="AT190" i="13034" l="1"/>
  <c r="AI190" i="13015"/>
  <c r="O306" i="12984"/>
  <c r="O303" i="12984"/>
  <c r="C32" i="12908"/>
  <c r="Z32" i="13034" s="1"/>
  <c r="Q72" i="12984"/>
  <c r="G316" i="12984" s="1"/>
  <c r="S312" i="12984"/>
  <c r="S306" i="12984"/>
  <c r="S303" i="12984"/>
  <c r="S309" i="12984"/>
  <c r="Q306" i="12984"/>
  <c r="Q312" i="12984"/>
  <c r="I307" i="12984"/>
  <c r="G307" i="12984"/>
  <c r="E313" i="12984"/>
  <c r="S72" i="12984"/>
  <c r="I316" i="12984" s="1"/>
  <c r="G313" i="12984"/>
  <c r="E307" i="12984"/>
  <c r="C29" i="12908"/>
  <c r="Z29" i="13034" s="1"/>
  <c r="O72" i="12984"/>
  <c r="E316" i="12984" s="1"/>
  <c r="Q309" i="12984"/>
  <c r="Q303" i="12984"/>
  <c r="I313" i="12984"/>
  <c r="X15" i="12780"/>
  <c r="Y15" i="12780"/>
  <c r="Y13" i="12780"/>
  <c r="C199" i="12984"/>
  <c r="C202" i="12984"/>
  <c r="C193" i="12984"/>
  <c r="C196" i="12984"/>
  <c r="C190" i="12984"/>
  <c r="X13" i="12780"/>
  <c r="X11" i="12780"/>
  <c r="AH9" i="12786"/>
  <c r="Q313" i="12984" l="1"/>
  <c r="Q307" i="12984"/>
  <c r="O307" i="12984"/>
  <c r="O313" i="12984"/>
  <c r="S307" i="12984"/>
  <c r="S313" i="12984"/>
  <c r="C197" i="12984"/>
  <c r="E196" i="12984"/>
  <c r="G196" i="12984"/>
  <c r="I196" i="12984"/>
  <c r="X12" i="12780"/>
  <c r="C194" i="12984"/>
  <c r="E193" i="12984"/>
  <c r="G193" i="12984"/>
  <c r="I193" i="12984"/>
  <c r="C203" i="12984"/>
  <c r="E202" i="12984"/>
  <c r="G202" i="12984"/>
  <c r="I202" i="12984"/>
  <c r="Y12" i="12780"/>
  <c r="E190" i="12984"/>
  <c r="I190" i="12984"/>
  <c r="C191" i="12984"/>
  <c r="G190" i="12984"/>
  <c r="C200" i="12984"/>
  <c r="E199" i="12984"/>
  <c r="G199" i="12984"/>
  <c r="I199" i="12984"/>
  <c r="AJ22" i="12786"/>
  <c r="AK22" i="12786"/>
  <c r="AJ12" i="12786"/>
  <c r="AK12" i="12786"/>
  <c r="AJ11" i="12786"/>
  <c r="AK11" i="12786"/>
  <c r="AJ18" i="12786"/>
  <c r="AK18" i="12786"/>
  <c r="AH2" i="12786"/>
  <c r="AJ2" i="12786" s="1"/>
  <c r="AH3" i="12786"/>
  <c r="AJ3" i="12786" s="1"/>
  <c r="AH4" i="12786"/>
  <c r="AJ4" i="12786" s="1"/>
  <c r="AH5" i="12786"/>
  <c r="AJ5" i="12786" s="1"/>
  <c r="AI5" i="12786"/>
  <c r="AK5" i="12786" s="1"/>
  <c r="AI4" i="12786"/>
  <c r="AK4" i="12786" s="1"/>
  <c r="AI3" i="12786"/>
  <c r="AK3" i="12786" s="1"/>
  <c r="AI2" i="12786"/>
  <c r="AK2" i="12786" s="1"/>
  <c r="AI9" i="12786"/>
  <c r="AK9" i="12786" s="1"/>
  <c r="AJ9" i="12786"/>
  <c r="AI8" i="12786"/>
  <c r="AK8" i="12786" s="1"/>
  <c r="AH8" i="12786"/>
  <c r="AJ8" i="12786" s="1"/>
  <c r="AI7" i="12786"/>
  <c r="AK7" i="12786" s="1"/>
  <c r="AH7" i="12786"/>
  <c r="AJ7" i="12786" s="1"/>
  <c r="AI6" i="12786"/>
  <c r="AK6" i="12786" s="1"/>
  <c r="AH6" i="12786"/>
  <c r="AJ6" i="12786" s="1"/>
  <c r="AF3" i="12786"/>
  <c r="AG3" i="12786"/>
  <c r="AF4" i="12786"/>
  <c r="AG4" i="12786"/>
  <c r="AF5" i="12786"/>
  <c r="AG5" i="12786"/>
  <c r="AF6" i="12786"/>
  <c r="AG6" i="12786"/>
  <c r="AF7" i="12786"/>
  <c r="AG7" i="12786"/>
  <c r="AF8" i="12786"/>
  <c r="AG8" i="12786"/>
  <c r="AF9" i="12786"/>
  <c r="AG9" i="12786"/>
  <c r="AF10" i="12786"/>
  <c r="AG10" i="12786"/>
  <c r="AF11" i="12786"/>
  <c r="AG11" i="12786"/>
  <c r="AF12" i="12786"/>
  <c r="AG12" i="12786"/>
  <c r="AG2" i="12786"/>
  <c r="F16" i="12786"/>
  <c r="AE3" i="12786"/>
  <c r="AE4" i="12786"/>
  <c r="AE24" i="12786" s="1"/>
  <c r="AE5" i="12786"/>
  <c r="AE6" i="12786"/>
  <c r="AE7" i="12786"/>
  <c r="AE8" i="12786"/>
  <c r="AE9" i="12786"/>
  <c r="AE10" i="12786"/>
  <c r="AE11" i="12786"/>
  <c r="AE12" i="12786"/>
  <c r="AE18" i="12786"/>
  <c r="C1005" i="12908" s="1"/>
  <c r="Z1005" i="13034" s="1"/>
  <c r="AE22" i="12786"/>
  <c r="AE21" i="12786" l="1"/>
  <c r="AE25" i="12786"/>
  <c r="AE27" i="12786" s="1"/>
  <c r="AJ21" i="12786"/>
  <c r="AJ25" i="12786"/>
  <c r="AK24" i="12786"/>
  <c r="AK21" i="12786"/>
  <c r="AK25" i="12786"/>
  <c r="AJ20" i="12786"/>
  <c r="AJ24" i="12786"/>
  <c r="G191" i="12984"/>
  <c r="E191" i="12984"/>
  <c r="I191" i="12984"/>
  <c r="E200" i="12984"/>
  <c r="G200" i="12984"/>
  <c r="I200" i="12984"/>
  <c r="E203" i="12984"/>
  <c r="G203" i="12984"/>
  <c r="I203" i="12984"/>
  <c r="E194" i="12984"/>
  <c r="G194" i="12984"/>
  <c r="I194" i="12984"/>
  <c r="M344" i="12984"/>
  <c r="W344" i="12984" s="1"/>
  <c r="E344" i="12984"/>
  <c r="I344" i="12984"/>
  <c r="G344" i="12984"/>
  <c r="E197" i="12984"/>
  <c r="G197" i="12984"/>
  <c r="I197" i="12984"/>
  <c r="AE16" i="12786"/>
  <c r="C1029" i="12908" s="1"/>
  <c r="Z1029" i="13034" s="1"/>
  <c r="AE17" i="12786"/>
  <c r="C1053" i="12908" s="1"/>
  <c r="Z1053" i="13034" s="1"/>
  <c r="AE20" i="12786"/>
  <c r="AE23" i="12786" s="1"/>
  <c r="AK17" i="12786"/>
  <c r="AK20" i="12786"/>
  <c r="AJ16" i="12786"/>
  <c r="AJ17" i="12786"/>
  <c r="AK16" i="12786"/>
  <c r="E16" i="12786"/>
  <c r="G16" i="12786"/>
  <c r="E48" i="12709" s="1"/>
  <c r="H16" i="12786"/>
  <c r="I16" i="12786"/>
  <c r="J16" i="12786"/>
  <c r="K16" i="12786"/>
  <c r="L16" i="12786"/>
  <c r="M16" i="12786"/>
  <c r="N16" i="12786"/>
  <c r="O16" i="12786"/>
  <c r="P16" i="12786"/>
  <c r="Q16" i="12786"/>
  <c r="R16" i="12786"/>
  <c r="S16" i="12786"/>
  <c r="T16" i="12786"/>
  <c r="U16" i="12786"/>
  <c r="V16" i="12786"/>
  <c r="W16" i="12786"/>
  <c r="X16" i="12786"/>
  <c r="Y16" i="12786"/>
  <c r="Z16" i="12786"/>
  <c r="AA16" i="12786"/>
  <c r="AB16" i="12786"/>
  <c r="E17" i="12786"/>
  <c r="F17" i="12786"/>
  <c r="G17" i="12786"/>
  <c r="E86" i="12709" s="1"/>
  <c r="H17" i="12786"/>
  <c r="I17" i="12786"/>
  <c r="J17" i="12786"/>
  <c r="K17" i="12786"/>
  <c r="L17" i="12786"/>
  <c r="M17" i="12786"/>
  <c r="N17" i="12786"/>
  <c r="O17" i="12786"/>
  <c r="P17" i="12786"/>
  <c r="Q17" i="12786"/>
  <c r="R17" i="12786"/>
  <c r="S17" i="12786"/>
  <c r="T17" i="12786"/>
  <c r="U17" i="12786"/>
  <c r="V17" i="12786"/>
  <c r="W17" i="12786"/>
  <c r="X17" i="12786"/>
  <c r="Y17" i="12786"/>
  <c r="Z17" i="12786"/>
  <c r="AA17" i="12786"/>
  <c r="AB17" i="12786"/>
  <c r="E18" i="12786"/>
  <c r="F18" i="12786"/>
  <c r="G18" i="12786"/>
  <c r="E20" i="12709" s="1"/>
  <c r="H18" i="12786"/>
  <c r="I18" i="12786"/>
  <c r="J18" i="12786"/>
  <c r="K18" i="12786"/>
  <c r="L18" i="12786"/>
  <c r="M18" i="12786"/>
  <c r="N18" i="12786"/>
  <c r="O18" i="12786"/>
  <c r="P18" i="12786"/>
  <c r="Q18" i="12786"/>
  <c r="R18" i="12786"/>
  <c r="R19" i="12786" s="1"/>
  <c r="S18" i="12786"/>
  <c r="T18" i="12786"/>
  <c r="U18" i="12786"/>
  <c r="V18" i="12786"/>
  <c r="V19" i="12786" s="1"/>
  <c r="W18" i="12786"/>
  <c r="X18" i="12786"/>
  <c r="X19" i="12786" s="1"/>
  <c r="Y18" i="12786"/>
  <c r="Y19" i="12786" s="1"/>
  <c r="Z18" i="12786"/>
  <c r="Z19" i="12786" s="1"/>
  <c r="AA18" i="12786"/>
  <c r="AA19" i="12786" s="1"/>
  <c r="AB18" i="12786"/>
  <c r="AB19" i="12786" s="1"/>
  <c r="E20" i="12786"/>
  <c r="F20" i="12786"/>
  <c r="G20" i="12786"/>
  <c r="E49" i="12709" s="1"/>
  <c r="H20" i="12786"/>
  <c r="I20" i="12786"/>
  <c r="J20" i="12786"/>
  <c r="K20" i="12786"/>
  <c r="L20" i="12786"/>
  <c r="M20" i="12786"/>
  <c r="N20" i="12786"/>
  <c r="O20" i="12786"/>
  <c r="P20" i="12786"/>
  <c r="Q20" i="12786"/>
  <c r="R20" i="12786"/>
  <c r="S20" i="12786"/>
  <c r="T20" i="12786"/>
  <c r="U20" i="12786"/>
  <c r="V20" i="12786"/>
  <c r="W20" i="12786"/>
  <c r="X20" i="12786"/>
  <c r="Y20" i="12786"/>
  <c r="Z20" i="12786"/>
  <c r="AA20" i="12786"/>
  <c r="AB20" i="12786"/>
  <c r="E21" i="12786"/>
  <c r="F21" i="12786"/>
  <c r="G21" i="12786"/>
  <c r="E87" i="12709" s="1"/>
  <c r="H21" i="12786"/>
  <c r="I21" i="12786"/>
  <c r="J21" i="12786"/>
  <c r="K21" i="12786"/>
  <c r="L21" i="12786"/>
  <c r="M21" i="12786"/>
  <c r="N21" i="12786"/>
  <c r="O21" i="12786"/>
  <c r="P21" i="12786"/>
  <c r="Q21" i="12786"/>
  <c r="R21" i="12786"/>
  <c r="S21" i="12786"/>
  <c r="T21" i="12786"/>
  <c r="U21" i="12786"/>
  <c r="V21" i="12786"/>
  <c r="W21" i="12786"/>
  <c r="X21" i="12786"/>
  <c r="Y21" i="12786"/>
  <c r="Z21" i="12786"/>
  <c r="AA21" i="12786"/>
  <c r="AB21" i="12786"/>
  <c r="E22" i="12786"/>
  <c r="J13" i="12852" s="1"/>
  <c r="F22" i="12786"/>
  <c r="I21" i="12711" s="1"/>
  <c r="G22" i="12786"/>
  <c r="H22" i="12786"/>
  <c r="I22" i="12786"/>
  <c r="J22" i="12786"/>
  <c r="K22" i="12786"/>
  <c r="L22" i="12786"/>
  <c r="M22" i="12786"/>
  <c r="N22" i="12786"/>
  <c r="O22" i="12786"/>
  <c r="P22" i="12786"/>
  <c r="Q22" i="12786"/>
  <c r="R22" i="12786"/>
  <c r="S22" i="12786"/>
  <c r="T22" i="12786"/>
  <c r="U22" i="12786"/>
  <c r="V22" i="12786"/>
  <c r="W22" i="12786"/>
  <c r="X22" i="12786"/>
  <c r="Y22" i="12786"/>
  <c r="Z22" i="12786"/>
  <c r="AA22" i="12786"/>
  <c r="AA23" i="12786" s="1"/>
  <c r="AB22" i="12786"/>
  <c r="AB23" i="12786" s="1"/>
  <c r="E23" i="12786"/>
  <c r="F23" i="12786"/>
  <c r="D22" i="12786"/>
  <c r="E13" i="12852" s="1"/>
  <c r="D21" i="12786"/>
  <c r="D20" i="12786"/>
  <c r="D17" i="12786"/>
  <c r="D18" i="12786"/>
  <c r="D16" i="12786"/>
  <c r="AJ23" i="12786" l="1"/>
  <c r="M35" i="12786"/>
  <c r="M36" i="12786"/>
  <c r="AB28" i="12786"/>
  <c r="AB29" i="12786" s="1"/>
  <c r="AA28" i="12786"/>
  <c r="AA29" i="12786" s="1"/>
  <c r="AK23" i="12786"/>
  <c r="AJ27" i="12786"/>
  <c r="AK27" i="12786"/>
  <c r="O344" i="12984"/>
  <c r="Y344" i="12984" s="1"/>
  <c r="S344" i="12984"/>
  <c r="AC344" i="12984" s="1"/>
  <c r="Q344" i="12984"/>
  <c r="AA344" i="12984" s="1"/>
  <c r="C981" i="12908"/>
  <c r="Z981" i="13034" s="1"/>
  <c r="AE19" i="12786"/>
  <c r="L19" i="12786"/>
  <c r="H19" i="12786"/>
  <c r="G23" i="12786"/>
  <c r="E21" i="12709"/>
  <c r="AK19" i="12786"/>
  <c r="AK28" i="12786" s="1"/>
  <c r="E19" i="12786"/>
  <c r="E28" i="12786" s="1"/>
  <c r="O19" i="12786"/>
  <c r="K19" i="12786"/>
  <c r="G19" i="12786"/>
  <c r="N19" i="12786"/>
  <c r="J19" i="12786"/>
  <c r="M19" i="12786"/>
  <c r="M28" i="12786" s="1"/>
  <c r="I19" i="12786"/>
  <c r="U23" i="12786"/>
  <c r="Q23" i="12786"/>
  <c r="W19" i="12786"/>
  <c r="S19" i="12786"/>
  <c r="F19" i="12786"/>
  <c r="AJ19" i="12786"/>
  <c r="C999" i="12908"/>
  <c r="Z999" i="13034" s="1"/>
  <c r="C1047" i="12908"/>
  <c r="Z1047" i="13034" s="1"/>
  <c r="Q19" i="12786"/>
  <c r="U19" i="12786"/>
  <c r="Y23" i="12786"/>
  <c r="M23" i="12786"/>
  <c r="I23" i="12786"/>
  <c r="T19" i="12786"/>
  <c r="J336" i="12984"/>
  <c r="Z23" i="12786"/>
  <c r="Z28" i="12786" s="1"/>
  <c r="N23" i="12786"/>
  <c r="R23" i="12786"/>
  <c r="X23" i="12786"/>
  <c r="X28" i="12786" s="1"/>
  <c r="T23" i="12786"/>
  <c r="P23" i="12786"/>
  <c r="L23" i="12786"/>
  <c r="H23" i="12786"/>
  <c r="V23" i="12786"/>
  <c r="V28" i="12786" s="1"/>
  <c r="J23" i="12786"/>
  <c r="W23" i="12786"/>
  <c r="S23" i="12786"/>
  <c r="O23" i="12786"/>
  <c r="K23" i="12786"/>
  <c r="P19" i="12786"/>
  <c r="N30" i="12786"/>
  <c r="J140" i="12984" s="1"/>
  <c r="D23" i="12786"/>
  <c r="E29" i="12786"/>
  <c r="C1000" i="12908"/>
  <c r="Z1000" i="13034" s="1"/>
  <c r="C1048" i="12908"/>
  <c r="Z1048" i="13034" s="1"/>
  <c r="C998" i="12908"/>
  <c r="Z998" i="13034" s="1"/>
  <c r="C1046" i="12908"/>
  <c r="Z1046" i="13034" s="1"/>
  <c r="D19" i="12786"/>
  <c r="D28" i="12786" s="1"/>
  <c r="C997" i="12908"/>
  <c r="Z997" i="13034" s="1"/>
  <c r="C1045" i="12908"/>
  <c r="Z1045" i="13034" s="1"/>
  <c r="AJ28" i="12786" l="1"/>
  <c r="P28" i="12786"/>
  <c r="T28" i="12786"/>
  <c r="T29" i="12786" s="1"/>
  <c r="U28" i="12786"/>
  <c r="J28" i="12786"/>
  <c r="J29" i="12786" s="1"/>
  <c r="O28" i="12786"/>
  <c r="Q28" i="12786"/>
  <c r="Q29" i="12786" s="1"/>
  <c r="F29" i="12786"/>
  <c r="N28" i="12786"/>
  <c r="N29" i="12786" s="1"/>
  <c r="H28" i="12786"/>
  <c r="H29" i="12786" s="1"/>
  <c r="V29" i="12786"/>
  <c r="Z29" i="12786"/>
  <c r="S28" i="12786"/>
  <c r="S29" i="12786" s="1"/>
  <c r="I28" i="12786"/>
  <c r="I29" i="12786" s="1"/>
  <c r="G28" i="12786"/>
  <c r="L28" i="12786"/>
  <c r="L29" i="12786" s="1"/>
  <c r="T336" i="12984"/>
  <c r="T336" i="12924"/>
  <c r="X29" i="12786"/>
  <c r="W28" i="12786"/>
  <c r="W29" i="12786" s="1"/>
  <c r="K28" i="12786"/>
  <c r="K29" i="12786" s="1"/>
  <c r="AE28" i="12786"/>
  <c r="AE29" i="12786" s="1"/>
  <c r="R28" i="12786"/>
  <c r="R29" i="12786" s="1"/>
  <c r="Y28" i="12786"/>
  <c r="Y29" i="12786" s="1"/>
  <c r="C158" i="12984"/>
  <c r="C161" i="12984"/>
  <c r="C155" i="12984"/>
  <c r="C149" i="12984"/>
  <c r="C152" i="12984"/>
  <c r="O29" i="12786"/>
  <c r="G29" i="12786"/>
  <c r="U29" i="12786"/>
  <c r="M29" i="12786"/>
  <c r="P29" i="12786"/>
  <c r="C336" i="12984" l="1"/>
  <c r="E155" i="12984"/>
  <c r="C156" i="12984"/>
  <c r="G155" i="12984"/>
  <c r="I155" i="12984"/>
  <c r="E161" i="12984"/>
  <c r="C162" i="12984"/>
  <c r="G161" i="12984"/>
  <c r="I161" i="12984"/>
  <c r="C150" i="12984"/>
  <c r="I149" i="12984"/>
  <c r="W336" i="12984"/>
  <c r="E149" i="12984"/>
  <c r="G149" i="12984"/>
  <c r="G152" i="12984"/>
  <c r="I152" i="12984"/>
  <c r="E152" i="12984"/>
  <c r="C153" i="12984"/>
  <c r="C159" i="12984"/>
  <c r="E158" i="12984"/>
  <c r="G158" i="12984"/>
  <c r="I158" i="12984"/>
  <c r="AD2" i="12777"/>
  <c r="C337" i="12984" l="1"/>
  <c r="I336" i="12984"/>
  <c r="M336" i="12984"/>
  <c r="C1013" i="12908" s="1"/>
  <c r="G336" i="12984"/>
  <c r="AA336" i="12984" s="1"/>
  <c r="G159" i="12984"/>
  <c r="E159" i="12984"/>
  <c r="I159" i="12984"/>
  <c r="E162" i="12984"/>
  <c r="G162" i="12984"/>
  <c r="I162" i="12984"/>
  <c r="G156" i="12984"/>
  <c r="E156" i="12984"/>
  <c r="I156" i="12984"/>
  <c r="E336" i="12984"/>
  <c r="Y336" i="12984" s="1"/>
  <c r="I153" i="12984"/>
  <c r="G153" i="12984"/>
  <c r="E153" i="12984"/>
  <c r="G150" i="12984"/>
  <c r="E150" i="12984"/>
  <c r="I150" i="12984"/>
  <c r="AD3" i="12777"/>
  <c r="AD4" i="12777"/>
  <c r="AD5" i="12777"/>
  <c r="AD6" i="12777"/>
  <c r="AD7" i="12777"/>
  <c r="AD8" i="12777"/>
  <c r="AD9" i="12777"/>
  <c r="AD10" i="12777"/>
  <c r="AD11" i="12777"/>
  <c r="AD12" i="12777"/>
  <c r="AD13" i="12777"/>
  <c r="AD14" i="12777"/>
  <c r="AD15" i="12777"/>
  <c r="AD16" i="12777"/>
  <c r="AD17" i="12777"/>
  <c r="AD18" i="12777"/>
  <c r="AD19" i="12777"/>
  <c r="AD20" i="12777"/>
  <c r="C965" i="12908" l="1"/>
  <c r="Z965" i="13034" s="1"/>
  <c r="Z1013" i="13034"/>
  <c r="M337" i="12984"/>
  <c r="C1014" i="12908" s="1"/>
  <c r="W337" i="12984"/>
  <c r="S336" i="12984"/>
  <c r="AC336" i="12984"/>
  <c r="O336" i="12984"/>
  <c r="I337" i="12984"/>
  <c r="AC337" i="12984" s="1"/>
  <c r="G337" i="12984"/>
  <c r="E337" i="12984"/>
  <c r="Q336" i="12984"/>
  <c r="H852" i="12908"/>
  <c r="AE852" i="13034" s="1"/>
  <c r="C966" i="12908" l="1"/>
  <c r="Z966" i="13034" s="1"/>
  <c r="Z1014" i="13034"/>
  <c r="C1009" i="12908"/>
  <c r="Q337" i="12984"/>
  <c r="AA337" i="12984"/>
  <c r="O337" i="12984"/>
  <c r="Y337" i="12984"/>
  <c r="S337" i="12984"/>
  <c r="Z37" i="12777"/>
  <c r="Y37" i="12777"/>
  <c r="X37" i="12777"/>
  <c r="W37" i="12777"/>
  <c r="V37" i="12777"/>
  <c r="U37" i="12777"/>
  <c r="T37" i="12777"/>
  <c r="S37" i="12777"/>
  <c r="R37" i="12777"/>
  <c r="Q37" i="12777"/>
  <c r="P37" i="12777"/>
  <c r="C917" i="12908" s="1"/>
  <c r="Z917" i="13034" s="1"/>
  <c r="O37" i="12777"/>
  <c r="N37" i="12777"/>
  <c r="M37" i="12777"/>
  <c r="L37" i="12777"/>
  <c r="K37" i="12777"/>
  <c r="J37" i="12777"/>
  <c r="Z36" i="12777"/>
  <c r="Y36" i="12777"/>
  <c r="X36" i="12777"/>
  <c r="W36" i="12777"/>
  <c r="V36" i="12777"/>
  <c r="U36" i="12777"/>
  <c r="T36" i="12777"/>
  <c r="S36" i="12777"/>
  <c r="R36" i="12777"/>
  <c r="Q36" i="12777"/>
  <c r="C954" i="12908" s="1"/>
  <c r="Z954" i="13034" s="1"/>
  <c r="P36" i="12777"/>
  <c r="O36" i="12777"/>
  <c r="N36" i="12777"/>
  <c r="M36" i="12777"/>
  <c r="L36" i="12777"/>
  <c r="K36" i="12777"/>
  <c r="J36" i="12777"/>
  <c r="Z35" i="12777"/>
  <c r="Y35" i="12777"/>
  <c r="X35" i="12777"/>
  <c r="W35" i="12777"/>
  <c r="V35" i="12777"/>
  <c r="U35" i="12777"/>
  <c r="T35" i="12777"/>
  <c r="S35" i="12777"/>
  <c r="R35" i="12777"/>
  <c r="Q35" i="12777"/>
  <c r="P35" i="12777"/>
  <c r="O35" i="12777"/>
  <c r="N35" i="12777"/>
  <c r="M35" i="12777"/>
  <c r="L35" i="12777"/>
  <c r="K35" i="12777"/>
  <c r="J35" i="12777"/>
  <c r="Z33" i="12777"/>
  <c r="Y33" i="12777"/>
  <c r="X33" i="12777"/>
  <c r="W33" i="12777"/>
  <c r="V33" i="12777"/>
  <c r="U33" i="12777"/>
  <c r="T33" i="12777"/>
  <c r="S33" i="12777"/>
  <c r="R33" i="12777"/>
  <c r="Q33" i="12777"/>
  <c r="P33" i="12777"/>
  <c r="O33" i="12777"/>
  <c r="N33" i="12777"/>
  <c r="M33" i="12777"/>
  <c r="L33" i="12777"/>
  <c r="K33" i="12777"/>
  <c r="J33" i="12777"/>
  <c r="Z32" i="12777"/>
  <c r="Y32" i="12777"/>
  <c r="X32" i="12777"/>
  <c r="W32" i="12777"/>
  <c r="V32" i="12777"/>
  <c r="U32" i="12777"/>
  <c r="T32" i="12777"/>
  <c r="S32" i="12777"/>
  <c r="R32" i="12777"/>
  <c r="Q32" i="12777"/>
  <c r="P32" i="12777"/>
  <c r="O32" i="12777"/>
  <c r="N32" i="12777"/>
  <c r="M32" i="12777"/>
  <c r="L32" i="12777"/>
  <c r="K32" i="12777"/>
  <c r="J32" i="12777"/>
  <c r="Z31" i="12777"/>
  <c r="Y31" i="12777"/>
  <c r="X31" i="12777"/>
  <c r="W31" i="12777"/>
  <c r="V31" i="12777"/>
  <c r="U31" i="12777"/>
  <c r="T31" i="12777"/>
  <c r="S31" i="12777"/>
  <c r="R31" i="12777"/>
  <c r="Q31" i="12777"/>
  <c r="P31" i="12777"/>
  <c r="O31" i="12777"/>
  <c r="N31" i="12777"/>
  <c r="M31" i="12777"/>
  <c r="C860" i="12908" s="1"/>
  <c r="L31" i="12777"/>
  <c r="K31" i="12777"/>
  <c r="J31" i="12777"/>
  <c r="Z29" i="12777"/>
  <c r="Y29" i="12777"/>
  <c r="X29" i="12777"/>
  <c r="W29" i="12777"/>
  <c r="V29" i="12777"/>
  <c r="U29" i="12777"/>
  <c r="T29" i="12777"/>
  <c r="S29" i="12777"/>
  <c r="R29" i="12777"/>
  <c r="Q29" i="12777"/>
  <c r="P29" i="12777"/>
  <c r="O29" i="12777"/>
  <c r="N29" i="12777"/>
  <c r="M29" i="12777"/>
  <c r="L29" i="12777"/>
  <c r="K29" i="12777"/>
  <c r="J29" i="12777"/>
  <c r="Z28" i="12777"/>
  <c r="Y28" i="12777"/>
  <c r="X28" i="12777"/>
  <c r="W28" i="12777"/>
  <c r="V28" i="12777"/>
  <c r="U28" i="12777"/>
  <c r="T28" i="12777"/>
  <c r="S28" i="12777"/>
  <c r="R28" i="12777"/>
  <c r="Q28" i="12777"/>
  <c r="P28" i="12777"/>
  <c r="O28" i="12777"/>
  <c r="N28" i="12777"/>
  <c r="M28" i="12777"/>
  <c r="L28" i="12777"/>
  <c r="K28" i="12777"/>
  <c r="J28" i="12777"/>
  <c r="Z27" i="12777"/>
  <c r="Y27" i="12777"/>
  <c r="X27" i="12777"/>
  <c r="W27" i="12777"/>
  <c r="V27" i="12777"/>
  <c r="U27" i="12777"/>
  <c r="T27" i="12777"/>
  <c r="S27" i="12777"/>
  <c r="R27" i="12777"/>
  <c r="Q27" i="12777"/>
  <c r="P27" i="12777"/>
  <c r="O27" i="12777"/>
  <c r="N27" i="12777"/>
  <c r="M27" i="12777"/>
  <c r="L27" i="12777"/>
  <c r="K27" i="12777"/>
  <c r="J27" i="12777"/>
  <c r="Z25" i="12777"/>
  <c r="Y25" i="12777"/>
  <c r="X25" i="12777"/>
  <c r="W25" i="12777"/>
  <c r="V25" i="12777"/>
  <c r="U25" i="12777"/>
  <c r="T25" i="12777"/>
  <c r="S25" i="12777"/>
  <c r="C706" i="12908" s="1"/>
  <c r="Z706" i="13034" s="1"/>
  <c r="R25" i="12777"/>
  <c r="Q25" i="12777"/>
  <c r="P25" i="12777"/>
  <c r="O25" i="12777"/>
  <c r="N25" i="12777"/>
  <c r="M25" i="12777"/>
  <c r="L25" i="12777"/>
  <c r="K25" i="12777"/>
  <c r="J25" i="12777"/>
  <c r="Z24" i="12777"/>
  <c r="Y24" i="12777"/>
  <c r="X24" i="12777"/>
  <c r="W24" i="12777"/>
  <c r="V24" i="12777"/>
  <c r="U24" i="12777"/>
  <c r="T24" i="12777"/>
  <c r="S24" i="12777"/>
  <c r="C748" i="12908" s="1"/>
  <c r="Z748" i="13034" s="1"/>
  <c r="R24" i="12777"/>
  <c r="Q24" i="12777"/>
  <c r="P24" i="12777"/>
  <c r="O24" i="12777"/>
  <c r="N24" i="12777"/>
  <c r="M24" i="12777"/>
  <c r="L24" i="12777"/>
  <c r="K24" i="12777"/>
  <c r="J24" i="12777"/>
  <c r="Z23" i="12777"/>
  <c r="Y23" i="12777"/>
  <c r="X23" i="12777"/>
  <c r="W23" i="12777"/>
  <c r="V23" i="12777"/>
  <c r="U23" i="12777"/>
  <c r="T23" i="12777"/>
  <c r="S23" i="12777"/>
  <c r="C727" i="12908" s="1"/>
  <c r="Z727" i="13034" s="1"/>
  <c r="R23" i="12777"/>
  <c r="Q23" i="12777"/>
  <c r="P23" i="12777"/>
  <c r="O23" i="12777"/>
  <c r="N23" i="12777"/>
  <c r="M23" i="12777"/>
  <c r="L23" i="12777"/>
  <c r="K23" i="12777"/>
  <c r="J23" i="12777"/>
  <c r="I23" i="12777"/>
  <c r="I37" i="12777"/>
  <c r="I36" i="12777"/>
  <c r="I35" i="12777"/>
  <c r="I33" i="12777"/>
  <c r="I32" i="12777"/>
  <c r="I31" i="12777"/>
  <c r="C853" i="12908" s="1"/>
  <c r="I29" i="12777"/>
  <c r="I28" i="12777"/>
  <c r="I27" i="12777"/>
  <c r="I25" i="12777"/>
  <c r="I24" i="12777"/>
  <c r="C841" i="12908" l="1"/>
  <c r="Z860" i="13034"/>
  <c r="C961" i="12908"/>
  <c r="Z961" i="13034" s="1"/>
  <c r="Z1009" i="13034"/>
  <c r="C834" i="12908"/>
  <c r="Z853" i="13034"/>
  <c r="D587" i="12908"/>
  <c r="AA587" i="13034" s="1"/>
  <c r="C1010" i="12908"/>
  <c r="AD32" i="12777"/>
  <c r="AD37" i="12777"/>
  <c r="AD24" i="12777"/>
  <c r="C752" i="12908" s="1"/>
  <c r="Z752" i="13034" s="1"/>
  <c r="AD29" i="12777"/>
  <c r="O42" i="12777"/>
  <c r="J324" i="12984" s="1"/>
  <c r="AD35" i="12777"/>
  <c r="AD27" i="12777"/>
  <c r="O43" i="12777"/>
  <c r="J333" i="12984" s="1"/>
  <c r="AD23" i="12777"/>
  <c r="C731" i="12908" s="1"/>
  <c r="Z731" i="13034" s="1"/>
  <c r="AD28" i="12777"/>
  <c r="AD33" i="12777"/>
  <c r="O45" i="12777"/>
  <c r="AD25" i="12777"/>
  <c r="C710" i="12908" s="1"/>
  <c r="Z710" i="13034" s="1"/>
  <c r="AD31" i="12777"/>
  <c r="O46" i="12777"/>
  <c r="T333" i="12984" s="1"/>
  <c r="AD36" i="12777"/>
  <c r="C685" i="12908"/>
  <c r="Z685" i="13034" s="1"/>
  <c r="H860" i="12908"/>
  <c r="AE860" i="13034" s="1"/>
  <c r="C746" i="12908"/>
  <c r="Z746" i="13034" s="1"/>
  <c r="C825" i="12908"/>
  <c r="Z825" i="13034" s="1"/>
  <c r="J30" i="12777"/>
  <c r="N30" i="12777"/>
  <c r="R30" i="12777"/>
  <c r="V30" i="12777"/>
  <c r="Z30" i="12777"/>
  <c r="K34" i="12777"/>
  <c r="S34" i="12777"/>
  <c r="W34" i="12777"/>
  <c r="L38" i="12777"/>
  <c r="T38" i="12777"/>
  <c r="X38" i="12777"/>
  <c r="C747" i="12908"/>
  <c r="Z747" i="13034" s="1"/>
  <c r="T34" i="12777"/>
  <c r="X34" i="12777"/>
  <c r="C953" i="12908"/>
  <c r="I26" i="12777"/>
  <c r="L34" i="12777"/>
  <c r="C859" i="12908"/>
  <c r="Z859" i="13034" s="1"/>
  <c r="P38" i="12777"/>
  <c r="H853" i="12908"/>
  <c r="AE853" i="13034" s="1"/>
  <c r="P30" i="12777"/>
  <c r="T30" i="12777"/>
  <c r="X30" i="12777"/>
  <c r="I30" i="12777"/>
  <c r="L26" i="12777"/>
  <c r="P26" i="12777"/>
  <c r="T26" i="12777"/>
  <c r="X26" i="12777"/>
  <c r="L30" i="12777"/>
  <c r="C824" i="12908"/>
  <c r="Z824" i="13034" s="1"/>
  <c r="J34" i="12777"/>
  <c r="C854" i="12908"/>
  <c r="N34" i="12777"/>
  <c r="C861" i="12908"/>
  <c r="R34" i="12777"/>
  <c r="V34" i="12777"/>
  <c r="Z34" i="12777"/>
  <c r="M34" i="12777"/>
  <c r="Q34" i="12777"/>
  <c r="U34" i="12777"/>
  <c r="Y34" i="12777"/>
  <c r="P34" i="12777"/>
  <c r="K38" i="12777"/>
  <c r="O38" i="12777"/>
  <c r="S38" i="12777"/>
  <c r="W38" i="12777"/>
  <c r="M38" i="12777"/>
  <c r="Q38" i="12777"/>
  <c r="C918" i="12908"/>
  <c r="U38" i="12777"/>
  <c r="Y38" i="12777"/>
  <c r="M30" i="12777"/>
  <c r="Q30" i="12777"/>
  <c r="U30" i="12777"/>
  <c r="Y30" i="12777"/>
  <c r="T333" i="12924"/>
  <c r="I38" i="12777"/>
  <c r="J26" i="12777"/>
  <c r="N26" i="12777"/>
  <c r="R26" i="12777"/>
  <c r="V26" i="12777"/>
  <c r="Z26" i="12777"/>
  <c r="K30" i="12777"/>
  <c r="O30" i="12777"/>
  <c r="AD30" i="12777" s="1"/>
  <c r="S30" i="12777"/>
  <c r="W30" i="12777"/>
  <c r="I34" i="12777"/>
  <c r="K26" i="12777"/>
  <c r="O26" i="12777"/>
  <c r="S26" i="12777"/>
  <c r="W26" i="12777"/>
  <c r="M26" i="12777"/>
  <c r="Q26" i="12777"/>
  <c r="U26" i="12777"/>
  <c r="Y26" i="12777"/>
  <c r="J38" i="12777"/>
  <c r="N38" i="12777"/>
  <c r="R38" i="12777"/>
  <c r="V38" i="12777"/>
  <c r="Z38" i="12777"/>
  <c r="O34" i="12777"/>
  <c r="E23" i="12777"/>
  <c r="F23" i="12777"/>
  <c r="G23" i="12777"/>
  <c r="E45" i="12709" s="1"/>
  <c r="H23" i="12777"/>
  <c r="E24" i="12777"/>
  <c r="F24" i="12777"/>
  <c r="G24" i="12777"/>
  <c r="E83" i="12709" s="1"/>
  <c r="H24" i="12777"/>
  <c r="E25" i="12777"/>
  <c r="F25" i="12777"/>
  <c r="G25" i="12777"/>
  <c r="E18" i="12709" s="1"/>
  <c r="H25" i="12777"/>
  <c r="E27" i="12777"/>
  <c r="F27" i="12777"/>
  <c r="G27" i="12777"/>
  <c r="E46" i="12709" s="1"/>
  <c r="H27" i="12777"/>
  <c r="E28" i="12777"/>
  <c r="F28" i="12777"/>
  <c r="G28" i="12777"/>
  <c r="E84" i="12709" s="1"/>
  <c r="H28" i="12777"/>
  <c r="E29" i="12777"/>
  <c r="F29" i="12777"/>
  <c r="G29" i="12777"/>
  <c r="E19" i="12709" s="1"/>
  <c r="H29" i="12777"/>
  <c r="E31" i="12777"/>
  <c r="J24" i="12852" s="1"/>
  <c r="F31" i="12777"/>
  <c r="I47" i="12711" s="1"/>
  <c r="G31" i="12777"/>
  <c r="H31" i="12777"/>
  <c r="C851" i="12908" s="1"/>
  <c r="Z851" i="13034" s="1"/>
  <c r="E32" i="12777"/>
  <c r="F32" i="12777"/>
  <c r="G32" i="12777"/>
  <c r="H32" i="12777"/>
  <c r="E33" i="12777"/>
  <c r="F33" i="12777"/>
  <c r="G33" i="12777"/>
  <c r="H33" i="12777"/>
  <c r="E35" i="12777"/>
  <c r="F35" i="12777"/>
  <c r="G35" i="12777"/>
  <c r="E51" i="12709" s="1"/>
  <c r="H35" i="12777"/>
  <c r="E36" i="12777"/>
  <c r="F36" i="12777"/>
  <c r="G36" i="12777"/>
  <c r="E88" i="12709" s="1"/>
  <c r="H36" i="12777"/>
  <c r="E37" i="12777"/>
  <c r="F37" i="12777"/>
  <c r="G37" i="12777"/>
  <c r="E22" i="12709" s="1"/>
  <c r="H37" i="12777"/>
  <c r="D37" i="12777"/>
  <c r="D36" i="12777"/>
  <c r="D35" i="12777"/>
  <c r="D33" i="12777"/>
  <c r="D32" i="12777"/>
  <c r="D31" i="12777"/>
  <c r="E24" i="12852" s="1"/>
  <c r="D29" i="12777"/>
  <c r="D28" i="12777"/>
  <c r="D27" i="12777"/>
  <c r="D25" i="12777"/>
  <c r="D24" i="12777"/>
  <c r="D23" i="12777"/>
  <c r="C835" i="12908" l="1"/>
  <c r="Z854" i="13034"/>
  <c r="C962" i="12908"/>
  <c r="Z962" i="13034" s="1"/>
  <c r="Z1010" i="13034"/>
  <c r="C663" i="12908"/>
  <c r="Z663" i="13034" s="1"/>
  <c r="Z953" i="13034"/>
  <c r="C842" i="12908"/>
  <c r="Z861" i="13034"/>
  <c r="C597" i="12908"/>
  <c r="Z597" i="13034" s="1"/>
  <c r="Z918" i="13034"/>
  <c r="H834" i="12908"/>
  <c r="AE834" i="13034" s="1"/>
  <c r="Z834" i="13034"/>
  <c r="H841" i="12908"/>
  <c r="AE841" i="13034" s="1"/>
  <c r="Z841" i="13034"/>
  <c r="U587" i="12908"/>
  <c r="AR587" i="13034" s="1"/>
  <c r="W587" i="12908"/>
  <c r="C497" i="12908"/>
  <c r="C598" i="12908"/>
  <c r="C664" i="12908"/>
  <c r="H663" i="12908"/>
  <c r="AE663" i="13034" s="1"/>
  <c r="I587" i="12908"/>
  <c r="AF587" i="13034" s="1"/>
  <c r="D572" i="12908"/>
  <c r="AA572" i="13034" s="1"/>
  <c r="C832" i="12908"/>
  <c r="D520" i="12908"/>
  <c r="AA520" i="13034" s="1"/>
  <c r="C840" i="12908"/>
  <c r="C528" i="12908"/>
  <c r="Z528" i="13034" s="1"/>
  <c r="J333" i="12924"/>
  <c r="M39" i="12777"/>
  <c r="M40" i="12777" s="1"/>
  <c r="K39" i="12777"/>
  <c r="K40" i="12777" s="1"/>
  <c r="X39" i="12777"/>
  <c r="X40" i="12777" s="1"/>
  <c r="C689" i="12908"/>
  <c r="Z689" i="13034" s="1"/>
  <c r="AD38" i="12777"/>
  <c r="M325" i="12984"/>
  <c r="M324" i="12984"/>
  <c r="M326" i="12984" s="1"/>
  <c r="O325" i="12984"/>
  <c r="O324" i="12984"/>
  <c r="Q325" i="12984"/>
  <c r="S325" i="12984"/>
  <c r="Q324" i="12984"/>
  <c r="S324" i="12984"/>
  <c r="AD34" i="12777"/>
  <c r="J324" i="12924"/>
  <c r="M333" i="12984"/>
  <c r="M334" i="12984"/>
  <c r="O333" i="12984"/>
  <c r="O334" i="12984"/>
  <c r="Q334" i="12984"/>
  <c r="S334" i="12984"/>
  <c r="Q333" i="12984"/>
  <c r="S333" i="12984"/>
  <c r="AD26" i="12777"/>
  <c r="W333" i="12984"/>
  <c r="W334" i="12984"/>
  <c r="Y334" i="12984"/>
  <c r="Y333" i="12984"/>
  <c r="AA334" i="12984"/>
  <c r="AC334" i="12984"/>
  <c r="AA333" i="12984"/>
  <c r="AC333" i="12984"/>
  <c r="D852" i="12908"/>
  <c r="AA852" i="13034" s="1"/>
  <c r="D853" i="12908"/>
  <c r="AA853" i="13034" s="1"/>
  <c r="F47" i="12711"/>
  <c r="F175" i="12711" s="1"/>
  <c r="E38" i="12777"/>
  <c r="V39" i="12777"/>
  <c r="V40" i="12777" s="1"/>
  <c r="L39" i="12777"/>
  <c r="L40" i="12777" s="1"/>
  <c r="Y39" i="12777"/>
  <c r="Y40" i="12777" s="1"/>
  <c r="G30" i="12777"/>
  <c r="S39" i="12777"/>
  <c r="S40" i="12777" s="1"/>
  <c r="Z39" i="12777"/>
  <c r="Z40" i="12777" s="1"/>
  <c r="P39" i="12777"/>
  <c r="P40" i="12777" s="1"/>
  <c r="D34" i="12777"/>
  <c r="T39" i="12777"/>
  <c r="T40" i="12777" s="1"/>
  <c r="F26" i="12777"/>
  <c r="R39" i="12777"/>
  <c r="R40" i="12777" s="1"/>
  <c r="J39" i="12777"/>
  <c r="J40" i="12777" s="1"/>
  <c r="H38" i="12777"/>
  <c r="H851" i="12908"/>
  <c r="AE851" i="13034" s="1"/>
  <c r="G26" i="12777"/>
  <c r="F38" i="12777"/>
  <c r="F30" i="12777"/>
  <c r="N39" i="12777"/>
  <c r="N40" i="12777" s="1"/>
  <c r="U39" i="12777"/>
  <c r="U40" i="12777" s="1"/>
  <c r="W39" i="12777"/>
  <c r="W40" i="12777" s="1"/>
  <c r="G38" i="12777"/>
  <c r="I39" i="12777"/>
  <c r="I40" i="12777" s="1"/>
  <c r="H861" i="12908"/>
  <c r="AE861" i="13034" s="1"/>
  <c r="H859" i="12908"/>
  <c r="AE859" i="13034" s="1"/>
  <c r="E34" i="12777"/>
  <c r="E30" i="12777"/>
  <c r="E26" i="12777"/>
  <c r="Q39" i="12777"/>
  <c r="Q40" i="12777" s="1"/>
  <c r="H854" i="12908"/>
  <c r="AE854" i="13034" s="1"/>
  <c r="G34" i="12777"/>
  <c r="H26" i="12777"/>
  <c r="F34" i="12777"/>
  <c r="H30" i="12777"/>
  <c r="H34" i="12777"/>
  <c r="O39" i="12777"/>
  <c r="H664" i="12908" l="1"/>
  <c r="AE664" i="13034" s="1"/>
  <c r="Z664" i="13034"/>
  <c r="C602" i="12908"/>
  <c r="Z602" i="13034" s="1"/>
  <c r="Z598" i="13034"/>
  <c r="H842" i="12908"/>
  <c r="AE842" i="13034" s="1"/>
  <c r="Z842" i="13034"/>
  <c r="AT587" i="13034"/>
  <c r="AI587" i="13015"/>
  <c r="H840" i="12908"/>
  <c r="AE840" i="13034" s="1"/>
  <c r="Z840" i="13034"/>
  <c r="H597" i="12908"/>
  <c r="AE597" i="13034" s="1"/>
  <c r="H832" i="12908"/>
  <c r="AE832" i="13034" s="1"/>
  <c r="Z832" i="13034"/>
  <c r="H497" i="12908"/>
  <c r="AE497" i="13034" s="1"/>
  <c r="Z497" i="13034"/>
  <c r="H835" i="12908"/>
  <c r="AE835" i="13034" s="1"/>
  <c r="Z835" i="13034"/>
  <c r="D833" i="12908"/>
  <c r="W852" i="12908"/>
  <c r="U852" i="12908"/>
  <c r="AR852" i="13034" s="1"/>
  <c r="U520" i="12908"/>
  <c r="AR520" i="13034" s="1"/>
  <c r="W520" i="12908"/>
  <c r="U853" i="12908"/>
  <c r="AR853" i="13034" s="1"/>
  <c r="S853" i="12908"/>
  <c r="AP853" i="13034" s="1"/>
  <c r="W853" i="12908"/>
  <c r="W572" i="12908"/>
  <c r="U572" i="12908"/>
  <c r="AR572" i="13034" s="1"/>
  <c r="D834" i="12908"/>
  <c r="Y853" i="12908"/>
  <c r="AV853" i="13034" s="1"/>
  <c r="C498" i="12908"/>
  <c r="C668" i="12908"/>
  <c r="Z668" i="13034" s="1"/>
  <c r="H598" i="12908"/>
  <c r="AE598" i="13034" s="1"/>
  <c r="D505" i="12908"/>
  <c r="AA505" i="13034" s="1"/>
  <c r="I520" i="12908"/>
  <c r="AF520" i="13034" s="1"/>
  <c r="C529" i="12908"/>
  <c r="Z529" i="13034" s="1"/>
  <c r="H528" i="12908"/>
  <c r="AE528" i="13034" s="1"/>
  <c r="AA335" i="12984"/>
  <c r="S335" i="12984"/>
  <c r="AC335" i="12984"/>
  <c r="Y335" i="12984"/>
  <c r="M335" i="12984"/>
  <c r="Q326" i="12984"/>
  <c r="Q335" i="12984"/>
  <c r="O335" i="12984"/>
  <c r="O40" i="12777"/>
  <c r="AD39" i="12777"/>
  <c r="AD40" i="12777" s="1"/>
  <c r="G39" i="12777"/>
  <c r="G40" i="12777" s="1"/>
  <c r="W335" i="12984"/>
  <c r="S326" i="12984"/>
  <c r="O326" i="12984"/>
  <c r="I853" i="12908"/>
  <c r="AF853" i="13034" s="1"/>
  <c r="I852" i="12908"/>
  <c r="AF852" i="13034" s="1"/>
  <c r="G36" i="12910"/>
  <c r="F39" i="12777"/>
  <c r="F40" i="12777" s="1"/>
  <c r="E39" i="12777"/>
  <c r="E40" i="12777" s="1"/>
  <c r="H39" i="12777"/>
  <c r="H40" i="12777" s="1"/>
  <c r="H149" i="12711"/>
  <c r="D149" i="12709"/>
  <c r="P149" i="12711" s="1"/>
  <c r="H126" i="12711"/>
  <c r="D126" i="12709"/>
  <c r="E126" i="12709" s="1"/>
  <c r="H126" i="12709" s="1"/>
  <c r="I126" i="12709" s="1"/>
  <c r="H108" i="12711"/>
  <c r="D108" i="12709"/>
  <c r="P108" i="12711" s="1"/>
  <c r="H62" i="12711"/>
  <c r="D38" i="12852" s="1"/>
  <c r="D62" i="12711"/>
  <c r="D62" i="12709"/>
  <c r="P62" i="12711" s="1"/>
  <c r="I38" i="12852" s="1"/>
  <c r="H55" i="12711"/>
  <c r="H183" i="12711" s="1"/>
  <c r="D55" i="12711"/>
  <c r="D183" i="12711" s="1"/>
  <c r="H47" i="12711"/>
  <c r="H175" i="12711" s="1"/>
  <c r="D47" i="12711"/>
  <c r="D175" i="12711" s="1"/>
  <c r="D55" i="12709"/>
  <c r="D184" i="12709" s="1"/>
  <c r="D47" i="12709"/>
  <c r="D176" i="12709" s="1"/>
  <c r="H73" i="12711"/>
  <c r="H35" i="12711"/>
  <c r="D73" i="12709"/>
  <c r="P73" i="12711" s="1"/>
  <c r="H24" i="12711"/>
  <c r="D24" i="12711"/>
  <c r="D24" i="12709"/>
  <c r="D35" i="12709"/>
  <c r="P35" i="12711" s="1"/>
  <c r="H27" i="12711"/>
  <c r="D27" i="12711"/>
  <c r="H21" i="12711"/>
  <c r="D21" i="12711"/>
  <c r="H17" i="12711"/>
  <c r="H172" i="12711" s="1"/>
  <c r="D17" i="12711"/>
  <c r="D172" i="12711" s="1"/>
  <c r="D27" i="12709"/>
  <c r="D21" i="12709"/>
  <c r="D17" i="12709"/>
  <c r="AT852" i="13034" l="1"/>
  <c r="AI852" i="13015"/>
  <c r="C502" i="12908"/>
  <c r="Z502" i="13034" s="1"/>
  <c r="Z498" i="13034"/>
  <c r="AT572" i="13034"/>
  <c r="AI572" i="13015"/>
  <c r="AT520" i="13034"/>
  <c r="AI520" i="13015"/>
  <c r="I833" i="12908"/>
  <c r="AF833" i="13034" s="1"/>
  <c r="AA833" i="13034"/>
  <c r="I834" i="12908"/>
  <c r="AF834" i="13034" s="1"/>
  <c r="AA834" i="13034"/>
  <c r="AT853" i="13034"/>
  <c r="AI853" i="13015"/>
  <c r="Y834" i="12908"/>
  <c r="AV834" i="13034" s="1"/>
  <c r="S834" i="12908"/>
  <c r="AP834" i="13034" s="1"/>
  <c r="W834" i="12908"/>
  <c r="U834" i="12908"/>
  <c r="AR834" i="13034" s="1"/>
  <c r="W505" i="12908"/>
  <c r="U505" i="12908"/>
  <c r="AR505" i="13034" s="1"/>
  <c r="W833" i="12908"/>
  <c r="U833" i="12908"/>
  <c r="AR833" i="13034" s="1"/>
  <c r="H498" i="12908"/>
  <c r="H529" i="12908"/>
  <c r="AE529" i="13034" s="1"/>
  <c r="H197" i="12711"/>
  <c r="D198" i="12709"/>
  <c r="D31" i="12852"/>
  <c r="F31" i="12852" s="1"/>
  <c r="G31" i="12852" s="1"/>
  <c r="P55" i="12711"/>
  <c r="P183" i="12711" s="1"/>
  <c r="R184" i="12709"/>
  <c r="D197" i="12711"/>
  <c r="E24" i="12711"/>
  <c r="I24" i="12711"/>
  <c r="I181" i="12711" s="1"/>
  <c r="D13" i="12852"/>
  <c r="P24" i="12711"/>
  <c r="E24" i="12709"/>
  <c r="E182" i="12709" s="1"/>
  <c r="P27" i="12711"/>
  <c r="P197" i="12711" s="1"/>
  <c r="P47" i="12711"/>
  <c r="P175" i="12711" s="1"/>
  <c r="P17" i="12711"/>
  <c r="P172" i="12711" s="1"/>
  <c r="D173" i="12709"/>
  <c r="D18" i="12852"/>
  <c r="D9" i="12852"/>
  <c r="D24" i="12852"/>
  <c r="P126" i="12711"/>
  <c r="Q126" i="12711"/>
  <c r="E149" i="12709"/>
  <c r="H149" i="12709" s="1"/>
  <c r="E108" i="12709"/>
  <c r="H108" i="12709" s="1"/>
  <c r="I108" i="12709" s="1"/>
  <c r="R55" i="12709"/>
  <c r="E73" i="12709"/>
  <c r="H73" i="12709" s="1"/>
  <c r="P21" i="12711"/>
  <c r="H500" i="12908" l="1"/>
  <c r="AE498" i="13034"/>
  <c r="AT505" i="13034"/>
  <c r="AI505" i="13015"/>
  <c r="AT833" i="13034"/>
  <c r="AI833" i="13015"/>
  <c r="AT834" i="13034"/>
  <c r="AI834" i="13015"/>
  <c r="I31" i="12852"/>
  <c r="K31" i="12852" s="1"/>
  <c r="L31" i="12852" s="1"/>
  <c r="T126" i="12711"/>
  <c r="I13" i="12852"/>
  <c r="I18" i="12852"/>
  <c r="I24" i="12852"/>
  <c r="I9" i="12852"/>
  <c r="Q108" i="12711"/>
  <c r="T108" i="12711" s="1"/>
  <c r="I149" i="12709"/>
  <c r="Q149" i="12711"/>
  <c r="T149" i="12711" s="1"/>
  <c r="I73" i="12709"/>
  <c r="Q73" i="12711"/>
  <c r="T73" i="12711" s="1"/>
  <c r="H502" i="12908" l="1"/>
  <c r="AE502" i="13034" s="1"/>
  <c r="AE500" i="13034"/>
  <c r="A172" i="12749"/>
  <c r="C172" i="12749"/>
  <c r="A173" i="12749"/>
  <c r="C173" i="12749"/>
  <c r="A174" i="12749"/>
  <c r="C174" i="12749"/>
  <c r="A175" i="12749"/>
  <c r="C175" i="12749"/>
  <c r="A176" i="12749"/>
  <c r="C176" i="12749"/>
  <c r="A177" i="12749"/>
  <c r="C177" i="12749"/>
  <c r="A178" i="12749"/>
  <c r="C178" i="12749"/>
  <c r="A179" i="12749"/>
  <c r="C179" i="12749"/>
  <c r="A180" i="12749"/>
  <c r="C180" i="12749"/>
  <c r="A181" i="12749"/>
  <c r="C181" i="12749"/>
  <c r="A182" i="12749"/>
  <c r="C182" i="12749"/>
  <c r="A183" i="12749"/>
  <c r="C183" i="12749"/>
  <c r="A184" i="12749"/>
  <c r="C184" i="12749"/>
  <c r="A185" i="12749"/>
  <c r="C185" i="12749"/>
  <c r="C2251" i="12908" l="1"/>
  <c r="Z2251" i="13034" s="1"/>
  <c r="C2250" i="12908"/>
  <c r="Z2250" i="13034" s="1"/>
  <c r="C2248" i="12908"/>
  <c r="Z2248" i="13034" s="1"/>
  <c r="C2247" i="12908"/>
  <c r="Z2247" i="13034" s="1"/>
  <c r="C2245" i="12908"/>
  <c r="Z2245" i="13034" s="1"/>
  <c r="C2244" i="12908"/>
  <c r="Z2244" i="13034" s="1"/>
  <c r="C2232" i="12908"/>
  <c r="Z2232" i="13034" s="1"/>
  <c r="C2231" i="12908"/>
  <c r="Z2231" i="13034" s="1"/>
  <c r="H2244" i="12908" l="1"/>
  <c r="AE2244" i="13034" s="1"/>
  <c r="H2250" i="12908"/>
  <c r="AE2250" i="13034" s="1"/>
  <c r="H2245" i="12908"/>
  <c r="AE2245" i="13034" s="1"/>
  <c r="H2251" i="12908"/>
  <c r="AE2251" i="13034" s="1"/>
  <c r="H2231" i="12908"/>
  <c r="AE2231" i="13034" s="1"/>
  <c r="H2247" i="12908"/>
  <c r="AE2247" i="13034" s="1"/>
  <c r="H2232" i="12908"/>
  <c r="AE2232" i="13034" s="1"/>
  <c r="H2248" i="12908"/>
  <c r="AE2248" i="13034" s="1"/>
  <c r="D45" i="12763" l="1"/>
  <c r="C45" i="12763"/>
  <c r="J100" i="12711" l="1"/>
  <c r="J202" i="12711" s="1"/>
  <c r="J101" i="12711"/>
  <c r="J99" i="12711"/>
  <c r="C17" i="12715" l="1"/>
  <c r="J201" i="12711"/>
  <c r="C19" i="12715"/>
  <c r="J203" i="12711"/>
  <c r="M16" i="12721"/>
  <c r="M17" i="12721"/>
  <c r="M15" i="12721"/>
  <c r="D17" i="12721"/>
  <c r="D16" i="12721"/>
  <c r="D15" i="12721"/>
  <c r="H2637" i="12908" l="1"/>
  <c r="AE2637" i="13034" s="1"/>
  <c r="H2639" i="12908"/>
  <c r="AE2639" i="13034" s="1"/>
  <c r="C2639" i="12908"/>
  <c r="Z2639" i="13034" s="1"/>
  <c r="C2637" i="12908"/>
  <c r="Z2637" i="13034" s="1"/>
  <c r="C2630" i="12908"/>
  <c r="C2628" i="12908"/>
  <c r="Z2628" i="13034" s="1"/>
  <c r="H2630" i="12908" l="1"/>
  <c r="AE2630" i="13034" s="1"/>
  <c r="Z2630" i="13034"/>
  <c r="F2637" i="12908"/>
  <c r="AC2637" i="13034" s="1"/>
  <c r="H2628" i="12908"/>
  <c r="D2628" i="12908"/>
  <c r="F2639" i="12908"/>
  <c r="AC2639" i="13034" s="1"/>
  <c r="C2640" i="12908"/>
  <c r="H2640" i="12908"/>
  <c r="C2620" i="12908"/>
  <c r="C2619" i="12908"/>
  <c r="C2616" i="12908"/>
  <c r="C2614" i="12908"/>
  <c r="C1629" i="12908"/>
  <c r="C1630" i="12908"/>
  <c r="I45" i="12711"/>
  <c r="I83" i="12711"/>
  <c r="I18" i="12711"/>
  <c r="H2616" i="12908" l="1"/>
  <c r="AE2616" i="13034" s="1"/>
  <c r="Z2616" i="13034"/>
  <c r="H1630" i="12908"/>
  <c r="AE1630" i="13034" s="1"/>
  <c r="Z1630" i="13034"/>
  <c r="H2614" i="12908"/>
  <c r="AE2614" i="13034" s="1"/>
  <c r="Z2614" i="13034"/>
  <c r="O78" i="12910"/>
  <c r="AE2640" i="13034"/>
  <c r="H2631" i="12908"/>
  <c r="AE2631" i="13034" s="1"/>
  <c r="AE2628" i="13034"/>
  <c r="K78" i="12910"/>
  <c r="Z2640" i="13034"/>
  <c r="H2619" i="12908"/>
  <c r="AE2619" i="13034" s="1"/>
  <c r="Z2619" i="13034"/>
  <c r="H1629" i="12908"/>
  <c r="AE1629" i="13034" s="1"/>
  <c r="Z1629" i="13034"/>
  <c r="H2620" i="12908"/>
  <c r="AE2620" i="13034" s="1"/>
  <c r="Z2620" i="13034"/>
  <c r="D2630" i="12908"/>
  <c r="AA2630" i="13034" s="1"/>
  <c r="AA2628" i="13034"/>
  <c r="D2639" i="12908"/>
  <c r="AA2639" i="13034" s="1"/>
  <c r="I2628" i="12908"/>
  <c r="AF2628" i="13034" s="1"/>
  <c r="O17" i="12721"/>
  <c r="P17" i="12721" s="1"/>
  <c r="F19" i="12771"/>
  <c r="F22" i="12771"/>
  <c r="H2621" i="12908" l="1"/>
  <c r="AE2621" i="13034" s="1"/>
  <c r="Q2639" i="12908"/>
  <c r="AN2639" i="13034" s="1"/>
  <c r="W2639" i="12908"/>
  <c r="Y2640" i="12908"/>
  <c r="AV2640" i="13034" s="1"/>
  <c r="I2640" i="12908"/>
  <c r="I2630" i="12908"/>
  <c r="AF2630" i="13034" s="1"/>
  <c r="D2633" i="12908"/>
  <c r="F26" i="12771"/>
  <c r="C2041" i="12908"/>
  <c r="Z2041" i="13034" s="1"/>
  <c r="C2065" i="12908"/>
  <c r="Z2065" i="13034" s="1"/>
  <c r="I25" i="12711"/>
  <c r="C2017" i="12908"/>
  <c r="Z2017" i="13034" s="1"/>
  <c r="K18" i="12852"/>
  <c r="L18" i="12852" s="1"/>
  <c r="K38" i="12852"/>
  <c r="F38" i="12852"/>
  <c r="G38" i="12852" s="1"/>
  <c r="A91" i="12905"/>
  <c r="A90" i="12905"/>
  <c r="A89" i="12905"/>
  <c r="Y8" i="12761"/>
  <c r="AA2633" i="13034" l="1"/>
  <c r="I51" i="13016"/>
  <c r="I51" i="12989"/>
  <c r="W2640" i="12908"/>
  <c r="AT2639" i="13034"/>
  <c r="AI2639" i="13015"/>
  <c r="AF2640" i="13034"/>
  <c r="K52" i="12989"/>
  <c r="Q52" i="13005"/>
  <c r="I51" i="13005"/>
  <c r="M15" i="12761"/>
  <c r="M77" i="12910"/>
  <c r="M80" i="12910" s="1"/>
  <c r="O100" i="12711"/>
  <c r="Q78" i="12910"/>
  <c r="N101" i="12709"/>
  <c r="I2631" i="12908"/>
  <c r="C1993" i="12908"/>
  <c r="H2041" i="12908"/>
  <c r="AE2041" i="13034" s="1"/>
  <c r="H2017" i="12908"/>
  <c r="AE2017" i="13034" s="1"/>
  <c r="H2065" i="12908"/>
  <c r="AE2065" i="13034" s="1"/>
  <c r="L38" i="12852"/>
  <c r="E62" i="12709"/>
  <c r="E198" i="12709" s="1"/>
  <c r="D86" i="12709"/>
  <c r="C1025" i="12908"/>
  <c r="Z1025" i="13034" s="1"/>
  <c r="C1049" i="12908"/>
  <c r="Z1049" i="13034" s="1"/>
  <c r="C1001" i="12908"/>
  <c r="Z1001" i="13034" s="1"/>
  <c r="D13" i="12786"/>
  <c r="I2633" i="12908" l="1"/>
  <c r="AF2631" i="13034"/>
  <c r="M52" i="12989"/>
  <c r="O52" i="12989"/>
  <c r="AD52" i="12989" s="1"/>
  <c r="AT2640" i="13034"/>
  <c r="AI2640" i="13015"/>
  <c r="H1993" i="12908"/>
  <c r="AE1993" i="13034" s="1"/>
  <c r="Z1993" i="13034"/>
  <c r="U52" i="13005"/>
  <c r="AA52" i="13005" s="1"/>
  <c r="AC52" i="13005" s="1"/>
  <c r="M52" i="13016"/>
  <c r="W52" i="13005"/>
  <c r="Y52" i="13005" s="1"/>
  <c r="I36" i="13007"/>
  <c r="I36" i="13017"/>
  <c r="I36" i="13014"/>
  <c r="Q37" i="13007"/>
  <c r="W37" i="13007" s="1"/>
  <c r="Y37" i="13007" s="1"/>
  <c r="U37" i="13007"/>
  <c r="AA37" i="13007" s="1"/>
  <c r="AC37" i="13007" s="1"/>
  <c r="N204" i="12709"/>
  <c r="J17" i="12721"/>
  <c r="O202" i="12711"/>
  <c r="C22" i="12858"/>
  <c r="Q16" i="12721"/>
  <c r="O102" i="12711"/>
  <c r="O115" i="12711" s="1"/>
  <c r="Q77" i="12910"/>
  <c r="N100" i="12709"/>
  <c r="C977" i="12908"/>
  <c r="Z977" i="13034" s="1"/>
  <c r="H1025" i="12908"/>
  <c r="AE1025" i="13034" s="1"/>
  <c r="H1001" i="12908"/>
  <c r="AE1001" i="13034" s="1"/>
  <c r="H1049" i="12908"/>
  <c r="AE1049" i="13034" s="1"/>
  <c r="F13" i="12852"/>
  <c r="G13" i="12852" s="1"/>
  <c r="K13" i="12852"/>
  <c r="L13" i="12852" s="1"/>
  <c r="Y52" i="12989" l="1"/>
  <c r="AC52" i="12989"/>
  <c r="AE52" i="12989" s="1"/>
  <c r="AA52" i="12989"/>
  <c r="Z52" i="12989"/>
  <c r="S52" i="12989"/>
  <c r="M37" i="13017"/>
  <c r="Q52" i="13016"/>
  <c r="W52" i="13016" s="1"/>
  <c r="Y52" i="13016" s="1"/>
  <c r="S52" i="13016"/>
  <c r="U52" i="13016" s="1"/>
  <c r="AF2633" i="13034"/>
  <c r="K51" i="12989"/>
  <c r="S37" i="13014"/>
  <c r="U37" i="13014" s="1"/>
  <c r="Q37" i="13014"/>
  <c r="W37" i="13014" s="1"/>
  <c r="Y37" i="13014" s="1"/>
  <c r="C21" i="12858"/>
  <c r="N203" i="12709"/>
  <c r="J16" i="12721"/>
  <c r="Q18" i="12721"/>
  <c r="H977" i="12908"/>
  <c r="AE977" i="13034" s="1"/>
  <c r="D29" i="12786"/>
  <c r="H727" i="12908"/>
  <c r="AE727" i="13034" s="1"/>
  <c r="H706" i="12908"/>
  <c r="AE706" i="13034" s="1"/>
  <c r="I46" i="12711"/>
  <c r="K24" i="12852"/>
  <c r="I19" i="12711"/>
  <c r="F24" i="12852"/>
  <c r="G24" i="12852" s="1"/>
  <c r="Q37" i="13017" l="1"/>
  <c r="W37" i="13017" s="1"/>
  <c r="Y37" i="13017" s="1"/>
  <c r="S37" i="13017"/>
  <c r="U37" i="13017" s="1"/>
  <c r="L24" i="12852"/>
  <c r="E47" i="12709"/>
  <c r="E176" i="12709" s="1"/>
  <c r="H685" i="12908"/>
  <c r="AE685" i="13034" s="1"/>
  <c r="H748" i="12908"/>
  <c r="AE748" i="13034" s="1"/>
  <c r="H100" i="12908" l="1"/>
  <c r="AE100" i="13034" s="1"/>
  <c r="R152" i="12711" l="1"/>
  <c r="R38" i="12711"/>
  <c r="R111" i="12711"/>
  <c r="R76" i="12711"/>
  <c r="R129" i="12711"/>
  <c r="C105" i="12908" l="1"/>
  <c r="C78" i="12908"/>
  <c r="Z78" i="13034" s="1"/>
  <c r="H105" i="12908" l="1"/>
  <c r="AE105" i="13034" s="1"/>
  <c r="Z105" i="13034"/>
  <c r="H78" i="12908"/>
  <c r="AE78" i="13034" s="1"/>
  <c r="C144" i="12908"/>
  <c r="Z144" i="13034" s="1"/>
  <c r="C107" i="12908"/>
  <c r="C106" i="12908"/>
  <c r="C102" i="12908"/>
  <c r="Z102" i="13034" s="1"/>
  <c r="C103" i="12908"/>
  <c r="I13" i="12711"/>
  <c r="F25" i="12756"/>
  <c r="I16" i="12711"/>
  <c r="E6" i="12852"/>
  <c r="C85" i="12908"/>
  <c r="Z85" i="13034" s="1"/>
  <c r="C97" i="12908"/>
  <c r="Z97" i="13034" s="1"/>
  <c r="J6" i="12852"/>
  <c r="F29" i="12756"/>
  <c r="K24" i="12756"/>
  <c r="I14" i="12711"/>
  <c r="K26" i="12756"/>
  <c r="K25" i="12756"/>
  <c r="C94" i="12908"/>
  <c r="Z94" i="13034" s="1"/>
  <c r="H106" i="12908" l="1"/>
  <c r="AE106" i="13034" s="1"/>
  <c r="Z106" i="13034"/>
  <c r="H103" i="12908"/>
  <c r="AE103" i="13034" s="1"/>
  <c r="Z103" i="13034"/>
  <c r="H107" i="12908"/>
  <c r="AE107" i="13034" s="1"/>
  <c r="Z107" i="13034"/>
  <c r="C98" i="12908"/>
  <c r="Z98" i="13034" s="1"/>
  <c r="C95" i="12908"/>
  <c r="Z95" i="13034" s="1"/>
  <c r="H144" i="12908"/>
  <c r="AE144" i="13034" s="1"/>
  <c r="H102" i="12908"/>
  <c r="AE102" i="13034" s="1"/>
  <c r="K9" i="12852"/>
  <c r="L9" i="12852" s="1"/>
  <c r="I12" i="12711"/>
  <c r="C41" i="12908"/>
  <c r="Z41" i="13034" s="1"/>
  <c r="H89" i="12908"/>
  <c r="AE89" i="13034" s="1"/>
  <c r="H97" i="12908"/>
  <c r="AE97" i="13034" s="1"/>
  <c r="C181" i="12908"/>
  <c r="Z181" i="13034" s="1"/>
  <c r="F14" i="12711"/>
  <c r="H86" i="12908"/>
  <c r="AE86" i="13034" s="1"/>
  <c r="H94" i="12908"/>
  <c r="AE94" i="13034" s="1"/>
  <c r="F24" i="12756"/>
  <c r="F26" i="12756"/>
  <c r="K27" i="12756"/>
  <c r="G16" i="12910" l="1"/>
  <c r="F169" i="12711"/>
  <c r="H109" i="12908"/>
  <c r="H181" i="12908"/>
  <c r="AE181" i="13034" s="1"/>
  <c r="H41" i="12908"/>
  <c r="AE41" i="13034" s="1"/>
  <c r="C162" i="12749"/>
  <c r="C153" i="12749"/>
  <c r="D66" i="12709"/>
  <c r="D28" i="12709"/>
  <c r="H28" i="12711"/>
  <c r="D28" i="12711"/>
  <c r="H66" i="12711"/>
  <c r="D66" i="12711"/>
  <c r="E35" i="12709"/>
  <c r="H35" i="12709" s="1"/>
  <c r="H14" i="12711"/>
  <c r="H169" i="12711" s="1"/>
  <c r="D14" i="12711"/>
  <c r="D169" i="12711" s="1"/>
  <c r="D14" i="12709"/>
  <c r="C158" i="12749"/>
  <c r="A158" i="12749"/>
  <c r="C157" i="12749"/>
  <c r="A157" i="12749"/>
  <c r="C156" i="12749"/>
  <c r="A156" i="12749"/>
  <c r="C155" i="12749"/>
  <c r="A155" i="12749"/>
  <c r="C154" i="12749"/>
  <c r="A154" i="12749"/>
  <c r="A153" i="12749"/>
  <c r="C152" i="12749"/>
  <c r="A152" i="12749"/>
  <c r="C151" i="12749"/>
  <c r="A151" i="12749"/>
  <c r="C150" i="12749"/>
  <c r="A150" i="12749"/>
  <c r="K14" i="12709" l="1"/>
  <c r="K170" i="12709" s="1"/>
  <c r="AE109" i="13034"/>
  <c r="H204" i="12711"/>
  <c r="I35" i="12709"/>
  <c r="Q35" i="12711"/>
  <c r="T35" i="12711" s="1"/>
  <c r="D6" i="12852"/>
  <c r="F6" i="12852" s="1"/>
  <c r="G6" i="12852" s="1"/>
  <c r="P14" i="12711"/>
  <c r="P169" i="12711" s="1"/>
  <c r="D170" i="12709"/>
  <c r="R14" i="12709"/>
  <c r="I6" i="12852" l="1"/>
  <c r="K6" i="12852" s="1"/>
  <c r="L6" i="12852" s="1"/>
  <c r="R170" i="12709"/>
  <c r="I63" i="12711"/>
  <c r="E28" i="12771" l="1"/>
  <c r="C1661" i="12908"/>
  <c r="Z1661" i="13034" s="1"/>
  <c r="H1664" i="12908"/>
  <c r="AE1664" i="13034" s="1"/>
  <c r="H1663" i="12908"/>
  <c r="AE1663" i="13034" s="1"/>
  <c r="H1662" i="12908"/>
  <c r="AE1662" i="13034" s="1"/>
  <c r="H1661" i="12908" l="1"/>
  <c r="AE1661" i="13034" s="1"/>
  <c r="F18" i="12852"/>
  <c r="G18" i="12852" s="1"/>
  <c r="H96" i="12905" l="1"/>
  <c r="E73" i="12852" l="1"/>
  <c r="J58" i="12852"/>
  <c r="E58" i="12852"/>
  <c r="J57" i="12852"/>
  <c r="E57" i="12852"/>
  <c r="J39" i="12852"/>
  <c r="E39" i="12852"/>
  <c r="J17" i="12852"/>
  <c r="J37" i="12852" l="1"/>
  <c r="E37" i="12852"/>
  <c r="I98" i="12711"/>
  <c r="F5" i="12785" l="1"/>
  <c r="G5" i="12785"/>
  <c r="H5" i="12785"/>
  <c r="I5" i="12785"/>
  <c r="J5" i="12785"/>
  <c r="K5" i="12785"/>
  <c r="L5" i="12785"/>
  <c r="M5" i="12785"/>
  <c r="N5" i="12785"/>
  <c r="O5" i="12785"/>
  <c r="P5" i="12785"/>
  <c r="Q5" i="12785"/>
  <c r="R5" i="12785"/>
  <c r="S5" i="12785"/>
  <c r="T5" i="12785"/>
  <c r="U5" i="12785"/>
  <c r="V5" i="12785"/>
  <c r="W5" i="12785"/>
  <c r="X5" i="12785"/>
  <c r="Y5" i="12785"/>
  <c r="Z5" i="12785"/>
  <c r="AA5" i="12785"/>
  <c r="AB5" i="12785"/>
  <c r="AC5" i="12785"/>
  <c r="AD5" i="12785"/>
  <c r="AE5" i="12785"/>
  <c r="AF5" i="12785"/>
  <c r="E5" i="12785"/>
  <c r="C1678" i="12908" l="1"/>
  <c r="Z1678" i="13034" s="1"/>
  <c r="C2633" i="12908" l="1"/>
  <c r="Z2633" i="13034" s="1"/>
  <c r="K77" i="12910" l="1"/>
  <c r="O16" i="12721"/>
  <c r="P16" i="12721" s="1"/>
  <c r="H2633" i="12908" l="1"/>
  <c r="AE2633" i="13034" s="1"/>
  <c r="K100" i="12709"/>
  <c r="K203" i="12709" s="1"/>
  <c r="D34" i="12925"/>
  <c r="E34" i="12925"/>
  <c r="F34" i="12925"/>
  <c r="G34" i="12925"/>
  <c r="H34" i="12925"/>
  <c r="I34" i="12925"/>
  <c r="J34" i="12925"/>
  <c r="K34" i="12925"/>
  <c r="L34" i="12925"/>
  <c r="M34" i="12925"/>
  <c r="C34" i="12925"/>
  <c r="I97" i="12711"/>
  <c r="I61" i="12711"/>
  <c r="L35" i="12925" l="1"/>
  <c r="G16" i="12721"/>
  <c r="O77" i="12910"/>
  <c r="G102" i="12709"/>
  <c r="K102" i="12711"/>
  <c r="J348" i="12924" l="1"/>
  <c r="J327" i="12924"/>
  <c r="I26" i="12711"/>
  <c r="Z350" i="12924" l="1"/>
  <c r="AB348" i="12924"/>
  <c r="AB350" i="12924"/>
  <c r="Z348" i="12924"/>
  <c r="Z351" i="12924"/>
  <c r="AB351" i="12924"/>
  <c r="Z349" i="12924"/>
  <c r="AB349" i="12924"/>
  <c r="R253" i="12924"/>
  <c r="P253" i="12924"/>
  <c r="N253" i="12924"/>
  <c r="R252" i="12924"/>
  <c r="P252" i="12924"/>
  <c r="N252" i="12924"/>
  <c r="R250" i="12924"/>
  <c r="P250" i="12924"/>
  <c r="N250" i="12924"/>
  <c r="R249" i="12924"/>
  <c r="P249" i="12924"/>
  <c r="N249" i="12924"/>
  <c r="R247" i="12924"/>
  <c r="P247" i="12924"/>
  <c r="N247" i="12924"/>
  <c r="R246" i="12924"/>
  <c r="P246" i="12924"/>
  <c r="N246" i="12924"/>
  <c r="R244" i="12924"/>
  <c r="P244" i="12924"/>
  <c r="N244" i="12924"/>
  <c r="R243" i="12924"/>
  <c r="P243" i="12924"/>
  <c r="N243" i="12924"/>
  <c r="R241" i="12924"/>
  <c r="P241" i="12924"/>
  <c r="N241" i="12924"/>
  <c r="R240" i="12924"/>
  <c r="P240" i="12924"/>
  <c r="N240" i="12924"/>
  <c r="R238" i="12924"/>
  <c r="P238" i="12924"/>
  <c r="N238" i="12924"/>
  <c r="R237" i="12924"/>
  <c r="P237" i="12924"/>
  <c r="N237" i="12924"/>
  <c r="R235" i="12924"/>
  <c r="P235" i="12924"/>
  <c r="N235" i="12924"/>
  <c r="R234" i="12924"/>
  <c r="P234" i="12924"/>
  <c r="N234" i="12924"/>
  <c r="R232" i="12924"/>
  <c r="P232" i="12924"/>
  <c r="N232" i="12924"/>
  <c r="R231" i="12924"/>
  <c r="P231" i="12924"/>
  <c r="N231" i="12924"/>
  <c r="R229" i="12924"/>
  <c r="P229" i="12924"/>
  <c r="N229" i="12924"/>
  <c r="R228" i="12924"/>
  <c r="P228" i="12924"/>
  <c r="N228" i="12924"/>
  <c r="R226" i="12924"/>
  <c r="P226" i="12924"/>
  <c r="N226" i="12924"/>
  <c r="R225" i="12924"/>
  <c r="P225" i="12924"/>
  <c r="N225" i="12924"/>
  <c r="R223" i="12924"/>
  <c r="P223" i="12924"/>
  <c r="N223" i="12924"/>
  <c r="R222" i="12924"/>
  <c r="P222" i="12924"/>
  <c r="N222" i="12924"/>
  <c r="R220" i="12924"/>
  <c r="P220" i="12924"/>
  <c r="N220" i="12924"/>
  <c r="R219" i="12924"/>
  <c r="P219" i="12924"/>
  <c r="N219" i="12924"/>
  <c r="H130" i="12924"/>
  <c r="H129" i="12924"/>
  <c r="H128" i="12924"/>
  <c r="H127" i="12924"/>
  <c r="H126" i="12924"/>
  <c r="H125" i="12924"/>
  <c r="H124" i="12924"/>
  <c r="H123" i="12924"/>
  <c r="H122" i="12924"/>
  <c r="H121" i="12924"/>
  <c r="H120" i="12924"/>
  <c r="H119" i="12924"/>
  <c r="F130" i="12924"/>
  <c r="F129" i="12924"/>
  <c r="F128" i="12924"/>
  <c r="F127" i="12924"/>
  <c r="F126" i="12924"/>
  <c r="F125" i="12924"/>
  <c r="F124" i="12924"/>
  <c r="F123" i="12924"/>
  <c r="F122" i="12924"/>
  <c r="F121" i="12924"/>
  <c r="F120" i="12924"/>
  <c r="F119" i="12924"/>
  <c r="D130" i="12924"/>
  <c r="D129" i="12924"/>
  <c r="D128" i="12924"/>
  <c r="D127" i="12924"/>
  <c r="D126" i="12924"/>
  <c r="D125" i="12924"/>
  <c r="D124" i="12924"/>
  <c r="D123" i="12924"/>
  <c r="D122" i="12924"/>
  <c r="D121" i="12924"/>
  <c r="D120" i="12924"/>
  <c r="D119" i="12924"/>
  <c r="R113" i="12924"/>
  <c r="R112" i="12924"/>
  <c r="R111" i="12924"/>
  <c r="R110" i="12924"/>
  <c r="R109" i="12924"/>
  <c r="R108" i="12924"/>
  <c r="R107" i="12924"/>
  <c r="R106" i="12924"/>
  <c r="R105" i="12924"/>
  <c r="R104" i="12924"/>
  <c r="R103" i="12924"/>
  <c r="R102" i="12924"/>
  <c r="P113" i="12924"/>
  <c r="P112" i="12924"/>
  <c r="P111" i="12924"/>
  <c r="P110" i="12924"/>
  <c r="P109" i="12924"/>
  <c r="P108" i="12924"/>
  <c r="P107" i="12924"/>
  <c r="P106" i="12924"/>
  <c r="P105" i="12924"/>
  <c r="P104" i="12924"/>
  <c r="P103" i="12924"/>
  <c r="P102" i="12924"/>
  <c r="N113" i="12924"/>
  <c r="N112" i="12924"/>
  <c r="N111" i="12924"/>
  <c r="N110" i="12924"/>
  <c r="N109" i="12924"/>
  <c r="N108" i="12924"/>
  <c r="N107" i="12924"/>
  <c r="N106" i="12924"/>
  <c r="N105" i="12924"/>
  <c r="N104" i="12924"/>
  <c r="N103" i="12924"/>
  <c r="N102" i="12924"/>
  <c r="H95" i="12924"/>
  <c r="H94" i="12924"/>
  <c r="H92" i="12924"/>
  <c r="H91" i="12924"/>
  <c r="H89" i="12924"/>
  <c r="H88" i="12924"/>
  <c r="H86" i="12924"/>
  <c r="H85" i="12924"/>
  <c r="H84" i="12924"/>
  <c r="H82" i="12924"/>
  <c r="H81" i="12924"/>
  <c r="H80" i="12924"/>
  <c r="H78" i="12924"/>
  <c r="H77" i="12924"/>
  <c r="H76" i="12924"/>
  <c r="H74" i="12924"/>
  <c r="H73" i="12924"/>
  <c r="H72" i="12924"/>
  <c r="H70" i="12924"/>
  <c r="H69" i="12924"/>
  <c r="H68" i="12924"/>
  <c r="H66" i="12924"/>
  <c r="H65" i="12924"/>
  <c r="H63" i="12924"/>
  <c r="H62" i="12924"/>
  <c r="H60" i="12924"/>
  <c r="H59" i="12924"/>
  <c r="H57" i="12924"/>
  <c r="H56" i="12924"/>
  <c r="F95" i="12924"/>
  <c r="F94" i="12924"/>
  <c r="F92" i="12924"/>
  <c r="F91" i="12924"/>
  <c r="F89" i="12924"/>
  <c r="F88" i="12924"/>
  <c r="F86" i="12924"/>
  <c r="F85" i="12924"/>
  <c r="F84" i="12924"/>
  <c r="F82" i="12924"/>
  <c r="F81" i="12924"/>
  <c r="F80" i="12924"/>
  <c r="F78" i="12924"/>
  <c r="F77" i="12924"/>
  <c r="F76" i="12924"/>
  <c r="F74" i="12924"/>
  <c r="F73" i="12924"/>
  <c r="F72" i="12924"/>
  <c r="F70" i="12924"/>
  <c r="F69" i="12924"/>
  <c r="F68" i="12924"/>
  <c r="F66" i="12924"/>
  <c r="F65" i="12924"/>
  <c r="F63" i="12924"/>
  <c r="F62" i="12924"/>
  <c r="F60" i="12924"/>
  <c r="F59" i="12924"/>
  <c r="F57" i="12924"/>
  <c r="F56" i="12924"/>
  <c r="R49" i="12924"/>
  <c r="R48" i="12924"/>
  <c r="R46" i="12924"/>
  <c r="R45" i="12924"/>
  <c r="R43" i="12924"/>
  <c r="R42" i="12924"/>
  <c r="R40" i="12924"/>
  <c r="R39" i="12924"/>
  <c r="R38" i="12924"/>
  <c r="R36" i="12924"/>
  <c r="R35" i="12924"/>
  <c r="R34" i="12924"/>
  <c r="R32" i="12924"/>
  <c r="R31" i="12924"/>
  <c r="R30" i="12924"/>
  <c r="R28" i="12924"/>
  <c r="R27" i="12924"/>
  <c r="R26" i="12924"/>
  <c r="R24" i="12924"/>
  <c r="R23" i="12924"/>
  <c r="R22" i="12924"/>
  <c r="R20" i="12924"/>
  <c r="R19" i="12924"/>
  <c r="R17" i="12924"/>
  <c r="R16" i="12924"/>
  <c r="R14" i="12924"/>
  <c r="R13" i="12924"/>
  <c r="R11" i="12924"/>
  <c r="R10" i="12924"/>
  <c r="P49" i="12924"/>
  <c r="P48" i="12924"/>
  <c r="P46" i="12924"/>
  <c r="P45" i="12924"/>
  <c r="P43" i="12924"/>
  <c r="P42" i="12924"/>
  <c r="P40" i="12924"/>
  <c r="P39" i="12924"/>
  <c r="P38" i="12924"/>
  <c r="P36" i="12924"/>
  <c r="P35" i="12924"/>
  <c r="P34" i="12924"/>
  <c r="P32" i="12924"/>
  <c r="P31" i="12924"/>
  <c r="P30" i="12924"/>
  <c r="P28" i="12924"/>
  <c r="P27" i="12924"/>
  <c r="P26" i="12924"/>
  <c r="P24" i="12924"/>
  <c r="P23" i="12924"/>
  <c r="P22" i="12924"/>
  <c r="P20" i="12924"/>
  <c r="P19" i="12924"/>
  <c r="P17" i="12924"/>
  <c r="P16" i="12924"/>
  <c r="P14" i="12924"/>
  <c r="P13" i="12924"/>
  <c r="P11" i="12924"/>
  <c r="P10" i="12924"/>
  <c r="N49" i="12924"/>
  <c r="N48" i="12924"/>
  <c r="N46" i="12924"/>
  <c r="N45" i="12924"/>
  <c r="N43" i="12924"/>
  <c r="N42" i="12924"/>
  <c r="N40" i="12924"/>
  <c r="N39" i="12924"/>
  <c r="N38" i="12924"/>
  <c r="N36" i="12924"/>
  <c r="N35" i="12924"/>
  <c r="N34" i="12924"/>
  <c r="N32" i="12924"/>
  <c r="N31" i="12924"/>
  <c r="N30" i="12924"/>
  <c r="N28" i="12924"/>
  <c r="N27" i="12924"/>
  <c r="N26" i="12924"/>
  <c r="N24" i="12924"/>
  <c r="N23" i="12924"/>
  <c r="N22" i="12924"/>
  <c r="N20" i="12924"/>
  <c r="N19" i="12924"/>
  <c r="N17" i="12924"/>
  <c r="N16" i="12924"/>
  <c r="N14" i="12924"/>
  <c r="N13" i="12924"/>
  <c r="N11" i="12924"/>
  <c r="N10" i="12924"/>
  <c r="D95" i="12924"/>
  <c r="D94" i="12924"/>
  <c r="D92" i="12924"/>
  <c r="D91" i="12924"/>
  <c r="D89" i="12924"/>
  <c r="D88" i="12924"/>
  <c r="D86" i="12924"/>
  <c r="D85" i="12924"/>
  <c r="D84" i="12924"/>
  <c r="D82" i="12924"/>
  <c r="D81" i="12924"/>
  <c r="D80" i="12924"/>
  <c r="D78" i="12924"/>
  <c r="D77" i="12924"/>
  <c r="D76" i="12924"/>
  <c r="D74" i="12924"/>
  <c r="D73" i="12924"/>
  <c r="D72" i="12924"/>
  <c r="D68" i="12924"/>
  <c r="D70" i="12924"/>
  <c r="D69" i="12924"/>
  <c r="D66" i="12924"/>
  <c r="D65" i="12924"/>
  <c r="D63" i="12924"/>
  <c r="D62" i="12924"/>
  <c r="D60" i="12924"/>
  <c r="D59" i="12924"/>
  <c r="D57" i="12924"/>
  <c r="D56" i="12924"/>
  <c r="A294" i="12924"/>
  <c r="K294" i="12924" s="1"/>
  <c r="A293" i="12924"/>
  <c r="K293" i="12924" s="1"/>
  <c r="A291" i="12924"/>
  <c r="K291" i="12924" s="1"/>
  <c r="A290" i="12924"/>
  <c r="K290" i="12924" s="1"/>
  <c r="A288" i="12924"/>
  <c r="K288" i="12924" s="1"/>
  <c r="A287" i="12924"/>
  <c r="K287" i="12924" s="1"/>
  <c r="A285" i="12924"/>
  <c r="K285" i="12924" s="1"/>
  <c r="A284" i="12924"/>
  <c r="K284" i="12924" s="1"/>
  <c r="A282" i="12924"/>
  <c r="K282" i="12924" s="1"/>
  <c r="A281" i="12924"/>
  <c r="K281" i="12924" s="1"/>
  <c r="A279" i="12924"/>
  <c r="K279" i="12924" s="1"/>
  <c r="A278" i="12924"/>
  <c r="K278" i="12924" s="1"/>
  <c r="A276" i="12924"/>
  <c r="K276" i="12924" s="1"/>
  <c r="A275" i="12924"/>
  <c r="K275" i="12924" s="1"/>
  <c r="A273" i="12924"/>
  <c r="K273" i="12924" s="1"/>
  <c r="A272" i="12924"/>
  <c r="K272" i="12924" s="1"/>
  <c r="A270" i="12924"/>
  <c r="K270" i="12924" s="1"/>
  <c r="A269" i="12924"/>
  <c r="K269" i="12924" s="1"/>
  <c r="A267" i="12924"/>
  <c r="K267" i="12924" s="1"/>
  <c r="A266" i="12924"/>
  <c r="K266" i="12924" s="1"/>
  <c r="A264" i="12924"/>
  <c r="K264" i="12924" s="1"/>
  <c r="A263" i="12924"/>
  <c r="K263" i="12924" s="1"/>
  <c r="A261" i="12924"/>
  <c r="K261" i="12924" s="1"/>
  <c r="A260" i="12924"/>
  <c r="K260" i="12924" s="1"/>
  <c r="A253" i="12924"/>
  <c r="A252" i="12924"/>
  <c r="A250" i="12924"/>
  <c r="A249" i="12924"/>
  <c r="A247" i="12924"/>
  <c r="A246" i="12924"/>
  <c r="A244" i="12924"/>
  <c r="A243" i="12924"/>
  <c r="A241" i="12924"/>
  <c r="A240" i="12924"/>
  <c r="A238" i="12924"/>
  <c r="A237" i="12924"/>
  <c r="A235" i="12924"/>
  <c r="A234" i="12924"/>
  <c r="A232" i="12924"/>
  <c r="A231" i="12924"/>
  <c r="A229" i="12924"/>
  <c r="A228" i="12924"/>
  <c r="A226" i="12924"/>
  <c r="A225" i="12924"/>
  <c r="A223" i="12924"/>
  <c r="A222" i="12924"/>
  <c r="A220" i="12924"/>
  <c r="A219" i="12924"/>
  <c r="A212" i="12924"/>
  <c r="A211" i="12924"/>
  <c r="A209" i="12924"/>
  <c r="A208" i="12924"/>
  <c r="A206" i="12924"/>
  <c r="A205" i="12924"/>
  <c r="A203" i="12924"/>
  <c r="A202" i="12924"/>
  <c r="A200" i="12924"/>
  <c r="A199" i="12924"/>
  <c r="A197" i="12924"/>
  <c r="A196" i="12924"/>
  <c r="A194" i="12924"/>
  <c r="A193" i="12924"/>
  <c r="A191" i="12924"/>
  <c r="A190" i="12924"/>
  <c r="A188" i="12924"/>
  <c r="A187" i="12924"/>
  <c r="A185" i="12924"/>
  <c r="A184" i="12924"/>
  <c r="A182" i="12924"/>
  <c r="A181" i="12924"/>
  <c r="A179" i="12924"/>
  <c r="A178" i="12924"/>
  <c r="K253" i="12924"/>
  <c r="K252" i="12924"/>
  <c r="K250" i="12924"/>
  <c r="K249" i="12924"/>
  <c r="K247" i="12924"/>
  <c r="K246" i="12924"/>
  <c r="K244" i="12924"/>
  <c r="K243" i="12924"/>
  <c r="K241" i="12924"/>
  <c r="K240" i="12924"/>
  <c r="K238" i="12924"/>
  <c r="K237" i="12924"/>
  <c r="K235" i="12924"/>
  <c r="K234" i="12924"/>
  <c r="K232" i="12924"/>
  <c r="K231" i="12924"/>
  <c r="K229" i="12924"/>
  <c r="K228" i="12924"/>
  <c r="K226" i="12924"/>
  <c r="K225" i="12924"/>
  <c r="K223" i="12924"/>
  <c r="K222" i="12924"/>
  <c r="K220" i="12924"/>
  <c r="K219" i="12924"/>
  <c r="A130" i="12924"/>
  <c r="A129" i="12924"/>
  <c r="A128" i="12924"/>
  <c r="A127" i="12924"/>
  <c r="A126" i="12924"/>
  <c r="A125" i="12924"/>
  <c r="A124" i="12924"/>
  <c r="A123" i="12924"/>
  <c r="A122" i="12924"/>
  <c r="A121" i="12924"/>
  <c r="A120" i="12924"/>
  <c r="A119" i="12924"/>
  <c r="K113" i="12924"/>
  <c r="K112" i="12924"/>
  <c r="K111" i="12924"/>
  <c r="K110" i="12924"/>
  <c r="K109" i="12924"/>
  <c r="K108" i="12924"/>
  <c r="K107" i="12924"/>
  <c r="K106" i="12924"/>
  <c r="K105" i="12924"/>
  <c r="K104" i="12924"/>
  <c r="K103" i="12924"/>
  <c r="K102" i="12924"/>
  <c r="A95" i="12924"/>
  <c r="A94" i="12924"/>
  <c r="A92" i="12924"/>
  <c r="A91" i="12924"/>
  <c r="A89" i="12924"/>
  <c r="A88" i="12924"/>
  <c r="A86" i="12924"/>
  <c r="A85" i="12924"/>
  <c r="A84" i="12924"/>
  <c r="K68" i="12924" s="1"/>
  <c r="K69" i="12924" s="1"/>
  <c r="A82" i="12924"/>
  <c r="A81" i="12924"/>
  <c r="A80" i="12924"/>
  <c r="K65" i="12924" s="1"/>
  <c r="K66" i="12924" s="1"/>
  <c r="A78" i="12924"/>
  <c r="A77" i="12924"/>
  <c r="A76" i="12924"/>
  <c r="K62" i="12924" s="1"/>
  <c r="K63" i="12924" s="1"/>
  <c r="A74" i="12924"/>
  <c r="A73" i="12924"/>
  <c r="A72" i="12924"/>
  <c r="K59" i="12924" s="1"/>
  <c r="K60" i="12924" s="1"/>
  <c r="A70" i="12924"/>
  <c r="A69" i="12924"/>
  <c r="A68" i="12924"/>
  <c r="K56" i="12924" s="1"/>
  <c r="K57" i="12924" s="1"/>
  <c r="A65" i="12924"/>
  <c r="A66" i="12924"/>
  <c r="A63" i="12924"/>
  <c r="A62" i="12924"/>
  <c r="A60" i="12924"/>
  <c r="A59" i="12924"/>
  <c r="A57" i="12924"/>
  <c r="A56" i="12924"/>
  <c r="K49" i="12924"/>
  <c r="K48" i="12924"/>
  <c r="K46" i="12924"/>
  <c r="K45" i="12924"/>
  <c r="K43" i="12924"/>
  <c r="K42" i="12924"/>
  <c r="K40" i="12924"/>
  <c r="K39" i="12924"/>
  <c r="K38" i="12924"/>
  <c r="K36" i="12924"/>
  <c r="K35" i="12924"/>
  <c r="K34" i="12924"/>
  <c r="K32" i="12924"/>
  <c r="K31" i="12924"/>
  <c r="K30" i="12924"/>
  <c r="K28" i="12924"/>
  <c r="K27" i="12924"/>
  <c r="K26" i="12924"/>
  <c r="K24" i="12924"/>
  <c r="K23" i="12924"/>
  <c r="K22" i="12924"/>
  <c r="K20" i="12924"/>
  <c r="K19" i="12924"/>
  <c r="K17" i="12924"/>
  <c r="K16" i="12924"/>
  <c r="K14" i="12924"/>
  <c r="K13" i="12924"/>
  <c r="K11" i="12924"/>
  <c r="K10" i="12924"/>
  <c r="C2623" i="12908" l="1"/>
  <c r="C2534" i="12908"/>
  <c r="Z2534" i="13034" s="1"/>
  <c r="C2533" i="12908"/>
  <c r="Z2533" i="13034" s="1"/>
  <c r="C2532" i="12908"/>
  <c r="Z2532" i="13034" s="1"/>
  <c r="C2531" i="12908"/>
  <c r="Z2531" i="13034" s="1"/>
  <c r="C2530" i="12908"/>
  <c r="Z2530" i="13034" s="1"/>
  <c r="C2523" i="12908"/>
  <c r="C2503" i="12908"/>
  <c r="Z2503" i="13034" s="1"/>
  <c r="C2502" i="12908"/>
  <c r="Z2502" i="13034" s="1"/>
  <c r="C2500" i="12908"/>
  <c r="C2499" i="12908"/>
  <c r="Z2499" i="13034" s="1"/>
  <c r="C2497" i="12908"/>
  <c r="Z2497" i="13034" s="1"/>
  <c r="C2496" i="12908"/>
  <c r="C2484" i="12908"/>
  <c r="C2483" i="12908"/>
  <c r="C2430" i="12908"/>
  <c r="Z2430" i="13034" s="1"/>
  <c r="C2429" i="12908"/>
  <c r="Z2429" i="13034" s="1"/>
  <c r="C2428" i="12908"/>
  <c r="Z2428" i="13034" s="1"/>
  <c r="C2427" i="12908"/>
  <c r="Z2427" i="13034" s="1"/>
  <c r="C2426" i="12908"/>
  <c r="Z2426" i="13034" s="1"/>
  <c r="C2419" i="12908"/>
  <c r="Z2419" i="13034" s="1"/>
  <c r="C2415" i="12908"/>
  <c r="Z2415" i="13034" s="1"/>
  <c r="C2414" i="12908"/>
  <c r="C2413" i="12908"/>
  <c r="Z2413" i="13034" s="1"/>
  <c r="C2412" i="12908"/>
  <c r="C2411" i="12908"/>
  <c r="C2410" i="12908"/>
  <c r="C2403" i="12908"/>
  <c r="C2399" i="12908"/>
  <c r="C2398" i="12908"/>
  <c r="C2396" i="12908"/>
  <c r="Z2396" i="13034" s="1"/>
  <c r="C2395" i="12908"/>
  <c r="Z2395" i="13034" s="1"/>
  <c r="C2393" i="12908"/>
  <c r="Z2393" i="13034" s="1"/>
  <c r="C2392" i="12908"/>
  <c r="Z2392" i="13034" s="1"/>
  <c r="C2380" i="12908"/>
  <c r="Z2380" i="13034" s="1"/>
  <c r="C2379" i="12908"/>
  <c r="C2377" i="12908"/>
  <c r="C2376" i="12908"/>
  <c r="Z2376" i="13034" s="1"/>
  <c r="C2374" i="12908"/>
  <c r="C2373" i="12908"/>
  <c r="Z2373" i="13034" s="1"/>
  <c r="C2371" i="12908"/>
  <c r="Z2371" i="13034" s="1"/>
  <c r="C2370" i="12908"/>
  <c r="C2358" i="12908"/>
  <c r="Z2358" i="13034" s="1"/>
  <c r="C2357" i="12908"/>
  <c r="Z2357" i="13034" s="1"/>
  <c r="C2106" i="12908"/>
  <c r="Z2106" i="13034" s="1"/>
  <c r="C2105" i="12908"/>
  <c r="Z2105" i="13034" s="1"/>
  <c r="C2095" i="12908"/>
  <c r="Z2095" i="13034" s="1"/>
  <c r="C2154" i="12908"/>
  <c r="Z2154" i="13034" s="1"/>
  <c r="C2153" i="12908"/>
  <c r="Z2153" i="13034" s="1"/>
  <c r="C2152" i="12908"/>
  <c r="Z2152" i="13034" s="1"/>
  <c r="C2151" i="12908"/>
  <c r="Z2151" i="13034" s="1"/>
  <c r="C2150" i="12908"/>
  <c r="Z2150" i="13034" s="1"/>
  <c r="C2149" i="12908"/>
  <c r="Z2149" i="13034" s="1"/>
  <c r="C2148" i="12908"/>
  <c r="Z2148" i="13034" s="1"/>
  <c r="C2139" i="12908"/>
  <c r="Z2139" i="13034" s="1"/>
  <c r="C2128" i="12908"/>
  <c r="Z2128" i="13034" s="1"/>
  <c r="C2127" i="12908"/>
  <c r="Z2127" i="13034" s="1"/>
  <c r="C2126" i="12908"/>
  <c r="Z2126" i="13034" s="1"/>
  <c r="C2117" i="12908"/>
  <c r="Z2117" i="13034" s="1"/>
  <c r="H2096" i="12908"/>
  <c r="AE2096" i="13034" s="1"/>
  <c r="H2140" i="12908"/>
  <c r="AE2140" i="13034" s="1"/>
  <c r="H2118" i="12908"/>
  <c r="AE2118" i="13034" s="1"/>
  <c r="H2074" i="12908"/>
  <c r="AE2074" i="13034" s="1"/>
  <c r="E17" i="12852"/>
  <c r="A2" i="12905"/>
  <c r="A3" i="12905"/>
  <c r="A4" i="12905"/>
  <c r="A5" i="12905"/>
  <c r="A6" i="12905"/>
  <c r="A7" i="12905"/>
  <c r="A8" i="12905"/>
  <c r="A9" i="12905"/>
  <c r="A10" i="12905"/>
  <c r="A11" i="12905"/>
  <c r="A12" i="12905"/>
  <c r="A13" i="12905"/>
  <c r="A14" i="12905"/>
  <c r="A15" i="12905"/>
  <c r="A16" i="12905"/>
  <c r="A17" i="12905"/>
  <c r="A18" i="12905"/>
  <c r="A19" i="12905"/>
  <c r="A20" i="12905"/>
  <c r="A21" i="12905"/>
  <c r="A22" i="12905"/>
  <c r="A23" i="12905"/>
  <c r="A24" i="12905"/>
  <c r="A25" i="12905"/>
  <c r="A26" i="12905"/>
  <c r="A27" i="12905"/>
  <c r="A28" i="12905"/>
  <c r="A29" i="12905"/>
  <c r="A30" i="12905"/>
  <c r="A31" i="12905"/>
  <c r="A32" i="12905"/>
  <c r="A33" i="12905"/>
  <c r="A34" i="12905"/>
  <c r="A35" i="12905"/>
  <c r="A36" i="12905"/>
  <c r="A37" i="12905"/>
  <c r="A38" i="12905"/>
  <c r="A39" i="12905"/>
  <c r="A40" i="12905"/>
  <c r="A41" i="12905"/>
  <c r="A42" i="12905"/>
  <c r="A43" i="12905"/>
  <c r="A44" i="12905"/>
  <c r="A45" i="12905"/>
  <c r="A46" i="12905"/>
  <c r="A47" i="12905"/>
  <c r="A48" i="12905"/>
  <c r="A49" i="12905"/>
  <c r="A50" i="12905"/>
  <c r="A51" i="12905"/>
  <c r="A52" i="12905"/>
  <c r="A53" i="12905"/>
  <c r="A54" i="12905"/>
  <c r="A55" i="12905"/>
  <c r="A56" i="12905"/>
  <c r="A57" i="12905"/>
  <c r="A58" i="12905"/>
  <c r="A59" i="12905"/>
  <c r="A60" i="12905"/>
  <c r="A61" i="12905"/>
  <c r="A62" i="12905"/>
  <c r="A63" i="12905"/>
  <c r="A64" i="12905"/>
  <c r="A65" i="12905"/>
  <c r="A66" i="12905"/>
  <c r="A67" i="12905"/>
  <c r="A68" i="12905"/>
  <c r="A69" i="12905"/>
  <c r="A70" i="12905"/>
  <c r="A71" i="12905"/>
  <c r="A72" i="12905"/>
  <c r="A73" i="12905"/>
  <c r="A74" i="12905"/>
  <c r="A75" i="12905"/>
  <c r="A76" i="12905"/>
  <c r="A77" i="12905"/>
  <c r="A78" i="12905"/>
  <c r="A79" i="12905"/>
  <c r="A83" i="12905"/>
  <c r="A84" i="12905"/>
  <c r="A85" i="12905"/>
  <c r="A86" i="12905"/>
  <c r="A87" i="12905"/>
  <c r="A88" i="12905"/>
  <c r="A92" i="12905"/>
  <c r="A93" i="12905"/>
  <c r="A94" i="12905"/>
  <c r="H1622" i="12908"/>
  <c r="AE1622" i="13034" s="1"/>
  <c r="J65" i="12852"/>
  <c r="I119" i="12711"/>
  <c r="E65" i="12852"/>
  <c r="J30" i="12852"/>
  <c r="C1439" i="12908"/>
  <c r="Z1439" i="13034" s="1"/>
  <c r="C1448" i="12908"/>
  <c r="E30" i="12852"/>
  <c r="C1094" i="12908"/>
  <c r="Z1094" i="13034" s="1"/>
  <c r="C1093" i="12908"/>
  <c r="Z1093" i="13034" s="1"/>
  <c r="C1092" i="12908"/>
  <c r="Z1092" i="13034" s="1"/>
  <c r="C1091" i="12908"/>
  <c r="Z1091" i="13034" s="1"/>
  <c r="C1090" i="12908"/>
  <c r="Z1090" i="13034" s="1"/>
  <c r="C1089" i="12908"/>
  <c r="Z1089" i="13034" s="1"/>
  <c r="C1088" i="12908"/>
  <c r="Z1088" i="13034" s="1"/>
  <c r="C1087" i="12908"/>
  <c r="Z1087" i="13034" s="1"/>
  <c r="H2379" i="12908" l="1"/>
  <c r="AE2379" i="13034" s="1"/>
  <c r="Z2379" i="13034"/>
  <c r="C2299" i="12908"/>
  <c r="Z2299" i="13034" s="1"/>
  <c r="Z2403" i="13034"/>
  <c r="C2365" i="12908"/>
  <c r="Z2374" i="13034"/>
  <c r="C2404" i="12908"/>
  <c r="Z2404" i="13034" s="1"/>
  <c r="Z2410" i="13034"/>
  <c r="C2407" i="12908"/>
  <c r="Z2407" i="13034" s="1"/>
  <c r="Z2414" i="13034"/>
  <c r="H2483" i="12908"/>
  <c r="AE2483" i="13034" s="1"/>
  <c r="Z2483" i="13034"/>
  <c r="H2523" i="12908"/>
  <c r="AE2523" i="13034" s="1"/>
  <c r="Z2523" i="13034"/>
  <c r="C1442" i="12908"/>
  <c r="Z1442" i="13034" s="1"/>
  <c r="Z1448" i="13034"/>
  <c r="C2361" i="12908"/>
  <c r="Z2370" i="13034"/>
  <c r="C2389" i="12908"/>
  <c r="Z2389" i="13034" s="1"/>
  <c r="Z2398" i="13034"/>
  <c r="C2405" i="12908"/>
  <c r="Z2405" i="13034" s="1"/>
  <c r="Z2411" i="13034"/>
  <c r="H2484" i="12908"/>
  <c r="AE2484" i="13034" s="1"/>
  <c r="Z2484" i="13034"/>
  <c r="C2491" i="12908"/>
  <c r="Z2491" i="13034" s="1"/>
  <c r="Z2500" i="13034"/>
  <c r="C2368" i="12908"/>
  <c r="Z2377" i="13034"/>
  <c r="C2390" i="12908"/>
  <c r="Z2390" i="13034" s="1"/>
  <c r="Z2399" i="13034"/>
  <c r="H2412" i="12908"/>
  <c r="AE2412" i="13034" s="1"/>
  <c r="Z2412" i="13034"/>
  <c r="C2487" i="12908"/>
  <c r="Z2487" i="13034" s="1"/>
  <c r="Z2496" i="13034"/>
  <c r="K76" i="12910"/>
  <c r="Z2623" i="13034"/>
  <c r="C2528" i="12908"/>
  <c r="Z2528" i="13034" s="1"/>
  <c r="C2300" i="12908"/>
  <c r="Z2300" i="13034" s="1"/>
  <c r="C2303" i="12908"/>
  <c r="Z2303" i="13034" s="1"/>
  <c r="C2424" i="12908"/>
  <c r="C2406" i="12908"/>
  <c r="Z2406" i="13034" s="1"/>
  <c r="C2408" i="12908"/>
  <c r="Z2408" i="13034" s="1"/>
  <c r="H2534" i="12908"/>
  <c r="AE2534" i="13034" s="1"/>
  <c r="H2430" i="12908"/>
  <c r="AE2430" i="13034" s="1"/>
  <c r="H2395" i="12908"/>
  <c r="AE2395" i="13034" s="1"/>
  <c r="C2386" i="12908"/>
  <c r="Z2386" i="13034" s="1"/>
  <c r="H2426" i="12908"/>
  <c r="AE2426" i="13034" s="1"/>
  <c r="C2420" i="12908"/>
  <c r="Z2420" i="13034" s="1"/>
  <c r="H2497" i="12908"/>
  <c r="AE2497" i="13034" s="1"/>
  <c r="C2488" i="12908"/>
  <c r="Z2488" i="13034" s="1"/>
  <c r="H2532" i="12908"/>
  <c r="AE2532" i="13034" s="1"/>
  <c r="C2526" i="12908"/>
  <c r="Z2526" i="13034" s="1"/>
  <c r="H2499" i="12908"/>
  <c r="AE2499" i="13034" s="1"/>
  <c r="C2490" i="12908"/>
  <c r="Z2490" i="13034" s="1"/>
  <c r="H2533" i="12908"/>
  <c r="AE2533" i="13034" s="1"/>
  <c r="C2527" i="12908"/>
  <c r="Z2527" i="13034" s="1"/>
  <c r="H2370" i="12908"/>
  <c r="AE2370" i="13034" s="1"/>
  <c r="H2376" i="12908"/>
  <c r="AE2376" i="13034" s="1"/>
  <c r="C2367" i="12908"/>
  <c r="H2392" i="12908"/>
  <c r="AE2392" i="13034" s="1"/>
  <c r="C2383" i="12908"/>
  <c r="Z2383" i="13034" s="1"/>
  <c r="H2411" i="12908"/>
  <c r="AE2411" i="13034" s="1"/>
  <c r="H2428" i="12908"/>
  <c r="AE2428" i="13034" s="1"/>
  <c r="C2422" i="12908"/>
  <c r="Z2422" i="13034" s="1"/>
  <c r="H2500" i="12908"/>
  <c r="AE2500" i="13034" s="1"/>
  <c r="H2530" i="12908"/>
  <c r="AE2530" i="13034" s="1"/>
  <c r="C2524" i="12908"/>
  <c r="Z2524" i="13034" s="1"/>
  <c r="H2373" i="12908"/>
  <c r="AE2373" i="13034" s="1"/>
  <c r="C2364" i="12908"/>
  <c r="H2503" i="12908"/>
  <c r="AE2503" i="13034" s="1"/>
  <c r="C2494" i="12908"/>
  <c r="H2396" i="12908"/>
  <c r="AE2396" i="13034" s="1"/>
  <c r="C2387" i="12908"/>
  <c r="H2410" i="12908"/>
  <c r="AE2410" i="13034" s="1"/>
  <c r="H2427" i="12908"/>
  <c r="AE2427" i="13034" s="1"/>
  <c r="C2421" i="12908"/>
  <c r="Z2421" i="13034" s="1"/>
  <c r="H2371" i="12908"/>
  <c r="AE2371" i="13034" s="1"/>
  <c r="C2362" i="12908"/>
  <c r="H2393" i="12908"/>
  <c r="AE2393" i="13034" s="1"/>
  <c r="C2384" i="12908"/>
  <c r="Z2384" i="13034" s="1"/>
  <c r="H2429" i="12908"/>
  <c r="AE2429" i="13034" s="1"/>
  <c r="C2423" i="12908"/>
  <c r="Z2423" i="13034" s="1"/>
  <c r="H2496" i="12908"/>
  <c r="AE2496" i="13034" s="1"/>
  <c r="H2502" i="12908"/>
  <c r="AE2502" i="13034" s="1"/>
  <c r="C2493" i="12908"/>
  <c r="H2531" i="12908"/>
  <c r="AE2531" i="13034" s="1"/>
  <c r="C2525" i="12908"/>
  <c r="Z2525" i="13034" s="1"/>
  <c r="H2415" i="12908"/>
  <c r="AE2415" i="13034" s="1"/>
  <c r="H2414" i="12908"/>
  <c r="AE2414" i="13034" s="1"/>
  <c r="H2419" i="12908"/>
  <c r="AE2419" i="13034" s="1"/>
  <c r="H2403" i="12908"/>
  <c r="AE2403" i="13034" s="1"/>
  <c r="H2398" i="12908"/>
  <c r="AE2398" i="13034" s="1"/>
  <c r="H2399" i="12908"/>
  <c r="AE2399" i="13034" s="1"/>
  <c r="H2374" i="12908"/>
  <c r="AE2374" i="13034" s="1"/>
  <c r="H2380" i="12908"/>
  <c r="AE2380" i="13034" s="1"/>
  <c r="H2377" i="12908"/>
  <c r="AE2377" i="13034" s="1"/>
  <c r="Y9" i="12761"/>
  <c r="E91" i="12709"/>
  <c r="H2358" i="12908"/>
  <c r="AE2358" i="13034" s="1"/>
  <c r="E64" i="12711"/>
  <c r="E199" i="12711" s="1"/>
  <c r="D2357" i="12908"/>
  <c r="AA2357" i="13034" s="1"/>
  <c r="H2357" i="12908"/>
  <c r="AE2357" i="13034" s="1"/>
  <c r="C2309" i="12908"/>
  <c r="Z2309" i="13034" s="1"/>
  <c r="H2413" i="12908"/>
  <c r="AE2413" i="13034" s="1"/>
  <c r="C2082" i="12908"/>
  <c r="Z2082" i="13034" s="1"/>
  <c r="C2083" i="12908"/>
  <c r="Z2083" i="13034" s="1"/>
  <c r="C2084" i="12908"/>
  <c r="C2073" i="12908"/>
  <c r="Z2073" i="13034" s="1"/>
  <c r="D1092" i="12908"/>
  <c r="AA1092" i="13034" s="1"/>
  <c r="H2152" i="12908"/>
  <c r="AE2152" i="13034" s="1"/>
  <c r="D2152" i="12908"/>
  <c r="AA2152" i="13034" s="1"/>
  <c r="C2254" i="12908"/>
  <c r="Z2254" i="13034" s="1"/>
  <c r="C2270" i="12908"/>
  <c r="C2306" i="12908"/>
  <c r="H1448" i="12908"/>
  <c r="AE1448" i="13034" s="1"/>
  <c r="H2149" i="12908"/>
  <c r="AE2149" i="13034" s="1"/>
  <c r="H2153" i="12908"/>
  <c r="AE2153" i="13034" s="1"/>
  <c r="D2153" i="12908"/>
  <c r="AA2153" i="13034" s="1"/>
  <c r="C2266" i="12908"/>
  <c r="C2272" i="12908"/>
  <c r="C2307" i="12908"/>
  <c r="C2311" i="12908"/>
  <c r="E62" i="12711"/>
  <c r="H2148" i="12908"/>
  <c r="AE2148" i="13034" s="1"/>
  <c r="C2310" i="12908"/>
  <c r="D1093" i="12908"/>
  <c r="AA1093" i="13034" s="1"/>
  <c r="H2128" i="12908"/>
  <c r="AE2128" i="13034" s="1"/>
  <c r="H2150" i="12908"/>
  <c r="AE2150" i="13034" s="1"/>
  <c r="H2154" i="12908"/>
  <c r="AE2154" i="13034" s="1"/>
  <c r="D2154" i="12908"/>
  <c r="AA2154" i="13034" s="1"/>
  <c r="H2106" i="12908"/>
  <c r="AE2106" i="13034" s="1"/>
  <c r="C2267" i="12908"/>
  <c r="C2273" i="12908"/>
  <c r="C2308" i="12908"/>
  <c r="D2618" i="12908"/>
  <c r="D2617" i="12908"/>
  <c r="D2615" i="12908"/>
  <c r="AA2615" i="13034" s="1"/>
  <c r="D2619" i="12908"/>
  <c r="D2620" i="12908"/>
  <c r="D2614" i="12908"/>
  <c r="AA2614" i="13034" s="1"/>
  <c r="D2616" i="12908"/>
  <c r="AA2616" i="13034" s="1"/>
  <c r="D1094" i="12908"/>
  <c r="AA1094" i="13034" s="1"/>
  <c r="D2118" i="12908"/>
  <c r="AA2118" i="13034" s="1"/>
  <c r="D2119" i="12908"/>
  <c r="AA2119" i="13034" s="1"/>
  <c r="D2140" i="12908"/>
  <c r="AA2140" i="13034" s="1"/>
  <c r="D2141" i="12908"/>
  <c r="AA2141" i="13034" s="1"/>
  <c r="D2096" i="12908"/>
  <c r="AA2096" i="13034" s="1"/>
  <c r="D2097" i="12908"/>
  <c r="AA2097" i="13034" s="1"/>
  <c r="C2269" i="12908"/>
  <c r="H2299" i="12908"/>
  <c r="AE2299" i="13034" s="1"/>
  <c r="F21" i="12711"/>
  <c r="K99" i="12709"/>
  <c r="K202" i="12709" s="1"/>
  <c r="O15" i="12721"/>
  <c r="P15" i="12721" s="1"/>
  <c r="P18" i="12721" s="1"/>
  <c r="S97" i="12905"/>
  <c r="R98" i="12905"/>
  <c r="S98" i="12905"/>
  <c r="S99" i="12905" s="1"/>
  <c r="R97" i="12905"/>
  <c r="H2623" i="12908"/>
  <c r="C2276" i="12908"/>
  <c r="C2292" i="12908"/>
  <c r="C2289" i="12908"/>
  <c r="C2295" i="12908"/>
  <c r="C2323" i="12908"/>
  <c r="C2288" i="12908"/>
  <c r="C2294" i="12908"/>
  <c r="C2324" i="12908"/>
  <c r="H2104" i="12908"/>
  <c r="AE2104" i="13034" s="1"/>
  <c r="C2315" i="12908"/>
  <c r="C2325" i="12908"/>
  <c r="F63" i="12711"/>
  <c r="C2253" i="12908"/>
  <c r="C2275" i="12908"/>
  <c r="C2291" i="12908"/>
  <c r="C2322" i="12908"/>
  <c r="C2326" i="12908"/>
  <c r="I54" i="12711"/>
  <c r="C15" i="12780"/>
  <c r="J344" i="12924"/>
  <c r="C1447" i="12908"/>
  <c r="H1439" i="12908"/>
  <c r="AE1439" i="13034" s="1"/>
  <c r="C1449" i="12908"/>
  <c r="Z1449" i="13034" s="1"/>
  <c r="C1440" i="12908"/>
  <c r="Z1440" i="13034" s="1"/>
  <c r="C1624" i="12908"/>
  <c r="Z1624" i="13034" s="1"/>
  <c r="C1625" i="12908"/>
  <c r="I118" i="12711"/>
  <c r="J64" i="12852"/>
  <c r="C1626" i="12908"/>
  <c r="C1633" i="12908"/>
  <c r="Z1633" i="13034" s="1"/>
  <c r="H2117" i="12908"/>
  <c r="AE2117" i="13034" s="1"/>
  <c r="F61" i="12711"/>
  <c r="H2139" i="12908"/>
  <c r="AE2139" i="13034" s="1"/>
  <c r="F97" i="12711"/>
  <c r="H2095" i="12908"/>
  <c r="AE2095" i="13034" s="1"/>
  <c r="F26" i="12711"/>
  <c r="H2126" i="12908"/>
  <c r="AE2126" i="13034" s="1"/>
  <c r="H2105" i="12908"/>
  <c r="AE2105" i="13034" s="1"/>
  <c r="H2127" i="12908"/>
  <c r="AE2127" i="13034" s="1"/>
  <c r="H2151" i="12908"/>
  <c r="AE2151" i="13034" s="1"/>
  <c r="F54" i="12711"/>
  <c r="F182" i="12711" s="1"/>
  <c r="H1094" i="12908"/>
  <c r="AE1094" i="13034" s="1"/>
  <c r="H1093" i="12908"/>
  <c r="AE1093" i="13034" s="1"/>
  <c r="H1092" i="12908"/>
  <c r="AE1092" i="13034" s="1"/>
  <c r="H1090" i="12908"/>
  <c r="AE1090" i="13034" s="1"/>
  <c r="H1089" i="12908"/>
  <c r="AE1089" i="13034" s="1"/>
  <c r="H1088" i="12908"/>
  <c r="AE1088" i="13034" s="1"/>
  <c r="H1087" i="12908"/>
  <c r="AE1087" i="13034" s="1"/>
  <c r="J26" i="12852"/>
  <c r="I49" i="12711"/>
  <c r="J47" i="12852"/>
  <c r="I87" i="12711"/>
  <c r="E13" i="12786"/>
  <c r="F13" i="12786"/>
  <c r="G13" i="12786"/>
  <c r="H13" i="12786"/>
  <c r="J13" i="12786"/>
  <c r="K13" i="12786"/>
  <c r="L13" i="12786"/>
  <c r="M13" i="12786"/>
  <c r="N13" i="12786"/>
  <c r="O13" i="12786"/>
  <c r="P13" i="12786"/>
  <c r="Q13" i="12786"/>
  <c r="X13" i="12786"/>
  <c r="Y13" i="12786"/>
  <c r="Z13" i="12786"/>
  <c r="AA13" i="12786"/>
  <c r="S13" i="12786"/>
  <c r="E47" i="12852"/>
  <c r="E26" i="12852"/>
  <c r="H908" i="12908"/>
  <c r="AE908" i="13034" s="1"/>
  <c r="H776" i="12908"/>
  <c r="AE776" i="13034" s="1"/>
  <c r="H814" i="12908"/>
  <c r="AE814" i="13034" s="1"/>
  <c r="H795" i="12908"/>
  <c r="AE795" i="13034" s="1"/>
  <c r="H1626" i="12908" l="1"/>
  <c r="AE1626" i="13034" s="1"/>
  <c r="Z1626" i="13034"/>
  <c r="C1441" i="12908"/>
  <c r="Z1441" i="13034" s="1"/>
  <c r="Z1447" i="13034"/>
  <c r="H2326" i="12908"/>
  <c r="AE2326" i="13034" s="1"/>
  <c r="Z2326" i="13034"/>
  <c r="H2253" i="12908"/>
  <c r="AE2253" i="13034" s="1"/>
  <c r="Z2253" i="13034"/>
  <c r="H2323" i="12908"/>
  <c r="AE2323" i="13034" s="1"/>
  <c r="Z2323" i="13034"/>
  <c r="H2276" i="12908"/>
  <c r="AE2276" i="13034" s="1"/>
  <c r="Z2276" i="13034"/>
  <c r="K2620" i="12908"/>
  <c r="AH2620" i="13034" s="1"/>
  <c r="AA2620" i="13034"/>
  <c r="K2618" i="12908"/>
  <c r="AH2618" i="13034" s="1"/>
  <c r="AA2618" i="13034"/>
  <c r="H2266" i="12908"/>
  <c r="AE2266" i="13034" s="1"/>
  <c r="Z2266" i="13034"/>
  <c r="H2084" i="12908"/>
  <c r="AE2084" i="13034" s="1"/>
  <c r="Z2084" i="13034"/>
  <c r="C2286" i="12908"/>
  <c r="Z2286" i="13034" s="1"/>
  <c r="Z2494" i="13034"/>
  <c r="C2263" i="12908"/>
  <c r="Z2263" i="13034" s="1"/>
  <c r="Z2367" i="13034"/>
  <c r="C2301" i="12908"/>
  <c r="Z2301" i="13034" s="1"/>
  <c r="H2322" i="12908"/>
  <c r="AE2322" i="13034" s="1"/>
  <c r="Z2322" i="13034"/>
  <c r="H2324" i="12908"/>
  <c r="AE2324" i="13034" s="1"/>
  <c r="Z2324" i="13034"/>
  <c r="H2295" i="12908"/>
  <c r="AE2295" i="13034" s="1"/>
  <c r="Z2295" i="13034"/>
  <c r="O76" i="12910"/>
  <c r="AE2623" i="13034"/>
  <c r="K2619" i="12908"/>
  <c r="AH2619" i="13034" s="1"/>
  <c r="AA2619" i="13034"/>
  <c r="H2308" i="12908"/>
  <c r="AE2308" i="13034" s="1"/>
  <c r="Z2308" i="13034"/>
  <c r="H2311" i="12908"/>
  <c r="AE2311" i="13034" s="1"/>
  <c r="Z2311" i="13034"/>
  <c r="H2306" i="12908"/>
  <c r="AE2306" i="13034" s="1"/>
  <c r="Z2306" i="13034"/>
  <c r="C2258" i="12908"/>
  <c r="Z2258" i="13034" s="1"/>
  <c r="Z2362" i="13034"/>
  <c r="C2264" i="12908"/>
  <c r="Z2264" i="13034" s="1"/>
  <c r="Z2368" i="13034"/>
  <c r="H2291" i="12908"/>
  <c r="AE2291" i="13034" s="1"/>
  <c r="Z2291" i="13034"/>
  <c r="H2325" i="12908"/>
  <c r="AE2325" i="13034" s="1"/>
  <c r="Z2325" i="13034"/>
  <c r="H2294" i="12908"/>
  <c r="AE2294" i="13034" s="1"/>
  <c r="Z2294" i="13034"/>
  <c r="H2289" i="12908"/>
  <c r="AE2289" i="13034" s="1"/>
  <c r="Z2289" i="13034"/>
  <c r="H2269" i="12908"/>
  <c r="AE2269" i="13034" s="1"/>
  <c r="Z2269" i="13034"/>
  <c r="H2273" i="12908"/>
  <c r="AE2273" i="13034" s="1"/>
  <c r="Z2273" i="13034"/>
  <c r="H2310" i="12908"/>
  <c r="AE2310" i="13034" s="1"/>
  <c r="Z2310" i="13034"/>
  <c r="H2307" i="12908"/>
  <c r="AE2307" i="13034" s="1"/>
  <c r="Z2307" i="13034"/>
  <c r="H2270" i="12908"/>
  <c r="AE2270" i="13034" s="1"/>
  <c r="Z2270" i="13034"/>
  <c r="C2285" i="12908"/>
  <c r="Z2285" i="13034" s="1"/>
  <c r="Z2493" i="13034"/>
  <c r="C2283" i="12908"/>
  <c r="Z2283" i="13034" s="1"/>
  <c r="Z2387" i="13034"/>
  <c r="C2260" i="12908"/>
  <c r="Z2260" i="13034" s="1"/>
  <c r="Z2364" i="13034"/>
  <c r="H1625" i="12908"/>
  <c r="AE1625" i="13034" s="1"/>
  <c r="Z1625" i="13034"/>
  <c r="H2275" i="12908"/>
  <c r="AE2275" i="13034" s="1"/>
  <c r="Z2275" i="13034"/>
  <c r="H2315" i="12908"/>
  <c r="AE2315" i="13034" s="1"/>
  <c r="Z2315" i="13034"/>
  <c r="H2288" i="12908"/>
  <c r="AE2288" i="13034" s="1"/>
  <c r="Z2288" i="13034"/>
  <c r="H2292" i="12908"/>
  <c r="AE2292" i="13034" s="1"/>
  <c r="Z2292" i="13034"/>
  <c r="K2617" i="12908"/>
  <c r="AH2617" i="13034" s="1"/>
  <c r="AA2617" i="13034"/>
  <c r="H2267" i="12908"/>
  <c r="AE2267" i="13034" s="1"/>
  <c r="Z2267" i="13034"/>
  <c r="H2272" i="12908"/>
  <c r="AE2272" i="13034" s="1"/>
  <c r="Z2272" i="13034"/>
  <c r="C2320" i="12908"/>
  <c r="Z2320" i="13034" s="1"/>
  <c r="Z2424" i="13034"/>
  <c r="C2257" i="12908"/>
  <c r="Z2257" i="13034" s="1"/>
  <c r="Z2361" i="13034"/>
  <c r="C2261" i="12908"/>
  <c r="Z2261" i="13034" s="1"/>
  <c r="Z2365" i="13034"/>
  <c r="H2083" i="12908"/>
  <c r="AE2083" i="13034" s="1"/>
  <c r="H2082" i="12908"/>
  <c r="AE2082" i="13034" s="1"/>
  <c r="C2409" i="12908"/>
  <c r="C2319" i="12908"/>
  <c r="Z2319" i="13034" s="1"/>
  <c r="C2280" i="12908"/>
  <c r="Z2280" i="13034" s="1"/>
  <c r="C2317" i="12908"/>
  <c r="Z2317" i="13034" s="1"/>
  <c r="C2318" i="12908"/>
  <c r="Z2318" i="13034" s="1"/>
  <c r="C2316" i="12908"/>
  <c r="Z2316" i="13034" s="1"/>
  <c r="C2304" i="12908"/>
  <c r="Z2304" i="13034" s="1"/>
  <c r="C2425" i="12908"/>
  <c r="Z2425" i="13034" s="1"/>
  <c r="C2279" i="12908"/>
  <c r="Z2279" i="13034" s="1"/>
  <c r="C2282" i="12908"/>
  <c r="Z2282" i="13034" s="1"/>
  <c r="C2302" i="12908"/>
  <c r="Z2302" i="13034" s="1"/>
  <c r="C2529" i="12908"/>
  <c r="Z2529" i="13034" s="1"/>
  <c r="H2535" i="12908"/>
  <c r="AE2535" i="13034" s="1"/>
  <c r="H2431" i="12908"/>
  <c r="AE2431" i="13034" s="1"/>
  <c r="F196" i="12711"/>
  <c r="G23" i="12910"/>
  <c r="R99" i="12905"/>
  <c r="G15" i="12721"/>
  <c r="Y10" i="12761"/>
  <c r="H2254" i="12908"/>
  <c r="I2097" i="12908"/>
  <c r="AF2097" i="13034" s="1"/>
  <c r="I2118" i="12908"/>
  <c r="AF2118" i="13034" s="1"/>
  <c r="I1092" i="12908"/>
  <c r="AF1092" i="13034" s="1"/>
  <c r="I1094" i="12908"/>
  <c r="AF1094" i="13034" s="1"/>
  <c r="I2357" i="12908"/>
  <c r="AF2357" i="13034" s="1"/>
  <c r="I2096" i="12908"/>
  <c r="AF2096" i="13034" s="1"/>
  <c r="I2119" i="12908"/>
  <c r="AF2119" i="13034" s="1"/>
  <c r="I1093" i="12908"/>
  <c r="AF1093" i="13034" s="1"/>
  <c r="I2152" i="12908"/>
  <c r="AF2152" i="13034" s="1"/>
  <c r="H2416" i="12908"/>
  <c r="AE2416" i="13034" s="1"/>
  <c r="H2309" i="12908"/>
  <c r="AE2309" i="13034" s="1"/>
  <c r="D2253" i="12908"/>
  <c r="AA2253" i="13034" s="1"/>
  <c r="D2379" i="12908"/>
  <c r="AA2379" i="13034" s="1"/>
  <c r="I2141" i="12908"/>
  <c r="AF2141" i="13034" s="1"/>
  <c r="I2614" i="12908"/>
  <c r="AF2614" i="13034" s="1"/>
  <c r="H2327" i="12908"/>
  <c r="AE2327" i="13034" s="1"/>
  <c r="I2620" i="12908"/>
  <c r="AF2620" i="13034" s="1"/>
  <c r="I2140" i="12908"/>
  <c r="AF2140" i="13034" s="1"/>
  <c r="I2619" i="12908"/>
  <c r="AF2619" i="13034" s="1"/>
  <c r="H2156" i="12908"/>
  <c r="I2617" i="12908"/>
  <c r="AF2617" i="13034" s="1"/>
  <c r="I2153" i="12908"/>
  <c r="AF2153" i="13034" s="1"/>
  <c r="I2618" i="12908"/>
  <c r="AF2618" i="13034" s="1"/>
  <c r="I2616" i="12908"/>
  <c r="AF2616" i="13034" s="1"/>
  <c r="I2615" i="12908"/>
  <c r="AF2615" i="13034" s="1"/>
  <c r="I2154" i="12908"/>
  <c r="AF2154" i="13034" s="1"/>
  <c r="D2075" i="12908"/>
  <c r="AA2075" i="13034" s="1"/>
  <c r="D2074" i="12908"/>
  <c r="AA2074" i="13034" s="1"/>
  <c r="D1091" i="12908"/>
  <c r="AA1091" i="13034" s="1"/>
  <c r="H1624" i="12908"/>
  <c r="AE1624" i="13034" s="1"/>
  <c r="D1624" i="12908"/>
  <c r="AA1624" i="13034" s="1"/>
  <c r="H1447" i="12908"/>
  <c r="AE1447" i="13034" s="1"/>
  <c r="D2151" i="12908"/>
  <c r="AA2151" i="13034" s="1"/>
  <c r="H1633" i="12908"/>
  <c r="AE1633" i="13034" s="1"/>
  <c r="D1633" i="12908"/>
  <c r="AA1633" i="13034" s="1"/>
  <c r="H1449" i="12908"/>
  <c r="AE1449" i="13034" s="1"/>
  <c r="H757" i="12908"/>
  <c r="AE757" i="13034" s="1"/>
  <c r="P14" i="12761"/>
  <c r="E27" i="12711"/>
  <c r="E197" i="12711" s="1"/>
  <c r="H1440" i="12908"/>
  <c r="AE1440" i="13034" s="1"/>
  <c r="E55" i="12711"/>
  <c r="E183" i="12711" s="1"/>
  <c r="Q22" i="12780"/>
  <c r="Q24" i="12780"/>
  <c r="J336" i="12924"/>
  <c r="G50" i="12910"/>
  <c r="G74" i="12910"/>
  <c r="C1135" i="12908"/>
  <c r="Z1135" i="13034" s="1"/>
  <c r="C1019" i="12908"/>
  <c r="Z1019" i="13034" s="1"/>
  <c r="C1138" i="12908"/>
  <c r="Z1138" i="13034" s="1"/>
  <c r="C1131" i="12908"/>
  <c r="Z1131" i="13034" s="1"/>
  <c r="C1110" i="12908"/>
  <c r="C1020" i="12908"/>
  <c r="Z1020" i="13034" s="1"/>
  <c r="C1132" i="12908"/>
  <c r="Z1132" i="13034" s="1"/>
  <c r="C1111" i="12908"/>
  <c r="Z1111" i="13034" s="1"/>
  <c r="C1137" i="12908"/>
  <c r="Z1137" i="13034" s="1"/>
  <c r="C1134" i="12908"/>
  <c r="Z1134" i="13034" s="1"/>
  <c r="C1109" i="12908"/>
  <c r="Z1109" i="13034" s="1"/>
  <c r="C1017" i="12908"/>
  <c r="Z1017" i="13034" s="1"/>
  <c r="H1623" i="12908"/>
  <c r="AE1623" i="13034" s="1"/>
  <c r="C1136" i="12908"/>
  <c r="Z1136" i="13034" s="1"/>
  <c r="C1133" i="12908"/>
  <c r="Z1133" i="13034" s="1"/>
  <c r="C1112" i="12908"/>
  <c r="Z1112" i="13034" s="1"/>
  <c r="C1018" i="12908"/>
  <c r="Z1018" i="13034" s="1"/>
  <c r="H2073" i="12908"/>
  <c r="AE2073" i="13034" s="1"/>
  <c r="I120" i="12711"/>
  <c r="F119" i="12711"/>
  <c r="F187" i="12711" s="1"/>
  <c r="G84" i="12910"/>
  <c r="J354" i="12924"/>
  <c r="G27" i="12910"/>
  <c r="G43" i="12910"/>
  <c r="H1091" i="12908"/>
  <c r="AE1091" i="13034" s="1"/>
  <c r="E50" i="12711" l="1"/>
  <c r="E178" i="12711" s="1"/>
  <c r="Z1110" i="13034"/>
  <c r="C2305" i="12908"/>
  <c r="Z2305" i="13034" s="1"/>
  <c r="Z2409" i="13034"/>
  <c r="K97" i="12709"/>
  <c r="AE2156" i="13034"/>
  <c r="H2296" i="12908"/>
  <c r="AE2296" i="13034" s="1"/>
  <c r="AE2254" i="13034"/>
  <c r="C1068" i="12908"/>
  <c r="Z1068" i="13034" s="1"/>
  <c r="I2621" i="12908"/>
  <c r="G63" i="12711"/>
  <c r="G198" i="12711" s="1"/>
  <c r="U1633" i="12908"/>
  <c r="AR1633" i="13034" s="1"/>
  <c r="W1633" i="12908"/>
  <c r="W1624" i="12908"/>
  <c r="U1624" i="12908"/>
  <c r="AR1624" i="13034" s="1"/>
  <c r="C2321" i="12908"/>
  <c r="Z2321" i="13034" s="1"/>
  <c r="D1136" i="12908"/>
  <c r="AA1136" i="13034" s="1"/>
  <c r="C1065" i="12908"/>
  <c r="Z1065" i="13034" s="1"/>
  <c r="I2075" i="12908"/>
  <c r="AF2075" i="13034" s="1"/>
  <c r="I2253" i="12908"/>
  <c r="AF2253" i="13034" s="1"/>
  <c r="I2379" i="12908"/>
  <c r="AF2379" i="13034" s="1"/>
  <c r="H1096" i="12908"/>
  <c r="AE1096" i="13034" s="1"/>
  <c r="H2312" i="12908"/>
  <c r="D2275" i="12908"/>
  <c r="I1091" i="12908"/>
  <c r="AF1091" i="13034" s="1"/>
  <c r="I1633" i="12908"/>
  <c r="AF1633" i="13034" s="1"/>
  <c r="I1624" i="12908"/>
  <c r="AF1624" i="13034" s="1"/>
  <c r="I2151" i="12908"/>
  <c r="AF2151" i="13034" s="1"/>
  <c r="I2074" i="12908"/>
  <c r="AF2074" i="13034" s="1"/>
  <c r="C1067" i="12908"/>
  <c r="Z1067" i="13034" s="1"/>
  <c r="C1066" i="12908"/>
  <c r="Z1066" i="13034" s="1"/>
  <c r="D1138" i="12908"/>
  <c r="AA1138" i="13034" s="1"/>
  <c r="D1137" i="12908"/>
  <c r="AA1137" i="13034" s="1"/>
  <c r="H1134" i="12908"/>
  <c r="AE1134" i="13034" s="1"/>
  <c r="H1136" i="12908"/>
  <c r="AE1136" i="13034" s="1"/>
  <c r="H1135" i="12908"/>
  <c r="AE1135" i="13034" s="1"/>
  <c r="F49" i="12711"/>
  <c r="H1132" i="12908"/>
  <c r="AE1132" i="13034" s="1"/>
  <c r="H1112" i="12908"/>
  <c r="AE1112" i="13034" s="1"/>
  <c r="H1138" i="12908"/>
  <c r="AE1138" i="13034" s="1"/>
  <c r="H1133" i="12908"/>
  <c r="AE1133" i="13034" s="1"/>
  <c r="H1137" i="12908"/>
  <c r="AE1137" i="13034" s="1"/>
  <c r="H1109" i="12908"/>
  <c r="AE1109" i="13034" s="1"/>
  <c r="H1110" i="12908"/>
  <c r="AE1110" i="13034" s="1"/>
  <c r="H1111" i="12908"/>
  <c r="AE1111" i="13034" s="1"/>
  <c r="F87" i="12711"/>
  <c r="H1131" i="12908"/>
  <c r="AE1131" i="13034" s="1"/>
  <c r="G47" i="13016" l="1"/>
  <c r="AA2275" i="13034"/>
  <c r="H2329" i="12908"/>
  <c r="AE2329" i="13034" s="1"/>
  <c r="AE2312" i="13034"/>
  <c r="AT1624" i="13034"/>
  <c r="AI1624" i="13015"/>
  <c r="I2623" i="12908"/>
  <c r="AF2621" i="13034"/>
  <c r="AT1633" i="13034"/>
  <c r="AI1633" i="13015"/>
  <c r="G47" i="12989"/>
  <c r="G47" i="13005"/>
  <c r="I52" i="12910"/>
  <c r="I1136" i="12908"/>
  <c r="AF1136" i="13034" s="1"/>
  <c r="G38" i="12910"/>
  <c r="F177" i="12711"/>
  <c r="Q76" i="12910"/>
  <c r="N99" i="12709"/>
  <c r="I1096" i="12908"/>
  <c r="AF1096" i="13034" s="1"/>
  <c r="I2275" i="12908"/>
  <c r="AF2275" i="13034" s="1"/>
  <c r="I1138" i="12908"/>
  <c r="AF1138" i="13034" s="1"/>
  <c r="H1140" i="12908"/>
  <c r="I1137" i="12908"/>
  <c r="AF1137" i="13034" s="1"/>
  <c r="D1135" i="12908"/>
  <c r="AA1135" i="13034" s="1"/>
  <c r="H1066" i="12908"/>
  <c r="AE1066" i="13034" s="1"/>
  <c r="H1065" i="12908"/>
  <c r="AE1065" i="13034" s="1"/>
  <c r="H1067" i="12908"/>
  <c r="AE1067" i="13034" s="1"/>
  <c r="H1068" i="12908"/>
  <c r="AE1068" i="13034" s="1"/>
  <c r="R21" i="12709"/>
  <c r="K21" i="12709"/>
  <c r="G64" i="12910"/>
  <c r="C722" i="12908"/>
  <c r="Z722" i="13034" s="1"/>
  <c r="C57" i="12908"/>
  <c r="Z57" i="13034" s="1"/>
  <c r="J4" i="12852"/>
  <c r="J10" i="12924"/>
  <c r="J22" i="12924"/>
  <c r="Q24" i="12756"/>
  <c r="J5" i="12852"/>
  <c r="J7" i="12852"/>
  <c r="M26" i="12756"/>
  <c r="P26" i="12756"/>
  <c r="E4" i="12852"/>
  <c r="E8" i="12852"/>
  <c r="E7" i="12852"/>
  <c r="E5" i="12852"/>
  <c r="J45" i="12852"/>
  <c r="I84" i="12711"/>
  <c r="J11" i="12852"/>
  <c r="J14" i="12852"/>
  <c r="E14" i="12852"/>
  <c r="D38" i="12777"/>
  <c r="E11" i="12852"/>
  <c r="E45" i="12852"/>
  <c r="AF2623" i="13034" l="1"/>
  <c r="K50" i="12989"/>
  <c r="K87" i="12709"/>
  <c r="AE1140" i="13034"/>
  <c r="G32" i="13007"/>
  <c r="G32" i="13017"/>
  <c r="G32" i="13014"/>
  <c r="C58" i="12908"/>
  <c r="Z58" i="13034" s="1"/>
  <c r="N202" i="12709"/>
  <c r="J15" i="12721"/>
  <c r="B22" i="12858"/>
  <c r="T16" i="12924"/>
  <c r="T16" i="12984"/>
  <c r="T12" i="12924"/>
  <c r="T12" i="12984"/>
  <c r="J23" i="12924"/>
  <c r="J31" i="12924" s="1"/>
  <c r="J23" i="12984"/>
  <c r="I1135" i="12908"/>
  <c r="AF1135" i="13034" s="1"/>
  <c r="H722" i="12908"/>
  <c r="AE722" i="13034" s="1"/>
  <c r="C701" i="12908"/>
  <c r="Z701" i="13034" s="1"/>
  <c r="C743" i="12908"/>
  <c r="Z743" i="13034" s="1"/>
  <c r="C744" i="12908"/>
  <c r="Z744" i="13034" s="1"/>
  <c r="C126" i="12908"/>
  <c r="Z126" i="13034" s="1"/>
  <c r="Q25" i="12756"/>
  <c r="F9" i="12852"/>
  <c r="G9" i="12852" s="1"/>
  <c r="C20" i="12908"/>
  <c r="Z20" i="13034" s="1"/>
  <c r="C163" i="12908"/>
  <c r="Z163" i="13034" s="1"/>
  <c r="E14" i="12711"/>
  <c r="E169" i="12711" s="1"/>
  <c r="C909" i="12908"/>
  <c r="Z909" i="13034" s="1"/>
  <c r="I22" i="12711"/>
  <c r="C785" i="12908"/>
  <c r="Z785" i="13034" s="1"/>
  <c r="C822" i="12908"/>
  <c r="Z822" i="13034" s="1"/>
  <c r="C813" i="12908"/>
  <c r="Z813" i="13034" s="1"/>
  <c r="D30" i="12777"/>
  <c r="E23" i="12852"/>
  <c r="C916" i="12908"/>
  <c r="Z916" i="13034" s="1"/>
  <c r="C951" i="12908"/>
  <c r="Z951" i="13034" s="1"/>
  <c r="C784" i="12908"/>
  <c r="Z784" i="13034" s="1"/>
  <c r="C775" i="12908"/>
  <c r="C797" i="12908"/>
  <c r="Z797" i="13034" s="1"/>
  <c r="J8" i="12852"/>
  <c r="C23" i="12908"/>
  <c r="Z23" i="13034" s="1"/>
  <c r="C60" i="12908"/>
  <c r="C723" i="12908"/>
  <c r="C702" i="12908"/>
  <c r="Z702" i="13034" s="1"/>
  <c r="C925" i="12908"/>
  <c r="Z925" i="13034" s="1"/>
  <c r="H825" i="12908"/>
  <c r="AE825" i="13034" s="1"/>
  <c r="C932" i="12908"/>
  <c r="Z932" i="13034" s="1"/>
  <c r="P25" i="12756"/>
  <c r="J62" i="12924"/>
  <c r="D26" i="12777"/>
  <c r="D39" i="12777" s="1"/>
  <c r="H918" i="12908"/>
  <c r="AE918" i="13034" s="1"/>
  <c r="C915" i="12908"/>
  <c r="Z915" i="13034" s="1"/>
  <c r="C907" i="12908"/>
  <c r="Z907" i="13034" s="1"/>
  <c r="C950" i="12908"/>
  <c r="Z950" i="13034" s="1"/>
  <c r="C927" i="12908"/>
  <c r="Z927" i="13034" s="1"/>
  <c r="C783" i="12908"/>
  <c r="Z783" i="13034" s="1"/>
  <c r="C816" i="12908"/>
  <c r="Z816" i="13034" s="1"/>
  <c r="C804" i="12908"/>
  <c r="Z804" i="13034" s="1"/>
  <c r="J23" i="12852"/>
  <c r="Q27" i="12756"/>
  <c r="J34" i="12924"/>
  <c r="J38" i="12924"/>
  <c r="J30" i="12924"/>
  <c r="J26" i="12924"/>
  <c r="J42" i="12924"/>
  <c r="J48" i="12924"/>
  <c r="J45" i="12924"/>
  <c r="J19" i="12924"/>
  <c r="J16" i="12924"/>
  <c r="J13" i="12924"/>
  <c r="C34" i="12908"/>
  <c r="Z34" i="13034" s="1"/>
  <c r="C724" i="12908"/>
  <c r="Z724" i="13034" s="1"/>
  <c r="C745" i="12908"/>
  <c r="Z745" i="13034" s="1"/>
  <c r="C703" i="12908"/>
  <c r="Z703" i="13034" s="1"/>
  <c r="C933" i="12908"/>
  <c r="Z933" i="13034" s="1"/>
  <c r="C802" i="12908"/>
  <c r="Z802" i="13034" s="1"/>
  <c r="C821" i="12908"/>
  <c r="Z821" i="13034" s="1"/>
  <c r="J39" i="12924"/>
  <c r="J27" i="12924"/>
  <c r="C914" i="12908"/>
  <c r="C945" i="12908"/>
  <c r="Z945" i="13034" s="1"/>
  <c r="C934" i="12908"/>
  <c r="Z934" i="13034" s="1"/>
  <c r="C778" i="12908"/>
  <c r="Z778" i="13034" s="1"/>
  <c r="C823" i="12908"/>
  <c r="Z823" i="13034" s="1"/>
  <c r="C803" i="12908"/>
  <c r="Z803" i="13034" s="1"/>
  <c r="C794" i="12908"/>
  <c r="Z794" i="13034" s="1"/>
  <c r="P27" i="12756"/>
  <c r="M27" i="12756"/>
  <c r="Q26" i="12756"/>
  <c r="C35" i="12908"/>
  <c r="Z35" i="13034" s="1"/>
  <c r="C123" i="12908"/>
  <c r="Z123" i="13034" s="1"/>
  <c r="C160" i="12908"/>
  <c r="Z160" i="13034" s="1"/>
  <c r="C717" i="12908"/>
  <c r="Z717" i="13034" s="1"/>
  <c r="C738" i="12908"/>
  <c r="Z738" i="13034" s="1"/>
  <c r="C696" i="12908"/>
  <c r="Z696" i="13034" s="1"/>
  <c r="H166" i="12908"/>
  <c r="AE166" i="13034" s="1"/>
  <c r="C594" i="12908" l="1"/>
  <c r="Z594" i="13034" s="1"/>
  <c r="Z914" i="13034"/>
  <c r="C320" i="12908"/>
  <c r="Z320" i="13034" s="1"/>
  <c r="Z723" i="13034"/>
  <c r="C61" i="12908"/>
  <c r="Z61" i="13034" s="1"/>
  <c r="Z60" i="13034"/>
  <c r="D777" i="12908"/>
  <c r="AA777" i="13034" s="1"/>
  <c r="Z775" i="13034"/>
  <c r="W777" i="12908"/>
  <c r="U777" i="12908"/>
  <c r="AR777" i="13034" s="1"/>
  <c r="C660" i="12908"/>
  <c r="D926" i="12908"/>
  <c r="AA926" i="13034" s="1"/>
  <c r="D620" i="12908"/>
  <c r="AA620" i="13034" s="1"/>
  <c r="C595" i="12908"/>
  <c r="Z595" i="13034" s="1"/>
  <c r="H594" i="12908"/>
  <c r="AE594" i="13034" s="1"/>
  <c r="C627" i="12908"/>
  <c r="Z627" i="13034" s="1"/>
  <c r="C426" i="12908"/>
  <c r="C321" i="12908"/>
  <c r="Z321" i="13034" s="1"/>
  <c r="H320" i="12908"/>
  <c r="AE320" i="13034" s="1"/>
  <c r="D815" i="12908"/>
  <c r="AA815" i="13034" s="1"/>
  <c r="D486" i="12908"/>
  <c r="AA486" i="13034" s="1"/>
  <c r="C284" i="12908"/>
  <c r="Z284" i="13034" s="1"/>
  <c r="D796" i="12908"/>
  <c r="AA796" i="13034" s="1"/>
  <c r="D452" i="12908"/>
  <c r="AA452" i="13034" s="1"/>
  <c r="I777" i="12908"/>
  <c r="AF777" i="13034" s="1"/>
  <c r="C164" i="12908"/>
  <c r="Z164" i="13034" s="1"/>
  <c r="C127" i="12908"/>
  <c r="Z127" i="13034" s="1"/>
  <c r="C24" i="12908"/>
  <c r="Z24" i="13034" s="1"/>
  <c r="C21" i="12908"/>
  <c r="Z21" i="13034" s="1"/>
  <c r="C161" i="12908"/>
  <c r="Z161" i="13034" s="1"/>
  <c r="J18" i="12721"/>
  <c r="C124" i="12908"/>
  <c r="Z124" i="13034" s="1"/>
  <c r="D22" i="12858"/>
  <c r="J35" i="12924"/>
  <c r="T13" i="12924"/>
  <c r="T13" i="12984"/>
  <c r="J58" i="12924"/>
  <c r="J58" i="12984"/>
  <c r="M34" i="12984"/>
  <c r="M22" i="12984"/>
  <c r="M38" i="12984"/>
  <c r="M30" i="12984"/>
  <c r="M26" i="12984"/>
  <c r="J59" i="12924"/>
  <c r="J59" i="12984"/>
  <c r="J39" i="12984"/>
  <c r="C39" i="12984" s="1"/>
  <c r="J31" i="12984"/>
  <c r="C31" i="12984" s="1"/>
  <c r="C23" i="12984"/>
  <c r="J27" i="12984"/>
  <c r="C27" i="12984" s="1"/>
  <c r="J35" i="12984"/>
  <c r="C35" i="12984" s="1"/>
  <c r="M19" i="12984"/>
  <c r="M13" i="12984"/>
  <c r="M10" i="12984"/>
  <c r="M16" i="12984"/>
  <c r="M48" i="12984"/>
  <c r="M45" i="12984"/>
  <c r="M42" i="12984"/>
  <c r="I1140" i="12908"/>
  <c r="AF1140" i="13034" s="1"/>
  <c r="C759" i="12908"/>
  <c r="Z759" i="13034" s="1"/>
  <c r="C675" i="12908"/>
  <c r="Z675" i="13034" s="1"/>
  <c r="C680" i="12908"/>
  <c r="Z680" i="13034" s="1"/>
  <c r="C891" i="12908"/>
  <c r="Z891" i="13034" s="1"/>
  <c r="C756" i="12908"/>
  <c r="Z756" i="13034" s="1"/>
  <c r="C766" i="12908"/>
  <c r="Z766" i="13034" s="1"/>
  <c r="C896" i="12908"/>
  <c r="Z896" i="13034" s="1"/>
  <c r="C682" i="12908"/>
  <c r="Z682" i="13034" s="1"/>
  <c r="C764" i="12908"/>
  <c r="Z764" i="13034" s="1"/>
  <c r="C897" i="12908"/>
  <c r="Z897" i="13034" s="1"/>
  <c r="C681" i="12908"/>
  <c r="Z681" i="13034" s="1"/>
  <c r="C765" i="12908"/>
  <c r="Z765" i="13034" s="1"/>
  <c r="D776" i="12908"/>
  <c r="AA776" i="13034" s="1"/>
  <c r="D814" i="12908"/>
  <c r="AA814" i="13034" s="1"/>
  <c r="D908" i="12908"/>
  <c r="AA908" i="13034" s="1"/>
  <c r="D795" i="12908"/>
  <c r="AA795" i="13034" s="1"/>
  <c r="H816" i="12908"/>
  <c r="AE816" i="13034" s="1"/>
  <c r="H785" i="12908"/>
  <c r="AE785" i="13034" s="1"/>
  <c r="H701" i="12908"/>
  <c r="AE701" i="13034" s="1"/>
  <c r="H823" i="12908"/>
  <c r="AE823" i="13034" s="1"/>
  <c r="H914" i="12908"/>
  <c r="AE914" i="13034" s="1"/>
  <c r="H783" i="12908"/>
  <c r="AE783" i="13034" s="1"/>
  <c r="H915" i="12908"/>
  <c r="AE915" i="13034" s="1"/>
  <c r="H702" i="12908"/>
  <c r="AE702" i="13034" s="1"/>
  <c r="H784" i="12908"/>
  <c r="AE784" i="13034" s="1"/>
  <c r="H696" i="12908"/>
  <c r="AE696" i="13034" s="1"/>
  <c r="H778" i="12908"/>
  <c r="AE778" i="13034" s="1"/>
  <c r="H821" i="12908"/>
  <c r="AE821" i="13034" s="1"/>
  <c r="H723" i="12908"/>
  <c r="AE723" i="13034" s="1"/>
  <c r="H951" i="12908"/>
  <c r="AE951" i="13034" s="1"/>
  <c r="H909" i="12908"/>
  <c r="AE909" i="13034" s="1"/>
  <c r="H744" i="12908"/>
  <c r="AE744" i="13034" s="1"/>
  <c r="H717" i="12908"/>
  <c r="AE717" i="13034" s="1"/>
  <c r="H945" i="12908"/>
  <c r="AE945" i="13034" s="1"/>
  <c r="H738" i="12908"/>
  <c r="AE738" i="13034" s="1"/>
  <c r="H950" i="12908"/>
  <c r="AE950" i="13034" s="1"/>
  <c r="E47" i="12711"/>
  <c r="E175" i="12711" s="1"/>
  <c r="H916" i="12908"/>
  <c r="AE916" i="13034" s="1"/>
  <c r="H822" i="12908"/>
  <c r="AE822" i="13034" s="1"/>
  <c r="H743" i="12908"/>
  <c r="AE743" i="13034" s="1"/>
  <c r="H174" i="12908"/>
  <c r="AE174" i="13034" s="1"/>
  <c r="H175" i="12908"/>
  <c r="AE175" i="13034" s="1"/>
  <c r="H137" i="12908"/>
  <c r="AE137" i="13034" s="1"/>
  <c r="H138" i="12908"/>
  <c r="AE138" i="13034" s="1"/>
  <c r="H35" i="12908"/>
  <c r="AE35" i="13034" s="1"/>
  <c r="H34" i="12908"/>
  <c r="AE34" i="13034" s="1"/>
  <c r="J303" i="12924"/>
  <c r="E17" i="12711"/>
  <c r="E172" i="12711" s="1"/>
  <c r="D40" i="12777"/>
  <c r="Q29" i="12756"/>
  <c r="H775" i="12908"/>
  <c r="AE775" i="13034" s="1"/>
  <c r="F19" i="12711"/>
  <c r="F46" i="12711"/>
  <c r="H794" i="12908"/>
  <c r="AE794" i="13034" s="1"/>
  <c r="H802" i="12908"/>
  <c r="AE802" i="13034" s="1"/>
  <c r="H804" i="12908"/>
  <c r="AE804" i="13034" s="1"/>
  <c r="H927" i="12908"/>
  <c r="AE927" i="13034" s="1"/>
  <c r="F22" i="12711"/>
  <c r="H907" i="12908"/>
  <c r="AE907" i="13034" s="1"/>
  <c r="H932" i="12908"/>
  <c r="AE932" i="13034" s="1"/>
  <c r="H797" i="12908"/>
  <c r="AE797" i="13034" s="1"/>
  <c r="F84" i="12711"/>
  <c r="H813" i="12908"/>
  <c r="AE813" i="13034" s="1"/>
  <c r="H803" i="12908"/>
  <c r="AE803" i="13034" s="1"/>
  <c r="H917" i="12908"/>
  <c r="AE917" i="13034" s="1"/>
  <c r="H933" i="12908"/>
  <c r="AE933" i="13034" s="1"/>
  <c r="P29" i="12756"/>
  <c r="H824" i="12908"/>
  <c r="AE824" i="13034" s="1"/>
  <c r="H163" i="12908"/>
  <c r="AE163" i="13034" s="1"/>
  <c r="H160" i="12908"/>
  <c r="AE160" i="13034" s="1"/>
  <c r="H155" i="12908"/>
  <c r="AE155" i="13034" s="1"/>
  <c r="H660" i="12908" l="1"/>
  <c r="AE660" i="13034" s="1"/>
  <c r="Z660" i="13034"/>
  <c r="C392" i="12908"/>
  <c r="Z426" i="13034"/>
  <c r="AT777" i="13034"/>
  <c r="AI777" i="13015"/>
  <c r="I815" i="12908"/>
  <c r="AF815" i="13034" s="1"/>
  <c r="U815" i="12908"/>
  <c r="AR815" i="13034" s="1"/>
  <c r="W815" i="12908"/>
  <c r="I926" i="12908"/>
  <c r="AF926" i="13034" s="1"/>
  <c r="U926" i="12908"/>
  <c r="AR926" i="13034" s="1"/>
  <c r="W926" i="12908"/>
  <c r="U795" i="12908"/>
  <c r="AR795" i="13034" s="1"/>
  <c r="W795" i="12908"/>
  <c r="W814" i="12908"/>
  <c r="U814" i="12908"/>
  <c r="AR814" i="13034" s="1"/>
  <c r="W452" i="12908"/>
  <c r="U452" i="12908"/>
  <c r="AR452" i="13034" s="1"/>
  <c r="U776" i="12908"/>
  <c r="AR776" i="13034" s="1"/>
  <c r="W776" i="12908"/>
  <c r="I796" i="12908"/>
  <c r="AF796" i="13034" s="1"/>
  <c r="U796" i="12908"/>
  <c r="AR796" i="13034" s="1"/>
  <c r="W796" i="12908"/>
  <c r="W908" i="12908"/>
  <c r="U908" i="12908"/>
  <c r="AR908" i="13034" s="1"/>
  <c r="W486" i="12908"/>
  <c r="U486" i="12908"/>
  <c r="AR486" i="13034" s="1"/>
  <c r="U620" i="12908"/>
  <c r="AR620" i="13034" s="1"/>
  <c r="W620" i="12908"/>
  <c r="C661" i="12908"/>
  <c r="H426" i="12908"/>
  <c r="AE426" i="13034" s="1"/>
  <c r="H595" i="12908"/>
  <c r="C427" i="12908"/>
  <c r="C628" i="12908"/>
  <c r="Z628" i="13034" s="1"/>
  <c r="H627" i="12908"/>
  <c r="AE627" i="13034" s="1"/>
  <c r="C561" i="12908"/>
  <c r="D605" i="12908"/>
  <c r="AA605" i="13034" s="1"/>
  <c r="I620" i="12908"/>
  <c r="AF620" i="13034" s="1"/>
  <c r="D758" i="12908"/>
  <c r="AA758" i="13034" s="1"/>
  <c r="D437" i="12908"/>
  <c r="AA437" i="13034" s="1"/>
  <c r="I452" i="12908"/>
  <c r="AF452" i="13034" s="1"/>
  <c r="C248" i="12908"/>
  <c r="C285" i="12908"/>
  <c r="Z285" i="13034" s="1"/>
  <c r="H284" i="12908"/>
  <c r="AE284" i="13034" s="1"/>
  <c r="D471" i="12908"/>
  <c r="AA471" i="13034" s="1"/>
  <c r="I486" i="12908"/>
  <c r="AF486" i="13034" s="1"/>
  <c r="H321" i="12908"/>
  <c r="AE321" i="13034" s="1"/>
  <c r="F174" i="12711"/>
  <c r="M17" i="12984"/>
  <c r="O16" i="12984"/>
  <c r="Q16" i="12984"/>
  <c r="S16" i="12984"/>
  <c r="E35" i="12984"/>
  <c r="G35" i="12984"/>
  <c r="I35" i="12984"/>
  <c r="C36" i="12984"/>
  <c r="E39" i="12984"/>
  <c r="G39" i="12984"/>
  <c r="I39" i="12984"/>
  <c r="C40" i="12984"/>
  <c r="O30" i="12984"/>
  <c r="Q30" i="12984"/>
  <c r="S30" i="12984"/>
  <c r="C76" i="12984"/>
  <c r="C84" i="12984"/>
  <c r="C68" i="12984"/>
  <c r="C80" i="12984"/>
  <c r="C72" i="12984"/>
  <c r="M43" i="12984"/>
  <c r="O42" i="12984"/>
  <c r="Q42" i="12984"/>
  <c r="S42" i="12984"/>
  <c r="C321" i="12984"/>
  <c r="C135" i="12908" s="1"/>
  <c r="Z135" i="13034" s="1"/>
  <c r="O10" i="12984"/>
  <c r="Q10" i="12984"/>
  <c r="M11" i="12984"/>
  <c r="S10" i="12984"/>
  <c r="C304" i="12984"/>
  <c r="E27" i="12984"/>
  <c r="G27" i="12984"/>
  <c r="I27" i="12984"/>
  <c r="C28" i="12984"/>
  <c r="C77" i="12984"/>
  <c r="C81" i="12984"/>
  <c r="C73" i="12984"/>
  <c r="C69" i="12984"/>
  <c r="C85" i="12984"/>
  <c r="O38" i="12984"/>
  <c r="Q38" i="12984"/>
  <c r="S38" i="12984"/>
  <c r="M46" i="12984"/>
  <c r="Q45" i="12984"/>
  <c r="O45" i="12984"/>
  <c r="S45" i="12984"/>
  <c r="M14" i="12984"/>
  <c r="O13" i="12984"/>
  <c r="Q13" i="12984"/>
  <c r="S13" i="12984"/>
  <c r="E23" i="12984"/>
  <c r="G23" i="12984"/>
  <c r="I23" i="12984"/>
  <c r="C24" i="12984"/>
  <c r="O22" i="12984"/>
  <c r="Q22" i="12984"/>
  <c r="S22" i="12984"/>
  <c r="M23" i="12984"/>
  <c r="M39" i="12984"/>
  <c r="M35" i="12984"/>
  <c r="M36" i="12984" s="1"/>
  <c r="M31" i="12984"/>
  <c r="M32" i="12984" s="1"/>
  <c r="M27" i="12984"/>
  <c r="M28" i="12984" s="1"/>
  <c r="M49" i="12984"/>
  <c r="O48" i="12984"/>
  <c r="Q48" i="12984"/>
  <c r="S48" i="12984"/>
  <c r="M20" i="12984"/>
  <c r="O19" i="12984"/>
  <c r="Q19" i="12984"/>
  <c r="S19" i="12984"/>
  <c r="E31" i="12984"/>
  <c r="G31" i="12984"/>
  <c r="I31" i="12984"/>
  <c r="C32" i="12984"/>
  <c r="C318" i="12984"/>
  <c r="O26" i="12984"/>
  <c r="Q26" i="12984"/>
  <c r="S26" i="12984"/>
  <c r="O34" i="12984"/>
  <c r="Q34" i="12984"/>
  <c r="S34" i="12984"/>
  <c r="I795" i="12908"/>
  <c r="AF795" i="13034" s="1"/>
  <c r="I776" i="12908"/>
  <c r="AF776" i="13034" s="1"/>
  <c r="H920" i="12908"/>
  <c r="H827" i="12908"/>
  <c r="I814" i="12908"/>
  <c r="AF814" i="13034" s="1"/>
  <c r="I908" i="12908"/>
  <c r="AF908" i="13034" s="1"/>
  <c r="D757" i="12908"/>
  <c r="AA757" i="13034" s="1"/>
  <c r="H759" i="12908"/>
  <c r="AE759" i="13034" s="1"/>
  <c r="H765" i="12908"/>
  <c r="AE765" i="13034" s="1"/>
  <c r="H896" i="12908"/>
  <c r="AE896" i="13034" s="1"/>
  <c r="H891" i="12908"/>
  <c r="AE891" i="13034" s="1"/>
  <c r="H764" i="12908"/>
  <c r="AE764" i="13034" s="1"/>
  <c r="H897" i="12908"/>
  <c r="AE897" i="13034" s="1"/>
  <c r="H766" i="12908"/>
  <c r="AE766" i="13034" s="1"/>
  <c r="G35" i="12910"/>
  <c r="G61" i="12910"/>
  <c r="G24" i="12910"/>
  <c r="H756" i="12908"/>
  <c r="AE756" i="13034" s="1"/>
  <c r="G21" i="12910"/>
  <c r="H152" i="12908"/>
  <c r="AE152" i="13034" s="1"/>
  <c r="K22" i="12709" l="1"/>
  <c r="AE920" i="13034"/>
  <c r="H561" i="12908"/>
  <c r="AE561" i="13034" s="1"/>
  <c r="Z561" i="13034"/>
  <c r="H600" i="12908"/>
  <c r="AE595" i="13034"/>
  <c r="AT908" i="13034"/>
  <c r="AI908" i="13015"/>
  <c r="AT776" i="13034"/>
  <c r="AI776" i="13015"/>
  <c r="AT926" i="13034"/>
  <c r="AI926" i="13015"/>
  <c r="AT796" i="13034"/>
  <c r="AI796" i="13015"/>
  <c r="AT814" i="13034"/>
  <c r="AI814" i="13015"/>
  <c r="H392" i="12908"/>
  <c r="AE392" i="13034" s="1"/>
  <c r="Z392" i="13034"/>
  <c r="H248" i="12908"/>
  <c r="AE248" i="13034" s="1"/>
  <c r="Z248" i="13034"/>
  <c r="H661" i="12908"/>
  <c r="Z661" i="13034"/>
  <c r="AT486" i="13034"/>
  <c r="AI486" i="13015"/>
  <c r="AT795" i="13034"/>
  <c r="AI795" i="13015"/>
  <c r="K84" i="12709"/>
  <c r="AE827" i="13034"/>
  <c r="H427" i="12908"/>
  <c r="AE427" i="13034" s="1"/>
  <c r="Z427" i="13034"/>
  <c r="AT620" i="13034"/>
  <c r="AI620" i="13015"/>
  <c r="AT452" i="13034"/>
  <c r="AI452" i="13015"/>
  <c r="AT815" i="13034"/>
  <c r="AI815" i="13015"/>
  <c r="U471" i="12908"/>
  <c r="AR471" i="13034" s="1"/>
  <c r="W471" i="12908"/>
  <c r="W605" i="12908"/>
  <c r="U605" i="12908"/>
  <c r="AR605" i="13034" s="1"/>
  <c r="W437" i="12908"/>
  <c r="U437" i="12908"/>
  <c r="AR437" i="13034" s="1"/>
  <c r="W757" i="12908"/>
  <c r="U757" i="12908"/>
  <c r="AR757" i="13034" s="1"/>
  <c r="W758" i="12908"/>
  <c r="U758" i="12908"/>
  <c r="AR758" i="13034" s="1"/>
  <c r="C562" i="12908"/>
  <c r="C393" i="12908"/>
  <c r="H628" i="12908"/>
  <c r="AE628" i="13034" s="1"/>
  <c r="C249" i="12908"/>
  <c r="H285" i="12908"/>
  <c r="AE285" i="13034" s="1"/>
  <c r="I758" i="12908"/>
  <c r="AF758" i="13034" s="1"/>
  <c r="E318" i="12984"/>
  <c r="O35" i="12984"/>
  <c r="Q35" i="12984"/>
  <c r="S35" i="12984"/>
  <c r="C86" i="12984"/>
  <c r="E85" i="12984"/>
  <c r="G85" i="12984"/>
  <c r="I85" i="12984"/>
  <c r="E321" i="12984"/>
  <c r="O36" i="12984"/>
  <c r="Q36" i="12984"/>
  <c r="S36" i="12984"/>
  <c r="E77" i="12984"/>
  <c r="G77" i="12984"/>
  <c r="I77" i="12984"/>
  <c r="I318" i="12984"/>
  <c r="C305" i="12984"/>
  <c r="E28" i="12984"/>
  <c r="G28" i="12984"/>
  <c r="I28" i="12984"/>
  <c r="E68" i="12984"/>
  <c r="C70" i="12984"/>
  <c r="C313" i="12984" s="1"/>
  <c r="C70" i="12908" s="1"/>
  <c r="Z70" i="13034" s="1"/>
  <c r="G68" i="12984"/>
  <c r="I68" i="12984"/>
  <c r="C312" i="12984"/>
  <c r="C69" i="12908" s="1"/>
  <c r="Z69" i="13034" s="1"/>
  <c r="I304" i="12984"/>
  <c r="E32" i="12984"/>
  <c r="G32" i="12984"/>
  <c r="I32" i="12984"/>
  <c r="C319" i="12984"/>
  <c r="C133" i="12908" s="1"/>
  <c r="Z133" i="13034" s="1"/>
  <c r="O27" i="12984"/>
  <c r="Q27" i="12984"/>
  <c r="S27" i="12984"/>
  <c r="O23" i="12984"/>
  <c r="Q23" i="12984"/>
  <c r="S23" i="12984"/>
  <c r="M24" i="12984"/>
  <c r="O43" i="12984"/>
  <c r="Q43" i="12984"/>
  <c r="S43" i="12984"/>
  <c r="E84" i="12984"/>
  <c r="G84" i="12984"/>
  <c r="I84" i="12984"/>
  <c r="O32" i="12984"/>
  <c r="Q32" i="12984"/>
  <c r="S32" i="12984"/>
  <c r="O28" i="12984"/>
  <c r="Q28" i="12984"/>
  <c r="S28" i="12984"/>
  <c r="E24" i="12984"/>
  <c r="G24" i="12984"/>
  <c r="I24" i="12984"/>
  <c r="C82" i="12984"/>
  <c r="E80" i="12984"/>
  <c r="G80" i="12984"/>
  <c r="I80" i="12984"/>
  <c r="E40" i="12984"/>
  <c r="G40" i="12984"/>
  <c r="I40" i="12984"/>
  <c r="E36" i="12984"/>
  <c r="E51" i="12984" s="1"/>
  <c r="G36" i="12984"/>
  <c r="I36" i="12984"/>
  <c r="C132" i="12908"/>
  <c r="Z132" i="13034" s="1"/>
  <c r="O20" i="12984"/>
  <c r="Q20" i="12984"/>
  <c r="S20" i="12984"/>
  <c r="O49" i="12984"/>
  <c r="Q49" i="12984"/>
  <c r="S49" i="12984"/>
  <c r="O39" i="12984"/>
  <c r="Q39" i="12984"/>
  <c r="S39" i="12984"/>
  <c r="E69" i="12984"/>
  <c r="G69" i="12984"/>
  <c r="I69" i="12984"/>
  <c r="M310" i="12984"/>
  <c r="C207" i="12908" s="1"/>
  <c r="Z207" i="13034" s="1"/>
  <c r="M304" i="12984"/>
  <c r="C170" i="12908" s="1"/>
  <c r="Z170" i="13034" s="1"/>
  <c r="G321" i="12984"/>
  <c r="G318" i="12984"/>
  <c r="C74" i="12984"/>
  <c r="C310" i="12984"/>
  <c r="C67" i="12908" s="1"/>
  <c r="Z67" i="13034" s="1"/>
  <c r="E73" i="12984"/>
  <c r="G73" i="12984"/>
  <c r="I73" i="12984"/>
  <c r="I321" i="12984"/>
  <c r="O31" i="12984"/>
  <c r="Q31" i="12984"/>
  <c r="S31" i="12984"/>
  <c r="C307" i="12984"/>
  <c r="C308" i="12984" s="1"/>
  <c r="E304" i="12984"/>
  <c r="O14" i="12984"/>
  <c r="Q14" i="12984"/>
  <c r="S14" i="12984"/>
  <c r="Q46" i="12984"/>
  <c r="O46" i="12984"/>
  <c r="S46" i="12984"/>
  <c r="M40" i="12984"/>
  <c r="C320" i="12984" s="1"/>
  <c r="C134" i="12908" s="1"/>
  <c r="Z134" i="13034" s="1"/>
  <c r="E81" i="12984"/>
  <c r="G81" i="12984"/>
  <c r="I81" i="12984"/>
  <c r="G304" i="12984"/>
  <c r="C322" i="12984"/>
  <c r="C136" i="12908" s="1"/>
  <c r="Z136" i="13034" s="1"/>
  <c r="Q11" i="12984"/>
  <c r="S11" i="12984"/>
  <c r="O11" i="12984"/>
  <c r="C309" i="12984"/>
  <c r="E72" i="12984"/>
  <c r="G72" i="12984"/>
  <c r="I72" i="12984"/>
  <c r="E76" i="12984"/>
  <c r="C78" i="12984"/>
  <c r="G76" i="12984"/>
  <c r="I76" i="12984"/>
  <c r="O17" i="12984"/>
  <c r="Q17" i="12984"/>
  <c r="S17" i="12984"/>
  <c r="I757" i="12908"/>
  <c r="AF757" i="13034" s="1"/>
  <c r="H22" i="12711"/>
  <c r="D22" i="12711"/>
  <c r="D22" i="12709"/>
  <c r="H147" i="12711"/>
  <c r="H142" i="12711"/>
  <c r="D74" i="12852" s="1"/>
  <c r="H141" i="12711"/>
  <c r="D73" i="12852" s="1"/>
  <c r="D142" i="12711"/>
  <c r="D141" i="12711"/>
  <c r="H124" i="12711"/>
  <c r="H119" i="12711"/>
  <c r="H187" i="12711" s="1"/>
  <c r="D119" i="12711"/>
  <c r="D187" i="12711" s="1"/>
  <c r="H106" i="12711"/>
  <c r="H97" i="12711"/>
  <c r="D57" i="12852" s="1"/>
  <c r="F57" i="12852" s="1"/>
  <c r="G57" i="12852" s="1"/>
  <c r="D97" i="12711"/>
  <c r="H94" i="12711"/>
  <c r="D54" i="12852" s="1"/>
  <c r="H93" i="12711"/>
  <c r="D53" i="12852" s="1"/>
  <c r="D94" i="12711"/>
  <c r="D93" i="12711"/>
  <c r="H87" i="12711"/>
  <c r="D47" i="12852" s="1"/>
  <c r="F47" i="12852" s="1"/>
  <c r="G47" i="12852" s="1"/>
  <c r="D87" i="12711"/>
  <c r="H84" i="12711"/>
  <c r="D45" i="12852" s="1"/>
  <c r="F45" i="12852" s="1"/>
  <c r="G45" i="12852" s="1"/>
  <c r="D84" i="12711"/>
  <c r="H71" i="12711"/>
  <c r="H61" i="12711"/>
  <c r="D37" i="12852" s="1"/>
  <c r="F37" i="12852" s="1"/>
  <c r="G37" i="12852" s="1"/>
  <c r="D61" i="12711"/>
  <c r="H59" i="12711"/>
  <c r="H58" i="12711"/>
  <c r="H192" i="12711" s="1"/>
  <c r="D59" i="12711"/>
  <c r="D193" i="12711" s="1"/>
  <c r="D58" i="12711"/>
  <c r="H54" i="12711"/>
  <c r="H182" i="12711" s="1"/>
  <c r="D54" i="12711"/>
  <c r="D182" i="12711" s="1"/>
  <c r="H49" i="12711"/>
  <c r="D49" i="12711"/>
  <c r="H46" i="12711"/>
  <c r="D23" i="12852" s="1"/>
  <c r="F23" i="12852" s="1"/>
  <c r="D46" i="12711"/>
  <c r="H33" i="12711"/>
  <c r="H26" i="12711"/>
  <c r="H196" i="12711" s="1"/>
  <c r="H19" i="12711"/>
  <c r="H16" i="12711"/>
  <c r="H171" i="12711" s="1"/>
  <c r="H15" i="12711"/>
  <c r="H170" i="12711" s="1"/>
  <c r="H13" i="12711"/>
  <c r="H168" i="12711" s="1"/>
  <c r="H12" i="12711"/>
  <c r="H167" i="12711" s="1"/>
  <c r="D26" i="12711"/>
  <c r="D19" i="12711"/>
  <c r="D16" i="12711"/>
  <c r="D171" i="12711" s="1"/>
  <c r="D15" i="12711"/>
  <c r="D170" i="12711" s="1"/>
  <c r="D13" i="12711"/>
  <c r="D168" i="12711" s="1"/>
  <c r="D12" i="12711"/>
  <c r="D167" i="12711" s="1"/>
  <c r="D12" i="12709"/>
  <c r="D147" i="12709"/>
  <c r="D142" i="12709"/>
  <c r="D141" i="12709"/>
  <c r="D124" i="12709"/>
  <c r="D119" i="12709"/>
  <c r="D106" i="12709"/>
  <c r="D97" i="12709"/>
  <c r="D94" i="12709"/>
  <c r="D93" i="12709"/>
  <c r="D87" i="12709"/>
  <c r="D84" i="12709"/>
  <c r="D71" i="12709"/>
  <c r="D61" i="12709"/>
  <c r="D59" i="12709"/>
  <c r="D58" i="12709"/>
  <c r="D54" i="12709"/>
  <c r="D49" i="12709"/>
  <c r="D46" i="12709"/>
  <c r="H393" i="12908" l="1"/>
  <c r="AE393" i="13034" s="1"/>
  <c r="Z393" i="13034"/>
  <c r="H562" i="12908"/>
  <c r="AE562" i="13034" s="1"/>
  <c r="Z562" i="13034"/>
  <c r="AT757" i="13034"/>
  <c r="AI757" i="13015"/>
  <c r="AT605" i="13034"/>
  <c r="AI605" i="13015"/>
  <c r="H249" i="12908"/>
  <c r="AE249" i="13034" s="1"/>
  <c r="Z249" i="13034"/>
  <c r="AT471" i="13034"/>
  <c r="AI471" i="13015"/>
  <c r="AT758" i="13034"/>
  <c r="AI758" i="13015"/>
  <c r="AT437" i="13034"/>
  <c r="AI437" i="13015"/>
  <c r="H666" i="12908"/>
  <c r="AE661" i="13034"/>
  <c r="H602" i="12908"/>
  <c r="AE602" i="13034" s="1"/>
  <c r="AE600" i="13034"/>
  <c r="H193" i="12711"/>
  <c r="H177" i="12711"/>
  <c r="H174" i="12711"/>
  <c r="D178" i="12709"/>
  <c r="I51" i="12984"/>
  <c r="G51" i="12984"/>
  <c r="C30" i="12908"/>
  <c r="Z30" i="13034" s="1"/>
  <c r="C66" i="12908"/>
  <c r="Z66" i="13034" s="1"/>
  <c r="C311" i="12984"/>
  <c r="C68" i="12908" s="1"/>
  <c r="Z68" i="13034" s="1"/>
  <c r="E74" i="12984"/>
  <c r="G74" i="12984"/>
  <c r="I74" i="12984"/>
  <c r="E82" i="12984"/>
  <c r="G82" i="12984"/>
  <c r="I82" i="12984"/>
  <c r="O40" i="12984"/>
  <c r="Q40" i="12984"/>
  <c r="S40" i="12984"/>
  <c r="I310" i="12984"/>
  <c r="E305" i="12984"/>
  <c r="E308" i="12984" s="1"/>
  <c r="I322" i="12984"/>
  <c r="C323" i="12984"/>
  <c r="O24" i="12984"/>
  <c r="Q24" i="12984"/>
  <c r="S24" i="12984"/>
  <c r="S51" i="12984" s="1"/>
  <c r="E309" i="12984"/>
  <c r="M305" i="12984"/>
  <c r="C171" i="12908" s="1"/>
  <c r="Z171" i="13034" s="1"/>
  <c r="M311" i="12984"/>
  <c r="C208" i="12908" s="1"/>
  <c r="Z208" i="13034" s="1"/>
  <c r="E86" i="12984"/>
  <c r="G86" i="12984"/>
  <c r="I86" i="12984"/>
  <c r="E322" i="12984"/>
  <c r="Q310" i="12984"/>
  <c r="Q304" i="12984"/>
  <c r="O310" i="12984"/>
  <c r="O304" i="12984"/>
  <c r="E319" i="12984"/>
  <c r="S304" i="12984"/>
  <c r="S310" i="12984"/>
  <c r="E70" i="12984"/>
  <c r="G70" i="12984"/>
  <c r="I70" i="12984"/>
  <c r="G309" i="12984"/>
  <c r="M313" i="12984"/>
  <c r="M307" i="12984"/>
  <c r="E78" i="12984"/>
  <c r="G78" i="12984"/>
  <c r="I78" i="12984"/>
  <c r="G322" i="12984"/>
  <c r="G310" i="12984"/>
  <c r="E310" i="12984"/>
  <c r="I319" i="12984"/>
  <c r="G319" i="12984"/>
  <c r="G305" i="12984"/>
  <c r="I309" i="12984"/>
  <c r="I305" i="12984"/>
  <c r="D177" i="12711"/>
  <c r="D192" i="12711"/>
  <c r="D183" i="12709"/>
  <c r="C11" i="12908"/>
  <c r="D193" i="12709"/>
  <c r="C48" i="12908"/>
  <c r="Z48" i="13034" s="1"/>
  <c r="D194" i="12709"/>
  <c r="D174" i="12711"/>
  <c r="D196" i="12711"/>
  <c r="G23" i="12852"/>
  <c r="D35" i="12852"/>
  <c r="D188" i="12709"/>
  <c r="D26" i="12852"/>
  <c r="F26" i="12852" s="1"/>
  <c r="G26" i="12852" s="1"/>
  <c r="D34" i="12852"/>
  <c r="D17" i="12852"/>
  <c r="F17" i="12852" s="1"/>
  <c r="G17" i="12852" s="1"/>
  <c r="D65" i="12852"/>
  <c r="F65" i="12852" s="1"/>
  <c r="G65" i="12852" s="1"/>
  <c r="D30" i="12852"/>
  <c r="F30" i="12852" s="1"/>
  <c r="G30" i="12852" s="1"/>
  <c r="D14" i="12852"/>
  <c r="F14" i="12852" s="1"/>
  <c r="G14" i="12852" s="1"/>
  <c r="D11" i="12852"/>
  <c r="F11" i="12852" s="1"/>
  <c r="G11" i="12852" s="1"/>
  <c r="D8" i="12852"/>
  <c r="F8" i="12852" s="1"/>
  <c r="G8" i="12852" s="1"/>
  <c r="D33" i="12709"/>
  <c r="D26" i="12709"/>
  <c r="D19" i="12709"/>
  <c r="D13" i="12709"/>
  <c r="D15" i="12709"/>
  <c r="D16" i="12709"/>
  <c r="D12" i="12908" l="1"/>
  <c r="Z11" i="13034"/>
  <c r="H668" i="12908"/>
  <c r="AE668" i="13034" s="1"/>
  <c r="AE666" i="13034"/>
  <c r="C33" i="12908"/>
  <c r="Z33" i="13034" s="1"/>
  <c r="I320" i="12984"/>
  <c r="I323" i="12984" s="1"/>
  <c r="G311" i="12984"/>
  <c r="G314" i="12984" s="1"/>
  <c r="G317" i="12984" s="1"/>
  <c r="C314" i="12984"/>
  <c r="Q51" i="12984"/>
  <c r="E320" i="12984"/>
  <c r="E323" i="12984" s="1"/>
  <c r="I97" i="12984"/>
  <c r="O51" i="12984"/>
  <c r="E97" i="12984"/>
  <c r="G97" i="12984"/>
  <c r="C317" i="12984"/>
  <c r="Q311" i="12984"/>
  <c r="Q314" i="12984" s="1"/>
  <c r="Q305" i="12984"/>
  <c r="M308" i="12984"/>
  <c r="C173" i="12908"/>
  <c r="Z173" i="13034" s="1"/>
  <c r="S305" i="12984"/>
  <c r="S308" i="12984" s="1"/>
  <c r="S311" i="12984"/>
  <c r="S314" i="12984" s="1"/>
  <c r="M314" i="12984"/>
  <c r="C210" i="12908"/>
  <c r="Z210" i="13034" s="1"/>
  <c r="E311" i="12984"/>
  <c r="E314" i="12984" s="1"/>
  <c r="E317" i="12984" s="1"/>
  <c r="G308" i="12984"/>
  <c r="C31" i="12908"/>
  <c r="Z31" i="13034" s="1"/>
  <c r="G320" i="12984"/>
  <c r="G323" i="12984" s="1"/>
  <c r="I308" i="12984"/>
  <c r="Q308" i="12984"/>
  <c r="O305" i="12984"/>
  <c r="O308" i="12984" s="1"/>
  <c r="O311" i="12984"/>
  <c r="O314" i="12984" s="1"/>
  <c r="I311" i="12984"/>
  <c r="I314" i="12984" s="1"/>
  <c r="I317" i="12984" s="1"/>
  <c r="D48" i="12908"/>
  <c r="D18" i="12908"/>
  <c r="AA18" i="13034" s="1"/>
  <c r="D26" i="12908"/>
  <c r="AA26" i="13034" s="1"/>
  <c r="D19" i="12908"/>
  <c r="AA19" i="13034" s="1"/>
  <c r="D20" i="12908"/>
  <c r="AA20" i="13034" s="1"/>
  <c r="D23" i="12908"/>
  <c r="AA23" i="13034" s="1"/>
  <c r="D172" i="12709"/>
  <c r="D197" i="12709"/>
  <c r="D175" i="12709"/>
  <c r="F27" i="12756"/>
  <c r="C151" i="12908"/>
  <c r="Z151" i="13034" s="1"/>
  <c r="C114" i="12908"/>
  <c r="Z114" i="13034" s="1"/>
  <c r="P119" i="12711"/>
  <c r="P187" i="12711" s="1"/>
  <c r="P97" i="12711"/>
  <c r="P84" i="12711"/>
  <c r="AA48" i="13034" l="1"/>
  <c r="G15" i="13016"/>
  <c r="G15" i="12989"/>
  <c r="D14" i="12908"/>
  <c r="AA12" i="13034"/>
  <c r="G15" i="13005"/>
  <c r="Y18" i="12908"/>
  <c r="AV18" i="13034" s="1"/>
  <c r="Y19" i="12908"/>
  <c r="AV19" i="13034" s="1"/>
  <c r="D92" i="12908"/>
  <c r="AA92" i="13034" s="1"/>
  <c r="D25" i="12908"/>
  <c r="D22" i="12908"/>
  <c r="I12" i="12908"/>
  <c r="AF12" i="13034" s="1"/>
  <c r="I18" i="12908"/>
  <c r="AF18" i="13034" s="1"/>
  <c r="D55" i="12908"/>
  <c r="AA55" i="13034" s="1"/>
  <c r="G13" i="12711"/>
  <c r="G168" i="12711" s="1"/>
  <c r="I23" i="12908"/>
  <c r="AF23" i="13034" s="1"/>
  <c r="I26" i="12908"/>
  <c r="AF26" i="13034" s="1"/>
  <c r="I20" i="12908"/>
  <c r="AF20" i="13034" s="1"/>
  <c r="I19" i="12908"/>
  <c r="AF19" i="13034" s="1"/>
  <c r="D56" i="12908"/>
  <c r="AA56" i="13034" s="1"/>
  <c r="D49" i="12908"/>
  <c r="D158" i="12908"/>
  <c r="AA158" i="13034" s="1"/>
  <c r="D159" i="12908"/>
  <c r="AA159" i="13034" s="1"/>
  <c r="D152" i="12908"/>
  <c r="D166" i="12908"/>
  <c r="AA166" i="13034" s="1"/>
  <c r="D160" i="12908"/>
  <c r="AA160" i="13034" s="1"/>
  <c r="D163" i="12908"/>
  <c r="AA163" i="13034" s="1"/>
  <c r="D60" i="12908"/>
  <c r="AA60" i="13034" s="1"/>
  <c r="D63" i="12908"/>
  <c r="AA63" i="13034" s="1"/>
  <c r="D121" i="12908"/>
  <c r="AA121" i="13034" s="1"/>
  <c r="D129" i="12908"/>
  <c r="AA129" i="13034" s="1"/>
  <c r="D122" i="12908"/>
  <c r="AA122" i="13034" s="1"/>
  <c r="D115" i="12908"/>
  <c r="D126" i="12908"/>
  <c r="AA126" i="13034" s="1"/>
  <c r="D123" i="12908"/>
  <c r="AA123" i="13034" s="1"/>
  <c r="D57" i="12908"/>
  <c r="AA57" i="13034" s="1"/>
  <c r="D85" i="12908"/>
  <c r="D15" i="12908"/>
  <c r="AA15" i="13034" s="1"/>
  <c r="I57" i="12852"/>
  <c r="K57" i="12852" s="1"/>
  <c r="L57" i="12852" s="1"/>
  <c r="I45" i="12852"/>
  <c r="K45" i="12852" s="1"/>
  <c r="L45" i="12852" s="1"/>
  <c r="F16" i="12711"/>
  <c r="F171" i="12711" s="1"/>
  <c r="I65" i="12852"/>
  <c r="K65" i="12852" s="1"/>
  <c r="L65" i="12852" s="1"/>
  <c r="R87" i="12709"/>
  <c r="P87" i="12711"/>
  <c r="P61" i="12711"/>
  <c r="P54" i="12711"/>
  <c r="P182" i="12711" s="1"/>
  <c r="P49" i="12711"/>
  <c r="P46" i="12711"/>
  <c r="P26" i="12711"/>
  <c r="P196" i="12711" s="1"/>
  <c r="D154" i="12908" l="1"/>
  <c r="AA154" i="13034" s="1"/>
  <c r="AA152" i="13034"/>
  <c r="AA14" i="13034"/>
  <c r="Y14" i="12908"/>
  <c r="AV14" i="13034" s="1"/>
  <c r="D13" i="12908"/>
  <c r="D21" i="12908"/>
  <c r="AA21" i="13034" s="1"/>
  <c r="AA22" i="13034"/>
  <c r="G21" i="12989"/>
  <c r="D24" i="12908"/>
  <c r="AA24" i="13034" s="1"/>
  <c r="AA25" i="13034"/>
  <c r="AA85" i="13034"/>
  <c r="G16" i="13016"/>
  <c r="G21" i="13016" s="1"/>
  <c r="G16" i="12989"/>
  <c r="D117" i="12908"/>
  <c r="AA117" i="13034" s="1"/>
  <c r="AA115" i="13034"/>
  <c r="D52" i="12908"/>
  <c r="AA52" i="13034" s="1"/>
  <c r="AA49" i="13034"/>
  <c r="W159" i="12908"/>
  <c r="U159" i="12908"/>
  <c r="AR159" i="13034" s="1"/>
  <c r="S159" i="12908"/>
  <c r="AP159" i="13034" s="1"/>
  <c r="G16" i="13005"/>
  <c r="G21" i="13005" s="1"/>
  <c r="W158" i="12908"/>
  <c r="S158" i="12908"/>
  <c r="AP158" i="13034" s="1"/>
  <c r="U158" i="12908"/>
  <c r="AR158" i="13034" s="1"/>
  <c r="W122" i="12908"/>
  <c r="S122" i="12908"/>
  <c r="AP122" i="13034" s="1"/>
  <c r="U122" i="12908"/>
  <c r="AR122" i="13034" s="1"/>
  <c r="S55" i="12908"/>
  <c r="AP55" i="13034" s="1"/>
  <c r="W55" i="12908"/>
  <c r="U55" i="12908"/>
  <c r="AR55" i="13034" s="1"/>
  <c r="W121" i="12908"/>
  <c r="U121" i="12908"/>
  <c r="AR121" i="13034" s="1"/>
  <c r="S121" i="12908"/>
  <c r="AP121" i="13034" s="1"/>
  <c r="U117" i="12908"/>
  <c r="AR117" i="13034" s="1"/>
  <c r="W117" i="12908"/>
  <c r="S117" i="12908"/>
  <c r="AP117" i="13034" s="1"/>
  <c r="S154" i="12908"/>
  <c r="AP154" i="13034" s="1"/>
  <c r="W154" i="12908"/>
  <c r="U154" i="12908"/>
  <c r="AR154" i="13034" s="1"/>
  <c r="W56" i="12908"/>
  <c r="S56" i="12908"/>
  <c r="AP56" i="13034" s="1"/>
  <c r="U56" i="12908"/>
  <c r="AR56" i="13034" s="1"/>
  <c r="Y92" i="12908"/>
  <c r="AV92" i="13034" s="1"/>
  <c r="S92" i="12908"/>
  <c r="AP92" i="13034" s="1"/>
  <c r="U92" i="12908"/>
  <c r="AR92" i="13034" s="1"/>
  <c r="W92" i="12908"/>
  <c r="Y121" i="12908"/>
  <c r="AV121" i="13034" s="1"/>
  <c r="Y117" i="12908"/>
  <c r="AV117" i="13034" s="1"/>
  <c r="Y158" i="12908"/>
  <c r="AV158" i="13034" s="1"/>
  <c r="Y55" i="12908"/>
  <c r="AV55" i="13034" s="1"/>
  <c r="Y159" i="12908"/>
  <c r="AV159" i="13034" s="1"/>
  <c r="Y122" i="12908"/>
  <c r="AV122" i="13034" s="1"/>
  <c r="Y154" i="12908"/>
  <c r="AV154" i="13034" s="1"/>
  <c r="Y56" i="12908"/>
  <c r="AV56" i="13034" s="1"/>
  <c r="D153" i="12908"/>
  <c r="AA153" i="13034" s="1"/>
  <c r="D116" i="12908"/>
  <c r="AA116" i="13034" s="1"/>
  <c r="I92" i="12908"/>
  <c r="AF92" i="13034" s="1"/>
  <c r="D17" i="12908"/>
  <c r="AA17" i="13034" s="1"/>
  <c r="D59" i="12908"/>
  <c r="D162" i="12908"/>
  <c r="D54" i="12908"/>
  <c r="AA54" i="13034" s="1"/>
  <c r="D125" i="12908"/>
  <c r="D51" i="12908"/>
  <c r="AA51" i="13034" s="1"/>
  <c r="D165" i="12908"/>
  <c r="P177" i="12711"/>
  <c r="I55" i="12908"/>
  <c r="AF55" i="13034" s="1"/>
  <c r="I152" i="12908"/>
  <c r="AF152" i="13034" s="1"/>
  <c r="I15" i="12910"/>
  <c r="G14" i="12711"/>
  <c r="G169" i="12711" s="1"/>
  <c r="I115" i="12908"/>
  <c r="AF115" i="13034" s="1"/>
  <c r="I163" i="12908"/>
  <c r="AF163" i="13034" s="1"/>
  <c r="I57" i="12908"/>
  <c r="AF57" i="13034" s="1"/>
  <c r="I122" i="12908"/>
  <c r="AF122" i="13034" s="1"/>
  <c r="I160" i="12908"/>
  <c r="AF160" i="13034" s="1"/>
  <c r="I158" i="12908"/>
  <c r="AF158" i="13034" s="1"/>
  <c r="I126" i="12908"/>
  <c r="AF126" i="13034" s="1"/>
  <c r="I121" i="12908"/>
  <c r="AF121" i="13034" s="1"/>
  <c r="I60" i="12908"/>
  <c r="AF60" i="13034" s="1"/>
  <c r="I56" i="12908"/>
  <c r="AF56" i="13034" s="1"/>
  <c r="I159" i="12908"/>
  <c r="AF159" i="13034" s="1"/>
  <c r="I15" i="12908"/>
  <c r="AF15" i="13034" s="1"/>
  <c r="I52" i="12908"/>
  <c r="AF52" i="13034" s="1"/>
  <c r="I123" i="12908"/>
  <c r="AF123" i="13034" s="1"/>
  <c r="I129" i="12908"/>
  <c r="AF129" i="13034" s="1"/>
  <c r="I63" i="12908"/>
  <c r="AF63" i="13034" s="1"/>
  <c r="I166" i="12908"/>
  <c r="AF166" i="13034" s="1"/>
  <c r="I49" i="12908"/>
  <c r="AF49" i="13034" s="1"/>
  <c r="D155" i="12908"/>
  <c r="AA155" i="13034" s="1"/>
  <c r="D86" i="12908"/>
  <c r="AA86" i="13034" s="1"/>
  <c r="D97" i="12908"/>
  <c r="AA97" i="13034" s="1"/>
  <c r="D93" i="12908"/>
  <c r="AA93" i="13034" s="1"/>
  <c r="D94" i="12908"/>
  <c r="AA94" i="13034" s="1"/>
  <c r="D100" i="12908"/>
  <c r="AA100" i="13034" s="1"/>
  <c r="D118" i="12908"/>
  <c r="AA118" i="13034" s="1"/>
  <c r="I23" i="12852"/>
  <c r="K23" i="12852" s="1"/>
  <c r="L23" i="12852" s="1"/>
  <c r="I47" i="12852"/>
  <c r="K47" i="12852" s="1"/>
  <c r="L47" i="12852" s="1"/>
  <c r="I37" i="12852"/>
  <c r="K37" i="12852" s="1"/>
  <c r="G18" i="12910"/>
  <c r="I26" i="12852"/>
  <c r="K26" i="12852" s="1"/>
  <c r="L26" i="12852" s="1"/>
  <c r="I17" i="12852"/>
  <c r="K17" i="12852" s="1"/>
  <c r="E26" i="12709" s="1"/>
  <c r="I30" i="12852"/>
  <c r="K30" i="12852" s="1"/>
  <c r="L30" i="12852" s="1"/>
  <c r="P22" i="12711"/>
  <c r="P19" i="12711"/>
  <c r="P174" i="12711" s="1"/>
  <c r="P16" i="12711"/>
  <c r="P171" i="12711" s="1"/>
  <c r="D58" i="12908" l="1"/>
  <c r="AA58" i="13034" s="1"/>
  <c r="AA59" i="13034"/>
  <c r="AT117" i="13034"/>
  <c r="AI117" i="13015"/>
  <c r="AT121" i="13034"/>
  <c r="AI121" i="13015"/>
  <c r="D124" i="12908"/>
  <c r="AA124" i="13034" s="1"/>
  <c r="AA125" i="13034"/>
  <c r="AT92" i="13034"/>
  <c r="AI92" i="13015"/>
  <c r="AT154" i="13034"/>
  <c r="AI154" i="13015"/>
  <c r="AT158" i="13034"/>
  <c r="AI158" i="13015"/>
  <c r="AT159" i="13034"/>
  <c r="AI159" i="13015"/>
  <c r="AT55" i="13034"/>
  <c r="AI55" i="13015"/>
  <c r="AT122" i="13034"/>
  <c r="AI122" i="13015"/>
  <c r="D164" i="12908"/>
  <c r="AA164" i="13034" s="1"/>
  <c r="AA165" i="13034"/>
  <c r="D161" i="12908"/>
  <c r="AA161" i="13034" s="1"/>
  <c r="AA162" i="13034"/>
  <c r="AT56" i="13034"/>
  <c r="AI56" i="13015"/>
  <c r="Y13" i="12908"/>
  <c r="AV13" i="13034" s="1"/>
  <c r="AA13" i="13034"/>
  <c r="G15" i="13014"/>
  <c r="G17" i="13014" s="1"/>
  <c r="G15" i="13017"/>
  <c r="G17" i="13017" s="1"/>
  <c r="G15" i="13007"/>
  <c r="G17" i="13007" s="1"/>
  <c r="W153" i="12908"/>
  <c r="S153" i="12908"/>
  <c r="AP153" i="13034" s="1"/>
  <c r="U153" i="12908"/>
  <c r="AR153" i="13034" s="1"/>
  <c r="Y93" i="12908"/>
  <c r="AV93" i="13034" s="1"/>
  <c r="W93" i="12908"/>
  <c r="U93" i="12908"/>
  <c r="AR93" i="13034" s="1"/>
  <c r="S93" i="12908"/>
  <c r="AP93" i="13034" s="1"/>
  <c r="U54" i="12908"/>
  <c r="AR54" i="13034" s="1"/>
  <c r="W54" i="12908"/>
  <c r="S54" i="12908"/>
  <c r="AP54" i="13034" s="1"/>
  <c r="W51" i="12908"/>
  <c r="S51" i="12908"/>
  <c r="AP51" i="13034" s="1"/>
  <c r="U51" i="12908"/>
  <c r="AR51" i="13034" s="1"/>
  <c r="S116" i="12908"/>
  <c r="AP116" i="13034" s="1"/>
  <c r="W116" i="12908"/>
  <c r="U116" i="12908"/>
  <c r="AR116" i="13034" s="1"/>
  <c r="Y51" i="12908"/>
  <c r="AV51" i="13034" s="1"/>
  <c r="Y54" i="12908"/>
  <c r="AV54" i="13034" s="1"/>
  <c r="Y153" i="12908"/>
  <c r="AV153" i="13034" s="1"/>
  <c r="Y17" i="12908"/>
  <c r="AV17" i="13034" s="1"/>
  <c r="Y116" i="12908"/>
  <c r="AV116" i="13034" s="1"/>
  <c r="D53" i="12908"/>
  <c r="AA53" i="13034" s="1"/>
  <c r="D50" i="12908"/>
  <c r="AA50" i="13034" s="1"/>
  <c r="D16" i="12908"/>
  <c r="AA16" i="13034" s="1"/>
  <c r="D157" i="12908"/>
  <c r="AA157" i="13034" s="1"/>
  <c r="D120" i="12908"/>
  <c r="AA120" i="13034" s="1"/>
  <c r="D88" i="12908"/>
  <c r="AA88" i="13034" s="1"/>
  <c r="D96" i="12908"/>
  <c r="I16" i="12910"/>
  <c r="I93" i="12908"/>
  <c r="AF93" i="13034" s="1"/>
  <c r="I97" i="12908"/>
  <c r="AF97" i="13034" s="1"/>
  <c r="I155" i="12908"/>
  <c r="AF155" i="13034" s="1"/>
  <c r="I94" i="12908"/>
  <c r="AF94" i="13034" s="1"/>
  <c r="I118" i="12908"/>
  <c r="AF118" i="13034" s="1"/>
  <c r="I100" i="12908"/>
  <c r="AF100" i="13034" s="1"/>
  <c r="I86" i="12908"/>
  <c r="AF86" i="13034" s="1"/>
  <c r="D89" i="12908"/>
  <c r="AA89" i="13034" s="1"/>
  <c r="L37" i="12852"/>
  <c r="E61" i="12709"/>
  <c r="E197" i="12709" s="1"/>
  <c r="L17" i="12852"/>
  <c r="I14" i="12852"/>
  <c r="K14" i="12852" s="1"/>
  <c r="L14" i="12852" s="1"/>
  <c r="I11" i="12852"/>
  <c r="K11" i="12852" s="1"/>
  <c r="L11" i="12852" s="1"/>
  <c r="I8" i="12852"/>
  <c r="K8" i="12852" s="1"/>
  <c r="C171" i="12749"/>
  <c r="C2" i="12749"/>
  <c r="A2" i="12749"/>
  <c r="AT54" i="13034" l="1"/>
  <c r="AI54" i="13015"/>
  <c r="AT93" i="13034"/>
  <c r="AI93" i="13015"/>
  <c r="AT153" i="13034"/>
  <c r="AI153" i="13015"/>
  <c r="D95" i="12908"/>
  <c r="AA95" i="13034" s="1"/>
  <c r="AA96" i="13034"/>
  <c r="AT116" i="13034"/>
  <c r="AI116" i="13015"/>
  <c r="AT51" i="13034"/>
  <c r="AI51" i="13015"/>
  <c r="U120" i="12908"/>
  <c r="AR120" i="13034" s="1"/>
  <c r="W120" i="12908"/>
  <c r="S120" i="12908"/>
  <c r="AP120" i="13034" s="1"/>
  <c r="W53" i="12908"/>
  <c r="U53" i="12908"/>
  <c r="AR53" i="13034" s="1"/>
  <c r="S53" i="12908"/>
  <c r="AP53" i="13034" s="1"/>
  <c r="Y88" i="12908"/>
  <c r="AV88" i="13034" s="1"/>
  <c r="W88" i="12908"/>
  <c r="S88" i="12908"/>
  <c r="AP88" i="13034" s="1"/>
  <c r="U88" i="12908"/>
  <c r="AR88" i="13034" s="1"/>
  <c r="W50" i="12908"/>
  <c r="U50" i="12908"/>
  <c r="AR50" i="13034" s="1"/>
  <c r="S50" i="12908"/>
  <c r="AP50" i="13034" s="1"/>
  <c r="U157" i="12908"/>
  <c r="AR157" i="13034" s="1"/>
  <c r="W157" i="12908"/>
  <c r="S157" i="12908"/>
  <c r="AP157" i="13034" s="1"/>
  <c r="Y157" i="12908"/>
  <c r="AV157" i="13034" s="1"/>
  <c r="Y16" i="12908"/>
  <c r="AV16" i="13034" s="1"/>
  <c r="Y50" i="12908"/>
  <c r="AV50" i="13034" s="1"/>
  <c r="Y120" i="12908"/>
  <c r="AV120" i="13034" s="1"/>
  <c r="Y53" i="12908"/>
  <c r="AV53" i="13034" s="1"/>
  <c r="D119" i="12908"/>
  <c r="AA119" i="13034" s="1"/>
  <c r="D156" i="12908"/>
  <c r="AA156" i="13034" s="1"/>
  <c r="D87" i="12908"/>
  <c r="AA87" i="13034" s="1"/>
  <c r="L8" i="12852"/>
  <c r="E16" i="12709"/>
  <c r="E172" i="12709" s="1"/>
  <c r="I89" i="12908"/>
  <c r="AF89" i="13034" s="1"/>
  <c r="N10" i="12925"/>
  <c r="AT53" i="13034" l="1"/>
  <c r="AI53" i="13015"/>
  <c r="AT157" i="13034"/>
  <c r="AI157" i="13015"/>
  <c r="AT50" i="13034"/>
  <c r="AI50" i="13015"/>
  <c r="AT120" i="13034"/>
  <c r="AI120" i="13015"/>
  <c r="AT88" i="13034"/>
  <c r="AI88" i="13015"/>
  <c r="Y87" i="12908"/>
  <c r="AV87" i="13034" s="1"/>
  <c r="S87" i="12908"/>
  <c r="AP87" i="13034" s="1"/>
  <c r="W87" i="12908"/>
  <c r="U87" i="12908"/>
  <c r="AR87" i="13034" s="1"/>
  <c r="W156" i="12908"/>
  <c r="U156" i="12908"/>
  <c r="AR156" i="13034" s="1"/>
  <c r="S156" i="12908"/>
  <c r="AP156" i="13034" s="1"/>
  <c r="U119" i="12908"/>
  <c r="AR119" i="13034" s="1"/>
  <c r="W119" i="12908"/>
  <c r="S119" i="12908"/>
  <c r="AP119" i="13034" s="1"/>
  <c r="Y119" i="12908"/>
  <c r="AV119" i="13034" s="1"/>
  <c r="Y156" i="12908"/>
  <c r="AV156" i="13034" s="1"/>
  <c r="D18" i="6"/>
  <c r="D17" i="6"/>
  <c r="D16" i="6"/>
  <c r="AT119" i="13034" l="1"/>
  <c r="AI119" i="13015"/>
  <c r="AT156" i="13034"/>
  <c r="AI156" i="13015"/>
  <c r="AT87" i="13034"/>
  <c r="AI87" i="13015"/>
  <c r="AB20" i="12908"/>
  <c r="J73" i="12852"/>
  <c r="J19" i="12852"/>
  <c r="E19" i="12852"/>
  <c r="C1173" i="12908" l="1"/>
  <c r="H1257" i="12908"/>
  <c r="AE1257" i="13034" s="1"/>
  <c r="C1181" i="12908"/>
  <c r="H1265" i="12908"/>
  <c r="AE1265" i="13034" s="1"/>
  <c r="C1195" i="12908"/>
  <c r="H1279" i="12908"/>
  <c r="AE1279" i="13034" s="1"/>
  <c r="C1168" i="12908"/>
  <c r="H1252" i="12908"/>
  <c r="AE1252" i="13034" s="1"/>
  <c r="C1174" i="12908"/>
  <c r="H1258" i="12908"/>
  <c r="AE1258" i="13034" s="1"/>
  <c r="C1187" i="12908"/>
  <c r="H1271" i="12908"/>
  <c r="AE1271" i="13034" s="1"/>
  <c r="C1196" i="12908"/>
  <c r="H1280" i="12908"/>
  <c r="AE1280" i="13034" s="1"/>
  <c r="C1175" i="12908"/>
  <c r="H1259" i="12908"/>
  <c r="AE1259" i="13034" s="1"/>
  <c r="C1179" i="12908"/>
  <c r="H1263" i="12908"/>
  <c r="AE1263" i="13034" s="1"/>
  <c r="C1183" i="12908"/>
  <c r="H1267" i="12908"/>
  <c r="AE1267" i="13034" s="1"/>
  <c r="C1188" i="12908"/>
  <c r="H1272" i="12908"/>
  <c r="AE1272" i="13034" s="1"/>
  <c r="C1193" i="12908"/>
  <c r="H1277" i="12908"/>
  <c r="AE1277" i="13034" s="1"/>
  <c r="C1197" i="12908"/>
  <c r="H1281" i="12908"/>
  <c r="AE1281" i="13034" s="1"/>
  <c r="C1177" i="12908"/>
  <c r="H1261" i="12908"/>
  <c r="AE1261" i="13034" s="1"/>
  <c r="C1186" i="12908"/>
  <c r="H1270" i="12908"/>
  <c r="AE1270" i="13034" s="1"/>
  <c r="C1190" i="12908"/>
  <c r="H1274" i="12908"/>
  <c r="AE1274" i="13034" s="1"/>
  <c r="C1199" i="12908"/>
  <c r="H1283" i="12908"/>
  <c r="AE1283" i="13034" s="1"/>
  <c r="C1178" i="12908"/>
  <c r="H1262" i="12908"/>
  <c r="AE1262" i="13034" s="1"/>
  <c r="C1182" i="12908"/>
  <c r="H1266" i="12908"/>
  <c r="AE1266" i="13034" s="1"/>
  <c r="C1192" i="12908"/>
  <c r="H1276" i="12908"/>
  <c r="AE1276" i="13034" s="1"/>
  <c r="C1170" i="12908"/>
  <c r="H1254" i="12908"/>
  <c r="AE1254" i="13034" s="1"/>
  <c r="C1171" i="12908"/>
  <c r="H1255" i="12908"/>
  <c r="AE1255" i="13034" s="1"/>
  <c r="C1176" i="12908"/>
  <c r="H1260" i="12908"/>
  <c r="AE1260" i="13034" s="1"/>
  <c r="C1180" i="12908"/>
  <c r="H1264" i="12908"/>
  <c r="AE1264" i="13034" s="1"/>
  <c r="C1185" i="12908"/>
  <c r="H1269" i="12908"/>
  <c r="AE1269" i="13034" s="1"/>
  <c r="C1189" i="12908"/>
  <c r="H1273" i="12908"/>
  <c r="AE1273" i="13034" s="1"/>
  <c r="C1194" i="12908"/>
  <c r="H1278" i="12908"/>
  <c r="AE1278" i="13034" s="1"/>
  <c r="C1198" i="12908"/>
  <c r="H1282" i="12908"/>
  <c r="AE1282" i="13034" s="1"/>
  <c r="L152" i="12709"/>
  <c r="L129" i="12709"/>
  <c r="L111" i="12709"/>
  <c r="L76" i="12709"/>
  <c r="L38" i="12709"/>
  <c r="H1198" i="12908" l="1"/>
  <c r="AE1198" i="13034" s="1"/>
  <c r="Z1198" i="13034"/>
  <c r="H1189" i="12908"/>
  <c r="AE1189" i="13034" s="1"/>
  <c r="Z1189" i="13034"/>
  <c r="H1180" i="12908"/>
  <c r="AE1180" i="13034" s="1"/>
  <c r="Z1180" i="13034"/>
  <c r="H1171" i="12908"/>
  <c r="AE1171" i="13034" s="1"/>
  <c r="Z1171" i="13034"/>
  <c r="H1192" i="12908"/>
  <c r="AE1192" i="13034" s="1"/>
  <c r="Z1192" i="13034"/>
  <c r="H1178" i="12908"/>
  <c r="AE1178" i="13034" s="1"/>
  <c r="Z1178" i="13034"/>
  <c r="H1190" i="12908"/>
  <c r="AE1190" i="13034" s="1"/>
  <c r="Z1190" i="13034"/>
  <c r="H1177" i="12908"/>
  <c r="AE1177" i="13034" s="1"/>
  <c r="Z1177" i="13034"/>
  <c r="H1193" i="12908"/>
  <c r="AE1193" i="13034" s="1"/>
  <c r="Z1193" i="13034"/>
  <c r="H1183" i="12908"/>
  <c r="AE1183" i="13034" s="1"/>
  <c r="Z1183" i="13034"/>
  <c r="H1175" i="12908"/>
  <c r="AE1175" i="13034" s="1"/>
  <c r="Z1175" i="13034"/>
  <c r="H1187" i="12908"/>
  <c r="AE1187" i="13034" s="1"/>
  <c r="Z1187" i="13034"/>
  <c r="H1168" i="12908"/>
  <c r="AE1168" i="13034" s="1"/>
  <c r="Z1168" i="13034"/>
  <c r="H1181" i="12908"/>
  <c r="AE1181" i="13034" s="1"/>
  <c r="Z1181" i="13034"/>
  <c r="H1194" i="12908"/>
  <c r="AE1194" i="13034" s="1"/>
  <c r="Z1194" i="13034"/>
  <c r="H1185" i="12908"/>
  <c r="AE1185" i="13034" s="1"/>
  <c r="Z1185" i="13034"/>
  <c r="H1176" i="12908"/>
  <c r="AE1176" i="13034" s="1"/>
  <c r="Z1176" i="13034"/>
  <c r="H1170" i="12908"/>
  <c r="AE1170" i="13034" s="1"/>
  <c r="Z1170" i="13034"/>
  <c r="H1182" i="12908"/>
  <c r="AE1182" i="13034" s="1"/>
  <c r="Z1182" i="13034"/>
  <c r="H1199" i="12908"/>
  <c r="AE1199" i="13034" s="1"/>
  <c r="Z1199" i="13034"/>
  <c r="H1186" i="12908"/>
  <c r="AE1186" i="13034" s="1"/>
  <c r="Z1186" i="13034"/>
  <c r="H1197" i="12908"/>
  <c r="AE1197" i="13034" s="1"/>
  <c r="Z1197" i="13034"/>
  <c r="H1188" i="12908"/>
  <c r="AE1188" i="13034" s="1"/>
  <c r="Z1188" i="13034"/>
  <c r="H1179" i="12908"/>
  <c r="AE1179" i="13034" s="1"/>
  <c r="Z1179" i="13034"/>
  <c r="H1196" i="12908"/>
  <c r="AE1196" i="13034" s="1"/>
  <c r="Z1196" i="13034"/>
  <c r="H1174" i="12908"/>
  <c r="AE1174" i="13034" s="1"/>
  <c r="Z1174" i="13034"/>
  <c r="H1195" i="12908"/>
  <c r="AE1195" i="13034" s="1"/>
  <c r="Z1195" i="13034"/>
  <c r="H1173" i="12908"/>
  <c r="AE1173" i="13034" s="1"/>
  <c r="Z1173" i="13034"/>
  <c r="D168" i="12709"/>
  <c r="D5" i="12852" l="1"/>
  <c r="D169" i="12709"/>
  <c r="P13" i="12711"/>
  <c r="P168" i="12711" s="1"/>
  <c r="C2665" i="12908"/>
  <c r="Z2665" i="13034" s="1"/>
  <c r="C2662" i="12908"/>
  <c r="C2656" i="12908"/>
  <c r="Z2656" i="13034" s="1"/>
  <c r="C2654" i="12908"/>
  <c r="H2654" i="12908" l="1"/>
  <c r="AE2654" i="13034" s="1"/>
  <c r="Z2654" i="13034"/>
  <c r="H2662" i="12908"/>
  <c r="AE2662" i="13034" s="1"/>
  <c r="Z2662" i="13034"/>
  <c r="D2663" i="12908"/>
  <c r="D2653" i="12908"/>
  <c r="C2645" i="12908"/>
  <c r="D2654" i="12908"/>
  <c r="C2664" i="12908"/>
  <c r="Z2664" i="13034" s="1"/>
  <c r="D2662" i="12908"/>
  <c r="I5" i="12852"/>
  <c r="C2647" i="12908"/>
  <c r="Z2647" i="13034" s="1"/>
  <c r="C2644" i="12908"/>
  <c r="C2655" i="12908"/>
  <c r="Z2655" i="13034" s="1"/>
  <c r="D171" i="12709"/>
  <c r="P15" i="12711"/>
  <c r="P170" i="12711" s="1"/>
  <c r="D7" i="12852"/>
  <c r="H2664" i="12908"/>
  <c r="AE2664" i="13034" s="1"/>
  <c r="Y2662" i="12908" l="1"/>
  <c r="AV2662" i="13034" s="1"/>
  <c r="AA2662" i="13034"/>
  <c r="H2644" i="12908"/>
  <c r="AE2644" i="13034" s="1"/>
  <c r="Z2644" i="13034"/>
  <c r="Y2654" i="12908"/>
  <c r="AV2654" i="13034" s="1"/>
  <c r="AA2654" i="13034"/>
  <c r="H2645" i="12908"/>
  <c r="AE2645" i="13034" s="1"/>
  <c r="Z2645" i="13034"/>
  <c r="Y2653" i="12908"/>
  <c r="AV2653" i="13034" s="1"/>
  <c r="AA2653" i="13034"/>
  <c r="Y2663" i="12908"/>
  <c r="AV2663" i="13034" s="1"/>
  <c r="AA2663" i="13034"/>
  <c r="Y2655" i="12908"/>
  <c r="I2662" i="12908"/>
  <c r="AF2662" i="13034" s="1"/>
  <c r="I2653" i="12908"/>
  <c r="AF2653" i="13034" s="1"/>
  <c r="I2654" i="12908"/>
  <c r="AF2654" i="13034" s="1"/>
  <c r="I2663" i="12908"/>
  <c r="AF2663" i="13034" s="1"/>
  <c r="C2646" i="12908"/>
  <c r="Z2646" i="13034" s="1"/>
  <c r="D2645" i="12908"/>
  <c r="D2664" i="12908"/>
  <c r="AA2664" i="13034" s="1"/>
  <c r="D2655" i="12908"/>
  <c r="AA2655" i="13034" s="1"/>
  <c r="D2644" i="12908"/>
  <c r="I7" i="12852"/>
  <c r="H2655" i="12908"/>
  <c r="AE2655" i="13034" s="1"/>
  <c r="Y2644" i="12908" l="1"/>
  <c r="AV2644" i="13034" s="1"/>
  <c r="AA2644" i="13034"/>
  <c r="Y2645" i="12908"/>
  <c r="AV2645" i="13034" s="1"/>
  <c r="AA2645" i="13034"/>
  <c r="Y2658" i="12908"/>
  <c r="AV2658" i="13034" s="1"/>
  <c r="AV2655" i="13034"/>
  <c r="Y2664" i="12908"/>
  <c r="I2655" i="12908"/>
  <c r="I2644" i="12908"/>
  <c r="AF2644" i="13034" s="1"/>
  <c r="I2664" i="12908"/>
  <c r="I2645" i="12908"/>
  <c r="AF2645" i="13034" s="1"/>
  <c r="D2646" i="12908"/>
  <c r="AA2646" i="13034" s="1"/>
  <c r="L99" i="12709"/>
  <c r="L202" i="12709" s="1"/>
  <c r="Y2667" i="12908" l="1"/>
  <c r="AV2667" i="13034" s="1"/>
  <c r="AV2664" i="13034"/>
  <c r="I2667" i="12908"/>
  <c r="AF2667" i="13034" s="1"/>
  <c r="AF2664" i="13034"/>
  <c r="I2658" i="12908"/>
  <c r="AF2655" i="13034"/>
  <c r="AB2658" i="12908"/>
  <c r="Q55" i="12910"/>
  <c r="N28" i="12709"/>
  <c r="H15" i="12721"/>
  <c r="M99" i="12709"/>
  <c r="M202" i="12709" s="1"/>
  <c r="I2646" i="12908"/>
  <c r="Y2646" i="12908"/>
  <c r="AV2646" i="13034" s="1"/>
  <c r="AB2667" i="12908" l="1"/>
  <c r="I2649" i="12908"/>
  <c r="AF2646" i="13034"/>
  <c r="Q29" i="12910"/>
  <c r="N66" i="12709"/>
  <c r="N205" i="12709" s="1"/>
  <c r="AF2658" i="13034"/>
  <c r="Y2649" i="12908"/>
  <c r="Q62" i="13005"/>
  <c r="F15" i="12721"/>
  <c r="I15" i="12721"/>
  <c r="I16" i="6"/>
  <c r="S99" i="12711"/>
  <c r="S201" i="12711" s="1"/>
  <c r="L100" i="12709"/>
  <c r="L203" i="12709" s="1"/>
  <c r="K62" i="12989" l="1"/>
  <c r="AF2649" i="13034"/>
  <c r="AB2649" i="12908"/>
  <c r="AV2649" i="13034"/>
  <c r="M62" i="13016"/>
  <c r="W62" i="13005"/>
  <c r="Y62" i="13005" s="1"/>
  <c r="Q47" i="13007"/>
  <c r="W47" i="13007" s="1"/>
  <c r="Y47" i="13007" s="1"/>
  <c r="U62" i="13005"/>
  <c r="AA62" i="13005" s="1"/>
  <c r="AC62" i="13005" s="1"/>
  <c r="H16" i="12721"/>
  <c r="M100" i="12709"/>
  <c r="M203" i="12709" s="1"/>
  <c r="O62" i="12989" l="1"/>
  <c r="AD62" i="12989" s="1"/>
  <c r="M47" i="13017"/>
  <c r="Q47" i="13017" s="1"/>
  <c r="Q62" i="13016"/>
  <c r="W62" i="13016" s="1"/>
  <c r="Y62" i="13016" s="1"/>
  <c r="S62" i="13016"/>
  <c r="U62" i="13016" s="1"/>
  <c r="U47" i="13007"/>
  <c r="AA47" i="13007" s="1"/>
  <c r="AC47" i="13007" s="1"/>
  <c r="S47" i="13017"/>
  <c r="U47" i="13017" s="1"/>
  <c r="Q47" i="13014"/>
  <c r="W47" i="13014" s="1"/>
  <c r="S47" i="13014"/>
  <c r="W47" i="13017"/>
  <c r="F16" i="12721"/>
  <c r="I16" i="12721"/>
  <c r="I17" i="6"/>
  <c r="S100" i="12711"/>
  <c r="S202" i="12711" s="1"/>
  <c r="C1847" i="12908"/>
  <c r="Z1847" i="13034" s="1"/>
  <c r="C1846" i="12908"/>
  <c r="Z1846" i="13034" s="1"/>
  <c r="C1845" i="12908"/>
  <c r="Z1845" i="13034" s="1"/>
  <c r="C1844" i="12908"/>
  <c r="Z1844" i="13034" s="1"/>
  <c r="C1843" i="12908"/>
  <c r="Z1843" i="13034" s="1"/>
  <c r="C1836" i="12908"/>
  <c r="Z1836" i="13034" s="1"/>
  <c r="C1835" i="12908"/>
  <c r="Z1835" i="13034" s="1"/>
  <c r="C1834" i="12908"/>
  <c r="Z1834" i="13034" s="1"/>
  <c r="C1833" i="12908"/>
  <c r="Z1833" i="13034" s="1"/>
  <c r="C1832" i="12908"/>
  <c r="Z1832" i="13034" s="1"/>
  <c r="C1825" i="12908"/>
  <c r="Z1825" i="13034" s="1"/>
  <c r="C1824" i="12908"/>
  <c r="Z1824" i="13034" s="1"/>
  <c r="C1823" i="12908"/>
  <c r="Z1823" i="13034" s="1"/>
  <c r="C1822" i="12908"/>
  <c r="Z1822" i="13034" s="1"/>
  <c r="C1821" i="12908"/>
  <c r="Z1821" i="13034" s="1"/>
  <c r="C1730" i="12908"/>
  <c r="Z1730" i="13034" s="1"/>
  <c r="C1729" i="12908"/>
  <c r="Z1729" i="13034" s="1"/>
  <c r="C1728" i="12908"/>
  <c r="Z1728" i="13034" s="1"/>
  <c r="C1727" i="12908"/>
  <c r="Z1727" i="13034" s="1"/>
  <c r="C1725" i="12908"/>
  <c r="Z1725" i="13034" s="1"/>
  <c r="C1724" i="12908"/>
  <c r="Z1724" i="13034" s="1"/>
  <c r="C1723" i="12908"/>
  <c r="Z1723" i="13034" s="1"/>
  <c r="C1722" i="12908"/>
  <c r="Z1722" i="13034" s="1"/>
  <c r="C1721" i="12908"/>
  <c r="Z1721" i="13034" s="1"/>
  <c r="I28" i="12711"/>
  <c r="F100" i="12709"/>
  <c r="F203" i="12709" s="1"/>
  <c r="F101" i="12709"/>
  <c r="F204" i="12709" s="1"/>
  <c r="F99" i="12709"/>
  <c r="F202" i="12709" s="1"/>
  <c r="E66" i="12709"/>
  <c r="E28" i="12709"/>
  <c r="M62" i="12989" l="1"/>
  <c r="Y47" i="13014"/>
  <c r="U47" i="13014"/>
  <c r="Y47" i="13017"/>
  <c r="F93" i="12711"/>
  <c r="F58" i="12711"/>
  <c r="H1834" i="12908"/>
  <c r="AE1834" i="13034" s="1"/>
  <c r="D1834" i="12908"/>
  <c r="AA1834" i="13034" s="1"/>
  <c r="H1844" i="12908"/>
  <c r="AE1844" i="13034" s="1"/>
  <c r="D1844" i="12908"/>
  <c r="AA1844" i="13034" s="1"/>
  <c r="H1825" i="12908"/>
  <c r="AE1825" i="13034" s="1"/>
  <c r="H1845" i="12908"/>
  <c r="AE1845" i="13034" s="1"/>
  <c r="D1845" i="12908"/>
  <c r="AA1845" i="13034" s="1"/>
  <c r="D1822" i="12908"/>
  <c r="AA1822" i="13034" s="1"/>
  <c r="H1832" i="12908"/>
  <c r="AE1832" i="13034" s="1"/>
  <c r="H1836" i="12908"/>
  <c r="AE1836" i="13034" s="1"/>
  <c r="F141" i="12711"/>
  <c r="G93" i="12910" s="1"/>
  <c r="D1823" i="12908"/>
  <c r="AA1823" i="13034" s="1"/>
  <c r="H1833" i="12908"/>
  <c r="AE1833" i="13034" s="1"/>
  <c r="D1833" i="12908"/>
  <c r="AA1833" i="13034" s="1"/>
  <c r="H1843" i="12908"/>
  <c r="AE1843" i="13034" s="1"/>
  <c r="H1847" i="12908"/>
  <c r="AE1847" i="13034" s="1"/>
  <c r="C1811" i="12908"/>
  <c r="Z1811" i="13034" s="1"/>
  <c r="H1822" i="12908"/>
  <c r="AE1822" i="13034" s="1"/>
  <c r="I97" i="12905"/>
  <c r="H1846" i="12908"/>
  <c r="AE1846" i="13034" s="1"/>
  <c r="C1810" i="12908"/>
  <c r="Z1810" i="13034" s="1"/>
  <c r="H1835" i="12908"/>
  <c r="AE1835" i="13034" s="1"/>
  <c r="H1824" i="12908"/>
  <c r="AE1824" i="13034" s="1"/>
  <c r="F98" i="12711"/>
  <c r="F198" i="12711" s="1"/>
  <c r="C1242" i="12908"/>
  <c r="Z1242" i="13034" s="1"/>
  <c r="C1812" i="12908"/>
  <c r="Z1812" i="13034" s="1"/>
  <c r="H1823" i="12908"/>
  <c r="AE1823" i="13034" s="1"/>
  <c r="C1813" i="12908"/>
  <c r="Z1813" i="13034" s="1"/>
  <c r="H1821" i="12908"/>
  <c r="AE1821" i="13034" s="1"/>
  <c r="C1814" i="12908"/>
  <c r="Z1814" i="13034" s="1"/>
  <c r="H98" i="12905"/>
  <c r="O98" i="12905"/>
  <c r="M98" i="12905"/>
  <c r="K98" i="12905"/>
  <c r="I98" i="12905"/>
  <c r="Q97" i="12905"/>
  <c r="P97" i="12905"/>
  <c r="N97" i="12905"/>
  <c r="L97" i="12905"/>
  <c r="J97" i="12905"/>
  <c r="H97" i="12905"/>
  <c r="Q98" i="12905"/>
  <c r="P98" i="12905"/>
  <c r="N98" i="12905"/>
  <c r="L98" i="12905"/>
  <c r="J98" i="12905"/>
  <c r="O97" i="12905"/>
  <c r="M97" i="12905"/>
  <c r="K97" i="12905"/>
  <c r="C1326" i="12908"/>
  <c r="Z1326" i="13034" s="1"/>
  <c r="C1368" i="12908"/>
  <c r="Z1368" i="13034" s="1"/>
  <c r="C1284" i="12908"/>
  <c r="Z1284" i="13034" s="1"/>
  <c r="AC62" i="12989" l="1"/>
  <c r="AE62" i="12989" s="1"/>
  <c r="S62" i="12989"/>
  <c r="AA62" i="12989"/>
  <c r="Z62" i="12989"/>
  <c r="Y62" i="12989"/>
  <c r="G47" i="12910"/>
  <c r="T97" i="12905"/>
  <c r="I1822" i="12908"/>
  <c r="AF1822" i="13034" s="1"/>
  <c r="I1823" i="12908"/>
  <c r="AF1823" i="13034" s="1"/>
  <c r="I1834" i="12908"/>
  <c r="AF1834" i="13034" s="1"/>
  <c r="I1833" i="12908"/>
  <c r="AF1833" i="13034" s="1"/>
  <c r="H1827" i="12908"/>
  <c r="I1845" i="12908"/>
  <c r="AF1845" i="13034" s="1"/>
  <c r="I1844" i="12908"/>
  <c r="AF1844" i="13034" s="1"/>
  <c r="H1849" i="12908"/>
  <c r="H1838" i="12908"/>
  <c r="D1812" i="12908"/>
  <c r="AA1812" i="13034" s="1"/>
  <c r="D1811" i="12908"/>
  <c r="AA1811" i="13034" s="1"/>
  <c r="C1200" i="12908"/>
  <c r="Z1200" i="13034" s="1"/>
  <c r="T98" i="12905"/>
  <c r="H99" i="12905"/>
  <c r="G75" i="12910"/>
  <c r="H1242" i="12908"/>
  <c r="AE1242" i="13034" s="1"/>
  <c r="H1284" i="12908"/>
  <c r="AE1284" i="13034" s="1"/>
  <c r="H1326" i="12908"/>
  <c r="AE1326" i="13034" s="1"/>
  <c r="H1368" i="12908"/>
  <c r="AE1368" i="13034" s="1"/>
  <c r="L17" i="12721"/>
  <c r="L16" i="12721"/>
  <c r="L15" i="12721"/>
  <c r="K93" i="12709" l="1"/>
  <c r="AE1838" i="13034"/>
  <c r="K141" i="12709"/>
  <c r="AE1849" i="13034"/>
  <c r="K58" i="12709"/>
  <c r="K193" i="12709" s="1"/>
  <c r="AE1827" i="13034"/>
  <c r="H1371" i="12908"/>
  <c r="H1329" i="12908"/>
  <c r="H1287" i="12908"/>
  <c r="H1245" i="12908"/>
  <c r="I1811" i="12908"/>
  <c r="AF1811" i="13034" s="1"/>
  <c r="I1812" i="12908"/>
  <c r="AF1812" i="13034" s="1"/>
  <c r="E60" i="12852"/>
  <c r="N16" i="12721"/>
  <c r="I100" i="12711" s="1"/>
  <c r="E61" i="12852"/>
  <c r="N17" i="12721"/>
  <c r="E59" i="12852"/>
  <c r="N15" i="12721"/>
  <c r="C17" i="12721"/>
  <c r="C16" i="12721"/>
  <c r="E16" i="12721" s="1"/>
  <c r="E100" i="12709" s="1"/>
  <c r="E203" i="12709" s="1"/>
  <c r="C15" i="12721"/>
  <c r="T57" i="12924"/>
  <c r="M254" i="12924"/>
  <c r="M251" i="12924"/>
  <c r="M248" i="12924"/>
  <c r="M245" i="12924"/>
  <c r="M242" i="12924"/>
  <c r="M239" i="12924"/>
  <c r="M236" i="12924"/>
  <c r="M233" i="12924"/>
  <c r="M230" i="12924"/>
  <c r="M227" i="12924"/>
  <c r="M224" i="12924"/>
  <c r="M221" i="12924"/>
  <c r="C254" i="12924"/>
  <c r="C251" i="12924"/>
  <c r="C248" i="12924"/>
  <c r="C245" i="12924"/>
  <c r="C242" i="12924"/>
  <c r="C239" i="12924"/>
  <c r="C236" i="12924"/>
  <c r="C233" i="12924"/>
  <c r="C230" i="12924"/>
  <c r="C227" i="12924"/>
  <c r="C224" i="12924"/>
  <c r="C221" i="12924"/>
  <c r="J16" i="12852"/>
  <c r="E16" i="12852"/>
  <c r="C15" i="12776"/>
  <c r="E74" i="12852" s="1"/>
  <c r="C14" i="12776"/>
  <c r="C13" i="12776"/>
  <c r="E35" i="12852" s="1"/>
  <c r="K13" i="12776"/>
  <c r="K14" i="12776"/>
  <c r="K15" i="12776"/>
  <c r="K11" i="12776"/>
  <c r="K5" i="12776"/>
  <c r="K23" i="12709" l="1"/>
  <c r="AE1245" i="13034"/>
  <c r="K136" i="12709"/>
  <c r="AE1371" i="13034"/>
  <c r="K52" i="12709"/>
  <c r="AE1287" i="13034"/>
  <c r="K89" i="12709"/>
  <c r="K181" i="12709" s="1"/>
  <c r="AE1329" i="13034"/>
  <c r="I202" i="12711"/>
  <c r="C18" i="12715"/>
  <c r="N18" i="12721"/>
  <c r="J59" i="12852"/>
  <c r="E15" i="12721"/>
  <c r="J60" i="12852"/>
  <c r="N42" i="12763"/>
  <c r="R97" i="12709"/>
  <c r="N41" i="12763"/>
  <c r="N40" i="12763"/>
  <c r="Q42" i="12763"/>
  <c r="Q41" i="12763"/>
  <c r="Q40" i="12763"/>
  <c r="K16" i="12776"/>
  <c r="J61" i="12852"/>
  <c r="H14" i="12775"/>
  <c r="J71" i="12852" s="1"/>
  <c r="I14" i="12775"/>
  <c r="I139" i="12711" s="1"/>
  <c r="J14" i="12775"/>
  <c r="E139" i="12709" s="1"/>
  <c r="K14" i="12775"/>
  <c r="L14" i="12775"/>
  <c r="M14" i="12775"/>
  <c r="N14" i="12775"/>
  <c r="O14" i="12775"/>
  <c r="G14" i="12775"/>
  <c r="J224" i="12924" l="1"/>
  <c r="J224" i="12984"/>
  <c r="J222" i="12924"/>
  <c r="J222" i="12984"/>
  <c r="T224" i="12924"/>
  <c r="T224" i="12984"/>
  <c r="T222" i="12924"/>
  <c r="T222" i="12984"/>
  <c r="G18" i="12721"/>
  <c r="E99" i="12709"/>
  <c r="E202" i="12709" s="1"/>
  <c r="K18" i="12776"/>
  <c r="O33" i="12772"/>
  <c r="G33" i="12772"/>
  <c r="I91" i="12711"/>
  <c r="I57" i="12711"/>
  <c r="J10" i="12852"/>
  <c r="I51" i="12711"/>
  <c r="I88" i="12711"/>
  <c r="E10" i="12852"/>
  <c r="J46" i="12852"/>
  <c r="N31" i="12786"/>
  <c r="I20" i="12711"/>
  <c r="E12" i="12852"/>
  <c r="E46" i="12852"/>
  <c r="M240" i="12984" l="1"/>
  <c r="M237" i="12984"/>
  <c r="M243" i="12984"/>
  <c r="M231" i="12984"/>
  <c r="M234" i="12984"/>
  <c r="C231" i="12984"/>
  <c r="C240" i="12984"/>
  <c r="C237" i="12984"/>
  <c r="C234" i="12984"/>
  <c r="C243" i="12984"/>
  <c r="M252" i="12984"/>
  <c r="M249" i="12984"/>
  <c r="M225" i="12984"/>
  <c r="M219" i="12984"/>
  <c r="M222" i="12984"/>
  <c r="M228" i="12984"/>
  <c r="M246" i="12984"/>
  <c r="C219" i="12984"/>
  <c r="C246" i="12984"/>
  <c r="C249" i="12984"/>
  <c r="C225" i="12984"/>
  <c r="C222" i="12984"/>
  <c r="C252" i="12984"/>
  <c r="C228" i="12984"/>
  <c r="L10" i="12762"/>
  <c r="D10" i="12762"/>
  <c r="F28" i="12771"/>
  <c r="H10" i="12762"/>
  <c r="I90" i="12711"/>
  <c r="R84" i="12709"/>
  <c r="I10" i="12762"/>
  <c r="N24" i="12780"/>
  <c r="E10" i="12762"/>
  <c r="I92" i="12711"/>
  <c r="I185" i="12711" s="1"/>
  <c r="M10" i="12762"/>
  <c r="J10" i="12762"/>
  <c r="F10" i="12762"/>
  <c r="T28" i="12771"/>
  <c r="H1000" i="12908"/>
  <c r="AE1000" i="13034" s="1"/>
  <c r="C1042" i="12908"/>
  <c r="Z1042" i="13034" s="1"/>
  <c r="C993" i="12908"/>
  <c r="Z993" i="13034" s="1"/>
  <c r="J28" i="12771"/>
  <c r="P28" i="12771"/>
  <c r="C996" i="12908"/>
  <c r="Z996" i="13034" s="1"/>
  <c r="J140" i="12924"/>
  <c r="N16" i="12761"/>
  <c r="N15" i="12761"/>
  <c r="C995" i="12908"/>
  <c r="Z995" i="13034" s="1"/>
  <c r="P31" i="12786"/>
  <c r="C1044" i="12908"/>
  <c r="Z1044" i="13034" s="1"/>
  <c r="O23" i="12780"/>
  <c r="K10" i="12762"/>
  <c r="G10" i="12762"/>
  <c r="M16" i="12761"/>
  <c r="C1041" i="12908"/>
  <c r="Z1041" i="13034" s="1"/>
  <c r="H998" i="12908"/>
  <c r="AE998" i="13034" s="1"/>
  <c r="C994" i="12908"/>
  <c r="Z994" i="13034" s="1"/>
  <c r="J12" i="12852"/>
  <c r="C1043" i="12908"/>
  <c r="Z1043" i="13034" s="1"/>
  <c r="P30" i="12786"/>
  <c r="O24" i="12780"/>
  <c r="J181" i="12924"/>
  <c r="H75" i="12711"/>
  <c r="H74" i="12711"/>
  <c r="H72" i="12711"/>
  <c r="H70" i="12711"/>
  <c r="H69" i="12711"/>
  <c r="H110" i="12711"/>
  <c r="H109" i="12711"/>
  <c r="H107" i="12711"/>
  <c r="H105" i="12711"/>
  <c r="H104" i="12711"/>
  <c r="H128" i="12711"/>
  <c r="H127" i="12711"/>
  <c r="H125" i="12711"/>
  <c r="H123" i="12711"/>
  <c r="H122" i="12711"/>
  <c r="H151" i="12711"/>
  <c r="H150" i="12711"/>
  <c r="H148" i="12711"/>
  <c r="H146" i="12711"/>
  <c r="H145" i="12711"/>
  <c r="H37" i="12711"/>
  <c r="H36" i="12711"/>
  <c r="H34" i="12711"/>
  <c r="H32" i="12711"/>
  <c r="H31" i="12711"/>
  <c r="F73" i="12852"/>
  <c r="P142" i="12711"/>
  <c r="H131" i="12711"/>
  <c r="H113" i="12711"/>
  <c r="H78" i="12711"/>
  <c r="H40" i="12711"/>
  <c r="H155" i="12711"/>
  <c r="H154" i="12711"/>
  <c r="H140" i="12711"/>
  <c r="H191" i="12711" s="1"/>
  <c r="H139" i="12711"/>
  <c r="H190" i="12711" s="1"/>
  <c r="H138" i="12711"/>
  <c r="H189" i="12711" s="1"/>
  <c r="H137" i="12711"/>
  <c r="H188" i="12711" s="1"/>
  <c r="H136" i="12711"/>
  <c r="H132" i="12711"/>
  <c r="H118" i="12711"/>
  <c r="H186" i="12711" s="1"/>
  <c r="H114" i="12711"/>
  <c r="H101" i="12711"/>
  <c r="H203" i="12711" s="1"/>
  <c r="H100" i="12711"/>
  <c r="H99" i="12711"/>
  <c r="H98" i="12711"/>
  <c r="H96" i="12711"/>
  <c r="D56" i="12852" s="1"/>
  <c r="H95" i="12711"/>
  <c r="H194" i="12711" s="1"/>
  <c r="H92" i="12711"/>
  <c r="D52" i="12852" s="1"/>
  <c r="H91" i="12711"/>
  <c r="H184" i="12711" s="1"/>
  <c r="H90" i="12711"/>
  <c r="D50" i="12852" s="1"/>
  <c r="H89" i="12711"/>
  <c r="D49" i="12852" s="1"/>
  <c r="H88" i="12711"/>
  <c r="H86" i="12711"/>
  <c r="D31" i="12786" s="1"/>
  <c r="H83" i="12711"/>
  <c r="H79" i="12711"/>
  <c r="D41" i="12852"/>
  <c r="F41" i="12852" s="1"/>
  <c r="H63" i="12711"/>
  <c r="H198" i="12711" s="1"/>
  <c r="H60" i="12711"/>
  <c r="D36" i="12852" s="1"/>
  <c r="H57" i="12711"/>
  <c r="H53" i="12711"/>
  <c r="H52" i="12711"/>
  <c r="D28" i="12852" s="1"/>
  <c r="H51" i="12711"/>
  <c r="H48" i="12711"/>
  <c r="D25" i="12852" s="1"/>
  <c r="H45" i="12711"/>
  <c r="H41" i="12711"/>
  <c r="I41" i="12711" s="1"/>
  <c r="I206" i="12711" s="1"/>
  <c r="H25" i="12711"/>
  <c r="H195" i="12711" s="1"/>
  <c r="H23" i="12711"/>
  <c r="H20" i="12711"/>
  <c r="H18" i="12711"/>
  <c r="H173" i="12711" l="1"/>
  <c r="H179" i="12711"/>
  <c r="H176" i="12711"/>
  <c r="C12" i="12858"/>
  <c r="F22" i="12858" s="1"/>
  <c r="I22" i="12858" s="1"/>
  <c r="L22" i="12858" s="1"/>
  <c r="H201" i="12711"/>
  <c r="W201" i="12711" s="1"/>
  <c r="H181" i="12711"/>
  <c r="H180" i="12711"/>
  <c r="H185" i="12711"/>
  <c r="W200" i="12711"/>
  <c r="H202" i="12711"/>
  <c r="W202" i="12711" s="1"/>
  <c r="D48" i="12852"/>
  <c r="C229" i="12984"/>
  <c r="E228" i="12984"/>
  <c r="G228" i="12984"/>
  <c r="I228" i="12984"/>
  <c r="C250" i="12984"/>
  <c r="E249" i="12984"/>
  <c r="G249" i="12984"/>
  <c r="I249" i="12984"/>
  <c r="M229" i="12984"/>
  <c r="O228" i="12984"/>
  <c r="Q228" i="12984"/>
  <c r="S228" i="12984"/>
  <c r="M250" i="12984"/>
  <c r="O249" i="12984"/>
  <c r="Q249" i="12984"/>
  <c r="S249" i="12984"/>
  <c r="E237" i="12984"/>
  <c r="C238" i="12984"/>
  <c r="I237" i="12984"/>
  <c r="G237" i="12984"/>
  <c r="M232" i="12984"/>
  <c r="Q231" i="12984"/>
  <c r="O231" i="12984"/>
  <c r="S231" i="12984"/>
  <c r="C253" i="12984"/>
  <c r="E252" i="12984"/>
  <c r="G252" i="12984"/>
  <c r="I252" i="12984"/>
  <c r="E246" i="12984"/>
  <c r="C247" i="12984"/>
  <c r="G246" i="12984"/>
  <c r="I246" i="12984"/>
  <c r="M223" i="12984"/>
  <c r="O222" i="12984"/>
  <c r="Q222" i="12984"/>
  <c r="S222" i="12984"/>
  <c r="M253" i="12984"/>
  <c r="O252" i="12984"/>
  <c r="Q252" i="12984"/>
  <c r="S252" i="12984"/>
  <c r="E240" i="12984"/>
  <c r="G240" i="12984"/>
  <c r="C241" i="12984"/>
  <c r="I240" i="12984"/>
  <c r="M244" i="12984"/>
  <c r="O243" i="12984"/>
  <c r="Q243" i="12984"/>
  <c r="S243" i="12984"/>
  <c r="C223" i="12984"/>
  <c r="E222" i="12984"/>
  <c r="G222" i="12984"/>
  <c r="I222" i="12984"/>
  <c r="C220" i="12984"/>
  <c r="G219" i="12984"/>
  <c r="E219" i="12984"/>
  <c r="I219" i="12984"/>
  <c r="M220" i="12984"/>
  <c r="M255" i="12984"/>
  <c r="O219" i="12984"/>
  <c r="Q219" i="12984"/>
  <c r="S219" i="12984"/>
  <c r="E243" i="12984"/>
  <c r="C244" i="12984"/>
  <c r="G243" i="12984"/>
  <c r="I243" i="12984"/>
  <c r="I327" i="12984" s="1"/>
  <c r="I231" i="12984"/>
  <c r="G231" i="12984"/>
  <c r="E231" i="12984"/>
  <c r="E327" i="12984" s="1"/>
  <c r="C232" i="12984"/>
  <c r="M238" i="12984"/>
  <c r="Q237" i="12984"/>
  <c r="O237" i="12984"/>
  <c r="S237" i="12984"/>
  <c r="C226" i="12984"/>
  <c r="E225" i="12984"/>
  <c r="G225" i="12984"/>
  <c r="I225" i="12984"/>
  <c r="M247" i="12984"/>
  <c r="O246" i="12984"/>
  <c r="Q246" i="12984"/>
  <c r="S246" i="12984"/>
  <c r="M226" i="12984"/>
  <c r="O225" i="12984"/>
  <c r="E350" i="12984" s="1"/>
  <c r="Q225" i="12984"/>
  <c r="S225" i="12984"/>
  <c r="I234" i="12984"/>
  <c r="G234" i="12984"/>
  <c r="C235" i="12984"/>
  <c r="E234" i="12984"/>
  <c r="M235" i="12984"/>
  <c r="O234" i="12984"/>
  <c r="S234" i="12984"/>
  <c r="Q234" i="12984"/>
  <c r="M241" i="12984"/>
  <c r="O240" i="12984"/>
  <c r="Q240" i="12984"/>
  <c r="S240" i="12984"/>
  <c r="J183" i="12924"/>
  <c r="J183" i="12984"/>
  <c r="J142" i="12924"/>
  <c r="J142" i="12984"/>
  <c r="F111" i="12711"/>
  <c r="G111" i="12711"/>
  <c r="G206" i="12711" s="1"/>
  <c r="C970" i="12908"/>
  <c r="Z970" i="13034" s="1"/>
  <c r="C972" i="12908"/>
  <c r="Z972" i="13034" s="1"/>
  <c r="C969" i="12908"/>
  <c r="Z969" i="13034" s="1"/>
  <c r="C971" i="12908"/>
  <c r="Z971" i="13034" s="1"/>
  <c r="H995" i="12908"/>
  <c r="AE995" i="13034" s="1"/>
  <c r="H996" i="12908"/>
  <c r="AE996" i="13034" s="1"/>
  <c r="E87" i="12711"/>
  <c r="E21" i="12711"/>
  <c r="G41" i="12852"/>
  <c r="I66" i="12711"/>
  <c r="I204" i="12711" s="1"/>
  <c r="G73" i="12852"/>
  <c r="I141" i="12711"/>
  <c r="D46" i="12852"/>
  <c r="D58" i="12852"/>
  <c r="K8" i="12856"/>
  <c r="D29" i="12852"/>
  <c r="D69" i="12852"/>
  <c r="D32" i="12852"/>
  <c r="D59" i="12852"/>
  <c r="F59" i="12852" s="1"/>
  <c r="G59" i="12852" s="1"/>
  <c r="D70" i="12852"/>
  <c r="D27" i="12852"/>
  <c r="D33" i="12852"/>
  <c r="D55" i="12852"/>
  <c r="D60" i="12852"/>
  <c r="F60" i="12852" s="1"/>
  <c r="G60" i="12852" s="1"/>
  <c r="D71" i="12852"/>
  <c r="D39" i="12852"/>
  <c r="H120" i="12711"/>
  <c r="J118" i="12711" s="1"/>
  <c r="J186" i="12711" s="1"/>
  <c r="D61" i="12852"/>
  <c r="F61" i="12852" s="1"/>
  <c r="G61" i="12852" s="1"/>
  <c r="W203" i="12711"/>
  <c r="D72" i="12852"/>
  <c r="D51" i="12852"/>
  <c r="I74" i="12852"/>
  <c r="H29" i="12711"/>
  <c r="D152" i="12711"/>
  <c r="N28" i="12771"/>
  <c r="G28" i="12771"/>
  <c r="R31" i="12771"/>
  <c r="T261" i="12984" s="1"/>
  <c r="K28" i="12771"/>
  <c r="V28" i="12771"/>
  <c r="H28" i="12771"/>
  <c r="I28" i="12771"/>
  <c r="S28" i="12771"/>
  <c r="O28" i="12771"/>
  <c r="R28" i="12771"/>
  <c r="W28" i="12771"/>
  <c r="Q28" i="12771"/>
  <c r="R22" i="12709"/>
  <c r="H994" i="12908"/>
  <c r="AE994" i="13034" s="1"/>
  <c r="E22" i="12711"/>
  <c r="H67" i="12711"/>
  <c r="D111" i="12711"/>
  <c r="H102" i="12711"/>
  <c r="D76" i="12711"/>
  <c r="H76" i="12711"/>
  <c r="H143" i="12711"/>
  <c r="D129" i="12711"/>
  <c r="H129" i="12711"/>
  <c r="H152" i="12711"/>
  <c r="U28" i="12771"/>
  <c r="H111" i="12711"/>
  <c r="H999" i="12908"/>
  <c r="AE999" i="13034" s="1"/>
  <c r="L28" i="12771"/>
  <c r="N10" i="12762"/>
  <c r="P31" i="12771"/>
  <c r="F20" i="12711"/>
  <c r="H993" i="12908"/>
  <c r="AE993" i="13034" s="1"/>
  <c r="Q23" i="12780"/>
  <c r="M28" i="12771"/>
  <c r="Q25" i="12780"/>
  <c r="H997" i="12908"/>
  <c r="AE997" i="13034" s="1"/>
  <c r="D12" i="12852"/>
  <c r="F12" i="12852" s="1"/>
  <c r="G12" i="12852" s="1"/>
  <c r="D16" i="12852"/>
  <c r="F16" i="12852" s="1"/>
  <c r="B18" i="12715"/>
  <c r="D18" i="12715" s="1"/>
  <c r="D10" i="12852"/>
  <c r="D15" i="12852"/>
  <c r="D19" i="12852"/>
  <c r="F19" i="12852" s="1"/>
  <c r="G19" i="12852" s="1"/>
  <c r="F35" i="12852"/>
  <c r="G35" i="12852" s="1"/>
  <c r="B17" i="12715"/>
  <c r="D17" i="12715" s="1"/>
  <c r="B19" i="12715"/>
  <c r="D19" i="12715" s="1"/>
  <c r="H38" i="12711"/>
  <c r="J152" i="12709"/>
  <c r="G152" i="12709"/>
  <c r="F152" i="12709"/>
  <c r="G143" i="12709"/>
  <c r="J129" i="12709"/>
  <c r="G129" i="12709"/>
  <c r="F129" i="12709"/>
  <c r="J111" i="12709"/>
  <c r="G111" i="12709"/>
  <c r="F111" i="12709"/>
  <c r="J76" i="12709"/>
  <c r="G76" i="12709"/>
  <c r="F76" i="12709"/>
  <c r="J38" i="12709"/>
  <c r="G38" i="12709"/>
  <c r="F38" i="12709"/>
  <c r="M152" i="12711"/>
  <c r="L152" i="12711"/>
  <c r="K152" i="12711"/>
  <c r="J152" i="12711"/>
  <c r="I152" i="12711"/>
  <c r="F152" i="12711"/>
  <c r="E152" i="12711"/>
  <c r="K143" i="12711"/>
  <c r="M129" i="12711"/>
  <c r="L129" i="12711"/>
  <c r="K129" i="12711"/>
  <c r="J129" i="12711"/>
  <c r="I129" i="12711"/>
  <c r="F129" i="12711"/>
  <c r="E129" i="12711"/>
  <c r="M111" i="12711"/>
  <c r="L111" i="12711"/>
  <c r="K111" i="12711"/>
  <c r="J111" i="12711"/>
  <c r="I111" i="12711"/>
  <c r="M76" i="12711"/>
  <c r="L76" i="12711"/>
  <c r="K76" i="12711"/>
  <c r="J76" i="12711"/>
  <c r="I76" i="12711"/>
  <c r="M38" i="12711"/>
  <c r="L38" i="12711"/>
  <c r="K38" i="12711"/>
  <c r="J38" i="12711"/>
  <c r="I38" i="12711"/>
  <c r="F38" i="12711"/>
  <c r="E38" i="12711"/>
  <c r="D38" i="12711"/>
  <c r="D101" i="12711"/>
  <c r="D203" i="12711" s="1"/>
  <c r="D100" i="12711"/>
  <c r="D99" i="12711"/>
  <c r="D98" i="12711"/>
  <c r="D96" i="12711"/>
  <c r="D95" i="12711"/>
  <c r="D194" i="12711" s="1"/>
  <c r="D92" i="12711"/>
  <c r="D91" i="12711"/>
  <c r="D184" i="12711" s="1"/>
  <c r="D90" i="12711"/>
  <c r="D89" i="12711"/>
  <c r="F89" i="12711" s="1"/>
  <c r="C1331" i="13015" s="1"/>
  <c r="F66" i="12711"/>
  <c r="C2652" i="13015" s="1"/>
  <c r="D63" i="12711"/>
  <c r="D60" i="12711"/>
  <c r="D52" i="12711"/>
  <c r="F52" i="12711" s="1"/>
  <c r="C1289" i="13015" s="1"/>
  <c r="D53" i="12711"/>
  <c r="D57" i="12711"/>
  <c r="D25" i="12711"/>
  <c r="D23" i="12711"/>
  <c r="F23" i="12711" s="1"/>
  <c r="C1247" i="13015" s="1"/>
  <c r="C1205" i="13015" s="1"/>
  <c r="D20" i="12711"/>
  <c r="D18" i="12711"/>
  <c r="D101" i="12709"/>
  <c r="D100" i="12709"/>
  <c r="D99" i="12709"/>
  <c r="R200" i="12709" s="1"/>
  <c r="D98" i="12709"/>
  <c r="D96" i="12709"/>
  <c r="D95" i="12709"/>
  <c r="P94" i="12711"/>
  <c r="P93" i="12711"/>
  <c r="D89" i="12709"/>
  <c r="D90" i="12709"/>
  <c r="D91" i="12709"/>
  <c r="D92" i="12709"/>
  <c r="D151" i="12709"/>
  <c r="D150" i="12709"/>
  <c r="D148" i="12709"/>
  <c r="D146" i="12709"/>
  <c r="D145" i="12709"/>
  <c r="D128" i="12709"/>
  <c r="D127" i="12709"/>
  <c r="D125" i="12709"/>
  <c r="D123" i="12709"/>
  <c r="D122" i="12709"/>
  <c r="D110" i="12709"/>
  <c r="D109" i="12709"/>
  <c r="D107" i="12709"/>
  <c r="D105" i="12709"/>
  <c r="D104" i="12709"/>
  <c r="D75" i="12709"/>
  <c r="D74" i="12709"/>
  <c r="D72" i="12709"/>
  <c r="D70" i="12709"/>
  <c r="D69" i="12709"/>
  <c r="D60" i="12709"/>
  <c r="D63" i="12709"/>
  <c r="P58" i="12711"/>
  <c r="D57" i="12709"/>
  <c r="D53" i="12709"/>
  <c r="D52" i="12709"/>
  <c r="D37" i="12709"/>
  <c r="D36" i="12709"/>
  <c r="D34" i="12709"/>
  <c r="D32" i="12709"/>
  <c r="D31" i="12709"/>
  <c r="D25" i="12709"/>
  <c r="D23" i="12709"/>
  <c r="D20" i="12709"/>
  <c r="D18" i="12709"/>
  <c r="H205" i="12711" l="1"/>
  <c r="H206" i="12711"/>
  <c r="E111" i="12711"/>
  <c r="E235" i="12984"/>
  <c r="G235" i="12984"/>
  <c r="I235" i="12984"/>
  <c r="M327" i="12984"/>
  <c r="W327" i="12984"/>
  <c r="S327" i="12984"/>
  <c r="AC327" i="12984"/>
  <c r="I350" i="12984"/>
  <c r="G348" i="12984"/>
  <c r="E241" i="12984"/>
  <c r="G241" i="12984"/>
  <c r="I241" i="12984"/>
  <c r="W348" i="12984"/>
  <c r="M348" i="12984"/>
  <c r="Y350" i="12984"/>
  <c r="O350" i="12984"/>
  <c r="Y327" i="12984"/>
  <c r="O327" i="12984"/>
  <c r="G327" i="12984"/>
  <c r="O220" i="12984"/>
  <c r="Q220" i="12984"/>
  <c r="S220" i="12984"/>
  <c r="W329" i="12984"/>
  <c r="M329" i="12984"/>
  <c r="E247" i="12984"/>
  <c r="G247" i="12984"/>
  <c r="I247" i="12984"/>
  <c r="E348" i="12984"/>
  <c r="G350" i="12984"/>
  <c r="G329" i="12984"/>
  <c r="O241" i="12984"/>
  <c r="Q241" i="12984"/>
  <c r="S241" i="12984"/>
  <c r="O235" i="12984"/>
  <c r="Q235" i="12984"/>
  <c r="S235" i="12984"/>
  <c r="O226" i="12984"/>
  <c r="Q226" i="12984"/>
  <c r="S226" i="12984"/>
  <c r="O247" i="12984"/>
  <c r="Q247" i="12984"/>
  <c r="S247" i="12984"/>
  <c r="E226" i="12984"/>
  <c r="G226" i="12984"/>
  <c r="I226" i="12984"/>
  <c r="O238" i="12984"/>
  <c r="Q238" i="12984"/>
  <c r="S238" i="12984"/>
  <c r="E244" i="12984"/>
  <c r="G244" i="12984"/>
  <c r="I244" i="12984"/>
  <c r="M350" i="12984"/>
  <c r="W350" i="12984"/>
  <c r="G220" i="12984"/>
  <c r="E220" i="12984"/>
  <c r="I220" i="12984"/>
  <c r="E223" i="12984"/>
  <c r="G223" i="12984"/>
  <c r="I223" i="12984"/>
  <c r="O244" i="12984"/>
  <c r="Q244" i="12984"/>
  <c r="S244" i="12984"/>
  <c r="O253" i="12984"/>
  <c r="Q253" i="12984"/>
  <c r="S253" i="12984"/>
  <c r="O223" i="12984"/>
  <c r="Q223" i="12984"/>
  <c r="S223" i="12984"/>
  <c r="E253" i="12984"/>
  <c r="G253" i="12984"/>
  <c r="I253" i="12984"/>
  <c r="E238" i="12984"/>
  <c r="G238" i="12984"/>
  <c r="I238" i="12984"/>
  <c r="C255" i="12984"/>
  <c r="E232" i="12984"/>
  <c r="E328" i="12984" s="1"/>
  <c r="I232" i="12984"/>
  <c r="G232" i="12984"/>
  <c r="E329" i="12984"/>
  <c r="I348" i="12984"/>
  <c r="I329" i="12984"/>
  <c r="Q232" i="12984"/>
  <c r="O232" i="12984"/>
  <c r="S232" i="12984"/>
  <c r="O250" i="12984"/>
  <c r="Q250" i="12984"/>
  <c r="S250" i="12984"/>
  <c r="O229" i="12984"/>
  <c r="Q229" i="12984"/>
  <c r="S229" i="12984"/>
  <c r="G250" i="12984"/>
  <c r="E250" i="12984"/>
  <c r="I250" i="12984"/>
  <c r="E229" i="12984"/>
  <c r="G229" i="12984"/>
  <c r="I229" i="12984"/>
  <c r="J261" i="12924"/>
  <c r="J261" i="12984"/>
  <c r="C187" i="12984"/>
  <c r="C211" i="12984"/>
  <c r="C181" i="12984"/>
  <c r="C184" i="12984"/>
  <c r="C178" i="12984"/>
  <c r="C205" i="12984"/>
  <c r="C208" i="12984"/>
  <c r="C170" i="12984"/>
  <c r="C167" i="12984"/>
  <c r="C164" i="12984"/>
  <c r="C137" i="12984"/>
  <c r="C338" i="12984" s="1"/>
  <c r="C140" i="12984"/>
  <c r="C146" i="12984"/>
  <c r="C143" i="12984"/>
  <c r="D202" i="12711"/>
  <c r="D201" i="12711"/>
  <c r="Q201" i="12709"/>
  <c r="R201" i="12709"/>
  <c r="D182" i="12709"/>
  <c r="F76" i="12711"/>
  <c r="F206" i="12711" s="1"/>
  <c r="H1003" i="12908"/>
  <c r="D181" i="12711"/>
  <c r="D198" i="12711"/>
  <c r="D185" i="12709"/>
  <c r="D199" i="12709"/>
  <c r="P99" i="12711"/>
  <c r="P201" i="12711" s="1"/>
  <c r="C16" i="6"/>
  <c r="P100" i="12711"/>
  <c r="P202" i="12711" s="1"/>
  <c r="C17" i="6"/>
  <c r="P101" i="12711"/>
  <c r="P203" i="12711" s="1"/>
  <c r="I53" i="12852"/>
  <c r="I54" i="12852"/>
  <c r="D195" i="12711"/>
  <c r="G22" i="12910"/>
  <c r="D185" i="12711"/>
  <c r="H133" i="12711"/>
  <c r="D186" i="12709"/>
  <c r="D204" i="12711"/>
  <c r="G16" i="12852"/>
  <c r="G41" i="12910"/>
  <c r="G66" i="12910"/>
  <c r="G55" i="12910"/>
  <c r="I34" i="12852"/>
  <c r="P91" i="12711"/>
  <c r="D29" i="12709"/>
  <c r="P60" i="12711"/>
  <c r="P89" i="12711"/>
  <c r="P96" i="12711"/>
  <c r="P66" i="12711"/>
  <c r="J119" i="12711"/>
  <c r="J187" i="12711" s="1"/>
  <c r="P90" i="12711"/>
  <c r="P52" i="12711"/>
  <c r="P92" i="12711"/>
  <c r="T261" i="12924"/>
  <c r="J263" i="12924"/>
  <c r="I133" i="12711"/>
  <c r="H115" i="12711"/>
  <c r="B16" i="12715" s="1"/>
  <c r="H156" i="12711"/>
  <c r="P122" i="12711"/>
  <c r="D129" i="12709"/>
  <c r="P145" i="12711"/>
  <c r="D152" i="12709"/>
  <c r="P69" i="12711"/>
  <c r="D76" i="12709"/>
  <c r="P104" i="12711"/>
  <c r="D111" i="12709"/>
  <c r="D29" i="12711"/>
  <c r="P31" i="12711"/>
  <c r="D38" i="12709"/>
  <c r="P98" i="12711"/>
  <c r="P28" i="12711"/>
  <c r="P204" i="12711" s="1"/>
  <c r="P23" i="12711"/>
  <c r="P20" i="12711"/>
  <c r="P18" i="12711"/>
  <c r="E76" i="12711"/>
  <c r="H80" i="12711"/>
  <c r="K156" i="12711"/>
  <c r="D196" i="12709"/>
  <c r="P25" i="12711"/>
  <c r="E34" i="12709"/>
  <c r="H34" i="12709" s="1"/>
  <c r="P34" i="12711"/>
  <c r="E37" i="12709"/>
  <c r="H37" i="12709" s="1"/>
  <c r="P37" i="12711"/>
  <c r="P56" i="12711"/>
  <c r="P184" i="12711" s="1"/>
  <c r="P63" i="12711"/>
  <c r="E72" i="12709"/>
  <c r="H72" i="12709" s="1"/>
  <c r="P72" i="12711"/>
  <c r="E75" i="12709"/>
  <c r="H75" i="12709" s="1"/>
  <c r="P75" i="12711"/>
  <c r="E107" i="12709"/>
  <c r="H107" i="12709" s="1"/>
  <c r="P107" i="12711"/>
  <c r="E110" i="12709"/>
  <c r="H110" i="12709" s="1"/>
  <c r="P110" i="12711"/>
  <c r="E125" i="12709"/>
  <c r="H125" i="12709" s="1"/>
  <c r="P125" i="12711"/>
  <c r="E128" i="12709"/>
  <c r="H128" i="12709" s="1"/>
  <c r="P128" i="12711"/>
  <c r="E148" i="12709"/>
  <c r="H148" i="12709" s="1"/>
  <c r="P148" i="12711"/>
  <c r="E151" i="12709"/>
  <c r="H151" i="12709" s="1"/>
  <c r="P151" i="12711"/>
  <c r="D195" i="12709"/>
  <c r="P95" i="12711"/>
  <c r="P194" i="12711" s="1"/>
  <c r="E32" i="12709"/>
  <c r="H32" i="12709" s="1"/>
  <c r="P32" i="12711"/>
  <c r="E33" i="12709"/>
  <c r="H33" i="12709" s="1"/>
  <c r="P33" i="12711"/>
  <c r="E36" i="12709"/>
  <c r="H36" i="12709" s="1"/>
  <c r="P36" i="12711"/>
  <c r="P53" i="12711"/>
  <c r="P57" i="12711"/>
  <c r="P185" i="12711" s="1"/>
  <c r="E70" i="12709"/>
  <c r="H70" i="12709" s="1"/>
  <c r="P70" i="12711"/>
  <c r="E71" i="12709"/>
  <c r="H71" i="12709" s="1"/>
  <c r="P71" i="12711"/>
  <c r="E74" i="12709"/>
  <c r="H74" i="12709" s="1"/>
  <c r="P74" i="12711"/>
  <c r="E105" i="12709"/>
  <c r="H105" i="12709" s="1"/>
  <c r="P105" i="12711"/>
  <c r="E106" i="12709"/>
  <c r="H106" i="12709" s="1"/>
  <c r="P106" i="12711"/>
  <c r="E109" i="12709"/>
  <c r="H109" i="12709" s="1"/>
  <c r="P109" i="12711"/>
  <c r="E123" i="12709"/>
  <c r="H123" i="12709" s="1"/>
  <c r="P123" i="12711"/>
  <c r="E124" i="12709"/>
  <c r="H124" i="12709" s="1"/>
  <c r="P124" i="12711"/>
  <c r="E127" i="12709"/>
  <c r="H127" i="12709" s="1"/>
  <c r="P127" i="12711"/>
  <c r="E146" i="12709"/>
  <c r="H146" i="12709" s="1"/>
  <c r="P146" i="12711"/>
  <c r="E147" i="12709"/>
  <c r="H147" i="12709" s="1"/>
  <c r="P147" i="12711"/>
  <c r="E150" i="12709"/>
  <c r="H150" i="12709" s="1"/>
  <c r="P150" i="12711"/>
  <c r="F28" i="12711"/>
  <c r="C1289" i="12908"/>
  <c r="Z1289" i="13034" s="1"/>
  <c r="C1331" i="12908"/>
  <c r="Z1331" i="13034" s="1"/>
  <c r="D203" i="12709"/>
  <c r="D205" i="12709"/>
  <c r="R28" i="12709"/>
  <c r="D202" i="12709"/>
  <c r="D204" i="12709"/>
  <c r="R66" i="12709"/>
  <c r="F101" i="12711"/>
  <c r="F203" i="12711" s="1"/>
  <c r="F100" i="12711"/>
  <c r="F202" i="12711" s="1"/>
  <c r="E31" i="12709"/>
  <c r="E69" i="12709"/>
  <c r="E104" i="12709"/>
  <c r="E122" i="12709"/>
  <c r="E145" i="12709"/>
  <c r="G156" i="12709"/>
  <c r="C2652" i="12908"/>
  <c r="Z2652" i="13034" s="1"/>
  <c r="E66" i="12711"/>
  <c r="H42" i="12711"/>
  <c r="K20" i="12709" l="1"/>
  <c r="AE1003" i="13034"/>
  <c r="F204" i="12711"/>
  <c r="C2661" i="13015"/>
  <c r="C2643" i="13015" s="1"/>
  <c r="H207" i="12711"/>
  <c r="P181" i="12711"/>
  <c r="P198" i="12711"/>
  <c r="P195" i="12711"/>
  <c r="G255" i="12984"/>
  <c r="E351" i="12984"/>
  <c r="Q255" i="12984"/>
  <c r="O255" i="12984"/>
  <c r="E255" i="12984"/>
  <c r="Y351" i="12984"/>
  <c r="O351" i="12984"/>
  <c r="Y328" i="12984"/>
  <c r="O328" i="12984"/>
  <c r="I330" i="12984"/>
  <c r="I255" i="12984"/>
  <c r="E349" i="12984"/>
  <c r="M351" i="12984"/>
  <c r="W351" i="12984"/>
  <c r="Y329" i="12984"/>
  <c r="O329" i="12984"/>
  <c r="Q329" i="12984"/>
  <c r="AA329" i="12984"/>
  <c r="I351" i="12984"/>
  <c r="AC329" i="12984"/>
  <c r="S329" i="12984"/>
  <c r="C331" i="12984"/>
  <c r="C332" i="12984" s="1"/>
  <c r="W328" i="12984"/>
  <c r="W331" i="12984" s="1"/>
  <c r="M328" i="12984"/>
  <c r="M331" i="12984" s="1"/>
  <c r="M332" i="12984" s="1"/>
  <c r="M330" i="12984"/>
  <c r="W330" i="12984"/>
  <c r="Q350" i="12984"/>
  <c r="AA350" i="12984"/>
  <c r="E330" i="12984"/>
  <c r="E331" i="12984" s="1"/>
  <c r="E332" i="12984" s="1"/>
  <c r="AA327" i="12984"/>
  <c r="Q327" i="12984"/>
  <c r="C352" i="12984"/>
  <c r="AA348" i="12984"/>
  <c r="Q348" i="12984"/>
  <c r="M349" i="12984"/>
  <c r="M352" i="12984" s="1"/>
  <c r="W349" i="12984"/>
  <c r="S348" i="12984"/>
  <c r="AC348" i="12984"/>
  <c r="G328" i="12984"/>
  <c r="G330" i="12984"/>
  <c r="I349" i="12984"/>
  <c r="Y348" i="12984"/>
  <c r="O348" i="12984"/>
  <c r="E352" i="12984"/>
  <c r="G351" i="12984"/>
  <c r="S255" i="12984"/>
  <c r="G349" i="12984"/>
  <c r="I328" i="12984"/>
  <c r="S350" i="12984"/>
  <c r="AC350" i="12984"/>
  <c r="C292" i="12984"/>
  <c r="C280" i="12984"/>
  <c r="C283" i="12984"/>
  <c r="C268" i="12984"/>
  <c r="C289" i="12984"/>
  <c r="C265" i="12984"/>
  <c r="C286" i="12984"/>
  <c r="C274" i="12984"/>
  <c r="C277" i="12984"/>
  <c r="C295" i="12984"/>
  <c r="C271" i="12984"/>
  <c r="C262" i="12984"/>
  <c r="G184" i="12984"/>
  <c r="E184" i="12984"/>
  <c r="C185" i="12984"/>
  <c r="I184" i="12984"/>
  <c r="E208" i="12984"/>
  <c r="C209" i="12984"/>
  <c r="G208" i="12984"/>
  <c r="I208" i="12984"/>
  <c r="C182" i="12984"/>
  <c r="E181" i="12984"/>
  <c r="G181" i="12984"/>
  <c r="I181" i="12984"/>
  <c r="E205" i="12984"/>
  <c r="C206" i="12984"/>
  <c r="G205" i="12984"/>
  <c r="I205" i="12984"/>
  <c r="C212" i="12984"/>
  <c r="E211" i="12984"/>
  <c r="G211" i="12984"/>
  <c r="I211" i="12984"/>
  <c r="C179" i="12984"/>
  <c r="E178" i="12984"/>
  <c r="G178" i="12984"/>
  <c r="I178" i="12984"/>
  <c r="C188" i="12984"/>
  <c r="E187" i="12984"/>
  <c r="G187" i="12984"/>
  <c r="I187" i="12984"/>
  <c r="C138" i="12984"/>
  <c r="E137" i="12984"/>
  <c r="G137" i="12984"/>
  <c r="W338" i="12984"/>
  <c r="I137" i="12984"/>
  <c r="E143" i="12984"/>
  <c r="G143" i="12984"/>
  <c r="C144" i="12984"/>
  <c r="I143" i="12984"/>
  <c r="E146" i="12984"/>
  <c r="I146" i="12984"/>
  <c r="G146" i="12984"/>
  <c r="C147" i="12984"/>
  <c r="C168" i="12984"/>
  <c r="E167" i="12984"/>
  <c r="G167" i="12984"/>
  <c r="I167" i="12984"/>
  <c r="C165" i="12984"/>
  <c r="E164" i="12984"/>
  <c r="G164" i="12984"/>
  <c r="I164" i="12984"/>
  <c r="C141" i="12984"/>
  <c r="E140" i="12984"/>
  <c r="G140" i="12984"/>
  <c r="I140" i="12984"/>
  <c r="C171" i="12984"/>
  <c r="G170" i="12984"/>
  <c r="E170" i="12984"/>
  <c r="I170" i="12984"/>
  <c r="I55" i="12910"/>
  <c r="I59" i="12852"/>
  <c r="K59" i="12852" s="1"/>
  <c r="L59" i="12852" s="1"/>
  <c r="I60" i="12852"/>
  <c r="K60" i="12852" s="1"/>
  <c r="L60" i="12852" s="1"/>
  <c r="G76" i="12711"/>
  <c r="H157" i="12711"/>
  <c r="H208" i="12711" s="1"/>
  <c r="Q100" i="12709"/>
  <c r="B16" i="6"/>
  <c r="I61" i="12852"/>
  <c r="K61" i="12852" s="1"/>
  <c r="L61" i="12852" s="1"/>
  <c r="B18" i="6"/>
  <c r="B17" i="6"/>
  <c r="Q202" i="12709"/>
  <c r="R205" i="12709"/>
  <c r="Q203" i="12709"/>
  <c r="Q99" i="12709"/>
  <c r="I50" i="12852"/>
  <c r="I49" i="12852"/>
  <c r="I58" i="12852"/>
  <c r="I36" i="12852"/>
  <c r="I52" i="12852"/>
  <c r="I28" i="12852"/>
  <c r="I56" i="12852"/>
  <c r="I29" i="12852"/>
  <c r="I39" i="12852"/>
  <c r="I12" i="12852"/>
  <c r="K12" i="12852" s="1"/>
  <c r="L12" i="12852" s="1"/>
  <c r="I15" i="12852"/>
  <c r="I33" i="12852"/>
  <c r="I55" i="12852"/>
  <c r="I32" i="12852"/>
  <c r="I19" i="12852"/>
  <c r="K19" i="12852" s="1"/>
  <c r="L19" i="12852" s="1"/>
  <c r="W187" i="12711"/>
  <c r="I10" i="12852"/>
  <c r="I51" i="12852"/>
  <c r="G77" i="12910"/>
  <c r="G29" i="12910"/>
  <c r="G78" i="12910"/>
  <c r="C1636" i="12908"/>
  <c r="Z1636" i="13034" s="1"/>
  <c r="I16" i="12852"/>
  <c r="K16" i="12852" s="1"/>
  <c r="E25" i="12709" s="1"/>
  <c r="H2064" i="12908"/>
  <c r="AE2064" i="13034" s="1"/>
  <c r="J120" i="12711"/>
  <c r="W119" i="12711"/>
  <c r="I150" i="12709"/>
  <c r="Q150" i="12711"/>
  <c r="T150" i="12711" s="1"/>
  <c r="I147" i="12709"/>
  <c r="Q147" i="12711"/>
  <c r="T147" i="12711" s="1"/>
  <c r="I146" i="12709"/>
  <c r="Q146" i="12711"/>
  <c r="T146" i="12711" s="1"/>
  <c r="I127" i="12709"/>
  <c r="Q127" i="12711"/>
  <c r="T127" i="12711" s="1"/>
  <c r="I124" i="12709"/>
  <c r="Q124" i="12711"/>
  <c r="T124" i="12711" s="1"/>
  <c r="I123" i="12709"/>
  <c r="Q123" i="12711"/>
  <c r="T123" i="12711" s="1"/>
  <c r="I109" i="12709"/>
  <c r="Q109" i="12711"/>
  <c r="T109" i="12711" s="1"/>
  <c r="I106" i="12709"/>
  <c r="Q106" i="12711"/>
  <c r="T106" i="12711" s="1"/>
  <c r="I105" i="12709"/>
  <c r="Q105" i="12711"/>
  <c r="T105" i="12711" s="1"/>
  <c r="I74" i="12709"/>
  <c r="Q74" i="12711"/>
  <c r="T74" i="12711" s="1"/>
  <c r="I71" i="12709"/>
  <c r="Q71" i="12711"/>
  <c r="T71" i="12711" s="1"/>
  <c r="I70" i="12709"/>
  <c r="Q70" i="12711"/>
  <c r="T70" i="12711" s="1"/>
  <c r="I36" i="12709"/>
  <c r="Q36" i="12711"/>
  <c r="T36" i="12711" s="1"/>
  <c r="I33" i="12709"/>
  <c r="Q33" i="12711"/>
  <c r="T33" i="12711" s="1"/>
  <c r="I32" i="12709"/>
  <c r="Q32" i="12711"/>
  <c r="T32" i="12711" s="1"/>
  <c r="I151" i="12709"/>
  <c r="Q151" i="12711"/>
  <c r="T151" i="12711" s="1"/>
  <c r="I148" i="12709"/>
  <c r="Q148" i="12711"/>
  <c r="T148" i="12711" s="1"/>
  <c r="I128" i="12709"/>
  <c r="Q128" i="12711"/>
  <c r="T128" i="12711" s="1"/>
  <c r="I125" i="12709"/>
  <c r="Q125" i="12711"/>
  <c r="T125" i="12711" s="1"/>
  <c r="I110" i="12709"/>
  <c r="Q110" i="12711"/>
  <c r="T110" i="12711" s="1"/>
  <c r="I107" i="12709"/>
  <c r="Q107" i="12711"/>
  <c r="T107" i="12711" s="1"/>
  <c r="I75" i="12709"/>
  <c r="Q75" i="12711"/>
  <c r="T75" i="12711" s="1"/>
  <c r="I72" i="12709"/>
  <c r="Q72" i="12711"/>
  <c r="T72" i="12711" s="1"/>
  <c r="I37" i="12709"/>
  <c r="Q37" i="12711"/>
  <c r="T37" i="12711" s="1"/>
  <c r="I34" i="12709"/>
  <c r="Q34" i="12711"/>
  <c r="T34" i="12711" s="1"/>
  <c r="C2661" i="12908"/>
  <c r="Z2661" i="13034" s="1"/>
  <c r="H145" i="12709"/>
  <c r="Q145" i="12711" s="1"/>
  <c r="T145" i="12711" s="1"/>
  <c r="E152" i="12709"/>
  <c r="H122" i="12709"/>
  <c r="Q122" i="12711" s="1"/>
  <c r="T122" i="12711" s="1"/>
  <c r="E129" i="12709"/>
  <c r="H104" i="12709"/>
  <c r="Q104" i="12711" s="1"/>
  <c r="T104" i="12711" s="1"/>
  <c r="E111" i="12709"/>
  <c r="H69" i="12709"/>
  <c r="Q69" i="12711" s="1"/>
  <c r="T69" i="12711" s="1"/>
  <c r="E76" i="12709"/>
  <c r="H31" i="12709"/>
  <c r="Q31" i="12711" s="1"/>
  <c r="T31" i="12711" s="1"/>
  <c r="E38" i="12709"/>
  <c r="C339" i="12984" l="1"/>
  <c r="W352" i="12984"/>
  <c r="E207" i="12709"/>
  <c r="I352" i="12984"/>
  <c r="AA330" i="12984"/>
  <c r="Q330" i="12984"/>
  <c r="Y349" i="12984"/>
  <c r="Y352" i="12984" s="1"/>
  <c r="O349" i="12984"/>
  <c r="O352" i="12984" s="1"/>
  <c r="AA328" i="12984"/>
  <c r="AA331" i="12984" s="1"/>
  <c r="Q328" i="12984"/>
  <c r="Q331" i="12984" s="1"/>
  <c r="Q332" i="12984" s="1"/>
  <c r="Y330" i="12984"/>
  <c r="O330" i="12984"/>
  <c r="O331" i="12984" s="1"/>
  <c r="O332" i="12984" s="1"/>
  <c r="S330" i="12984"/>
  <c r="AC330" i="12984"/>
  <c r="Q349" i="12984"/>
  <c r="AA349" i="12984"/>
  <c r="S351" i="12984"/>
  <c r="AC351" i="12984"/>
  <c r="Y331" i="12984"/>
  <c r="AC328" i="12984"/>
  <c r="S328" i="12984"/>
  <c r="S331" i="12984" s="1"/>
  <c r="S332" i="12984" s="1"/>
  <c r="I331" i="12984"/>
  <c r="I332" i="12984" s="1"/>
  <c r="Q351" i="12984"/>
  <c r="AA351" i="12984"/>
  <c r="AC349" i="12984"/>
  <c r="S349" i="12984"/>
  <c r="S352" i="12984" s="1"/>
  <c r="G352" i="12984"/>
  <c r="G331" i="12984"/>
  <c r="G332" i="12984" s="1"/>
  <c r="C358" i="12984"/>
  <c r="M358" i="12984" s="1"/>
  <c r="M262" i="12984"/>
  <c r="C260" i="12984"/>
  <c r="C266" i="12984"/>
  <c r="M268" i="12984"/>
  <c r="M286" i="12984"/>
  <c r="C284" i="12984"/>
  <c r="C285" i="12984" s="1"/>
  <c r="C281" i="12984"/>
  <c r="M283" i="12984"/>
  <c r="M295" i="12984"/>
  <c r="C293" i="12984"/>
  <c r="C294" i="12984"/>
  <c r="M265" i="12984"/>
  <c r="C263" i="12984"/>
  <c r="C264" i="12984" s="1"/>
  <c r="C278" i="12984"/>
  <c r="M280" i="12984"/>
  <c r="M274" i="12984"/>
  <c r="C272" i="12984"/>
  <c r="C273" i="12984"/>
  <c r="C269" i="12984"/>
  <c r="C270" i="12984" s="1"/>
  <c r="M271" i="12984"/>
  <c r="C275" i="12984"/>
  <c r="M277" i="12984"/>
  <c r="M289" i="12984"/>
  <c r="C287" i="12984"/>
  <c r="C288" i="12984" s="1"/>
  <c r="M292" i="12984"/>
  <c r="C290" i="12984"/>
  <c r="G345" i="12984"/>
  <c r="C346" i="12984"/>
  <c r="M346" i="12984" s="1"/>
  <c r="W346" i="12984" s="1"/>
  <c r="E185" i="12984"/>
  <c r="G185" i="12984"/>
  <c r="I185" i="12984"/>
  <c r="E188" i="12984"/>
  <c r="G188" i="12984"/>
  <c r="I188" i="12984"/>
  <c r="E206" i="12984"/>
  <c r="G206" i="12984"/>
  <c r="I206" i="12984"/>
  <c r="E345" i="12984"/>
  <c r="E209" i="12984"/>
  <c r="G209" i="12984"/>
  <c r="I209" i="12984"/>
  <c r="C214" i="12984"/>
  <c r="E179" i="12984"/>
  <c r="G179" i="12984"/>
  <c r="I179" i="12984"/>
  <c r="E212" i="12984"/>
  <c r="G212" i="12984"/>
  <c r="I212" i="12984"/>
  <c r="E182" i="12984"/>
  <c r="G182" i="12984"/>
  <c r="I182" i="12984"/>
  <c r="I345" i="12984"/>
  <c r="M345" i="12984"/>
  <c r="W345" i="12984" s="1"/>
  <c r="W347" i="12984" s="1"/>
  <c r="C347" i="12984"/>
  <c r="G338" i="12984"/>
  <c r="AA338" i="12984" s="1"/>
  <c r="E141" i="12984"/>
  <c r="G141" i="12984"/>
  <c r="I141" i="12984"/>
  <c r="E338" i="12984"/>
  <c r="Y338" i="12984" s="1"/>
  <c r="E147" i="12984"/>
  <c r="G147" i="12984"/>
  <c r="I147" i="12984"/>
  <c r="I338" i="12984"/>
  <c r="AC338" i="12984" s="1"/>
  <c r="E138" i="12984"/>
  <c r="I138" i="12984"/>
  <c r="G138" i="12984"/>
  <c r="E171" i="12984"/>
  <c r="G171" i="12984"/>
  <c r="I171" i="12984"/>
  <c r="E165" i="12984"/>
  <c r="G165" i="12984"/>
  <c r="I165" i="12984"/>
  <c r="E168" i="12984"/>
  <c r="G168" i="12984"/>
  <c r="I168" i="12984"/>
  <c r="E144" i="12984"/>
  <c r="G144" i="12984"/>
  <c r="I144" i="12984"/>
  <c r="M338" i="12984"/>
  <c r="C1015" i="12908" s="1"/>
  <c r="C173" i="12984"/>
  <c r="C2643" i="12908"/>
  <c r="Z2643" i="13034" s="1"/>
  <c r="R203" i="12709"/>
  <c r="R202" i="12709"/>
  <c r="L16" i="12852"/>
  <c r="Q76" i="12711"/>
  <c r="I31" i="12709"/>
  <c r="I38" i="12709" s="1"/>
  <c r="H38" i="12709"/>
  <c r="I69" i="12709"/>
  <c r="I76" i="12709" s="1"/>
  <c r="H76" i="12709"/>
  <c r="I104" i="12709"/>
  <c r="I111" i="12709" s="1"/>
  <c r="H111" i="12709"/>
  <c r="I122" i="12709"/>
  <c r="I129" i="12709" s="1"/>
  <c r="H129" i="12709"/>
  <c r="I145" i="12709"/>
  <c r="I152" i="12709" s="1"/>
  <c r="H152" i="12709"/>
  <c r="C967" i="12908" l="1"/>
  <c r="Z967" i="13034" s="1"/>
  <c r="Z1015" i="13034"/>
  <c r="AC352" i="12984"/>
  <c r="Q352" i="12984"/>
  <c r="I214" i="12984"/>
  <c r="E214" i="12984"/>
  <c r="G346" i="12984"/>
  <c r="Q346" i="12984" s="1"/>
  <c r="AA346" i="12984" s="1"/>
  <c r="M339" i="12984"/>
  <c r="C1016" i="12908" s="1"/>
  <c r="W339" i="12984"/>
  <c r="W340" i="12984" s="1"/>
  <c r="E346" i="12984"/>
  <c r="O346" i="12984" s="1"/>
  <c r="Y346" i="12984" s="1"/>
  <c r="AC331" i="12984"/>
  <c r="AA352" i="12984"/>
  <c r="E290" i="12984"/>
  <c r="G290" i="12984"/>
  <c r="I290" i="12984"/>
  <c r="E288" i="12984"/>
  <c r="G288" i="12984"/>
  <c r="I288" i="12984"/>
  <c r="I275" i="12984"/>
  <c r="E275" i="12984"/>
  <c r="G275" i="12984"/>
  <c r="C354" i="12984"/>
  <c r="M354" i="12984" s="1"/>
  <c r="I273" i="12984"/>
  <c r="E273" i="12984"/>
  <c r="G273" i="12984"/>
  <c r="M278" i="12984"/>
  <c r="M279" i="12984" s="1"/>
  <c r="M263" i="12984"/>
  <c r="M264" i="12984" s="1"/>
  <c r="M281" i="12984"/>
  <c r="M282" i="12984" s="1"/>
  <c r="M284" i="12984"/>
  <c r="I260" i="12984"/>
  <c r="G260" i="12984"/>
  <c r="E260" i="12984"/>
  <c r="C291" i="12984"/>
  <c r="M287" i="12984"/>
  <c r="E270" i="12984"/>
  <c r="I270" i="12984"/>
  <c r="G270" i="12984"/>
  <c r="E272" i="12984"/>
  <c r="I272" i="12984"/>
  <c r="G272" i="12984"/>
  <c r="E278" i="12984"/>
  <c r="I278" i="12984"/>
  <c r="G278" i="12984"/>
  <c r="E294" i="12984"/>
  <c r="G294" i="12984"/>
  <c r="I294" i="12984"/>
  <c r="C282" i="12984"/>
  <c r="E281" i="12984"/>
  <c r="G281" i="12984"/>
  <c r="I281" i="12984"/>
  <c r="M266" i="12984"/>
  <c r="M267" i="12984" s="1"/>
  <c r="C359" i="12984"/>
  <c r="M260" i="12984"/>
  <c r="M290" i="12984"/>
  <c r="M291" i="12984" s="1"/>
  <c r="C276" i="12984"/>
  <c r="M269" i="12984"/>
  <c r="M270" i="12984" s="1"/>
  <c r="M272" i="12984"/>
  <c r="M273" i="12984"/>
  <c r="E264" i="12984"/>
  <c r="G264" i="12984"/>
  <c r="I264" i="12984"/>
  <c r="E293" i="12984"/>
  <c r="G293" i="12984"/>
  <c r="I293" i="12984"/>
  <c r="E285" i="12984"/>
  <c r="G285" i="12984"/>
  <c r="I285" i="12984"/>
  <c r="E266" i="12984"/>
  <c r="G266" i="12984"/>
  <c r="I266" i="12984"/>
  <c r="C261" i="12984"/>
  <c r="E287" i="12984"/>
  <c r="G287" i="12984"/>
  <c r="I287" i="12984"/>
  <c r="M275" i="12984"/>
  <c r="M276" i="12984" s="1"/>
  <c r="E269" i="12984"/>
  <c r="I269" i="12984"/>
  <c r="G269" i="12984"/>
  <c r="C279" i="12984"/>
  <c r="E263" i="12984"/>
  <c r="G263" i="12984"/>
  <c r="I263" i="12984"/>
  <c r="M293" i="12984"/>
  <c r="M294" i="12984" s="1"/>
  <c r="E284" i="12984"/>
  <c r="G284" i="12984"/>
  <c r="I284" i="12984"/>
  <c r="C267" i="12984"/>
  <c r="M347" i="12984"/>
  <c r="O345" i="12984"/>
  <c r="Y345" i="12984" s="1"/>
  <c r="Q345" i="12984"/>
  <c r="S345" i="12984"/>
  <c r="AC345" i="12984" s="1"/>
  <c r="I346" i="12984"/>
  <c r="S346" i="12984" s="1"/>
  <c r="AC346" i="12984" s="1"/>
  <c r="G214" i="12984"/>
  <c r="E173" i="12984"/>
  <c r="I173" i="12984"/>
  <c r="G173" i="12984"/>
  <c r="S338" i="12984"/>
  <c r="C340" i="12984"/>
  <c r="C353" i="12984" s="1"/>
  <c r="I339" i="12984"/>
  <c r="O338" i="12984"/>
  <c r="G339" i="12984"/>
  <c r="G340" i="12984" s="1"/>
  <c r="M340" i="12984"/>
  <c r="M353" i="12984" s="1"/>
  <c r="E339" i="12984"/>
  <c r="Q338" i="12984"/>
  <c r="C3" i="12749"/>
  <c r="C4" i="12749"/>
  <c r="C5" i="12749"/>
  <c r="C6" i="12749"/>
  <c r="C7" i="12749"/>
  <c r="C8" i="12749"/>
  <c r="C9" i="12749"/>
  <c r="C10" i="12749"/>
  <c r="C11" i="12749"/>
  <c r="C12" i="12749"/>
  <c r="C13" i="12749"/>
  <c r="C14" i="12749"/>
  <c r="C15" i="12749"/>
  <c r="C16" i="12749"/>
  <c r="C17" i="12749"/>
  <c r="C18" i="12749"/>
  <c r="C19" i="12749"/>
  <c r="C20" i="12749"/>
  <c r="C21" i="12749"/>
  <c r="C22" i="12749"/>
  <c r="C23" i="12749"/>
  <c r="C24" i="12749"/>
  <c r="C25" i="12749"/>
  <c r="C26" i="12749"/>
  <c r="C27" i="12749"/>
  <c r="C28" i="12749"/>
  <c r="C29" i="12749"/>
  <c r="C30" i="12749"/>
  <c r="C31" i="12749"/>
  <c r="C32" i="12749"/>
  <c r="C33" i="12749"/>
  <c r="C34" i="12749"/>
  <c r="C35" i="12749"/>
  <c r="C36" i="12749"/>
  <c r="C37" i="12749"/>
  <c r="C38" i="12749"/>
  <c r="C39" i="12749"/>
  <c r="C40" i="12749"/>
  <c r="C41" i="12749"/>
  <c r="C42" i="12749"/>
  <c r="C43" i="12749"/>
  <c r="C44" i="12749"/>
  <c r="C45" i="12749"/>
  <c r="C46" i="12749"/>
  <c r="C47" i="12749"/>
  <c r="C48" i="12749"/>
  <c r="C49" i="12749"/>
  <c r="C50" i="12749"/>
  <c r="C51" i="12749"/>
  <c r="C52" i="12749"/>
  <c r="C53" i="12749"/>
  <c r="C54" i="12749"/>
  <c r="C55" i="12749"/>
  <c r="C56" i="12749"/>
  <c r="C57" i="12749"/>
  <c r="C58" i="12749"/>
  <c r="C59" i="12749"/>
  <c r="C60" i="12749"/>
  <c r="C61" i="12749"/>
  <c r="C62" i="12749"/>
  <c r="C63" i="12749"/>
  <c r="C64" i="12749"/>
  <c r="C65" i="12749"/>
  <c r="C66" i="12749"/>
  <c r="C67" i="12749"/>
  <c r="C68" i="12749"/>
  <c r="C69" i="12749"/>
  <c r="C70" i="12749"/>
  <c r="C71" i="12749"/>
  <c r="C72" i="12749"/>
  <c r="C73" i="12749"/>
  <c r="C74" i="12749"/>
  <c r="C75" i="12749"/>
  <c r="C76" i="12749"/>
  <c r="C77" i="12749"/>
  <c r="C78" i="12749"/>
  <c r="C79" i="12749"/>
  <c r="C80" i="12749"/>
  <c r="C81" i="12749"/>
  <c r="C82" i="12749"/>
  <c r="C83" i="12749"/>
  <c r="C84" i="12749"/>
  <c r="C85" i="12749"/>
  <c r="C86" i="12749"/>
  <c r="C87" i="12749"/>
  <c r="C88" i="12749"/>
  <c r="C89" i="12749"/>
  <c r="C90" i="12749"/>
  <c r="C91" i="12749"/>
  <c r="C92" i="12749"/>
  <c r="C93" i="12749"/>
  <c r="C94" i="12749"/>
  <c r="C95" i="12749"/>
  <c r="C96" i="12749"/>
  <c r="C97" i="12749"/>
  <c r="C98" i="12749"/>
  <c r="C99" i="12749"/>
  <c r="C100" i="12749"/>
  <c r="C101" i="12749"/>
  <c r="C102" i="12749"/>
  <c r="C103" i="12749"/>
  <c r="C104" i="12749"/>
  <c r="C105" i="12749"/>
  <c r="C106" i="12749"/>
  <c r="C107" i="12749"/>
  <c r="C108" i="12749"/>
  <c r="C109" i="12749"/>
  <c r="C110" i="12749"/>
  <c r="C111" i="12749"/>
  <c r="C112" i="12749"/>
  <c r="C113" i="12749"/>
  <c r="C114" i="12749"/>
  <c r="C115" i="12749"/>
  <c r="C116" i="12749"/>
  <c r="C117" i="12749"/>
  <c r="C118" i="12749"/>
  <c r="C119" i="12749"/>
  <c r="C120" i="12749"/>
  <c r="C121" i="12749"/>
  <c r="C122" i="12749"/>
  <c r="C123" i="12749"/>
  <c r="C124" i="12749"/>
  <c r="C125" i="12749"/>
  <c r="C126" i="12749"/>
  <c r="C127" i="12749"/>
  <c r="C128" i="12749"/>
  <c r="C129" i="12749"/>
  <c r="C130" i="12749"/>
  <c r="C131" i="12749"/>
  <c r="C132" i="12749"/>
  <c r="C133" i="12749"/>
  <c r="C134" i="12749"/>
  <c r="C135" i="12749"/>
  <c r="C136" i="12749"/>
  <c r="C137" i="12749"/>
  <c r="C138" i="12749"/>
  <c r="C139" i="12749"/>
  <c r="C140" i="12749"/>
  <c r="C141" i="12749"/>
  <c r="C142" i="12749"/>
  <c r="C143" i="12749"/>
  <c r="C144" i="12749"/>
  <c r="C145" i="12749"/>
  <c r="C146" i="12749"/>
  <c r="C147" i="12749"/>
  <c r="C148" i="12749"/>
  <c r="C149" i="12749"/>
  <c r="C159" i="12749"/>
  <c r="C160" i="12749"/>
  <c r="C161" i="12749"/>
  <c r="C163" i="12749"/>
  <c r="C164" i="12749"/>
  <c r="C165" i="12749"/>
  <c r="C166" i="12749"/>
  <c r="C167" i="12749"/>
  <c r="C168" i="12749"/>
  <c r="C169" i="12749"/>
  <c r="C170" i="12749"/>
  <c r="A129" i="12749"/>
  <c r="A130" i="12749"/>
  <c r="A131" i="12749"/>
  <c r="A132" i="12749"/>
  <c r="A133" i="12749"/>
  <c r="A134" i="12749"/>
  <c r="A135" i="12749"/>
  <c r="A136" i="12749"/>
  <c r="A137" i="12749"/>
  <c r="A138" i="12749"/>
  <c r="A139" i="12749"/>
  <c r="A140" i="12749"/>
  <c r="A141" i="12749"/>
  <c r="A142" i="12749"/>
  <c r="A143" i="12749"/>
  <c r="A144" i="12749"/>
  <c r="A145" i="12749"/>
  <c r="A146" i="12749"/>
  <c r="A147" i="12749"/>
  <c r="A148" i="12749"/>
  <c r="A149" i="12749"/>
  <c r="A159" i="12749"/>
  <c r="A160" i="12749"/>
  <c r="A161" i="12749"/>
  <c r="A162" i="12749"/>
  <c r="A163" i="12749"/>
  <c r="A164" i="12749"/>
  <c r="A165" i="12749"/>
  <c r="A166" i="12749"/>
  <c r="A167" i="12749"/>
  <c r="A168" i="12749"/>
  <c r="A169" i="12749"/>
  <c r="A170" i="12749"/>
  <c r="A171" i="12749"/>
  <c r="M113" i="12924"/>
  <c r="Q113" i="12924" s="1"/>
  <c r="M112" i="12924"/>
  <c r="Q112" i="12924" s="1"/>
  <c r="M111" i="12924"/>
  <c r="Q111" i="12924" s="1"/>
  <c r="M110" i="12924"/>
  <c r="Q110" i="12924" s="1"/>
  <c r="M109" i="12924"/>
  <c r="Q109" i="12924" s="1"/>
  <c r="M108" i="12924"/>
  <c r="Q108" i="12924" s="1"/>
  <c r="M107" i="12924"/>
  <c r="Q107" i="12924" s="1"/>
  <c r="M106" i="12924"/>
  <c r="M105" i="12924"/>
  <c r="Q105" i="12924" s="1"/>
  <c r="M104" i="12924"/>
  <c r="Q104" i="12924" s="1"/>
  <c r="M103" i="12924"/>
  <c r="Q103" i="12924" s="1"/>
  <c r="M102" i="12924"/>
  <c r="C103" i="12924"/>
  <c r="C104" i="12924"/>
  <c r="C105" i="12924"/>
  <c r="C106" i="12924"/>
  <c r="C107" i="12924"/>
  <c r="C108" i="12924"/>
  <c r="C109" i="12924"/>
  <c r="C110" i="12924"/>
  <c r="C111" i="12924"/>
  <c r="C112" i="12924"/>
  <c r="C113" i="12924"/>
  <c r="C102" i="12924"/>
  <c r="C96" i="12924"/>
  <c r="C94" i="12924" s="1"/>
  <c r="G94" i="12924" s="1"/>
  <c r="C93" i="12924"/>
  <c r="C91" i="12924" s="1"/>
  <c r="G91" i="12924" s="1"/>
  <c r="C90" i="12924"/>
  <c r="C88" i="12924" s="1"/>
  <c r="G88" i="12924" s="1"/>
  <c r="C87" i="12924"/>
  <c r="C85" i="12924" s="1"/>
  <c r="G85" i="12924" s="1"/>
  <c r="C83" i="12924"/>
  <c r="C80" i="12924" s="1"/>
  <c r="G80" i="12924" s="1"/>
  <c r="C79" i="12924"/>
  <c r="C77" i="12924" s="1"/>
  <c r="G77" i="12924" s="1"/>
  <c r="C75" i="12924"/>
  <c r="C72" i="12924" s="1"/>
  <c r="G72" i="12924" s="1"/>
  <c r="C71" i="12924"/>
  <c r="C69" i="12924" s="1"/>
  <c r="G69" i="12924" s="1"/>
  <c r="C67" i="12924"/>
  <c r="C65" i="12924" s="1"/>
  <c r="C64" i="12924"/>
  <c r="C62" i="12924" s="1"/>
  <c r="G62" i="12924" s="1"/>
  <c r="C61" i="12924"/>
  <c r="C59" i="12924" s="1"/>
  <c r="C58" i="12924"/>
  <c r="C56" i="12924" s="1"/>
  <c r="M50" i="12924"/>
  <c r="M48" i="12924" s="1"/>
  <c r="M47" i="12924"/>
  <c r="M44" i="12924"/>
  <c r="M41" i="12924"/>
  <c r="M38" i="12924" s="1"/>
  <c r="M37" i="12924"/>
  <c r="M34" i="12924" s="1"/>
  <c r="M33" i="12924"/>
  <c r="M30" i="12924" s="1"/>
  <c r="M29" i="12924"/>
  <c r="M26" i="12924" s="1"/>
  <c r="M25" i="12924"/>
  <c r="M22" i="12924" s="1"/>
  <c r="Q22" i="12924" s="1"/>
  <c r="M21" i="12924"/>
  <c r="M18" i="12924"/>
  <c r="M15" i="12924"/>
  <c r="M12" i="12924"/>
  <c r="C50" i="12924"/>
  <c r="C48" i="12924" s="1"/>
  <c r="C49" i="12924" s="1"/>
  <c r="C47" i="12924"/>
  <c r="C45" i="12924" s="1"/>
  <c r="C46" i="12924" s="1"/>
  <c r="C44" i="12924"/>
  <c r="C42" i="12924" s="1"/>
  <c r="C43" i="12924" s="1"/>
  <c r="C21" i="12924"/>
  <c r="C19" i="12924" s="1"/>
  <c r="C20" i="12924" s="1"/>
  <c r="C18" i="12924"/>
  <c r="C16" i="12924" s="1"/>
  <c r="C17" i="12924" s="1"/>
  <c r="C15" i="12924"/>
  <c r="C13" i="12924" s="1"/>
  <c r="C14" i="12924" s="1"/>
  <c r="C12" i="12924"/>
  <c r="N5" i="12925"/>
  <c r="N6" i="12925"/>
  <c r="M225" i="12924" s="1"/>
  <c r="N7" i="12925"/>
  <c r="M228" i="12924" s="1"/>
  <c r="N8" i="12925"/>
  <c r="M231" i="12924" s="1"/>
  <c r="N9" i="12925"/>
  <c r="M234" i="12924" s="1"/>
  <c r="M237" i="12924"/>
  <c r="N11" i="12925"/>
  <c r="N12" i="12925"/>
  <c r="M243" i="12924" s="1"/>
  <c r="N13" i="12925"/>
  <c r="M246" i="12924" s="1"/>
  <c r="N14" i="12925"/>
  <c r="M249" i="12924" s="1"/>
  <c r="N15" i="12925"/>
  <c r="M252" i="12924" s="1"/>
  <c r="M219" i="12924"/>
  <c r="C968" i="12908" l="1"/>
  <c r="Z968" i="13034" s="1"/>
  <c r="Z1016" i="13034"/>
  <c r="C1011" i="12908"/>
  <c r="Z1011" i="13034" s="1"/>
  <c r="Q347" i="12984"/>
  <c r="AA345" i="12984"/>
  <c r="AA347" i="12984" s="1"/>
  <c r="Y347" i="12984"/>
  <c r="M222" i="12924"/>
  <c r="Q222" i="12924" s="1"/>
  <c r="N16" i="12925"/>
  <c r="AC347" i="12984"/>
  <c r="O347" i="12984"/>
  <c r="G347" i="12984"/>
  <c r="G353" i="12984" s="1"/>
  <c r="E347" i="12984"/>
  <c r="O339" i="12984"/>
  <c r="O340" i="12984" s="1"/>
  <c r="O353" i="12984" s="1"/>
  <c r="Y339" i="12984"/>
  <c r="Y340" i="12984" s="1"/>
  <c r="Q339" i="12984"/>
  <c r="Q340" i="12984" s="1"/>
  <c r="Q353" i="12984" s="1"/>
  <c r="AA339" i="12984"/>
  <c r="AA340" i="12984" s="1"/>
  <c r="S339" i="12984"/>
  <c r="AC339" i="12984"/>
  <c r="AC340" i="12984" s="1"/>
  <c r="E354" i="12984"/>
  <c r="O354" i="12984" s="1"/>
  <c r="G261" i="12984"/>
  <c r="E261" i="12984"/>
  <c r="I261" i="12984"/>
  <c r="I296" i="12984" s="1"/>
  <c r="O276" i="12984"/>
  <c r="Q276" i="12984"/>
  <c r="S276" i="12984"/>
  <c r="C357" i="12984"/>
  <c r="O270" i="12984"/>
  <c r="Q270" i="12984"/>
  <c r="S270" i="12984"/>
  <c r="M261" i="12984"/>
  <c r="S260" i="12984"/>
  <c r="Q260" i="12984"/>
  <c r="O260" i="12984"/>
  <c r="M296" i="12984"/>
  <c r="O287" i="12984"/>
  <c r="Q287" i="12984"/>
  <c r="S287" i="12984"/>
  <c r="O284" i="12984"/>
  <c r="Q284" i="12984"/>
  <c r="S284" i="12984"/>
  <c r="O264" i="12984"/>
  <c r="Q264" i="12984"/>
  <c r="S264" i="12984"/>
  <c r="O273" i="12984"/>
  <c r="S273" i="12984"/>
  <c r="Q273" i="12984"/>
  <c r="I276" i="12984"/>
  <c r="C355" i="12984"/>
  <c r="M355" i="12984" s="1"/>
  <c r="E276" i="12984"/>
  <c r="G276" i="12984"/>
  <c r="M288" i="12984"/>
  <c r="S282" i="12984"/>
  <c r="O282" i="12984"/>
  <c r="Q282" i="12984"/>
  <c r="O279" i="12984"/>
  <c r="S279" i="12984"/>
  <c r="Q279" i="12984"/>
  <c r="E267" i="12984"/>
  <c r="G267" i="12984"/>
  <c r="I267" i="12984"/>
  <c r="O294" i="12984"/>
  <c r="Q294" i="12984"/>
  <c r="S294" i="12984"/>
  <c r="O272" i="12984"/>
  <c r="Q272" i="12984"/>
  <c r="S272" i="12984"/>
  <c r="O291" i="12984"/>
  <c r="Q291" i="12984"/>
  <c r="S291" i="12984"/>
  <c r="S267" i="12984"/>
  <c r="Q267" i="12984"/>
  <c r="O267" i="12984"/>
  <c r="E291" i="12984"/>
  <c r="G291" i="12984"/>
  <c r="I291" i="12984"/>
  <c r="O281" i="12984"/>
  <c r="Q281" i="12984"/>
  <c r="S281" i="12984"/>
  <c r="S278" i="12984"/>
  <c r="O278" i="12984"/>
  <c r="Q278" i="12984"/>
  <c r="M360" i="12984"/>
  <c r="I354" i="12984"/>
  <c r="S354" i="12984" s="1"/>
  <c r="O293" i="12984"/>
  <c r="Q293" i="12984"/>
  <c r="S293" i="12984"/>
  <c r="I279" i="12984"/>
  <c r="G279" i="12984"/>
  <c r="E279" i="12984"/>
  <c r="E355" i="12984" s="1"/>
  <c r="O355" i="12984" s="1"/>
  <c r="Q275" i="12984"/>
  <c r="S275" i="12984"/>
  <c r="C356" i="12984"/>
  <c r="O275" i="12984"/>
  <c r="Q269" i="12984"/>
  <c r="O269" i="12984"/>
  <c r="S269" i="12984"/>
  <c r="O290" i="12984"/>
  <c r="Q290" i="12984"/>
  <c r="S290" i="12984"/>
  <c r="O266" i="12984"/>
  <c r="Q266" i="12984"/>
  <c r="S266" i="12984"/>
  <c r="E282" i="12984"/>
  <c r="G282" i="12984"/>
  <c r="I282" i="12984"/>
  <c r="I355" i="12984" s="1"/>
  <c r="S355" i="12984" s="1"/>
  <c r="C296" i="12984"/>
  <c r="M285" i="12984"/>
  <c r="O263" i="12984"/>
  <c r="Q263" i="12984"/>
  <c r="S263" i="12984"/>
  <c r="G354" i="12984"/>
  <c r="Q354" i="12984" s="1"/>
  <c r="I347" i="12984"/>
  <c r="S347" i="12984"/>
  <c r="E340" i="12984"/>
  <c r="E353" i="12984" s="1"/>
  <c r="I340" i="12984"/>
  <c r="S340" i="12984"/>
  <c r="S353" i="12984" s="1"/>
  <c r="O246" i="12924"/>
  <c r="S246" i="12924"/>
  <c r="Q246" i="12924"/>
  <c r="Q234" i="12924"/>
  <c r="O234" i="12924"/>
  <c r="S234" i="12924"/>
  <c r="O219" i="12924"/>
  <c r="Q219" i="12924"/>
  <c r="S219" i="12924"/>
  <c r="Q231" i="12924"/>
  <c r="S231" i="12924"/>
  <c r="O231" i="12924"/>
  <c r="S249" i="12924"/>
  <c r="Q249" i="12924"/>
  <c r="O249" i="12924"/>
  <c r="Q237" i="12924"/>
  <c r="S237" i="12924"/>
  <c r="O237" i="12924"/>
  <c r="O225" i="12924"/>
  <c r="Q225" i="12924"/>
  <c r="S225" i="12924"/>
  <c r="O243" i="12924"/>
  <c r="S243" i="12924"/>
  <c r="Q243" i="12924"/>
  <c r="Q252" i="12924"/>
  <c r="S252" i="12924"/>
  <c r="O252" i="12924"/>
  <c r="S228" i="12924"/>
  <c r="O228" i="12924"/>
  <c r="Q228" i="12924"/>
  <c r="C10" i="12924"/>
  <c r="M240" i="12924"/>
  <c r="O26" i="12924"/>
  <c r="Q26" i="12924"/>
  <c r="O34" i="12924"/>
  <c r="Q34" i="12924"/>
  <c r="O48" i="12924"/>
  <c r="Q48" i="12924"/>
  <c r="C73" i="12924"/>
  <c r="G73" i="12924" s="1"/>
  <c r="S30" i="12924"/>
  <c r="Q30" i="12924"/>
  <c r="S38" i="12924"/>
  <c r="Q38" i="12924"/>
  <c r="C334" i="12924"/>
  <c r="W334" i="12924" s="1"/>
  <c r="C863" i="12908" s="1"/>
  <c r="Z863" i="13034" s="1"/>
  <c r="Q102" i="12924"/>
  <c r="G334" i="12924" s="1"/>
  <c r="C333" i="12924"/>
  <c r="Q106" i="12924"/>
  <c r="G333" i="12924" s="1"/>
  <c r="G16" i="12924"/>
  <c r="G42" i="12924"/>
  <c r="I19" i="12924"/>
  <c r="G19" i="12924"/>
  <c r="I13" i="12924"/>
  <c r="G13" i="12924"/>
  <c r="G45" i="12924"/>
  <c r="C60" i="12924"/>
  <c r="I60" i="12924" s="1"/>
  <c r="G59" i="12924"/>
  <c r="C66" i="12924"/>
  <c r="I66" i="12924" s="1"/>
  <c r="G65" i="12924"/>
  <c r="I102" i="12924"/>
  <c r="G102" i="12924"/>
  <c r="C325" i="12924"/>
  <c r="I112" i="12924"/>
  <c r="G112" i="12924"/>
  <c r="I110" i="12924"/>
  <c r="G110" i="12924"/>
  <c r="I108" i="12924"/>
  <c r="G108" i="12924"/>
  <c r="I106" i="12924"/>
  <c r="G106" i="12924"/>
  <c r="C324" i="12924"/>
  <c r="I104" i="12924"/>
  <c r="G104" i="12924"/>
  <c r="M114" i="12924"/>
  <c r="G48" i="12924"/>
  <c r="C312" i="12924"/>
  <c r="C76" i="12908" s="1"/>
  <c r="Z76" i="13034" s="1"/>
  <c r="G56" i="12924"/>
  <c r="I113" i="12924"/>
  <c r="G113" i="12924"/>
  <c r="I111" i="12924"/>
  <c r="G111" i="12924"/>
  <c r="I109" i="12924"/>
  <c r="G109" i="12924"/>
  <c r="I107" i="12924"/>
  <c r="G107" i="12924"/>
  <c r="I105" i="12924"/>
  <c r="G105" i="12924"/>
  <c r="I103" i="12924"/>
  <c r="G103" i="12924"/>
  <c r="S22" i="12924"/>
  <c r="C318" i="12924"/>
  <c r="C139" i="12908" s="1"/>
  <c r="Z139" i="13034" s="1"/>
  <c r="C81" i="12924"/>
  <c r="E81" i="12924" s="1"/>
  <c r="E72" i="12924"/>
  <c r="I72" i="12924"/>
  <c r="E80" i="12924"/>
  <c r="I80" i="12924"/>
  <c r="C89" i="12924"/>
  <c r="G89" i="12924" s="1"/>
  <c r="E88" i="12924"/>
  <c r="I88" i="12924"/>
  <c r="C95" i="12924"/>
  <c r="G95" i="12924" s="1"/>
  <c r="E94" i="12924"/>
  <c r="I94" i="12924"/>
  <c r="I56" i="12924"/>
  <c r="E56" i="12924"/>
  <c r="C63" i="12924"/>
  <c r="G63" i="12924" s="1"/>
  <c r="I62" i="12924"/>
  <c r="E62" i="12924"/>
  <c r="E69" i="12924"/>
  <c r="I69" i="12924"/>
  <c r="E77" i="12924"/>
  <c r="I77" i="12924"/>
  <c r="E85" i="12924"/>
  <c r="I85" i="12924"/>
  <c r="C92" i="12924"/>
  <c r="G92" i="12924" s="1"/>
  <c r="E91" i="12924"/>
  <c r="I91" i="12924"/>
  <c r="O102" i="12924"/>
  <c r="S102" i="12924"/>
  <c r="O104" i="12924"/>
  <c r="S104" i="12924"/>
  <c r="O106" i="12924"/>
  <c r="S106" i="12924"/>
  <c r="O108" i="12924"/>
  <c r="S108" i="12924"/>
  <c r="O110" i="12924"/>
  <c r="S110" i="12924"/>
  <c r="O112" i="12924"/>
  <c r="S112" i="12924"/>
  <c r="M61" i="12924"/>
  <c r="M59" i="12924" s="1"/>
  <c r="Q59" i="12924" s="1"/>
  <c r="M67" i="12924"/>
  <c r="C68" i="12924"/>
  <c r="G68" i="12924" s="1"/>
  <c r="C76" i="12924"/>
  <c r="G76" i="12924" s="1"/>
  <c r="C84" i="12924"/>
  <c r="G84" i="12924" s="1"/>
  <c r="E113" i="12924"/>
  <c r="E111" i="12924"/>
  <c r="E109" i="12924"/>
  <c r="E107" i="12924"/>
  <c r="E105" i="12924"/>
  <c r="E103" i="12924"/>
  <c r="E13" i="12924"/>
  <c r="E16" i="12924"/>
  <c r="E19" i="12924"/>
  <c r="E43" i="12924"/>
  <c r="E46" i="12924"/>
  <c r="E49" i="12924"/>
  <c r="I17" i="12924"/>
  <c r="I42" i="12924"/>
  <c r="I45" i="12924"/>
  <c r="I48" i="12924"/>
  <c r="O22" i="12924"/>
  <c r="O30" i="12924"/>
  <c r="O38" i="12924"/>
  <c r="S26" i="12924"/>
  <c r="S34" i="12924"/>
  <c r="S48" i="12924"/>
  <c r="E59" i="12924"/>
  <c r="E65" i="12924"/>
  <c r="O103" i="12924"/>
  <c r="S103" i="12924"/>
  <c r="O105" i="12924"/>
  <c r="S105" i="12924"/>
  <c r="O107" i="12924"/>
  <c r="S107" i="12924"/>
  <c r="O109" i="12924"/>
  <c r="S109" i="12924"/>
  <c r="O111" i="12924"/>
  <c r="S111" i="12924"/>
  <c r="O113" i="12924"/>
  <c r="S113" i="12924"/>
  <c r="M58" i="12924"/>
  <c r="M64" i="12924"/>
  <c r="M62" i="12924" s="1"/>
  <c r="Q62" i="12924" s="1"/>
  <c r="M70" i="12924"/>
  <c r="E102" i="12924"/>
  <c r="E112" i="12924"/>
  <c r="E110" i="12924"/>
  <c r="E108" i="12924"/>
  <c r="E106" i="12924"/>
  <c r="E104" i="12924"/>
  <c r="E42" i="12924"/>
  <c r="E45" i="12924"/>
  <c r="E48" i="12924"/>
  <c r="I16" i="12924"/>
  <c r="I59" i="12924"/>
  <c r="I65" i="12924"/>
  <c r="R20" i="12709"/>
  <c r="M51" i="12924"/>
  <c r="M23" i="12924"/>
  <c r="Q23" i="12924" s="1"/>
  <c r="M27" i="12924"/>
  <c r="M31" i="12924"/>
  <c r="Q31" i="12924" s="1"/>
  <c r="M35" i="12924"/>
  <c r="M229" i="12924"/>
  <c r="M235" i="12924"/>
  <c r="M247" i="12924"/>
  <c r="M253" i="12924"/>
  <c r="M220" i="12924"/>
  <c r="M226" i="12924"/>
  <c r="M232" i="12924"/>
  <c r="M238" i="12924"/>
  <c r="M244" i="12924"/>
  <c r="M250" i="12924"/>
  <c r="C97" i="12924"/>
  <c r="M39" i="12924"/>
  <c r="Q39" i="12924" s="1"/>
  <c r="M10" i="12924"/>
  <c r="Q10" i="12924" s="1"/>
  <c r="M13" i="12924"/>
  <c r="Q13" i="12924" s="1"/>
  <c r="M16" i="12924"/>
  <c r="Q16" i="12924" s="1"/>
  <c r="M19" i="12924"/>
  <c r="Q19" i="12924" s="1"/>
  <c r="M42" i="12924"/>
  <c r="Q42" i="12924" s="1"/>
  <c r="M45" i="12924"/>
  <c r="Q45" i="12924" s="1"/>
  <c r="M49" i="12924"/>
  <c r="Q49" i="12924" s="1"/>
  <c r="G20" i="12924"/>
  <c r="G14" i="12924"/>
  <c r="C1012" i="12908" l="1"/>
  <c r="C963" i="12908"/>
  <c r="Z963" i="13034" s="1"/>
  <c r="M297" i="12984"/>
  <c r="C350" i="12924"/>
  <c r="W350" i="12924" s="1"/>
  <c r="C2222" i="12908" s="1"/>
  <c r="O222" i="12924"/>
  <c r="E350" i="12924" s="1"/>
  <c r="E356" i="12984"/>
  <c r="W333" i="12924"/>
  <c r="C335" i="12924"/>
  <c r="S222" i="12924"/>
  <c r="M223" i="12924"/>
  <c r="S223" i="12924" s="1"/>
  <c r="G296" i="12984"/>
  <c r="I353" i="12984"/>
  <c r="C844" i="12908"/>
  <c r="Z844" i="13034" s="1"/>
  <c r="E358" i="12984"/>
  <c r="O358" i="12984" s="1"/>
  <c r="O360" i="12984" s="1"/>
  <c r="S261" i="12984"/>
  <c r="I359" i="12984" s="1"/>
  <c r="O261" i="12984"/>
  <c r="E359" i="12984" s="1"/>
  <c r="Q261" i="12984"/>
  <c r="G355" i="12984"/>
  <c r="Q355" i="12984" s="1"/>
  <c r="G358" i="12984"/>
  <c r="Q358" i="12984" s="1"/>
  <c r="C360" i="12984"/>
  <c r="C362" i="12984" s="1"/>
  <c r="C363" i="12984" s="1"/>
  <c r="O285" i="12984"/>
  <c r="E357" i="12984" s="1"/>
  <c r="Q285" i="12984"/>
  <c r="G357" i="12984" s="1"/>
  <c r="S285" i="12984"/>
  <c r="I357" i="12984" s="1"/>
  <c r="I356" i="12984"/>
  <c r="I358" i="12984"/>
  <c r="S358" i="12984" s="1"/>
  <c r="S360" i="12984" s="1"/>
  <c r="O288" i="12984"/>
  <c r="Q288" i="12984"/>
  <c r="G359" i="12984" s="1"/>
  <c r="G360" i="12984" s="1"/>
  <c r="G362" i="12984" s="1"/>
  <c r="S288" i="12984"/>
  <c r="E296" i="12984"/>
  <c r="G356" i="12984"/>
  <c r="S296" i="12984"/>
  <c r="S297" i="12984" s="1"/>
  <c r="Q334" i="12924"/>
  <c r="AA334" i="12924"/>
  <c r="H863" i="12908"/>
  <c r="AE863" i="13034" s="1"/>
  <c r="Q333" i="12924"/>
  <c r="AA333" i="12924"/>
  <c r="C862" i="12908"/>
  <c r="W335" i="12924"/>
  <c r="K47" i="12711" s="1"/>
  <c r="M334" i="12924"/>
  <c r="M324" i="12924"/>
  <c r="M333" i="12924"/>
  <c r="M350" i="12924"/>
  <c r="C2039" i="12908" s="1"/>
  <c r="Z2039" i="13034" s="1"/>
  <c r="M325" i="12924"/>
  <c r="G350" i="12924"/>
  <c r="O244" i="12924"/>
  <c r="S244" i="12924"/>
  <c r="Q244" i="12924"/>
  <c r="O229" i="12924"/>
  <c r="S229" i="12924"/>
  <c r="Q229" i="12924"/>
  <c r="S232" i="12924"/>
  <c r="Q232" i="12924"/>
  <c r="O232" i="12924"/>
  <c r="S247" i="12924"/>
  <c r="Q247" i="12924"/>
  <c r="O247" i="12924"/>
  <c r="O220" i="12924"/>
  <c r="Q220" i="12924"/>
  <c r="S220" i="12924"/>
  <c r="Q240" i="12924"/>
  <c r="G348" i="12924" s="1"/>
  <c r="S240" i="12924"/>
  <c r="I348" i="12924" s="1"/>
  <c r="O240" i="12924"/>
  <c r="E348" i="12924" s="1"/>
  <c r="O238" i="12924"/>
  <c r="Q238" i="12924"/>
  <c r="S238" i="12924"/>
  <c r="S253" i="12924"/>
  <c r="Q253" i="12924"/>
  <c r="O253" i="12924"/>
  <c r="S250" i="12924"/>
  <c r="O250" i="12924"/>
  <c r="Q250" i="12924"/>
  <c r="O226" i="12924"/>
  <c r="S226" i="12924"/>
  <c r="Q226" i="12924"/>
  <c r="S235" i="12924"/>
  <c r="O235" i="12924"/>
  <c r="Q235" i="12924"/>
  <c r="C82" i="12924"/>
  <c r="G82" i="12924" s="1"/>
  <c r="I73" i="12924"/>
  <c r="M32" i="12924"/>
  <c r="Q32" i="12924" s="1"/>
  <c r="C74" i="12924"/>
  <c r="G74" i="12924" s="1"/>
  <c r="E73" i="12924"/>
  <c r="E310" i="12924" s="1"/>
  <c r="M63" i="12924"/>
  <c r="Q63" i="12924" s="1"/>
  <c r="M241" i="12924"/>
  <c r="C348" i="12924"/>
  <c r="W348" i="12924" s="1"/>
  <c r="C2220" i="12908" s="1"/>
  <c r="I325" i="12924"/>
  <c r="S325" i="12924" s="1"/>
  <c r="I324" i="12924"/>
  <c r="S324" i="12924" s="1"/>
  <c r="M24" i="12924"/>
  <c r="Q24" i="12924" s="1"/>
  <c r="I114" i="12924"/>
  <c r="G318" i="12924"/>
  <c r="G321" i="12924"/>
  <c r="Q114" i="12924"/>
  <c r="M36" i="12924"/>
  <c r="Q36" i="12924" s="1"/>
  <c r="Q35" i="12924"/>
  <c r="M28" i="12924"/>
  <c r="Q28" i="12924" s="1"/>
  <c r="Q27" i="12924"/>
  <c r="C306" i="12924"/>
  <c r="G10" i="12924"/>
  <c r="I49" i="12924"/>
  <c r="G49" i="12924"/>
  <c r="E66" i="12924"/>
  <c r="G66" i="12924"/>
  <c r="E60" i="12924"/>
  <c r="G60" i="12924"/>
  <c r="I46" i="12924"/>
  <c r="G46" i="12924"/>
  <c r="I43" i="12924"/>
  <c r="G43" i="12924"/>
  <c r="E17" i="12924"/>
  <c r="G17" i="12924"/>
  <c r="E324" i="12924"/>
  <c r="O324" i="12924" s="1"/>
  <c r="E325" i="12924"/>
  <c r="O325" i="12924" s="1"/>
  <c r="G309" i="12924"/>
  <c r="G324" i="12924"/>
  <c r="I81" i="12924"/>
  <c r="G81" i="12924"/>
  <c r="G310" i="12924" s="1"/>
  <c r="G312" i="12924"/>
  <c r="C326" i="12924"/>
  <c r="G114" i="12924"/>
  <c r="G325" i="12924"/>
  <c r="Q325" i="12924" s="1"/>
  <c r="I333" i="12924"/>
  <c r="I334" i="12924"/>
  <c r="E333" i="12924"/>
  <c r="E334" i="12924"/>
  <c r="I350" i="12924"/>
  <c r="E312" i="12924"/>
  <c r="I312" i="12924"/>
  <c r="C310" i="12924"/>
  <c r="C74" i="12908" s="1"/>
  <c r="Z74" i="13034" s="1"/>
  <c r="C309" i="12924"/>
  <c r="C73" i="12908" s="1"/>
  <c r="Z73" i="13034" s="1"/>
  <c r="C321" i="12924"/>
  <c r="C142" i="12908" s="1"/>
  <c r="Z142" i="13034" s="1"/>
  <c r="C319" i="12924"/>
  <c r="C140" i="12908" s="1"/>
  <c r="Z140" i="13034" s="1"/>
  <c r="E318" i="12924"/>
  <c r="I318" i="12924"/>
  <c r="E14" i="12924"/>
  <c r="I14" i="12924"/>
  <c r="E20" i="12924"/>
  <c r="I20" i="12924"/>
  <c r="O45" i="12924"/>
  <c r="S45" i="12924"/>
  <c r="M20" i="12924"/>
  <c r="Q20" i="12924" s="1"/>
  <c r="S19" i="12924"/>
  <c r="O19" i="12924"/>
  <c r="O39" i="12924"/>
  <c r="S39" i="12924"/>
  <c r="C11" i="12924"/>
  <c r="I10" i="12924"/>
  <c r="I306" i="12924" s="1"/>
  <c r="E10" i="12924"/>
  <c r="E306" i="12924" s="1"/>
  <c r="S59" i="12924"/>
  <c r="O59" i="12924"/>
  <c r="S49" i="12924"/>
  <c r="O49" i="12924"/>
  <c r="O42" i="12924"/>
  <c r="S42" i="12924"/>
  <c r="S16" i="12924"/>
  <c r="O16" i="12924"/>
  <c r="S10" i="12924"/>
  <c r="O10" i="12924"/>
  <c r="S35" i="12924"/>
  <c r="O35" i="12924"/>
  <c r="S27" i="12924"/>
  <c r="O27" i="12924"/>
  <c r="S62" i="12924"/>
  <c r="O62" i="12924"/>
  <c r="C86" i="12924"/>
  <c r="G86" i="12924" s="1"/>
  <c r="I84" i="12924"/>
  <c r="E84" i="12924"/>
  <c r="I68" i="12924"/>
  <c r="E68" i="12924"/>
  <c r="E63" i="12924"/>
  <c r="I63" i="12924"/>
  <c r="I89" i="12924"/>
  <c r="E89" i="12924"/>
  <c r="O114" i="12924"/>
  <c r="S13" i="12924"/>
  <c r="O13" i="12924"/>
  <c r="O31" i="12924"/>
  <c r="S31" i="12924"/>
  <c r="O23" i="12924"/>
  <c r="S23" i="12924"/>
  <c r="M56" i="12924"/>
  <c r="C78" i="12924"/>
  <c r="G78" i="12924" s="1"/>
  <c r="I76" i="12924"/>
  <c r="E76" i="12924"/>
  <c r="I92" i="12924"/>
  <c r="E92" i="12924"/>
  <c r="I95" i="12924"/>
  <c r="E95" i="12924"/>
  <c r="S114" i="12924"/>
  <c r="M11" i="12924"/>
  <c r="Q11" i="12924" s="1"/>
  <c r="C57" i="12924"/>
  <c r="C70" i="12924"/>
  <c r="M43" i="12924"/>
  <c r="Q43" i="12924" s="1"/>
  <c r="M17" i="12924"/>
  <c r="Q17" i="12924" s="1"/>
  <c r="M14" i="12924"/>
  <c r="Q14" i="12924" s="1"/>
  <c r="M46" i="12924"/>
  <c r="Q46" i="12924" s="1"/>
  <c r="M40" i="12924"/>
  <c r="M60" i="12924"/>
  <c r="Q60" i="12924" s="1"/>
  <c r="H2222" i="12908" l="1"/>
  <c r="AE2222" i="13034" s="1"/>
  <c r="Z2222" i="13034"/>
  <c r="H2220" i="12908"/>
  <c r="AE2220" i="13034" s="1"/>
  <c r="Z2220" i="13034"/>
  <c r="C531" i="12908"/>
  <c r="Z531" i="13034" s="1"/>
  <c r="Z862" i="13034"/>
  <c r="C964" i="12908"/>
  <c r="Z964" i="13034" s="1"/>
  <c r="Z1012" i="13034"/>
  <c r="C532" i="12908"/>
  <c r="Z532" i="13034" s="1"/>
  <c r="C843" i="12908"/>
  <c r="Z843" i="13034" s="1"/>
  <c r="G363" i="12984"/>
  <c r="O223" i="12924"/>
  <c r="Q223" i="12924"/>
  <c r="E360" i="12984"/>
  <c r="E362" i="12984" s="1"/>
  <c r="Q360" i="12984"/>
  <c r="C351" i="12924"/>
  <c r="W351" i="12924" s="1"/>
  <c r="C2223" i="12908" s="1"/>
  <c r="I360" i="12984"/>
  <c r="I362" i="12984" s="1"/>
  <c r="I363" i="12984" s="1"/>
  <c r="Q296" i="12984"/>
  <c r="Q297" i="12984" s="1"/>
  <c r="H844" i="12908"/>
  <c r="AE844" i="13034" s="1"/>
  <c r="Q335" i="12924"/>
  <c r="O296" i="12984"/>
  <c r="O297" i="12984" s="1"/>
  <c r="AA335" i="12924"/>
  <c r="S333" i="12924"/>
  <c r="AC333" i="12924"/>
  <c r="M312" i="12924"/>
  <c r="C216" i="12908" s="1"/>
  <c r="Z216" i="13034" s="1"/>
  <c r="O334" i="12924"/>
  <c r="Y334" i="12924"/>
  <c r="H862" i="12908"/>
  <c r="AE862" i="13034" s="1"/>
  <c r="O333" i="12924"/>
  <c r="Y333" i="12924"/>
  <c r="S334" i="12924"/>
  <c r="AC334" i="12924"/>
  <c r="O306" i="12924"/>
  <c r="O312" i="12924"/>
  <c r="S306" i="12924"/>
  <c r="S312" i="12924"/>
  <c r="Q348" i="12924"/>
  <c r="AA348" i="12924"/>
  <c r="S350" i="12924"/>
  <c r="AC350" i="12924"/>
  <c r="O350" i="12924"/>
  <c r="Y350" i="12924"/>
  <c r="O348" i="12924"/>
  <c r="Y348" i="12924"/>
  <c r="S348" i="12924"/>
  <c r="AC348" i="12924"/>
  <c r="Q350" i="12924"/>
  <c r="AA350" i="12924"/>
  <c r="C787" i="12908"/>
  <c r="Z787" i="13034" s="1"/>
  <c r="C705" i="12908"/>
  <c r="Z705" i="13034" s="1"/>
  <c r="C806" i="12908"/>
  <c r="Z806" i="13034" s="1"/>
  <c r="C726" i="12908"/>
  <c r="Z726" i="13034" s="1"/>
  <c r="C725" i="12908"/>
  <c r="Z725" i="13034" s="1"/>
  <c r="C805" i="12908"/>
  <c r="Z805" i="13034" s="1"/>
  <c r="C704" i="12908"/>
  <c r="Z704" i="13034" s="1"/>
  <c r="C786" i="12908"/>
  <c r="Z786" i="13034" s="1"/>
  <c r="E82" i="12924"/>
  <c r="S326" i="12924"/>
  <c r="O326" i="12924"/>
  <c r="G19" i="12709" s="1"/>
  <c r="O32" i="12924"/>
  <c r="I310" i="12924"/>
  <c r="M326" i="12924"/>
  <c r="M335" i="12924"/>
  <c r="C2131" i="12908"/>
  <c r="Z2131" i="13034" s="1"/>
  <c r="M306" i="12924"/>
  <c r="C179" i="12908" s="1"/>
  <c r="Z179" i="13034" s="1"/>
  <c r="Q324" i="12924"/>
  <c r="Q326" i="12924" s="1"/>
  <c r="M348" i="12924"/>
  <c r="C2037" i="12908" s="1"/>
  <c r="Z2037" i="13034" s="1"/>
  <c r="G351" i="12924"/>
  <c r="O241" i="12924"/>
  <c r="Q241" i="12924"/>
  <c r="S241" i="12924"/>
  <c r="S255" i="12924" s="1"/>
  <c r="I82" i="12924"/>
  <c r="M255" i="12924"/>
  <c r="C349" i="12924"/>
  <c r="O28" i="12924"/>
  <c r="S28" i="12924"/>
  <c r="S24" i="12924"/>
  <c r="S32" i="12924"/>
  <c r="O24" i="12924"/>
  <c r="S63" i="12924"/>
  <c r="I74" i="12924"/>
  <c r="O63" i="12924"/>
  <c r="E74" i="12924"/>
  <c r="S36" i="12924"/>
  <c r="G319" i="12924"/>
  <c r="I326" i="12924"/>
  <c r="O36" i="12924"/>
  <c r="G322" i="12924"/>
  <c r="M57" i="12924"/>
  <c r="Q57" i="12924" s="1"/>
  <c r="Q56" i="12924"/>
  <c r="C320" i="12924"/>
  <c r="C141" i="12908" s="1"/>
  <c r="Z141" i="13034" s="1"/>
  <c r="Q40" i="12924"/>
  <c r="Q51" i="12924" s="1"/>
  <c r="C311" i="12924"/>
  <c r="C75" i="12908" s="1"/>
  <c r="Z75" i="13034" s="1"/>
  <c r="G70" i="12924"/>
  <c r="G311" i="12924" s="1"/>
  <c r="C313" i="12924"/>
  <c r="C77" i="12908" s="1"/>
  <c r="Z77" i="13034" s="1"/>
  <c r="G57" i="12924"/>
  <c r="G306" i="12924"/>
  <c r="E319" i="12924"/>
  <c r="G335" i="12924"/>
  <c r="G326" i="12924"/>
  <c r="E326" i="12924"/>
  <c r="I319" i="12924"/>
  <c r="C307" i="12924"/>
  <c r="G11" i="12924"/>
  <c r="G307" i="12924" s="1"/>
  <c r="I335" i="12924"/>
  <c r="E335" i="12924"/>
  <c r="E351" i="12924"/>
  <c r="I351" i="12924"/>
  <c r="I309" i="12924"/>
  <c r="E309" i="12924"/>
  <c r="I321" i="12924"/>
  <c r="C322" i="12924"/>
  <c r="C143" i="12908" s="1"/>
  <c r="Z143" i="13034" s="1"/>
  <c r="E321" i="12924"/>
  <c r="S40" i="12924"/>
  <c r="O40" i="12924"/>
  <c r="O14" i="12924"/>
  <c r="S14" i="12924"/>
  <c r="S43" i="12924"/>
  <c r="O43" i="12924"/>
  <c r="S60" i="12924"/>
  <c r="O60" i="12924"/>
  <c r="S46" i="12924"/>
  <c r="O46" i="12924"/>
  <c r="O17" i="12924"/>
  <c r="S17" i="12924"/>
  <c r="I70" i="12924"/>
  <c r="E70" i="12924"/>
  <c r="E57" i="12924"/>
  <c r="E313" i="12924" s="1"/>
  <c r="I57" i="12924"/>
  <c r="I313" i="12924" s="1"/>
  <c r="O11" i="12924"/>
  <c r="S11" i="12924"/>
  <c r="S56" i="12924"/>
  <c r="O56" i="12924"/>
  <c r="I86" i="12924"/>
  <c r="E86" i="12924"/>
  <c r="O20" i="12924"/>
  <c r="S20" i="12924"/>
  <c r="I78" i="12924"/>
  <c r="E78" i="12924"/>
  <c r="E11" i="12924"/>
  <c r="E307" i="12924" s="1"/>
  <c r="I11" i="12924"/>
  <c r="I307" i="12924" s="1"/>
  <c r="H531" i="12908" l="1"/>
  <c r="AE531" i="13034" s="1"/>
  <c r="H2223" i="12908"/>
  <c r="AE2223" i="13034" s="1"/>
  <c r="Z2223" i="13034"/>
  <c r="C287" i="12908"/>
  <c r="C536" i="12908"/>
  <c r="Z536" i="13034" s="1"/>
  <c r="H532" i="12908"/>
  <c r="C429" i="12908"/>
  <c r="Z429" i="13034" s="1"/>
  <c r="C323" i="12908"/>
  <c r="Z323" i="13034" s="1"/>
  <c r="H843" i="12908"/>
  <c r="D2223" i="12908"/>
  <c r="O255" i="12924"/>
  <c r="M351" i="12924"/>
  <c r="C2040" i="12908" s="1"/>
  <c r="Z2040" i="13034" s="1"/>
  <c r="D2222" i="12908"/>
  <c r="AA2222" i="13034" s="1"/>
  <c r="Q255" i="12924"/>
  <c r="S335" i="12924"/>
  <c r="C39" i="12908"/>
  <c r="Z39" i="13034" s="1"/>
  <c r="E363" i="12984"/>
  <c r="C768" i="12908"/>
  <c r="Z768" i="13034" s="1"/>
  <c r="H865" i="12908"/>
  <c r="AE865" i="13034" s="1"/>
  <c r="C684" i="12908"/>
  <c r="Z684" i="13034" s="1"/>
  <c r="C767" i="12908"/>
  <c r="Z767" i="13034" s="1"/>
  <c r="C683" i="12908"/>
  <c r="Z683" i="13034" s="1"/>
  <c r="H787" i="12908"/>
  <c r="AE787" i="13034" s="1"/>
  <c r="Y335" i="12924"/>
  <c r="G47" i="12709" s="1"/>
  <c r="O335" i="12924"/>
  <c r="G46" i="12709" s="1"/>
  <c r="H216" i="12908"/>
  <c r="AE216" i="13034" s="1"/>
  <c r="M313" i="12924"/>
  <c r="AC335" i="12924"/>
  <c r="R176" i="12709"/>
  <c r="R47" i="12709"/>
  <c r="Q306" i="12924"/>
  <c r="Q312" i="12924"/>
  <c r="O307" i="12924"/>
  <c r="O313" i="12924"/>
  <c r="Q307" i="12924"/>
  <c r="Q313" i="12924"/>
  <c r="S307" i="12924"/>
  <c r="S313" i="12924"/>
  <c r="S351" i="12924"/>
  <c r="AC351" i="12924"/>
  <c r="O351" i="12924"/>
  <c r="Y351" i="12924"/>
  <c r="Q351" i="12924"/>
  <c r="AA351" i="12924"/>
  <c r="C352" i="12924"/>
  <c r="W349" i="12924"/>
  <c r="G18" i="12709"/>
  <c r="I349" i="12924"/>
  <c r="C2132" i="12908"/>
  <c r="H806" i="12908"/>
  <c r="AE806" i="13034" s="1"/>
  <c r="H2131" i="12908"/>
  <c r="AE2131" i="13034" s="1"/>
  <c r="K46" i="12711"/>
  <c r="K45" i="12711" s="1"/>
  <c r="K19" i="12711"/>
  <c r="C2129" i="12908"/>
  <c r="Z2129" i="13034" s="1"/>
  <c r="M307" i="12924"/>
  <c r="C180" i="12908" s="1"/>
  <c r="Z180" i="13034" s="1"/>
  <c r="H805" i="12908"/>
  <c r="AE805" i="13034" s="1"/>
  <c r="H786" i="12908"/>
  <c r="AE786" i="13034" s="1"/>
  <c r="M349" i="12924"/>
  <c r="G349" i="12924"/>
  <c r="AA349" i="12924" s="1"/>
  <c r="E349" i="12924"/>
  <c r="I320" i="12924"/>
  <c r="E320" i="12924"/>
  <c r="S57" i="12924"/>
  <c r="O57" i="12924"/>
  <c r="S51" i="12924"/>
  <c r="C317" i="12924"/>
  <c r="G320" i="12924"/>
  <c r="G323" i="12924" s="1"/>
  <c r="C323" i="12924"/>
  <c r="K15" i="12711" s="1"/>
  <c r="G313" i="12924"/>
  <c r="G314" i="12924" s="1"/>
  <c r="G97" i="12924"/>
  <c r="O51" i="12924"/>
  <c r="E311" i="12924"/>
  <c r="I311" i="12924"/>
  <c r="I322" i="12924"/>
  <c r="E322" i="12924"/>
  <c r="E97" i="12924"/>
  <c r="I97" i="12924"/>
  <c r="H287" i="12908" l="1"/>
  <c r="AE287" i="13034" s="1"/>
  <c r="Z287" i="13034"/>
  <c r="I2223" i="12908"/>
  <c r="AF2223" i="13034" s="1"/>
  <c r="AA2223" i="13034"/>
  <c r="H534" i="12908"/>
  <c r="AE534" i="13034" s="1"/>
  <c r="AE532" i="13034"/>
  <c r="D2132" i="12908"/>
  <c r="AA2132" i="13034" s="1"/>
  <c r="Z2132" i="13034"/>
  <c r="H846" i="12908"/>
  <c r="AE846" i="13034" s="1"/>
  <c r="AE843" i="13034"/>
  <c r="C288" i="12908"/>
  <c r="C251" i="12908"/>
  <c r="Z251" i="13034" s="1"/>
  <c r="H536" i="12908"/>
  <c r="AE536" i="13034" s="1"/>
  <c r="C324" i="12908"/>
  <c r="H323" i="12908"/>
  <c r="AE323" i="13034" s="1"/>
  <c r="C430" i="12908"/>
  <c r="H429" i="12908"/>
  <c r="AE429" i="13034" s="1"/>
  <c r="C395" i="12908"/>
  <c r="Z395" i="13034" s="1"/>
  <c r="I2222" i="12908"/>
  <c r="AF2222" i="13034" s="1"/>
  <c r="C217" i="12908"/>
  <c r="C40" i="12908"/>
  <c r="Z40" i="13034" s="1"/>
  <c r="K47" i="12709"/>
  <c r="K176" i="12709" s="1"/>
  <c r="I2132" i="12908"/>
  <c r="AF2132" i="13034" s="1"/>
  <c r="H789" i="12908"/>
  <c r="H808" i="12908"/>
  <c r="D2131" i="12908"/>
  <c r="AA2131" i="13034" s="1"/>
  <c r="H767" i="12908"/>
  <c r="AE767" i="13034" s="1"/>
  <c r="H768" i="12908"/>
  <c r="AE768" i="13034" s="1"/>
  <c r="AA352" i="12924"/>
  <c r="G45" i="12709"/>
  <c r="C2038" i="12908"/>
  <c r="Z2038" i="13034" s="1"/>
  <c r="W352" i="12924"/>
  <c r="K62" i="12711" s="1"/>
  <c r="C2221" i="12908"/>
  <c r="Z2221" i="13034" s="1"/>
  <c r="S349" i="12924"/>
  <c r="S352" i="12924" s="1"/>
  <c r="AC349" i="12924"/>
  <c r="AC352" i="12924" s="1"/>
  <c r="O349" i="12924"/>
  <c r="O352" i="12924" s="1"/>
  <c r="G61" i="12709" s="1"/>
  <c r="Y349" i="12924"/>
  <c r="Y352" i="12924" s="1"/>
  <c r="G62" i="12709" s="1"/>
  <c r="I352" i="12924"/>
  <c r="K18" i="12711"/>
  <c r="E352" i="12924"/>
  <c r="H179" i="12908"/>
  <c r="AE179" i="13034" s="1"/>
  <c r="H2129" i="12908"/>
  <c r="AE2129" i="13034" s="1"/>
  <c r="H2132" i="12908"/>
  <c r="AE2132" i="13034" s="1"/>
  <c r="G352" i="12924"/>
  <c r="Q349" i="12924"/>
  <c r="Q352" i="12924" s="1"/>
  <c r="M352" i="12924"/>
  <c r="C2130" i="12908"/>
  <c r="Z2130" i="13034" s="1"/>
  <c r="E323" i="12924"/>
  <c r="I323" i="12924"/>
  <c r="C294" i="12908" l="1"/>
  <c r="Z294" i="13034" s="1"/>
  <c r="Z288" i="13034"/>
  <c r="H217" i="12908"/>
  <c r="AE217" i="13034" s="1"/>
  <c r="Z217" i="13034"/>
  <c r="C434" i="12908"/>
  <c r="Z434" i="13034" s="1"/>
  <c r="Z430" i="13034"/>
  <c r="H324" i="12908"/>
  <c r="AE324" i="13034" s="1"/>
  <c r="Z324" i="13034"/>
  <c r="K19" i="12709"/>
  <c r="AE789" i="13034"/>
  <c r="K46" i="12709"/>
  <c r="AE808" i="13034"/>
  <c r="H251" i="12908"/>
  <c r="AE251" i="13034" s="1"/>
  <c r="H288" i="12908"/>
  <c r="H395" i="12908"/>
  <c r="AE395" i="13034" s="1"/>
  <c r="C330" i="12908"/>
  <c r="Z330" i="13034" s="1"/>
  <c r="C252" i="12908"/>
  <c r="H327" i="12908"/>
  <c r="H430" i="12908"/>
  <c r="AE430" i="13034" s="1"/>
  <c r="C396" i="12908"/>
  <c r="D2130" i="12908"/>
  <c r="AA2130" i="13034" s="1"/>
  <c r="K175" i="12709"/>
  <c r="I2131" i="12908"/>
  <c r="AF2131" i="13034" s="1"/>
  <c r="H770" i="12908"/>
  <c r="AE770" i="13034" s="1"/>
  <c r="H2221" i="12908"/>
  <c r="AE2221" i="13034" s="1"/>
  <c r="D2221" i="12908"/>
  <c r="AA2221" i="13034" s="1"/>
  <c r="G60" i="12709"/>
  <c r="R46" i="12709"/>
  <c r="R62" i="12709"/>
  <c r="R175" i="12709"/>
  <c r="R19" i="12709"/>
  <c r="H2130" i="12908"/>
  <c r="AE2130" i="13034" s="1"/>
  <c r="H180" i="12908"/>
  <c r="AE180" i="13034" s="1"/>
  <c r="K61" i="12711"/>
  <c r="K60" i="12711" s="1"/>
  <c r="H396" i="12908" l="1"/>
  <c r="AE396" i="13034" s="1"/>
  <c r="Z396" i="13034"/>
  <c r="H330" i="12908"/>
  <c r="AE330" i="13034" s="1"/>
  <c r="AE327" i="13034"/>
  <c r="H291" i="12908"/>
  <c r="AE288" i="13034"/>
  <c r="C258" i="12908"/>
  <c r="Z258" i="13034" s="1"/>
  <c r="Z252" i="13034"/>
  <c r="C400" i="12908"/>
  <c r="Z400" i="13034" s="1"/>
  <c r="H432" i="12908"/>
  <c r="H398" i="12908"/>
  <c r="H252" i="12908"/>
  <c r="AE252" i="13034" s="1"/>
  <c r="D2129" i="12908"/>
  <c r="I2130" i="12908"/>
  <c r="AF2130" i="13034" s="1"/>
  <c r="I2221" i="12908"/>
  <c r="AF2221" i="13034" s="1"/>
  <c r="H2134" i="12908"/>
  <c r="H2225" i="12908"/>
  <c r="D2220" i="12908"/>
  <c r="AA2220" i="13034" s="1"/>
  <c r="G4" i="12765"/>
  <c r="H4" i="12765"/>
  <c r="I4" i="12765"/>
  <c r="J4" i="12765"/>
  <c r="K4" i="12765"/>
  <c r="L4" i="12765"/>
  <c r="M4" i="12765"/>
  <c r="N4" i="12765"/>
  <c r="F4" i="12765"/>
  <c r="H400" i="12908" l="1"/>
  <c r="AE400" i="13034" s="1"/>
  <c r="AE398" i="13034"/>
  <c r="K61" i="12709"/>
  <c r="AE2134" i="13034"/>
  <c r="H434" i="12908"/>
  <c r="AE434" i="13034" s="1"/>
  <c r="AE432" i="13034"/>
  <c r="K62" i="12709"/>
  <c r="AE2225" i="13034"/>
  <c r="I2129" i="12908"/>
  <c r="AF2129" i="13034" s="1"/>
  <c r="AA2129" i="13034"/>
  <c r="H294" i="12908"/>
  <c r="AE294" i="13034" s="1"/>
  <c r="AE291" i="13034"/>
  <c r="H255" i="12908"/>
  <c r="I2220" i="12908"/>
  <c r="AF2220" i="13034" s="1"/>
  <c r="R61" i="12709"/>
  <c r="E54" i="12852"/>
  <c r="D118" i="12711"/>
  <c r="H258" i="12908" l="1"/>
  <c r="AE258" i="13034" s="1"/>
  <c r="AE255" i="13034"/>
  <c r="D120" i="12711"/>
  <c r="D186" i="12711"/>
  <c r="E29" i="12721" l="1"/>
  <c r="E30" i="12721" l="1"/>
  <c r="D18" i="12721"/>
  <c r="O18" i="12721" l="1"/>
  <c r="M99" i="12711"/>
  <c r="M201" i="12711" s="1"/>
  <c r="L99" i="12711" l="1"/>
  <c r="N99" i="12711"/>
  <c r="N201" i="12711" s="1"/>
  <c r="E17" i="12715" l="1"/>
  <c r="F17" i="12715" s="1"/>
  <c r="L201" i="12711"/>
  <c r="G17" i="12715"/>
  <c r="M101" i="12711"/>
  <c r="O24" i="12774"/>
  <c r="I96" i="12905"/>
  <c r="J96" i="12905"/>
  <c r="K96" i="12905"/>
  <c r="E138" i="12709" s="1"/>
  <c r="L96" i="12905"/>
  <c r="L99" i="12905" s="1"/>
  <c r="M96" i="12905"/>
  <c r="M99" i="12905" s="1"/>
  <c r="N96" i="12905"/>
  <c r="O96" i="12905"/>
  <c r="O99" i="12905" s="1"/>
  <c r="P96" i="12905"/>
  <c r="P99" i="12905" s="1"/>
  <c r="H890" i="12908"/>
  <c r="AE890" i="13034" s="1"/>
  <c r="H17" i="12715" l="1"/>
  <c r="N101" i="12711"/>
  <c r="N203" i="12711" s="1"/>
  <c r="M203" i="12711"/>
  <c r="I99" i="12905"/>
  <c r="J70" i="12852"/>
  <c r="Q99" i="12905"/>
  <c r="T96" i="12905"/>
  <c r="N99" i="12905"/>
  <c r="L101" i="12709"/>
  <c r="L204" i="12709" s="1"/>
  <c r="J99" i="12905"/>
  <c r="I138" i="12711"/>
  <c r="K99" i="12905"/>
  <c r="J36" i="12852"/>
  <c r="C2025" i="12908"/>
  <c r="Z2025" i="13034" s="1"/>
  <c r="J56" i="12852"/>
  <c r="C2049" i="12908"/>
  <c r="Z2049" i="13034" s="1"/>
  <c r="E56" i="12852"/>
  <c r="E36" i="12852"/>
  <c r="G19" i="12715" l="1"/>
  <c r="H17" i="12721"/>
  <c r="M101" i="12709"/>
  <c r="M204" i="12709" s="1"/>
  <c r="F60" i="12711"/>
  <c r="G49" i="12910" s="1"/>
  <c r="D2026" i="12908"/>
  <c r="AA2026" i="13034" s="1"/>
  <c r="D2027" i="12908"/>
  <c r="AA2027" i="13034" s="1"/>
  <c r="F96" i="12711"/>
  <c r="G73" i="12910" s="1"/>
  <c r="D2050" i="12908"/>
  <c r="AA2050" i="13034" s="1"/>
  <c r="D2051" i="12908"/>
  <c r="AA2051" i="13034" s="1"/>
  <c r="G24" i="12774"/>
  <c r="C1700" i="12908"/>
  <c r="Z1700" i="13034" s="1"/>
  <c r="C1692" i="12908"/>
  <c r="Z1692" i="13034" s="1"/>
  <c r="C1691" i="12908"/>
  <c r="Z1691" i="13034" s="1"/>
  <c r="C1685" i="12908"/>
  <c r="Z1685" i="13034" s="1"/>
  <c r="F17" i="12721" l="1"/>
  <c r="E17" i="12721" s="1"/>
  <c r="E101" i="12709" s="1"/>
  <c r="E204" i="12709" s="1"/>
  <c r="I17" i="12721"/>
  <c r="I18" i="12721" s="1"/>
  <c r="I18" i="6"/>
  <c r="H18" i="12721"/>
  <c r="I2027" i="12908"/>
  <c r="AF2027" i="13034" s="1"/>
  <c r="I2026" i="12908"/>
  <c r="AF2026" i="13034" s="1"/>
  <c r="S101" i="12711"/>
  <c r="S203" i="12711" s="1"/>
  <c r="I2051" i="12908"/>
  <c r="AF2051" i="13034" s="1"/>
  <c r="I2050" i="12908"/>
  <c r="AF2050" i="13034" s="1"/>
  <c r="C12" i="12780"/>
  <c r="C20" i="12780" s="1"/>
  <c r="H88" i="12760"/>
  <c r="E18" i="12721" l="1"/>
  <c r="C18" i="6"/>
  <c r="Q204" i="12709"/>
  <c r="Q101" i="12709"/>
  <c r="E20" i="12711"/>
  <c r="E16" i="12711"/>
  <c r="E171" i="12711" s="1"/>
  <c r="R204" i="12709" l="1"/>
  <c r="H142" i="12908"/>
  <c r="AE142" i="13034" s="1"/>
  <c r="F13" i="12711"/>
  <c r="F168" i="12711" s="1"/>
  <c r="G15" i="12910" l="1"/>
  <c r="H76" i="12908"/>
  <c r="AE76" i="13034" s="1"/>
  <c r="F15" i="12711" l="1"/>
  <c r="F170" i="12711" s="1"/>
  <c r="G17" i="12910" l="1"/>
  <c r="H39" i="12908"/>
  <c r="AE39" i="13034" s="1"/>
  <c r="C252" i="12924" l="1"/>
  <c r="G252" i="12924" s="1"/>
  <c r="C249" i="12924"/>
  <c r="G249" i="12924" s="1"/>
  <c r="C246" i="12924"/>
  <c r="G246" i="12924" s="1"/>
  <c r="C243" i="12924"/>
  <c r="G243" i="12924" s="1"/>
  <c r="C240" i="12924"/>
  <c r="G240" i="12924" s="1"/>
  <c r="C237" i="12924"/>
  <c r="G237" i="12924" s="1"/>
  <c r="C234" i="12924"/>
  <c r="G234" i="12924" s="1"/>
  <c r="C231" i="12924"/>
  <c r="G231" i="12924" s="1"/>
  <c r="C228" i="12924"/>
  <c r="G228" i="12924" s="1"/>
  <c r="C225" i="12924"/>
  <c r="G225" i="12924" s="1"/>
  <c r="C222" i="12924"/>
  <c r="G222" i="12924" s="1"/>
  <c r="C219" i="12924"/>
  <c r="G219" i="12924" s="1"/>
  <c r="C213" i="12924"/>
  <c r="C211" i="12924" s="1"/>
  <c r="C210" i="12924"/>
  <c r="C208" i="12924" s="1"/>
  <c r="C207" i="12924"/>
  <c r="C205" i="12924" s="1"/>
  <c r="C204" i="12924"/>
  <c r="C202" i="12924" s="1"/>
  <c r="C201" i="12924"/>
  <c r="C199" i="12924" s="1"/>
  <c r="C198" i="12924"/>
  <c r="C196" i="12924" s="1"/>
  <c r="C195" i="12924"/>
  <c r="C193" i="12924" s="1"/>
  <c r="C192" i="12924"/>
  <c r="C190" i="12924" s="1"/>
  <c r="C189" i="12924"/>
  <c r="C187" i="12924" s="1"/>
  <c r="C186" i="12924"/>
  <c r="C184" i="12924" s="1"/>
  <c r="C183" i="12924"/>
  <c r="C181" i="12924"/>
  <c r="C180" i="12924"/>
  <c r="C178" i="12924" s="1"/>
  <c r="C172" i="12924"/>
  <c r="C170" i="12924" s="1"/>
  <c r="G170" i="12924" s="1"/>
  <c r="C169" i="12924"/>
  <c r="C167" i="12924" s="1"/>
  <c r="G167" i="12924" s="1"/>
  <c r="C166" i="12924"/>
  <c r="C164" i="12924" s="1"/>
  <c r="G164" i="12924" s="1"/>
  <c r="C163" i="12924"/>
  <c r="C161" i="12924" s="1"/>
  <c r="G161" i="12924" s="1"/>
  <c r="C160" i="12924"/>
  <c r="C158" i="12924" s="1"/>
  <c r="G158" i="12924" s="1"/>
  <c r="C157" i="12924"/>
  <c r="C155" i="12924" s="1"/>
  <c r="G155" i="12924" s="1"/>
  <c r="C154" i="12924"/>
  <c r="C152" i="12924" s="1"/>
  <c r="G152" i="12924" s="1"/>
  <c r="C151" i="12924"/>
  <c r="C149" i="12924" s="1"/>
  <c r="C148" i="12924"/>
  <c r="C146" i="12924" s="1"/>
  <c r="G146" i="12924" s="1"/>
  <c r="C145" i="12924"/>
  <c r="C143" i="12924" s="1"/>
  <c r="G143" i="12924" s="1"/>
  <c r="C142" i="12924"/>
  <c r="C140" i="12924" s="1"/>
  <c r="G140" i="12924" s="1"/>
  <c r="C139" i="12924"/>
  <c r="C137" i="12924" s="1"/>
  <c r="G137" i="12924" s="1"/>
  <c r="C130" i="12924"/>
  <c r="G130" i="12924" s="1"/>
  <c r="C129" i="12924"/>
  <c r="G129" i="12924" s="1"/>
  <c r="C128" i="12924"/>
  <c r="G128" i="12924" s="1"/>
  <c r="C127" i="12924"/>
  <c r="G127" i="12924" s="1"/>
  <c r="C126" i="12924"/>
  <c r="G126" i="12924" s="1"/>
  <c r="C125" i="12924"/>
  <c r="G125" i="12924" s="1"/>
  <c r="C124" i="12924"/>
  <c r="G124" i="12924" s="1"/>
  <c r="C123" i="12924"/>
  <c r="C122" i="12924"/>
  <c r="G122" i="12924" s="1"/>
  <c r="C121" i="12924"/>
  <c r="G121" i="12924" s="1"/>
  <c r="C120" i="12924"/>
  <c r="G120" i="12924" s="1"/>
  <c r="C119" i="12924"/>
  <c r="C295" i="12924"/>
  <c r="M295" i="12924" s="1"/>
  <c r="C292" i="12924"/>
  <c r="C290" i="12924" s="1"/>
  <c r="G290" i="12924" s="1"/>
  <c r="C289" i="12924"/>
  <c r="C286" i="12924"/>
  <c r="C284" i="12924" s="1"/>
  <c r="G284" i="12924" s="1"/>
  <c r="C283" i="12924"/>
  <c r="M283" i="12924" s="1"/>
  <c r="C41" i="12924"/>
  <c r="C280" i="12924"/>
  <c r="C278" i="12924" s="1"/>
  <c r="G278" i="12924" s="1"/>
  <c r="C37" i="12924"/>
  <c r="C277" i="12924"/>
  <c r="M277" i="12924" s="1"/>
  <c r="C33" i="12924"/>
  <c r="C274" i="12924"/>
  <c r="C272" i="12924" s="1"/>
  <c r="G272" i="12924" s="1"/>
  <c r="C271" i="12924"/>
  <c r="M271" i="12924" s="1"/>
  <c r="C29" i="12924"/>
  <c r="C268" i="12924"/>
  <c r="C266" i="12924" s="1"/>
  <c r="G266" i="12924" s="1"/>
  <c r="C25" i="12924"/>
  <c r="C265" i="12924"/>
  <c r="M265" i="12924" s="1"/>
  <c r="C262" i="12924"/>
  <c r="C23" i="12924" l="1"/>
  <c r="G23" i="12924" s="1"/>
  <c r="C22" i="12924"/>
  <c r="C51" i="12924"/>
  <c r="C27" i="12924"/>
  <c r="G27" i="12924" s="1"/>
  <c r="C26" i="12924"/>
  <c r="G26" i="12924" s="1"/>
  <c r="C31" i="12924"/>
  <c r="G31" i="12924" s="1"/>
  <c r="C30" i="12924"/>
  <c r="E30" i="12924" s="1"/>
  <c r="C35" i="12924"/>
  <c r="G35" i="12924" s="1"/>
  <c r="C34" i="12924"/>
  <c r="G34" i="12924" s="1"/>
  <c r="C39" i="12924"/>
  <c r="G39" i="12924" s="1"/>
  <c r="C38" i="12924"/>
  <c r="G38" i="12924" s="1"/>
  <c r="G327" i="12924"/>
  <c r="I178" i="12924"/>
  <c r="G178" i="12924"/>
  <c r="E178" i="12924"/>
  <c r="I181" i="12924"/>
  <c r="G181" i="12924"/>
  <c r="E181" i="12924"/>
  <c r="I184" i="12924"/>
  <c r="G184" i="12924"/>
  <c r="E184" i="12924"/>
  <c r="I187" i="12924"/>
  <c r="G187" i="12924"/>
  <c r="E187" i="12924"/>
  <c r="I190" i="12924"/>
  <c r="G190" i="12924"/>
  <c r="E190" i="12924"/>
  <c r="I193" i="12924"/>
  <c r="G193" i="12924"/>
  <c r="E193" i="12924"/>
  <c r="I196" i="12924"/>
  <c r="G196" i="12924"/>
  <c r="E196" i="12924"/>
  <c r="I199" i="12924"/>
  <c r="G199" i="12924"/>
  <c r="E199" i="12924"/>
  <c r="I202" i="12924"/>
  <c r="G202" i="12924"/>
  <c r="E202" i="12924"/>
  <c r="I205" i="12924"/>
  <c r="G205" i="12924"/>
  <c r="E205" i="12924"/>
  <c r="I208" i="12924"/>
  <c r="G208" i="12924"/>
  <c r="E208" i="12924"/>
  <c r="I211" i="12924"/>
  <c r="G211" i="12924"/>
  <c r="E211" i="12924"/>
  <c r="G119" i="12924"/>
  <c r="C342" i="12924"/>
  <c r="C936" i="12908" s="1"/>
  <c r="G123" i="12924"/>
  <c r="G341" i="12924" s="1"/>
  <c r="C341" i="12924"/>
  <c r="G338" i="12924"/>
  <c r="C336" i="12924"/>
  <c r="G149" i="12924"/>
  <c r="G336" i="12924" s="1"/>
  <c r="G329" i="12924"/>
  <c r="C358" i="12924"/>
  <c r="M262" i="12924"/>
  <c r="I272" i="12924"/>
  <c r="E272" i="12924"/>
  <c r="I278" i="12924"/>
  <c r="E278" i="12924"/>
  <c r="I266" i="12924"/>
  <c r="E266" i="12924"/>
  <c r="I284" i="12924"/>
  <c r="E284" i="12924"/>
  <c r="I290" i="12924"/>
  <c r="E290" i="12924"/>
  <c r="I222" i="12924"/>
  <c r="E222" i="12924"/>
  <c r="I228" i="12924"/>
  <c r="E228" i="12924"/>
  <c r="I246" i="12924"/>
  <c r="E246" i="12924"/>
  <c r="I252" i="12924"/>
  <c r="E252" i="12924"/>
  <c r="C329" i="12924"/>
  <c r="W329" i="12924" s="1"/>
  <c r="C2199" i="12908" s="1"/>
  <c r="I219" i="12924"/>
  <c r="E219" i="12924"/>
  <c r="I225" i="12924"/>
  <c r="E225" i="12924"/>
  <c r="I249" i="12924"/>
  <c r="E249" i="12924"/>
  <c r="I234" i="12924"/>
  <c r="E234" i="12924"/>
  <c r="I240" i="12924"/>
  <c r="E240" i="12924"/>
  <c r="I231" i="12924"/>
  <c r="E231" i="12924"/>
  <c r="C327" i="12924"/>
  <c r="W327" i="12924" s="1"/>
  <c r="C2197" i="12908" s="1"/>
  <c r="I237" i="12924"/>
  <c r="E237" i="12924"/>
  <c r="I243" i="12924"/>
  <c r="E243" i="12924"/>
  <c r="C345" i="12924"/>
  <c r="C344" i="12924"/>
  <c r="I120" i="12924"/>
  <c r="E120" i="12924"/>
  <c r="I122" i="12924"/>
  <c r="E122" i="12924"/>
  <c r="I124" i="12924"/>
  <c r="E124" i="12924"/>
  <c r="I126" i="12924"/>
  <c r="E126" i="12924"/>
  <c r="I128" i="12924"/>
  <c r="E128" i="12924"/>
  <c r="I130" i="12924"/>
  <c r="E130" i="12924"/>
  <c r="I140" i="12924"/>
  <c r="E140" i="12924"/>
  <c r="I146" i="12924"/>
  <c r="E146" i="12924"/>
  <c r="I152" i="12924"/>
  <c r="E152" i="12924"/>
  <c r="I158" i="12924"/>
  <c r="E158" i="12924"/>
  <c r="I164" i="12924"/>
  <c r="E164" i="12924"/>
  <c r="I170" i="12924"/>
  <c r="E170" i="12924"/>
  <c r="I119" i="12924"/>
  <c r="E119" i="12924"/>
  <c r="I121" i="12924"/>
  <c r="E121" i="12924"/>
  <c r="I123" i="12924"/>
  <c r="E123" i="12924"/>
  <c r="I125" i="12924"/>
  <c r="E125" i="12924"/>
  <c r="I127" i="12924"/>
  <c r="E127" i="12924"/>
  <c r="I129" i="12924"/>
  <c r="E129" i="12924"/>
  <c r="I137" i="12924"/>
  <c r="E137" i="12924"/>
  <c r="I143" i="12924"/>
  <c r="E143" i="12924"/>
  <c r="I149" i="12924"/>
  <c r="E149" i="12924"/>
  <c r="I155" i="12924"/>
  <c r="E155" i="12924"/>
  <c r="I161" i="12924"/>
  <c r="E161" i="12924"/>
  <c r="I167" i="12924"/>
  <c r="E167" i="12924"/>
  <c r="M289" i="12924"/>
  <c r="M287" i="12924" s="1"/>
  <c r="Q287" i="12924" s="1"/>
  <c r="C263" i="12924"/>
  <c r="G263" i="12924" s="1"/>
  <c r="C162" i="12924"/>
  <c r="G162" i="12924" s="1"/>
  <c r="C165" i="12924"/>
  <c r="G165" i="12924" s="1"/>
  <c r="C168" i="12924"/>
  <c r="G168" i="12924" s="1"/>
  <c r="C171" i="12924"/>
  <c r="G171" i="12924" s="1"/>
  <c r="C223" i="12924"/>
  <c r="G223" i="12924" s="1"/>
  <c r="C226" i="12924"/>
  <c r="G226" i="12924" s="1"/>
  <c r="C229" i="12924"/>
  <c r="G229" i="12924" s="1"/>
  <c r="C235" i="12924"/>
  <c r="G235" i="12924" s="1"/>
  <c r="C238" i="12924"/>
  <c r="G238" i="12924" s="1"/>
  <c r="C241" i="12924"/>
  <c r="G241" i="12924" s="1"/>
  <c r="C244" i="12924"/>
  <c r="G244" i="12924" s="1"/>
  <c r="C247" i="12924"/>
  <c r="G247" i="12924" s="1"/>
  <c r="C250" i="12924"/>
  <c r="G250" i="12924" s="1"/>
  <c r="C253" i="12924"/>
  <c r="G253" i="12924" s="1"/>
  <c r="C275" i="12924"/>
  <c r="G275" i="12924" s="1"/>
  <c r="C287" i="12924"/>
  <c r="G287" i="12924" s="1"/>
  <c r="C267" i="12924"/>
  <c r="G267" i="12924" s="1"/>
  <c r="C269" i="12924"/>
  <c r="G269" i="12924" s="1"/>
  <c r="C273" i="12924"/>
  <c r="G273" i="12924" s="1"/>
  <c r="C281" i="12924"/>
  <c r="G281" i="12924" s="1"/>
  <c r="H77" i="12908"/>
  <c r="AE77" i="13034" s="1"/>
  <c r="C293" i="12924"/>
  <c r="G293" i="12924" s="1"/>
  <c r="C182" i="12924"/>
  <c r="C185" i="12924"/>
  <c r="C188" i="12924"/>
  <c r="C194" i="12924"/>
  <c r="C197" i="12924"/>
  <c r="C200" i="12924"/>
  <c r="C203" i="12924"/>
  <c r="C206" i="12924"/>
  <c r="C209" i="12924"/>
  <c r="C212" i="12924"/>
  <c r="C279" i="12924"/>
  <c r="G279" i="12924" s="1"/>
  <c r="C285" i="12924"/>
  <c r="G285" i="12924" s="1"/>
  <c r="C291" i="12924"/>
  <c r="G291" i="12924" s="1"/>
  <c r="M263" i="12924"/>
  <c r="Q263" i="12924" s="1"/>
  <c r="M275" i="12924"/>
  <c r="M269" i="12924"/>
  <c r="Q269" i="12924" s="1"/>
  <c r="M281" i="12924"/>
  <c r="Q281" i="12924" s="1"/>
  <c r="M293" i="12924"/>
  <c r="Q293" i="12924" s="1"/>
  <c r="C338" i="12924"/>
  <c r="C159" i="12924"/>
  <c r="G159" i="12924" s="1"/>
  <c r="M268" i="12924"/>
  <c r="M274" i="12924"/>
  <c r="M280" i="12924"/>
  <c r="M286" i="12924"/>
  <c r="M292" i="12924"/>
  <c r="M65" i="12924"/>
  <c r="Q65" i="12924" s="1"/>
  <c r="C114" i="12924"/>
  <c r="C131" i="12924"/>
  <c r="C138" i="12924"/>
  <c r="G138" i="12924" s="1"/>
  <c r="C141" i="12924"/>
  <c r="G141" i="12924" s="1"/>
  <c r="C144" i="12924"/>
  <c r="G144" i="12924" s="1"/>
  <c r="C147" i="12924"/>
  <c r="G147" i="12924" s="1"/>
  <c r="C150" i="12924"/>
  <c r="G150" i="12924" s="1"/>
  <c r="C153" i="12924"/>
  <c r="G153" i="12924" s="1"/>
  <c r="C156" i="12924"/>
  <c r="G156" i="12924" s="1"/>
  <c r="H40" i="12908"/>
  <c r="AE40" i="13034" s="1"/>
  <c r="C260" i="12924"/>
  <c r="G260" i="12924" s="1"/>
  <c r="C179" i="12924"/>
  <c r="C191" i="12924"/>
  <c r="C220" i="12924"/>
  <c r="G220" i="12924" s="1"/>
  <c r="C232" i="12924"/>
  <c r="G232" i="12924" s="1"/>
  <c r="A127" i="12749"/>
  <c r="A128" i="12749"/>
  <c r="C2174" i="12908" l="1"/>
  <c r="Z2174" i="13034" s="1"/>
  <c r="Z2197" i="13034"/>
  <c r="C630" i="12908"/>
  <c r="Z630" i="13034" s="1"/>
  <c r="Z936" i="13034"/>
  <c r="C2176" i="12908"/>
  <c r="Z2176" i="13034" s="1"/>
  <c r="Z2199" i="13034"/>
  <c r="C631" i="12908"/>
  <c r="Z631" i="13034" s="1"/>
  <c r="W338" i="12924"/>
  <c r="C1159" i="12908" s="1"/>
  <c r="C899" i="12908"/>
  <c r="Z899" i="13034" s="1"/>
  <c r="D893" i="12908"/>
  <c r="AA893" i="13034" s="1"/>
  <c r="D892" i="12908"/>
  <c r="AA892" i="13034" s="1"/>
  <c r="W336" i="12924"/>
  <c r="C1157" i="12908" s="1"/>
  <c r="Z1157" i="13034" s="1"/>
  <c r="Q336" i="12924"/>
  <c r="AA336" i="12924"/>
  <c r="Q338" i="12924"/>
  <c r="AA338" i="12924"/>
  <c r="G22" i="12924"/>
  <c r="C303" i="12924"/>
  <c r="C900" i="12908"/>
  <c r="Z900" i="13034" s="1"/>
  <c r="H2197" i="12908"/>
  <c r="AE2197" i="13034" s="1"/>
  <c r="H2174" i="12908"/>
  <c r="AE2174" i="13034" s="1"/>
  <c r="H2199" i="12908"/>
  <c r="AE2199" i="13034" s="1"/>
  <c r="H2176" i="12908"/>
  <c r="AE2176" i="13034" s="1"/>
  <c r="Q329" i="12924"/>
  <c r="AA329" i="12924"/>
  <c r="Q327" i="12924"/>
  <c r="AA327" i="12924"/>
  <c r="I30" i="12924"/>
  <c r="M336" i="12924"/>
  <c r="C1021" i="12908" s="1"/>
  <c r="Z1021" i="13034" s="1"/>
  <c r="M344" i="12924"/>
  <c r="W344" i="12924" s="1"/>
  <c r="C1470" i="12908" s="1"/>
  <c r="Z1470" i="13034" s="1"/>
  <c r="M345" i="12924"/>
  <c r="W345" i="12924" s="1"/>
  <c r="C1471" i="12908" s="1"/>
  <c r="M329" i="12924"/>
  <c r="C1991" i="12908" s="1"/>
  <c r="Z1991" i="13034" s="1"/>
  <c r="M358" i="12924"/>
  <c r="M338" i="12924"/>
  <c r="M327" i="12924"/>
  <c r="C1989" i="12908" s="1"/>
  <c r="Z1989" i="13034" s="1"/>
  <c r="Q275" i="12924"/>
  <c r="C214" i="12924"/>
  <c r="C40" i="12924"/>
  <c r="G40" i="12924" s="1"/>
  <c r="G328" i="12924"/>
  <c r="C36" i="12924"/>
  <c r="E36" i="12924" s="1"/>
  <c r="C28" i="12924"/>
  <c r="I28" i="12924" s="1"/>
  <c r="C32" i="12924"/>
  <c r="G32" i="12924" s="1"/>
  <c r="G30" i="12924"/>
  <c r="G303" i="12924" s="1"/>
  <c r="G330" i="12924"/>
  <c r="I191" i="12924"/>
  <c r="G191" i="12924"/>
  <c r="E191" i="12924"/>
  <c r="I179" i="12924"/>
  <c r="G179" i="12924"/>
  <c r="E179" i="12924"/>
  <c r="I212" i="12924"/>
  <c r="G212" i="12924"/>
  <c r="E212" i="12924"/>
  <c r="I206" i="12924"/>
  <c r="G206" i="12924"/>
  <c r="E206" i="12924"/>
  <c r="I200" i="12924"/>
  <c r="G200" i="12924"/>
  <c r="E200" i="12924"/>
  <c r="I194" i="12924"/>
  <c r="G194" i="12924"/>
  <c r="E194" i="12924"/>
  <c r="I185" i="12924"/>
  <c r="G185" i="12924"/>
  <c r="E185" i="12924"/>
  <c r="I209" i="12924"/>
  <c r="G209" i="12924"/>
  <c r="E209" i="12924"/>
  <c r="I203" i="12924"/>
  <c r="G203" i="12924"/>
  <c r="E203" i="12924"/>
  <c r="I197" i="12924"/>
  <c r="G197" i="12924"/>
  <c r="E197" i="12924"/>
  <c r="I188" i="12924"/>
  <c r="G188" i="12924"/>
  <c r="E188" i="12924"/>
  <c r="I182" i="12924"/>
  <c r="G182" i="12924"/>
  <c r="E182" i="12924"/>
  <c r="G173" i="12924"/>
  <c r="C343" i="12924"/>
  <c r="K51" i="12711" s="1"/>
  <c r="G345" i="12924"/>
  <c r="G342" i="12924"/>
  <c r="G343" i="12924" s="1"/>
  <c r="G131" i="12924"/>
  <c r="G337" i="12924"/>
  <c r="G339" i="12924"/>
  <c r="G354" i="12924"/>
  <c r="Q354" i="12924" s="1"/>
  <c r="G304" i="12924"/>
  <c r="G344" i="12924"/>
  <c r="G255" i="12924"/>
  <c r="I341" i="12924"/>
  <c r="I342" i="12924"/>
  <c r="E341" i="12924"/>
  <c r="E342" i="12924"/>
  <c r="I260" i="12924"/>
  <c r="E260" i="12924"/>
  <c r="O293" i="12924"/>
  <c r="S293" i="12924"/>
  <c r="O269" i="12924"/>
  <c r="S269" i="12924"/>
  <c r="O275" i="12924"/>
  <c r="S275" i="12924"/>
  <c r="I291" i="12924"/>
  <c r="E291" i="12924"/>
  <c r="I279" i="12924"/>
  <c r="E279" i="12924"/>
  <c r="I293" i="12924"/>
  <c r="E293" i="12924"/>
  <c r="I281" i="12924"/>
  <c r="E281" i="12924"/>
  <c r="I269" i="12924"/>
  <c r="E269" i="12924"/>
  <c r="I287" i="12924"/>
  <c r="E287" i="12924"/>
  <c r="O281" i="12924"/>
  <c r="S281" i="12924"/>
  <c r="O287" i="12924"/>
  <c r="S287" i="12924"/>
  <c r="O263" i="12924"/>
  <c r="S263" i="12924"/>
  <c r="I285" i="12924"/>
  <c r="E285" i="12924"/>
  <c r="I273" i="12924"/>
  <c r="E273" i="12924"/>
  <c r="I267" i="12924"/>
  <c r="E267" i="12924"/>
  <c r="C354" i="12924"/>
  <c r="M354" i="12924" s="1"/>
  <c r="I275" i="12924"/>
  <c r="E275" i="12924"/>
  <c r="C264" i="12924"/>
  <c r="G264" i="12924" s="1"/>
  <c r="I263" i="12924"/>
  <c r="E263" i="12924"/>
  <c r="I253" i="12924"/>
  <c r="E253" i="12924"/>
  <c r="I247" i="12924"/>
  <c r="E247" i="12924"/>
  <c r="I229" i="12924"/>
  <c r="E229" i="12924"/>
  <c r="I223" i="12924"/>
  <c r="E223" i="12924"/>
  <c r="I220" i="12924"/>
  <c r="E220" i="12924"/>
  <c r="C330" i="12924"/>
  <c r="W330" i="12924" s="1"/>
  <c r="C2200" i="12908" s="1"/>
  <c r="Z2200" i="13034" s="1"/>
  <c r="I250" i="12924"/>
  <c r="E250" i="12924"/>
  <c r="I226" i="12924"/>
  <c r="E226" i="12924"/>
  <c r="E329" i="12924"/>
  <c r="I329" i="12924"/>
  <c r="C328" i="12924"/>
  <c r="W328" i="12924" s="1"/>
  <c r="I232" i="12924"/>
  <c r="E232" i="12924"/>
  <c r="I241" i="12924"/>
  <c r="E241" i="12924"/>
  <c r="I235" i="12924"/>
  <c r="E235" i="12924"/>
  <c r="I327" i="12924"/>
  <c r="I244" i="12924"/>
  <c r="E244" i="12924"/>
  <c r="I238" i="12924"/>
  <c r="E238" i="12924"/>
  <c r="E327" i="12924"/>
  <c r="I156" i="12924"/>
  <c r="E156" i="12924"/>
  <c r="I150" i="12924"/>
  <c r="E150" i="12924"/>
  <c r="I144" i="12924"/>
  <c r="E144" i="12924"/>
  <c r="I138" i="12924"/>
  <c r="E138" i="12924"/>
  <c r="I22" i="12924"/>
  <c r="E22" i="12924"/>
  <c r="I168" i="12924"/>
  <c r="E168" i="12924"/>
  <c r="I162" i="12924"/>
  <c r="E162" i="12924"/>
  <c r="E26" i="12924"/>
  <c r="I26" i="12924"/>
  <c r="E34" i="12924"/>
  <c r="I34" i="12924"/>
  <c r="I27" i="12924"/>
  <c r="E27" i="12924"/>
  <c r="I35" i="12924"/>
  <c r="E35" i="12924"/>
  <c r="E39" i="12924"/>
  <c r="I39" i="12924"/>
  <c r="I131" i="12924"/>
  <c r="I153" i="12924"/>
  <c r="E153" i="12924"/>
  <c r="I147" i="12924"/>
  <c r="E147" i="12924"/>
  <c r="I141" i="12924"/>
  <c r="E141" i="12924"/>
  <c r="S65" i="12924"/>
  <c r="O65" i="12924"/>
  <c r="I159" i="12924"/>
  <c r="E159" i="12924"/>
  <c r="E31" i="12924"/>
  <c r="I31" i="12924"/>
  <c r="I171" i="12924"/>
  <c r="E171" i="12924"/>
  <c r="I165" i="12924"/>
  <c r="E165" i="12924"/>
  <c r="I38" i="12924"/>
  <c r="E38" i="12924"/>
  <c r="E23" i="12924"/>
  <c r="I23" i="12924"/>
  <c r="E131" i="12924"/>
  <c r="H143" i="12908"/>
  <c r="AE143" i="13034" s="1"/>
  <c r="C304" i="12924"/>
  <c r="C255" i="12924"/>
  <c r="M270" i="12924"/>
  <c r="Q270" i="12924" s="1"/>
  <c r="M264" i="12924"/>
  <c r="Q264" i="12924" s="1"/>
  <c r="M288" i="12924"/>
  <c r="Q288" i="12924" s="1"/>
  <c r="C359" i="12924"/>
  <c r="K115" i="12711"/>
  <c r="C346" i="12924"/>
  <c r="C24" i="12924"/>
  <c r="G24" i="12924" s="1"/>
  <c r="C288" i="12924"/>
  <c r="G288" i="12924" s="1"/>
  <c r="C276" i="12924"/>
  <c r="G276" i="12924" s="1"/>
  <c r="M294" i="12924"/>
  <c r="Q294" i="12924" s="1"/>
  <c r="M282" i="12924"/>
  <c r="Q282" i="12924" s="1"/>
  <c r="C294" i="12924"/>
  <c r="G294" i="12924" s="1"/>
  <c r="C282" i="12924"/>
  <c r="G282" i="12924" s="1"/>
  <c r="C270" i="12924"/>
  <c r="G270" i="12924" s="1"/>
  <c r="I345" i="12924"/>
  <c r="I338" i="12924"/>
  <c r="I336" i="12924"/>
  <c r="E344" i="12924"/>
  <c r="I344" i="12924"/>
  <c r="M68" i="12924"/>
  <c r="Q68" i="12924" s="1"/>
  <c r="Q71" i="12924" s="1"/>
  <c r="G315" i="12924" s="1"/>
  <c r="M290" i="12924"/>
  <c r="Q290" i="12924" s="1"/>
  <c r="M284" i="12924"/>
  <c r="Q284" i="12924" s="1"/>
  <c r="M266" i="12924"/>
  <c r="Q266" i="12924" s="1"/>
  <c r="E338" i="12924"/>
  <c r="E336" i="12924"/>
  <c r="C261" i="12924"/>
  <c r="G261" i="12924" s="1"/>
  <c r="M276" i="12924"/>
  <c r="E345" i="12924"/>
  <c r="E114" i="12924"/>
  <c r="C337" i="12924"/>
  <c r="C339" i="12924"/>
  <c r="M278" i="12924"/>
  <c r="Q278" i="12924" s="1"/>
  <c r="M272" i="12924"/>
  <c r="Q272" i="12924" s="1"/>
  <c r="M260" i="12924"/>
  <c r="Q260" i="12924" s="1"/>
  <c r="C173" i="12924"/>
  <c r="H630" i="12908" l="1"/>
  <c r="AE630" i="13034" s="1"/>
  <c r="H1159" i="12908"/>
  <c r="AE1159" i="13034" s="1"/>
  <c r="Z1159" i="13034"/>
  <c r="C1464" i="12908"/>
  <c r="Z1464" i="13034" s="1"/>
  <c r="Z1471" i="13034"/>
  <c r="C564" i="12908"/>
  <c r="Z564" i="13034" s="1"/>
  <c r="C1463" i="12908"/>
  <c r="Z1463" i="13034" s="1"/>
  <c r="H631" i="12908"/>
  <c r="C565" i="12908"/>
  <c r="H564" i="12908"/>
  <c r="AE564" i="13034" s="1"/>
  <c r="C635" i="12908"/>
  <c r="Z635" i="13034" s="1"/>
  <c r="W337" i="12924"/>
  <c r="C1158" i="12908" s="1"/>
  <c r="W339" i="12924"/>
  <c r="C1160" i="12908" s="1"/>
  <c r="C1023" i="12908"/>
  <c r="C973" i="12908"/>
  <c r="Z973" i="13034" s="1"/>
  <c r="H1471" i="12908"/>
  <c r="AE1471" i="13034" s="1"/>
  <c r="H1470" i="12908"/>
  <c r="AE1470" i="13034" s="1"/>
  <c r="S344" i="12924"/>
  <c r="AC344" i="12924"/>
  <c r="S345" i="12924"/>
  <c r="AC345" i="12924"/>
  <c r="Q345" i="12924"/>
  <c r="AA345" i="12924"/>
  <c r="C340" i="12924"/>
  <c r="O344" i="12924"/>
  <c r="Y344" i="12924"/>
  <c r="Q344" i="12924"/>
  <c r="AA344" i="12924"/>
  <c r="C1411" i="12908"/>
  <c r="O345" i="12924"/>
  <c r="Y345" i="12924"/>
  <c r="C1410" i="12908"/>
  <c r="Z1410" i="13034" s="1"/>
  <c r="Q337" i="12924"/>
  <c r="AA337" i="12924"/>
  <c r="O336" i="12924"/>
  <c r="Y336" i="12924"/>
  <c r="S336" i="12924"/>
  <c r="AC336" i="12924"/>
  <c r="O338" i="12924"/>
  <c r="Y338" i="12924"/>
  <c r="S338" i="12924"/>
  <c r="AC338" i="12924"/>
  <c r="H1157" i="12908"/>
  <c r="AE1157" i="13034" s="1"/>
  <c r="Q339" i="12924"/>
  <c r="AA339" i="12924"/>
  <c r="W340" i="12924"/>
  <c r="K50" i="12711" s="1"/>
  <c r="K178" i="12711" s="1"/>
  <c r="D2200" i="12908"/>
  <c r="AA2200" i="13034" s="1"/>
  <c r="C2177" i="12908"/>
  <c r="D2199" i="12908"/>
  <c r="AA2199" i="13034" s="1"/>
  <c r="M310" i="12924"/>
  <c r="M309" i="12924"/>
  <c r="H2200" i="12908"/>
  <c r="AE2200" i="13034" s="1"/>
  <c r="W331" i="12924"/>
  <c r="K27" i="12711" s="1"/>
  <c r="C2198" i="12908"/>
  <c r="Z2198" i="13034" s="1"/>
  <c r="Q303" i="12924"/>
  <c r="Q309" i="12924"/>
  <c r="Q304" i="12924"/>
  <c r="Q310" i="12924"/>
  <c r="O329" i="12924"/>
  <c r="Y329" i="12924"/>
  <c r="S327" i="12924"/>
  <c r="AC327" i="12924"/>
  <c r="Q330" i="12924"/>
  <c r="AA330" i="12924"/>
  <c r="S329" i="12924"/>
  <c r="AC329" i="12924"/>
  <c r="O327" i="12924"/>
  <c r="Y327" i="12924"/>
  <c r="Q328" i="12924"/>
  <c r="AA328" i="12924"/>
  <c r="I36" i="12924"/>
  <c r="M303" i="12924"/>
  <c r="C176" i="12908" s="1"/>
  <c r="Z176" i="13034" s="1"/>
  <c r="C2087" i="12908"/>
  <c r="Z2087" i="13034" s="1"/>
  <c r="C1113" i="12908"/>
  <c r="M339" i="12924"/>
  <c r="C1024" i="12908" s="1"/>
  <c r="Z1024" i="13034" s="1"/>
  <c r="M304" i="12924"/>
  <c r="C177" i="12908" s="1"/>
  <c r="Z177" i="13034" s="1"/>
  <c r="M330" i="12924"/>
  <c r="C1992" i="12908" s="1"/>
  <c r="Z1992" i="13034" s="1"/>
  <c r="C1609" i="12908"/>
  <c r="Z1609" i="13034" s="1"/>
  <c r="C1634" i="12908"/>
  <c r="Z1634" i="13034" s="1"/>
  <c r="C1450" i="12908"/>
  <c r="Z1450" i="13034" s="1"/>
  <c r="C1115" i="12908"/>
  <c r="C2085" i="12908"/>
  <c r="Z2085" i="13034" s="1"/>
  <c r="M337" i="12924"/>
  <c r="C1022" i="12908" s="1"/>
  <c r="Z1022" i="13034" s="1"/>
  <c r="M346" i="12924"/>
  <c r="M328" i="12924"/>
  <c r="C1614" i="12908"/>
  <c r="Z1614" i="13034" s="1"/>
  <c r="C1451" i="12908"/>
  <c r="Q276" i="12924"/>
  <c r="G36" i="12924"/>
  <c r="G28" i="12924"/>
  <c r="E28" i="12924"/>
  <c r="G331" i="12924"/>
  <c r="C347" i="12924"/>
  <c r="I40" i="12924"/>
  <c r="G356" i="12924"/>
  <c r="C305" i="12924"/>
  <c r="E40" i="12924"/>
  <c r="G296" i="12924"/>
  <c r="I304" i="12924"/>
  <c r="E303" i="12924"/>
  <c r="C331" i="12924"/>
  <c r="G340" i="12924"/>
  <c r="G214" i="12924"/>
  <c r="C1652" i="12908"/>
  <c r="Z1652" i="13034" s="1"/>
  <c r="G355" i="12924"/>
  <c r="Q355" i="12924" s="1"/>
  <c r="E354" i="12924"/>
  <c r="O354" i="12924" s="1"/>
  <c r="E343" i="12924"/>
  <c r="G51" i="12709" s="1"/>
  <c r="I343" i="12924"/>
  <c r="X41" i="12777" s="1"/>
  <c r="G358" i="12924"/>
  <c r="Q358" i="12924" s="1"/>
  <c r="E28" i="12711"/>
  <c r="E204" i="12711" s="1"/>
  <c r="G346" i="12924"/>
  <c r="AA346" i="12924" s="1"/>
  <c r="I354" i="12924"/>
  <c r="S354" i="12924" s="1"/>
  <c r="O260" i="12924"/>
  <c r="S260" i="12924"/>
  <c r="O278" i="12924"/>
  <c r="S278" i="12924"/>
  <c r="O276" i="12924"/>
  <c r="S276" i="12924"/>
  <c r="O290" i="12924"/>
  <c r="S290" i="12924"/>
  <c r="I270" i="12924"/>
  <c r="E270" i="12924"/>
  <c r="I282" i="12924"/>
  <c r="E282" i="12924"/>
  <c r="O282" i="12924"/>
  <c r="S282" i="12924"/>
  <c r="C355" i="12924"/>
  <c r="I276" i="12924"/>
  <c r="E276" i="12924"/>
  <c r="O272" i="12924"/>
  <c r="S272" i="12924"/>
  <c r="I261" i="12924"/>
  <c r="E261" i="12924"/>
  <c r="O284" i="12924"/>
  <c r="S284" i="12924"/>
  <c r="I294" i="12924"/>
  <c r="E294" i="12924"/>
  <c r="O294" i="12924"/>
  <c r="S294" i="12924"/>
  <c r="I288" i="12924"/>
  <c r="E288" i="12924"/>
  <c r="O264" i="12924"/>
  <c r="S264" i="12924"/>
  <c r="I264" i="12924"/>
  <c r="E264" i="12924"/>
  <c r="C356" i="12924"/>
  <c r="O266" i="12924"/>
  <c r="S266" i="12924"/>
  <c r="O288" i="12924"/>
  <c r="S288" i="12924"/>
  <c r="O270" i="12924"/>
  <c r="S270" i="12924"/>
  <c r="I330" i="12924"/>
  <c r="E330" i="12924"/>
  <c r="E328" i="12924"/>
  <c r="I328" i="12924"/>
  <c r="I303" i="12924"/>
  <c r="I173" i="12924"/>
  <c r="I24" i="12924"/>
  <c r="E24" i="12924"/>
  <c r="I32" i="12924"/>
  <c r="E32" i="12924"/>
  <c r="S68" i="12924"/>
  <c r="S71" i="12924" s="1"/>
  <c r="O68" i="12924"/>
  <c r="O71" i="12924" s="1"/>
  <c r="E315" i="12924" s="1"/>
  <c r="E304" i="12924"/>
  <c r="E214" i="12924"/>
  <c r="E255" i="12924"/>
  <c r="G115" i="12709"/>
  <c r="E339" i="12924"/>
  <c r="M69" i="12924"/>
  <c r="Q69" i="12924" s="1"/>
  <c r="E337" i="12924"/>
  <c r="I337" i="12924"/>
  <c r="E346" i="12924"/>
  <c r="Y346" i="12924" s="1"/>
  <c r="M71" i="12924"/>
  <c r="C315" i="12924" s="1"/>
  <c r="C71" i="12908" s="1"/>
  <c r="Z71" i="13034" s="1"/>
  <c r="M267" i="12924"/>
  <c r="Q267" i="12924" s="1"/>
  <c r="M285" i="12924"/>
  <c r="Q285" i="12924" s="1"/>
  <c r="M291" i="12924"/>
  <c r="Q291" i="12924" s="1"/>
  <c r="M261" i="12924"/>
  <c r="Q261" i="12924" s="1"/>
  <c r="M273" i="12924"/>
  <c r="Q273" i="12924" s="1"/>
  <c r="M279" i="12924"/>
  <c r="Q279" i="12924" s="1"/>
  <c r="M66" i="12924"/>
  <c r="Q66" i="12924" s="1"/>
  <c r="E173" i="12924"/>
  <c r="C296" i="12924"/>
  <c r="H1158" i="12908" l="1"/>
  <c r="AE1158" i="13034" s="1"/>
  <c r="Z1158" i="13034"/>
  <c r="H633" i="12908"/>
  <c r="AE633" i="13034" s="1"/>
  <c r="AE631" i="13034"/>
  <c r="C1444" i="12908"/>
  <c r="Z1444" i="13034" s="1"/>
  <c r="Z1451" i="13034"/>
  <c r="C1069" i="12908"/>
  <c r="Z1069" i="13034" s="1"/>
  <c r="Z1113" i="13034"/>
  <c r="C975" i="12908"/>
  <c r="Z975" i="13034" s="1"/>
  <c r="Z1023" i="13034"/>
  <c r="H2177" i="12908"/>
  <c r="AE2177" i="13034" s="1"/>
  <c r="Z2177" i="13034"/>
  <c r="C1071" i="12908"/>
  <c r="Z1071" i="13034" s="1"/>
  <c r="Z1115" i="13034"/>
  <c r="C1404" i="12908"/>
  <c r="Z1404" i="13034" s="1"/>
  <c r="Z1411" i="13034"/>
  <c r="H1160" i="12908"/>
  <c r="AE1160" i="13034" s="1"/>
  <c r="Z1160" i="13034"/>
  <c r="H565" i="12908"/>
  <c r="AE565" i="13034" s="1"/>
  <c r="Z565" i="13034"/>
  <c r="C1443" i="12908"/>
  <c r="Z1443" i="13034" s="1"/>
  <c r="C1403" i="12908"/>
  <c r="Z1403" i="13034" s="1"/>
  <c r="C569" i="12908"/>
  <c r="Z569" i="13034" s="1"/>
  <c r="H635" i="12908"/>
  <c r="AE635" i="13034" s="1"/>
  <c r="C974" i="12908"/>
  <c r="Z974" i="13034" s="1"/>
  <c r="C976" i="12908"/>
  <c r="Z976" i="13034" s="1"/>
  <c r="H1450" i="12908"/>
  <c r="AE1450" i="13034" s="1"/>
  <c r="C1990" i="12908"/>
  <c r="Z1990" i="13034" s="1"/>
  <c r="AA347" i="12924"/>
  <c r="AA340" i="12924"/>
  <c r="Y347" i="12924"/>
  <c r="G55" i="12709" s="1"/>
  <c r="W346" i="12924"/>
  <c r="Q340" i="12924"/>
  <c r="S337" i="12924"/>
  <c r="AC337" i="12924"/>
  <c r="O339" i="12924"/>
  <c r="Y339" i="12924"/>
  <c r="O337" i="12924"/>
  <c r="Y337" i="12924"/>
  <c r="H1162" i="12908"/>
  <c r="AE1162" i="13034" s="1"/>
  <c r="C213" i="12908"/>
  <c r="C214" i="12908"/>
  <c r="C37" i="12908"/>
  <c r="Z37" i="13034" s="1"/>
  <c r="C36" i="12908"/>
  <c r="Z36" i="13034" s="1"/>
  <c r="D2176" i="12908"/>
  <c r="AA2176" i="13034" s="1"/>
  <c r="I2199" i="12908"/>
  <c r="AF2199" i="13034" s="1"/>
  <c r="D2198" i="12908"/>
  <c r="AA2198" i="13034" s="1"/>
  <c r="C2175" i="12908"/>
  <c r="Z2175" i="13034" s="1"/>
  <c r="D2177" i="12908"/>
  <c r="AA2177" i="13034" s="1"/>
  <c r="I2200" i="12908"/>
  <c r="AF2200" i="13034" s="1"/>
  <c r="H1451" i="12908"/>
  <c r="AE1451" i="13034" s="1"/>
  <c r="H1411" i="12908"/>
  <c r="AE1411" i="13034" s="1"/>
  <c r="H900" i="12908"/>
  <c r="AE900" i="13034" s="1"/>
  <c r="H899" i="12908"/>
  <c r="AE899" i="13034" s="1"/>
  <c r="M311" i="12924"/>
  <c r="H2198" i="12908"/>
  <c r="AE2198" i="13034" s="1"/>
  <c r="Q331" i="12924"/>
  <c r="O304" i="12924"/>
  <c r="O310" i="12924"/>
  <c r="S303" i="12924"/>
  <c r="S309" i="12924"/>
  <c r="O303" i="12924"/>
  <c r="O309" i="12924"/>
  <c r="S304" i="12924"/>
  <c r="S310" i="12924"/>
  <c r="AA331" i="12924"/>
  <c r="S330" i="12924"/>
  <c r="AC330" i="12924"/>
  <c r="S328" i="12924"/>
  <c r="AC328" i="12924"/>
  <c r="O330" i="12924"/>
  <c r="Y330" i="12924"/>
  <c r="O328" i="12924"/>
  <c r="Y328" i="12924"/>
  <c r="G51" i="12924"/>
  <c r="G305" i="12924"/>
  <c r="G347" i="12924"/>
  <c r="G353" i="12924" s="1"/>
  <c r="Q346" i="12924"/>
  <c r="Q347" i="12924" s="1"/>
  <c r="H1410" i="12908"/>
  <c r="AE1410" i="13034" s="1"/>
  <c r="C1114" i="12908"/>
  <c r="M331" i="12924"/>
  <c r="K26" i="12711" s="1"/>
  <c r="M340" i="12924"/>
  <c r="E347" i="12924"/>
  <c r="O346" i="12924"/>
  <c r="O347" i="12924" s="1"/>
  <c r="G54" i="12709" s="1"/>
  <c r="H1115" i="12908"/>
  <c r="AE1115" i="13034" s="1"/>
  <c r="C1627" i="12908"/>
  <c r="Z1627" i="13034" s="1"/>
  <c r="C1116" i="12908"/>
  <c r="H1113" i="12908"/>
  <c r="AE1113" i="13034" s="1"/>
  <c r="M355" i="12924"/>
  <c r="M360" i="12924" s="1"/>
  <c r="K119" i="12711" s="1"/>
  <c r="C1635" i="12908"/>
  <c r="Z1635" i="13034" s="1"/>
  <c r="H1634" i="12908"/>
  <c r="AE1634" i="13034" s="1"/>
  <c r="H2109" i="12908"/>
  <c r="AE2109" i="13034" s="1"/>
  <c r="H2087" i="12908"/>
  <c r="AE2087" i="13034" s="1"/>
  <c r="C1647" i="12908"/>
  <c r="Z1647" i="13034" s="1"/>
  <c r="C1452" i="12908"/>
  <c r="Z1452" i="13034" s="1"/>
  <c r="G357" i="12924"/>
  <c r="C308" i="12924"/>
  <c r="C332" i="12924" s="1"/>
  <c r="M305" i="12924"/>
  <c r="C178" i="12908" s="1"/>
  <c r="Z178" i="13034" s="1"/>
  <c r="M347" i="12924"/>
  <c r="K54" i="12711" s="1"/>
  <c r="H2107" i="12908"/>
  <c r="AE2107" i="13034" s="1"/>
  <c r="H2085" i="12908"/>
  <c r="AE2085" i="13034" s="1"/>
  <c r="Q360" i="12924"/>
  <c r="E51" i="12924"/>
  <c r="E356" i="12924"/>
  <c r="E305" i="12924"/>
  <c r="O311" i="12924" s="1"/>
  <c r="I51" i="12924"/>
  <c r="E358" i="12924"/>
  <c r="O358" i="12924" s="1"/>
  <c r="I356" i="12924"/>
  <c r="G359" i="12924"/>
  <c r="I358" i="12924"/>
  <c r="S358" i="12924" s="1"/>
  <c r="Q296" i="12924"/>
  <c r="Q297" i="12924" s="1"/>
  <c r="Q72" i="12924"/>
  <c r="G316" i="12924" s="1"/>
  <c r="I331" i="12924"/>
  <c r="T39" i="12763" s="1"/>
  <c r="E355" i="12924"/>
  <c r="O355" i="12924" s="1"/>
  <c r="O273" i="12924"/>
  <c r="S273" i="12924"/>
  <c r="O291" i="12924"/>
  <c r="S291" i="12924"/>
  <c r="O267" i="12924"/>
  <c r="S267" i="12924"/>
  <c r="O279" i="12924"/>
  <c r="S279" i="12924"/>
  <c r="O261" i="12924"/>
  <c r="S261" i="12924"/>
  <c r="O285" i="12924"/>
  <c r="S285" i="12924"/>
  <c r="I355" i="12924"/>
  <c r="S355" i="12924" s="1"/>
  <c r="C357" i="12924"/>
  <c r="E331" i="12924"/>
  <c r="I305" i="12924"/>
  <c r="S69" i="12924"/>
  <c r="O69" i="12924"/>
  <c r="S66" i="12924"/>
  <c r="O66" i="12924"/>
  <c r="I314" i="12924"/>
  <c r="C314" i="12924"/>
  <c r="K13" i="12711" s="1"/>
  <c r="E314" i="12924"/>
  <c r="I296" i="12924"/>
  <c r="I315" i="12924"/>
  <c r="E340" i="12924"/>
  <c r="E296" i="12924"/>
  <c r="C353" i="12924"/>
  <c r="I255" i="12924"/>
  <c r="I346" i="12924"/>
  <c r="AC346" i="12924" s="1"/>
  <c r="AC347" i="12924" s="1"/>
  <c r="I214" i="12924"/>
  <c r="I339" i="12924"/>
  <c r="AC339" i="12924" s="1"/>
  <c r="M296" i="12924"/>
  <c r="M72" i="12924"/>
  <c r="C316" i="12924" s="1"/>
  <c r="C72" i="12908" s="1"/>
  <c r="Z72" i="13034" s="1"/>
  <c r="H214" i="12908" l="1"/>
  <c r="AE214" i="13034" s="1"/>
  <c r="Z214" i="13034"/>
  <c r="H213" i="12908"/>
  <c r="AE213" i="13034" s="1"/>
  <c r="Z213" i="13034"/>
  <c r="C1072" i="12908"/>
  <c r="Z1072" i="13034" s="1"/>
  <c r="Z1116" i="13034"/>
  <c r="C1070" i="12908"/>
  <c r="Z1070" i="13034" s="1"/>
  <c r="Z1114" i="13034"/>
  <c r="H567" i="12908"/>
  <c r="C1445" i="12908"/>
  <c r="G53" i="12709"/>
  <c r="W347" i="12924"/>
  <c r="K55" i="12711" s="1"/>
  <c r="C1472" i="12908"/>
  <c r="Z1472" i="13034" s="1"/>
  <c r="K53" i="12711"/>
  <c r="C1412" i="12908"/>
  <c r="Z1412" i="13034" s="1"/>
  <c r="Y340" i="12924"/>
  <c r="G50" i="12709" s="1"/>
  <c r="G179" i="12709" s="1"/>
  <c r="AC340" i="12924"/>
  <c r="O340" i="12924"/>
  <c r="G49" i="12709" s="1"/>
  <c r="G178" i="12709" s="1"/>
  <c r="K50" i="12709"/>
  <c r="K179" i="12709" s="1"/>
  <c r="M314" i="12924"/>
  <c r="K17" i="12711" s="1"/>
  <c r="C215" i="12908"/>
  <c r="C38" i="12908"/>
  <c r="Z38" i="13034" s="1"/>
  <c r="I29" i="12910"/>
  <c r="I2177" i="12908"/>
  <c r="AF2177" i="13034" s="1"/>
  <c r="I2176" i="12908"/>
  <c r="AF2176" i="13034" s="1"/>
  <c r="H1635" i="12908"/>
  <c r="AE1635" i="13034" s="1"/>
  <c r="H2202" i="12908"/>
  <c r="AE2202" i="13034" s="1"/>
  <c r="D2197" i="12908"/>
  <c r="AA2197" i="13034" s="1"/>
  <c r="H2175" i="12908"/>
  <c r="AE2175" i="13034" s="1"/>
  <c r="H902" i="12908"/>
  <c r="AE902" i="13034" s="1"/>
  <c r="D2175" i="12908"/>
  <c r="AA2175" i="13034" s="1"/>
  <c r="I2198" i="12908"/>
  <c r="AF2198" i="13034" s="1"/>
  <c r="D2110" i="12908"/>
  <c r="AA2110" i="13034" s="1"/>
  <c r="C2088" i="12908"/>
  <c r="D2108" i="12908"/>
  <c r="AA2108" i="13034" s="1"/>
  <c r="C2086" i="12908"/>
  <c r="Z2086" i="13034" s="1"/>
  <c r="D1116" i="12908"/>
  <c r="AA1116" i="13034" s="1"/>
  <c r="H1452" i="12908"/>
  <c r="AE1452" i="13034" s="1"/>
  <c r="D1114" i="12908"/>
  <c r="AA1114" i="13034" s="1"/>
  <c r="D1115" i="12908"/>
  <c r="AA1115" i="13034" s="1"/>
  <c r="D2109" i="12908"/>
  <c r="AA2109" i="13034" s="1"/>
  <c r="H1069" i="12908"/>
  <c r="AE1069" i="13034" s="1"/>
  <c r="H1071" i="12908"/>
  <c r="AE1071" i="13034" s="1"/>
  <c r="K25" i="12711"/>
  <c r="S305" i="12924"/>
  <c r="S308" i="12924" s="1"/>
  <c r="S311" i="12924"/>
  <c r="S314" i="12924" s="1"/>
  <c r="O314" i="12924"/>
  <c r="G17" i="12709" s="1"/>
  <c r="Q305" i="12924"/>
  <c r="Q308" i="12924" s="1"/>
  <c r="Q332" i="12924" s="1"/>
  <c r="Q311" i="12924"/>
  <c r="Q314" i="12924" s="1"/>
  <c r="O331" i="12924"/>
  <c r="G26" i="12709" s="1"/>
  <c r="AC331" i="12924"/>
  <c r="S331" i="12924"/>
  <c r="Y331" i="12924"/>
  <c r="G27" i="12709" s="1"/>
  <c r="R183" i="12709"/>
  <c r="R54" i="12709"/>
  <c r="H1627" i="12908"/>
  <c r="AE1627" i="13034" s="1"/>
  <c r="G308" i="12924"/>
  <c r="Q353" i="12924"/>
  <c r="I340" i="12924"/>
  <c r="Z30" i="12786" s="1"/>
  <c r="S339" i="12924"/>
  <c r="S340" i="12924" s="1"/>
  <c r="E308" i="12924"/>
  <c r="O305" i="12924"/>
  <c r="O308" i="12924" s="1"/>
  <c r="H1114" i="12908"/>
  <c r="AE1114" i="13034" s="1"/>
  <c r="K49" i="12711"/>
  <c r="M353" i="12924"/>
  <c r="I347" i="12924"/>
  <c r="S22" i="12780" s="1"/>
  <c r="S346" i="12924"/>
  <c r="S347" i="12924" s="1"/>
  <c r="H177" i="12908"/>
  <c r="AE177" i="13034" s="1"/>
  <c r="H176" i="12908"/>
  <c r="AE176" i="13034" s="1"/>
  <c r="H2110" i="12908"/>
  <c r="AE2110" i="13034" s="1"/>
  <c r="H2108" i="12908"/>
  <c r="AE2108" i="13034" s="1"/>
  <c r="O353" i="12924"/>
  <c r="C1628" i="12908"/>
  <c r="H1116" i="12908"/>
  <c r="AE1116" i="13034" s="1"/>
  <c r="C1610" i="12908"/>
  <c r="M308" i="12924"/>
  <c r="K16" i="12711" s="1"/>
  <c r="O360" i="12924"/>
  <c r="G119" i="12709" s="1"/>
  <c r="S360" i="12924"/>
  <c r="I359" i="12924"/>
  <c r="C1648" i="12908"/>
  <c r="Z1648" i="13034" s="1"/>
  <c r="O296" i="12924"/>
  <c r="O297" i="12924" s="1"/>
  <c r="I357" i="12924"/>
  <c r="S72" i="12924"/>
  <c r="G317" i="12924" s="1"/>
  <c r="E359" i="12924"/>
  <c r="G360" i="12924"/>
  <c r="C360" i="12924"/>
  <c r="K118" i="12711" s="1"/>
  <c r="E357" i="12924"/>
  <c r="M297" i="12924"/>
  <c r="E353" i="12924"/>
  <c r="G15" i="12709"/>
  <c r="I308" i="12924"/>
  <c r="S296" i="12924"/>
  <c r="S297" i="12924" s="1"/>
  <c r="O72" i="12924"/>
  <c r="E316" i="12924" s="1"/>
  <c r="E317" i="12924" s="1"/>
  <c r="C1611" i="12908" l="1"/>
  <c r="Z1611" i="13034" s="1"/>
  <c r="Z1610" i="13034"/>
  <c r="H2088" i="12908"/>
  <c r="AE2088" i="13034" s="1"/>
  <c r="Z2088" i="13034"/>
  <c r="C1446" i="12908"/>
  <c r="Z1446" i="13034" s="1"/>
  <c r="Z1445" i="13034"/>
  <c r="C1631" i="12908"/>
  <c r="Z1628" i="13034"/>
  <c r="H215" i="12908"/>
  <c r="AE215" i="13034" s="1"/>
  <c r="Z215" i="13034"/>
  <c r="H569" i="12908"/>
  <c r="AE569" i="13034" s="1"/>
  <c r="AE567" i="13034"/>
  <c r="C1465" i="12908"/>
  <c r="C1405" i="12908"/>
  <c r="K177" i="12711"/>
  <c r="K48" i="12711"/>
  <c r="K176" i="12711" s="1"/>
  <c r="K205" i="12711" s="1"/>
  <c r="K207" i="12711" s="1"/>
  <c r="G48" i="12709"/>
  <c r="G177" i="12709" s="1"/>
  <c r="G206" i="12709" s="1"/>
  <c r="G208" i="12709" s="1"/>
  <c r="H1472" i="12908"/>
  <c r="H1412" i="12908"/>
  <c r="AE1412" i="13034" s="1"/>
  <c r="K12" i="12711"/>
  <c r="K27" i="12709"/>
  <c r="K198" i="12709" s="1"/>
  <c r="I2175" i="12908"/>
  <c r="AF2175" i="13034" s="1"/>
  <c r="D2174" i="12908"/>
  <c r="H2179" i="12908"/>
  <c r="AE2179" i="13034" s="1"/>
  <c r="I2197" i="12908"/>
  <c r="AF2197" i="13034" s="1"/>
  <c r="H1118" i="12908"/>
  <c r="AE1118" i="13034" s="1"/>
  <c r="H2112" i="12908"/>
  <c r="D1072" i="12908"/>
  <c r="AA1072" i="13034" s="1"/>
  <c r="I1116" i="12908"/>
  <c r="AF1116" i="13034" s="1"/>
  <c r="D1071" i="12908"/>
  <c r="AA1071" i="13034" s="1"/>
  <c r="I1115" i="12908"/>
  <c r="AF1115" i="13034" s="1"/>
  <c r="H220" i="12908"/>
  <c r="D2087" i="12908"/>
  <c r="AA2087" i="13034" s="1"/>
  <c r="I2109" i="12908"/>
  <c r="AF2109" i="13034" s="1"/>
  <c r="D1070" i="12908"/>
  <c r="AA1070" i="13034" s="1"/>
  <c r="I1114" i="12908"/>
  <c r="AF1114" i="13034" s="1"/>
  <c r="D2088" i="12908"/>
  <c r="AA2088" i="13034" s="1"/>
  <c r="I2110" i="12908"/>
  <c r="AF2110" i="13034" s="1"/>
  <c r="H1454" i="12908"/>
  <c r="D2086" i="12908"/>
  <c r="AA2086" i="13034" s="1"/>
  <c r="I2108" i="12908"/>
  <c r="AF2108" i="13034" s="1"/>
  <c r="H2086" i="12908"/>
  <c r="AE2086" i="13034" s="1"/>
  <c r="D1113" i="12908"/>
  <c r="AA1113" i="13034" s="1"/>
  <c r="D2107" i="12908"/>
  <c r="AA2107" i="13034" s="1"/>
  <c r="H1070" i="12908"/>
  <c r="AE1070" i="13034" s="1"/>
  <c r="H1072" i="12908"/>
  <c r="AE1072" i="13034" s="1"/>
  <c r="R27" i="12709"/>
  <c r="S332" i="12924"/>
  <c r="C362" i="12924"/>
  <c r="C363" i="12924" s="1"/>
  <c r="E332" i="12924"/>
  <c r="I353" i="12924"/>
  <c r="G67" i="12709"/>
  <c r="G80" i="12709" s="1"/>
  <c r="K120" i="12711"/>
  <c r="K133" i="12711" s="1"/>
  <c r="G16" i="12709"/>
  <c r="O332" i="12924"/>
  <c r="H1628" i="12908"/>
  <c r="AE1628" i="13034" s="1"/>
  <c r="H178" i="12908"/>
  <c r="AE178" i="13034" s="1"/>
  <c r="S353" i="12924"/>
  <c r="M332" i="12924"/>
  <c r="I360" i="12924"/>
  <c r="W30" i="12771" s="1"/>
  <c r="G332" i="12924"/>
  <c r="G362" i="12924" s="1"/>
  <c r="G363" i="12924" s="1"/>
  <c r="E360" i="12924"/>
  <c r="G118" i="12709" s="1"/>
  <c r="I316" i="12924"/>
  <c r="I317" i="12924" s="1"/>
  <c r="I332" i="12924" s="1"/>
  <c r="K17" i="12709" l="1"/>
  <c r="K173" i="12709" s="1"/>
  <c r="AE220" i="13034"/>
  <c r="K26" i="12709"/>
  <c r="K197" i="12709" s="1"/>
  <c r="AE2112" i="13034"/>
  <c r="H1474" i="12908"/>
  <c r="AE1472" i="13034"/>
  <c r="C1406" i="12908"/>
  <c r="Z1406" i="13034" s="1"/>
  <c r="Z1405" i="13034"/>
  <c r="K54" i="12709"/>
  <c r="K183" i="12709" s="1"/>
  <c r="AE1454" i="13034"/>
  <c r="I2174" i="12908"/>
  <c r="AF2174" i="13034" s="1"/>
  <c r="AA2174" i="13034"/>
  <c r="D1631" i="12908"/>
  <c r="Z1631" i="13034"/>
  <c r="C1466" i="12908"/>
  <c r="Z1466" i="13034" s="1"/>
  <c r="Z1465" i="13034"/>
  <c r="D2181" i="12908"/>
  <c r="AA2181" i="13034" s="1"/>
  <c r="U24" i="12756"/>
  <c r="I2087" i="12908"/>
  <c r="AF2087" i="13034" s="1"/>
  <c r="I1071" i="12908"/>
  <c r="AF1071" i="13034" s="1"/>
  <c r="I1072" i="12908"/>
  <c r="AF1072" i="13034" s="1"/>
  <c r="I2086" i="12908"/>
  <c r="AF2086" i="13034" s="1"/>
  <c r="I2088" i="12908"/>
  <c r="AF2088" i="13034" s="1"/>
  <c r="I1070" i="12908"/>
  <c r="AF1070" i="13034" s="1"/>
  <c r="H1631" i="12908"/>
  <c r="AE1631" i="13034" s="1"/>
  <c r="H183" i="12908"/>
  <c r="H2090" i="12908"/>
  <c r="AE2090" i="13034" s="1"/>
  <c r="H1074" i="12908"/>
  <c r="AE1074" i="13034" s="1"/>
  <c r="D2085" i="12908"/>
  <c r="AA2085" i="13034" s="1"/>
  <c r="I2107" i="12908"/>
  <c r="AF2107" i="13034" s="1"/>
  <c r="D1069" i="12908"/>
  <c r="AA1069" i="13034" s="1"/>
  <c r="I1113" i="12908"/>
  <c r="AF1113" i="13034" s="1"/>
  <c r="H1637" i="12908"/>
  <c r="K49" i="12709"/>
  <c r="K178" i="12709" s="1"/>
  <c r="R197" i="12709"/>
  <c r="R26" i="12709"/>
  <c r="R173" i="12709"/>
  <c r="R17" i="12709"/>
  <c r="G12" i="12709"/>
  <c r="E362" i="12924"/>
  <c r="E363" i="12924" s="1"/>
  <c r="I362" i="12924"/>
  <c r="I363" i="12924" s="1"/>
  <c r="R178" i="12709"/>
  <c r="R49" i="12709"/>
  <c r="M15" i="12856"/>
  <c r="K67" i="12711"/>
  <c r="K80" i="12711" s="1"/>
  <c r="G120" i="12709"/>
  <c r="G133" i="12709" s="1"/>
  <c r="F12" i="12711"/>
  <c r="F167" i="12711" s="1"/>
  <c r="G13" i="12709"/>
  <c r="H52" i="12908"/>
  <c r="AE52" i="13034" s="1"/>
  <c r="H15" i="12908"/>
  <c r="AE15" i="13034" s="1"/>
  <c r="H118" i="12908"/>
  <c r="AE118" i="13034" s="1"/>
  <c r="K119" i="12709" l="1"/>
  <c r="K188" i="12709" s="1"/>
  <c r="AE1637" i="13034"/>
  <c r="K16" i="12709"/>
  <c r="K172" i="12709" s="1"/>
  <c r="AE183" i="13034"/>
  <c r="D1635" i="12908"/>
  <c r="AA1631" i="13034"/>
  <c r="K55" i="12709"/>
  <c r="K184" i="12709" s="1"/>
  <c r="AE1474" i="13034"/>
  <c r="I45" i="13016"/>
  <c r="I45" i="12989"/>
  <c r="I45" i="13005"/>
  <c r="I1118" i="12908"/>
  <c r="AF1118" i="13034" s="1"/>
  <c r="D1076" i="12908"/>
  <c r="AA1076" i="13034" s="1"/>
  <c r="I1069" i="12908"/>
  <c r="AF1069" i="13034" s="1"/>
  <c r="D2092" i="12908"/>
  <c r="AA2092" i="13034" s="1"/>
  <c r="I2085" i="12908"/>
  <c r="AF2085" i="13034" s="1"/>
  <c r="R188" i="12709"/>
  <c r="R119" i="12709"/>
  <c r="R16" i="12709"/>
  <c r="R172" i="12709"/>
  <c r="O15" i="12856"/>
  <c r="O17" i="12856" s="1"/>
  <c r="G29" i="12709"/>
  <c r="G42" i="12709" s="1"/>
  <c r="K29" i="12711"/>
  <c r="K42" i="12711" s="1"/>
  <c r="N15" i="12856"/>
  <c r="G14" i="12910"/>
  <c r="AA1635" i="13034" l="1"/>
  <c r="D1634" i="12908"/>
  <c r="I44" i="13016"/>
  <c r="I44" i="12989"/>
  <c r="I27" i="13005"/>
  <c r="I27" i="13016"/>
  <c r="I27" i="12989"/>
  <c r="I44" i="13005"/>
  <c r="I1074" i="12908"/>
  <c r="AF1074" i="13034" s="1"/>
  <c r="K157" i="12711"/>
  <c r="K208" i="12711" s="1"/>
  <c r="G157" i="12709"/>
  <c r="G209" i="12709" s="1"/>
  <c r="P12" i="12711"/>
  <c r="P167" i="12711" s="1"/>
  <c r="AA1634" i="13034" l="1"/>
  <c r="I1634" i="12908"/>
  <c r="N9" i="12856"/>
  <c r="N18" i="12856" s="1"/>
  <c r="P29" i="12711"/>
  <c r="AF1634" i="13034" l="1"/>
  <c r="I1635" i="12908"/>
  <c r="AF1635" i="13034" s="1"/>
  <c r="C1731" i="12908"/>
  <c r="Z1731" i="13034" s="1"/>
  <c r="C1763" i="12908"/>
  <c r="Z1763" i="13034" s="1"/>
  <c r="C1794" i="12908"/>
  <c r="Z1794" i="13034" s="1"/>
  <c r="C1793" i="12908"/>
  <c r="Z1793" i="13034" s="1"/>
  <c r="C1792" i="12908"/>
  <c r="Z1792" i="13034" s="1"/>
  <c r="C1791" i="12908"/>
  <c r="Z1791" i="13034" s="1"/>
  <c r="C1789" i="12908"/>
  <c r="Z1789" i="13034" s="1"/>
  <c r="C1788" i="12908"/>
  <c r="Z1788" i="13034" s="1"/>
  <c r="C1787" i="12908"/>
  <c r="Z1787" i="13034" s="1"/>
  <c r="C1786" i="12908"/>
  <c r="Z1786" i="13034" s="1"/>
  <c r="C1785" i="12908"/>
  <c r="Z1785" i="13034" s="1"/>
  <c r="C1784" i="12908"/>
  <c r="Z1784" i="13034" s="1"/>
  <c r="C1782" i="12908"/>
  <c r="Z1782" i="13034" s="1"/>
  <c r="C1781" i="12908"/>
  <c r="Z1781" i="13034" s="1"/>
  <c r="C1780" i="12908"/>
  <c r="Z1780" i="13034" s="1"/>
  <c r="C1778" i="12908"/>
  <c r="Z1778" i="13034" s="1"/>
  <c r="C1768" i="12908"/>
  <c r="Z1768" i="13034" s="1"/>
  <c r="C1767" i="12908"/>
  <c r="Z1767" i="13034" s="1"/>
  <c r="C1765" i="12908"/>
  <c r="Z1765" i="13034" s="1"/>
  <c r="C1764" i="12908"/>
  <c r="Z1764" i="13034" s="1"/>
  <c r="C1762" i="12908"/>
  <c r="Z1762" i="13034" s="1"/>
  <c r="C1761" i="12908"/>
  <c r="Z1761" i="13034" s="1"/>
  <c r="C1760" i="12908"/>
  <c r="Z1760" i="13034" s="1"/>
  <c r="C1759" i="12908"/>
  <c r="Z1759" i="13034" s="1"/>
  <c r="C1757" i="12908"/>
  <c r="Z1757" i="13034" s="1"/>
  <c r="C1756" i="12908"/>
  <c r="Z1756" i="13034" s="1"/>
  <c r="C1755" i="12908"/>
  <c r="Z1755" i="13034" s="1"/>
  <c r="C1754" i="12908"/>
  <c r="Z1754" i="13034" s="1"/>
  <c r="C1753" i="12908"/>
  <c r="Z1753" i="13034" s="1"/>
  <c r="C1752" i="12908"/>
  <c r="Z1752" i="13034" s="1"/>
  <c r="C1750" i="12908"/>
  <c r="Z1750" i="13034" s="1"/>
  <c r="C1751" i="12908"/>
  <c r="Z1751" i="13034" s="1"/>
  <c r="C1749" i="12908"/>
  <c r="Z1749" i="13034" s="1"/>
  <c r="C1748" i="12908"/>
  <c r="Z1748" i="13034" s="1"/>
  <c r="C1746" i="12908"/>
  <c r="Z1746" i="13034" s="1"/>
  <c r="C1745" i="12908"/>
  <c r="Z1745" i="13034" s="1"/>
  <c r="C1744" i="12908"/>
  <c r="Z1744" i="13034" s="1"/>
  <c r="C1743" i="12908"/>
  <c r="Z1743" i="13034" s="1"/>
  <c r="C1741" i="12908"/>
  <c r="Z1741" i="13034" s="1"/>
  <c r="C1777" i="12908"/>
  <c r="Z1777" i="13034" s="1"/>
  <c r="C1740" i="12908"/>
  <c r="Z1740" i="13034" s="1"/>
  <c r="C1690" i="12908"/>
  <c r="Z1690" i="13034" s="1"/>
  <c r="C1709" i="12908"/>
  <c r="Z1709" i="13034" s="1"/>
  <c r="C1707" i="12908"/>
  <c r="Z1707" i="13034" s="1"/>
  <c r="C1705" i="12908"/>
  <c r="Z1705" i="13034" s="1"/>
  <c r="C1704" i="12908"/>
  <c r="Z1704" i="13034" s="1"/>
  <c r="C1703" i="12908"/>
  <c r="Z1703" i="13034" s="1"/>
  <c r="C1702" i="12908"/>
  <c r="Z1702" i="13034" s="1"/>
  <c r="C1701" i="12908"/>
  <c r="Z1701" i="13034" s="1"/>
  <c r="C1698" i="12908"/>
  <c r="Z1698" i="13034" s="1"/>
  <c r="C1696" i="12908"/>
  <c r="Z1696" i="13034" s="1"/>
  <c r="C1695" i="12908"/>
  <c r="Z1695" i="13034" s="1"/>
  <c r="C1694" i="12908"/>
  <c r="Z1694" i="13034" s="1"/>
  <c r="C1689" i="12908"/>
  <c r="Z1689" i="13034" s="1"/>
  <c r="C1688" i="12908"/>
  <c r="Z1688" i="13034" s="1"/>
  <c r="C1687" i="12908"/>
  <c r="Z1687" i="13034" s="1"/>
  <c r="C1686" i="12908"/>
  <c r="Z1686" i="13034" s="1"/>
  <c r="C1684" i="12908"/>
  <c r="Z1684" i="13034" s="1"/>
  <c r="C1683" i="12908"/>
  <c r="Z1683" i="13034" s="1"/>
  <c r="C1682" i="12908"/>
  <c r="Z1682" i="13034" s="1"/>
  <c r="C1679" i="12908"/>
  <c r="Z1679" i="13034" s="1"/>
  <c r="C1677" i="12908"/>
  <c r="Z1677" i="13034" s="1"/>
  <c r="C1676" i="12908"/>
  <c r="Z1676" i="13034" s="1"/>
  <c r="C1675" i="12908"/>
  <c r="Z1675" i="13034" s="1"/>
  <c r="C1674" i="12908"/>
  <c r="Z1674" i="13034" s="1"/>
  <c r="C1673" i="12908"/>
  <c r="Z1673" i="13034" s="1"/>
  <c r="C1672" i="12908"/>
  <c r="Z1672" i="13034" s="1"/>
  <c r="C1671" i="12908"/>
  <c r="Z1671" i="13034" s="1"/>
  <c r="C1670" i="12908"/>
  <c r="Z1670" i="13034" s="1"/>
  <c r="C1669" i="12908"/>
  <c r="Z1669" i="13034" s="1"/>
  <c r="C1668" i="12908"/>
  <c r="Z1668" i="13034" s="1"/>
  <c r="C1667" i="12908"/>
  <c r="Z1667" i="13034" s="1"/>
  <c r="C1666" i="12908"/>
  <c r="Z1666" i="13034" s="1"/>
  <c r="C1639" i="12908" l="1"/>
  <c r="C1710" i="12908"/>
  <c r="Z1710" i="13034" s="1"/>
  <c r="D32" i="12721"/>
  <c r="C32" i="12721"/>
  <c r="E31" i="12721"/>
  <c r="K84" i="12910" l="1"/>
  <c r="Z1639" i="13034"/>
  <c r="M119" i="12711"/>
  <c r="M187" i="12711" s="1"/>
  <c r="E32" i="12721"/>
  <c r="N119" i="12711" l="1"/>
  <c r="N187" i="12711" s="1"/>
  <c r="L119" i="12711"/>
  <c r="L187" i="12711" s="1"/>
  <c r="L16" i="12775"/>
  <c r="H24" i="12774"/>
  <c r="J72" i="12852" s="1"/>
  <c r="I24" i="12774"/>
  <c r="I140" i="12711" s="1"/>
  <c r="J24" i="12774"/>
  <c r="E140" i="12709" s="1"/>
  <c r="K24" i="12774"/>
  <c r="L24" i="12774"/>
  <c r="L26" i="12774" s="1"/>
  <c r="M24" i="12774"/>
  <c r="N24" i="12774"/>
  <c r="E72" i="12852"/>
  <c r="H33" i="12772"/>
  <c r="J69" i="12852" s="1"/>
  <c r="I33" i="12772"/>
  <c r="I137" i="12711" s="1"/>
  <c r="J33" i="12772"/>
  <c r="E137" i="12709" s="1"/>
  <c r="K33" i="12772"/>
  <c r="L33" i="12772"/>
  <c r="M33" i="12772"/>
  <c r="N33" i="12772"/>
  <c r="C1510" i="12908"/>
  <c r="Z1510" i="13034" s="1"/>
  <c r="C1511" i="12908"/>
  <c r="C1512" i="12908"/>
  <c r="Z1512" i="13034" s="1"/>
  <c r="J88" i="12760"/>
  <c r="I52" i="12711" s="1"/>
  <c r="K88" i="12760"/>
  <c r="L88" i="12760"/>
  <c r="M88" i="12760"/>
  <c r="N88" i="12760"/>
  <c r="O88" i="12760"/>
  <c r="P88" i="12760"/>
  <c r="Q88" i="12760"/>
  <c r="I89" i="12760"/>
  <c r="J49" i="12852" s="1"/>
  <c r="J89" i="12760"/>
  <c r="I89" i="12711" s="1"/>
  <c r="K89" i="12760"/>
  <c r="L89" i="12760"/>
  <c r="M89" i="12760"/>
  <c r="N89" i="12760"/>
  <c r="O89" i="12760"/>
  <c r="P89" i="12760"/>
  <c r="Q89" i="12760"/>
  <c r="I90" i="12760"/>
  <c r="J68" i="12852" s="1"/>
  <c r="J90" i="12760"/>
  <c r="I136" i="12711" s="1"/>
  <c r="K90" i="12760"/>
  <c r="L90" i="12760"/>
  <c r="M90" i="12760"/>
  <c r="N90" i="12760"/>
  <c r="O90" i="12760"/>
  <c r="P90" i="12760"/>
  <c r="Q90" i="12760"/>
  <c r="I91" i="12760"/>
  <c r="J91" i="12760"/>
  <c r="K91" i="12760"/>
  <c r="L91" i="12760"/>
  <c r="M91" i="12760"/>
  <c r="N91" i="12760"/>
  <c r="O91" i="12760"/>
  <c r="P91" i="12760"/>
  <c r="Q91" i="12760"/>
  <c r="C1505" i="12908" l="1"/>
  <c r="Z1505" i="13034" s="1"/>
  <c r="Z1511" i="13034"/>
  <c r="C1506" i="12908"/>
  <c r="Z1506" i="13034" s="1"/>
  <c r="C1504" i="12908"/>
  <c r="Z1504" i="13034" s="1"/>
  <c r="J15" i="12852"/>
  <c r="K15" i="12852" s="1"/>
  <c r="V187" i="12711"/>
  <c r="V119" i="12711"/>
  <c r="H974" i="12908"/>
  <c r="AE974" i="13034" s="1"/>
  <c r="L92" i="12760"/>
  <c r="L94" i="12760" s="1"/>
  <c r="O92" i="12760"/>
  <c r="O94" i="12760" s="1"/>
  <c r="P92" i="12760"/>
  <c r="P94" i="12760" s="1"/>
  <c r="K92" i="12760"/>
  <c r="Q92" i="12760"/>
  <c r="Q94" i="12760" s="1"/>
  <c r="N92" i="12760"/>
  <c r="N94" i="12760" s="1"/>
  <c r="M92" i="12760"/>
  <c r="M94" i="12760" s="1"/>
  <c r="I92" i="12760"/>
  <c r="I94" i="12760" s="1"/>
  <c r="J92" i="12760"/>
  <c r="C1369" i="12908"/>
  <c r="Z1369" i="13034" s="1"/>
  <c r="C1285" i="12908"/>
  <c r="Z1285" i="13034" s="1"/>
  <c r="C1243" i="12908"/>
  <c r="Z1243" i="13034" s="1"/>
  <c r="C1327" i="12908"/>
  <c r="Z1327" i="13034" s="1"/>
  <c r="C1769" i="12908"/>
  <c r="Z1769" i="13034" s="1"/>
  <c r="C10" i="12761"/>
  <c r="C12" i="12761" s="1"/>
  <c r="C1507" i="12908" l="1"/>
  <c r="Z1507" i="13034" s="1"/>
  <c r="E23" i="12709"/>
  <c r="L15" i="12852"/>
  <c r="D1364" i="12908"/>
  <c r="AA1364" i="13034" s="1"/>
  <c r="C1201" i="12908"/>
  <c r="Z1201" i="13034" s="1"/>
  <c r="D1337" i="12908"/>
  <c r="AA1337" i="13034" s="1"/>
  <c r="D1339" i="12908"/>
  <c r="AA1339" i="13034" s="1"/>
  <c r="D1357" i="12908"/>
  <c r="AA1357" i="13034" s="1"/>
  <c r="D1349" i="12908"/>
  <c r="AA1349" i="13034" s="1"/>
  <c r="D1367" i="12908"/>
  <c r="AA1367" i="13034" s="1"/>
  <c r="D1342" i="12908"/>
  <c r="AA1342" i="13034" s="1"/>
  <c r="D1351" i="12908"/>
  <c r="AA1351" i="13034" s="1"/>
  <c r="D1356" i="12908"/>
  <c r="AA1356" i="13034" s="1"/>
  <c r="D1348" i="12908"/>
  <c r="AA1348" i="13034" s="1"/>
  <c r="D1358" i="12908"/>
  <c r="AA1358" i="13034" s="1"/>
  <c r="D1361" i="12908"/>
  <c r="AA1361" i="13034" s="1"/>
  <c r="D1345" i="12908"/>
  <c r="AA1345" i="13034" s="1"/>
  <c r="D1365" i="12908"/>
  <c r="AA1365" i="13034" s="1"/>
  <c r="D1350" i="12908"/>
  <c r="AA1350" i="13034" s="1"/>
  <c r="D1344" i="12908"/>
  <c r="AA1344" i="13034" s="1"/>
  <c r="D1362" i="12908"/>
  <c r="AA1362" i="13034" s="1"/>
  <c r="D1354" i="12908"/>
  <c r="AA1354" i="13034" s="1"/>
  <c r="D1346" i="12908"/>
  <c r="AA1346" i="13034" s="1"/>
  <c r="D1338" i="12908"/>
  <c r="AA1338" i="13034" s="1"/>
  <c r="D1355" i="12908"/>
  <c r="AA1355" i="13034" s="1"/>
  <c r="D1366" i="12908"/>
  <c r="AA1366" i="13034" s="1"/>
  <c r="D1341" i="12908"/>
  <c r="AA1341" i="13034" s="1"/>
  <c r="D1343" i="12908"/>
  <c r="AA1343" i="13034" s="1"/>
  <c r="D1360" i="12908"/>
  <c r="AA1360" i="13034" s="1"/>
  <c r="D1353" i="12908"/>
  <c r="AA1353" i="13034" s="1"/>
  <c r="D1363" i="12908"/>
  <c r="AA1363" i="13034" s="1"/>
  <c r="D1336" i="12908"/>
  <c r="AA1336" i="13034" s="1"/>
  <c r="D1347" i="12908"/>
  <c r="AA1347" i="13034" s="1"/>
  <c r="D1759" i="12908"/>
  <c r="AA1759" i="13034" s="1"/>
  <c r="D1750" i="12908"/>
  <c r="AA1750" i="13034" s="1"/>
  <c r="D1756" i="12908"/>
  <c r="AA1756" i="13034" s="1"/>
  <c r="D1744" i="12908"/>
  <c r="AA1744" i="13034" s="1"/>
  <c r="D1762" i="12908"/>
  <c r="AA1762" i="13034" s="1"/>
  <c r="D1745" i="12908"/>
  <c r="AA1745" i="13034" s="1"/>
  <c r="D1764" i="12908"/>
  <c r="AA1764" i="13034" s="1"/>
  <c r="D1755" i="12908"/>
  <c r="AA1755" i="13034" s="1"/>
  <c r="D1743" i="12908"/>
  <c r="AA1743" i="13034" s="1"/>
  <c r="D1761" i="12908"/>
  <c r="AA1761" i="13034" s="1"/>
  <c r="D1749" i="12908"/>
  <c r="AA1749" i="13034" s="1"/>
  <c r="D1760" i="12908"/>
  <c r="AA1760" i="13034" s="1"/>
  <c r="D1767" i="12908"/>
  <c r="AA1767" i="13034" s="1"/>
  <c r="D1754" i="12908"/>
  <c r="AA1754" i="13034" s="1"/>
  <c r="D1746" i="12908"/>
  <c r="AA1746" i="13034" s="1"/>
  <c r="D1765" i="12908"/>
  <c r="AA1765" i="13034" s="1"/>
  <c r="D1752" i="12908"/>
  <c r="AA1752" i="13034" s="1"/>
  <c r="D1740" i="12908"/>
  <c r="AA1740" i="13034" s="1"/>
  <c r="D1757" i="12908"/>
  <c r="AA1757" i="13034" s="1"/>
  <c r="D1768" i="12908"/>
  <c r="AA1768" i="13034" s="1"/>
  <c r="D1751" i="12908"/>
  <c r="AA1751" i="13034" s="1"/>
  <c r="D1741" i="12908"/>
  <c r="AA1741" i="13034" s="1"/>
  <c r="D1748" i="12908"/>
  <c r="AA1748" i="13034" s="1"/>
  <c r="D1763" i="12908"/>
  <c r="AA1763" i="13034" s="1"/>
  <c r="D1753" i="12908"/>
  <c r="AA1753" i="13034" s="1"/>
  <c r="D1211" i="12908"/>
  <c r="AA1211" i="13034" s="1"/>
  <c r="D1238" i="12908"/>
  <c r="AA1238" i="13034" s="1"/>
  <c r="D1227" i="12908"/>
  <c r="AA1227" i="13034" s="1"/>
  <c r="D1219" i="12908"/>
  <c r="AA1219" i="13034" s="1"/>
  <c r="D1237" i="12908"/>
  <c r="AA1237" i="13034" s="1"/>
  <c r="D1224" i="12908"/>
  <c r="AA1224" i="13034" s="1"/>
  <c r="D1221" i="12908"/>
  <c r="AA1221" i="13034" s="1"/>
  <c r="D1239" i="12908"/>
  <c r="AA1239" i="13034" s="1"/>
  <c r="D1225" i="12908"/>
  <c r="AA1225" i="13034" s="1"/>
  <c r="D1228" i="12908"/>
  <c r="AA1228" i="13034" s="1"/>
  <c r="D1234" i="12908"/>
  <c r="AA1234" i="13034" s="1"/>
  <c r="D1230" i="12908"/>
  <c r="AA1230" i="13034" s="1"/>
  <c r="D1222" i="12908"/>
  <c r="AA1222" i="13034" s="1"/>
  <c r="D1240" i="12908"/>
  <c r="AA1240" i="13034" s="1"/>
  <c r="D1215" i="12908"/>
  <c r="AA1215" i="13034" s="1"/>
  <c r="D1220" i="12908"/>
  <c r="AA1220" i="13034" s="1"/>
  <c r="D1217" i="12908"/>
  <c r="AA1217" i="13034" s="1"/>
  <c r="D1235" i="12908"/>
  <c r="AA1235" i="13034" s="1"/>
  <c r="D1213" i="12908"/>
  <c r="AA1213" i="13034" s="1"/>
  <c r="D1231" i="12908"/>
  <c r="AA1231" i="13034" s="1"/>
  <c r="D1223" i="12908"/>
  <c r="AA1223" i="13034" s="1"/>
  <c r="D1241" i="12908"/>
  <c r="AA1241" i="13034" s="1"/>
  <c r="D1210" i="12908"/>
  <c r="AA1210" i="13034" s="1"/>
  <c r="D1229" i="12908"/>
  <c r="AA1229" i="13034" s="1"/>
  <c r="D1218" i="12908"/>
  <c r="AA1218" i="13034" s="1"/>
  <c r="D1236" i="12908"/>
  <c r="AA1236" i="13034" s="1"/>
  <c r="D1216" i="12908"/>
  <c r="AA1216" i="13034" s="1"/>
  <c r="D1212" i="12908"/>
  <c r="AA1212" i="13034" s="1"/>
  <c r="D1232" i="12908"/>
  <c r="AA1232" i="13034" s="1"/>
  <c r="D1253" i="12908"/>
  <c r="AA1253" i="13034" s="1"/>
  <c r="D1254" i="12908"/>
  <c r="AA1254" i="13034" s="1"/>
  <c r="D1277" i="12908"/>
  <c r="AA1277" i="13034" s="1"/>
  <c r="D1276" i="12908"/>
  <c r="AA1276" i="13034" s="1"/>
  <c r="D1260" i="12908"/>
  <c r="AA1260" i="13034" s="1"/>
  <c r="D1278" i="12908"/>
  <c r="AA1278" i="13034" s="1"/>
  <c r="D1266" i="12908"/>
  <c r="AA1266" i="13034" s="1"/>
  <c r="D1270" i="12908"/>
  <c r="AA1270" i="13034" s="1"/>
  <c r="D1252" i="12908"/>
  <c r="AA1252" i="13034" s="1"/>
  <c r="D1279" i="12908"/>
  <c r="AA1279" i="13034" s="1"/>
  <c r="D1272" i="12908"/>
  <c r="AA1272" i="13034" s="1"/>
  <c r="D1255" i="12908"/>
  <c r="AA1255" i="13034" s="1"/>
  <c r="D1258" i="12908"/>
  <c r="AA1258" i="13034" s="1"/>
  <c r="D1259" i="12908"/>
  <c r="AA1259" i="13034" s="1"/>
  <c r="D1281" i="12908"/>
  <c r="AA1281" i="13034" s="1"/>
  <c r="D1280" i="12908"/>
  <c r="AA1280" i="13034" s="1"/>
  <c r="D1264" i="12908"/>
  <c r="AA1264" i="13034" s="1"/>
  <c r="D1282" i="12908"/>
  <c r="AA1282" i="13034" s="1"/>
  <c r="D1257" i="12908"/>
  <c r="AA1257" i="13034" s="1"/>
  <c r="D1274" i="12908"/>
  <c r="AA1274" i="13034" s="1"/>
  <c r="D1283" i="12908"/>
  <c r="AA1283" i="13034" s="1"/>
  <c r="D1267" i="12908"/>
  <c r="AA1267" i="13034" s="1"/>
  <c r="D1262" i="12908"/>
  <c r="AA1262" i="13034" s="1"/>
  <c r="D1263" i="12908"/>
  <c r="AA1263" i="13034" s="1"/>
  <c r="D1269" i="12908"/>
  <c r="AA1269" i="13034" s="1"/>
  <c r="D1261" i="12908"/>
  <c r="AA1261" i="13034" s="1"/>
  <c r="D1271" i="12908"/>
  <c r="AA1271" i="13034" s="1"/>
  <c r="D1273" i="12908"/>
  <c r="AA1273" i="13034" s="1"/>
  <c r="D1265" i="12908"/>
  <c r="AA1265" i="13034" s="1"/>
  <c r="J94" i="12760"/>
  <c r="K94" i="12760"/>
  <c r="R24" i="12709"/>
  <c r="P59" i="12711"/>
  <c r="P193" i="12711" s="1"/>
  <c r="P141" i="12711"/>
  <c r="P192" i="12711" s="1"/>
  <c r="R23" i="12709" l="1"/>
  <c r="I1236" i="12908"/>
  <c r="AF1236" i="13034" s="1"/>
  <c r="I1235" i="12908"/>
  <c r="AF1235" i="13034" s="1"/>
  <c r="I1228" i="12908"/>
  <c r="AF1228" i="13034" s="1"/>
  <c r="I1223" i="12908"/>
  <c r="AF1223" i="13034" s="1"/>
  <c r="I1225" i="12908"/>
  <c r="AF1225" i="13034" s="1"/>
  <c r="I1211" i="12908"/>
  <c r="AF1211" i="13034" s="1"/>
  <c r="I1212" i="12908"/>
  <c r="AF1212" i="13034" s="1"/>
  <c r="I1229" i="12908"/>
  <c r="AF1229" i="13034" s="1"/>
  <c r="I1231" i="12908"/>
  <c r="AF1231" i="13034" s="1"/>
  <c r="I1220" i="12908"/>
  <c r="AF1220" i="13034" s="1"/>
  <c r="I1230" i="12908"/>
  <c r="AF1230" i="13034" s="1"/>
  <c r="I1239" i="12908"/>
  <c r="AF1239" i="13034" s="1"/>
  <c r="I1219" i="12908"/>
  <c r="AF1219" i="13034" s="1"/>
  <c r="I1241" i="12908"/>
  <c r="AF1241" i="13034" s="1"/>
  <c r="I1240" i="12908"/>
  <c r="AF1240" i="13034" s="1"/>
  <c r="I1224" i="12908"/>
  <c r="AF1224" i="13034" s="1"/>
  <c r="I1238" i="12908"/>
  <c r="AF1238" i="13034" s="1"/>
  <c r="I1232" i="12908"/>
  <c r="AF1232" i="13034" s="1"/>
  <c r="I1218" i="12908"/>
  <c r="AF1218" i="13034" s="1"/>
  <c r="I1217" i="12908"/>
  <c r="AF1217" i="13034" s="1"/>
  <c r="I1222" i="12908"/>
  <c r="AF1222" i="13034" s="1"/>
  <c r="I1237" i="12908"/>
  <c r="AF1237" i="13034" s="1"/>
  <c r="I1216" i="12908"/>
  <c r="AF1216" i="13034" s="1"/>
  <c r="I1210" i="12908"/>
  <c r="AF1210" i="13034" s="1"/>
  <c r="I1213" i="12908"/>
  <c r="AF1213" i="13034" s="1"/>
  <c r="I1215" i="12908"/>
  <c r="AF1215" i="13034" s="1"/>
  <c r="I1234" i="12908"/>
  <c r="AF1234" i="13034" s="1"/>
  <c r="I1221" i="12908"/>
  <c r="AF1221" i="13034" s="1"/>
  <c r="I1227" i="12908"/>
  <c r="AF1227" i="13034" s="1"/>
  <c r="I1265" i="12908"/>
  <c r="AF1265" i="13034" s="1"/>
  <c r="I1269" i="12908"/>
  <c r="AF1269" i="13034" s="1"/>
  <c r="I1264" i="12908"/>
  <c r="AF1264" i="13034" s="1"/>
  <c r="I1260" i="12908"/>
  <c r="AF1260" i="13034" s="1"/>
  <c r="I1748" i="12908"/>
  <c r="AF1748" i="13034" s="1"/>
  <c r="I1746" i="12908"/>
  <c r="AF1746" i="13034" s="1"/>
  <c r="I1764" i="12908"/>
  <c r="AF1764" i="13034" s="1"/>
  <c r="I1347" i="12908"/>
  <c r="AF1347" i="13034" s="1"/>
  <c r="I1355" i="12908"/>
  <c r="AF1355" i="13034" s="1"/>
  <c r="I1345" i="12908"/>
  <c r="AF1345" i="13034" s="1"/>
  <c r="I1356" i="12908"/>
  <c r="AF1356" i="13034" s="1"/>
  <c r="I1263" i="12908"/>
  <c r="AF1263" i="13034" s="1"/>
  <c r="I1280" i="12908"/>
  <c r="AF1280" i="13034" s="1"/>
  <c r="I1270" i="12908"/>
  <c r="AF1270" i="13034" s="1"/>
  <c r="I1276" i="12908"/>
  <c r="AF1276" i="13034" s="1"/>
  <c r="I1740" i="12908"/>
  <c r="AF1740" i="13034" s="1"/>
  <c r="I1761" i="12908"/>
  <c r="AF1761" i="13034" s="1"/>
  <c r="I1750" i="12908"/>
  <c r="AF1750" i="13034" s="1"/>
  <c r="I1343" i="12908"/>
  <c r="AF1343" i="13034" s="1"/>
  <c r="I1344" i="12908"/>
  <c r="AF1344" i="13034" s="1"/>
  <c r="I1361" i="12908"/>
  <c r="AF1361" i="13034" s="1"/>
  <c r="I1351" i="12908"/>
  <c r="AF1351" i="13034" s="1"/>
  <c r="I1271" i="12908"/>
  <c r="AF1271" i="13034" s="1"/>
  <c r="I1262" i="12908"/>
  <c r="AF1262" i="13034" s="1"/>
  <c r="I1257" i="12908"/>
  <c r="AF1257" i="13034" s="1"/>
  <c r="I1281" i="12908"/>
  <c r="AF1281" i="13034" s="1"/>
  <c r="I1272" i="12908"/>
  <c r="AF1272" i="13034" s="1"/>
  <c r="I1266" i="12908"/>
  <c r="AF1266" i="13034" s="1"/>
  <c r="I1277" i="12908"/>
  <c r="AF1277" i="13034" s="1"/>
  <c r="I1753" i="12908"/>
  <c r="AF1753" i="13034" s="1"/>
  <c r="I1751" i="12908"/>
  <c r="AF1751" i="13034" s="1"/>
  <c r="I1752" i="12908"/>
  <c r="AF1752" i="13034" s="1"/>
  <c r="I1767" i="12908"/>
  <c r="AF1767" i="13034" s="1"/>
  <c r="I1743" i="12908"/>
  <c r="AF1743" i="13034" s="1"/>
  <c r="I1762" i="12908"/>
  <c r="AF1762" i="13034" s="1"/>
  <c r="I1759" i="12908"/>
  <c r="AF1759" i="13034" s="1"/>
  <c r="I1363" i="12908"/>
  <c r="AF1363" i="13034" s="1"/>
  <c r="I1341" i="12908"/>
  <c r="AF1341" i="13034" s="1"/>
  <c r="I1346" i="12908"/>
  <c r="AF1346" i="13034" s="1"/>
  <c r="I1350" i="12908"/>
  <c r="AF1350" i="13034" s="1"/>
  <c r="I1358" i="12908"/>
  <c r="AF1358" i="13034" s="1"/>
  <c r="I1342" i="12908"/>
  <c r="AF1342" i="13034" s="1"/>
  <c r="I1339" i="12908"/>
  <c r="AF1339" i="13034" s="1"/>
  <c r="I1364" i="12908"/>
  <c r="AF1364" i="13034" s="1"/>
  <c r="I1283" i="12908"/>
  <c r="AF1283" i="13034" s="1"/>
  <c r="I1258" i="12908"/>
  <c r="AF1258" i="13034" s="1"/>
  <c r="I1252" i="12908"/>
  <c r="AF1252" i="13034" s="1"/>
  <c r="I1253" i="12908"/>
  <c r="AF1253" i="13034" s="1"/>
  <c r="I1757" i="12908"/>
  <c r="AF1757" i="13034" s="1"/>
  <c r="I1749" i="12908"/>
  <c r="AF1749" i="13034" s="1"/>
  <c r="I1756" i="12908"/>
  <c r="AF1756" i="13034" s="1"/>
  <c r="I1360" i="12908"/>
  <c r="AF1360" i="13034" s="1"/>
  <c r="I1362" i="12908"/>
  <c r="AF1362" i="13034" s="1"/>
  <c r="I1349" i="12908"/>
  <c r="AF1349" i="13034" s="1"/>
  <c r="I1273" i="12908"/>
  <c r="AF1273" i="13034" s="1"/>
  <c r="I1274" i="12908"/>
  <c r="AF1274" i="13034" s="1"/>
  <c r="I1255" i="12908"/>
  <c r="AF1255" i="13034" s="1"/>
  <c r="I1741" i="12908"/>
  <c r="AF1741" i="13034" s="1"/>
  <c r="I1754" i="12908"/>
  <c r="AF1754" i="13034" s="1"/>
  <c r="I1745" i="12908"/>
  <c r="AF1745" i="13034" s="1"/>
  <c r="I1336" i="12908"/>
  <c r="AF1336" i="13034" s="1"/>
  <c r="I1338" i="12908"/>
  <c r="AF1338" i="13034" s="1"/>
  <c r="I1357" i="12908"/>
  <c r="AF1357" i="13034" s="1"/>
  <c r="I1261" i="12908"/>
  <c r="AF1261" i="13034" s="1"/>
  <c r="I1267" i="12908"/>
  <c r="AF1267" i="13034" s="1"/>
  <c r="I1282" i="12908"/>
  <c r="AF1282" i="13034" s="1"/>
  <c r="I1259" i="12908"/>
  <c r="AF1259" i="13034" s="1"/>
  <c r="I1279" i="12908"/>
  <c r="AF1279" i="13034" s="1"/>
  <c r="I1278" i="12908"/>
  <c r="AF1278" i="13034" s="1"/>
  <c r="I1254" i="12908"/>
  <c r="AF1254" i="13034" s="1"/>
  <c r="I1763" i="12908"/>
  <c r="AF1763" i="13034" s="1"/>
  <c r="I1768" i="12908"/>
  <c r="AF1768" i="13034" s="1"/>
  <c r="I1765" i="12908"/>
  <c r="AF1765" i="13034" s="1"/>
  <c r="I1760" i="12908"/>
  <c r="AF1760" i="13034" s="1"/>
  <c r="I1755" i="12908"/>
  <c r="AF1755" i="13034" s="1"/>
  <c r="I1744" i="12908"/>
  <c r="AF1744" i="13034" s="1"/>
  <c r="I1353" i="12908"/>
  <c r="AF1353" i="13034" s="1"/>
  <c r="I1366" i="12908"/>
  <c r="AF1366" i="13034" s="1"/>
  <c r="I1354" i="12908"/>
  <c r="AF1354" i="13034" s="1"/>
  <c r="I1365" i="12908"/>
  <c r="AF1365" i="13034" s="1"/>
  <c r="I1348" i="12908"/>
  <c r="AF1348" i="13034" s="1"/>
  <c r="I1367" i="12908"/>
  <c r="AF1367" i="13034" s="1"/>
  <c r="I1337" i="12908"/>
  <c r="AF1337" i="13034" s="1"/>
  <c r="D1284" i="12908"/>
  <c r="AA1284" i="13034" s="1"/>
  <c r="D1242" i="12908"/>
  <c r="AA1242" i="13034" s="1"/>
  <c r="D1368" i="12908"/>
  <c r="AA1368" i="13034" s="1"/>
  <c r="I73" i="12852"/>
  <c r="K73" i="12852" s="1"/>
  <c r="E141" i="12709" s="1"/>
  <c r="I35" i="12852"/>
  <c r="D79" i="12709"/>
  <c r="H79" i="12709"/>
  <c r="Q79" i="12711" s="1"/>
  <c r="D114" i="12709"/>
  <c r="D132" i="12709"/>
  <c r="H115" i="12908"/>
  <c r="AE115" i="13034" s="1"/>
  <c r="H49" i="12908"/>
  <c r="AE49" i="13034" s="1"/>
  <c r="D41" i="12709"/>
  <c r="C1711" i="12908"/>
  <c r="Z1711" i="13034" s="1"/>
  <c r="C1795" i="12908"/>
  <c r="Z1795" i="13034" s="1"/>
  <c r="J5" i="12782"/>
  <c r="M18" i="12721"/>
  <c r="K5" i="12782"/>
  <c r="G5" i="12782"/>
  <c r="I5" i="12782"/>
  <c r="H5" i="12782"/>
  <c r="E46" i="12711"/>
  <c r="E84" i="12711"/>
  <c r="H746" i="12908"/>
  <c r="AE746" i="13034" s="1"/>
  <c r="E19" i="12711"/>
  <c r="H724" i="12908"/>
  <c r="AE724" i="13034" s="1"/>
  <c r="H745" i="12908"/>
  <c r="AE745" i="13034" s="1"/>
  <c r="H703" i="12908"/>
  <c r="AE703" i="13034" s="1"/>
  <c r="C714" i="12908"/>
  <c r="C735" i="12908"/>
  <c r="C693" i="12908"/>
  <c r="H1042" i="12908"/>
  <c r="AE1042" i="13034" s="1"/>
  <c r="H934" i="12908"/>
  <c r="AE934" i="13034" s="1"/>
  <c r="H925" i="12908"/>
  <c r="AE925" i="13034" s="1"/>
  <c r="H954" i="12908"/>
  <c r="AE954" i="13034" s="1"/>
  <c r="C952" i="12908"/>
  <c r="C943" i="12908"/>
  <c r="C1400" i="12908"/>
  <c r="Z1400" i="13034" s="1"/>
  <c r="C1420" i="12908"/>
  <c r="Z1420" i="13034" s="1"/>
  <c r="C1430" i="12908"/>
  <c r="Z1430" i="13034" s="1"/>
  <c r="C1431" i="12908"/>
  <c r="C1432" i="12908"/>
  <c r="Z1432" i="13034" s="1"/>
  <c r="C1407" i="12908"/>
  <c r="C1427" i="12908"/>
  <c r="C1408" i="12908"/>
  <c r="C1428" i="12908"/>
  <c r="C1409" i="12908"/>
  <c r="Z1409" i="13034" s="1"/>
  <c r="C1429" i="12908"/>
  <c r="Z1429" i="13034" s="1"/>
  <c r="C1501" i="12908"/>
  <c r="Z1501" i="13034" s="1"/>
  <c r="C1520" i="12908"/>
  <c r="Z1520" i="13034" s="1"/>
  <c r="C1529" i="12908"/>
  <c r="Z1529" i="13034" s="1"/>
  <c r="C1530" i="12908"/>
  <c r="Z1530" i="13034" s="1"/>
  <c r="C1531" i="12908"/>
  <c r="Z1531" i="13034" s="1"/>
  <c r="C1508" i="12908"/>
  <c r="C1527" i="12908"/>
  <c r="C1509" i="12908"/>
  <c r="C1528" i="12908"/>
  <c r="C1561" i="12908"/>
  <c r="C1574" i="12908"/>
  <c r="C1575" i="12908"/>
  <c r="Z1575" i="13034" s="1"/>
  <c r="C1583" i="12908"/>
  <c r="C1596" i="12908"/>
  <c r="Z1596" i="13034" s="1"/>
  <c r="C1597" i="12908"/>
  <c r="Z1597" i="13034" s="1"/>
  <c r="C1604" i="12908"/>
  <c r="Z1604" i="13034" s="1"/>
  <c r="C1605" i="12908"/>
  <c r="Z1605" i="13034" s="1"/>
  <c r="C1642" i="12908"/>
  <c r="Z1642" i="13034" s="1"/>
  <c r="C1643" i="12908"/>
  <c r="C2034" i="12908"/>
  <c r="Z2034" i="13034" s="1"/>
  <c r="C2058" i="12908"/>
  <c r="Z2058" i="13034" s="1"/>
  <c r="H2061" i="12908"/>
  <c r="AE2061" i="13034" s="1"/>
  <c r="H2063" i="12908"/>
  <c r="AE2063" i="13034" s="1"/>
  <c r="C2010" i="12908"/>
  <c r="Z2010" i="13034" s="1"/>
  <c r="H2013" i="12908"/>
  <c r="AE2013" i="13034" s="1"/>
  <c r="H2015" i="12908"/>
  <c r="AE2015" i="13034" s="1"/>
  <c r="H2016" i="12908"/>
  <c r="AE2016" i="13034" s="1"/>
  <c r="C2035" i="12908"/>
  <c r="Z2035" i="13034" s="1"/>
  <c r="C2059" i="12908"/>
  <c r="Z2059" i="13034" s="1"/>
  <c r="C2011" i="12908"/>
  <c r="Z2011" i="13034" s="1"/>
  <c r="C2036" i="12908"/>
  <c r="Z2036" i="13034" s="1"/>
  <c r="C2060" i="12908"/>
  <c r="Z2060" i="13034" s="1"/>
  <c r="C2012" i="12908"/>
  <c r="Z2012" i="13034" s="1"/>
  <c r="H2025" i="12908"/>
  <c r="AE2025" i="13034" s="1"/>
  <c r="C2001" i="12908"/>
  <c r="E114" i="12709"/>
  <c r="H132" i="12709"/>
  <c r="Q132" i="12711" s="1"/>
  <c r="H41" i="12709"/>
  <c r="Q41" i="12711" s="1"/>
  <c r="D136" i="12711"/>
  <c r="D180" i="12711" s="1"/>
  <c r="F99" i="12711"/>
  <c r="F201" i="12711" s="1"/>
  <c r="D140" i="12711"/>
  <c r="D191" i="12711" s="1"/>
  <c r="D139" i="12711"/>
  <c r="D190" i="12711" s="1"/>
  <c r="D138" i="12711"/>
  <c r="D189" i="12711" s="1"/>
  <c r="D155" i="12709"/>
  <c r="H155" i="12709"/>
  <c r="Q155" i="12711" s="1"/>
  <c r="D40" i="12709"/>
  <c r="H57" i="12908"/>
  <c r="AE57" i="13034" s="1"/>
  <c r="H60" i="12908"/>
  <c r="AE60" i="13034" s="1"/>
  <c r="H63" i="12908"/>
  <c r="AE63" i="13034" s="1"/>
  <c r="H20" i="12908"/>
  <c r="AE20" i="13034" s="1"/>
  <c r="H23" i="12908"/>
  <c r="AE23" i="13034" s="1"/>
  <c r="H26" i="12908"/>
  <c r="AE26" i="13034" s="1"/>
  <c r="D137" i="12711"/>
  <c r="D188" i="12711" s="1"/>
  <c r="D78" i="12709"/>
  <c r="D45" i="12709"/>
  <c r="D48" i="12709"/>
  <c r="D51" i="12709"/>
  <c r="D113" i="12709"/>
  <c r="D83" i="12709"/>
  <c r="D88" i="12709"/>
  <c r="R179" i="12709" s="1"/>
  <c r="R100" i="12709"/>
  <c r="F14" i="12776"/>
  <c r="E94" i="12709" s="1"/>
  <c r="D154" i="12709"/>
  <c r="D136" i="12709"/>
  <c r="D137" i="12709"/>
  <c r="D140" i="12709"/>
  <c r="D139" i="12709"/>
  <c r="D138" i="12709"/>
  <c r="H1810" i="12908"/>
  <c r="AE1810" i="13034" s="1"/>
  <c r="H1811" i="12908"/>
  <c r="AE1811" i="13034" s="1"/>
  <c r="H1812" i="12908"/>
  <c r="AE1812" i="13034" s="1"/>
  <c r="H1813" i="12908"/>
  <c r="AE1813" i="13034" s="1"/>
  <c r="H1814" i="12908"/>
  <c r="AE1814" i="13034" s="1"/>
  <c r="M5" i="12782"/>
  <c r="G5" i="12776"/>
  <c r="G11" i="12776"/>
  <c r="H5" i="12776"/>
  <c r="H11" i="12776"/>
  <c r="J14" i="12776"/>
  <c r="J5" i="12776"/>
  <c r="J11" i="12776"/>
  <c r="O11" i="12776" s="1"/>
  <c r="J15" i="12776"/>
  <c r="D131" i="12709"/>
  <c r="D118" i="12709"/>
  <c r="H747" i="12908"/>
  <c r="AE747" i="13034" s="1"/>
  <c r="H736" i="12908"/>
  <c r="AE736" i="13034" s="1"/>
  <c r="H1043" i="12908"/>
  <c r="AE1043" i="13034" s="1"/>
  <c r="H1044" i="12908"/>
  <c r="AE1044" i="13034" s="1"/>
  <c r="H1045" i="12908"/>
  <c r="AE1045" i="13034" s="1"/>
  <c r="H1046" i="12908"/>
  <c r="AE1046" i="13034" s="1"/>
  <c r="H1047" i="12908"/>
  <c r="AE1047" i="13034" s="1"/>
  <c r="H1048" i="12908"/>
  <c r="AE1048" i="13034" s="1"/>
  <c r="H953" i="12908"/>
  <c r="AE953" i="13034" s="1"/>
  <c r="H944" i="12908"/>
  <c r="AE944" i="13034" s="1"/>
  <c r="C1419" i="12908"/>
  <c r="Z1419" i="13034" s="1"/>
  <c r="C1519" i="12908"/>
  <c r="Z1519" i="13034" s="1"/>
  <c r="C1582" i="12908"/>
  <c r="Z1582" i="13034" s="1"/>
  <c r="H2049" i="12908"/>
  <c r="AE2049" i="13034" s="1"/>
  <c r="H2062" i="12908"/>
  <c r="AE2062" i="13034" s="1"/>
  <c r="H2050" i="12908"/>
  <c r="AE2050" i="13034" s="1"/>
  <c r="E71" i="12852"/>
  <c r="H1740" i="12908"/>
  <c r="AE1740" i="13034" s="1"/>
  <c r="H1741" i="12908"/>
  <c r="AE1741" i="13034" s="1"/>
  <c r="H1743" i="12908"/>
  <c r="AE1743" i="13034" s="1"/>
  <c r="H1744" i="12908"/>
  <c r="AE1744" i="13034" s="1"/>
  <c r="H1745" i="12908"/>
  <c r="AE1745" i="13034" s="1"/>
  <c r="H1746" i="12908"/>
  <c r="AE1746" i="13034" s="1"/>
  <c r="H1748" i="12908"/>
  <c r="AE1748" i="13034" s="1"/>
  <c r="H1749" i="12908"/>
  <c r="AE1749" i="13034" s="1"/>
  <c r="H1750" i="12908"/>
  <c r="AE1750" i="13034" s="1"/>
  <c r="H1751" i="12908"/>
  <c r="AE1751" i="13034" s="1"/>
  <c r="H1752" i="12908"/>
  <c r="AE1752" i="13034" s="1"/>
  <c r="H1753" i="12908"/>
  <c r="AE1753" i="13034" s="1"/>
  <c r="H1754" i="12908"/>
  <c r="AE1754" i="13034" s="1"/>
  <c r="H1755" i="12908"/>
  <c r="AE1755" i="13034" s="1"/>
  <c r="H1756" i="12908"/>
  <c r="AE1756" i="13034" s="1"/>
  <c r="H1757" i="12908"/>
  <c r="AE1757" i="13034" s="1"/>
  <c r="H1759" i="12908"/>
  <c r="AE1759" i="13034" s="1"/>
  <c r="H1760" i="12908"/>
  <c r="AE1760" i="13034" s="1"/>
  <c r="H1761" i="12908"/>
  <c r="AE1761" i="13034" s="1"/>
  <c r="H1762" i="12908"/>
  <c r="AE1762" i="13034" s="1"/>
  <c r="H1763" i="12908"/>
  <c r="AE1763" i="13034" s="1"/>
  <c r="H1764" i="12908"/>
  <c r="AE1764" i="13034" s="1"/>
  <c r="H1765" i="12908"/>
  <c r="AE1765" i="13034" s="1"/>
  <c r="H1767" i="12908"/>
  <c r="AE1767" i="13034" s="1"/>
  <c r="H1768" i="12908"/>
  <c r="AE1768" i="13034" s="1"/>
  <c r="H1777" i="12908"/>
  <c r="AE1777" i="13034" s="1"/>
  <c r="H1778" i="12908"/>
  <c r="AE1778" i="13034" s="1"/>
  <c r="H1780" i="12908"/>
  <c r="AE1780" i="13034" s="1"/>
  <c r="H1781" i="12908"/>
  <c r="AE1781" i="13034" s="1"/>
  <c r="H1782" i="12908"/>
  <c r="AE1782" i="13034" s="1"/>
  <c r="H1784" i="12908"/>
  <c r="AE1784" i="13034" s="1"/>
  <c r="H1785" i="12908"/>
  <c r="AE1785" i="13034" s="1"/>
  <c r="H1786" i="12908"/>
  <c r="AE1786" i="13034" s="1"/>
  <c r="H1787" i="12908"/>
  <c r="AE1787" i="13034" s="1"/>
  <c r="H1788" i="12908"/>
  <c r="AE1788" i="13034" s="1"/>
  <c r="H1789" i="12908"/>
  <c r="AE1789" i="13034" s="1"/>
  <c r="H1791" i="12908"/>
  <c r="AE1791" i="13034" s="1"/>
  <c r="H1792" i="12908"/>
  <c r="AE1792" i="13034" s="1"/>
  <c r="H1793" i="12908"/>
  <c r="AE1793" i="13034" s="1"/>
  <c r="H1794" i="12908"/>
  <c r="AE1794" i="13034" s="1"/>
  <c r="H704" i="12908"/>
  <c r="AE704" i="13034" s="1"/>
  <c r="H705" i="12908"/>
  <c r="AE705" i="13034" s="1"/>
  <c r="H694" i="12908"/>
  <c r="AE694" i="13034" s="1"/>
  <c r="H2014" i="12908"/>
  <c r="AE2014" i="13034" s="1"/>
  <c r="H2002" i="12908"/>
  <c r="AE2002" i="13034" s="1"/>
  <c r="H1666" i="12908"/>
  <c r="AE1666" i="13034" s="1"/>
  <c r="H1667" i="12908"/>
  <c r="AE1667" i="13034" s="1"/>
  <c r="H1668" i="12908"/>
  <c r="AE1668" i="13034" s="1"/>
  <c r="H1669" i="12908"/>
  <c r="AE1669" i="13034" s="1"/>
  <c r="H1670" i="12908"/>
  <c r="AE1670" i="13034" s="1"/>
  <c r="H1671" i="12908"/>
  <c r="AE1671" i="13034" s="1"/>
  <c r="H1672" i="12908"/>
  <c r="AE1672" i="13034" s="1"/>
  <c r="H1673" i="12908"/>
  <c r="AE1673" i="13034" s="1"/>
  <c r="H1674" i="12908"/>
  <c r="AE1674" i="13034" s="1"/>
  <c r="H1675" i="12908"/>
  <c r="AE1675" i="13034" s="1"/>
  <c r="H1676" i="12908"/>
  <c r="AE1676" i="13034" s="1"/>
  <c r="H1677" i="12908"/>
  <c r="AE1677" i="13034" s="1"/>
  <c r="H1678" i="12908"/>
  <c r="AE1678" i="13034" s="1"/>
  <c r="H1679" i="12908"/>
  <c r="AE1679" i="13034" s="1"/>
  <c r="H1680" i="12908"/>
  <c r="AE1680" i="13034" s="1"/>
  <c r="H1682" i="12908"/>
  <c r="AE1682" i="13034" s="1"/>
  <c r="H1683" i="12908"/>
  <c r="AE1683" i="13034" s="1"/>
  <c r="H1684" i="12908"/>
  <c r="AE1684" i="13034" s="1"/>
  <c r="H1685" i="12908"/>
  <c r="AE1685" i="13034" s="1"/>
  <c r="H1686" i="12908"/>
  <c r="AE1686" i="13034" s="1"/>
  <c r="H1687" i="12908"/>
  <c r="AE1687" i="13034" s="1"/>
  <c r="H1688" i="12908"/>
  <c r="AE1688" i="13034" s="1"/>
  <c r="H1689" i="12908"/>
  <c r="AE1689" i="13034" s="1"/>
  <c r="H1690" i="12908"/>
  <c r="AE1690" i="13034" s="1"/>
  <c r="H1691" i="12908"/>
  <c r="AE1691" i="13034" s="1"/>
  <c r="H1692" i="12908"/>
  <c r="AE1692" i="13034" s="1"/>
  <c r="H1694" i="12908"/>
  <c r="AE1694" i="13034" s="1"/>
  <c r="H1695" i="12908"/>
  <c r="AE1695" i="13034" s="1"/>
  <c r="H1696" i="12908"/>
  <c r="AE1696" i="13034" s="1"/>
  <c r="H1697" i="12908"/>
  <c r="AE1697" i="13034" s="1"/>
  <c r="H1698" i="12908"/>
  <c r="AE1698" i="13034" s="1"/>
  <c r="H1700" i="12908"/>
  <c r="AE1700" i="13034" s="1"/>
  <c r="H1701" i="12908"/>
  <c r="AE1701" i="13034" s="1"/>
  <c r="H1702" i="12908"/>
  <c r="AE1702" i="13034" s="1"/>
  <c r="H1703" i="12908"/>
  <c r="AE1703" i="13034" s="1"/>
  <c r="H1704" i="12908"/>
  <c r="AE1704" i="13034" s="1"/>
  <c r="H1705" i="12908"/>
  <c r="AE1705" i="13034" s="1"/>
  <c r="H1707" i="12908"/>
  <c r="AE1707" i="13034" s="1"/>
  <c r="H1709" i="12908"/>
  <c r="AE1709" i="13034" s="1"/>
  <c r="H715" i="12908"/>
  <c r="AE715" i="13034" s="1"/>
  <c r="H926" i="12908"/>
  <c r="AE926" i="13034" s="1"/>
  <c r="C1399" i="12908"/>
  <c r="Z1399" i="13034" s="1"/>
  <c r="C1500" i="12908"/>
  <c r="Z1500" i="13034" s="1"/>
  <c r="C1560" i="12908"/>
  <c r="Z1560" i="13034" s="1"/>
  <c r="H2026" i="12908"/>
  <c r="AE2026" i="13034" s="1"/>
  <c r="H139" i="12908"/>
  <c r="AE139" i="13034" s="1"/>
  <c r="H140" i="12908"/>
  <c r="AE140" i="13034" s="1"/>
  <c r="H123" i="12908"/>
  <c r="AE123" i="13034" s="1"/>
  <c r="H126" i="12908"/>
  <c r="AE126" i="13034" s="1"/>
  <c r="H129" i="12908"/>
  <c r="AE129" i="13034" s="1"/>
  <c r="A15" i="12910"/>
  <c r="H673" i="12908"/>
  <c r="AE673" i="13034" s="1"/>
  <c r="H1978" i="12908"/>
  <c r="AE1978" i="13034" s="1"/>
  <c r="L35" i="12772"/>
  <c r="E100" i="12711"/>
  <c r="E202" i="12711" s="1"/>
  <c r="E69" i="12852"/>
  <c r="E52" i="12852"/>
  <c r="C6" i="12762"/>
  <c r="E33" i="12852" s="1"/>
  <c r="H89" i="12760"/>
  <c r="E49" i="12852" s="1"/>
  <c r="H90" i="12760"/>
  <c r="E68" i="12852" s="1"/>
  <c r="E15" i="12852"/>
  <c r="F15" i="12852" s="1"/>
  <c r="D133" i="12711"/>
  <c r="D83" i="12711"/>
  <c r="D86" i="12711"/>
  <c r="D88" i="12711"/>
  <c r="I7" i="12750"/>
  <c r="D45" i="12711"/>
  <c r="D48" i="12711"/>
  <c r="D51" i="12711"/>
  <c r="I6" i="12750"/>
  <c r="D20" i="6"/>
  <c r="J40" i="12711"/>
  <c r="J78" i="12711"/>
  <c r="W78" i="12711" s="1"/>
  <c r="J113" i="12711"/>
  <c r="W113" i="12711" s="1"/>
  <c r="J131" i="12711"/>
  <c r="J133" i="12711" s="1"/>
  <c r="J154" i="12711"/>
  <c r="W154" i="12711" s="1"/>
  <c r="J44" i="12852"/>
  <c r="J48" i="12852"/>
  <c r="J50" i="12852"/>
  <c r="J51" i="12852"/>
  <c r="J52" i="12852"/>
  <c r="J53" i="12852"/>
  <c r="D44" i="12852"/>
  <c r="E44" i="12852"/>
  <c r="E48" i="12852"/>
  <c r="E50" i="12852"/>
  <c r="E51" i="12852"/>
  <c r="E53" i="12852"/>
  <c r="D19" i="6"/>
  <c r="F9" i="12750"/>
  <c r="G9" i="12750"/>
  <c r="C9" i="12750"/>
  <c r="D9" i="12750"/>
  <c r="F8" i="12750"/>
  <c r="G8" i="12750"/>
  <c r="C8" i="12750"/>
  <c r="D8" i="12750"/>
  <c r="F10" i="12750"/>
  <c r="G10" i="12750"/>
  <c r="C10" i="12750"/>
  <c r="D10" i="12750"/>
  <c r="J22" i="12852"/>
  <c r="J25" i="12852"/>
  <c r="J27" i="12852"/>
  <c r="J29" i="12852"/>
  <c r="J32" i="12852"/>
  <c r="J33" i="12852"/>
  <c r="J34" i="12852"/>
  <c r="D13" i="12776"/>
  <c r="J35" i="12852" s="1"/>
  <c r="E13" i="12776"/>
  <c r="I59" i="12711" s="1"/>
  <c r="F13" i="12776"/>
  <c r="E59" i="12709" s="1"/>
  <c r="G13" i="12776"/>
  <c r="H13" i="12776"/>
  <c r="I13" i="12776"/>
  <c r="J13" i="12776"/>
  <c r="O13" i="12776" s="1"/>
  <c r="D14" i="12776"/>
  <c r="J54" i="12852" s="1"/>
  <c r="E14" i="12776"/>
  <c r="I94" i="12711" s="1"/>
  <c r="G14" i="12776"/>
  <c r="H14" i="12776"/>
  <c r="I14" i="12776"/>
  <c r="D15" i="12776"/>
  <c r="J74" i="12852" s="1"/>
  <c r="E15" i="12776"/>
  <c r="I142" i="12711" s="1"/>
  <c r="F15" i="12776"/>
  <c r="E142" i="12709" s="1"/>
  <c r="G15" i="12776"/>
  <c r="H15" i="12776"/>
  <c r="I15" i="12776"/>
  <c r="D5" i="12776"/>
  <c r="D11" i="12776"/>
  <c r="E5" i="12776"/>
  <c r="E11" i="12776"/>
  <c r="F5" i="12776"/>
  <c r="F11" i="12776"/>
  <c r="I5" i="12776"/>
  <c r="I11" i="12776"/>
  <c r="C5" i="12776"/>
  <c r="C11" i="12776"/>
  <c r="D6" i="12750"/>
  <c r="L6" i="12750" s="1"/>
  <c r="D7" i="12750"/>
  <c r="L5" i="12782"/>
  <c r="D15" i="6"/>
  <c r="L18" i="12721"/>
  <c r="C18" i="12721"/>
  <c r="D68" i="12852"/>
  <c r="G6" i="12750"/>
  <c r="G7" i="12750"/>
  <c r="F6" i="12750"/>
  <c r="F7" i="12750"/>
  <c r="C6" i="12750"/>
  <c r="C7" i="12750"/>
  <c r="E34" i="12852"/>
  <c r="E28" i="12852"/>
  <c r="E32" i="12852"/>
  <c r="E29" i="12852"/>
  <c r="E27" i="12852"/>
  <c r="E25" i="12852"/>
  <c r="E22" i="12852"/>
  <c r="D22" i="12852"/>
  <c r="D4" i="12852"/>
  <c r="A126" i="12749"/>
  <c r="A125" i="12749"/>
  <c r="A124" i="12749"/>
  <c r="A123" i="12749"/>
  <c r="A122" i="12749"/>
  <c r="A121" i="12749"/>
  <c r="A120" i="12749"/>
  <c r="A119" i="12749"/>
  <c r="A118" i="12749"/>
  <c r="A117" i="12749"/>
  <c r="A116" i="12749"/>
  <c r="A115" i="12749"/>
  <c r="A114" i="12749"/>
  <c r="A113" i="12749"/>
  <c r="A112" i="12749"/>
  <c r="A111" i="12749"/>
  <c r="A110" i="12749"/>
  <c r="A109" i="12749"/>
  <c r="A108" i="12749"/>
  <c r="A107" i="12749"/>
  <c r="A106" i="12749"/>
  <c r="A105" i="12749"/>
  <c r="A104" i="12749"/>
  <c r="A103" i="12749"/>
  <c r="A102" i="12749"/>
  <c r="A101" i="12749"/>
  <c r="A100" i="12749"/>
  <c r="A99" i="12749"/>
  <c r="A98" i="12749"/>
  <c r="A97" i="12749"/>
  <c r="A96" i="12749"/>
  <c r="A95" i="12749"/>
  <c r="A94" i="12749"/>
  <c r="A93" i="12749"/>
  <c r="A92" i="12749"/>
  <c r="A91" i="12749"/>
  <c r="A90" i="12749"/>
  <c r="A89" i="12749"/>
  <c r="A88" i="12749"/>
  <c r="A87" i="12749"/>
  <c r="A86" i="12749"/>
  <c r="A85" i="12749"/>
  <c r="A84" i="12749"/>
  <c r="A83" i="12749"/>
  <c r="A82" i="12749"/>
  <c r="A81" i="12749"/>
  <c r="A80" i="12749"/>
  <c r="A79" i="12749"/>
  <c r="A78" i="12749"/>
  <c r="A77" i="12749"/>
  <c r="A76" i="12749"/>
  <c r="A75" i="12749"/>
  <c r="A74" i="12749"/>
  <c r="A73" i="12749"/>
  <c r="A72" i="12749"/>
  <c r="A71" i="12749"/>
  <c r="A70" i="12749"/>
  <c r="A69" i="12749"/>
  <c r="A68" i="12749"/>
  <c r="A67" i="12749"/>
  <c r="A66" i="12749"/>
  <c r="A65" i="12749"/>
  <c r="A64" i="12749"/>
  <c r="A63" i="12749"/>
  <c r="A62" i="12749"/>
  <c r="A61" i="12749"/>
  <c r="A60" i="12749"/>
  <c r="A59" i="12749"/>
  <c r="A58" i="12749"/>
  <c r="A57" i="12749"/>
  <c r="A56" i="12749"/>
  <c r="A55" i="12749"/>
  <c r="A54" i="12749"/>
  <c r="A53" i="12749"/>
  <c r="A52" i="12749"/>
  <c r="A51" i="12749"/>
  <c r="A50" i="12749"/>
  <c r="A49" i="12749"/>
  <c r="A48" i="12749"/>
  <c r="A47" i="12749"/>
  <c r="A46" i="12749"/>
  <c r="A45" i="12749"/>
  <c r="A44" i="12749"/>
  <c r="A43" i="12749"/>
  <c r="A42" i="12749"/>
  <c r="A41" i="12749"/>
  <c r="A40" i="12749"/>
  <c r="A39" i="12749"/>
  <c r="A38" i="12749"/>
  <c r="A37" i="12749"/>
  <c r="A36" i="12749"/>
  <c r="A35" i="12749"/>
  <c r="A34" i="12749"/>
  <c r="A33" i="12749"/>
  <c r="A32" i="12749"/>
  <c r="A31" i="12749"/>
  <c r="A30" i="12749"/>
  <c r="A29" i="12749"/>
  <c r="A28" i="12749"/>
  <c r="A27" i="12749"/>
  <c r="A26" i="12749"/>
  <c r="A25" i="12749"/>
  <c r="A24" i="12749"/>
  <c r="A23" i="12749"/>
  <c r="A22" i="12749"/>
  <c r="A21" i="12749"/>
  <c r="A20" i="12749"/>
  <c r="A19" i="12749"/>
  <c r="A18" i="12749"/>
  <c r="A17" i="12749"/>
  <c r="A16" i="12749"/>
  <c r="A15" i="12749"/>
  <c r="A14" i="12749"/>
  <c r="A13" i="12749"/>
  <c r="A12" i="12749"/>
  <c r="A11" i="12749"/>
  <c r="A10" i="12749"/>
  <c r="A9" i="12749"/>
  <c r="A8" i="12749"/>
  <c r="A7" i="12749"/>
  <c r="A6" i="12749"/>
  <c r="A5" i="12749"/>
  <c r="A4" i="12749"/>
  <c r="A3" i="12749"/>
  <c r="D5" i="12782"/>
  <c r="E5" i="12782"/>
  <c r="F5" i="12782"/>
  <c r="C5" i="12782"/>
  <c r="B3" i="12750"/>
  <c r="C1503" i="12908" l="1"/>
  <c r="Z1503" i="13034" s="1"/>
  <c r="Z1509" i="13034"/>
  <c r="C1977" i="12908"/>
  <c r="Z1977" i="13034" s="1"/>
  <c r="Z2001" i="13034"/>
  <c r="H1643" i="12908"/>
  <c r="AE1643" i="13034" s="1"/>
  <c r="Z1643" i="13034"/>
  <c r="C1571" i="12908"/>
  <c r="Z1571" i="13034" s="1"/>
  <c r="Z1574" i="13034"/>
  <c r="C1521" i="12908"/>
  <c r="Z1521" i="13034" s="1"/>
  <c r="Z1527" i="13034"/>
  <c r="C1401" i="12908"/>
  <c r="Z1401" i="13034" s="1"/>
  <c r="Z1407" i="13034"/>
  <c r="D276" i="12908"/>
  <c r="AA276" i="13034" s="1"/>
  <c r="Z693" i="13034"/>
  <c r="C898" i="12908"/>
  <c r="Z898" i="13034" s="1"/>
  <c r="Z952" i="13034"/>
  <c r="C1569" i="12908"/>
  <c r="Z1561" i="13034"/>
  <c r="C1502" i="12908"/>
  <c r="Z1502" i="13034" s="1"/>
  <c r="Z1508" i="13034"/>
  <c r="C1422" i="12908"/>
  <c r="Z1422" i="13034" s="1"/>
  <c r="Z1428" i="13034"/>
  <c r="D348" i="12908"/>
  <c r="AA348" i="13034" s="1"/>
  <c r="Z735" i="13034"/>
  <c r="C1421" i="12908"/>
  <c r="Z1421" i="13034" s="1"/>
  <c r="Z1427" i="13034"/>
  <c r="C1591" i="12908"/>
  <c r="Z1591" i="13034" s="1"/>
  <c r="Z1583" i="13034"/>
  <c r="C1522" i="12908"/>
  <c r="Z1522" i="13034" s="1"/>
  <c r="Z1528" i="13034"/>
  <c r="C1402" i="12908"/>
  <c r="Z1402" i="13034" s="1"/>
  <c r="Z1408" i="13034"/>
  <c r="C1424" i="12908"/>
  <c r="Z1424" i="13034" s="1"/>
  <c r="Z1431" i="13034"/>
  <c r="D653" i="12908"/>
  <c r="AA653" i="13034" s="1"/>
  <c r="Z943" i="13034"/>
  <c r="D312" i="12908"/>
  <c r="AA312" i="13034" s="1"/>
  <c r="Z714" i="13034"/>
  <c r="U276" i="12908"/>
  <c r="AR276" i="13034" s="1"/>
  <c r="W276" i="12908"/>
  <c r="U348" i="12908"/>
  <c r="AR348" i="13034" s="1"/>
  <c r="W348" i="12908"/>
  <c r="W653" i="12908"/>
  <c r="W312" i="12908"/>
  <c r="C1425" i="12908"/>
  <c r="Z1425" i="13034" s="1"/>
  <c r="C1525" i="12908"/>
  <c r="Z1525" i="13034" s="1"/>
  <c r="C1523" i="12908"/>
  <c r="Z1523" i="13034" s="1"/>
  <c r="C1565" i="12908"/>
  <c r="Z1565" i="13034" s="1"/>
  <c r="C1547" i="12908"/>
  <c r="Z1547" i="13034" s="1"/>
  <c r="C1585" i="12908"/>
  <c r="Z1585" i="13034" s="1"/>
  <c r="C1595" i="12908"/>
  <c r="Z1595" i="13034" s="1"/>
  <c r="C1540" i="12908"/>
  <c r="Z1540" i="13034" s="1"/>
  <c r="C1593" i="12908"/>
  <c r="Z1593" i="13034" s="1"/>
  <c r="C1573" i="12908"/>
  <c r="Z1573" i="13034" s="1"/>
  <c r="H1574" i="12908"/>
  <c r="AE1574" i="13034" s="1"/>
  <c r="C1423" i="12908"/>
  <c r="C1524" i="12908"/>
  <c r="Z1524" i="13034" s="1"/>
  <c r="I653" i="12908"/>
  <c r="AF653" i="13034" s="1"/>
  <c r="D638" i="12908"/>
  <c r="AA638" i="13034" s="1"/>
  <c r="D554" i="12908"/>
  <c r="AA554" i="13034" s="1"/>
  <c r="D261" i="12908"/>
  <c r="AA261" i="13034" s="1"/>
  <c r="I276" i="12908"/>
  <c r="AF276" i="13034" s="1"/>
  <c r="D240" i="12908"/>
  <c r="AA240" i="13034" s="1"/>
  <c r="D333" i="12908"/>
  <c r="AA333" i="13034" s="1"/>
  <c r="I348" i="12908"/>
  <c r="AF348" i="13034" s="1"/>
  <c r="D297" i="12908"/>
  <c r="AA297" i="13034" s="1"/>
  <c r="I312" i="12908"/>
  <c r="AF312" i="13034" s="1"/>
  <c r="A16" i="12910"/>
  <c r="C1380" i="12908"/>
  <c r="Z1380" i="13034" s="1"/>
  <c r="C1482" i="12908"/>
  <c r="Z1482" i="13034" s="1"/>
  <c r="C1481" i="12908"/>
  <c r="Z1481" i="13034" s="1"/>
  <c r="C20" i="12715"/>
  <c r="C13" i="12858"/>
  <c r="F23" i="12858" s="1"/>
  <c r="G23" i="12858" s="1"/>
  <c r="D206" i="12711"/>
  <c r="J206" i="12711"/>
  <c r="E174" i="12711"/>
  <c r="D207" i="12709"/>
  <c r="I1242" i="12908"/>
  <c r="O5" i="12776"/>
  <c r="O14" i="12776"/>
  <c r="O15" i="12776"/>
  <c r="D67" i="12709"/>
  <c r="H708" i="12908"/>
  <c r="C1988" i="12908"/>
  <c r="C1986" i="12908"/>
  <c r="Z1986" i="13034" s="1"/>
  <c r="C1987" i="12908"/>
  <c r="H956" i="12908"/>
  <c r="AE956" i="13034" s="1"/>
  <c r="H750" i="12908"/>
  <c r="I1368" i="12908"/>
  <c r="AF1368" i="13034" s="1"/>
  <c r="I1284" i="12908"/>
  <c r="AF1284" i="13034" s="1"/>
  <c r="I1769" i="12908"/>
  <c r="AF1769" i="13034" s="1"/>
  <c r="H1051" i="12908"/>
  <c r="H1816" i="12908"/>
  <c r="D944" i="12908"/>
  <c r="AA944" i="13034" s="1"/>
  <c r="C889" i="12908"/>
  <c r="Z889" i="13034" s="1"/>
  <c r="C672" i="12908"/>
  <c r="Z672" i="13034" s="1"/>
  <c r="D694" i="12908"/>
  <c r="AA694" i="13034" s="1"/>
  <c r="D695" i="12908"/>
  <c r="AA695" i="13034" s="1"/>
  <c r="F92" i="12711"/>
  <c r="G69" i="12910" s="1"/>
  <c r="H2012" i="12908"/>
  <c r="AE2012" i="13034" s="1"/>
  <c r="H2059" i="12908"/>
  <c r="AE2059" i="13034" s="1"/>
  <c r="E97" i="12711"/>
  <c r="D1605" i="12908"/>
  <c r="AA1605" i="13034" s="1"/>
  <c r="H1583" i="12908"/>
  <c r="AE1583" i="13034" s="1"/>
  <c r="H1528" i="12908"/>
  <c r="AE1528" i="13034" s="1"/>
  <c r="D736" i="12908"/>
  <c r="AA736" i="13034" s="1"/>
  <c r="D737" i="12908"/>
  <c r="AA737" i="13034" s="1"/>
  <c r="F91" i="12711"/>
  <c r="G68" i="12910" s="1"/>
  <c r="H2060" i="12908"/>
  <c r="AE2060" i="13034" s="1"/>
  <c r="H2035" i="12908"/>
  <c r="AE2035" i="13034" s="1"/>
  <c r="D1604" i="12908"/>
  <c r="H1575" i="12908"/>
  <c r="AE1575" i="13034" s="1"/>
  <c r="H1429" i="12908"/>
  <c r="AE1429" i="13034" s="1"/>
  <c r="H1427" i="12908"/>
  <c r="AE1427" i="13034" s="1"/>
  <c r="D715" i="12908"/>
  <c r="AA715" i="13034" s="1"/>
  <c r="D716" i="12908"/>
  <c r="AA716" i="13034" s="1"/>
  <c r="D1777" i="12908"/>
  <c r="AA1777" i="13034" s="1"/>
  <c r="D1788" i="12908"/>
  <c r="AA1788" i="13034" s="1"/>
  <c r="D1780" i="12908"/>
  <c r="AA1780" i="13034" s="1"/>
  <c r="D1786" i="12908"/>
  <c r="AA1786" i="13034" s="1"/>
  <c r="D1792" i="12908"/>
  <c r="AA1792" i="13034" s="1"/>
  <c r="D1793" i="12908"/>
  <c r="AA1793" i="13034" s="1"/>
  <c r="D1785" i="12908"/>
  <c r="AA1785" i="13034" s="1"/>
  <c r="D1791" i="12908"/>
  <c r="AA1791" i="13034" s="1"/>
  <c r="D1778" i="12908"/>
  <c r="AA1778" i="13034" s="1"/>
  <c r="D1789" i="12908"/>
  <c r="AA1789" i="13034" s="1"/>
  <c r="D1782" i="12908"/>
  <c r="AA1782" i="13034" s="1"/>
  <c r="D1784" i="12908"/>
  <c r="AA1784" i="13034" s="1"/>
  <c r="D1794" i="12908"/>
  <c r="AA1794" i="13034" s="1"/>
  <c r="D1781" i="12908"/>
  <c r="AA1781" i="13034" s="1"/>
  <c r="D1787" i="12908"/>
  <c r="AA1787" i="13034" s="1"/>
  <c r="F90" i="12711"/>
  <c r="G67" i="12910" s="1"/>
  <c r="F25" i="12711"/>
  <c r="D2002" i="12908"/>
  <c r="AA2002" i="13034" s="1"/>
  <c r="D2003" i="12908"/>
  <c r="AA2003" i="13034" s="1"/>
  <c r="H2036" i="12908"/>
  <c r="AE2036" i="13034" s="1"/>
  <c r="H1597" i="12908"/>
  <c r="AE1597" i="13034" s="1"/>
  <c r="H1527" i="12908"/>
  <c r="AE1527" i="13034" s="1"/>
  <c r="H1420" i="12908"/>
  <c r="AE1420" i="13034" s="1"/>
  <c r="D1680" i="12908"/>
  <c r="AA1680" i="13034" s="1"/>
  <c r="D1697" i="12908"/>
  <c r="AA1697" i="13034" s="1"/>
  <c r="D1663" i="12908"/>
  <c r="AA1663" i="13034" s="1"/>
  <c r="D1662" i="12908"/>
  <c r="AA1662" i="13034" s="1"/>
  <c r="D1664" i="12908"/>
  <c r="AA1664" i="13034" s="1"/>
  <c r="D1661" i="12908"/>
  <c r="AA1661" i="13034" s="1"/>
  <c r="D1678" i="12908"/>
  <c r="AA1678" i="13034" s="1"/>
  <c r="D1692" i="12908"/>
  <c r="AA1692" i="13034" s="1"/>
  <c r="D1685" i="12908"/>
  <c r="AA1685" i="13034" s="1"/>
  <c r="D1700" i="12908"/>
  <c r="AA1700" i="13034" s="1"/>
  <c r="D1691" i="12908"/>
  <c r="AA1691" i="13034" s="1"/>
  <c r="D1667" i="12908"/>
  <c r="AA1667" i="13034" s="1"/>
  <c r="D1687" i="12908"/>
  <c r="AA1687" i="13034" s="1"/>
  <c r="D1676" i="12908"/>
  <c r="AA1676" i="13034" s="1"/>
  <c r="D1703" i="12908"/>
  <c r="AA1703" i="13034" s="1"/>
  <c r="D1669" i="12908"/>
  <c r="AA1669" i="13034" s="1"/>
  <c r="D1684" i="12908"/>
  <c r="AA1684" i="13034" s="1"/>
  <c r="D1690" i="12908"/>
  <c r="AA1690" i="13034" s="1"/>
  <c r="D1670" i="12908"/>
  <c r="AA1670" i="13034" s="1"/>
  <c r="D1694" i="12908"/>
  <c r="AA1694" i="13034" s="1"/>
  <c r="D1683" i="12908"/>
  <c r="AA1683" i="13034" s="1"/>
  <c r="D1709" i="12908"/>
  <c r="AA1709" i="13034" s="1"/>
  <c r="D1673" i="12908"/>
  <c r="AA1673" i="13034" s="1"/>
  <c r="D1701" i="12908"/>
  <c r="AA1701" i="13034" s="1"/>
  <c r="D1688" i="12908"/>
  <c r="AA1688" i="13034" s="1"/>
  <c r="D1698" i="12908"/>
  <c r="AA1698" i="13034" s="1"/>
  <c r="D1705" i="12908"/>
  <c r="AA1705" i="13034" s="1"/>
  <c r="D1671" i="12908"/>
  <c r="AA1671" i="13034" s="1"/>
  <c r="D1695" i="12908"/>
  <c r="AA1695" i="13034" s="1"/>
  <c r="D1689" i="12908"/>
  <c r="AA1689" i="13034" s="1"/>
  <c r="D1675" i="12908"/>
  <c r="AA1675" i="13034" s="1"/>
  <c r="D1702" i="12908"/>
  <c r="AA1702" i="13034" s="1"/>
  <c r="D1668" i="12908"/>
  <c r="AA1668" i="13034" s="1"/>
  <c r="D1679" i="12908"/>
  <c r="AA1679" i="13034" s="1"/>
  <c r="D1682" i="12908"/>
  <c r="AA1682" i="13034" s="1"/>
  <c r="D1707" i="12908"/>
  <c r="AA1707" i="13034" s="1"/>
  <c r="D1672" i="12908"/>
  <c r="AA1672" i="13034" s="1"/>
  <c r="D1696" i="12908"/>
  <c r="AA1696" i="13034" s="1"/>
  <c r="D1677" i="12908"/>
  <c r="AA1677" i="13034" s="1"/>
  <c r="D1704" i="12908"/>
  <c r="AA1704" i="13034" s="1"/>
  <c r="D1666" i="12908"/>
  <c r="AA1666" i="13034" s="1"/>
  <c r="D1686" i="12908"/>
  <c r="AA1686" i="13034" s="1"/>
  <c r="D1674" i="12908"/>
  <c r="AA1674" i="13034" s="1"/>
  <c r="F57" i="12711"/>
  <c r="H2011" i="12908"/>
  <c r="AE2011" i="13034" s="1"/>
  <c r="D1642" i="12908"/>
  <c r="H1596" i="12908"/>
  <c r="AE1596" i="13034" s="1"/>
  <c r="H1520" i="12908"/>
  <c r="AE1520" i="13034" s="1"/>
  <c r="H1428" i="12908"/>
  <c r="AE1428" i="13034" s="1"/>
  <c r="H714" i="12908"/>
  <c r="AE714" i="13034" s="1"/>
  <c r="F18" i="12711"/>
  <c r="F83" i="12711"/>
  <c r="E83" i="12711" s="1"/>
  <c r="G15" i="12852"/>
  <c r="I23" i="12711"/>
  <c r="I180" i="12711" s="1"/>
  <c r="L73" i="12852"/>
  <c r="R141" i="12709"/>
  <c r="H1530" i="12908"/>
  <c r="AE1530" i="13034" s="1"/>
  <c r="C1490" i="12908"/>
  <c r="Z1490" i="13034" s="1"/>
  <c r="H1508" i="12908"/>
  <c r="AE1508" i="13034" s="1"/>
  <c r="C1487" i="12908"/>
  <c r="F56" i="12711"/>
  <c r="C1479" i="12908"/>
  <c r="Z1479" i="13034" s="1"/>
  <c r="H1509" i="12908"/>
  <c r="AE1509" i="13034" s="1"/>
  <c r="C1488" i="12908"/>
  <c r="Z1488" i="13034" s="1"/>
  <c r="H1529" i="12908"/>
  <c r="AE1529" i="13034" s="1"/>
  <c r="C1489" i="12908"/>
  <c r="Z1489" i="13034" s="1"/>
  <c r="H1795" i="12908"/>
  <c r="H1531" i="12908"/>
  <c r="AE1531" i="13034" s="1"/>
  <c r="C1491" i="12908"/>
  <c r="Z1491" i="13034" s="1"/>
  <c r="H1501" i="12908"/>
  <c r="AE1501" i="13034" s="1"/>
  <c r="C1480" i="12908"/>
  <c r="L9" i="12856"/>
  <c r="P78" i="12711"/>
  <c r="P155" i="12711"/>
  <c r="D181" i="12709"/>
  <c r="D42" i="12711"/>
  <c r="K35" i="12852"/>
  <c r="L35" i="12852" s="1"/>
  <c r="R101" i="12709"/>
  <c r="H1710" i="12908"/>
  <c r="AE1710" i="13034" s="1"/>
  <c r="C1385" i="12908"/>
  <c r="H1407" i="12908"/>
  <c r="AE1407" i="13034" s="1"/>
  <c r="C1378" i="12908"/>
  <c r="H1400" i="12908"/>
  <c r="AE1400" i="13034" s="1"/>
  <c r="H1408" i="12908"/>
  <c r="AE1408" i="13034" s="1"/>
  <c r="C1386" i="12908"/>
  <c r="Z1386" i="13034" s="1"/>
  <c r="H1431" i="12908"/>
  <c r="AE1431" i="13034" s="1"/>
  <c r="C1389" i="12908"/>
  <c r="Z1389" i="13034" s="1"/>
  <c r="H1409" i="12908"/>
  <c r="AE1409" i="13034" s="1"/>
  <c r="C1387" i="12908"/>
  <c r="H1561" i="12908"/>
  <c r="AE1561" i="13034" s="1"/>
  <c r="C1539" i="12908"/>
  <c r="Z1539" i="13034" s="1"/>
  <c r="H1432" i="12908"/>
  <c r="AE1432" i="13034" s="1"/>
  <c r="C1390" i="12908"/>
  <c r="Z1390" i="13034" s="1"/>
  <c r="H1430" i="12908"/>
  <c r="AE1430" i="13034" s="1"/>
  <c r="C1388" i="12908"/>
  <c r="Z1388" i="13034" s="1"/>
  <c r="D176" i="12711"/>
  <c r="D177" i="12709"/>
  <c r="D120" i="12709"/>
  <c r="D133" i="12709" s="1"/>
  <c r="D187" i="12709"/>
  <c r="D173" i="12711"/>
  <c r="D174" i="12709"/>
  <c r="G76" i="12910"/>
  <c r="D179" i="12711"/>
  <c r="D180" i="12709"/>
  <c r="D102" i="12711"/>
  <c r="D115" i="12711" s="1"/>
  <c r="P131" i="12711"/>
  <c r="P154" i="12711"/>
  <c r="I95" i="12711"/>
  <c r="I194" i="12711" s="1"/>
  <c r="H952" i="12908"/>
  <c r="AE952" i="13034" s="1"/>
  <c r="F88" i="12711"/>
  <c r="H2058" i="12908"/>
  <c r="AE2058" i="13034" s="1"/>
  <c r="E49" i="12711"/>
  <c r="E177" i="12711" s="1"/>
  <c r="H2010" i="12908"/>
  <c r="AE2010" i="13034" s="1"/>
  <c r="E26" i="12711"/>
  <c r="H2034" i="12908"/>
  <c r="AE2034" i="13034" s="1"/>
  <c r="E61" i="12711"/>
  <c r="H1605" i="12908"/>
  <c r="AE1605" i="13034" s="1"/>
  <c r="E54" i="12711"/>
  <c r="E182" i="12711" s="1"/>
  <c r="D143" i="12709"/>
  <c r="D156" i="12709" s="1"/>
  <c r="P83" i="12711"/>
  <c r="D102" i="12709"/>
  <c r="D143" i="12711"/>
  <c r="D156" i="12711" s="1"/>
  <c r="D67" i="12711"/>
  <c r="D80" i="12711" s="1"/>
  <c r="P45" i="12711"/>
  <c r="P173" i="12711" s="1"/>
  <c r="P132" i="12711"/>
  <c r="T132" i="12711" s="1"/>
  <c r="P113" i="12711"/>
  <c r="P114" i="12711"/>
  <c r="P86" i="12711"/>
  <c r="P88" i="12711"/>
  <c r="P51" i="12711"/>
  <c r="P79" i="12711"/>
  <c r="T79" i="12711" s="1"/>
  <c r="P40" i="12711"/>
  <c r="F40" i="12709"/>
  <c r="F78" i="12709"/>
  <c r="Q78" i="12709" s="1"/>
  <c r="H1604" i="12908"/>
  <c r="AE1604" i="13034" s="1"/>
  <c r="H1018" i="12908"/>
  <c r="AE1018" i="13034" s="1"/>
  <c r="C1927" i="12908"/>
  <c r="Z1927" i="13034" s="1"/>
  <c r="C1879" i="12908"/>
  <c r="C1863" i="12908"/>
  <c r="Z1863" i="13034" s="1"/>
  <c r="C1921" i="12908"/>
  <c r="Z1921" i="13034" s="1"/>
  <c r="C1919" i="12908"/>
  <c r="Z1919" i="13034" s="1"/>
  <c r="C1930" i="12908"/>
  <c r="Z1930" i="13034" s="1"/>
  <c r="C1878" i="12908"/>
  <c r="Z1878" i="13034" s="1"/>
  <c r="C1862" i="12908"/>
  <c r="Z1862" i="13034" s="1"/>
  <c r="H1019" i="12908"/>
  <c r="AE1019" i="13034" s="1"/>
  <c r="J16" i="12776"/>
  <c r="C1920" i="12908"/>
  <c r="Z1920" i="13034" s="1"/>
  <c r="C1922" i="12908"/>
  <c r="Z1922" i="13034" s="1"/>
  <c r="C1870" i="12908"/>
  <c r="Z1870" i="13034" s="1"/>
  <c r="C8" i="12762"/>
  <c r="C10" i="12762" s="1"/>
  <c r="E7" i="12750"/>
  <c r="C1871" i="12908"/>
  <c r="Z1871" i="13034" s="1"/>
  <c r="C1929" i="12908"/>
  <c r="Z1929" i="13034" s="1"/>
  <c r="C1928" i="12908"/>
  <c r="Z1928" i="13034" s="1"/>
  <c r="G85" i="12910"/>
  <c r="H943" i="12908"/>
  <c r="AE943" i="13034" s="1"/>
  <c r="P48" i="12711"/>
  <c r="C1377" i="12908"/>
  <c r="Z1377" i="13034" s="1"/>
  <c r="F53" i="12711"/>
  <c r="F118" i="12711"/>
  <c r="F186" i="12711" s="1"/>
  <c r="F45" i="12711"/>
  <c r="D191" i="12709"/>
  <c r="P139" i="12711"/>
  <c r="P190" i="12711" s="1"/>
  <c r="D189" i="12709"/>
  <c r="P137" i="12711"/>
  <c r="P188" i="12711" s="1"/>
  <c r="P118" i="12711"/>
  <c r="P186" i="12711" s="1"/>
  <c r="D190" i="12709"/>
  <c r="P138" i="12711"/>
  <c r="P189" i="12711" s="1"/>
  <c r="D192" i="12709"/>
  <c r="P140" i="12711"/>
  <c r="P191" i="12711" s="1"/>
  <c r="P136" i="12711"/>
  <c r="P180" i="12711" s="1"/>
  <c r="Q41" i="12709"/>
  <c r="P41" i="12711"/>
  <c r="T41" i="12711" s="1"/>
  <c r="H6" i="12750"/>
  <c r="W186" i="12711"/>
  <c r="Q155" i="12709"/>
  <c r="I155" i="12709"/>
  <c r="L155" i="12709" s="1"/>
  <c r="Q132" i="12709"/>
  <c r="I132" i="12709"/>
  <c r="L132" i="12709" s="1"/>
  <c r="R113" i="12709"/>
  <c r="Q114" i="12709"/>
  <c r="Q79" i="12709"/>
  <c r="I79" i="12709"/>
  <c r="L79" i="12709" s="1"/>
  <c r="F139" i="12711"/>
  <c r="F190" i="12711" s="1"/>
  <c r="F137" i="12711"/>
  <c r="F188" i="12711" s="1"/>
  <c r="F138" i="12711"/>
  <c r="F189" i="12711" s="1"/>
  <c r="F140" i="12711"/>
  <c r="F191" i="12711" s="1"/>
  <c r="R78" i="12709"/>
  <c r="H969" i="12908"/>
  <c r="AE969" i="13034" s="1"/>
  <c r="H1020" i="12908"/>
  <c r="AE1020" i="13034" s="1"/>
  <c r="F113" i="12709"/>
  <c r="Q113" i="12709" s="1"/>
  <c r="D42" i="12709"/>
  <c r="P76" i="12711"/>
  <c r="P129" i="12711"/>
  <c r="D9" i="12773"/>
  <c r="E55" i="12852" s="1"/>
  <c r="F55" i="12852" s="1"/>
  <c r="H971" i="12908"/>
  <c r="AE971" i="13034" s="1"/>
  <c r="G83" i="12910"/>
  <c r="H735" i="12908"/>
  <c r="AE735" i="13034" s="1"/>
  <c r="H1642" i="12908"/>
  <c r="AE1642" i="13034" s="1"/>
  <c r="E101" i="12711"/>
  <c r="E203" i="12711" s="1"/>
  <c r="C1538" i="12908"/>
  <c r="Z1538" i="13034" s="1"/>
  <c r="E60" i="12711"/>
  <c r="R131" i="12709"/>
  <c r="R41" i="12709"/>
  <c r="R132" i="12709"/>
  <c r="F154" i="12709"/>
  <c r="Q154" i="12709" s="1"/>
  <c r="R154" i="12709"/>
  <c r="R40" i="12709"/>
  <c r="R155" i="12709"/>
  <c r="R114" i="12709"/>
  <c r="R79" i="12709"/>
  <c r="I8" i="12750"/>
  <c r="F69" i="12852"/>
  <c r="C1553" i="12908"/>
  <c r="Z1553" i="13034" s="1"/>
  <c r="C1552" i="12908"/>
  <c r="Z1552" i="13034" s="1"/>
  <c r="F51" i="12711"/>
  <c r="H2001" i="12908"/>
  <c r="AE2001" i="13034" s="1"/>
  <c r="G16" i="12776"/>
  <c r="G18" i="12776" s="1"/>
  <c r="I16" i="12776"/>
  <c r="I18" i="12776" s="1"/>
  <c r="F16" i="12776"/>
  <c r="F18" i="12776" s="1"/>
  <c r="E16" i="12776"/>
  <c r="E18" i="12776" s="1"/>
  <c r="D16" i="12776"/>
  <c r="D18" i="12776" s="1"/>
  <c r="H92" i="12760"/>
  <c r="H94" i="12760" s="1"/>
  <c r="H693" i="12908"/>
  <c r="AE693" i="13034" s="1"/>
  <c r="D64" i="12852"/>
  <c r="E206" i="12711"/>
  <c r="F136" i="12711"/>
  <c r="F180" i="12711" s="1"/>
  <c r="H12" i="12908"/>
  <c r="AE12" i="13034" s="1"/>
  <c r="F4" i="12852"/>
  <c r="G4" i="12852" s="1"/>
  <c r="E6" i="12750"/>
  <c r="C11" i="12750"/>
  <c r="F33" i="12852"/>
  <c r="G33" i="12852" s="1"/>
  <c r="F39" i="12852"/>
  <c r="G39" i="12852" s="1"/>
  <c r="F11" i="12750"/>
  <c r="E12" i="12711"/>
  <c r="E167" i="12711" s="1"/>
  <c r="F10" i="12852"/>
  <c r="P38" i="12711"/>
  <c r="H114" i="12709"/>
  <c r="Q114" i="12711" s="1"/>
  <c r="K58" i="12852"/>
  <c r="L58" i="12852" s="1"/>
  <c r="H1519" i="12908"/>
  <c r="AE1519" i="13034" s="1"/>
  <c r="H1419" i="12908"/>
  <c r="AE1419" i="13034" s="1"/>
  <c r="W118" i="12711"/>
  <c r="H1560" i="12908"/>
  <c r="AE1560" i="13034" s="1"/>
  <c r="H1500" i="12908"/>
  <c r="AE1500" i="13034" s="1"/>
  <c r="H1017" i="12908"/>
  <c r="AE1017" i="13034" s="1"/>
  <c r="F48" i="12711"/>
  <c r="H1041" i="12908"/>
  <c r="AE1041" i="13034" s="1"/>
  <c r="F86" i="12711"/>
  <c r="K39" i="12852"/>
  <c r="L39" i="12852" s="1"/>
  <c r="H1399" i="12908"/>
  <c r="AE1399" i="13034" s="1"/>
  <c r="H1582" i="12908"/>
  <c r="AE1582" i="13034" s="1"/>
  <c r="F34" i="12852"/>
  <c r="F74" i="12852"/>
  <c r="K7" i="12852"/>
  <c r="E15" i="12709" s="1"/>
  <c r="E171" i="12709" s="1"/>
  <c r="H2504" i="12908"/>
  <c r="AE2504" i="13034" s="1"/>
  <c r="F72" i="12852"/>
  <c r="G72" i="12852" s="1"/>
  <c r="F36" i="12852"/>
  <c r="I60" i="12711" s="1"/>
  <c r="I195" i="12711" s="1"/>
  <c r="I10" i="12750"/>
  <c r="F28" i="12852"/>
  <c r="F22" i="12852"/>
  <c r="I9" i="12750"/>
  <c r="B20" i="12715"/>
  <c r="D20" i="12715" s="1"/>
  <c r="E99" i="12711"/>
  <c r="E201" i="12711" s="1"/>
  <c r="F29" i="12852"/>
  <c r="G29" i="12852" s="1"/>
  <c r="F51" i="12852"/>
  <c r="G51" i="12852" s="1"/>
  <c r="H16" i="12776"/>
  <c r="C1613" i="12908"/>
  <c r="Z1613" i="13034" s="1"/>
  <c r="H9" i="12750"/>
  <c r="F25" i="12852"/>
  <c r="I48" i="12711" s="1"/>
  <c r="H8" i="12750"/>
  <c r="E9" i="12750"/>
  <c r="F49" i="12852"/>
  <c r="F52" i="12852"/>
  <c r="G52" i="12852" s="1"/>
  <c r="K53" i="12852"/>
  <c r="E93" i="12709" s="1"/>
  <c r="K54" i="12852"/>
  <c r="L54" i="12852" s="1"/>
  <c r="K36" i="12852"/>
  <c r="E60" i="12709" s="1"/>
  <c r="J55" i="12852"/>
  <c r="H1609" i="12908"/>
  <c r="AE1609" i="13034" s="1"/>
  <c r="C1651" i="12908"/>
  <c r="K33" i="12852"/>
  <c r="L33" i="12852" s="1"/>
  <c r="F32" i="12852"/>
  <c r="G32" i="12852" s="1"/>
  <c r="K32" i="12852"/>
  <c r="L32" i="12852" s="1"/>
  <c r="K29" i="12852"/>
  <c r="F27" i="12852"/>
  <c r="G27" i="12852" s="1"/>
  <c r="K5" i="12852"/>
  <c r="E13" i="12709" s="1"/>
  <c r="E169" i="12709" s="1"/>
  <c r="H10" i="12750"/>
  <c r="D11" i="12750"/>
  <c r="L4" i="12856" s="1"/>
  <c r="F71" i="12852"/>
  <c r="G71" i="12852" s="1"/>
  <c r="F131" i="12709"/>
  <c r="Q131" i="12709" s="1"/>
  <c r="F7" i="12852"/>
  <c r="G7" i="12852" s="1"/>
  <c r="E10" i="12750"/>
  <c r="F56" i="12852"/>
  <c r="F50" i="12852"/>
  <c r="G50" i="12852" s="1"/>
  <c r="F44" i="12852"/>
  <c r="P16" i="12761"/>
  <c r="P17" i="12761" s="1"/>
  <c r="P15" i="12761"/>
  <c r="C1607" i="12908"/>
  <c r="Z1607" i="13034" s="1"/>
  <c r="H1614" i="12908"/>
  <c r="AE1614" i="13034" s="1"/>
  <c r="C1645" i="12908"/>
  <c r="Z1645" i="13034" s="1"/>
  <c r="H1647" i="12908"/>
  <c r="AE1647" i="13034" s="1"/>
  <c r="C1732" i="12908"/>
  <c r="Z1732" i="13034" s="1"/>
  <c r="G11" i="12750"/>
  <c r="K4" i="12856" s="1"/>
  <c r="K17" i="12856" s="1"/>
  <c r="C16" i="12776"/>
  <c r="C18" i="12776" s="1"/>
  <c r="K34" i="12852"/>
  <c r="E58" i="12709" s="1"/>
  <c r="K74" i="12852"/>
  <c r="L74" i="12852" s="1"/>
  <c r="E8" i="12750"/>
  <c r="F53" i="12852"/>
  <c r="F54" i="12852"/>
  <c r="G54" i="12852" s="1"/>
  <c r="F58" i="12852"/>
  <c r="G58" i="12852" s="1"/>
  <c r="H1721" i="12908"/>
  <c r="AE1721" i="13034" s="1"/>
  <c r="H935" i="12908"/>
  <c r="AE935" i="13034" s="1"/>
  <c r="I41" i="12709"/>
  <c r="L41" i="12709" s="1"/>
  <c r="H2646" i="12908"/>
  <c r="AE2646" i="13034" s="1"/>
  <c r="H7" i="12750"/>
  <c r="F68" i="12852"/>
  <c r="G68" i="12852" s="1"/>
  <c r="F48" i="12852"/>
  <c r="G48" i="12852" s="1"/>
  <c r="K56" i="12852"/>
  <c r="E96" i="12709" s="1"/>
  <c r="K52" i="12852"/>
  <c r="L52" i="12852" s="1"/>
  <c r="K50" i="12852"/>
  <c r="L50" i="12852" s="1"/>
  <c r="F46" i="12852"/>
  <c r="I86" i="12711" s="1"/>
  <c r="K10" i="12852"/>
  <c r="K28" i="12852"/>
  <c r="H1769" i="12908"/>
  <c r="C1615" i="12908"/>
  <c r="Z1615" i="13034" s="1"/>
  <c r="H1480" i="12908" l="1"/>
  <c r="AE1480" i="13034" s="1"/>
  <c r="Z1480" i="13034"/>
  <c r="H1797" i="12908"/>
  <c r="AE1797" i="13034" s="1"/>
  <c r="AE1795" i="13034"/>
  <c r="H1987" i="12908"/>
  <c r="AE1987" i="13034" s="1"/>
  <c r="Z1987" i="13034"/>
  <c r="I1245" i="12908"/>
  <c r="AF1242" i="13034"/>
  <c r="U653" i="12908"/>
  <c r="AR653" i="13034" s="1"/>
  <c r="AT276" i="13034"/>
  <c r="AI276" i="13015"/>
  <c r="H1771" i="12908"/>
  <c r="AE1771" i="13034" s="1"/>
  <c r="AE1769" i="13034"/>
  <c r="H1879" i="12908"/>
  <c r="AE1879" i="13034" s="1"/>
  <c r="Z1879" i="13034"/>
  <c r="H1378" i="12908"/>
  <c r="AE1378" i="13034" s="1"/>
  <c r="Z1378" i="13034"/>
  <c r="AA1642" i="13034"/>
  <c r="N8" i="12782"/>
  <c r="AE1816" i="13034"/>
  <c r="AT653" i="13034"/>
  <c r="AI653" i="13015"/>
  <c r="H1387" i="12908"/>
  <c r="AE1387" i="13034" s="1"/>
  <c r="Z1387" i="13034"/>
  <c r="K86" i="12709"/>
  <c r="AE1051" i="13034"/>
  <c r="K83" i="12709"/>
  <c r="AE750" i="13034"/>
  <c r="H1988" i="12908"/>
  <c r="AE1988" i="13034" s="1"/>
  <c r="Z1988" i="13034"/>
  <c r="C1381" i="12908"/>
  <c r="Z1381" i="13034" s="1"/>
  <c r="Z1423" i="13034"/>
  <c r="U312" i="12908"/>
  <c r="AR312" i="13034" s="1"/>
  <c r="AT348" i="13034"/>
  <c r="AI348" i="13015"/>
  <c r="H1651" i="12908"/>
  <c r="AE1651" i="13034" s="1"/>
  <c r="Z1651" i="13034"/>
  <c r="H1385" i="12908"/>
  <c r="AE1385" i="13034" s="1"/>
  <c r="Z1385" i="13034"/>
  <c r="H1487" i="12908"/>
  <c r="AE1487" i="13034" s="1"/>
  <c r="Z1487" i="13034"/>
  <c r="AA1604" i="13034"/>
  <c r="G38" i="13016"/>
  <c r="G38" i="12989"/>
  <c r="K18" i="12709"/>
  <c r="AE708" i="13034"/>
  <c r="AT312" i="13034"/>
  <c r="AI312" i="13015"/>
  <c r="C1563" i="12908"/>
  <c r="Z1563" i="13034" s="1"/>
  <c r="Z1569" i="13034"/>
  <c r="C1914" i="12908"/>
  <c r="Z1914" i="13034" s="1"/>
  <c r="G38" i="13005"/>
  <c r="U554" i="12908"/>
  <c r="AR554" i="13034" s="1"/>
  <c r="W554" i="12908"/>
  <c r="W715" i="12908"/>
  <c r="U715" i="12908"/>
  <c r="AR715" i="13034" s="1"/>
  <c r="U737" i="12908"/>
  <c r="AR737" i="13034" s="1"/>
  <c r="W737" i="12908"/>
  <c r="U240" i="12908"/>
  <c r="AR240" i="13034" s="1"/>
  <c r="W240" i="12908"/>
  <c r="W638" i="12908"/>
  <c r="U638" i="12908"/>
  <c r="AR638" i="13034" s="1"/>
  <c r="W716" i="12908"/>
  <c r="U716" i="12908"/>
  <c r="AR716" i="13034" s="1"/>
  <c r="W333" i="12908"/>
  <c r="U333" i="12908"/>
  <c r="AR333" i="13034" s="1"/>
  <c r="W736" i="12908"/>
  <c r="U736" i="12908"/>
  <c r="AR736" i="13034" s="1"/>
  <c r="W695" i="12908"/>
  <c r="U695" i="12908"/>
  <c r="AR695" i="13034" s="1"/>
  <c r="U944" i="12908"/>
  <c r="AR944" i="13034" s="1"/>
  <c r="W944" i="12908"/>
  <c r="U297" i="12908"/>
  <c r="AR297" i="13034" s="1"/>
  <c r="W297" i="12908"/>
  <c r="U694" i="12908"/>
  <c r="AR694" i="13034" s="1"/>
  <c r="W694" i="12908"/>
  <c r="W261" i="12908"/>
  <c r="U261" i="12908"/>
  <c r="AR261" i="13034" s="1"/>
  <c r="W1642" i="12908"/>
  <c r="U1642" i="12908"/>
  <c r="AR1642" i="13034" s="1"/>
  <c r="C1567" i="12908"/>
  <c r="Z1567" i="13034" s="1"/>
  <c r="C1526" i="12908"/>
  <c r="Z1526" i="13034" s="1"/>
  <c r="C1908" i="12908"/>
  <c r="Z1908" i="13034" s="1"/>
  <c r="C1483" i="12908"/>
  <c r="Z1483" i="13034" s="1"/>
  <c r="C1426" i="12908"/>
  <c r="C1484" i="12908"/>
  <c r="Z1484" i="13034" s="1"/>
  <c r="C1549" i="12908"/>
  <c r="Z1549" i="13034" s="1"/>
  <c r="C1587" i="12908"/>
  <c r="C1904" i="12908"/>
  <c r="Z1904" i="13034" s="1"/>
  <c r="C1541" i="12908"/>
  <c r="Z1541" i="13034" s="1"/>
  <c r="C1551" i="12908"/>
  <c r="Z1551" i="13034" s="1"/>
  <c r="H1539" i="12908"/>
  <c r="AE1539" i="13034" s="1"/>
  <c r="H1577" i="12908"/>
  <c r="H1553" i="12908"/>
  <c r="AE1553" i="13034" s="1"/>
  <c r="F185" i="12711"/>
  <c r="C1485" i="12908"/>
  <c r="Z1485" i="13034" s="1"/>
  <c r="C1382" i="12908"/>
  <c r="Z1382" i="13034" s="1"/>
  <c r="I554" i="12908"/>
  <c r="AF554" i="13034" s="1"/>
  <c r="D539" i="12908"/>
  <c r="AA539" i="13034" s="1"/>
  <c r="I240" i="12908"/>
  <c r="AF240" i="13034" s="1"/>
  <c r="D225" i="12908"/>
  <c r="AA225" i="13034" s="1"/>
  <c r="A17" i="12910"/>
  <c r="H1927" i="12908"/>
  <c r="AE1927" i="13034" s="1"/>
  <c r="H1986" i="12908"/>
  <c r="AE1986" i="13034" s="1"/>
  <c r="C1379" i="12908"/>
  <c r="Z1379" i="13034" s="1"/>
  <c r="C1383" i="12908"/>
  <c r="Z1383" i="13034" s="1"/>
  <c r="H1386" i="12908"/>
  <c r="AE1386" i="13034" s="1"/>
  <c r="H1488" i="12908"/>
  <c r="AE1488" i="13034" s="1"/>
  <c r="F94" i="12711"/>
  <c r="P176" i="12711"/>
  <c r="E196" i="12709"/>
  <c r="I176" i="12711"/>
  <c r="E193" i="12709"/>
  <c r="R193" i="12709" s="1"/>
  <c r="F207" i="12709"/>
  <c r="P179" i="12711"/>
  <c r="D1919" i="12908"/>
  <c r="F179" i="12711"/>
  <c r="I83" i="12910"/>
  <c r="E196" i="12711"/>
  <c r="F176" i="12711"/>
  <c r="F181" i="12711"/>
  <c r="G45" i="12910"/>
  <c r="F184" i="12711"/>
  <c r="E18" i="12711"/>
  <c r="F173" i="12711"/>
  <c r="G26" i="12910"/>
  <c r="F195" i="12711"/>
  <c r="O16" i="12776"/>
  <c r="I77" i="12910"/>
  <c r="I715" i="12908"/>
  <c r="AF715" i="13034" s="1"/>
  <c r="I695" i="12908"/>
  <c r="AF695" i="13034" s="1"/>
  <c r="I1661" i="12908"/>
  <c r="AF1661" i="13034" s="1"/>
  <c r="I694" i="12908"/>
  <c r="AF694" i="13034" s="1"/>
  <c r="I1604" i="12908"/>
  <c r="AF1604" i="13034" s="1"/>
  <c r="I716" i="12908"/>
  <c r="AF716" i="13034" s="1"/>
  <c r="T114" i="12711"/>
  <c r="H2674" i="12908"/>
  <c r="AE2674" i="13034" s="1"/>
  <c r="N155" i="12709"/>
  <c r="M155" i="12709" s="1"/>
  <c r="M207" i="12709" s="1"/>
  <c r="H2670" i="12908"/>
  <c r="AE2670" i="13034" s="1"/>
  <c r="N41" i="12709"/>
  <c r="H2671" i="12908"/>
  <c r="AE2671" i="13034" s="1"/>
  <c r="N79" i="12709"/>
  <c r="H2673" i="12908"/>
  <c r="AE2673" i="13034" s="1"/>
  <c r="N132" i="12709"/>
  <c r="H2019" i="12908"/>
  <c r="H2067" i="12908"/>
  <c r="H1414" i="12908"/>
  <c r="I1672" i="12908"/>
  <c r="AF1672" i="13034" s="1"/>
  <c r="I1695" i="12908"/>
  <c r="AF1695" i="13034" s="1"/>
  <c r="I1688" i="12908"/>
  <c r="AF1688" i="13034" s="1"/>
  <c r="I1684" i="12908"/>
  <c r="AF1684" i="13034" s="1"/>
  <c r="I1685" i="12908"/>
  <c r="AF1685" i="13034" s="1"/>
  <c r="I1697" i="12908"/>
  <c r="AF1697" i="13034" s="1"/>
  <c r="D1978" i="12908"/>
  <c r="AA1978" i="13034" s="1"/>
  <c r="I2002" i="12908"/>
  <c r="AF2002" i="13034" s="1"/>
  <c r="I1785" i="12908"/>
  <c r="AF1785" i="13034" s="1"/>
  <c r="I736" i="12908"/>
  <c r="AF736" i="13034" s="1"/>
  <c r="I1287" i="12908"/>
  <c r="H1599" i="12908"/>
  <c r="I1704" i="12908"/>
  <c r="AF1704" i="13034" s="1"/>
  <c r="I1707" i="12908"/>
  <c r="AF1707" i="13034" s="1"/>
  <c r="I1702" i="12908"/>
  <c r="AF1702" i="13034" s="1"/>
  <c r="I1671" i="12908"/>
  <c r="AF1671" i="13034" s="1"/>
  <c r="I1701" i="12908"/>
  <c r="AF1701" i="13034" s="1"/>
  <c r="I1694" i="12908"/>
  <c r="AF1694" i="13034" s="1"/>
  <c r="I1669" i="12908"/>
  <c r="AF1669" i="13034" s="1"/>
  <c r="I1667" i="12908"/>
  <c r="AF1667" i="13034" s="1"/>
  <c r="I1692" i="12908"/>
  <c r="AF1692" i="13034" s="1"/>
  <c r="I1662" i="12908"/>
  <c r="AF1662" i="13034" s="1"/>
  <c r="I1680" i="12908"/>
  <c r="AF1680" i="13034" s="1"/>
  <c r="I1781" i="12908"/>
  <c r="AF1781" i="13034" s="1"/>
  <c r="I1789" i="12908"/>
  <c r="AF1789" i="13034" s="1"/>
  <c r="I1793" i="12908"/>
  <c r="AF1793" i="13034" s="1"/>
  <c r="I1788" i="12908"/>
  <c r="AF1788" i="13034" s="1"/>
  <c r="I1371" i="12908"/>
  <c r="I1666" i="12908"/>
  <c r="AF1666" i="13034" s="1"/>
  <c r="I1668" i="12908"/>
  <c r="AF1668" i="13034" s="1"/>
  <c r="I1683" i="12908"/>
  <c r="AF1683" i="13034" s="1"/>
  <c r="I1687" i="12908"/>
  <c r="AF1687" i="13034" s="1"/>
  <c r="I1664" i="12908"/>
  <c r="AF1664" i="13034" s="1"/>
  <c r="I1787" i="12908"/>
  <c r="AF1787" i="13034" s="1"/>
  <c r="I1782" i="12908"/>
  <c r="AF1782" i="13034" s="1"/>
  <c r="I1780" i="12908"/>
  <c r="AF1780" i="13034" s="1"/>
  <c r="I1605" i="12908"/>
  <c r="AF1605" i="13034" s="1"/>
  <c r="H1714" i="12908"/>
  <c r="I1642" i="12908"/>
  <c r="AF1642" i="13034" s="1"/>
  <c r="I1674" i="12908"/>
  <c r="AF1674" i="13034" s="1"/>
  <c r="I1677" i="12908"/>
  <c r="AF1677" i="13034" s="1"/>
  <c r="I1682" i="12908"/>
  <c r="AF1682" i="13034" s="1"/>
  <c r="I1675" i="12908"/>
  <c r="AF1675" i="13034" s="1"/>
  <c r="I1705" i="12908"/>
  <c r="AF1705" i="13034" s="1"/>
  <c r="I1673" i="12908"/>
  <c r="AF1673" i="13034" s="1"/>
  <c r="I1670" i="12908"/>
  <c r="AF1670" i="13034" s="1"/>
  <c r="I1703" i="12908"/>
  <c r="AF1703" i="13034" s="1"/>
  <c r="I1691" i="12908"/>
  <c r="AF1691" i="13034" s="1"/>
  <c r="I1678" i="12908"/>
  <c r="AF1678" i="13034" s="1"/>
  <c r="I1663" i="12908"/>
  <c r="AF1663" i="13034" s="1"/>
  <c r="D1979" i="12908"/>
  <c r="AA1979" i="13034" s="1"/>
  <c r="I2003" i="12908"/>
  <c r="AF2003" i="13034" s="1"/>
  <c r="I1794" i="12908"/>
  <c r="AF1794" i="13034" s="1"/>
  <c r="I1778" i="12908"/>
  <c r="AF1778" i="13034" s="1"/>
  <c r="I1792" i="12908"/>
  <c r="AF1792" i="13034" s="1"/>
  <c r="I1777" i="12908"/>
  <c r="AF1777" i="13034" s="1"/>
  <c r="D890" i="12908"/>
  <c r="AA890" i="13034" s="1"/>
  <c r="I944" i="12908"/>
  <c r="AF944" i="13034" s="1"/>
  <c r="I1686" i="12908"/>
  <c r="AF1686" i="13034" s="1"/>
  <c r="I1696" i="12908"/>
  <c r="AF1696" i="13034" s="1"/>
  <c r="I1679" i="12908"/>
  <c r="AF1679" i="13034" s="1"/>
  <c r="I1689" i="12908"/>
  <c r="AF1689" i="13034" s="1"/>
  <c r="I1698" i="12908"/>
  <c r="AF1698" i="13034" s="1"/>
  <c r="I1709" i="12908"/>
  <c r="AF1709" i="13034" s="1"/>
  <c r="I1690" i="12908"/>
  <c r="AF1690" i="13034" s="1"/>
  <c r="I1676" i="12908"/>
  <c r="AF1676" i="13034" s="1"/>
  <c r="I1700" i="12908"/>
  <c r="AF1700" i="13034" s="1"/>
  <c r="H1533" i="12908"/>
  <c r="AE1533" i="13034" s="1"/>
  <c r="I1784" i="12908"/>
  <c r="AF1784" i="13034" s="1"/>
  <c r="I1791" i="12908"/>
  <c r="AF1791" i="13034" s="1"/>
  <c r="I1786" i="12908"/>
  <c r="AF1786" i="13034" s="1"/>
  <c r="H1434" i="12908"/>
  <c r="AE1434" i="13034" s="1"/>
  <c r="I737" i="12908"/>
  <c r="AF737" i="13034" s="1"/>
  <c r="I1771" i="12908"/>
  <c r="D673" i="12908"/>
  <c r="AA673" i="13034" s="1"/>
  <c r="D674" i="12908"/>
  <c r="AA674" i="13034" s="1"/>
  <c r="D1613" i="12908"/>
  <c r="AA1613" i="13034" s="1"/>
  <c r="E25" i="12711"/>
  <c r="G60" i="12910"/>
  <c r="G46" i="12910"/>
  <c r="D1643" i="12908"/>
  <c r="D1730" i="12908"/>
  <c r="AA1730" i="13034" s="1"/>
  <c r="D1727" i="12908"/>
  <c r="AA1727" i="13034" s="1"/>
  <c r="D1723" i="12908"/>
  <c r="AA1723" i="13034" s="1"/>
  <c r="D1722" i="12908"/>
  <c r="AA1722" i="13034" s="1"/>
  <c r="D1728" i="12908"/>
  <c r="AA1728" i="13034" s="1"/>
  <c r="D1724" i="12908"/>
  <c r="AA1724" i="13034" s="1"/>
  <c r="D1725" i="12908"/>
  <c r="AA1725" i="13034" s="1"/>
  <c r="D1721" i="12908"/>
  <c r="AA1721" i="13034" s="1"/>
  <c r="D1729" i="12908"/>
  <c r="AA1729" i="13034" s="1"/>
  <c r="D1731" i="12908"/>
  <c r="AA1731" i="13034" s="1"/>
  <c r="H1607" i="12908"/>
  <c r="AE1607" i="13034" s="1"/>
  <c r="H1928" i="12908"/>
  <c r="AE1928" i="13034" s="1"/>
  <c r="H1929" i="12908"/>
  <c r="AE1929" i="13034" s="1"/>
  <c r="H1930" i="12908"/>
  <c r="AE1930" i="13034" s="1"/>
  <c r="H1871" i="12908"/>
  <c r="AE1871" i="13034" s="1"/>
  <c r="H1922" i="12908"/>
  <c r="AE1922" i="13034" s="1"/>
  <c r="F59" i="12711"/>
  <c r="D1710" i="12908"/>
  <c r="AA1710" i="13034" s="1"/>
  <c r="H1645" i="12908"/>
  <c r="AE1645" i="13034" s="1"/>
  <c r="H1920" i="12908"/>
  <c r="AE1920" i="13034" s="1"/>
  <c r="F142" i="12711"/>
  <c r="G94" i="12910" s="1"/>
  <c r="H1921" i="12908"/>
  <c r="AE1921" i="13034" s="1"/>
  <c r="G20" i="12910"/>
  <c r="H970" i="12908"/>
  <c r="AE970" i="13034" s="1"/>
  <c r="H898" i="12908"/>
  <c r="AE898" i="13034" s="1"/>
  <c r="H972" i="12908"/>
  <c r="AE972" i="13034" s="1"/>
  <c r="H682" i="12908"/>
  <c r="AE682" i="13034" s="1"/>
  <c r="K98" i="12709"/>
  <c r="R88" i="12709"/>
  <c r="K88" i="12709"/>
  <c r="R92" i="12709"/>
  <c r="E52" i="12709"/>
  <c r="L5" i="12852"/>
  <c r="R25" i="12709"/>
  <c r="R58" i="12709"/>
  <c r="R186" i="12709"/>
  <c r="H2537" i="12908"/>
  <c r="AE2537" i="13034" s="1"/>
  <c r="R198" i="12709"/>
  <c r="L53" i="12852"/>
  <c r="G53" i="12852"/>
  <c r="I93" i="12711"/>
  <c r="J85" i="12711" s="1"/>
  <c r="C883" i="12908" s="1"/>
  <c r="Z883" i="13034" s="1"/>
  <c r="G34" i="12852"/>
  <c r="I58" i="12711"/>
  <c r="K139" i="12709"/>
  <c r="K191" i="12709" s="1"/>
  <c r="K140" i="12709"/>
  <c r="K192" i="12709" s="1"/>
  <c r="K63" i="12709"/>
  <c r="L8" i="12856"/>
  <c r="L18" i="12856" s="1"/>
  <c r="I15" i="12750"/>
  <c r="D157" i="12711"/>
  <c r="B8" i="12856" s="1"/>
  <c r="D115" i="12709"/>
  <c r="E17" i="12750" s="1"/>
  <c r="Q40" i="12709"/>
  <c r="G87" i="12910"/>
  <c r="E64" i="12852"/>
  <c r="F120" i="12711"/>
  <c r="G52" i="12910"/>
  <c r="G44" i="12852"/>
  <c r="L29" i="12852"/>
  <c r="P120" i="12711"/>
  <c r="P133" i="12711" s="1"/>
  <c r="I71" i="12852"/>
  <c r="K71" i="12852" s="1"/>
  <c r="L71" i="12852" s="1"/>
  <c r="I25" i="12852"/>
  <c r="K25" i="12852" s="1"/>
  <c r="D205" i="12711"/>
  <c r="D207" i="12711" s="1"/>
  <c r="L7" i="12852"/>
  <c r="I70" i="12852"/>
  <c r="I69" i="12852"/>
  <c r="K69" i="12852" s="1"/>
  <c r="G63" i="12910"/>
  <c r="G65" i="12910"/>
  <c r="G42" i="12910"/>
  <c r="G37" i="12910"/>
  <c r="G40" i="12910"/>
  <c r="E140" i="12711"/>
  <c r="E191" i="12711" s="1"/>
  <c r="E137" i="12711"/>
  <c r="E188" i="12711" s="1"/>
  <c r="I46" i="12852"/>
  <c r="K46" i="12852" s="1"/>
  <c r="L46" i="12852" s="1"/>
  <c r="P67" i="12711"/>
  <c r="P80" i="12711" s="1"/>
  <c r="B14" i="6" s="1"/>
  <c r="I22" i="12852"/>
  <c r="K22" i="12852" s="1"/>
  <c r="I27" i="12852"/>
  <c r="K27" i="12852" s="1"/>
  <c r="L27" i="12852" s="1"/>
  <c r="I72" i="12852"/>
  <c r="K72" i="12852" s="1"/>
  <c r="I48" i="12852"/>
  <c r="K48" i="12852" s="1"/>
  <c r="L48" i="12852" s="1"/>
  <c r="R18" i="12709"/>
  <c r="I29" i="12711"/>
  <c r="J24" i="12711" s="1"/>
  <c r="I44" i="12852"/>
  <c r="K44" i="12852" s="1"/>
  <c r="P102" i="12711"/>
  <c r="E88" i="12711"/>
  <c r="H78" i="12709"/>
  <c r="Q78" i="12711" s="1"/>
  <c r="T78" i="12711" s="1"/>
  <c r="I68" i="12852"/>
  <c r="K68" i="12852" s="1"/>
  <c r="E136" i="12709" s="1"/>
  <c r="H113" i="12709"/>
  <c r="Q113" i="12711" s="1"/>
  <c r="T113" i="12711" s="1"/>
  <c r="E138" i="12711"/>
  <c r="E189" i="12711" s="1"/>
  <c r="H40" i="12709"/>
  <c r="C1774" i="12908"/>
  <c r="Z1774" i="13034" s="1"/>
  <c r="G91" i="12910"/>
  <c r="C1800" i="12908"/>
  <c r="Z1800" i="13034" s="1"/>
  <c r="E63" i="12711"/>
  <c r="H1919" i="12908"/>
  <c r="AE1919" i="13034" s="1"/>
  <c r="C1925" i="12908"/>
  <c r="Z1925" i="13034" s="1"/>
  <c r="H1977" i="12908"/>
  <c r="AE1977" i="13034" s="1"/>
  <c r="F95" i="12711"/>
  <c r="F194" i="12711" s="1"/>
  <c r="C1712" i="12908"/>
  <c r="Z1712" i="13034" s="1"/>
  <c r="E139" i="12711"/>
  <c r="E190" i="12711" s="1"/>
  <c r="H1862" i="12908"/>
  <c r="AE1862" i="13034" s="1"/>
  <c r="C1854" i="12908"/>
  <c r="Z1854" i="13034" s="1"/>
  <c r="H1863" i="12908"/>
  <c r="AE1863" i="13034" s="1"/>
  <c r="C1855" i="12908"/>
  <c r="Z1855" i="13034" s="1"/>
  <c r="F192" i="12711"/>
  <c r="H1870" i="12908"/>
  <c r="AE1870" i="13034" s="1"/>
  <c r="H2400" i="12908"/>
  <c r="AE2400" i="13034" s="1"/>
  <c r="D80" i="12709"/>
  <c r="H1878" i="12908"/>
  <c r="AE1878" i="13034" s="1"/>
  <c r="H672" i="12908"/>
  <c r="AE672" i="13034" s="1"/>
  <c r="C1737" i="12908"/>
  <c r="Z1737" i="13034" s="1"/>
  <c r="C1802" i="12908"/>
  <c r="Z1802" i="13034" s="1"/>
  <c r="H1613" i="12908"/>
  <c r="AE1613" i="13034" s="1"/>
  <c r="H889" i="12908"/>
  <c r="AE889" i="13034" s="1"/>
  <c r="H1538" i="12908"/>
  <c r="AE1538" i="13034" s="1"/>
  <c r="H1479" i="12908"/>
  <c r="AE1479" i="13034" s="1"/>
  <c r="H1377" i="12908"/>
  <c r="AE1377" i="13034" s="1"/>
  <c r="G92" i="12910"/>
  <c r="C1373" i="12908"/>
  <c r="Z1373" i="13034" s="1"/>
  <c r="I114" i="12709"/>
  <c r="L114" i="12709" s="1"/>
  <c r="D206" i="12709"/>
  <c r="D208" i="12709" s="1"/>
  <c r="H18" i="12776"/>
  <c r="Q38" i="12711"/>
  <c r="P42" i="12711"/>
  <c r="P111" i="12711"/>
  <c r="P143" i="12711"/>
  <c r="I19" i="12750"/>
  <c r="G90" i="12910"/>
  <c r="I18" i="12750"/>
  <c r="E51" i="12711"/>
  <c r="G69" i="12852"/>
  <c r="G49" i="12852"/>
  <c r="F18" i="12721"/>
  <c r="E11" i="12750"/>
  <c r="H4" i="12856" s="1"/>
  <c r="K55" i="12852"/>
  <c r="E95" i="12709" s="1"/>
  <c r="E195" i="12709" s="1"/>
  <c r="K51" i="12852"/>
  <c r="L51" i="12852" s="1"/>
  <c r="E136" i="12711"/>
  <c r="I90" i="12910" s="1"/>
  <c r="H154" i="12709"/>
  <c r="Q154" i="12711" s="1"/>
  <c r="T154" i="12711" s="1"/>
  <c r="R57" i="12709"/>
  <c r="H11" i="12750"/>
  <c r="E4" i="12856" s="1"/>
  <c r="H1552" i="12908"/>
  <c r="AE1552" i="13034" s="1"/>
  <c r="L36" i="12852"/>
  <c r="I64" i="12852"/>
  <c r="K64" i="12852" s="1"/>
  <c r="E15" i="12711"/>
  <c r="E170" i="12711" s="1"/>
  <c r="G10" i="12852"/>
  <c r="T38" i="12711"/>
  <c r="I16" i="12750"/>
  <c r="I11" i="12750"/>
  <c r="E13" i="12711"/>
  <c r="E168" i="12711" s="1"/>
  <c r="E96" i="12711"/>
  <c r="E45" i="12711"/>
  <c r="G34" i="12910"/>
  <c r="E57" i="12711"/>
  <c r="G25" i="12852"/>
  <c r="G36" i="12852"/>
  <c r="G74" i="12852"/>
  <c r="G46" i="12852"/>
  <c r="G56" i="12852"/>
  <c r="G28" i="12852"/>
  <c r="G22" i="12852"/>
  <c r="L56" i="12852"/>
  <c r="L34" i="12852"/>
  <c r="B15" i="12715"/>
  <c r="W133" i="12711"/>
  <c r="E18" i="12750"/>
  <c r="E92" i="12711"/>
  <c r="E91" i="12711"/>
  <c r="E52" i="12711"/>
  <c r="I41" i="12910" s="1"/>
  <c r="E86" i="12711"/>
  <c r="E53" i="12711"/>
  <c r="E56" i="12711"/>
  <c r="H18" i="12750"/>
  <c r="J18" i="12776"/>
  <c r="C1606" i="12908"/>
  <c r="Z1606" i="13034" s="1"/>
  <c r="K49" i="12852"/>
  <c r="I4" i="12852"/>
  <c r="E70" i="12852"/>
  <c r="C1644" i="12908"/>
  <c r="Z1644" i="13034" s="1"/>
  <c r="E118" i="12711"/>
  <c r="E186" i="12711" s="1"/>
  <c r="E48" i="12711"/>
  <c r="H131" i="12709"/>
  <c r="E19" i="12750"/>
  <c r="H725" i="12908"/>
  <c r="AE725" i="13034" s="1"/>
  <c r="H683" i="12908"/>
  <c r="AE683" i="13034" s="1"/>
  <c r="C1646" i="12908"/>
  <c r="Z1646" i="13034" s="1"/>
  <c r="H1731" i="12908"/>
  <c r="AE1731" i="13034" s="1"/>
  <c r="C1608" i="12908"/>
  <c r="H684" i="12908"/>
  <c r="AE684" i="13034" s="1"/>
  <c r="H726" i="12908"/>
  <c r="AE726" i="13034" s="1"/>
  <c r="B21" i="12715"/>
  <c r="H19" i="12750"/>
  <c r="H1722" i="12908"/>
  <c r="AE1722" i="13034" s="1"/>
  <c r="H1727" i="12908"/>
  <c r="AE1727" i="13034" s="1"/>
  <c r="H1729" i="12908"/>
  <c r="AE1729" i="13034" s="1"/>
  <c r="H1723" i="12908"/>
  <c r="AE1723" i="13034" s="1"/>
  <c r="H1725" i="12908"/>
  <c r="AE1725" i="13034" s="1"/>
  <c r="H1728" i="12908"/>
  <c r="AE1728" i="13034" s="1"/>
  <c r="H1730" i="12908"/>
  <c r="AE1730" i="13034" s="1"/>
  <c r="E90" i="12711"/>
  <c r="L28" i="12852"/>
  <c r="L10" i="12852"/>
  <c r="H1724" i="12908"/>
  <c r="AE1724" i="13034" s="1"/>
  <c r="E89" i="12711"/>
  <c r="I66" i="12910" s="1"/>
  <c r="G55" i="12852"/>
  <c r="H17" i="12750"/>
  <c r="G40" i="13005" l="1"/>
  <c r="AA1643" i="13034"/>
  <c r="AT297" i="13034"/>
  <c r="AI297" i="13015"/>
  <c r="AT737" i="13034"/>
  <c r="AI737" i="13015"/>
  <c r="AT554" i="13034"/>
  <c r="AI554" i="13015"/>
  <c r="G40" i="12989"/>
  <c r="I1374" i="12908"/>
  <c r="AF1374" i="13034" s="1"/>
  <c r="AF1371" i="13034"/>
  <c r="K92" i="12709"/>
  <c r="AE1599" i="13034"/>
  <c r="K53" i="12709"/>
  <c r="AE1414" i="13034"/>
  <c r="K57" i="12709"/>
  <c r="AE1577" i="13034"/>
  <c r="C1384" i="12908"/>
  <c r="Z1384" i="13034" s="1"/>
  <c r="Z1426" i="13034"/>
  <c r="AT261" i="13034"/>
  <c r="AI261" i="13015"/>
  <c r="AT695" i="13034"/>
  <c r="AI695" i="13015"/>
  <c r="AT333" i="13034"/>
  <c r="AI333" i="13015"/>
  <c r="AT638" i="13034"/>
  <c r="AI638" i="13015"/>
  <c r="G40" i="13016"/>
  <c r="I1248" i="12908"/>
  <c r="AF1245" i="13034"/>
  <c r="I1290" i="12908"/>
  <c r="AF1290" i="13034" s="1"/>
  <c r="AF1287" i="13034"/>
  <c r="K96" i="12709"/>
  <c r="AE2067" i="13034"/>
  <c r="AA1919" i="13034"/>
  <c r="C1589" i="12908"/>
  <c r="Z1589" i="13034" s="1"/>
  <c r="Z1587" i="13034"/>
  <c r="AT694" i="13034"/>
  <c r="AI694" i="13015"/>
  <c r="AT944" i="13034"/>
  <c r="AI944" i="13015"/>
  <c r="AT240" i="13034"/>
  <c r="AI240" i="13015"/>
  <c r="G41" i="12989"/>
  <c r="H1608" i="12908"/>
  <c r="AE1608" i="13034" s="1"/>
  <c r="Z1608" i="13034"/>
  <c r="I1773" i="12908"/>
  <c r="AF1771" i="13034"/>
  <c r="Q36" i="12772"/>
  <c r="AE1714" i="13034"/>
  <c r="K25" i="12709"/>
  <c r="AE2019" i="13034"/>
  <c r="AT1642" i="13034"/>
  <c r="AI1642" i="13015"/>
  <c r="AT736" i="13034"/>
  <c r="AI736" i="13015"/>
  <c r="AT716" i="13034"/>
  <c r="AI716" i="13015"/>
  <c r="AT715" i="13034"/>
  <c r="AI715" i="13015"/>
  <c r="G41" i="13016"/>
  <c r="G28" i="13017"/>
  <c r="G28" i="13014"/>
  <c r="G27" i="13007"/>
  <c r="G27" i="13017"/>
  <c r="G27" i="13014"/>
  <c r="M1979" i="12908"/>
  <c r="G41" i="13005"/>
  <c r="G28" i="13007"/>
  <c r="W539" i="12908"/>
  <c r="U539" i="12908"/>
  <c r="AR539" i="13034" s="1"/>
  <c r="W890" i="12908"/>
  <c r="U890" i="12908"/>
  <c r="AR890" i="13034" s="1"/>
  <c r="W225" i="12908"/>
  <c r="U225" i="12908"/>
  <c r="AR225" i="13034" s="1"/>
  <c r="U1643" i="12908"/>
  <c r="AR1643" i="13034" s="1"/>
  <c r="W1643" i="12908"/>
  <c r="H1924" i="12908"/>
  <c r="D1887" i="12908"/>
  <c r="H1932" i="12908"/>
  <c r="AE1932" i="13034" s="1"/>
  <c r="C1543" i="12908"/>
  <c r="Z1543" i="13034" s="1"/>
  <c r="A18" i="12910"/>
  <c r="E184" i="12711"/>
  <c r="I1919" i="12908"/>
  <c r="AF1919" i="13034" s="1"/>
  <c r="D1927" i="12908"/>
  <c r="G42" i="13016" s="1"/>
  <c r="G54" i="13016" s="1"/>
  <c r="G65" i="13016" s="1"/>
  <c r="G70" i="12910"/>
  <c r="E94" i="12711"/>
  <c r="I192" i="12711"/>
  <c r="I205" i="12711" s="1"/>
  <c r="I207" i="12711" s="1"/>
  <c r="P205" i="12711"/>
  <c r="L17" i="12856"/>
  <c r="H207" i="12709"/>
  <c r="D208" i="12711"/>
  <c r="I102" i="12711"/>
  <c r="I115" i="12711" s="1"/>
  <c r="E181" i="12711"/>
  <c r="E179" i="12711"/>
  <c r="K199" i="12709"/>
  <c r="E185" i="12711"/>
  <c r="E195" i="12711"/>
  <c r="E176" i="12711"/>
  <c r="G48" i="12910"/>
  <c r="F193" i="12711"/>
  <c r="F205" i="12711" s="1"/>
  <c r="F207" i="12711" s="1"/>
  <c r="K186" i="12709"/>
  <c r="E173" i="12711"/>
  <c r="R52" i="12709"/>
  <c r="W85" i="12711"/>
  <c r="I85" i="12910"/>
  <c r="I87" i="12910" s="1"/>
  <c r="I78" i="12910"/>
  <c r="I76" i="12910"/>
  <c r="I1979" i="12908"/>
  <c r="AF1979" i="13034" s="1"/>
  <c r="Q90" i="12910"/>
  <c r="N136" i="12709"/>
  <c r="Q41" i="12910"/>
  <c r="N52" i="12709"/>
  <c r="I2671" i="12908"/>
  <c r="O56" i="12910"/>
  <c r="I2674" i="12908"/>
  <c r="O95" i="12910"/>
  <c r="I673" i="12908"/>
  <c r="AF673" i="13034" s="1"/>
  <c r="I890" i="12908"/>
  <c r="AF890" i="13034" s="1"/>
  <c r="I1978" i="12908"/>
  <c r="AF1978" i="13034" s="1"/>
  <c r="I1643" i="12908"/>
  <c r="AF1643" i="13034" s="1"/>
  <c r="I2673" i="12908"/>
  <c r="AF2673" i="13034" s="1"/>
  <c r="O86" i="12910"/>
  <c r="I2670" i="12908"/>
  <c r="O30" i="12910"/>
  <c r="G118" i="12711"/>
  <c r="G186" i="12711" s="1"/>
  <c r="S155" i="12711"/>
  <c r="S206" i="12711" s="1"/>
  <c r="H2672" i="12908"/>
  <c r="AE2672" i="13034" s="1"/>
  <c r="N114" i="12709"/>
  <c r="L64" i="12852"/>
  <c r="E118" i="12709"/>
  <c r="E187" i="12709" s="1"/>
  <c r="R99" i="12709"/>
  <c r="E89" i="12709"/>
  <c r="E181" i="12709" s="1"/>
  <c r="D1644" i="12908"/>
  <c r="AA1644" i="13034" s="1"/>
  <c r="H1615" i="12908"/>
  <c r="AE1615" i="13034" s="1"/>
  <c r="H1881" i="12908"/>
  <c r="AE1881" i="13034" s="1"/>
  <c r="H1873" i="12908"/>
  <c r="AE1873" i="13034" s="1"/>
  <c r="H1855" i="12908"/>
  <c r="AE1855" i="13034" s="1"/>
  <c r="H729" i="12908"/>
  <c r="K137" i="12709"/>
  <c r="K189" i="12709" s="1"/>
  <c r="R12" i="12773"/>
  <c r="I1795" i="12908"/>
  <c r="I1710" i="12908"/>
  <c r="I1731" i="12908"/>
  <c r="AF1731" i="13034" s="1"/>
  <c r="I1724" i="12908"/>
  <c r="AF1724" i="13034" s="1"/>
  <c r="I1727" i="12908"/>
  <c r="AF1727" i="13034" s="1"/>
  <c r="I1613" i="12908"/>
  <c r="AF1613" i="13034" s="1"/>
  <c r="I1729" i="12908"/>
  <c r="AF1729" i="13034" s="1"/>
  <c r="I1728" i="12908"/>
  <c r="AF1728" i="13034" s="1"/>
  <c r="I1730" i="12908"/>
  <c r="AF1730" i="13034" s="1"/>
  <c r="H1555" i="12908"/>
  <c r="H1865" i="12908"/>
  <c r="I1721" i="12908"/>
  <c r="AF1721" i="13034" s="1"/>
  <c r="I674" i="12908"/>
  <c r="AF674" i="13034" s="1"/>
  <c r="I1722" i="12908"/>
  <c r="AF1722" i="13034" s="1"/>
  <c r="I1725" i="12908"/>
  <c r="AF1725" i="13034" s="1"/>
  <c r="I1723" i="12908"/>
  <c r="AF1723" i="13034" s="1"/>
  <c r="D1606" i="12908"/>
  <c r="AA1606" i="13034" s="1"/>
  <c r="E142" i="12711"/>
  <c r="F67" i="12711"/>
  <c r="E59" i="12711"/>
  <c r="D1651" i="12908"/>
  <c r="AA1651" i="13034" s="1"/>
  <c r="H1646" i="12908"/>
  <c r="AE1646" i="13034" s="1"/>
  <c r="H681" i="12908"/>
  <c r="AE681" i="13034" s="1"/>
  <c r="H675" i="12908"/>
  <c r="AE675" i="13034" s="1"/>
  <c r="H680" i="12908"/>
  <c r="AE680" i="13034" s="1"/>
  <c r="R91" i="12709"/>
  <c r="K91" i="12709"/>
  <c r="R90" i="12709"/>
  <c r="K90" i="12709"/>
  <c r="K182" i="12709" s="1"/>
  <c r="I67" i="12711"/>
  <c r="J50" i="12711" s="1"/>
  <c r="R93" i="12709"/>
  <c r="L55" i="12852"/>
  <c r="H2433" i="12908"/>
  <c r="AE2433" i="13034" s="1"/>
  <c r="AG9" i="12785"/>
  <c r="Q28" i="12774"/>
  <c r="H1732" i="12908"/>
  <c r="AE1732" i="13034" s="1"/>
  <c r="Q18" i="12775"/>
  <c r="H1200" i="12908"/>
  <c r="D157" i="12709"/>
  <c r="H9" i="12856" s="1"/>
  <c r="B13" i="6"/>
  <c r="L24" i="12711"/>
  <c r="W24" i="12711"/>
  <c r="J27" i="12711"/>
  <c r="J17" i="12711"/>
  <c r="J172" i="12711" s="1"/>
  <c r="J14" i="12711"/>
  <c r="J21" i="12711"/>
  <c r="Q40" i="12711"/>
  <c r="T40" i="12711" s="1"/>
  <c r="J93" i="12711"/>
  <c r="C1837" i="12908" s="1"/>
  <c r="Z1837" i="13034" s="1"/>
  <c r="J92" i="12711"/>
  <c r="J88" i="12711"/>
  <c r="J89" i="12711"/>
  <c r="G72" i="12910"/>
  <c r="J97" i="12711"/>
  <c r="W97" i="12711" s="1"/>
  <c r="J87" i="12711"/>
  <c r="W87" i="12711" s="1"/>
  <c r="J86" i="12711"/>
  <c r="J91" i="12711"/>
  <c r="C1532" i="12908" s="1"/>
  <c r="Z1532" i="13034" s="1"/>
  <c r="J98" i="12711"/>
  <c r="C2538" i="12908" s="1"/>
  <c r="Z2538" i="13034" s="1"/>
  <c r="J95" i="12711"/>
  <c r="J194" i="12711" s="1"/>
  <c r="J90" i="12711"/>
  <c r="C1433" i="12908" s="1"/>
  <c r="Z1433" i="13034" s="1"/>
  <c r="J84" i="12711"/>
  <c r="C826" i="12908" s="1"/>
  <c r="Z826" i="13034" s="1"/>
  <c r="J96" i="12711"/>
  <c r="W96" i="12711" s="1"/>
  <c r="J94" i="12711"/>
  <c r="L25" i="12852"/>
  <c r="R182" i="12709"/>
  <c r="R53" i="12709"/>
  <c r="L44" i="12852"/>
  <c r="G71" i="12910"/>
  <c r="L72" i="12852"/>
  <c r="J15" i="12711"/>
  <c r="J170" i="12711" s="1"/>
  <c r="J26" i="12711"/>
  <c r="J16" i="12711"/>
  <c r="J171" i="12711" s="1"/>
  <c r="J22" i="12711"/>
  <c r="J20" i="12711"/>
  <c r="J25" i="12711"/>
  <c r="J28" i="12711"/>
  <c r="J19" i="12711"/>
  <c r="J23" i="12711"/>
  <c r="J13" i="12711"/>
  <c r="J168" i="12711" s="1"/>
  <c r="I42" i="12711"/>
  <c r="L69" i="12852"/>
  <c r="J18" i="12711"/>
  <c r="L68" i="12852"/>
  <c r="F102" i="12711"/>
  <c r="F115" i="12711" s="1"/>
  <c r="H1606" i="12908"/>
  <c r="AE1606" i="13034" s="1"/>
  <c r="I78" i="12709"/>
  <c r="L78" i="12709" s="1"/>
  <c r="N78" i="12709" s="1"/>
  <c r="E16" i="12750"/>
  <c r="I113" i="12709"/>
  <c r="L113" i="12709" s="1"/>
  <c r="N113" i="12709" s="1"/>
  <c r="I40" i="12709"/>
  <c r="C1803" i="12908"/>
  <c r="Z1803" i="13034" s="1"/>
  <c r="F143" i="12711"/>
  <c r="F156" i="12711" s="1"/>
  <c r="E95" i="12711"/>
  <c r="E194" i="12711" s="1"/>
  <c r="I17" i="12750"/>
  <c r="H1854" i="12908"/>
  <c r="AE1854" i="13034" s="1"/>
  <c r="G96" i="12910"/>
  <c r="E141" i="12711"/>
  <c r="E93" i="12711"/>
  <c r="E58" i="12711"/>
  <c r="H1644" i="12908"/>
  <c r="AE1644" i="13034" s="1"/>
  <c r="M100" i="12711"/>
  <c r="M202" i="12711" s="1"/>
  <c r="I131" i="12709"/>
  <c r="L131" i="12709" s="1"/>
  <c r="N131" i="12709" s="1"/>
  <c r="Q131" i="12711"/>
  <c r="T131" i="12711" s="1"/>
  <c r="I154" i="12709"/>
  <c r="L154" i="12709" s="1"/>
  <c r="N154" i="12709" s="1"/>
  <c r="P115" i="12711"/>
  <c r="B15" i="6" s="1"/>
  <c r="T76" i="12711"/>
  <c r="R86" i="12709"/>
  <c r="P152" i="12711"/>
  <c r="P156" i="12711" s="1"/>
  <c r="B19" i="6"/>
  <c r="L49" i="12852"/>
  <c r="L22" i="12852"/>
  <c r="F64" i="12852"/>
  <c r="E98" i="12711"/>
  <c r="E198" i="12711" s="1"/>
  <c r="H16" i="12750"/>
  <c r="H141" i="12908"/>
  <c r="AE141" i="13034" s="1"/>
  <c r="K4" i="12852"/>
  <c r="K70" i="12852"/>
  <c r="F70" i="12852"/>
  <c r="I143" i="12711" s="1"/>
  <c r="H1648" i="12908"/>
  <c r="AE1648" i="13034" s="1"/>
  <c r="C1649" i="12908"/>
  <c r="Z1649" i="13034" s="1"/>
  <c r="H1652" i="12908"/>
  <c r="AE1652" i="13034" s="1"/>
  <c r="C1653" i="12908"/>
  <c r="Z1653" i="13034" s="1"/>
  <c r="H1610" i="12908"/>
  <c r="AE1610" i="13034" s="1"/>
  <c r="H936" i="12908"/>
  <c r="AE936" i="13034" s="1"/>
  <c r="E15" i="12750"/>
  <c r="E8" i="12856"/>
  <c r="B14" i="12715"/>
  <c r="H15" i="12750"/>
  <c r="F5" i="12852"/>
  <c r="H36" i="12908"/>
  <c r="AE36" i="13034" s="1"/>
  <c r="K59" i="12709" l="1"/>
  <c r="AE1865" i="13034"/>
  <c r="AF2670" i="13034"/>
  <c r="K20" i="12989"/>
  <c r="M20" i="12989" s="1"/>
  <c r="AF2674" i="13034"/>
  <c r="K63" i="12989"/>
  <c r="AT890" i="13034"/>
  <c r="AI890" i="13015"/>
  <c r="H1203" i="12908"/>
  <c r="AE1203" i="13034" s="1"/>
  <c r="AE1200" i="13034"/>
  <c r="O13" i="12762"/>
  <c r="AE1555" i="13034"/>
  <c r="I1714" i="12908"/>
  <c r="AF1710" i="13034"/>
  <c r="K45" i="12709"/>
  <c r="K174" i="12709" s="1"/>
  <c r="AE729" i="13034"/>
  <c r="U1887" i="12908"/>
  <c r="AR1887" i="13034" s="1"/>
  <c r="AA1887" i="13034"/>
  <c r="M2075" i="12908"/>
  <c r="AJ2075" i="13034" s="1"/>
  <c r="AJ1979" i="13034"/>
  <c r="I1797" i="12908"/>
  <c r="AF1795" i="13034"/>
  <c r="AF2671" i="13034"/>
  <c r="K53" i="12989"/>
  <c r="H1925" i="12908"/>
  <c r="AE1925" i="13034" s="1"/>
  <c r="AE1924" i="13034"/>
  <c r="AT225" i="13034"/>
  <c r="AI225" i="13015"/>
  <c r="AT539" i="13034"/>
  <c r="AI539" i="13015"/>
  <c r="N140" i="12709"/>
  <c r="N192" i="12709" s="1"/>
  <c r="AF1773" i="13034"/>
  <c r="D1901" i="12908"/>
  <c r="AA1927" i="13034"/>
  <c r="AT1643" i="13034"/>
  <c r="AI1643" i="13015"/>
  <c r="G42" i="12989"/>
  <c r="G54" i="12989" s="1"/>
  <c r="G65" i="12989" s="1"/>
  <c r="AF1248" i="13034"/>
  <c r="N23" i="12709"/>
  <c r="Q25" i="12910"/>
  <c r="M2003" i="12908"/>
  <c r="M2027" i="12908"/>
  <c r="G29" i="13007"/>
  <c r="G29" i="13017"/>
  <c r="G29" i="13014"/>
  <c r="M2051" i="12908"/>
  <c r="W1887" i="12908"/>
  <c r="W1644" i="12908"/>
  <c r="U1644" i="12908"/>
  <c r="AR1644" i="13034" s="1"/>
  <c r="W1651" i="12908"/>
  <c r="U1651" i="12908"/>
  <c r="AR1651" i="13034" s="1"/>
  <c r="M2119" i="12908"/>
  <c r="U2075" i="12908"/>
  <c r="AR2075" i="13034" s="1"/>
  <c r="G42" i="13005"/>
  <c r="A19" i="12910"/>
  <c r="G95" i="12711"/>
  <c r="G194" i="12711" s="1"/>
  <c r="G205" i="12711" s="1"/>
  <c r="G207" i="12711" s="1"/>
  <c r="I1927" i="12908"/>
  <c r="AF1927" i="13034" s="1"/>
  <c r="Q95" i="12910"/>
  <c r="Q56" i="12910"/>
  <c r="Q30" i="12910"/>
  <c r="E206" i="12709"/>
  <c r="E208" i="12709" s="1"/>
  <c r="I207" i="12709"/>
  <c r="C108" i="12908"/>
  <c r="Z108" i="13034" s="1"/>
  <c r="J169" i="12711"/>
  <c r="W169" i="12711" s="1"/>
  <c r="P206" i="12711"/>
  <c r="P207" i="12711" s="1"/>
  <c r="C1161" i="12908"/>
  <c r="J178" i="12711"/>
  <c r="W178" i="12711" s="1"/>
  <c r="E193" i="12711"/>
  <c r="E192" i="12711"/>
  <c r="R89" i="12709"/>
  <c r="F85" i="12709"/>
  <c r="H883" i="12908" s="1"/>
  <c r="AE883" i="13034" s="1"/>
  <c r="W50" i="12711"/>
  <c r="Y2671" i="12908"/>
  <c r="Y2670" i="12908"/>
  <c r="AV2670" i="13034" s="1"/>
  <c r="N100" i="12711"/>
  <c r="J64" i="12711"/>
  <c r="J199" i="12711" s="1"/>
  <c r="J52" i="12711"/>
  <c r="W65" i="12711"/>
  <c r="L65" i="12711"/>
  <c r="V65" i="12711" s="1"/>
  <c r="I91" i="12910"/>
  <c r="J48" i="12711"/>
  <c r="I92" i="12910"/>
  <c r="Y2674" i="12908"/>
  <c r="O79" i="12910"/>
  <c r="G120" i="12711"/>
  <c r="G133" i="12711" s="1"/>
  <c r="Y2673" i="12908"/>
  <c r="AV2673" i="13034" s="1"/>
  <c r="Q86" i="12910"/>
  <c r="F80" i="12711"/>
  <c r="G57" i="12910"/>
  <c r="I1644" i="12908"/>
  <c r="AF1644" i="13034" s="1"/>
  <c r="I2672" i="12908"/>
  <c r="H2675" i="12908"/>
  <c r="T155" i="12711"/>
  <c r="J66" i="12711"/>
  <c r="J57" i="12711"/>
  <c r="J63" i="12711"/>
  <c r="J53" i="12711"/>
  <c r="J46" i="12711"/>
  <c r="G143" i="12711"/>
  <c r="G156" i="12711" s="1"/>
  <c r="H1653" i="12908"/>
  <c r="AE1653" i="13034" s="1"/>
  <c r="H938" i="12908"/>
  <c r="H1857" i="12908"/>
  <c r="H1617" i="12908"/>
  <c r="AE1617" i="13034" s="1"/>
  <c r="H146" i="12908"/>
  <c r="K95" i="12709"/>
  <c r="K195" i="12709" s="1"/>
  <c r="H1655" i="12908"/>
  <c r="AE1655" i="13034" s="1"/>
  <c r="I1732" i="12908"/>
  <c r="I1606" i="12908"/>
  <c r="AF1606" i="13034" s="1"/>
  <c r="H687" i="12908"/>
  <c r="AE687" i="13034" s="1"/>
  <c r="H1802" i="12908"/>
  <c r="AE1802" i="13034" s="1"/>
  <c r="H1734" i="12908"/>
  <c r="AE1734" i="13034" s="1"/>
  <c r="I1651" i="12908"/>
  <c r="AF1651" i="13034" s="1"/>
  <c r="E143" i="12711"/>
  <c r="E156" i="12711" s="1"/>
  <c r="C829" i="12908"/>
  <c r="Z829" i="13034" s="1"/>
  <c r="D1649" i="12908"/>
  <c r="AA1649" i="13034" s="1"/>
  <c r="D1615" i="12908"/>
  <c r="AA1615" i="13034" s="1"/>
  <c r="D1611" i="12908"/>
  <c r="C2539" i="12908"/>
  <c r="Z2539" i="13034" s="1"/>
  <c r="C1840" i="12908"/>
  <c r="J62" i="12711"/>
  <c r="J55" i="12711"/>
  <c r="J59" i="12711"/>
  <c r="J60" i="12711"/>
  <c r="J51" i="12711"/>
  <c r="J56" i="12711"/>
  <c r="J58" i="12711"/>
  <c r="I80" i="12711"/>
  <c r="J54" i="12711"/>
  <c r="R45" i="12709"/>
  <c r="R94" i="12709"/>
  <c r="K94" i="12709"/>
  <c r="R142" i="12709"/>
  <c r="K142" i="12709"/>
  <c r="C1095" i="12908"/>
  <c r="Z1095" i="13034" s="1"/>
  <c r="C2201" i="12908"/>
  <c r="Z2201" i="13034" s="1"/>
  <c r="V24" i="12711"/>
  <c r="J49" i="12711"/>
  <c r="J61" i="12711"/>
  <c r="J196" i="12711" s="1"/>
  <c r="J47" i="12711"/>
  <c r="R59" i="12709"/>
  <c r="R194" i="12709"/>
  <c r="F95" i="12709"/>
  <c r="F195" i="12709" s="1"/>
  <c r="R195" i="12709"/>
  <c r="R199" i="12709"/>
  <c r="R63" i="12709"/>
  <c r="W172" i="12711"/>
  <c r="C219" i="12908"/>
  <c r="Z219" i="13034" s="1"/>
  <c r="R191" i="12709"/>
  <c r="R139" i="12709"/>
  <c r="S96" i="12760"/>
  <c r="H1611" i="12908"/>
  <c r="AE1611" i="13034" s="1"/>
  <c r="W27" i="12711"/>
  <c r="P157" i="12711"/>
  <c r="L40" i="12709"/>
  <c r="L207" i="12709" s="1"/>
  <c r="W17" i="12711"/>
  <c r="W14" i="12711"/>
  <c r="W21" i="12711"/>
  <c r="D209" i="12709"/>
  <c r="R192" i="12709"/>
  <c r="W168" i="12711"/>
  <c r="B22" i="12715"/>
  <c r="E7" i="12856" s="1"/>
  <c r="W98" i="12711"/>
  <c r="C1328" i="12908"/>
  <c r="Z1328" i="13034" s="1"/>
  <c r="C1598" i="12908"/>
  <c r="Z1598" i="13034" s="1"/>
  <c r="C2066" i="12908"/>
  <c r="Z2066" i="13034" s="1"/>
  <c r="C1872" i="12908"/>
  <c r="Z1872" i="13034" s="1"/>
  <c r="C1139" i="12908"/>
  <c r="Z1139" i="13034" s="1"/>
  <c r="C2155" i="12908"/>
  <c r="Z2155" i="13034" s="1"/>
  <c r="C1931" i="12908"/>
  <c r="W194" i="12711"/>
  <c r="W95" i="12711"/>
  <c r="E67" i="12711"/>
  <c r="E80" i="12711" s="1"/>
  <c r="R83" i="12709"/>
  <c r="F94" i="12709"/>
  <c r="F98" i="12709"/>
  <c r="E102" i="12709"/>
  <c r="F93" i="12709"/>
  <c r="R174" i="12709"/>
  <c r="F97" i="12709"/>
  <c r="F96" i="12709"/>
  <c r="F84" i="12709"/>
  <c r="F86" i="12709"/>
  <c r="F91" i="12709"/>
  <c r="F88" i="12709"/>
  <c r="F89" i="12709"/>
  <c r="F92" i="12709"/>
  <c r="F87" i="12709"/>
  <c r="F90" i="12709"/>
  <c r="C145" i="12908"/>
  <c r="Z145" i="13034" s="1"/>
  <c r="W170" i="12711"/>
  <c r="W171" i="12711"/>
  <c r="R140" i="12709"/>
  <c r="C788" i="12908"/>
  <c r="Z788" i="13034" s="1"/>
  <c r="W19" i="12711"/>
  <c r="C2666" i="12908"/>
  <c r="Z2666" i="13034" s="1"/>
  <c r="W28" i="12711"/>
  <c r="C182" i="12908"/>
  <c r="W16" i="12711"/>
  <c r="C707" i="12908"/>
  <c r="Z707" i="13034" s="1"/>
  <c r="W18" i="12711"/>
  <c r="J12" i="12711"/>
  <c r="J167" i="12711" s="1"/>
  <c r="C79" i="12908"/>
  <c r="W13" i="12711"/>
  <c r="C2018" i="12908"/>
  <c r="Z2018" i="13034" s="1"/>
  <c r="W25" i="12711"/>
  <c r="C2111" i="12908"/>
  <c r="Z2111" i="13034" s="1"/>
  <c r="W26" i="12711"/>
  <c r="C919" i="12908"/>
  <c r="Z919" i="13034" s="1"/>
  <c r="W22" i="12711"/>
  <c r="R136" i="12709"/>
  <c r="R189" i="12709"/>
  <c r="R137" i="12709"/>
  <c r="C1244" i="12908"/>
  <c r="Z1244" i="13034" s="1"/>
  <c r="W23" i="12711"/>
  <c r="C1002" i="12908"/>
  <c r="Z1002" i="13034" s="1"/>
  <c r="W20" i="12711"/>
  <c r="W15" i="12711"/>
  <c r="E102" i="12711"/>
  <c r="E115" i="12711" s="1"/>
  <c r="E119" i="12711"/>
  <c r="E187" i="12711" s="1"/>
  <c r="F133" i="12711"/>
  <c r="G80" i="12910"/>
  <c r="H1649" i="12908"/>
  <c r="AE1649" i="13034" s="1"/>
  <c r="C1654" i="12908"/>
  <c r="J140" i="12711"/>
  <c r="J191" i="12711" s="1"/>
  <c r="J141" i="12711"/>
  <c r="J139" i="12711"/>
  <c r="J190" i="12711" s="1"/>
  <c r="J142" i="12711"/>
  <c r="J137" i="12711"/>
  <c r="J188" i="12711" s="1"/>
  <c r="J138" i="12711"/>
  <c r="J189" i="12711" s="1"/>
  <c r="B20" i="6"/>
  <c r="B21" i="6" s="1"/>
  <c r="H6" i="12856" s="1"/>
  <c r="I156" i="12711"/>
  <c r="G64" i="12852"/>
  <c r="W101" i="12711"/>
  <c r="W93" i="12711"/>
  <c r="W100" i="12711"/>
  <c r="W94" i="12711"/>
  <c r="W91" i="12711"/>
  <c r="W99" i="12711"/>
  <c r="W92" i="12711"/>
  <c r="L4" i="12852"/>
  <c r="G70" i="12852"/>
  <c r="L70" i="12852"/>
  <c r="H99" i="12709"/>
  <c r="H202" i="12709" s="1"/>
  <c r="H72" i="12908"/>
  <c r="AE72" i="13034" s="1"/>
  <c r="H74" i="12908"/>
  <c r="AE74" i="13034" s="1"/>
  <c r="H1021" i="12908"/>
  <c r="AE1021" i="13034" s="1"/>
  <c r="H973" i="12908"/>
  <c r="AE973" i="13034" s="1"/>
  <c r="H71" i="12908"/>
  <c r="AE71" i="13034" s="1"/>
  <c r="H73" i="12908"/>
  <c r="AE73" i="13034" s="1"/>
  <c r="G5" i="12852"/>
  <c r="H75" i="12908"/>
  <c r="AE75" i="13034" s="1"/>
  <c r="H37" i="12908"/>
  <c r="AE37" i="13034" s="1"/>
  <c r="H2037" i="12908"/>
  <c r="AE2037" i="13034" s="1"/>
  <c r="H1989" i="12908"/>
  <c r="AE1989" i="13034" s="1"/>
  <c r="AT1887" i="13034" l="1"/>
  <c r="AI1887" i="13015"/>
  <c r="C1164" i="12908"/>
  <c r="Z1164" i="13034" s="1"/>
  <c r="Z1161" i="13034"/>
  <c r="AT1644" i="13034"/>
  <c r="AI1644" i="13015"/>
  <c r="K70" i="12910"/>
  <c r="Z1840" i="13034"/>
  <c r="Q79" i="12910"/>
  <c r="AF2672" i="13034"/>
  <c r="AV2671" i="13034"/>
  <c r="C82" i="12908"/>
  <c r="Z82" i="13034" s="1"/>
  <c r="Z79" i="13034"/>
  <c r="K20" i="12776"/>
  <c r="AE1857" i="13034"/>
  <c r="M2141" i="12908"/>
  <c r="AT1651" i="13034"/>
  <c r="AI1651" i="13015"/>
  <c r="U2051" i="12908"/>
  <c r="AR2051" i="13034" s="1"/>
  <c r="AJ2051" i="13034"/>
  <c r="U2027" i="12908"/>
  <c r="AR2027" i="13034" s="1"/>
  <c r="AJ2027" i="13034"/>
  <c r="K15" i="12709"/>
  <c r="K171" i="12709" s="1"/>
  <c r="AE146" i="13034"/>
  <c r="I2675" i="12908"/>
  <c r="AF2675" i="13034" s="1"/>
  <c r="AE2675" i="13034"/>
  <c r="U2119" i="12908"/>
  <c r="AR2119" i="13034" s="1"/>
  <c r="AJ2119" i="13034"/>
  <c r="C1657" i="12908"/>
  <c r="Z1654" i="13034"/>
  <c r="I1802" i="12908"/>
  <c r="AF1802" i="13034" s="1"/>
  <c r="AF1732" i="13034"/>
  <c r="C185" i="12908"/>
  <c r="Z185" i="13034" s="1"/>
  <c r="Z182" i="13034"/>
  <c r="C1933" i="12908"/>
  <c r="Z1933" i="13034" s="1"/>
  <c r="Z1931" i="13034"/>
  <c r="D1607" i="12908"/>
  <c r="AA1607" i="13034" s="1"/>
  <c r="AA1611" i="13034"/>
  <c r="K51" i="12709"/>
  <c r="K180" i="12709" s="1"/>
  <c r="AE938" i="13034"/>
  <c r="AV2674" i="13034"/>
  <c r="M63" i="12989"/>
  <c r="O63" i="12989" s="1"/>
  <c r="Q63" i="12989" s="1"/>
  <c r="M2097" i="12908"/>
  <c r="AJ2097" i="13034" s="1"/>
  <c r="U2003" i="12908"/>
  <c r="AR2003" i="13034" s="1"/>
  <c r="AJ2003" i="13034"/>
  <c r="W1901" i="12908"/>
  <c r="AA1901" i="13034"/>
  <c r="I1799" i="12908"/>
  <c r="AF1797" i="13034"/>
  <c r="I1716" i="12908"/>
  <c r="AF1714" i="13034"/>
  <c r="D818" i="12908"/>
  <c r="AA818" i="13034" s="1"/>
  <c r="D816" i="12908"/>
  <c r="AA816" i="13034" s="1"/>
  <c r="D817" i="12908"/>
  <c r="AA817" i="13034" s="1"/>
  <c r="G30" i="13017"/>
  <c r="G39" i="13017" s="1"/>
  <c r="G50" i="13017" s="1"/>
  <c r="G30" i="13014"/>
  <c r="G39" i="13014" s="1"/>
  <c r="G50" i="13014" s="1"/>
  <c r="G54" i="13005"/>
  <c r="G65" i="13005" s="1"/>
  <c r="G30" i="13007"/>
  <c r="G39" i="13007" s="1"/>
  <c r="G50" i="13007" s="1"/>
  <c r="D11" i="12856" s="1"/>
  <c r="Q20" i="13005"/>
  <c r="Q63" i="13005"/>
  <c r="M2164" i="12908"/>
  <c r="AJ2164" i="13034" s="1"/>
  <c r="U2097" i="12908"/>
  <c r="AR2097" i="13034" s="1"/>
  <c r="D2528" i="12908"/>
  <c r="AA2528" i="13034" s="1"/>
  <c r="D2487" i="12908"/>
  <c r="AA2487" i="13034" s="1"/>
  <c r="D2526" i="12908"/>
  <c r="AA2526" i="13034" s="1"/>
  <c r="D2525" i="12908"/>
  <c r="AA2525" i="13034" s="1"/>
  <c r="D2524" i="12908"/>
  <c r="AA2524" i="13034" s="1"/>
  <c r="K61" i="12910"/>
  <c r="D502" i="12908"/>
  <c r="AA502" i="13034" s="1"/>
  <c r="G102" i="12711"/>
  <c r="G115" i="12711" s="1"/>
  <c r="A20" i="12910"/>
  <c r="D2527" i="12908"/>
  <c r="AA2527" i="13034" s="1"/>
  <c r="D2493" i="12908"/>
  <c r="AA2493" i="13034" s="1"/>
  <c r="D2491" i="12908"/>
  <c r="AA2491" i="13034" s="1"/>
  <c r="D2488" i="12908"/>
  <c r="AA2488" i="13034" s="1"/>
  <c r="D2490" i="12908"/>
  <c r="AA2490" i="13034" s="1"/>
  <c r="D2494" i="12908"/>
  <c r="AA2494" i="13034" s="1"/>
  <c r="I72" i="12910"/>
  <c r="I80" i="12910" s="1"/>
  <c r="Z43" i="12777"/>
  <c r="P208" i="12711"/>
  <c r="C111" i="12908"/>
  <c r="C807" i="12908"/>
  <c r="J174" i="12711"/>
  <c r="W174" i="12711" s="1"/>
  <c r="J177" i="12711"/>
  <c r="W177" i="12711" s="1"/>
  <c r="C1513" i="12908"/>
  <c r="Z1513" i="13034" s="1"/>
  <c r="J184" i="12711"/>
  <c r="W184" i="12711" s="1"/>
  <c r="J183" i="12711"/>
  <c r="W183" i="12711" s="1"/>
  <c r="C1413" i="12908"/>
  <c r="Z1413" i="13034" s="1"/>
  <c r="J181" i="12711"/>
  <c r="W181" i="12711" s="1"/>
  <c r="C1864" i="12908"/>
  <c r="Z1864" i="13034" s="1"/>
  <c r="J193" i="12711"/>
  <c r="W193" i="12711" s="1"/>
  <c r="J182" i="12711"/>
  <c r="W182" i="12711" s="1"/>
  <c r="C2224" i="12908"/>
  <c r="J197" i="12711"/>
  <c r="W197" i="12711" s="1"/>
  <c r="C2434" i="12908"/>
  <c r="J198" i="12711"/>
  <c r="W198" i="12711" s="1"/>
  <c r="J176" i="12711"/>
  <c r="W176" i="12711" s="1"/>
  <c r="C1826" i="12908"/>
  <c r="J192" i="12711"/>
  <c r="W192" i="12711" s="1"/>
  <c r="J204" i="12711"/>
  <c r="W204" i="12711" s="1"/>
  <c r="J179" i="12711"/>
  <c r="W179" i="12711" s="1"/>
  <c r="J175" i="12711"/>
  <c r="W175" i="12711" s="1"/>
  <c r="J195" i="12711"/>
  <c r="W195" i="12711" s="1"/>
  <c r="J185" i="12711"/>
  <c r="W185" i="12711" s="1"/>
  <c r="C1286" i="12908"/>
  <c r="K194" i="12709"/>
  <c r="K118" i="12709"/>
  <c r="K187" i="12709" s="1"/>
  <c r="G18" i="12715"/>
  <c r="N202" i="12711"/>
  <c r="K39" i="12910"/>
  <c r="W55" i="12711"/>
  <c r="C1473" i="12908"/>
  <c r="Z1473" i="13034" s="1"/>
  <c r="C2133" i="12908"/>
  <c r="Z2133" i="13034" s="1"/>
  <c r="Q85" i="12709"/>
  <c r="H85" i="12709"/>
  <c r="M50" i="12711"/>
  <c r="M178" i="12711" s="1"/>
  <c r="D1154" i="12908"/>
  <c r="AA1154" i="13034" s="1"/>
  <c r="D1156" i="12908"/>
  <c r="AA1156" i="13034" s="1"/>
  <c r="D1155" i="12908"/>
  <c r="AA1155" i="13034" s="1"/>
  <c r="C2605" i="12908"/>
  <c r="W199" i="12711"/>
  <c r="C1576" i="12908"/>
  <c r="Z1576" i="13034" s="1"/>
  <c r="C2657" i="12908"/>
  <c r="Z2657" i="13034" s="1"/>
  <c r="W63" i="12711"/>
  <c r="I96" i="12910"/>
  <c r="W66" i="12711"/>
  <c r="W64" i="12711"/>
  <c r="Y2675" i="12908"/>
  <c r="AV2675" i="13034" s="1"/>
  <c r="M98" i="12711"/>
  <c r="N98" i="12711" s="1"/>
  <c r="K75" i="12910"/>
  <c r="I1607" i="12908"/>
  <c r="AF1607" i="13034" s="1"/>
  <c r="W49" i="12711"/>
  <c r="Y2672" i="12908"/>
  <c r="AV2672" i="13034" s="1"/>
  <c r="W54" i="12711"/>
  <c r="C1453" i="12908"/>
  <c r="Z1453" i="13034" s="1"/>
  <c r="W62" i="12711"/>
  <c r="N40" i="12709"/>
  <c r="N207" i="12709" s="1"/>
  <c r="H8" i="12856"/>
  <c r="I1734" i="12908"/>
  <c r="H80" i="12908"/>
  <c r="D1619" i="12908"/>
  <c r="C1332" i="12908"/>
  <c r="Z1332" i="13034" s="1"/>
  <c r="C1248" i="12908"/>
  <c r="Z1248" i="13034" s="1"/>
  <c r="C922" i="12908"/>
  <c r="C791" i="12908"/>
  <c r="Z791" i="13034" s="1"/>
  <c r="D1645" i="12908"/>
  <c r="AA1645" i="13034" s="1"/>
  <c r="D1646" i="12908"/>
  <c r="AA1646" i="13034" s="1"/>
  <c r="D1648" i="12908"/>
  <c r="AA1648" i="13034" s="1"/>
  <c r="C2667" i="12908"/>
  <c r="Z2667" i="13034" s="1"/>
  <c r="C1875" i="12908"/>
  <c r="C2204" i="12908"/>
  <c r="Z2204" i="13034" s="1"/>
  <c r="C2158" i="12908"/>
  <c r="Z2158" i="13034" s="1"/>
  <c r="C2070" i="12908"/>
  <c r="Z2070" i="13034" s="1"/>
  <c r="D2496" i="12908"/>
  <c r="AA2496" i="13034" s="1"/>
  <c r="D2500" i="12908"/>
  <c r="AA2500" i="13034" s="1"/>
  <c r="D2497" i="12908"/>
  <c r="AA2497" i="13034" s="1"/>
  <c r="D2484" i="12908"/>
  <c r="AA2484" i="13034" s="1"/>
  <c r="D2531" i="12908"/>
  <c r="AA2531" i="13034" s="1"/>
  <c r="D2503" i="12908"/>
  <c r="AA2503" i="13034" s="1"/>
  <c r="D2532" i="12908"/>
  <c r="AA2532" i="13034" s="1"/>
  <c r="D2533" i="12908"/>
  <c r="AA2533" i="13034" s="1"/>
  <c r="D2530" i="12908"/>
  <c r="AA2530" i="13034" s="1"/>
  <c r="D2499" i="12908"/>
  <c r="AA2499" i="13034" s="1"/>
  <c r="D2502" i="12908"/>
  <c r="AA2502" i="13034" s="1"/>
  <c r="D2523" i="12908"/>
  <c r="AA2523" i="13034" s="1"/>
  <c r="D2534" i="12908"/>
  <c r="AA2534" i="13034" s="1"/>
  <c r="C1601" i="12908"/>
  <c r="Z1601" i="13034" s="1"/>
  <c r="D1653" i="12908"/>
  <c r="D1647" i="12908"/>
  <c r="AA1647" i="13034" s="1"/>
  <c r="C2022" i="12908"/>
  <c r="Z2022" i="13034" s="1"/>
  <c r="M93" i="12711"/>
  <c r="N93" i="12711" s="1"/>
  <c r="D1832" i="12908"/>
  <c r="AA1832" i="13034" s="1"/>
  <c r="D1614" i="12908"/>
  <c r="AA1614" i="13034" s="1"/>
  <c r="C1098" i="12908"/>
  <c r="C148" i="12908"/>
  <c r="Z148" i="13034" s="1"/>
  <c r="C1006" i="12908"/>
  <c r="C711" i="12908"/>
  <c r="Z711" i="13034" s="1"/>
  <c r="I157" i="12711"/>
  <c r="I208" i="12711" s="1"/>
  <c r="C2042" i="12908"/>
  <c r="Z2042" i="13034" s="1"/>
  <c r="C1117" i="12908"/>
  <c r="E143" i="12709"/>
  <c r="E156" i="12709" s="1"/>
  <c r="K138" i="12709"/>
  <c r="K190" i="12709" s="1"/>
  <c r="R51" i="12709"/>
  <c r="C864" i="12908"/>
  <c r="Z864" i="13034" s="1"/>
  <c r="W61" i="12711"/>
  <c r="W196" i="12711"/>
  <c r="J45" i="12711"/>
  <c r="W47" i="12711"/>
  <c r="S103" i="12905"/>
  <c r="R15" i="12709"/>
  <c r="H1805" i="12908"/>
  <c r="AE1805" i="13034" s="1"/>
  <c r="Y32" i="12771"/>
  <c r="C222" i="12908"/>
  <c r="R187" i="12709"/>
  <c r="E120" i="12709"/>
  <c r="E133" i="12709" s="1"/>
  <c r="R133" i="12709" s="1"/>
  <c r="R118" i="12709"/>
  <c r="R171" i="12709"/>
  <c r="R138" i="12709"/>
  <c r="R190" i="12709"/>
  <c r="R180" i="12709"/>
  <c r="W167" i="12711"/>
  <c r="Q99" i="12711"/>
  <c r="Q201" i="12711" s="1"/>
  <c r="Q92" i="12709"/>
  <c r="H1598" i="12908"/>
  <c r="Q86" i="12709"/>
  <c r="H1872" i="12908"/>
  <c r="Q94" i="12709"/>
  <c r="W189" i="12711"/>
  <c r="Q89" i="12709"/>
  <c r="H1328" i="12908"/>
  <c r="H826" i="12908"/>
  <c r="H1837" i="12908"/>
  <c r="Q93" i="12709"/>
  <c r="Q195" i="12709"/>
  <c r="Q95" i="12709"/>
  <c r="H1931" i="12908"/>
  <c r="AE1931" i="13034" s="1"/>
  <c r="H1433" i="12908"/>
  <c r="Q90" i="12709"/>
  <c r="Q88" i="12709"/>
  <c r="H2066" i="12908"/>
  <c r="Q96" i="12709"/>
  <c r="H1139" i="12908"/>
  <c r="H87" i="12709"/>
  <c r="Q87" i="12709"/>
  <c r="H1532" i="12908"/>
  <c r="Q91" i="12709"/>
  <c r="H2155" i="12908"/>
  <c r="Q97" i="12709"/>
  <c r="H97" i="12709"/>
  <c r="Q98" i="12709"/>
  <c r="H2538" i="12908"/>
  <c r="AE2538" i="13034" s="1"/>
  <c r="C1848" i="12908"/>
  <c r="Z1848" i="13034" s="1"/>
  <c r="C1880" i="12908"/>
  <c r="Z1880" i="13034" s="1"/>
  <c r="J29" i="12711"/>
  <c r="J42" i="12711" s="1"/>
  <c r="C9" i="12858" s="1"/>
  <c r="C42" i="12908"/>
  <c r="Z42" i="13034" s="1"/>
  <c r="W12" i="12711"/>
  <c r="R181" i="12709"/>
  <c r="C2114" i="12908"/>
  <c r="Z2114" i="13034" s="1"/>
  <c r="E120" i="12711"/>
  <c r="E133" i="12711" s="1"/>
  <c r="W141" i="12711"/>
  <c r="W188" i="12711"/>
  <c r="W191" i="12711"/>
  <c r="W190" i="12711"/>
  <c r="I99" i="12709"/>
  <c r="W142" i="12711"/>
  <c r="J136" i="12711"/>
  <c r="J180" i="12711" s="1"/>
  <c r="Q129" i="12711"/>
  <c r="L101" i="12711"/>
  <c r="L203" i="12711" s="1"/>
  <c r="W88" i="12711"/>
  <c r="C955" i="12908"/>
  <c r="W86" i="12711"/>
  <c r="C1050" i="12908"/>
  <c r="Z1050" i="13034" s="1"/>
  <c r="W90" i="12711"/>
  <c r="C1535" i="12908"/>
  <c r="Z1535" i="13034" s="1"/>
  <c r="C1796" i="12908"/>
  <c r="Z1796" i="13034" s="1"/>
  <c r="W139" i="12711"/>
  <c r="C1770" i="12908"/>
  <c r="Z1770" i="13034" s="1"/>
  <c r="W140" i="12711"/>
  <c r="C1713" i="12908"/>
  <c r="Z1713" i="13034" s="1"/>
  <c r="W137" i="12711"/>
  <c r="C1733" i="12908"/>
  <c r="Z1733" i="13034" s="1"/>
  <c r="W138" i="12711"/>
  <c r="W48" i="12711"/>
  <c r="C1026" i="12908"/>
  <c r="W57" i="12711"/>
  <c r="W53" i="12711"/>
  <c r="W59" i="12711"/>
  <c r="W56" i="12711"/>
  <c r="W58" i="12711"/>
  <c r="W60" i="12711"/>
  <c r="W51" i="12711"/>
  <c r="C937" i="12908"/>
  <c r="Z937" i="13034" s="1"/>
  <c r="H101" i="12709"/>
  <c r="H204" i="12709" s="1"/>
  <c r="H100" i="12709"/>
  <c r="H203" i="12709" s="1"/>
  <c r="C1616" i="12908"/>
  <c r="Z1616" i="13034" s="1"/>
  <c r="H2039" i="12908"/>
  <c r="AE2039" i="13034" s="1"/>
  <c r="H1991" i="12908"/>
  <c r="AE1991" i="13034" s="1"/>
  <c r="H1023" i="12908"/>
  <c r="AE1023" i="13034" s="1"/>
  <c r="H975" i="12908"/>
  <c r="AE975" i="13034" s="1"/>
  <c r="H1022" i="12908"/>
  <c r="AE1022" i="13034" s="1"/>
  <c r="H1388" i="12908"/>
  <c r="AE1388" i="13034" s="1"/>
  <c r="H38" i="12908"/>
  <c r="AE38" i="13034" s="1"/>
  <c r="H1511" i="12908"/>
  <c r="AE1511" i="13034" s="1"/>
  <c r="H1490" i="12908"/>
  <c r="AE1490" i="13034" s="1"/>
  <c r="H1510" i="12908"/>
  <c r="AE1510" i="13034" s="1"/>
  <c r="H1489" i="12908"/>
  <c r="AE1489" i="13034" s="1"/>
  <c r="H1389" i="12908"/>
  <c r="AE1389" i="13034" s="1"/>
  <c r="H2038" i="12908"/>
  <c r="AE2038" i="13034" s="1"/>
  <c r="H1990" i="12908"/>
  <c r="AE1990" i="13034" s="1"/>
  <c r="C958" i="12908" l="1"/>
  <c r="Z958" i="13034" s="1"/>
  <c r="Z955" i="13034"/>
  <c r="H1142" i="12908"/>
  <c r="AE1139" i="13034"/>
  <c r="H1332" i="12908"/>
  <c r="AE1328" i="13034"/>
  <c r="H1875" i="12908"/>
  <c r="AE1872" i="13034"/>
  <c r="K23" i="12910"/>
  <c r="Z1098" i="13034"/>
  <c r="K71" i="12910"/>
  <c r="Z1875" i="13034"/>
  <c r="C1829" i="12908"/>
  <c r="Z1826" i="13034"/>
  <c r="C810" i="12908"/>
  <c r="Z810" i="13034" s="1"/>
  <c r="Z807" i="13034"/>
  <c r="AF1716" i="13034"/>
  <c r="K57" i="12989"/>
  <c r="O57" i="12989" s="1"/>
  <c r="Q91" i="12910"/>
  <c r="N137" i="12709"/>
  <c r="N189" i="12709" s="1"/>
  <c r="AT1901" i="13034"/>
  <c r="AI1901" i="13015"/>
  <c r="M53" i="12989"/>
  <c r="H1535" i="12908"/>
  <c r="AE1532" i="13034"/>
  <c r="H1436" i="12908"/>
  <c r="AE1433" i="13034"/>
  <c r="K19" i="12910"/>
  <c r="Z222" i="13034"/>
  <c r="AA1619" i="13034"/>
  <c r="I38" i="13016"/>
  <c r="I38" i="12989"/>
  <c r="C1290" i="12908"/>
  <c r="Z1290" i="13034" s="1"/>
  <c r="Z1286" i="13034"/>
  <c r="C2178" i="12908"/>
  <c r="Z2224" i="13034"/>
  <c r="K16" i="12910"/>
  <c r="Z111" i="13034"/>
  <c r="K85" i="12910"/>
  <c r="Z1657" i="13034"/>
  <c r="C1030" i="12908"/>
  <c r="Z1026" i="13034"/>
  <c r="H2070" i="12908"/>
  <c r="AE2066" i="13034"/>
  <c r="H1840" i="12908"/>
  <c r="AE1837" i="13034"/>
  <c r="H1601" i="12908"/>
  <c r="AE1598" i="13034"/>
  <c r="C1073" i="12908"/>
  <c r="Z1117" i="13034"/>
  <c r="K22" i="12910"/>
  <c r="Z1006" i="13034"/>
  <c r="D1657" i="12908"/>
  <c r="AA1653" i="13034"/>
  <c r="D602" i="12908"/>
  <c r="AA602" i="13034" s="1"/>
  <c r="Z922" i="13034"/>
  <c r="K13" i="12709"/>
  <c r="K169" i="12709" s="1"/>
  <c r="AE80" i="13034"/>
  <c r="C2606" i="12908"/>
  <c r="Z2606" i="13034" s="1"/>
  <c r="Z2605" i="13034"/>
  <c r="M63" i="13016"/>
  <c r="W63" i="13005"/>
  <c r="Y63" i="13005" s="1"/>
  <c r="N139" i="12709"/>
  <c r="N191" i="12709" s="1"/>
  <c r="AF1799" i="13034"/>
  <c r="H2158" i="12908"/>
  <c r="AE2155" i="13034"/>
  <c r="H829" i="12908"/>
  <c r="AE829" i="13034" s="1"/>
  <c r="AE826" i="13034"/>
  <c r="I1805" i="12908"/>
  <c r="AF1805" i="13034" s="1"/>
  <c r="AF1734" i="13034"/>
  <c r="C2435" i="12908"/>
  <c r="Z2435" i="13034" s="1"/>
  <c r="Z2434" i="13034"/>
  <c r="M20" i="13016"/>
  <c r="W20" i="13005"/>
  <c r="Y20" i="13005" s="1"/>
  <c r="U2141" i="12908"/>
  <c r="AR2141" i="13034" s="1"/>
  <c r="AJ2141" i="13034"/>
  <c r="D797" i="12908"/>
  <c r="AA797" i="13034" s="1"/>
  <c r="D798" i="12908"/>
  <c r="AA798" i="13034" s="1"/>
  <c r="D799" i="12908"/>
  <c r="AA799" i="13034" s="1"/>
  <c r="D434" i="12908"/>
  <c r="D779" i="12908"/>
  <c r="AA779" i="13034" s="1"/>
  <c r="D780" i="12908"/>
  <c r="D778" i="12908"/>
  <c r="AA778" i="13034" s="1"/>
  <c r="D698" i="12908"/>
  <c r="AA698" i="13034" s="1"/>
  <c r="D696" i="12908"/>
  <c r="AA696" i="13034" s="1"/>
  <c r="D697" i="12908"/>
  <c r="AA697" i="13034" s="1"/>
  <c r="D422" i="12908"/>
  <c r="AA422" i="13034" s="1"/>
  <c r="D490" i="12908"/>
  <c r="AA490" i="13034" s="1"/>
  <c r="D491" i="12908"/>
  <c r="AA491" i="13034" s="1"/>
  <c r="D489" i="12908"/>
  <c r="AA489" i="13034" s="1"/>
  <c r="Q48" i="13014"/>
  <c r="W48" i="13014" s="1"/>
  <c r="S48" i="13014"/>
  <c r="U20" i="13005"/>
  <c r="AA20" i="13005" s="1"/>
  <c r="AC20" i="13005" s="1"/>
  <c r="C1994" i="12908"/>
  <c r="Q16" i="13007"/>
  <c r="W16" i="13007" s="1"/>
  <c r="Y16" i="13007" s="1"/>
  <c r="U63" i="13005"/>
  <c r="AA63" i="13005" s="1"/>
  <c r="AC63" i="13005" s="1"/>
  <c r="Q48" i="13007"/>
  <c r="Q53" i="13005"/>
  <c r="Y1716" i="12908"/>
  <c r="AV1716" i="13034" s="1"/>
  <c r="W2523" i="12908"/>
  <c r="W1646" i="12908"/>
  <c r="S1646" i="12908"/>
  <c r="AP1646" i="13034" s="1"/>
  <c r="U1646" i="12908"/>
  <c r="AR1646" i="13034" s="1"/>
  <c r="Y1646" i="12908"/>
  <c r="AV1646" i="13034" s="1"/>
  <c r="W1645" i="12908"/>
  <c r="U1645" i="12908"/>
  <c r="AR1645" i="13034" s="1"/>
  <c r="I40" i="13005"/>
  <c r="I38" i="13005"/>
  <c r="M2210" i="12908"/>
  <c r="M2187" i="12908"/>
  <c r="U2164" i="12908"/>
  <c r="AR2164" i="13034" s="1"/>
  <c r="P11" i="12773"/>
  <c r="H1933" i="12908"/>
  <c r="D2405" i="12908"/>
  <c r="AA2405" i="13034" s="1"/>
  <c r="D2407" i="12908"/>
  <c r="AA2407" i="13034" s="1"/>
  <c r="D2404" i="12908"/>
  <c r="AA2404" i="13034" s="1"/>
  <c r="D2419" i="12908"/>
  <c r="AA2419" i="13034" s="1"/>
  <c r="D2408" i="12908"/>
  <c r="AA2408" i="13034" s="1"/>
  <c r="D2383" i="12908"/>
  <c r="AA2383" i="13034" s="1"/>
  <c r="D2422" i="12908"/>
  <c r="AA2422" i="13034" s="1"/>
  <c r="D2409" i="12908"/>
  <c r="AA2409" i="13034" s="1"/>
  <c r="D2406" i="12908"/>
  <c r="AA2406" i="13034" s="1"/>
  <c r="D2529" i="12908"/>
  <c r="AA2529" i="13034" s="1"/>
  <c r="D2424" i="12908"/>
  <c r="AA2424" i="13034" s="1"/>
  <c r="D1522" i="12908"/>
  <c r="AA1522" i="13034" s="1"/>
  <c r="D1521" i="12908"/>
  <c r="AA1521" i="13034" s="1"/>
  <c r="D1525" i="12908"/>
  <c r="D1523" i="12908"/>
  <c r="D1524" i="12908"/>
  <c r="D1584" i="12908"/>
  <c r="D1586" i="12908"/>
  <c r="D1588" i="12908"/>
  <c r="D1585" i="12908"/>
  <c r="D1587" i="12908"/>
  <c r="C1542" i="12908"/>
  <c r="Z1542" i="13034" s="1"/>
  <c r="C1579" i="12908"/>
  <c r="Z1579" i="13034" s="1"/>
  <c r="K69" i="12910"/>
  <c r="S1156" i="12908"/>
  <c r="AP1156" i="13034" s="1"/>
  <c r="W1156" i="12908"/>
  <c r="U1156" i="12908"/>
  <c r="AR1156" i="13034" s="1"/>
  <c r="Y1156" i="12908"/>
  <c r="AV1156" i="13034" s="1"/>
  <c r="I1807" i="12908"/>
  <c r="C1492" i="12908"/>
  <c r="C1456" i="12908"/>
  <c r="D585" i="12908"/>
  <c r="AA585" i="13034" s="1"/>
  <c r="D589" i="12908"/>
  <c r="AA589" i="13034" s="1"/>
  <c r="D593" i="12908"/>
  <c r="D597" i="12908"/>
  <c r="D594" i="12908"/>
  <c r="AA594" i="13034" s="1"/>
  <c r="D595" i="12908"/>
  <c r="AA595" i="13034" s="1"/>
  <c r="K65" i="12910"/>
  <c r="D668" i="12908"/>
  <c r="AA668" i="13034" s="1"/>
  <c r="K35" i="12910"/>
  <c r="D468" i="12908"/>
  <c r="AA468" i="13034" s="1"/>
  <c r="K20" i="12910"/>
  <c r="D294" i="12908"/>
  <c r="AA294" i="13034" s="1"/>
  <c r="D416" i="12908"/>
  <c r="AA416" i="13034" s="1"/>
  <c r="D427" i="12908"/>
  <c r="AA427" i="13034" s="1"/>
  <c r="D484" i="12908"/>
  <c r="AA484" i="13034" s="1"/>
  <c r="D495" i="12908"/>
  <c r="D493" i="12908"/>
  <c r="D497" i="12908"/>
  <c r="D494" i="12908"/>
  <c r="A21" i="12910"/>
  <c r="D2361" i="12908"/>
  <c r="AA2361" i="13034" s="1"/>
  <c r="D2423" i="12908"/>
  <c r="AA2423" i="13034" s="1"/>
  <c r="D2421" i="12908"/>
  <c r="AA2421" i="13034" s="1"/>
  <c r="D2420" i="12908"/>
  <c r="AA2420" i="13034" s="1"/>
  <c r="D2384" i="12908"/>
  <c r="AA2384" i="13034" s="1"/>
  <c r="D2386" i="12908"/>
  <c r="AA2386" i="13034" s="1"/>
  <c r="D2387" i="12908"/>
  <c r="AA2387" i="13034" s="1"/>
  <c r="D2390" i="12908"/>
  <c r="AA2390" i="13034" s="1"/>
  <c r="D2389" i="12908"/>
  <c r="AA2389" i="13034" s="1"/>
  <c r="K52" i="12910"/>
  <c r="D2362" i="12908"/>
  <c r="AA2362" i="13034" s="1"/>
  <c r="D2368" i="12908"/>
  <c r="AA2368" i="13034" s="1"/>
  <c r="D2364" i="12908"/>
  <c r="AA2364" i="13034" s="1"/>
  <c r="D2367" i="12908"/>
  <c r="AA2367" i="13034" s="1"/>
  <c r="D2365" i="12908"/>
  <c r="AA2365" i="13034" s="1"/>
  <c r="C1416" i="12908"/>
  <c r="Z1416" i="13034" s="1"/>
  <c r="K26" i="12910"/>
  <c r="D2005" i="12908"/>
  <c r="AA2005" i="13034" s="1"/>
  <c r="D2004" i="12908"/>
  <c r="AA2004" i="13034" s="1"/>
  <c r="K73" i="12910"/>
  <c r="D2053" i="12908"/>
  <c r="AA2053" i="13034" s="1"/>
  <c r="D2052" i="12908"/>
  <c r="AA2052" i="13034" s="1"/>
  <c r="D2188" i="12908"/>
  <c r="AA2188" i="13034" s="1"/>
  <c r="D2189" i="12908"/>
  <c r="AA2189" i="13034" s="1"/>
  <c r="K27" i="12910"/>
  <c r="D2098" i="12908"/>
  <c r="AA2098" i="13034" s="1"/>
  <c r="D2099" i="12908"/>
  <c r="AA2099" i="13034" s="1"/>
  <c r="K74" i="12910"/>
  <c r="D2143" i="12908"/>
  <c r="AA2143" i="13034" s="1"/>
  <c r="D2142" i="12908"/>
  <c r="AA2142" i="13034" s="1"/>
  <c r="K68" i="12910"/>
  <c r="I202" i="12709"/>
  <c r="C2227" i="12908"/>
  <c r="Z2227" i="13034" s="1"/>
  <c r="D802" i="12908"/>
  <c r="C1867" i="12908"/>
  <c r="C1391" i="12908"/>
  <c r="Z1391" i="13034" s="1"/>
  <c r="C2330" i="12908"/>
  <c r="C45" i="12908"/>
  <c r="Z45" i="13034" s="1"/>
  <c r="M14" i="12711"/>
  <c r="M169" i="12711" s="1"/>
  <c r="D803" i="12908"/>
  <c r="AA803" i="13034" s="1"/>
  <c r="C769" i="12908"/>
  <c r="M46" i="12711"/>
  <c r="N46" i="12711" s="1"/>
  <c r="D804" i="12908"/>
  <c r="J67" i="12711"/>
  <c r="C2089" i="12908"/>
  <c r="C2136" i="12908"/>
  <c r="Z2136" i="13034" s="1"/>
  <c r="C1476" i="12908"/>
  <c r="Z1476" i="13034" s="1"/>
  <c r="C886" i="12908"/>
  <c r="Z886" i="13034" s="1"/>
  <c r="I85" i="12709"/>
  <c r="Q85" i="12711"/>
  <c r="C867" i="12908"/>
  <c r="Z867" i="13034" s="1"/>
  <c r="C845" i="12908"/>
  <c r="Z845" i="13034" s="1"/>
  <c r="O61" i="12910"/>
  <c r="I1154" i="12908"/>
  <c r="AF1154" i="13034" s="1"/>
  <c r="I1156" i="12908"/>
  <c r="AF1156" i="13034" s="1"/>
  <c r="I1155" i="12908"/>
  <c r="AF1155" i="13034" s="1"/>
  <c r="N50" i="12711"/>
  <c r="N178" i="12711" s="1"/>
  <c r="L50" i="12711"/>
  <c r="L98" i="12711"/>
  <c r="V98" i="12711" s="1"/>
  <c r="C2648" i="12908"/>
  <c r="C2658" i="12908"/>
  <c r="F139" i="12709"/>
  <c r="F191" i="12709" s="1"/>
  <c r="M85" i="12910"/>
  <c r="K41" i="12910"/>
  <c r="M89" i="12711"/>
  <c r="N89" i="12711" s="1"/>
  <c r="K66" i="12910"/>
  <c r="D82" i="12908"/>
  <c r="K15" i="12910"/>
  <c r="K18" i="12910"/>
  <c r="D785" i="12908"/>
  <c r="K21" i="12910"/>
  <c r="M83" i="12910"/>
  <c r="O118" i="12711"/>
  <c r="O186" i="12711" s="1"/>
  <c r="K17" i="12910"/>
  <c r="M27" i="12711"/>
  <c r="K28" i="12910"/>
  <c r="K29" i="12910"/>
  <c r="D915" i="12908"/>
  <c r="AA915" i="13034" s="1"/>
  <c r="K24" i="12910"/>
  <c r="K25" i="12910"/>
  <c r="C728" i="12908"/>
  <c r="F141" i="12709"/>
  <c r="H1848" i="12908" s="1"/>
  <c r="AE1848" i="13034" s="1"/>
  <c r="F137" i="12709"/>
  <c r="F189" i="12709" s="1"/>
  <c r="F140" i="12709"/>
  <c r="F192" i="12709" s="1"/>
  <c r="F138" i="12709"/>
  <c r="F190" i="12709" s="1"/>
  <c r="F142" i="12709"/>
  <c r="H1880" i="12908" s="1"/>
  <c r="I1736" i="12908"/>
  <c r="M52" i="12711"/>
  <c r="N52" i="12711" s="1"/>
  <c r="M23" i="12711"/>
  <c r="I2534" i="12908"/>
  <c r="AF2534" i="13034" s="1"/>
  <c r="I2531" i="12908"/>
  <c r="AF2531" i="13034" s="1"/>
  <c r="I2496" i="12908"/>
  <c r="AF2496" i="13034" s="1"/>
  <c r="I1614" i="12908"/>
  <c r="AF1614" i="13034" s="1"/>
  <c r="I1647" i="12908"/>
  <c r="AF1647" i="13034" s="1"/>
  <c r="I2523" i="12908"/>
  <c r="AF2523" i="13034" s="1"/>
  <c r="I2533" i="12908"/>
  <c r="AF2533" i="13034" s="1"/>
  <c r="I2484" i="12908"/>
  <c r="AF2484" i="13034" s="1"/>
  <c r="I1648" i="12908"/>
  <c r="AF1648" i="13034" s="1"/>
  <c r="I2530" i="12908"/>
  <c r="AF2530" i="13034" s="1"/>
  <c r="I1832" i="12908"/>
  <c r="AF1832" i="13034" s="1"/>
  <c r="I2502" i="12908"/>
  <c r="AF2502" i="13034" s="1"/>
  <c r="I2532" i="12908"/>
  <c r="AF2532" i="13034" s="1"/>
  <c r="I2497" i="12908"/>
  <c r="AF2497" i="13034" s="1"/>
  <c r="I1646" i="12908"/>
  <c r="AF1646" i="13034" s="1"/>
  <c r="I2499" i="12908"/>
  <c r="AF2499" i="13034" s="1"/>
  <c r="I2503" i="12908"/>
  <c r="AF2503" i="13034" s="1"/>
  <c r="I2500" i="12908"/>
  <c r="AF2500" i="13034" s="1"/>
  <c r="I1645" i="12908"/>
  <c r="AF1645" i="13034" s="1"/>
  <c r="H43" i="12908"/>
  <c r="AE43" i="13034" s="1"/>
  <c r="C901" i="12908"/>
  <c r="D909" i="12908"/>
  <c r="AA909" i="13034" s="1"/>
  <c r="D1597" i="12908"/>
  <c r="AA1597" i="13034" s="1"/>
  <c r="D916" i="12908"/>
  <c r="D914" i="12908"/>
  <c r="AA914" i="13034" s="1"/>
  <c r="D1531" i="12908"/>
  <c r="AA1531" i="13034" s="1"/>
  <c r="D1530" i="12908"/>
  <c r="AA1530" i="13034" s="1"/>
  <c r="D1520" i="12908"/>
  <c r="AA1520" i="13034" s="1"/>
  <c r="D1527" i="12908"/>
  <c r="AA1527" i="13034" s="1"/>
  <c r="D1528" i="12908"/>
  <c r="AA1528" i="13034" s="1"/>
  <c r="C978" i="12908"/>
  <c r="M92" i="12711"/>
  <c r="D951" i="12908"/>
  <c r="AA951" i="13034" s="1"/>
  <c r="D950" i="12908"/>
  <c r="AA950" i="13034" s="1"/>
  <c r="D945" i="12908"/>
  <c r="AA945" i="13034" s="1"/>
  <c r="D952" i="12908"/>
  <c r="M18" i="12711"/>
  <c r="D710" i="12908"/>
  <c r="AA710" i="13034" s="1"/>
  <c r="D706" i="12908"/>
  <c r="AA706" i="13034" s="1"/>
  <c r="D703" i="12908"/>
  <c r="D701" i="12908"/>
  <c r="AA701" i="13034" s="1"/>
  <c r="D702" i="12908"/>
  <c r="AA702" i="13034" s="1"/>
  <c r="D1088" i="12908"/>
  <c r="AA1088" i="13034" s="1"/>
  <c r="D1089" i="12908"/>
  <c r="AA1089" i="13034" s="1"/>
  <c r="D1090" i="12908"/>
  <c r="AA1090" i="13034" s="1"/>
  <c r="D1029" i="12908"/>
  <c r="AA1029" i="13034" s="1"/>
  <c r="D1025" i="12908"/>
  <c r="AA1025" i="13034" s="1"/>
  <c r="D1018" i="12908"/>
  <c r="AA1018" i="13034" s="1"/>
  <c r="D1019" i="12908"/>
  <c r="AA1019" i="13034" s="1"/>
  <c r="D1020" i="12908"/>
  <c r="AA1020" i="13034" s="1"/>
  <c r="D1005" i="12908"/>
  <c r="AA1005" i="13034" s="1"/>
  <c r="D1001" i="12908"/>
  <c r="AA1001" i="13034" s="1"/>
  <c r="D995" i="12908"/>
  <c r="AA995" i="13034" s="1"/>
  <c r="D996" i="12908"/>
  <c r="AA996" i="13034" s="1"/>
  <c r="D994" i="12908"/>
  <c r="AA994" i="13034" s="1"/>
  <c r="C940" i="12908"/>
  <c r="Z940" i="13034" s="1"/>
  <c r="M97" i="12711"/>
  <c r="M28" i="12711"/>
  <c r="M25" i="12711"/>
  <c r="D181" i="12908"/>
  <c r="M15" i="12711"/>
  <c r="M170" i="12711" s="1"/>
  <c r="D2021" i="12908"/>
  <c r="AA2021" i="13034" s="1"/>
  <c r="D2017" i="12908"/>
  <c r="AA2017" i="13034" s="1"/>
  <c r="D2011" i="12908"/>
  <c r="AA2011" i="13034" s="1"/>
  <c r="D2012" i="12908"/>
  <c r="D2010" i="12908"/>
  <c r="AA2010" i="13034" s="1"/>
  <c r="M58" i="12711"/>
  <c r="D1821" i="12908"/>
  <c r="AA1821" i="13034" s="1"/>
  <c r="C1736" i="12908"/>
  <c r="Z1736" i="13034" s="1"/>
  <c r="C1773" i="12908"/>
  <c r="Z1773" i="13034" s="1"/>
  <c r="C2046" i="12908"/>
  <c r="Z2046" i="13034" s="1"/>
  <c r="D783" i="12908"/>
  <c r="AA783" i="13034" s="1"/>
  <c r="D784" i="12908"/>
  <c r="AA784" i="13034" s="1"/>
  <c r="D1652" i="12908"/>
  <c r="AA1652" i="13034" s="1"/>
  <c r="D2150" i="12908"/>
  <c r="AA2150" i="13034" s="1"/>
  <c r="D2149" i="12908"/>
  <c r="AA2149" i="13034" s="1"/>
  <c r="D2148" i="12908"/>
  <c r="AA2148" i="13034" s="1"/>
  <c r="D2194" i="12908"/>
  <c r="AA2194" i="13034" s="1"/>
  <c r="D2196" i="12908"/>
  <c r="D2195" i="12908"/>
  <c r="AA2195" i="13034" s="1"/>
  <c r="M94" i="12711"/>
  <c r="C1883" i="12908"/>
  <c r="Z1883" i="13034" s="1"/>
  <c r="D1596" i="12908"/>
  <c r="AA1596" i="13034" s="1"/>
  <c r="D1583" i="12908"/>
  <c r="C1716" i="12908"/>
  <c r="Z1716" i="13034" s="1"/>
  <c r="C1799" i="12908"/>
  <c r="Z1799" i="13034" s="1"/>
  <c r="D2358" i="12908"/>
  <c r="AA2358" i="13034" s="1"/>
  <c r="D2410" i="12908"/>
  <c r="AA2410" i="13034" s="1"/>
  <c r="D2370" i="12908"/>
  <c r="AA2370" i="13034" s="1"/>
  <c r="D2398" i="12908"/>
  <c r="AA2398" i="13034" s="1"/>
  <c r="D2415" i="12908"/>
  <c r="AA2415" i="13034" s="1"/>
  <c r="D2380" i="12908"/>
  <c r="AA2380" i="13034" s="1"/>
  <c r="D2377" i="12908"/>
  <c r="AA2377" i="13034" s="1"/>
  <c r="D2412" i="12908"/>
  <c r="AA2412" i="13034" s="1"/>
  <c r="D2427" i="12908"/>
  <c r="AA2427" i="13034" s="1"/>
  <c r="D2428" i="12908"/>
  <c r="AA2428" i="13034" s="1"/>
  <c r="D2393" i="12908"/>
  <c r="AA2393" i="13034" s="1"/>
  <c r="D2396" i="12908"/>
  <c r="AA2396" i="13034" s="1"/>
  <c r="D2403" i="12908"/>
  <c r="AA2403" i="13034" s="1"/>
  <c r="D2392" i="12908"/>
  <c r="AA2392" i="13034" s="1"/>
  <c r="D2395" i="12908"/>
  <c r="AA2395" i="13034" s="1"/>
  <c r="D2374" i="12908"/>
  <c r="AA2374" i="13034" s="1"/>
  <c r="D2376" i="12908"/>
  <c r="AA2376" i="13034" s="1"/>
  <c r="D2411" i="12908"/>
  <c r="AA2411" i="13034" s="1"/>
  <c r="D2414" i="12908"/>
  <c r="AA2414" i="13034" s="1"/>
  <c r="D2371" i="12908"/>
  <c r="AA2371" i="13034" s="1"/>
  <c r="D2399" i="12908"/>
  <c r="AA2399" i="13034" s="1"/>
  <c r="D2429" i="12908"/>
  <c r="AA2429" i="13034" s="1"/>
  <c r="D2373" i="12908"/>
  <c r="AA2373" i="13034" s="1"/>
  <c r="D2426" i="12908"/>
  <c r="AA2426" i="13034" s="1"/>
  <c r="D2430" i="12908"/>
  <c r="AA2430" i="13034" s="1"/>
  <c r="D2106" i="12908"/>
  <c r="D2104" i="12908"/>
  <c r="AA2104" i="13034" s="1"/>
  <c r="D2105" i="12908"/>
  <c r="AA2105" i="13034" s="1"/>
  <c r="D2069" i="12908"/>
  <c r="AA2069" i="13034" s="1"/>
  <c r="D2065" i="12908"/>
  <c r="AA2065" i="13034" s="1"/>
  <c r="D2060" i="12908"/>
  <c r="AA2060" i="13034" s="1"/>
  <c r="D2059" i="12908"/>
  <c r="AA2059" i="13034" s="1"/>
  <c r="D2058" i="12908"/>
  <c r="AA2058" i="13034" s="1"/>
  <c r="C1935" i="12908"/>
  <c r="Z1935" i="13034" s="1"/>
  <c r="M21" i="12711"/>
  <c r="D184" i="12908"/>
  <c r="AA184" i="13034" s="1"/>
  <c r="D147" i="12908"/>
  <c r="AA147" i="13034" s="1"/>
  <c r="D144" i="12908"/>
  <c r="M19" i="12711"/>
  <c r="M20" i="12711"/>
  <c r="M22" i="12711"/>
  <c r="C1120" i="12908"/>
  <c r="C1054" i="12908"/>
  <c r="D221" i="12908"/>
  <c r="AA221" i="13034" s="1"/>
  <c r="D218" i="12908"/>
  <c r="W45" i="12711"/>
  <c r="M17" i="12711"/>
  <c r="M172" i="12711" s="1"/>
  <c r="R169" i="12709"/>
  <c r="F118" i="12709"/>
  <c r="F187" i="12709" s="1"/>
  <c r="N102" i="12905"/>
  <c r="C14" i="12715"/>
  <c r="D14" i="12715" s="1"/>
  <c r="V203" i="12711"/>
  <c r="E19" i="12715"/>
  <c r="F19" i="12715" s="1"/>
  <c r="H19" i="12715" s="1"/>
  <c r="R156" i="12709"/>
  <c r="M16" i="12711"/>
  <c r="M171" i="12711" s="1"/>
  <c r="M13" i="12711"/>
  <c r="Q100" i="12711"/>
  <c r="Q202" i="12711" s="1"/>
  <c r="Q101" i="12711"/>
  <c r="Q203" i="12711" s="1"/>
  <c r="V201" i="12711"/>
  <c r="L97" i="12709"/>
  <c r="L89" i="12709"/>
  <c r="I97" i="12709"/>
  <c r="Q97" i="12711"/>
  <c r="Q87" i="12711"/>
  <c r="I87" i="12709"/>
  <c r="L94" i="12709"/>
  <c r="M26" i="12711"/>
  <c r="C1619" i="12908"/>
  <c r="C1142" i="12908"/>
  <c r="W136" i="12711"/>
  <c r="M63" i="12711"/>
  <c r="M198" i="12711" s="1"/>
  <c r="V101" i="12711"/>
  <c r="I100" i="12709"/>
  <c r="I203" i="12709" s="1"/>
  <c r="I101" i="12709"/>
  <c r="I204" i="12709" s="1"/>
  <c r="C1856" i="12908"/>
  <c r="M91" i="12711"/>
  <c r="C1851" i="12908"/>
  <c r="C1815" i="12908"/>
  <c r="Z1815" i="13034" s="1"/>
  <c r="C1370" i="12908"/>
  <c r="Z1370" i="13034" s="1"/>
  <c r="J143" i="12711"/>
  <c r="J156" i="12711" s="1"/>
  <c r="L100" i="12711"/>
  <c r="L202" i="12711" s="1"/>
  <c r="C1554" i="12908"/>
  <c r="Z1554" i="13034" s="1"/>
  <c r="C1516" i="12908"/>
  <c r="C1804" i="12908"/>
  <c r="W42" i="12711"/>
  <c r="V99" i="12711"/>
  <c r="H1024" i="12908"/>
  <c r="AE1024" i="13034" s="1"/>
  <c r="H976" i="12908"/>
  <c r="AE976" i="13034" s="1"/>
  <c r="H2040" i="12908"/>
  <c r="AE2040" i="13034" s="1"/>
  <c r="H1992" i="12908"/>
  <c r="AE1992" i="13034" s="1"/>
  <c r="H1390" i="12908"/>
  <c r="AE1390" i="13034" s="1"/>
  <c r="H1512" i="12908"/>
  <c r="H1491" i="12908"/>
  <c r="AE1491" i="13034" s="1"/>
  <c r="H1514" i="12908" l="1"/>
  <c r="AE1514" i="13034" s="1"/>
  <c r="AE1512" i="13034"/>
  <c r="C1807" i="12908"/>
  <c r="Z1804" i="13034"/>
  <c r="K83" i="12910"/>
  <c r="Z1619" i="13034"/>
  <c r="N138" i="12709"/>
  <c r="N190" i="12709" s="1"/>
  <c r="AF1736" i="13034"/>
  <c r="AA82" i="13034"/>
  <c r="I15" i="13016"/>
  <c r="I15" i="12989"/>
  <c r="Y804" i="12908"/>
  <c r="AV804" i="13034" s="1"/>
  <c r="AA804" i="13034"/>
  <c r="K48" i="12910"/>
  <c r="Z1867" i="13034"/>
  <c r="I494" i="12908"/>
  <c r="AF494" i="13034" s="1"/>
  <c r="AA494" i="13034"/>
  <c r="D592" i="12908"/>
  <c r="AA592" i="13034" s="1"/>
  <c r="AA593" i="13034"/>
  <c r="C1495" i="12908"/>
  <c r="Z1495" i="13034" s="1"/>
  <c r="Z1492" i="13034"/>
  <c r="AT1156" i="13034"/>
  <c r="AI1156" i="13015"/>
  <c r="AA1586" i="13034"/>
  <c r="AA1525" i="13034"/>
  <c r="D423" i="12908"/>
  <c r="AA423" i="13034" s="1"/>
  <c r="AA434" i="13034"/>
  <c r="O68" i="12910"/>
  <c r="AE1535" i="13034"/>
  <c r="K64" i="12910"/>
  <c r="Z1142" i="13034"/>
  <c r="Y218" i="12908"/>
  <c r="AV218" i="13034" s="1"/>
  <c r="AA218" i="13034"/>
  <c r="D1504" i="12908"/>
  <c r="AA1504" i="13034" s="1"/>
  <c r="Z1516" i="13034"/>
  <c r="C1859" i="12908"/>
  <c r="Z1859" i="13034" s="1"/>
  <c r="Z1856" i="13034"/>
  <c r="K63" i="12910"/>
  <c r="Z1054" i="13034"/>
  <c r="Y2012" i="12908"/>
  <c r="AV2012" i="13034" s="1"/>
  <c r="AA2012" i="13034"/>
  <c r="C904" i="12908"/>
  <c r="Z904" i="13034" s="1"/>
  <c r="Z901" i="13034"/>
  <c r="H1883" i="12908"/>
  <c r="AE1880" i="13034"/>
  <c r="Y785" i="12908"/>
  <c r="AV785" i="13034" s="1"/>
  <c r="AA785" i="13034"/>
  <c r="I802" i="12908"/>
  <c r="AF802" i="13034" s="1"/>
  <c r="AA802" i="13034"/>
  <c r="I497" i="12908"/>
  <c r="AF497" i="13034" s="1"/>
  <c r="AA497" i="13034"/>
  <c r="AB1807" i="12908"/>
  <c r="AF1807" i="13034"/>
  <c r="K58" i="12989"/>
  <c r="O58" i="12989" s="1"/>
  <c r="AA1587" i="13034"/>
  <c r="AA1584" i="13034"/>
  <c r="U2187" i="12908"/>
  <c r="AR2187" i="13034" s="1"/>
  <c r="AJ2187" i="13034"/>
  <c r="M53" i="13016"/>
  <c r="W53" i="13005"/>
  <c r="Y53" i="13005" s="1"/>
  <c r="C1998" i="12908"/>
  <c r="Z1998" i="13034" s="1"/>
  <c r="Z1994" i="13034"/>
  <c r="O69" i="12910"/>
  <c r="AE1601" i="13034"/>
  <c r="O73" i="12910"/>
  <c r="AE2070" i="13034"/>
  <c r="C2181" i="12908"/>
  <c r="Z2181" i="13034" s="1"/>
  <c r="Z2178" i="13034"/>
  <c r="O53" i="12989"/>
  <c r="AC53" i="12989"/>
  <c r="O71" i="12910"/>
  <c r="AE1875" i="13034"/>
  <c r="O64" i="12910"/>
  <c r="AE1142" i="13034"/>
  <c r="K93" i="12910"/>
  <c r="Z1851" i="13034"/>
  <c r="K38" i="12910"/>
  <c r="Z1120" i="13034"/>
  <c r="Y144" i="12908"/>
  <c r="AV144" i="13034" s="1"/>
  <c r="AA144" i="13034"/>
  <c r="Y2106" i="12908"/>
  <c r="AV2106" i="13034" s="1"/>
  <c r="AA2106" i="13034"/>
  <c r="W1583" i="12908"/>
  <c r="AA1583" i="13034"/>
  <c r="Y181" i="12908"/>
  <c r="AV181" i="13034" s="1"/>
  <c r="AA181" i="13034"/>
  <c r="Y703" i="12908"/>
  <c r="AV703" i="13034" s="1"/>
  <c r="AA703" i="13034"/>
  <c r="Y952" i="12908"/>
  <c r="AV952" i="13034" s="1"/>
  <c r="AA952" i="13034"/>
  <c r="Y916" i="12908"/>
  <c r="AV916" i="13034" s="1"/>
  <c r="AA916" i="13034"/>
  <c r="C732" i="12908"/>
  <c r="Z732" i="13034" s="1"/>
  <c r="Z728" i="13034"/>
  <c r="K55" i="12910"/>
  <c r="Z2658" i="13034"/>
  <c r="C2092" i="12908"/>
  <c r="Z2092" i="13034" s="1"/>
  <c r="Z2089" i="13034"/>
  <c r="C772" i="12908"/>
  <c r="Z772" i="13034" s="1"/>
  <c r="Z769" i="13034"/>
  <c r="C2331" i="12908"/>
  <c r="Z2331" i="13034" s="1"/>
  <c r="Z2330" i="13034"/>
  <c r="D492" i="12908"/>
  <c r="AA492" i="13034" s="1"/>
  <c r="AA493" i="13034"/>
  <c r="AA1585" i="13034"/>
  <c r="AA1524" i="13034"/>
  <c r="H1935" i="12908"/>
  <c r="AE1935" i="13034" s="1"/>
  <c r="AE1933" i="13034"/>
  <c r="U2210" i="12908"/>
  <c r="AR2210" i="13034" s="1"/>
  <c r="AJ2210" i="13034"/>
  <c r="AT1645" i="13034"/>
  <c r="AI1645" i="13015"/>
  <c r="AT1646" i="13034"/>
  <c r="AI1646" i="13015"/>
  <c r="U48" i="13007"/>
  <c r="AA48" i="13007" s="1"/>
  <c r="AC48" i="13007" s="1"/>
  <c r="W48" i="13007"/>
  <c r="Y48" i="13007" s="1"/>
  <c r="D761" i="12908"/>
  <c r="AA761" i="13034" s="1"/>
  <c r="AA780" i="13034"/>
  <c r="O67" i="12910"/>
  <c r="AE1436" i="13034"/>
  <c r="AD57" i="12989"/>
  <c r="Q57" i="12989"/>
  <c r="O81" i="12989" s="1"/>
  <c r="Y2196" i="12908"/>
  <c r="AV2196" i="13034" s="1"/>
  <c r="AA2196" i="13034"/>
  <c r="C982" i="12908"/>
  <c r="Z982" i="13034" s="1"/>
  <c r="Z978" i="13034"/>
  <c r="C2649" i="12908"/>
  <c r="Z2649" i="13034" s="1"/>
  <c r="Z2648" i="13034"/>
  <c r="I495" i="12908"/>
  <c r="AF495" i="13034" s="1"/>
  <c r="AA495" i="13034"/>
  <c r="D598" i="12908"/>
  <c r="AA598" i="13034" s="1"/>
  <c r="AA597" i="13034"/>
  <c r="K43" i="12910"/>
  <c r="Z1456" i="13034"/>
  <c r="AA1588" i="13034"/>
  <c r="AA1523" i="13034"/>
  <c r="AT2523" i="13034"/>
  <c r="AI2523" i="13015"/>
  <c r="M16" i="13017"/>
  <c r="Q20" i="13016"/>
  <c r="W20" i="13016" s="1"/>
  <c r="Y20" i="13016" s="1"/>
  <c r="S20" i="13016"/>
  <c r="U20" i="13016" s="1"/>
  <c r="O74" i="12910"/>
  <c r="AE2158" i="13034"/>
  <c r="M48" i="13017"/>
  <c r="Q48" i="13017" s="1"/>
  <c r="W48" i="13017" s="1"/>
  <c r="Q63" i="13016"/>
  <c r="W63" i="13016" s="1"/>
  <c r="Y63" i="13016" s="1"/>
  <c r="S63" i="13016"/>
  <c r="U63" i="13016" s="1"/>
  <c r="AA1657" i="13034"/>
  <c r="I40" i="13016"/>
  <c r="I41" i="13016" s="1"/>
  <c r="I40" i="12989"/>
  <c r="I41" i="12989" s="1"/>
  <c r="C1076" i="12908"/>
  <c r="Z1076" i="13034" s="1"/>
  <c r="Z1073" i="13034"/>
  <c r="O70" i="12910"/>
  <c r="AE1840" i="13034"/>
  <c r="K37" i="12910"/>
  <c r="Z1030" i="13034"/>
  <c r="K47" i="12910"/>
  <c r="Z1829" i="13034"/>
  <c r="O66" i="12910"/>
  <c r="AE1332" i="13034"/>
  <c r="W1520" i="12908"/>
  <c r="D536" i="12908"/>
  <c r="AA536" i="13034" s="1"/>
  <c r="D855" i="12908"/>
  <c r="D856" i="12908"/>
  <c r="D854" i="12908"/>
  <c r="AA854" i="13034" s="1"/>
  <c r="D426" i="12908"/>
  <c r="AA426" i="13034" s="1"/>
  <c r="D421" i="12908"/>
  <c r="D425" i="12908"/>
  <c r="AA425" i="13034" s="1"/>
  <c r="D429" i="12908"/>
  <c r="D760" i="12908"/>
  <c r="AA760" i="13034" s="1"/>
  <c r="D330" i="12908"/>
  <c r="AA330" i="13034" s="1"/>
  <c r="D718" i="12908"/>
  <c r="AA718" i="13034" s="1"/>
  <c r="D719" i="12908"/>
  <c r="AA719" i="13034" s="1"/>
  <c r="D717" i="12908"/>
  <c r="AA717" i="13034" s="1"/>
  <c r="D457" i="12908"/>
  <c r="AA457" i="13034" s="1"/>
  <c r="D455" i="12908"/>
  <c r="AA455" i="13034" s="1"/>
  <c r="D456" i="12908"/>
  <c r="AA456" i="13034" s="1"/>
  <c r="D315" i="12908"/>
  <c r="AA315" i="13034" s="1"/>
  <c r="D317" i="12908"/>
  <c r="AA317" i="13034" s="1"/>
  <c r="D316" i="12908"/>
  <c r="AA316" i="13034" s="1"/>
  <c r="D279" i="12908"/>
  <c r="AA279" i="13034" s="1"/>
  <c r="D280" i="12908"/>
  <c r="AA280" i="13034" s="1"/>
  <c r="D281" i="12908"/>
  <c r="AA281" i="13034" s="1"/>
  <c r="S48" i="13017"/>
  <c r="I27" i="13007"/>
  <c r="I29" i="13007" s="1"/>
  <c r="I27" i="13017"/>
  <c r="I27" i="13014"/>
  <c r="Y48" i="13017"/>
  <c r="I28" i="13007"/>
  <c r="I28" i="13017"/>
  <c r="I28" i="13014"/>
  <c r="U48" i="13017"/>
  <c r="U48" i="13014"/>
  <c r="Q38" i="13007"/>
  <c r="W38" i="13007" s="1"/>
  <c r="Y38" i="13007" s="1"/>
  <c r="Q38" i="13014"/>
  <c r="W38" i="13014" s="1"/>
  <c r="Y38" i="13014" s="1"/>
  <c r="AE53" i="12989"/>
  <c r="S16" i="13014"/>
  <c r="U16" i="13014" s="1"/>
  <c r="Q16" i="13014"/>
  <c r="W16" i="13014" s="1"/>
  <c r="Y16" i="13014" s="1"/>
  <c r="Q16" i="13017"/>
  <c r="W16" i="13017" s="1"/>
  <c r="Y16" i="13017" s="1"/>
  <c r="S16" i="13017"/>
  <c r="U16" i="13017" s="1"/>
  <c r="Y48" i="13014"/>
  <c r="U16" i="13007"/>
  <c r="AA16" i="13007" s="1"/>
  <c r="AC16" i="13007" s="1"/>
  <c r="AB1716" i="12908"/>
  <c r="Q57" i="13005"/>
  <c r="U53" i="13005"/>
  <c r="AA53" i="13005" s="1"/>
  <c r="AC53" i="13005" s="1"/>
  <c r="W778" i="12908"/>
  <c r="U778" i="12908"/>
  <c r="AR778" i="13034" s="1"/>
  <c r="W696" i="12908"/>
  <c r="U696" i="12908"/>
  <c r="AR696" i="13034" s="1"/>
  <c r="W909" i="12908"/>
  <c r="U909" i="12908"/>
  <c r="AR909" i="13034" s="1"/>
  <c r="AB78" i="12908"/>
  <c r="I15" i="13005"/>
  <c r="W589" i="12908"/>
  <c r="U589" i="12908"/>
  <c r="AR589" i="13034" s="1"/>
  <c r="U797" i="12908"/>
  <c r="AR797" i="13034" s="1"/>
  <c r="W797" i="12908"/>
  <c r="U421" i="12908"/>
  <c r="AR421" i="13034" s="1"/>
  <c r="D2258" i="12908"/>
  <c r="AA2258" i="13034" s="1"/>
  <c r="D2263" i="12908"/>
  <c r="AA2263" i="13034" s="1"/>
  <c r="D2282" i="12908"/>
  <c r="AA2282" i="13034" s="1"/>
  <c r="D2301" i="12908"/>
  <c r="AA2301" i="13034" s="1"/>
  <c r="D2299" i="12908"/>
  <c r="AA2299" i="13034" s="1"/>
  <c r="U2403" i="12908"/>
  <c r="AR2403" i="13034" s="1"/>
  <c r="W2403" i="12908"/>
  <c r="D2260" i="12908"/>
  <c r="AA2260" i="13034" s="1"/>
  <c r="D2285" i="12908"/>
  <c r="AA2285" i="13034" s="1"/>
  <c r="D2280" i="12908"/>
  <c r="AA2280" i="13034" s="1"/>
  <c r="D2257" i="12908"/>
  <c r="AA2257" i="13034" s="1"/>
  <c r="D2305" i="12908"/>
  <c r="AA2305" i="13034" s="1"/>
  <c r="W2419" i="12908"/>
  <c r="D2261" i="12908"/>
  <c r="AA2261" i="13034" s="1"/>
  <c r="D2283" i="12908"/>
  <c r="AA2283" i="13034" s="1"/>
  <c r="D2279" i="12908"/>
  <c r="AA2279" i="13034" s="1"/>
  <c r="D2304" i="12908"/>
  <c r="AA2304" i="13034" s="1"/>
  <c r="Y2412" i="12908"/>
  <c r="AV2412" i="13034" s="1"/>
  <c r="D2264" i="12908"/>
  <c r="AA2264" i="13034" s="1"/>
  <c r="D2286" i="12908"/>
  <c r="AA2286" i="13034" s="1"/>
  <c r="D2009" i="12908"/>
  <c r="AA2009" i="13034" s="1"/>
  <c r="D2016" i="12908"/>
  <c r="AA2016" i="13034" s="1"/>
  <c r="D2008" i="12908"/>
  <c r="AA2008" i="13034" s="1"/>
  <c r="D2015" i="12908"/>
  <c r="AA2015" i="13034" s="1"/>
  <c r="D2007" i="12908"/>
  <c r="AA2007" i="13034" s="1"/>
  <c r="D2014" i="12908"/>
  <c r="AA2014" i="13034" s="1"/>
  <c r="Y2017" i="12908"/>
  <c r="AV2017" i="13034" s="1"/>
  <c r="I41" i="13005"/>
  <c r="Y2150" i="12908"/>
  <c r="AV2150" i="13034" s="1"/>
  <c r="U489" i="12908"/>
  <c r="AR489" i="13034" s="1"/>
  <c r="W489" i="12908"/>
  <c r="Y2060" i="12908"/>
  <c r="AV2060" i="13034" s="1"/>
  <c r="D2056" i="12908"/>
  <c r="AA2056" i="13034" s="1"/>
  <c r="D2055" i="12908"/>
  <c r="AA2055" i="13034" s="1"/>
  <c r="D2057" i="12908"/>
  <c r="AA2057" i="13034" s="1"/>
  <c r="Y2065" i="12908"/>
  <c r="AV2065" i="13034" s="1"/>
  <c r="U945" i="12908"/>
  <c r="AR945" i="13034" s="1"/>
  <c r="W945" i="12908"/>
  <c r="D1526" i="12908"/>
  <c r="D2317" i="12908"/>
  <c r="AA2317" i="13034" s="1"/>
  <c r="D2319" i="12908"/>
  <c r="AA2319" i="13034" s="1"/>
  <c r="D2318" i="12908"/>
  <c r="AA2318" i="13034" s="1"/>
  <c r="D2300" i="12908"/>
  <c r="AA2300" i="13034" s="1"/>
  <c r="D2303" i="12908"/>
  <c r="AA2303" i="13034" s="1"/>
  <c r="D1404" i="12908"/>
  <c r="AA1404" i="13034" s="1"/>
  <c r="D1406" i="12908"/>
  <c r="AA1406" i="13034" s="1"/>
  <c r="D1405" i="12908"/>
  <c r="AA1405" i="13034" s="1"/>
  <c r="D1402" i="12908"/>
  <c r="AA1402" i="13034" s="1"/>
  <c r="D1401" i="12908"/>
  <c r="AA1401" i="13034" s="1"/>
  <c r="D2316" i="12908"/>
  <c r="AA2316" i="13034" s="1"/>
  <c r="D1440" i="12908"/>
  <c r="D1446" i="12908"/>
  <c r="D2302" i="12908"/>
  <c r="AA2302" i="13034" s="1"/>
  <c r="D2425" i="12908"/>
  <c r="AA2425" i="13034" s="1"/>
  <c r="D2320" i="12908"/>
  <c r="AA2320" i="13034" s="1"/>
  <c r="Q92" i="12910"/>
  <c r="D1589" i="12908"/>
  <c r="D1505" i="12908"/>
  <c r="AA1505" i="13034" s="1"/>
  <c r="D1506" i="12908"/>
  <c r="AA1506" i="13034" s="1"/>
  <c r="D1503" i="12908"/>
  <c r="AA1503" i="13034" s="1"/>
  <c r="D1502" i="12908"/>
  <c r="AA1502" i="13034" s="1"/>
  <c r="D1566" i="12908"/>
  <c r="D1562" i="12908"/>
  <c r="D1564" i="12908"/>
  <c r="D1563" i="12908"/>
  <c r="D1565" i="12908"/>
  <c r="Y1001" i="12908"/>
  <c r="AV1001" i="13034" s="1"/>
  <c r="Y1025" i="12908"/>
  <c r="AV1025" i="13034" s="1"/>
  <c r="U1090" i="12908"/>
  <c r="AR1090" i="13034" s="1"/>
  <c r="W1090" i="12908"/>
  <c r="S1090" i="12908"/>
  <c r="AP1090" i="13034" s="1"/>
  <c r="Y1090" i="12908"/>
  <c r="AV1090" i="13034" s="1"/>
  <c r="U996" i="12908"/>
  <c r="AR996" i="13034" s="1"/>
  <c r="W996" i="12908"/>
  <c r="S996" i="12908"/>
  <c r="AP996" i="13034" s="1"/>
  <c r="Y996" i="12908"/>
  <c r="AV996" i="13034" s="1"/>
  <c r="S1020" i="12908"/>
  <c r="AP1020" i="13034" s="1"/>
  <c r="W1020" i="12908"/>
  <c r="U1020" i="12908"/>
  <c r="AR1020" i="13034" s="1"/>
  <c r="Y1020" i="12908"/>
  <c r="AV1020" i="13034" s="1"/>
  <c r="Y706" i="12908"/>
  <c r="AV706" i="13034" s="1"/>
  <c r="D1448" i="12908"/>
  <c r="D1449" i="12908"/>
  <c r="D1452" i="12908"/>
  <c r="D1451" i="12908"/>
  <c r="D1442" i="12908"/>
  <c r="AA1442" i="13034" s="1"/>
  <c r="D1441" i="12908"/>
  <c r="AA1441" i="13034" s="1"/>
  <c r="D1444" i="12908"/>
  <c r="AA1444" i="13034" s="1"/>
  <c r="D1445" i="12908"/>
  <c r="AA1445" i="13034" s="1"/>
  <c r="D1462" i="12908"/>
  <c r="AA1462" i="13034" s="1"/>
  <c r="D1461" i="12908"/>
  <c r="AA1461" i="13034" s="1"/>
  <c r="D1464" i="12908"/>
  <c r="AA1464" i="13034" s="1"/>
  <c r="D1465" i="12908"/>
  <c r="AA1465" i="13034" s="1"/>
  <c r="D1466" i="12908"/>
  <c r="C1486" i="12908"/>
  <c r="Z1486" i="13034" s="1"/>
  <c r="K42" i="12910"/>
  <c r="D1447" i="12908"/>
  <c r="M54" i="12711"/>
  <c r="M182" i="12711" s="1"/>
  <c r="D590" i="12908"/>
  <c r="AA590" i="13034" s="1"/>
  <c r="I595" i="12908"/>
  <c r="AF595" i="13034" s="1"/>
  <c r="I589" i="12908"/>
  <c r="AF589" i="13034" s="1"/>
  <c r="I594" i="12908"/>
  <c r="AF594" i="13034" s="1"/>
  <c r="D574" i="12908"/>
  <c r="AA574" i="13034" s="1"/>
  <c r="D575" i="12908"/>
  <c r="AA575" i="13034" s="1"/>
  <c r="D576" i="12908"/>
  <c r="AA576" i="13034" s="1"/>
  <c r="D573" i="12908"/>
  <c r="AA573" i="13034" s="1"/>
  <c r="D579" i="12908"/>
  <c r="D580" i="12908"/>
  <c r="D577" i="12908"/>
  <c r="D582" i="12908"/>
  <c r="D578" i="12908"/>
  <c r="D581" i="12908"/>
  <c r="AA581" i="13034" s="1"/>
  <c r="K40" i="12910"/>
  <c r="D635" i="12908"/>
  <c r="AA635" i="13034" s="1"/>
  <c r="D651" i="12908"/>
  <c r="AA651" i="13034" s="1"/>
  <c r="D659" i="12908"/>
  <c r="D655" i="12908"/>
  <c r="AA655" i="13034" s="1"/>
  <c r="D663" i="12908"/>
  <c r="D660" i="12908"/>
  <c r="D661" i="12908"/>
  <c r="I597" i="12908"/>
  <c r="AF597" i="13034" s="1"/>
  <c r="D591" i="12908"/>
  <c r="AA591" i="13034" s="1"/>
  <c r="I598" i="12908"/>
  <c r="AF598" i="13034" s="1"/>
  <c r="D476" i="12908"/>
  <c r="D480" i="12908"/>
  <c r="AA480" i="13034" s="1"/>
  <c r="D473" i="12908"/>
  <c r="AA473" i="13034" s="1"/>
  <c r="D477" i="12908"/>
  <c r="D481" i="12908"/>
  <c r="D474" i="12908"/>
  <c r="AA474" i="13034" s="1"/>
  <c r="D478" i="12908"/>
  <c r="D472" i="12908"/>
  <c r="AA472" i="13034" s="1"/>
  <c r="D475" i="12908"/>
  <c r="AA475" i="13034" s="1"/>
  <c r="D479" i="12908"/>
  <c r="D518" i="12908"/>
  <c r="AA518" i="13034" s="1"/>
  <c r="D529" i="12908"/>
  <c r="D531" i="12908"/>
  <c r="D527" i="12908"/>
  <c r="AA527" i="13034" s="1"/>
  <c r="D528" i="12908"/>
  <c r="D498" i="12908"/>
  <c r="I421" i="12908"/>
  <c r="AF421" i="13034" s="1"/>
  <c r="I489" i="12908"/>
  <c r="AF489" i="13034" s="1"/>
  <c r="I427" i="12908"/>
  <c r="AF427" i="13034" s="1"/>
  <c r="I426" i="12908"/>
  <c r="AF426" i="13034" s="1"/>
  <c r="D408" i="12908"/>
  <c r="D407" i="12908"/>
  <c r="AA407" i="13034" s="1"/>
  <c r="D412" i="12908"/>
  <c r="AA412" i="13034" s="1"/>
  <c r="D406" i="12908"/>
  <c r="AA406" i="13034" s="1"/>
  <c r="D410" i="12908"/>
  <c r="D442" i="12908"/>
  <c r="D405" i="12908"/>
  <c r="AA405" i="13034" s="1"/>
  <c r="D413" i="12908"/>
  <c r="D443" i="12908"/>
  <c r="D447" i="12908"/>
  <c r="D445" i="12908"/>
  <c r="D411" i="12908"/>
  <c r="D440" i="12908"/>
  <c r="AA440" i="13034" s="1"/>
  <c r="D439" i="12908"/>
  <c r="AA439" i="13034" s="1"/>
  <c r="D441" i="12908"/>
  <c r="AA441" i="13034" s="1"/>
  <c r="D446" i="12908"/>
  <c r="AA446" i="13034" s="1"/>
  <c r="D409" i="12908"/>
  <c r="D444" i="12908"/>
  <c r="D438" i="12908"/>
  <c r="AA438" i="13034" s="1"/>
  <c r="D404" i="12908"/>
  <c r="AA404" i="13034" s="1"/>
  <c r="D450" i="12908"/>
  <c r="AA450" i="13034" s="1"/>
  <c r="D460" i="12908"/>
  <c r="D459" i="12908"/>
  <c r="AA459" i="13034" s="1"/>
  <c r="D461" i="12908"/>
  <c r="D463" i="12908"/>
  <c r="D310" i="12908"/>
  <c r="AA310" i="13034" s="1"/>
  <c r="D319" i="12908"/>
  <c r="AA319" i="13034" s="1"/>
  <c r="D320" i="12908"/>
  <c r="D321" i="12908"/>
  <c r="D325" i="12908"/>
  <c r="D323" i="12908"/>
  <c r="D329" i="12908"/>
  <c r="AA329" i="13034" s="1"/>
  <c r="D274" i="12908"/>
  <c r="AA274" i="13034" s="1"/>
  <c r="D293" i="12908"/>
  <c r="AA293" i="13034" s="1"/>
  <c r="D287" i="12908"/>
  <c r="AA287" i="13034" s="1"/>
  <c r="D286" i="12908"/>
  <c r="D283" i="12908"/>
  <c r="AA283" i="13034" s="1"/>
  <c r="D284" i="12908"/>
  <c r="AA284" i="13034" s="1"/>
  <c r="D289" i="12908"/>
  <c r="D285" i="12908"/>
  <c r="AA285" i="13034" s="1"/>
  <c r="I804" i="12908"/>
  <c r="AF804" i="13034" s="1"/>
  <c r="D418" i="12908"/>
  <c r="AA418" i="13034" s="1"/>
  <c r="D424" i="12908"/>
  <c r="AA424" i="13034" s="1"/>
  <c r="I785" i="12908"/>
  <c r="AF785" i="13034" s="1"/>
  <c r="D1014" i="12908"/>
  <c r="AA1014" i="13034" s="1"/>
  <c r="D1010" i="12908"/>
  <c r="AA1010" i="13034" s="1"/>
  <c r="D1016" i="12908"/>
  <c r="AA1016" i="13034" s="1"/>
  <c r="D1012" i="12908"/>
  <c r="AA1012" i="13034" s="1"/>
  <c r="D1011" i="12908"/>
  <c r="AA1011" i="13034" s="1"/>
  <c r="D1015" i="12908"/>
  <c r="AA1015" i="13034" s="1"/>
  <c r="D987" i="12908"/>
  <c r="AA987" i="13034" s="1"/>
  <c r="D986" i="12908"/>
  <c r="AA986" i="13034" s="1"/>
  <c r="D988" i="12908"/>
  <c r="AA988" i="13034" s="1"/>
  <c r="D992" i="12908"/>
  <c r="AA992" i="13034" s="1"/>
  <c r="D991" i="12908"/>
  <c r="AA991" i="13034" s="1"/>
  <c r="D990" i="12908"/>
  <c r="AA990" i="13034" s="1"/>
  <c r="D999" i="12908"/>
  <c r="AA999" i="13034" s="1"/>
  <c r="D998" i="12908"/>
  <c r="AA998" i="13034" s="1"/>
  <c r="A22" i="12910"/>
  <c r="A23" i="12910"/>
  <c r="D1411" i="12908"/>
  <c r="D1409" i="12908"/>
  <c r="D1408" i="12908"/>
  <c r="D1407" i="12908"/>
  <c r="AA1407" i="13034" s="1"/>
  <c r="D1400" i="12908"/>
  <c r="AA1400" i="13034" s="1"/>
  <c r="D1412" i="12908"/>
  <c r="AA1412" i="13034" s="1"/>
  <c r="K50" i="12910"/>
  <c r="D2121" i="12908"/>
  <c r="D2120" i="12908"/>
  <c r="K49" i="12910"/>
  <c r="D2028" i="12908"/>
  <c r="AA2028" i="13034" s="1"/>
  <c r="D2029" i="12908"/>
  <c r="AA2029" i="13034" s="1"/>
  <c r="K51" i="12910"/>
  <c r="D2212" i="12908"/>
  <c r="AA2212" i="13034" s="1"/>
  <c r="D2211" i="12908"/>
  <c r="AA2211" i="13034" s="1"/>
  <c r="D205" i="12908"/>
  <c r="D204" i="12908"/>
  <c r="D209" i="12908"/>
  <c r="AA209" i="13034" s="1"/>
  <c r="D207" i="12908"/>
  <c r="AA207" i="13034" s="1"/>
  <c r="D208" i="12908"/>
  <c r="AA208" i="13034" s="1"/>
  <c r="D210" i="12908"/>
  <c r="AA210" i="13034" s="1"/>
  <c r="K45" i="12910"/>
  <c r="D130" i="12908"/>
  <c r="D131" i="12908"/>
  <c r="D135" i="12908"/>
  <c r="AA135" i="13034" s="1"/>
  <c r="D136" i="12908"/>
  <c r="AA136" i="13034" s="1"/>
  <c r="D133" i="12908"/>
  <c r="AA133" i="13034" s="1"/>
  <c r="D134" i="12908"/>
  <c r="AA134" i="13034" s="1"/>
  <c r="D168" i="12908"/>
  <c r="D167" i="12908"/>
  <c r="D172" i="12908"/>
  <c r="AA172" i="13034" s="1"/>
  <c r="D170" i="12908"/>
  <c r="AA170" i="13034" s="1"/>
  <c r="D171" i="12908"/>
  <c r="AA171" i="13034" s="1"/>
  <c r="D173" i="12908"/>
  <c r="AA173" i="13034" s="1"/>
  <c r="D705" i="12908"/>
  <c r="D700" i="12908"/>
  <c r="AA700" i="13034" s="1"/>
  <c r="D2219" i="12908"/>
  <c r="D2218" i="12908"/>
  <c r="I797" i="12908"/>
  <c r="AF797" i="13034" s="1"/>
  <c r="D2217" i="12908"/>
  <c r="AA2217" i="13034" s="1"/>
  <c r="M62" i="12711"/>
  <c r="L62" i="12711" s="1"/>
  <c r="V62" i="12711" s="1"/>
  <c r="B12" i="12858"/>
  <c r="E22" i="12858" s="1"/>
  <c r="L14" i="12711"/>
  <c r="L169" i="12711" s="1"/>
  <c r="V169" i="12711" s="1"/>
  <c r="I803" i="12908"/>
  <c r="C1394" i="12908"/>
  <c r="Z1394" i="13034" s="1"/>
  <c r="Z8" i="12785"/>
  <c r="M59" i="12711"/>
  <c r="L59" i="12711" s="1"/>
  <c r="C21" i="12715"/>
  <c r="D21" i="12715" s="1"/>
  <c r="C14" i="12858"/>
  <c r="D41" i="12908"/>
  <c r="D44" i="12908"/>
  <c r="AA44" i="13034" s="1"/>
  <c r="M55" i="12711"/>
  <c r="M183" i="12711" s="1"/>
  <c r="K44" i="12910"/>
  <c r="N27" i="12711"/>
  <c r="V50" i="12711"/>
  <c r="L178" i="12711"/>
  <c r="M85" i="12711"/>
  <c r="N85" i="12711" s="1"/>
  <c r="K62" i="12910"/>
  <c r="N26" i="12711"/>
  <c r="L13" i="12711"/>
  <c r="L168" i="12711" s="1"/>
  <c r="M168" i="12711"/>
  <c r="Q191" i="12709"/>
  <c r="H1654" i="12908"/>
  <c r="Q187" i="12709"/>
  <c r="Q192" i="12709"/>
  <c r="Q189" i="12709"/>
  <c r="D2126" i="12908"/>
  <c r="AA2126" i="13034" s="1"/>
  <c r="D2127" i="12908"/>
  <c r="AA2127" i="13034" s="1"/>
  <c r="D2128" i="12908"/>
  <c r="AA2128" i="13034" s="1"/>
  <c r="M61" i="12711"/>
  <c r="N61" i="12711" s="1"/>
  <c r="K36" i="12910"/>
  <c r="M66" i="12711"/>
  <c r="N66" i="12711" s="1"/>
  <c r="D1472" i="12908"/>
  <c r="AA1472" i="13034" s="1"/>
  <c r="D1471" i="12908"/>
  <c r="AA1471" i="13034" s="1"/>
  <c r="D1468" i="12908"/>
  <c r="AA1468" i="13034" s="1"/>
  <c r="D1467" i="12908"/>
  <c r="AA1467" i="13034" s="1"/>
  <c r="D1460" i="12908"/>
  <c r="AA1460" i="13034" s="1"/>
  <c r="D1469" i="12908"/>
  <c r="C848" i="12908"/>
  <c r="Z848" i="13034" s="1"/>
  <c r="D879" i="12908"/>
  <c r="AA879" i="13034" s="1"/>
  <c r="D880" i="12908"/>
  <c r="D873" i="12908"/>
  <c r="AA873" i="13034" s="1"/>
  <c r="D878" i="12908"/>
  <c r="AA878" i="13034" s="1"/>
  <c r="I1164" i="12908"/>
  <c r="K53" i="12910"/>
  <c r="M64" i="12711"/>
  <c r="M199" i="12711" s="1"/>
  <c r="Q139" i="12709"/>
  <c r="D216" i="12908"/>
  <c r="AA216" i="13034" s="1"/>
  <c r="D211" i="12908"/>
  <c r="AA211" i="13034" s="1"/>
  <c r="D212" i="12908"/>
  <c r="AA212" i="13034" s="1"/>
  <c r="D215" i="12908"/>
  <c r="AA215" i="13034" s="1"/>
  <c r="D214" i="12908"/>
  <c r="AA214" i="13034" s="1"/>
  <c r="D217" i="12908"/>
  <c r="AA217" i="13034" s="1"/>
  <c r="D140" i="12908"/>
  <c r="AA140" i="13034" s="1"/>
  <c r="D137" i="12908"/>
  <c r="AA137" i="13034" s="1"/>
  <c r="D141" i="12908"/>
  <c r="AA141" i="13034" s="1"/>
  <c r="D143" i="12908"/>
  <c r="AA143" i="13034" s="1"/>
  <c r="D138" i="12908"/>
  <c r="AA138" i="13034" s="1"/>
  <c r="D142" i="12908"/>
  <c r="AA142" i="13034" s="1"/>
  <c r="D180" i="12908"/>
  <c r="AA180" i="13034" s="1"/>
  <c r="D175" i="12908"/>
  <c r="AA175" i="13034" s="1"/>
  <c r="D178" i="12908"/>
  <c r="AA178" i="13034" s="1"/>
  <c r="D179" i="12908"/>
  <c r="AA179" i="13034" s="1"/>
  <c r="D174" i="12908"/>
  <c r="AA174" i="13034" s="1"/>
  <c r="D177" i="12908"/>
  <c r="AA177" i="13034" s="1"/>
  <c r="K12" i="12709"/>
  <c r="K168" i="12709" s="1"/>
  <c r="E18" i="12715"/>
  <c r="F18" i="12715" s="1"/>
  <c r="H18" i="12715" s="1"/>
  <c r="V200" i="12711"/>
  <c r="H139" i="12709"/>
  <c r="H191" i="12709" s="1"/>
  <c r="H1796" i="12908"/>
  <c r="H1713" i="12908"/>
  <c r="D81" i="12908"/>
  <c r="AA81" i="13034" s="1"/>
  <c r="M87" i="12910"/>
  <c r="I915" i="12908"/>
  <c r="AF915" i="13034" s="1"/>
  <c r="Q142" i="12709"/>
  <c r="L27" i="12711"/>
  <c r="Q141" i="12709"/>
  <c r="D78" i="12908"/>
  <c r="K14" i="12910"/>
  <c r="D731" i="12908"/>
  <c r="AA731" i="13034" s="1"/>
  <c r="K34" i="12910"/>
  <c r="D1925" i="12908"/>
  <c r="K72" i="12910"/>
  <c r="O120" i="12711"/>
  <c r="O133" i="12711" s="1"/>
  <c r="C23" i="12858" s="1"/>
  <c r="I23" i="12858" s="1"/>
  <c r="L23" i="12858" s="1"/>
  <c r="O13" i="12711"/>
  <c r="O168" i="12711" s="1"/>
  <c r="M15" i="12910"/>
  <c r="D1575" i="12908"/>
  <c r="K46" i="12910"/>
  <c r="D111" i="12908"/>
  <c r="M137" i="12711"/>
  <c r="K91" i="12910"/>
  <c r="M142" i="12711"/>
  <c r="N142" i="12711" s="1"/>
  <c r="K94" i="12910"/>
  <c r="D723" i="12908"/>
  <c r="D727" i="12908"/>
  <c r="AA727" i="13034" s="1"/>
  <c r="D722" i="12908"/>
  <c r="AA722" i="13034" s="1"/>
  <c r="H140" i="12709"/>
  <c r="H192" i="12709" s="1"/>
  <c r="Q137" i="12709"/>
  <c r="D724" i="12908"/>
  <c r="H137" i="12709"/>
  <c r="H189" i="12709" s="1"/>
  <c r="H142" i="12709"/>
  <c r="Q142" i="12711" s="1"/>
  <c r="H141" i="12709"/>
  <c r="Q141" i="12711" s="1"/>
  <c r="Q140" i="12709"/>
  <c r="N63" i="12711"/>
  <c r="N198" i="12711" s="1"/>
  <c r="M94" i="12709"/>
  <c r="S94" i="12711" s="1"/>
  <c r="N15" i="12711"/>
  <c r="N170" i="12711" s="1"/>
  <c r="L28" i="12711"/>
  <c r="N28" i="12711"/>
  <c r="L20" i="12711"/>
  <c r="V20" i="12711" s="1"/>
  <c r="N20" i="12711"/>
  <c r="L21" i="12711"/>
  <c r="N21" i="12711"/>
  <c r="L18" i="12711"/>
  <c r="N18" i="12711"/>
  <c r="L91" i="12711"/>
  <c r="V91" i="12711" s="1"/>
  <c r="N91" i="12711"/>
  <c r="N16" i="12711"/>
  <c r="N171" i="12711" s="1"/>
  <c r="N17" i="12711"/>
  <c r="N172" i="12711" s="1"/>
  <c r="L22" i="12711"/>
  <c r="N22" i="12711"/>
  <c r="L19" i="12711"/>
  <c r="N19" i="12711"/>
  <c r="L94" i="12711"/>
  <c r="V94" i="12711" s="1"/>
  <c r="N94" i="12711"/>
  <c r="L97" i="12711"/>
  <c r="V97" i="12711" s="1"/>
  <c r="N97" i="12711"/>
  <c r="L92" i="12711"/>
  <c r="V92" i="12711" s="1"/>
  <c r="N92" i="12711"/>
  <c r="L58" i="12711"/>
  <c r="N58" i="12711"/>
  <c r="L25" i="12711"/>
  <c r="N25" i="12711"/>
  <c r="L23" i="12711"/>
  <c r="N23" i="12711"/>
  <c r="F136" i="12709"/>
  <c r="H1370" i="12908" s="1"/>
  <c r="H138" i="12709"/>
  <c r="H190" i="12709" s="1"/>
  <c r="H1770" i="12908"/>
  <c r="Q190" i="12709"/>
  <c r="H1733" i="12908"/>
  <c r="Q138" i="12709"/>
  <c r="I2104" i="12908"/>
  <c r="AF2104" i="13034" s="1"/>
  <c r="I2426" i="12908"/>
  <c r="AF2426" i="13034" s="1"/>
  <c r="I2371" i="12908"/>
  <c r="AF2371" i="13034" s="1"/>
  <c r="I2374" i="12908"/>
  <c r="AF2374" i="13034" s="1"/>
  <c r="I2396" i="12908"/>
  <c r="AF2396" i="13034" s="1"/>
  <c r="I2427" i="12908"/>
  <c r="AF2427" i="13034" s="1"/>
  <c r="I2415" i="12908"/>
  <c r="AF2415" i="13034" s="1"/>
  <c r="I2358" i="12908"/>
  <c r="AF2358" i="13034" s="1"/>
  <c r="I2196" i="12908"/>
  <c r="AF2196" i="13034" s="1"/>
  <c r="I778" i="12908"/>
  <c r="AF778" i="13034" s="1"/>
  <c r="I2017" i="12908"/>
  <c r="AF2017" i="13034" s="1"/>
  <c r="I1001" i="12908"/>
  <c r="AF1001" i="13034" s="1"/>
  <c r="I1018" i="12908"/>
  <c r="AF1018" i="13034" s="1"/>
  <c r="I1089" i="12908"/>
  <c r="AF1089" i="13034" s="1"/>
  <c r="I951" i="12908"/>
  <c r="AF951" i="13034" s="1"/>
  <c r="I2106" i="12908"/>
  <c r="AF2106" i="13034" s="1"/>
  <c r="I2373" i="12908"/>
  <c r="AF2373" i="13034" s="1"/>
  <c r="I2414" i="12908"/>
  <c r="AF2414" i="13034" s="1"/>
  <c r="I2395" i="12908"/>
  <c r="AF2395" i="13034" s="1"/>
  <c r="I2419" i="12908"/>
  <c r="AF2419" i="13034" s="1"/>
  <c r="I2412" i="12908"/>
  <c r="AF2412" i="13034" s="1"/>
  <c r="I2398" i="12908"/>
  <c r="AF2398" i="13034" s="1"/>
  <c r="I2194" i="12908"/>
  <c r="AF2194" i="13034" s="1"/>
  <c r="I1821" i="12908"/>
  <c r="I2010" i="12908"/>
  <c r="AF2010" i="13034" s="1"/>
  <c r="I1025" i="12908"/>
  <c r="AF1025" i="13034" s="1"/>
  <c r="I952" i="12908"/>
  <c r="AF952" i="13034" s="1"/>
  <c r="I1530" i="12908"/>
  <c r="AF1530" i="13034" s="1"/>
  <c r="I909" i="12908"/>
  <c r="AF909" i="13034" s="1"/>
  <c r="I218" i="12908"/>
  <c r="AF218" i="13034" s="1"/>
  <c r="I2429" i="12908"/>
  <c r="AF2429" i="13034" s="1"/>
  <c r="I2411" i="12908"/>
  <c r="AF2411" i="13034" s="1"/>
  <c r="I2392" i="12908"/>
  <c r="AF2392" i="13034" s="1"/>
  <c r="I2393" i="12908"/>
  <c r="AF2393" i="13034" s="1"/>
  <c r="I2377" i="12908"/>
  <c r="AF2377" i="13034" s="1"/>
  <c r="I2370" i="12908"/>
  <c r="AF2370" i="13034" s="1"/>
  <c r="I783" i="12908"/>
  <c r="AF783" i="13034" s="1"/>
  <c r="I2012" i="12908"/>
  <c r="AF2012" i="13034" s="1"/>
  <c r="I1020" i="12908"/>
  <c r="AF1020" i="13034" s="1"/>
  <c r="I702" i="12908"/>
  <c r="AF702" i="13034" s="1"/>
  <c r="I706" i="12908"/>
  <c r="AF706" i="13034" s="1"/>
  <c r="I945" i="12908"/>
  <c r="AF945" i="13034" s="1"/>
  <c r="I2065" i="12908"/>
  <c r="AF2065" i="13034" s="1"/>
  <c r="I2105" i="12908"/>
  <c r="AF2105" i="13034" s="1"/>
  <c r="I2430" i="12908"/>
  <c r="AF2430" i="13034" s="1"/>
  <c r="I2399" i="12908"/>
  <c r="AF2399" i="13034" s="1"/>
  <c r="I2376" i="12908"/>
  <c r="AF2376" i="13034" s="1"/>
  <c r="I2403" i="12908"/>
  <c r="AF2403" i="13034" s="1"/>
  <c r="I2428" i="12908"/>
  <c r="AF2428" i="13034" s="1"/>
  <c r="I2380" i="12908"/>
  <c r="AF2380" i="13034" s="1"/>
  <c r="I2410" i="12908"/>
  <c r="AF2410" i="13034" s="1"/>
  <c r="I2195" i="12908"/>
  <c r="AF2195" i="13034" s="1"/>
  <c r="I784" i="12908"/>
  <c r="AF784" i="13034" s="1"/>
  <c r="I2011" i="12908"/>
  <c r="AF2011" i="13034" s="1"/>
  <c r="I1019" i="12908"/>
  <c r="AF1019" i="13034" s="1"/>
  <c r="I1090" i="12908"/>
  <c r="AF1090" i="13034" s="1"/>
  <c r="I950" i="12908"/>
  <c r="AF950" i="13034" s="1"/>
  <c r="I1527" i="12908"/>
  <c r="AF1527" i="13034" s="1"/>
  <c r="H979" i="12908"/>
  <c r="H2043" i="12908"/>
  <c r="I1615" i="12908"/>
  <c r="AF1615" i="13034" s="1"/>
  <c r="I1840" i="12908"/>
  <c r="AF1840" i="13034" s="1"/>
  <c r="C1818" i="12908"/>
  <c r="Z1818" i="13034" s="1"/>
  <c r="V26" i="12756"/>
  <c r="I2504" i="12908"/>
  <c r="AF2504" i="13034" s="1"/>
  <c r="H1995" i="12908"/>
  <c r="AE1995" i="13034" s="1"/>
  <c r="I2059" i="12908"/>
  <c r="AF2059" i="13034" s="1"/>
  <c r="I2150" i="12908"/>
  <c r="AF2150" i="13034" s="1"/>
  <c r="I1652" i="12908"/>
  <c r="AF1652" i="13034" s="1"/>
  <c r="I994" i="12908"/>
  <c r="AF994" i="13034" s="1"/>
  <c r="I1088" i="12908"/>
  <c r="AF1088" i="13034" s="1"/>
  <c r="I703" i="12908"/>
  <c r="AF703" i="13034" s="1"/>
  <c r="I914" i="12908"/>
  <c r="AF914" i="13034" s="1"/>
  <c r="H1392" i="12908"/>
  <c r="I2060" i="12908"/>
  <c r="AF2060" i="13034" s="1"/>
  <c r="I1583" i="12908"/>
  <c r="AF1583" i="13034" s="1"/>
  <c r="I181" i="12908"/>
  <c r="AF181" i="13034" s="1"/>
  <c r="I996" i="12908"/>
  <c r="AF996" i="13034" s="1"/>
  <c r="I1528" i="12908"/>
  <c r="AF1528" i="13034" s="1"/>
  <c r="I1531" i="12908"/>
  <c r="AF1531" i="13034" s="1"/>
  <c r="I1649" i="12908"/>
  <c r="AF1649" i="13034" s="1"/>
  <c r="I2535" i="12908"/>
  <c r="K56" i="12709"/>
  <c r="K185" i="12709" s="1"/>
  <c r="I144" i="12908"/>
  <c r="AF144" i="13034" s="1"/>
  <c r="I1596" i="12908"/>
  <c r="AF1596" i="13034" s="1"/>
  <c r="I2148" i="12908"/>
  <c r="AF2148" i="13034" s="1"/>
  <c r="I995" i="12908"/>
  <c r="AF995" i="13034" s="1"/>
  <c r="I696" i="12908"/>
  <c r="AF696" i="13034" s="1"/>
  <c r="I916" i="12908"/>
  <c r="AF916" i="13034" s="1"/>
  <c r="I2058" i="12908"/>
  <c r="AF2058" i="13034" s="1"/>
  <c r="I2149" i="12908"/>
  <c r="AF2149" i="13034" s="1"/>
  <c r="I701" i="12908"/>
  <c r="AF701" i="13034" s="1"/>
  <c r="I1520" i="12908"/>
  <c r="AF1520" i="13034" s="1"/>
  <c r="I1597" i="12908"/>
  <c r="AF1597" i="13034" s="1"/>
  <c r="H1493" i="12908"/>
  <c r="H1027" i="12908"/>
  <c r="D1529" i="12908"/>
  <c r="AA1529" i="13034" s="1"/>
  <c r="D1511" i="12908"/>
  <c r="AA1511" i="13034" s="1"/>
  <c r="D1512" i="12908"/>
  <c r="AA1512" i="13034" s="1"/>
  <c r="D1508" i="12908"/>
  <c r="AA1508" i="13034" s="1"/>
  <c r="D1501" i="12908"/>
  <c r="AA1501" i="13034" s="1"/>
  <c r="D1509" i="12908"/>
  <c r="AA1509" i="13034" s="1"/>
  <c r="C1202" i="12908"/>
  <c r="D1133" i="12908"/>
  <c r="AA1133" i="13034" s="1"/>
  <c r="D1134" i="12908"/>
  <c r="AA1134" i="13034" s="1"/>
  <c r="D1132" i="12908"/>
  <c r="AA1132" i="13034" s="1"/>
  <c r="D1110" i="12908"/>
  <c r="D1112" i="12908"/>
  <c r="AA1112" i="13034" s="1"/>
  <c r="D1111" i="12908"/>
  <c r="AA1111" i="13034" s="1"/>
  <c r="D927" i="12908"/>
  <c r="AA927" i="13034" s="1"/>
  <c r="D933" i="12908"/>
  <c r="AA933" i="13034" s="1"/>
  <c r="D934" i="12908"/>
  <c r="D932" i="12908"/>
  <c r="AA932" i="13034" s="1"/>
  <c r="D1053" i="12908"/>
  <c r="AA1053" i="13034" s="1"/>
  <c r="D1049" i="12908"/>
  <c r="AA1049" i="13034" s="1"/>
  <c r="D1043" i="12908"/>
  <c r="AA1043" i="13034" s="1"/>
  <c r="D1044" i="12908"/>
  <c r="AA1044" i="13034" s="1"/>
  <c r="D1042" i="12908"/>
  <c r="AA1042" i="13034" s="1"/>
  <c r="L15" i="12711"/>
  <c r="D860" i="12908"/>
  <c r="AA860" i="13034" s="1"/>
  <c r="D861" i="12908"/>
  <c r="D859" i="12908"/>
  <c r="AA859" i="13034" s="1"/>
  <c r="D2325" i="12908"/>
  <c r="AA2325" i="13034" s="1"/>
  <c r="D2307" i="12908"/>
  <c r="AA2307" i="13034" s="1"/>
  <c r="D2288" i="12908"/>
  <c r="AA2288" i="13034" s="1"/>
  <c r="D2289" i="12908"/>
  <c r="AA2289" i="13034" s="1"/>
  <c r="D2273" i="12908"/>
  <c r="AA2273" i="13034" s="1"/>
  <c r="D2266" i="12908"/>
  <c r="AA2266" i="13034" s="1"/>
  <c r="M139" i="12711"/>
  <c r="M140" i="12711"/>
  <c r="D2326" i="12908"/>
  <c r="AA2326" i="13034" s="1"/>
  <c r="D2295" i="12908"/>
  <c r="AA2295" i="13034" s="1"/>
  <c r="D2272" i="12908"/>
  <c r="AA2272" i="13034" s="1"/>
  <c r="D2324" i="12908"/>
  <c r="AA2324" i="13034" s="1"/>
  <c r="D2276" i="12908"/>
  <c r="AA2276" i="13034" s="1"/>
  <c r="D2306" i="12908"/>
  <c r="AA2306" i="13034" s="1"/>
  <c r="C1557" i="12908"/>
  <c r="Z1557" i="13034" s="1"/>
  <c r="D822" i="12908"/>
  <c r="AA822" i="13034" s="1"/>
  <c r="D821" i="12908"/>
  <c r="AA821" i="13034" s="1"/>
  <c r="D823" i="12908"/>
  <c r="M141" i="12711"/>
  <c r="M192" i="12711" s="1"/>
  <c r="D1843" i="12908"/>
  <c r="AA1843" i="13034" s="1"/>
  <c r="D2322" i="12908"/>
  <c r="AA2322" i="13034" s="1"/>
  <c r="D2267" i="12908"/>
  <c r="AA2267" i="13034" s="1"/>
  <c r="D2270" i="12908"/>
  <c r="AA2270" i="13034" s="1"/>
  <c r="D2292" i="12908"/>
  <c r="AA2292" i="13034" s="1"/>
  <c r="D2323" i="12908"/>
  <c r="AA2323" i="13034" s="1"/>
  <c r="D2311" i="12908"/>
  <c r="AA2311" i="13034" s="1"/>
  <c r="D2254" i="12908"/>
  <c r="AA2254" i="13034" s="1"/>
  <c r="D1000" i="12908"/>
  <c r="AA1000" i="13034" s="1"/>
  <c r="D2045" i="12908"/>
  <c r="D2041" i="12908"/>
  <c r="AA2041" i="13034" s="1"/>
  <c r="D2034" i="12908"/>
  <c r="AA2034" i="13034" s="1"/>
  <c r="D2035" i="12908"/>
  <c r="AA2035" i="13034" s="1"/>
  <c r="D2036" i="12908"/>
  <c r="AA2036" i="13034" s="1"/>
  <c r="M95" i="12711"/>
  <c r="D2063" i="12908"/>
  <c r="AA2063" i="13034" s="1"/>
  <c r="D2062" i="12908"/>
  <c r="AA2062" i="13034" s="1"/>
  <c r="D2064" i="12908"/>
  <c r="AA2064" i="13034" s="1"/>
  <c r="D2269" i="12908"/>
  <c r="AA2269" i="13034" s="1"/>
  <c r="D2413" i="12908"/>
  <c r="AA2413" i="13034" s="1"/>
  <c r="D2310" i="12908"/>
  <c r="AA2310" i="13034" s="1"/>
  <c r="D2291" i="12908"/>
  <c r="AA2291" i="13034" s="1"/>
  <c r="D2315" i="12908"/>
  <c r="AA2315" i="13034" s="1"/>
  <c r="D2308" i="12908"/>
  <c r="AA2308" i="13034" s="1"/>
  <c r="D2294" i="12908"/>
  <c r="AA2294" i="13034" s="1"/>
  <c r="M88" i="12711"/>
  <c r="M86" i="12711"/>
  <c r="M49" i="12711"/>
  <c r="M47" i="12711"/>
  <c r="L17" i="12711"/>
  <c r="R13" i="12709"/>
  <c r="H118" i="12709"/>
  <c r="H187" i="12709" s="1"/>
  <c r="F119" i="12709"/>
  <c r="F188" i="12709" s="1"/>
  <c r="Q118" i="12709"/>
  <c r="R60" i="12709"/>
  <c r="R196" i="12709"/>
  <c r="M138" i="12711"/>
  <c r="N103" i="12905"/>
  <c r="N104" i="12905" s="1"/>
  <c r="R12" i="12709"/>
  <c r="E29" i="12709"/>
  <c r="R168" i="12709"/>
  <c r="R185" i="12709"/>
  <c r="R56" i="12709"/>
  <c r="O72" i="12910"/>
  <c r="H1851" i="12908"/>
  <c r="AE1851" i="13034" s="1"/>
  <c r="L16" i="12711"/>
  <c r="L171" i="12711" s="1"/>
  <c r="M12" i="12711"/>
  <c r="M167" i="12711" s="1"/>
  <c r="V202" i="12711"/>
  <c r="M118" i="12711"/>
  <c r="L26" i="12711"/>
  <c r="M84" i="12711"/>
  <c r="M174" i="12711" s="1"/>
  <c r="M87" i="12711"/>
  <c r="N87" i="12711" s="1"/>
  <c r="L142" i="12709"/>
  <c r="L63" i="12711"/>
  <c r="L198" i="12711" s="1"/>
  <c r="V100" i="12711"/>
  <c r="W180" i="12711"/>
  <c r="M56" i="12711"/>
  <c r="M60" i="12711"/>
  <c r="N60" i="12711" s="1"/>
  <c r="M57" i="12711"/>
  <c r="M185" i="12711" s="1"/>
  <c r="C1374" i="12908"/>
  <c r="Z1374" i="13034" s="1"/>
  <c r="W156" i="12711"/>
  <c r="M51" i="12711"/>
  <c r="N51" i="12711" s="1"/>
  <c r="M45" i="12711"/>
  <c r="N45" i="12711" s="1"/>
  <c r="L93" i="12711"/>
  <c r="M48" i="12711"/>
  <c r="N48" i="12711" s="1"/>
  <c r="W89" i="12711"/>
  <c r="C1436" i="12908"/>
  <c r="Z1436" i="13034" s="1"/>
  <c r="W52" i="12711"/>
  <c r="D14" i="6"/>
  <c r="D13" i="6"/>
  <c r="Y2219" i="12908" l="1"/>
  <c r="AV2219" i="13034" s="1"/>
  <c r="AA2219" i="13034"/>
  <c r="I321" i="12908"/>
  <c r="AF321" i="13034" s="1"/>
  <c r="AA321" i="13034"/>
  <c r="Y479" i="12908"/>
  <c r="AV479" i="13034" s="1"/>
  <c r="AA479" i="13034"/>
  <c r="AA1589" i="13034"/>
  <c r="D430" i="12908"/>
  <c r="AA430" i="13034" s="1"/>
  <c r="AA429" i="13034"/>
  <c r="Y861" i="12908"/>
  <c r="AV861" i="13034" s="1"/>
  <c r="AA861" i="13034"/>
  <c r="H1773" i="12908"/>
  <c r="AE1770" i="13034"/>
  <c r="AA111" i="13034"/>
  <c r="I16" i="13016"/>
  <c r="I16" i="12989"/>
  <c r="Y880" i="12908"/>
  <c r="AV880" i="13034" s="1"/>
  <c r="AA880" i="13034"/>
  <c r="Y204" i="12908"/>
  <c r="AV204" i="13034" s="1"/>
  <c r="AA204" i="13034"/>
  <c r="Y443" i="12908"/>
  <c r="AV443" i="13034" s="1"/>
  <c r="AA443" i="13034"/>
  <c r="Y410" i="12908"/>
  <c r="AV410" i="13034" s="1"/>
  <c r="AA410" i="13034"/>
  <c r="Y408" i="12908"/>
  <c r="AV408" i="13034" s="1"/>
  <c r="AA408" i="13034"/>
  <c r="Y577" i="12908"/>
  <c r="AV577" i="13034" s="1"/>
  <c r="AA577" i="13034"/>
  <c r="I1447" i="12908"/>
  <c r="AF1447" i="13034" s="1"/>
  <c r="AA1447" i="13034"/>
  <c r="I1451" i="12908"/>
  <c r="AF1451" i="13034" s="1"/>
  <c r="AA1451" i="13034"/>
  <c r="AT2419" i="13034"/>
  <c r="AI2419" i="13015"/>
  <c r="M38" i="13017"/>
  <c r="Q38" i="13017" s="1"/>
  <c r="W38" i="13017" s="1"/>
  <c r="Y38" i="13017" s="1"/>
  <c r="S53" i="13016"/>
  <c r="U53" i="13016" s="1"/>
  <c r="Q53" i="13016"/>
  <c r="W53" i="13016" s="1"/>
  <c r="Y53" i="13016" s="1"/>
  <c r="Y934" i="12908"/>
  <c r="AV934" i="13034" s="1"/>
  <c r="AA934" i="13034"/>
  <c r="K48" i="12709"/>
  <c r="K177" i="12709" s="1"/>
  <c r="AE1027" i="13034"/>
  <c r="K60" i="12709"/>
  <c r="K196" i="12709" s="1"/>
  <c r="AE2043" i="13034"/>
  <c r="I1829" i="12908"/>
  <c r="AF1829" i="13034" s="1"/>
  <c r="AF1821" i="13034"/>
  <c r="AF1164" i="13034"/>
  <c r="K28" i="12989"/>
  <c r="I808" i="12908"/>
  <c r="AF808" i="13034" s="1"/>
  <c r="AF803" i="13034"/>
  <c r="Y131" i="12908"/>
  <c r="AV131" i="13034" s="1"/>
  <c r="AA131" i="13034"/>
  <c r="Y205" i="12908"/>
  <c r="AV205" i="13034" s="1"/>
  <c r="AA205" i="13034"/>
  <c r="D2077" i="12908"/>
  <c r="AA2077" i="13034" s="1"/>
  <c r="AA2121" i="13034"/>
  <c r="Y286" i="12908"/>
  <c r="AV286" i="13034" s="1"/>
  <c r="AA286" i="13034"/>
  <c r="I320" i="12908"/>
  <c r="AF320" i="13034" s="1"/>
  <c r="AA320" i="13034"/>
  <c r="I461" i="12908"/>
  <c r="AF461" i="13034" s="1"/>
  <c r="AA461" i="13034"/>
  <c r="Y411" i="12908"/>
  <c r="AV411" i="13034" s="1"/>
  <c r="AA411" i="13034"/>
  <c r="Y413" i="12908"/>
  <c r="AV413" i="13034" s="1"/>
  <c r="AA413" i="13034"/>
  <c r="I429" i="12908"/>
  <c r="AF429" i="13034" s="1"/>
  <c r="I531" i="12908"/>
  <c r="AF531" i="13034" s="1"/>
  <c r="AA531" i="13034"/>
  <c r="Y481" i="12908"/>
  <c r="AV481" i="13034" s="1"/>
  <c r="AA481" i="13034"/>
  <c r="Y476" i="12908"/>
  <c r="AV476" i="13034" s="1"/>
  <c r="AA476" i="13034"/>
  <c r="I661" i="12908"/>
  <c r="AF661" i="13034" s="1"/>
  <c r="AA661" i="13034"/>
  <c r="D658" i="12908"/>
  <c r="AA658" i="13034" s="1"/>
  <c r="AA659" i="13034"/>
  <c r="Y580" i="12908"/>
  <c r="AV580" i="13034" s="1"/>
  <c r="AA580" i="13034"/>
  <c r="I1452" i="12908"/>
  <c r="AF1452" i="13034" s="1"/>
  <c r="AA1452" i="13034"/>
  <c r="AA1564" i="13034"/>
  <c r="Z1446" i="12908"/>
  <c r="AA1446" i="13034"/>
  <c r="AT589" i="13034"/>
  <c r="AI589" i="13015"/>
  <c r="AT909" i="13034"/>
  <c r="AI909" i="13015"/>
  <c r="AT778" i="13034"/>
  <c r="AI778" i="13015"/>
  <c r="D837" i="12908"/>
  <c r="AA837" i="13034" s="1"/>
  <c r="AA856" i="13034"/>
  <c r="AT1520" i="13034"/>
  <c r="AI1520" i="13015"/>
  <c r="AD53" i="12989"/>
  <c r="Q53" i="12989"/>
  <c r="O94" i="12910"/>
  <c r="AE1883" i="13034"/>
  <c r="I21" i="12989"/>
  <c r="K92" i="12910"/>
  <c r="Z1807" i="13034"/>
  <c r="Y168" i="12908"/>
  <c r="AV168" i="13034" s="1"/>
  <c r="AA168" i="13034"/>
  <c r="D2076" i="12908"/>
  <c r="AA2076" i="13034" s="1"/>
  <c r="AA2120" i="13034"/>
  <c r="I1411" i="12908"/>
  <c r="AF1411" i="13034" s="1"/>
  <c r="AA1411" i="13034"/>
  <c r="I463" i="12908"/>
  <c r="AF463" i="13034" s="1"/>
  <c r="AA463" i="13034"/>
  <c r="Y409" i="12908"/>
  <c r="AV409" i="13034" s="1"/>
  <c r="AA409" i="13034"/>
  <c r="AA1563" i="13034"/>
  <c r="Y823" i="12908"/>
  <c r="AV823" i="13034" s="1"/>
  <c r="AA823" i="13034"/>
  <c r="D1997" i="12908"/>
  <c r="AA1997" i="13034" s="1"/>
  <c r="AA2045" i="13034"/>
  <c r="G67" i="12711"/>
  <c r="G80" i="12711" s="1"/>
  <c r="AA1110" i="13034"/>
  <c r="N95" i="12760"/>
  <c r="Z1202" i="13034"/>
  <c r="V16" i="12761"/>
  <c r="AE1493" i="13034"/>
  <c r="AB32" i="12786"/>
  <c r="AE979" i="13034"/>
  <c r="Q102" i="12905"/>
  <c r="AE1733" i="13034"/>
  <c r="H1374" i="12908"/>
  <c r="AE1370" i="13034"/>
  <c r="Y724" i="12908"/>
  <c r="AV724" i="13034" s="1"/>
  <c r="AA724" i="13034"/>
  <c r="D1553" i="12908"/>
  <c r="AA1553" i="13034" s="1"/>
  <c r="AA1575" i="13034"/>
  <c r="O35" i="12772"/>
  <c r="AE1713" i="13034"/>
  <c r="H1657" i="12908"/>
  <c r="AE1657" i="13034" s="1"/>
  <c r="AE1654" i="13034"/>
  <c r="D704" i="12908"/>
  <c r="AA704" i="13034" s="1"/>
  <c r="AA705" i="13034"/>
  <c r="Y130" i="12908"/>
  <c r="AV130" i="13034" s="1"/>
  <c r="AA130" i="13034"/>
  <c r="I1408" i="12908"/>
  <c r="AF1408" i="13034" s="1"/>
  <c r="AA1408" i="13034"/>
  <c r="Y289" i="12908"/>
  <c r="AV289" i="13034" s="1"/>
  <c r="AA289" i="13034"/>
  <c r="I323" i="12908"/>
  <c r="AF323" i="13034" s="1"/>
  <c r="AA323" i="13034"/>
  <c r="Y445" i="12908"/>
  <c r="AV445" i="13034" s="1"/>
  <c r="AA445" i="13034"/>
  <c r="I498" i="12908"/>
  <c r="AA498" i="13034"/>
  <c r="I529" i="12908"/>
  <c r="AF529" i="13034" s="1"/>
  <c r="AA529" i="13034"/>
  <c r="Y477" i="12908"/>
  <c r="AV477" i="13034" s="1"/>
  <c r="AA477" i="13034"/>
  <c r="I660" i="12908"/>
  <c r="AF660" i="13034" s="1"/>
  <c r="AA660" i="13034"/>
  <c r="Y578" i="12908"/>
  <c r="AV578" i="13034" s="1"/>
  <c r="AA578" i="13034"/>
  <c r="Y579" i="12908"/>
  <c r="AV579" i="13034" s="1"/>
  <c r="AA579" i="13034"/>
  <c r="Y1449" i="12908"/>
  <c r="AV1449" i="13034" s="1"/>
  <c r="AA1449" i="13034"/>
  <c r="AA1562" i="13034"/>
  <c r="I1440" i="12908"/>
  <c r="AF1440" i="13034" s="1"/>
  <c r="AA1440" i="13034"/>
  <c r="AA1526" i="13034"/>
  <c r="AT489" i="13034"/>
  <c r="AI489" i="13015"/>
  <c r="AT2403" i="13034"/>
  <c r="AI2403" i="13015"/>
  <c r="AT797" i="13034"/>
  <c r="AI797" i="13015"/>
  <c r="I29" i="13014"/>
  <c r="W421" i="12908"/>
  <c r="AA421" i="13034"/>
  <c r="D836" i="12908"/>
  <c r="AA836" i="13034" s="1"/>
  <c r="AA855" i="13034"/>
  <c r="I21" i="13016"/>
  <c r="I2537" i="12908"/>
  <c r="AF2537" i="13034" s="1"/>
  <c r="AF2535" i="13034"/>
  <c r="U24" i="12780"/>
  <c r="AE1392" i="13034"/>
  <c r="I723" i="12908"/>
  <c r="AF723" i="13034" s="1"/>
  <c r="AA723" i="13034"/>
  <c r="D1889" i="12908"/>
  <c r="AA1889" i="13034" s="1"/>
  <c r="AA1925" i="13034"/>
  <c r="Y78" i="12908"/>
  <c r="AV78" i="13034" s="1"/>
  <c r="AA78" i="13034"/>
  <c r="H1799" i="12908"/>
  <c r="AE1796" i="13034"/>
  <c r="Y1469" i="12908"/>
  <c r="AV1469" i="13034" s="1"/>
  <c r="AA1469" i="13034"/>
  <c r="AA41" i="13034"/>
  <c r="S41" i="12908"/>
  <c r="AP41" i="13034" s="1"/>
  <c r="I2218" i="12908"/>
  <c r="AF2218" i="13034" s="1"/>
  <c r="AA2218" i="13034"/>
  <c r="Y167" i="12908"/>
  <c r="AV167" i="13034" s="1"/>
  <c r="AA167" i="13034"/>
  <c r="Y1409" i="12908"/>
  <c r="AV1409" i="13034" s="1"/>
  <c r="AA1409" i="13034"/>
  <c r="Y325" i="12908"/>
  <c r="AV325" i="13034" s="1"/>
  <c r="AA325" i="13034"/>
  <c r="I460" i="12908"/>
  <c r="AF460" i="13034" s="1"/>
  <c r="AA460" i="13034"/>
  <c r="Y444" i="12908"/>
  <c r="AV444" i="13034" s="1"/>
  <c r="AA444" i="13034"/>
  <c r="Y447" i="12908"/>
  <c r="AV447" i="13034" s="1"/>
  <c r="AA447" i="13034"/>
  <c r="Y442" i="12908"/>
  <c r="AV442" i="13034" s="1"/>
  <c r="AA442" i="13034"/>
  <c r="I528" i="12908"/>
  <c r="AF528" i="13034" s="1"/>
  <c r="AA528" i="13034"/>
  <c r="Y478" i="12908"/>
  <c r="AV478" i="13034" s="1"/>
  <c r="AA478" i="13034"/>
  <c r="I663" i="12908"/>
  <c r="AF663" i="13034" s="1"/>
  <c r="AA663" i="13034"/>
  <c r="Y582" i="12908"/>
  <c r="AV582" i="13034" s="1"/>
  <c r="AA582" i="13034"/>
  <c r="Z1466" i="12908"/>
  <c r="AA1466" i="13034"/>
  <c r="I1448" i="12908"/>
  <c r="AF1448" i="13034" s="1"/>
  <c r="AA1448" i="13034"/>
  <c r="AT1020" i="13034"/>
  <c r="AI1020" i="13015"/>
  <c r="AT996" i="13034"/>
  <c r="AI996" i="13015"/>
  <c r="AT1090" i="13034"/>
  <c r="AI1090" i="13015"/>
  <c r="AA1565" i="13034"/>
  <c r="AA1566" i="13034"/>
  <c r="AT945" i="13034"/>
  <c r="AI945" i="13015"/>
  <c r="AT696" i="13034"/>
  <c r="AI696" i="13015"/>
  <c r="AT1583" i="13034"/>
  <c r="AI1583" i="13015"/>
  <c r="Q58" i="12989"/>
  <c r="O82" i="12989" s="1"/>
  <c r="AD58" i="12989"/>
  <c r="M57" i="13016"/>
  <c r="W57" i="13005"/>
  <c r="Y57" i="13005" s="1"/>
  <c r="AC57" i="12989"/>
  <c r="W1501" i="12908"/>
  <c r="D525" i="12908"/>
  <c r="AA525" i="13034" s="1"/>
  <c r="D523" i="12908"/>
  <c r="AA523" i="13034" s="1"/>
  <c r="D524" i="12908"/>
  <c r="AA524" i="13034" s="1"/>
  <c r="U38" i="13007"/>
  <c r="AA38" i="13007" s="1"/>
  <c r="AC38" i="13007" s="1"/>
  <c r="S38" i="13014"/>
  <c r="U38" i="13014" s="1"/>
  <c r="S38" i="13017"/>
  <c r="U38" i="13017" s="1"/>
  <c r="AE57" i="12989"/>
  <c r="I29" i="13017"/>
  <c r="Q42" i="13007"/>
  <c r="W42" i="13007" s="1"/>
  <c r="Y42" i="13007" s="1"/>
  <c r="Y2036" i="12908"/>
  <c r="AV2036" i="13034" s="1"/>
  <c r="D2013" i="12908"/>
  <c r="AA2013" i="13034" s="1"/>
  <c r="D2006" i="12908"/>
  <c r="AA2006" i="13034" s="1"/>
  <c r="D2054" i="12908"/>
  <c r="AA2054" i="13034" s="1"/>
  <c r="W927" i="12908"/>
  <c r="U927" i="12908"/>
  <c r="AR927" i="13034" s="1"/>
  <c r="U279" i="12908"/>
  <c r="AR279" i="13034" s="1"/>
  <c r="W279" i="12908"/>
  <c r="W717" i="12908"/>
  <c r="U717" i="12908"/>
  <c r="AR717" i="13034" s="1"/>
  <c r="W418" i="12908"/>
  <c r="U418" i="12908"/>
  <c r="AR418" i="13034" s="1"/>
  <c r="D387" i="12908"/>
  <c r="W455" i="12908"/>
  <c r="U455" i="12908"/>
  <c r="AR455" i="13034" s="1"/>
  <c r="D462" i="12908"/>
  <c r="U446" i="12908"/>
  <c r="AR446" i="13034" s="1"/>
  <c r="S446" i="12908"/>
  <c r="AP446" i="13034" s="1"/>
  <c r="Y446" i="12908"/>
  <c r="AV446" i="13034" s="1"/>
  <c r="W446" i="12908"/>
  <c r="U523" i="12908"/>
  <c r="AR523" i="13034" s="1"/>
  <c r="W523" i="12908"/>
  <c r="D596" i="12908"/>
  <c r="Y581" i="12908"/>
  <c r="AV581" i="13034" s="1"/>
  <c r="W581" i="12908"/>
  <c r="U581" i="12908"/>
  <c r="AR581" i="13034" s="1"/>
  <c r="S581" i="12908"/>
  <c r="AP581" i="13034" s="1"/>
  <c r="Y41" i="12908"/>
  <c r="AV41" i="13034" s="1"/>
  <c r="U41" i="12908"/>
  <c r="AR41" i="13034" s="1"/>
  <c r="W315" i="12908"/>
  <c r="U315" i="12908"/>
  <c r="AR315" i="13034" s="1"/>
  <c r="U854" i="12908"/>
  <c r="AR854" i="13034" s="1"/>
  <c r="W854" i="12908"/>
  <c r="AB107" i="12908"/>
  <c r="AB108" i="12908" s="1"/>
  <c r="I16" i="13005"/>
  <c r="I21" i="13005" s="1"/>
  <c r="U412" i="12908"/>
  <c r="AR412" i="13034" s="1"/>
  <c r="Y412" i="12908"/>
  <c r="AV412" i="13034" s="1"/>
  <c r="S412" i="12908"/>
  <c r="AP412" i="13034" s="1"/>
  <c r="W412" i="12908"/>
  <c r="W2299" i="12908"/>
  <c r="U2299" i="12908"/>
  <c r="AR2299" i="13034" s="1"/>
  <c r="W2315" i="12908"/>
  <c r="Y2308" i="12908"/>
  <c r="AV2308" i="13034" s="1"/>
  <c r="D2032" i="12908"/>
  <c r="AA2032" i="13034" s="1"/>
  <c r="D2031" i="12908"/>
  <c r="AA2031" i="13034" s="1"/>
  <c r="D2033" i="12908"/>
  <c r="AA2033" i="13034" s="1"/>
  <c r="Y2041" i="12908"/>
  <c r="AV2041" i="13034" s="1"/>
  <c r="I2128" i="12908"/>
  <c r="AF2128" i="13034" s="1"/>
  <c r="Y2128" i="12908"/>
  <c r="AV2128" i="13034" s="1"/>
  <c r="U873" i="12908"/>
  <c r="AR873" i="13034" s="1"/>
  <c r="W873" i="12908"/>
  <c r="D496" i="12908"/>
  <c r="S480" i="12908"/>
  <c r="AP480" i="13034" s="1"/>
  <c r="W480" i="12908"/>
  <c r="U480" i="12908"/>
  <c r="AR480" i="13034" s="1"/>
  <c r="Y480" i="12908"/>
  <c r="AV480" i="13034" s="1"/>
  <c r="U655" i="12908"/>
  <c r="AR655" i="13034" s="1"/>
  <c r="W655" i="12908"/>
  <c r="D2061" i="12908"/>
  <c r="AA2061" i="13034" s="1"/>
  <c r="W816" i="12908"/>
  <c r="U816" i="12908"/>
  <c r="AR816" i="13034" s="1"/>
  <c r="D1890" i="12908"/>
  <c r="AA1890" i="13034" s="1"/>
  <c r="D1894" i="12908"/>
  <c r="D1892" i="12908"/>
  <c r="AA1892" i="13034" s="1"/>
  <c r="D1891" i="12908"/>
  <c r="AA1891" i="13034" s="1"/>
  <c r="D1896" i="12908"/>
  <c r="D1895" i="12908"/>
  <c r="D1893" i="12908"/>
  <c r="D1443" i="12908"/>
  <c r="AA1443" i="13034" s="1"/>
  <c r="D1507" i="12908"/>
  <c r="AA1507" i="13034" s="1"/>
  <c r="D2321" i="12908"/>
  <c r="AA2321" i="13034" s="1"/>
  <c r="D1567" i="12908"/>
  <c r="D1543" i="12908"/>
  <c r="AA1543" i="13034" s="1"/>
  <c r="D1541" i="12908"/>
  <c r="AA1541" i="13034" s="1"/>
  <c r="D1540" i="12908"/>
  <c r="AA1540" i="13034" s="1"/>
  <c r="C1544" i="12908"/>
  <c r="Z1544" i="13034" s="1"/>
  <c r="C1545" i="12908"/>
  <c r="Z1545" i="13034" s="1"/>
  <c r="Y1016" i="12908"/>
  <c r="AV1016" i="13034" s="1"/>
  <c r="S1044" i="12908"/>
  <c r="AP1044" i="13034" s="1"/>
  <c r="W1044" i="12908"/>
  <c r="U1044" i="12908"/>
  <c r="AR1044" i="13034" s="1"/>
  <c r="Y1044" i="12908"/>
  <c r="AV1044" i="13034" s="1"/>
  <c r="U1134" i="12908"/>
  <c r="AR1134" i="13034" s="1"/>
  <c r="S1134" i="12908"/>
  <c r="AP1134" i="13034" s="1"/>
  <c r="W1134" i="12908"/>
  <c r="Y1134" i="12908"/>
  <c r="AV1134" i="13034" s="1"/>
  <c r="Y992" i="12908"/>
  <c r="AV992" i="13034" s="1"/>
  <c r="Y1015" i="12908"/>
  <c r="AV1015" i="13034" s="1"/>
  <c r="Y991" i="12908"/>
  <c r="AV991" i="13034" s="1"/>
  <c r="W1112" i="12908"/>
  <c r="U1112" i="12908"/>
  <c r="AR1112" i="13034" s="1"/>
  <c r="S1112" i="12908"/>
  <c r="AP1112" i="13034" s="1"/>
  <c r="Y1112" i="12908"/>
  <c r="AV1112" i="13034" s="1"/>
  <c r="Y727" i="12908"/>
  <c r="AV727" i="13034" s="1"/>
  <c r="Y1014" i="12908"/>
  <c r="AV1014" i="13034" s="1"/>
  <c r="Y1049" i="12908"/>
  <c r="AV1049" i="13034" s="1"/>
  <c r="Y990" i="12908"/>
  <c r="AV990" i="13034" s="1"/>
  <c r="D1450" i="12908"/>
  <c r="I1449" i="12908"/>
  <c r="AF1449" i="13034" s="1"/>
  <c r="L54" i="12711"/>
  <c r="L182" i="12711" s="1"/>
  <c r="V182" i="12711" s="1"/>
  <c r="N54" i="12711"/>
  <c r="N182" i="12711" s="1"/>
  <c r="D1403" i="12908"/>
  <c r="AA1403" i="13034" s="1"/>
  <c r="D1463" i="12908"/>
  <c r="AA1463" i="13034" s="1"/>
  <c r="Z1406" i="12908"/>
  <c r="D1422" i="12908"/>
  <c r="AA1422" i="13034" s="1"/>
  <c r="D1424" i="12908"/>
  <c r="AA1424" i="13034" s="1"/>
  <c r="D1421" i="12908"/>
  <c r="AA1421" i="13034" s="1"/>
  <c r="D1426" i="12908"/>
  <c r="D1425" i="12908"/>
  <c r="AA1425" i="13034" s="1"/>
  <c r="D664" i="12908"/>
  <c r="D506" i="12908"/>
  <c r="AA506" i="13034" s="1"/>
  <c r="D513" i="12908"/>
  <c r="D509" i="12908"/>
  <c r="AA509" i="13034" s="1"/>
  <c r="D514" i="12908"/>
  <c r="AA514" i="13034" s="1"/>
  <c r="D511" i="12908"/>
  <c r="D510" i="12908"/>
  <c r="D507" i="12908"/>
  <c r="AA507" i="13034" s="1"/>
  <c r="D508" i="12908"/>
  <c r="AA508" i="13034" s="1"/>
  <c r="D515" i="12908"/>
  <c r="D512" i="12908"/>
  <c r="I600" i="12908"/>
  <c r="AF600" i="13034" s="1"/>
  <c r="D646" i="12908"/>
  <c r="D641" i="12908"/>
  <c r="AA641" i="13034" s="1"/>
  <c r="D642" i="12908"/>
  <c r="AA642" i="13034" s="1"/>
  <c r="D644" i="12908"/>
  <c r="D643" i="12908"/>
  <c r="D645" i="12908"/>
  <c r="D639" i="12908"/>
  <c r="AA639" i="13034" s="1"/>
  <c r="D647" i="12908"/>
  <c r="AA647" i="13034" s="1"/>
  <c r="D640" i="12908"/>
  <c r="AA640" i="13034" s="1"/>
  <c r="D648" i="12908"/>
  <c r="I596" i="12908"/>
  <c r="AF596" i="13034" s="1"/>
  <c r="I655" i="12908"/>
  <c r="AF655" i="13034" s="1"/>
  <c r="D657" i="12908"/>
  <c r="AA657" i="13034" s="1"/>
  <c r="D618" i="12908"/>
  <c r="AA618" i="13034" s="1"/>
  <c r="D627" i="12908"/>
  <c r="AA627" i="13034" s="1"/>
  <c r="D628" i="12908"/>
  <c r="AA628" i="13034" s="1"/>
  <c r="D626" i="12908"/>
  <c r="D630" i="12908"/>
  <c r="D622" i="12908"/>
  <c r="AA622" i="13034" s="1"/>
  <c r="D395" i="12908"/>
  <c r="D392" i="12908"/>
  <c r="D464" i="12908"/>
  <c r="D532" i="12908"/>
  <c r="D318" i="12908"/>
  <c r="AA318" i="13034" s="1"/>
  <c r="I523" i="12908"/>
  <c r="AF523" i="13034" s="1"/>
  <c r="D526" i="12908"/>
  <c r="AA526" i="13034" s="1"/>
  <c r="I285" i="12908"/>
  <c r="AF285" i="13034" s="1"/>
  <c r="I286" i="12908"/>
  <c r="AF286" i="13034" s="1"/>
  <c r="D265" i="12908"/>
  <c r="AA265" i="13034" s="1"/>
  <c r="D268" i="12908"/>
  <c r="D267" i="12908"/>
  <c r="D262" i="12908"/>
  <c r="AA262" i="13034" s="1"/>
  <c r="D270" i="12908"/>
  <c r="AA270" i="13034" s="1"/>
  <c r="D269" i="12908"/>
  <c r="D264" i="12908"/>
  <c r="AA264" i="13034" s="1"/>
  <c r="D263" i="12908"/>
  <c r="AA263" i="13034" s="1"/>
  <c r="D271" i="12908"/>
  <c r="D266" i="12908"/>
  <c r="D379" i="12908"/>
  <c r="I462" i="12908"/>
  <c r="AF462" i="13034" s="1"/>
  <c r="D377" i="12908"/>
  <c r="I289" i="12908"/>
  <c r="AF289" i="13034" s="1"/>
  <c r="I279" i="12908"/>
  <c r="AF279" i="13034" s="1"/>
  <c r="D288" i="12908"/>
  <c r="AA288" i="13034" s="1"/>
  <c r="I325" i="12908"/>
  <c r="AF325" i="13034" s="1"/>
  <c r="D370" i="12908"/>
  <c r="AA370" i="13034" s="1"/>
  <c r="D371" i="12908"/>
  <c r="AA371" i="13034" s="1"/>
  <c r="D372" i="12908"/>
  <c r="AA372" i="13034" s="1"/>
  <c r="I315" i="12908"/>
  <c r="AF315" i="13034" s="1"/>
  <c r="D302" i="12908"/>
  <c r="D298" i="12908"/>
  <c r="AA298" i="13034" s="1"/>
  <c r="D306" i="12908"/>
  <c r="AA306" i="13034" s="1"/>
  <c r="D299" i="12908"/>
  <c r="AA299" i="13034" s="1"/>
  <c r="D301" i="12908"/>
  <c r="AA301" i="13034" s="1"/>
  <c r="D300" i="12908"/>
  <c r="AA300" i="13034" s="1"/>
  <c r="D307" i="12908"/>
  <c r="D303" i="12908"/>
  <c r="D305" i="12908"/>
  <c r="D304" i="12908"/>
  <c r="D376" i="12908"/>
  <c r="D373" i="12908"/>
  <c r="AA373" i="13034" s="1"/>
  <c r="D393" i="12908"/>
  <c r="I430" i="12908"/>
  <c r="D391" i="12908"/>
  <c r="AA391" i="13034" s="1"/>
  <c r="D403" i="12908"/>
  <c r="AA403" i="13034" s="1"/>
  <c r="I418" i="12908"/>
  <c r="AF418" i="13034" s="1"/>
  <c r="D384" i="12908"/>
  <c r="AA384" i="13034" s="1"/>
  <c r="I284" i="12908"/>
  <c r="AF284" i="13034" s="1"/>
  <c r="I287" i="12908"/>
  <c r="AF287" i="13034" s="1"/>
  <c r="D282" i="12908"/>
  <c r="AA282" i="13034" s="1"/>
  <c r="D324" i="12908"/>
  <c r="I455" i="12908"/>
  <c r="AF455" i="13034" s="1"/>
  <c r="D458" i="12908"/>
  <c r="AA458" i="13034" s="1"/>
  <c r="D375" i="12908"/>
  <c r="D428" i="12908"/>
  <c r="AA428" i="13034" s="1"/>
  <c r="D378" i="12908"/>
  <c r="AA378" i="13034" s="1"/>
  <c r="D374" i="12908"/>
  <c r="AB146" i="12908"/>
  <c r="D1013" i="12908"/>
  <c r="AA1013" i="13034" s="1"/>
  <c r="D1040" i="12908"/>
  <c r="AA1040" i="13034" s="1"/>
  <c r="D1038" i="12908"/>
  <c r="AA1038" i="13034" s="1"/>
  <c r="D1036" i="12908"/>
  <c r="AA1036" i="13034" s="1"/>
  <c r="D1034" i="12908"/>
  <c r="AA1034" i="13034" s="1"/>
  <c r="D1035" i="12908"/>
  <c r="AA1035" i="13034" s="1"/>
  <c r="D1039" i="12908"/>
  <c r="AA1039" i="13034" s="1"/>
  <c r="D989" i="12908"/>
  <c r="AA989" i="13034" s="1"/>
  <c r="D985" i="12908"/>
  <c r="AA985" i="13034" s="1"/>
  <c r="D1009" i="12908"/>
  <c r="AA1009" i="13034" s="1"/>
  <c r="D997" i="12908"/>
  <c r="AA997" i="13034" s="1"/>
  <c r="AB183" i="12908"/>
  <c r="AB220" i="12908"/>
  <c r="D1410" i="12908"/>
  <c r="A24" i="12910"/>
  <c r="A25" i="12910" s="1"/>
  <c r="A26" i="12910" s="1"/>
  <c r="A27" i="12910" s="1"/>
  <c r="A28" i="12910" s="1"/>
  <c r="A29" i="12910" s="1"/>
  <c r="A30" i="12910" s="1"/>
  <c r="A31" i="12910" s="1"/>
  <c r="A34" i="12910" s="1"/>
  <c r="A35" i="12910" s="1"/>
  <c r="A36" i="12910" s="1"/>
  <c r="A37" i="12910" s="1"/>
  <c r="A38" i="12910" s="1"/>
  <c r="A39" i="12910" s="1"/>
  <c r="A40" i="12910" s="1"/>
  <c r="A41" i="12910" s="1"/>
  <c r="A42" i="12910" s="1"/>
  <c r="A43" i="12910" s="1"/>
  <c r="A44" i="12910" s="1"/>
  <c r="A45" i="12910" s="1"/>
  <c r="A46" i="12910" s="1"/>
  <c r="A47" i="12910" s="1"/>
  <c r="A48" i="12910" s="1"/>
  <c r="A49" i="12910" s="1"/>
  <c r="A50" i="12910" s="1"/>
  <c r="A51" i="12910" s="1"/>
  <c r="A52" i="12910" s="1"/>
  <c r="A53" i="12910" s="1"/>
  <c r="A54" i="12910" s="1"/>
  <c r="A55" i="12910" s="1"/>
  <c r="A56" i="12910" s="1"/>
  <c r="A57" i="12910" s="1"/>
  <c r="A60" i="12910" s="1"/>
  <c r="A61" i="12910" s="1"/>
  <c r="A62" i="12910" s="1"/>
  <c r="A63" i="12910" s="1"/>
  <c r="A64" i="12910" s="1"/>
  <c r="A65" i="12910" s="1"/>
  <c r="A66" i="12910" s="1"/>
  <c r="A67" i="12910" s="1"/>
  <c r="A68" i="12910" s="1"/>
  <c r="A69" i="12910" s="1"/>
  <c r="A70" i="12910" s="1"/>
  <c r="A71" i="12910" s="1"/>
  <c r="A72" i="12910" s="1"/>
  <c r="A73" i="12910" s="1"/>
  <c r="A74" i="12910" s="1"/>
  <c r="A75" i="12910" s="1"/>
  <c r="A76" i="12910" s="1"/>
  <c r="A77" i="12910" s="1"/>
  <c r="A78" i="12910" s="1"/>
  <c r="A79" i="12910" s="1"/>
  <c r="A80" i="12910" s="1"/>
  <c r="A83" i="12910" s="1"/>
  <c r="A84" i="12910" s="1"/>
  <c r="A85" i="12910" s="1"/>
  <c r="I1400" i="12908"/>
  <c r="AF1400" i="13034" s="1"/>
  <c r="I1409" i="12908"/>
  <c r="AF1409" i="13034" s="1"/>
  <c r="I1407" i="12908"/>
  <c r="AF1407" i="13034" s="1"/>
  <c r="I1412" i="12908"/>
  <c r="AF1412" i="13034" s="1"/>
  <c r="I2219" i="12908"/>
  <c r="AF2219" i="13034" s="1"/>
  <c r="D2165" i="12908"/>
  <c r="AA2165" i="13034" s="1"/>
  <c r="D2166" i="12908"/>
  <c r="AA2166" i="13034" s="1"/>
  <c r="D1921" i="12908"/>
  <c r="D70" i="12908"/>
  <c r="AA70" i="13034" s="1"/>
  <c r="D2173" i="12908"/>
  <c r="AA2173" i="13034" s="1"/>
  <c r="D132" i="12908"/>
  <c r="K67" i="12910"/>
  <c r="D68" i="12908"/>
  <c r="AA68" i="13034" s="1"/>
  <c r="D65" i="12908"/>
  <c r="I727" i="12908"/>
  <c r="AF727" i="13034" s="1"/>
  <c r="D721" i="12908"/>
  <c r="AA721" i="13034" s="1"/>
  <c r="D32" i="12908"/>
  <c r="AA32" i="13034" s="1"/>
  <c r="D30" i="12908"/>
  <c r="AA30" i="13034" s="1"/>
  <c r="D33" i="12908"/>
  <c r="AA33" i="13034" s="1"/>
  <c r="D31" i="12908"/>
  <c r="AA31" i="13034" s="1"/>
  <c r="D69" i="12908"/>
  <c r="AA69" i="13034" s="1"/>
  <c r="D64" i="12908"/>
  <c r="D67" i="12908"/>
  <c r="AA67" i="13034" s="1"/>
  <c r="D699" i="12908"/>
  <c r="AA699" i="13034" s="1"/>
  <c r="D1981" i="12908"/>
  <c r="D1980" i="12908"/>
  <c r="D1482" i="12908"/>
  <c r="AA1482" i="13034" s="1"/>
  <c r="D1484" i="12908"/>
  <c r="AA1484" i="13034" s="1"/>
  <c r="D1481" i="12908"/>
  <c r="AA1481" i="13034" s="1"/>
  <c r="D1485" i="12908"/>
  <c r="AA1485" i="13034" s="1"/>
  <c r="I810" i="12908"/>
  <c r="D2172" i="12908"/>
  <c r="AA2172" i="13034" s="1"/>
  <c r="D895" i="12908"/>
  <c r="AA895" i="13034" s="1"/>
  <c r="V14" i="12711"/>
  <c r="D2171" i="12908"/>
  <c r="AA2171" i="13034" s="1"/>
  <c r="N59" i="12711"/>
  <c r="N193" i="12711" s="1"/>
  <c r="I2217" i="12908"/>
  <c r="N62" i="12711"/>
  <c r="N197" i="12711" s="1"/>
  <c r="M197" i="12711"/>
  <c r="I717" i="12908"/>
  <c r="AF717" i="13034" s="1"/>
  <c r="G22" i="12858"/>
  <c r="J22" i="12858" s="1"/>
  <c r="M22" i="12858" s="1"/>
  <c r="H22" i="12858"/>
  <c r="K22" i="12858" s="1"/>
  <c r="M175" i="12711"/>
  <c r="L85" i="12711"/>
  <c r="V85" i="12711" s="1"/>
  <c r="D37" i="12908"/>
  <c r="AA37" i="13034" s="1"/>
  <c r="L61" i="12711"/>
  <c r="V61" i="12711" s="1"/>
  <c r="N204" i="12711"/>
  <c r="N196" i="12711"/>
  <c r="M177" i="12711"/>
  <c r="I2126" i="12908"/>
  <c r="AF2126" i="13034" s="1"/>
  <c r="V13" i="12711"/>
  <c r="N140" i="12711"/>
  <c r="N191" i="12711" s="1"/>
  <c r="M191" i="12711"/>
  <c r="M179" i="12711"/>
  <c r="L56" i="12711"/>
  <c r="L184" i="12711" s="1"/>
  <c r="M184" i="12711"/>
  <c r="N138" i="12711"/>
  <c r="N189" i="12711" s="1"/>
  <c r="M189" i="12711"/>
  <c r="N95" i="12711"/>
  <c r="N194" i="12711" s="1"/>
  <c r="M194" i="12711"/>
  <c r="V15" i="12711"/>
  <c r="L170" i="12711"/>
  <c r="V170" i="12711" s="1"/>
  <c r="V25" i="12711"/>
  <c r="V21" i="12711"/>
  <c r="V59" i="12711"/>
  <c r="V27" i="12711"/>
  <c r="L197" i="12711"/>
  <c r="K206" i="12709"/>
  <c r="K208" i="12709" s="1"/>
  <c r="N50" i="12709"/>
  <c r="N179" i="12709" s="1"/>
  <c r="Q39" i="12910"/>
  <c r="L55" i="12711"/>
  <c r="L183" i="12711" s="1"/>
  <c r="V183" i="12711" s="1"/>
  <c r="M204" i="12711"/>
  <c r="N118" i="12711"/>
  <c r="N186" i="12711" s="1"/>
  <c r="M186" i="12711"/>
  <c r="H1616" i="12908"/>
  <c r="V17" i="12711"/>
  <c r="L172" i="12711"/>
  <c r="V172" i="12711" s="1"/>
  <c r="D2082" i="12908"/>
  <c r="AA2082" i="13034" s="1"/>
  <c r="N55" i="12711"/>
  <c r="N183" i="12711" s="1"/>
  <c r="M193" i="12711"/>
  <c r="M176" i="12711"/>
  <c r="N139" i="12711"/>
  <c r="N190" i="12711" s="1"/>
  <c r="M190" i="12711"/>
  <c r="V23" i="12711"/>
  <c r="V58" i="12711"/>
  <c r="V19" i="12711"/>
  <c r="V18" i="12711"/>
  <c r="V28" i="12711"/>
  <c r="N137" i="12711"/>
  <c r="N188" i="12711" s="1"/>
  <c r="M188" i="12711"/>
  <c r="M196" i="12711"/>
  <c r="V22" i="12711"/>
  <c r="I118" i="12709"/>
  <c r="I187" i="12709" s="1"/>
  <c r="F120" i="12709"/>
  <c r="F133" i="12709" s="1"/>
  <c r="Q133" i="12709" s="1"/>
  <c r="Q188" i="12709"/>
  <c r="L66" i="12711"/>
  <c r="L204" i="12711" s="1"/>
  <c r="D2083" i="12908"/>
  <c r="AA2083" i="13034" s="1"/>
  <c r="I2127" i="12908"/>
  <c r="AF2127" i="13034" s="1"/>
  <c r="D2084" i="12908"/>
  <c r="AA2084" i="13034" s="1"/>
  <c r="I1467" i="12908"/>
  <c r="AF1467" i="13034" s="1"/>
  <c r="I1469" i="12908"/>
  <c r="AF1469" i="13034" s="1"/>
  <c r="I1468" i="12908"/>
  <c r="AF1468" i="13034" s="1"/>
  <c r="I1460" i="12908"/>
  <c r="AF1460" i="13034" s="1"/>
  <c r="D1470" i="12908"/>
  <c r="AA1470" i="13034" s="1"/>
  <c r="I1471" i="12908"/>
  <c r="AF1471" i="13034" s="1"/>
  <c r="I1472" i="12908"/>
  <c r="AF1472" i="13034" s="1"/>
  <c r="D842" i="12908"/>
  <c r="I880" i="12908"/>
  <c r="AF880" i="13034" s="1"/>
  <c r="D840" i="12908"/>
  <c r="AA840" i="13034" s="1"/>
  <c r="I878" i="12908"/>
  <c r="AF878" i="13034" s="1"/>
  <c r="D841" i="12908"/>
  <c r="AA841" i="13034" s="1"/>
  <c r="I879" i="12908"/>
  <c r="AF879" i="13034" s="1"/>
  <c r="D835" i="12908"/>
  <c r="AA835" i="13034" s="1"/>
  <c r="I873" i="12908"/>
  <c r="AF873" i="13034" s="1"/>
  <c r="L64" i="12711"/>
  <c r="N64" i="12711"/>
  <c r="N199" i="12711" s="1"/>
  <c r="I142" i="12709"/>
  <c r="D77" i="12908"/>
  <c r="AA77" i="13034" s="1"/>
  <c r="D72" i="12908"/>
  <c r="AA72" i="13034" s="1"/>
  <c r="D75" i="12908"/>
  <c r="AA75" i="13034" s="1"/>
  <c r="D213" i="12908"/>
  <c r="AA213" i="13034" s="1"/>
  <c r="D176" i="12908"/>
  <c r="AA176" i="13034" s="1"/>
  <c r="D169" i="12908"/>
  <c r="D71" i="12908"/>
  <c r="AA71" i="13034" s="1"/>
  <c r="D206" i="12908"/>
  <c r="D28" i="12908"/>
  <c r="AA28" i="13034" s="1"/>
  <c r="D27" i="12908"/>
  <c r="AA27" i="13034" s="1"/>
  <c r="D39" i="12908"/>
  <c r="AA39" i="13034" s="1"/>
  <c r="D38" i="12908"/>
  <c r="AA38" i="13034" s="1"/>
  <c r="D40" i="12908"/>
  <c r="AA40" i="13034" s="1"/>
  <c r="D74" i="12908"/>
  <c r="AA74" i="13034" s="1"/>
  <c r="D139" i="12908"/>
  <c r="AA139" i="13034" s="1"/>
  <c r="D76" i="12908"/>
  <c r="I78" i="12908"/>
  <c r="AF78" i="13034" s="1"/>
  <c r="I137" i="12709"/>
  <c r="I189" i="12709" s="1"/>
  <c r="Q140" i="12711"/>
  <c r="Q191" i="12711" s="1"/>
  <c r="Q136" i="12709"/>
  <c r="I139" i="12709"/>
  <c r="I191" i="12709" s="1"/>
  <c r="Q139" i="12711"/>
  <c r="Q190" i="12711" s="1"/>
  <c r="D105" i="12908"/>
  <c r="AA105" i="13034" s="1"/>
  <c r="H1716" i="12908"/>
  <c r="I2202" i="12908"/>
  <c r="O17" i="12775"/>
  <c r="L139" i="12709"/>
  <c r="L191" i="12709" s="1"/>
  <c r="H136" i="12709"/>
  <c r="Q136" i="12711" s="1"/>
  <c r="D103" i="12908"/>
  <c r="AA103" i="13034" s="1"/>
  <c r="I57" i="12910"/>
  <c r="H1736" i="12908"/>
  <c r="D106" i="12908"/>
  <c r="AA106" i="13034" s="1"/>
  <c r="N13" i="12711"/>
  <c r="N168" i="12711" s="1"/>
  <c r="L137" i="12711"/>
  <c r="L188" i="12711" s="1"/>
  <c r="I724" i="12908"/>
  <c r="AF724" i="13034" s="1"/>
  <c r="K90" i="12910"/>
  <c r="N58" i="12709"/>
  <c r="Q47" i="12910"/>
  <c r="O85" i="12910"/>
  <c r="I789" i="12908"/>
  <c r="I1575" i="12908"/>
  <c r="AF1575" i="13034" s="1"/>
  <c r="I722" i="12908"/>
  <c r="AF722" i="13034" s="1"/>
  <c r="O14" i="12711"/>
  <c r="O169" i="12711" s="1"/>
  <c r="O205" i="12711" s="1"/>
  <c r="O207" i="12711" s="1"/>
  <c r="M16" i="12910"/>
  <c r="M31" i="12910" s="1"/>
  <c r="M98" i="12910" s="1"/>
  <c r="G12" i="12856" s="1"/>
  <c r="O27" i="12774"/>
  <c r="L141" i="12709"/>
  <c r="O93" i="12910"/>
  <c r="N93" i="12709"/>
  <c r="Q70" i="12910"/>
  <c r="D726" i="12908"/>
  <c r="AA726" i="13034" s="1"/>
  <c r="L140" i="12709"/>
  <c r="L192" i="12709" s="1"/>
  <c r="V171" i="12711"/>
  <c r="I956" i="12908"/>
  <c r="I138" i="12709"/>
  <c r="I190" i="12709" s="1"/>
  <c r="Q138" i="12711"/>
  <c r="Q189" i="12711" s="1"/>
  <c r="Q137" i="12711"/>
  <c r="Q188" i="12711" s="1"/>
  <c r="I140" i="12709"/>
  <c r="I192" i="12709" s="1"/>
  <c r="F143" i="12709"/>
  <c r="F156" i="12709" s="1"/>
  <c r="C20" i="6" s="1"/>
  <c r="E20" i="6" s="1"/>
  <c r="F20" i="6" s="1"/>
  <c r="I141" i="12709"/>
  <c r="H1804" i="12908"/>
  <c r="I2431" i="12908"/>
  <c r="AF2431" i="13034" s="1"/>
  <c r="I2400" i="12908"/>
  <c r="AF2400" i="13034" s="1"/>
  <c r="N12" i="12711"/>
  <c r="N167" i="12711" s="1"/>
  <c r="N57" i="12711"/>
  <c r="N185" i="12711" s="1"/>
  <c r="N47" i="12711"/>
  <c r="N175" i="12711" s="1"/>
  <c r="L88" i="12711"/>
  <c r="V88" i="12711" s="1"/>
  <c r="N88" i="12711"/>
  <c r="N179" i="12711" s="1"/>
  <c r="N141" i="12711"/>
  <c r="N192" i="12711" s="1"/>
  <c r="I2112" i="12908"/>
  <c r="N56" i="12711"/>
  <c r="N184" i="12711" s="1"/>
  <c r="N84" i="12711"/>
  <c r="N174" i="12711" s="1"/>
  <c r="L49" i="12711"/>
  <c r="V49" i="12711" s="1"/>
  <c r="N49" i="12711"/>
  <c r="N177" i="12711" s="1"/>
  <c r="L86" i="12711"/>
  <c r="V86" i="12711" s="1"/>
  <c r="N86" i="12711"/>
  <c r="N176" i="12711" s="1"/>
  <c r="I2413" i="12908"/>
  <c r="I2062" i="12908"/>
  <c r="AF2062" i="13034" s="1"/>
  <c r="I860" i="12908"/>
  <c r="AF860" i="13034" s="1"/>
  <c r="I1111" i="12908"/>
  <c r="AF1111" i="13034" s="1"/>
  <c r="I1508" i="12908"/>
  <c r="AF1508" i="13034" s="1"/>
  <c r="I214" i="12908"/>
  <c r="AF214" i="13034" s="1"/>
  <c r="I2016" i="12908"/>
  <c r="AF2016" i="13034" s="1"/>
  <c r="I998" i="12908"/>
  <c r="AF998" i="13034" s="1"/>
  <c r="I854" i="12908"/>
  <c r="AF854" i="13034" s="1"/>
  <c r="I1112" i="12908"/>
  <c r="AF1112" i="13034" s="1"/>
  <c r="I1512" i="12908"/>
  <c r="AF1512" i="13034" s="1"/>
  <c r="I41" i="12908"/>
  <c r="AF41" i="13034" s="1"/>
  <c r="I2015" i="12908"/>
  <c r="AF2015" i="13034" s="1"/>
  <c r="I859" i="12908"/>
  <c r="AF859" i="13034" s="1"/>
  <c r="I1110" i="12908"/>
  <c r="AF1110" i="13034" s="1"/>
  <c r="I705" i="12908"/>
  <c r="AF705" i="13034" s="1"/>
  <c r="I1509" i="12908"/>
  <c r="AF1509" i="13034" s="1"/>
  <c r="I1511" i="12908"/>
  <c r="AF1511" i="13034" s="1"/>
  <c r="I2014" i="12908"/>
  <c r="AF2014" i="13034" s="1"/>
  <c r="I861" i="12908"/>
  <c r="AF861" i="13034" s="1"/>
  <c r="I1501" i="12908"/>
  <c r="AF1501" i="13034" s="1"/>
  <c r="I920" i="12908"/>
  <c r="I1098" i="12908"/>
  <c r="AF1098" i="13034" s="1"/>
  <c r="I1653" i="12908"/>
  <c r="AF1653" i="13034" s="1"/>
  <c r="I2539" i="12908"/>
  <c r="AF2539" i="13034" s="1"/>
  <c r="I1655" i="12908"/>
  <c r="AF1655" i="13034" s="1"/>
  <c r="V41" i="12763"/>
  <c r="I138" i="12908"/>
  <c r="AF138" i="13034" s="1"/>
  <c r="I140" i="12908"/>
  <c r="AF140" i="13034" s="1"/>
  <c r="I217" i="12908"/>
  <c r="AF217" i="13034" s="1"/>
  <c r="I143" i="12908"/>
  <c r="AF143" i="13034" s="1"/>
  <c r="I2269" i="12908"/>
  <c r="AF2269" i="13034" s="1"/>
  <c r="I2063" i="12908"/>
  <c r="AF2063" i="13034" s="1"/>
  <c r="D1988" i="12908"/>
  <c r="AA1988" i="13034" s="1"/>
  <c r="I2036" i="12908"/>
  <c r="AF2036" i="13034" s="1"/>
  <c r="I2311" i="12908"/>
  <c r="AF2311" i="13034" s="1"/>
  <c r="I2292" i="12908"/>
  <c r="AF2292" i="13034" s="1"/>
  <c r="I2267" i="12908"/>
  <c r="AF2267" i="13034" s="1"/>
  <c r="D759" i="12908"/>
  <c r="AA759" i="13034" s="1"/>
  <c r="I816" i="12908"/>
  <c r="AF816" i="13034" s="1"/>
  <c r="I2266" i="12908"/>
  <c r="AF2266" i="13034" s="1"/>
  <c r="I2289" i="12908"/>
  <c r="AF2289" i="13034" s="1"/>
  <c r="I2307" i="12908"/>
  <c r="AF2307" i="13034" s="1"/>
  <c r="I174" i="12908"/>
  <c r="AF174" i="13034" s="1"/>
  <c r="I1044" i="12908"/>
  <c r="AF1044" i="13034" s="1"/>
  <c r="D896" i="12908"/>
  <c r="AA896" i="13034" s="1"/>
  <c r="I932" i="12908"/>
  <c r="AF932" i="13034" s="1"/>
  <c r="I1134" i="12908"/>
  <c r="AF1134" i="13034" s="1"/>
  <c r="I1599" i="12908"/>
  <c r="I215" i="12908"/>
  <c r="AF215" i="13034" s="1"/>
  <c r="I179" i="12908"/>
  <c r="AF179" i="13034" s="1"/>
  <c r="I216" i="12908"/>
  <c r="AF216" i="13034" s="1"/>
  <c r="I137" i="12908"/>
  <c r="AF137" i="13034" s="1"/>
  <c r="D1993" i="12908"/>
  <c r="AA1993" i="13034" s="1"/>
  <c r="I2041" i="12908"/>
  <c r="AF2041" i="13034" s="1"/>
  <c r="I1843" i="12908"/>
  <c r="AF1843" i="13034" s="1"/>
  <c r="D765" i="12908"/>
  <c r="AA765" i="13034" s="1"/>
  <c r="I822" i="12908"/>
  <c r="AF822" i="13034" s="1"/>
  <c r="I2306" i="12908"/>
  <c r="AF2306" i="13034" s="1"/>
  <c r="I2272" i="12908"/>
  <c r="AF2272" i="13034" s="1"/>
  <c r="I141" i="12908"/>
  <c r="AF141" i="13034" s="1"/>
  <c r="I177" i="12908"/>
  <c r="AF177" i="13034" s="1"/>
  <c r="I2294" i="12908"/>
  <c r="AF2294" i="13034" s="1"/>
  <c r="I2315" i="12908"/>
  <c r="AF2315" i="13034" s="1"/>
  <c r="I2310" i="12908"/>
  <c r="AF2310" i="13034" s="1"/>
  <c r="D1987" i="12908"/>
  <c r="AA1987" i="13034" s="1"/>
  <c r="I2035" i="12908"/>
  <c r="AF2035" i="13034" s="1"/>
  <c r="I999" i="12908"/>
  <c r="AF999" i="13034" s="1"/>
  <c r="D766" i="12908"/>
  <c r="I823" i="12908"/>
  <c r="AF823" i="13034" s="1"/>
  <c r="I2276" i="12908"/>
  <c r="AF2276" i="13034" s="1"/>
  <c r="I2299" i="12908"/>
  <c r="AF2299" i="13034" s="1"/>
  <c r="I2295" i="12908"/>
  <c r="AF2295" i="13034" s="1"/>
  <c r="I1553" i="12908"/>
  <c r="AF1553" i="13034" s="1"/>
  <c r="I180" i="12908"/>
  <c r="AF180" i="13034" s="1"/>
  <c r="D971" i="12908"/>
  <c r="AA971" i="13034" s="1"/>
  <c r="I1043" i="12908"/>
  <c r="AF1043" i="13034" s="1"/>
  <c r="D898" i="12908"/>
  <c r="I934" i="12908"/>
  <c r="AF934" i="13034" s="1"/>
  <c r="I1133" i="12908"/>
  <c r="AF1133" i="13034" s="1"/>
  <c r="I2064" i="12908"/>
  <c r="AF2064" i="13034" s="1"/>
  <c r="D1986" i="12908"/>
  <c r="AA1986" i="13034" s="1"/>
  <c r="I2034" i="12908"/>
  <c r="AF2034" i="13034" s="1"/>
  <c r="I2254" i="12908"/>
  <c r="AF2254" i="13034" s="1"/>
  <c r="I2323" i="12908"/>
  <c r="AF2323" i="13034" s="1"/>
  <c r="I2270" i="12908"/>
  <c r="AF2270" i="13034" s="1"/>
  <c r="I2322" i="12908"/>
  <c r="AF2322" i="13034" s="1"/>
  <c r="D764" i="12908"/>
  <c r="AA764" i="13034" s="1"/>
  <c r="I821" i="12908"/>
  <c r="AF821" i="13034" s="1"/>
  <c r="I2273" i="12908"/>
  <c r="AF2273" i="13034" s="1"/>
  <c r="I2288" i="12908"/>
  <c r="AF2288" i="13034" s="1"/>
  <c r="I2325" i="12908"/>
  <c r="AF2325" i="13034" s="1"/>
  <c r="I175" i="12908"/>
  <c r="AF175" i="13034" s="1"/>
  <c r="D977" i="12908"/>
  <c r="AA977" i="13034" s="1"/>
  <c r="I1049" i="12908"/>
  <c r="AF1049" i="13034" s="1"/>
  <c r="D897" i="12908"/>
  <c r="AA897" i="13034" s="1"/>
  <c r="I933" i="12908"/>
  <c r="AF933" i="13034" s="1"/>
  <c r="I2156" i="12908"/>
  <c r="I211" i="12908"/>
  <c r="AF211" i="13034" s="1"/>
  <c r="I212" i="12908"/>
  <c r="AF212" i="13034" s="1"/>
  <c r="I142" i="12908"/>
  <c r="AF142" i="13034" s="1"/>
  <c r="I178" i="12908"/>
  <c r="AF178" i="13034" s="1"/>
  <c r="I2308" i="12908"/>
  <c r="AF2308" i="13034" s="1"/>
  <c r="I2291" i="12908"/>
  <c r="AF2291" i="13034" s="1"/>
  <c r="I1000" i="12908"/>
  <c r="AF1000" i="13034" s="1"/>
  <c r="I2324" i="12908"/>
  <c r="AF2324" i="13034" s="1"/>
  <c r="I2326" i="12908"/>
  <c r="AF2326" i="13034" s="1"/>
  <c r="D970" i="12908"/>
  <c r="AA970" i="13034" s="1"/>
  <c r="I1042" i="12908"/>
  <c r="AF1042" i="13034" s="1"/>
  <c r="D891" i="12908"/>
  <c r="AA891" i="13034" s="1"/>
  <c r="I927" i="12908"/>
  <c r="AF927" i="13034" s="1"/>
  <c r="I1132" i="12908"/>
  <c r="AF1132" i="13034" s="1"/>
  <c r="I1529" i="12908"/>
  <c r="AF1529" i="13034" s="1"/>
  <c r="D1068" i="12908"/>
  <c r="AA1068" i="13034" s="1"/>
  <c r="C1206" i="12908"/>
  <c r="D1428" i="12908"/>
  <c r="AA1428" i="13034" s="1"/>
  <c r="D1429" i="12908"/>
  <c r="D1420" i="12908"/>
  <c r="AA1420" i="13034" s="1"/>
  <c r="D1427" i="12908"/>
  <c r="AA1427" i="13034" s="1"/>
  <c r="D1432" i="12908"/>
  <c r="AA1432" i="13034" s="1"/>
  <c r="D1431" i="12908"/>
  <c r="AA1431" i="13034" s="1"/>
  <c r="D1067" i="12908"/>
  <c r="AA1067" i="13034" s="1"/>
  <c r="D1066" i="12908"/>
  <c r="AA1066" i="13034" s="1"/>
  <c r="D981" i="12908"/>
  <c r="AA981" i="13034" s="1"/>
  <c r="D972" i="12908"/>
  <c r="D1810" i="12908"/>
  <c r="AA1810" i="13034" s="1"/>
  <c r="L141" i="12711"/>
  <c r="V141" i="12711" s="1"/>
  <c r="D2309" i="12908"/>
  <c r="L140" i="12711"/>
  <c r="L191" i="12711" s="1"/>
  <c r="L139" i="12711"/>
  <c r="L190" i="12711" s="1"/>
  <c r="D1047" i="12908"/>
  <c r="AA1047" i="13034" s="1"/>
  <c r="D1048" i="12908"/>
  <c r="AA1048" i="13034" s="1"/>
  <c r="D1046" i="12908"/>
  <c r="AA1046" i="13034" s="1"/>
  <c r="D1510" i="12908"/>
  <c r="AA1510" i="13034" s="1"/>
  <c r="D1491" i="12908"/>
  <c r="AA1491" i="13034" s="1"/>
  <c r="D2040" i="12908"/>
  <c r="AA2040" i="13034" s="1"/>
  <c r="D2039" i="12908"/>
  <c r="AA2039" i="13034" s="1"/>
  <c r="D2038" i="12908"/>
  <c r="AA2038" i="13034" s="1"/>
  <c r="D1487" i="12908"/>
  <c r="AA1487" i="13034" s="1"/>
  <c r="D1490" i="12908"/>
  <c r="AA1490" i="13034" s="1"/>
  <c r="L95" i="12711"/>
  <c r="L194" i="12711" s="1"/>
  <c r="D1480" i="12908"/>
  <c r="AA1480" i="13034" s="1"/>
  <c r="D1933" i="12908"/>
  <c r="AA1933" i="13034" s="1"/>
  <c r="D1920" i="12908"/>
  <c r="D1922" i="12908"/>
  <c r="AA1922" i="13034" s="1"/>
  <c r="D1488" i="12908"/>
  <c r="AA1488" i="13034" s="1"/>
  <c r="D34" i="12908"/>
  <c r="AA34" i="13034" s="1"/>
  <c r="D35" i="12908"/>
  <c r="AA35" i="13034" s="1"/>
  <c r="L47" i="12711"/>
  <c r="Q118" i="12711"/>
  <c r="Q186" i="12711" s="1"/>
  <c r="Q119" i="12709"/>
  <c r="H1636" i="12908"/>
  <c r="H119" i="12709"/>
  <c r="H188" i="12709" s="1"/>
  <c r="L138" i="12711"/>
  <c r="L189" i="12711" s="1"/>
  <c r="P12" i="12773"/>
  <c r="P13" i="12773" s="1"/>
  <c r="F18" i="12709"/>
  <c r="F17" i="12709"/>
  <c r="F173" i="12709" s="1"/>
  <c r="F20" i="12709"/>
  <c r="F15" i="12709"/>
  <c r="F171" i="12709" s="1"/>
  <c r="F28" i="12709"/>
  <c r="F24" i="12709"/>
  <c r="F26" i="12709"/>
  <c r="E42" i="12709"/>
  <c r="R42" i="12709" s="1"/>
  <c r="F25" i="12709"/>
  <c r="F21" i="12709"/>
  <c r="F14" i="12709"/>
  <c r="F170" i="12709" s="1"/>
  <c r="R29" i="12709"/>
  <c r="F16" i="12709"/>
  <c r="F172" i="12709" s="1"/>
  <c r="F27" i="12709"/>
  <c r="F13" i="12709"/>
  <c r="F169" i="12709" s="1"/>
  <c r="F22" i="12709"/>
  <c r="F23" i="12709"/>
  <c r="F19" i="12709"/>
  <c r="V168" i="12711"/>
  <c r="V16" i="12711"/>
  <c r="L12" i="12711"/>
  <c r="L167" i="12711" s="1"/>
  <c r="M29" i="12711"/>
  <c r="M42" i="12711" s="1"/>
  <c r="L118" i="12711"/>
  <c r="V26" i="12711"/>
  <c r="M120" i="12711"/>
  <c r="M133" i="12711" s="1"/>
  <c r="L87" i="12711"/>
  <c r="L84" i="12709"/>
  <c r="Z9" i="12785"/>
  <c r="Z10" i="12785" s="1"/>
  <c r="L142" i="12711"/>
  <c r="L193" i="12711" s="1"/>
  <c r="V63" i="12711"/>
  <c r="M136" i="12711"/>
  <c r="M180" i="12711" s="1"/>
  <c r="L45" i="12711"/>
  <c r="L48" i="12711"/>
  <c r="L51" i="12711"/>
  <c r="L60" i="12711"/>
  <c r="M90" i="12711"/>
  <c r="N90" i="12711" s="1"/>
  <c r="L93" i="12709"/>
  <c r="L57" i="12711"/>
  <c r="L185" i="12711" s="1"/>
  <c r="M8" i="12856"/>
  <c r="M17" i="12856" s="1"/>
  <c r="D21" i="6"/>
  <c r="V93" i="12711"/>
  <c r="Y972" i="12908" l="1"/>
  <c r="AV972" i="13034" s="1"/>
  <c r="AA972" i="13034"/>
  <c r="Y1429" i="12908"/>
  <c r="AV1429" i="13034" s="1"/>
  <c r="AA1429" i="13034"/>
  <c r="Y766" i="12908"/>
  <c r="AV766" i="13034" s="1"/>
  <c r="AA766" i="13034"/>
  <c r="I1601" i="12908"/>
  <c r="AF1601" i="13034" s="1"/>
  <c r="AF1599" i="13034"/>
  <c r="I2416" i="12908"/>
  <c r="AF2416" i="13034" s="1"/>
  <c r="AF2413" i="13034"/>
  <c r="H1807" i="12908"/>
  <c r="AE1807" i="13034" s="1"/>
  <c r="AE1804" i="13034"/>
  <c r="I791" i="12908"/>
  <c r="AF791" i="13034" s="1"/>
  <c r="AF789" i="13034"/>
  <c r="O91" i="12910"/>
  <c r="AE1716" i="13034"/>
  <c r="I76" i="12908"/>
  <c r="AF76" i="13034" s="1"/>
  <c r="AA76" i="13034"/>
  <c r="AB219" i="12908"/>
  <c r="AA206" i="13034"/>
  <c r="I2225" i="12908"/>
  <c r="AF2225" i="13034" s="1"/>
  <c r="AF2217" i="13034"/>
  <c r="M1981" i="12908"/>
  <c r="AJ1981" i="13034" s="1"/>
  <c r="AA1981" i="13034"/>
  <c r="Y375" i="12908"/>
  <c r="AV375" i="13034" s="1"/>
  <c r="AA375" i="13034"/>
  <c r="I393" i="12908"/>
  <c r="AF393" i="13034" s="1"/>
  <c r="AA393" i="13034"/>
  <c r="Y305" i="12908"/>
  <c r="AV305" i="13034" s="1"/>
  <c r="AA305" i="13034"/>
  <c r="Y302" i="12908"/>
  <c r="AV302" i="13034" s="1"/>
  <c r="AA302" i="13034"/>
  <c r="Y266" i="12908"/>
  <c r="AV266" i="13034" s="1"/>
  <c r="AA266" i="13034"/>
  <c r="Y269" i="12908"/>
  <c r="AV269" i="13034" s="1"/>
  <c r="AA269" i="13034"/>
  <c r="Y268" i="12908"/>
  <c r="AV268" i="13034" s="1"/>
  <c r="AA268" i="13034"/>
  <c r="I464" i="12908"/>
  <c r="AA464" i="13034"/>
  <c r="D631" i="12908"/>
  <c r="AA631" i="13034" s="1"/>
  <c r="AA630" i="13034"/>
  <c r="Y648" i="12908"/>
  <c r="AV648" i="13034" s="1"/>
  <c r="AA648" i="13034"/>
  <c r="Y645" i="12908"/>
  <c r="AV645" i="13034" s="1"/>
  <c r="AA645" i="13034"/>
  <c r="Y515" i="12908"/>
  <c r="AV515" i="13034" s="1"/>
  <c r="AA515" i="13034"/>
  <c r="Y511" i="12908"/>
  <c r="AV511" i="13034" s="1"/>
  <c r="AA511" i="13034"/>
  <c r="Y1895" i="12908"/>
  <c r="AV1895" i="13034" s="1"/>
  <c r="AA1895" i="13034"/>
  <c r="Y1894" i="12908"/>
  <c r="AV1894" i="13034" s="1"/>
  <c r="AA1894" i="13034"/>
  <c r="AT873" i="13034"/>
  <c r="AI873" i="13015"/>
  <c r="AT412" i="13034"/>
  <c r="AI412" i="13015"/>
  <c r="Y596" i="12908"/>
  <c r="AV596" i="13034" s="1"/>
  <c r="AA596" i="13034"/>
  <c r="AT418" i="13034"/>
  <c r="AI418" i="13015"/>
  <c r="AT1501" i="13034"/>
  <c r="AI1501" i="13015"/>
  <c r="H1639" i="12908"/>
  <c r="AE1639" i="13034" s="1"/>
  <c r="AE1636" i="13034"/>
  <c r="D1888" i="12908"/>
  <c r="AA1920" i="13034"/>
  <c r="D2331" i="12908"/>
  <c r="AA2331" i="13034" s="1"/>
  <c r="AA2309" i="13034"/>
  <c r="L138" i="12709"/>
  <c r="L190" i="12709" s="1"/>
  <c r="AE1736" i="13034"/>
  <c r="I1921" i="12908"/>
  <c r="AF1921" i="13034" s="1"/>
  <c r="AA1921" i="13034"/>
  <c r="Y374" i="12908"/>
  <c r="AV374" i="13034" s="1"/>
  <c r="AA374" i="13034"/>
  <c r="Y303" i="12908"/>
  <c r="AV303" i="13034" s="1"/>
  <c r="AA303" i="13034"/>
  <c r="Y377" i="12908"/>
  <c r="AV377" i="13034" s="1"/>
  <c r="AA377" i="13034"/>
  <c r="Y271" i="12908"/>
  <c r="AV271" i="13034" s="1"/>
  <c r="AA271" i="13034"/>
  <c r="I392" i="12908"/>
  <c r="AF392" i="13034" s="1"/>
  <c r="AA392" i="13034"/>
  <c r="D625" i="12908"/>
  <c r="AA625" i="13034" s="1"/>
  <c r="AA626" i="13034"/>
  <c r="Y643" i="12908"/>
  <c r="AV643" i="13034" s="1"/>
  <c r="AA643" i="13034"/>
  <c r="Y646" i="12908"/>
  <c r="AV646" i="13034" s="1"/>
  <c r="AA646" i="13034"/>
  <c r="I664" i="12908"/>
  <c r="AA664" i="13034"/>
  <c r="I1450" i="12908"/>
  <c r="AA1450" i="13034"/>
  <c r="AT1112" i="13034"/>
  <c r="AI1112" i="13015"/>
  <c r="Y1896" i="12908"/>
  <c r="AV1896" i="13034" s="1"/>
  <c r="AA1896" i="13034"/>
  <c r="AT655" i="13034"/>
  <c r="AI655" i="13015"/>
  <c r="AT480" i="13034"/>
  <c r="AI480" i="13015"/>
  <c r="AT2315" i="13034"/>
  <c r="AI2315" i="13015"/>
  <c r="AT315" i="13034"/>
  <c r="AI315" i="13015"/>
  <c r="AT523" i="13034"/>
  <c r="AI523" i="13015"/>
  <c r="AT455" i="13034"/>
  <c r="AI455" i="13015"/>
  <c r="I500" i="12908"/>
  <c r="AF500" i="13034" s="1"/>
  <c r="AF498" i="13034"/>
  <c r="N96" i="12760"/>
  <c r="N97" i="12760" s="1"/>
  <c r="Z1206" i="13034"/>
  <c r="AB182" i="12908"/>
  <c r="AA169" i="13034"/>
  <c r="Y842" i="12908"/>
  <c r="AV842" i="13034" s="1"/>
  <c r="AA842" i="13034"/>
  <c r="H1619" i="12908"/>
  <c r="AE1616" i="13034"/>
  <c r="N46" i="12709"/>
  <c r="AF810" i="13034"/>
  <c r="AB145" i="12908"/>
  <c r="AA132" i="13034"/>
  <c r="I1410" i="12908"/>
  <c r="AF1410" i="13034" s="1"/>
  <c r="AA1410" i="13034"/>
  <c r="Y376" i="12908"/>
  <c r="AV376" i="13034" s="1"/>
  <c r="AA376" i="13034"/>
  <c r="Y307" i="12908"/>
  <c r="AV307" i="13034" s="1"/>
  <c r="AA307" i="13034"/>
  <c r="I395" i="12908"/>
  <c r="AF395" i="13034" s="1"/>
  <c r="AA395" i="13034"/>
  <c r="Y644" i="12908"/>
  <c r="AV644" i="13034" s="1"/>
  <c r="AA644" i="13034"/>
  <c r="AT1134" i="13034"/>
  <c r="AI1134" i="13015"/>
  <c r="AT854" i="13034"/>
  <c r="AI854" i="13015"/>
  <c r="AT581" i="13034"/>
  <c r="AI581" i="13015"/>
  <c r="U387" i="12908"/>
  <c r="AR387" i="13034" s="1"/>
  <c r="AA387" i="13034"/>
  <c r="AT717" i="13034"/>
  <c r="AI717" i="13015"/>
  <c r="AT927" i="13034"/>
  <c r="AI927" i="13015"/>
  <c r="AT421" i="13034"/>
  <c r="AI421" i="13015"/>
  <c r="I2158" i="12908"/>
  <c r="AF2158" i="13034" s="1"/>
  <c r="AF2156" i="13034"/>
  <c r="Y898" i="12908"/>
  <c r="AV898" i="13034" s="1"/>
  <c r="AA898" i="13034"/>
  <c r="I922" i="12908"/>
  <c r="AF922" i="13034" s="1"/>
  <c r="AF920" i="13034"/>
  <c r="I2114" i="12908"/>
  <c r="AF2114" i="13034" s="1"/>
  <c r="AF2112" i="13034"/>
  <c r="I958" i="12908"/>
  <c r="AF958" i="13034" s="1"/>
  <c r="AF956" i="13034"/>
  <c r="O29" i="12774"/>
  <c r="I2204" i="12908"/>
  <c r="AF2202" i="13034"/>
  <c r="M1980" i="12908"/>
  <c r="AJ1980" i="13034" s="1"/>
  <c r="AA1980" i="13034"/>
  <c r="Y64" i="12908"/>
  <c r="AV64" i="13034" s="1"/>
  <c r="AA64" i="13034"/>
  <c r="Y65" i="12908"/>
  <c r="AV65" i="13034" s="1"/>
  <c r="AA65" i="13034"/>
  <c r="I324" i="12908"/>
  <c r="AF324" i="13034" s="1"/>
  <c r="AA324" i="13034"/>
  <c r="I432" i="12908"/>
  <c r="AF432" i="13034" s="1"/>
  <c r="AF430" i="13034"/>
  <c r="Y304" i="12908"/>
  <c r="AV304" i="13034" s="1"/>
  <c r="AA304" i="13034"/>
  <c r="Y379" i="12908"/>
  <c r="AV379" i="13034" s="1"/>
  <c r="AA379" i="13034"/>
  <c r="Y267" i="12908"/>
  <c r="AV267" i="13034" s="1"/>
  <c r="AA267" i="13034"/>
  <c r="I532" i="12908"/>
  <c r="AA532" i="13034"/>
  <c r="Y512" i="12908"/>
  <c r="AV512" i="13034" s="1"/>
  <c r="AA512" i="13034"/>
  <c r="Y510" i="12908"/>
  <c r="AV510" i="13034" s="1"/>
  <c r="AA510" i="13034"/>
  <c r="Y513" i="12908"/>
  <c r="AV513" i="13034" s="1"/>
  <c r="AA513" i="13034"/>
  <c r="Z1426" i="12908"/>
  <c r="AA1426" i="13034"/>
  <c r="AT1044" i="13034"/>
  <c r="AI1044" i="13015"/>
  <c r="AA1567" i="13034"/>
  <c r="Y1893" i="12908"/>
  <c r="AV1893" i="13034" s="1"/>
  <c r="AA1893" i="13034"/>
  <c r="AT816" i="13034"/>
  <c r="AI816" i="13015"/>
  <c r="Y496" i="12908"/>
  <c r="AV496" i="13034" s="1"/>
  <c r="AA496" i="13034"/>
  <c r="AT2299" i="13034"/>
  <c r="AI2299" i="13015"/>
  <c r="AT446" i="13034"/>
  <c r="AI446" i="13015"/>
  <c r="Y462" i="12908"/>
  <c r="AV462" i="13034" s="1"/>
  <c r="AA462" i="13034"/>
  <c r="AT279" i="13034"/>
  <c r="AI279" i="13015"/>
  <c r="O18" i="12775"/>
  <c r="O19" i="12775" s="1"/>
  <c r="AE1799" i="13034"/>
  <c r="O90" i="12910"/>
  <c r="AE1374" i="13034"/>
  <c r="O28" i="12774"/>
  <c r="AE1773" i="13034"/>
  <c r="M42" i="13017"/>
  <c r="S42" i="13017" s="1"/>
  <c r="U42" i="13017" s="1"/>
  <c r="S57" i="13016"/>
  <c r="U57" i="13016" s="1"/>
  <c r="I47" i="12989"/>
  <c r="Y1993" i="12908"/>
  <c r="AV1993" i="13034" s="1"/>
  <c r="U1993" i="12908"/>
  <c r="AR1993" i="13034" s="1"/>
  <c r="S1993" i="12908"/>
  <c r="AP1993" i="13034" s="1"/>
  <c r="S42" i="13014"/>
  <c r="U42" i="13014" s="1"/>
  <c r="I15" i="13014"/>
  <c r="I17" i="13014" s="1"/>
  <c r="I15" i="13017"/>
  <c r="I17" i="13017" s="1"/>
  <c r="I15" i="13007"/>
  <c r="I17" i="13007" s="1"/>
  <c r="AB109" i="12908"/>
  <c r="I47" i="13005"/>
  <c r="I387" i="12908"/>
  <c r="AF387" i="13034" s="1"/>
  <c r="S972" i="12908"/>
  <c r="AP972" i="13034" s="1"/>
  <c r="W387" i="12908"/>
  <c r="W306" i="12908"/>
  <c r="U306" i="12908"/>
  <c r="AR306" i="13034" s="1"/>
  <c r="S306" i="12908"/>
  <c r="AP306" i="13034" s="1"/>
  <c r="Y306" i="12908"/>
  <c r="AV306" i="13034" s="1"/>
  <c r="D394" i="12908"/>
  <c r="Y428" i="12908"/>
  <c r="AV428" i="13034" s="1"/>
  <c r="U384" i="12908"/>
  <c r="AR384" i="13034" s="1"/>
  <c r="W384" i="12908"/>
  <c r="U270" i="12908"/>
  <c r="AR270" i="13034" s="1"/>
  <c r="S270" i="12908"/>
  <c r="AP270" i="13034" s="1"/>
  <c r="Y270" i="12908"/>
  <c r="AV270" i="13034" s="1"/>
  <c r="W270" i="12908"/>
  <c r="Y28" i="12908"/>
  <c r="AV28" i="13034" s="1"/>
  <c r="W28" i="12908"/>
  <c r="S28" i="12908"/>
  <c r="AP28" i="13034" s="1"/>
  <c r="U28" i="12908"/>
  <c r="AR28" i="13034" s="1"/>
  <c r="D530" i="12908"/>
  <c r="S514" i="12908"/>
  <c r="AP514" i="13034" s="1"/>
  <c r="Y514" i="12908"/>
  <c r="AV514" i="13034" s="1"/>
  <c r="W514" i="12908"/>
  <c r="U514" i="12908"/>
  <c r="AR514" i="13034" s="1"/>
  <c r="U622" i="12908"/>
  <c r="AR622" i="13034" s="1"/>
  <c r="W622" i="12908"/>
  <c r="Y27" i="12908"/>
  <c r="AV27" i="13034" s="1"/>
  <c r="U27" i="12908"/>
  <c r="AR27" i="13034" s="1"/>
  <c r="W27" i="12908"/>
  <c r="S27" i="12908"/>
  <c r="AP27" i="13034" s="1"/>
  <c r="D369" i="12908"/>
  <c r="AA369" i="13034" s="1"/>
  <c r="U403" i="12908"/>
  <c r="AR403" i="13034" s="1"/>
  <c r="W403" i="12908"/>
  <c r="I496" i="12908"/>
  <c r="I2173" i="12908"/>
  <c r="AF2173" i="13034" s="1"/>
  <c r="Y2173" i="12908"/>
  <c r="AV2173" i="13034" s="1"/>
  <c r="D2030" i="12908"/>
  <c r="AA2030" i="13034" s="1"/>
  <c r="D1902" i="12908"/>
  <c r="AA1902" i="13034" s="1"/>
  <c r="D1905" i="12908"/>
  <c r="AA1905" i="13034" s="1"/>
  <c r="D1903" i="12908"/>
  <c r="AA1903" i="13034" s="1"/>
  <c r="K2319" i="12908"/>
  <c r="AH2319" i="13034" s="1"/>
  <c r="K1524" i="12908"/>
  <c r="K2594" i="12908"/>
  <c r="AH2594" i="13034" s="1"/>
  <c r="K1543" i="12908"/>
  <c r="AH1543" i="13034" s="1"/>
  <c r="K1505" i="12908"/>
  <c r="AH1505" i="13034" s="1"/>
  <c r="K1906" i="12908"/>
  <c r="AH1906" i="13034" s="1"/>
  <c r="U647" i="12908"/>
  <c r="AR647" i="13034" s="1"/>
  <c r="S647" i="12908"/>
  <c r="AP647" i="13034" s="1"/>
  <c r="Y647" i="12908"/>
  <c r="AV647" i="13034" s="1"/>
  <c r="W647" i="12908"/>
  <c r="I2084" i="12908"/>
  <c r="AF2084" i="13034" s="1"/>
  <c r="Y2084" i="12908"/>
  <c r="AV2084" i="13034" s="1"/>
  <c r="U759" i="12908"/>
  <c r="AR759" i="13034" s="1"/>
  <c r="W759" i="12908"/>
  <c r="W835" i="12908"/>
  <c r="U835" i="12908"/>
  <c r="AR835" i="13034" s="1"/>
  <c r="S378" i="12908"/>
  <c r="AP378" i="13034" s="1"/>
  <c r="W378" i="12908"/>
  <c r="U378" i="12908"/>
  <c r="AR378" i="13034" s="1"/>
  <c r="Y378" i="12908"/>
  <c r="AV378" i="13034" s="1"/>
  <c r="W891" i="12908"/>
  <c r="U891" i="12908"/>
  <c r="AR891" i="13034" s="1"/>
  <c r="M1988" i="12908"/>
  <c r="AJ1988" i="13034" s="1"/>
  <c r="Y1988" i="12908"/>
  <c r="K2595" i="12908"/>
  <c r="AH2595" i="13034" s="1"/>
  <c r="K1544" i="12908"/>
  <c r="AH1544" i="13034" s="1"/>
  <c r="K2320" i="12908"/>
  <c r="AH2320" i="13034" s="1"/>
  <c r="K1506" i="12908"/>
  <c r="AH1506" i="13034" s="1"/>
  <c r="K1525" i="12908"/>
  <c r="K1907" i="12908"/>
  <c r="AH1907" i="13034" s="1"/>
  <c r="M2076" i="12908"/>
  <c r="AJ2076" i="13034" s="1"/>
  <c r="M2028" i="12908"/>
  <c r="M2052" i="12908"/>
  <c r="M2004" i="12908"/>
  <c r="M2053" i="12908"/>
  <c r="M2029" i="12908"/>
  <c r="M2077" i="12908"/>
  <c r="AJ2077" i="13034" s="1"/>
  <c r="M2005" i="12908"/>
  <c r="U1888" i="12908"/>
  <c r="AR1888" i="13034" s="1"/>
  <c r="S1888" i="12908"/>
  <c r="AP1888" i="13034" s="1"/>
  <c r="W1888" i="12908"/>
  <c r="W1902" i="12908"/>
  <c r="D1907" i="12908"/>
  <c r="AA1907" i="13034" s="1"/>
  <c r="D1906" i="12908"/>
  <c r="AA1906" i="13034" s="1"/>
  <c r="D1908" i="12908"/>
  <c r="AA1908" i="13034" s="1"/>
  <c r="D1904" i="12908"/>
  <c r="AA1904" i="13034" s="1"/>
  <c r="D1486" i="12908"/>
  <c r="AA1486" i="13034" s="1"/>
  <c r="D1544" i="12908"/>
  <c r="D1545" i="12908"/>
  <c r="AA1545" i="13034" s="1"/>
  <c r="D1542" i="12908"/>
  <c r="AA1542" i="13034" s="1"/>
  <c r="Y989" i="12908"/>
  <c r="AV989" i="13034" s="1"/>
  <c r="Y1013" i="12908"/>
  <c r="AV1013" i="13034" s="1"/>
  <c r="Y1039" i="12908"/>
  <c r="AV1039" i="13034" s="1"/>
  <c r="D966" i="12908"/>
  <c r="AA966" i="13034" s="1"/>
  <c r="Y1038" i="12908"/>
  <c r="AV1038" i="13034" s="1"/>
  <c r="D962" i="12908"/>
  <c r="AA962" i="13034" s="1"/>
  <c r="S1068" i="12908"/>
  <c r="AP1068" i="13034" s="1"/>
  <c r="W1068" i="12908"/>
  <c r="U1068" i="12908"/>
  <c r="AR1068" i="13034" s="1"/>
  <c r="Y1068" i="12908"/>
  <c r="AV1068" i="13034" s="1"/>
  <c r="Y977" i="12908"/>
  <c r="AV977" i="13034" s="1"/>
  <c r="Y1040" i="12908"/>
  <c r="AV1040" i="13034" s="1"/>
  <c r="V54" i="12711"/>
  <c r="D1423" i="12908"/>
  <c r="AA1423" i="13034" s="1"/>
  <c r="D1384" i="12908"/>
  <c r="D396" i="12908"/>
  <c r="I631" i="12908"/>
  <c r="AF631" i="13034" s="1"/>
  <c r="D565" i="12908"/>
  <c r="I628" i="12908"/>
  <c r="AF628" i="13034" s="1"/>
  <c r="D562" i="12908"/>
  <c r="I622" i="12908"/>
  <c r="AF622" i="13034" s="1"/>
  <c r="D556" i="12908"/>
  <c r="AA556" i="13034" s="1"/>
  <c r="I627" i="12908"/>
  <c r="AF627" i="13034" s="1"/>
  <c r="D561" i="12908"/>
  <c r="D662" i="12908"/>
  <c r="I602" i="12908"/>
  <c r="AF602" i="13034" s="1"/>
  <c r="I630" i="12908"/>
  <c r="AF630" i="13034" s="1"/>
  <c r="D564" i="12908"/>
  <c r="AA564" i="13034" s="1"/>
  <c r="D559" i="12908"/>
  <c r="AA559" i="13034" s="1"/>
  <c r="D624" i="12908"/>
  <c r="AA624" i="13034" s="1"/>
  <c r="D560" i="12908"/>
  <c r="AA560" i="13034" s="1"/>
  <c r="D614" i="12908"/>
  <c r="AA614" i="13034" s="1"/>
  <c r="D610" i="12908"/>
  <c r="D607" i="12908"/>
  <c r="AA607" i="13034" s="1"/>
  <c r="D608" i="12908"/>
  <c r="AA608" i="13034" s="1"/>
  <c r="D615" i="12908"/>
  <c r="D606" i="12908"/>
  <c r="AA606" i="13034" s="1"/>
  <c r="D609" i="12908"/>
  <c r="AA609" i="13034" s="1"/>
  <c r="D611" i="12908"/>
  <c r="D612" i="12908"/>
  <c r="D613" i="12908"/>
  <c r="D389" i="12908"/>
  <c r="AA389" i="13034" s="1"/>
  <c r="I428" i="12908"/>
  <c r="D322" i="12908"/>
  <c r="D382" i="12908"/>
  <c r="AA382" i="13034" s="1"/>
  <c r="I384" i="12908"/>
  <c r="AF384" i="13034" s="1"/>
  <c r="I288" i="12908"/>
  <c r="D390" i="12908"/>
  <c r="AA390" i="13034" s="1"/>
  <c r="D964" i="12908"/>
  <c r="AA964" i="13034" s="1"/>
  <c r="D968" i="12908"/>
  <c r="AA968" i="13034" s="1"/>
  <c r="D963" i="12908"/>
  <c r="AA963" i="13034" s="1"/>
  <c r="D967" i="12908"/>
  <c r="AA967" i="13034" s="1"/>
  <c r="D1037" i="12908"/>
  <c r="AA1037" i="13034" s="1"/>
  <c r="D1033" i="12908"/>
  <c r="AA1033" i="13034" s="1"/>
  <c r="AB80" i="12908"/>
  <c r="AB27" i="12908"/>
  <c r="A86" i="12910"/>
  <c r="A87" i="12910" s="1"/>
  <c r="A90" i="12910" s="1"/>
  <c r="A91" i="12910" s="1"/>
  <c r="A92" i="12910" s="1"/>
  <c r="A93" i="12910" s="1"/>
  <c r="A94" i="12910" s="1"/>
  <c r="A95" i="12910" s="1"/>
  <c r="A96" i="12910" s="1"/>
  <c r="A98" i="12910" s="1"/>
  <c r="I1414" i="12908"/>
  <c r="I2227" i="12908"/>
  <c r="Q35" i="12910"/>
  <c r="D66" i="12908"/>
  <c r="D720" i="12908"/>
  <c r="AA720" i="13034" s="1"/>
  <c r="I2082" i="12908"/>
  <c r="AF2082" i="13034" s="1"/>
  <c r="D1985" i="12908"/>
  <c r="AA1985" i="13034" s="1"/>
  <c r="D1984" i="12908"/>
  <c r="AA1984" i="13034" s="1"/>
  <c r="I2172" i="12908"/>
  <c r="AF2172" i="13034" s="1"/>
  <c r="D1483" i="12908"/>
  <c r="AA1483" i="13034" s="1"/>
  <c r="D1382" i="12908"/>
  <c r="D1379" i="12908"/>
  <c r="AA1379" i="13034" s="1"/>
  <c r="D1383" i="12908"/>
  <c r="D1380" i="12908"/>
  <c r="AA1380" i="13034" s="1"/>
  <c r="D894" i="12908"/>
  <c r="AA894" i="13034" s="1"/>
  <c r="I2171" i="12908"/>
  <c r="AF2171" i="13034" s="1"/>
  <c r="L118" i="12709"/>
  <c r="L187" i="12709" s="1"/>
  <c r="V197" i="12711"/>
  <c r="L175" i="12711"/>
  <c r="V175" i="12711" s="1"/>
  <c r="L196" i="12711"/>
  <c r="V196" i="12711" s="1"/>
  <c r="L176" i="12711"/>
  <c r="V176" i="12711" s="1"/>
  <c r="V55" i="12711"/>
  <c r="L179" i="12711"/>
  <c r="V179" i="12711" s="1"/>
  <c r="I2134" i="12908"/>
  <c r="V118" i="12711"/>
  <c r="L186" i="12711"/>
  <c r="V186" i="12711" s="1"/>
  <c r="V204" i="12711"/>
  <c r="L177" i="12711"/>
  <c r="V177" i="12711" s="1"/>
  <c r="L199" i="12711"/>
  <c r="V199" i="12711" s="1"/>
  <c r="N120" i="12711"/>
  <c r="N133" i="12711" s="1"/>
  <c r="G20" i="12715" s="1"/>
  <c r="L192" i="12711"/>
  <c r="V192" i="12711" s="1"/>
  <c r="V66" i="12711"/>
  <c r="V178" i="12711"/>
  <c r="C19" i="6"/>
  <c r="E19" i="6" s="1"/>
  <c r="F19" i="6" s="1"/>
  <c r="H120" i="12709"/>
  <c r="H133" i="12709" s="1"/>
  <c r="M140" i="12709"/>
  <c r="M192" i="12709" s="1"/>
  <c r="I2083" i="12908"/>
  <c r="AF2083" i="13034" s="1"/>
  <c r="I1470" i="12908"/>
  <c r="V64" i="12711"/>
  <c r="I884" i="12908"/>
  <c r="I835" i="12908"/>
  <c r="AF835" i="13034" s="1"/>
  <c r="I841" i="12908"/>
  <c r="AF841" i="13034" s="1"/>
  <c r="I840" i="12908"/>
  <c r="AF840" i="13034" s="1"/>
  <c r="I842" i="12908"/>
  <c r="AF842" i="13034" s="1"/>
  <c r="F12" i="12709"/>
  <c r="F168" i="12709" s="1"/>
  <c r="I71" i="12908"/>
  <c r="AF71" i="13034" s="1"/>
  <c r="D73" i="12908"/>
  <c r="AA73" i="13034" s="1"/>
  <c r="D29" i="12908"/>
  <c r="D36" i="12908"/>
  <c r="AA36" i="13034" s="1"/>
  <c r="D725" i="12908"/>
  <c r="AA725" i="13034" s="1"/>
  <c r="I103" i="12908"/>
  <c r="AF103" i="13034" s="1"/>
  <c r="I105" i="12908"/>
  <c r="AF105" i="13034" s="1"/>
  <c r="I106" i="12908"/>
  <c r="AF106" i="13034" s="1"/>
  <c r="I136" i="12709"/>
  <c r="I143" i="12709" s="1"/>
  <c r="I156" i="12709" s="1"/>
  <c r="O36" i="12772"/>
  <c r="O37" i="12772" s="1"/>
  <c r="L137" i="12709"/>
  <c r="L189" i="12709" s="1"/>
  <c r="V167" i="12711"/>
  <c r="M139" i="12709"/>
  <c r="M191" i="12709" s="1"/>
  <c r="H143" i="12709"/>
  <c r="H156" i="12709" s="1"/>
  <c r="V137" i="12711"/>
  <c r="Q156" i="12709"/>
  <c r="Q103" i="12905"/>
  <c r="Q104" i="12905" s="1"/>
  <c r="Q28" i="12910"/>
  <c r="I726" i="12908"/>
  <c r="AF726" i="13034" s="1"/>
  <c r="V188" i="12711"/>
  <c r="W32" i="12771"/>
  <c r="O84" i="12910"/>
  <c r="N92" i="12709"/>
  <c r="Q69" i="12910"/>
  <c r="I865" i="12908"/>
  <c r="O92" i="12910"/>
  <c r="N14" i="12711"/>
  <c r="N169" i="12711" s="1"/>
  <c r="O29" i="12711"/>
  <c r="O42" i="12711" s="1"/>
  <c r="N98" i="12709"/>
  <c r="Q75" i="12910"/>
  <c r="N26" i="12709"/>
  <c r="Q27" i="12910"/>
  <c r="N88" i="12709"/>
  <c r="Q65" i="12910"/>
  <c r="N22" i="12709"/>
  <c r="Q24" i="12910"/>
  <c r="N97" i="12709"/>
  <c r="M97" i="12709" s="1"/>
  <c r="S97" i="12711" s="1"/>
  <c r="Q74" i="12910"/>
  <c r="I1657" i="12908"/>
  <c r="N21" i="12709"/>
  <c r="Q23" i="12910"/>
  <c r="N19" i="12709"/>
  <c r="Q21" i="12910"/>
  <c r="I2433" i="12908"/>
  <c r="N136" i="12711"/>
  <c r="N180" i="12711" s="1"/>
  <c r="M138" i="12709"/>
  <c r="M190" i="12709" s="1"/>
  <c r="M93" i="12709"/>
  <c r="S93" i="12711" s="1"/>
  <c r="I1120" i="12908"/>
  <c r="AF1120" i="13034" s="1"/>
  <c r="I39" i="12908"/>
  <c r="AF39" i="13034" s="1"/>
  <c r="I38" i="12908"/>
  <c r="AF38" i="13034" s="1"/>
  <c r="I1510" i="12908"/>
  <c r="I1420" i="12908"/>
  <c r="AF1420" i="13034" s="1"/>
  <c r="I977" i="12908"/>
  <c r="AF977" i="13034" s="1"/>
  <c r="I1986" i="12908"/>
  <c r="AF1986" i="13034" s="1"/>
  <c r="I766" i="12908"/>
  <c r="AF766" i="13034" s="1"/>
  <c r="I1987" i="12908"/>
  <c r="AF1987" i="13034" s="1"/>
  <c r="I1988" i="12908"/>
  <c r="AF1988" i="13034" s="1"/>
  <c r="I1066" i="12908"/>
  <c r="AF1066" i="13034" s="1"/>
  <c r="I1431" i="12908"/>
  <c r="AF1431" i="13034" s="1"/>
  <c r="I1429" i="12908"/>
  <c r="AF1429" i="13034" s="1"/>
  <c r="I970" i="12908"/>
  <c r="AF970" i="13034" s="1"/>
  <c r="I898" i="12908"/>
  <c r="AF898" i="13034" s="1"/>
  <c r="I37" i="12908"/>
  <c r="AF37" i="13034" s="1"/>
  <c r="I40" i="12908"/>
  <c r="AF40" i="13034" s="1"/>
  <c r="I972" i="12908"/>
  <c r="AF972" i="13034" s="1"/>
  <c r="I1432" i="12908"/>
  <c r="AF1432" i="13034" s="1"/>
  <c r="I1428" i="12908"/>
  <c r="AF1428" i="13034" s="1"/>
  <c r="I897" i="12908"/>
  <c r="AF897" i="13034" s="1"/>
  <c r="I764" i="12908"/>
  <c r="AF764" i="13034" s="1"/>
  <c r="I765" i="12908"/>
  <c r="AF765" i="13034" s="1"/>
  <c r="I1993" i="12908"/>
  <c r="AF1993" i="13034" s="1"/>
  <c r="I896" i="12908"/>
  <c r="AF896" i="13034" s="1"/>
  <c r="I2013" i="12908"/>
  <c r="I1046" i="12908"/>
  <c r="AF1046" i="13034" s="1"/>
  <c r="I704" i="12908"/>
  <c r="I1427" i="12908"/>
  <c r="AF1427" i="13034" s="1"/>
  <c r="I1068" i="12908"/>
  <c r="AF1068" i="13034" s="1"/>
  <c r="I891" i="12908"/>
  <c r="AF891" i="13034" s="1"/>
  <c r="I971" i="12908"/>
  <c r="AF971" i="13034" s="1"/>
  <c r="I759" i="12908"/>
  <c r="AF759" i="13034" s="1"/>
  <c r="I827" i="12908"/>
  <c r="I1851" i="12908"/>
  <c r="AF1851" i="13034" s="1"/>
  <c r="I1533" i="12908"/>
  <c r="I1142" i="12908"/>
  <c r="AF1142" i="13034" s="1"/>
  <c r="V47" i="12711"/>
  <c r="I35" i="12908"/>
  <c r="AF35" i="13034" s="1"/>
  <c r="I176" i="12908"/>
  <c r="AF176" i="13034" s="1"/>
  <c r="I1480" i="12908"/>
  <c r="AF1480" i="13034" s="1"/>
  <c r="D1990" i="12908"/>
  <c r="AA1990" i="13034" s="1"/>
  <c r="I2038" i="12908"/>
  <c r="AF2038" i="13034" s="1"/>
  <c r="D1992" i="12908"/>
  <c r="AA1992" i="13034" s="1"/>
  <c r="I2040" i="12908"/>
  <c r="AF2040" i="13034" s="1"/>
  <c r="I1067" i="12908"/>
  <c r="AF1067" i="13034" s="1"/>
  <c r="I938" i="12908"/>
  <c r="I1922" i="12908"/>
  <c r="AF1922" i="13034" s="1"/>
  <c r="I1490" i="12908"/>
  <c r="AF1490" i="13034" s="1"/>
  <c r="D1991" i="12908"/>
  <c r="AA1991" i="13034" s="1"/>
  <c r="I2039" i="12908"/>
  <c r="AF2039" i="13034" s="1"/>
  <c r="I1048" i="12908"/>
  <c r="AF1048" i="13034" s="1"/>
  <c r="I1810" i="12908"/>
  <c r="AF1810" i="13034" s="1"/>
  <c r="I34" i="12908"/>
  <c r="AF34" i="13034" s="1"/>
  <c r="I1488" i="12908"/>
  <c r="AF1488" i="13034" s="1"/>
  <c r="I1920" i="12908"/>
  <c r="AF1920" i="13034" s="1"/>
  <c r="I1047" i="12908"/>
  <c r="AF1047" i="13034" s="1"/>
  <c r="I2061" i="12908"/>
  <c r="AF2061" i="13034" s="1"/>
  <c r="I213" i="12908"/>
  <c r="AF213" i="13034" s="1"/>
  <c r="I139" i="12908"/>
  <c r="AF139" i="13034" s="1"/>
  <c r="I997" i="12908"/>
  <c r="AF997" i="13034" s="1"/>
  <c r="I1487" i="12908"/>
  <c r="AF1487" i="13034" s="1"/>
  <c r="I1491" i="12908"/>
  <c r="AF1491" i="13034" s="1"/>
  <c r="I2309" i="12908"/>
  <c r="AF2309" i="13034" s="1"/>
  <c r="I2327" i="12908"/>
  <c r="AF2327" i="13034" s="1"/>
  <c r="D1430" i="12908"/>
  <c r="AA1430" i="13034" s="1"/>
  <c r="D1928" i="12908"/>
  <c r="AA1928" i="13034" s="1"/>
  <c r="D1929" i="12908"/>
  <c r="AA1929" i="13034" s="1"/>
  <c r="D1930" i="12908"/>
  <c r="AA1930" i="13034" s="1"/>
  <c r="D1386" i="12908"/>
  <c r="AA1386" i="13034" s="1"/>
  <c r="D1385" i="12908"/>
  <c r="AA1385" i="13034" s="1"/>
  <c r="D1378" i="12908"/>
  <c r="V140" i="12711"/>
  <c r="V191" i="12711"/>
  <c r="V194" i="12711"/>
  <c r="V95" i="12711"/>
  <c r="D1390" i="12908"/>
  <c r="AA1390" i="13034" s="1"/>
  <c r="D1389" i="12908"/>
  <c r="AA1389" i="13034" s="1"/>
  <c r="D2037" i="12908"/>
  <c r="AA2037" i="13034" s="1"/>
  <c r="D1387" i="12908"/>
  <c r="D1489" i="12908"/>
  <c r="AA1489" i="13034" s="1"/>
  <c r="D1045" i="12908"/>
  <c r="AA1045" i="13034" s="1"/>
  <c r="V190" i="12711"/>
  <c r="V139" i="12711"/>
  <c r="L119" i="12709"/>
  <c r="L188" i="12709" s="1"/>
  <c r="W31" i="12771"/>
  <c r="K87" i="12910"/>
  <c r="I119" i="12709"/>
  <c r="I188" i="12709" s="1"/>
  <c r="Q119" i="12711"/>
  <c r="Q187" i="12711" s="1"/>
  <c r="V189" i="12711"/>
  <c r="V138" i="12711"/>
  <c r="H22" i="12709"/>
  <c r="Q22" i="12709"/>
  <c r="H919" i="12908"/>
  <c r="AE919" i="13034" s="1"/>
  <c r="H145" i="12908"/>
  <c r="AE145" i="13034" s="1"/>
  <c r="Q171" i="12709"/>
  <c r="Q15" i="12709"/>
  <c r="H15" i="12709"/>
  <c r="H171" i="12709" s="1"/>
  <c r="Q13" i="12709"/>
  <c r="Q169" i="12709"/>
  <c r="H13" i="12709"/>
  <c r="H169" i="12709" s="1"/>
  <c r="H79" i="12908"/>
  <c r="AE79" i="13034" s="1"/>
  <c r="H108" i="12908"/>
  <c r="Q170" i="12709"/>
  <c r="H14" i="12709"/>
  <c r="H170" i="12709" s="1"/>
  <c r="Q14" i="12709"/>
  <c r="Q26" i="12709"/>
  <c r="H26" i="12709"/>
  <c r="H2111" i="12908"/>
  <c r="AE2111" i="13034" s="1"/>
  <c r="H20" i="12709"/>
  <c r="Q20" i="12709"/>
  <c r="H1002" i="12908"/>
  <c r="AE1002" i="13034" s="1"/>
  <c r="H788" i="12908"/>
  <c r="AE788" i="13034" s="1"/>
  <c r="H19" i="12709"/>
  <c r="Q19" i="12709"/>
  <c r="H2201" i="12908"/>
  <c r="AE2201" i="13034" s="1"/>
  <c r="Q27" i="12709"/>
  <c r="H27" i="12709"/>
  <c r="Q21" i="12709"/>
  <c r="H1095" i="12908"/>
  <c r="AE1095" i="13034" s="1"/>
  <c r="H21" i="12709"/>
  <c r="Q24" i="12709"/>
  <c r="H24" i="12709"/>
  <c r="H219" i="12908"/>
  <c r="AE219" i="13034" s="1"/>
  <c r="Q17" i="12709"/>
  <c r="H17" i="12709"/>
  <c r="H173" i="12709" s="1"/>
  <c r="Q173" i="12709"/>
  <c r="H1244" i="12908"/>
  <c r="AE1244" i="13034" s="1"/>
  <c r="H23" i="12709"/>
  <c r="Q23" i="12709"/>
  <c r="H182" i="12908"/>
  <c r="H16" i="12709"/>
  <c r="H172" i="12709" s="1"/>
  <c r="Q16" i="12709"/>
  <c r="Q172" i="12709"/>
  <c r="Q25" i="12709"/>
  <c r="H25" i="12709"/>
  <c r="H2018" i="12908"/>
  <c r="AE2018" i="13034" s="1"/>
  <c r="H28" i="12709"/>
  <c r="Q28" i="12709"/>
  <c r="H2666" i="12908"/>
  <c r="H18" i="12709"/>
  <c r="H707" i="12908"/>
  <c r="AE707" i="13034" s="1"/>
  <c r="Q18" i="12709"/>
  <c r="E67" i="12709"/>
  <c r="R48" i="12709"/>
  <c r="N6" i="12856"/>
  <c r="N17" i="12856" s="1"/>
  <c r="V12" i="12711"/>
  <c r="L29" i="12711"/>
  <c r="L42" i="12711" s="1"/>
  <c r="V193" i="12711"/>
  <c r="L120" i="12711"/>
  <c r="L133" i="12711" s="1"/>
  <c r="V87" i="12711"/>
  <c r="V184" i="12711"/>
  <c r="L87" i="12709"/>
  <c r="V185" i="12711"/>
  <c r="V51" i="12711"/>
  <c r="V142" i="12711"/>
  <c r="V56" i="12711"/>
  <c r="M143" i="12711"/>
  <c r="M156" i="12711" s="1"/>
  <c r="L136" i="12711"/>
  <c r="V136" i="12711" s="1"/>
  <c r="L136" i="12709"/>
  <c r="M53" i="12711"/>
  <c r="L90" i="12711"/>
  <c r="V60" i="12711"/>
  <c r="Q143" i="12711"/>
  <c r="Q111" i="12711"/>
  <c r="V57" i="12711"/>
  <c r="L89" i="12711"/>
  <c r="V45" i="12711"/>
  <c r="V48" i="12711"/>
  <c r="AB26" i="12908" l="1"/>
  <c r="AA29" i="13034"/>
  <c r="Y613" i="12908"/>
  <c r="AV613" i="13034" s="1"/>
  <c r="AA613" i="13034"/>
  <c r="I565" i="12908"/>
  <c r="AF565" i="13034" s="1"/>
  <c r="AA565" i="13034"/>
  <c r="I396" i="12908"/>
  <c r="AA396" i="13034"/>
  <c r="U2053" i="12908"/>
  <c r="AR2053" i="13034" s="1"/>
  <c r="AJ2053" i="13034"/>
  <c r="AT835" i="13034"/>
  <c r="AI835" i="13015"/>
  <c r="AT514" i="13034"/>
  <c r="AI514" i="13015"/>
  <c r="AT270" i="13034"/>
  <c r="AI270" i="13015"/>
  <c r="AT384" i="13034"/>
  <c r="AI384" i="13015"/>
  <c r="AT387" i="13034"/>
  <c r="AI387" i="13015"/>
  <c r="O83" i="12910"/>
  <c r="O87" i="12910" s="1"/>
  <c r="AE1619" i="13034"/>
  <c r="H2667" i="12908"/>
  <c r="AE2666" i="13034"/>
  <c r="I1535" i="12908"/>
  <c r="AF1535" i="13034" s="1"/>
  <c r="AF1533" i="13034"/>
  <c r="I708" i="12908"/>
  <c r="AF708" i="13034" s="1"/>
  <c r="AF704" i="13034"/>
  <c r="I1514" i="12908"/>
  <c r="AF1510" i="13034"/>
  <c r="H185" i="12908"/>
  <c r="AE182" i="13034"/>
  <c r="I2136" i="12908"/>
  <c r="AF2134" i="13034"/>
  <c r="Y610" i="12908"/>
  <c r="AV610" i="13034" s="1"/>
  <c r="AA610" i="13034"/>
  <c r="I829" i="12908"/>
  <c r="AF829" i="13034" s="1"/>
  <c r="AF827" i="13034"/>
  <c r="I2019" i="12908"/>
  <c r="AF2019" i="13034" s="1"/>
  <c r="AF2013" i="13034"/>
  <c r="O96" i="12910"/>
  <c r="K2303" i="12908"/>
  <c r="AH2303" i="13034" s="1"/>
  <c r="AA1382" i="13034"/>
  <c r="Y322" i="12908"/>
  <c r="AV322" i="13034" s="1"/>
  <c r="AA322" i="13034"/>
  <c r="Y612" i="12908"/>
  <c r="AV612" i="13034" s="1"/>
  <c r="AA612" i="13034"/>
  <c r="Y615" i="12908"/>
  <c r="AV615" i="13034" s="1"/>
  <c r="AA615" i="13034"/>
  <c r="D623" i="12908"/>
  <c r="AA623" i="13034" s="1"/>
  <c r="Y662" i="12908"/>
  <c r="AV662" i="13034" s="1"/>
  <c r="AA662" i="13034"/>
  <c r="K2305" i="12908"/>
  <c r="AH2305" i="13034" s="1"/>
  <c r="AA1384" i="13034"/>
  <c r="AT1068" i="13034"/>
  <c r="AI1068" i="13015"/>
  <c r="AT1902" i="13034"/>
  <c r="AI1902" i="13015"/>
  <c r="U2005" i="12908"/>
  <c r="AR2005" i="13034" s="1"/>
  <c r="AJ2005" i="13034"/>
  <c r="U2004" i="12908"/>
  <c r="AR2004" i="13034" s="1"/>
  <c r="AJ2004" i="13034"/>
  <c r="AT378" i="13034"/>
  <c r="AI378" i="13015"/>
  <c r="AT759" i="13034"/>
  <c r="AI759" i="13015"/>
  <c r="AT647" i="13034"/>
  <c r="AI647" i="13015"/>
  <c r="AH1524" i="13034"/>
  <c r="S1524" i="12908"/>
  <c r="AP1524" i="13034" s="1"/>
  <c r="I502" i="12908"/>
  <c r="AF502" i="13034" s="1"/>
  <c r="AF496" i="13034"/>
  <c r="AT622" i="13034"/>
  <c r="AI622" i="13015"/>
  <c r="I47" i="13016"/>
  <c r="I534" i="12908"/>
  <c r="AF534" i="13034" s="1"/>
  <c r="AF532" i="13034"/>
  <c r="I666" i="12908"/>
  <c r="AF666" i="13034" s="1"/>
  <c r="AF664" i="13034"/>
  <c r="Y1888" i="12908"/>
  <c r="AV1888" i="13034" s="1"/>
  <c r="AA1888" i="13034"/>
  <c r="I466" i="12908"/>
  <c r="AF464" i="13034"/>
  <c r="Y1387" i="12908"/>
  <c r="AV1387" i="13034" s="1"/>
  <c r="AA1387" i="13034"/>
  <c r="D12" i="13006"/>
  <c r="AA1378" i="13034"/>
  <c r="H111" i="12908"/>
  <c r="AE108" i="13034"/>
  <c r="I940" i="12908"/>
  <c r="AF940" i="13034" s="1"/>
  <c r="AF938" i="13034"/>
  <c r="AF1657" i="13034"/>
  <c r="K40" i="12989"/>
  <c r="I886" i="12908"/>
  <c r="AF886" i="13034" s="1"/>
  <c r="AF884" i="13034"/>
  <c r="AB79" i="12908"/>
  <c r="AA66" i="13034"/>
  <c r="I2435" i="12908"/>
  <c r="AF2435" i="13034" s="1"/>
  <c r="AF2433" i="13034"/>
  <c r="I867" i="12908"/>
  <c r="AF865" i="13034"/>
  <c r="I1474" i="12908"/>
  <c r="AF1470" i="13034"/>
  <c r="Q51" i="12910"/>
  <c r="AF2227" i="13034"/>
  <c r="I291" i="12908"/>
  <c r="AF291" i="13034" s="1"/>
  <c r="AF288" i="13034"/>
  <c r="I434" i="12908"/>
  <c r="AF434" i="13034" s="1"/>
  <c r="AF428" i="13034"/>
  <c r="Y611" i="12908"/>
  <c r="AV611" i="13034" s="1"/>
  <c r="AA611" i="13034"/>
  <c r="I561" i="12908"/>
  <c r="AF561" i="13034" s="1"/>
  <c r="AA561" i="13034"/>
  <c r="I562" i="12908"/>
  <c r="AF562" i="13034" s="1"/>
  <c r="AA562" i="13034"/>
  <c r="I327" i="12908"/>
  <c r="AF327" i="13034" s="1"/>
  <c r="AT1888" i="13034"/>
  <c r="AI1888" i="13015"/>
  <c r="U2052" i="12908"/>
  <c r="AR2052" i="13034" s="1"/>
  <c r="AJ2052" i="13034"/>
  <c r="AH1525" i="13034"/>
  <c r="S1525" i="12908"/>
  <c r="AP1525" i="13034" s="1"/>
  <c r="AT891" i="13034"/>
  <c r="AI891" i="13015"/>
  <c r="AT403" i="13034"/>
  <c r="AI403" i="13015"/>
  <c r="AT27" i="13034"/>
  <c r="AI27" i="13015"/>
  <c r="AT28" i="13034"/>
  <c r="AI28" i="13015"/>
  <c r="K2304" i="12908"/>
  <c r="AH2304" i="13034" s="1"/>
  <c r="AA1383" i="13034"/>
  <c r="I1416" i="12908"/>
  <c r="AF1416" i="13034" s="1"/>
  <c r="AF1414" i="13034"/>
  <c r="S1544" i="12908"/>
  <c r="AP1544" i="13034" s="1"/>
  <c r="AA1544" i="13034"/>
  <c r="U2029" i="12908"/>
  <c r="AR2029" i="13034" s="1"/>
  <c r="AJ2029" i="13034"/>
  <c r="U2028" i="12908"/>
  <c r="AR2028" i="13034" s="1"/>
  <c r="AJ2028" i="13034"/>
  <c r="S1988" i="12908"/>
  <c r="AP1988" i="13034" s="1"/>
  <c r="AV1988" i="13034"/>
  <c r="Y530" i="12908"/>
  <c r="AV530" i="13034" s="1"/>
  <c r="AA530" i="13034"/>
  <c r="Y394" i="12908"/>
  <c r="AV394" i="13034" s="1"/>
  <c r="AA394" i="13034"/>
  <c r="AT306" i="13034"/>
  <c r="AI306" i="13015"/>
  <c r="N27" i="12709"/>
  <c r="AF2204" i="13034"/>
  <c r="I1454" i="12908"/>
  <c r="AF1450" i="13034"/>
  <c r="E12" i="13006"/>
  <c r="E13" i="13006" s="1"/>
  <c r="E15" i="13006" s="1"/>
  <c r="D13" i="13006"/>
  <c r="D15" i="13006" s="1"/>
  <c r="I32" i="13007"/>
  <c r="I32" i="13017"/>
  <c r="I32" i="13014"/>
  <c r="S2595" i="12908"/>
  <c r="AP2595" i="13034" s="1"/>
  <c r="S1506" i="12908"/>
  <c r="AP1506" i="13034" s="1"/>
  <c r="S2594" i="12908"/>
  <c r="AP2594" i="13034" s="1"/>
  <c r="S2320" i="12908"/>
  <c r="AP2320" i="13034" s="1"/>
  <c r="S1505" i="12908"/>
  <c r="AP1505" i="13034" s="1"/>
  <c r="S2319" i="12908"/>
  <c r="AP2319" i="13034" s="1"/>
  <c r="S1543" i="12908"/>
  <c r="AP1543" i="13034" s="1"/>
  <c r="S2304" i="12908"/>
  <c r="AP2304" i="13034" s="1"/>
  <c r="S2305" i="12908"/>
  <c r="AP2305" i="13034" s="1"/>
  <c r="S2303" i="12908"/>
  <c r="AP2303" i="13034" s="1"/>
  <c r="S1906" i="12908"/>
  <c r="AP1906" i="13034" s="1"/>
  <c r="U977" i="12908"/>
  <c r="AR977" i="13034" s="1"/>
  <c r="S1907" i="12908"/>
  <c r="AP1907" i="13034" s="1"/>
  <c r="I394" i="12908"/>
  <c r="I530" i="12908"/>
  <c r="S614" i="12908"/>
  <c r="AP614" i="13034" s="1"/>
  <c r="Y614" i="12908"/>
  <c r="AV614" i="13034" s="1"/>
  <c r="W614" i="12908"/>
  <c r="U614" i="12908"/>
  <c r="AR614" i="13034" s="1"/>
  <c r="W369" i="12908"/>
  <c r="U369" i="12908"/>
  <c r="AR369" i="13034" s="1"/>
  <c r="K1542" i="12908"/>
  <c r="AH1542" i="13034" s="1"/>
  <c r="K2318" i="12908"/>
  <c r="AH2318" i="13034" s="1"/>
  <c r="K1523" i="12908"/>
  <c r="K2593" i="12908"/>
  <c r="AH2593" i="13034" s="1"/>
  <c r="K1504" i="12908"/>
  <c r="AH1504" i="13034" s="1"/>
  <c r="K1905" i="12908"/>
  <c r="AH1905" i="13034" s="1"/>
  <c r="M2121" i="12908"/>
  <c r="M2099" i="12908"/>
  <c r="AJ2099" i="13034" s="1"/>
  <c r="M2143" i="12908"/>
  <c r="U2077" i="12908"/>
  <c r="AR2077" i="13034" s="1"/>
  <c r="M2120" i="12908"/>
  <c r="M2098" i="12908"/>
  <c r="AJ2098" i="13034" s="1"/>
  <c r="M2142" i="12908"/>
  <c r="U2076" i="12908"/>
  <c r="AR2076" i="13034" s="1"/>
  <c r="K2528" i="12908"/>
  <c r="AH2528" i="13034" s="1"/>
  <c r="K2424" i="12908"/>
  <c r="AH2424" i="13034" s="1"/>
  <c r="M2060" i="12908"/>
  <c r="M2084" i="12908"/>
  <c r="AJ2084" i="13034" s="1"/>
  <c r="M2012" i="12908"/>
  <c r="M2036" i="12908"/>
  <c r="K1587" i="12908"/>
  <c r="K1565" i="12908"/>
  <c r="K2512" i="12908"/>
  <c r="AH2512" i="13034" s="1"/>
  <c r="K2408" i="12908"/>
  <c r="AH2408" i="13034" s="1"/>
  <c r="K1588" i="12908"/>
  <c r="K1566" i="12908"/>
  <c r="W556" i="12908"/>
  <c r="U556" i="12908"/>
  <c r="AR556" i="13034" s="1"/>
  <c r="K2321" i="12908"/>
  <c r="AH2321" i="13034" s="1"/>
  <c r="K1526" i="12908"/>
  <c r="K2596" i="12908"/>
  <c r="AH2596" i="13034" s="1"/>
  <c r="K1545" i="12908"/>
  <c r="AH1545" i="13034" s="1"/>
  <c r="K1507" i="12908"/>
  <c r="AH1507" i="13034" s="1"/>
  <c r="K1908" i="12908"/>
  <c r="AH1908" i="13034" s="1"/>
  <c r="K2511" i="12908"/>
  <c r="AH2511" i="13034" s="1"/>
  <c r="K2407" i="12908"/>
  <c r="AH2407" i="13034" s="1"/>
  <c r="K2513" i="12908"/>
  <c r="AH2513" i="13034" s="1"/>
  <c r="K2409" i="12908"/>
  <c r="AH2409" i="13034" s="1"/>
  <c r="K2527" i="12908"/>
  <c r="AH2527" i="13034" s="1"/>
  <c r="K2423" i="12908"/>
  <c r="AH2423" i="13034" s="1"/>
  <c r="I1924" i="12908"/>
  <c r="K1895" i="12908"/>
  <c r="AH1895" i="13034" s="1"/>
  <c r="Y967" i="12908"/>
  <c r="AV967" i="13034" s="1"/>
  <c r="K1894" i="12908"/>
  <c r="AH1894" i="13034" s="1"/>
  <c r="Y966" i="12908"/>
  <c r="AV966" i="13034" s="1"/>
  <c r="K1896" i="12908"/>
  <c r="AH1896" i="13034" s="1"/>
  <c r="Y968" i="12908"/>
  <c r="AV968" i="13034" s="1"/>
  <c r="K235" i="12908"/>
  <c r="AH235" i="13034" s="1"/>
  <c r="K1025" i="12908"/>
  <c r="AH1025" i="13034" s="1"/>
  <c r="K1001" i="12908"/>
  <c r="AH1001" i="13034" s="1"/>
  <c r="K1049" i="12908"/>
  <c r="AH1049" i="13034" s="1"/>
  <c r="Y1037" i="12908"/>
  <c r="AV1037" i="13034" s="1"/>
  <c r="K1445" i="12908"/>
  <c r="AH1445" i="13034" s="1"/>
  <c r="K1465" i="12908"/>
  <c r="AH1465" i="13034" s="1"/>
  <c r="K1425" i="12908"/>
  <c r="AH1425" i="13034" s="1"/>
  <c r="K1405" i="12908"/>
  <c r="AH1405" i="13034" s="1"/>
  <c r="K1466" i="12908"/>
  <c r="AH1466" i="13034" s="1"/>
  <c r="K1426" i="12908"/>
  <c r="AH1426" i="13034" s="1"/>
  <c r="K1406" i="12908"/>
  <c r="AH1406" i="13034" s="1"/>
  <c r="K1446" i="12908"/>
  <c r="AH1446" i="13034" s="1"/>
  <c r="K1464" i="12908"/>
  <c r="AH1464" i="13034" s="1"/>
  <c r="K1424" i="12908"/>
  <c r="AH1424" i="13034" s="1"/>
  <c r="K1404" i="12908"/>
  <c r="AH1404" i="13034" s="1"/>
  <c r="K1444" i="12908"/>
  <c r="AH1444" i="13034" s="1"/>
  <c r="D400" i="12908"/>
  <c r="AA400" i="13034" s="1"/>
  <c r="D547" i="12908"/>
  <c r="D540" i="12908"/>
  <c r="AA540" i="13034" s="1"/>
  <c r="D544" i="12908"/>
  <c r="D558" i="12908"/>
  <c r="AA558" i="13034" s="1"/>
  <c r="D557" i="12908"/>
  <c r="AA557" i="13034" s="1"/>
  <c r="D546" i="12908"/>
  <c r="D549" i="12908"/>
  <c r="D629" i="12908"/>
  <c r="D548" i="12908"/>
  <c r="AA548" i="13034" s="1"/>
  <c r="I564" i="12908"/>
  <c r="D569" i="12908"/>
  <c r="AA569" i="13034" s="1"/>
  <c r="D545" i="12908"/>
  <c r="D542" i="12908"/>
  <c r="AA542" i="13034" s="1"/>
  <c r="I633" i="12908"/>
  <c r="AF633" i="13034" s="1"/>
  <c r="D543" i="12908"/>
  <c r="AA543" i="13034" s="1"/>
  <c r="D541" i="12908"/>
  <c r="AA541" i="13034" s="1"/>
  <c r="I662" i="12908"/>
  <c r="I556" i="12908"/>
  <c r="AF556" i="13034" s="1"/>
  <c r="I294" i="12908"/>
  <c r="AF294" i="13034" s="1"/>
  <c r="I322" i="12908"/>
  <c r="D388" i="12908"/>
  <c r="AA388" i="13034" s="1"/>
  <c r="N62" i="12709"/>
  <c r="N198" i="12709" s="1"/>
  <c r="D961" i="12908"/>
  <c r="AA961" i="13034" s="1"/>
  <c r="D965" i="12908"/>
  <c r="AA965" i="13034" s="1"/>
  <c r="D1983" i="12908"/>
  <c r="AA1983" i="13034" s="1"/>
  <c r="D1982" i="12908"/>
  <c r="AA1982" i="13034" s="1"/>
  <c r="I902" i="12908"/>
  <c r="I2090" i="12908"/>
  <c r="I2179" i="12908"/>
  <c r="D1381" i="12908"/>
  <c r="N53" i="12709"/>
  <c r="Q42" i="12910"/>
  <c r="O157" i="12711"/>
  <c r="G8" i="12856" s="1"/>
  <c r="C19" i="12858"/>
  <c r="Q50" i="12910"/>
  <c r="N85" i="12709"/>
  <c r="Q62" i="12910"/>
  <c r="N53" i="12711"/>
  <c r="N181" i="12711" s="1"/>
  <c r="M181" i="12711"/>
  <c r="M137" i="12709"/>
  <c r="M189" i="12709" s="1"/>
  <c r="S140" i="12711"/>
  <c r="S191" i="12711" s="1"/>
  <c r="I846" i="12908"/>
  <c r="F64" i="12709"/>
  <c r="F200" i="12709" s="1"/>
  <c r="F50" i="12709"/>
  <c r="F179" i="12709" s="1"/>
  <c r="I725" i="12908"/>
  <c r="S139" i="12711"/>
  <c r="S190" i="12711" s="1"/>
  <c r="N29" i="12711"/>
  <c r="N42" i="12711" s="1"/>
  <c r="G14" i="12715" s="1"/>
  <c r="Q65" i="12709"/>
  <c r="H65" i="12709"/>
  <c r="I65" i="12709" s="1"/>
  <c r="W33" i="12771"/>
  <c r="F48" i="12709"/>
  <c r="F177" i="12709" s="1"/>
  <c r="N141" i="12709"/>
  <c r="N193" i="12709" s="1"/>
  <c r="Q93" i="12910"/>
  <c r="N63" i="12709"/>
  <c r="N199" i="12709" s="1"/>
  <c r="Q52" i="12910"/>
  <c r="Q85" i="12910"/>
  <c r="N51" i="12709"/>
  <c r="N180" i="12709" s="1"/>
  <c r="Q40" i="12910"/>
  <c r="N87" i="12709"/>
  <c r="M87" i="12709" s="1"/>
  <c r="S87" i="12711" s="1"/>
  <c r="Q64" i="12910"/>
  <c r="Q61" i="12910"/>
  <c r="N49" i="12709"/>
  <c r="Q38" i="12910"/>
  <c r="S138" i="12711"/>
  <c r="S189" i="12711" s="1"/>
  <c r="N143" i="12711"/>
  <c r="N156" i="12711" s="1"/>
  <c r="G21" i="12715" s="1"/>
  <c r="L120" i="12709"/>
  <c r="L133" i="12709" s="1"/>
  <c r="M136" i="12709"/>
  <c r="I770" i="12908"/>
  <c r="I36" i="12908"/>
  <c r="AF36" i="13034" s="1"/>
  <c r="I1990" i="12908"/>
  <c r="AF1990" i="13034" s="1"/>
  <c r="I1489" i="12908"/>
  <c r="I1076" i="12908"/>
  <c r="I1991" i="12908"/>
  <c r="AF1991" i="13034" s="1"/>
  <c r="I1430" i="12908"/>
  <c r="I1992" i="12908"/>
  <c r="AF1992" i="13034" s="1"/>
  <c r="I1818" i="12908"/>
  <c r="I183" i="12908"/>
  <c r="AF183" i="13034" s="1"/>
  <c r="I2312" i="12908"/>
  <c r="I146" i="12908"/>
  <c r="AF146" i="13034" s="1"/>
  <c r="I2067" i="12908"/>
  <c r="I220" i="12908"/>
  <c r="AF220" i="13034" s="1"/>
  <c r="H1248" i="12908"/>
  <c r="H1098" i="12908"/>
  <c r="H1006" i="12908"/>
  <c r="AE1006" i="13034" s="1"/>
  <c r="I1045" i="12908"/>
  <c r="AF1045" i="13034" s="1"/>
  <c r="I1389" i="12908"/>
  <c r="AF1389" i="13034" s="1"/>
  <c r="I1930" i="12908"/>
  <c r="AF1930" i="13034" s="1"/>
  <c r="I1378" i="12908"/>
  <c r="AF1378" i="13034" s="1"/>
  <c r="I1929" i="12908"/>
  <c r="AF1929" i="13034" s="1"/>
  <c r="H711" i="12908"/>
  <c r="AE711" i="13034" s="1"/>
  <c r="I1390" i="12908"/>
  <c r="AF1390" i="13034" s="1"/>
  <c r="I1386" i="12908"/>
  <c r="AF1386" i="13034" s="1"/>
  <c r="I1928" i="12908"/>
  <c r="AF1928" i="13034" s="1"/>
  <c r="H2022" i="12908"/>
  <c r="H791" i="12908"/>
  <c r="AE791" i="13034" s="1"/>
  <c r="H2114" i="12908"/>
  <c r="AE2114" i="13034" s="1"/>
  <c r="H922" i="12908"/>
  <c r="I1387" i="12908"/>
  <c r="AF1387" i="13034" s="1"/>
  <c r="D1989" i="12908"/>
  <c r="AA1989" i="13034" s="1"/>
  <c r="I2037" i="12908"/>
  <c r="AF2037" i="13034" s="1"/>
  <c r="I1385" i="12908"/>
  <c r="AF1385" i="13034" s="1"/>
  <c r="I1003" i="12908"/>
  <c r="D1495" i="12908"/>
  <c r="AA1495" i="13034" s="1"/>
  <c r="D1388" i="12908"/>
  <c r="AA1388" i="13034" s="1"/>
  <c r="M67" i="12711"/>
  <c r="M80" i="12711" s="1"/>
  <c r="H82" i="12908"/>
  <c r="AE82" i="13034" s="1"/>
  <c r="H148" i="12908"/>
  <c r="AE148" i="13034" s="1"/>
  <c r="I120" i="12709"/>
  <c r="I133" i="12709" s="1"/>
  <c r="Q120" i="12711"/>
  <c r="Q133" i="12711" s="1"/>
  <c r="Q28" i="12711"/>
  <c r="I28" i="12709"/>
  <c r="I17" i="12709"/>
  <c r="I173" i="12709" s="1"/>
  <c r="Q17" i="12711"/>
  <c r="Q172" i="12711" s="1"/>
  <c r="I27" i="12709"/>
  <c r="Q27" i="12711"/>
  <c r="I19" i="12709"/>
  <c r="Q19" i="12711"/>
  <c r="Q20" i="12711"/>
  <c r="I20" i="12709"/>
  <c r="I18" i="12709"/>
  <c r="Q18" i="12711"/>
  <c r="Q23" i="12711"/>
  <c r="I23" i="12709"/>
  <c r="I21" i="12709"/>
  <c r="Q21" i="12711"/>
  <c r="I14" i="12709"/>
  <c r="I170" i="12709" s="1"/>
  <c r="Q14" i="12711"/>
  <c r="Q169" i="12711" s="1"/>
  <c r="H12" i="12709"/>
  <c r="H168" i="12709" s="1"/>
  <c r="F29" i="12709"/>
  <c r="Q12" i="12709"/>
  <c r="H42" i="12908"/>
  <c r="AE42" i="13034" s="1"/>
  <c r="Q15" i="12711"/>
  <c r="Q170" i="12711" s="1"/>
  <c r="I15" i="12709"/>
  <c r="I171" i="12709" s="1"/>
  <c r="L28" i="12709"/>
  <c r="Q25" i="12711"/>
  <c r="I25" i="12709"/>
  <c r="Q16" i="12711"/>
  <c r="Q171" i="12711" s="1"/>
  <c r="I16" i="12709"/>
  <c r="I172" i="12709" s="1"/>
  <c r="H2204" i="12908"/>
  <c r="I26" i="12709"/>
  <c r="Q26" i="12711"/>
  <c r="I13" i="12709"/>
  <c r="I169" i="12709" s="1"/>
  <c r="Q13" i="12711"/>
  <c r="Q168" i="12711" s="1"/>
  <c r="L16" i="12709"/>
  <c r="L172" i="12709" s="1"/>
  <c r="Q24" i="12711"/>
  <c r="I24" i="12709"/>
  <c r="I22" i="12709"/>
  <c r="Q22" i="12711"/>
  <c r="K96" i="12910"/>
  <c r="F62" i="12709"/>
  <c r="F198" i="12709" s="1"/>
  <c r="F47" i="12709"/>
  <c r="F176" i="12709" s="1"/>
  <c r="F61" i="12709"/>
  <c r="F197" i="12709" s="1"/>
  <c r="F54" i="12709"/>
  <c r="F183" i="12709" s="1"/>
  <c r="F53" i="12709"/>
  <c r="F182" i="12709" s="1"/>
  <c r="F52" i="12709"/>
  <c r="F181" i="12709" s="1"/>
  <c r="F55" i="12709"/>
  <c r="F184" i="12709" s="1"/>
  <c r="R67" i="12709"/>
  <c r="F60" i="12709"/>
  <c r="F196" i="12709" s="1"/>
  <c r="F59" i="12709"/>
  <c r="F194" i="12709" s="1"/>
  <c r="F57" i="12709"/>
  <c r="F186" i="12709" s="1"/>
  <c r="F46" i="12709"/>
  <c r="F175" i="12709" s="1"/>
  <c r="F58" i="12709"/>
  <c r="F193" i="12709" s="1"/>
  <c r="E80" i="12709"/>
  <c r="R80" i="12709" s="1"/>
  <c r="F63" i="12709"/>
  <c r="F199" i="12709" s="1"/>
  <c r="F51" i="12709"/>
  <c r="F180" i="12709" s="1"/>
  <c r="F49" i="12709"/>
  <c r="F178" i="12709" s="1"/>
  <c r="F66" i="12709"/>
  <c r="F205" i="12709" s="1"/>
  <c r="F56" i="12709"/>
  <c r="F185" i="12709" s="1"/>
  <c r="R177" i="12709"/>
  <c r="E14" i="12715"/>
  <c r="F14" i="12715" s="1"/>
  <c r="V133" i="12711"/>
  <c r="E20" i="12715"/>
  <c r="F20" i="12715" s="1"/>
  <c r="H20" i="12715" s="1"/>
  <c r="V198" i="12711"/>
  <c r="L143" i="12711"/>
  <c r="L156" i="12711" s="1"/>
  <c r="L143" i="12709"/>
  <c r="L156" i="12709" s="1"/>
  <c r="V90" i="12711"/>
  <c r="L53" i="12711"/>
  <c r="L181" i="12711" s="1"/>
  <c r="L52" i="12711"/>
  <c r="L180" i="12711" s="1"/>
  <c r="V89" i="12711"/>
  <c r="I12" i="12858"/>
  <c r="L12" i="12858" s="1"/>
  <c r="V42" i="12711"/>
  <c r="O24" i="12910" l="1"/>
  <c r="AE922" i="13034"/>
  <c r="Y544" i="12908"/>
  <c r="AV544" i="13034" s="1"/>
  <c r="AA544" i="13034"/>
  <c r="AH1588" i="13034"/>
  <c r="S1588" i="12908"/>
  <c r="AP1588" i="13034" s="1"/>
  <c r="U2060" i="12908"/>
  <c r="AR2060" i="13034" s="1"/>
  <c r="AJ2060" i="13034"/>
  <c r="U2143" i="12908"/>
  <c r="AR2143" i="13034" s="1"/>
  <c r="AJ2143" i="13034"/>
  <c r="K25" i="12989"/>
  <c r="AF867" i="13034"/>
  <c r="O16" i="12910"/>
  <c r="AE111" i="13034"/>
  <c r="I2070" i="12908"/>
  <c r="AF2070" i="13034" s="1"/>
  <c r="AF2067" i="13034"/>
  <c r="K59" i="12989"/>
  <c r="AF1818" i="13034"/>
  <c r="K27" i="12989"/>
  <c r="AF1076" i="13034"/>
  <c r="I772" i="12908"/>
  <c r="AF770" i="13034"/>
  <c r="N84" i="12709"/>
  <c r="M84" i="12709" s="1"/>
  <c r="S84" i="12711" s="1"/>
  <c r="Q68" i="12910"/>
  <c r="K2302" i="12908"/>
  <c r="AH2302" i="13034" s="1"/>
  <c r="AA1381" i="13034"/>
  <c r="I567" i="12908"/>
  <c r="AF567" i="13034" s="1"/>
  <c r="AF564" i="13034"/>
  <c r="Y546" i="12908"/>
  <c r="AV546" i="13034" s="1"/>
  <c r="AA546" i="13034"/>
  <c r="U2036" i="12908"/>
  <c r="AR2036" i="13034" s="1"/>
  <c r="AJ2036" i="13034"/>
  <c r="S1387" i="12908"/>
  <c r="AP1387" i="13034" s="1"/>
  <c r="AF1454" i="13034"/>
  <c r="I1456" i="12908"/>
  <c r="I904" i="12908"/>
  <c r="AF902" i="13034"/>
  <c r="Y549" i="12908"/>
  <c r="AV549" i="13034" s="1"/>
  <c r="AA549" i="13034"/>
  <c r="I1925" i="12908"/>
  <c r="AF1925" i="13034" s="1"/>
  <c r="AF1924" i="13034"/>
  <c r="AH1587" i="13034"/>
  <c r="S1587" i="12908"/>
  <c r="AP1587" i="13034" s="1"/>
  <c r="U2142" i="12908"/>
  <c r="AR2142" i="13034" s="1"/>
  <c r="AJ2142" i="13034"/>
  <c r="AT614" i="13034"/>
  <c r="AI614" i="13015"/>
  <c r="AF394" i="13034"/>
  <c r="N61" i="12709"/>
  <c r="N197" i="12709" s="1"/>
  <c r="AF2136" i="13034"/>
  <c r="I1516" i="12908"/>
  <c r="AF1514" i="13034"/>
  <c r="L14" i="12709"/>
  <c r="L170" i="12709" s="1"/>
  <c r="O28" i="12910"/>
  <c r="AE2204" i="13034"/>
  <c r="O23" i="12910"/>
  <c r="AE1098" i="13034"/>
  <c r="I1493" i="12908"/>
  <c r="AF1489" i="13034"/>
  <c r="Q36" i="12910"/>
  <c r="N91" i="12709"/>
  <c r="I848" i="12908"/>
  <c r="AF848" i="13034" s="1"/>
  <c r="AF846" i="13034"/>
  <c r="I2181" i="12908"/>
  <c r="AF2179" i="13034"/>
  <c r="I668" i="12908"/>
  <c r="AF668" i="13034" s="1"/>
  <c r="AF662" i="13034"/>
  <c r="Y547" i="12908"/>
  <c r="AV547" i="13034" s="1"/>
  <c r="AA547" i="13034"/>
  <c r="AT556" i="13034"/>
  <c r="AI556" i="13015"/>
  <c r="U2012" i="12908"/>
  <c r="AR2012" i="13034" s="1"/>
  <c r="AJ2012" i="13034"/>
  <c r="U2120" i="12908"/>
  <c r="AR2120" i="13034" s="1"/>
  <c r="AJ2120" i="13034"/>
  <c r="U2121" i="12908"/>
  <c r="AR2121" i="13034" s="1"/>
  <c r="AJ2121" i="13034"/>
  <c r="AH1523" i="13034"/>
  <c r="S1523" i="12908"/>
  <c r="AP1523" i="13034" s="1"/>
  <c r="AT369" i="13034"/>
  <c r="AI369" i="13015"/>
  <c r="I1476" i="12908"/>
  <c r="AF1474" i="13034"/>
  <c r="AF466" i="13034"/>
  <c r="I468" i="12908"/>
  <c r="AF468" i="13034" s="1"/>
  <c r="O18" i="12910"/>
  <c r="AE185" i="13034"/>
  <c r="O29" i="12910"/>
  <c r="AE2667" i="13034"/>
  <c r="I398" i="12908"/>
  <c r="AF398" i="13034" s="1"/>
  <c r="AF396" i="13034"/>
  <c r="I1006" i="12908"/>
  <c r="AF1006" i="13034" s="1"/>
  <c r="AF1003" i="13034"/>
  <c r="O26" i="12910"/>
  <c r="AE2022" i="13034"/>
  <c r="O25" i="12910"/>
  <c r="AE1248" i="13034"/>
  <c r="I2329" i="12908"/>
  <c r="AF2329" i="13034" s="1"/>
  <c r="AF2312" i="13034"/>
  <c r="I1434" i="12908"/>
  <c r="AF1430" i="13034"/>
  <c r="N47" i="12709"/>
  <c r="I729" i="12908"/>
  <c r="AF725" i="13034"/>
  <c r="I2092" i="12908"/>
  <c r="AF2090" i="13034"/>
  <c r="I330" i="12908"/>
  <c r="AF330" i="13034" s="1"/>
  <c r="AF322" i="13034"/>
  <c r="Y545" i="12908"/>
  <c r="AV545" i="13034" s="1"/>
  <c r="AA545" i="13034"/>
  <c r="Y629" i="12908"/>
  <c r="AV629" i="13034" s="1"/>
  <c r="AA629" i="13034"/>
  <c r="AH1526" i="13034"/>
  <c r="S1526" i="12908"/>
  <c r="AP1526" i="13034" s="1"/>
  <c r="AH1566" i="13034"/>
  <c r="S1566" i="12908"/>
  <c r="AP1566" i="13034" s="1"/>
  <c r="AH1565" i="13034"/>
  <c r="S1565" i="12908"/>
  <c r="AP1565" i="13034" s="1"/>
  <c r="I536" i="12908"/>
  <c r="AF536" i="13034" s="1"/>
  <c r="AF530" i="13034"/>
  <c r="I35" i="13016"/>
  <c r="I35" i="12989"/>
  <c r="K2553" i="12908"/>
  <c r="E22" i="13006"/>
  <c r="E35" i="13006"/>
  <c r="K2552" i="12908"/>
  <c r="D35" i="13006"/>
  <c r="D22" i="13006"/>
  <c r="S2424" i="12908"/>
  <c r="AP2424" i="13034" s="1"/>
  <c r="S2527" i="12908"/>
  <c r="AP2527" i="13034" s="1"/>
  <c r="S2596" i="12908"/>
  <c r="AP2596" i="13034" s="1"/>
  <c r="S2528" i="12908"/>
  <c r="AP2528" i="13034" s="1"/>
  <c r="S2593" i="12908"/>
  <c r="AP2593" i="13034" s="1"/>
  <c r="S1908" i="12908"/>
  <c r="AP1908" i="13034" s="1"/>
  <c r="S1905" i="12908"/>
  <c r="AP1905" i="13034" s="1"/>
  <c r="S2318" i="12908"/>
  <c r="AP2318" i="13034" s="1"/>
  <c r="S2423" i="12908"/>
  <c r="AP2423" i="13034" s="1"/>
  <c r="S1507" i="12908"/>
  <c r="AP1507" i="13034" s="1"/>
  <c r="S2321" i="12908"/>
  <c r="AP2321" i="13034" s="1"/>
  <c r="S1504" i="12908"/>
  <c r="AP1504" i="13034" s="1"/>
  <c r="S1542" i="12908"/>
  <c r="AP1542" i="13034" s="1"/>
  <c r="S1405" i="12908"/>
  <c r="AP1405" i="13034" s="1"/>
  <c r="S1404" i="12908"/>
  <c r="AP1404" i="13034" s="1"/>
  <c r="S1406" i="12908"/>
  <c r="AP1406" i="13034" s="1"/>
  <c r="S1425" i="12908"/>
  <c r="AP1425" i="13034" s="1"/>
  <c r="S2511" i="12908"/>
  <c r="AP2511" i="13034" s="1"/>
  <c r="S1444" i="12908"/>
  <c r="AP1444" i="13034" s="1"/>
  <c r="S2407" i="12908"/>
  <c r="AP2407" i="13034" s="1"/>
  <c r="S1424" i="12908"/>
  <c r="AP1424" i="13034" s="1"/>
  <c r="S1426" i="12908"/>
  <c r="AP1426" i="13034" s="1"/>
  <c r="S1465" i="12908"/>
  <c r="AP1465" i="13034" s="1"/>
  <c r="S2409" i="12908"/>
  <c r="AP2409" i="13034" s="1"/>
  <c r="S2408" i="12908"/>
  <c r="AP2408" i="13034" s="1"/>
  <c r="S1446" i="12908"/>
  <c r="AP1446" i="13034" s="1"/>
  <c r="S2302" i="12908"/>
  <c r="AP2302" i="13034" s="1"/>
  <c r="S1464" i="12908"/>
  <c r="AP1464" i="13034" s="1"/>
  <c r="S1466" i="12908"/>
  <c r="AP1466" i="13034" s="1"/>
  <c r="S1445" i="12908"/>
  <c r="AP1445" i="13034" s="1"/>
  <c r="S2513" i="12908"/>
  <c r="AP2513" i="13034" s="1"/>
  <c r="S2512" i="12908"/>
  <c r="AP2512" i="13034" s="1"/>
  <c r="S1049" i="12908"/>
  <c r="AP1049" i="13034" s="1"/>
  <c r="S1896" i="12908"/>
  <c r="AP1896" i="13034" s="1"/>
  <c r="S1895" i="12908"/>
  <c r="AP1895" i="13034" s="1"/>
  <c r="S1025" i="12908"/>
  <c r="AP1025" i="13034" s="1"/>
  <c r="S1894" i="12908"/>
  <c r="AP1894" i="13034" s="1"/>
  <c r="K2529" i="12908"/>
  <c r="AH2529" i="13034" s="1"/>
  <c r="K2425" i="12908"/>
  <c r="AH2425" i="13034" s="1"/>
  <c r="S1545" i="12908"/>
  <c r="AP1545" i="13034" s="1"/>
  <c r="K1567" i="12908"/>
  <c r="K1589" i="12908"/>
  <c r="M2165" i="12908"/>
  <c r="AJ2165" i="13034" s="1"/>
  <c r="U2098" i="12908"/>
  <c r="AR2098" i="13034" s="1"/>
  <c r="M2166" i="12908"/>
  <c r="AJ2166" i="13034" s="1"/>
  <c r="U2099" i="12908"/>
  <c r="AR2099" i="13034" s="1"/>
  <c r="K2406" i="12908"/>
  <c r="AH2406" i="13034" s="1"/>
  <c r="K2510" i="12908"/>
  <c r="AH2510" i="13034" s="1"/>
  <c r="M2128" i="12908"/>
  <c r="M2106" i="12908"/>
  <c r="AJ2106" i="13034" s="1"/>
  <c r="M2150" i="12908"/>
  <c r="U2084" i="12908"/>
  <c r="AR2084" i="13034" s="1"/>
  <c r="K2422" i="12908"/>
  <c r="AH2422" i="13034" s="1"/>
  <c r="K2526" i="12908"/>
  <c r="AH2526" i="13034" s="1"/>
  <c r="I35" i="13005"/>
  <c r="W548" i="12908"/>
  <c r="Y548" i="12908"/>
  <c r="AV548" i="13034" s="1"/>
  <c r="U548" i="12908"/>
  <c r="AR548" i="13034" s="1"/>
  <c r="S548" i="12908"/>
  <c r="AP548" i="13034" s="1"/>
  <c r="K1564" i="12908"/>
  <c r="K1586" i="12908"/>
  <c r="I1932" i="12908"/>
  <c r="K307" i="12908"/>
  <c r="AH307" i="13034" s="1"/>
  <c r="K379" i="12908"/>
  <c r="AH379" i="13034" s="1"/>
  <c r="K343" i="12908"/>
  <c r="AH343" i="13034" s="1"/>
  <c r="K271" i="12908"/>
  <c r="AH271" i="13034" s="1"/>
  <c r="K546" i="12908"/>
  <c r="AH546" i="13034" s="1"/>
  <c r="K1063" i="12908"/>
  <c r="AH1063" i="13034" s="1"/>
  <c r="K232" i="12908"/>
  <c r="AH232" i="13034" s="1"/>
  <c r="K1151" i="12908"/>
  <c r="AH1151" i="13034" s="1"/>
  <c r="K1039" i="12908"/>
  <c r="AH1039" i="13034" s="1"/>
  <c r="K991" i="12908"/>
  <c r="AH991" i="13034" s="1"/>
  <c r="K1015" i="12908"/>
  <c r="AH1015" i="13034" s="1"/>
  <c r="K547" i="12908"/>
  <c r="AH547" i="13034" s="1"/>
  <c r="K233" i="12908"/>
  <c r="AH233" i="13034" s="1"/>
  <c r="K1152" i="12908"/>
  <c r="AH1152" i="13034" s="1"/>
  <c r="K1064" i="12908"/>
  <c r="AH1064" i="13034" s="1"/>
  <c r="K1040" i="12908"/>
  <c r="AH1040" i="13034" s="1"/>
  <c r="K992" i="12908"/>
  <c r="AH992" i="13034" s="1"/>
  <c r="K1016" i="12908"/>
  <c r="AH1016" i="13034" s="1"/>
  <c r="K549" i="12908"/>
  <c r="AH549" i="13034" s="1"/>
  <c r="S1001" i="12908"/>
  <c r="AP1001" i="13034" s="1"/>
  <c r="K1893" i="12908"/>
  <c r="AH1893" i="13034" s="1"/>
  <c r="Y965" i="12908"/>
  <c r="AV965" i="13034" s="1"/>
  <c r="K545" i="12908"/>
  <c r="AH545" i="13034" s="1"/>
  <c r="K231" i="12908"/>
  <c r="AH231" i="13034" s="1"/>
  <c r="K1150" i="12908"/>
  <c r="AH1150" i="13034" s="1"/>
  <c r="K1062" i="12908"/>
  <c r="AH1062" i="13034" s="1"/>
  <c r="K1038" i="12908"/>
  <c r="AH1038" i="13034" s="1"/>
  <c r="K990" i="12908"/>
  <c r="AH990" i="13034" s="1"/>
  <c r="K1014" i="12908"/>
  <c r="AH1014" i="13034" s="1"/>
  <c r="K1463" i="12908"/>
  <c r="AH1463" i="13034" s="1"/>
  <c r="K1423" i="12908"/>
  <c r="AH1423" i="13034" s="1"/>
  <c r="K1403" i="12908"/>
  <c r="AH1403" i="13034" s="1"/>
  <c r="K1443" i="12908"/>
  <c r="AH1443" i="13034" s="1"/>
  <c r="I629" i="12908"/>
  <c r="D563" i="12908"/>
  <c r="D552" i="12908"/>
  <c r="AA552" i="13034" s="1"/>
  <c r="I2296" i="12908"/>
  <c r="I2022" i="12908"/>
  <c r="AF2022" i="13034" s="1"/>
  <c r="O208" i="12711"/>
  <c r="I711" i="12908"/>
  <c r="I19" i="12858"/>
  <c r="C25" i="12858"/>
  <c r="N176" i="12709"/>
  <c r="N178" i="12709"/>
  <c r="N67" i="12711"/>
  <c r="N80" i="12711" s="1"/>
  <c r="G15" i="12715" s="1"/>
  <c r="S137" i="12711"/>
  <c r="S188" i="12711" s="1"/>
  <c r="N175" i="12709"/>
  <c r="H886" i="12908"/>
  <c r="AE886" i="13034" s="1"/>
  <c r="M141" i="12709"/>
  <c r="S141" i="12711" s="1"/>
  <c r="H1161" i="12908"/>
  <c r="Q179" i="12709"/>
  <c r="I12" i="12709"/>
  <c r="I168" i="12709" s="1"/>
  <c r="Q177" i="12709"/>
  <c r="Q200" i="12709"/>
  <c r="H1473" i="12908"/>
  <c r="AE1473" i="13034" s="1"/>
  <c r="Q184" i="12709"/>
  <c r="H2605" i="12908"/>
  <c r="Q50" i="12709"/>
  <c r="H50" i="12709"/>
  <c r="H179" i="12709" s="1"/>
  <c r="H14" i="12715"/>
  <c r="I222" i="12908"/>
  <c r="I185" i="12908"/>
  <c r="I148" i="12908"/>
  <c r="F45" i="12709"/>
  <c r="Q48" i="12709"/>
  <c r="H1026" i="12908"/>
  <c r="H48" i="12709"/>
  <c r="Q64" i="12709"/>
  <c r="H64" i="12709"/>
  <c r="H200" i="12709" s="1"/>
  <c r="L20" i="12709"/>
  <c r="O22" i="12910"/>
  <c r="O17" i="12910"/>
  <c r="L19" i="12709"/>
  <c r="O21" i="12910"/>
  <c r="L18" i="12709"/>
  <c r="O20" i="12910"/>
  <c r="N96" i="12709"/>
  <c r="Q73" i="12910"/>
  <c r="O15" i="12910"/>
  <c r="N20" i="12709"/>
  <c r="Q22" i="12910"/>
  <c r="L26" i="12709"/>
  <c r="O27" i="12910"/>
  <c r="S136" i="12711"/>
  <c r="M28" i="12709"/>
  <c r="L21" i="12709"/>
  <c r="I43" i="12908"/>
  <c r="I1388" i="12908"/>
  <c r="D1998" i="12908"/>
  <c r="AA1998" i="13034" s="1"/>
  <c r="I2043" i="12908"/>
  <c r="L25" i="12709"/>
  <c r="L23" i="12709"/>
  <c r="L22" i="12709"/>
  <c r="I1989" i="12908"/>
  <c r="AF1989" i="13034" s="1"/>
  <c r="I1051" i="12908"/>
  <c r="D1394" i="12908"/>
  <c r="AA1394" i="13034" s="1"/>
  <c r="L27" i="12709"/>
  <c r="Q168" i="12709"/>
  <c r="H2224" i="12908"/>
  <c r="AE2224" i="13034" s="1"/>
  <c r="Q198" i="12709"/>
  <c r="L13" i="12709"/>
  <c r="L169" i="12709" s="1"/>
  <c r="L15" i="12709"/>
  <c r="L171" i="12709" s="1"/>
  <c r="H45" i="12908"/>
  <c r="AE45" i="13034" s="1"/>
  <c r="U25" i="12756"/>
  <c r="F42" i="12709"/>
  <c r="Q29" i="12709"/>
  <c r="H29" i="12709"/>
  <c r="H42" i="12709" s="1"/>
  <c r="Q12" i="12711"/>
  <c r="Q167" i="12711" s="1"/>
  <c r="Q178" i="12709"/>
  <c r="H49" i="12709"/>
  <c r="H178" i="12709" s="1"/>
  <c r="H1117" i="12908"/>
  <c r="AE1117" i="13034" s="1"/>
  <c r="Q49" i="12709"/>
  <c r="Q53" i="12709"/>
  <c r="H1413" i="12908"/>
  <c r="AE1413" i="13034" s="1"/>
  <c r="Q182" i="12709"/>
  <c r="H53" i="12709"/>
  <c r="Q193" i="12709"/>
  <c r="Q58" i="12709"/>
  <c r="H1826" i="12908"/>
  <c r="H58" i="12709"/>
  <c r="H60" i="12709"/>
  <c r="H2042" i="12908"/>
  <c r="AE2042" i="13034" s="1"/>
  <c r="Q196" i="12709"/>
  <c r="Q60" i="12709"/>
  <c r="Q62" i="12709"/>
  <c r="H62" i="12709"/>
  <c r="H198" i="12709" s="1"/>
  <c r="H51" i="12709"/>
  <c r="H937" i="12908"/>
  <c r="AE937" i="13034" s="1"/>
  <c r="Q51" i="12709"/>
  <c r="Q180" i="12709"/>
  <c r="Q175" i="12709"/>
  <c r="H807" i="12908"/>
  <c r="AE807" i="13034" s="1"/>
  <c r="Q183" i="12709"/>
  <c r="H54" i="12709"/>
  <c r="H183" i="12709" s="1"/>
  <c r="H1453" i="12908"/>
  <c r="Q54" i="12709"/>
  <c r="Q185" i="12709"/>
  <c r="Q56" i="12709"/>
  <c r="H1513" i="12908"/>
  <c r="AE1513" i="13034" s="1"/>
  <c r="H56" i="12709"/>
  <c r="Q199" i="12709"/>
  <c r="Q63" i="12709"/>
  <c r="H2434" i="12908"/>
  <c r="AE2434" i="13034" s="1"/>
  <c r="H63" i="12709"/>
  <c r="H1576" i="12908"/>
  <c r="Q57" i="12709"/>
  <c r="Q186" i="12709"/>
  <c r="H57" i="12709"/>
  <c r="H55" i="12709"/>
  <c r="H184" i="12709" s="1"/>
  <c r="Q55" i="12709"/>
  <c r="Q61" i="12709"/>
  <c r="H61" i="12709"/>
  <c r="H197" i="12709" s="1"/>
  <c r="Q197" i="12709"/>
  <c r="H2133" i="12908"/>
  <c r="AE2133" i="13034" s="1"/>
  <c r="R206" i="12709"/>
  <c r="Q66" i="12709"/>
  <c r="H66" i="12709"/>
  <c r="H205" i="12709" s="1"/>
  <c r="H2657" i="12908"/>
  <c r="AE2657" i="13034" s="1"/>
  <c r="Q205" i="12709"/>
  <c r="H59" i="12709"/>
  <c r="H1864" i="12908"/>
  <c r="Q194" i="12709"/>
  <c r="Q59" i="12709"/>
  <c r="Q52" i="12709"/>
  <c r="H1286" i="12908"/>
  <c r="AE1286" i="13034" s="1"/>
  <c r="H52" i="12709"/>
  <c r="Q181" i="12709"/>
  <c r="Q176" i="12709"/>
  <c r="H47" i="12709"/>
  <c r="H176" i="12709" s="1"/>
  <c r="H864" i="12908"/>
  <c r="AE864" i="13034" s="1"/>
  <c r="Q47" i="12709"/>
  <c r="V156" i="12711"/>
  <c r="E21" i="12715"/>
  <c r="F21" i="12715" s="1"/>
  <c r="H21" i="12715" s="1"/>
  <c r="I13" i="12858"/>
  <c r="L13" i="12858" s="1"/>
  <c r="V180" i="12711"/>
  <c r="V181" i="12711"/>
  <c r="V53" i="12711"/>
  <c r="I14" i="12858"/>
  <c r="L14" i="12858" s="1"/>
  <c r="V52" i="12711"/>
  <c r="H1867" i="12908" l="1"/>
  <c r="AE1864" i="13034"/>
  <c r="H1579" i="12908"/>
  <c r="AE1576" i="13034"/>
  <c r="I2331" i="12908"/>
  <c r="AF2296" i="13034"/>
  <c r="U2150" i="12908"/>
  <c r="AR2150" i="13034" s="1"/>
  <c r="AJ2150" i="13034"/>
  <c r="AH2553" i="13034"/>
  <c r="Q2553" i="12908"/>
  <c r="AN2553" i="13034" s="1"/>
  <c r="I732" i="12908"/>
  <c r="AF729" i="13034"/>
  <c r="AF1516" i="13034"/>
  <c r="N56" i="12709"/>
  <c r="N185" i="12709" s="1"/>
  <c r="Q45" i="12910"/>
  <c r="I400" i="12908"/>
  <c r="AF400" i="13034" s="1"/>
  <c r="K29" i="12989"/>
  <c r="AF904" i="13034"/>
  <c r="I1392" i="12908"/>
  <c r="AF1388" i="13034"/>
  <c r="H1030" i="12908"/>
  <c r="AE1026" i="13034"/>
  <c r="AF148" i="13034"/>
  <c r="K17" i="12989"/>
  <c r="Q20" i="12910"/>
  <c r="AF711" i="13034"/>
  <c r="I1933" i="12908"/>
  <c r="AF1932" i="13034"/>
  <c r="AH1589" i="13034"/>
  <c r="S1589" i="12908"/>
  <c r="AP1589" i="13034" s="1"/>
  <c r="AH2552" i="13034"/>
  <c r="Q2552" i="12908"/>
  <c r="AN2552" i="13034" s="1"/>
  <c r="AF1476" i="13034"/>
  <c r="K33" i="12989"/>
  <c r="Q44" i="12910"/>
  <c r="N55" i="12709"/>
  <c r="N184" i="12709" s="1"/>
  <c r="I1495" i="12908"/>
  <c r="AF1493" i="13034"/>
  <c r="AF1456" i="13034"/>
  <c r="K32" i="12989"/>
  <c r="Q43" i="12910"/>
  <c r="N54" i="12709"/>
  <c r="N183" i="12709" s="1"/>
  <c r="H1456" i="12908"/>
  <c r="AE1453" i="13034"/>
  <c r="H1829" i="12908"/>
  <c r="AE1826" i="13034"/>
  <c r="I1054" i="12908"/>
  <c r="AF1054" i="13034" s="1"/>
  <c r="AF1051" i="13034"/>
  <c r="I45" i="12908"/>
  <c r="AF43" i="13034"/>
  <c r="AF185" i="13034"/>
  <c r="K18" i="12989"/>
  <c r="H1164" i="12908"/>
  <c r="AE1164" i="13034" s="1"/>
  <c r="AE1161" i="13034"/>
  <c r="Y563" i="12908"/>
  <c r="AV563" i="13034" s="1"/>
  <c r="AA563" i="13034"/>
  <c r="AH1586" i="13034"/>
  <c r="S1586" i="12908"/>
  <c r="AP1586" i="13034" s="1"/>
  <c r="U2128" i="12908"/>
  <c r="AR2128" i="13034" s="1"/>
  <c r="AJ2128" i="13034"/>
  <c r="AH1567" i="13034"/>
  <c r="S1567" i="12908"/>
  <c r="AP1567" i="13034" s="1"/>
  <c r="K44" i="12989"/>
  <c r="AF2092" i="13034"/>
  <c r="I2046" i="12908"/>
  <c r="AF2046" i="13034" s="1"/>
  <c r="AF2043" i="13034"/>
  <c r="AF222" i="13034"/>
  <c r="K19" i="12989"/>
  <c r="H2606" i="12908"/>
  <c r="AE2605" i="13034"/>
  <c r="I635" i="12908"/>
  <c r="AF635" i="13034" s="1"/>
  <c r="AF629" i="13034"/>
  <c r="AH1564" i="13034"/>
  <c r="S1564" i="12908"/>
  <c r="AP1564" i="13034" s="1"/>
  <c r="AT548" i="13034"/>
  <c r="AI548" i="13015"/>
  <c r="I1436" i="12908"/>
  <c r="AF1434" i="13034"/>
  <c r="K45" i="12989"/>
  <c r="AF2181" i="13034"/>
  <c r="K24" i="12989"/>
  <c r="AF772" i="13034"/>
  <c r="I43" i="13016"/>
  <c r="I46" i="13016" s="1"/>
  <c r="I43" i="12989"/>
  <c r="I46" i="12989" s="1"/>
  <c r="I31" i="13016"/>
  <c r="I34" i="13016" s="1"/>
  <c r="I31" i="12989"/>
  <c r="I34" i="12989" s="1"/>
  <c r="I24" i="13007"/>
  <c r="I24" i="13017"/>
  <c r="I24" i="13014"/>
  <c r="S2526" i="12908"/>
  <c r="AP2526" i="13034" s="1"/>
  <c r="S2422" i="12908"/>
  <c r="AP2422" i="13034" s="1"/>
  <c r="S2425" i="12908"/>
  <c r="AP2425" i="13034" s="1"/>
  <c r="S2529" i="12908"/>
  <c r="AP2529" i="13034" s="1"/>
  <c r="S1463" i="12908"/>
  <c r="AP1463" i="13034" s="1"/>
  <c r="S2406" i="12908"/>
  <c r="AP2406" i="13034" s="1"/>
  <c r="S1443" i="12908"/>
  <c r="AP1443" i="13034" s="1"/>
  <c r="S1403" i="12908"/>
  <c r="AP1403" i="13034" s="1"/>
  <c r="S1423" i="12908"/>
  <c r="AP1423" i="13034" s="1"/>
  <c r="S2510" i="12908"/>
  <c r="AP2510" i="13034" s="1"/>
  <c r="S1038" i="12908"/>
  <c r="AP1038" i="13034" s="1"/>
  <c r="S545" i="12908"/>
  <c r="AP545" i="13034" s="1"/>
  <c r="S549" i="12908"/>
  <c r="AP549" i="13034" s="1"/>
  <c r="S1015" i="12908"/>
  <c r="AP1015" i="13034" s="1"/>
  <c r="S1016" i="12908"/>
  <c r="AP1016" i="13034" s="1"/>
  <c r="S1152" i="12908"/>
  <c r="AP1152" i="13034" s="1"/>
  <c r="S991" i="12908"/>
  <c r="AP991" i="13034" s="1"/>
  <c r="S1014" i="12908"/>
  <c r="AP1014" i="13034" s="1"/>
  <c r="S1150" i="12908"/>
  <c r="AP1150" i="13034" s="1"/>
  <c r="S1893" i="12908"/>
  <c r="AP1893" i="13034" s="1"/>
  <c r="S992" i="12908"/>
  <c r="AP992" i="13034" s="1"/>
  <c r="S1039" i="12908"/>
  <c r="AP1039" i="13034" s="1"/>
  <c r="S546" i="12908"/>
  <c r="AP546" i="13034" s="1"/>
  <c r="S307" i="12908"/>
  <c r="AP307" i="13034" s="1"/>
  <c r="S990" i="12908"/>
  <c r="AP990" i="13034" s="1"/>
  <c r="S1040" i="12908"/>
  <c r="AP1040" i="13034" s="1"/>
  <c r="S547" i="12908"/>
  <c r="AP547" i="13034" s="1"/>
  <c r="S1151" i="12908"/>
  <c r="AP1151" i="13034" s="1"/>
  <c r="S271" i="12908"/>
  <c r="AP271" i="13034" s="1"/>
  <c r="M2189" i="12908"/>
  <c r="U2166" i="12908"/>
  <c r="AR2166" i="13034" s="1"/>
  <c r="M2212" i="12908"/>
  <c r="I31" i="13005"/>
  <c r="I34" i="13005" s="1"/>
  <c r="M2173" i="12908"/>
  <c r="AJ2173" i="13034" s="1"/>
  <c r="U2106" i="12908"/>
  <c r="AR2106" i="13034" s="1"/>
  <c r="M2211" i="12908"/>
  <c r="U2165" i="12908"/>
  <c r="AR2165" i="13034" s="1"/>
  <c r="M2188" i="12908"/>
  <c r="K413" i="12908"/>
  <c r="AH413" i="13034" s="1"/>
  <c r="S379" i="12908"/>
  <c r="AP379" i="13034" s="1"/>
  <c r="I43" i="13005"/>
  <c r="K305" i="12908"/>
  <c r="AH305" i="13034" s="1"/>
  <c r="K269" i="12908"/>
  <c r="AH269" i="13034" s="1"/>
  <c r="K341" i="12908"/>
  <c r="AH341" i="13034" s="1"/>
  <c r="K377" i="12908"/>
  <c r="AH377" i="13034" s="1"/>
  <c r="K579" i="12908"/>
  <c r="AH579" i="13034" s="1"/>
  <c r="K612" i="12908"/>
  <c r="AH612" i="13034" s="1"/>
  <c r="K645" i="12908"/>
  <c r="AH645" i="13034" s="1"/>
  <c r="K339" i="12908"/>
  <c r="AH339" i="13034" s="1"/>
  <c r="K303" i="12908"/>
  <c r="AH303" i="13034" s="1"/>
  <c r="K375" i="12908"/>
  <c r="AH375" i="13034" s="1"/>
  <c r="K267" i="12908"/>
  <c r="AH267" i="13034" s="1"/>
  <c r="K648" i="12908"/>
  <c r="AH648" i="13034" s="1"/>
  <c r="K582" i="12908"/>
  <c r="AH582" i="13034" s="1"/>
  <c r="K615" i="12908"/>
  <c r="AH615" i="13034" s="1"/>
  <c r="K613" i="12908"/>
  <c r="AH613" i="13034" s="1"/>
  <c r="K646" i="12908"/>
  <c r="AH646" i="13034" s="1"/>
  <c r="K580" i="12908"/>
  <c r="AH580" i="13034" s="1"/>
  <c r="K644" i="12908"/>
  <c r="AH644" i="13034" s="1"/>
  <c r="K578" i="12908"/>
  <c r="AH578" i="13034" s="1"/>
  <c r="K611" i="12908"/>
  <c r="AH611" i="13034" s="1"/>
  <c r="K1130" i="12908"/>
  <c r="AH1130" i="13034" s="1"/>
  <c r="K1108" i="12908"/>
  <c r="AH1108" i="13034" s="1"/>
  <c r="K1086" i="12908"/>
  <c r="AH1086" i="13034" s="1"/>
  <c r="S1064" i="12908"/>
  <c r="AP1064" i="13034" s="1"/>
  <c r="K304" i="12908"/>
  <c r="AH304" i="13034" s="1"/>
  <c r="K376" i="12908"/>
  <c r="AH376" i="13034" s="1"/>
  <c r="K268" i="12908"/>
  <c r="AH268" i="13034" s="1"/>
  <c r="K340" i="12908"/>
  <c r="AH340" i="13034" s="1"/>
  <c r="K1128" i="12908"/>
  <c r="AH1128" i="13034" s="1"/>
  <c r="K1084" i="12908"/>
  <c r="AH1084" i="13034" s="1"/>
  <c r="K1106" i="12908"/>
  <c r="AH1106" i="13034" s="1"/>
  <c r="S1062" i="12908"/>
  <c r="AP1062" i="13034" s="1"/>
  <c r="K544" i="12908"/>
  <c r="AH544" i="13034" s="1"/>
  <c r="K230" i="12908"/>
  <c r="AH230" i="13034" s="1"/>
  <c r="K1149" i="12908"/>
  <c r="AH1149" i="13034" s="1"/>
  <c r="K1061" i="12908"/>
  <c r="AH1061" i="13034" s="1"/>
  <c r="K1013" i="12908"/>
  <c r="AH1013" i="13034" s="1"/>
  <c r="K1037" i="12908"/>
  <c r="AH1037" i="13034" s="1"/>
  <c r="K989" i="12908"/>
  <c r="AH989" i="13034" s="1"/>
  <c r="K1107" i="12908"/>
  <c r="AH1107" i="13034" s="1"/>
  <c r="K1129" i="12908"/>
  <c r="AH1129" i="13034" s="1"/>
  <c r="K1085" i="12908"/>
  <c r="AH1085" i="13034" s="1"/>
  <c r="S1063" i="12908"/>
  <c r="AP1063" i="13034" s="1"/>
  <c r="K447" i="12908"/>
  <c r="AH447" i="13034" s="1"/>
  <c r="K515" i="12908"/>
  <c r="AH515" i="13034" s="1"/>
  <c r="K481" i="12908"/>
  <c r="AH481" i="13034" s="1"/>
  <c r="H1416" i="12908"/>
  <c r="I563" i="12908"/>
  <c r="N15" i="12709"/>
  <c r="N171" i="12709" s="1"/>
  <c r="N17" i="12709"/>
  <c r="N173" i="12709" s="1"/>
  <c r="N25" i="12709"/>
  <c r="M25" i="12709" s="1"/>
  <c r="Q26" i="12910"/>
  <c r="N18" i="12709"/>
  <c r="M18" i="12709" s="1"/>
  <c r="L19" i="12858"/>
  <c r="L50" i="12709"/>
  <c r="O39" i="12910"/>
  <c r="L85" i="12709"/>
  <c r="O62" i="12910"/>
  <c r="I48" i="12709"/>
  <c r="M26" i="12709"/>
  <c r="M19" i="12709"/>
  <c r="S28" i="12711"/>
  <c r="R5" i="12981"/>
  <c r="H867" i="12908"/>
  <c r="H845" i="12908"/>
  <c r="R6" i="12981"/>
  <c r="I50" i="12709"/>
  <c r="I179" i="12709" s="1"/>
  <c r="Q50" i="12711"/>
  <c r="Q178" i="12711" s="1"/>
  <c r="Q19" i="12910"/>
  <c r="L48" i="12709"/>
  <c r="Q18" i="12910"/>
  <c r="N16" i="12709"/>
  <c r="N172" i="12709" s="1"/>
  <c r="Q17" i="12910"/>
  <c r="I64" i="12709"/>
  <c r="I200" i="12709" s="1"/>
  <c r="Q64" i="12711"/>
  <c r="Q199" i="12711" s="1"/>
  <c r="H2435" i="12908"/>
  <c r="J65" i="12709"/>
  <c r="J201" i="12709" s="1"/>
  <c r="Q48" i="12711"/>
  <c r="O14" i="12910"/>
  <c r="M20" i="12709"/>
  <c r="N60" i="12709"/>
  <c r="Q49" i="12910"/>
  <c r="N86" i="12709"/>
  <c r="Q63" i="12910"/>
  <c r="N12" i="12709"/>
  <c r="N168" i="12709" s="1"/>
  <c r="Q14" i="12910"/>
  <c r="M21" i="12709"/>
  <c r="M22" i="12709"/>
  <c r="M27" i="12709"/>
  <c r="M23" i="12709"/>
  <c r="I1995" i="12908"/>
  <c r="H810" i="12908"/>
  <c r="H769" i="12908"/>
  <c r="AE769" i="13034" s="1"/>
  <c r="H2046" i="12908"/>
  <c r="H1994" i="12908"/>
  <c r="H940" i="12908"/>
  <c r="AE940" i="13034" s="1"/>
  <c r="H1120" i="12908"/>
  <c r="AE1120" i="13034" s="1"/>
  <c r="H1073" i="12908"/>
  <c r="AE1073" i="13034" s="1"/>
  <c r="H1290" i="12908"/>
  <c r="H1202" i="12908"/>
  <c r="H2136" i="12908"/>
  <c r="H2089" i="12908"/>
  <c r="H2227" i="12908"/>
  <c r="H2178" i="12908"/>
  <c r="I29" i="12709"/>
  <c r="I42" i="12709" s="1"/>
  <c r="Q42" i="12709"/>
  <c r="C13" i="6"/>
  <c r="E13" i="6" s="1"/>
  <c r="F13" i="6" s="1"/>
  <c r="Q29" i="12711"/>
  <c r="Q42" i="12711" s="1"/>
  <c r="L12" i="12709"/>
  <c r="L168" i="12709" s="1"/>
  <c r="H1516" i="12908"/>
  <c r="H1492" i="12908"/>
  <c r="I61" i="12709"/>
  <c r="I197" i="12709" s="1"/>
  <c r="Q61" i="12711"/>
  <c r="Q196" i="12711" s="1"/>
  <c r="Q63" i="12711"/>
  <c r="I63" i="12709"/>
  <c r="H2330" i="12908"/>
  <c r="AE2330" i="13034" s="1"/>
  <c r="L54" i="12709"/>
  <c r="L183" i="12709" s="1"/>
  <c r="Q60" i="12711"/>
  <c r="I60" i="12709"/>
  <c r="I57" i="12709"/>
  <c r="Q57" i="12711"/>
  <c r="Q56" i="12711"/>
  <c r="I56" i="12709"/>
  <c r="I62" i="12709"/>
  <c r="I198" i="12709" s="1"/>
  <c r="Q62" i="12711"/>
  <c r="Q197" i="12711" s="1"/>
  <c r="Q53" i="12711"/>
  <c r="I53" i="12709"/>
  <c r="Q52" i="12711"/>
  <c r="I52" i="12709"/>
  <c r="H2658" i="12908"/>
  <c r="H2648" i="12908"/>
  <c r="AE2648" i="13034" s="1"/>
  <c r="I47" i="12709"/>
  <c r="I176" i="12709" s="1"/>
  <c r="Q47" i="12711"/>
  <c r="Q175" i="12711" s="1"/>
  <c r="H1856" i="12908"/>
  <c r="AE1856" i="13034" s="1"/>
  <c r="I66" i="12709"/>
  <c r="I205" i="12709" s="1"/>
  <c r="Q66" i="12711"/>
  <c r="Q204" i="12711" s="1"/>
  <c r="I54" i="12709"/>
  <c r="I183" i="12709" s="1"/>
  <c r="Q54" i="12711"/>
  <c r="Q182" i="12711" s="1"/>
  <c r="H728" i="12908"/>
  <c r="AE728" i="13034" s="1"/>
  <c r="Q45" i="12709"/>
  <c r="H45" i="12709"/>
  <c r="I51" i="12709"/>
  <c r="Q51" i="12711"/>
  <c r="I58" i="12709"/>
  <c r="Q58" i="12711"/>
  <c r="H1391" i="12908"/>
  <c r="Q49" i="12711"/>
  <c r="Q177" i="12711" s="1"/>
  <c r="I49" i="12709"/>
  <c r="I178" i="12709" s="1"/>
  <c r="I59" i="12709"/>
  <c r="Q59" i="12711"/>
  <c r="Q55" i="12711"/>
  <c r="Q183" i="12711" s="1"/>
  <c r="I55" i="12709"/>
  <c r="I184" i="12709" s="1"/>
  <c r="L57" i="12709"/>
  <c r="H1815" i="12908"/>
  <c r="AE1815" i="13034" s="1"/>
  <c r="I9" i="12858"/>
  <c r="L9" i="12858" s="1"/>
  <c r="S23" i="12780" l="1"/>
  <c r="AE1391" i="13034"/>
  <c r="O55" i="12910"/>
  <c r="AE2658" i="13034"/>
  <c r="O45" i="12910"/>
  <c r="AE1516" i="13034"/>
  <c r="H2092" i="12908"/>
  <c r="AE2092" i="13034" s="1"/>
  <c r="AE2089" i="13034"/>
  <c r="O49" i="12910"/>
  <c r="AE2046" i="13034"/>
  <c r="O50" i="12910"/>
  <c r="AE2136" i="13034"/>
  <c r="H848" i="12908"/>
  <c r="AE848" i="13034" s="1"/>
  <c r="AE845" i="13034"/>
  <c r="U2188" i="12908"/>
  <c r="AR2188" i="13034" s="1"/>
  <c r="AJ2188" i="13034"/>
  <c r="U2189" i="12908"/>
  <c r="AR2189" i="13034" s="1"/>
  <c r="AJ2189" i="13034"/>
  <c r="O43" i="12910"/>
  <c r="AE1456" i="13034"/>
  <c r="I1935" i="12908"/>
  <c r="AF1933" i="13034"/>
  <c r="I1394" i="12908"/>
  <c r="AF1392" i="13034"/>
  <c r="N45" i="12709"/>
  <c r="AF732" i="13034"/>
  <c r="Q34" i="12910"/>
  <c r="O46" i="12910"/>
  <c r="AE1579" i="13034"/>
  <c r="H2181" i="12908"/>
  <c r="AE2181" i="13034" s="1"/>
  <c r="AE2178" i="13034"/>
  <c r="H1206" i="12908"/>
  <c r="AE1202" i="13034"/>
  <c r="O35" i="12910"/>
  <c r="AE810" i="13034"/>
  <c r="O52" i="12910"/>
  <c r="AE2435" i="13034"/>
  <c r="O36" i="12910"/>
  <c r="AE867" i="13034"/>
  <c r="I569" i="12908"/>
  <c r="AF569" i="13034" s="1"/>
  <c r="AF563" i="13034"/>
  <c r="H1495" i="12908"/>
  <c r="AE1495" i="13034" s="1"/>
  <c r="AE1492" i="13034"/>
  <c r="O51" i="12910"/>
  <c r="AE2227" i="13034"/>
  <c r="O41" i="12910"/>
  <c r="AE1290" i="13034"/>
  <c r="H1998" i="12908"/>
  <c r="AE1998" i="13034" s="1"/>
  <c r="AE1994" i="13034"/>
  <c r="I1998" i="12908"/>
  <c r="AF1995" i="13034"/>
  <c r="O42" i="12910"/>
  <c r="AE1416" i="13034"/>
  <c r="U2211" i="12908"/>
  <c r="AR2211" i="13034" s="1"/>
  <c r="AJ2211" i="13034"/>
  <c r="U2212" i="12908"/>
  <c r="AR2212" i="13034" s="1"/>
  <c r="AJ2212" i="13034"/>
  <c r="AF1436" i="13034"/>
  <c r="N90" i="12709"/>
  <c r="N182" i="12709" s="1"/>
  <c r="Q67" i="12910"/>
  <c r="AE2606" i="13034"/>
  <c r="L64" i="12709"/>
  <c r="AF45" i="13034"/>
  <c r="K14" i="12989"/>
  <c r="O47" i="12910"/>
  <c r="AE1829" i="13034"/>
  <c r="K35" i="12989"/>
  <c r="AF1495" i="13034"/>
  <c r="O37" i="12910"/>
  <c r="AE1030" i="13034"/>
  <c r="K47" i="12989"/>
  <c r="AF2331" i="13034"/>
  <c r="O48" i="12910"/>
  <c r="AE1867" i="13034"/>
  <c r="I23" i="13007"/>
  <c r="I23" i="13017"/>
  <c r="I23" i="13014"/>
  <c r="S989" i="12908"/>
  <c r="AP989" i="13034" s="1"/>
  <c r="S1149" i="12908"/>
  <c r="AP1149" i="13034" s="1"/>
  <c r="S1106" i="12908"/>
  <c r="AP1106" i="13034" s="1"/>
  <c r="S304" i="12908"/>
  <c r="AP304" i="13034" s="1"/>
  <c r="S1130" i="12908"/>
  <c r="AP1130" i="13034" s="1"/>
  <c r="S580" i="12908"/>
  <c r="AP580" i="13034" s="1"/>
  <c r="S582" i="12908"/>
  <c r="AP582" i="13034" s="1"/>
  <c r="S303" i="12908"/>
  <c r="AP303" i="13034" s="1"/>
  <c r="S579" i="12908"/>
  <c r="AP579" i="13034" s="1"/>
  <c r="S305" i="12908"/>
  <c r="AP305" i="13034" s="1"/>
  <c r="S413" i="12908"/>
  <c r="AP413" i="13034" s="1"/>
  <c r="S481" i="12908"/>
  <c r="AP481" i="13034" s="1"/>
  <c r="S1085" i="12908"/>
  <c r="AP1085" i="13034" s="1"/>
  <c r="S1037" i="12908"/>
  <c r="AP1037" i="13034" s="1"/>
  <c r="S1084" i="12908"/>
  <c r="AP1084" i="13034" s="1"/>
  <c r="S611" i="12908"/>
  <c r="AP611" i="13034" s="1"/>
  <c r="S646" i="12908"/>
  <c r="AP646" i="13034" s="1"/>
  <c r="S648" i="12908"/>
  <c r="AP648" i="13034" s="1"/>
  <c r="S515" i="12908"/>
  <c r="AP515" i="13034" s="1"/>
  <c r="S1129" i="12908"/>
  <c r="AP1129" i="13034" s="1"/>
  <c r="S1013" i="12908"/>
  <c r="AP1013" i="13034" s="1"/>
  <c r="S544" i="12908"/>
  <c r="AP544" i="13034" s="1"/>
  <c r="S1128" i="12908"/>
  <c r="AP1128" i="13034" s="1"/>
  <c r="S268" i="12908"/>
  <c r="AP268" i="13034" s="1"/>
  <c r="S1086" i="12908"/>
  <c r="AP1086" i="13034" s="1"/>
  <c r="S578" i="12908"/>
  <c r="AP578" i="13034" s="1"/>
  <c r="S613" i="12908"/>
  <c r="AP613" i="13034" s="1"/>
  <c r="S267" i="12908"/>
  <c r="AP267" i="13034" s="1"/>
  <c r="S645" i="12908"/>
  <c r="AP645" i="13034" s="1"/>
  <c r="S447" i="12908"/>
  <c r="AP447" i="13034" s="1"/>
  <c r="S1107" i="12908"/>
  <c r="AP1107" i="13034" s="1"/>
  <c r="S1108" i="12908"/>
  <c r="AP1108" i="13034" s="1"/>
  <c r="S644" i="12908"/>
  <c r="AP644" i="13034" s="1"/>
  <c r="S615" i="12908"/>
  <c r="AP615" i="13034" s="1"/>
  <c r="S612" i="12908"/>
  <c r="AP612" i="13034" s="1"/>
  <c r="S269" i="12908"/>
  <c r="AP269" i="13034" s="1"/>
  <c r="M2219" i="12908"/>
  <c r="U2173" i="12908"/>
  <c r="AR2173" i="13034" s="1"/>
  <c r="M2196" i="12908"/>
  <c r="K410" i="12908"/>
  <c r="AH410" i="13034" s="1"/>
  <c r="S376" i="12908"/>
  <c r="AP376" i="13034" s="1"/>
  <c r="S375" i="12908"/>
  <c r="AP375" i="13034" s="1"/>
  <c r="K409" i="12908"/>
  <c r="AH409" i="13034" s="1"/>
  <c r="S377" i="12908"/>
  <c r="AP377" i="13034" s="1"/>
  <c r="K411" i="12908"/>
  <c r="AH411" i="13034" s="1"/>
  <c r="I46" i="13005"/>
  <c r="K302" i="12908"/>
  <c r="AH302" i="13034" s="1"/>
  <c r="K266" i="12908"/>
  <c r="AH266" i="13034" s="1"/>
  <c r="K374" i="12908"/>
  <c r="AH374" i="13034" s="1"/>
  <c r="K338" i="12908"/>
  <c r="AH338" i="13034" s="1"/>
  <c r="K643" i="12908"/>
  <c r="AH643" i="13034" s="1"/>
  <c r="K577" i="12908"/>
  <c r="AH577" i="13034" s="1"/>
  <c r="K610" i="12908"/>
  <c r="AH610" i="13034" s="1"/>
  <c r="K512" i="12908"/>
  <c r="AH512" i="13034" s="1"/>
  <c r="K478" i="12908"/>
  <c r="AH478" i="13034" s="1"/>
  <c r="K444" i="12908"/>
  <c r="AH444" i="13034" s="1"/>
  <c r="K477" i="12908"/>
  <c r="AH477" i="13034" s="1"/>
  <c r="K511" i="12908"/>
  <c r="AH511" i="13034" s="1"/>
  <c r="K443" i="12908"/>
  <c r="AH443" i="13034" s="1"/>
  <c r="K445" i="12908"/>
  <c r="AH445" i="13034" s="1"/>
  <c r="K479" i="12908"/>
  <c r="AH479" i="13034" s="1"/>
  <c r="K513" i="12908"/>
  <c r="AH513" i="13034" s="1"/>
  <c r="K1127" i="12908"/>
  <c r="AH1127" i="13034" s="1"/>
  <c r="K1105" i="12908"/>
  <c r="AH1105" i="13034" s="1"/>
  <c r="K1083" i="12908"/>
  <c r="AH1083" i="13034" s="1"/>
  <c r="S1061" i="12908"/>
  <c r="AP1061" i="13034" s="1"/>
  <c r="M15" i="12709"/>
  <c r="M171" i="12709" s="1"/>
  <c r="N196" i="12709"/>
  <c r="R7" i="12981"/>
  <c r="M50" i="12709"/>
  <c r="L179" i="12709"/>
  <c r="J85" i="12709"/>
  <c r="M85" i="12709"/>
  <c r="S85" i="12711" s="1"/>
  <c r="S19" i="12711"/>
  <c r="S25" i="12711"/>
  <c r="S26" i="12711"/>
  <c r="S23" i="12711"/>
  <c r="S21" i="12711"/>
  <c r="S27" i="12711"/>
  <c r="M16" i="12709"/>
  <c r="M172" i="12709" s="1"/>
  <c r="S18" i="12711"/>
  <c r="S22" i="12711"/>
  <c r="S20" i="12711"/>
  <c r="L47" i="12709"/>
  <c r="L176" i="12709" s="1"/>
  <c r="L200" i="12709"/>
  <c r="O53" i="12910"/>
  <c r="O38" i="12910"/>
  <c r="J50" i="12709"/>
  <c r="J179" i="12709" s="1"/>
  <c r="P65" i="12709"/>
  <c r="R65" i="12711"/>
  <c r="R200" i="12711" s="1"/>
  <c r="M12" i="12709"/>
  <c r="M168" i="12709" s="1"/>
  <c r="L51" i="12709"/>
  <c r="O40" i="12910"/>
  <c r="N95" i="12709"/>
  <c r="N195" i="12709" s="1"/>
  <c r="Q72" i="12910"/>
  <c r="M54" i="12709"/>
  <c r="M183" i="12709" s="1"/>
  <c r="J12" i="12709"/>
  <c r="J168" i="12709" s="1"/>
  <c r="L60" i="12709"/>
  <c r="AE8" i="12785"/>
  <c r="H2331" i="12908"/>
  <c r="AE2331" i="13034" s="1"/>
  <c r="L62" i="12709"/>
  <c r="L198" i="12709" s="1"/>
  <c r="H732" i="12908"/>
  <c r="H1859" i="12908"/>
  <c r="J19" i="12776"/>
  <c r="H1818" i="12908"/>
  <c r="M7" i="12782"/>
  <c r="L56" i="12709"/>
  <c r="H1394" i="12908"/>
  <c r="AE1394" i="13034" s="1"/>
  <c r="H1076" i="12908"/>
  <c r="AE1076" i="13034" s="1"/>
  <c r="H772" i="12908"/>
  <c r="AE772" i="13034" s="1"/>
  <c r="L58" i="12709"/>
  <c r="L193" i="12709" s="1"/>
  <c r="Q95" i="12760"/>
  <c r="L49" i="12709"/>
  <c r="L178" i="12709" s="1"/>
  <c r="I45" i="12709"/>
  <c r="Q45" i="12711"/>
  <c r="L59" i="12709"/>
  <c r="L194" i="12709" s="1"/>
  <c r="L61" i="12709"/>
  <c r="L197" i="12709" s="1"/>
  <c r="L52" i="12709"/>
  <c r="L181" i="12709" s="1"/>
  <c r="N7" i="12765"/>
  <c r="H2649" i="12908"/>
  <c r="AE2649" i="13034" s="1"/>
  <c r="L66" i="12709"/>
  <c r="L205" i="12709" s="1"/>
  <c r="L46" i="12709"/>
  <c r="L175" i="12709" s="1"/>
  <c r="L63" i="12709"/>
  <c r="J20" i="12776" l="1"/>
  <c r="AE1859" i="13034"/>
  <c r="U2196" i="12908"/>
  <c r="AR2196" i="13034" s="1"/>
  <c r="AJ2196" i="13034"/>
  <c r="Q96" i="12760"/>
  <c r="AE1206" i="13034"/>
  <c r="O34" i="12910"/>
  <c r="AE732" i="13034"/>
  <c r="K31" i="12989"/>
  <c r="K34" i="12989" s="1"/>
  <c r="AF1394" i="13034"/>
  <c r="M8" i="12782"/>
  <c r="AE1818" i="13034"/>
  <c r="U2219" i="12908"/>
  <c r="AR2219" i="13034" s="1"/>
  <c r="AJ2219" i="13034"/>
  <c r="K43" i="12989"/>
  <c r="K46" i="12989" s="1"/>
  <c r="AF1998" i="13034"/>
  <c r="Q97" i="12760"/>
  <c r="AF1935" i="13034"/>
  <c r="K42" i="12989"/>
  <c r="I31" i="13007"/>
  <c r="I31" i="13017"/>
  <c r="I31" i="13014"/>
  <c r="Q58" i="13005"/>
  <c r="S1083" i="12908"/>
  <c r="AP1083" i="13034" s="1"/>
  <c r="S479" i="12908"/>
  <c r="AP479" i="13034" s="1"/>
  <c r="S477" i="12908"/>
  <c r="AP477" i="13034" s="1"/>
  <c r="S610" i="12908"/>
  <c r="AP610" i="13034" s="1"/>
  <c r="S409" i="12908"/>
  <c r="AP409" i="13034" s="1"/>
  <c r="S1105" i="12908"/>
  <c r="AP1105" i="13034" s="1"/>
  <c r="S445" i="12908"/>
  <c r="AP445" i="13034" s="1"/>
  <c r="S444" i="12908"/>
  <c r="AP444" i="13034" s="1"/>
  <c r="S577" i="12908"/>
  <c r="AP577" i="13034" s="1"/>
  <c r="S1127" i="12908"/>
  <c r="AP1127" i="13034" s="1"/>
  <c r="S443" i="12908"/>
  <c r="AP443" i="13034" s="1"/>
  <c r="S478" i="12908"/>
  <c r="AP478" i="13034" s="1"/>
  <c r="S643" i="12908"/>
  <c r="AP643" i="13034" s="1"/>
  <c r="S266" i="12908"/>
  <c r="AP266" i="13034" s="1"/>
  <c r="S411" i="12908"/>
  <c r="AP411" i="13034" s="1"/>
  <c r="S513" i="12908"/>
  <c r="AP513" i="13034" s="1"/>
  <c r="S511" i="12908"/>
  <c r="AP511" i="13034" s="1"/>
  <c r="S512" i="12908"/>
  <c r="AP512" i="13034" s="1"/>
  <c r="S302" i="12908"/>
  <c r="AP302" i="13034" s="1"/>
  <c r="S410" i="12908"/>
  <c r="AP410" i="13034" s="1"/>
  <c r="K408" i="12908"/>
  <c r="AH408" i="13034" s="1"/>
  <c r="S374" i="12908"/>
  <c r="AP374" i="13034" s="1"/>
  <c r="K510" i="12908"/>
  <c r="AH510" i="13034" s="1"/>
  <c r="K442" i="12908"/>
  <c r="AH442" i="13034" s="1"/>
  <c r="K476" i="12908"/>
  <c r="AH476" i="13034" s="1"/>
  <c r="S15" i="12711"/>
  <c r="S170" i="12711" s="1"/>
  <c r="R85" i="12711"/>
  <c r="T85" i="12711" s="1"/>
  <c r="P85" i="12709"/>
  <c r="S50" i="12711"/>
  <c r="S178" i="12711" s="1"/>
  <c r="M179" i="12709"/>
  <c r="S16" i="12711"/>
  <c r="S171" i="12711" s="1"/>
  <c r="M47" i="12709"/>
  <c r="M176" i="12709" s="1"/>
  <c r="R12" i="12711"/>
  <c r="R167" i="12711" s="1"/>
  <c r="M51" i="12709"/>
  <c r="S12" i="12711"/>
  <c r="M64" i="12709"/>
  <c r="M200" i="12709" s="1"/>
  <c r="J64" i="12709"/>
  <c r="J200" i="12709" s="1"/>
  <c r="P50" i="12709"/>
  <c r="R50" i="12711"/>
  <c r="T65" i="12711"/>
  <c r="T200" i="12711" s="1"/>
  <c r="S54" i="12711"/>
  <c r="S182" i="12711" s="1"/>
  <c r="M59" i="12709"/>
  <c r="M49" i="12709"/>
  <c r="M178" i="12709" s="1"/>
  <c r="M66" i="12709"/>
  <c r="M205" i="12709" s="1"/>
  <c r="M61" i="12709"/>
  <c r="M197" i="12709" s="1"/>
  <c r="M63" i="12709"/>
  <c r="M56" i="12709"/>
  <c r="M62" i="12709"/>
  <c r="M198" i="12709" s="1"/>
  <c r="M60" i="12709"/>
  <c r="M46" i="12709"/>
  <c r="M175" i="12709" s="1"/>
  <c r="M52" i="12709"/>
  <c r="M58" i="12709"/>
  <c r="M193" i="12709" s="1"/>
  <c r="L45" i="12709"/>
  <c r="J21" i="12776"/>
  <c r="M9" i="12782"/>
  <c r="P168" i="12709"/>
  <c r="P12" i="12709"/>
  <c r="N8" i="12765"/>
  <c r="N9" i="12765" s="1"/>
  <c r="M58" i="13016" l="1"/>
  <c r="W58" i="13005"/>
  <c r="Y58" i="13005" s="1"/>
  <c r="AC58" i="12989"/>
  <c r="AE58" i="12989" s="1"/>
  <c r="Q43" i="13007"/>
  <c r="W43" i="13007" s="1"/>
  <c r="Y43" i="13007" s="1"/>
  <c r="S442" i="12908"/>
  <c r="AP442" i="13034" s="1"/>
  <c r="S510" i="12908"/>
  <c r="AP510" i="13034" s="1"/>
  <c r="S408" i="12908"/>
  <c r="AP408" i="13034" s="1"/>
  <c r="S476" i="12908"/>
  <c r="AP476" i="13034" s="1"/>
  <c r="T50" i="12711"/>
  <c r="T178" i="12711" s="1"/>
  <c r="R178" i="12711"/>
  <c r="T12" i="12711"/>
  <c r="T167" i="12711" s="1"/>
  <c r="S167" i="12711"/>
  <c r="S47" i="12711"/>
  <c r="S175" i="12711" s="1"/>
  <c r="S60" i="12711"/>
  <c r="S51" i="12711"/>
  <c r="S63" i="12711"/>
  <c r="S56" i="12711"/>
  <c r="R64" i="12711"/>
  <c r="R199" i="12711" s="1"/>
  <c r="P64" i="12709"/>
  <c r="S64" i="12711"/>
  <c r="S199" i="12711" s="1"/>
  <c r="S52" i="12711"/>
  <c r="S49" i="12711"/>
  <c r="S177" i="12711" s="1"/>
  <c r="S59" i="12711"/>
  <c r="S58" i="12711"/>
  <c r="S192" i="12711" s="1"/>
  <c r="S46" i="12711"/>
  <c r="S174" i="12711" s="1"/>
  <c r="S66" i="12711"/>
  <c r="S204" i="12711" s="1"/>
  <c r="S61" i="12711"/>
  <c r="S196" i="12711" s="1"/>
  <c r="S62" i="12711"/>
  <c r="S197" i="12711" s="1"/>
  <c r="J45" i="12709"/>
  <c r="R45" i="12711" s="1"/>
  <c r="M45" i="12709"/>
  <c r="M43" i="13017" l="1"/>
  <c r="S43" i="13017" s="1"/>
  <c r="U43" i="13017" s="1"/>
  <c r="S58" i="13016"/>
  <c r="U58" i="13016" s="1"/>
  <c r="S43" i="13014"/>
  <c r="U43" i="13014" s="1"/>
  <c r="S45" i="12711"/>
  <c r="T45" i="12711" s="1"/>
  <c r="T64" i="12711"/>
  <c r="T199" i="12711" s="1"/>
  <c r="P45" i="12709"/>
  <c r="H13" i="12858"/>
  <c r="K13" i="12858" s="1"/>
  <c r="D13" i="12858"/>
  <c r="J13" i="12858" s="1"/>
  <c r="M13" i="12858" s="1"/>
  <c r="T129" i="12711" l="1"/>
  <c r="H86" i="12709" l="1"/>
  <c r="H177" i="12709" s="1"/>
  <c r="H1050" i="12908"/>
  <c r="AE1050" i="13034" s="1"/>
  <c r="H1054" i="12908" l="1"/>
  <c r="H978" i="12908"/>
  <c r="Q86" i="12711"/>
  <c r="Q176" i="12711" s="1"/>
  <c r="I86" i="12709"/>
  <c r="I177" i="12709" s="1"/>
  <c r="Z31" i="12786" l="1"/>
  <c r="AE978" i="13034"/>
  <c r="O63" i="12910"/>
  <c r="AE1054" i="13034"/>
  <c r="H982" i="12908"/>
  <c r="L86" i="12709"/>
  <c r="L177" i="12709" s="1"/>
  <c r="Z32" i="12786" l="1"/>
  <c r="AE982" i="13034"/>
  <c r="M86" i="12709"/>
  <c r="S86" i="12711" s="1"/>
  <c r="Z33" i="12786"/>
  <c r="H89" i="12709" l="1"/>
  <c r="H181" i="12709" s="1"/>
  <c r="H2539" i="12908"/>
  <c r="H94" i="12709"/>
  <c r="H194" i="12709" s="1"/>
  <c r="H88" i="12709"/>
  <c r="H180" i="12709" s="1"/>
  <c r="H955" i="12908"/>
  <c r="AE955" i="13034" s="1"/>
  <c r="H91" i="12709"/>
  <c r="H185" i="12709" s="1"/>
  <c r="H92" i="12709"/>
  <c r="H186" i="12709" s="1"/>
  <c r="H98" i="12709"/>
  <c r="H199" i="12709" s="1"/>
  <c r="E16" i="6"/>
  <c r="F16" i="6" s="1"/>
  <c r="H90" i="12709"/>
  <c r="H182" i="12709" s="1"/>
  <c r="H93" i="12709"/>
  <c r="H193" i="12709" s="1"/>
  <c r="H1554" i="12908"/>
  <c r="AE1554" i="13034" s="1"/>
  <c r="O75" i="12910" l="1"/>
  <c r="AE2539" i="13034"/>
  <c r="H1557" i="12908"/>
  <c r="H958" i="12908"/>
  <c r="H901" i="12908"/>
  <c r="AE901" i="13034" s="1"/>
  <c r="Q90" i="12711"/>
  <c r="Q181" i="12711" s="1"/>
  <c r="Q94" i="12711"/>
  <c r="Q193" i="12711" s="1"/>
  <c r="Q92" i="12711"/>
  <c r="Q185" i="12711" s="1"/>
  <c r="Q89" i="12711"/>
  <c r="Q180" i="12711" s="1"/>
  <c r="Q93" i="12711"/>
  <c r="Q192" i="12711" s="1"/>
  <c r="Q91" i="12711"/>
  <c r="Q184" i="12711" s="1"/>
  <c r="Q98" i="12711"/>
  <c r="Q198" i="12711" s="1"/>
  <c r="L95" i="12709"/>
  <c r="L195" i="12709" s="1"/>
  <c r="Q88" i="12711"/>
  <c r="Q179" i="12711" s="1"/>
  <c r="L90" i="12709"/>
  <c r="L91" i="12709"/>
  <c r="L185" i="12709" s="1"/>
  <c r="I98" i="12709"/>
  <c r="I199" i="12709" s="1"/>
  <c r="I92" i="12709"/>
  <c r="I186" i="12709" s="1"/>
  <c r="I89" i="12709"/>
  <c r="I181" i="12709" s="1"/>
  <c r="I90" i="12709"/>
  <c r="I182" i="12709" s="1"/>
  <c r="L98" i="12709"/>
  <c r="L199" i="12709" s="1"/>
  <c r="R15" i="12761"/>
  <c r="M12" i="12762"/>
  <c r="H96" i="12709"/>
  <c r="H196" i="12709" s="1"/>
  <c r="R96" i="12709"/>
  <c r="I93" i="12709"/>
  <c r="I193" i="12709" s="1"/>
  <c r="E17" i="6"/>
  <c r="F17" i="6" s="1"/>
  <c r="R95" i="12709"/>
  <c r="H95" i="12709"/>
  <c r="H195" i="12709" s="1"/>
  <c r="R98" i="12709"/>
  <c r="E18" i="6"/>
  <c r="F18" i="6" s="1"/>
  <c r="I88" i="12709"/>
  <c r="I180" i="12709" s="1"/>
  <c r="I91" i="12709"/>
  <c r="I185" i="12709" s="1"/>
  <c r="I94" i="12709"/>
  <c r="I194" i="12709" s="1"/>
  <c r="O65" i="12910" l="1"/>
  <c r="AE958" i="13034"/>
  <c r="M13" i="12762"/>
  <c r="M14" i="12762" s="1"/>
  <c r="AE1557" i="13034"/>
  <c r="M91" i="12709"/>
  <c r="M185" i="12709" s="1"/>
  <c r="M95" i="12709"/>
  <c r="M195" i="12709" s="1"/>
  <c r="M98" i="12709"/>
  <c r="M199" i="12709" s="1"/>
  <c r="M90" i="12709"/>
  <c r="S90" i="12711" s="1"/>
  <c r="T41" i="12763"/>
  <c r="T40" i="12763"/>
  <c r="AE9" i="12785"/>
  <c r="AE10" i="12785" s="1"/>
  <c r="H904" i="12908"/>
  <c r="AE904" i="13034" s="1"/>
  <c r="Q95" i="12711"/>
  <c r="Q194" i="12711" s="1"/>
  <c r="Q96" i="12711"/>
  <c r="Q195" i="12711" s="1"/>
  <c r="L96" i="12709"/>
  <c r="L196" i="12709" s="1"/>
  <c r="L92" i="12709"/>
  <c r="L186" i="12709" s="1"/>
  <c r="I95" i="12709"/>
  <c r="I195" i="12709" s="1"/>
  <c r="E115" i="12709"/>
  <c r="E157" i="12709" s="1"/>
  <c r="E209" i="12709" s="1"/>
  <c r="R102" i="12709"/>
  <c r="I96" i="12709"/>
  <c r="I196" i="12709" s="1"/>
  <c r="L88" i="12709"/>
  <c r="L180" i="12709" s="1"/>
  <c r="S95" i="12711" l="1"/>
  <c r="S194" i="12711" s="1"/>
  <c r="S98" i="12711"/>
  <c r="S198" i="12711" s="1"/>
  <c r="S91" i="12711"/>
  <c r="S184" i="12711" s="1"/>
  <c r="M92" i="12709"/>
  <c r="S92" i="12711" s="1"/>
  <c r="M88" i="12709"/>
  <c r="M180" i="12709" s="1"/>
  <c r="M96" i="12709"/>
  <c r="M196" i="12709" s="1"/>
  <c r="T42" i="12763"/>
  <c r="R115" i="12709"/>
  <c r="R16" i="12761"/>
  <c r="R17" i="12761" s="1"/>
  <c r="Q152" i="12711"/>
  <c r="Q206" i="12711" s="1"/>
  <c r="S88" i="12711" l="1"/>
  <c r="S179" i="12711" s="1"/>
  <c r="S96" i="12711"/>
  <c r="S195" i="12711" s="1"/>
  <c r="R157" i="12709"/>
  <c r="Q156" i="12711"/>
  <c r="T152" i="12711" l="1"/>
  <c r="H14" i="12858" l="1"/>
  <c r="K14" i="12858" s="1"/>
  <c r="D14" i="12858"/>
  <c r="J14" i="12858" s="1"/>
  <c r="M14" i="12858" s="1"/>
  <c r="D12" i="12858" l="1"/>
  <c r="J12" i="12858" s="1"/>
  <c r="M12" i="12858" s="1"/>
  <c r="H12" i="12858"/>
  <c r="K12" i="12858" s="1"/>
  <c r="T111" i="12711" l="1"/>
  <c r="T206" i="12711" s="1"/>
  <c r="Q46" i="12709" l="1"/>
  <c r="F67" i="12709"/>
  <c r="H46" i="12709"/>
  <c r="Q67" i="12709" l="1"/>
  <c r="H1476" i="12908"/>
  <c r="AE1476" i="13034" s="1"/>
  <c r="F80" i="12709"/>
  <c r="Q46" i="12711"/>
  <c r="I46" i="12709"/>
  <c r="H67" i="12709"/>
  <c r="H80" i="12709" s="1"/>
  <c r="O44" i="12910" l="1"/>
  <c r="O57" i="12910" s="1"/>
  <c r="L55" i="12709"/>
  <c r="L184" i="12709" s="1"/>
  <c r="S24" i="12780"/>
  <c r="S25" i="12780" s="1"/>
  <c r="C14" i="6"/>
  <c r="E14" i="6" s="1"/>
  <c r="F14" i="6" s="1"/>
  <c r="Q67" i="12711"/>
  <c r="Q80" i="12711" s="1"/>
  <c r="Q80" i="12709"/>
  <c r="I67" i="12709"/>
  <c r="M55" i="12709" l="1"/>
  <c r="M184" i="12709" s="1"/>
  <c r="I80" i="12709"/>
  <c r="B10" i="12858" s="1"/>
  <c r="E20" i="12858" s="1"/>
  <c r="S55" i="12711" l="1"/>
  <c r="S183" i="12711" s="1"/>
  <c r="W46" i="12711"/>
  <c r="J80" i="12711"/>
  <c r="C10" i="12858" s="1"/>
  <c r="L46" i="12711"/>
  <c r="I10" i="12858" l="1"/>
  <c r="L10" i="12858" s="1"/>
  <c r="F20" i="12858"/>
  <c r="C15" i="12715"/>
  <c r="D15" i="12715" s="1"/>
  <c r="L67" i="12711"/>
  <c r="V67" i="12711" s="1"/>
  <c r="W80" i="12711"/>
  <c r="W67" i="12711"/>
  <c r="V46" i="12711"/>
  <c r="I20" i="12858" l="1"/>
  <c r="L20" i="12858" s="1"/>
  <c r="G20" i="12858"/>
  <c r="L80" i="12711"/>
  <c r="V80" i="12711" l="1"/>
  <c r="E15" i="12715"/>
  <c r="F15" i="12715" s="1"/>
  <c r="H15" i="12715" s="1"/>
  <c r="W84" i="12711"/>
  <c r="L84" i="12711"/>
  <c r="L174" i="12711" s="1"/>
  <c r="J83" i="12711"/>
  <c r="J173" i="12711" s="1"/>
  <c r="J205" i="12711" s="1"/>
  <c r="J207" i="12711" s="1"/>
  <c r="V84" i="12711" l="1"/>
  <c r="V174" i="12711"/>
  <c r="J102" i="12711"/>
  <c r="W102" i="12711" s="1"/>
  <c r="C749" i="12908"/>
  <c r="W83" i="12711"/>
  <c r="C686" i="12908" l="1"/>
  <c r="Z686" i="13034" s="1"/>
  <c r="Z749" i="13034"/>
  <c r="K10" i="12856"/>
  <c r="K18" i="12856" s="1"/>
  <c r="C690" i="12908"/>
  <c r="Z690" i="13034" s="1"/>
  <c r="C753" i="12908"/>
  <c r="Z753" i="13034" s="1"/>
  <c r="W205" i="12711"/>
  <c r="J115" i="12711"/>
  <c r="C11" i="12858" s="1"/>
  <c r="F21" i="12858" s="1"/>
  <c r="W173" i="12711"/>
  <c r="D739" i="12908" l="1"/>
  <c r="AA739" i="13034" s="1"/>
  <c r="D740" i="12908"/>
  <c r="AA740" i="13034" s="1"/>
  <c r="D738" i="12908"/>
  <c r="AA738" i="13034" s="1"/>
  <c r="K60" i="12910"/>
  <c r="D366" i="12908"/>
  <c r="AA366" i="13034" s="1"/>
  <c r="C2677" i="12908"/>
  <c r="Z2677" i="13034" s="1"/>
  <c r="F25" i="12858"/>
  <c r="I21" i="12858"/>
  <c r="D752" i="12908"/>
  <c r="AA752" i="13034" s="1"/>
  <c r="D748" i="12908"/>
  <c r="AA748" i="13034" s="1"/>
  <c r="D745" i="12908"/>
  <c r="D743" i="12908"/>
  <c r="AA743" i="13034" s="1"/>
  <c r="D744" i="12908"/>
  <c r="AA744" i="13034" s="1"/>
  <c r="H195" i="12908"/>
  <c r="AE195" i="13034" s="1"/>
  <c r="C16" i="12715"/>
  <c r="J157" i="12711"/>
  <c r="W115" i="12711"/>
  <c r="M83" i="12711"/>
  <c r="M173" i="12711" s="1"/>
  <c r="Y745" i="12908" l="1"/>
  <c r="AV745" i="13034" s="1"/>
  <c r="AA745" i="13034"/>
  <c r="D353" i="12908"/>
  <c r="AA353" i="13034" s="1"/>
  <c r="D352" i="12908"/>
  <c r="AA352" i="13034" s="1"/>
  <c r="D351" i="12908"/>
  <c r="AA351" i="13034" s="1"/>
  <c r="U738" i="12908"/>
  <c r="AR738" i="13034" s="1"/>
  <c r="W738" i="12908"/>
  <c r="Y748" i="12908"/>
  <c r="AV748" i="13034" s="1"/>
  <c r="D346" i="12908"/>
  <c r="AA346" i="13034" s="1"/>
  <c r="D361" i="12908"/>
  <c r="D357" i="12908"/>
  <c r="AA357" i="13034" s="1"/>
  <c r="D355" i="12908"/>
  <c r="AA355" i="13034" s="1"/>
  <c r="D359" i="12908"/>
  <c r="AA359" i="13034" s="1"/>
  <c r="D365" i="12908"/>
  <c r="D356" i="12908"/>
  <c r="AA356" i="13034" s="1"/>
  <c r="D742" i="12908"/>
  <c r="AA742" i="13034" s="1"/>
  <c r="L21" i="12858"/>
  <c r="I25" i="12858"/>
  <c r="L25" i="12858" s="1"/>
  <c r="W157" i="12711"/>
  <c r="J208" i="12711"/>
  <c r="C22" i="12715"/>
  <c r="D16" i="12715"/>
  <c r="N83" i="12711"/>
  <c r="N173" i="12711" s="1"/>
  <c r="H222" i="12908"/>
  <c r="AE222" i="13034" s="1"/>
  <c r="D682" i="12908"/>
  <c r="AA682" i="13034" s="1"/>
  <c r="I745" i="12908"/>
  <c r="AF745" i="13034" s="1"/>
  <c r="D675" i="12908"/>
  <c r="I738" i="12908"/>
  <c r="AF738" i="13034" s="1"/>
  <c r="D685" i="12908"/>
  <c r="AA685" i="13034" s="1"/>
  <c r="I748" i="12908"/>
  <c r="AF748" i="13034" s="1"/>
  <c r="D680" i="12908"/>
  <c r="AA680" i="13034" s="1"/>
  <c r="I743" i="12908"/>
  <c r="AF743" i="13034" s="1"/>
  <c r="D681" i="12908"/>
  <c r="AA681" i="13034" s="1"/>
  <c r="I744" i="12908"/>
  <c r="AF744" i="13034" s="1"/>
  <c r="D689" i="12908"/>
  <c r="AA689" i="13034" s="1"/>
  <c r="D747" i="12908"/>
  <c r="AA747" i="13034" s="1"/>
  <c r="L83" i="12711"/>
  <c r="L173" i="12711" s="1"/>
  <c r="AB671" i="12908" l="1"/>
  <c r="AA675" i="13034"/>
  <c r="AT738" i="13034"/>
  <c r="AI738" i="13015"/>
  <c r="D257" i="12908"/>
  <c r="AA257" i="13034" s="1"/>
  <c r="AA365" i="13034"/>
  <c r="Y361" i="12908"/>
  <c r="AV361" i="13034" s="1"/>
  <c r="AA361" i="13034"/>
  <c r="Y682" i="12908"/>
  <c r="AV682" i="13034" s="1"/>
  <c r="AC671" i="12908"/>
  <c r="AD671" i="12908" s="1"/>
  <c r="B12" i="13006"/>
  <c r="W351" i="12908"/>
  <c r="U351" i="12908"/>
  <c r="AR351" i="13034" s="1"/>
  <c r="D679" i="12908"/>
  <c r="AA679" i="13034" s="1"/>
  <c r="K253" i="12908"/>
  <c r="AH253" i="13034" s="1"/>
  <c r="Y685" i="12908"/>
  <c r="AV685" i="13034" s="1"/>
  <c r="D354" i="12908"/>
  <c r="AA354" i="13034" s="1"/>
  <c r="D360" i="12908"/>
  <c r="I356" i="12908"/>
  <c r="AF356" i="13034" s="1"/>
  <c r="D248" i="12908"/>
  <c r="D247" i="12908"/>
  <c r="AA247" i="13034" s="1"/>
  <c r="I351" i="12908"/>
  <c r="AF351" i="13034" s="1"/>
  <c r="D243" i="12908"/>
  <c r="AA243" i="13034" s="1"/>
  <c r="I357" i="12908"/>
  <c r="AF357" i="13034" s="1"/>
  <c r="D249" i="12908"/>
  <c r="D335" i="12908"/>
  <c r="AA335" i="13034" s="1"/>
  <c r="D340" i="12908"/>
  <c r="AA340" i="13034" s="1"/>
  <c r="D339" i="12908"/>
  <c r="AA339" i="13034" s="1"/>
  <c r="D334" i="12908"/>
  <c r="AA334" i="13034" s="1"/>
  <c r="D338" i="12908"/>
  <c r="AA338" i="13034" s="1"/>
  <c r="D343" i="12908"/>
  <c r="AA343" i="13034" s="1"/>
  <c r="D341" i="12908"/>
  <c r="AA341" i="13034" s="1"/>
  <c r="D342" i="12908"/>
  <c r="AA342" i="13034" s="1"/>
  <c r="D336" i="12908"/>
  <c r="AA336" i="13034" s="1"/>
  <c r="D337" i="12908"/>
  <c r="AA337" i="13034" s="1"/>
  <c r="I359" i="12908"/>
  <c r="AF359" i="13034" s="1"/>
  <c r="D251" i="12908"/>
  <c r="AA251" i="13034" s="1"/>
  <c r="I361" i="12908"/>
  <c r="AF361" i="13034" s="1"/>
  <c r="D253" i="12908"/>
  <c r="D741" i="12908"/>
  <c r="AA741" i="13034" s="1"/>
  <c r="K31" i="12910"/>
  <c r="O19" i="12910"/>
  <c r="O31" i="12910" s="1"/>
  <c r="D22" i="12715"/>
  <c r="U26" i="12756"/>
  <c r="U27" i="12756" s="1"/>
  <c r="L17" i="12709"/>
  <c r="L173" i="12709" s="1"/>
  <c r="I681" i="12908"/>
  <c r="AF681" i="13034" s="1"/>
  <c r="I685" i="12908"/>
  <c r="AF685" i="13034" s="1"/>
  <c r="I682" i="12908"/>
  <c r="AF682" i="13034" s="1"/>
  <c r="I680" i="12908"/>
  <c r="AF680" i="13034" s="1"/>
  <c r="I675" i="12908"/>
  <c r="AF675" i="13034" s="1"/>
  <c r="D684" i="12908"/>
  <c r="AA684" i="13034" s="1"/>
  <c r="I747" i="12908"/>
  <c r="AF747" i="13034" s="1"/>
  <c r="D746" i="12908"/>
  <c r="AA746" i="13034" s="1"/>
  <c r="V83" i="12711"/>
  <c r="I248" i="12908" l="1"/>
  <c r="AF248" i="13034" s="1"/>
  <c r="AA248" i="13034"/>
  <c r="AT351" i="13034"/>
  <c r="AI351" i="13015"/>
  <c r="Y253" i="12908"/>
  <c r="AV253" i="13034" s="1"/>
  <c r="AA253" i="13034"/>
  <c r="D252" i="12908"/>
  <c r="AA360" i="13034"/>
  <c r="I249" i="12908"/>
  <c r="AF249" i="13034" s="1"/>
  <c r="AA249" i="13034"/>
  <c r="C12" i="13006"/>
  <c r="C13" i="13006" s="1"/>
  <c r="C15" i="13006" s="1"/>
  <c r="B13" i="13006"/>
  <c r="B15" i="13006" s="1"/>
  <c r="U685" i="12908"/>
  <c r="AR685" i="13034" s="1"/>
  <c r="S682" i="12908"/>
  <c r="Y338" i="12908"/>
  <c r="AV338" i="13034" s="1"/>
  <c r="S338" i="12908"/>
  <c r="AP338" i="13034" s="1"/>
  <c r="S253" i="12908"/>
  <c r="AP253" i="13034" s="1"/>
  <c r="Y342" i="12908"/>
  <c r="AV342" i="13034" s="1"/>
  <c r="U342" i="12908"/>
  <c r="AR342" i="13034" s="1"/>
  <c r="W342" i="12908"/>
  <c r="S342" i="12908"/>
  <c r="AP342" i="13034" s="1"/>
  <c r="Y341" i="12908"/>
  <c r="AV341" i="13034" s="1"/>
  <c r="S341" i="12908"/>
  <c r="AP341" i="13034" s="1"/>
  <c r="Y339" i="12908"/>
  <c r="AV339" i="13034" s="1"/>
  <c r="S339" i="12908"/>
  <c r="AP339" i="13034" s="1"/>
  <c r="Y343" i="12908"/>
  <c r="AV343" i="13034" s="1"/>
  <c r="S343" i="12908"/>
  <c r="AP343" i="13034" s="1"/>
  <c r="Y340" i="12908"/>
  <c r="AV340" i="13034" s="1"/>
  <c r="S340" i="12908"/>
  <c r="AP340" i="13034" s="1"/>
  <c r="U243" i="12908"/>
  <c r="AR243" i="13034" s="1"/>
  <c r="W243" i="12908"/>
  <c r="K727" i="12908"/>
  <c r="AH727" i="13034" s="1"/>
  <c r="K748" i="12908"/>
  <c r="AH748" i="13034" s="1"/>
  <c r="K706" i="12908"/>
  <c r="AH706" i="13034" s="1"/>
  <c r="D676" i="12908"/>
  <c r="AA676" i="13034" s="1"/>
  <c r="K289" i="12908"/>
  <c r="AH289" i="13034" s="1"/>
  <c r="K361" i="12908"/>
  <c r="AH361" i="13034" s="1"/>
  <c r="K325" i="12908"/>
  <c r="AH325" i="13034" s="1"/>
  <c r="D246" i="12908"/>
  <c r="AA246" i="13034" s="1"/>
  <c r="I360" i="12908"/>
  <c r="D258" i="12908"/>
  <c r="AA258" i="13034" s="1"/>
  <c r="I251" i="12908"/>
  <c r="AF251" i="13034" s="1"/>
  <c r="D358" i="12908"/>
  <c r="D234" i="12908"/>
  <c r="AA234" i="13034" s="1"/>
  <c r="D226" i="12908"/>
  <c r="AA226" i="13034" s="1"/>
  <c r="D228" i="12908"/>
  <c r="AA228" i="13034" s="1"/>
  <c r="I253" i="12908"/>
  <c r="AF253" i="13034" s="1"/>
  <c r="D233" i="12908"/>
  <c r="AA233" i="13034" s="1"/>
  <c r="D231" i="12908"/>
  <c r="AA231" i="13034" s="1"/>
  <c r="D230" i="12908"/>
  <c r="AA230" i="13034" s="1"/>
  <c r="D227" i="12908"/>
  <c r="AA227" i="13034" s="1"/>
  <c r="D245" i="12908"/>
  <c r="AA245" i="13034" s="1"/>
  <c r="D229" i="12908"/>
  <c r="AA229" i="13034" s="1"/>
  <c r="D235" i="12908"/>
  <c r="AA235" i="13034" s="1"/>
  <c r="D232" i="12908"/>
  <c r="AA232" i="13034" s="1"/>
  <c r="I243" i="12908"/>
  <c r="AF243" i="13034" s="1"/>
  <c r="D678" i="12908"/>
  <c r="AA678" i="13034" s="1"/>
  <c r="D677" i="12908"/>
  <c r="AA677" i="13034" s="1"/>
  <c r="L29" i="12709"/>
  <c r="L42" i="12709" s="1"/>
  <c r="M17" i="12709"/>
  <c r="M173" i="12709" s="1"/>
  <c r="I684" i="12908"/>
  <c r="AF684" i="13034" s="1"/>
  <c r="D683" i="12908"/>
  <c r="AA683" i="13034" s="1"/>
  <c r="I746" i="12908"/>
  <c r="AF746" i="13034" s="1"/>
  <c r="D9" i="12858"/>
  <c r="J9" i="12858" s="1"/>
  <c r="M9" i="12858" s="1"/>
  <c r="H9" i="12858"/>
  <c r="K9" i="12858" s="1"/>
  <c r="V173" i="12711"/>
  <c r="I363" i="12908" l="1"/>
  <c r="AF363" i="13034" s="1"/>
  <c r="AF360" i="13034"/>
  <c r="AT342" i="13034"/>
  <c r="AI342" i="13015"/>
  <c r="Y358" i="12908"/>
  <c r="AV358" i="13034" s="1"/>
  <c r="AA358" i="13034"/>
  <c r="AT243" i="13034"/>
  <c r="AI243" i="13015"/>
  <c r="W682" i="12908"/>
  <c r="AP682" i="13034"/>
  <c r="I252" i="12908"/>
  <c r="AF252" i="13034" s="1"/>
  <c r="AA252" i="13034"/>
  <c r="W685" i="12908"/>
  <c r="K2550" i="12908"/>
  <c r="B22" i="13006"/>
  <c r="B35" i="13006"/>
  <c r="K2551" i="12908"/>
  <c r="C35" i="13006"/>
  <c r="C22" i="13006"/>
  <c r="S289" i="12908"/>
  <c r="AP289" i="13034" s="1"/>
  <c r="S727" i="12908"/>
  <c r="AP727" i="13034" s="1"/>
  <c r="S325" i="12908"/>
  <c r="AP325" i="13034" s="1"/>
  <c r="S706" i="12908"/>
  <c r="AP706" i="13034" s="1"/>
  <c r="S361" i="12908"/>
  <c r="AP361" i="13034" s="1"/>
  <c r="S748" i="12908"/>
  <c r="AP748" i="13034" s="1"/>
  <c r="Y233" i="12908"/>
  <c r="AV233" i="13034" s="1"/>
  <c r="S233" i="12908"/>
  <c r="AP233" i="13034" s="1"/>
  <c r="W234" i="12908"/>
  <c r="S234" i="12908"/>
  <c r="AP234" i="13034" s="1"/>
  <c r="U234" i="12908"/>
  <c r="AR234" i="13034" s="1"/>
  <c r="Y234" i="12908"/>
  <c r="AV234" i="13034" s="1"/>
  <c r="Y232" i="12908"/>
  <c r="AV232" i="13034" s="1"/>
  <c r="S232" i="12908"/>
  <c r="AP232" i="13034" s="1"/>
  <c r="Y235" i="12908"/>
  <c r="AV235" i="13034" s="1"/>
  <c r="S235" i="12908"/>
  <c r="AP235" i="13034" s="1"/>
  <c r="Y230" i="12908"/>
  <c r="AV230" i="13034" s="1"/>
  <c r="S230" i="12908"/>
  <c r="AP230" i="13034" s="1"/>
  <c r="Y231" i="12908"/>
  <c r="AV231" i="13034" s="1"/>
  <c r="S231" i="12908"/>
  <c r="AP231" i="13034" s="1"/>
  <c r="I255" i="12908"/>
  <c r="AF255" i="13034" s="1"/>
  <c r="D244" i="12908"/>
  <c r="AA244" i="13034" s="1"/>
  <c r="I358" i="12908"/>
  <c r="D250" i="12908"/>
  <c r="D238" i="12908"/>
  <c r="AA238" i="13034" s="1"/>
  <c r="S17" i="12711"/>
  <c r="S172" i="12711" s="1"/>
  <c r="I750" i="12908"/>
  <c r="D690" i="12908"/>
  <c r="AA690" i="13034" s="1"/>
  <c r="I683" i="12908"/>
  <c r="AF683" i="13034" s="1"/>
  <c r="Q84" i="12709"/>
  <c r="H84" i="12709"/>
  <c r="H175" i="12709" s="1"/>
  <c r="F83" i="12709"/>
  <c r="F174" i="12709" s="1"/>
  <c r="F206" i="12709" s="1"/>
  <c r="F208" i="12709" s="1"/>
  <c r="AT234" i="13034" l="1"/>
  <c r="AI234" i="13015"/>
  <c r="Y250" i="12908"/>
  <c r="AV250" i="13034" s="1"/>
  <c r="AA250" i="13034"/>
  <c r="I753" i="12908"/>
  <c r="AF753" i="13034" s="1"/>
  <c r="AF750" i="13034"/>
  <c r="I366" i="12908"/>
  <c r="AF366" i="13034" s="1"/>
  <c r="AF358" i="13034"/>
  <c r="AH2550" i="13034"/>
  <c r="Q2550" i="12908"/>
  <c r="AN2550" i="13034" s="1"/>
  <c r="AH2551" i="13034"/>
  <c r="Q2551" i="12908"/>
  <c r="AN2551" i="13034" s="1"/>
  <c r="AT685" i="13034"/>
  <c r="AI685" i="13015"/>
  <c r="AT682" i="13034"/>
  <c r="AI682" i="13015"/>
  <c r="I23" i="13016"/>
  <c r="I23" i="12989"/>
  <c r="I23" i="13005"/>
  <c r="I250" i="12908"/>
  <c r="N83" i="12709"/>
  <c r="N174" i="12709" s="1"/>
  <c r="Q60" i="12910"/>
  <c r="I687" i="12908"/>
  <c r="AF687" i="13034" s="1"/>
  <c r="Q84" i="12711"/>
  <c r="Q174" i="12711" s="1"/>
  <c r="F102" i="12709"/>
  <c r="I84" i="12709"/>
  <c r="I175" i="12709" s="1"/>
  <c r="Q83" i="12709"/>
  <c r="H83" i="12709"/>
  <c r="H174" i="12709" s="1"/>
  <c r="H206" i="12709" s="1"/>
  <c r="H208" i="12709" s="1"/>
  <c r="H749" i="12908"/>
  <c r="AE749" i="13034" s="1"/>
  <c r="I258" i="12908" l="1"/>
  <c r="AF258" i="13034" s="1"/>
  <c r="AF250" i="13034"/>
  <c r="I19" i="13007"/>
  <c r="I19" i="13017"/>
  <c r="I19" i="13014"/>
  <c r="I690" i="12908"/>
  <c r="H753" i="12908"/>
  <c r="H686" i="12908"/>
  <c r="AE686" i="13034" s="1"/>
  <c r="H102" i="12709"/>
  <c r="H115" i="12709" s="1"/>
  <c r="H157" i="12709" s="1"/>
  <c r="H209" i="12709" s="1"/>
  <c r="Q102" i="12709"/>
  <c r="F115" i="12709"/>
  <c r="Q206" i="12709"/>
  <c r="Q174" i="12709"/>
  <c r="I83" i="12709"/>
  <c r="I174" i="12709" s="1"/>
  <c r="I206" i="12709" s="1"/>
  <c r="I208" i="12709" s="1"/>
  <c r="Q83" i="12711"/>
  <c r="Q173" i="12711" s="1"/>
  <c r="Q205" i="12711" s="1"/>
  <c r="Q207" i="12711" s="1"/>
  <c r="K23" i="12989" l="1"/>
  <c r="AF690" i="13034"/>
  <c r="O60" i="12910"/>
  <c r="O80" i="12910" s="1"/>
  <c r="O98" i="12910" s="1"/>
  <c r="I12" i="12856" s="1"/>
  <c r="AE753" i="13034"/>
  <c r="X42" i="12777"/>
  <c r="L10" i="12856"/>
  <c r="L19" i="12856" s="1"/>
  <c r="H690" i="12908"/>
  <c r="AE690" i="13034" s="1"/>
  <c r="C15" i="6"/>
  <c r="F157" i="12709"/>
  <c r="F209" i="12709" s="1"/>
  <c r="I102" i="12709"/>
  <c r="K80" i="12910"/>
  <c r="L83" i="12709"/>
  <c r="L174" i="12709" s="1"/>
  <c r="Q115" i="12709"/>
  <c r="Q102" i="12711"/>
  <c r="Q115" i="12711" s="1"/>
  <c r="Q157" i="12711" s="1"/>
  <c r="Q208" i="12711" s="1"/>
  <c r="X43" i="12777" l="1"/>
  <c r="X44" i="12777" s="1"/>
  <c r="H2677" i="12908"/>
  <c r="M83" i="12709"/>
  <c r="M174" i="12709" s="1"/>
  <c r="Q157" i="12709"/>
  <c r="L102" i="12709"/>
  <c r="C21" i="6"/>
  <c r="E15" i="6"/>
  <c r="I115" i="12709"/>
  <c r="B11" i="12858" s="1"/>
  <c r="E21" i="12858" s="1"/>
  <c r="I10" i="12856" l="1"/>
  <c r="AE2677" i="13034"/>
  <c r="G21" i="12858"/>
  <c r="E25" i="12858"/>
  <c r="G25" i="12858" s="1"/>
  <c r="I18" i="12856"/>
  <c r="S83" i="12711"/>
  <c r="S173" i="12711" s="1"/>
  <c r="I157" i="12709"/>
  <c r="I209" i="12709" s="1"/>
  <c r="L115" i="12709"/>
  <c r="E21" i="6"/>
  <c r="F15" i="6"/>
  <c r="F21" i="6" l="1"/>
  <c r="M96" i="12711" l="1"/>
  <c r="M195" i="12711" s="1"/>
  <c r="M205" i="12711" s="1"/>
  <c r="M207" i="12711" s="1"/>
  <c r="K57" i="12910"/>
  <c r="M81" i="12711" s="1"/>
  <c r="L53" i="12709"/>
  <c r="L182" i="12709" s="1"/>
  <c r="L206" i="12709" s="1"/>
  <c r="L208" i="12709" s="1"/>
  <c r="M53" i="12709" l="1"/>
  <c r="M182" i="12709" s="1"/>
  <c r="N96" i="12711"/>
  <c r="N195" i="12711" s="1"/>
  <c r="N205" i="12711" s="1"/>
  <c r="N207" i="12711" s="1"/>
  <c r="K98" i="12910"/>
  <c r="L67" i="12709"/>
  <c r="M102" i="12711"/>
  <c r="L96" i="12711"/>
  <c r="L195" i="12711" s="1"/>
  <c r="L205" i="12711" s="1"/>
  <c r="L207" i="12711" s="1"/>
  <c r="F12" i="12856" l="1"/>
  <c r="S53" i="12711"/>
  <c r="S181" i="12711" s="1"/>
  <c r="N102" i="12711"/>
  <c r="N115" i="12711" s="1"/>
  <c r="L80" i="12709"/>
  <c r="L157" i="12709" s="1"/>
  <c r="L209" i="12709" s="1"/>
  <c r="M115" i="12711"/>
  <c r="F10" i="12856"/>
  <c r="V96" i="12711"/>
  <c r="L102" i="12711"/>
  <c r="F18" i="12856" l="1"/>
  <c r="N157" i="12711"/>
  <c r="N208" i="12711" s="1"/>
  <c r="G16" i="12715"/>
  <c r="G22" i="12715" s="1"/>
  <c r="C15" i="12858"/>
  <c r="M157" i="12711"/>
  <c r="M208" i="12711" s="1"/>
  <c r="D10" i="12858"/>
  <c r="J10" i="12858" s="1"/>
  <c r="M10" i="12858" s="1"/>
  <c r="V195" i="12711"/>
  <c r="V205" i="12711"/>
  <c r="V102" i="12711"/>
  <c r="L115" i="12711"/>
  <c r="I11" i="12858" l="1"/>
  <c r="L11" i="12858" s="1"/>
  <c r="E16" i="12715"/>
  <c r="F16" i="12715" s="1"/>
  <c r="H16" i="12715" s="1"/>
  <c r="H22" i="12715" s="1"/>
  <c r="G7" i="12856" s="1"/>
  <c r="L157" i="12711"/>
  <c r="L208" i="12711" s="1"/>
  <c r="I9" i="12856"/>
  <c r="F8" i="12856"/>
  <c r="H10" i="12858"/>
  <c r="K10" i="12858" s="1"/>
  <c r="V115" i="12711"/>
  <c r="F22" i="12715" l="1"/>
  <c r="F7" i="12856" s="1"/>
  <c r="E22" i="12715"/>
  <c r="I15" i="12858"/>
  <c r="L15" i="12858" s="1"/>
  <c r="V157" i="12711"/>
  <c r="B15" i="12858" l="1"/>
  <c r="D15" i="12858" s="1"/>
  <c r="J15" i="12858" s="1"/>
  <c r="M15" i="12858" s="1"/>
  <c r="H11" i="12858"/>
  <c r="D11" i="12858"/>
  <c r="J11" i="12858" s="1"/>
  <c r="M11" i="12858" s="1"/>
  <c r="H15" i="12858" l="1"/>
  <c r="K15" i="12858" s="1"/>
  <c r="K11" i="12858"/>
  <c r="J13" i="12709"/>
  <c r="J169" i="12709" s="1"/>
  <c r="P13" i="12709" l="1"/>
  <c r="R13" i="12711"/>
  <c r="R168" i="12711" s="1"/>
  <c r="P169" i="12709" l="1"/>
  <c r="J14" i="12709" l="1"/>
  <c r="J170" i="12709" s="1"/>
  <c r="P14" i="12709" l="1"/>
  <c r="R14" i="12711"/>
  <c r="R169" i="12711" s="1"/>
  <c r="P170" i="12709"/>
  <c r="J15" i="12709" l="1"/>
  <c r="J171" i="12709" s="1"/>
  <c r="R15" i="12711" l="1"/>
  <c r="R170" i="12711" s="1"/>
  <c r="P15" i="12709"/>
  <c r="T15" i="12711" l="1"/>
  <c r="T170" i="12711" s="1"/>
  <c r="P171" i="12709"/>
  <c r="J16" i="12709"/>
  <c r="J172" i="12709" s="1"/>
  <c r="P16" i="12709" l="1"/>
  <c r="R16" i="12711"/>
  <c r="T16" i="12711" l="1"/>
  <c r="T171" i="12711" s="1"/>
  <c r="R171" i="12711"/>
  <c r="P172" i="12709"/>
  <c r="J17" i="12709" l="1"/>
  <c r="J173" i="12709" s="1"/>
  <c r="P17" i="12709" l="1"/>
  <c r="R17" i="12711"/>
  <c r="R172" i="12711" s="1"/>
  <c r="T17" i="12711" l="1"/>
  <c r="T172" i="12711" s="1"/>
  <c r="P173" i="12709"/>
  <c r="J18" i="12709"/>
  <c r="R18" i="12711" l="1"/>
  <c r="P18" i="12709"/>
  <c r="T18" i="12711" l="1"/>
  <c r="J19" i="12709"/>
  <c r="R19" i="12711" l="1"/>
  <c r="P19" i="12709"/>
  <c r="T19" i="12711" l="1"/>
  <c r="J20" i="12709"/>
  <c r="P20" i="12709" l="1"/>
  <c r="R20" i="12711"/>
  <c r="T20" i="12711" s="1"/>
  <c r="J21" i="12709" l="1"/>
  <c r="J22" i="12709"/>
  <c r="R21" i="12711" l="1"/>
  <c r="R22" i="12711"/>
  <c r="P21" i="12709"/>
  <c r="P22" i="12709"/>
  <c r="T21" i="12711" l="1"/>
  <c r="T22" i="12711"/>
  <c r="J23" i="12709"/>
  <c r="P23" i="12709" l="1"/>
  <c r="R23" i="12711"/>
  <c r="T23" i="12711" l="1"/>
  <c r="J24" i="12709"/>
  <c r="R24" i="12711" l="1"/>
  <c r="T24" i="12711" s="1"/>
  <c r="P24" i="12709"/>
  <c r="J25" i="12709"/>
  <c r="R25" i="12711" l="1"/>
  <c r="P25" i="12709"/>
  <c r="T25" i="12711" l="1"/>
  <c r="J26" i="12709"/>
  <c r="P26" i="12709" l="1"/>
  <c r="R26" i="12711"/>
  <c r="T26" i="12711" l="1"/>
  <c r="J27" i="12709"/>
  <c r="R27" i="12711" l="1"/>
  <c r="P27" i="12709"/>
  <c r="K29" i="12709"/>
  <c r="K42" i="12709" s="1"/>
  <c r="J28" i="12709"/>
  <c r="T27" i="12711" l="1"/>
  <c r="R28" i="12711"/>
  <c r="J29" i="12709"/>
  <c r="P28" i="12709"/>
  <c r="T28" i="12711" l="1"/>
  <c r="R29" i="12711"/>
  <c r="R42" i="12711" s="1"/>
  <c r="P29" i="12709"/>
  <c r="J42" i="12709"/>
  <c r="G13" i="6" s="1"/>
  <c r="P42" i="12709" l="1"/>
  <c r="H13" i="6" l="1"/>
  <c r="J46" i="12709"/>
  <c r="R46" i="12711" l="1"/>
  <c r="P46" i="12709"/>
  <c r="J47" i="12709"/>
  <c r="J176" i="12709" s="1"/>
  <c r="T46" i="12711" l="1"/>
  <c r="R47" i="12711"/>
  <c r="P47" i="12709"/>
  <c r="P176" i="12709"/>
  <c r="T47" i="12711" l="1"/>
  <c r="T175" i="12711" s="1"/>
  <c r="R175" i="12711"/>
  <c r="J48" i="12709"/>
  <c r="R48" i="12711" l="1"/>
  <c r="P48" i="12709"/>
  <c r="J49" i="12709"/>
  <c r="R49" i="12711" l="1"/>
  <c r="P49" i="12709"/>
  <c r="T49" i="12711" l="1"/>
  <c r="J51" i="12709"/>
  <c r="R51" i="12711" l="1"/>
  <c r="P51" i="12709"/>
  <c r="J52" i="12709"/>
  <c r="T51" i="12711" l="1"/>
  <c r="R52" i="12711"/>
  <c r="P52" i="12709"/>
  <c r="J53" i="12709"/>
  <c r="T52" i="12711" l="1"/>
  <c r="R53" i="12711"/>
  <c r="P53" i="12709"/>
  <c r="T53" i="12711" l="1"/>
  <c r="J54" i="12709"/>
  <c r="J183" i="12709" s="1"/>
  <c r="R54" i="12711" l="1"/>
  <c r="P54" i="12709"/>
  <c r="P183" i="12709"/>
  <c r="T54" i="12711" l="1"/>
  <c r="T182" i="12711" s="1"/>
  <c r="R182" i="12711"/>
  <c r="J55" i="12709"/>
  <c r="J184" i="12709" s="1"/>
  <c r="P184" i="12709" l="1"/>
  <c r="P55" i="12709"/>
  <c r="R55" i="12711"/>
  <c r="R183" i="12711" s="1"/>
  <c r="J56" i="12709"/>
  <c r="T55" i="12711" l="1"/>
  <c r="T183" i="12711" s="1"/>
  <c r="R56" i="12711"/>
  <c r="P56" i="12709"/>
  <c r="T56" i="12711" l="1"/>
  <c r="J57" i="12709"/>
  <c r="R57" i="12711" l="1"/>
  <c r="P57" i="12709"/>
  <c r="J58" i="12709" l="1"/>
  <c r="R58" i="12711" l="1"/>
  <c r="P58" i="12709"/>
  <c r="J59" i="12709"/>
  <c r="T58" i="12711" l="1"/>
  <c r="P59" i="12709"/>
  <c r="R59" i="12711"/>
  <c r="J60" i="12709"/>
  <c r="T59" i="12711" l="1"/>
  <c r="P60" i="12709"/>
  <c r="R60" i="12711"/>
  <c r="J61" i="12709"/>
  <c r="T60" i="12711" l="1"/>
  <c r="R61" i="12711"/>
  <c r="P61" i="12709"/>
  <c r="T61" i="12711" l="1"/>
  <c r="J62" i="12709"/>
  <c r="J198" i="12709" s="1"/>
  <c r="R62" i="12711" l="1"/>
  <c r="R197" i="12711" s="1"/>
  <c r="P62" i="12709"/>
  <c r="T62" i="12711" l="1"/>
  <c r="T197" i="12711" s="1"/>
  <c r="J63" i="12709"/>
  <c r="R63" i="12711" l="1"/>
  <c r="P63" i="12709"/>
  <c r="K67" i="12709"/>
  <c r="K80" i="12709" s="1"/>
  <c r="J66" i="12709"/>
  <c r="J205" i="12709" s="1"/>
  <c r="T63" i="12711" l="1"/>
  <c r="R66" i="12711"/>
  <c r="J67" i="12709"/>
  <c r="J80" i="12709" s="1"/>
  <c r="G14" i="6" s="1"/>
  <c r="P66" i="12709"/>
  <c r="P205" i="12709"/>
  <c r="T66" i="12711" l="1"/>
  <c r="T204" i="12711" s="1"/>
  <c r="R204" i="12711"/>
  <c r="P67" i="12709"/>
  <c r="R67" i="12711"/>
  <c r="R80" i="12711" s="1"/>
  <c r="P80" i="12709"/>
  <c r="H14" i="6" l="1"/>
  <c r="J83" i="12709"/>
  <c r="J174" i="12709" s="1"/>
  <c r="P83" i="12709" l="1"/>
  <c r="R83" i="12711"/>
  <c r="P174" i="12709"/>
  <c r="T83" i="12711" l="1"/>
  <c r="T173" i="12711" s="1"/>
  <c r="R173" i="12711"/>
  <c r="J84" i="12709"/>
  <c r="J175" i="12709" s="1"/>
  <c r="P175" i="12709" l="1"/>
  <c r="R84" i="12711"/>
  <c r="P84" i="12709"/>
  <c r="T84" i="12711" l="1"/>
  <c r="T174" i="12711" s="1"/>
  <c r="R174" i="12711"/>
  <c r="J86" i="12709"/>
  <c r="J177" i="12709" s="1"/>
  <c r="R86" i="12711" l="1"/>
  <c r="P86" i="12709"/>
  <c r="T86" i="12711" l="1"/>
  <c r="R176" i="12711"/>
  <c r="P177" i="12709"/>
  <c r="J87" i="12709"/>
  <c r="J178" i="12709" s="1"/>
  <c r="R87" i="12711" l="1"/>
  <c r="R177" i="12711" s="1"/>
  <c r="P87" i="12709"/>
  <c r="T87" i="12711" l="1"/>
  <c r="T177" i="12711" s="1"/>
  <c r="P178" i="12709"/>
  <c r="J88" i="12709" l="1"/>
  <c r="J180" i="12709" s="1"/>
  <c r="P179" i="12709" l="1"/>
  <c r="P88" i="12709"/>
  <c r="R88" i="12711"/>
  <c r="R179" i="12711" s="1"/>
  <c r="T88" i="12711" l="1"/>
  <c r="T179" i="12711" s="1"/>
  <c r="P180" i="12709"/>
  <c r="J89" i="12709"/>
  <c r="P89" i="12709" l="1"/>
  <c r="R89" i="12711"/>
  <c r="J90" i="12709"/>
  <c r="J182" i="12709" s="1"/>
  <c r="P182" i="12709" l="1"/>
  <c r="R90" i="12711"/>
  <c r="R181" i="12711" s="1"/>
  <c r="P90" i="12709"/>
  <c r="T90" i="12711" l="1"/>
  <c r="T181" i="12711" s="1"/>
  <c r="J91" i="12709" l="1"/>
  <c r="J185" i="12709" s="1"/>
  <c r="R91" i="12711" l="1"/>
  <c r="P185" i="12709"/>
  <c r="P91" i="12709"/>
  <c r="T91" i="12711" l="1"/>
  <c r="T184" i="12711" s="1"/>
  <c r="R184" i="12711"/>
  <c r="J92" i="12709"/>
  <c r="J186" i="12709" s="1"/>
  <c r="R92" i="12711" l="1"/>
  <c r="P92" i="12709"/>
  <c r="P186" i="12709"/>
  <c r="T92" i="12711" l="1"/>
  <c r="R185" i="12711"/>
  <c r="J93" i="12709"/>
  <c r="P93" i="12709" l="1"/>
  <c r="R93" i="12711"/>
  <c r="J94" i="12709"/>
  <c r="T93" i="12711" l="1"/>
  <c r="P94" i="12709"/>
  <c r="R94" i="12711"/>
  <c r="J95" i="12709"/>
  <c r="J195" i="12709" s="1"/>
  <c r="T94" i="12711" l="1"/>
  <c r="P195" i="12709"/>
  <c r="R95" i="12711"/>
  <c r="P95" i="12709"/>
  <c r="T95" i="12711" l="1"/>
  <c r="T194" i="12711" s="1"/>
  <c r="R194" i="12711"/>
  <c r="J96" i="12709"/>
  <c r="J196" i="12709" s="1"/>
  <c r="P196" i="12709" l="1"/>
  <c r="R96" i="12711"/>
  <c r="P96" i="12709"/>
  <c r="T96" i="12711" l="1"/>
  <c r="T195" i="12711" s="1"/>
  <c r="R195" i="12711"/>
  <c r="J97" i="12709"/>
  <c r="J197" i="12709" s="1"/>
  <c r="P197" i="12709" l="1"/>
  <c r="R97" i="12711"/>
  <c r="P97" i="12709"/>
  <c r="T97" i="12711" l="1"/>
  <c r="T196" i="12711" s="1"/>
  <c r="R196" i="12711"/>
  <c r="J98" i="12709"/>
  <c r="J199" i="12709" s="1"/>
  <c r="R98" i="12711" l="1"/>
  <c r="P198" i="12709"/>
  <c r="P98" i="12709"/>
  <c r="P199" i="12709"/>
  <c r="T98" i="12711" l="1"/>
  <c r="T198" i="12711" s="1"/>
  <c r="R198" i="12711"/>
  <c r="J99" i="12709"/>
  <c r="J202" i="12709" s="1"/>
  <c r="P200" i="12709" l="1"/>
  <c r="P202" i="12709"/>
  <c r="G16" i="6"/>
  <c r="H16" i="6" s="1"/>
  <c r="J16" i="6" s="1"/>
  <c r="R99" i="12711"/>
  <c r="R201" i="12711" s="1"/>
  <c r="P99" i="12709"/>
  <c r="T99" i="12711" l="1"/>
  <c r="T201" i="12711" l="1"/>
  <c r="J100" i="12709"/>
  <c r="J203" i="12709" s="1"/>
  <c r="P201" i="12709" l="1"/>
  <c r="P100" i="12709"/>
  <c r="R100" i="12711"/>
  <c r="R202" i="12711" s="1"/>
  <c r="G17" i="6"/>
  <c r="H17" i="6" s="1"/>
  <c r="J17" i="6" s="1"/>
  <c r="P203" i="12709"/>
  <c r="T100" i="12711" l="1"/>
  <c r="T202" i="12711" l="1"/>
  <c r="K102" i="12709"/>
  <c r="K115" i="12709" s="1"/>
  <c r="J101" i="12709"/>
  <c r="J204" i="12709" s="1"/>
  <c r="J102" i="12709" l="1"/>
  <c r="J115" i="12709" s="1"/>
  <c r="P115" i="12709" s="1"/>
  <c r="P101" i="12709"/>
  <c r="G18" i="6"/>
  <c r="R101" i="12711"/>
  <c r="R203" i="12711" s="1"/>
  <c r="P204" i="12709"/>
  <c r="G15" i="6" l="1"/>
  <c r="H15" i="6" s="1"/>
  <c r="P102" i="12709"/>
  <c r="T101" i="12711"/>
  <c r="H18" i="6"/>
  <c r="J18" i="6" s="1"/>
  <c r="R102" i="12711"/>
  <c r="R115" i="12711" s="1"/>
  <c r="J118" i="12709"/>
  <c r="J187" i="12709" s="1"/>
  <c r="T203" i="12711" l="1"/>
  <c r="P118" i="12709"/>
  <c r="R118" i="12711"/>
  <c r="R186" i="12711" s="1"/>
  <c r="P187" i="12709"/>
  <c r="J119" i="12709"/>
  <c r="J188" i="12709" s="1"/>
  <c r="K120" i="12709"/>
  <c r="K133" i="12709" s="1"/>
  <c r="J120" i="12709" l="1"/>
  <c r="J133" i="12709" s="1"/>
  <c r="G19" i="6" s="1"/>
  <c r="R119" i="12711"/>
  <c r="R187" i="12711" s="1"/>
  <c r="P119" i="12709"/>
  <c r="P188" i="12709"/>
  <c r="P133" i="12709" l="1"/>
  <c r="R120" i="12711"/>
  <c r="R133" i="12711" s="1"/>
  <c r="H19" i="6"/>
  <c r="J136" i="12709" l="1"/>
  <c r="J181" i="12709" s="1"/>
  <c r="P181" i="12709" l="1"/>
  <c r="R136" i="12711"/>
  <c r="P136" i="12709"/>
  <c r="T136" i="12711" l="1"/>
  <c r="R180" i="12711"/>
  <c r="J137" i="12709"/>
  <c r="J189" i="12709" s="1"/>
  <c r="P189" i="12709" l="1"/>
  <c r="R137" i="12711"/>
  <c r="R188" i="12711" s="1"/>
  <c r="P137" i="12709"/>
  <c r="T137" i="12711" l="1"/>
  <c r="T188" i="12711" s="1"/>
  <c r="J138" i="12709"/>
  <c r="J190" i="12709" s="1"/>
  <c r="P138" i="12709" l="1"/>
  <c r="R138" i="12711"/>
  <c r="T138" i="12711" l="1"/>
  <c r="T189" i="12711" s="1"/>
  <c r="R189" i="12711"/>
  <c r="P190" i="12709"/>
  <c r="J139" i="12709" l="1"/>
  <c r="J191" i="12709" s="1"/>
  <c r="P139" i="12709" l="1"/>
  <c r="R139" i="12711"/>
  <c r="T139" i="12711" l="1"/>
  <c r="T190" i="12711" s="1"/>
  <c r="R190" i="12711"/>
  <c r="P191" i="12709"/>
  <c r="J140" i="12709" l="1"/>
  <c r="J192" i="12709" s="1"/>
  <c r="P192" i="12709" l="1"/>
  <c r="R140" i="12711"/>
  <c r="P140" i="12709"/>
  <c r="T140" i="12711" l="1"/>
  <c r="T191" i="12711" s="1"/>
  <c r="R191" i="12711"/>
  <c r="J141" i="12709"/>
  <c r="J193" i="12709" s="1"/>
  <c r="P193" i="12709" l="1"/>
  <c r="R141" i="12711"/>
  <c r="P141" i="12709"/>
  <c r="T141" i="12711" l="1"/>
  <c r="T192" i="12711" s="1"/>
  <c r="R192" i="12711"/>
  <c r="K143" i="12709"/>
  <c r="K156" i="12709" s="1"/>
  <c r="K157" i="12709" s="1"/>
  <c r="K209" i="12709" s="1"/>
  <c r="J142" i="12709"/>
  <c r="J194" i="12709" s="1"/>
  <c r="J206" i="12709" s="1"/>
  <c r="J208" i="12709" s="1"/>
  <c r="P194" i="12709" l="1"/>
  <c r="R142" i="12711"/>
  <c r="R193" i="12711" s="1"/>
  <c r="R205" i="12711" s="1"/>
  <c r="R207" i="12711" s="1"/>
  <c r="P142" i="12709"/>
  <c r="J143" i="12709"/>
  <c r="J156" i="12709" s="1"/>
  <c r="G20" i="6" s="1"/>
  <c r="R143" i="12711" l="1"/>
  <c r="R156" i="12711" s="1"/>
  <c r="R157" i="12711" s="1"/>
  <c r="R208" i="12711" s="1"/>
  <c r="P206" i="12709"/>
  <c r="P156" i="12709"/>
  <c r="J157" i="12709"/>
  <c r="J209" i="12709" s="1"/>
  <c r="P157" i="12709" l="1"/>
  <c r="G21" i="6"/>
  <c r="H20" i="6"/>
  <c r="H21" i="6" l="1"/>
  <c r="I6" i="12856" s="1"/>
  <c r="D107" i="12908"/>
  <c r="AA107" i="13034" s="1"/>
  <c r="D110" i="12908"/>
  <c r="AA110" i="13034" s="1"/>
  <c r="U107" i="12908" l="1"/>
  <c r="AR107" i="13034" s="1"/>
  <c r="Y107" i="12908"/>
  <c r="AV107" i="13034" s="1"/>
  <c r="I107" i="12908"/>
  <c r="AF107" i="13034" s="1"/>
  <c r="I74" i="12908"/>
  <c r="AF74" i="13034" s="1"/>
  <c r="I72" i="12908"/>
  <c r="AF72" i="13034" s="1"/>
  <c r="I75" i="12908"/>
  <c r="AF75" i="13034" s="1"/>
  <c r="I77" i="12908"/>
  <c r="AF77" i="13034" s="1"/>
  <c r="D102" i="12908"/>
  <c r="AA102" i="13034" s="1"/>
  <c r="I73" i="12908" l="1"/>
  <c r="AF73" i="13034" s="1"/>
  <c r="I102" i="12908"/>
  <c r="AF102" i="13034" s="1"/>
  <c r="D1023" i="12908"/>
  <c r="AA1023" i="13034" s="1"/>
  <c r="D1022" i="12908"/>
  <c r="AA1022" i="13034" s="1"/>
  <c r="D1024" i="12908"/>
  <c r="AA1024" i="13034" s="1"/>
  <c r="I80" i="12908" l="1"/>
  <c r="AF80" i="13034" s="1"/>
  <c r="D974" i="12908"/>
  <c r="AA974" i="13034" s="1"/>
  <c r="I1022" i="12908"/>
  <c r="AF1022" i="13034" s="1"/>
  <c r="D975" i="12908"/>
  <c r="AA975" i="13034" s="1"/>
  <c r="I1023" i="12908"/>
  <c r="AF1023" i="13034" s="1"/>
  <c r="D976" i="12908"/>
  <c r="AA976" i="13034" s="1"/>
  <c r="I1024" i="12908"/>
  <c r="AF1024" i="13034" s="1"/>
  <c r="I109" i="12908"/>
  <c r="D1021" i="12908"/>
  <c r="AA1021" i="13034" s="1"/>
  <c r="I111" i="12908" l="1"/>
  <c r="AF109" i="13034"/>
  <c r="I82" i="12908"/>
  <c r="N14" i="12709"/>
  <c r="N170" i="12709" s="1"/>
  <c r="Q16" i="12910"/>
  <c r="I975" i="12908"/>
  <c r="AF975" i="13034" s="1"/>
  <c r="I976" i="12908"/>
  <c r="AF976" i="13034" s="1"/>
  <c r="I974" i="12908"/>
  <c r="AF974" i="13034" s="1"/>
  <c r="D973" i="12908"/>
  <c r="AA973" i="13034" s="1"/>
  <c r="I1021" i="12908"/>
  <c r="AF1021" i="13034" s="1"/>
  <c r="AF82" i="13034" l="1"/>
  <c r="K15" i="12989"/>
  <c r="AF111" i="13034"/>
  <c r="K16" i="12989"/>
  <c r="Q15" i="12910"/>
  <c r="Q31" i="12910" s="1"/>
  <c r="N13" i="12709"/>
  <c r="N169" i="12709" s="1"/>
  <c r="M14" i="12709"/>
  <c r="M170" i="12709" s="1"/>
  <c r="I1027" i="12908"/>
  <c r="D982" i="12908"/>
  <c r="AA982" i="13034" s="1"/>
  <c r="I973" i="12908"/>
  <c r="AF973" i="13034" s="1"/>
  <c r="K21" i="12989" l="1"/>
  <c r="I1030" i="12908"/>
  <c r="AF1030" i="13034" s="1"/>
  <c r="AF1027" i="13034"/>
  <c r="I26" i="13016"/>
  <c r="I26" i="12989"/>
  <c r="I26" i="13005"/>
  <c r="S14" i="12711"/>
  <c r="S169" i="12711" s="1"/>
  <c r="M13" i="12709"/>
  <c r="M169" i="12709" s="1"/>
  <c r="N29" i="12709"/>
  <c r="N42" i="12709" s="1"/>
  <c r="B19" i="12858" s="1"/>
  <c r="N48" i="12709"/>
  <c r="N177" i="12709" s="1"/>
  <c r="Q37" i="12910"/>
  <c r="I979" i="12908"/>
  <c r="D1327" i="12908"/>
  <c r="AA1327" i="13034" s="1"/>
  <c r="I982" i="12908" l="1"/>
  <c r="AF979" i="13034"/>
  <c r="I30" i="12989"/>
  <c r="I30" i="13016"/>
  <c r="I20" i="13017"/>
  <c r="I20" i="13014"/>
  <c r="I30" i="13005"/>
  <c r="I20" i="13007"/>
  <c r="T14" i="12711"/>
  <c r="T169" i="12711" s="1"/>
  <c r="H19" i="12858"/>
  <c r="K19" i="12858" s="1"/>
  <c r="D19" i="12858"/>
  <c r="J19" i="12858" s="1"/>
  <c r="M19" i="12858" s="1"/>
  <c r="M29" i="12709"/>
  <c r="M42" i="12709" s="1"/>
  <c r="I13" i="6" s="1"/>
  <c r="J13" i="6" s="1"/>
  <c r="M48" i="12709"/>
  <c r="M177" i="12709" s="1"/>
  <c r="S13" i="12711"/>
  <c r="S168" i="12711" s="1"/>
  <c r="D1315" i="12908"/>
  <c r="AA1315" i="13034" s="1"/>
  <c r="D1201" i="12908"/>
  <c r="AA1201" i="13034" s="1"/>
  <c r="D1296" i="12908"/>
  <c r="AA1296" i="13034" s="1"/>
  <c r="D1294" i="12908"/>
  <c r="AA1294" i="13034" s="1"/>
  <c r="D1325" i="12908"/>
  <c r="AA1325" i="13034" s="1"/>
  <c r="D1324" i="12908"/>
  <c r="AA1324" i="13034" s="1"/>
  <c r="D1299" i="12908"/>
  <c r="AA1299" i="13034" s="1"/>
  <c r="D1302" i="12908"/>
  <c r="AA1302" i="13034" s="1"/>
  <c r="D1311" i="12908"/>
  <c r="AA1311" i="13034" s="1"/>
  <c r="D1297" i="12908"/>
  <c r="AA1297" i="13034" s="1"/>
  <c r="D1319" i="12908"/>
  <c r="AA1319" i="13034" s="1"/>
  <c r="D1308" i="12908"/>
  <c r="AA1308" i="13034" s="1"/>
  <c r="D1307" i="12908"/>
  <c r="AA1307" i="13034" s="1"/>
  <c r="D1323" i="12908"/>
  <c r="AA1323" i="13034" s="1"/>
  <c r="D1306" i="12908"/>
  <c r="AA1306" i="13034" s="1"/>
  <c r="D1313" i="12908"/>
  <c r="AA1313" i="13034" s="1"/>
  <c r="D1303" i="12908"/>
  <c r="AA1303" i="13034" s="1"/>
  <c r="D1320" i="12908"/>
  <c r="AA1320" i="13034" s="1"/>
  <c r="D1321" i="12908"/>
  <c r="AA1321" i="13034" s="1"/>
  <c r="D1304" i="12908"/>
  <c r="AA1304" i="13034" s="1"/>
  <c r="D1314" i="12908"/>
  <c r="AA1314" i="13034" s="1"/>
  <c r="D1301" i="12908"/>
  <c r="AA1301" i="13034" s="1"/>
  <c r="D1300" i="12908"/>
  <c r="AA1300" i="13034" s="1"/>
  <c r="D1309" i="12908"/>
  <c r="AA1309" i="13034" s="1"/>
  <c r="D1318" i="12908"/>
  <c r="AA1318" i="13034" s="1"/>
  <c r="D1295" i="12908"/>
  <c r="AA1295" i="13034" s="1"/>
  <c r="D1305" i="12908"/>
  <c r="AA1305" i="13034" s="1"/>
  <c r="D1316" i="12908"/>
  <c r="AA1316" i="13034" s="1"/>
  <c r="D1312" i="12908"/>
  <c r="AA1312" i="13034" s="1"/>
  <c r="D1322" i="12908"/>
  <c r="AA1322" i="13034" s="1"/>
  <c r="K26" i="12989" l="1"/>
  <c r="K30" i="12989" s="1"/>
  <c r="AF982" i="13034"/>
  <c r="I22" i="13014"/>
  <c r="I22" i="13017"/>
  <c r="I22" i="13007"/>
  <c r="T13" i="12711"/>
  <c r="T168" i="12711" s="1"/>
  <c r="S29" i="12711"/>
  <c r="S42" i="12711" s="1"/>
  <c r="S48" i="12711"/>
  <c r="S176" i="12711" s="1"/>
  <c r="I1295" i="12908"/>
  <c r="AF1295" i="13034" s="1"/>
  <c r="I1312" i="12908"/>
  <c r="AF1312" i="13034" s="1"/>
  <c r="I1318" i="12908"/>
  <c r="AF1318" i="13034" s="1"/>
  <c r="I1314" i="12908"/>
  <c r="AF1314" i="13034" s="1"/>
  <c r="I1303" i="12908"/>
  <c r="AF1303" i="13034" s="1"/>
  <c r="I1307" i="12908"/>
  <c r="AF1307" i="13034" s="1"/>
  <c r="I1311" i="12908"/>
  <c r="AF1311" i="13034" s="1"/>
  <c r="I1325" i="12908"/>
  <c r="AF1325" i="13034" s="1"/>
  <c r="I1301" i="12908"/>
  <c r="AF1301" i="13034" s="1"/>
  <c r="I1323" i="12908"/>
  <c r="AF1323" i="13034" s="1"/>
  <c r="I1324" i="12908"/>
  <c r="AF1324" i="13034" s="1"/>
  <c r="I1309" i="12908"/>
  <c r="AF1309" i="13034" s="1"/>
  <c r="I1304" i="12908"/>
  <c r="AF1304" i="13034" s="1"/>
  <c r="I1313" i="12908"/>
  <c r="AF1313" i="13034" s="1"/>
  <c r="I1308" i="12908"/>
  <c r="AF1308" i="13034" s="1"/>
  <c r="I1302" i="12908"/>
  <c r="AF1302" i="13034" s="1"/>
  <c r="I1294" i="12908"/>
  <c r="AF1294" i="13034" s="1"/>
  <c r="I1315" i="12908"/>
  <c r="AF1315" i="13034" s="1"/>
  <c r="I1322" i="12908"/>
  <c r="AF1322" i="13034" s="1"/>
  <c r="I1320" i="12908"/>
  <c r="AF1320" i="13034" s="1"/>
  <c r="I1297" i="12908"/>
  <c r="AF1297" i="13034" s="1"/>
  <c r="I1316" i="12908"/>
  <c r="AF1316" i="13034" s="1"/>
  <c r="I1305" i="12908"/>
  <c r="AF1305" i="13034" s="1"/>
  <c r="I1300" i="12908"/>
  <c r="AF1300" i="13034" s="1"/>
  <c r="I1321" i="12908"/>
  <c r="AF1321" i="13034" s="1"/>
  <c r="I1306" i="12908"/>
  <c r="AF1306" i="13034" s="1"/>
  <c r="I1319" i="12908"/>
  <c r="AF1319" i="13034" s="1"/>
  <c r="I1299" i="12908"/>
  <c r="AF1299" i="13034" s="1"/>
  <c r="I1296" i="12908"/>
  <c r="AF1296" i="13034" s="1"/>
  <c r="D1195" i="12908"/>
  <c r="AA1195" i="13034" s="1"/>
  <c r="D1193" i="12908"/>
  <c r="AA1193" i="13034" s="1"/>
  <c r="D1170" i="12908"/>
  <c r="AA1170" i="13034" s="1"/>
  <c r="D1196" i="12908"/>
  <c r="AA1196" i="13034" s="1"/>
  <c r="D1169" i="12908"/>
  <c r="AA1169" i="13034" s="1"/>
  <c r="D1175" i="12908"/>
  <c r="AA1175" i="13034" s="1"/>
  <c r="D1194" i="12908"/>
  <c r="AA1194" i="13034" s="1"/>
  <c r="D1197" i="12908"/>
  <c r="AA1197" i="13034" s="1"/>
  <c r="D1171" i="12908"/>
  <c r="AA1171" i="13034" s="1"/>
  <c r="D1198" i="12908"/>
  <c r="AA1198" i="13034" s="1"/>
  <c r="D1206" i="12908"/>
  <c r="AA1206" i="13034" s="1"/>
  <c r="D1179" i="12908"/>
  <c r="AA1179" i="13034" s="1"/>
  <c r="D1180" i="12908"/>
  <c r="AA1180" i="13034" s="1"/>
  <c r="D1173" i="12908"/>
  <c r="AA1173" i="13034" s="1"/>
  <c r="D1186" i="12908"/>
  <c r="AA1186" i="13034" s="1"/>
  <c r="D1192" i="12908"/>
  <c r="AA1192" i="13034" s="1"/>
  <c r="D1188" i="12908"/>
  <c r="AA1188" i="13034" s="1"/>
  <c r="D1177" i="12908"/>
  <c r="AA1177" i="13034" s="1"/>
  <c r="D1181" i="12908"/>
  <c r="AA1181" i="13034" s="1"/>
  <c r="D1185" i="12908"/>
  <c r="AA1185" i="13034" s="1"/>
  <c r="D1199" i="12908"/>
  <c r="AA1199" i="13034" s="1"/>
  <c r="D1174" i="12908"/>
  <c r="AA1174" i="13034" s="1"/>
  <c r="D1190" i="12908"/>
  <c r="AA1190" i="13034" s="1"/>
  <c r="D1183" i="12908"/>
  <c r="AA1183" i="13034" s="1"/>
  <c r="D1178" i="12908"/>
  <c r="AA1178" i="13034" s="1"/>
  <c r="D1187" i="12908"/>
  <c r="AA1187" i="13034" s="1"/>
  <c r="D1182" i="12908"/>
  <c r="AA1182" i="13034" s="1"/>
  <c r="D1176" i="12908"/>
  <c r="AA1176" i="13034" s="1"/>
  <c r="D1168" i="12908"/>
  <c r="AA1168" i="13034" s="1"/>
  <c r="D1189" i="12908"/>
  <c r="AA1189" i="13034" s="1"/>
  <c r="D1326" i="12908"/>
  <c r="AA1326" i="13034" s="1"/>
  <c r="D1561" i="12908"/>
  <c r="D1574" i="12908"/>
  <c r="AA1574" i="13034" s="1"/>
  <c r="W1561" i="12908" l="1"/>
  <c r="AA1561" i="13034"/>
  <c r="I56" i="13016"/>
  <c r="I56" i="12989"/>
  <c r="I56" i="13005"/>
  <c r="T48" i="12711"/>
  <c r="T176" i="12711" s="1"/>
  <c r="T29" i="12711"/>
  <c r="T42" i="12711" s="1"/>
  <c r="I1326" i="12908"/>
  <c r="I1182" i="12908"/>
  <c r="AF1182" i="13034" s="1"/>
  <c r="I1190" i="12908"/>
  <c r="AF1190" i="13034" s="1"/>
  <c r="I1199" i="12908"/>
  <c r="AF1199" i="13034" s="1"/>
  <c r="I1181" i="12908"/>
  <c r="AF1181" i="13034" s="1"/>
  <c r="I1188" i="12908"/>
  <c r="AF1188" i="13034" s="1"/>
  <c r="I1186" i="12908"/>
  <c r="AF1186" i="13034" s="1"/>
  <c r="I1180" i="12908"/>
  <c r="AF1180" i="13034" s="1"/>
  <c r="I1171" i="12908"/>
  <c r="AF1171" i="13034" s="1"/>
  <c r="I1194" i="12908"/>
  <c r="AF1194" i="13034" s="1"/>
  <c r="I1169" i="12908"/>
  <c r="AF1169" i="13034" s="1"/>
  <c r="I1170" i="12908"/>
  <c r="AF1170" i="13034" s="1"/>
  <c r="I1195" i="12908"/>
  <c r="AF1195" i="13034" s="1"/>
  <c r="I1561" i="12908"/>
  <c r="AF1561" i="13034" s="1"/>
  <c r="I1168" i="12908"/>
  <c r="AF1168" i="13034" s="1"/>
  <c r="I1178" i="12908"/>
  <c r="AF1178" i="13034" s="1"/>
  <c r="I1574" i="12908"/>
  <c r="AF1574" i="13034" s="1"/>
  <c r="I1189" i="12908"/>
  <c r="AF1189" i="13034" s="1"/>
  <c r="I1176" i="12908"/>
  <c r="AF1176" i="13034" s="1"/>
  <c r="I1187" i="12908"/>
  <c r="AF1187" i="13034" s="1"/>
  <c r="I1183" i="12908"/>
  <c r="AF1183" i="13034" s="1"/>
  <c r="I1174" i="12908"/>
  <c r="AF1174" i="13034" s="1"/>
  <c r="I1185" i="12908"/>
  <c r="AF1185" i="13034" s="1"/>
  <c r="I1177" i="12908"/>
  <c r="AF1177" i="13034" s="1"/>
  <c r="I1192" i="12908"/>
  <c r="AF1192" i="13034" s="1"/>
  <c r="I1173" i="12908"/>
  <c r="AF1173" i="13034" s="1"/>
  <c r="I1179" i="12908"/>
  <c r="AF1179" i="13034" s="1"/>
  <c r="I1198" i="12908"/>
  <c r="AF1198" i="13034" s="1"/>
  <c r="I1197" i="12908"/>
  <c r="AF1197" i="13034" s="1"/>
  <c r="I1175" i="12908"/>
  <c r="AF1175" i="13034" s="1"/>
  <c r="I1196" i="12908"/>
  <c r="AF1196" i="13034" s="1"/>
  <c r="I1193" i="12908"/>
  <c r="AF1193" i="13034" s="1"/>
  <c r="D1200" i="12908"/>
  <c r="AA1200" i="13034" s="1"/>
  <c r="D1552" i="12908"/>
  <c r="D1539" i="12908"/>
  <c r="AA1539" i="13034" s="1"/>
  <c r="I1329" i="12908" l="1"/>
  <c r="AF1326" i="13034"/>
  <c r="D1557" i="12908"/>
  <c r="AA1557" i="13034" s="1"/>
  <c r="AA1552" i="13034"/>
  <c r="AT1561" i="13034"/>
  <c r="AI1561" i="13015"/>
  <c r="I36" i="13016"/>
  <c r="W1539" i="12908"/>
  <c r="F12" i="13006"/>
  <c r="F13" i="13006" s="1"/>
  <c r="F15" i="13006" s="1"/>
  <c r="S56" i="12989"/>
  <c r="I41" i="13007"/>
  <c r="I41" i="13017"/>
  <c r="I41" i="13014"/>
  <c r="I36" i="13005"/>
  <c r="I1552" i="12908"/>
  <c r="I1577" i="12908"/>
  <c r="I1200" i="12908"/>
  <c r="AF1200" i="13034" s="1"/>
  <c r="I1539" i="12908"/>
  <c r="AF1539" i="13034" s="1"/>
  <c r="I36" i="12989" l="1"/>
  <c r="I1579" i="12908"/>
  <c r="AF1579" i="13034" s="1"/>
  <c r="AF1577" i="13034"/>
  <c r="I1555" i="12908"/>
  <c r="AF1555" i="13034" s="1"/>
  <c r="AF1552" i="13034"/>
  <c r="AT1539" i="13034"/>
  <c r="AI1539" i="13015"/>
  <c r="I1332" i="12908"/>
  <c r="AF1329" i="13034"/>
  <c r="K2554" i="12908"/>
  <c r="F22" i="13006"/>
  <c r="F35" i="13006"/>
  <c r="I37" i="12989"/>
  <c r="I54" i="12989"/>
  <c r="I37" i="13016"/>
  <c r="I54" i="13016"/>
  <c r="I25" i="13017"/>
  <c r="I25" i="13014"/>
  <c r="I37" i="13005"/>
  <c r="I25" i="13007"/>
  <c r="I54" i="13005"/>
  <c r="N57" i="12709"/>
  <c r="N186" i="12709" s="1"/>
  <c r="Q46" i="12910"/>
  <c r="Q57" i="12910" s="1"/>
  <c r="I1557" i="12908"/>
  <c r="I1203" i="12908"/>
  <c r="D1630" i="12908"/>
  <c r="AA1630" i="13034" s="1"/>
  <c r="D1625" i="12908"/>
  <c r="AA1625" i="13034" s="1"/>
  <c r="D1629" i="12908"/>
  <c r="AA1629" i="13034" s="1"/>
  <c r="D1626" i="12908"/>
  <c r="AA1626" i="13034" s="1"/>
  <c r="D1627" i="12908"/>
  <c r="AA1627" i="13034" s="1"/>
  <c r="D1628" i="12908"/>
  <c r="AA1628" i="13034" s="1"/>
  <c r="D1608" i="12908"/>
  <c r="D1610" i="12908"/>
  <c r="AA1610" i="13034" s="1"/>
  <c r="D1609" i="12908"/>
  <c r="AA1609" i="13034" s="1"/>
  <c r="AF1332" i="13034" l="1"/>
  <c r="N89" i="12709"/>
  <c r="Q66" i="12910"/>
  <c r="Q80" i="12910" s="1"/>
  <c r="I1206" i="12908"/>
  <c r="AF1203" i="13034"/>
  <c r="K36" i="12989"/>
  <c r="AF1557" i="13034"/>
  <c r="AH2554" i="13034"/>
  <c r="Q2554" i="12908"/>
  <c r="AN2554" i="13034" s="1"/>
  <c r="Y1608" i="12908"/>
  <c r="AV1608" i="13034" s="1"/>
  <c r="AA1608" i="13034"/>
  <c r="K37" i="12989"/>
  <c r="I26" i="13017"/>
  <c r="I39" i="13017"/>
  <c r="I26" i="13014"/>
  <c r="I39" i="13014"/>
  <c r="I26" i="13007"/>
  <c r="I39" i="13007"/>
  <c r="W1625" i="12908"/>
  <c r="U1625" i="12908"/>
  <c r="AR1625" i="13034" s="1"/>
  <c r="Y1626" i="12908"/>
  <c r="AV1626" i="13034" s="1"/>
  <c r="U1626" i="12908"/>
  <c r="AR1626" i="13034" s="1"/>
  <c r="S1626" i="12908"/>
  <c r="AP1626" i="13034" s="1"/>
  <c r="W1626" i="12908"/>
  <c r="N67" i="12709"/>
  <c r="N80" i="12709" s="1"/>
  <c r="B20" i="12858" s="1"/>
  <c r="M57" i="12709"/>
  <c r="M186" i="12709" s="1"/>
  <c r="I1626" i="12908"/>
  <c r="AF1626" i="13034" s="1"/>
  <c r="I1629" i="12908"/>
  <c r="AF1629" i="13034" s="1"/>
  <c r="I1609" i="12908"/>
  <c r="AF1609" i="13034" s="1"/>
  <c r="I1608" i="12908"/>
  <c r="AF1608" i="13034" s="1"/>
  <c r="I1628" i="12908"/>
  <c r="AF1628" i="13034" s="1"/>
  <c r="I1625" i="12908"/>
  <c r="AF1625" i="13034" s="1"/>
  <c r="I1610" i="12908"/>
  <c r="AF1610" i="13034" s="1"/>
  <c r="I1627" i="12908"/>
  <c r="AF1627" i="13034" s="1"/>
  <c r="I1630" i="12908"/>
  <c r="AF1630" i="13034" s="1"/>
  <c r="D1879" i="12908"/>
  <c r="AA1879" i="13034" s="1"/>
  <c r="K56" i="12989" l="1"/>
  <c r="O56" i="12989" s="1"/>
  <c r="AF1206" i="13034"/>
  <c r="AT1626" i="13034"/>
  <c r="AI1626" i="13015"/>
  <c r="N181" i="12709"/>
  <c r="N102" i="12709"/>
  <c r="N115" i="12709" s="1"/>
  <c r="B21" i="12858" s="1"/>
  <c r="M89" i="12709"/>
  <c r="AT1625" i="13034"/>
  <c r="AI1625" i="13015"/>
  <c r="AD56" i="12989"/>
  <c r="Q56" i="12989"/>
  <c r="O80" i="12989" s="1"/>
  <c r="Y1206" i="12908"/>
  <c r="AV1206" i="13034" s="1"/>
  <c r="H20" i="12858"/>
  <c r="K20" i="12858" s="1"/>
  <c r="D20" i="12858"/>
  <c r="J20" i="12858" s="1"/>
  <c r="M20" i="12858" s="1"/>
  <c r="S57" i="12711"/>
  <c r="S185" i="12711" s="1"/>
  <c r="M67" i="12709"/>
  <c r="M80" i="12709" s="1"/>
  <c r="I14" i="6" s="1"/>
  <c r="I1637" i="12908"/>
  <c r="AF1637" i="13034" s="1"/>
  <c r="I1631" i="12908"/>
  <c r="AF1631" i="13034" s="1"/>
  <c r="I1611" i="12908"/>
  <c r="AF1611" i="13034" s="1"/>
  <c r="I1617" i="12908"/>
  <c r="AF1617" i="13034" s="1"/>
  <c r="I1879" i="12908"/>
  <c r="AF1879" i="13034" s="1"/>
  <c r="D1855" i="12908"/>
  <c r="AA1855" i="13034" s="1"/>
  <c r="M181" i="12709" l="1"/>
  <c r="S89" i="12711"/>
  <c r="M102" i="12709"/>
  <c r="M115" i="12709" s="1"/>
  <c r="I15" i="6" s="1"/>
  <c r="J15" i="6" s="1"/>
  <c r="H21" i="12858"/>
  <c r="K21" i="12858" s="1"/>
  <c r="D21" i="12858"/>
  <c r="J21" i="12858" s="1"/>
  <c r="M21" i="12858" s="1"/>
  <c r="T57" i="12711"/>
  <c r="T185" i="12711" s="1"/>
  <c r="S67" i="12711"/>
  <c r="S80" i="12711" s="1"/>
  <c r="J14" i="6"/>
  <c r="I1639" i="12908"/>
  <c r="I1619" i="12908"/>
  <c r="I1855" i="12908"/>
  <c r="AF1855" i="13034" s="1"/>
  <c r="I1881" i="12908"/>
  <c r="D1859" i="12908"/>
  <c r="AA1859" i="13034" s="1"/>
  <c r="AF1619" i="13034" l="1"/>
  <c r="K38" i="12989"/>
  <c r="AF1639" i="13034"/>
  <c r="K39" i="12989"/>
  <c r="S180" i="12711"/>
  <c r="S102" i="12711"/>
  <c r="S115" i="12711" s="1"/>
  <c r="T89" i="12711"/>
  <c r="I1883" i="12908"/>
  <c r="AF1883" i="13034" s="1"/>
  <c r="AF1881" i="13034"/>
  <c r="I60" i="13016"/>
  <c r="I61" i="13016" s="1"/>
  <c r="I64" i="13016" s="1"/>
  <c r="I65" i="13016" s="1"/>
  <c r="I60" i="12989"/>
  <c r="I61" i="12989" s="1"/>
  <c r="I64" i="12989" s="1"/>
  <c r="I65" i="12989" s="1"/>
  <c r="I60" i="13005"/>
  <c r="Y1332" i="12908"/>
  <c r="AV1332" i="13034" s="1"/>
  <c r="Y1290" i="12908"/>
  <c r="AV1290" i="13034" s="1"/>
  <c r="AB1206" i="12908"/>
  <c r="Q56" i="13005"/>
  <c r="Y1374" i="12908"/>
  <c r="AV1374" i="13034" s="1"/>
  <c r="Y1248" i="12908"/>
  <c r="AV1248" i="13034" s="1"/>
  <c r="D2677" i="12908"/>
  <c r="T67" i="12711"/>
  <c r="T80" i="12711" s="1"/>
  <c r="Q84" i="12910"/>
  <c r="N119" i="12709"/>
  <c r="N188" i="12709" s="1"/>
  <c r="Q83" i="12910"/>
  <c r="N118" i="12709"/>
  <c r="N187" i="12709" s="1"/>
  <c r="I1857" i="12908"/>
  <c r="G10" i="12856" l="1"/>
  <c r="G19" i="12856" s="1"/>
  <c r="AA2677" i="13034"/>
  <c r="T180" i="12711"/>
  <c r="T102" i="12711"/>
  <c r="T115" i="12711" s="1"/>
  <c r="K41" i="12989"/>
  <c r="K54" i="12989"/>
  <c r="I1859" i="12908"/>
  <c r="AF1857" i="13034"/>
  <c r="N142" i="12709"/>
  <c r="N194" i="12709" s="1"/>
  <c r="Q94" i="12910"/>
  <c r="Q96" i="12910" s="1"/>
  <c r="M56" i="13016"/>
  <c r="W56" i="13005"/>
  <c r="Y56" i="13005" s="1"/>
  <c r="AC56" i="12989"/>
  <c r="I45" i="13017"/>
  <c r="I46" i="13017" s="1"/>
  <c r="I49" i="13017" s="1"/>
  <c r="I50" i="13017" s="1"/>
  <c r="I45" i="13014"/>
  <c r="I46" i="13014" s="1"/>
  <c r="I49" i="13014" s="1"/>
  <c r="I50" i="13014" s="1"/>
  <c r="AE56" i="12989"/>
  <c r="Q41" i="13007"/>
  <c r="W41" i="13007" s="1"/>
  <c r="Y41" i="13007" s="1"/>
  <c r="I61" i="13005"/>
  <c r="I64" i="13005" s="1"/>
  <c r="I65" i="13005" s="1"/>
  <c r="I45" i="13007"/>
  <c r="I46" i="13007" s="1"/>
  <c r="I49" i="13007" s="1"/>
  <c r="I50" i="13007" s="1"/>
  <c r="G11" i="12856" s="1"/>
  <c r="G17" i="12856" s="1"/>
  <c r="AB1332" i="12908"/>
  <c r="AB1374" i="12908"/>
  <c r="AB1290" i="12908"/>
  <c r="AB1248" i="12908"/>
  <c r="I2677" i="12908"/>
  <c r="N206" i="12709"/>
  <c r="N208" i="12709" s="1"/>
  <c r="G18" i="12856"/>
  <c r="Q87" i="12910"/>
  <c r="Q98" i="12910" s="1"/>
  <c r="J12" i="12856" s="1"/>
  <c r="M118" i="12709"/>
  <c r="M187" i="12709" s="1"/>
  <c r="M142" i="12709"/>
  <c r="M194" i="12709" s="1"/>
  <c r="N143" i="12709"/>
  <c r="N156" i="12709" s="1"/>
  <c r="B24" i="12858" s="1"/>
  <c r="N120" i="12709"/>
  <c r="N133" i="12709" s="1"/>
  <c r="B23" i="12858" s="1"/>
  <c r="M119" i="12709"/>
  <c r="M188" i="12709" s="1"/>
  <c r="K60" i="12989" l="1"/>
  <c r="K61" i="12989" s="1"/>
  <c r="K64" i="12989" s="1"/>
  <c r="K65" i="12989" s="1"/>
  <c r="AF1859" i="13034"/>
  <c r="J10" i="12856"/>
  <c r="AF2677" i="13034"/>
  <c r="M41" i="13017"/>
  <c r="S56" i="13016"/>
  <c r="U56" i="13016" s="1"/>
  <c r="S41" i="13014"/>
  <c r="S41" i="13017"/>
  <c r="B25" i="12858"/>
  <c r="D25" i="12858" s="1"/>
  <c r="J25" i="12858" s="1"/>
  <c r="M25" i="12858" s="1"/>
  <c r="D23" i="12858"/>
  <c r="J23" i="12858" s="1"/>
  <c r="M23" i="12858" s="1"/>
  <c r="H23" i="12858"/>
  <c r="D24" i="12858"/>
  <c r="J24" i="12858" s="1"/>
  <c r="M24" i="12858" s="1"/>
  <c r="H24" i="12858"/>
  <c r="K24" i="12858" s="1"/>
  <c r="J18" i="12856"/>
  <c r="M206" i="12709"/>
  <c r="M208" i="12709" s="1"/>
  <c r="S118" i="12711"/>
  <c r="S186" i="12711" s="1"/>
  <c r="M120" i="12709"/>
  <c r="M133" i="12709" s="1"/>
  <c r="S119" i="12711"/>
  <c r="S187" i="12711" s="1"/>
  <c r="S142" i="12711"/>
  <c r="S193" i="12711" s="1"/>
  <c r="M143" i="12709"/>
  <c r="M156" i="12709" s="1"/>
  <c r="I20" i="6" s="1"/>
  <c r="J20" i="6" s="1"/>
  <c r="N157" i="12709"/>
  <c r="N209" i="12709" s="1"/>
  <c r="Q85" i="12989" l="1"/>
  <c r="Q87" i="12989" s="1"/>
  <c r="AJ67" i="12989"/>
  <c r="U41" i="13017"/>
  <c r="U41" i="13014"/>
  <c r="J11" i="12856"/>
  <c r="K23" i="12858"/>
  <c r="H25" i="12858"/>
  <c r="K25" i="12858" s="1"/>
  <c r="S205" i="12711"/>
  <c r="S207" i="12711" s="1"/>
  <c r="J9" i="12856"/>
  <c r="I19" i="6"/>
  <c r="M157" i="12709"/>
  <c r="M209" i="12709" s="1"/>
  <c r="S120" i="12711"/>
  <c r="S133" i="12711" s="1"/>
  <c r="T119" i="12711"/>
  <c r="T187" i="12711" s="1"/>
  <c r="T118" i="12711"/>
  <c r="T186" i="12711" s="1"/>
  <c r="S143" i="12711"/>
  <c r="S156" i="12711" s="1"/>
  <c r="T142" i="12711"/>
  <c r="T193" i="12711" s="1"/>
  <c r="K2551" i="13015" l="1"/>
  <c r="K2554" i="13015"/>
  <c r="K2550" i="13015"/>
  <c r="K2552" i="13015"/>
  <c r="K2553" i="13015"/>
  <c r="T205" i="12711"/>
  <c r="T207" i="12711" s="1"/>
  <c r="T120" i="12711"/>
  <c r="T133" i="12711" s="1"/>
  <c r="S157" i="12711"/>
  <c r="S208" i="12711" s="1"/>
  <c r="T143" i="12711"/>
  <c r="T156" i="12711" s="1"/>
  <c r="J19" i="6"/>
  <c r="J21" i="6" s="1"/>
  <c r="J6" i="12856" s="1"/>
  <c r="I21" i="6"/>
  <c r="S2552" i="13015" l="1"/>
  <c r="Q2552" i="13015"/>
  <c r="S2550" i="13015"/>
  <c r="Q2550" i="13015"/>
  <c r="S2554" i="13015"/>
  <c r="Q2554" i="13015"/>
  <c r="S2553" i="13015"/>
  <c r="Q2553" i="13015"/>
  <c r="S2551" i="13015"/>
  <c r="Q2551" i="13015"/>
  <c r="J17" i="12856"/>
  <c r="T157" i="12711"/>
  <c r="T208" i="12711" s="1"/>
  <c r="I8" i="12856" l="1"/>
  <c r="J8" i="12856"/>
  <c r="G25" i="12910"/>
  <c r="G31" i="12910" s="1"/>
  <c r="G98" i="12910" s="1"/>
  <c r="C12" i="12856" s="1"/>
  <c r="F29" i="12711"/>
  <c r="F42" i="12711" s="1"/>
  <c r="F157" i="12711" s="1"/>
  <c r="C1247" i="12908"/>
  <c r="E23" i="12711"/>
  <c r="C1205" i="12908" l="1"/>
  <c r="Z1205" i="13034" s="1"/>
  <c r="Z1247" i="13034"/>
  <c r="E29" i="12711"/>
  <c r="E42" i="12711" s="1"/>
  <c r="E157" i="12711" s="1"/>
  <c r="E180" i="12711"/>
  <c r="E205" i="12711" s="1"/>
  <c r="E207" i="12711" s="1"/>
  <c r="C8" i="12856"/>
  <c r="F208" i="12711"/>
  <c r="I25" i="12910"/>
  <c r="I31" i="12910" s="1"/>
  <c r="I98" i="12910" s="1"/>
  <c r="D12" i="12856" s="1"/>
  <c r="G29" i="12711"/>
  <c r="G42" i="12711" s="1"/>
  <c r="G157" i="12711" s="1"/>
  <c r="E208" i="12711" l="1"/>
  <c r="D8" i="12856"/>
  <c r="D17" i="12856" s="1"/>
  <c r="G208" i="12711"/>
  <c r="W103" i="12908" l="1"/>
  <c r="AT103" i="13034" l="1"/>
  <c r="AI103" i="13015"/>
  <c r="K2308" i="12908"/>
  <c r="AH2308" i="13034" s="1"/>
  <c r="K1469" i="12908"/>
  <c r="AH1469" i="13034" s="1"/>
  <c r="K1449" i="12908"/>
  <c r="AH1449" i="13034" s="1"/>
  <c r="K1409" i="12908"/>
  <c r="AH1409" i="13034" s="1"/>
  <c r="K1429" i="12908"/>
  <c r="AH1429" i="13034" s="1"/>
  <c r="S1429" i="12908" l="1"/>
  <c r="AP1429" i="13034" s="1"/>
  <c r="S2308" i="12908"/>
  <c r="AP2308" i="13034" s="1"/>
  <c r="S1449" i="12908"/>
  <c r="AP1449" i="13034" s="1"/>
  <c r="S1409" i="12908"/>
  <c r="AP1409" i="13034" s="1"/>
  <c r="S1469" i="12908"/>
  <c r="AP1469" i="13034" s="1"/>
  <c r="K2412" i="12908"/>
  <c r="AH2412" i="13034" s="1"/>
  <c r="K2516" i="12908"/>
  <c r="AH2516" i="13034" s="1"/>
  <c r="S2412" i="12908" l="1"/>
  <c r="AP2412" i="13034" s="1"/>
  <c r="S2516" i="12908"/>
  <c r="AP2516" i="13034" s="1"/>
  <c r="M250" i="12908"/>
  <c r="K250" i="12908"/>
  <c r="AH250" i="13034" s="1"/>
  <c r="K842" i="12908"/>
  <c r="AH842" i="13034" s="1"/>
  <c r="K898" i="12908"/>
  <c r="AH898" i="13034" s="1"/>
  <c r="K703" i="12908"/>
  <c r="AH703" i="13034" s="1"/>
  <c r="K745" i="12908"/>
  <c r="AH745" i="13034" s="1"/>
  <c r="K724" i="12908"/>
  <c r="AH724" i="13034" s="1"/>
  <c r="K766" i="12908"/>
  <c r="AH766" i="13034" s="1"/>
  <c r="M1409" i="12908"/>
  <c r="AJ1409" i="13034" s="1"/>
  <c r="U250" i="12908" l="1"/>
  <c r="AR250" i="13034" s="1"/>
  <c r="AJ250" i="13034"/>
  <c r="S842" i="12908"/>
  <c r="AP842" i="13034" s="1"/>
  <c r="S745" i="12908"/>
  <c r="AP745" i="13034" s="1"/>
  <c r="S703" i="12908"/>
  <c r="AP703" i="13034" s="1"/>
  <c r="S724" i="12908"/>
  <c r="AP724" i="13034" s="1"/>
  <c r="U1409" i="12908"/>
  <c r="AR1409" i="13034" s="1"/>
  <c r="S250" i="12908"/>
  <c r="AP250" i="13034" s="1"/>
  <c r="S766" i="12908"/>
  <c r="AP766" i="13034" s="1"/>
  <c r="S898" i="12908"/>
  <c r="AP898" i="13034" s="1"/>
  <c r="O2300" i="12908"/>
  <c r="W966" i="12908"/>
  <c r="M1894" i="12908"/>
  <c r="AJ1894" i="13034" s="1"/>
  <c r="M1893" i="12908"/>
  <c r="AJ1893" i="13034" s="1"/>
  <c r="W965" i="12908"/>
  <c r="W968" i="12908"/>
  <c r="M1896" i="12908"/>
  <c r="AJ1896" i="13034" s="1"/>
  <c r="M1895" i="12908"/>
  <c r="AJ1895" i="13034" s="1"/>
  <c r="W967" i="12908"/>
  <c r="O250" i="12908"/>
  <c r="M745" i="12908"/>
  <c r="M898" i="12908"/>
  <c r="M703" i="12908"/>
  <c r="M842" i="12908"/>
  <c r="M766" i="12908"/>
  <c r="M724" i="12908"/>
  <c r="K286" i="12908"/>
  <c r="AH286" i="13034" s="1"/>
  <c r="K322" i="12908"/>
  <c r="AH322" i="13034" s="1"/>
  <c r="K358" i="12908"/>
  <c r="AH358" i="13034" s="1"/>
  <c r="K394" i="12908"/>
  <c r="AH394" i="13034" s="1"/>
  <c r="K804" i="12908"/>
  <c r="AH804" i="13034" s="1"/>
  <c r="K823" i="12908"/>
  <c r="AH823" i="13034" s="1"/>
  <c r="K785" i="12908"/>
  <c r="AH785" i="13034" s="1"/>
  <c r="K563" i="12908"/>
  <c r="AH563" i="13034" s="1"/>
  <c r="K952" i="12908"/>
  <c r="AH952" i="13034" s="1"/>
  <c r="K916" i="12908"/>
  <c r="AH916" i="13034" s="1"/>
  <c r="K934" i="12908"/>
  <c r="AH934" i="13034" s="1"/>
  <c r="M286" i="12908"/>
  <c r="M322" i="12908"/>
  <c r="M394" i="12908"/>
  <c r="M358" i="12908"/>
  <c r="K880" i="12908"/>
  <c r="AH880" i="13034" s="1"/>
  <c r="K861" i="12908"/>
  <c r="AH861" i="13034" s="1"/>
  <c r="O1449" i="12908"/>
  <c r="M1469" i="12908"/>
  <c r="AJ1469" i="13034" s="1"/>
  <c r="M1449" i="12908"/>
  <c r="AJ1449" i="13034" s="1"/>
  <c r="M1429" i="12908"/>
  <c r="AJ1429" i="13034" s="1"/>
  <c r="M2308" i="12908"/>
  <c r="AJ2308" i="13034" s="1"/>
  <c r="U322" i="12908" l="1"/>
  <c r="AR322" i="13034" s="1"/>
  <c r="AJ322" i="13034"/>
  <c r="U703" i="12908"/>
  <c r="AR703" i="13034" s="1"/>
  <c r="AJ703" i="13034"/>
  <c r="AT967" i="13034"/>
  <c r="AI967" i="13015"/>
  <c r="AT965" i="13034"/>
  <c r="AI965" i="13015"/>
  <c r="AL2300" i="13034"/>
  <c r="AJ2300" i="13015"/>
  <c r="W1449" i="12908"/>
  <c r="AL1449" i="13034"/>
  <c r="AJ1449" i="13015"/>
  <c r="U842" i="12908"/>
  <c r="AR842" i="13034" s="1"/>
  <c r="AJ842" i="13034"/>
  <c r="AT968" i="13034"/>
  <c r="AI968" i="13015"/>
  <c r="AT966" i="13034"/>
  <c r="AI966" i="13015"/>
  <c r="U286" i="12908"/>
  <c r="AR286" i="13034" s="1"/>
  <c r="AJ286" i="13034"/>
  <c r="U724" i="12908"/>
  <c r="AR724" i="13034" s="1"/>
  <c r="AJ724" i="13034"/>
  <c r="U898" i="12908"/>
  <c r="AR898" i="13034" s="1"/>
  <c r="AJ898" i="13034"/>
  <c r="U394" i="12908"/>
  <c r="AR394" i="13034" s="1"/>
  <c r="AJ394" i="13034"/>
  <c r="W250" i="12908"/>
  <c r="AL250" i="13034"/>
  <c r="AJ250" i="13015"/>
  <c r="U358" i="12908"/>
  <c r="AR358" i="13034" s="1"/>
  <c r="AJ358" i="13034"/>
  <c r="U766" i="12908"/>
  <c r="AR766" i="13034" s="1"/>
  <c r="AJ766" i="13034"/>
  <c r="U745" i="12908"/>
  <c r="AR745" i="13034" s="1"/>
  <c r="AJ745" i="13034"/>
  <c r="W2300" i="12908"/>
  <c r="S934" i="12908"/>
  <c r="AP934" i="13034" s="1"/>
  <c r="S785" i="12908"/>
  <c r="AP785" i="13034" s="1"/>
  <c r="S358" i="12908"/>
  <c r="AP358" i="13034" s="1"/>
  <c r="U1469" i="12908"/>
  <c r="AR1469" i="13034" s="1"/>
  <c r="U2308" i="12908"/>
  <c r="AR2308" i="13034" s="1"/>
  <c r="S916" i="12908"/>
  <c r="AP916" i="13034" s="1"/>
  <c r="S823" i="12908"/>
  <c r="AP823" i="13034" s="1"/>
  <c r="S322" i="12908"/>
  <c r="AP322" i="13034" s="1"/>
  <c r="U1429" i="12908"/>
  <c r="AR1429" i="13034" s="1"/>
  <c r="S861" i="12908"/>
  <c r="AP861" i="13034" s="1"/>
  <c r="S952" i="12908"/>
  <c r="AP952" i="13034" s="1"/>
  <c r="S804" i="12908"/>
  <c r="AP804" i="13034" s="1"/>
  <c r="S286" i="12908"/>
  <c r="AP286" i="13034" s="1"/>
  <c r="U1895" i="12908"/>
  <c r="AR1895" i="13034" s="1"/>
  <c r="U1893" i="12908"/>
  <c r="AR1893" i="13034" s="1"/>
  <c r="U1449" i="12908"/>
  <c r="AR1449" i="13034" s="1"/>
  <c r="S880" i="12908"/>
  <c r="AP880" i="13034" s="1"/>
  <c r="S563" i="12908"/>
  <c r="AP563" i="13034" s="1"/>
  <c r="S394" i="12908"/>
  <c r="AP394" i="13034" s="1"/>
  <c r="U1896" i="12908"/>
  <c r="AR1896" i="13034" s="1"/>
  <c r="U1894" i="12908"/>
  <c r="AR1894" i="13034" s="1"/>
  <c r="W2235" i="12908"/>
  <c r="O1441" i="12908"/>
  <c r="O2404" i="12908"/>
  <c r="O1461" i="12908"/>
  <c r="O1421" i="12908"/>
  <c r="O2508" i="12908"/>
  <c r="O1401" i="12908"/>
  <c r="M2412" i="12908"/>
  <c r="AJ2412" i="13034" s="1"/>
  <c r="M2516" i="12908"/>
  <c r="AJ2516" i="13034" s="1"/>
  <c r="M235" i="12908"/>
  <c r="AJ235" i="13034" s="1"/>
  <c r="M1001" i="12908"/>
  <c r="AJ1001" i="13034" s="1"/>
  <c r="M1025" i="12908"/>
  <c r="AJ1025" i="13034" s="1"/>
  <c r="M1049" i="12908"/>
  <c r="AJ1049" i="13034" s="1"/>
  <c r="M546" i="12908"/>
  <c r="AJ546" i="13034" s="1"/>
  <c r="M1039" i="12908"/>
  <c r="AJ1039" i="13034" s="1"/>
  <c r="O1895" i="12908"/>
  <c r="M232" i="12908"/>
  <c r="AJ232" i="13034" s="1"/>
  <c r="M1015" i="12908"/>
  <c r="AJ1015" i="13034" s="1"/>
  <c r="M1063" i="12908"/>
  <c r="AJ1063" i="13034" s="1"/>
  <c r="M1151" i="12908"/>
  <c r="AJ1151" i="13034" s="1"/>
  <c r="M991" i="12908"/>
  <c r="AJ991" i="13034" s="1"/>
  <c r="O1894" i="12908"/>
  <c r="M231" i="12908"/>
  <c r="AJ231" i="13034" s="1"/>
  <c r="M545" i="12908"/>
  <c r="AJ545" i="13034" s="1"/>
  <c r="M1038" i="12908"/>
  <c r="AJ1038" i="13034" s="1"/>
  <c r="M1062" i="12908"/>
  <c r="AJ1062" i="13034" s="1"/>
  <c r="M1150" i="12908"/>
  <c r="AJ1150" i="13034" s="1"/>
  <c r="M1014" i="12908"/>
  <c r="AJ1014" i="13034" s="1"/>
  <c r="M990" i="12908"/>
  <c r="AJ990" i="13034" s="1"/>
  <c r="M230" i="12908"/>
  <c r="AJ230" i="13034" s="1"/>
  <c r="M1013" i="12908"/>
  <c r="AJ1013" i="13034" s="1"/>
  <c r="M1149" i="12908"/>
  <c r="AJ1149" i="13034" s="1"/>
  <c r="M989" i="12908"/>
  <c r="AJ989" i="13034" s="1"/>
  <c r="M544" i="12908"/>
  <c r="AJ544" i="13034" s="1"/>
  <c r="O1893" i="12908"/>
  <c r="M1061" i="12908"/>
  <c r="AJ1061" i="13034" s="1"/>
  <c r="M1037" i="12908"/>
  <c r="AJ1037" i="13034" s="1"/>
  <c r="O1896" i="12908"/>
  <c r="M1064" i="12908"/>
  <c r="AJ1064" i="13034" s="1"/>
  <c r="M547" i="12908"/>
  <c r="AJ547" i="13034" s="1"/>
  <c r="M1040" i="12908"/>
  <c r="AJ1040" i="13034" s="1"/>
  <c r="M1152" i="12908"/>
  <c r="AJ1152" i="13034" s="1"/>
  <c r="M233" i="12908"/>
  <c r="AJ233" i="13034" s="1"/>
  <c r="M1016" i="12908"/>
  <c r="AJ1016" i="13034" s="1"/>
  <c r="M992" i="12908"/>
  <c r="AJ992" i="13034" s="1"/>
  <c r="M804" i="12908"/>
  <c r="M952" i="12908"/>
  <c r="M861" i="12908"/>
  <c r="M916" i="12908"/>
  <c r="M563" i="12908"/>
  <c r="AJ563" i="13034" s="1"/>
  <c r="O724" i="12908"/>
  <c r="M253" i="12908"/>
  <c r="AJ253" i="13034" s="1"/>
  <c r="O745" i="12908"/>
  <c r="O898" i="12908"/>
  <c r="O703" i="12908"/>
  <c r="O842" i="12908"/>
  <c r="O766" i="12908"/>
  <c r="M880" i="12908"/>
  <c r="M934" i="12908"/>
  <c r="M823" i="12908"/>
  <c r="M785" i="12908"/>
  <c r="M496" i="12908"/>
  <c r="M530" i="12908"/>
  <c r="M462" i="12908"/>
  <c r="M428" i="12908"/>
  <c r="O358" i="12908"/>
  <c r="O394" i="12908"/>
  <c r="O286" i="12908"/>
  <c r="O322" i="12908"/>
  <c r="K629" i="12908"/>
  <c r="AH629" i="13034" s="1"/>
  <c r="K662" i="12908"/>
  <c r="AH662" i="13034" s="1"/>
  <c r="K596" i="12908"/>
  <c r="AH596" i="13034" s="1"/>
  <c r="K530" i="12908"/>
  <c r="AH530" i="13034" s="1"/>
  <c r="K462" i="12908"/>
  <c r="AH462" i="13034" s="1"/>
  <c r="K496" i="12908"/>
  <c r="AH496" i="13034" s="1"/>
  <c r="K428" i="12908"/>
  <c r="AH428" i="13034" s="1"/>
  <c r="O1469" i="12908"/>
  <c r="O1429" i="12908"/>
  <c r="O2308" i="12908"/>
  <c r="O1409" i="12908"/>
  <c r="W1429" i="12908" l="1"/>
  <c r="AL1429" i="13034"/>
  <c r="AJ1429" i="13015"/>
  <c r="W358" i="12908"/>
  <c r="AL358" i="13034"/>
  <c r="AJ358" i="13015"/>
  <c r="W898" i="12908"/>
  <c r="AL898" i="13034"/>
  <c r="AJ898" i="13015"/>
  <c r="W1894" i="12908"/>
  <c r="AL1894" i="13034"/>
  <c r="AJ1894" i="13015"/>
  <c r="AT250" i="13034"/>
  <c r="AI250" i="13015"/>
  <c r="W1469" i="12908"/>
  <c r="AL1469" i="13034"/>
  <c r="AJ1469" i="13015"/>
  <c r="W322" i="12908"/>
  <c r="AL322" i="13034"/>
  <c r="AJ322" i="13015"/>
  <c r="U428" i="12908"/>
  <c r="AR428" i="13034" s="1"/>
  <c r="AJ428" i="13034"/>
  <c r="U785" i="12908"/>
  <c r="AR785" i="13034" s="1"/>
  <c r="AJ785" i="13034"/>
  <c r="AL766" i="13034"/>
  <c r="AJ766" i="13015"/>
  <c r="W745" i="12908"/>
  <c r="AL745" i="13034"/>
  <c r="AJ745" i="13015"/>
  <c r="U916" i="12908"/>
  <c r="AR916" i="13034" s="1"/>
  <c r="AJ916" i="13034"/>
  <c r="AL1421" i="13034"/>
  <c r="AJ1421" i="13015"/>
  <c r="AT2235" i="13034"/>
  <c r="AI2235" i="13015"/>
  <c r="AT1449" i="13034"/>
  <c r="AI1449" i="13015"/>
  <c r="U804" i="12908"/>
  <c r="AR804" i="13034" s="1"/>
  <c r="AJ804" i="13034"/>
  <c r="W1896" i="12908"/>
  <c r="AL1896" i="13034"/>
  <c r="AJ1896" i="13015"/>
  <c r="AL2508" i="13034"/>
  <c r="AJ2508" i="13015"/>
  <c r="AL1409" i="13034"/>
  <c r="AJ1409" i="13015"/>
  <c r="W286" i="12908"/>
  <c r="AL286" i="13034"/>
  <c r="AJ286" i="13015"/>
  <c r="U462" i="12908"/>
  <c r="AR462" i="13034" s="1"/>
  <c r="AJ462" i="13034"/>
  <c r="U823" i="12908"/>
  <c r="AR823" i="13034" s="1"/>
  <c r="AJ823" i="13034"/>
  <c r="W842" i="12908"/>
  <c r="AL842" i="13034"/>
  <c r="AJ842" i="13015"/>
  <c r="U861" i="12908"/>
  <c r="AR861" i="13034" s="1"/>
  <c r="AJ861" i="13034"/>
  <c r="W1895" i="12908"/>
  <c r="AL1895" i="13034"/>
  <c r="AJ1895" i="13015"/>
  <c r="AL1461" i="13034"/>
  <c r="AJ1461" i="13015"/>
  <c r="U496" i="12908"/>
  <c r="AR496" i="13034" s="1"/>
  <c r="AJ496" i="13034"/>
  <c r="U880" i="12908"/>
  <c r="AR880" i="13034" s="1"/>
  <c r="AJ880" i="13034"/>
  <c r="AL1441" i="13034"/>
  <c r="AJ1441" i="13015"/>
  <c r="W2308" i="12908"/>
  <c r="AL2308" i="13034"/>
  <c r="AJ2308" i="13015"/>
  <c r="W394" i="12908"/>
  <c r="AL394" i="13034"/>
  <c r="AJ394" i="13015"/>
  <c r="U530" i="12908"/>
  <c r="AR530" i="13034" s="1"/>
  <c r="AJ530" i="13034"/>
  <c r="U934" i="12908"/>
  <c r="AR934" i="13034" s="1"/>
  <c r="AJ934" i="13034"/>
  <c r="W703" i="12908"/>
  <c r="AL703" i="13034"/>
  <c r="AJ703" i="13015"/>
  <c r="W724" i="12908"/>
  <c r="AL724" i="13034"/>
  <c r="AJ724" i="13015"/>
  <c r="U952" i="12908"/>
  <c r="AR952" i="13034" s="1"/>
  <c r="AJ952" i="13034"/>
  <c r="W1893" i="12908"/>
  <c r="AL1893" i="13034"/>
  <c r="AJ1893" i="13015"/>
  <c r="AL1401" i="13034"/>
  <c r="AJ1401" i="13015"/>
  <c r="AL2404" i="13034"/>
  <c r="AJ2404" i="13015"/>
  <c r="AT2300" i="13034"/>
  <c r="AI2300" i="13015"/>
  <c r="W2508" i="12908"/>
  <c r="W2404" i="12908"/>
  <c r="W1421" i="12908"/>
  <c r="W1401" i="12908"/>
  <c r="W1461" i="12908"/>
  <c r="S496" i="12908"/>
  <c r="AP496" i="13034" s="1"/>
  <c r="S662" i="12908"/>
  <c r="AP662" i="13034" s="1"/>
  <c r="U233" i="12908"/>
  <c r="AR233" i="13034" s="1"/>
  <c r="U544" i="12908"/>
  <c r="AR544" i="13034" s="1"/>
  <c r="U230" i="12908"/>
  <c r="AR230" i="13034" s="1"/>
  <c r="U1015" i="12908"/>
  <c r="AR1015" i="13034" s="1"/>
  <c r="U546" i="12908"/>
  <c r="AR546" i="13034" s="1"/>
  <c r="S462" i="12908"/>
  <c r="AP462" i="13034" s="1"/>
  <c r="S629" i="12908"/>
  <c r="AP629" i="13034" s="1"/>
  <c r="U1152" i="12908"/>
  <c r="AR1152" i="13034" s="1"/>
  <c r="U1037" i="12908"/>
  <c r="AR1037" i="13034" s="1"/>
  <c r="U989" i="12908"/>
  <c r="AR989" i="13034" s="1"/>
  <c r="U990" i="12908"/>
  <c r="AR990" i="13034" s="1"/>
  <c r="U1038" i="12908"/>
  <c r="AR1038" i="13034" s="1"/>
  <c r="U991" i="12908"/>
  <c r="AR991" i="13034" s="1"/>
  <c r="U232" i="12908"/>
  <c r="AR232" i="13034" s="1"/>
  <c r="U235" i="12908"/>
  <c r="AR235" i="13034" s="1"/>
  <c r="S530" i="12908"/>
  <c r="AP530" i="13034" s="1"/>
  <c r="U992" i="12908"/>
  <c r="AR992" i="13034" s="1"/>
  <c r="U1040" i="12908"/>
  <c r="AR1040" i="13034" s="1"/>
  <c r="U1149" i="12908"/>
  <c r="AR1149" i="13034" s="1"/>
  <c r="U1014" i="12908"/>
  <c r="AR1014" i="13034" s="1"/>
  <c r="U545" i="12908"/>
  <c r="AR545" i="13034" s="1"/>
  <c r="U1151" i="12908"/>
  <c r="AR1151" i="13034" s="1"/>
  <c r="U1049" i="12908"/>
  <c r="AR1049" i="13034" s="1"/>
  <c r="U2516" i="12908"/>
  <c r="AR2516" i="13034" s="1"/>
  <c r="W1409" i="12908"/>
  <c r="S428" i="12908"/>
  <c r="AP428" i="13034" s="1"/>
  <c r="S596" i="12908"/>
  <c r="AP596" i="13034" s="1"/>
  <c r="U253" i="12908"/>
  <c r="AR253" i="13034" s="1"/>
  <c r="U1016" i="12908"/>
  <c r="AR1016" i="13034" s="1"/>
  <c r="U547" i="12908"/>
  <c r="AR547" i="13034" s="1"/>
  <c r="U1013" i="12908"/>
  <c r="AR1013" i="13034" s="1"/>
  <c r="U1150" i="12908"/>
  <c r="AR1150" i="13034" s="1"/>
  <c r="U231" i="12908"/>
  <c r="AR231" i="13034" s="1"/>
  <c r="U1039" i="12908"/>
  <c r="AR1039" i="13034" s="1"/>
  <c r="U1025" i="12908"/>
  <c r="AR1025" i="13034" s="1"/>
  <c r="U2412" i="12908"/>
  <c r="AR2412" i="13034" s="1"/>
  <c r="W1441" i="12908"/>
  <c r="O2301" i="12908"/>
  <c r="O1402" i="12908"/>
  <c r="O1442" i="12908"/>
  <c r="O1462" i="12908"/>
  <c r="O1422" i="12908"/>
  <c r="O804" i="12908"/>
  <c r="W766" i="12908"/>
  <c r="M596" i="12908"/>
  <c r="U563" i="12908"/>
  <c r="AR563" i="13034" s="1"/>
  <c r="O2412" i="12908"/>
  <c r="O2516" i="12908"/>
  <c r="M662" i="12908"/>
  <c r="M629" i="12908"/>
  <c r="M1130" i="12908"/>
  <c r="AJ1130" i="13034" s="1"/>
  <c r="U1064" i="12908"/>
  <c r="AR1064" i="13034" s="1"/>
  <c r="M1108" i="12908"/>
  <c r="AJ1108" i="13034" s="1"/>
  <c r="M1086" i="12908"/>
  <c r="AJ1086" i="13034" s="1"/>
  <c r="O1062" i="12908"/>
  <c r="O545" i="12908"/>
  <c r="O990" i="12908"/>
  <c r="O1150" i="12908"/>
  <c r="O1014" i="12908"/>
  <c r="O231" i="12908"/>
  <c r="O1038" i="12908"/>
  <c r="O547" i="12908"/>
  <c r="O1040" i="12908"/>
  <c r="O1152" i="12908"/>
  <c r="O1016" i="12908"/>
  <c r="O1064" i="12908"/>
  <c r="O992" i="12908"/>
  <c r="O233" i="12908"/>
  <c r="M1107" i="12908"/>
  <c r="AJ1107" i="13034" s="1"/>
  <c r="M1085" i="12908"/>
  <c r="AJ1085" i="13034" s="1"/>
  <c r="M1129" i="12908"/>
  <c r="AJ1129" i="13034" s="1"/>
  <c r="U1063" i="12908"/>
  <c r="AR1063" i="13034" s="1"/>
  <c r="M549" i="12908"/>
  <c r="AJ549" i="13034" s="1"/>
  <c r="U1001" i="12908"/>
  <c r="AR1001" i="13034" s="1"/>
  <c r="M302" i="12908"/>
  <c r="AJ302" i="13034" s="1"/>
  <c r="M266" i="12908"/>
  <c r="AJ266" i="13034" s="1"/>
  <c r="M338" i="12908"/>
  <c r="AJ338" i="13034" s="1"/>
  <c r="M374" i="12908"/>
  <c r="AJ374" i="13034" s="1"/>
  <c r="U1062" i="12908"/>
  <c r="AR1062" i="13034" s="1"/>
  <c r="M1106" i="12908"/>
  <c r="AJ1106" i="13034" s="1"/>
  <c r="M1084" i="12908"/>
  <c r="AJ1084" i="13034" s="1"/>
  <c r="M1128" i="12908"/>
  <c r="AJ1128" i="13034" s="1"/>
  <c r="O1063" i="12908"/>
  <c r="O1015" i="12908"/>
  <c r="O232" i="12908"/>
  <c r="O1151" i="12908"/>
  <c r="O546" i="12908"/>
  <c r="O1039" i="12908"/>
  <c r="O991" i="12908"/>
  <c r="M1127" i="12908"/>
  <c r="AJ1127" i="13034" s="1"/>
  <c r="U1061" i="12908"/>
  <c r="AR1061" i="13034" s="1"/>
  <c r="M1083" i="12908"/>
  <c r="AJ1083" i="13034" s="1"/>
  <c r="M1105" i="12908"/>
  <c r="AJ1105" i="13034" s="1"/>
  <c r="M644" i="12908"/>
  <c r="AJ644" i="13034" s="1"/>
  <c r="M611" i="12908"/>
  <c r="AJ611" i="13034" s="1"/>
  <c r="M578" i="12908"/>
  <c r="AJ578" i="13034" s="1"/>
  <c r="M579" i="12908"/>
  <c r="AJ579" i="13034" s="1"/>
  <c r="M612" i="12908"/>
  <c r="AJ612" i="13034" s="1"/>
  <c r="M645" i="12908"/>
  <c r="AJ645" i="13034" s="1"/>
  <c r="O1025" i="12908"/>
  <c r="O235" i="12908"/>
  <c r="O1049" i="12908"/>
  <c r="O1001" i="12908"/>
  <c r="M305" i="12908"/>
  <c r="AJ305" i="13034" s="1"/>
  <c r="M377" i="12908"/>
  <c r="AJ377" i="13034" s="1"/>
  <c r="M269" i="12908"/>
  <c r="AJ269" i="13034" s="1"/>
  <c r="M341" i="12908"/>
  <c r="AJ341" i="13034" s="1"/>
  <c r="M577" i="12908"/>
  <c r="AJ577" i="13034" s="1"/>
  <c r="M610" i="12908"/>
  <c r="AJ610" i="13034" s="1"/>
  <c r="M643" i="12908"/>
  <c r="AJ643" i="13034" s="1"/>
  <c r="M580" i="12908"/>
  <c r="AJ580" i="13034" s="1"/>
  <c r="M613" i="12908"/>
  <c r="AJ613" i="13034" s="1"/>
  <c r="M646" i="12908"/>
  <c r="AJ646" i="13034" s="1"/>
  <c r="O544" i="12908"/>
  <c r="O1037" i="12908"/>
  <c r="O1149" i="12908"/>
  <c r="O1013" i="12908"/>
  <c r="O1061" i="12908"/>
  <c r="O230" i="12908"/>
  <c r="O989" i="12908"/>
  <c r="M339" i="12908"/>
  <c r="AJ339" i="13034" s="1"/>
  <c r="M375" i="12908"/>
  <c r="AJ375" i="13034" s="1"/>
  <c r="M267" i="12908"/>
  <c r="AJ267" i="13034" s="1"/>
  <c r="M303" i="12908"/>
  <c r="AJ303" i="13034" s="1"/>
  <c r="M304" i="12908"/>
  <c r="AJ304" i="13034" s="1"/>
  <c r="M376" i="12908"/>
  <c r="AJ376" i="13034" s="1"/>
  <c r="M340" i="12908"/>
  <c r="AJ340" i="13034" s="1"/>
  <c r="M268" i="12908"/>
  <c r="AJ268" i="13034" s="1"/>
  <c r="M271" i="12908"/>
  <c r="AJ271" i="13034" s="1"/>
  <c r="M343" i="12908"/>
  <c r="AJ343" i="13034" s="1"/>
  <c r="M307" i="12908"/>
  <c r="AJ307" i="13034" s="1"/>
  <c r="M379" i="12908"/>
  <c r="AJ379" i="13034" s="1"/>
  <c r="O748" i="12908"/>
  <c r="O785" i="12908"/>
  <c r="M727" i="12908"/>
  <c r="AJ727" i="13034" s="1"/>
  <c r="O880" i="12908"/>
  <c r="O952" i="12908"/>
  <c r="M748" i="12908"/>
  <c r="AJ748" i="13034" s="1"/>
  <c r="M706" i="12908"/>
  <c r="AJ706" i="13034" s="1"/>
  <c r="O823" i="12908"/>
  <c r="O916" i="12908"/>
  <c r="O563" i="12908"/>
  <c r="O861" i="12908"/>
  <c r="O934" i="12908"/>
  <c r="O428" i="12908"/>
  <c r="O496" i="12908"/>
  <c r="O530" i="12908"/>
  <c r="O462" i="12908"/>
  <c r="M325" i="12908"/>
  <c r="AJ325" i="13034" s="1"/>
  <c r="M361" i="12908"/>
  <c r="AJ361" i="13034" s="1"/>
  <c r="M289" i="12908"/>
  <c r="AJ289" i="13034" s="1"/>
  <c r="W428" i="12908" l="1"/>
  <c r="AL428" i="13034"/>
  <c r="AJ428" i="13015"/>
  <c r="W952" i="12908"/>
  <c r="AL952" i="13034"/>
  <c r="AJ952" i="13015"/>
  <c r="W990" i="12908"/>
  <c r="AL990" i="13034"/>
  <c r="AJ990" i="13015"/>
  <c r="AL1462" i="13034"/>
  <c r="AJ1462" i="13015"/>
  <c r="AT1401" i="13034"/>
  <c r="AI1401" i="13015"/>
  <c r="AT1893" i="13034"/>
  <c r="AI1893" i="13015"/>
  <c r="AT703" i="13034"/>
  <c r="AI703" i="13015"/>
  <c r="W934" i="12908"/>
  <c r="AL934" i="13034"/>
  <c r="AJ934" i="13015"/>
  <c r="W880" i="12908"/>
  <c r="AL880" i="13034"/>
  <c r="AJ880" i="13015"/>
  <c r="W1149" i="12908"/>
  <c r="AL1149" i="13034"/>
  <c r="AJ1149" i="13015"/>
  <c r="AL1025" i="13034"/>
  <c r="AJ1025" i="13015"/>
  <c r="W1039" i="12908"/>
  <c r="AL1039" i="13034"/>
  <c r="AJ1039" i="13015"/>
  <c r="AL1442" i="13034"/>
  <c r="AJ1442" i="13015"/>
  <c r="AT1421" i="13034"/>
  <c r="AI1421" i="13015"/>
  <c r="W916" i="12908"/>
  <c r="AL916" i="13034"/>
  <c r="AJ916" i="13015"/>
  <c r="W748" i="12908"/>
  <c r="AL748" i="13034"/>
  <c r="AJ748" i="13015"/>
  <c r="W1013" i="12908"/>
  <c r="AL1013" i="13034"/>
  <c r="AJ1013" i="13015"/>
  <c r="W235" i="12908"/>
  <c r="AL235" i="13034"/>
  <c r="AJ235" i="13015"/>
  <c r="W991" i="12908"/>
  <c r="AL991" i="13034"/>
  <c r="AJ991" i="13015"/>
  <c r="W232" i="12908"/>
  <c r="AL232" i="13034"/>
  <c r="AJ232" i="13015"/>
  <c r="W1016" i="12908"/>
  <c r="AL1016" i="13034"/>
  <c r="AJ1016" i="13015"/>
  <c r="W1038" i="12908"/>
  <c r="AL1038" i="13034"/>
  <c r="AJ1038" i="13015"/>
  <c r="U596" i="12908"/>
  <c r="AR596" i="13034" s="1"/>
  <c r="AJ596" i="13034"/>
  <c r="AT1409" i="13034"/>
  <c r="AI1409" i="13015"/>
  <c r="AT1896" i="13034"/>
  <c r="AI1896" i="13015"/>
  <c r="W462" i="12908"/>
  <c r="AL462" i="13034"/>
  <c r="AJ462" i="13015"/>
  <c r="W823" i="12908"/>
  <c r="AL823" i="13034"/>
  <c r="AJ823" i="13015"/>
  <c r="W1015" i="12908"/>
  <c r="AL1015" i="13034"/>
  <c r="AJ1015" i="13015"/>
  <c r="W1152" i="12908"/>
  <c r="AL1152" i="13034"/>
  <c r="AJ1152" i="13015"/>
  <c r="W545" i="12908"/>
  <c r="AL545" i="13034"/>
  <c r="AJ545" i="13015"/>
  <c r="W2516" i="12908"/>
  <c r="AL2516" i="13034"/>
  <c r="AJ2516" i="13015"/>
  <c r="W546" i="12908"/>
  <c r="AL546" i="13034"/>
  <c r="AJ546" i="13015"/>
  <c r="AL1063" i="13034"/>
  <c r="AJ1063" i="13015"/>
  <c r="W992" i="12908"/>
  <c r="AL992" i="13034"/>
  <c r="AJ992" i="13015"/>
  <c r="W1040" i="12908"/>
  <c r="AL1040" i="13034"/>
  <c r="AJ1040" i="13015"/>
  <c r="W1014" i="12908"/>
  <c r="AL1014" i="13034"/>
  <c r="AJ1014" i="13015"/>
  <c r="AL1062" i="13034"/>
  <c r="AJ1062" i="13015"/>
  <c r="W2412" i="12908"/>
  <c r="AL2412" i="13034"/>
  <c r="AJ2412" i="13015"/>
  <c r="W804" i="12908"/>
  <c r="AL804" i="13034"/>
  <c r="AJ804" i="13015"/>
  <c r="AL1402" i="13034"/>
  <c r="AJ1402" i="13015"/>
  <c r="AT2404" i="13034"/>
  <c r="AI2404" i="13015"/>
  <c r="AT2308" i="13034"/>
  <c r="AI2308" i="13015"/>
  <c r="AT842" i="13034"/>
  <c r="AI842" i="13015"/>
  <c r="AT322" i="13034"/>
  <c r="AI322" i="13015"/>
  <c r="AT1894" i="13034"/>
  <c r="AI1894" i="13015"/>
  <c r="U662" i="12908"/>
  <c r="AR662" i="13034" s="1"/>
  <c r="AJ662" i="13034"/>
  <c r="AT1441" i="13034"/>
  <c r="AI1441" i="13015"/>
  <c r="AT358" i="13034"/>
  <c r="AI358" i="13015"/>
  <c r="W989" i="12908"/>
  <c r="AL989" i="13034"/>
  <c r="AJ989" i="13015"/>
  <c r="W233" i="12908"/>
  <c r="AL233" i="13034"/>
  <c r="AJ233" i="13015"/>
  <c r="W231" i="12908"/>
  <c r="AL231" i="13034"/>
  <c r="AJ231" i="13015"/>
  <c r="AT766" i="13034"/>
  <c r="AI766" i="13015"/>
  <c r="AT724" i="13034"/>
  <c r="AI724" i="13015"/>
  <c r="AT1895" i="13034"/>
  <c r="AI1895" i="13015"/>
  <c r="AT286" i="13034"/>
  <c r="AI286" i="13015"/>
  <c r="AT745" i="13034"/>
  <c r="AI745" i="13015"/>
  <c r="AT1469" i="13034"/>
  <c r="AI1469" i="13015"/>
  <c r="AT898" i="13034"/>
  <c r="AI898" i="13015"/>
  <c r="W530" i="12908"/>
  <c r="AL530" i="13034"/>
  <c r="AJ530" i="13015"/>
  <c r="W861" i="12908"/>
  <c r="AL861" i="13034"/>
  <c r="AJ861" i="13015"/>
  <c r="W230" i="12908"/>
  <c r="AL230" i="13034"/>
  <c r="AJ230" i="13015"/>
  <c r="W1037" i="12908"/>
  <c r="AL1037" i="13034"/>
  <c r="AJ1037" i="13015"/>
  <c r="AL1001" i="13034"/>
  <c r="AJ1001" i="13015"/>
  <c r="W496" i="12908"/>
  <c r="AL496" i="13034"/>
  <c r="AJ496" i="13015"/>
  <c r="AL563" i="13034"/>
  <c r="AJ563" i="13015"/>
  <c r="W785" i="12908"/>
  <c r="AL785" i="13034"/>
  <c r="AJ785" i="13015"/>
  <c r="AL1061" i="13034"/>
  <c r="AJ1061" i="13015"/>
  <c r="W544" i="12908"/>
  <c r="AL544" i="13034"/>
  <c r="AJ544" i="13015"/>
  <c r="W1049" i="12908"/>
  <c r="AL1049" i="13034"/>
  <c r="AJ1049" i="13015"/>
  <c r="W1151" i="12908"/>
  <c r="AL1151" i="13034"/>
  <c r="AJ1151" i="13015"/>
  <c r="AL1064" i="13034"/>
  <c r="AJ1064" i="13015"/>
  <c r="W547" i="12908"/>
  <c r="AL547" i="13034"/>
  <c r="AJ547" i="13015"/>
  <c r="W1150" i="12908"/>
  <c r="AL1150" i="13034"/>
  <c r="AJ1150" i="13015"/>
  <c r="U629" i="12908"/>
  <c r="AR629" i="13034" s="1"/>
  <c r="AJ629" i="13034"/>
  <c r="AL1422" i="13034"/>
  <c r="AJ1422" i="13015"/>
  <c r="AL2301" i="13034"/>
  <c r="AJ2301" i="13015"/>
  <c r="AT1461" i="13034"/>
  <c r="AI1461" i="13015"/>
  <c r="AT2508" i="13034"/>
  <c r="AI2508" i="13015"/>
  <c r="AT394" i="13034"/>
  <c r="AI394" i="13015"/>
  <c r="AT1429" i="13034"/>
  <c r="AI1429" i="13015"/>
  <c r="W1442" i="12908"/>
  <c r="W1402" i="12908"/>
  <c r="W1422" i="12908"/>
  <c r="W2301" i="12908"/>
  <c r="W1462" i="12908"/>
  <c r="W1025" i="12908"/>
  <c r="U303" i="12908"/>
  <c r="AR303" i="13034" s="1"/>
  <c r="U613" i="12908"/>
  <c r="AR613" i="13034" s="1"/>
  <c r="U611" i="12908"/>
  <c r="AR611" i="13034" s="1"/>
  <c r="U302" i="12908"/>
  <c r="AR302" i="13034" s="1"/>
  <c r="U289" i="12908"/>
  <c r="AR289" i="13034" s="1"/>
  <c r="U706" i="12908"/>
  <c r="AR706" i="13034" s="1"/>
  <c r="U727" i="12908"/>
  <c r="AR727" i="13034" s="1"/>
  <c r="U307" i="12908"/>
  <c r="AR307" i="13034" s="1"/>
  <c r="U340" i="12908"/>
  <c r="AR340" i="13034" s="1"/>
  <c r="U267" i="12908"/>
  <c r="AR267" i="13034" s="1"/>
  <c r="U580" i="12908"/>
  <c r="AR580" i="13034" s="1"/>
  <c r="U643" i="12908"/>
  <c r="AR643" i="13034" s="1"/>
  <c r="U269" i="12908"/>
  <c r="AR269" i="13034" s="1"/>
  <c r="U612" i="12908"/>
  <c r="AR612" i="13034" s="1"/>
  <c r="U644" i="12908"/>
  <c r="AR644" i="13034" s="1"/>
  <c r="U1127" i="12908"/>
  <c r="AR1127" i="13034" s="1"/>
  <c r="U1128" i="12908"/>
  <c r="AR1128" i="13034" s="1"/>
  <c r="U1107" i="12908"/>
  <c r="AR1107" i="13034" s="1"/>
  <c r="U1108" i="12908"/>
  <c r="AR1108" i="13034" s="1"/>
  <c r="U268" i="12908"/>
  <c r="AR268" i="13034" s="1"/>
  <c r="U341" i="12908"/>
  <c r="AR341" i="13034" s="1"/>
  <c r="U645" i="12908"/>
  <c r="AR645" i="13034" s="1"/>
  <c r="U1085" i="12908"/>
  <c r="AR1085" i="13034" s="1"/>
  <c r="U748" i="12908"/>
  <c r="AR748" i="13034" s="1"/>
  <c r="U343" i="12908"/>
  <c r="AR343" i="13034" s="1"/>
  <c r="U610" i="12908"/>
  <c r="AR610" i="13034" s="1"/>
  <c r="U579" i="12908"/>
  <c r="AR579" i="13034" s="1"/>
  <c r="U1105" i="12908"/>
  <c r="AR1105" i="13034" s="1"/>
  <c r="U1084" i="12908"/>
  <c r="AR1084" i="13034" s="1"/>
  <c r="U338" i="12908"/>
  <c r="AR338" i="13034" s="1"/>
  <c r="U549" i="12908"/>
  <c r="AR549" i="13034" s="1"/>
  <c r="U361" i="12908"/>
  <c r="AR361" i="13034" s="1"/>
  <c r="U325" i="12908"/>
  <c r="AR325" i="13034" s="1"/>
  <c r="U271" i="12908"/>
  <c r="AR271" i="13034" s="1"/>
  <c r="U304" i="12908"/>
  <c r="AR304" i="13034" s="1"/>
  <c r="U339" i="12908"/>
  <c r="AR339" i="13034" s="1"/>
  <c r="U646" i="12908"/>
  <c r="AR646" i="13034" s="1"/>
  <c r="U577" i="12908"/>
  <c r="AR577" i="13034" s="1"/>
  <c r="U305" i="12908"/>
  <c r="AR305" i="13034" s="1"/>
  <c r="U578" i="12908"/>
  <c r="AR578" i="13034" s="1"/>
  <c r="U1083" i="12908"/>
  <c r="AR1083" i="13034" s="1"/>
  <c r="U1106" i="12908"/>
  <c r="AR1106" i="13034" s="1"/>
  <c r="U266" i="12908"/>
  <c r="AR266" i="13034" s="1"/>
  <c r="U1129" i="12908"/>
  <c r="AR1129" i="13034" s="1"/>
  <c r="U1130" i="12908"/>
  <c r="AR1130" i="13034" s="1"/>
  <c r="U1086" i="12908"/>
  <c r="AR1086" i="13034" s="1"/>
  <c r="K1988" i="12908"/>
  <c r="O2509" i="12908"/>
  <c r="O2405" i="12908"/>
  <c r="M410" i="12908"/>
  <c r="AJ410" i="13034" s="1"/>
  <c r="U376" i="12908"/>
  <c r="AR376" i="13034" s="1"/>
  <c r="M409" i="12908"/>
  <c r="AJ409" i="13034" s="1"/>
  <c r="U375" i="12908"/>
  <c r="AR375" i="13034" s="1"/>
  <c r="M411" i="12908"/>
  <c r="AJ411" i="13034" s="1"/>
  <c r="U377" i="12908"/>
  <c r="AR377" i="13034" s="1"/>
  <c r="U379" i="12908"/>
  <c r="AR379" i="13034" s="1"/>
  <c r="M413" i="12908"/>
  <c r="AJ413" i="13034" s="1"/>
  <c r="U374" i="12908"/>
  <c r="AR374" i="13034" s="1"/>
  <c r="M408" i="12908"/>
  <c r="AJ408" i="13034" s="1"/>
  <c r="O596" i="12908"/>
  <c r="W563" i="12908"/>
  <c r="O706" i="12908"/>
  <c r="O727" i="12908"/>
  <c r="O253" i="12908"/>
  <c r="M444" i="12908"/>
  <c r="AJ444" i="13034" s="1"/>
  <c r="M512" i="12908"/>
  <c r="AJ512" i="13034" s="1"/>
  <c r="M478" i="12908"/>
  <c r="AJ478" i="13034" s="1"/>
  <c r="O1105" i="12908"/>
  <c r="O1127" i="12908"/>
  <c r="O1083" i="12908"/>
  <c r="W1061" i="12908"/>
  <c r="O1086" i="12908"/>
  <c r="O1108" i="12908"/>
  <c r="O1130" i="12908"/>
  <c r="W1064" i="12908"/>
  <c r="O613" i="12908"/>
  <c r="O646" i="12908"/>
  <c r="O580" i="12908"/>
  <c r="M479" i="12908"/>
  <c r="AJ479" i="13034" s="1"/>
  <c r="M445" i="12908"/>
  <c r="AJ445" i="13034" s="1"/>
  <c r="M513" i="12908"/>
  <c r="AJ513" i="13034" s="1"/>
  <c r="O271" i="12908"/>
  <c r="O379" i="12908"/>
  <c r="O307" i="12908"/>
  <c r="O343" i="12908"/>
  <c r="O579" i="12908"/>
  <c r="O612" i="12908"/>
  <c r="O645" i="12908"/>
  <c r="W1063" i="12908"/>
  <c r="O1129" i="12908"/>
  <c r="O1107" i="12908"/>
  <c r="O1085" i="12908"/>
  <c r="M615" i="12908"/>
  <c r="AJ615" i="13034" s="1"/>
  <c r="M648" i="12908"/>
  <c r="AJ648" i="13034" s="1"/>
  <c r="M582" i="12908"/>
  <c r="AJ582" i="13034" s="1"/>
  <c r="M447" i="12908"/>
  <c r="AJ447" i="13034" s="1"/>
  <c r="M481" i="12908"/>
  <c r="AJ481" i="13034" s="1"/>
  <c r="M515" i="12908"/>
  <c r="AJ515" i="13034" s="1"/>
  <c r="M442" i="12908"/>
  <c r="AJ442" i="13034" s="1"/>
  <c r="M476" i="12908"/>
  <c r="AJ476" i="13034" s="1"/>
  <c r="M510" i="12908"/>
  <c r="AJ510" i="13034" s="1"/>
  <c r="O269" i="12908"/>
  <c r="O341" i="12908"/>
  <c r="O377" i="12908"/>
  <c r="O305" i="12908"/>
  <c r="O267" i="12908"/>
  <c r="O303" i="12908"/>
  <c r="O339" i="12908"/>
  <c r="O375" i="12908"/>
  <c r="O644" i="12908"/>
  <c r="O578" i="12908"/>
  <c r="O611" i="12908"/>
  <c r="M443" i="12908"/>
  <c r="AJ443" i="13034" s="1"/>
  <c r="M511" i="12908"/>
  <c r="AJ511" i="13034" s="1"/>
  <c r="M477" i="12908"/>
  <c r="AJ477" i="13034" s="1"/>
  <c r="O610" i="12908"/>
  <c r="O643" i="12908"/>
  <c r="O577" i="12908"/>
  <c r="O374" i="12908"/>
  <c r="O266" i="12908"/>
  <c r="O338" i="12908"/>
  <c r="O302" i="12908"/>
  <c r="W1001" i="12908"/>
  <c r="O549" i="12908"/>
  <c r="O268" i="12908"/>
  <c r="O304" i="12908"/>
  <c r="O376" i="12908"/>
  <c r="O340" i="12908"/>
  <c r="O1128" i="12908"/>
  <c r="O1106" i="12908"/>
  <c r="W1062" i="12908"/>
  <c r="O1084" i="12908"/>
  <c r="O662" i="12908"/>
  <c r="O629" i="12908"/>
  <c r="W268" i="12908" l="1"/>
  <c r="AL268" i="13034"/>
  <c r="AJ268" i="13015"/>
  <c r="AT1063" i="13034"/>
  <c r="AI1063" i="13015"/>
  <c r="W646" i="12908"/>
  <c r="AL646" i="13034"/>
  <c r="AJ646" i="13015"/>
  <c r="W1108" i="12908"/>
  <c r="AL1108" i="13034"/>
  <c r="AJ1108" i="13015"/>
  <c r="AT563" i="13034"/>
  <c r="AI563" i="13015"/>
  <c r="AT1422" i="13034"/>
  <c r="AI1422" i="13015"/>
  <c r="AT989" i="13034"/>
  <c r="AI989" i="13015"/>
  <c r="AT2412" i="13034"/>
  <c r="AI2412" i="13015"/>
  <c r="AT952" i="13034"/>
  <c r="AI952" i="13015"/>
  <c r="W1084" i="12908"/>
  <c r="AL1084" i="13034"/>
  <c r="AJ1084" i="13015"/>
  <c r="W340" i="12908"/>
  <c r="AL340" i="13034"/>
  <c r="AJ340" i="13015"/>
  <c r="W549" i="12908"/>
  <c r="AL549" i="13034"/>
  <c r="AJ549" i="13015"/>
  <c r="W266" i="12908"/>
  <c r="AL266" i="13034"/>
  <c r="AJ266" i="13015"/>
  <c r="W610" i="12908"/>
  <c r="AL610" i="13034"/>
  <c r="AJ610" i="13015"/>
  <c r="W611" i="12908"/>
  <c r="AL611" i="13034"/>
  <c r="AJ611" i="13015"/>
  <c r="W339" i="12908"/>
  <c r="AL339" i="13034"/>
  <c r="AJ339" i="13015"/>
  <c r="AL377" i="13034"/>
  <c r="AJ377" i="13015"/>
  <c r="W1085" i="12908"/>
  <c r="AL1085" i="13034"/>
  <c r="AJ1085" i="13015"/>
  <c r="W645" i="12908"/>
  <c r="AL645" i="13034"/>
  <c r="AJ645" i="13015"/>
  <c r="W307" i="12908"/>
  <c r="AL307" i="13034"/>
  <c r="AJ307" i="13015"/>
  <c r="W613" i="12908"/>
  <c r="AL613" i="13034"/>
  <c r="AJ613" i="13015"/>
  <c r="W1086" i="12908"/>
  <c r="AL1086" i="13034"/>
  <c r="AJ1086" i="13015"/>
  <c r="W1105" i="12908"/>
  <c r="AL1105" i="13034"/>
  <c r="AJ1105" i="13015"/>
  <c r="AL253" i="13034"/>
  <c r="AJ253" i="13015"/>
  <c r="W596" i="12908"/>
  <c r="AL596" i="13034"/>
  <c r="AJ596" i="13015"/>
  <c r="AL2509" i="13034"/>
  <c r="AJ2509" i="13015"/>
  <c r="AT1025" i="13034"/>
  <c r="AI1025" i="13015"/>
  <c r="AT1402" i="13034"/>
  <c r="AI1402" i="13015"/>
  <c r="AT544" i="13034"/>
  <c r="AI544" i="13015"/>
  <c r="AT530" i="13034"/>
  <c r="AI530" i="13015"/>
  <c r="AT233" i="13034"/>
  <c r="AI233" i="13015"/>
  <c r="AT804" i="13034"/>
  <c r="AI804" i="13015"/>
  <c r="AT1014" i="13034"/>
  <c r="AI1014" i="13015"/>
  <c r="AT1152" i="13034"/>
  <c r="AI1152" i="13015"/>
  <c r="AT232" i="13034"/>
  <c r="AI232" i="13015"/>
  <c r="AT748" i="13034"/>
  <c r="AI748" i="13015"/>
  <c r="AT990" i="13034"/>
  <c r="AI990" i="13015"/>
  <c r="W1128" i="12908"/>
  <c r="AL1128" i="13034"/>
  <c r="AJ1128" i="13015"/>
  <c r="W643" i="12908"/>
  <c r="AL643" i="13034"/>
  <c r="AJ643" i="13015"/>
  <c r="AL375" i="13034"/>
  <c r="AJ375" i="13015"/>
  <c r="W1127" i="12908"/>
  <c r="AL1127" i="13034"/>
  <c r="AJ1127" i="13015"/>
  <c r="AT1037" i="13034"/>
  <c r="AI1037" i="13015"/>
  <c r="AT546" i="13034"/>
  <c r="AI546" i="13015"/>
  <c r="AT1015" i="13034"/>
  <c r="AI1015" i="13015"/>
  <c r="AT991" i="13034"/>
  <c r="AI991" i="13015"/>
  <c r="AT1062" i="13034"/>
  <c r="AI1062" i="13015"/>
  <c r="AL376" i="13034"/>
  <c r="AJ376" i="13015"/>
  <c r="AT1001" i="13034"/>
  <c r="AI1001" i="13015"/>
  <c r="AL374" i="13034"/>
  <c r="AJ374" i="13015"/>
  <c r="W578" i="12908"/>
  <c r="AL578" i="13034"/>
  <c r="AJ578" i="13015"/>
  <c r="W303" i="12908"/>
  <c r="AL303" i="13034"/>
  <c r="AJ303" i="13015"/>
  <c r="W341" i="12908"/>
  <c r="AL341" i="13034"/>
  <c r="AJ341" i="13015"/>
  <c r="W1107" i="12908"/>
  <c r="AL1107" i="13034"/>
  <c r="AJ1107" i="13015"/>
  <c r="W612" i="12908"/>
  <c r="AL612" i="13034"/>
  <c r="AJ612" i="13015"/>
  <c r="AL379" i="13034"/>
  <c r="AJ379" i="13015"/>
  <c r="AT1064" i="13034"/>
  <c r="AI1064" i="13015"/>
  <c r="AT1061" i="13034"/>
  <c r="AI1061" i="13015"/>
  <c r="W727" i="12908"/>
  <c r="AL727" i="13034"/>
  <c r="AJ727" i="13015"/>
  <c r="K2036" i="12908"/>
  <c r="AH1988" i="13034"/>
  <c r="AT1462" i="13034"/>
  <c r="AI1462" i="13015"/>
  <c r="AT1442" i="13034"/>
  <c r="AI1442" i="13015"/>
  <c r="AT547" i="13034"/>
  <c r="AI547" i="13015"/>
  <c r="AT1049" i="13034"/>
  <c r="AI1049" i="13015"/>
  <c r="AT785" i="13034"/>
  <c r="AI785" i="13015"/>
  <c r="AT861" i="13034"/>
  <c r="AI861" i="13015"/>
  <c r="AT231" i="13034"/>
  <c r="AI231" i="13015"/>
  <c r="AT545" i="13034"/>
  <c r="AI545" i="13015"/>
  <c r="AT462" i="13034"/>
  <c r="AI462" i="13015"/>
  <c r="AT1016" i="13034"/>
  <c r="AI1016" i="13015"/>
  <c r="AT1013" i="13034"/>
  <c r="AI1013" i="13015"/>
  <c r="AT934" i="13034"/>
  <c r="AI934" i="13015"/>
  <c r="W662" i="12908"/>
  <c r="AL662" i="13034"/>
  <c r="AJ662" i="13015"/>
  <c r="W338" i="12908"/>
  <c r="AL338" i="13034"/>
  <c r="AJ338" i="13015"/>
  <c r="W305" i="12908"/>
  <c r="AL305" i="13034"/>
  <c r="AJ305" i="13015"/>
  <c r="W343" i="12908"/>
  <c r="AL343" i="13034"/>
  <c r="AJ343" i="13015"/>
  <c r="AL2405" i="13034"/>
  <c r="AJ2405" i="13015"/>
  <c r="AT1040" i="13034"/>
  <c r="AI1040" i="13015"/>
  <c r="AT916" i="13034"/>
  <c r="AI916" i="13015"/>
  <c r="AT1149" i="13034"/>
  <c r="AI1149" i="13015"/>
  <c r="W629" i="12908"/>
  <c r="AL629" i="13034"/>
  <c r="AJ629" i="13015"/>
  <c r="W1106" i="12908"/>
  <c r="AL1106" i="13034"/>
  <c r="AJ1106" i="13015"/>
  <c r="W304" i="12908"/>
  <c r="AL304" i="13034"/>
  <c r="AJ304" i="13015"/>
  <c r="W302" i="12908"/>
  <c r="AL302" i="13034"/>
  <c r="AJ302" i="13015"/>
  <c r="W577" i="12908"/>
  <c r="AL577" i="13034"/>
  <c r="AJ577" i="13015"/>
  <c r="W644" i="12908"/>
  <c r="AL644" i="13034"/>
  <c r="AJ644" i="13015"/>
  <c r="W267" i="12908"/>
  <c r="AL267" i="13034"/>
  <c r="AJ267" i="13015"/>
  <c r="W269" i="12908"/>
  <c r="AL269" i="13034"/>
  <c r="AJ269" i="13015"/>
  <c r="W1129" i="12908"/>
  <c r="AL1129" i="13034"/>
  <c r="AJ1129" i="13015"/>
  <c r="W579" i="12908"/>
  <c r="AL579" i="13034"/>
  <c r="AJ579" i="13015"/>
  <c r="W271" i="12908"/>
  <c r="AL271" i="13034"/>
  <c r="AJ271" i="13015"/>
  <c r="W580" i="12908"/>
  <c r="AL580" i="13034"/>
  <c r="AJ580" i="13015"/>
  <c r="W1130" i="12908"/>
  <c r="AL1130" i="13034"/>
  <c r="AJ1130" i="13015"/>
  <c r="W1083" i="12908"/>
  <c r="AL1083" i="13034"/>
  <c r="AJ1083" i="13015"/>
  <c r="W706" i="12908"/>
  <c r="AL706" i="13034"/>
  <c r="AJ706" i="13015"/>
  <c r="AT2301" i="13034"/>
  <c r="AI2301" i="13015"/>
  <c r="AT1150" i="13034"/>
  <c r="AI1150" i="13015"/>
  <c r="AT1151" i="13034"/>
  <c r="AI1151" i="13015"/>
  <c r="AT496" i="13034"/>
  <c r="AI496" i="13015"/>
  <c r="AT230" i="13034"/>
  <c r="AI230" i="13015"/>
  <c r="AT992" i="13034"/>
  <c r="AI992" i="13015"/>
  <c r="AT2516" i="13034"/>
  <c r="AI2516" i="13015"/>
  <c r="AT823" i="13034"/>
  <c r="AI823" i="13015"/>
  <c r="AT1038" i="13034"/>
  <c r="AI1038" i="13015"/>
  <c r="AT235" i="13034"/>
  <c r="AI235" i="13015"/>
  <c r="AT1039" i="13034"/>
  <c r="AI1039" i="13015"/>
  <c r="AT880" i="13034"/>
  <c r="AI880" i="13015"/>
  <c r="AT428" i="13034"/>
  <c r="AI428" i="13015"/>
  <c r="W2405" i="12908"/>
  <c r="W2509" i="12908"/>
  <c r="U444" i="12908"/>
  <c r="AR444" i="13034" s="1"/>
  <c r="U511" i="12908"/>
  <c r="AR511" i="13034" s="1"/>
  <c r="U481" i="12908"/>
  <c r="AR481" i="13034" s="1"/>
  <c r="U615" i="12908"/>
  <c r="AR615" i="13034" s="1"/>
  <c r="U513" i="12908"/>
  <c r="AR513" i="13034" s="1"/>
  <c r="U409" i="12908"/>
  <c r="AR409" i="13034" s="1"/>
  <c r="U477" i="12908"/>
  <c r="AR477" i="13034" s="1"/>
  <c r="U442" i="12908"/>
  <c r="AR442" i="13034" s="1"/>
  <c r="U515" i="12908"/>
  <c r="AR515" i="13034" s="1"/>
  <c r="U648" i="12908"/>
  <c r="AR648" i="13034" s="1"/>
  <c r="U408" i="12908"/>
  <c r="AR408" i="13034" s="1"/>
  <c r="U413" i="12908"/>
  <c r="AR413" i="13034" s="1"/>
  <c r="U443" i="12908"/>
  <c r="AR443" i="13034" s="1"/>
  <c r="U510" i="12908"/>
  <c r="AR510" i="13034" s="1"/>
  <c r="U447" i="12908"/>
  <c r="AR447" i="13034" s="1"/>
  <c r="U445" i="12908"/>
  <c r="AR445" i="13034" s="1"/>
  <c r="U478" i="12908"/>
  <c r="AR478" i="13034" s="1"/>
  <c r="U476" i="12908"/>
  <c r="AR476" i="13034" s="1"/>
  <c r="U582" i="12908"/>
  <c r="AR582" i="13034" s="1"/>
  <c r="U479" i="12908"/>
  <c r="AR479" i="13034" s="1"/>
  <c r="U512" i="12908"/>
  <c r="AR512" i="13034" s="1"/>
  <c r="U411" i="12908"/>
  <c r="AR411" i="13034" s="1"/>
  <c r="U410" i="12908"/>
  <c r="AR410" i="13034" s="1"/>
  <c r="K2012" i="12908"/>
  <c r="O1988" i="12908"/>
  <c r="K2060" i="12908"/>
  <c r="K2084" i="12908"/>
  <c r="AH2084" i="13034" s="1"/>
  <c r="W375" i="12908"/>
  <c r="O409" i="12908"/>
  <c r="O411" i="12908"/>
  <c r="W377" i="12908"/>
  <c r="W379" i="12908"/>
  <c r="O413" i="12908"/>
  <c r="O408" i="12908"/>
  <c r="W374" i="12908"/>
  <c r="W376" i="12908"/>
  <c r="O410" i="12908"/>
  <c r="O325" i="12908"/>
  <c r="W253" i="12908"/>
  <c r="M2065" i="12908"/>
  <c r="M2041" i="12908"/>
  <c r="M2017" i="12908"/>
  <c r="O289" i="12908"/>
  <c r="O361" i="12908"/>
  <c r="O582" i="12908"/>
  <c r="O615" i="12908"/>
  <c r="O648" i="12908"/>
  <c r="O511" i="12908"/>
  <c r="O477" i="12908"/>
  <c r="O443" i="12908"/>
  <c r="O481" i="12908"/>
  <c r="O515" i="12908"/>
  <c r="O447" i="12908"/>
  <c r="O444" i="12908"/>
  <c r="O512" i="12908"/>
  <c r="O478" i="12908"/>
  <c r="O476" i="12908"/>
  <c r="O510" i="12908"/>
  <c r="O442" i="12908"/>
  <c r="O513" i="12908"/>
  <c r="O445" i="12908"/>
  <c r="O479" i="12908"/>
  <c r="W512" i="12908" l="1"/>
  <c r="AL512" i="13034"/>
  <c r="AJ512" i="13015"/>
  <c r="W648" i="12908"/>
  <c r="AL648" i="13034"/>
  <c r="AJ648" i="13015"/>
  <c r="AT253" i="13034"/>
  <c r="AI253" i="13015"/>
  <c r="AT1083" i="13034"/>
  <c r="AI1083" i="13015"/>
  <c r="AT579" i="13034"/>
  <c r="AI579" i="13015"/>
  <c r="AT644" i="13034"/>
  <c r="AI644" i="13015"/>
  <c r="AT338" i="13034"/>
  <c r="AI338" i="13015"/>
  <c r="AT339" i="13034"/>
  <c r="AI339" i="13015"/>
  <c r="W444" i="12908"/>
  <c r="AL444" i="13034"/>
  <c r="AJ444" i="13015"/>
  <c r="W443" i="12908"/>
  <c r="AL443" i="13034"/>
  <c r="AJ443" i="13015"/>
  <c r="AL325" i="13034"/>
  <c r="AJ325" i="13015"/>
  <c r="S2060" i="12908"/>
  <c r="AP2060" i="13034" s="1"/>
  <c r="AH2060" i="13034"/>
  <c r="AT706" i="13034"/>
  <c r="AI706" i="13015"/>
  <c r="AT271" i="13034"/>
  <c r="AI271" i="13015"/>
  <c r="AT267" i="13034"/>
  <c r="AI267" i="13015"/>
  <c r="AT304" i="13034"/>
  <c r="AI304" i="13015"/>
  <c r="AT305" i="13034"/>
  <c r="AI305" i="13015"/>
  <c r="S2036" i="12908"/>
  <c r="AP2036" i="13034" s="1"/>
  <c r="AH2036" i="13034"/>
  <c r="AT612" i="13034"/>
  <c r="AI612" i="13015"/>
  <c r="AT578" i="13034"/>
  <c r="AI578" i="13015"/>
  <c r="AT643" i="13034"/>
  <c r="AI643" i="13015"/>
  <c r="AT307" i="13034"/>
  <c r="AI307" i="13015"/>
  <c r="AT266" i="13034"/>
  <c r="AI266" i="13015"/>
  <c r="AT1106" i="13034"/>
  <c r="AI1106" i="13015"/>
  <c r="AT1107" i="13034"/>
  <c r="AI1107" i="13015"/>
  <c r="AT1127" i="13034"/>
  <c r="AI1127" i="13015"/>
  <c r="W479" i="12908"/>
  <c r="AL479" i="13034"/>
  <c r="AJ479" i="13015"/>
  <c r="W615" i="12908"/>
  <c r="AL615" i="13034"/>
  <c r="AJ615" i="13015"/>
  <c r="W408" i="12908"/>
  <c r="AL408" i="13034"/>
  <c r="AJ408" i="13015"/>
  <c r="W445" i="12908"/>
  <c r="AL445" i="13034"/>
  <c r="AJ445" i="13015"/>
  <c r="W476" i="12908"/>
  <c r="AL476" i="13034"/>
  <c r="AJ476" i="13015"/>
  <c r="W447" i="12908"/>
  <c r="AL447" i="13034"/>
  <c r="AJ447" i="13015"/>
  <c r="W477" i="12908"/>
  <c r="AL477" i="13034"/>
  <c r="AJ477" i="13015"/>
  <c r="W582" i="12908"/>
  <c r="AL582" i="13034"/>
  <c r="AJ582" i="13015"/>
  <c r="U2041" i="12908"/>
  <c r="AR2041" i="13034" s="1"/>
  <c r="AJ2041" i="13034"/>
  <c r="W410" i="12908"/>
  <c r="AL410" i="13034"/>
  <c r="AJ410" i="13015"/>
  <c r="W413" i="12908"/>
  <c r="AL413" i="13034"/>
  <c r="AJ413" i="13015"/>
  <c r="W409" i="12908"/>
  <c r="AL409" i="13034"/>
  <c r="AJ409" i="13015"/>
  <c r="O1988" i="13015"/>
  <c r="AL1988" i="13034"/>
  <c r="AT580" i="13034"/>
  <c r="AI580" i="13015"/>
  <c r="AT269" i="13034"/>
  <c r="AI269" i="13015"/>
  <c r="AT302" i="13034"/>
  <c r="AI302" i="13015"/>
  <c r="AT343" i="13034"/>
  <c r="AI343" i="13015"/>
  <c r="AT303" i="13034"/>
  <c r="AI303" i="13015"/>
  <c r="AT613" i="13034"/>
  <c r="AI613" i="13015"/>
  <c r="AT610" i="13034"/>
  <c r="AI610" i="13015"/>
  <c r="AT1084" i="13034"/>
  <c r="AI1084" i="13015"/>
  <c r="AT646" i="13034"/>
  <c r="AI646" i="13015"/>
  <c r="W442" i="12908"/>
  <c r="AL442" i="13034"/>
  <c r="AJ442" i="13015"/>
  <c r="W481" i="12908"/>
  <c r="AL481" i="13034"/>
  <c r="AJ481" i="13015"/>
  <c r="AL289" i="13034"/>
  <c r="AJ289" i="13015"/>
  <c r="AT374" i="13034"/>
  <c r="AI374" i="13015"/>
  <c r="AT377" i="13034"/>
  <c r="AI377" i="13015"/>
  <c r="AT2405" i="13034"/>
  <c r="AI2405" i="13015"/>
  <c r="AT727" i="13034"/>
  <c r="AI727" i="13015"/>
  <c r="AT1128" i="13034"/>
  <c r="AI1128" i="13015"/>
  <c r="AT1105" i="13034"/>
  <c r="AI1105" i="13015"/>
  <c r="AT645" i="13034"/>
  <c r="AI645" i="13015"/>
  <c r="AT549" i="13034"/>
  <c r="AI549" i="13015"/>
  <c r="W510" i="12908"/>
  <c r="AL510" i="13034"/>
  <c r="AJ510" i="13015"/>
  <c r="U2017" i="12908"/>
  <c r="AR2017" i="13034" s="1"/>
  <c r="AJ2017" i="13034"/>
  <c r="W411" i="12908"/>
  <c r="AL411" i="13034"/>
  <c r="AJ411" i="13015"/>
  <c r="W513" i="12908"/>
  <c r="AL513" i="13034"/>
  <c r="AJ513" i="13015"/>
  <c r="W478" i="12908"/>
  <c r="AL478" i="13034"/>
  <c r="AJ478" i="13015"/>
  <c r="W515" i="12908"/>
  <c r="AL515" i="13034"/>
  <c r="AJ515" i="13015"/>
  <c r="W511" i="12908"/>
  <c r="AL511" i="13034"/>
  <c r="AJ511" i="13015"/>
  <c r="AL361" i="13034"/>
  <c r="AJ361" i="13015"/>
  <c r="U2065" i="12908"/>
  <c r="AR2065" i="13034" s="1"/>
  <c r="AJ2065" i="13034"/>
  <c r="AT376" i="13034"/>
  <c r="AI376" i="13015"/>
  <c r="AT379" i="13034"/>
  <c r="AI379" i="13015"/>
  <c r="AT375" i="13034"/>
  <c r="AI375" i="13015"/>
  <c r="S2012" i="12908"/>
  <c r="AP2012" i="13034" s="1"/>
  <c r="AH2012" i="13034"/>
  <c r="AT2509" i="13034"/>
  <c r="AI2509" i="13015"/>
  <c r="AT1130" i="13034"/>
  <c r="AI1130" i="13015"/>
  <c r="AT1129" i="13034"/>
  <c r="AI1129" i="13015"/>
  <c r="AT577" i="13034"/>
  <c r="AI577" i="13015"/>
  <c r="AT629" i="13034"/>
  <c r="AI629" i="13015"/>
  <c r="AT662" i="13034"/>
  <c r="AI662" i="13015"/>
  <c r="AT341" i="13034"/>
  <c r="AI341" i="13015"/>
  <c r="AT596" i="13034"/>
  <c r="AI596" i="13015"/>
  <c r="AT1086" i="13034"/>
  <c r="AI1086" i="13015"/>
  <c r="AT1085" i="13034"/>
  <c r="AI1085" i="13015"/>
  <c r="AT611" i="13034"/>
  <c r="AI611" i="13015"/>
  <c r="AT340" i="13034"/>
  <c r="AI340" i="13015"/>
  <c r="AT1108" i="13034"/>
  <c r="AI1108" i="13015"/>
  <c r="AT268" i="13034"/>
  <c r="AI268" i="13015"/>
  <c r="W361" i="12908"/>
  <c r="W289" i="12908"/>
  <c r="W325" i="12908"/>
  <c r="K2106" i="12908"/>
  <c r="AH2106" i="13034" s="1"/>
  <c r="K2150" i="12908"/>
  <c r="S2084" i="12908"/>
  <c r="AP2084" i="13034" s="1"/>
  <c r="K2128" i="12908"/>
  <c r="AH2128" i="13034" s="1"/>
  <c r="O2036" i="12908"/>
  <c r="AL2036" i="13034" s="1"/>
  <c r="O2060" i="12908"/>
  <c r="AL2060" i="13034" s="1"/>
  <c r="O2084" i="12908"/>
  <c r="AL2084" i="13034" s="1"/>
  <c r="O2012" i="12908"/>
  <c r="AL2012" i="13034" s="1"/>
  <c r="S2150" i="12908" l="1"/>
  <c r="AP2150" i="13034" s="1"/>
  <c r="AH2150" i="13034"/>
  <c r="AT361" i="13034"/>
  <c r="AI361" i="13015"/>
  <c r="AT513" i="13034"/>
  <c r="AI513" i="13015"/>
  <c r="AT510" i="13034"/>
  <c r="AI510" i="13015"/>
  <c r="AT442" i="13034"/>
  <c r="AI442" i="13015"/>
  <c r="M1988" i="13015"/>
  <c r="AJ1988" i="13015"/>
  <c r="AT447" i="13034"/>
  <c r="AI447" i="13015"/>
  <c r="AT615" i="13034"/>
  <c r="AI615" i="13015"/>
  <c r="AT648" i="13034"/>
  <c r="AI648" i="13015"/>
  <c r="AT478" i="13034"/>
  <c r="AI478" i="13015"/>
  <c r="AT481" i="13034"/>
  <c r="AI481" i="13015"/>
  <c r="AT410" i="13034"/>
  <c r="AI410" i="13015"/>
  <c r="AT477" i="13034"/>
  <c r="AI477" i="13015"/>
  <c r="AT408" i="13034"/>
  <c r="AI408" i="13015"/>
  <c r="AT444" i="13034"/>
  <c r="AI444" i="13015"/>
  <c r="AT325" i="13034"/>
  <c r="AI325" i="13015"/>
  <c r="AT515" i="13034"/>
  <c r="AI515" i="13015"/>
  <c r="AT413" i="13034"/>
  <c r="AI413" i="13015"/>
  <c r="AT582" i="13034"/>
  <c r="AI582" i="13015"/>
  <c r="AT445" i="13034"/>
  <c r="AI445" i="13015"/>
  <c r="AT443" i="13034"/>
  <c r="AI443" i="13015"/>
  <c r="AT289" i="13034"/>
  <c r="AI289" i="13015"/>
  <c r="AT511" i="13034"/>
  <c r="AI511" i="13015"/>
  <c r="AT411" i="13034"/>
  <c r="AI411" i="13015"/>
  <c r="AT409" i="13034"/>
  <c r="AI409" i="13015"/>
  <c r="AT476" i="13034"/>
  <c r="AI476" i="13015"/>
  <c r="AT479" i="13034"/>
  <c r="AI479" i="13015"/>
  <c r="AT512" i="13034"/>
  <c r="AI512" i="13015"/>
  <c r="W2036" i="12908"/>
  <c r="AT2036" i="13034" s="1"/>
  <c r="W2012" i="12908"/>
  <c r="AT2012" i="13034" s="1"/>
  <c r="S2106" i="12908"/>
  <c r="AP2106" i="13034" s="1"/>
  <c r="K2173" i="12908"/>
  <c r="AH2173" i="13034" s="1"/>
  <c r="O2128" i="12908"/>
  <c r="O2106" i="12908"/>
  <c r="AL2106" i="13034" s="1"/>
  <c r="W2084" i="12908"/>
  <c r="AT2084" i="13034" s="1"/>
  <c r="O2150" i="12908"/>
  <c r="S2128" i="12908"/>
  <c r="AP2128" i="13034" s="1"/>
  <c r="W2060" i="12908"/>
  <c r="AT2060" i="13034" s="1"/>
  <c r="W2150" i="12908" l="1"/>
  <c r="AT2150" i="13034" s="1"/>
  <c r="AL2150" i="13034"/>
  <c r="W2128" i="12908"/>
  <c r="AT2128" i="13034" s="1"/>
  <c r="AL2128" i="13034"/>
  <c r="K2196" i="12908"/>
  <c r="AH2196" i="13034" s="1"/>
  <c r="K2219" i="12908"/>
  <c r="AH2219" i="13034" s="1"/>
  <c r="S2173" i="12908"/>
  <c r="AP2173" i="13034" s="1"/>
  <c r="O2173" i="12908"/>
  <c r="AL2173" i="13034" s="1"/>
  <c r="W2106" i="12908"/>
  <c r="AT2106" i="13034" s="1"/>
  <c r="M78" i="12908"/>
  <c r="U78" i="12908" l="1"/>
  <c r="AR78" i="13034" s="1"/>
  <c r="AJ78" i="13034"/>
  <c r="S2196" i="12908"/>
  <c r="AP2196" i="13034" s="1"/>
  <c r="S2219" i="12908"/>
  <c r="AP2219" i="13034" s="1"/>
  <c r="O2196" i="12908"/>
  <c r="O2219" i="12908"/>
  <c r="W2173" i="12908"/>
  <c r="AT2173" i="13034" s="1"/>
  <c r="K65" i="12908"/>
  <c r="AH65" i="13034" s="1"/>
  <c r="M144" i="12908"/>
  <c r="M181" i="12908"/>
  <c r="M218" i="12908"/>
  <c r="W2219" i="12908" l="1"/>
  <c r="AT2219" i="13034" s="1"/>
  <c r="AL2219" i="13034"/>
  <c r="U218" i="12908"/>
  <c r="AR218" i="13034" s="1"/>
  <c r="AJ218" i="13034"/>
  <c r="U181" i="12908"/>
  <c r="AR181" i="13034" s="1"/>
  <c r="AJ181" i="13034"/>
  <c r="U144" i="12908"/>
  <c r="AR144" i="13034" s="1"/>
  <c r="AJ144" i="13034"/>
  <c r="W2196" i="12908"/>
  <c r="AT2196" i="13034" s="1"/>
  <c r="AL2196" i="13034"/>
  <c r="S65" i="12908"/>
  <c r="AP65" i="13034" s="1"/>
  <c r="K205" i="12908"/>
  <c r="AH205" i="13034" s="1"/>
  <c r="K131" i="12908"/>
  <c r="AH131" i="13034" s="1"/>
  <c r="K168" i="12908"/>
  <c r="AH168" i="13034" s="1"/>
  <c r="K130" i="12908"/>
  <c r="AH130" i="13034" s="1"/>
  <c r="K64" i="12908"/>
  <c r="AH64" i="13034" s="1"/>
  <c r="K204" i="12908"/>
  <c r="AH204" i="13034" s="1"/>
  <c r="K167" i="12908"/>
  <c r="AH167" i="13034" s="1"/>
  <c r="M64" i="12908"/>
  <c r="M65" i="12908"/>
  <c r="M130" i="12908"/>
  <c r="M131" i="12908"/>
  <c r="M167" i="12908"/>
  <c r="M168" i="12908"/>
  <c r="M204" i="12908"/>
  <c r="M205" i="12908"/>
  <c r="U168" i="12908" l="1"/>
  <c r="AR168" i="13034" s="1"/>
  <c r="AJ168" i="13034"/>
  <c r="U65" i="12908"/>
  <c r="AR65" i="13034" s="1"/>
  <c r="AJ65" i="13034"/>
  <c r="U64" i="12908"/>
  <c r="AR64" i="13034" s="1"/>
  <c r="AJ64" i="13034"/>
  <c r="U131" i="12908"/>
  <c r="AR131" i="13034" s="1"/>
  <c r="AJ131" i="13034"/>
  <c r="U167" i="12908"/>
  <c r="AR167" i="13034" s="1"/>
  <c r="AJ167" i="13034"/>
  <c r="U205" i="12908"/>
  <c r="AR205" i="13034" s="1"/>
  <c r="AJ205" i="13034"/>
  <c r="U204" i="12908"/>
  <c r="AR204" i="13034" s="1"/>
  <c r="AJ204" i="13034"/>
  <c r="U130" i="12908"/>
  <c r="AR130" i="13034" s="1"/>
  <c r="AJ130" i="13034"/>
  <c r="S64" i="12908"/>
  <c r="AP64" i="13034" s="1"/>
  <c r="S205" i="12908"/>
  <c r="AP205" i="13034" s="1"/>
  <c r="S130" i="12908"/>
  <c r="AP130" i="13034" s="1"/>
  <c r="S168" i="12908"/>
  <c r="AP168" i="13034" s="1"/>
  <c r="S167" i="12908"/>
  <c r="AP167" i="13034" s="1"/>
  <c r="S204" i="12908"/>
  <c r="AP204" i="13034" s="1"/>
  <c r="S131" i="12908"/>
  <c r="AP131" i="13034" s="1"/>
  <c r="O131" i="12908"/>
  <c r="O65" i="12908"/>
  <c r="O168" i="12908"/>
  <c r="O205" i="12908"/>
  <c r="O204" i="12908"/>
  <c r="O167" i="12908"/>
  <c r="O130" i="12908"/>
  <c r="O64" i="12908"/>
  <c r="W205" i="12908" l="1"/>
  <c r="AL205" i="13034"/>
  <c r="AJ205" i="13015"/>
  <c r="W204" i="12908"/>
  <c r="AL204" i="13034"/>
  <c r="AJ204" i="13015"/>
  <c r="W131" i="12908"/>
  <c r="AL131" i="13034"/>
  <c r="AJ131" i="13015"/>
  <c r="W64" i="12908"/>
  <c r="AL64" i="13034"/>
  <c r="AJ64" i="13015"/>
  <c r="W130" i="12908"/>
  <c r="AL130" i="13034"/>
  <c r="AJ130" i="13015"/>
  <c r="W168" i="12908"/>
  <c r="AL168" i="13034"/>
  <c r="AJ168" i="13015"/>
  <c r="W167" i="12908"/>
  <c r="AL167" i="13034"/>
  <c r="AJ167" i="13015"/>
  <c r="W65" i="12908"/>
  <c r="AL65" i="13034"/>
  <c r="AJ65" i="13015"/>
  <c r="W2241" i="12908"/>
  <c r="AT168" i="13034" l="1"/>
  <c r="AI168" i="13015"/>
  <c r="AT204" i="13034"/>
  <c r="AI204" i="13015"/>
  <c r="AT131" i="13034"/>
  <c r="AI131" i="13015"/>
  <c r="AT167" i="13034"/>
  <c r="AI167" i="13015"/>
  <c r="AT65" i="13034"/>
  <c r="AI65" i="13015"/>
  <c r="AT64" i="13034"/>
  <c r="AI64" i="13015"/>
  <c r="AT2241" i="13034"/>
  <c r="AI2241" i="13015"/>
  <c r="AT130" i="13034"/>
  <c r="AI130" i="13015"/>
  <c r="AT205" i="13034"/>
  <c r="AI205" i="13015"/>
  <c r="S2554" i="12908"/>
  <c r="AP2554" i="13034" s="1"/>
  <c r="S2551" i="12908"/>
  <c r="AP2551" i="13034" s="1"/>
  <c r="S2552" i="12908"/>
  <c r="AP2552" i="13034" s="1"/>
  <c r="W2236" i="12908"/>
  <c r="O2465" i="12908"/>
  <c r="O2361" i="12908"/>
  <c r="W2257" i="12908"/>
  <c r="O2468" i="12908"/>
  <c r="O2364" i="12908"/>
  <c r="W2260" i="12908"/>
  <c r="AT2257" i="13034" l="1"/>
  <c r="AI2257" i="13015"/>
  <c r="W2361" i="12908"/>
  <c r="AL2361" i="13034"/>
  <c r="AJ2361" i="13015"/>
  <c r="AT2260" i="13034"/>
  <c r="AI2260" i="13015"/>
  <c r="W2364" i="12908"/>
  <c r="AL2364" i="13034"/>
  <c r="AJ2364" i="13015"/>
  <c r="W2465" i="12908"/>
  <c r="AL2465" i="13034"/>
  <c r="AJ2465" i="13015"/>
  <c r="W2468" i="12908"/>
  <c r="AL2468" i="13034"/>
  <c r="AJ2468" i="13015"/>
  <c r="AT2236" i="13034"/>
  <c r="AI2236" i="13015"/>
  <c r="S2553" i="12908"/>
  <c r="AP2553" i="13034" s="1"/>
  <c r="O2466" i="12908"/>
  <c r="O2362" i="12908"/>
  <c r="W2258" i="12908"/>
  <c r="W2242" i="12908"/>
  <c r="O2471" i="12908"/>
  <c r="O2367" i="12908"/>
  <c r="W2263" i="12908"/>
  <c r="W2239" i="12908"/>
  <c r="AT2364" i="13034" l="1"/>
  <c r="AI2364" i="13015"/>
  <c r="AT2465" i="13034"/>
  <c r="AI2465" i="13015"/>
  <c r="AT2361" i="13034"/>
  <c r="AI2361" i="13015"/>
  <c r="W2466" i="12908"/>
  <c r="AL2466" i="13034"/>
  <c r="AJ2466" i="13015"/>
  <c r="AT2239" i="13034"/>
  <c r="AI2239" i="13015"/>
  <c r="AT2263" i="13034"/>
  <c r="AI2263" i="13015"/>
  <c r="AT2258" i="13034"/>
  <c r="AI2258" i="13015"/>
  <c r="AT2468" i="13034"/>
  <c r="AI2468" i="13015"/>
  <c r="W2471" i="12908"/>
  <c r="AL2471" i="13034"/>
  <c r="AJ2471" i="13015"/>
  <c r="AT2242" i="13034"/>
  <c r="AI2242" i="13015"/>
  <c r="W2367" i="12908"/>
  <c r="AL2367" i="13034"/>
  <c r="AJ2367" i="13015"/>
  <c r="W2362" i="12908"/>
  <c r="AL2362" i="13034"/>
  <c r="AJ2362" i="13015"/>
  <c r="O2472" i="12908"/>
  <c r="O2368" i="12908"/>
  <c r="W2264" i="12908"/>
  <c r="O2469" i="12908"/>
  <c r="O2365" i="12908"/>
  <c r="W2261" i="12908"/>
  <c r="AT2264" i="13034" l="1"/>
  <c r="AI2264" i="13015"/>
  <c r="AT2367" i="13034"/>
  <c r="AI2367" i="13015"/>
  <c r="AT2466" i="13034"/>
  <c r="AI2466" i="13015"/>
  <c r="W2368" i="12908"/>
  <c r="AL2368" i="13034"/>
  <c r="AJ2368" i="13015"/>
  <c r="W2469" i="12908"/>
  <c r="AL2469" i="13034"/>
  <c r="AJ2469" i="13015"/>
  <c r="AT2261" i="13034"/>
  <c r="AI2261" i="13015"/>
  <c r="AT2362" i="13034"/>
  <c r="AI2362" i="13015"/>
  <c r="AT2471" i="13034"/>
  <c r="AI2471" i="13015"/>
  <c r="W2365" i="12908"/>
  <c r="AL2365" i="13034"/>
  <c r="AJ2365" i="13015"/>
  <c r="W2472" i="12908"/>
  <c r="AL2472" i="13034"/>
  <c r="AJ2472" i="13015"/>
  <c r="O2340" i="12908"/>
  <c r="O2444" i="12908"/>
  <c r="O2339" i="12908"/>
  <c r="O2443" i="12908"/>
  <c r="W2339" i="12908" l="1"/>
  <c r="AL2339" i="13034"/>
  <c r="AJ2339" i="13015"/>
  <c r="AT2365" i="13034"/>
  <c r="AI2365" i="13015"/>
  <c r="AT2368" i="13034"/>
  <c r="AI2368" i="13015"/>
  <c r="W2444" i="12908"/>
  <c r="AL2444" i="13034"/>
  <c r="AJ2444" i="13015"/>
  <c r="AT2472" i="13034"/>
  <c r="AI2472" i="13015"/>
  <c r="AT2469" i="13034"/>
  <c r="AI2469" i="13015"/>
  <c r="W2443" i="12908"/>
  <c r="AL2443" i="13034"/>
  <c r="AJ2443" i="13015"/>
  <c r="W2340" i="12908"/>
  <c r="AL2340" i="13034"/>
  <c r="AJ2340" i="13015"/>
  <c r="W2238" i="12908"/>
  <c r="O2343" i="12908"/>
  <c r="O2447" i="12908"/>
  <c r="O2346" i="12908"/>
  <c r="O2450" i="12908"/>
  <c r="O2446" i="12908"/>
  <c r="O2342" i="12908"/>
  <c r="O2345" i="12908"/>
  <c r="O2449" i="12908"/>
  <c r="AT2444" i="13034" l="1"/>
  <c r="AI2444" i="13015"/>
  <c r="W2342" i="12908"/>
  <c r="AL2342" i="13034"/>
  <c r="AJ2342" i="13015"/>
  <c r="W2447" i="12908"/>
  <c r="AL2447" i="13034"/>
  <c r="AJ2447" i="13015"/>
  <c r="AT2443" i="13034"/>
  <c r="AI2443" i="13015"/>
  <c r="W2346" i="12908"/>
  <c r="AL2346" i="13034"/>
  <c r="AJ2346" i="13015"/>
  <c r="W2343" i="12908"/>
  <c r="AL2343" i="13034"/>
  <c r="AJ2343" i="13015"/>
  <c r="AT2340" i="13034"/>
  <c r="AI2340" i="13015"/>
  <c r="W2345" i="12908"/>
  <c r="AL2345" i="13034"/>
  <c r="AJ2345" i="13015"/>
  <c r="W2446" i="12908"/>
  <c r="AL2446" i="13034"/>
  <c r="AJ2446" i="13015"/>
  <c r="W2449" i="12908"/>
  <c r="AL2449" i="13034"/>
  <c r="AJ2449" i="13015"/>
  <c r="W2450" i="12908"/>
  <c r="AL2450" i="13034"/>
  <c r="AJ2450" i="13015"/>
  <c r="AT2238" i="13034"/>
  <c r="AI2238" i="13015"/>
  <c r="AT2339" i="13034"/>
  <c r="AI2339" i="13015"/>
  <c r="O244" i="12908"/>
  <c r="O245" i="12908"/>
  <c r="O697" i="12908"/>
  <c r="O698" i="12908"/>
  <c r="O718" i="12908"/>
  <c r="O719" i="12908"/>
  <c r="O739" i="12908"/>
  <c r="O740" i="12908"/>
  <c r="O760" i="12908"/>
  <c r="O761" i="12908"/>
  <c r="O836" i="12908"/>
  <c r="O837" i="12908"/>
  <c r="O892" i="12908"/>
  <c r="O893" i="12908"/>
  <c r="AL719" i="13034" l="1"/>
  <c r="AJ719" i="13015"/>
  <c r="AL892" i="13034"/>
  <c r="AJ892" i="13015"/>
  <c r="AL760" i="13034"/>
  <c r="AJ760" i="13015"/>
  <c r="AL718" i="13034"/>
  <c r="AJ718" i="13015"/>
  <c r="AL244" i="13034"/>
  <c r="AJ244" i="13015"/>
  <c r="AT2345" i="13034"/>
  <c r="AI2345" i="13015"/>
  <c r="AT2346" i="13034"/>
  <c r="AI2346" i="13015"/>
  <c r="AT2342" i="13034"/>
  <c r="AI2342" i="13015"/>
  <c r="AL761" i="13034"/>
  <c r="AJ761" i="13015"/>
  <c r="AL740" i="13034"/>
  <c r="AJ740" i="13015"/>
  <c r="AT2446" i="13034"/>
  <c r="AI2446" i="13015"/>
  <c r="AT2343" i="13034"/>
  <c r="AI2343" i="13015"/>
  <c r="AT2447" i="13034"/>
  <c r="AI2447" i="13015"/>
  <c r="AL893" i="13034"/>
  <c r="AJ893" i="13015"/>
  <c r="AL245" i="13034"/>
  <c r="AJ245" i="13015"/>
  <c r="AT2450" i="13034"/>
  <c r="AI2450" i="13015"/>
  <c r="AL837" i="13034"/>
  <c r="AJ837" i="13015"/>
  <c r="AL698" i="13034"/>
  <c r="AJ698" i="13015"/>
  <c r="AL836" i="13034"/>
  <c r="AJ836" i="13015"/>
  <c r="AL739" i="13034"/>
  <c r="AJ739" i="13015"/>
  <c r="AL697" i="13034"/>
  <c r="AJ697" i="13015"/>
  <c r="AT2449" i="13034"/>
  <c r="AI2449" i="13015"/>
  <c r="W837" i="12908"/>
  <c r="W740" i="12908"/>
  <c r="W698" i="12908"/>
  <c r="O780" i="12908"/>
  <c r="W245" i="12908"/>
  <c r="O558" i="12908"/>
  <c r="W719" i="12908"/>
  <c r="W760" i="12908"/>
  <c r="W718" i="12908"/>
  <c r="W697" i="12908"/>
  <c r="O557" i="12908"/>
  <c r="W557" i="12908" s="1"/>
  <c r="O352" i="12908"/>
  <c r="W836" i="12908"/>
  <c r="W739" i="12908"/>
  <c r="O928" i="12908"/>
  <c r="O389" i="12908"/>
  <c r="O946" i="12908"/>
  <c r="O388" i="12908"/>
  <c r="W892" i="12908"/>
  <c r="O799" i="12908"/>
  <c r="O316" i="12908"/>
  <c r="W244" i="12908"/>
  <c r="O353" i="12908"/>
  <c r="O910" i="12908"/>
  <c r="O317" i="12908"/>
  <c r="O818" i="12908"/>
  <c r="W761" i="12908"/>
  <c r="O911" i="12908"/>
  <c r="O929" i="12908"/>
  <c r="O817" i="12908"/>
  <c r="O280" i="12908"/>
  <c r="O947" i="12908"/>
  <c r="W893" i="12908"/>
  <c r="O875" i="12908"/>
  <c r="O798" i="12908"/>
  <c r="O856" i="12908"/>
  <c r="O874" i="12908"/>
  <c r="O855" i="12908"/>
  <c r="O779" i="12908"/>
  <c r="O656" i="12908"/>
  <c r="O590" i="12908"/>
  <c r="W558" i="12908"/>
  <c r="O591" i="12908"/>
  <c r="O281" i="12908"/>
  <c r="AT557" i="13034" l="1"/>
  <c r="AI557" i="13015"/>
  <c r="AL856" i="13034"/>
  <c r="AJ856" i="13015"/>
  <c r="AL389" i="13034"/>
  <c r="AJ389" i="13015"/>
  <c r="AL947" i="13034"/>
  <c r="AJ947" i="13015"/>
  <c r="AL352" i="13034"/>
  <c r="AJ352" i="13015"/>
  <c r="AT698" i="13034"/>
  <c r="AI698" i="13015"/>
  <c r="AL656" i="13034"/>
  <c r="AJ656" i="13015"/>
  <c r="AL910" i="13034"/>
  <c r="AJ910" i="13015"/>
  <c r="AL799" i="13034"/>
  <c r="AJ799" i="13015"/>
  <c r="AL780" i="13034"/>
  <c r="AJ780" i="13015"/>
  <c r="AL590" i="13034"/>
  <c r="AJ590" i="13015"/>
  <c r="AL798" i="13034"/>
  <c r="AJ798" i="13015"/>
  <c r="AL280" i="13034"/>
  <c r="AJ280" i="13015"/>
  <c r="AL353" i="13034"/>
  <c r="AJ353" i="13015"/>
  <c r="AL928" i="13034"/>
  <c r="AJ928" i="13015"/>
  <c r="AT719" i="13034"/>
  <c r="AI719" i="13015"/>
  <c r="AL281" i="13034"/>
  <c r="AJ281" i="13015"/>
  <c r="AL855" i="13034"/>
  <c r="AJ855" i="13015"/>
  <c r="AL875" i="13034"/>
  <c r="AJ875" i="13015"/>
  <c r="AL817" i="13034"/>
  <c r="AJ817" i="13015"/>
  <c r="AL818" i="13034"/>
  <c r="AJ818" i="13015"/>
  <c r="AT244" i="13034"/>
  <c r="AI244" i="13015"/>
  <c r="AL388" i="13034"/>
  <c r="AJ388" i="13015"/>
  <c r="AT739" i="13034"/>
  <c r="AI739" i="13015"/>
  <c r="AT697" i="13034"/>
  <c r="AI697" i="13015"/>
  <c r="AL558" i="13034"/>
  <c r="AJ558" i="13015"/>
  <c r="AT740" i="13034"/>
  <c r="AI740" i="13015"/>
  <c r="AT558" i="13034"/>
  <c r="AI558" i="13015"/>
  <c r="AL911" i="13034"/>
  <c r="AJ911" i="13015"/>
  <c r="AT760" i="13034"/>
  <c r="AI760" i="13015"/>
  <c r="AL779" i="13034"/>
  <c r="AJ779" i="13015"/>
  <c r="AT761" i="13034"/>
  <c r="AI761" i="13015"/>
  <c r="AT892" i="13034"/>
  <c r="AI892" i="13015"/>
  <c r="AL557" i="13034"/>
  <c r="AJ557" i="13015"/>
  <c r="AL591" i="13034"/>
  <c r="AJ591" i="13015"/>
  <c r="O623" i="12908"/>
  <c r="AL874" i="13034"/>
  <c r="AJ874" i="13015"/>
  <c r="AT893" i="13034"/>
  <c r="AI893" i="13015"/>
  <c r="AL929" i="13034"/>
  <c r="AJ929" i="13015"/>
  <c r="AL317" i="13034"/>
  <c r="AJ317" i="13015"/>
  <c r="AL316" i="13034"/>
  <c r="AJ316" i="13015"/>
  <c r="AL946" i="13034"/>
  <c r="AJ946" i="13015"/>
  <c r="AT836" i="13034"/>
  <c r="AI836" i="13015"/>
  <c r="AT718" i="13034"/>
  <c r="AI718" i="13015"/>
  <c r="AT245" i="13034"/>
  <c r="AI245" i="13015"/>
  <c r="AT837" i="13034"/>
  <c r="AI837" i="13015"/>
  <c r="W947" i="12908"/>
  <c r="W911" i="12908"/>
  <c r="W281" i="12908"/>
  <c r="O624" i="12908"/>
  <c r="W799" i="12908"/>
  <c r="O423" i="12908"/>
  <c r="W591" i="12908"/>
  <c r="W856" i="12908"/>
  <c r="W929" i="12908"/>
  <c r="W317" i="12908"/>
  <c r="W780" i="12908"/>
  <c r="O657" i="12908"/>
  <c r="W875" i="12908"/>
  <c r="W818" i="12908"/>
  <c r="W353" i="12908"/>
  <c r="W817" i="12908"/>
  <c r="W928" i="12908"/>
  <c r="W874" i="12908"/>
  <c r="W280" i="12908"/>
  <c r="W590" i="12908"/>
  <c r="W779" i="12908"/>
  <c r="W388" i="12908"/>
  <c r="W656" i="12908"/>
  <c r="W798" i="12908"/>
  <c r="W910" i="12908"/>
  <c r="W623" i="12908"/>
  <c r="W855" i="12908"/>
  <c r="W316" i="12908"/>
  <c r="W946" i="12908"/>
  <c r="W352" i="12908"/>
  <c r="O525" i="12908"/>
  <c r="O490" i="12908"/>
  <c r="O457" i="12908"/>
  <c r="O422" i="12908"/>
  <c r="O456" i="12908"/>
  <c r="O524" i="12908"/>
  <c r="W389" i="12908"/>
  <c r="O491" i="12908"/>
  <c r="K246" i="12908"/>
  <c r="AH246" i="13034" s="1"/>
  <c r="K247" i="12908"/>
  <c r="AH247" i="13034" s="1"/>
  <c r="K720" i="12908"/>
  <c r="AH720" i="13034" s="1"/>
  <c r="K721" i="12908"/>
  <c r="AH721" i="13034" s="1"/>
  <c r="K741" i="12908"/>
  <c r="AH741" i="13034" s="1"/>
  <c r="K742" i="12908"/>
  <c r="AH742" i="13034" s="1"/>
  <c r="K762" i="12908"/>
  <c r="AH762" i="13034" s="1"/>
  <c r="K763" i="12908"/>
  <c r="AH763" i="13034" s="1"/>
  <c r="K838" i="12908"/>
  <c r="AH838" i="13034" s="1"/>
  <c r="K839" i="12908"/>
  <c r="AH839" i="13034" s="1"/>
  <c r="K894" i="12908"/>
  <c r="AH894" i="13034" s="1"/>
  <c r="K895" i="12908"/>
  <c r="AH895" i="13034" s="1"/>
  <c r="AT389" i="13034" l="1"/>
  <c r="AI389" i="13015"/>
  <c r="AL457" i="13034"/>
  <c r="AJ457" i="13015"/>
  <c r="AT946" i="13034"/>
  <c r="AI946" i="13015"/>
  <c r="AT910" i="13034"/>
  <c r="AI910" i="13015"/>
  <c r="AT779" i="13034"/>
  <c r="AI779" i="13015"/>
  <c r="AT928" i="13034"/>
  <c r="AI928" i="13015"/>
  <c r="AT875" i="13034"/>
  <c r="AI875" i="13015"/>
  <c r="AT929" i="13034"/>
  <c r="AI929" i="13015"/>
  <c r="AT799" i="13034"/>
  <c r="AI799" i="13015"/>
  <c r="AT947" i="13034"/>
  <c r="AI947" i="13015"/>
  <c r="AL524" i="13034"/>
  <c r="AJ524" i="13015"/>
  <c r="AL490" i="13034"/>
  <c r="AJ490" i="13015"/>
  <c r="AT316" i="13034"/>
  <c r="AI316" i="13015"/>
  <c r="AT798" i="13034"/>
  <c r="AI798" i="13015"/>
  <c r="AT590" i="13034"/>
  <c r="AI590" i="13015"/>
  <c r="AT817" i="13034"/>
  <c r="AI817" i="13015"/>
  <c r="AL657" i="13034"/>
  <c r="AJ657" i="13015"/>
  <c r="AT856" i="13034"/>
  <c r="AI856" i="13015"/>
  <c r="AL624" i="13034"/>
  <c r="AJ624" i="13015"/>
  <c r="AL623" i="13034"/>
  <c r="AJ623" i="13015"/>
  <c r="K781" i="12908"/>
  <c r="AH781" i="13034" s="1"/>
  <c r="AL456" i="13034"/>
  <c r="AJ456" i="13015"/>
  <c r="AL525" i="13034"/>
  <c r="AJ525" i="13015"/>
  <c r="AT855" i="13034"/>
  <c r="AI855" i="13015"/>
  <c r="AT656" i="13034"/>
  <c r="AI656" i="13015"/>
  <c r="AT280" i="13034"/>
  <c r="AI280" i="13015"/>
  <c r="AT353" i="13034"/>
  <c r="AI353" i="13015"/>
  <c r="AT780" i="13034"/>
  <c r="AI780" i="13015"/>
  <c r="AT591" i="13034"/>
  <c r="AI591" i="13015"/>
  <c r="AT281" i="13034"/>
  <c r="AI281" i="13015"/>
  <c r="AL491" i="13034"/>
  <c r="AJ491" i="13015"/>
  <c r="AL422" i="13034"/>
  <c r="AJ422" i="13015"/>
  <c r="AT352" i="13034"/>
  <c r="AI352" i="13015"/>
  <c r="AT623" i="13034"/>
  <c r="AI623" i="13015"/>
  <c r="AT388" i="13034"/>
  <c r="AI388" i="13015"/>
  <c r="AT874" i="13034"/>
  <c r="AI874" i="13015"/>
  <c r="AT818" i="13034"/>
  <c r="AI818" i="13015"/>
  <c r="AT317" i="13034"/>
  <c r="AI317" i="13015"/>
  <c r="AL423" i="13034"/>
  <c r="AJ423" i="13015"/>
  <c r="AT911" i="13034"/>
  <c r="AI911" i="13015"/>
  <c r="S894" i="12908"/>
  <c r="AP894" i="13034" s="1"/>
  <c r="K876" i="12908"/>
  <c r="AH876" i="13034" s="1"/>
  <c r="S762" i="12908"/>
  <c r="AP762" i="13034" s="1"/>
  <c r="S720" i="12908"/>
  <c r="AP720" i="13034" s="1"/>
  <c r="S741" i="12908"/>
  <c r="AP741" i="13034" s="1"/>
  <c r="S839" i="12908"/>
  <c r="AP839" i="13034" s="1"/>
  <c r="S781" i="12908"/>
  <c r="AP781" i="13034" s="1"/>
  <c r="K560" i="12908"/>
  <c r="AH560" i="13034" s="1"/>
  <c r="K782" i="12908"/>
  <c r="AH782" i="13034" s="1"/>
  <c r="S742" i="12908"/>
  <c r="AP742" i="13034" s="1"/>
  <c r="S721" i="12908"/>
  <c r="AP721" i="13034" s="1"/>
  <c r="W525" i="12908"/>
  <c r="W624" i="12908"/>
  <c r="W491" i="12908"/>
  <c r="W457" i="12908"/>
  <c r="W657" i="12908"/>
  <c r="W423" i="12908"/>
  <c r="W456" i="12908"/>
  <c r="W490" i="12908"/>
  <c r="W524" i="12908"/>
  <c r="W422" i="12908"/>
  <c r="K801" i="12908"/>
  <c r="AH801" i="13034" s="1"/>
  <c r="K800" i="12908"/>
  <c r="AH800" i="13034" s="1"/>
  <c r="K877" i="12908"/>
  <c r="AH877" i="13034" s="1"/>
  <c r="K858" i="12908"/>
  <c r="AH858" i="13034" s="1"/>
  <c r="K820" i="12908"/>
  <c r="AH820" i="13034" s="1"/>
  <c r="S763" i="12908"/>
  <c r="AP763" i="13034" s="1"/>
  <c r="K857" i="12908"/>
  <c r="AH857" i="13034" s="1"/>
  <c r="K948" i="12908"/>
  <c r="AH948" i="13034" s="1"/>
  <c r="K930" i="12908"/>
  <c r="AH930" i="13034" s="1"/>
  <c r="K912" i="12908"/>
  <c r="AH912" i="13034" s="1"/>
  <c r="S838" i="12908"/>
  <c r="AP838" i="13034" s="1"/>
  <c r="K949" i="12908"/>
  <c r="AH949" i="13034" s="1"/>
  <c r="K931" i="12908"/>
  <c r="AH931" i="13034" s="1"/>
  <c r="K913" i="12908"/>
  <c r="AH913" i="13034" s="1"/>
  <c r="K819" i="12908"/>
  <c r="AH819" i="13034" s="1"/>
  <c r="S560" i="12908"/>
  <c r="AP560" i="13034" s="1"/>
  <c r="K593" i="12908"/>
  <c r="AH593" i="13034" s="1"/>
  <c r="K626" i="12908"/>
  <c r="AH626" i="13034" s="1"/>
  <c r="K659" i="12908"/>
  <c r="AH659" i="13034" s="1"/>
  <c r="K700" i="12908"/>
  <c r="AH700" i="13034" s="1"/>
  <c r="K699" i="12908"/>
  <c r="AH699" i="13034" s="1"/>
  <c r="K318" i="12908"/>
  <c r="AH318" i="13034" s="1"/>
  <c r="K390" i="12908"/>
  <c r="AH390" i="13034" s="1"/>
  <c r="S246" i="12908"/>
  <c r="AP246" i="13034" s="1"/>
  <c r="K282" i="12908"/>
  <c r="AH282" i="13034" s="1"/>
  <c r="K354" i="12908"/>
  <c r="AH354" i="13034" s="1"/>
  <c r="K559" i="12908"/>
  <c r="AH559" i="13034" s="1"/>
  <c r="S895" i="12908"/>
  <c r="AP895" i="13034" s="1"/>
  <c r="K319" i="12908"/>
  <c r="AH319" i="13034" s="1"/>
  <c r="K391" i="12908"/>
  <c r="AH391" i="13034" s="1"/>
  <c r="S247" i="12908"/>
  <c r="AP247" i="13034" s="1"/>
  <c r="K283" i="12908"/>
  <c r="AH283" i="13034" s="1"/>
  <c r="K355" i="12908"/>
  <c r="AH355" i="13034" s="1"/>
  <c r="AT422" i="13034" l="1"/>
  <c r="AI422" i="13015"/>
  <c r="AT423" i="13034"/>
  <c r="AI423" i="13015"/>
  <c r="AT624" i="13034"/>
  <c r="AI624" i="13015"/>
  <c r="AT524" i="13034"/>
  <c r="AI524" i="13015"/>
  <c r="AT657" i="13034"/>
  <c r="AI657" i="13015"/>
  <c r="AT525" i="13034"/>
  <c r="AI525" i="13015"/>
  <c r="AT490" i="13034"/>
  <c r="AI490" i="13015"/>
  <c r="AT457" i="13034"/>
  <c r="AI457" i="13015"/>
  <c r="AT456" i="13034"/>
  <c r="AI456" i="13015"/>
  <c r="AT491" i="13034"/>
  <c r="AI491" i="13015"/>
  <c r="S354" i="12908"/>
  <c r="AP354" i="13034" s="1"/>
  <c r="S318" i="12908"/>
  <c r="AP318" i="13034" s="1"/>
  <c r="S700" i="12908"/>
  <c r="AP700" i="13034" s="1"/>
  <c r="S626" i="12908"/>
  <c r="AP626" i="13034" s="1"/>
  <c r="S912" i="12908"/>
  <c r="AP912" i="13034" s="1"/>
  <c r="S948" i="12908"/>
  <c r="AP948" i="13034" s="1"/>
  <c r="S820" i="12908"/>
  <c r="AP820" i="13034" s="1"/>
  <c r="S282" i="12908"/>
  <c r="AP282" i="13034" s="1"/>
  <c r="S593" i="12908"/>
  <c r="AP593" i="13034" s="1"/>
  <c r="S931" i="12908"/>
  <c r="AP931" i="13034" s="1"/>
  <c r="S800" i="12908"/>
  <c r="AP800" i="13034" s="1"/>
  <c r="S876" i="12908"/>
  <c r="AP876" i="13034" s="1"/>
  <c r="S319" i="12908"/>
  <c r="AP319" i="13034" s="1"/>
  <c r="S283" i="12908"/>
  <c r="AP283" i="13034" s="1"/>
  <c r="S930" i="12908"/>
  <c r="AP930" i="13034" s="1"/>
  <c r="S857" i="12908"/>
  <c r="AP857" i="13034" s="1"/>
  <c r="S858" i="12908"/>
  <c r="AP858" i="13034" s="1"/>
  <c r="S801" i="12908"/>
  <c r="AP801" i="13034" s="1"/>
  <c r="S355" i="12908"/>
  <c r="AP355" i="13034" s="1"/>
  <c r="S699" i="12908"/>
  <c r="AP699" i="13034" s="1"/>
  <c r="S659" i="12908"/>
  <c r="AP659" i="13034" s="1"/>
  <c r="S819" i="12908"/>
  <c r="AP819" i="13034" s="1"/>
  <c r="S913" i="12908"/>
  <c r="AP913" i="13034" s="1"/>
  <c r="S949" i="12908"/>
  <c r="AP949" i="13034" s="1"/>
  <c r="S877" i="12908"/>
  <c r="AP877" i="13034" s="1"/>
  <c r="S782" i="12908"/>
  <c r="AP782" i="13034" s="1"/>
  <c r="K625" i="12908"/>
  <c r="AH625" i="13034" s="1"/>
  <c r="K658" i="12908"/>
  <c r="AH658" i="13034" s="1"/>
  <c r="S559" i="12908"/>
  <c r="AP559" i="13034" s="1"/>
  <c r="K592" i="12908"/>
  <c r="AH592" i="13034" s="1"/>
  <c r="S391" i="12908"/>
  <c r="AP391" i="13034" s="1"/>
  <c r="K425" i="12908"/>
  <c r="AH425" i="13034" s="1"/>
  <c r="K459" i="12908"/>
  <c r="AH459" i="13034" s="1"/>
  <c r="K493" i="12908"/>
  <c r="AH493" i="13034" s="1"/>
  <c r="K527" i="12908"/>
  <c r="AH527" i="13034" s="1"/>
  <c r="S390" i="12908"/>
  <c r="AP390" i="13034" s="1"/>
  <c r="K424" i="12908"/>
  <c r="AH424" i="13034" s="1"/>
  <c r="K492" i="12908"/>
  <c r="AH492" i="13034" s="1"/>
  <c r="K458" i="12908"/>
  <c r="AH458" i="13034" s="1"/>
  <c r="K526" i="12908"/>
  <c r="AH526" i="13034" s="1"/>
  <c r="S526" i="12908" l="1"/>
  <c r="AP526" i="13034" s="1"/>
  <c r="S458" i="12908"/>
  <c r="AP458" i="13034" s="1"/>
  <c r="S425" i="12908"/>
  <c r="AP425" i="13034" s="1"/>
  <c r="S527" i="12908"/>
  <c r="AP527" i="13034" s="1"/>
  <c r="S658" i="12908"/>
  <c r="AP658" i="13034" s="1"/>
  <c r="S492" i="12908"/>
  <c r="AP492" i="13034" s="1"/>
  <c r="S424" i="12908"/>
  <c r="AP424" i="13034" s="1"/>
  <c r="S493" i="12908"/>
  <c r="AP493" i="13034" s="1"/>
  <c r="S625" i="12908"/>
  <c r="AP625" i="13034" s="1"/>
  <c r="S459" i="12908"/>
  <c r="AP459" i="13034" s="1"/>
  <c r="S592" i="12908"/>
  <c r="AP592" i="13034" s="1"/>
  <c r="W106" i="12908"/>
  <c r="AT106" i="13034" l="1"/>
  <c r="AI106" i="13015"/>
  <c r="O1540" i="12908"/>
  <c r="O2591" i="12908"/>
  <c r="O1521" i="12908"/>
  <c r="O2316" i="12908"/>
  <c r="O1502" i="12908"/>
  <c r="O1903" i="12908"/>
  <c r="O1541" i="12908"/>
  <c r="O1522" i="12908"/>
  <c r="O1503" i="12908"/>
  <c r="O1904" i="12908"/>
  <c r="O2317" i="12908"/>
  <c r="O2592" i="12908"/>
  <c r="AL1503" i="13034" l="1"/>
  <c r="AJ1503" i="13015"/>
  <c r="AL2592" i="13034"/>
  <c r="AJ2592" i="13015"/>
  <c r="AL2316" i="13034"/>
  <c r="AJ2316" i="13015"/>
  <c r="AL1904" i="13034"/>
  <c r="AJ1904" i="13015"/>
  <c r="AL1903" i="13034"/>
  <c r="AJ1903" i="13015"/>
  <c r="AL2591" i="13034"/>
  <c r="AJ2591" i="13015"/>
  <c r="AL1540" i="13034"/>
  <c r="AJ1540" i="13015"/>
  <c r="AL1502" i="13034"/>
  <c r="AJ1502" i="13015"/>
  <c r="AL1522" i="13034"/>
  <c r="AJ1522" i="13015"/>
  <c r="W1522" i="12908"/>
  <c r="AL2317" i="13034"/>
  <c r="AJ2317" i="13015"/>
  <c r="AL1541" i="13034"/>
  <c r="AJ1541" i="13015"/>
  <c r="AL1521" i="13034"/>
  <c r="AJ1521" i="13015"/>
  <c r="W1521" i="12908"/>
  <c r="W1503" i="12908"/>
  <c r="W2591" i="12908"/>
  <c r="W2592" i="12908"/>
  <c r="W1903" i="12908"/>
  <c r="W1502" i="12908"/>
  <c r="W1904" i="12908"/>
  <c r="W1540" i="12908"/>
  <c r="O1584" i="12908"/>
  <c r="O1562" i="12908"/>
  <c r="W2316" i="12908"/>
  <c r="O2420" i="12908"/>
  <c r="O2524" i="12908"/>
  <c r="O2383" i="12908"/>
  <c r="O2487" i="12908"/>
  <c r="W2279" i="12908"/>
  <c r="W2280" i="12908"/>
  <c r="O2488" i="12908"/>
  <c r="O2384" i="12908"/>
  <c r="O2421" i="12908"/>
  <c r="W2317" i="12908"/>
  <c r="O2525" i="12908"/>
  <c r="O1563" i="12908"/>
  <c r="W1541" i="12908"/>
  <c r="O1585" i="12908"/>
  <c r="W2384" i="12908" l="1"/>
  <c r="AL2384" i="13034"/>
  <c r="AJ2384" i="13015"/>
  <c r="AT1904" i="13034"/>
  <c r="AI1904" i="13015"/>
  <c r="AL2525" i="13034"/>
  <c r="AJ2525" i="13015"/>
  <c r="W2383" i="12908"/>
  <c r="AL2383" i="13034"/>
  <c r="AJ2383" i="13015"/>
  <c r="AT1503" i="13034"/>
  <c r="AI1503" i="13015"/>
  <c r="AT1522" i="13034"/>
  <c r="AI1522" i="13015"/>
  <c r="AT2280" i="13034"/>
  <c r="AI2280" i="13015"/>
  <c r="AT1521" i="13034"/>
  <c r="AI1521" i="13015"/>
  <c r="AL1563" i="13034"/>
  <c r="AJ1563" i="13015"/>
  <c r="W1563" i="12908"/>
  <c r="W2487" i="12908"/>
  <c r="AL2487" i="13034"/>
  <c r="AJ2487" i="13015"/>
  <c r="AT2316" i="13034"/>
  <c r="AI2316" i="13015"/>
  <c r="AT2591" i="13034"/>
  <c r="AI2591" i="13015"/>
  <c r="W2488" i="12908"/>
  <c r="AL2488" i="13034"/>
  <c r="AJ2488" i="13015"/>
  <c r="AL1562" i="13034"/>
  <c r="AJ1562" i="13015"/>
  <c r="W1562" i="12908"/>
  <c r="AT1502" i="13034"/>
  <c r="AI1502" i="13015"/>
  <c r="AL1585" i="13034"/>
  <c r="AJ1585" i="13015"/>
  <c r="W1585" i="12908"/>
  <c r="AT2317" i="13034"/>
  <c r="AI2317" i="13015"/>
  <c r="AL2524" i="13034"/>
  <c r="AJ2524" i="13015"/>
  <c r="AL1584" i="13034"/>
  <c r="AJ1584" i="13015"/>
  <c r="W1584" i="12908"/>
  <c r="AT1903" i="13034"/>
  <c r="AI1903" i="13015"/>
  <c r="AT1541" i="13034"/>
  <c r="AI1541" i="13015"/>
  <c r="AL2421" i="13034"/>
  <c r="AJ2421" i="13015"/>
  <c r="AT2279" i="13034"/>
  <c r="AI2279" i="13015"/>
  <c r="AL2420" i="13034"/>
  <c r="AJ2420" i="13015"/>
  <c r="AT1540" i="13034"/>
  <c r="AI1540" i="13015"/>
  <c r="AT2592" i="13034"/>
  <c r="AI2592" i="13015"/>
  <c r="W2420" i="12908"/>
  <c r="W2525" i="12908"/>
  <c r="W2524" i="12908"/>
  <c r="W2421" i="12908"/>
  <c r="O2490" i="12908"/>
  <c r="O2389" i="12908"/>
  <c r="O2493" i="12908"/>
  <c r="W2285" i="12908"/>
  <c r="W2282" i="12908"/>
  <c r="O2386" i="12908"/>
  <c r="W2286" i="12908"/>
  <c r="O2494" i="12908"/>
  <c r="O2390" i="12908"/>
  <c r="W2283" i="12908"/>
  <c r="O2491" i="12908"/>
  <c r="O2387" i="12908"/>
  <c r="AT2286" i="13034" l="1"/>
  <c r="AI2286" i="13015"/>
  <c r="W2493" i="12908"/>
  <c r="AL2493" i="13034"/>
  <c r="AJ2493" i="13015"/>
  <c r="AT2524" i="13034"/>
  <c r="AI2524" i="13015"/>
  <c r="AT1585" i="13034"/>
  <c r="AI1585" i="13015"/>
  <c r="W2387" i="12908"/>
  <c r="AL2387" i="13034"/>
  <c r="AJ2387" i="13015"/>
  <c r="W2494" i="12908"/>
  <c r="AL2494" i="13034"/>
  <c r="AJ2494" i="13015"/>
  <c r="AT2421" i="13034"/>
  <c r="AI2421" i="13015"/>
  <c r="AT2383" i="13034"/>
  <c r="AI2383" i="13015"/>
  <c r="W2491" i="12908"/>
  <c r="AL2491" i="13034"/>
  <c r="AJ2491" i="13015"/>
  <c r="W2386" i="12908"/>
  <c r="AL2386" i="13034"/>
  <c r="AJ2386" i="13015"/>
  <c r="AT2525" i="13034"/>
  <c r="AI2525" i="13015"/>
  <c r="AT1584" i="13034"/>
  <c r="AI1584" i="13015"/>
  <c r="AT1562" i="13034"/>
  <c r="AI1562" i="13015"/>
  <c r="AT2487" i="13034"/>
  <c r="AI2487" i="13015"/>
  <c r="AT2285" i="13034"/>
  <c r="AI2285" i="13015"/>
  <c r="AT2283" i="13034"/>
  <c r="AI2283" i="13015"/>
  <c r="W2389" i="12908"/>
  <c r="AL2389" i="13034"/>
  <c r="AJ2389" i="13015"/>
  <c r="W2390" i="12908"/>
  <c r="AL2390" i="13034"/>
  <c r="AJ2390" i="13015"/>
  <c r="AT2282" i="13034"/>
  <c r="AI2282" i="13015"/>
  <c r="W2490" i="12908"/>
  <c r="AL2490" i="13034"/>
  <c r="AJ2490" i="13015"/>
  <c r="AT2420" i="13034"/>
  <c r="AI2420" i="13015"/>
  <c r="AT2488" i="13034"/>
  <c r="AI2488" i="13015"/>
  <c r="AT1563" i="13034"/>
  <c r="AI1563" i="13015"/>
  <c r="AT2384" i="13034"/>
  <c r="AI2384" i="13015"/>
  <c r="U51" i="12989"/>
  <c r="U50" i="12989"/>
  <c r="U60" i="12989"/>
  <c r="U59" i="12989"/>
  <c r="U41" i="12989"/>
  <c r="U34" i="12989"/>
  <c r="U46" i="12989"/>
  <c r="U30" i="12989"/>
  <c r="U61" i="12989"/>
  <c r="U21" i="12989"/>
  <c r="U37" i="12989"/>
  <c r="AT2491" i="13034" l="1"/>
  <c r="AI2491" i="13015"/>
  <c r="AT2386" i="13034"/>
  <c r="AI2386" i="13015"/>
  <c r="AT2493" i="13034"/>
  <c r="AI2493" i="13015"/>
  <c r="AT2490" i="13034"/>
  <c r="AI2490" i="13015"/>
  <c r="AT2389" i="13034"/>
  <c r="AI2389" i="13015"/>
  <c r="AT2387" i="13034"/>
  <c r="AI2387" i="13015"/>
  <c r="AT2390" i="13034"/>
  <c r="AI2390" i="13015"/>
  <c r="AT2494" i="13034"/>
  <c r="AI2494" i="13015"/>
  <c r="U65" i="12989"/>
  <c r="S2550" i="12908"/>
  <c r="AP2550" i="13034" s="1"/>
  <c r="P24" i="12999"/>
  <c r="Q24" i="12999" s="1"/>
  <c r="R24" i="12999" s="1"/>
  <c r="P17" i="12999"/>
  <c r="Q17" i="12999" s="1"/>
  <c r="R17" i="12999" s="1"/>
  <c r="P15" i="12999"/>
  <c r="Q15" i="12999" s="1"/>
  <c r="R15" i="12999" s="1"/>
  <c r="P21" i="12999"/>
  <c r="Q21" i="12999" s="1"/>
  <c r="R21" i="12999" s="1"/>
  <c r="P22" i="12999"/>
  <c r="Q22" i="12999" s="1"/>
  <c r="R22" i="12999" s="1"/>
  <c r="P14" i="12999"/>
  <c r="Q14" i="12999" s="1"/>
  <c r="R14" i="12999" s="1"/>
  <c r="P18" i="12999"/>
  <c r="Q18" i="12999" s="1"/>
  <c r="R18" i="12999" s="1"/>
  <c r="P12" i="12999"/>
  <c r="Q12" i="12999"/>
  <c r="R12" i="12999" s="1"/>
  <c r="P19" i="12999"/>
  <c r="Q19" i="12999" s="1"/>
  <c r="R19" i="12999" s="1"/>
  <c r="P16" i="12999"/>
  <c r="Q16" i="12999"/>
  <c r="R16" i="12999" s="1"/>
  <c r="P13" i="12999"/>
  <c r="Q13" i="12999" s="1"/>
  <c r="R13" i="12999" s="1"/>
  <c r="P20" i="12999"/>
  <c r="Q20" i="12999" s="1"/>
  <c r="R20" i="12999" s="1"/>
  <c r="O83" i="12989"/>
  <c r="Q59" i="12989" s="1"/>
  <c r="O59" i="12989" s="1"/>
  <c r="M59" i="12989" s="1"/>
  <c r="O67" i="12989"/>
  <c r="AB1822" i="13015" l="1"/>
  <c r="O69" i="12989"/>
  <c r="O68" i="12989"/>
  <c r="O70" i="12989"/>
  <c r="O74" i="12989" s="1"/>
  <c r="S59" i="12989"/>
  <c r="AB1822" i="12908"/>
  <c r="AD59" i="12989"/>
  <c r="AB1825" i="13015" l="1"/>
  <c r="AB1825" i="12908"/>
  <c r="S24" i="12999"/>
  <c r="Q36" i="12989"/>
  <c r="O36" i="12989" s="1"/>
  <c r="Q47" i="12989"/>
  <c r="O47" i="12989" s="1"/>
  <c r="O84" i="12989"/>
  <c r="Q60" i="12989" s="1"/>
  <c r="O60" i="12989" s="1"/>
  <c r="O73" i="12989"/>
  <c r="Q48" i="12989"/>
  <c r="O48" i="12989" s="1"/>
  <c r="Q42" i="12989"/>
  <c r="O42" i="12989" s="1"/>
  <c r="Q35" i="12989"/>
  <c r="O35" i="12989" s="1"/>
  <c r="O72" i="12989"/>
  <c r="O76" i="12989"/>
  <c r="O75" i="12989"/>
  <c r="O71" i="12989"/>
  <c r="O78" i="12989"/>
  <c r="Q51" i="12989" s="1"/>
  <c r="O51" i="12989" s="1"/>
  <c r="O77" i="12989"/>
  <c r="Q50" i="12989" s="1"/>
  <c r="O50" i="12989" s="1"/>
  <c r="Q1813" i="13015" l="1"/>
  <c r="Q1811" i="13015"/>
  <c r="Q1810" i="13015"/>
  <c r="AD47" i="12989"/>
  <c r="M47" i="12989"/>
  <c r="Q45" i="12989"/>
  <c r="O45" i="12989" s="1"/>
  <c r="Q44" i="12989"/>
  <c r="O44" i="12989" s="1"/>
  <c r="Q43" i="12989"/>
  <c r="O43" i="12989" s="1"/>
  <c r="AD48" i="12989"/>
  <c r="M48" i="12989"/>
  <c r="M36" i="12989"/>
  <c r="AD36" i="12989"/>
  <c r="AD42" i="12989"/>
  <c r="M42" i="12989"/>
  <c r="Q25" i="12989"/>
  <c r="O25" i="12989" s="1"/>
  <c r="Q29" i="12989"/>
  <c r="O29" i="12989" s="1"/>
  <c r="Q28" i="12989"/>
  <c r="O28" i="12989" s="1"/>
  <c r="M28" i="12989" s="1"/>
  <c r="Q24" i="12989"/>
  <c r="O24" i="12989" s="1"/>
  <c r="Q27" i="12989"/>
  <c r="O27" i="12989" s="1"/>
  <c r="Q26" i="12989"/>
  <c r="O26" i="12989" s="1"/>
  <c r="Q23" i="12989"/>
  <c r="O23" i="12989" s="1"/>
  <c r="Q32" i="12989"/>
  <c r="O32" i="12989" s="1"/>
  <c r="Q33" i="12989"/>
  <c r="O33" i="12989" s="1"/>
  <c r="M33" i="12989" s="1"/>
  <c r="Q31" i="12989"/>
  <c r="O31" i="12989" s="1"/>
  <c r="S15" i="12999"/>
  <c r="S12" i="12999"/>
  <c r="S19" i="12999"/>
  <c r="S14" i="12999"/>
  <c r="S18" i="12999"/>
  <c r="S13" i="12999"/>
  <c r="S22" i="12999"/>
  <c r="S20" i="12999"/>
  <c r="S17" i="12999"/>
  <c r="S16" i="12999"/>
  <c r="S21" i="12999"/>
  <c r="Q39" i="12989"/>
  <c r="O39" i="12989" s="1"/>
  <c r="Q40" i="12989"/>
  <c r="O40" i="12989" s="1"/>
  <c r="Q38" i="12989"/>
  <c r="O38" i="12989" s="1"/>
  <c r="AD50" i="12989"/>
  <c r="M50" i="12989"/>
  <c r="AD51" i="12989"/>
  <c r="M51" i="12989"/>
  <c r="Q19" i="12989"/>
  <c r="O19" i="12989" s="1"/>
  <c r="Q15" i="12989"/>
  <c r="O15" i="12989" s="1"/>
  <c r="Q16" i="12989"/>
  <c r="O16" i="12989" s="1"/>
  <c r="Q17" i="12989"/>
  <c r="O17" i="12989" s="1"/>
  <c r="Q18" i="12989"/>
  <c r="O18" i="12989" s="1"/>
  <c r="Q14" i="12989"/>
  <c r="O14" i="12989" s="1"/>
  <c r="O37" i="12989"/>
  <c r="AD35" i="12989"/>
  <c r="M35" i="12989"/>
  <c r="AD60" i="12989"/>
  <c r="M60" i="12989"/>
  <c r="O61" i="12989"/>
  <c r="Q1811" i="12908"/>
  <c r="AN1811" i="13034" s="1"/>
  <c r="Q1813" i="12908"/>
  <c r="AN1813" i="13034" s="1"/>
  <c r="Q1810" i="12908"/>
  <c r="Q1812" i="13015" l="1"/>
  <c r="AN1810" i="13034"/>
  <c r="Q1812" i="12908"/>
  <c r="AN1812" i="13034" s="1"/>
  <c r="Y1810" i="13015"/>
  <c r="Q1843" i="13015"/>
  <c r="Y1843" i="13015" s="1"/>
  <c r="Q1832" i="13015"/>
  <c r="Y1832" i="13015" s="1"/>
  <c r="Q1821" i="13015"/>
  <c r="Y1821" i="13015" s="1"/>
  <c r="Q1833" i="13015"/>
  <c r="Y1833" i="13015" s="1"/>
  <c r="Q1844" i="13015"/>
  <c r="Y1844" i="13015" s="1"/>
  <c r="Y1811" i="13015"/>
  <c r="Q1822" i="13015"/>
  <c r="Y1822" i="13015" s="1"/>
  <c r="Q1835" i="13015"/>
  <c r="Y1835" i="13015" s="1"/>
  <c r="Q1846" i="13015"/>
  <c r="Y1846" i="13015" s="1"/>
  <c r="Q1824" i="13015"/>
  <c r="Y1824" i="13015" s="1"/>
  <c r="Y1813" i="13015"/>
  <c r="Q1823" i="13015"/>
  <c r="Y1823" i="13015" s="1"/>
  <c r="Q1834" i="13015"/>
  <c r="Y1834" i="13015" s="1"/>
  <c r="Y1812" i="13015"/>
  <c r="Q1845" i="13015"/>
  <c r="Y1845" i="13015" s="1"/>
  <c r="AB1863" i="13015"/>
  <c r="Q1823" i="12908"/>
  <c r="Q1845" i="12908"/>
  <c r="Q1834" i="12908"/>
  <c r="Y1812" i="12908"/>
  <c r="Q1844" i="12908"/>
  <c r="Q1833" i="12908"/>
  <c r="Q1822" i="12908"/>
  <c r="Y1811" i="12908"/>
  <c r="S35" i="12989"/>
  <c r="M37" i="12989"/>
  <c r="AD18" i="12989"/>
  <c r="M18" i="12989"/>
  <c r="AD19" i="12989"/>
  <c r="M19" i="12989"/>
  <c r="O41" i="12989"/>
  <c r="AD38" i="12989"/>
  <c r="M38" i="12989"/>
  <c r="AD31" i="12989"/>
  <c r="O34" i="12989"/>
  <c r="M31" i="12989"/>
  <c r="AD26" i="12989"/>
  <c r="M26" i="12989"/>
  <c r="AD29" i="12989"/>
  <c r="M29" i="12989"/>
  <c r="S42" i="12989"/>
  <c r="S36" i="12989"/>
  <c r="AD44" i="12989"/>
  <c r="M44" i="12989"/>
  <c r="M15" i="12989"/>
  <c r="AD15" i="12989"/>
  <c r="S50" i="12989"/>
  <c r="AB2614" i="12908"/>
  <c r="O46" i="12989"/>
  <c r="AD43" i="12989"/>
  <c r="M43" i="12989"/>
  <c r="Q1821" i="12908"/>
  <c r="Q1843" i="12908"/>
  <c r="Y1810" i="12908"/>
  <c r="Q1832" i="12908"/>
  <c r="O64" i="12989"/>
  <c r="AD61" i="12989"/>
  <c r="Q61" i="12989"/>
  <c r="AD17" i="12989"/>
  <c r="M17" i="12989"/>
  <c r="S51" i="12989"/>
  <c r="AB2626" i="12908"/>
  <c r="AD40" i="12989"/>
  <c r="M40" i="12989"/>
  <c r="AD27" i="12989"/>
  <c r="M27" i="12989"/>
  <c r="M25" i="12989"/>
  <c r="AD25" i="12989"/>
  <c r="S48" i="12989"/>
  <c r="AB2544" i="12908"/>
  <c r="AB2544" i="13015" s="1"/>
  <c r="AB2547" i="13015" s="1"/>
  <c r="AD45" i="12989"/>
  <c r="M45" i="12989"/>
  <c r="S47" i="12989"/>
  <c r="AB2232" i="12908"/>
  <c r="AB2232" i="13015" s="1"/>
  <c r="AB2235" i="13015" s="1"/>
  <c r="AD14" i="12989"/>
  <c r="O21" i="12989"/>
  <c r="M14" i="12989"/>
  <c r="AD23" i="12989"/>
  <c r="O54" i="12989"/>
  <c r="O30" i="12989"/>
  <c r="M23" i="12989"/>
  <c r="Q1846" i="12908"/>
  <c r="Q1824" i="12908"/>
  <c r="Q1835" i="12908"/>
  <c r="Y1813" i="12908"/>
  <c r="S60" i="12989"/>
  <c r="AB1863" i="12908"/>
  <c r="M61" i="12989"/>
  <c r="Q37" i="12989"/>
  <c r="AD37" i="12989"/>
  <c r="AD16" i="12989"/>
  <c r="M16" i="12989"/>
  <c r="AD39" i="12989"/>
  <c r="M39" i="12989"/>
  <c r="AD32" i="12989"/>
  <c r="M32" i="12989"/>
  <c r="M24" i="12989"/>
  <c r="AD24" i="12989"/>
  <c r="Y1846" i="12908" l="1"/>
  <c r="AV1846" i="13034" s="1"/>
  <c r="AN1846" i="13034"/>
  <c r="AV1813" i="13034"/>
  <c r="Y1843" i="12908"/>
  <c r="AV1843" i="13034" s="1"/>
  <c r="AN1843" i="13034"/>
  <c r="Y1844" i="12908"/>
  <c r="AV1844" i="13034" s="1"/>
  <c r="AN1844" i="13034"/>
  <c r="Y1823" i="12908"/>
  <c r="AV1823" i="13034" s="1"/>
  <c r="AN1823" i="13034"/>
  <c r="Y1835" i="12908"/>
  <c r="AV1835" i="13034" s="1"/>
  <c r="AN1835" i="13034"/>
  <c r="Y1821" i="12908"/>
  <c r="AV1821" i="13034" s="1"/>
  <c r="AN1821" i="13034"/>
  <c r="AV1811" i="13034"/>
  <c r="AV1812" i="13034"/>
  <c r="Y1824" i="12908"/>
  <c r="AV1824" i="13034" s="1"/>
  <c r="AN1824" i="13034"/>
  <c r="Y1832" i="12908"/>
  <c r="AV1832" i="13034" s="1"/>
  <c r="AN1832" i="13034"/>
  <c r="Y1822" i="12908"/>
  <c r="AV1822" i="13034" s="1"/>
  <c r="AN1822" i="13034"/>
  <c r="Y1834" i="12908"/>
  <c r="AV1834" i="13034" s="1"/>
  <c r="AN1834" i="13034"/>
  <c r="AV1810" i="13034"/>
  <c r="Y1833" i="12908"/>
  <c r="AV1833" i="13034" s="1"/>
  <c r="AN1833" i="13034"/>
  <c r="Y1845" i="12908"/>
  <c r="AV1845" i="13034" s="1"/>
  <c r="AN1845" i="13034"/>
  <c r="Q1814" i="13015"/>
  <c r="AB2626" i="13015"/>
  <c r="AC2629" i="12908"/>
  <c r="AB1866" i="13015"/>
  <c r="Q1854" i="13015" s="1"/>
  <c r="AB2614" i="13015"/>
  <c r="AB2617" i="12908"/>
  <c r="AC2617" i="12908"/>
  <c r="S23" i="12989"/>
  <c r="M54" i="12989"/>
  <c r="M30" i="12989"/>
  <c r="AC673" i="12908"/>
  <c r="S25" i="12989"/>
  <c r="S40" i="12989"/>
  <c r="S29" i="12989"/>
  <c r="S31" i="12989"/>
  <c r="M34" i="12989"/>
  <c r="S18" i="12989"/>
  <c r="AD21" i="12989"/>
  <c r="Q21" i="12989"/>
  <c r="S17" i="12989"/>
  <c r="AD64" i="12989"/>
  <c r="O65" i="12989"/>
  <c r="Q64" i="12989"/>
  <c r="S24" i="12989"/>
  <c r="AD30" i="12989"/>
  <c r="Q30" i="12989"/>
  <c r="AB961" i="13015" s="1"/>
  <c r="Q961" i="13015" s="1"/>
  <c r="AB2235" i="12908"/>
  <c r="S27" i="12989"/>
  <c r="AB2629" i="12908"/>
  <c r="Q1814" i="12908"/>
  <c r="AN1814" i="13034" s="1"/>
  <c r="AD46" i="12989"/>
  <c r="Q46" i="12989"/>
  <c r="S15" i="12989"/>
  <c r="AD34" i="12989"/>
  <c r="Q34" i="12989"/>
  <c r="AD41" i="12989"/>
  <c r="Q41" i="12989"/>
  <c r="AB1866" i="12908"/>
  <c r="Q1854" i="12908" s="1"/>
  <c r="AN1854" i="13034" s="1"/>
  <c r="S43" i="12989"/>
  <c r="M46" i="12989"/>
  <c r="AB1978" i="13015" s="1"/>
  <c r="S44" i="12989"/>
  <c r="S38" i="12989"/>
  <c r="M41" i="12989"/>
  <c r="S32" i="12989"/>
  <c r="S39" i="12989"/>
  <c r="S16" i="12989"/>
  <c r="S61" i="12989"/>
  <c r="M64" i="12989"/>
  <c r="AD54" i="12989"/>
  <c r="Q54" i="12989"/>
  <c r="S14" i="12989"/>
  <c r="M21" i="12989"/>
  <c r="AB12" i="12908"/>
  <c r="AB12" i="13015" s="1"/>
  <c r="S45" i="12989"/>
  <c r="AB2547" i="12908"/>
  <c r="S26" i="12989"/>
  <c r="AC970" i="12908"/>
  <c r="S19" i="12989"/>
  <c r="S37" i="12989"/>
  <c r="AB1480" i="12908"/>
  <c r="AB1480" i="13015" s="1"/>
  <c r="AB1483" i="13015" s="1"/>
  <c r="Q1847" i="13015" l="1"/>
  <c r="Y1847" i="13015" s="1"/>
  <c r="Y1851" i="13015" s="1"/>
  <c r="AB1851" i="13015" s="1"/>
  <c r="Q1825" i="13015"/>
  <c r="Y1825" i="13015" s="1"/>
  <c r="Y1829" i="13015" s="1"/>
  <c r="Y1814" i="13015"/>
  <c r="Q1836" i="13015"/>
  <c r="Y1836" i="13015" s="1"/>
  <c r="Y1840" i="13015" s="1"/>
  <c r="AB1840" i="13015" s="1"/>
  <c r="Q2544" i="13015"/>
  <c r="Q2543" i="13015"/>
  <c r="Q2263" i="13015"/>
  <c r="Q2279" i="13015"/>
  <c r="Q2253" i="13015"/>
  <c r="Q1960" i="13015"/>
  <c r="Q1961" i="13015"/>
  <c r="Q1939" i="13015"/>
  <c r="K1939" i="13015" s="1"/>
  <c r="Q2241" i="13015"/>
  <c r="Q1945" i="13015"/>
  <c r="K1945" i="13015" s="1"/>
  <c r="Q1959" i="13015"/>
  <c r="Q1481" i="13015"/>
  <c r="Q2545" i="13015"/>
  <c r="Y2545" i="13015" s="1"/>
  <c r="Q2276" i="13015"/>
  <c r="Q2257" i="13015"/>
  <c r="Q2285" i="13015"/>
  <c r="Q2232" i="13015"/>
  <c r="Q1954" i="13015"/>
  <c r="Q1955" i="13015"/>
  <c r="Q1968" i="13015"/>
  <c r="Q1964" i="13015"/>
  <c r="Q1940" i="13015"/>
  <c r="K1940" i="13015" s="1"/>
  <c r="Q1480" i="13015"/>
  <c r="Q2548" i="13015"/>
  <c r="Q2238" i="13015"/>
  <c r="Q1970" i="13015"/>
  <c r="Q1971" i="13015"/>
  <c r="Q1944" i="13015"/>
  <c r="K1944" i="13015" s="1"/>
  <c r="Q1952" i="13015"/>
  <c r="Q1963" i="13015"/>
  <c r="Q1479" i="13015"/>
  <c r="Q2547" i="13015"/>
  <c r="Q2282" i="13015"/>
  <c r="Q2231" i="13015"/>
  <c r="Q2235" i="13015"/>
  <c r="Q1965" i="13015"/>
  <c r="Q1966" i="13015"/>
  <c r="Q1941" i="13015"/>
  <c r="K1941" i="13015" s="1"/>
  <c r="Q1949" i="13015"/>
  <c r="Q1969" i="13015"/>
  <c r="Q1943" i="13015"/>
  <c r="K1943" i="13015" s="1"/>
  <c r="Q1951" i="13015"/>
  <c r="Q2275" i="13015"/>
  <c r="Q2260" i="13015"/>
  <c r="Q1958" i="13015"/>
  <c r="Q1948" i="13015"/>
  <c r="Q2254" i="13015"/>
  <c r="Y2554" i="13015"/>
  <c r="Y2550" i="13015"/>
  <c r="Y2552" i="13015"/>
  <c r="Y2551" i="13015"/>
  <c r="Y2553" i="13015"/>
  <c r="AB673" i="12908"/>
  <c r="AC676" i="12908" s="1"/>
  <c r="AC673" i="13015"/>
  <c r="AB673" i="13015" s="1"/>
  <c r="Q540" i="13015"/>
  <c r="Q226" i="13015"/>
  <c r="Q1033" i="13015"/>
  <c r="Y1033" i="13015" s="1"/>
  <c r="Q963" i="13015"/>
  <c r="Q1145" i="13015"/>
  <c r="Y1145" i="13015" s="1"/>
  <c r="Q1057" i="13015"/>
  <c r="AG961" i="13015"/>
  <c r="Q1009" i="13015"/>
  <c r="Y1009" i="13015" s="1"/>
  <c r="Q1889" i="13015"/>
  <c r="Y1889" i="13015" s="1"/>
  <c r="Q985" i="13015"/>
  <c r="Y985" i="13015" s="1"/>
  <c r="Y961" i="13015"/>
  <c r="AB1981" i="13015"/>
  <c r="AC1981" i="13015"/>
  <c r="AC2617" i="13015"/>
  <c r="AB2617" i="13015"/>
  <c r="Q1878" i="13015"/>
  <c r="Y1878" i="13015" s="1"/>
  <c r="Y1854" i="13015"/>
  <c r="Q1862" i="13015"/>
  <c r="Y1862" i="13015" s="1"/>
  <c r="Q1870" i="13015"/>
  <c r="Y1870" i="13015" s="1"/>
  <c r="AC2629" i="13015"/>
  <c r="AB2629" i="13015"/>
  <c r="AC970" i="13015"/>
  <c r="AB970" i="13015" s="1"/>
  <c r="AB970" i="12908"/>
  <c r="AB973" i="12908" s="1"/>
  <c r="AD676" i="12908" s="1"/>
  <c r="AB16" i="13015"/>
  <c r="AB17" i="13015"/>
  <c r="AB1483" i="12908"/>
  <c r="S46" i="12989"/>
  <c r="AB1978" i="12908"/>
  <c r="Q1825" i="12908"/>
  <c r="Q1836" i="12908"/>
  <c r="Q1847" i="12908"/>
  <c r="Y1814" i="12908"/>
  <c r="S21" i="12989"/>
  <c r="Q1862" i="12908"/>
  <c r="Q1870" i="12908"/>
  <c r="Q1878" i="12908"/>
  <c r="Y1854" i="12908"/>
  <c r="AB961" i="12908"/>
  <c r="Q961" i="12908" s="1"/>
  <c r="AN961" i="13034" s="1"/>
  <c r="AD65" i="12989"/>
  <c r="S74" i="12989"/>
  <c r="Q65" i="12989"/>
  <c r="S54" i="12989"/>
  <c r="AB16" i="12908"/>
  <c r="AB17" i="12908"/>
  <c r="S64" i="12989"/>
  <c r="M65" i="12989"/>
  <c r="S41" i="12989"/>
  <c r="AB1606" i="12908"/>
  <c r="AB1606" i="13015" s="1"/>
  <c r="Q2629" i="12908"/>
  <c r="AN2629" i="13034" s="1"/>
  <c r="Q2628" i="12908"/>
  <c r="AN2628" i="13034" s="1"/>
  <c r="S34" i="12989"/>
  <c r="AB1378" i="12908"/>
  <c r="AB1378" i="13015" s="1"/>
  <c r="Q2615" i="12908"/>
  <c r="AN2615" i="13034" s="1"/>
  <c r="Q2618" i="12908"/>
  <c r="AN2618" i="13034" s="1"/>
  <c r="Q2614" i="12908"/>
  <c r="AN2614" i="13034" s="1"/>
  <c r="Q2616" i="12908"/>
  <c r="AN2616" i="13034" s="1"/>
  <c r="Q2613" i="12908"/>
  <c r="AN2613" i="13034" s="1"/>
  <c r="Q2619" i="12908"/>
  <c r="AN2619" i="13034" s="1"/>
  <c r="S30" i="12989"/>
  <c r="Y1862" i="12908" l="1"/>
  <c r="AV1862" i="13034" s="1"/>
  <c r="AN1862" i="13034"/>
  <c r="Y1836" i="12908"/>
  <c r="AN1836" i="13034"/>
  <c r="Y1870" i="12908"/>
  <c r="AV1870" i="13034" s="1"/>
  <c r="AN1870" i="13034"/>
  <c r="Y1847" i="12908"/>
  <c r="AN1847" i="13034"/>
  <c r="Q1855" i="12908"/>
  <c r="AN1855" i="13034" s="1"/>
  <c r="AV1854" i="13034"/>
  <c r="Y1825" i="12908"/>
  <c r="AN1825" i="13034"/>
  <c r="Y1878" i="12908"/>
  <c r="AV1878" i="13034" s="1"/>
  <c r="AN1878" i="13034"/>
  <c r="AV1814" i="13034"/>
  <c r="V68" i="12989"/>
  <c r="AL66" i="12989"/>
  <c r="AB676" i="12908"/>
  <c r="AC1828" i="13015"/>
  <c r="Y1818" i="13015"/>
  <c r="Q2383" i="13015"/>
  <c r="Y2383" i="13015" s="1"/>
  <c r="Q2280" i="13015"/>
  <c r="Q2487" i="13015"/>
  <c r="Y2487" i="13015" s="1"/>
  <c r="Y2279" i="13015"/>
  <c r="Q1977" i="13015"/>
  <c r="Q1979" i="13015"/>
  <c r="Q1978" i="13015"/>
  <c r="Q1980" i="13015"/>
  <c r="Q606" i="13015"/>
  <c r="Y606" i="13015" s="1"/>
  <c r="Q573" i="13015"/>
  <c r="Y573" i="13015" s="1"/>
  <c r="Q639" i="13015"/>
  <c r="Y639" i="13015" s="1"/>
  <c r="Y540" i="13015"/>
  <c r="Y2260" i="13015"/>
  <c r="Q2468" i="13015"/>
  <c r="Y2468" i="13015" s="1"/>
  <c r="Q2364" i="13015"/>
  <c r="Y2364" i="13015" s="1"/>
  <c r="Q2261" i="13015"/>
  <c r="K2547" i="13015"/>
  <c r="S2547" i="13015" s="1"/>
  <c r="Y2547" i="13015"/>
  <c r="K2548" i="13015"/>
  <c r="S2548" i="13015" s="1"/>
  <c r="Y2548" i="13015"/>
  <c r="Y2285" i="13015"/>
  <c r="Q2493" i="13015"/>
  <c r="Y2493" i="13015" s="1"/>
  <c r="Q2389" i="13015"/>
  <c r="Y2389" i="13015" s="1"/>
  <c r="Q2286" i="13015"/>
  <c r="AA12" i="13026"/>
  <c r="Z12" i="13027" s="1"/>
  <c r="Q2316" i="13015"/>
  <c r="Q1540" i="13015"/>
  <c r="Q1903" i="13015"/>
  <c r="Y1903" i="13015" s="1"/>
  <c r="Q1502" i="13015"/>
  <c r="Y1502" i="13015" s="1"/>
  <c r="Q1521" i="13015"/>
  <c r="Y1521" i="13015" s="1"/>
  <c r="Y1481" i="13015"/>
  <c r="Q2591" i="13015"/>
  <c r="Y2591" i="13015" s="1"/>
  <c r="Q1482" i="13015"/>
  <c r="Q1147" i="13015"/>
  <c r="Y1147" i="13015" s="1"/>
  <c r="Q987" i="13015"/>
  <c r="Y987" i="13015" s="1"/>
  <c r="Q228" i="13015"/>
  <c r="Q1059" i="13015"/>
  <c r="AG963" i="13015"/>
  <c r="Q1035" i="13015"/>
  <c r="Y1035" i="13015" s="1"/>
  <c r="Q542" i="13015"/>
  <c r="Q1891" i="13015"/>
  <c r="Y1891" i="13015" s="1"/>
  <c r="Q1011" i="13015"/>
  <c r="Y1011" i="13015" s="1"/>
  <c r="Y963" i="13015"/>
  <c r="AB676" i="13015"/>
  <c r="AC676" i="13015"/>
  <c r="Y2254" i="13015"/>
  <c r="Q2358" i="13015"/>
  <c r="Y2358" i="13015" s="1"/>
  <c r="Q2462" i="13015"/>
  <c r="Y2462" i="13015" s="1"/>
  <c r="Q2483" i="13015"/>
  <c r="Y2483" i="13015" s="1"/>
  <c r="Q2379" i="13015"/>
  <c r="Y2379" i="13015" s="1"/>
  <c r="Y2275" i="13015"/>
  <c r="Y2235" i="13015"/>
  <c r="Q2443" i="13015"/>
  <c r="Y2443" i="13015" s="1"/>
  <c r="Q2339" i="13015"/>
  <c r="Y2339" i="13015" s="1"/>
  <c r="Q2236" i="13015"/>
  <c r="AA10" i="13026"/>
  <c r="Q1901" i="13015"/>
  <c r="Y1901" i="13015" s="1"/>
  <c r="Y1479" i="13015"/>
  <c r="Q1519" i="13015"/>
  <c r="Y1519" i="13015" s="1"/>
  <c r="Q1538" i="13015"/>
  <c r="Q1500" i="13015"/>
  <c r="Y1500" i="13015" s="1"/>
  <c r="Q2590" i="13015"/>
  <c r="Y2590" i="13015" s="1"/>
  <c r="Q1539" i="13015"/>
  <c r="Q2315" i="13015"/>
  <c r="Q1501" i="13015"/>
  <c r="Y1501" i="13015" s="1"/>
  <c r="AA11" i="13026"/>
  <c r="Q1902" i="13015"/>
  <c r="Y1902" i="13015" s="1"/>
  <c r="Y1480" i="13015"/>
  <c r="Q1520" i="13015"/>
  <c r="Y1520" i="13015" s="1"/>
  <c r="Q2361" i="13015"/>
  <c r="Y2361" i="13015" s="1"/>
  <c r="Q2258" i="13015"/>
  <c r="Y2257" i="13015"/>
  <c r="Q2465" i="13015"/>
  <c r="Y2465" i="13015" s="1"/>
  <c r="Q2264" i="13015"/>
  <c r="Y2263" i="13015"/>
  <c r="Q2471" i="13015"/>
  <c r="Y2471" i="13015" s="1"/>
  <c r="Q2367" i="13015"/>
  <c r="Y2367" i="13015" s="1"/>
  <c r="Q105" i="13015"/>
  <c r="Y105" i="13015" s="1"/>
  <c r="Q102" i="13015"/>
  <c r="Y102" i="13015" s="1"/>
  <c r="Q103" i="13015"/>
  <c r="Y103" i="13015" s="1"/>
  <c r="Q106" i="13015"/>
  <c r="Y106" i="13015" s="1"/>
  <c r="Q2628" i="13015"/>
  <c r="Y2628" i="13015" s="1"/>
  <c r="Q2629" i="13015"/>
  <c r="Q1855" i="13015"/>
  <c r="Q2614" i="13015"/>
  <c r="Y2614" i="13015" s="1"/>
  <c r="Q2615" i="13015"/>
  <c r="Y2615" i="13015" s="1"/>
  <c r="Q2613" i="13015"/>
  <c r="Y2613" i="13015" s="1"/>
  <c r="Q2619" i="13015"/>
  <c r="Y2619" i="13015" s="1"/>
  <c r="Q2616" i="13015"/>
  <c r="Y2616" i="13015" s="1"/>
  <c r="Q2618" i="13015"/>
  <c r="Q2439" i="13015"/>
  <c r="Y2439" i="13015" s="1"/>
  <c r="Y2231" i="13015"/>
  <c r="Q2335" i="13015"/>
  <c r="Y2335" i="13015" s="1"/>
  <c r="Y2276" i="13015"/>
  <c r="Q2484" i="13015"/>
  <c r="Y2484" i="13015" s="1"/>
  <c r="Q2380" i="13015"/>
  <c r="Y2380" i="13015" s="1"/>
  <c r="Y2543" i="13015"/>
  <c r="AB1381" i="13015"/>
  <c r="AB1609" i="13015"/>
  <c r="AC1609" i="13015"/>
  <c r="AB973" i="13015"/>
  <c r="AD676" i="13015" s="1"/>
  <c r="Q1123" i="13015"/>
  <c r="Y1123" i="13015" s="1"/>
  <c r="Q1101" i="13015"/>
  <c r="Y1101" i="13015" s="1"/>
  <c r="Q1079" i="13015"/>
  <c r="Y1079" i="13015" s="1"/>
  <c r="Y1057" i="13015"/>
  <c r="Q370" i="13015"/>
  <c r="Q262" i="13015"/>
  <c r="Y262" i="13015" s="1"/>
  <c r="Q298" i="13015"/>
  <c r="Y298" i="13015" s="1"/>
  <c r="Q334" i="13015"/>
  <c r="Y334" i="13015" s="1"/>
  <c r="Y226" i="13015"/>
  <c r="Q2386" i="13015"/>
  <c r="Y2386" i="13015" s="1"/>
  <c r="Y2282" i="13015"/>
  <c r="Q2490" i="13015"/>
  <c r="Y2490" i="13015" s="1"/>
  <c r="Q2283" i="13015"/>
  <c r="Y2238" i="13015"/>
  <c r="Q2446" i="13015"/>
  <c r="Y2446" i="13015" s="1"/>
  <c r="Q2342" i="13015"/>
  <c r="Y2342" i="13015" s="1"/>
  <c r="Q2239" i="13015"/>
  <c r="Y2232" i="13015"/>
  <c r="Q2440" i="13015"/>
  <c r="Y2440" i="13015" s="1"/>
  <c r="Q2336" i="13015"/>
  <c r="Y2336" i="13015" s="1"/>
  <c r="Q2345" i="13015"/>
  <c r="Y2345" i="13015" s="1"/>
  <c r="Q2242" i="13015"/>
  <c r="Y2241" i="13015"/>
  <c r="Q2449" i="13015"/>
  <c r="Y2449" i="13015" s="1"/>
  <c r="Q2357" i="13015"/>
  <c r="Y2357" i="13015" s="1"/>
  <c r="Y2253" i="13015"/>
  <c r="Q2461" i="13015"/>
  <c r="Y2461" i="13015" s="1"/>
  <c r="Y2544" i="13015"/>
  <c r="V50" i="12989"/>
  <c r="V51" i="12989"/>
  <c r="Q106" i="12908"/>
  <c r="AN106" i="13034" s="1"/>
  <c r="Q103" i="12908"/>
  <c r="AN103" i="13034" s="1"/>
  <c r="Q105" i="12908"/>
  <c r="AN105" i="13034" s="1"/>
  <c r="Q102" i="12908"/>
  <c r="AN102" i="13034" s="1"/>
  <c r="Y1818" i="12908"/>
  <c r="AV1818" i="13034" s="1"/>
  <c r="Y2614" i="12908"/>
  <c r="AV2614" i="13034" s="1"/>
  <c r="Q1940" i="12908"/>
  <c r="Q1939" i="12908"/>
  <c r="Q1944" i="12908"/>
  <c r="Q1943" i="12908"/>
  <c r="Q1941" i="12908"/>
  <c r="Q1945" i="12908"/>
  <c r="Q1948" i="12908"/>
  <c r="AN1948" i="13034" s="1"/>
  <c r="Q1959" i="12908"/>
  <c r="AN1959" i="13034" s="1"/>
  <c r="Q1952" i="12908"/>
  <c r="AN1952" i="13034" s="1"/>
  <c r="Q1951" i="12908"/>
  <c r="AN1951" i="13034" s="1"/>
  <c r="Q1963" i="12908"/>
  <c r="AN1963" i="13034" s="1"/>
  <c r="Q1949" i="12908"/>
  <c r="AN1949" i="13034" s="1"/>
  <c r="Q1960" i="12908"/>
  <c r="AN1960" i="13034" s="1"/>
  <c r="Q1958" i="12908"/>
  <c r="AN1958" i="13034" s="1"/>
  <c r="Q1964" i="12908"/>
  <c r="AN1964" i="13034" s="1"/>
  <c r="Q1961" i="12908"/>
  <c r="AN1961" i="13034" s="1"/>
  <c r="Q1965" i="12908"/>
  <c r="AN1965" i="13034" s="1"/>
  <c r="Q2253" i="12908"/>
  <c r="AN2253" i="13034" s="1"/>
  <c r="Q2548" i="12908"/>
  <c r="AN2548" i="13034" s="1"/>
  <c r="Q2544" i="12908"/>
  <c r="AN2544" i="13034" s="1"/>
  <c r="Q1966" i="12908"/>
  <c r="AN1966" i="13034" s="1"/>
  <c r="Q1955" i="12908"/>
  <c r="Q2232" i="12908"/>
  <c r="AN2232" i="13034" s="1"/>
  <c r="Q1968" i="12908"/>
  <c r="AN1968" i="13034" s="1"/>
  <c r="Q1481" i="12908"/>
  <c r="Q1954" i="12908"/>
  <c r="Q1970" i="12908"/>
  <c r="AN1970" i="13034" s="1"/>
  <c r="Q1971" i="12908"/>
  <c r="AN1971" i="13034" s="1"/>
  <c r="Q2263" i="12908"/>
  <c r="AN2263" i="13034" s="1"/>
  <c r="Q2275" i="12908"/>
  <c r="AN2275" i="13034" s="1"/>
  <c r="Q1969" i="12908"/>
  <c r="AN1969" i="13034" s="1"/>
  <c r="Q2257" i="12908"/>
  <c r="AN2257" i="13034" s="1"/>
  <c r="Q2285" i="12908"/>
  <c r="AN2285" i="13034" s="1"/>
  <c r="Q2238" i="12908"/>
  <c r="AN2238" i="13034" s="1"/>
  <c r="Q2260" i="12908"/>
  <c r="AN2260" i="13034" s="1"/>
  <c r="Q2235" i="12908"/>
  <c r="AN2235" i="13034" s="1"/>
  <c r="Q2279" i="12908"/>
  <c r="AN2279" i="13034" s="1"/>
  <c r="Q2276" i="12908"/>
  <c r="AN2276" i="13034" s="1"/>
  <c r="Q2241" i="12908"/>
  <c r="AN2241" i="13034" s="1"/>
  <c r="Q2547" i="12908"/>
  <c r="AN2547" i="13034" s="1"/>
  <c r="Q2282" i="12908"/>
  <c r="AN2282" i="13034" s="1"/>
  <c r="Q1480" i="12908"/>
  <c r="Q2231" i="12908"/>
  <c r="AN2231" i="13034" s="1"/>
  <c r="Q2254" i="12908"/>
  <c r="AN2254" i="13034" s="1"/>
  <c r="Q2545" i="12908"/>
  <c r="AN2545" i="13034" s="1"/>
  <c r="Q2543" i="12908"/>
  <c r="AN2543" i="13034" s="1"/>
  <c r="Q1479" i="12908"/>
  <c r="Y2619" i="12908"/>
  <c r="AV2619" i="13034" s="1"/>
  <c r="Y2618" i="12908"/>
  <c r="AV2618" i="13034" s="1"/>
  <c r="Q2620" i="12908"/>
  <c r="AN2620" i="13034" s="1"/>
  <c r="AC1609" i="12908"/>
  <c r="AB1609" i="12908"/>
  <c r="Y2616" i="12908"/>
  <c r="AV2616" i="13034" s="1"/>
  <c r="AB1381" i="12908"/>
  <c r="Y2628" i="12908"/>
  <c r="AV2628" i="13034" s="1"/>
  <c r="AC1981" i="12908"/>
  <c r="AB1981" i="12908"/>
  <c r="Y2629" i="12908"/>
  <c r="AV2629" i="13034" s="1"/>
  <c r="Q2630" i="12908"/>
  <c r="AN2630" i="13034" s="1"/>
  <c r="Y2613" i="12908"/>
  <c r="AV2613" i="13034" s="1"/>
  <c r="Y2615" i="12908"/>
  <c r="AV2615" i="13034" s="1"/>
  <c r="S65" i="12989"/>
  <c r="W68" i="12989"/>
  <c r="X68" i="12989"/>
  <c r="AG961" i="12908"/>
  <c r="Q1889" i="12908"/>
  <c r="Q540" i="12908"/>
  <c r="AN540" i="13034" s="1"/>
  <c r="Q226" i="12908"/>
  <c r="AN226" i="13034" s="1"/>
  <c r="Q1033" i="12908"/>
  <c r="Q1009" i="12908"/>
  <c r="Q985" i="12908"/>
  <c r="Q1057" i="12908"/>
  <c r="AN1057" i="13034" s="1"/>
  <c r="Q963" i="12908"/>
  <c r="AN963" i="13034" s="1"/>
  <c r="Q1145" i="12908"/>
  <c r="Y961" i="12908"/>
  <c r="AV961" i="13034" s="1"/>
  <c r="Q675" i="12908"/>
  <c r="AN675" i="13034" s="1"/>
  <c r="Q676" i="12908"/>
  <c r="Q672" i="12908"/>
  <c r="K1944" i="12908" l="1"/>
  <c r="AH1944" i="13034" s="1"/>
  <c r="AN1944" i="13034"/>
  <c r="Y985" i="12908"/>
  <c r="AV985" i="13034" s="1"/>
  <c r="AN985" i="13034"/>
  <c r="W10" i="13023"/>
  <c r="AN672" i="13034"/>
  <c r="Y1145" i="12908"/>
  <c r="AV1145" i="13034" s="1"/>
  <c r="AN1145" i="13034"/>
  <c r="Y1009" i="12908"/>
  <c r="AV1009" i="13034" s="1"/>
  <c r="AN1009" i="13034"/>
  <c r="Y1889" i="12908"/>
  <c r="AV1889" i="13034" s="1"/>
  <c r="AN1889" i="13034"/>
  <c r="AA11" i="13027"/>
  <c r="AA19" i="13027" s="1"/>
  <c r="AN1480" i="13034"/>
  <c r="AN1954" i="13034"/>
  <c r="AN1955" i="13034"/>
  <c r="K1945" i="12908"/>
  <c r="AH1945" i="13034" s="1"/>
  <c r="AN1945" i="13034"/>
  <c r="K1939" i="12908"/>
  <c r="AH1939" i="13034" s="1"/>
  <c r="AN1939" i="13034"/>
  <c r="Y1840" i="12908"/>
  <c r="AV1836" i="13034"/>
  <c r="K1943" i="12908"/>
  <c r="AH1943" i="13034" s="1"/>
  <c r="AN1943" i="13034"/>
  <c r="AA10" i="13027"/>
  <c r="AN1479" i="13034"/>
  <c r="W12" i="13023"/>
  <c r="AN676" i="13034"/>
  <c r="Y1033" i="12908"/>
  <c r="AV1033" i="13034" s="1"/>
  <c r="AN1033" i="13034"/>
  <c r="AA12" i="13027"/>
  <c r="AN1481" i="13034"/>
  <c r="K1941" i="12908"/>
  <c r="AH1941" i="13034" s="1"/>
  <c r="AN1941" i="13034"/>
  <c r="K1940" i="12908"/>
  <c r="AH1940" i="13034" s="1"/>
  <c r="AN1940" i="13034"/>
  <c r="Y1829" i="12908"/>
  <c r="AV1829" i="13034" s="1"/>
  <c r="AV1825" i="13034"/>
  <c r="Y1851" i="12908"/>
  <c r="AV1847" i="13034"/>
  <c r="Q1817" i="13015"/>
  <c r="Y1817" i="13015" s="1"/>
  <c r="Q1839" i="13015"/>
  <c r="Y1839" i="13015" s="1"/>
  <c r="Q1850" i="13015"/>
  <c r="Y1850" i="13015" s="1"/>
  <c r="Q1828" i="13015"/>
  <c r="Y1828" i="13015" s="1"/>
  <c r="M59" i="13013"/>
  <c r="AB1821" i="13015"/>
  <c r="AB1829" i="13015"/>
  <c r="Y111" i="13015"/>
  <c r="AB111" i="13015" s="1"/>
  <c r="Q2620" i="13015"/>
  <c r="Y2620" i="13015" s="1"/>
  <c r="Y2618" i="13015"/>
  <c r="Q2617" i="13015" s="1"/>
  <c r="Y2629" i="13015"/>
  <c r="Q2630" i="13015"/>
  <c r="Y2630" i="13015" s="1"/>
  <c r="Q2362" i="13015"/>
  <c r="Y2362" i="13015" s="1"/>
  <c r="Y2258" i="13015"/>
  <c r="Q2466" i="13015"/>
  <c r="Y2466" i="13015" s="1"/>
  <c r="Q1560" i="13015"/>
  <c r="Y1560" i="13015" s="1"/>
  <c r="Q1582" i="13015"/>
  <c r="Y1582" i="13015" s="1"/>
  <c r="Y1538" i="13015"/>
  <c r="W13" i="13030"/>
  <c r="Q2051" i="13015"/>
  <c r="Y2051" i="13015" s="1"/>
  <c r="Q2027" i="13015"/>
  <c r="Y2027" i="13015" s="1"/>
  <c r="Q2003" i="13015"/>
  <c r="Y2003" i="13015" s="1"/>
  <c r="Q2075" i="13015"/>
  <c r="Y1979" i="13015"/>
  <c r="AA18" i="13027"/>
  <c r="W18" i="13023"/>
  <c r="Y2315" i="13015"/>
  <c r="Q2523" i="13015"/>
  <c r="Y2523" i="13015" s="1"/>
  <c r="Q2419" i="13015"/>
  <c r="Y2419" i="13015" s="1"/>
  <c r="Q608" i="13015"/>
  <c r="Y608" i="13015" s="1"/>
  <c r="Q641" i="13015"/>
  <c r="Y641" i="13015" s="1"/>
  <c r="Q575" i="13015"/>
  <c r="Y575" i="13015" s="1"/>
  <c r="Y542" i="13015"/>
  <c r="Q336" i="13015"/>
  <c r="Y336" i="13015" s="1"/>
  <c r="Q300" i="13015"/>
  <c r="Y300" i="13015" s="1"/>
  <c r="Q264" i="13015"/>
  <c r="Y264" i="13015" s="1"/>
  <c r="Q372" i="13015"/>
  <c r="Y228" i="13015"/>
  <c r="Y51" i="12989"/>
  <c r="AB2630" i="13015"/>
  <c r="Q2472" i="13015"/>
  <c r="Y2472" i="13015" s="1"/>
  <c r="Q2368" i="13015"/>
  <c r="Y2368" i="13015" s="1"/>
  <c r="Y2264" i="13015"/>
  <c r="Y1539" i="13015"/>
  <c r="Q1583" i="13015"/>
  <c r="Y1583" i="13015" s="1"/>
  <c r="Q1561" i="13015"/>
  <c r="Y1561" i="13015" s="1"/>
  <c r="Q2444" i="13015"/>
  <c r="Y2444" i="13015" s="1"/>
  <c r="Y2236" i="13015"/>
  <c r="Q2340" i="13015"/>
  <c r="Y2340" i="13015" s="1"/>
  <c r="Q2001" i="13015"/>
  <c r="Y2001" i="13015" s="1"/>
  <c r="Q2073" i="13015"/>
  <c r="Y1977" i="13015"/>
  <c r="Q2049" i="13015"/>
  <c r="Y2049" i="13015" s="1"/>
  <c r="Q2025" i="13015"/>
  <c r="Y2025" i="13015" s="1"/>
  <c r="Q2488" i="13015"/>
  <c r="Y2488" i="13015" s="1"/>
  <c r="Y2280" i="13015"/>
  <c r="Q2384" i="13015"/>
  <c r="Y2384" i="13015" s="1"/>
  <c r="Z10" i="13027"/>
  <c r="AA18" i="13026"/>
  <c r="Z18" i="13027" s="1"/>
  <c r="W19" i="13023"/>
  <c r="W11" i="13023"/>
  <c r="Y50" i="12989"/>
  <c r="AB2618" i="13015"/>
  <c r="Q1871" i="13015"/>
  <c r="Y1871" i="13015" s="1"/>
  <c r="Y1875" i="13015" s="1"/>
  <c r="AB1875" i="13015" s="1"/>
  <c r="Q1863" i="13015"/>
  <c r="Y1863" i="13015" s="1"/>
  <c r="Y1867" i="13015" s="1"/>
  <c r="Y1855" i="13015"/>
  <c r="Q1879" i="13015"/>
  <c r="Y1879" i="13015" s="1"/>
  <c r="Y1883" i="13015" s="1"/>
  <c r="AB1883" i="13015" s="1"/>
  <c r="Z11" i="13027"/>
  <c r="AA19" i="13026"/>
  <c r="Z19" i="13027" s="1"/>
  <c r="AB1484" i="13015"/>
  <c r="Q1562" i="13015"/>
  <c r="Y1562" i="13015" s="1"/>
  <c r="Y1540" i="13015"/>
  <c r="Q1584" i="13015"/>
  <c r="Y1584" i="13015" s="1"/>
  <c r="Q2390" i="13015"/>
  <c r="Y2390" i="13015" s="1"/>
  <c r="Q2494" i="13015"/>
  <c r="Y2494" i="13015" s="1"/>
  <c r="Y2286" i="13015"/>
  <c r="Y2261" i="13015"/>
  <c r="Q2365" i="13015"/>
  <c r="Y2365" i="13015" s="1"/>
  <c r="Q2469" i="13015"/>
  <c r="Y2469" i="13015" s="1"/>
  <c r="Q2004" i="13015"/>
  <c r="Y2004" i="13015" s="1"/>
  <c r="Q1981" i="13015"/>
  <c r="Q2052" i="13015"/>
  <c r="Y2052" i="13015" s="1"/>
  <c r="Q2076" i="13015"/>
  <c r="Q2028" i="13015"/>
  <c r="Y2028" i="13015" s="1"/>
  <c r="Y1980" i="13015"/>
  <c r="W14" i="13030"/>
  <c r="V14" i="13031" s="1"/>
  <c r="Y2242" i="13015"/>
  <c r="Q2346" i="13015"/>
  <c r="Y2346" i="13015" s="1"/>
  <c r="Q2450" i="13015"/>
  <c r="Y2450" i="13015" s="1"/>
  <c r="Y2239" i="13015"/>
  <c r="Q2447" i="13015"/>
  <c r="Y2447" i="13015" s="1"/>
  <c r="Q2343" i="13015"/>
  <c r="Y2343" i="13015" s="1"/>
  <c r="Q2491" i="13015"/>
  <c r="Y2491" i="13015" s="1"/>
  <c r="Q2387" i="13015"/>
  <c r="Y2387" i="13015" s="1"/>
  <c r="Y2283" i="13015"/>
  <c r="Q506" i="13015"/>
  <c r="Y506" i="13015" s="1"/>
  <c r="Q438" i="13015"/>
  <c r="Y438" i="13015" s="1"/>
  <c r="Q472" i="13015"/>
  <c r="Y472" i="13015" s="1"/>
  <c r="Q404" i="13015"/>
  <c r="Y404" i="13015" s="1"/>
  <c r="Y370" i="13015"/>
  <c r="Q1647" i="13015"/>
  <c r="Q1605" i="13015"/>
  <c r="Q1606" i="13015"/>
  <c r="Q1648" i="13015"/>
  <c r="Q1609" i="13015"/>
  <c r="Q1604" i="13015"/>
  <c r="Q1607" i="13015"/>
  <c r="Q1610" i="13015"/>
  <c r="Q1377" i="13015"/>
  <c r="Q1378" i="13015"/>
  <c r="Q1379" i="13015"/>
  <c r="Q672" i="13015"/>
  <c r="Q676" i="13015"/>
  <c r="Q675" i="13015"/>
  <c r="Y1059" i="13015"/>
  <c r="Q1125" i="13015"/>
  <c r="Y1125" i="13015" s="1"/>
  <c r="Q1081" i="13015"/>
  <c r="Y1081" i="13015" s="1"/>
  <c r="Q1103" i="13015"/>
  <c r="Y1103" i="13015" s="1"/>
  <c r="Q1904" i="13015"/>
  <c r="Y1904" i="13015" s="1"/>
  <c r="Y1482" i="13015"/>
  <c r="Q1522" i="13015"/>
  <c r="Y1522" i="13015" s="1"/>
  <c r="Q2592" i="13015"/>
  <c r="Y2592" i="13015" s="1"/>
  <c r="Q1503" i="13015"/>
  <c r="Y1503" i="13015" s="1"/>
  <c r="AA20" i="13026"/>
  <c r="Z20" i="13027" s="1"/>
  <c r="Q2317" i="13015"/>
  <c r="Q1541" i="13015"/>
  <c r="Q2420" i="13015"/>
  <c r="Y2420" i="13015" s="1"/>
  <c r="Q2524" i="13015"/>
  <c r="Y2524" i="13015" s="1"/>
  <c r="Y2316" i="13015"/>
  <c r="Q2026" i="13015"/>
  <c r="Y2026" i="13015" s="1"/>
  <c r="Q2002" i="13015"/>
  <c r="Y2002" i="13015" s="1"/>
  <c r="Q2074" i="13015"/>
  <c r="Y1978" i="13015"/>
  <c r="Q2050" i="13015"/>
  <c r="Y2050" i="13015" s="1"/>
  <c r="M2554" i="12908"/>
  <c r="M2553" i="12908"/>
  <c r="M2552" i="12908"/>
  <c r="M2551" i="12908"/>
  <c r="M2550" i="12908"/>
  <c r="W51" i="12989"/>
  <c r="W50" i="12989"/>
  <c r="V37" i="12989"/>
  <c r="Y37" i="12989" s="1"/>
  <c r="V41" i="12989"/>
  <c r="V57" i="12989"/>
  <c r="V21" i="12989"/>
  <c r="AB22" i="13015" s="1"/>
  <c r="V30" i="12989"/>
  <c r="Y30" i="12989" s="1"/>
  <c r="V34" i="12989"/>
  <c r="V46" i="12989"/>
  <c r="V58" i="12989"/>
  <c r="Y58" i="12989" s="1"/>
  <c r="V59" i="12989"/>
  <c r="Y59" i="12989" s="1"/>
  <c r="V56" i="12989"/>
  <c r="V60" i="12989"/>
  <c r="Q639" i="12908"/>
  <c r="Y540" i="12908"/>
  <c r="AV540" i="13034" s="1"/>
  <c r="Q606" i="12908"/>
  <c r="Q573" i="12908"/>
  <c r="X50" i="12989"/>
  <c r="X51" i="12989"/>
  <c r="Q2335" i="12908"/>
  <c r="Y2231" i="12908"/>
  <c r="AV2231" i="13034" s="1"/>
  <c r="Q2439" i="12908"/>
  <c r="Q2364" i="12908"/>
  <c r="Y2260" i="12908"/>
  <c r="AV2260" i="13034" s="1"/>
  <c r="Q2468" i="12908"/>
  <c r="Q2261" i="12908"/>
  <c r="AN2261" i="13034" s="1"/>
  <c r="Y2551" i="12908"/>
  <c r="AV2551" i="13034" s="1"/>
  <c r="Y102" i="12908"/>
  <c r="AV102" i="13034" s="1"/>
  <c r="Q673" i="12908"/>
  <c r="AN673" i="13034" s="1"/>
  <c r="Q693" i="12908"/>
  <c r="Q714" i="12908"/>
  <c r="Q674" i="12908"/>
  <c r="AN674" i="13034" s="1"/>
  <c r="Q735" i="12908"/>
  <c r="Q240" i="12908"/>
  <c r="AN240" i="13034" s="1"/>
  <c r="Q756" i="12908"/>
  <c r="AN756" i="13034" s="1"/>
  <c r="Q832" i="12908"/>
  <c r="AN832" i="13034" s="1"/>
  <c r="Q969" i="12908"/>
  <c r="AN969" i="13034" s="1"/>
  <c r="Y672" i="12908"/>
  <c r="AV672" i="13034" s="1"/>
  <c r="K672" i="12908"/>
  <c r="AH672" i="13034" s="1"/>
  <c r="W10" i="12992"/>
  <c r="Q889" i="12908"/>
  <c r="AN889" i="13034" s="1"/>
  <c r="Y2543" i="12908"/>
  <c r="AV2543" i="13034" s="1"/>
  <c r="AA11" i="12994"/>
  <c r="AA19" i="12994" s="1"/>
  <c r="Q1902" i="12908"/>
  <c r="Q2315" i="12908"/>
  <c r="AN2315" i="13034" s="1"/>
  <c r="Q1520" i="12908"/>
  <c r="Q1501" i="12908"/>
  <c r="Q1539" i="12908"/>
  <c r="AN1539" i="13034" s="1"/>
  <c r="Y1480" i="12908"/>
  <c r="AV1480" i="13034" s="1"/>
  <c r="Q2590" i="12908"/>
  <c r="F19" i="13006"/>
  <c r="Y2276" i="12908"/>
  <c r="AV2276" i="13034" s="1"/>
  <c r="Q2380" i="12908"/>
  <c r="Q2484" i="12908"/>
  <c r="Y2238" i="12908"/>
  <c r="AV2238" i="13034" s="1"/>
  <c r="Q2342" i="12908"/>
  <c r="Q2446" i="12908"/>
  <c r="Q2239" i="12908"/>
  <c r="AN2239" i="13034" s="1"/>
  <c r="Y2275" i="12908"/>
  <c r="AV2275" i="13034" s="1"/>
  <c r="Q2379" i="12908"/>
  <c r="Q2483" i="12908"/>
  <c r="Y2552" i="12908"/>
  <c r="AV2552" i="13034" s="1"/>
  <c r="Y2553" i="12908"/>
  <c r="AV2553" i="13034" s="1"/>
  <c r="K2548" i="12908"/>
  <c r="Y2548" i="12908"/>
  <c r="AV2548" i="13034" s="1"/>
  <c r="AB1829" i="12908"/>
  <c r="AB1821" i="12908"/>
  <c r="Q59" i="13005"/>
  <c r="Y105" i="12908"/>
  <c r="AV105" i="13034" s="1"/>
  <c r="Y2630" i="12908"/>
  <c r="Q1500" i="12908"/>
  <c r="Q1519" i="12908"/>
  <c r="Q1901" i="12908"/>
  <c r="Q1538" i="12908"/>
  <c r="AN1538" i="13034" s="1"/>
  <c r="Y1479" i="12908"/>
  <c r="AV1479" i="13034" s="1"/>
  <c r="AA10" i="12994"/>
  <c r="Q2449" i="12908"/>
  <c r="Y2241" i="12908"/>
  <c r="AV2241" i="13034" s="1"/>
  <c r="Q2345" i="12908"/>
  <c r="Q2242" i="12908"/>
  <c r="AN2242" i="13034" s="1"/>
  <c r="Y2232" i="12908"/>
  <c r="AV2232" i="13034" s="1"/>
  <c r="Q2336" i="12908"/>
  <c r="Q2440" i="12908"/>
  <c r="C20" i="13006"/>
  <c r="W12" i="12992"/>
  <c r="B20" i="13006"/>
  <c r="Q697" i="12908"/>
  <c r="Q718" i="12908"/>
  <c r="Q739" i="12908"/>
  <c r="Q760" i="12908"/>
  <c r="AN760" i="13034" s="1"/>
  <c r="Q836" i="12908"/>
  <c r="AN836" i="13034" s="1"/>
  <c r="Q892" i="12908"/>
  <c r="AN892" i="13034" s="1"/>
  <c r="Q244" i="12908"/>
  <c r="AN244" i="13034" s="1"/>
  <c r="Y676" i="12908"/>
  <c r="AV676" i="13034" s="1"/>
  <c r="Q677" i="12908"/>
  <c r="AG963" i="12908"/>
  <c r="Y963" i="12908"/>
  <c r="AV963" i="13034" s="1"/>
  <c r="Q1011" i="12908"/>
  <c r="Q1147" i="12908"/>
  <c r="Q1891" i="12908"/>
  <c r="Q987" i="12908"/>
  <c r="Q1035" i="12908"/>
  <c r="Q1059" i="12908"/>
  <c r="AN1059" i="13034" s="1"/>
  <c r="Q542" i="12908"/>
  <c r="AN542" i="13034" s="1"/>
  <c r="Q228" i="12908"/>
  <c r="AN228" i="13034" s="1"/>
  <c r="Q1607" i="12908"/>
  <c r="Q1605" i="12908"/>
  <c r="AN1605" i="13034" s="1"/>
  <c r="Q1648" i="12908"/>
  <c r="AN1648" i="13034" s="1"/>
  <c r="Q1647" i="12908"/>
  <c r="AN1647" i="13034" s="1"/>
  <c r="Q1610" i="12908"/>
  <c r="Q1609" i="12908"/>
  <c r="Q1604" i="12908"/>
  <c r="AN1604" i="13034" s="1"/>
  <c r="Q1606" i="12908"/>
  <c r="AN1606" i="13034" s="1"/>
  <c r="Y2545" i="12908"/>
  <c r="AV2545" i="13034" s="1"/>
  <c r="Q2490" i="12908"/>
  <c r="Y2282" i="12908"/>
  <c r="AV2282" i="13034" s="1"/>
  <c r="Q2386" i="12908"/>
  <c r="Q2283" i="12908"/>
  <c r="AN2283" i="13034" s="1"/>
  <c r="Q2383" i="12908"/>
  <c r="Y2279" i="12908"/>
  <c r="AV2279" i="13034" s="1"/>
  <c r="Q2487" i="12908"/>
  <c r="Q2280" i="12908"/>
  <c r="AN2280" i="13034" s="1"/>
  <c r="Q2389" i="12908"/>
  <c r="Y2285" i="12908"/>
  <c r="AV2285" i="13034" s="1"/>
  <c r="Q2493" i="12908"/>
  <c r="Q2286" i="12908"/>
  <c r="AN2286" i="13034" s="1"/>
  <c r="Y2263" i="12908"/>
  <c r="AV2263" i="13034" s="1"/>
  <c r="Q2367" i="12908"/>
  <c r="Q2471" i="12908"/>
  <c r="Q2264" i="12908"/>
  <c r="AN2264" i="13034" s="1"/>
  <c r="F20" i="13006"/>
  <c r="AA12" i="12994"/>
  <c r="Q1502" i="12908"/>
  <c r="Q1521" i="12908"/>
  <c r="Q1903" i="12908"/>
  <c r="Q2591" i="12908"/>
  <c r="Q2316" i="12908"/>
  <c r="AN2316" i="13034" s="1"/>
  <c r="Q1540" i="12908"/>
  <c r="AN1540" i="13034" s="1"/>
  <c r="Q1482" i="12908"/>
  <c r="Y1481" i="12908"/>
  <c r="AV1481" i="13034" s="1"/>
  <c r="Y2554" i="12908"/>
  <c r="AV2554" i="13034" s="1"/>
  <c r="Y2253" i="12908"/>
  <c r="AV2253" i="13034" s="1"/>
  <c r="Q2461" i="12908"/>
  <c r="Q2357" i="12908"/>
  <c r="Y103" i="12908"/>
  <c r="AV103" i="13034" s="1"/>
  <c r="Q1379" i="12908"/>
  <c r="Q1378" i="12908"/>
  <c r="Q1377" i="12908"/>
  <c r="AN1377" i="13034" s="1"/>
  <c r="Q717" i="12908"/>
  <c r="W11" i="12992"/>
  <c r="Q696" i="12908"/>
  <c r="W19" i="12992"/>
  <c r="Q738" i="12908"/>
  <c r="Q835" i="12908"/>
  <c r="AN835" i="13034" s="1"/>
  <c r="Y675" i="12908"/>
  <c r="AV675" i="13034" s="1"/>
  <c r="Q891" i="12908"/>
  <c r="AN891" i="13034" s="1"/>
  <c r="Q759" i="12908"/>
  <c r="AN759" i="13034" s="1"/>
  <c r="K675" i="12908"/>
  <c r="AH675" i="13034" s="1"/>
  <c r="Q243" i="12908"/>
  <c r="AN243" i="13034" s="1"/>
  <c r="B19" i="13006"/>
  <c r="C19" i="13006"/>
  <c r="Q1863" i="12908"/>
  <c r="Q1879" i="12908"/>
  <c r="Q1871" i="12908"/>
  <c r="Y1855" i="12908"/>
  <c r="AV1855" i="13034" s="1"/>
  <c r="Q1079" i="12908"/>
  <c r="Q1101" i="12908"/>
  <c r="Q1123" i="12908"/>
  <c r="Y1057" i="12908"/>
  <c r="AV1057" i="13034" s="1"/>
  <c r="Q298" i="12908"/>
  <c r="Q334" i="12908"/>
  <c r="Y226" i="12908"/>
  <c r="AV226" i="13034" s="1"/>
  <c r="Q262" i="12908"/>
  <c r="Q370" i="12908"/>
  <c r="AN370" i="13034" s="1"/>
  <c r="Q1980" i="12908"/>
  <c r="Q1979" i="12908"/>
  <c r="Q1978" i="12908"/>
  <c r="AN1978" i="13034" s="1"/>
  <c r="Q1977" i="12908"/>
  <c r="AN1977" i="13034" s="1"/>
  <c r="Y2620" i="12908"/>
  <c r="Q2358" i="12908"/>
  <c r="Y2254" i="12908"/>
  <c r="AV2254" i="13034" s="1"/>
  <c r="Q2462" i="12908"/>
  <c r="Y2547" i="12908"/>
  <c r="AV2547" i="13034" s="1"/>
  <c r="K2547" i="12908"/>
  <c r="Y2235" i="12908"/>
  <c r="AV2235" i="13034" s="1"/>
  <c r="Q2443" i="12908"/>
  <c r="Q2339" i="12908"/>
  <c r="Q2236" i="12908"/>
  <c r="AN2236" i="13034" s="1"/>
  <c r="Y2257" i="12908"/>
  <c r="AV2257" i="13034" s="1"/>
  <c r="Q2361" i="12908"/>
  <c r="Q2465" i="12908"/>
  <c r="Q2258" i="12908"/>
  <c r="AN2258" i="13034" s="1"/>
  <c r="Y2550" i="12908"/>
  <c r="AV2550" i="13034" s="1"/>
  <c r="Y2544" i="12908"/>
  <c r="AV2544" i="13034" s="1"/>
  <c r="Y106" i="12908"/>
  <c r="AV106" i="13034" s="1"/>
  <c r="Y2465" i="12908" l="1"/>
  <c r="AV2465" i="13034" s="1"/>
  <c r="AN2465" i="13034"/>
  <c r="Y2339" i="12908"/>
  <c r="AV2339" i="13034" s="1"/>
  <c r="AN2339" i="13034"/>
  <c r="Q2617" i="12908"/>
  <c r="AN2617" i="13034" s="1"/>
  <c r="AV2620" i="13034"/>
  <c r="W14" i="13031"/>
  <c r="AN1980" i="13034"/>
  <c r="Y334" i="12908"/>
  <c r="AV334" i="13034" s="1"/>
  <c r="AN334" i="13034"/>
  <c r="Y1101" i="12908"/>
  <c r="AV1101" i="13034" s="1"/>
  <c r="AN1101" i="13034"/>
  <c r="Y1879" i="12908"/>
  <c r="AN1879" i="13034"/>
  <c r="Y696" i="12908"/>
  <c r="AV696" i="13034" s="1"/>
  <c r="AN696" i="13034"/>
  <c r="AA11" i="13025"/>
  <c r="AA20" i="13025" s="1"/>
  <c r="AN1378" i="13034"/>
  <c r="Y2461" i="12908"/>
  <c r="AV2461" i="13034" s="1"/>
  <c r="AN2461" i="13034"/>
  <c r="AA20" i="13027"/>
  <c r="AN1482" i="13034"/>
  <c r="Y1903" i="12908"/>
  <c r="AV1903" i="13034" s="1"/>
  <c r="AN1903" i="13034"/>
  <c r="Y2389" i="12908"/>
  <c r="AV2389" i="13034" s="1"/>
  <c r="AN2389" i="13034"/>
  <c r="Y2383" i="12908"/>
  <c r="AV2383" i="13034" s="1"/>
  <c r="AN2383" i="13034"/>
  <c r="Y2490" i="12908"/>
  <c r="AV2490" i="13034" s="1"/>
  <c r="AN2490" i="13034"/>
  <c r="X13" i="13029"/>
  <c r="AN1609" i="13034"/>
  <c r="Y1147" i="12908"/>
  <c r="AV1147" i="13034" s="1"/>
  <c r="AN1147" i="13034"/>
  <c r="W20" i="13023"/>
  <c r="AN677" i="13034"/>
  <c r="Y697" i="12908"/>
  <c r="AV697" i="13034" s="1"/>
  <c r="AN697" i="13034"/>
  <c r="Y2440" i="12908"/>
  <c r="AV2440" i="13034" s="1"/>
  <c r="AN2440" i="13034"/>
  <c r="Y2345" i="12908"/>
  <c r="AV2345" i="13034" s="1"/>
  <c r="AN2345" i="13034"/>
  <c r="Y1500" i="12908"/>
  <c r="AV1500" i="13034" s="1"/>
  <c r="AN1500" i="13034"/>
  <c r="Y1501" i="12908"/>
  <c r="AV1501" i="13034" s="1"/>
  <c r="AN1501" i="13034"/>
  <c r="Y714" i="12908"/>
  <c r="AV714" i="13034" s="1"/>
  <c r="AN714" i="13034"/>
  <c r="Y2364" i="12908"/>
  <c r="AV2364" i="13034" s="1"/>
  <c r="AN2364" i="13034"/>
  <c r="U2551" i="12908"/>
  <c r="AR2551" i="13034" s="1"/>
  <c r="AJ2551" i="13034"/>
  <c r="AB1840" i="12908"/>
  <c r="AV1840" i="13034"/>
  <c r="Y2361" i="12908"/>
  <c r="AV2361" i="13034" s="1"/>
  <c r="AN2361" i="13034"/>
  <c r="Y2443" i="12908"/>
  <c r="AV2443" i="13034" s="1"/>
  <c r="AN2443" i="13034"/>
  <c r="Y2462" i="12908"/>
  <c r="AV2462" i="13034" s="1"/>
  <c r="AN2462" i="13034"/>
  <c r="Y298" i="12908"/>
  <c r="AV298" i="13034" s="1"/>
  <c r="AN298" i="13034"/>
  <c r="Y1079" i="12908"/>
  <c r="AV1079" i="13034" s="1"/>
  <c r="AN1079" i="13034"/>
  <c r="Y1863" i="12908"/>
  <c r="AN1863" i="13034"/>
  <c r="AA12" i="13025"/>
  <c r="AN1379" i="13034"/>
  <c r="Y1521" i="12908"/>
  <c r="AV1521" i="13034" s="1"/>
  <c r="AN1521" i="13034"/>
  <c r="X14" i="13029"/>
  <c r="AN1610" i="13034"/>
  <c r="X11" i="13029"/>
  <c r="AN1607" i="13034"/>
  <c r="Y1035" i="12908"/>
  <c r="AV1035" i="13034" s="1"/>
  <c r="AN1035" i="13034"/>
  <c r="Y1011" i="12908"/>
  <c r="AV1011" i="13034" s="1"/>
  <c r="AN1011" i="13034"/>
  <c r="Y2336" i="12908"/>
  <c r="AV2336" i="13034" s="1"/>
  <c r="AN2336" i="13034"/>
  <c r="Q2627" i="12908"/>
  <c r="AN2627" i="13034" s="1"/>
  <c r="AV2630" i="13034"/>
  <c r="Y2484" i="12908"/>
  <c r="AV2484" i="13034" s="1"/>
  <c r="AN2484" i="13034"/>
  <c r="Y2590" i="12908"/>
  <c r="AV2590" i="13034" s="1"/>
  <c r="AN2590" i="13034"/>
  <c r="Y1520" i="12908"/>
  <c r="AV1520" i="13034" s="1"/>
  <c r="AN1520" i="13034"/>
  <c r="Y693" i="12908"/>
  <c r="AV693" i="13034" s="1"/>
  <c r="AN693" i="13034"/>
  <c r="Y2439" i="12908"/>
  <c r="AV2439" i="13034" s="1"/>
  <c r="AN2439" i="13034"/>
  <c r="Y639" i="12908"/>
  <c r="AV639" i="13034" s="1"/>
  <c r="AN639" i="13034"/>
  <c r="U2552" i="12908"/>
  <c r="AR2552" i="13034" s="1"/>
  <c r="AJ2552" i="13034"/>
  <c r="AB1851" i="12908"/>
  <c r="AV1851" i="13034"/>
  <c r="Y262" i="12908"/>
  <c r="AV262" i="13034" s="1"/>
  <c r="AN262" i="13034"/>
  <c r="Y738" i="12908"/>
  <c r="AV738" i="13034" s="1"/>
  <c r="AN738" i="13034"/>
  <c r="Y717" i="12908"/>
  <c r="AV717" i="13034" s="1"/>
  <c r="AN717" i="13034"/>
  <c r="Y1502" i="12908"/>
  <c r="AV1502" i="13034" s="1"/>
  <c r="AN1502" i="13034"/>
  <c r="Y2471" i="12908"/>
  <c r="AV2471" i="13034" s="1"/>
  <c r="AN2471" i="13034"/>
  <c r="Y2493" i="12908"/>
  <c r="AV2493" i="13034" s="1"/>
  <c r="AN2493" i="13034"/>
  <c r="Y2487" i="12908"/>
  <c r="AV2487" i="13034" s="1"/>
  <c r="AN2487" i="13034"/>
  <c r="Y2386" i="12908"/>
  <c r="AV2386" i="13034" s="1"/>
  <c r="AN2386" i="13034"/>
  <c r="Y987" i="12908"/>
  <c r="AV987" i="13034" s="1"/>
  <c r="AN987" i="13034"/>
  <c r="Y739" i="12908"/>
  <c r="AV739" i="13034" s="1"/>
  <c r="AN739" i="13034"/>
  <c r="Y2449" i="12908"/>
  <c r="AV2449" i="13034" s="1"/>
  <c r="AN2449" i="13034"/>
  <c r="Y1901" i="12908"/>
  <c r="AV1901" i="13034" s="1"/>
  <c r="AN1901" i="13034"/>
  <c r="Y2483" i="12908"/>
  <c r="AV2483" i="13034" s="1"/>
  <c r="AN2483" i="13034"/>
  <c r="Y2446" i="12908"/>
  <c r="AV2446" i="13034" s="1"/>
  <c r="AN2446" i="13034"/>
  <c r="Y2380" i="12908"/>
  <c r="AV2380" i="13034" s="1"/>
  <c r="AN2380" i="13034"/>
  <c r="Y735" i="12908"/>
  <c r="AV735" i="13034" s="1"/>
  <c r="AN735" i="13034"/>
  <c r="Y2468" i="12908"/>
  <c r="AV2468" i="13034" s="1"/>
  <c r="AN2468" i="13034"/>
  <c r="Y573" i="12908"/>
  <c r="AV573" i="13034" s="1"/>
  <c r="AN573" i="13034"/>
  <c r="U2553" i="12908"/>
  <c r="AR2553" i="13034" s="1"/>
  <c r="AJ2553" i="13034"/>
  <c r="S2547" i="12908"/>
  <c r="AP2547" i="13034" s="1"/>
  <c r="AH2547" i="13034"/>
  <c r="Y2358" i="12908"/>
  <c r="AV2358" i="13034" s="1"/>
  <c r="AN2358" i="13034"/>
  <c r="W13" i="13031"/>
  <c r="AN1979" i="13034"/>
  <c r="Y1123" i="12908"/>
  <c r="AV1123" i="13034" s="1"/>
  <c r="AN1123" i="13034"/>
  <c r="Y1871" i="12908"/>
  <c r="AN1871" i="13034"/>
  <c r="Y2357" i="12908"/>
  <c r="AV2357" i="13034" s="1"/>
  <c r="AN2357" i="13034"/>
  <c r="Y2591" i="12908"/>
  <c r="AV2591" i="13034" s="1"/>
  <c r="AN2591" i="13034"/>
  <c r="Y2367" i="12908"/>
  <c r="AV2367" i="13034" s="1"/>
  <c r="AN2367" i="13034"/>
  <c r="Y1891" i="12908"/>
  <c r="AV1891" i="13034" s="1"/>
  <c r="AN1891" i="13034"/>
  <c r="Y718" i="12908"/>
  <c r="AV718" i="13034" s="1"/>
  <c r="AN718" i="13034"/>
  <c r="Y1519" i="12908"/>
  <c r="AV1519" i="13034" s="1"/>
  <c r="AN1519" i="13034"/>
  <c r="S2548" i="12908"/>
  <c r="AP2548" i="13034" s="1"/>
  <c r="AH2548" i="13034"/>
  <c r="Y2379" i="12908"/>
  <c r="AV2379" i="13034" s="1"/>
  <c r="AN2379" i="13034"/>
  <c r="Y2342" i="12908"/>
  <c r="AV2342" i="13034" s="1"/>
  <c r="AN2342" i="13034"/>
  <c r="Y1902" i="12908"/>
  <c r="AV1902" i="13034" s="1"/>
  <c r="AN1902" i="13034"/>
  <c r="Y2335" i="12908"/>
  <c r="AV2335" i="13034" s="1"/>
  <c r="AN2335" i="13034"/>
  <c r="Y606" i="12908"/>
  <c r="AV606" i="13034" s="1"/>
  <c r="AN606" i="13034"/>
  <c r="U2550" i="12908"/>
  <c r="AR2550" i="13034" s="1"/>
  <c r="AJ2550" i="13034"/>
  <c r="U2554" i="12908"/>
  <c r="AR2554" i="13034" s="1"/>
  <c r="AJ2554" i="13034"/>
  <c r="Q29" i="13015"/>
  <c r="Q32" i="13015" s="1"/>
  <c r="M16" i="13013"/>
  <c r="S16" i="13013" s="1"/>
  <c r="U16" i="13013" s="1"/>
  <c r="M59" i="13016"/>
  <c r="AC59" i="12989"/>
  <c r="AB1824" i="13015"/>
  <c r="AB1823" i="13015"/>
  <c r="S59" i="13013"/>
  <c r="U59" i="13013" s="1"/>
  <c r="M44" i="13014"/>
  <c r="K59" i="13005"/>
  <c r="K44" i="13007" s="1"/>
  <c r="Y2617" i="13015"/>
  <c r="AC2619" i="13015" s="1"/>
  <c r="Q2622" i="13015" s="1"/>
  <c r="Y2622" i="13015" s="1"/>
  <c r="Q2627" i="13015"/>
  <c r="Y2627" i="13015" s="1"/>
  <c r="AC2630" i="13015" s="1"/>
  <c r="Q2631" i="13015" s="1"/>
  <c r="Y2631" i="13015" s="1"/>
  <c r="O51" i="13013" s="1"/>
  <c r="Y2400" i="13015"/>
  <c r="Y2504" i="13015"/>
  <c r="Y2296" i="13015"/>
  <c r="O2553" i="12908"/>
  <c r="AL2553" i="13034" s="1"/>
  <c r="AB1805" i="13015"/>
  <c r="AC1805" i="13015" s="1"/>
  <c r="Q1805" i="13015" s="1"/>
  <c r="Y1805" i="13015" s="1"/>
  <c r="O58" i="13013" s="1"/>
  <c r="AH58" i="12989" s="1"/>
  <c r="AI58" i="12989" s="1"/>
  <c r="Y2074" i="13015"/>
  <c r="Q2140" i="13015"/>
  <c r="Y2140" i="13015" s="1"/>
  <c r="Q2096" i="13015"/>
  <c r="Q2118" i="13015"/>
  <c r="Y2118" i="13015" s="1"/>
  <c r="W12" i="13022"/>
  <c r="V12" i="13023" s="1"/>
  <c r="Q836" i="13015"/>
  <c r="Q677" i="13015"/>
  <c r="Q739" i="13015"/>
  <c r="Y739" i="13015" s="1"/>
  <c r="Q760" i="13015"/>
  <c r="Q718" i="13015"/>
  <c r="Y718" i="13015" s="1"/>
  <c r="Q697" i="13015"/>
  <c r="Y697" i="13015" s="1"/>
  <c r="Q244" i="13015"/>
  <c r="Q892" i="13015"/>
  <c r="Y676" i="13015"/>
  <c r="AA12" i="13024"/>
  <c r="Z12" i="13025" s="1"/>
  <c r="Q1401" i="13015"/>
  <c r="Y1401" i="13015" s="1"/>
  <c r="Q1421" i="13015"/>
  <c r="Y1421" i="13015" s="1"/>
  <c r="Q1380" i="13015"/>
  <c r="Y1379" i="13015"/>
  <c r="Q1461" i="13015"/>
  <c r="Y1461" i="13015" s="1"/>
  <c r="Q2300" i="13015"/>
  <c r="Q1441" i="13015"/>
  <c r="Y1441" i="13015" s="1"/>
  <c r="X11" i="13028"/>
  <c r="W11" i="13029" s="1"/>
  <c r="K1607" i="13015"/>
  <c r="Q1625" i="13015"/>
  <c r="Y1625" i="13015" s="1"/>
  <c r="Y1607" i="13015"/>
  <c r="Q1645" i="13015"/>
  <c r="K1606" i="13015"/>
  <c r="Q1624" i="13015"/>
  <c r="Y1624" i="13015" s="1"/>
  <c r="Q1644" i="13015"/>
  <c r="Y1606" i="13015"/>
  <c r="Q1613" i="13015"/>
  <c r="Q2029" i="13015"/>
  <c r="Y2029" i="13015" s="1"/>
  <c r="Q2005" i="13015"/>
  <c r="Y2005" i="13015" s="1"/>
  <c r="W22" i="13030"/>
  <c r="V22" i="13031" s="1"/>
  <c r="Q2077" i="13015"/>
  <c r="Y1981" i="13015"/>
  <c r="Q2053" i="13015"/>
  <c r="Y2053" i="13015" s="1"/>
  <c r="AC1868" i="13015"/>
  <c r="Y1859" i="13015"/>
  <c r="Q474" i="13015"/>
  <c r="Y474" i="13015" s="1"/>
  <c r="Q440" i="13015"/>
  <c r="Y440" i="13015" s="1"/>
  <c r="Q406" i="13015"/>
  <c r="Y406" i="13015" s="1"/>
  <c r="Q508" i="13015"/>
  <c r="Y508" i="13015" s="1"/>
  <c r="Y372" i="13015"/>
  <c r="K16" i="13005"/>
  <c r="AC2631" i="13015"/>
  <c r="Q2632" i="13015" s="1"/>
  <c r="Y2632" i="13015" s="1"/>
  <c r="W21" i="13031"/>
  <c r="M2231" i="12908"/>
  <c r="AA10" i="13025"/>
  <c r="Y60" i="12989"/>
  <c r="AB1867" i="13015"/>
  <c r="AC1867" i="13015" s="1"/>
  <c r="AB1988" i="13015"/>
  <c r="Y57" i="12989"/>
  <c r="AB1714" i="13015"/>
  <c r="AC1714" i="13015" s="1"/>
  <c r="Q1714" i="13015" s="1"/>
  <c r="Y1714" i="13015" s="1"/>
  <c r="O57" i="13013" s="1"/>
  <c r="AH57" i="12989" s="1"/>
  <c r="AI57" i="12989" s="1"/>
  <c r="O2552" i="12908"/>
  <c r="W10" i="13022"/>
  <c r="Q674" i="13015"/>
  <c r="Q693" i="13015"/>
  <c r="Y693" i="13015" s="1"/>
  <c r="Y672" i="13015"/>
  <c r="Q969" i="13015"/>
  <c r="Q756" i="13015"/>
  <c r="K672" i="13015"/>
  <c r="Q889" i="13015"/>
  <c r="Q673" i="13015"/>
  <c r="Q832" i="13015"/>
  <c r="Q240" i="13015"/>
  <c r="Q735" i="13015"/>
  <c r="Y735" i="13015" s="1"/>
  <c r="Q714" i="13015"/>
  <c r="Y714" i="13015" s="1"/>
  <c r="AA11" i="13024"/>
  <c r="Q1460" i="13015"/>
  <c r="Y1460" i="13015" s="1"/>
  <c r="S1460" i="13015" s="1"/>
  <c r="Q1400" i="13015"/>
  <c r="Y1400" i="13015" s="1"/>
  <c r="S1400" i="13015" s="1"/>
  <c r="Y1378" i="13015"/>
  <c r="Q2299" i="13015"/>
  <c r="Q1440" i="13015"/>
  <c r="Y1440" i="13015" s="1"/>
  <c r="S1440" i="13015" s="1"/>
  <c r="Q1420" i="13015"/>
  <c r="Y1420" i="13015" s="1"/>
  <c r="S1420" i="13015" s="1"/>
  <c r="K1378" i="13015"/>
  <c r="M2232" i="13015"/>
  <c r="Y1604" i="13015"/>
  <c r="Q1642" i="13015"/>
  <c r="Q1622" i="13015"/>
  <c r="Y1622" i="13015" s="1"/>
  <c r="K1604" i="13015"/>
  <c r="K1605" i="13015"/>
  <c r="Q1643" i="13015"/>
  <c r="Y1605" i="13015"/>
  <c r="Q1623" i="13015"/>
  <c r="Y1623" i="13015" s="1"/>
  <c r="M2547" i="12908"/>
  <c r="Q2139" i="13015"/>
  <c r="Y2139" i="13015" s="1"/>
  <c r="Q2117" i="13015"/>
  <c r="Y2117" i="13015" s="1"/>
  <c r="Q2095" i="13015"/>
  <c r="Y2073" i="13015"/>
  <c r="Q2141" i="13015"/>
  <c r="Y2141" i="13015" s="1"/>
  <c r="Q2097" i="13015"/>
  <c r="Q2119" i="13015"/>
  <c r="Y2119" i="13015" s="1"/>
  <c r="Y2075" i="13015"/>
  <c r="V13" i="13031"/>
  <c r="W21" i="13030"/>
  <c r="Y56" i="12989"/>
  <c r="AB1203" i="13015"/>
  <c r="AC1203" i="13015" s="1"/>
  <c r="Y34" i="12989"/>
  <c r="AB1386" i="13015"/>
  <c r="Y41" i="12989"/>
  <c r="AB1612" i="13015"/>
  <c r="O2550" i="12908"/>
  <c r="Q1563" i="13015"/>
  <c r="Y1563" i="13015" s="1"/>
  <c r="Y1541" i="13015"/>
  <c r="Q1585" i="13015"/>
  <c r="Y1585" i="13015" s="1"/>
  <c r="AA10" i="13024"/>
  <c r="Q1419" i="13015"/>
  <c r="Y1419" i="13015" s="1"/>
  <c r="S1419" i="13015" s="1"/>
  <c r="Q1439" i="13015"/>
  <c r="Y1439" i="13015" s="1"/>
  <c r="S1439" i="13015" s="1"/>
  <c r="K1377" i="13015"/>
  <c r="Q1459" i="13015"/>
  <c r="Y1459" i="13015" s="1"/>
  <c r="S1459" i="13015" s="1"/>
  <c r="Q1399" i="13015"/>
  <c r="Y1399" i="13015" s="1"/>
  <c r="S1399" i="13015" s="1"/>
  <c r="Y1377" i="13015"/>
  <c r="M2231" i="13015"/>
  <c r="X13" i="13028"/>
  <c r="W13" i="13029" s="1"/>
  <c r="Q1627" i="13015"/>
  <c r="Y1627" i="13015" s="1"/>
  <c r="Y1609" i="13015"/>
  <c r="Q1629" i="13015"/>
  <c r="Y1629" i="13015" s="1"/>
  <c r="Y1647" i="13015"/>
  <c r="Q2098" i="13015"/>
  <c r="Y2076" i="13015"/>
  <c r="Q2142" i="13015"/>
  <c r="Y2142" i="13015" s="1"/>
  <c r="Q2120" i="13015"/>
  <c r="Y2120" i="13015" s="1"/>
  <c r="M2548" i="12908"/>
  <c r="AB1827" i="13015"/>
  <c r="AC1827" i="13015" s="1"/>
  <c r="Y2317" i="13015"/>
  <c r="Q2525" i="13015"/>
  <c r="Y2525" i="13015" s="1"/>
  <c r="Q2421" i="13015"/>
  <c r="Y2421" i="13015" s="1"/>
  <c r="Q835" i="13015"/>
  <c r="Q717" i="13015"/>
  <c r="Y717" i="13015" s="1"/>
  <c r="K675" i="13015"/>
  <c r="Q696" i="13015"/>
  <c r="Y696" i="13015" s="1"/>
  <c r="Q759" i="13015"/>
  <c r="Q243" i="13015"/>
  <c r="W11" i="13022"/>
  <c r="V11" i="13023" s="1"/>
  <c r="Q738" i="13015"/>
  <c r="Y738" i="13015" s="1"/>
  <c r="Y675" i="13015"/>
  <c r="W19" i="13022"/>
  <c r="V19" i="13023" s="1"/>
  <c r="Q891" i="13015"/>
  <c r="X14" i="13028"/>
  <c r="W14" i="13029" s="1"/>
  <c r="Q1628" i="13015"/>
  <c r="Y1628" i="13015" s="1"/>
  <c r="Y1610" i="13015"/>
  <c r="Q1630" i="13015"/>
  <c r="Y1630" i="13015" s="1"/>
  <c r="Y1648" i="13015"/>
  <c r="O2554" i="12908"/>
  <c r="O2551" i="12908"/>
  <c r="O2552" i="13015"/>
  <c r="AJ2552" i="13015" s="1"/>
  <c r="W2553" i="12908"/>
  <c r="AT2553" i="13034" s="1"/>
  <c r="O2553" i="13015"/>
  <c r="AJ2553" i="13015" s="1"/>
  <c r="W21" i="12989"/>
  <c r="W30" i="12989"/>
  <c r="W46" i="12989"/>
  <c r="W34" i="12989"/>
  <c r="W58" i="12989"/>
  <c r="W59" i="12989"/>
  <c r="W56" i="12989"/>
  <c r="W60" i="12989"/>
  <c r="W41" i="12989"/>
  <c r="W57" i="12989"/>
  <c r="W37" i="12989"/>
  <c r="V14" i="12989"/>
  <c r="V18" i="12989"/>
  <c r="Y18" i="12989" s="1"/>
  <c r="V15" i="12989"/>
  <c r="V19" i="12989"/>
  <c r="V16" i="12989"/>
  <c r="Y16" i="12989" s="1"/>
  <c r="V17" i="12989"/>
  <c r="V61" i="12989"/>
  <c r="V32" i="12989"/>
  <c r="V33" i="12989"/>
  <c r="V31" i="12989"/>
  <c r="V40" i="12989"/>
  <c r="V38" i="12989"/>
  <c r="V39" i="12989"/>
  <c r="V44" i="12989"/>
  <c r="Y44" i="12989" s="1"/>
  <c r="V45" i="12989"/>
  <c r="V43" i="12989"/>
  <c r="V24" i="12989"/>
  <c r="Y24" i="12989" s="1"/>
  <c r="V28" i="12989"/>
  <c r="V25" i="12989"/>
  <c r="Y25" i="12989" s="1"/>
  <c r="V29" i="12989"/>
  <c r="Y29" i="12989" s="1"/>
  <c r="V26" i="12989"/>
  <c r="Y26" i="12989" s="1"/>
  <c r="V23" i="12989"/>
  <c r="V27" i="12989"/>
  <c r="Y27" i="12989" s="1"/>
  <c r="V36" i="12989"/>
  <c r="Y36" i="12989" s="1"/>
  <c r="V35" i="12989"/>
  <c r="Y35" i="12989" s="1"/>
  <c r="Y46" i="12989"/>
  <c r="Y21" i="12989"/>
  <c r="Y2258" i="12908"/>
  <c r="AV2258" i="13034" s="1"/>
  <c r="Q2466" i="12908"/>
  <c r="Q2362" i="12908"/>
  <c r="K696" i="12908"/>
  <c r="K738" i="12908"/>
  <c r="K717" i="12908"/>
  <c r="K835" i="12908"/>
  <c r="AH835" i="13034" s="1"/>
  <c r="K759" i="12908"/>
  <c r="AH759" i="13034" s="1"/>
  <c r="K891" i="12908"/>
  <c r="AH891" i="13034" s="1"/>
  <c r="K243" i="12908"/>
  <c r="AH243" i="13034" s="1"/>
  <c r="Y228" i="12908"/>
  <c r="AV228" i="13034" s="1"/>
  <c r="Q300" i="12908"/>
  <c r="Q336" i="12908"/>
  <c r="Q372" i="12908"/>
  <c r="AN372" i="13034" s="1"/>
  <c r="Q264" i="12908"/>
  <c r="Y2627" i="12908"/>
  <c r="AV2627" i="13034" s="1"/>
  <c r="Q2001" i="12908"/>
  <c r="Q2025" i="12908"/>
  <c r="Q2049" i="12908"/>
  <c r="Q2073" i="12908"/>
  <c r="AN2073" i="13034" s="1"/>
  <c r="Y1977" i="12908"/>
  <c r="AV1977" i="13034" s="1"/>
  <c r="Q404" i="12908"/>
  <c r="Y370" i="12908"/>
  <c r="AV370" i="13034" s="1"/>
  <c r="Q472" i="12908"/>
  <c r="Q506" i="12908"/>
  <c r="Q438" i="12908"/>
  <c r="C23" i="13006"/>
  <c r="C25" i="13006" s="1"/>
  <c r="C27" i="13006" s="1"/>
  <c r="C29" i="13006" s="1"/>
  <c r="Q2560" i="12908" s="1"/>
  <c r="C32" i="13006"/>
  <c r="Y2283" i="12908"/>
  <c r="AV2283" i="13034" s="1"/>
  <c r="Q2491" i="12908"/>
  <c r="Q2387" i="12908"/>
  <c r="Y244" i="12908"/>
  <c r="AV244" i="13034" s="1"/>
  <c r="Q352" i="12908"/>
  <c r="Q316" i="12908"/>
  <c r="Q388" i="12908"/>
  <c r="AN388" i="13034" s="1"/>
  <c r="Q280" i="12908"/>
  <c r="Q2450" i="12908"/>
  <c r="Y2242" i="12908"/>
  <c r="AV2242" i="13034" s="1"/>
  <c r="Q2346" i="12908"/>
  <c r="Q1582" i="12908"/>
  <c r="Q1560" i="12908"/>
  <c r="Y1538" i="12908"/>
  <c r="AV1538" i="13034" s="1"/>
  <c r="AB1824" i="12908"/>
  <c r="AB1823" i="12908"/>
  <c r="Y1978" i="12908"/>
  <c r="AV1978" i="13034" s="1"/>
  <c r="Q2026" i="12908"/>
  <c r="Q2002" i="12908"/>
  <c r="Q2050" i="12908"/>
  <c r="Q2074" i="12908"/>
  <c r="AN2074" i="13034" s="1"/>
  <c r="M1978" i="12908"/>
  <c r="AJ1978" i="13034" s="1"/>
  <c r="Y1859" i="12908"/>
  <c r="AV1859" i="13034" s="1"/>
  <c r="B32" i="13006"/>
  <c r="B23" i="13006"/>
  <c r="B25" i="13006" s="1"/>
  <c r="B27" i="13006" s="1"/>
  <c r="B29" i="13006" s="1"/>
  <c r="Q2557" i="12908" s="1"/>
  <c r="Y891" i="12908"/>
  <c r="AV891" i="13034" s="1"/>
  <c r="Q909" i="12908"/>
  <c r="Q927" i="12908"/>
  <c r="Q945" i="12908"/>
  <c r="Q556" i="12908"/>
  <c r="AN556" i="13034" s="1"/>
  <c r="AA11" i="12993"/>
  <c r="AA20" i="12993" s="1"/>
  <c r="Y1378" i="12908"/>
  <c r="AV1378" i="13034" s="1"/>
  <c r="Q1440" i="12908"/>
  <c r="Q1420" i="12908"/>
  <c r="Q1460" i="12908"/>
  <c r="Q1400" i="12908"/>
  <c r="K1378" i="12908"/>
  <c r="AH1378" i="13034" s="1"/>
  <c r="Q2299" i="12908"/>
  <c r="AN2299" i="13034" s="1"/>
  <c r="E19" i="13006"/>
  <c r="D19" i="13006"/>
  <c r="AA20" i="12994"/>
  <c r="F33" i="13006"/>
  <c r="Q1522" i="12908"/>
  <c r="Q1503" i="12908"/>
  <c r="Q1904" i="12908"/>
  <c r="Q2317" i="12908"/>
  <c r="AN2317" i="13034" s="1"/>
  <c r="Q1541" i="12908"/>
  <c r="AN1541" i="13034" s="1"/>
  <c r="Q2592" i="12908"/>
  <c r="Y1482" i="12908"/>
  <c r="AV1482" i="13034" s="1"/>
  <c r="X13" i="12995"/>
  <c r="Q1627" i="12908"/>
  <c r="Y1609" i="12908"/>
  <c r="AV1609" i="13034" s="1"/>
  <c r="Q1623" i="12908"/>
  <c r="Y1605" i="12908"/>
  <c r="AV1605" i="13034" s="1"/>
  <c r="K1605" i="12908"/>
  <c r="AH1605" i="13034" s="1"/>
  <c r="Q1643" i="12908"/>
  <c r="Y1059" i="12908"/>
  <c r="AV1059" i="13034" s="1"/>
  <c r="Q1103" i="12908"/>
  <c r="Q1081" i="12908"/>
  <c r="Q1125" i="12908"/>
  <c r="W20" i="12992"/>
  <c r="C33" i="13006"/>
  <c r="B33" i="13006"/>
  <c r="Q719" i="12908"/>
  <c r="Q740" i="12908"/>
  <c r="Q837" i="12908"/>
  <c r="AN837" i="13034" s="1"/>
  <c r="Q893" i="12908"/>
  <c r="AN893" i="13034" s="1"/>
  <c r="Q698" i="12908"/>
  <c r="Q761" i="12908"/>
  <c r="AN761" i="13034" s="1"/>
  <c r="Q245" i="12908"/>
  <c r="AN245" i="13034" s="1"/>
  <c r="Y677" i="12908"/>
  <c r="AV677" i="13034" s="1"/>
  <c r="Y892" i="12908"/>
  <c r="AV892" i="13034" s="1"/>
  <c r="Q910" i="12908"/>
  <c r="Q946" i="12908"/>
  <c r="Q928" i="12908"/>
  <c r="Q557" i="12908"/>
  <c r="AN557" i="13034" s="1"/>
  <c r="M2232" i="12908"/>
  <c r="AJ2232" i="13034" s="1"/>
  <c r="Z50" i="12989"/>
  <c r="AB2618" i="12908"/>
  <c r="S672" i="12908"/>
  <c r="AP672" i="13034" s="1"/>
  <c r="Q312" i="12908"/>
  <c r="Q276" i="12908"/>
  <c r="Q348" i="12908"/>
  <c r="Y240" i="12908"/>
  <c r="AV240" i="13034" s="1"/>
  <c r="Q384" i="12908"/>
  <c r="AN384" i="13034" s="1"/>
  <c r="Y1980" i="12908"/>
  <c r="AV1980" i="13034" s="1"/>
  <c r="W14" i="12991"/>
  <c r="Q2052" i="12908"/>
  <c r="Q2004" i="12908"/>
  <c r="Q2076" i="12908"/>
  <c r="AN2076" i="13034" s="1"/>
  <c r="Q2028" i="12908"/>
  <c r="Q1981" i="12908"/>
  <c r="Y835" i="12908"/>
  <c r="AV835" i="13034" s="1"/>
  <c r="Q873" i="12908"/>
  <c r="Q854" i="12908"/>
  <c r="Y2316" i="12908"/>
  <c r="AV2316" i="13034" s="1"/>
  <c r="Q2420" i="12908"/>
  <c r="Q2524" i="12908"/>
  <c r="Q1644" i="12908"/>
  <c r="Q1624" i="12908"/>
  <c r="Y1606" i="12908"/>
  <c r="AV1606" i="13034" s="1"/>
  <c r="K1606" i="12908"/>
  <c r="AH1606" i="13034" s="1"/>
  <c r="Q1613" i="12908"/>
  <c r="Y2617" i="12908"/>
  <c r="AV2617" i="13034" s="1"/>
  <c r="Y759" i="12908"/>
  <c r="AV759" i="13034" s="1"/>
  <c r="Q778" i="12908"/>
  <c r="Q816" i="12908"/>
  <c r="Q797" i="12908"/>
  <c r="K1377" i="12908"/>
  <c r="AH1377" i="13034" s="1"/>
  <c r="Q1399" i="12908"/>
  <c r="Q1419" i="12908"/>
  <c r="Q1459" i="12908"/>
  <c r="Y1377" i="12908"/>
  <c r="AV1377" i="13034" s="1"/>
  <c r="AA10" i="12993"/>
  <c r="Q1439" i="12908"/>
  <c r="Y2286" i="12908"/>
  <c r="AV2286" i="13034" s="1"/>
  <c r="Q2390" i="12908"/>
  <c r="Q2494" i="12908"/>
  <c r="Q1622" i="12908"/>
  <c r="K1604" i="12908"/>
  <c r="AH1604" i="13034" s="1"/>
  <c r="Q1642" i="12908"/>
  <c r="Y1604" i="12908"/>
  <c r="AV1604" i="13034" s="1"/>
  <c r="Q1630" i="12908"/>
  <c r="Y1648" i="12908"/>
  <c r="AV1648" i="13034" s="1"/>
  <c r="Y542" i="12908"/>
  <c r="AV542" i="13034" s="1"/>
  <c r="Q575" i="12908"/>
  <c r="Q641" i="12908"/>
  <c r="Q608" i="12908"/>
  <c r="Y2239" i="12908"/>
  <c r="AV2239" i="13034" s="1"/>
  <c r="Q2343" i="12908"/>
  <c r="Q2447" i="12908"/>
  <c r="F23" i="13006"/>
  <c r="F25" i="13006" s="1"/>
  <c r="F27" i="13006" s="1"/>
  <c r="F29" i="13006" s="1"/>
  <c r="Q2569" i="12908" s="1"/>
  <c r="F32" i="13006"/>
  <c r="Z51" i="12989"/>
  <c r="AB2630" i="12908"/>
  <c r="K714" i="12908"/>
  <c r="K735" i="12908"/>
  <c r="K693" i="12908"/>
  <c r="K756" i="12908"/>
  <c r="AH756" i="13034" s="1"/>
  <c r="K889" i="12908"/>
  <c r="AH889" i="13034" s="1"/>
  <c r="K832" i="12908"/>
  <c r="AH832" i="13034" s="1"/>
  <c r="K240" i="12908"/>
  <c r="AH240" i="13034" s="1"/>
  <c r="Q813" i="12908"/>
  <c r="Q775" i="12908"/>
  <c r="Q794" i="12908"/>
  <c r="Y756" i="12908"/>
  <c r="AV756" i="13034" s="1"/>
  <c r="Y111" i="12908"/>
  <c r="AV111" i="13034" s="1"/>
  <c r="Q2469" i="12908"/>
  <c r="Y2261" i="12908"/>
  <c r="AV2261" i="13034" s="1"/>
  <c r="Q2365" i="12908"/>
  <c r="Y2236" i="12908"/>
  <c r="AV2236" i="13034" s="1"/>
  <c r="Q2340" i="12908"/>
  <c r="Q2444" i="12908"/>
  <c r="Q2027" i="12908"/>
  <c r="Y1979" i="12908"/>
  <c r="AV1979" i="13034" s="1"/>
  <c r="Q2051" i="12908"/>
  <c r="Q2075" i="12908"/>
  <c r="AN2075" i="13034" s="1"/>
  <c r="Q2003" i="12908"/>
  <c r="W13" i="12991"/>
  <c r="Y243" i="12908"/>
  <c r="AV243" i="13034" s="1"/>
  <c r="Q351" i="12908"/>
  <c r="Q279" i="12908"/>
  <c r="Q315" i="12908"/>
  <c r="Q387" i="12908"/>
  <c r="AN387" i="13034" s="1"/>
  <c r="E20" i="13006"/>
  <c r="Q1461" i="12908"/>
  <c r="AA12" i="12993"/>
  <c r="D20" i="13006"/>
  <c r="Q1441" i="12908"/>
  <c r="Q1401" i="12908"/>
  <c r="Q2300" i="12908"/>
  <c r="AN2300" i="13034" s="1"/>
  <c r="Q1421" i="12908"/>
  <c r="Y1379" i="12908"/>
  <c r="AV1379" i="13034" s="1"/>
  <c r="Q1380" i="12908"/>
  <c r="AN1380" i="13034" s="1"/>
  <c r="Q1562" i="12908"/>
  <c r="Y1540" i="12908"/>
  <c r="AV1540" i="13034" s="1"/>
  <c r="Q1584" i="12908"/>
  <c r="Y2264" i="12908"/>
  <c r="AV2264" i="13034" s="1"/>
  <c r="Q2472" i="12908"/>
  <c r="Q2368" i="12908"/>
  <c r="Q2384" i="12908"/>
  <c r="Q2488" i="12908"/>
  <c r="Y2280" i="12908"/>
  <c r="AV2280" i="13034" s="1"/>
  <c r="X14" i="12995"/>
  <c r="Q1628" i="12908"/>
  <c r="Y1610" i="12908"/>
  <c r="AV1610" i="13034" s="1"/>
  <c r="Y1607" i="12908"/>
  <c r="AV1607" i="13034" s="1"/>
  <c r="X11" i="12995"/>
  <c r="K1607" i="12908"/>
  <c r="AH1607" i="13034" s="1"/>
  <c r="Q1625" i="12908"/>
  <c r="Q1645" i="12908"/>
  <c r="Y836" i="12908"/>
  <c r="AV836" i="13034" s="1"/>
  <c r="Q874" i="12908"/>
  <c r="Q855" i="12908"/>
  <c r="AA18" i="12994"/>
  <c r="Q44" i="13007"/>
  <c r="AE59" i="12989"/>
  <c r="Y2315" i="12908"/>
  <c r="AV2315" i="13034" s="1"/>
  <c r="Q2523" i="12908"/>
  <c r="Q2419" i="12908"/>
  <c r="Q943" i="12908"/>
  <c r="Q925" i="12908"/>
  <c r="Q907" i="12908"/>
  <c r="Q554" i="12908"/>
  <c r="AN554" i="13034" s="1"/>
  <c r="Y889" i="12908"/>
  <c r="AV889" i="13034" s="1"/>
  <c r="Y969" i="12908"/>
  <c r="AV969" i="13034" s="1"/>
  <c r="Q1041" i="12908"/>
  <c r="Q993" i="12908"/>
  <c r="Q1017" i="12908"/>
  <c r="Q1065" i="12908"/>
  <c r="AN1065" i="13034" s="1"/>
  <c r="Q1153" i="12908"/>
  <c r="Q225" i="12908"/>
  <c r="AN225" i="13034" s="1"/>
  <c r="Q539" i="12908"/>
  <c r="AN539" i="13034" s="1"/>
  <c r="K969" i="12908"/>
  <c r="AH969" i="13034" s="1"/>
  <c r="Q1887" i="12908"/>
  <c r="Y673" i="12908"/>
  <c r="AV673" i="13034" s="1"/>
  <c r="Q694" i="12908"/>
  <c r="Q715" i="12908"/>
  <c r="Q757" i="12908"/>
  <c r="AN757" i="13034" s="1"/>
  <c r="Q833" i="12908"/>
  <c r="AN833" i="13034" s="1"/>
  <c r="Q736" i="12908"/>
  <c r="K673" i="12908"/>
  <c r="AH673" i="13034" s="1"/>
  <c r="Q241" i="12908"/>
  <c r="AN241" i="13034" s="1"/>
  <c r="Q890" i="12908"/>
  <c r="AN890" i="13034" s="1"/>
  <c r="AA51" i="12989"/>
  <c r="AB2631" i="12908"/>
  <c r="Q1629" i="12908"/>
  <c r="Y1647" i="12908"/>
  <c r="AV1647" i="13034" s="1"/>
  <c r="Y760" i="12908"/>
  <c r="AV760" i="13034" s="1"/>
  <c r="Q817" i="12908"/>
  <c r="Q779" i="12908"/>
  <c r="Q798" i="12908"/>
  <c r="Y1539" i="12908"/>
  <c r="AV1539" i="13034" s="1"/>
  <c r="Q1561" i="12908"/>
  <c r="Q1583" i="12908"/>
  <c r="W18" i="12992"/>
  <c r="Q870" i="12908"/>
  <c r="Y832" i="12908"/>
  <c r="AV832" i="13034" s="1"/>
  <c r="Q851" i="12908"/>
  <c r="Y674" i="12908"/>
  <c r="AV674" i="13034" s="1"/>
  <c r="Q695" i="12908"/>
  <c r="Q737" i="12908"/>
  <c r="Q716" i="12908"/>
  <c r="Q242" i="12908"/>
  <c r="AN242" i="13034" s="1"/>
  <c r="Q758" i="12908"/>
  <c r="AN758" i="13034" s="1"/>
  <c r="K674" i="12908"/>
  <c r="AH674" i="13034" s="1"/>
  <c r="AA50" i="12989"/>
  <c r="AB2619" i="12908"/>
  <c r="X46" i="12989"/>
  <c r="AL46" i="12989" s="1"/>
  <c r="X60" i="12989"/>
  <c r="X34" i="12989"/>
  <c r="X58" i="12989"/>
  <c r="X59" i="12989"/>
  <c r="X30" i="12989"/>
  <c r="AL30" i="12989" s="1"/>
  <c r="X21" i="12989"/>
  <c r="AL21" i="12989" s="1"/>
  <c r="X56" i="12989"/>
  <c r="X41" i="12989"/>
  <c r="X57" i="12989"/>
  <c r="X37" i="12989"/>
  <c r="AL37" i="12989" s="1"/>
  <c r="Q66" i="13015" l="1"/>
  <c r="Y66" i="13015" s="1"/>
  <c r="W44" i="13007"/>
  <c r="Y44" i="13007" s="1"/>
  <c r="Q169" i="13015"/>
  <c r="Y169" i="13015" s="1"/>
  <c r="Y716" i="12908"/>
  <c r="AV716" i="13034" s="1"/>
  <c r="AN716" i="13034"/>
  <c r="Y851" i="12908"/>
  <c r="AV851" i="13034" s="1"/>
  <c r="AN851" i="13034"/>
  <c r="Y1583" i="12908"/>
  <c r="AV1583" i="13034" s="1"/>
  <c r="AN1583" i="13034"/>
  <c r="Y779" i="12908"/>
  <c r="AV779" i="13034" s="1"/>
  <c r="AN779" i="13034"/>
  <c r="Y1629" i="12908"/>
  <c r="AV1629" i="13034" s="1"/>
  <c r="AN1629" i="13034"/>
  <c r="Y1887" i="12908"/>
  <c r="AV1887" i="13034" s="1"/>
  <c r="AN1887" i="13034"/>
  <c r="Y1153" i="12908"/>
  <c r="AV1153" i="13034" s="1"/>
  <c r="AN1153" i="13034"/>
  <c r="Y1041" i="12908"/>
  <c r="AV1041" i="13034" s="1"/>
  <c r="AN1041" i="13034"/>
  <c r="Y907" i="12908"/>
  <c r="AV907" i="13034" s="1"/>
  <c r="AN907" i="13034"/>
  <c r="Y2523" i="12908"/>
  <c r="AV2523" i="13034" s="1"/>
  <c r="AN2523" i="13034"/>
  <c r="Y1645" i="12908"/>
  <c r="AV1645" i="13034" s="1"/>
  <c r="AN1645" i="13034"/>
  <c r="Y2472" i="12908"/>
  <c r="AV2472" i="13034" s="1"/>
  <c r="AN2472" i="13034"/>
  <c r="Y1562" i="12908"/>
  <c r="AV1562" i="13034" s="1"/>
  <c r="AN1562" i="13034"/>
  <c r="Y315" i="12908"/>
  <c r="AV315" i="13034" s="1"/>
  <c r="AN315" i="13034"/>
  <c r="Y813" i="12908"/>
  <c r="AV813" i="13034" s="1"/>
  <c r="AN813" i="13034"/>
  <c r="Y2447" i="12908"/>
  <c r="AV2447" i="13034" s="1"/>
  <c r="AN2447" i="13034"/>
  <c r="Y641" i="12908"/>
  <c r="AV641" i="13034" s="1"/>
  <c r="AN641" i="13034"/>
  <c r="Y1630" i="12908"/>
  <c r="AV1630" i="13034" s="1"/>
  <c r="AN1630" i="13034"/>
  <c r="Y1622" i="12908"/>
  <c r="AV1622" i="13034" s="1"/>
  <c r="AN1622" i="13034"/>
  <c r="Y1439" i="12908"/>
  <c r="AV1439" i="13034" s="1"/>
  <c r="AN1439" i="13034"/>
  <c r="Y1419" i="12908"/>
  <c r="AV1419" i="13034" s="1"/>
  <c r="AN1419" i="13034"/>
  <c r="Y816" i="12908"/>
  <c r="AV816" i="13034" s="1"/>
  <c r="AN816" i="13034"/>
  <c r="X10" i="13029"/>
  <c r="AN1613" i="13034"/>
  <c r="Y1644" i="12908"/>
  <c r="AV1644" i="13034" s="1"/>
  <c r="AN1644" i="13034"/>
  <c r="Y854" i="12908"/>
  <c r="AV854" i="13034" s="1"/>
  <c r="AN854" i="13034"/>
  <c r="Y2028" i="12908"/>
  <c r="AV2028" i="13034" s="1"/>
  <c r="AN2028" i="13034"/>
  <c r="Y348" i="12908"/>
  <c r="AV348" i="13034" s="1"/>
  <c r="AN348" i="13034"/>
  <c r="Y928" i="12908"/>
  <c r="AV928" i="13034" s="1"/>
  <c r="AN928" i="13034"/>
  <c r="Y1081" i="12908"/>
  <c r="AV1081" i="13034" s="1"/>
  <c r="AN1081" i="13034"/>
  <c r="Y1627" i="12908"/>
  <c r="AV1627" i="13034" s="1"/>
  <c r="AN1627" i="13034"/>
  <c r="Y1522" i="12908"/>
  <c r="AV1522" i="13034" s="1"/>
  <c r="AN1522" i="13034"/>
  <c r="Y1460" i="12908"/>
  <c r="AN1460" i="13034"/>
  <c r="Y909" i="12908"/>
  <c r="AV909" i="13034" s="1"/>
  <c r="AN909" i="13034"/>
  <c r="Y2002" i="12908"/>
  <c r="AV2002" i="13034" s="1"/>
  <c r="AN2002" i="13034"/>
  <c r="Y2346" i="12908"/>
  <c r="AV2346" i="13034" s="1"/>
  <c r="AN2346" i="13034"/>
  <c r="Y2387" i="12908"/>
  <c r="AV2387" i="13034" s="1"/>
  <c r="AN2387" i="13034"/>
  <c r="Q2560" i="13015"/>
  <c r="AN2560" i="13034"/>
  <c r="Y2049" i="12908"/>
  <c r="AV2049" i="13034" s="1"/>
  <c r="AN2049" i="13034"/>
  <c r="Y264" i="12908"/>
  <c r="AV264" i="13034" s="1"/>
  <c r="AN264" i="13034"/>
  <c r="Y2362" i="12908"/>
  <c r="AV2362" i="13034" s="1"/>
  <c r="AN2362" i="13034"/>
  <c r="W2551" i="12908"/>
  <c r="AT2551" i="13034" s="1"/>
  <c r="AL2551" i="13034"/>
  <c r="U2548" i="12908"/>
  <c r="AR2548" i="13034" s="1"/>
  <c r="AJ2548" i="13034"/>
  <c r="M2335" i="12908"/>
  <c r="AJ2231" i="13034"/>
  <c r="Y817" i="12908"/>
  <c r="AV817" i="13034" s="1"/>
  <c r="AN817" i="13034"/>
  <c r="Y925" i="12908"/>
  <c r="AV925" i="13034" s="1"/>
  <c r="AN925" i="13034"/>
  <c r="Y855" i="12908"/>
  <c r="AV855" i="13034" s="1"/>
  <c r="AN855" i="13034"/>
  <c r="Y1625" i="12908"/>
  <c r="AV1625" i="13034" s="1"/>
  <c r="AN1625" i="13034"/>
  <c r="Y2488" i="12908"/>
  <c r="AV2488" i="13034" s="1"/>
  <c r="AN2488" i="13034"/>
  <c r="Y1401" i="12908"/>
  <c r="AV1401" i="13034" s="1"/>
  <c r="AN1401" i="13034"/>
  <c r="Y1461" i="12908"/>
  <c r="AV1461" i="13034" s="1"/>
  <c r="AN1461" i="13034"/>
  <c r="Y279" i="12908"/>
  <c r="AV279" i="13034" s="1"/>
  <c r="AN279" i="13034"/>
  <c r="Y2003" i="12908"/>
  <c r="AV2003" i="13034" s="1"/>
  <c r="AN2003" i="13034"/>
  <c r="Y2027" i="12908"/>
  <c r="AV2027" i="13034" s="1"/>
  <c r="AN2027" i="13034"/>
  <c r="Y2365" i="12908"/>
  <c r="AV2365" i="13034" s="1"/>
  <c r="AN2365" i="13034"/>
  <c r="S693" i="12908"/>
  <c r="AP693" i="13034" s="1"/>
  <c r="AH693" i="13034"/>
  <c r="Y2343" i="12908"/>
  <c r="AV2343" i="13034" s="1"/>
  <c r="AN2343" i="13034"/>
  <c r="Y575" i="12908"/>
  <c r="AV575" i="13034" s="1"/>
  <c r="AN575" i="13034"/>
  <c r="Y2494" i="12908"/>
  <c r="AV2494" i="13034" s="1"/>
  <c r="AN2494" i="13034"/>
  <c r="Y1399" i="12908"/>
  <c r="AV1399" i="13034" s="1"/>
  <c r="AN1399" i="13034"/>
  <c r="Y778" i="12908"/>
  <c r="AV778" i="13034" s="1"/>
  <c r="AN778" i="13034"/>
  <c r="Y2524" i="12908"/>
  <c r="AV2524" i="13034" s="1"/>
  <c r="AN2524" i="13034"/>
  <c r="Y873" i="12908"/>
  <c r="AV873" i="13034" s="1"/>
  <c r="AN873" i="13034"/>
  <c r="Y276" i="12908"/>
  <c r="AV276" i="13034" s="1"/>
  <c r="AN276" i="13034"/>
  <c r="Y946" i="12908"/>
  <c r="AV946" i="13034" s="1"/>
  <c r="AN946" i="13034"/>
  <c r="Y1103" i="12908"/>
  <c r="AV1103" i="13034" s="1"/>
  <c r="AN1103" i="13034"/>
  <c r="Y1420" i="12908"/>
  <c r="AN1420" i="13034"/>
  <c r="Y2026" i="12908"/>
  <c r="AV2026" i="13034" s="1"/>
  <c r="AN2026" i="13034"/>
  <c r="Y316" i="12908"/>
  <c r="AV316" i="13034" s="1"/>
  <c r="AN316" i="13034"/>
  <c r="Y2491" i="12908"/>
  <c r="AV2491" i="13034" s="1"/>
  <c r="AN2491" i="13034"/>
  <c r="Y438" i="12908"/>
  <c r="AV438" i="13034" s="1"/>
  <c r="AN438" i="13034"/>
  <c r="Y404" i="12908"/>
  <c r="AV404" i="13034" s="1"/>
  <c r="AN404" i="13034"/>
  <c r="Y2025" i="12908"/>
  <c r="AV2025" i="13034" s="1"/>
  <c r="AN2025" i="13034"/>
  <c r="S717" i="12908"/>
  <c r="AP717" i="13034" s="1"/>
  <c r="AH717" i="13034"/>
  <c r="Y2466" i="12908"/>
  <c r="AV2466" i="13034" s="1"/>
  <c r="AN2466" i="13034"/>
  <c r="O2554" i="13015"/>
  <c r="AJ2554" i="13015" s="1"/>
  <c r="AL2554" i="13034"/>
  <c r="W2552" i="12908"/>
  <c r="AT2552" i="13034" s="1"/>
  <c r="AL2552" i="13034"/>
  <c r="Y2419" i="12908"/>
  <c r="AV2419" i="13034" s="1"/>
  <c r="AN2419" i="13034"/>
  <c r="Y737" i="12908"/>
  <c r="AV737" i="13034" s="1"/>
  <c r="AN737" i="13034"/>
  <c r="Y1561" i="12908"/>
  <c r="AV1561" i="13034" s="1"/>
  <c r="AN1561" i="13034"/>
  <c r="Y715" i="12908"/>
  <c r="AV715" i="13034" s="1"/>
  <c r="AN715" i="13034"/>
  <c r="Y695" i="12908"/>
  <c r="AV695" i="13034" s="1"/>
  <c r="AN695" i="13034"/>
  <c r="Y870" i="12908"/>
  <c r="AV870" i="13034" s="1"/>
  <c r="AN870" i="13034"/>
  <c r="Y736" i="12908"/>
  <c r="AV736" i="13034" s="1"/>
  <c r="AN736" i="13034"/>
  <c r="Y694" i="12908"/>
  <c r="AV694" i="13034" s="1"/>
  <c r="AN694" i="13034"/>
  <c r="Y1017" i="12908"/>
  <c r="AV1017" i="13034" s="1"/>
  <c r="AN1017" i="13034"/>
  <c r="Y943" i="12908"/>
  <c r="AV943" i="13034" s="1"/>
  <c r="AN943" i="13034"/>
  <c r="Y874" i="12908"/>
  <c r="AV874" i="13034" s="1"/>
  <c r="AN874" i="13034"/>
  <c r="Y1628" i="12908"/>
  <c r="AV1628" i="13034" s="1"/>
  <c r="AN1628" i="13034"/>
  <c r="Y2384" i="12908"/>
  <c r="AV2384" i="13034" s="1"/>
  <c r="AN2384" i="13034"/>
  <c r="Y1584" i="12908"/>
  <c r="AV1584" i="13034" s="1"/>
  <c r="AN1584" i="13034"/>
  <c r="Y1441" i="12908"/>
  <c r="AV1441" i="13034" s="1"/>
  <c r="AN1441" i="13034"/>
  <c r="Y351" i="12908"/>
  <c r="AV351" i="13034" s="1"/>
  <c r="AN351" i="13034"/>
  <c r="Y2444" i="12908"/>
  <c r="AV2444" i="13034" s="1"/>
  <c r="AN2444" i="13034"/>
  <c r="Y794" i="12908"/>
  <c r="AV794" i="13034" s="1"/>
  <c r="AN794" i="13034"/>
  <c r="S735" i="12908"/>
  <c r="AP735" i="13034" s="1"/>
  <c r="AH735" i="13034"/>
  <c r="Y1642" i="12908"/>
  <c r="AV1642" i="13034" s="1"/>
  <c r="AN1642" i="13034"/>
  <c r="Y2390" i="12908"/>
  <c r="AV2390" i="13034" s="1"/>
  <c r="AN2390" i="13034"/>
  <c r="Y2420" i="12908"/>
  <c r="AV2420" i="13034" s="1"/>
  <c r="AN2420" i="13034"/>
  <c r="Y2004" i="12908"/>
  <c r="AV2004" i="13034" s="1"/>
  <c r="AN2004" i="13034"/>
  <c r="Y312" i="12908"/>
  <c r="AV312" i="13034" s="1"/>
  <c r="AN312" i="13034"/>
  <c r="Y910" i="12908"/>
  <c r="AV910" i="13034" s="1"/>
  <c r="AN910" i="13034"/>
  <c r="Y740" i="12908"/>
  <c r="AV740" i="13034" s="1"/>
  <c r="AN740" i="13034"/>
  <c r="Y1623" i="12908"/>
  <c r="AV1623" i="13034" s="1"/>
  <c r="AN1623" i="13034"/>
  <c r="Y1904" i="12908"/>
  <c r="AV1904" i="13034" s="1"/>
  <c r="AN1904" i="13034"/>
  <c r="Y1440" i="12908"/>
  <c r="AN1440" i="13034"/>
  <c r="Y945" i="12908"/>
  <c r="AV945" i="13034" s="1"/>
  <c r="AN945" i="13034"/>
  <c r="Q2557" i="13015"/>
  <c r="Y2557" i="13015" s="1"/>
  <c r="AN2557" i="13034"/>
  <c r="Y1560" i="12908"/>
  <c r="AV1560" i="13034" s="1"/>
  <c r="AN1560" i="13034"/>
  <c r="Y2450" i="12908"/>
  <c r="AV2450" i="13034" s="1"/>
  <c r="AN2450" i="13034"/>
  <c r="Y352" i="12908"/>
  <c r="AV352" i="13034" s="1"/>
  <c r="AN352" i="13034"/>
  <c r="Y506" i="12908"/>
  <c r="AV506" i="13034" s="1"/>
  <c r="AN506" i="13034"/>
  <c r="Y2001" i="12908"/>
  <c r="AV2001" i="13034" s="1"/>
  <c r="AN2001" i="13034"/>
  <c r="Y336" i="12908"/>
  <c r="AV336" i="13034" s="1"/>
  <c r="AN336" i="13034"/>
  <c r="S738" i="12908"/>
  <c r="AP738" i="13034" s="1"/>
  <c r="AH738" i="13034"/>
  <c r="W2550" i="12908"/>
  <c r="AT2550" i="13034" s="1"/>
  <c r="AL2550" i="13034"/>
  <c r="Y2633" i="13015"/>
  <c r="Y798" i="12908"/>
  <c r="AV798" i="13034" s="1"/>
  <c r="AN798" i="13034"/>
  <c r="Y993" i="12908"/>
  <c r="AV993" i="13034" s="1"/>
  <c r="AN993" i="13034"/>
  <c r="Y2368" i="12908"/>
  <c r="AV2368" i="13034" s="1"/>
  <c r="AN2368" i="13034"/>
  <c r="Y1421" i="12908"/>
  <c r="AV1421" i="13034" s="1"/>
  <c r="AN1421" i="13034"/>
  <c r="Y2051" i="12908"/>
  <c r="AV2051" i="13034" s="1"/>
  <c r="AN2051" i="13034"/>
  <c r="Y2340" i="12908"/>
  <c r="AV2340" i="13034" s="1"/>
  <c r="AN2340" i="13034"/>
  <c r="Y2469" i="12908"/>
  <c r="AV2469" i="13034" s="1"/>
  <c r="AN2469" i="13034"/>
  <c r="Y775" i="12908"/>
  <c r="AV775" i="13034" s="1"/>
  <c r="AN775" i="13034"/>
  <c r="S714" i="12908"/>
  <c r="AP714" i="13034" s="1"/>
  <c r="AH714" i="13034"/>
  <c r="Q2569" i="13015"/>
  <c r="AN2569" i="13034"/>
  <c r="Y608" i="12908"/>
  <c r="AV608" i="13034" s="1"/>
  <c r="AN608" i="13034"/>
  <c r="Y1459" i="12908"/>
  <c r="AV1459" i="13034" s="1"/>
  <c r="AN1459" i="13034"/>
  <c r="Y797" i="12908"/>
  <c r="AV797" i="13034" s="1"/>
  <c r="AN797" i="13034"/>
  <c r="Y1624" i="12908"/>
  <c r="AV1624" i="13034" s="1"/>
  <c r="AN1624" i="13034"/>
  <c r="W22" i="13031"/>
  <c r="AN1981" i="13034"/>
  <c r="Y2052" i="12908"/>
  <c r="AV2052" i="13034" s="1"/>
  <c r="AN2052" i="13034"/>
  <c r="Y698" i="12908"/>
  <c r="AV698" i="13034" s="1"/>
  <c r="AN698" i="13034"/>
  <c r="Y719" i="12908"/>
  <c r="AV719" i="13034" s="1"/>
  <c r="AN719" i="13034"/>
  <c r="Y1125" i="12908"/>
  <c r="AV1125" i="13034" s="1"/>
  <c r="AN1125" i="13034"/>
  <c r="Y1643" i="12908"/>
  <c r="AV1643" i="13034" s="1"/>
  <c r="AN1643" i="13034"/>
  <c r="Y2592" i="12908"/>
  <c r="AV2592" i="13034" s="1"/>
  <c r="AN2592" i="13034"/>
  <c r="Y1503" i="12908"/>
  <c r="AV1503" i="13034" s="1"/>
  <c r="AN1503" i="13034"/>
  <c r="Y1400" i="12908"/>
  <c r="AN1400" i="13034"/>
  <c r="Y927" i="12908"/>
  <c r="AV927" i="13034" s="1"/>
  <c r="AN927" i="13034"/>
  <c r="Y2050" i="12908"/>
  <c r="AV2050" i="13034" s="1"/>
  <c r="AN2050" i="13034"/>
  <c r="Y1582" i="12908"/>
  <c r="AV1582" i="13034" s="1"/>
  <c r="AN1582" i="13034"/>
  <c r="Y280" i="12908"/>
  <c r="AV280" i="13034" s="1"/>
  <c r="AN280" i="13034"/>
  <c r="Y472" i="12908"/>
  <c r="AV472" i="13034" s="1"/>
  <c r="AN472" i="13034"/>
  <c r="Y300" i="12908"/>
  <c r="AV300" i="13034" s="1"/>
  <c r="AN300" i="13034"/>
  <c r="S696" i="12908"/>
  <c r="AP696" i="13034" s="1"/>
  <c r="AH696" i="13034"/>
  <c r="U2547" i="12908"/>
  <c r="AR2547" i="13034" s="1"/>
  <c r="AJ2547" i="13034"/>
  <c r="Y1875" i="12908"/>
  <c r="AV1871" i="13034"/>
  <c r="Y1867" i="12908"/>
  <c r="AV1867" i="13034" s="1"/>
  <c r="AV1863" i="13034"/>
  <c r="Y1883" i="12908"/>
  <c r="AV1879" i="13034"/>
  <c r="AL41" i="12989"/>
  <c r="AL34" i="12989"/>
  <c r="Y29" i="13015"/>
  <c r="U13" i="13020"/>
  <c r="Q30" i="13015"/>
  <c r="Q132" i="13015"/>
  <c r="Y132" i="13015" s="1"/>
  <c r="U13" i="13018"/>
  <c r="Q206" i="13015"/>
  <c r="Y206" i="13015" s="1"/>
  <c r="M2253" i="12908"/>
  <c r="AJ2253" i="13034" s="1"/>
  <c r="M2439" i="12908"/>
  <c r="U2231" i="12908"/>
  <c r="AR2231" i="13034" s="1"/>
  <c r="O2550" i="13015"/>
  <c r="AC2618" i="13015"/>
  <c r="Q2621" i="13015" s="1"/>
  <c r="Y2621" i="13015" s="1"/>
  <c r="O50" i="13013" s="1"/>
  <c r="M50" i="13005" s="1"/>
  <c r="M35" i="13007" s="1"/>
  <c r="W59" i="13005"/>
  <c r="Y59" i="13005" s="1"/>
  <c r="M44" i="13017"/>
  <c r="S44" i="13017" s="1"/>
  <c r="S59" i="13016"/>
  <c r="U59" i="13016" s="1"/>
  <c r="Y2623" i="13015"/>
  <c r="O2547" i="12908"/>
  <c r="AH51" i="12989"/>
  <c r="AI51" i="12989" s="1"/>
  <c r="O36" i="13014"/>
  <c r="M51" i="13005"/>
  <c r="M36" i="13007" s="1"/>
  <c r="W2554" i="12908"/>
  <c r="AT2554" i="13034" s="1"/>
  <c r="O2551" i="13015"/>
  <c r="K759" i="13015"/>
  <c r="K243" i="13015"/>
  <c r="K738" i="13015"/>
  <c r="S738" i="13015" s="1"/>
  <c r="K891" i="13015"/>
  <c r="K717" i="13015"/>
  <c r="S717" i="13015" s="1"/>
  <c r="K835" i="13015"/>
  <c r="K696" i="13015"/>
  <c r="S696" i="13015" s="1"/>
  <c r="Y1643" i="13015"/>
  <c r="Y1642" i="13015"/>
  <c r="Q907" i="13015"/>
  <c r="Y907" i="13015" s="1"/>
  <c r="Q554" i="13015"/>
  <c r="Q925" i="13015"/>
  <c r="Y925" i="13015" s="1"/>
  <c r="Y889" i="13015"/>
  <c r="Q943" i="13015"/>
  <c r="Y943" i="13015" s="1"/>
  <c r="S672" i="13015"/>
  <c r="Q1866" i="13015"/>
  <c r="Y1866" i="13015" s="1"/>
  <c r="Q1874" i="13015"/>
  <c r="Y1874" i="13015" s="1"/>
  <c r="Q1882" i="13015"/>
  <c r="Y1882" i="13015" s="1"/>
  <c r="Q1858" i="13015"/>
  <c r="Y1858" i="13015" s="1"/>
  <c r="Y1645" i="13015"/>
  <c r="W20" i="13022"/>
  <c r="V20" i="13023" s="1"/>
  <c r="Q837" i="13015"/>
  <c r="Q698" i="13015"/>
  <c r="Y698" i="13015" s="1"/>
  <c r="Q761" i="13015"/>
  <c r="Q245" i="13015"/>
  <c r="Q740" i="13015"/>
  <c r="Y740" i="13015" s="1"/>
  <c r="Y677" i="13015"/>
  <c r="Q893" i="13015"/>
  <c r="Q719" i="13015"/>
  <c r="Y719" i="13015" s="1"/>
  <c r="Y2096" i="13015"/>
  <c r="Q2162" i="13015"/>
  <c r="Y14" i="12989"/>
  <c r="U14" i="13020"/>
  <c r="U14" i="13018"/>
  <c r="Q207" i="13015"/>
  <c r="Y207" i="13015" s="1"/>
  <c r="Q33" i="13015"/>
  <c r="Q170" i="13015"/>
  <c r="Y170" i="13015" s="1"/>
  <c r="Q31" i="13015"/>
  <c r="Q133" i="13015"/>
  <c r="Y133" i="13015" s="1"/>
  <c r="Y30" i="13015"/>
  <c r="Q67" i="13015"/>
  <c r="Y67" i="13015" s="1"/>
  <c r="Y43" i="12989"/>
  <c r="Y38" i="12989"/>
  <c r="Y32" i="12989"/>
  <c r="Y19" i="12989"/>
  <c r="U21" i="13020"/>
  <c r="U21" i="13018"/>
  <c r="Q172" i="13015"/>
  <c r="Y172" i="13015" s="1"/>
  <c r="Q135" i="13015"/>
  <c r="Y135" i="13015" s="1"/>
  <c r="Q69" i="13015"/>
  <c r="Y69" i="13015" s="1"/>
  <c r="Q209" i="13015"/>
  <c r="Y209" i="13015" s="1"/>
  <c r="Y32" i="13015"/>
  <c r="Q279" i="13015"/>
  <c r="Y279" i="13015" s="1"/>
  <c r="Y243" i="13015"/>
  <c r="Q387" i="13015"/>
  <c r="Q351" i="13015"/>
  <c r="Y351" i="13015" s="1"/>
  <c r="Q315" i="13015"/>
  <c r="Y315" i="13015" s="1"/>
  <c r="Z10" i="13025"/>
  <c r="AA19" i="13024"/>
  <c r="Z19" i="13025" s="1"/>
  <c r="Q1329" i="13015"/>
  <c r="Y1329" i="13015" s="1"/>
  <c r="Q1203" i="13015"/>
  <c r="Y1203" i="13015" s="1"/>
  <c r="O56" i="13013" s="1"/>
  <c r="Q1287" i="13015"/>
  <c r="Y1287" i="13015" s="1"/>
  <c r="Q1245" i="13015"/>
  <c r="Y1245" i="13015" s="1"/>
  <c r="Q1371" i="13015"/>
  <c r="Y1371" i="13015" s="1"/>
  <c r="V21" i="13031"/>
  <c r="Y2097" i="13015"/>
  <c r="Q2164" i="13015"/>
  <c r="K1643" i="13015"/>
  <c r="S1643" i="13015" s="1"/>
  <c r="K1623" i="13015"/>
  <c r="S1623" i="13015" s="1"/>
  <c r="Y1611" i="13015"/>
  <c r="Q276" i="13015"/>
  <c r="Y276" i="13015" s="1"/>
  <c r="Q384" i="13015"/>
  <c r="Y240" i="13015"/>
  <c r="Q348" i="13015"/>
  <c r="Y348" i="13015" s="1"/>
  <c r="Q312" i="13015"/>
  <c r="Y312" i="13015" s="1"/>
  <c r="K714" i="13015"/>
  <c r="S714" i="13015" s="1"/>
  <c r="K889" i="13015"/>
  <c r="K693" i="13015"/>
  <c r="S693" i="13015" s="1"/>
  <c r="K756" i="13015"/>
  <c r="K832" i="13015"/>
  <c r="K735" i="13015"/>
  <c r="S735" i="13015" s="1"/>
  <c r="K240" i="13015"/>
  <c r="AA19" i="13025"/>
  <c r="M51" i="13013"/>
  <c r="AB2625" i="13015"/>
  <c r="Y1644" i="13015"/>
  <c r="Q1462" i="13015"/>
  <c r="Y1462" i="13015" s="1"/>
  <c r="Q2301" i="13015"/>
  <c r="Q1442" i="13015"/>
  <c r="Y1442" i="13015" s="1"/>
  <c r="Q1422" i="13015"/>
  <c r="Y1422" i="13015" s="1"/>
  <c r="Y1380" i="13015"/>
  <c r="Q1402" i="13015"/>
  <c r="Y1402" i="13015" s="1"/>
  <c r="Q855" i="13015"/>
  <c r="Y855" i="13015" s="1"/>
  <c r="Y836" i="13015"/>
  <c r="Q874" i="13015"/>
  <c r="Y874" i="13015" s="1"/>
  <c r="O43" i="13014"/>
  <c r="M58" i="13005"/>
  <c r="Q58" i="13013"/>
  <c r="W58" i="13013" s="1"/>
  <c r="Y58" i="13013" s="1"/>
  <c r="Y39" i="12989"/>
  <c r="T13" i="13019"/>
  <c r="Q909" i="13015"/>
  <c r="Y909" i="13015" s="1"/>
  <c r="Q927" i="13015"/>
  <c r="Y927" i="13015" s="1"/>
  <c r="Q556" i="13015"/>
  <c r="Q945" i="13015"/>
  <c r="Y945" i="13015" s="1"/>
  <c r="Y891" i="13015"/>
  <c r="Q2165" i="13015"/>
  <c r="Y2098" i="13015"/>
  <c r="AC2619" i="12908"/>
  <c r="Q2622" i="12908" s="1"/>
  <c r="X18" i="13029"/>
  <c r="Y45" i="12989"/>
  <c r="Y40" i="12989"/>
  <c r="V64" i="12989"/>
  <c r="Y64" i="12989" s="1"/>
  <c r="Y15" i="12989"/>
  <c r="Y759" i="13015"/>
  <c r="Q797" i="13015"/>
  <c r="Y797" i="13015" s="1"/>
  <c r="Q778" i="13015"/>
  <c r="Y778" i="13015" s="1"/>
  <c r="Q816" i="13015"/>
  <c r="Y816" i="13015" s="1"/>
  <c r="Q873" i="13015"/>
  <c r="Y873" i="13015" s="1"/>
  <c r="Q854" i="13015"/>
  <c r="Y854" i="13015" s="1"/>
  <c r="Y835" i="13015"/>
  <c r="M2439" i="13015"/>
  <c r="U2439" i="13015" s="1"/>
  <c r="M2335" i="13015"/>
  <c r="U2335" i="13015" s="1"/>
  <c r="U2231" i="13015"/>
  <c r="M2253" i="13015"/>
  <c r="K1459" i="13015"/>
  <c r="K1439" i="13015"/>
  <c r="K1419" i="13015"/>
  <c r="K1399" i="13015"/>
  <c r="K2231" i="13015"/>
  <c r="Q2161" i="13015"/>
  <c r="Y2095" i="13015"/>
  <c r="O35" i="13014"/>
  <c r="K1622" i="13015"/>
  <c r="S1622" i="13015" s="1"/>
  <c r="K1642" i="13015"/>
  <c r="M2254" i="13015"/>
  <c r="M2440" i="13015"/>
  <c r="U2440" i="13015" s="1"/>
  <c r="M2336" i="13015"/>
  <c r="U2336" i="13015" s="1"/>
  <c r="U2232" i="13015"/>
  <c r="Q2507" i="13015"/>
  <c r="Y2507" i="13015" s="1"/>
  <c r="Y2299" i="13015"/>
  <c r="AB1485" i="13015" s="1"/>
  <c r="Q2403" i="13015"/>
  <c r="Y2403" i="13015" s="1"/>
  <c r="AA20" i="13024"/>
  <c r="Z20" i="13025" s="1"/>
  <c r="Z11" i="13025"/>
  <c r="Y832" i="13015"/>
  <c r="Q870" i="13015"/>
  <c r="Y870" i="13015" s="1"/>
  <c r="Q851" i="13015"/>
  <c r="Y851" i="13015" s="1"/>
  <c r="Q813" i="13015"/>
  <c r="Y813" i="13015" s="1"/>
  <c r="Q794" i="13015"/>
  <c r="Y794" i="13015" s="1"/>
  <c r="Q775" i="13015"/>
  <c r="Y775" i="13015" s="1"/>
  <c r="Y756" i="13015"/>
  <c r="K674" i="13015"/>
  <c r="Q242" i="13015"/>
  <c r="Q737" i="13015"/>
  <c r="Y737" i="13015" s="1"/>
  <c r="Y674" i="13015"/>
  <c r="Q716" i="13015"/>
  <c r="Y716" i="13015" s="1"/>
  <c r="Q758" i="13015"/>
  <c r="Q695" i="13015"/>
  <c r="Y695" i="13015" s="1"/>
  <c r="O42" i="13014"/>
  <c r="Q57" i="13013"/>
  <c r="W57" i="13013" s="1"/>
  <c r="Y57" i="13013" s="1"/>
  <c r="M57" i="13005"/>
  <c r="Q2508" i="13015"/>
  <c r="Y2508" i="13015" s="1"/>
  <c r="Q2404" i="13015"/>
  <c r="Y2404" i="13015" s="1"/>
  <c r="Y2300" i="13015"/>
  <c r="Q946" i="13015"/>
  <c r="Y946" i="13015" s="1"/>
  <c r="Q910" i="13015"/>
  <c r="Y910" i="13015" s="1"/>
  <c r="Q557" i="13015"/>
  <c r="Q928" i="13015"/>
  <c r="Y928" i="13015" s="1"/>
  <c r="Y892" i="13015"/>
  <c r="Q798" i="13015"/>
  <c r="Y798" i="13015" s="1"/>
  <c r="Q779" i="13015"/>
  <c r="Y779" i="13015" s="1"/>
  <c r="Y760" i="13015"/>
  <c r="Q817" i="13015"/>
  <c r="Y817" i="13015" s="1"/>
  <c r="Y23" i="12989"/>
  <c r="AB682" i="13015"/>
  <c r="Y31" i="12989"/>
  <c r="Y17" i="12989"/>
  <c r="T13" i="13021"/>
  <c r="Q1827" i="13015"/>
  <c r="Y1827" i="13015" s="1"/>
  <c r="Q1816" i="13015"/>
  <c r="Y1816" i="13015" s="1"/>
  <c r="O59" i="13013" s="1"/>
  <c r="Q1838" i="13015"/>
  <c r="Y1838" i="13015" s="1"/>
  <c r="Q1849" i="13015"/>
  <c r="Y1849" i="13015" s="1"/>
  <c r="AB1383" i="13015"/>
  <c r="S1377" i="13015"/>
  <c r="AB1382" i="13015"/>
  <c r="O2548" i="12908"/>
  <c r="Y1631" i="13015"/>
  <c r="K1440" i="13015"/>
  <c r="K1420" i="13015"/>
  <c r="K2299" i="13015"/>
  <c r="K1400" i="13015"/>
  <c r="K1460" i="13015"/>
  <c r="K2232" i="13015"/>
  <c r="Q757" i="13015"/>
  <c r="Q241" i="13015"/>
  <c r="Q890" i="13015"/>
  <c r="Q736" i="13015"/>
  <c r="Y736" i="13015" s="1"/>
  <c r="Y673" i="13015"/>
  <c r="Q833" i="13015"/>
  <c r="Q715" i="13015"/>
  <c r="Y715" i="13015" s="1"/>
  <c r="K673" i="13015"/>
  <c r="Q694" i="13015"/>
  <c r="Y694" i="13015" s="1"/>
  <c r="Q1887" i="13015"/>
  <c r="Y1887" i="13015" s="1"/>
  <c r="K969" i="13015"/>
  <c r="Q225" i="13015"/>
  <c r="Q1153" i="13015"/>
  <c r="Y1153" i="13015" s="1"/>
  <c r="Q1065" i="13015"/>
  <c r="Y969" i="13015"/>
  <c r="Q1041" i="13015"/>
  <c r="Y1041" i="13015" s="1"/>
  <c r="Q1017" i="13015"/>
  <c r="Y1017" i="13015" s="1"/>
  <c r="Q993" i="13015"/>
  <c r="Y993" i="13015" s="1"/>
  <c r="Q539" i="13015"/>
  <c r="V10" i="13023"/>
  <c r="W18" i="13022"/>
  <c r="Q1865" i="13015"/>
  <c r="Y1865" i="13015" s="1"/>
  <c r="Q1881" i="13015"/>
  <c r="Y1881" i="13015" s="1"/>
  <c r="Q1873" i="13015"/>
  <c r="Y1873" i="13015" s="1"/>
  <c r="Q1857" i="13015"/>
  <c r="Y1857" i="13015" s="1"/>
  <c r="O60" i="13013" s="1"/>
  <c r="M60" i="13013"/>
  <c r="AB1862" i="13015"/>
  <c r="Y2077" i="13015"/>
  <c r="Q2121" i="13015"/>
  <c r="Y2121" i="13015" s="1"/>
  <c r="Q2143" i="13015"/>
  <c r="Y2143" i="13015" s="1"/>
  <c r="Q2099" i="13015"/>
  <c r="X10" i="13028"/>
  <c r="Y1613" i="13015"/>
  <c r="K1613" i="13015"/>
  <c r="Q1651" i="13015"/>
  <c r="Q1633" i="13015"/>
  <c r="Y1633" i="13015" s="1"/>
  <c r="K1644" i="13015"/>
  <c r="S1644" i="13015" s="1"/>
  <c r="K1624" i="13015"/>
  <c r="S1624" i="13015" s="1"/>
  <c r="K1625" i="13015"/>
  <c r="S1625" i="13015" s="1"/>
  <c r="K1645" i="13015"/>
  <c r="S1645" i="13015" s="1"/>
  <c r="Q352" i="13015"/>
  <c r="Y352" i="13015" s="1"/>
  <c r="Q316" i="13015"/>
  <c r="Y316" i="13015" s="1"/>
  <c r="Q280" i="13015"/>
  <c r="Y280" i="13015" s="1"/>
  <c r="Y244" i="13015"/>
  <c r="Q388" i="13015"/>
  <c r="W2548" i="12908"/>
  <c r="AT2548" i="13034" s="1"/>
  <c r="M2553" i="13015"/>
  <c r="U2553" i="13015" s="1"/>
  <c r="W2553" i="13015"/>
  <c r="AI2553" i="13015" s="1"/>
  <c r="W2551" i="13015"/>
  <c r="M2554" i="13015"/>
  <c r="U2554" i="13015" s="1"/>
  <c r="M2552" i="13015"/>
  <c r="U2552" i="13015" s="1"/>
  <c r="W2552" i="13015"/>
  <c r="AI2552" i="13015" s="1"/>
  <c r="S44" i="13014"/>
  <c r="Y2569" i="13015"/>
  <c r="Y2560" i="13015"/>
  <c r="W32" i="12989"/>
  <c r="W33" i="12989"/>
  <c r="W31" i="12989"/>
  <c r="W36" i="12989"/>
  <c r="W35" i="12989"/>
  <c r="W61" i="12989"/>
  <c r="W64" i="12989" s="1"/>
  <c r="W44" i="12989"/>
  <c r="W43" i="12989"/>
  <c r="W45" i="12989"/>
  <c r="W24" i="12989"/>
  <c r="W28" i="12989"/>
  <c r="W25" i="12989"/>
  <c r="W29" i="12989"/>
  <c r="W26" i="12989"/>
  <c r="W23" i="12989"/>
  <c r="W27" i="12989"/>
  <c r="W40" i="12989"/>
  <c r="W38" i="12989"/>
  <c r="W39" i="12989"/>
  <c r="W14" i="12989"/>
  <c r="W18" i="12989"/>
  <c r="W15" i="12989"/>
  <c r="W19" i="12989"/>
  <c r="W16" i="12989"/>
  <c r="W17" i="12989"/>
  <c r="V48" i="12989"/>
  <c r="V42" i="12989"/>
  <c r="V47" i="12989"/>
  <c r="B36" i="13006"/>
  <c r="B38" i="13006" s="1"/>
  <c r="B40" i="13006" s="1"/>
  <c r="B42" i="13006" s="1"/>
  <c r="Q2558" i="12908" s="1"/>
  <c r="Y61" i="12989"/>
  <c r="AC2631" i="12908"/>
  <c r="Q2632" i="12908" s="1"/>
  <c r="Y2296" i="12908"/>
  <c r="AV2296" i="13034" s="1"/>
  <c r="AC2630" i="12908"/>
  <c r="Q2631" i="12908" s="1"/>
  <c r="X16" i="12989"/>
  <c r="AA16" i="12989" s="1"/>
  <c r="AA21" i="12989"/>
  <c r="X18" i="12989"/>
  <c r="AA18" i="12989" s="1"/>
  <c r="X14" i="12989"/>
  <c r="AA14" i="12989" s="1"/>
  <c r="AB23" i="12908"/>
  <c r="X15" i="12989"/>
  <c r="AA15" i="12989" s="1"/>
  <c r="X19" i="12989"/>
  <c r="AA19" i="12989" s="1"/>
  <c r="X17" i="12989"/>
  <c r="AA17" i="12989" s="1"/>
  <c r="K1440" i="12908"/>
  <c r="AH1440" i="13034" s="1"/>
  <c r="K1400" i="12908"/>
  <c r="AH1400" i="13034" s="1"/>
  <c r="K1460" i="12908"/>
  <c r="AH1460" i="13034" s="1"/>
  <c r="K1420" i="12908"/>
  <c r="AH1420" i="13034" s="1"/>
  <c r="K2299" i="12908"/>
  <c r="AH2299" i="13034" s="1"/>
  <c r="K2232" i="12908"/>
  <c r="AH2232" i="13034" s="1"/>
  <c r="AA60" i="12989"/>
  <c r="AB1868" i="12908"/>
  <c r="AC1868" i="12908" s="1"/>
  <c r="Q278" i="12908"/>
  <c r="Y242" i="12908"/>
  <c r="AV242" i="13034" s="1"/>
  <c r="Q350" i="12908"/>
  <c r="Q386" i="12908"/>
  <c r="AN386" i="13034" s="1"/>
  <c r="Q314" i="12908"/>
  <c r="Y833" i="12908"/>
  <c r="AV833" i="13034" s="1"/>
  <c r="Q852" i="12908"/>
  <c r="Q871" i="12908"/>
  <c r="Q605" i="12908"/>
  <c r="Y539" i="12908"/>
  <c r="AV539" i="13034" s="1"/>
  <c r="Q638" i="12908"/>
  <c r="Q572" i="12908"/>
  <c r="K1645" i="12908"/>
  <c r="K1625" i="12908"/>
  <c r="Q2141" i="12908"/>
  <c r="Y2075" i="12908"/>
  <c r="AV2075" i="13034" s="1"/>
  <c r="Q2119" i="12908"/>
  <c r="Q2097" i="12908"/>
  <c r="AN2097" i="13034" s="1"/>
  <c r="AB1383" i="12908"/>
  <c r="S1377" i="12908"/>
  <c r="AP1377" i="13034" s="1"/>
  <c r="AB1382" i="12908"/>
  <c r="Q1633" i="12908"/>
  <c r="Y1613" i="12908"/>
  <c r="AV1613" i="13034" s="1"/>
  <c r="K1613" i="12908"/>
  <c r="AH1613" i="13034" s="1"/>
  <c r="Q1651" i="12908"/>
  <c r="X10" i="12995"/>
  <c r="Z21" i="12989"/>
  <c r="AB22" i="12908"/>
  <c r="Z34" i="12989"/>
  <c r="AB1386" i="12908"/>
  <c r="Y761" i="12908"/>
  <c r="AV761" i="13034" s="1"/>
  <c r="Q780" i="12908"/>
  <c r="Q799" i="12908"/>
  <c r="Q818" i="12908"/>
  <c r="D32" i="13006"/>
  <c r="D23" i="13006"/>
  <c r="D25" i="13006" s="1"/>
  <c r="D27" i="13006" s="1"/>
  <c r="D29" i="13006" s="1"/>
  <c r="Q2563" i="12908" s="1"/>
  <c r="Y2074" i="12908"/>
  <c r="AV2074" i="13034" s="1"/>
  <c r="Q2118" i="12908"/>
  <c r="Q2140" i="12908"/>
  <c r="Q2096" i="12908"/>
  <c r="AN2096" i="13034" s="1"/>
  <c r="X38" i="12989"/>
  <c r="AA38" i="12989" s="1"/>
  <c r="X39" i="12989"/>
  <c r="AA39" i="12989" s="1"/>
  <c r="AA41" i="12989"/>
  <c r="AB1613" i="12908"/>
  <c r="X40" i="12989"/>
  <c r="AA40" i="12989" s="1"/>
  <c r="AA59" i="12989"/>
  <c r="AB1828" i="12908"/>
  <c r="AC1828" i="12908" s="1"/>
  <c r="X44" i="12989"/>
  <c r="AA44" i="12989" s="1"/>
  <c r="X43" i="12989"/>
  <c r="AA43" i="12989" s="1"/>
  <c r="X45" i="12989"/>
  <c r="AA45" i="12989" s="1"/>
  <c r="AA46" i="12989"/>
  <c r="AB1989" i="12908"/>
  <c r="Q349" i="12908"/>
  <c r="Q277" i="12908"/>
  <c r="Y241" i="12908"/>
  <c r="AV241" i="13034" s="1"/>
  <c r="Q313" i="12908"/>
  <c r="Q385" i="12908"/>
  <c r="AN385" i="13034" s="1"/>
  <c r="Y757" i="12908"/>
  <c r="AV757" i="13034" s="1"/>
  <c r="Q795" i="12908"/>
  <c r="Q776" i="12908"/>
  <c r="Q814" i="12908"/>
  <c r="Q333" i="12908"/>
  <c r="Q297" i="12908"/>
  <c r="Y225" i="12908"/>
  <c r="AV225" i="13034" s="1"/>
  <c r="Q261" i="12908"/>
  <c r="Q369" i="12908"/>
  <c r="AN369" i="13034" s="1"/>
  <c r="Y554" i="12908"/>
  <c r="AV554" i="13034" s="1"/>
  <c r="Q587" i="12908"/>
  <c r="Q620" i="12908"/>
  <c r="Q653" i="12908"/>
  <c r="Y2300" i="12908"/>
  <c r="AV2300" i="13034" s="1"/>
  <c r="Q2404" i="12908"/>
  <c r="Q2508" i="12908"/>
  <c r="W21" i="12991"/>
  <c r="S240" i="12908"/>
  <c r="AP240" i="13034" s="1"/>
  <c r="K348" i="12908"/>
  <c r="K312" i="12908"/>
  <c r="K276" i="12908"/>
  <c r="K384" i="12908"/>
  <c r="AH384" i="13034" s="1"/>
  <c r="F36" i="13006"/>
  <c r="F38" i="13006" s="1"/>
  <c r="F40" i="13006" s="1"/>
  <c r="F42" i="13006" s="1"/>
  <c r="Q2570" i="12908" s="1"/>
  <c r="Y1611" i="12908"/>
  <c r="AV1611" i="13034" s="1"/>
  <c r="S1459" i="12908"/>
  <c r="AP1459" i="13034" s="1"/>
  <c r="K1624" i="12908"/>
  <c r="K1644" i="12908"/>
  <c r="Y2076" i="12908"/>
  <c r="AV2076" i="13034" s="1"/>
  <c r="Q2142" i="12908"/>
  <c r="Q2120" i="12908"/>
  <c r="Q2098" i="12908"/>
  <c r="AN2098" i="13034" s="1"/>
  <c r="Z46" i="12989"/>
  <c r="AB1988" i="12908"/>
  <c r="Z41" i="12989"/>
  <c r="AB1612" i="12908"/>
  <c r="AC2618" i="12908"/>
  <c r="Q2621" i="12908" s="1"/>
  <c r="K1623" i="12908"/>
  <c r="K1643" i="12908"/>
  <c r="E32" i="13006"/>
  <c r="E23" i="13006"/>
  <c r="E25" i="13006" s="1"/>
  <c r="E27" i="13006" s="1"/>
  <c r="E29" i="13006" s="1"/>
  <c r="Q2566" i="12908" s="1"/>
  <c r="Q2117" i="12908"/>
  <c r="Q2139" i="12908"/>
  <c r="Y2073" i="12908"/>
  <c r="AV2073" i="13034" s="1"/>
  <c r="Q2095" i="12908"/>
  <c r="AN2095" i="13034" s="1"/>
  <c r="Y2633" i="12908"/>
  <c r="AV2633" i="13034" s="1"/>
  <c r="Q474" i="12908"/>
  <c r="Q440" i="12908"/>
  <c r="Y372" i="12908"/>
  <c r="AV372" i="13034" s="1"/>
  <c r="Q508" i="12908"/>
  <c r="Q406" i="12908"/>
  <c r="S835" i="12908"/>
  <c r="AP835" i="13034" s="1"/>
  <c r="K854" i="12908"/>
  <c r="K873" i="12908"/>
  <c r="AA37" i="12989"/>
  <c r="X36" i="12989"/>
  <c r="AA36" i="12989" s="1"/>
  <c r="X35" i="12989"/>
  <c r="AA34" i="12989"/>
  <c r="X33" i="12989"/>
  <c r="X32" i="12989"/>
  <c r="AA32" i="12989" s="1"/>
  <c r="X31" i="12989"/>
  <c r="AA31" i="12989" s="1"/>
  <c r="AB1387" i="12908"/>
  <c r="Y758" i="12908"/>
  <c r="AV758" i="13034" s="1"/>
  <c r="Q777" i="12908"/>
  <c r="Q796" i="12908"/>
  <c r="Q815" i="12908"/>
  <c r="K1153" i="12908"/>
  <c r="K993" i="12908"/>
  <c r="K1017" i="12908"/>
  <c r="K1041" i="12908"/>
  <c r="K1065" i="12908"/>
  <c r="AH1065" i="13034" s="1"/>
  <c r="K225" i="12908"/>
  <c r="AH225" i="13034" s="1"/>
  <c r="K539" i="12908"/>
  <c r="AH539" i="13034" s="1"/>
  <c r="K1887" i="12908"/>
  <c r="Q1131" i="12908"/>
  <c r="Y1065" i="12908"/>
  <c r="Q1087" i="12908"/>
  <c r="Q1109" i="12908"/>
  <c r="S969" i="12908"/>
  <c r="AP969" i="13034" s="1"/>
  <c r="Y387" i="12908"/>
  <c r="AV387" i="13034" s="1"/>
  <c r="Q421" i="12908"/>
  <c r="Q455" i="12908"/>
  <c r="Q489" i="12908"/>
  <c r="Q523" i="12908"/>
  <c r="AB111" i="12908"/>
  <c r="Q16" i="13005"/>
  <c r="Q29" i="12908"/>
  <c r="AN29" i="13034" s="1"/>
  <c r="S889" i="12908"/>
  <c r="AP889" i="13034" s="1"/>
  <c r="K925" i="12908"/>
  <c r="K943" i="12908"/>
  <c r="K907" i="12908"/>
  <c r="K554" i="12908"/>
  <c r="AH554" i="13034" s="1"/>
  <c r="K1642" i="12908"/>
  <c r="K1622" i="12908"/>
  <c r="AA19" i="12993"/>
  <c r="S1399" i="12908"/>
  <c r="AP1399" i="13034" s="1"/>
  <c r="Y1981" i="12908"/>
  <c r="AV1981" i="13034" s="1"/>
  <c r="W22" i="12991"/>
  <c r="Q2005" i="12908"/>
  <c r="Q2053" i="12908"/>
  <c r="Q2029" i="12908"/>
  <c r="Q2077" i="12908"/>
  <c r="AN2077" i="13034" s="1"/>
  <c r="Z56" i="12989"/>
  <c r="AB1203" i="12908"/>
  <c r="AC1203" i="12908" s="1"/>
  <c r="Z60" i="12989"/>
  <c r="AB1867" i="12908"/>
  <c r="AC1867" i="12908" s="1"/>
  <c r="Z59" i="12989"/>
  <c r="AB1827" i="12908"/>
  <c r="AC1827" i="12908" s="1"/>
  <c r="M2336" i="12908"/>
  <c r="U2232" i="12908"/>
  <c r="AR2232" i="13034" s="1"/>
  <c r="M2440" i="12908"/>
  <c r="M2254" i="12908"/>
  <c r="AJ2254" i="13034" s="1"/>
  <c r="Y245" i="12908"/>
  <c r="AV245" i="13034" s="1"/>
  <c r="Q353" i="12908"/>
  <c r="Q281" i="12908"/>
  <c r="Q317" i="12908"/>
  <c r="Q389" i="12908"/>
  <c r="AN389" i="13034" s="1"/>
  <c r="Y837" i="12908"/>
  <c r="AV837" i="13034" s="1"/>
  <c r="Q875" i="12908"/>
  <c r="Q856" i="12908"/>
  <c r="Y2317" i="12908"/>
  <c r="AV2317" i="13034" s="1"/>
  <c r="Q2421" i="12908"/>
  <c r="Q2525" i="12908"/>
  <c r="K945" i="12908"/>
  <c r="K927" i="12908"/>
  <c r="S891" i="12908"/>
  <c r="AP891" i="13034" s="1"/>
  <c r="K909" i="12908"/>
  <c r="K556" i="12908"/>
  <c r="AH556" i="13034" s="1"/>
  <c r="M2357" i="12908"/>
  <c r="U2253" i="12908"/>
  <c r="AR2253" i="13034" s="1"/>
  <c r="AA57" i="12989"/>
  <c r="AB1715" i="12908"/>
  <c r="AC1715" i="12908" s="1"/>
  <c r="Q1715" i="12908" s="1"/>
  <c r="AA30" i="12989"/>
  <c r="X25" i="12989"/>
  <c r="AA25" i="12989" s="1"/>
  <c r="X24" i="12989"/>
  <c r="AA24" i="12989" s="1"/>
  <c r="X28" i="12989"/>
  <c r="X29" i="12989"/>
  <c r="AA29" i="12989" s="1"/>
  <c r="X26" i="12989"/>
  <c r="AA26" i="12989" s="1"/>
  <c r="X27" i="12989"/>
  <c r="AA27" i="12989" s="1"/>
  <c r="X23" i="12989"/>
  <c r="Y890" i="12908"/>
  <c r="AV890" i="13034" s="1"/>
  <c r="Q555" i="12908"/>
  <c r="AN555" i="13034" s="1"/>
  <c r="Q908" i="12908"/>
  <c r="Q926" i="12908"/>
  <c r="Q944" i="12908"/>
  <c r="S756" i="12908"/>
  <c r="AP756" i="13034" s="1"/>
  <c r="K775" i="12908"/>
  <c r="K794" i="12908"/>
  <c r="K813" i="12908"/>
  <c r="Y1631" i="12908"/>
  <c r="AV1631" i="13034" s="1"/>
  <c r="K1399" i="12908"/>
  <c r="AH1399" i="13034" s="1"/>
  <c r="K1419" i="12908"/>
  <c r="AH1419" i="13034" s="1"/>
  <c r="K1439" i="12908"/>
  <c r="AH1439" i="13034" s="1"/>
  <c r="K1459" i="12908"/>
  <c r="AH1459" i="13034" s="1"/>
  <c r="K2231" i="12908"/>
  <c r="AH2231" i="13034" s="1"/>
  <c r="Y384" i="12908"/>
  <c r="AV384" i="13034" s="1"/>
  <c r="Q418" i="12908"/>
  <c r="Q452" i="12908"/>
  <c r="Q520" i="12908"/>
  <c r="Q486" i="12908"/>
  <c r="Z58" i="12989"/>
  <c r="AB1805" i="12908"/>
  <c r="AC1805" i="12908" s="1"/>
  <c r="Q1805" i="12908" s="1"/>
  <c r="Y557" i="12908"/>
  <c r="AV557" i="13034" s="1"/>
  <c r="Q590" i="12908"/>
  <c r="Q623" i="12908"/>
  <c r="Q656" i="12908"/>
  <c r="C36" i="13006"/>
  <c r="C38" i="13006" s="1"/>
  <c r="C40" i="13006" s="1"/>
  <c r="C42" i="13006" s="1"/>
  <c r="Q2561" i="12908" s="1"/>
  <c r="K816" i="12908"/>
  <c r="S759" i="12908"/>
  <c r="AP759" i="13034" s="1"/>
  <c r="K778" i="12908"/>
  <c r="K797" i="12908"/>
  <c r="AA56" i="12989"/>
  <c r="X61" i="12989"/>
  <c r="AL61" i="12989" s="1"/>
  <c r="AB1204" i="12908"/>
  <c r="AC1204" i="12908" s="1"/>
  <c r="AA58" i="12989"/>
  <c r="AB1806" i="12908"/>
  <c r="AC1806" i="12908" s="1"/>
  <c r="Q1806" i="12908" s="1"/>
  <c r="K716" i="12908"/>
  <c r="K737" i="12908"/>
  <c r="K695" i="12908"/>
  <c r="K242" i="12908"/>
  <c r="AH242" i="13034" s="1"/>
  <c r="K758" i="12908"/>
  <c r="AH758" i="13034" s="1"/>
  <c r="AB1484" i="12908"/>
  <c r="K715" i="12908"/>
  <c r="K736" i="12908"/>
  <c r="K694" i="12908"/>
  <c r="K757" i="12908"/>
  <c r="AH757" i="13034" s="1"/>
  <c r="K833" i="12908"/>
  <c r="AH833" i="13034" s="1"/>
  <c r="K241" i="12908"/>
  <c r="AH241" i="13034" s="1"/>
  <c r="K890" i="12908"/>
  <c r="AH890" i="13034" s="1"/>
  <c r="E33" i="13006"/>
  <c r="D33" i="13006"/>
  <c r="Q1422" i="12908"/>
  <c r="Q1462" i="12908"/>
  <c r="Q1442" i="12908"/>
  <c r="Q1402" i="12908"/>
  <c r="Y1380" i="12908"/>
  <c r="AV1380" i="13034" s="1"/>
  <c r="Q2301" i="12908"/>
  <c r="AN2301" i="13034" s="1"/>
  <c r="K851" i="12908"/>
  <c r="S832" i="12908"/>
  <c r="AP832" i="13034" s="1"/>
  <c r="K870" i="12908"/>
  <c r="Y1649" i="12908"/>
  <c r="AV1649" i="13034" s="1"/>
  <c r="S1439" i="12908"/>
  <c r="AP1439" i="13034" s="1"/>
  <c r="S1419" i="12908"/>
  <c r="AP1419" i="13034" s="1"/>
  <c r="Y2623" i="12908"/>
  <c r="AV2623" i="13034" s="1"/>
  <c r="Z30" i="12989"/>
  <c r="Z37" i="12989"/>
  <c r="Z57" i="12989"/>
  <c r="AB1714" i="12908"/>
  <c r="AC1714" i="12908" s="1"/>
  <c r="Q1714" i="12908" s="1"/>
  <c r="Y893" i="12908"/>
  <c r="AV893" i="13034" s="1"/>
  <c r="Q911" i="12908"/>
  <c r="Q947" i="12908"/>
  <c r="Q558" i="12908"/>
  <c r="AN558" i="13034" s="1"/>
  <c r="Q929" i="12908"/>
  <c r="Q1563" i="12908"/>
  <c r="Y1541" i="12908"/>
  <c r="AV1541" i="13034" s="1"/>
  <c r="Q1585" i="12908"/>
  <c r="Y2299" i="12908"/>
  <c r="AV2299" i="13034" s="1"/>
  <c r="Q2403" i="12908"/>
  <c r="Q2507" i="12908"/>
  <c r="Y556" i="12908"/>
  <c r="AV556" i="13034" s="1"/>
  <c r="Q589" i="12908"/>
  <c r="Q655" i="12908"/>
  <c r="Q622" i="12908"/>
  <c r="AB1862" i="12908"/>
  <c r="Q60" i="13005"/>
  <c r="M2050" i="12908"/>
  <c r="M2026" i="12908"/>
  <c r="M2002" i="12908"/>
  <c r="M2074" i="12908"/>
  <c r="AJ2074" i="13034" s="1"/>
  <c r="Y388" i="12908"/>
  <c r="AV388" i="13034" s="1"/>
  <c r="Q456" i="12908"/>
  <c r="Q422" i="12908"/>
  <c r="Q490" i="12908"/>
  <c r="Q524" i="12908"/>
  <c r="S243" i="12908"/>
  <c r="AP243" i="13034" s="1"/>
  <c r="K351" i="12908"/>
  <c r="K315" i="12908"/>
  <c r="K279" i="12908"/>
  <c r="K387" i="12908"/>
  <c r="AH387" i="13034" s="1"/>
  <c r="S351" i="12908" l="1"/>
  <c r="AP351" i="13034" s="1"/>
  <c r="AH351" i="13034"/>
  <c r="S736" i="12908"/>
  <c r="AP736" i="13034" s="1"/>
  <c r="AH736" i="13034"/>
  <c r="S816" i="12908"/>
  <c r="AP816" i="13034" s="1"/>
  <c r="AH816" i="13034"/>
  <c r="Y486" i="12908"/>
  <c r="AV486" i="13034" s="1"/>
  <c r="AN486" i="13034"/>
  <c r="S794" i="12908"/>
  <c r="AP794" i="13034" s="1"/>
  <c r="AH794" i="13034"/>
  <c r="Y2029" i="12908"/>
  <c r="AV2029" i="13034" s="1"/>
  <c r="AN2029" i="13034"/>
  <c r="Y261" i="12908"/>
  <c r="AV261" i="13034" s="1"/>
  <c r="AN261" i="13034"/>
  <c r="Y1651" i="12908"/>
  <c r="AV1651" i="13034" s="1"/>
  <c r="AN1651" i="13034"/>
  <c r="Y605" i="12908"/>
  <c r="AV605" i="13034" s="1"/>
  <c r="AN605" i="13034"/>
  <c r="O2548" i="13015"/>
  <c r="AJ2548" i="13015" s="1"/>
  <c r="AL2548" i="13034"/>
  <c r="Y456" i="12908"/>
  <c r="AV456" i="13034" s="1"/>
  <c r="AN456" i="13034"/>
  <c r="U2026" i="12908"/>
  <c r="AR2026" i="13034" s="1"/>
  <c r="AJ2026" i="13034"/>
  <c r="Y622" i="12908"/>
  <c r="AV622" i="13034" s="1"/>
  <c r="AN622" i="13034"/>
  <c r="Y2507" i="12908"/>
  <c r="AV2507" i="13034" s="1"/>
  <c r="AN2507" i="13034"/>
  <c r="Y947" i="12908"/>
  <c r="AV947" i="13034" s="1"/>
  <c r="AN947" i="13034"/>
  <c r="Y1402" i="12908"/>
  <c r="AV1402" i="13034" s="1"/>
  <c r="AN1402" i="13034"/>
  <c r="S715" i="12908"/>
  <c r="AP715" i="13034" s="1"/>
  <c r="AH715" i="13034"/>
  <c r="S695" i="12908"/>
  <c r="AP695" i="13034" s="1"/>
  <c r="AH695" i="13034"/>
  <c r="S797" i="12908"/>
  <c r="AP797" i="13034" s="1"/>
  <c r="AH797" i="13034"/>
  <c r="Q2561" i="13015"/>
  <c r="AN2561" i="13034"/>
  <c r="Y520" i="12908"/>
  <c r="AV520" i="13034" s="1"/>
  <c r="AN520" i="13034"/>
  <c r="S775" i="12908"/>
  <c r="AP775" i="13034" s="1"/>
  <c r="AH775" i="13034"/>
  <c r="Y908" i="12908"/>
  <c r="AV908" i="13034" s="1"/>
  <c r="AN908" i="13034"/>
  <c r="S945" i="12908"/>
  <c r="AP945" i="13034" s="1"/>
  <c r="AH945" i="13034"/>
  <c r="Y856" i="12908"/>
  <c r="AV856" i="13034" s="1"/>
  <c r="AN856" i="13034"/>
  <c r="Y317" i="12908"/>
  <c r="AV317" i="13034" s="1"/>
  <c r="AN317" i="13034"/>
  <c r="Y2053" i="12908"/>
  <c r="AV2053" i="13034" s="1"/>
  <c r="AN2053" i="13034"/>
  <c r="Y523" i="12908"/>
  <c r="AV523" i="13034" s="1"/>
  <c r="AN523" i="13034"/>
  <c r="Q962" i="12908"/>
  <c r="AN962" i="13034" s="1"/>
  <c r="AV1065" i="13034"/>
  <c r="S993" i="12908"/>
  <c r="AP993" i="13034" s="1"/>
  <c r="AH993" i="13034"/>
  <c r="Y777" i="12908"/>
  <c r="AV777" i="13034" s="1"/>
  <c r="AN777" i="13034"/>
  <c r="Y440" i="12908"/>
  <c r="AV440" i="13034" s="1"/>
  <c r="AN440" i="13034"/>
  <c r="S1644" i="12908"/>
  <c r="AP1644" i="13034" s="1"/>
  <c r="AH1644" i="13034"/>
  <c r="Q2570" i="13015"/>
  <c r="AN2570" i="13034"/>
  <c r="S348" i="12908"/>
  <c r="AP348" i="13034" s="1"/>
  <c r="AH348" i="13034"/>
  <c r="Y2404" i="12908"/>
  <c r="AV2404" i="13034" s="1"/>
  <c r="AN2404" i="13034"/>
  <c r="Y587" i="12908"/>
  <c r="AV587" i="13034" s="1"/>
  <c r="AN587" i="13034"/>
  <c r="Y776" i="12908"/>
  <c r="AV776" i="13034" s="1"/>
  <c r="AN776" i="13034"/>
  <c r="Y313" i="12908"/>
  <c r="AV313" i="13034" s="1"/>
  <c r="AN313" i="13034"/>
  <c r="Q2563" i="13015"/>
  <c r="AN2563" i="13034"/>
  <c r="Y780" i="12908"/>
  <c r="AV780" i="13034" s="1"/>
  <c r="AN780" i="13034"/>
  <c r="Y572" i="12908"/>
  <c r="AV572" i="13034" s="1"/>
  <c r="AN572" i="13034"/>
  <c r="Y871" i="12908"/>
  <c r="AV871" i="13034" s="1"/>
  <c r="AN871" i="13034"/>
  <c r="Y2504" i="12908"/>
  <c r="AV2504" i="13034" s="1"/>
  <c r="AI2551" i="13015"/>
  <c r="M2551" i="13015"/>
  <c r="U2551" i="13015" s="1"/>
  <c r="AJ2551" i="13015"/>
  <c r="W2550" i="13015"/>
  <c r="AI2550" i="13015" s="1"/>
  <c r="AJ2550" i="13015"/>
  <c r="S1400" i="12908"/>
  <c r="AP1400" i="13034" s="1"/>
  <c r="AV1400" i="13034"/>
  <c r="U2002" i="12908"/>
  <c r="AR2002" i="13034" s="1"/>
  <c r="AJ2002" i="13034"/>
  <c r="S870" i="12908"/>
  <c r="AP870" i="13034" s="1"/>
  <c r="AH870" i="13034"/>
  <c r="Y1422" i="12908"/>
  <c r="AV1422" i="13034" s="1"/>
  <c r="AN1422" i="13034"/>
  <c r="Y796" i="12908"/>
  <c r="AV796" i="13034" s="1"/>
  <c r="AN796" i="13034"/>
  <c r="Q2566" i="13015"/>
  <c r="AN2566" i="13034"/>
  <c r="Y2508" i="12908"/>
  <c r="AV2508" i="13034" s="1"/>
  <c r="AN2508" i="13034"/>
  <c r="Y799" i="12908"/>
  <c r="AV799" i="13034" s="1"/>
  <c r="AN799" i="13034"/>
  <c r="S1645" i="12908"/>
  <c r="AP1645" i="13034" s="1"/>
  <c r="AH1645" i="13034"/>
  <c r="Y278" i="12908"/>
  <c r="AV278" i="13034" s="1"/>
  <c r="AN278" i="13034"/>
  <c r="S279" i="12908"/>
  <c r="AP279" i="13034" s="1"/>
  <c r="AH279" i="13034"/>
  <c r="Y524" i="12908"/>
  <c r="AV524" i="13034" s="1"/>
  <c r="AN524" i="13034"/>
  <c r="U2050" i="12908"/>
  <c r="AR2050" i="13034" s="1"/>
  <c r="AJ2050" i="13034"/>
  <c r="Y655" i="12908"/>
  <c r="AV655" i="13034" s="1"/>
  <c r="AN655" i="13034"/>
  <c r="Y2403" i="12908"/>
  <c r="AV2403" i="13034" s="1"/>
  <c r="AN2403" i="13034"/>
  <c r="Y1563" i="12908"/>
  <c r="AV1563" i="13034" s="1"/>
  <c r="AN1563" i="13034"/>
  <c r="Y911" i="12908"/>
  <c r="AV911" i="13034" s="1"/>
  <c r="AN911" i="13034"/>
  <c r="S851" i="12908"/>
  <c r="AP851" i="13034" s="1"/>
  <c r="AH851" i="13034"/>
  <c r="Y1442" i="12908"/>
  <c r="AV1442" i="13034" s="1"/>
  <c r="AN1442" i="13034"/>
  <c r="S737" i="12908"/>
  <c r="AP737" i="13034" s="1"/>
  <c r="AH737" i="13034"/>
  <c r="S778" i="12908"/>
  <c r="AP778" i="13034" s="1"/>
  <c r="AH778" i="13034"/>
  <c r="Y656" i="12908"/>
  <c r="AV656" i="13034" s="1"/>
  <c r="AN656" i="13034"/>
  <c r="Y452" i="12908"/>
  <c r="AV452" i="13034" s="1"/>
  <c r="AN452" i="13034"/>
  <c r="M2461" i="12908"/>
  <c r="S909" i="12908"/>
  <c r="AP909" i="13034" s="1"/>
  <c r="AH909" i="13034"/>
  <c r="Y2525" i="12908"/>
  <c r="AV2525" i="13034" s="1"/>
  <c r="AN2525" i="13034"/>
  <c r="Y875" i="12908"/>
  <c r="AV875" i="13034" s="1"/>
  <c r="AN875" i="13034"/>
  <c r="Y281" i="12908"/>
  <c r="AV281" i="13034" s="1"/>
  <c r="AN281" i="13034"/>
  <c r="U2440" i="12908"/>
  <c r="AR2440" i="13034" s="1"/>
  <c r="AJ2440" i="13034"/>
  <c r="Y2005" i="12908"/>
  <c r="AV2005" i="13034" s="1"/>
  <c r="AN2005" i="13034"/>
  <c r="S907" i="12908"/>
  <c r="AP907" i="13034" s="1"/>
  <c r="AH907" i="13034"/>
  <c r="Y489" i="12908"/>
  <c r="AV489" i="13034" s="1"/>
  <c r="AN489" i="13034"/>
  <c r="Y1131" i="12908"/>
  <c r="AV1131" i="13034" s="1"/>
  <c r="AN1131" i="13034"/>
  <c r="S1153" i="12908"/>
  <c r="AP1153" i="13034" s="1"/>
  <c r="AH1153" i="13034"/>
  <c r="Y406" i="12908"/>
  <c r="AV406" i="13034" s="1"/>
  <c r="AN406" i="13034"/>
  <c r="Y474" i="12908"/>
  <c r="AV474" i="13034" s="1"/>
  <c r="AN474" i="13034"/>
  <c r="Y2139" i="12908"/>
  <c r="AV2139" i="13034" s="1"/>
  <c r="AN2139" i="13034"/>
  <c r="S1643" i="12908"/>
  <c r="AP1643" i="13034" s="1"/>
  <c r="AH1643" i="13034"/>
  <c r="Y2120" i="12908"/>
  <c r="AV2120" i="13034" s="1"/>
  <c r="AN2120" i="13034"/>
  <c r="S1624" i="12908"/>
  <c r="AP1624" i="13034" s="1"/>
  <c r="AH1624" i="13034"/>
  <c r="Y297" i="12908"/>
  <c r="AV297" i="13034" s="1"/>
  <c r="AN297" i="13034"/>
  <c r="Y795" i="12908"/>
  <c r="AV795" i="13034" s="1"/>
  <c r="AN795" i="13034"/>
  <c r="Y2140" i="12908"/>
  <c r="AV2140" i="13034" s="1"/>
  <c r="AN2140" i="13034"/>
  <c r="Y2141" i="12908"/>
  <c r="AV2141" i="13034" s="1"/>
  <c r="AN2141" i="13034"/>
  <c r="Y638" i="12908"/>
  <c r="AV638" i="13034" s="1"/>
  <c r="AN638" i="13034"/>
  <c r="Y852" i="12908"/>
  <c r="AV852" i="13034" s="1"/>
  <c r="AN852" i="13034"/>
  <c r="Y350" i="12908"/>
  <c r="AV350" i="13034" s="1"/>
  <c r="AN350" i="13034"/>
  <c r="Y2400" i="12908"/>
  <c r="AV2400" i="13034" s="1"/>
  <c r="W2547" i="12908"/>
  <c r="AT2547" i="13034" s="1"/>
  <c r="AL2547" i="13034"/>
  <c r="S1420" i="12908"/>
  <c r="AP1420" i="13034" s="1"/>
  <c r="AV1420" i="13034"/>
  <c r="S1460" i="12908"/>
  <c r="AP1460" i="13034" s="1"/>
  <c r="AV1460" i="13034"/>
  <c r="Y926" i="12908"/>
  <c r="AV926" i="13034" s="1"/>
  <c r="AN926" i="13034"/>
  <c r="S925" i="12908"/>
  <c r="AP925" i="13034" s="1"/>
  <c r="AH925" i="13034"/>
  <c r="Y421" i="12908"/>
  <c r="AV421" i="13034" s="1"/>
  <c r="AN421" i="13034"/>
  <c r="S1017" i="12908"/>
  <c r="AP1017" i="13034" s="1"/>
  <c r="AH1017" i="13034"/>
  <c r="S854" i="12908"/>
  <c r="AP854" i="13034" s="1"/>
  <c r="AH854" i="13034"/>
  <c r="S312" i="12908"/>
  <c r="AP312" i="13034" s="1"/>
  <c r="AH312" i="13034"/>
  <c r="Y314" i="12908"/>
  <c r="AV314" i="13034" s="1"/>
  <c r="AN314" i="13034"/>
  <c r="S315" i="12908"/>
  <c r="AP315" i="13034" s="1"/>
  <c r="AH315" i="13034"/>
  <c r="Y490" i="12908"/>
  <c r="AV490" i="13034" s="1"/>
  <c r="AN490" i="13034"/>
  <c r="Y589" i="12908"/>
  <c r="AV589" i="13034" s="1"/>
  <c r="AN589" i="13034"/>
  <c r="Y929" i="12908"/>
  <c r="AV929" i="13034" s="1"/>
  <c r="AN929" i="13034"/>
  <c r="Y1462" i="12908"/>
  <c r="AV1462" i="13034" s="1"/>
  <c r="AN1462" i="13034"/>
  <c r="S694" i="12908"/>
  <c r="AP694" i="13034" s="1"/>
  <c r="AH694" i="13034"/>
  <c r="S716" i="12908"/>
  <c r="AP716" i="13034" s="1"/>
  <c r="AH716" i="13034"/>
  <c r="Y623" i="12908"/>
  <c r="AV623" i="13034" s="1"/>
  <c r="AN623" i="13034"/>
  <c r="Y418" i="12908"/>
  <c r="AV418" i="13034" s="1"/>
  <c r="AN418" i="13034"/>
  <c r="S813" i="12908"/>
  <c r="AP813" i="13034" s="1"/>
  <c r="AH813" i="13034"/>
  <c r="Y944" i="12908"/>
  <c r="AV944" i="13034" s="1"/>
  <c r="AN944" i="13034"/>
  <c r="Y2421" i="12908"/>
  <c r="AV2421" i="13034" s="1"/>
  <c r="AN2421" i="13034"/>
  <c r="Y353" i="12908"/>
  <c r="AV353" i="13034" s="1"/>
  <c r="AN353" i="13034"/>
  <c r="S1622" i="12908"/>
  <c r="AP1622" i="13034" s="1"/>
  <c r="AH1622" i="13034"/>
  <c r="S943" i="12908"/>
  <c r="AP943" i="13034" s="1"/>
  <c r="AH943" i="13034"/>
  <c r="Y455" i="12908"/>
  <c r="AV455" i="13034" s="1"/>
  <c r="AN455" i="13034"/>
  <c r="Y1109" i="12908"/>
  <c r="AV1109" i="13034" s="1"/>
  <c r="AN1109" i="13034"/>
  <c r="S1887" i="12908"/>
  <c r="AP1887" i="13034" s="1"/>
  <c r="AH1887" i="13034"/>
  <c r="S1041" i="12908"/>
  <c r="AP1041" i="13034" s="1"/>
  <c r="AH1041" i="13034"/>
  <c r="Y815" i="12908"/>
  <c r="AV815" i="13034" s="1"/>
  <c r="AN815" i="13034"/>
  <c r="S873" i="12908"/>
  <c r="AP873" i="13034" s="1"/>
  <c r="AH873" i="13034"/>
  <c r="Y508" i="12908"/>
  <c r="AV508" i="13034" s="1"/>
  <c r="AN508" i="13034"/>
  <c r="Y2117" i="12908"/>
  <c r="AV2117" i="13034" s="1"/>
  <c r="AN2117" i="13034"/>
  <c r="S1623" i="12908"/>
  <c r="AP1623" i="13034" s="1"/>
  <c r="AH1623" i="13034"/>
  <c r="Y2142" i="12908"/>
  <c r="AV2142" i="13034" s="1"/>
  <c r="AN2142" i="13034"/>
  <c r="S276" i="12908"/>
  <c r="AP276" i="13034" s="1"/>
  <c r="AH276" i="13034"/>
  <c r="Y653" i="12908"/>
  <c r="AV653" i="13034" s="1"/>
  <c r="AN653" i="13034"/>
  <c r="Y333" i="12908"/>
  <c r="AV333" i="13034" s="1"/>
  <c r="AN333" i="13034"/>
  <c r="Y277" i="12908"/>
  <c r="AV277" i="13034" s="1"/>
  <c r="AN277" i="13034"/>
  <c r="Y2118" i="12908"/>
  <c r="AV2118" i="13034" s="1"/>
  <c r="AN2118" i="13034"/>
  <c r="Y818" i="12908"/>
  <c r="AV818" i="13034" s="1"/>
  <c r="AN818" i="13034"/>
  <c r="Y1633" i="12908"/>
  <c r="AV1633" i="13034" s="1"/>
  <c r="AN1633" i="13034"/>
  <c r="S1625" i="12908"/>
  <c r="AP1625" i="13034" s="1"/>
  <c r="AH1625" i="13034"/>
  <c r="Q2558" i="13015"/>
  <c r="AN2558" i="13034"/>
  <c r="W2554" i="13015"/>
  <c r="AI2554" i="13015" s="1"/>
  <c r="U2439" i="12908"/>
  <c r="AR2439" i="13034" s="1"/>
  <c r="AJ2439" i="13034"/>
  <c r="AB1883" i="12908"/>
  <c r="AV1883" i="13034"/>
  <c r="AB1875" i="12908"/>
  <c r="AV1875" i="13034"/>
  <c r="Y422" i="12908"/>
  <c r="AV422" i="13034" s="1"/>
  <c r="AN422" i="13034"/>
  <c r="Y1585" i="12908"/>
  <c r="AV1585" i="13034" s="1"/>
  <c r="AN1585" i="13034"/>
  <c r="Y590" i="12908"/>
  <c r="AV590" i="13034" s="1"/>
  <c r="AN590" i="13034"/>
  <c r="U2357" i="12908"/>
  <c r="AR2357" i="13034" s="1"/>
  <c r="AJ2357" i="13034"/>
  <c r="S927" i="12908"/>
  <c r="AP927" i="13034" s="1"/>
  <c r="AH927" i="13034"/>
  <c r="U2336" i="12908"/>
  <c r="AR2336" i="13034" s="1"/>
  <c r="AJ2336" i="13034"/>
  <c r="S1642" i="12908"/>
  <c r="AP1642" i="13034" s="1"/>
  <c r="AH1642" i="13034"/>
  <c r="Y1087" i="12908"/>
  <c r="AV1087" i="13034" s="1"/>
  <c r="AN1087" i="13034"/>
  <c r="Y620" i="12908"/>
  <c r="AV620" i="13034" s="1"/>
  <c r="AN620" i="13034"/>
  <c r="Y814" i="12908"/>
  <c r="AV814" i="13034" s="1"/>
  <c r="AN814" i="13034"/>
  <c r="Y349" i="12908"/>
  <c r="AV349" i="13034" s="1"/>
  <c r="AN349" i="13034"/>
  <c r="Y2119" i="12908"/>
  <c r="AV2119" i="13034" s="1"/>
  <c r="AN2119" i="13034"/>
  <c r="S1440" i="12908"/>
  <c r="AP1440" i="13034" s="1"/>
  <c r="AV1440" i="13034"/>
  <c r="U2335" i="12908"/>
  <c r="AR2335" i="13034" s="1"/>
  <c r="AJ2335" i="13034"/>
  <c r="Y1714" i="12908"/>
  <c r="AN1714" i="13034"/>
  <c r="Y2631" i="12908"/>
  <c r="AN2631" i="13034"/>
  <c r="Y2622" i="12908"/>
  <c r="AV2622" i="13034" s="1"/>
  <c r="AN2622" i="13034"/>
  <c r="Y1806" i="12908"/>
  <c r="AV1806" i="13034" s="1"/>
  <c r="AN1806" i="13034"/>
  <c r="Y1715" i="12908"/>
  <c r="AV1715" i="13034" s="1"/>
  <c r="AN1715" i="13034"/>
  <c r="Y2621" i="12908"/>
  <c r="AN2621" i="13034"/>
  <c r="Y2632" i="12908"/>
  <c r="AV2632" i="13034" s="1"/>
  <c r="AN2632" i="13034"/>
  <c r="Y1805" i="12908"/>
  <c r="AN1805" i="13034"/>
  <c r="M2550" i="13015"/>
  <c r="U2550" i="13015" s="1"/>
  <c r="O2547" i="13015"/>
  <c r="AJ2547" i="13015" s="1"/>
  <c r="AH50" i="12989"/>
  <c r="AI50" i="12989" s="1"/>
  <c r="M50" i="13013"/>
  <c r="AB2613" i="13015"/>
  <c r="Q369" i="13015"/>
  <c r="Y225" i="13015"/>
  <c r="Q333" i="13015"/>
  <c r="Y333" i="13015" s="1"/>
  <c r="Q297" i="13015"/>
  <c r="Y297" i="13015" s="1"/>
  <c r="Q261" i="13015"/>
  <c r="Y261" i="13015" s="1"/>
  <c r="K833" i="13015"/>
  <c r="K241" i="13015"/>
  <c r="K736" i="13015"/>
  <c r="S736" i="13015" s="1"/>
  <c r="K890" i="13015"/>
  <c r="K715" i="13015"/>
  <c r="S715" i="13015" s="1"/>
  <c r="K757" i="13015"/>
  <c r="K694" i="13015"/>
  <c r="S694" i="13015" s="1"/>
  <c r="K2254" i="13015"/>
  <c r="K2336" i="13015"/>
  <c r="S2336" i="13015" s="1"/>
  <c r="K2440" i="13015"/>
  <c r="S2440" i="13015" s="1"/>
  <c r="S2232" i="13015"/>
  <c r="O2232" i="13015"/>
  <c r="S1642" i="13015"/>
  <c r="M1642" i="13015"/>
  <c r="U1642" i="13015" s="1"/>
  <c r="M16" i="13016"/>
  <c r="W16" i="13005"/>
  <c r="Y16" i="13005" s="1"/>
  <c r="AC16" i="12989"/>
  <c r="K1633" i="13015"/>
  <c r="S1633" i="13015" s="1"/>
  <c r="K1651" i="13015"/>
  <c r="S1651" i="13015" s="1"/>
  <c r="K60" i="13005"/>
  <c r="W60" i="13005" s="1"/>
  <c r="S60" i="13013"/>
  <c r="M45" i="13014"/>
  <c r="M46" i="13014" s="1"/>
  <c r="M49" i="13014" s="1"/>
  <c r="M61" i="13013"/>
  <c r="M64" i="13013" s="1"/>
  <c r="Q60" i="13013"/>
  <c r="W60" i="13013" s="1"/>
  <c r="Y60" i="13013" s="1"/>
  <c r="M60" i="13016"/>
  <c r="AC60" i="12989"/>
  <c r="AE60" i="12989" s="1"/>
  <c r="Q524" i="13015"/>
  <c r="Y524" i="13015" s="1"/>
  <c r="Q456" i="13015"/>
  <c r="Y456" i="13015" s="1"/>
  <c r="Q422" i="13015"/>
  <c r="Y422" i="13015" s="1"/>
  <c r="Q490" i="13015"/>
  <c r="Y490" i="13015" s="1"/>
  <c r="Y388" i="13015"/>
  <c r="O45" i="13014"/>
  <c r="M60" i="13005"/>
  <c r="M45" i="13007" s="1"/>
  <c r="AH60" i="12989"/>
  <c r="AI60" i="12989" s="1"/>
  <c r="Q638" i="13015"/>
  <c r="Y638" i="13015" s="1"/>
  <c r="Q572" i="13015"/>
  <c r="Y572" i="13015" s="1"/>
  <c r="Y539" i="13015"/>
  <c r="Q605" i="13015"/>
  <c r="Y605" i="13015" s="1"/>
  <c r="S969" i="13015"/>
  <c r="K1041" i="13015"/>
  <c r="S1041" i="13015" s="1"/>
  <c r="K225" i="13015"/>
  <c r="K1887" i="13015"/>
  <c r="S1887" i="13015" s="1"/>
  <c r="K1153" i="13015"/>
  <c r="S1153" i="13015" s="1"/>
  <c r="K1017" i="13015"/>
  <c r="S1017" i="13015" s="1"/>
  <c r="K993" i="13015"/>
  <c r="S993" i="13015" s="1"/>
  <c r="K1065" i="13015"/>
  <c r="K539" i="13015"/>
  <c r="Q926" i="13015"/>
  <c r="Y926" i="13015" s="1"/>
  <c r="Q555" i="13015"/>
  <c r="Q944" i="13015"/>
  <c r="Y944" i="13015" s="1"/>
  <c r="Y890" i="13015"/>
  <c r="Q908" i="13015"/>
  <c r="Y908" i="13015" s="1"/>
  <c r="Q1381" i="13015"/>
  <c r="K2253" i="13015"/>
  <c r="O2253" i="13015" s="1"/>
  <c r="K2439" i="13015"/>
  <c r="S2439" i="13015" s="1"/>
  <c r="K2335" i="13015"/>
  <c r="S2335" i="13015" s="1"/>
  <c r="S2231" i="13015"/>
  <c r="O2231" i="13015"/>
  <c r="K2543" i="13015"/>
  <c r="Q655" i="13015"/>
  <c r="Y655" i="13015" s="1"/>
  <c r="Y556" i="13015"/>
  <c r="Q589" i="13015"/>
  <c r="Y589" i="13015" s="1"/>
  <c r="Q622" i="13015"/>
  <c r="Y622" i="13015" s="1"/>
  <c r="M43" i="13007"/>
  <c r="O43" i="13007" s="1"/>
  <c r="O58" i="13005"/>
  <c r="AB2628" i="13015"/>
  <c r="AB2627" i="13015"/>
  <c r="K870" i="13015"/>
  <c r="S870" i="13015" s="1"/>
  <c r="S832" i="13015"/>
  <c r="K851" i="13015"/>
  <c r="S851" i="13015" s="1"/>
  <c r="Q520" i="13015"/>
  <c r="Y520" i="13015" s="1"/>
  <c r="Y384" i="13015"/>
  <c r="Q452" i="13015"/>
  <c r="Y452" i="13015" s="1"/>
  <c r="Q486" i="13015"/>
  <c r="Y486" i="13015" s="1"/>
  <c r="Q418" i="13015"/>
  <c r="Y418" i="13015" s="1"/>
  <c r="Q134" i="13015"/>
  <c r="Y134" i="13015" s="1"/>
  <c r="Q68" i="13015"/>
  <c r="Y68" i="13015" s="1"/>
  <c r="Q208" i="13015"/>
  <c r="Y208" i="13015" s="1"/>
  <c r="Y31" i="13015"/>
  <c r="Q171" i="13015"/>
  <c r="Y171" i="13015" s="1"/>
  <c r="T14" i="13019"/>
  <c r="U15" i="13018"/>
  <c r="Q2185" i="13015"/>
  <c r="Y2185" i="13015" s="1"/>
  <c r="Y2162" i="13015"/>
  <c r="Q2208" i="13015"/>
  <c r="Y2208" i="13015" s="1"/>
  <c r="M1645" i="13015"/>
  <c r="U1645" i="13015" s="1"/>
  <c r="Q653" i="13015"/>
  <c r="Y653" i="13015" s="1"/>
  <c r="Y554" i="13015"/>
  <c r="Q587" i="13015"/>
  <c r="Y587" i="13015" s="1"/>
  <c r="Q620" i="13015"/>
  <c r="Y620" i="13015" s="1"/>
  <c r="Y1649" i="13015"/>
  <c r="K854" i="13015"/>
  <c r="S854" i="13015" s="1"/>
  <c r="S835" i="13015"/>
  <c r="K873" i="13015"/>
  <c r="S873" i="13015" s="1"/>
  <c r="K279" i="13015"/>
  <c r="S279" i="13015" s="1"/>
  <c r="S243" i="13015"/>
  <c r="K387" i="13015"/>
  <c r="K351" i="13015"/>
  <c r="S351" i="13015" s="1"/>
  <c r="K315" i="13015"/>
  <c r="S315" i="13015" s="1"/>
  <c r="W10" i="13029"/>
  <c r="X18" i="13028"/>
  <c r="Y1065" i="13015"/>
  <c r="Q962" i="13015" s="1"/>
  <c r="Q1131" i="13015"/>
  <c r="Y1131" i="13015" s="1"/>
  <c r="Q1087" i="13015"/>
  <c r="Y1087" i="13015" s="1"/>
  <c r="Q1109" i="13015"/>
  <c r="Y1109" i="13015" s="1"/>
  <c r="Y833" i="13015"/>
  <c r="Q871" i="13015"/>
  <c r="Y871" i="13015" s="1"/>
  <c r="Q852" i="13015"/>
  <c r="Y852" i="13015" s="1"/>
  <c r="Q349" i="13015"/>
  <c r="Y349" i="13015" s="1"/>
  <c r="Q277" i="13015"/>
  <c r="Y277" i="13015" s="1"/>
  <c r="Q313" i="13015"/>
  <c r="Y313" i="13015" s="1"/>
  <c r="Q385" i="13015"/>
  <c r="Y241" i="13015"/>
  <c r="O57" i="13005"/>
  <c r="M42" i="13007"/>
  <c r="O42" i="13007" s="1"/>
  <c r="Q796" i="13015"/>
  <c r="Y796" i="13015" s="1"/>
  <c r="Q777" i="13015"/>
  <c r="Y777" i="13015" s="1"/>
  <c r="Q815" i="13015"/>
  <c r="Y815" i="13015" s="1"/>
  <c r="Y758" i="13015"/>
  <c r="Y242" i="13015"/>
  <c r="Q386" i="13015"/>
  <c r="Q278" i="13015"/>
  <c r="Y278" i="13015" s="1"/>
  <c r="Q350" i="13015"/>
  <c r="Y350" i="13015" s="1"/>
  <c r="Q314" i="13015"/>
  <c r="Y314" i="13015" s="1"/>
  <c r="Q2184" i="13015"/>
  <c r="Y2184" i="13015" s="1"/>
  <c r="Q2207" i="13015"/>
  <c r="Y2207" i="13015" s="1"/>
  <c r="Y2161" i="13015"/>
  <c r="M2357" i="13015"/>
  <c r="U2357" i="13015" s="1"/>
  <c r="M2461" i="13015"/>
  <c r="U2461" i="13015" s="1"/>
  <c r="U2253" i="13015"/>
  <c r="Q2211" i="13015"/>
  <c r="Y2211" i="13015" s="1"/>
  <c r="Q2188" i="13015"/>
  <c r="Y2188" i="13015" s="1"/>
  <c r="Y2165" i="13015"/>
  <c r="M1644" i="13015"/>
  <c r="U1644" i="13015" s="1"/>
  <c r="M36" i="13014"/>
  <c r="Q51" i="13013"/>
  <c r="W51" i="13013" s="1"/>
  <c r="Y51" i="13013" s="1"/>
  <c r="K51" i="13005"/>
  <c r="S51" i="13013"/>
  <c r="U51" i="13013" s="1"/>
  <c r="K775" i="13015"/>
  <c r="S775" i="13015" s="1"/>
  <c r="S756" i="13015"/>
  <c r="K813" i="13015"/>
  <c r="S813" i="13015" s="1"/>
  <c r="K794" i="13015"/>
  <c r="S794" i="13015" s="1"/>
  <c r="Q523" i="13015"/>
  <c r="Y523" i="13015" s="1"/>
  <c r="Y387" i="13015"/>
  <c r="Q455" i="13015"/>
  <c r="Y455" i="13015" s="1"/>
  <c r="Q489" i="13015"/>
  <c r="Y489" i="13015" s="1"/>
  <c r="Q421" i="13015"/>
  <c r="Y421" i="13015" s="1"/>
  <c r="T14" i="13021"/>
  <c r="U15" i="13020"/>
  <c r="Q856" i="13015"/>
  <c r="Y856" i="13015" s="1"/>
  <c r="Y837" i="13015"/>
  <c r="Q875" i="13015"/>
  <c r="Y875" i="13015" s="1"/>
  <c r="M1643" i="13015"/>
  <c r="U1643" i="13015" s="1"/>
  <c r="S759" i="13015"/>
  <c r="K816" i="13015"/>
  <c r="S816" i="13015" s="1"/>
  <c r="K778" i="13015"/>
  <c r="S778" i="13015" s="1"/>
  <c r="K797" i="13015"/>
  <c r="S797" i="13015" s="1"/>
  <c r="U13" i="13019"/>
  <c r="U13" i="13021"/>
  <c r="Y1651" i="13015"/>
  <c r="AB1610" i="13015" s="1"/>
  <c r="Y2099" i="13015"/>
  <c r="Q2166" i="13015"/>
  <c r="AB1865" i="13015"/>
  <c r="AB1864" i="13015"/>
  <c r="V18" i="13023"/>
  <c r="Q776" i="13015"/>
  <c r="Y776" i="13015" s="1"/>
  <c r="Y757" i="13015"/>
  <c r="Q814" i="13015"/>
  <c r="Y814" i="13015" s="1"/>
  <c r="Q795" i="13015"/>
  <c r="Y795" i="13015" s="1"/>
  <c r="K2507" i="13015"/>
  <c r="S2507" i="13015" s="1"/>
  <c r="K2403" i="13015"/>
  <c r="S2403" i="13015" s="1"/>
  <c r="S2299" i="13015"/>
  <c r="O44" i="13014"/>
  <c r="M59" i="13005"/>
  <c r="Q59" i="13013"/>
  <c r="W59" i="13013" s="1"/>
  <c r="Y59" i="13013" s="1"/>
  <c r="AH59" i="12989"/>
  <c r="AI59" i="12989" s="1"/>
  <c r="Q656" i="13015"/>
  <c r="Y656" i="13015" s="1"/>
  <c r="Q590" i="13015"/>
  <c r="Y590" i="13015" s="1"/>
  <c r="Y557" i="13015"/>
  <c r="Q623" i="13015"/>
  <c r="Y623" i="13015" s="1"/>
  <c r="K716" i="13015"/>
  <c r="S716" i="13015" s="1"/>
  <c r="K695" i="13015"/>
  <c r="S695" i="13015" s="1"/>
  <c r="K758" i="13015"/>
  <c r="K242" i="13015"/>
  <c r="K737" i="13015"/>
  <c r="S737" i="13015" s="1"/>
  <c r="M2358" i="13015"/>
  <c r="U2358" i="13015" s="1"/>
  <c r="U2254" i="13015"/>
  <c r="M2462" i="13015"/>
  <c r="U2462" i="13015" s="1"/>
  <c r="Q2509" i="13015"/>
  <c r="Y2509" i="13015" s="1"/>
  <c r="Y2301" i="13015"/>
  <c r="Q2405" i="13015"/>
  <c r="Y2405" i="13015" s="1"/>
  <c r="K348" i="13015"/>
  <c r="S348" i="13015" s="1"/>
  <c r="K312" i="13015"/>
  <c r="S312" i="13015" s="1"/>
  <c r="K276" i="13015"/>
  <c r="S276" i="13015" s="1"/>
  <c r="K384" i="13015"/>
  <c r="S240" i="13015"/>
  <c r="O41" i="13014"/>
  <c r="Q56" i="13013"/>
  <c r="M56" i="13005"/>
  <c r="O61" i="13013"/>
  <c r="AH56" i="12989"/>
  <c r="AI56" i="12989" s="1"/>
  <c r="T21" i="13019"/>
  <c r="U22" i="13020"/>
  <c r="U22" i="13018"/>
  <c r="Q173" i="13015"/>
  <c r="Y173" i="13015" s="1"/>
  <c r="Q136" i="13015"/>
  <c r="Y136" i="13015" s="1"/>
  <c r="Q70" i="13015"/>
  <c r="Y70" i="13015" s="1"/>
  <c r="Q210" i="13015"/>
  <c r="Y210" i="13015" s="1"/>
  <c r="Y33" i="13015"/>
  <c r="Q353" i="13015"/>
  <c r="Y353" i="13015" s="1"/>
  <c r="Q317" i="13015"/>
  <c r="Y317" i="13015" s="1"/>
  <c r="Q281" i="13015"/>
  <c r="Y281" i="13015" s="1"/>
  <c r="Y245" i="13015"/>
  <c r="Q389" i="13015"/>
  <c r="K945" i="13015"/>
  <c r="S945" i="13015" s="1"/>
  <c r="K909" i="13015"/>
  <c r="S909" i="13015" s="1"/>
  <c r="K556" i="13015"/>
  <c r="K927" i="13015"/>
  <c r="S927" i="13015" s="1"/>
  <c r="S891" i="13015"/>
  <c r="K907" i="13015"/>
  <c r="S907" i="13015" s="1"/>
  <c r="K925" i="13015"/>
  <c r="S925" i="13015" s="1"/>
  <c r="K554" i="13015"/>
  <c r="S889" i="13015"/>
  <c r="K943" i="13015"/>
  <c r="S943" i="13015" s="1"/>
  <c r="Q2210" i="13015"/>
  <c r="Y2210" i="13015" s="1"/>
  <c r="Q2187" i="13015"/>
  <c r="Y2187" i="13015" s="1"/>
  <c r="Y2164" i="13015"/>
  <c r="T21" i="13021"/>
  <c r="Q947" i="13015"/>
  <c r="Y947" i="13015" s="1"/>
  <c r="Y893" i="13015"/>
  <c r="Q911" i="13015"/>
  <c r="Y911" i="13015" s="1"/>
  <c r="Q929" i="13015"/>
  <c r="Y929" i="13015" s="1"/>
  <c r="Q558" i="13015"/>
  <c r="Q818" i="13015"/>
  <c r="Y818" i="13015" s="1"/>
  <c r="Y761" i="13015"/>
  <c r="Q799" i="13015"/>
  <c r="Y799" i="13015" s="1"/>
  <c r="Q780" i="13015"/>
  <c r="Y780" i="13015" s="1"/>
  <c r="M2547" i="13015"/>
  <c r="U2547" i="13015" s="1"/>
  <c r="W2547" i="13015"/>
  <c r="AI2547" i="13015" s="1"/>
  <c r="M2548" i="13015"/>
  <c r="U2548" i="13015" s="1"/>
  <c r="W2548" i="13015"/>
  <c r="AI2548" i="13015" s="1"/>
  <c r="Q43" i="13014"/>
  <c r="W43" i="13014" s="1"/>
  <c r="Y43" i="13014" s="1"/>
  <c r="Q42" i="13014"/>
  <c r="W42" i="13014" s="1"/>
  <c r="Y42" i="13014" s="1"/>
  <c r="U44" i="13017"/>
  <c r="U44" i="13014"/>
  <c r="Y2561" i="13015"/>
  <c r="Y2566" i="13015"/>
  <c r="Y2570" i="13015"/>
  <c r="Y2563" i="13015"/>
  <c r="V54" i="12989"/>
  <c r="V65" i="12989" s="1"/>
  <c r="AB1610" i="12908"/>
  <c r="E36" i="13006"/>
  <c r="E38" i="13006" s="1"/>
  <c r="E40" i="13006" s="1"/>
  <c r="E42" i="13006" s="1"/>
  <c r="Q2567" i="12908" s="1"/>
  <c r="Q678" i="12908"/>
  <c r="AN678" i="13034" s="1"/>
  <c r="AA35" i="12989"/>
  <c r="X48" i="12989" s="1"/>
  <c r="AA48" i="12989" s="1"/>
  <c r="Y42" i="12989"/>
  <c r="Y48" i="12989"/>
  <c r="Y47" i="12989"/>
  <c r="AB678" i="12908"/>
  <c r="AG962" i="12908"/>
  <c r="Y962" i="12908"/>
  <c r="AV962" i="13034" s="1"/>
  <c r="Q1034" i="12908"/>
  <c r="Q1890" i="12908"/>
  <c r="Q1010" i="12908"/>
  <c r="Q1146" i="12908"/>
  <c r="Q1058" i="12908"/>
  <c r="AN1058" i="13034" s="1"/>
  <c r="Q227" i="12908"/>
  <c r="AN227" i="13034" s="1"/>
  <c r="Q986" i="12908"/>
  <c r="Q541" i="12908"/>
  <c r="AN541" i="13034" s="1"/>
  <c r="Q964" i="12908"/>
  <c r="AN964" i="13034" s="1"/>
  <c r="Z27" i="12989"/>
  <c r="Q621" i="12908"/>
  <c r="Y555" i="12908"/>
  <c r="AV555" i="13034" s="1"/>
  <c r="Q654" i="12908"/>
  <c r="Q588" i="12908"/>
  <c r="S556" i="12908"/>
  <c r="AP556" i="13034" s="1"/>
  <c r="K622" i="12908"/>
  <c r="K589" i="12908"/>
  <c r="K655" i="12908"/>
  <c r="Q1881" i="12908"/>
  <c r="Q1865" i="12908"/>
  <c r="Q1873" i="12908"/>
  <c r="Q1857" i="12908"/>
  <c r="K653" i="12908"/>
  <c r="S554" i="12908"/>
  <c r="AP554" i="13034" s="1"/>
  <c r="K620" i="12908"/>
  <c r="K587" i="12908"/>
  <c r="Q1839" i="12908"/>
  <c r="Q1828" i="12908"/>
  <c r="Q1817" i="12908"/>
  <c r="Q1850" i="12908"/>
  <c r="Z31" i="12989"/>
  <c r="Z24" i="12989"/>
  <c r="AB2613" i="12908"/>
  <c r="Q50" i="13005"/>
  <c r="X64" i="12989"/>
  <c r="AA61" i="12989"/>
  <c r="Z45" i="12989"/>
  <c r="Z43" i="12989"/>
  <c r="Y369" i="12908"/>
  <c r="AV369" i="13034" s="1"/>
  <c r="Q403" i="12908"/>
  <c r="Q437" i="12908"/>
  <c r="Q505" i="12908"/>
  <c r="Q471" i="12908"/>
  <c r="AB677" i="12908"/>
  <c r="Q2162" i="12908"/>
  <c r="AN2162" i="13034" s="1"/>
  <c r="Y2096" i="12908"/>
  <c r="AV2096" i="13034" s="1"/>
  <c r="Y2558" i="12908"/>
  <c r="AV2558" i="13034" s="1"/>
  <c r="D36" i="13006"/>
  <c r="D38" i="13006" s="1"/>
  <c r="D40" i="13006" s="1"/>
  <c r="D42" i="13006" s="1"/>
  <c r="Q2564" i="12908" s="1"/>
  <c r="Z18" i="12989"/>
  <c r="Z15" i="12989"/>
  <c r="X18" i="12995"/>
  <c r="Y386" i="12908"/>
  <c r="AV386" i="13034" s="1"/>
  <c r="Q454" i="12908"/>
  <c r="Q420" i="12908"/>
  <c r="Q522" i="12908"/>
  <c r="Q488" i="12908"/>
  <c r="K2507" i="12908"/>
  <c r="S2299" i="12908"/>
  <c r="AP2299" i="13034" s="1"/>
  <c r="K2403" i="12908"/>
  <c r="AB1865" i="12908"/>
  <c r="AB1864" i="12908"/>
  <c r="Y558" i="12908"/>
  <c r="AV558" i="13034" s="1"/>
  <c r="Q657" i="12908"/>
  <c r="Q624" i="12908"/>
  <c r="Q591" i="12908"/>
  <c r="Z35" i="12989"/>
  <c r="Z26" i="12989"/>
  <c r="K852" i="12908"/>
  <c r="S833" i="12908"/>
  <c r="AP833" i="13034" s="1"/>
  <c r="K871" i="12908"/>
  <c r="K278" i="12908"/>
  <c r="S242" i="12908"/>
  <c r="AP242" i="13034" s="1"/>
  <c r="K314" i="12908"/>
  <c r="K386" i="12908"/>
  <c r="AH386" i="13034" s="1"/>
  <c r="K350" i="12908"/>
  <c r="Q1827" i="12908"/>
  <c r="Q1816" i="12908"/>
  <c r="Q1838" i="12908"/>
  <c r="Q1849" i="12908"/>
  <c r="Q1371" i="12908"/>
  <c r="Q1287" i="12908"/>
  <c r="Q1245" i="12908"/>
  <c r="Q1329" i="12908"/>
  <c r="Q1203" i="12908"/>
  <c r="U13" i="13009"/>
  <c r="Q169" i="12908"/>
  <c r="U13" i="13008"/>
  <c r="Q206" i="12908"/>
  <c r="Q132" i="12908"/>
  <c r="Q66" i="12908"/>
  <c r="Q32" i="12908"/>
  <c r="AN32" i="13034" s="1"/>
  <c r="Y29" i="12908"/>
  <c r="AV29" i="13034" s="1"/>
  <c r="Q30" i="12908"/>
  <c r="AN30" i="13034" s="1"/>
  <c r="AB974" i="12908"/>
  <c r="S225" i="12908"/>
  <c r="AP225" i="13034" s="1"/>
  <c r="K261" i="12908"/>
  <c r="K297" i="12908"/>
  <c r="K333" i="12908"/>
  <c r="K369" i="12908"/>
  <c r="AH369" i="13034" s="1"/>
  <c r="Z38" i="12989"/>
  <c r="K520" i="12908"/>
  <c r="K486" i="12908"/>
  <c r="K418" i="12908"/>
  <c r="K452" i="12908"/>
  <c r="S384" i="12908"/>
  <c r="AP384" i="13034" s="1"/>
  <c r="Z32" i="12989"/>
  <c r="Z17" i="12989"/>
  <c r="K1651" i="12908"/>
  <c r="K1633" i="12908"/>
  <c r="Q1874" i="12908"/>
  <c r="Q1866" i="12908"/>
  <c r="Q1882" i="12908"/>
  <c r="Q1858" i="12908"/>
  <c r="Z25" i="12989"/>
  <c r="K776" i="12908"/>
  <c r="K814" i="12908"/>
  <c r="S757" i="12908"/>
  <c r="AP757" i="13034" s="1"/>
  <c r="K795" i="12908"/>
  <c r="Q1330" i="12908"/>
  <c r="Q1288" i="12908"/>
  <c r="Q1246" i="12908"/>
  <c r="Q1204" i="12908"/>
  <c r="Q1372" i="12908"/>
  <c r="Z61" i="12989"/>
  <c r="AE16" i="12989"/>
  <c r="S1065" i="12908"/>
  <c r="AP1065" i="13034" s="1"/>
  <c r="K1109" i="12908"/>
  <c r="K1087" i="12908"/>
  <c r="K1131" i="12908"/>
  <c r="Q51" i="13005"/>
  <c r="AB2625" i="12908"/>
  <c r="Z39" i="12989"/>
  <c r="Y2098" i="12908"/>
  <c r="AV2098" i="13034" s="1"/>
  <c r="Q2165" i="12908"/>
  <c r="AN2165" i="13034" s="1"/>
  <c r="Q1614" i="12908"/>
  <c r="Z16" i="12989"/>
  <c r="Y2097" i="12908"/>
  <c r="AV2097" i="13034" s="1"/>
  <c r="Q2164" i="12908"/>
  <c r="AN2164" i="13034" s="1"/>
  <c r="S2232" i="12908"/>
  <c r="AP2232" i="13034" s="1"/>
  <c r="K2440" i="12908"/>
  <c r="K2336" i="12908"/>
  <c r="O2232" i="12908"/>
  <c r="AL2232" i="13034" s="1"/>
  <c r="K2254" i="12908"/>
  <c r="AH2254" i="13034" s="1"/>
  <c r="Q45" i="13007"/>
  <c r="Q61" i="13005"/>
  <c r="AC61" i="12989" s="1"/>
  <c r="Y2569" i="12908"/>
  <c r="AV2569" i="13034" s="1"/>
  <c r="K944" i="12908"/>
  <c r="S890" i="12908"/>
  <c r="AP890" i="13034" s="1"/>
  <c r="K908" i="12908"/>
  <c r="K926" i="12908"/>
  <c r="K555" i="12908"/>
  <c r="AH555" i="13034" s="1"/>
  <c r="K2439" i="12908"/>
  <c r="S2231" i="12908"/>
  <c r="AP2231" i="13034" s="1"/>
  <c r="K2335" i="12908"/>
  <c r="O2231" i="12908"/>
  <c r="AL2231" i="13034" s="1"/>
  <c r="K2543" i="12908"/>
  <c r="AH2543" i="13034" s="1"/>
  <c r="K2253" i="12908"/>
  <c r="AH2253" i="13034" s="1"/>
  <c r="AA23" i="12989"/>
  <c r="AB683" i="12908"/>
  <c r="Y389" i="12908"/>
  <c r="AV389" i="13034" s="1"/>
  <c r="Q491" i="12908"/>
  <c r="Q525" i="12908"/>
  <c r="Q423" i="12908"/>
  <c r="Q457" i="12908"/>
  <c r="S387" i="12908"/>
  <c r="AP387" i="13034" s="1"/>
  <c r="K523" i="12908"/>
  <c r="K455" i="12908"/>
  <c r="K421" i="12908"/>
  <c r="K489" i="12908"/>
  <c r="U2074" i="12908"/>
  <c r="AR2074" i="13034" s="1"/>
  <c r="M2118" i="12908"/>
  <c r="M2140" i="12908"/>
  <c r="M2096" i="12908"/>
  <c r="AJ2096" i="13034" s="1"/>
  <c r="AB1485" i="12908"/>
  <c r="Z36" i="12989"/>
  <c r="Z23" i="12989"/>
  <c r="AB682" i="12908"/>
  <c r="Z29" i="12989"/>
  <c r="Y2301" i="12908"/>
  <c r="AV2301" i="13034" s="1"/>
  <c r="Q2509" i="12908"/>
  <c r="Q2405" i="12908"/>
  <c r="S241" i="12908"/>
  <c r="AP241" i="13034" s="1"/>
  <c r="K277" i="12908"/>
  <c r="K313" i="12908"/>
  <c r="K349" i="12908"/>
  <c r="K385" i="12908"/>
  <c r="AH385" i="13034" s="1"/>
  <c r="K796" i="12908"/>
  <c r="K815" i="12908"/>
  <c r="S758" i="12908"/>
  <c r="AP758" i="13034" s="1"/>
  <c r="K777" i="12908"/>
  <c r="Y2557" i="12908"/>
  <c r="AV2557" i="13034" s="1"/>
  <c r="M2462" i="12908"/>
  <c r="M2358" i="12908"/>
  <c r="U2254" i="12908"/>
  <c r="AR2254" i="13034" s="1"/>
  <c r="Y2077" i="12908"/>
  <c r="AV2077" i="13034" s="1"/>
  <c r="Q2121" i="12908"/>
  <c r="Q2143" i="12908"/>
  <c r="Q2099" i="12908"/>
  <c r="AN2099" i="13034" s="1"/>
  <c r="K605" i="12908"/>
  <c r="S539" i="12908"/>
  <c r="AP539" i="13034" s="1"/>
  <c r="K638" i="12908"/>
  <c r="K572" i="12908"/>
  <c r="Y2095" i="12908"/>
  <c r="AV2095" i="13034" s="1"/>
  <c r="Q2161" i="12908"/>
  <c r="AN2161" i="13034" s="1"/>
  <c r="Y2560" i="12908"/>
  <c r="AV2560" i="13034" s="1"/>
  <c r="Z40" i="12989"/>
  <c r="Z44" i="12989"/>
  <c r="Y385" i="12908"/>
  <c r="AV385" i="13034" s="1"/>
  <c r="Q487" i="12908"/>
  <c r="Q419" i="12908"/>
  <c r="Q453" i="12908"/>
  <c r="Q521" i="12908"/>
  <c r="Z19" i="12989"/>
  <c r="Z14" i="12989"/>
  <c r="Q1381" i="12908"/>
  <c r="S418" i="12908" l="1"/>
  <c r="AP418" i="13034" s="1"/>
  <c r="AH418" i="13034"/>
  <c r="Y657" i="12908"/>
  <c r="AV657" i="13034" s="1"/>
  <c r="AN657" i="13034"/>
  <c r="S653" i="12908"/>
  <c r="AP653" i="13034" s="1"/>
  <c r="AH653" i="13034"/>
  <c r="Y621" i="12908"/>
  <c r="AV621" i="13034" s="1"/>
  <c r="AN621" i="13034"/>
  <c r="S277" i="12908"/>
  <c r="AP277" i="13034" s="1"/>
  <c r="AH277" i="13034"/>
  <c r="S1109" i="12908"/>
  <c r="AP1109" i="13034" s="1"/>
  <c r="AH1109" i="13034"/>
  <c r="S776" i="12908"/>
  <c r="AP776" i="13034" s="1"/>
  <c r="AH776" i="13034"/>
  <c r="AJ2231" i="13015"/>
  <c r="Y419" i="12908"/>
  <c r="AV419" i="13034" s="1"/>
  <c r="AN419" i="13034"/>
  <c r="S572" i="12908"/>
  <c r="AP572" i="13034" s="1"/>
  <c r="AH572" i="13034"/>
  <c r="S777" i="12908"/>
  <c r="AP777" i="13034" s="1"/>
  <c r="AH777" i="13034"/>
  <c r="S523" i="12908"/>
  <c r="AP523" i="13034" s="1"/>
  <c r="AH523" i="13034"/>
  <c r="Y525" i="12908"/>
  <c r="AV525" i="13034" s="1"/>
  <c r="AN525" i="13034"/>
  <c r="S2335" i="12908"/>
  <c r="AP2335" i="13034" s="1"/>
  <c r="AH2335" i="13034"/>
  <c r="S926" i="12908"/>
  <c r="AP926" i="13034" s="1"/>
  <c r="AH926" i="13034"/>
  <c r="S795" i="12908"/>
  <c r="AP795" i="13034" s="1"/>
  <c r="AH795" i="13034"/>
  <c r="S486" i="12908"/>
  <c r="AP486" i="13034" s="1"/>
  <c r="AH486" i="13034"/>
  <c r="S333" i="12908"/>
  <c r="AP333" i="13034" s="1"/>
  <c r="AH333" i="13034"/>
  <c r="Y66" i="12908"/>
  <c r="AV66" i="13034" s="1"/>
  <c r="AN66" i="13034"/>
  <c r="Y169" i="12908"/>
  <c r="AV169" i="13034" s="1"/>
  <c r="AN169" i="13034"/>
  <c r="S871" i="12908"/>
  <c r="AP871" i="13034" s="1"/>
  <c r="AH871" i="13034"/>
  <c r="Y420" i="12908"/>
  <c r="AV420" i="13034" s="1"/>
  <c r="AN420" i="13034"/>
  <c r="Y505" i="12908"/>
  <c r="AV505" i="13034" s="1"/>
  <c r="AN505" i="13034"/>
  <c r="S587" i="12908"/>
  <c r="AP587" i="13034" s="1"/>
  <c r="AH587" i="13034"/>
  <c r="S655" i="12908"/>
  <c r="AP655" i="13034" s="1"/>
  <c r="AH655" i="13034"/>
  <c r="Y588" i="12908"/>
  <c r="AV588" i="13034" s="1"/>
  <c r="AN588" i="13034"/>
  <c r="Y1890" i="12908"/>
  <c r="AV1890" i="13034" s="1"/>
  <c r="AN1890" i="13034"/>
  <c r="AJ2232" i="13015"/>
  <c r="U2461" i="12908"/>
  <c r="AR2461" i="13034" s="1"/>
  <c r="AJ2461" i="13034"/>
  <c r="AA14" i="13025"/>
  <c r="AN1381" i="13034"/>
  <c r="S796" i="12908"/>
  <c r="AP796" i="13034" s="1"/>
  <c r="AH796" i="13034"/>
  <c r="S455" i="12908"/>
  <c r="AP455" i="13034" s="1"/>
  <c r="AH455" i="13034"/>
  <c r="X21" i="13029"/>
  <c r="AN1614" i="13034"/>
  <c r="S350" i="12908"/>
  <c r="AP350" i="13034" s="1"/>
  <c r="AH350" i="13034"/>
  <c r="Y986" i="12908"/>
  <c r="AV986" i="13034" s="1"/>
  <c r="AN986" i="13034"/>
  <c r="Y487" i="12908"/>
  <c r="AV487" i="13034" s="1"/>
  <c r="AN487" i="13034"/>
  <c r="S638" i="12908"/>
  <c r="AP638" i="13034" s="1"/>
  <c r="AH638" i="13034"/>
  <c r="S349" i="12908"/>
  <c r="AP349" i="13034" s="1"/>
  <c r="AH349" i="13034"/>
  <c r="Y2405" i="12908"/>
  <c r="AV2405" i="13034" s="1"/>
  <c r="AN2405" i="13034"/>
  <c r="S489" i="12908"/>
  <c r="AP489" i="13034" s="1"/>
  <c r="AH489" i="13034"/>
  <c r="Y491" i="12908"/>
  <c r="AV491" i="13034" s="1"/>
  <c r="AN491" i="13034"/>
  <c r="S908" i="12908"/>
  <c r="AP908" i="13034" s="1"/>
  <c r="AH908" i="13034"/>
  <c r="S1131" i="12908"/>
  <c r="AP1131" i="13034" s="1"/>
  <c r="AH1131" i="13034"/>
  <c r="S1633" i="12908"/>
  <c r="AP1633" i="13034" s="1"/>
  <c r="AH1633" i="13034"/>
  <c r="S520" i="12908"/>
  <c r="AP520" i="13034" s="1"/>
  <c r="AH520" i="13034"/>
  <c r="S297" i="12908"/>
  <c r="AP297" i="13034" s="1"/>
  <c r="AH297" i="13034"/>
  <c r="Y132" i="12908"/>
  <c r="AV132" i="13034" s="1"/>
  <c r="AN132" i="13034"/>
  <c r="S314" i="12908"/>
  <c r="AP314" i="13034" s="1"/>
  <c r="AH314" i="13034"/>
  <c r="Y591" i="12908"/>
  <c r="AV591" i="13034" s="1"/>
  <c r="AN591" i="13034"/>
  <c r="Y654" i="12908"/>
  <c r="AV654" i="13034" s="1"/>
  <c r="AN654" i="13034"/>
  <c r="Y453" i="12908"/>
  <c r="AV453" i="13034" s="1"/>
  <c r="AN453" i="13034"/>
  <c r="S605" i="12908"/>
  <c r="AP605" i="13034" s="1"/>
  <c r="AH605" i="13034"/>
  <c r="U2118" i="12908"/>
  <c r="AR2118" i="13034" s="1"/>
  <c r="AJ2118" i="13034"/>
  <c r="Y423" i="12908"/>
  <c r="AV423" i="13034" s="1"/>
  <c r="AN423" i="13034"/>
  <c r="S944" i="12908"/>
  <c r="AP944" i="13034" s="1"/>
  <c r="AH944" i="13034"/>
  <c r="S278" i="12908"/>
  <c r="AP278" i="13034" s="1"/>
  <c r="AH278" i="13034"/>
  <c r="S2403" i="12908"/>
  <c r="AP2403" i="13034" s="1"/>
  <c r="AH2403" i="13034"/>
  <c r="Y522" i="12908"/>
  <c r="AV522" i="13034" s="1"/>
  <c r="AN522" i="13034"/>
  <c r="Y471" i="12908"/>
  <c r="AV471" i="13034" s="1"/>
  <c r="AN471" i="13034"/>
  <c r="Y1010" i="12908"/>
  <c r="AV1010" i="13034" s="1"/>
  <c r="AN1010" i="13034"/>
  <c r="Y2143" i="12908"/>
  <c r="AV2143" i="13034" s="1"/>
  <c r="AN2143" i="13034"/>
  <c r="U2358" i="12908"/>
  <c r="AR2358" i="13034" s="1"/>
  <c r="AJ2358" i="13034"/>
  <c r="S2336" i="12908"/>
  <c r="AP2336" i="13034" s="1"/>
  <c r="AH2336" i="13034"/>
  <c r="S2507" i="12908"/>
  <c r="AP2507" i="13034" s="1"/>
  <c r="AH2507" i="13034"/>
  <c r="Y454" i="12908"/>
  <c r="AV454" i="13034" s="1"/>
  <c r="AN454" i="13034"/>
  <c r="Y437" i="12908"/>
  <c r="AV437" i="13034" s="1"/>
  <c r="AN437" i="13034"/>
  <c r="S620" i="12908"/>
  <c r="AP620" i="13034" s="1"/>
  <c r="AH620" i="13034"/>
  <c r="S589" i="12908"/>
  <c r="AP589" i="13034" s="1"/>
  <c r="AH589" i="13034"/>
  <c r="Y1034" i="12908"/>
  <c r="AV1034" i="13034" s="1"/>
  <c r="AN1034" i="13034"/>
  <c r="Y521" i="12908"/>
  <c r="AV521" i="13034" s="1"/>
  <c r="AN521" i="13034"/>
  <c r="Y2121" i="12908"/>
  <c r="AV2121" i="13034" s="1"/>
  <c r="AN2121" i="13034"/>
  <c r="U2462" i="12908"/>
  <c r="AR2462" i="13034" s="1"/>
  <c r="AJ2462" i="13034"/>
  <c r="S815" i="12908"/>
  <c r="AP815" i="13034" s="1"/>
  <c r="AH815" i="13034"/>
  <c r="S313" i="12908"/>
  <c r="AP313" i="13034" s="1"/>
  <c r="AH313" i="13034"/>
  <c r="Y2509" i="12908"/>
  <c r="AV2509" i="13034" s="1"/>
  <c r="AN2509" i="13034"/>
  <c r="U2140" i="12908"/>
  <c r="AR2140" i="13034" s="1"/>
  <c r="AJ2140" i="13034"/>
  <c r="S421" i="12908"/>
  <c r="AP421" i="13034" s="1"/>
  <c r="AH421" i="13034"/>
  <c r="Y457" i="12908"/>
  <c r="AV457" i="13034" s="1"/>
  <c r="AN457" i="13034"/>
  <c r="S2439" i="12908"/>
  <c r="AP2439" i="13034" s="1"/>
  <c r="AH2439" i="13034"/>
  <c r="S2440" i="12908"/>
  <c r="AP2440" i="13034" s="1"/>
  <c r="AH2440" i="13034"/>
  <c r="S1087" i="12908"/>
  <c r="AP1087" i="13034" s="1"/>
  <c r="AH1087" i="13034"/>
  <c r="S814" i="12908"/>
  <c r="AP814" i="13034" s="1"/>
  <c r="AH814" i="13034"/>
  <c r="S1651" i="12908"/>
  <c r="AP1651" i="13034" s="1"/>
  <c r="AH1651" i="13034"/>
  <c r="S452" i="12908"/>
  <c r="AP452" i="13034" s="1"/>
  <c r="AH452" i="13034"/>
  <c r="S261" i="12908"/>
  <c r="AP261" i="13034" s="1"/>
  <c r="AH261" i="13034"/>
  <c r="Y206" i="12908"/>
  <c r="AV206" i="13034" s="1"/>
  <c r="AN206" i="13034"/>
  <c r="S852" i="12908"/>
  <c r="AP852" i="13034" s="1"/>
  <c r="AH852" i="13034"/>
  <c r="Y624" i="12908"/>
  <c r="AV624" i="13034" s="1"/>
  <c r="AN624" i="13034"/>
  <c r="Y488" i="12908"/>
  <c r="AV488" i="13034" s="1"/>
  <c r="AN488" i="13034"/>
  <c r="Q2564" i="13015"/>
  <c r="AN2564" i="13034"/>
  <c r="Y403" i="12908"/>
  <c r="AV403" i="13034" s="1"/>
  <c r="AN403" i="13034"/>
  <c r="S622" i="12908"/>
  <c r="AP622" i="13034" s="1"/>
  <c r="AH622" i="13034"/>
  <c r="Y1146" i="12908"/>
  <c r="AV1146" i="13034" s="1"/>
  <c r="AN1146" i="13034"/>
  <c r="Q2567" i="13015"/>
  <c r="AN2567" i="13034"/>
  <c r="Y1372" i="12908"/>
  <c r="AV1372" i="13034" s="1"/>
  <c r="AN1372" i="13034"/>
  <c r="S58" i="13005"/>
  <c r="AV1805" i="13034"/>
  <c r="S50" i="13005"/>
  <c r="AV2621" i="13034"/>
  <c r="S51" i="13005"/>
  <c r="AV2631" i="13034"/>
  <c r="Y1330" i="12908"/>
  <c r="AV1330" i="13034" s="1"/>
  <c r="AN1330" i="13034"/>
  <c r="Y1287" i="12908"/>
  <c r="AV1287" i="13034" s="1"/>
  <c r="AN1287" i="13034"/>
  <c r="Y1881" i="12908"/>
  <c r="AV1881" i="13034" s="1"/>
  <c r="AN1881" i="13034"/>
  <c r="Y1204" i="12908"/>
  <c r="AV1204" i="13034" s="1"/>
  <c r="AN1204" i="13034"/>
  <c r="Y1371" i="12908"/>
  <c r="AV1371" i="13034" s="1"/>
  <c r="AN1371" i="13034"/>
  <c r="Y1850" i="12908"/>
  <c r="AV1850" i="13034" s="1"/>
  <c r="AN1850" i="13034"/>
  <c r="Y1246" i="12908"/>
  <c r="AV1246" i="13034" s="1"/>
  <c r="AN1246" i="13034"/>
  <c r="Y1866" i="12908"/>
  <c r="AV1866" i="13034" s="1"/>
  <c r="AN1866" i="13034"/>
  <c r="Y1329" i="12908"/>
  <c r="AV1329" i="13034" s="1"/>
  <c r="AN1329" i="13034"/>
  <c r="Y1849" i="12908"/>
  <c r="AV1849" i="13034" s="1"/>
  <c r="AN1849" i="13034"/>
  <c r="Y1817" i="12908"/>
  <c r="AV1817" i="13034" s="1"/>
  <c r="AN1817" i="13034"/>
  <c r="Y1873" i="12908"/>
  <c r="AV1873" i="13034" s="1"/>
  <c r="AN1873" i="13034"/>
  <c r="Y1858" i="12908"/>
  <c r="AV1858" i="13034" s="1"/>
  <c r="AN1858" i="13034"/>
  <c r="Y1816" i="12908"/>
  <c r="AN1816" i="13034"/>
  <c r="Y1839" i="12908"/>
  <c r="AV1839" i="13034" s="1"/>
  <c r="AN1839" i="13034"/>
  <c r="Y1882" i="12908"/>
  <c r="AV1882" i="13034" s="1"/>
  <c r="AN1882" i="13034"/>
  <c r="Y1203" i="12908"/>
  <c r="AN1203" i="13034"/>
  <c r="Y1827" i="12908"/>
  <c r="AV1827" i="13034" s="1"/>
  <c r="AN1827" i="13034"/>
  <c r="Y1857" i="12908"/>
  <c r="AN1857" i="13034"/>
  <c r="Y1288" i="12908"/>
  <c r="AV1288" i="13034" s="1"/>
  <c r="AN1288" i="13034"/>
  <c r="Y1874" i="12908"/>
  <c r="AV1874" i="13034" s="1"/>
  <c r="AN1874" i="13034"/>
  <c r="Y1245" i="12908"/>
  <c r="AV1245" i="13034" s="1"/>
  <c r="AN1245" i="13034"/>
  <c r="Y1838" i="12908"/>
  <c r="AV1838" i="13034" s="1"/>
  <c r="AN1838" i="13034"/>
  <c r="Y1828" i="12908"/>
  <c r="AV1828" i="13034" s="1"/>
  <c r="AN1828" i="13034"/>
  <c r="Y1865" i="12908"/>
  <c r="AV1865" i="13034" s="1"/>
  <c r="AN1865" i="13034"/>
  <c r="S57" i="13005"/>
  <c r="AV1714" i="13034"/>
  <c r="Q1614" i="13015"/>
  <c r="M1651" i="13015"/>
  <c r="U1651" i="13015" s="1"/>
  <c r="AB2616" i="13015"/>
  <c r="AB2615" i="13015"/>
  <c r="Q50" i="13013"/>
  <c r="W50" i="13013" s="1"/>
  <c r="Y50" i="13013" s="1"/>
  <c r="K50" i="13005"/>
  <c r="W50" i="13005" s="1"/>
  <c r="Y50" i="13005" s="1"/>
  <c r="M35" i="13014"/>
  <c r="S50" i="13013"/>
  <c r="U50" i="13013" s="1"/>
  <c r="AB678" i="13015"/>
  <c r="AB677" i="13015"/>
  <c r="Y148" i="13015"/>
  <c r="AB148" i="13015" s="1"/>
  <c r="W56" i="13013"/>
  <c r="Q61" i="13013"/>
  <c r="Q64" i="13013" s="1"/>
  <c r="X22" i="13029"/>
  <c r="U23" i="13018"/>
  <c r="T23" i="13019" s="1"/>
  <c r="T22" i="13019"/>
  <c r="O59" i="13005"/>
  <c r="M44" i="13007"/>
  <c r="O44" i="13007" s="1"/>
  <c r="Y222" i="13015"/>
  <c r="Q657" i="13015"/>
  <c r="Y657" i="13015" s="1"/>
  <c r="Q591" i="13015"/>
  <c r="Y591" i="13015" s="1"/>
  <c r="Q624" i="13015"/>
  <c r="Y624" i="13015" s="1"/>
  <c r="Y558" i="13015"/>
  <c r="M51" i="13016"/>
  <c r="W51" i="13005"/>
  <c r="Y51" i="13005" s="1"/>
  <c r="AC51" i="12989"/>
  <c r="AE51" i="12989" s="1"/>
  <c r="U21" i="13019"/>
  <c r="U21" i="13021"/>
  <c r="Q522" i="13015"/>
  <c r="Y522" i="13015" s="1"/>
  <c r="Q454" i="13015"/>
  <c r="Y454" i="13015" s="1"/>
  <c r="Q488" i="13015"/>
  <c r="Y488" i="13015" s="1"/>
  <c r="Y386" i="13015"/>
  <c r="Q420" i="13015"/>
  <c r="Y420" i="13015" s="1"/>
  <c r="Q699" i="12908"/>
  <c r="W14" i="13023"/>
  <c r="K620" i="13015"/>
  <c r="S620" i="13015" s="1"/>
  <c r="K653" i="13015"/>
  <c r="S653" i="13015" s="1"/>
  <c r="S554" i="13015"/>
  <c r="K587" i="13015"/>
  <c r="S587" i="13015" s="1"/>
  <c r="Q678" i="13015"/>
  <c r="T22" i="13021"/>
  <c r="U23" i="13020"/>
  <c r="K486" i="13015"/>
  <c r="S486" i="13015" s="1"/>
  <c r="S384" i="13015"/>
  <c r="K520" i="13015"/>
  <c r="S520" i="13015" s="1"/>
  <c r="K452" i="13015"/>
  <c r="S452" i="13015" s="1"/>
  <c r="K418" i="13015"/>
  <c r="S418" i="13015" s="1"/>
  <c r="K350" i="13015"/>
  <c r="S350" i="13015" s="1"/>
  <c r="K314" i="13015"/>
  <c r="S314" i="13015" s="1"/>
  <c r="K278" i="13015"/>
  <c r="S278" i="13015" s="1"/>
  <c r="S242" i="13015"/>
  <c r="K386" i="13015"/>
  <c r="O46" i="13014"/>
  <c r="O49" i="13014" s="1"/>
  <c r="T15" i="13021"/>
  <c r="Q453" i="13015"/>
  <c r="Y453" i="13015" s="1"/>
  <c r="Q487" i="13015"/>
  <c r="Y487" i="13015" s="1"/>
  <c r="Q419" i="13015"/>
  <c r="Y419" i="13015" s="1"/>
  <c r="Q521" i="13015"/>
  <c r="Y521" i="13015" s="1"/>
  <c r="Y385" i="13015"/>
  <c r="T15" i="13019"/>
  <c r="W2231" i="13015"/>
  <c r="O2335" i="13015"/>
  <c r="O2439" i="13015"/>
  <c r="S2253" i="13015"/>
  <c r="K2461" i="13015"/>
  <c r="S2461" i="13015" s="1"/>
  <c r="K2357" i="13015"/>
  <c r="S2357" i="13015" s="1"/>
  <c r="M45" i="13017"/>
  <c r="M46" i="13017" s="1"/>
  <c r="M49" i="13017" s="1"/>
  <c r="M61" i="13016"/>
  <c r="M64" i="13016" s="1"/>
  <c r="S60" i="13016"/>
  <c r="K45" i="13007"/>
  <c r="O45" i="13007" s="1"/>
  <c r="K61" i="13005"/>
  <c r="K64" i="13005" s="1"/>
  <c r="O60" i="13005"/>
  <c r="K926" i="13015"/>
  <c r="S926" i="13015" s="1"/>
  <c r="S890" i="13015"/>
  <c r="K944" i="13015"/>
  <c r="S944" i="13015" s="1"/>
  <c r="K908" i="13015"/>
  <c r="S908" i="13015" s="1"/>
  <c r="K555" i="13015"/>
  <c r="Q403" i="13015"/>
  <c r="Y403" i="13015" s="1"/>
  <c r="Q471" i="13015"/>
  <c r="Y471" i="13015" s="1"/>
  <c r="Y369" i="13015"/>
  <c r="Q505" i="13015"/>
  <c r="Y505" i="13015" s="1"/>
  <c r="Q437" i="13015"/>
  <c r="Y437" i="13015" s="1"/>
  <c r="O2357" i="13015"/>
  <c r="W2253" i="13015"/>
  <c r="O2461" i="13015"/>
  <c r="M2543" i="12908"/>
  <c r="U14" i="13021"/>
  <c r="U15" i="13021" s="1"/>
  <c r="U14" i="13019"/>
  <c r="U15" i="13019" s="1"/>
  <c r="X21" i="13028"/>
  <c r="Q1652" i="13015"/>
  <c r="Q1634" i="13015"/>
  <c r="Y1634" i="13015" s="1"/>
  <c r="Y1635" i="13015" s="1"/>
  <c r="Y1639" i="13015" s="1"/>
  <c r="Y1614" i="13015"/>
  <c r="K589" i="13015"/>
  <c r="S589" i="13015" s="1"/>
  <c r="K622" i="13015"/>
  <c r="S622" i="13015" s="1"/>
  <c r="K655" i="13015"/>
  <c r="S655" i="13015" s="1"/>
  <c r="S556" i="13015"/>
  <c r="Q457" i="13015"/>
  <c r="Y457" i="13015" s="1"/>
  <c r="Q491" i="13015"/>
  <c r="Y491" i="13015" s="1"/>
  <c r="Q423" i="13015"/>
  <c r="Y423" i="13015" s="1"/>
  <c r="Q525" i="13015"/>
  <c r="Y525" i="13015" s="1"/>
  <c r="Y389" i="13015"/>
  <c r="O64" i="13013"/>
  <c r="AH64" i="12989" s="1"/>
  <c r="AI64" i="12989" s="1"/>
  <c r="AH61" i="12989"/>
  <c r="AI61" i="12989" s="1"/>
  <c r="K796" i="13015"/>
  <c r="S796" i="13015" s="1"/>
  <c r="K777" i="13015"/>
  <c r="S777" i="13015" s="1"/>
  <c r="S758" i="13015"/>
  <c r="K815" i="13015"/>
  <c r="S815" i="13015" s="1"/>
  <c r="O51" i="13005"/>
  <c r="K36" i="13007"/>
  <c r="O36" i="13007" s="1"/>
  <c r="K421" i="13015"/>
  <c r="S421" i="13015" s="1"/>
  <c r="K523" i="13015"/>
  <c r="S523" i="13015" s="1"/>
  <c r="S387" i="13015"/>
  <c r="K455" i="13015"/>
  <c r="S455" i="13015" s="1"/>
  <c r="K489" i="13015"/>
  <c r="S489" i="13015" s="1"/>
  <c r="Y82" i="13015"/>
  <c r="K638" i="13015"/>
  <c r="S638" i="13015" s="1"/>
  <c r="K572" i="13015"/>
  <c r="S572" i="13015" s="1"/>
  <c r="K605" i="13015"/>
  <c r="S605" i="13015" s="1"/>
  <c r="S539" i="13015"/>
  <c r="AB974" i="13015"/>
  <c r="S16" i="13016"/>
  <c r="U16" i="13016" s="1"/>
  <c r="M50" i="13016"/>
  <c r="AC50" i="12989"/>
  <c r="AE50" i="12989" s="1"/>
  <c r="M41" i="13007"/>
  <c r="O56" i="13005"/>
  <c r="M61" i="13005"/>
  <c r="M64" i="13005" s="1"/>
  <c r="Y2166" i="13015"/>
  <c r="Q2212" i="13015"/>
  <c r="Y2212" i="13015" s="1"/>
  <c r="Q2189" i="13015"/>
  <c r="Y2189" i="13015" s="1"/>
  <c r="Q986" i="13015"/>
  <c r="Y986" i="13015" s="1"/>
  <c r="Q1010" i="13015"/>
  <c r="Y1010" i="13015" s="1"/>
  <c r="Q1890" i="13015"/>
  <c r="Y1890" i="13015" s="1"/>
  <c r="AG962" i="13015"/>
  <c r="Q541" i="13015"/>
  <c r="Q1034" i="13015"/>
  <c r="Y1034" i="13015" s="1"/>
  <c r="Q964" i="13015"/>
  <c r="Q227" i="13015"/>
  <c r="Q1146" i="13015"/>
  <c r="Y1146" i="13015" s="1"/>
  <c r="Q1058" i="13015"/>
  <c r="Y962" i="13015"/>
  <c r="W18" i="13029"/>
  <c r="Y185" i="13015"/>
  <c r="K1087" i="13015"/>
  <c r="S1087" i="13015" s="1"/>
  <c r="K1109" i="13015"/>
  <c r="S1109" i="13015" s="1"/>
  <c r="K1131" i="13015"/>
  <c r="S1131" i="13015" s="1"/>
  <c r="S1065" i="13015"/>
  <c r="K814" i="13015"/>
  <c r="S814" i="13015" s="1"/>
  <c r="K795" i="13015"/>
  <c r="S795" i="13015" s="1"/>
  <c r="K776" i="13015"/>
  <c r="S776" i="13015" s="1"/>
  <c r="S757" i="13015"/>
  <c r="K385" i="13015"/>
  <c r="S241" i="13015"/>
  <c r="K349" i="13015"/>
  <c r="S349" i="13015" s="1"/>
  <c r="K313" i="13015"/>
  <c r="S313" i="13015" s="1"/>
  <c r="K277" i="13015"/>
  <c r="S277" i="13015" s="1"/>
  <c r="Y45" i="13015"/>
  <c r="AC22" i="13015"/>
  <c r="Q43" i="13015" s="1"/>
  <c r="AC23" i="13015"/>
  <c r="Q44" i="13015" s="1"/>
  <c r="S2543" i="13015"/>
  <c r="K2544" i="13015"/>
  <c r="S2544" i="13015" s="1"/>
  <c r="AA14" i="13024"/>
  <c r="Q1443" i="13015"/>
  <c r="Y1443" i="13015" s="1"/>
  <c r="Q1403" i="13015"/>
  <c r="Y1403" i="13015" s="1"/>
  <c r="Q1383" i="13015"/>
  <c r="Y1381" i="13015"/>
  <c r="Q2302" i="13015"/>
  <c r="Q1423" i="13015"/>
  <c r="Y1423" i="13015" s="1"/>
  <c r="Q1463" i="13015"/>
  <c r="Y1463" i="13015" s="1"/>
  <c r="Q1382" i="13015"/>
  <c r="Q654" i="13015"/>
  <c r="Y654" i="13015" s="1"/>
  <c r="Y555" i="13015"/>
  <c r="Q588" i="13015"/>
  <c r="Y588" i="13015" s="1"/>
  <c r="Q621" i="13015"/>
  <c r="Y621" i="13015" s="1"/>
  <c r="K261" i="13015"/>
  <c r="S261" i="13015" s="1"/>
  <c r="S225" i="13015"/>
  <c r="K369" i="13015"/>
  <c r="K333" i="13015"/>
  <c r="S333" i="13015" s="1"/>
  <c r="K297" i="13015"/>
  <c r="S297" i="13015" s="1"/>
  <c r="Y60" i="13005"/>
  <c r="W61" i="13005"/>
  <c r="U60" i="13013"/>
  <c r="S61" i="13013"/>
  <c r="O2440" i="13015"/>
  <c r="O2336" i="13015"/>
  <c r="W2232" i="13015"/>
  <c r="K2462" i="13015"/>
  <c r="S2462" i="13015" s="1"/>
  <c r="K2358" i="13015"/>
  <c r="S2358" i="13015" s="1"/>
  <c r="S2254" i="13015"/>
  <c r="O2254" i="13015"/>
  <c r="K871" i="13015"/>
  <c r="S871" i="13015" s="1"/>
  <c r="K852" i="13015"/>
  <c r="S852" i="13015" s="1"/>
  <c r="S833" i="13015"/>
  <c r="Q44" i="13014"/>
  <c r="W44" i="13014" s="1"/>
  <c r="Y44" i="13014" s="1"/>
  <c r="S45" i="13014"/>
  <c r="Q45" i="13014"/>
  <c r="W45" i="13014" s="1"/>
  <c r="Y45" i="13014" s="1"/>
  <c r="Y2564" i="13015"/>
  <c r="Y2558" i="13015"/>
  <c r="Q246" i="12908"/>
  <c r="Q741" i="12908"/>
  <c r="Q679" i="12908"/>
  <c r="AN679" i="13034" s="1"/>
  <c r="Q894" i="12908"/>
  <c r="Q720" i="12908"/>
  <c r="W14" i="12992"/>
  <c r="Q762" i="12908"/>
  <c r="Y678" i="12908"/>
  <c r="AV678" i="13034" s="1"/>
  <c r="Q838" i="12908"/>
  <c r="W48" i="12989"/>
  <c r="W42" i="12989"/>
  <c r="W47" i="12989"/>
  <c r="X47" i="12989"/>
  <c r="AA47" i="12989" s="1"/>
  <c r="X42" i="12989"/>
  <c r="AA42" i="12989" s="1"/>
  <c r="Y2099" i="12908"/>
  <c r="AV2099" i="13034" s="1"/>
  <c r="Q2166" i="12908"/>
  <c r="AN2166" i="13034" s="1"/>
  <c r="U2096" i="12908"/>
  <c r="AR2096" i="13034" s="1"/>
  <c r="M2162" i="12908"/>
  <c r="AJ2162" i="13034" s="1"/>
  <c r="S2253" i="12908"/>
  <c r="AP2253" i="13034" s="1"/>
  <c r="K2461" i="12908"/>
  <c r="K2357" i="12908"/>
  <c r="O2253" i="12908"/>
  <c r="AL2253" i="13034" s="1"/>
  <c r="Q64" i="13005"/>
  <c r="AC64" i="12989" s="1"/>
  <c r="AE61" i="12989"/>
  <c r="S2254" i="12908"/>
  <c r="AP2254" i="13034" s="1"/>
  <c r="K2358" i="12908"/>
  <c r="K2462" i="12908"/>
  <c r="O2254" i="12908"/>
  <c r="AL2254" i="13034" s="1"/>
  <c r="Y2563" i="12908"/>
  <c r="AV2563" i="13034" s="1"/>
  <c r="U51" i="13005"/>
  <c r="Q36" i="13007"/>
  <c r="Z64" i="12989"/>
  <c r="S2543" i="12908"/>
  <c r="AP2543" i="13034" s="1"/>
  <c r="K2544" i="12908"/>
  <c r="AH2544" i="13034" s="1"/>
  <c r="S555" i="12908"/>
  <c r="AP555" i="13034" s="1"/>
  <c r="K621" i="12908"/>
  <c r="K654" i="12908"/>
  <c r="K588" i="12908"/>
  <c r="W2232" i="12908"/>
  <c r="AT2232" i="13034" s="1"/>
  <c r="O2440" i="12908"/>
  <c r="O2336" i="12908"/>
  <c r="Q2188" i="12908"/>
  <c r="Q2211" i="12908"/>
  <c r="Y2165" i="12908"/>
  <c r="AV2165" i="13034" s="1"/>
  <c r="Y30" i="12908"/>
  <c r="AV30" i="13034" s="1"/>
  <c r="Q133" i="12908"/>
  <c r="Q67" i="12908"/>
  <c r="Q207" i="12908"/>
  <c r="Q170" i="12908"/>
  <c r="U14" i="13009"/>
  <c r="U15" i="13009" s="1"/>
  <c r="U14" i="13008"/>
  <c r="U15" i="13008" s="1"/>
  <c r="Q33" i="12908"/>
  <c r="AN33" i="13034" s="1"/>
  <c r="Q31" i="12908"/>
  <c r="AN31" i="13034" s="1"/>
  <c r="Y2162" i="12908"/>
  <c r="AV2162" i="13034" s="1"/>
  <c r="Q2185" i="12908"/>
  <c r="Q2208" i="12908"/>
  <c r="Y2570" i="12908"/>
  <c r="AV2570" i="13034" s="1"/>
  <c r="Y227" i="12908"/>
  <c r="AV227" i="13034" s="1"/>
  <c r="Q299" i="12908"/>
  <c r="Q335" i="12908"/>
  <c r="Q263" i="12908"/>
  <c r="Q371" i="12908"/>
  <c r="AN371" i="13034" s="1"/>
  <c r="AA14" i="12993"/>
  <c r="Q1463" i="12908"/>
  <c r="Q1443" i="12908"/>
  <c r="Q1423" i="12908"/>
  <c r="Q1403" i="12908"/>
  <c r="Y1381" i="12908"/>
  <c r="AV1381" i="13034" s="1"/>
  <c r="Q1382" i="12908"/>
  <c r="Q2302" i="12908"/>
  <c r="AN2302" i="13034" s="1"/>
  <c r="Q1383" i="12908"/>
  <c r="Q2207" i="12908"/>
  <c r="Q2184" i="12908"/>
  <c r="Y2161" i="12908"/>
  <c r="AV2161" i="13034" s="1"/>
  <c r="O2439" i="12908"/>
  <c r="W2231" i="12908"/>
  <c r="AT2231" i="13034" s="1"/>
  <c r="O2335" i="12908"/>
  <c r="Q1652" i="12908"/>
  <c r="X21" i="12995"/>
  <c r="X22" i="12995" s="1"/>
  <c r="Q1634" i="12908"/>
  <c r="Y1614" i="12908"/>
  <c r="AV1614" i="13034" s="1"/>
  <c r="Y2567" i="12908"/>
  <c r="AV2567" i="13034" s="1"/>
  <c r="AG964" i="12908"/>
  <c r="Y964" i="12908"/>
  <c r="Q1036" i="12908"/>
  <c r="Q1148" i="12908"/>
  <c r="Q1012" i="12908"/>
  <c r="Q988" i="12908"/>
  <c r="Q1892" i="12908"/>
  <c r="Q543" i="12908"/>
  <c r="AN543" i="13034" s="1"/>
  <c r="Q1060" i="12908"/>
  <c r="AN1060" i="13034" s="1"/>
  <c r="Q229" i="12908"/>
  <c r="AN229" i="13034" s="1"/>
  <c r="Y1058" i="12908"/>
  <c r="AV1058" i="13034" s="1"/>
  <c r="Q1102" i="12908"/>
  <c r="Q1080" i="12908"/>
  <c r="Q1124" i="12908"/>
  <c r="Q209" i="12908"/>
  <c r="Y32" i="12908"/>
  <c r="AV32" i="13034" s="1"/>
  <c r="Q172" i="12908"/>
  <c r="Q135" i="12908"/>
  <c r="Q69" i="12908"/>
  <c r="U21" i="13009"/>
  <c r="U21" i="13008"/>
  <c r="AB2616" i="12908"/>
  <c r="AB2615" i="12908"/>
  <c r="Y2566" i="12908"/>
  <c r="AV2566" i="13034" s="1"/>
  <c r="S385" i="12908"/>
  <c r="AP385" i="13034" s="1"/>
  <c r="K487" i="12908"/>
  <c r="K419" i="12908"/>
  <c r="K453" i="12908"/>
  <c r="K521" i="12908"/>
  <c r="Q46" i="13007"/>
  <c r="Q49" i="13007" s="1"/>
  <c r="Y2164" i="12908"/>
  <c r="AV2164" i="13034" s="1"/>
  <c r="Q2210" i="12908"/>
  <c r="Q2187" i="12908"/>
  <c r="AB2628" i="12908"/>
  <c r="AB2627" i="12908"/>
  <c r="K471" i="12908"/>
  <c r="K403" i="12908"/>
  <c r="S369" i="12908"/>
  <c r="AP369" i="13034" s="1"/>
  <c r="K437" i="12908"/>
  <c r="K505" i="12908"/>
  <c r="S386" i="12908"/>
  <c r="AP386" i="13034" s="1"/>
  <c r="K420" i="12908"/>
  <c r="K454" i="12908"/>
  <c r="K488" i="12908"/>
  <c r="K522" i="12908"/>
  <c r="AA64" i="12989"/>
  <c r="U50" i="13005"/>
  <c r="Q35" i="13007"/>
  <c r="Y2561" i="12908"/>
  <c r="AV2561" i="13034" s="1"/>
  <c r="Y541" i="12908"/>
  <c r="AV541" i="13034" s="1"/>
  <c r="Q640" i="12908"/>
  <c r="Q607" i="12908"/>
  <c r="Q574" i="12908"/>
  <c r="S487" i="12908" l="1"/>
  <c r="AP487" i="13034" s="1"/>
  <c r="AH487" i="13034"/>
  <c r="Y988" i="12908"/>
  <c r="AN988" i="13034"/>
  <c r="Y1634" i="12908"/>
  <c r="AN1634" i="13034"/>
  <c r="Y2207" i="12908"/>
  <c r="AV2207" i="13034" s="1"/>
  <c r="AN2207" i="13034"/>
  <c r="Y1463" i="12908"/>
  <c r="AV1463" i="13034" s="1"/>
  <c r="AN1463" i="13034"/>
  <c r="Y574" i="12908"/>
  <c r="AV574" i="13034" s="1"/>
  <c r="AN574" i="13034"/>
  <c r="S522" i="12908"/>
  <c r="AP522" i="13034" s="1"/>
  <c r="AH522" i="13034"/>
  <c r="S403" i="12908"/>
  <c r="AP403" i="13034" s="1"/>
  <c r="AH403" i="13034"/>
  <c r="Y2187" i="12908"/>
  <c r="AV2187" i="13034" s="1"/>
  <c r="AN2187" i="13034"/>
  <c r="S521" i="12908"/>
  <c r="AP521" i="13034" s="1"/>
  <c r="AH521" i="13034"/>
  <c r="Y172" i="12908"/>
  <c r="AV172" i="13034" s="1"/>
  <c r="AN172" i="13034"/>
  <c r="Y1080" i="12908"/>
  <c r="AV1080" i="13034" s="1"/>
  <c r="AN1080" i="13034"/>
  <c r="Y1012" i="12908"/>
  <c r="AN1012" i="13034"/>
  <c r="W2439" i="12908"/>
  <c r="AT2439" i="13034" s="1"/>
  <c r="AL2439" i="13034"/>
  <c r="AA15" i="13025"/>
  <c r="AN1383" i="13034"/>
  <c r="Y1403" i="12908"/>
  <c r="AV1403" i="13034" s="1"/>
  <c r="AN1403" i="13034"/>
  <c r="Y299" i="12908"/>
  <c r="AV299" i="13034" s="1"/>
  <c r="AN299" i="13034"/>
  <c r="Y2185" i="12908"/>
  <c r="AV2185" i="13034" s="1"/>
  <c r="AN2185" i="13034"/>
  <c r="Y67" i="12908"/>
  <c r="AV67" i="13034" s="1"/>
  <c r="AN67" i="13034"/>
  <c r="Y2211" i="12908"/>
  <c r="AV2211" i="13034" s="1"/>
  <c r="AN2211" i="13034"/>
  <c r="S2462" i="12908"/>
  <c r="AP2462" i="13034" s="1"/>
  <c r="AH2462" i="13034"/>
  <c r="Q781" i="12908"/>
  <c r="AN762" i="13034"/>
  <c r="AJ2254" i="13015"/>
  <c r="AI2232" i="13015"/>
  <c r="W2461" i="13015"/>
  <c r="AI2231" i="13015"/>
  <c r="S420" i="12908"/>
  <c r="AP420" i="13034" s="1"/>
  <c r="AH420" i="13034"/>
  <c r="Y1124" i="12908"/>
  <c r="AV1124" i="13034" s="1"/>
  <c r="AN1124" i="13034"/>
  <c r="Y982" i="12908"/>
  <c r="AV982" i="13034" s="1"/>
  <c r="AV964" i="13034"/>
  <c r="Y335" i="12908"/>
  <c r="AV335" i="13034" s="1"/>
  <c r="AN335" i="13034"/>
  <c r="Y2208" i="12908"/>
  <c r="AV2208" i="13034" s="1"/>
  <c r="AN2208" i="13034"/>
  <c r="Y207" i="12908"/>
  <c r="AV207" i="13034" s="1"/>
  <c r="AN207" i="13034"/>
  <c r="W2440" i="12908"/>
  <c r="AT2440" i="13034" s="1"/>
  <c r="AL2440" i="13034"/>
  <c r="Q930" i="12908"/>
  <c r="AN894" i="13034"/>
  <c r="U2543" i="12908"/>
  <c r="AR2543" i="13034" s="1"/>
  <c r="AJ2543" i="13034"/>
  <c r="W2335" i="13015"/>
  <c r="AI2335" i="13015" s="1"/>
  <c r="AJ2335" i="13015"/>
  <c r="Y699" i="12908"/>
  <c r="AV699" i="13034" s="1"/>
  <c r="AN699" i="13034"/>
  <c r="Y607" i="12908"/>
  <c r="AV607" i="13034" s="1"/>
  <c r="AN607" i="13034"/>
  <c r="S488" i="12908"/>
  <c r="AP488" i="13034" s="1"/>
  <c r="AH488" i="13034"/>
  <c r="S505" i="12908"/>
  <c r="AP505" i="13034" s="1"/>
  <c r="AH505" i="13034"/>
  <c r="S471" i="12908"/>
  <c r="AP471" i="13034" s="1"/>
  <c r="AH471" i="13034"/>
  <c r="Y2210" i="12908"/>
  <c r="AV2210" i="13034" s="1"/>
  <c r="AN2210" i="13034"/>
  <c r="S453" i="12908"/>
  <c r="AP453" i="13034" s="1"/>
  <c r="AH453" i="13034"/>
  <c r="Y1102" i="12908"/>
  <c r="AV1102" i="13034" s="1"/>
  <c r="AN1102" i="13034"/>
  <c r="Y1148" i="12908"/>
  <c r="AN1148" i="13034"/>
  <c r="Y1652" i="12908"/>
  <c r="AN1652" i="13034"/>
  <c r="Y1423" i="12908"/>
  <c r="AV1423" i="13034" s="1"/>
  <c r="AN1423" i="13034"/>
  <c r="Y133" i="12908"/>
  <c r="AV133" i="13034" s="1"/>
  <c r="AN133" i="13034"/>
  <c r="Y2188" i="12908"/>
  <c r="AV2188" i="13034" s="1"/>
  <c r="AN2188" i="13034"/>
  <c r="S588" i="12908"/>
  <c r="AP588" i="13034" s="1"/>
  <c r="AH588" i="13034"/>
  <c r="S2358" i="12908"/>
  <c r="AP2358" i="13034" s="1"/>
  <c r="AH2358" i="13034"/>
  <c r="Y741" i="12908"/>
  <c r="AV741" i="13034" s="1"/>
  <c r="AN741" i="13034"/>
  <c r="W2336" i="13015"/>
  <c r="AI2336" i="13015" s="1"/>
  <c r="AJ2336" i="13015"/>
  <c r="Y135" i="12908"/>
  <c r="AV135" i="13034" s="1"/>
  <c r="AN135" i="13034"/>
  <c r="S621" i="12908"/>
  <c r="AP621" i="13034" s="1"/>
  <c r="AH621" i="13034"/>
  <c r="S2461" i="12908"/>
  <c r="AP2461" i="13034" s="1"/>
  <c r="AH2461" i="13034"/>
  <c r="Y640" i="12908"/>
  <c r="AV640" i="13034" s="1"/>
  <c r="AN640" i="13034"/>
  <c r="S454" i="12908"/>
  <c r="AP454" i="13034" s="1"/>
  <c r="AH454" i="13034"/>
  <c r="S437" i="12908"/>
  <c r="AP437" i="13034" s="1"/>
  <c r="AH437" i="13034"/>
  <c r="S419" i="12908"/>
  <c r="AP419" i="13034" s="1"/>
  <c r="AH419" i="13034"/>
  <c r="Y69" i="12908"/>
  <c r="AV69" i="13034" s="1"/>
  <c r="AN69" i="13034"/>
  <c r="Y209" i="12908"/>
  <c r="AV209" i="13034" s="1"/>
  <c r="AN209" i="13034"/>
  <c r="Y1892" i="12908"/>
  <c r="AN1892" i="13034"/>
  <c r="Y1036" i="12908"/>
  <c r="AN1036" i="13034"/>
  <c r="W2335" i="12908"/>
  <c r="AT2335" i="13034" s="1"/>
  <c r="AL2335" i="13034"/>
  <c r="Y2184" i="12908"/>
  <c r="AV2184" i="13034" s="1"/>
  <c r="AN2184" i="13034"/>
  <c r="AA23" i="13025"/>
  <c r="AN1382" i="13034"/>
  <c r="Y1443" i="12908"/>
  <c r="AV1443" i="13034" s="1"/>
  <c r="AN1443" i="13034"/>
  <c r="Y263" i="12908"/>
  <c r="AV263" i="13034" s="1"/>
  <c r="AN263" i="13034"/>
  <c r="Y170" i="12908"/>
  <c r="AV170" i="13034" s="1"/>
  <c r="AN170" i="13034"/>
  <c r="W2336" i="12908"/>
  <c r="AT2336" i="13034" s="1"/>
  <c r="AL2336" i="13034"/>
  <c r="S654" i="12908"/>
  <c r="AP654" i="13034" s="1"/>
  <c r="AH654" i="13034"/>
  <c r="S2357" i="12908"/>
  <c r="AP2357" i="13034" s="1"/>
  <c r="AH2357" i="13034"/>
  <c r="Y838" i="12908"/>
  <c r="AV838" i="13034" s="1"/>
  <c r="AN838" i="13034"/>
  <c r="Y720" i="12908"/>
  <c r="AV720" i="13034" s="1"/>
  <c r="AN720" i="13034"/>
  <c r="Q282" i="12908"/>
  <c r="AN246" i="13034"/>
  <c r="W2440" i="13015"/>
  <c r="AI2440" i="13015" s="1"/>
  <c r="AJ2440" i="13015"/>
  <c r="W2357" i="13015"/>
  <c r="W2439" i="13015"/>
  <c r="AI2439" i="13015" s="1"/>
  <c r="AJ2439" i="13015"/>
  <c r="AJ2253" i="13015"/>
  <c r="O57" i="13016"/>
  <c r="U57" i="13005"/>
  <c r="AA57" i="13005" s="1"/>
  <c r="AC57" i="13005" s="1"/>
  <c r="AF57" i="12989"/>
  <c r="AG57" i="12989" s="1"/>
  <c r="S42" i="13007"/>
  <c r="U42" i="13007" s="1"/>
  <c r="AA42" i="13007" s="1"/>
  <c r="AC42" i="13007" s="1"/>
  <c r="S59" i="13005"/>
  <c r="AV1816" i="13034"/>
  <c r="O51" i="13016"/>
  <c r="O36" i="13017" s="1"/>
  <c r="AF51" i="12989"/>
  <c r="AG51" i="12989" s="1"/>
  <c r="S36" i="13007"/>
  <c r="O58" i="13016"/>
  <c r="AF58" i="12989"/>
  <c r="AG58" i="12989" s="1"/>
  <c r="S43" i="13007"/>
  <c r="U43" i="13007" s="1"/>
  <c r="AA43" i="13007" s="1"/>
  <c r="AC43" i="13007" s="1"/>
  <c r="U58" i="13005"/>
  <c r="AA58" i="13005" s="1"/>
  <c r="AC58" i="13005" s="1"/>
  <c r="S60" i="13005"/>
  <c r="AV1857" i="13034"/>
  <c r="S56" i="13005"/>
  <c r="AV1203" i="13034"/>
  <c r="O50" i="13016"/>
  <c r="O35" i="13017" s="1"/>
  <c r="AF50" i="12989"/>
  <c r="AG50" i="12989" s="1"/>
  <c r="S35" i="13007"/>
  <c r="U35" i="13007" s="1"/>
  <c r="K35" i="13007"/>
  <c r="O35" i="13007" s="1"/>
  <c r="O50" i="13005"/>
  <c r="AA50" i="13005" s="1"/>
  <c r="AC50" i="13005" s="1"/>
  <c r="Q876" i="12908"/>
  <c r="M17" i="13013"/>
  <c r="S17" i="13013" s="1"/>
  <c r="U17" i="13013" s="1"/>
  <c r="W36" i="13007"/>
  <c r="Y36" i="13007" s="1"/>
  <c r="S45" i="13017"/>
  <c r="U45" i="13017" s="1"/>
  <c r="Q700" i="12908"/>
  <c r="W22" i="13023"/>
  <c r="M2544" i="12908"/>
  <c r="O2358" i="13015"/>
  <c r="O2462" i="13015"/>
  <c r="W2254" i="13015"/>
  <c r="AA23" i="13024"/>
  <c r="Z23" i="13025" s="1"/>
  <c r="Q1464" i="13015"/>
  <c r="Y1464" i="13015" s="1"/>
  <c r="Y1382" i="13015"/>
  <c r="Q1444" i="13015"/>
  <c r="Y1444" i="13015" s="1"/>
  <c r="Q1424" i="13015"/>
  <c r="Y1424" i="13015" s="1"/>
  <c r="Q2303" i="13015"/>
  <c r="Q1404" i="13015"/>
  <c r="Y1404" i="13015" s="1"/>
  <c r="Z14" i="13025"/>
  <c r="Q81" i="13015"/>
  <c r="Y81" i="13015" s="1"/>
  <c r="Q221" i="13015"/>
  <c r="Y221" i="13015" s="1"/>
  <c r="Q110" i="13015"/>
  <c r="Y110" i="13015" s="1"/>
  <c r="Q184" i="13015"/>
  <c r="Y184" i="13015" s="1"/>
  <c r="Y44" i="13015"/>
  <c r="Q147" i="13015"/>
  <c r="Y147" i="13015" s="1"/>
  <c r="AB185" i="13015"/>
  <c r="M18" i="13013"/>
  <c r="Q1080" i="13015"/>
  <c r="Y1080" i="13015" s="1"/>
  <c r="Q1102" i="13015"/>
  <c r="Y1102" i="13015" s="1"/>
  <c r="Y1058" i="13015"/>
  <c r="Q1124" i="13015"/>
  <c r="Y1124" i="13015" s="1"/>
  <c r="O61" i="13005"/>
  <c r="O64" i="13005" s="1"/>
  <c r="M35" i="13017"/>
  <c r="S35" i="13017" s="1"/>
  <c r="U35" i="13017" s="1"/>
  <c r="S50" i="13016"/>
  <c r="U50" i="13016" s="1"/>
  <c r="Q50" i="13016"/>
  <c r="W50" i="13016" s="1"/>
  <c r="Y50" i="13016" s="1"/>
  <c r="Y1652" i="13015"/>
  <c r="Y1653" i="13015" s="1"/>
  <c r="Y1657" i="13015" s="1"/>
  <c r="O2543" i="12908"/>
  <c r="AL2543" i="13034" s="1"/>
  <c r="W45" i="13007"/>
  <c r="Y45" i="13007" s="1"/>
  <c r="K46" i="13007"/>
  <c r="K49" i="13007" s="1"/>
  <c r="K17" i="13005"/>
  <c r="U61" i="13013"/>
  <c r="S64" i="13013"/>
  <c r="U64" i="13013" s="1"/>
  <c r="Q2510" i="13015"/>
  <c r="Y2510" i="13015" s="1"/>
  <c r="Q2406" i="13015"/>
  <c r="Y2406" i="13015" s="1"/>
  <c r="Y2302" i="13015"/>
  <c r="K453" i="13015"/>
  <c r="S453" i="13015" s="1"/>
  <c r="K487" i="13015"/>
  <c r="S487" i="13015" s="1"/>
  <c r="K419" i="13015"/>
  <c r="S419" i="13015" s="1"/>
  <c r="K521" i="13015"/>
  <c r="S521" i="13015" s="1"/>
  <c r="S385" i="13015"/>
  <c r="Q1036" i="13015"/>
  <c r="Y1036" i="13015" s="1"/>
  <c r="Y1054" i="13015" s="1"/>
  <c r="AB1054" i="13015" s="1"/>
  <c r="AG964" i="13015"/>
  <c r="Q1012" i="13015"/>
  <c r="Y1012" i="13015" s="1"/>
  <c r="Y1030" i="13015" s="1"/>
  <c r="AB1030" i="13015" s="1"/>
  <c r="Q543" i="13015"/>
  <c r="Q1892" i="13015"/>
  <c r="Y1892" i="13015" s="1"/>
  <c r="Y1899" i="13015" s="1"/>
  <c r="AB1899" i="13015" s="1"/>
  <c r="Q988" i="13015"/>
  <c r="Y988" i="13015" s="1"/>
  <c r="Y1006" i="13015" s="1"/>
  <c r="AB1006" i="13015" s="1"/>
  <c r="Q229" i="13015"/>
  <c r="Q1148" i="13015"/>
  <c r="Y1148" i="13015" s="1"/>
  <c r="Y1164" i="13015" s="1"/>
  <c r="M28" i="13013" s="1"/>
  <c r="Q1060" i="13015"/>
  <c r="Y964" i="13015"/>
  <c r="Y982" i="13015" s="1"/>
  <c r="AB1639" i="13015"/>
  <c r="M39" i="13013"/>
  <c r="Y61" i="13005"/>
  <c r="W64" i="13005"/>
  <c r="Y64" i="13005" s="1"/>
  <c r="K471" i="13015"/>
  <c r="S471" i="13015" s="1"/>
  <c r="K403" i="13015"/>
  <c r="S403" i="13015" s="1"/>
  <c r="K437" i="13015"/>
  <c r="S437" i="13015" s="1"/>
  <c r="K505" i="13015"/>
  <c r="S505" i="13015" s="1"/>
  <c r="S369" i="13015"/>
  <c r="AA15" i="13024"/>
  <c r="Z15" i="13025" s="1"/>
  <c r="Q1445" i="13015"/>
  <c r="Y1445" i="13015" s="1"/>
  <c r="Q2304" i="13015"/>
  <c r="Q1425" i="13015"/>
  <c r="Y1425" i="13015" s="1"/>
  <c r="Q1405" i="13015"/>
  <c r="Y1405" i="13015" s="1"/>
  <c r="Q1384" i="13015"/>
  <c r="Q1465" i="13015"/>
  <c r="Y1465" i="13015" s="1"/>
  <c r="Y1383" i="13015"/>
  <c r="U27" i="13018"/>
  <c r="M18" i="13018" s="1"/>
  <c r="U27" i="13020"/>
  <c r="M19" i="13020" s="1"/>
  <c r="Q220" i="13015"/>
  <c r="Y220" i="13015" s="1"/>
  <c r="O19" i="13013" s="1"/>
  <c r="Q80" i="13015"/>
  <c r="Y80" i="13015" s="1"/>
  <c r="O15" i="13013" s="1"/>
  <c r="Q183" i="13015"/>
  <c r="Y183" i="13015" s="1"/>
  <c r="O18" i="13013" s="1"/>
  <c r="Q146" i="13015"/>
  <c r="Y146" i="13015" s="1"/>
  <c r="O17" i="13013" s="1"/>
  <c r="Q17" i="13013" s="1"/>
  <c r="W17" i="13013" s="1"/>
  <c r="Y17" i="13013" s="1"/>
  <c r="Y43" i="13015"/>
  <c r="O14" i="13013" s="1"/>
  <c r="Q109" i="13015"/>
  <c r="Y109" i="13015" s="1"/>
  <c r="O16" i="13013" s="1"/>
  <c r="Q574" i="13015"/>
  <c r="Y574" i="13015" s="1"/>
  <c r="Y541" i="13015"/>
  <c r="Q607" i="13015"/>
  <c r="Y607" i="13015" s="1"/>
  <c r="Q640" i="13015"/>
  <c r="Y640" i="13015" s="1"/>
  <c r="O41" i="13007"/>
  <c r="M46" i="13007"/>
  <c r="M49" i="13007" s="1"/>
  <c r="AB82" i="13015"/>
  <c r="M15" i="13013"/>
  <c r="AA51" i="13005"/>
  <c r="AC51" i="13005" s="1"/>
  <c r="W21" i="13029"/>
  <c r="X22" i="13028"/>
  <c r="K621" i="13015"/>
  <c r="S621" i="13015" s="1"/>
  <c r="K654" i="13015"/>
  <c r="S654" i="13015" s="1"/>
  <c r="S555" i="13015"/>
  <c r="K588" i="13015"/>
  <c r="S588" i="13015" s="1"/>
  <c r="T23" i="13021"/>
  <c r="M36" i="13017"/>
  <c r="S36" i="13017" s="1"/>
  <c r="U36" i="13017" s="1"/>
  <c r="S51" i="13016"/>
  <c r="U51" i="13016" s="1"/>
  <c r="U22" i="13021"/>
  <c r="U23" i="13021" s="1"/>
  <c r="U22" i="13019"/>
  <c r="U23" i="13019" s="1"/>
  <c r="M14" i="13013"/>
  <c r="AB21" i="13015"/>
  <c r="AB11" i="13015"/>
  <c r="Q299" i="13015"/>
  <c r="Y299" i="13015" s="1"/>
  <c r="Q263" i="13015"/>
  <c r="Y263" i="13015" s="1"/>
  <c r="Q371" i="13015"/>
  <c r="Y227" i="13015"/>
  <c r="Q335" i="13015"/>
  <c r="Y335" i="13015" s="1"/>
  <c r="Y1615" i="13015"/>
  <c r="Y1619" i="13015" s="1"/>
  <c r="U60" i="13016"/>
  <c r="S61" i="13016"/>
  <c r="Q1982" i="13015"/>
  <c r="AB222" i="13015"/>
  <c r="M19" i="13013"/>
  <c r="Y56" i="13013"/>
  <c r="W61" i="13013"/>
  <c r="K522" i="13015"/>
  <c r="S522" i="13015" s="1"/>
  <c r="S386" i="13015"/>
  <c r="K454" i="13015"/>
  <c r="S454" i="13015" s="1"/>
  <c r="K488" i="13015"/>
  <c r="S488" i="13015" s="1"/>
  <c r="K420" i="13015"/>
  <c r="S420" i="13015" s="1"/>
  <c r="W14" i="13022"/>
  <c r="Q894" i="13015"/>
  <c r="Q838" i="13015"/>
  <c r="Y678" i="13015"/>
  <c r="Q246" i="13015"/>
  <c r="Q699" i="13015"/>
  <c r="Y699" i="13015" s="1"/>
  <c r="Q679" i="13015"/>
  <c r="Q741" i="13015"/>
  <c r="Y741" i="13015" s="1"/>
  <c r="Q720" i="13015"/>
  <c r="Y720" i="13015" s="1"/>
  <c r="Q762" i="13015"/>
  <c r="W2543" i="12908"/>
  <c r="AT2543" i="13034" s="1"/>
  <c r="O2543" i="13015"/>
  <c r="AJ2543" i="13015" s="1"/>
  <c r="U45" i="13014"/>
  <c r="S46" i="13014"/>
  <c r="Q35" i="13017"/>
  <c r="W35" i="13017" s="1"/>
  <c r="Y35" i="13017" s="1"/>
  <c r="Q41" i="13014"/>
  <c r="Q36" i="13014"/>
  <c r="W36" i="13014" s="1"/>
  <c r="Y36" i="13014" s="1"/>
  <c r="S36" i="13014"/>
  <c r="U36" i="13014" s="1"/>
  <c r="Q35" i="13014"/>
  <c r="W35" i="13014" s="1"/>
  <c r="Y35" i="13014" s="1"/>
  <c r="S35" i="13014"/>
  <c r="U35" i="13014" s="1"/>
  <c r="Y2567" i="13015"/>
  <c r="Y2587" i="13015" s="1"/>
  <c r="Q800" i="12908"/>
  <c r="Q247" i="12908"/>
  <c r="Q742" i="12908"/>
  <c r="Y762" i="12908"/>
  <c r="AV762" i="13034" s="1"/>
  <c r="Q839" i="12908"/>
  <c r="W22" i="12992"/>
  <c r="Q819" i="12908"/>
  <c r="Y679" i="12908"/>
  <c r="Q763" i="12908"/>
  <c r="Q721" i="12908"/>
  <c r="X54" i="12989"/>
  <c r="Q895" i="12908"/>
  <c r="W54" i="12989"/>
  <c r="W65" i="12989" s="1"/>
  <c r="Q354" i="12908"/>
  <c r="Y246" i="12908"/>
  <c r="AV246" i="13034" s="1"/>
  <c r="Q390" i="12908"/>
  <c r="Q318" i="12908"/>
  <c r="Q559" i="12908"/>
  <c r="Q912" i="12908"/>
  <c r="Q948" i="12908"/>
  <c r="Y894" i="12908"/>
  <c r="AV894" i="13034" s="1"/>
  <c r="Q857" i="12908"/>
  <c r="Y54" i="12989"/>
  <c r="Y1060" i="12908"/>
  <c r="Q1104" i="12908"/>
  <c r="Q1082" i="12908"/>
  <c r="Q1126" i="12908"/>
  <c r="Z48" i="12989"/>
  <c r="W2254" i="12908"/>
  <c r="AT2254" i="13034" s="1"/>
  <c r="O2462" i="12908"/>
  <c r="O2358" i="12908"/>
  <c r="M2208" i="12908"/>
  <c r="M2185" i="12908"/>
  <c r="U2162" i="12908"/>
  <c r="AR2162" i="13034" s="1"/>
  <c r="AB975" i="12908"/>
  <c r="Q26" i="13005"/>
  <c r="Q642" i="12908"/>
  <c r="Q609" i="12908"/>
  <c r="Y543" i="12908"/>
  <c r="Q576" i="12908"/>
  <c r="Q1405" i="12908"/>
  <c r="AA15" i="12993"/>
  <c r="Q1445" i="12908"/>
  <c r="Q1465" i="12908"/>
  <c r="Q1425" i="12908"/>
  <c r="Y1383" i="12908"/>
  <c r="AV1383" i="13034" s="1"/>
  <c r="Q2304" i="12908"/>
  <c r="AN2304" i="13034" s="1"/>
  <c r="Q1384" i="12908"/>
  <c r="Q173" i="12908"/>
  <c r="Y33" i="12908"/>
  <c r="AV33" i="13034" s="1"/>
  <c r="Q70" i="12908"/>
  <c r="Q210" i="12908"/>
  <c r="Q136" i="12908"/>
  <c r="U22" i="13008"/>
  <c r="U23" i="13008" s="1"/>
  <c r="U22" i="13009"/>
  <c r="U23" i="13009" s="1"/>
  <c r="W2253" i="12908"/>
  <c r="AT2253" i="13034" s="1"/>
  <c r="O2357" i="12908"/>
  <c r="AJ2357" i="13015" s="1"/>
  <c r="O2461" i="12908"/>
  <c r="AJ2461" i="13015" s="1"/>
  <c r="Y2166" i="12908"/>
  <c r="Q2189" i="12908"/>
  <c r="Q2212" i="12908"/>
  <c r="Y2564" i="12908"/>
  <c r="Q2510" i="12908"/>
  <c r="Y2302" i="12908"/>
  <c r="AV2302" i="13034" s="1"/>
  <c r="Q2406" i="12908"/>
  <c r="Z47" i="12989"/>
  <c r="U36" i="13007"/>
  <c r="AA36" i="13007" s="1"/>
  <c r="AC36" i="13007" s="1"/>
  <c r="AE64" i="12989"/>
  <c r="Y1615" i="12908"/>
  <c r="AC1613" i="12908"/>
  <c r="Y31" i="12908"/>
  <c r="AV31" i="13034" s="1"/>
  <c r="Q134" i="12908"/>
  <c r="Q171" i="12908"/>
  <c r="Q208" i="12908"/>
  <c r="Q68" i="12908"/>
  <c r="S2544" i="12908"/>
  <c r="AP2544" i="13034" s="1"/>
  <c r="Q265" i="12908"/>
  <c r="Y229" i="12908"/>
  <c r="Q373" i="12908"/>
  <c r="AN373" i="13034" s="1"/>
  <c r="Q337" i="12908"/>
  <c r="Q301" i="12908"/>
  <c r="AA23" i="12993"/>
  <c r="Q1424" i="12908"/>
  <c r="Q1444" i="12908"/>
  <c r="Q1464" i="12908"/>
  <c r="Q2303" i="12908"/>
  <c r="AN2303" i="13034" s="1"/>
  <c r="Q1404" i="12908"/>
  <c r="Y1382" i="12908"/>
  <c r="AV1382" i="13034" s="1"/>
  <c r="Y371" i="12908"/>
  <c r="AV371" i="13034" s="1"/>
  <c r="Q507" i="12908"/>
  <c r="Q439" i="12908"/>
  <c r="Q473" i="12908"/>
  <c r="Q405" i="12908"/>
  <c r="Z42" i="12989"/>
  <c r="Y405" i="12908" l="1"/>
  <c r="AV405" i="13034" s="1"/>
  <c r="AN405" i="13034"/>
  <c r="Y68" i="12908"/>
  <c r="AV68" i="13034" s="1"/>
  <c r="AN68" i="13034"/>
  <c r="AA24" i="13025"/>
  <c r="AN1384" i="13034"/>
  <c r="Y1465" i="12908"/>
  <c r="AV1465" i="13034" s="1"/>
  <c r="AN1465" i="13034"/>
  <c r="Y609" i="12908"/>
  <c r="AN609" i="13034"/>
  <c r="Y839" i="12908"/>
  <c r="AN839" i="13034"/>
  <c r="Y700" i="12908"/>
  <c r="AN700" i="13034"/>
  <c r="AI2253" i="13015"/>
  <c r="Y1653" i="12908"/>
  <c r="AV1652" i="13034"/>
  <c r="Y930" i="12908"/>
  <c r="AV930" i="13034" s="1"/>
  <c r="AN930" i="13034"/>
  <c r="Y473" i="12908"/>
  <c r="AV473" i="13034" s="1"/>
  <c r="AN473" i="13034"/>
  <c r="Y1444" i="12908"/>
  <c r="AV1444" i="13034" s="1"/>
  <c r="AN1444" i="13034"/>
  <c r="Y238" i="12908"/>
  <c r="AV238" i="13034" s="1"/>
  <c r="AV229" i="13034"/>
  <c r="Y208" i="12908"/>
  <c r="AV208" i="13034" s="1"/>
  <c r="AN208" i="13034"/>
  <c r="AC1612" i="12908"/>
  <c r="Q1655" i="12908" s="1"/>
  <c r="Y2510" i="12908"/>
  <c r="AV2510" i="13034" s="1"/>
  <c r="AN2510" i="13034"/>
  <c r="Q1982" i="12908"/>
  <c r="AV2166" i="13034"/>
  <c r="Y70" i="12908"/>
  <c r="AV70" i="13034" s="1"/>
  <c r="AN70" i="13034"/>
  <c r="Y1445" i="12908"/>
  <c r="AV1445" i="13034" s="1"/>
  <c r="AN1445" i="13034"/>
  <c r="Y642" i="12908"/>
  <c r="AN642" i="13034"/>
  <c r="W2462" i="12908"/>
  <c r="AT2462" i="13034" s="1"/>
  <c r="AL2462" i="13034"/>
  <c r="Y1082" i="12908"/>
  <c r="AN1082" i="13034"/>
  <c r="Y912" i="12908"/>
  <c r="AV912" i="13034" s="1"/>
  <c r="AN912" i="13034"/>
  <c r="Q560" i="12908"/>
  <c r="AN560" i="13034" s="1"/>
  <c r="AN895" i="13034"/>
  <c r="Y690" i="12908"/>
  <c r="AV690" i="13034" s="1"/>
  <c r="AV679" i="13034"/>
  <c r="W2358" i="13015"/>
  <c r="AJ2358" i="13015"/>
  <c r="Y1899" i="12908"/>
  <c r="AV1892" i="13034"/>
  <c r="Y781" i="12908"/>
  <c r="AV781" i="13034" s="1"/>
  <c r="AN781" i="13034"/>
  <c r="Y1006" i="12908"/>
  <c r="AV988" i="13034"/>
  <c r="Y876" i="12908"/>
  <c r="AV876" i="13034" s="1"/>
  <c r="AN876" i="13034"/>
  <c r="U2185" i="12908"/>
  <c r="AR2185" i="13034" s="1"/>
  <c r="AJ2185" i="13034"/>
  <c r="Y1104" i="12908"/>
  <c r="AN1104" i="13034"/>
  <c r="Y559" i="12908"/>
  <c r="AV559" i="13034" s="1"/>
  <c r="AN559" i="13034"/>
  <c r="U2544" i="12908"/>
  <c r="AR2544" i="13034" s="1"/>
  <c r="AJ2544" i="13034"/>
  <c r="Y1164" i="12908"/>
  <c r="AV1148" i="13034"/>
  <c r="Y1464" i="12908"/>
  <c r="AV1464" i="13034" s="1"/>
  <c r="AN1464" i="13034"/>
  <c r="Y2189" i="12908"/>
  <c r="AV2189" i="13034" s="1"/>
  <c r="AN2189" i="13034"/>
  <c r="Y210" i="12908"/>
  <c r="AV210" i="13034" s="1"/>
  <c r="AN210" i="13034"/>
  <c r="W2358" i="12908"/>
  <c r="AT2358" i="13034" s="1"/>
  <c r="AL2358" i="13034"/>
  <c r="Y1126" i="12908"/>
  <c r="AN1126" i="13034"/>
  <c r="Y948" i="12908"/>
  <c r="AV948" i="13034" s="1"/>
  <c r="AN948" i="13034"/>
  <c r="Q492" i="12908"/>
  <c r="AN390" i="13034"/>
  <c r="Q820" i="12908"/>
  <c r="AN763" i="13034"/>
  <c r="Y800" i="12908"/>
  <c r="AV800" i="13034" s="1"/>
  <c r="AN800" i="13034"/>
  <c r="W2462" i="13015"/>
  <c r="AI2462" i="13015" s="1"/>
  <c r="AJ2462" i="13015"/>
  <c r="Y439" i="12908"/>
  <c r="AV439" i="13034" s="1"/>
  <c r="AN439" i="13034"/>
  <c r="Y1404" i="12908"/>
  <c r="AV1404" i="13034" s="1"/>
  <c r="AN1404" i="13034"/>
  <c r="Y1424" i="12908"/>
  <c r="AV1424" i="13034" s="1"/>
  <c r="AN1424" i="13034"/>
  <c r="Y301" i="12908"/>
  <c r="AN301" i="13034"/>
  <c r="Y265" i="12908"/>
  <c r="AN265" i="13034"/>
  <c r="Y171" i="12908"/>
  <c r="AV171" i="13034" s="1"/>
  <c r="AN171" i="13034"/>
  <c r="AB1486" i="12908"/>
  <c r="AV2564" i="13034"/>
  <c r="W2461" i="12908"/>
  <c r="AT2461" i="13034" s="1"/>
  <c r="AL2461" i="13034"/>
  <c r="Y576" i="12908"/>
  <c r="AN576" i="13034"/>
  <c r="Q877" i="12908"/>
  <c r="Y857" i="12908"/>
  <c r="AV857" i="13034" s="1"/>
  <c r="AN857" i="13034"/>
  <c r="Y819" i="12908"/>
  <c r="AV819" i="13034" s="1"/>
  <c r="AN819" i="13034"/>
  <c r="Y742" i="12908"/>
  <c r="AV742" i="13034" s="1"/>
  <c r="AN742" i="13034"/>
  <c r="Y507" i="12908"/>
  <c r="AV507" i="13034" s="1"/>
  <c r="AN507" i="13034"/>
  <c r="Y337" i="12908"/>
  <c r="AN337" i="13034"/>
  <c r="Y134" i="12908"/>
  <c r="AV134" i="13034" s="1"/>
  <c r="AN134" i="13034"/>
  <c r="Y1619" i="12908"/>
  <c r="AV1619" i="13034" s="1"/>
  <c r="AV1615" i="13034"/>
  <c r="Y2406" i="12908"/>
  <c r="AV2406" i="13034" s="1"/>
  <c r="AN2406" i="13034"/>
  <c r="Y2212" i="12908"/>
  <c r="AV2212" i="13034" s="1"/>
  <c r="AN2212" i="13034"/>
  <c r="W2357" i="12908"/>
  <c r="AT2357" i="13034" s="1"/>
  <c r="AL2357" i="13034"/>
  <c r="Y136" i="12908"/>
  <c r="AV136" i="13034" s="1"/>
  <c r="AN136" i="13034"/>
  <c r="Y173" i="12908"/>
  <c r="AV173" i="13034" s="1"/>
  <c r="AN173" i="13034"/>
  <c r="Y1425" i="12908"/>
  <c r="AV1425" i="13034" s="1"/>
  <c r="AN1425" i="13034"/>
  <c r="Y1405" i="12908"/>
  <c r="AV1405" i="13034" s="1"/>
  <c r="AN1405" i="13034"/>
  <c r="Y552" i="12908"/>
  <c r="AV552" i="13034" s="1"/>
  <c r="AV543" i="13034"/>
  <c r="U2208" i="12908"/>
  <c r="AR2208" i="13034" s="1"/>
  <c r="AJ2208" i="13034"/>
  <c r="Y1076" i="12908"/>
  <c r="AV1060" i="13034"/>
  <c r="Y318" i="12908"/>
  <c r="AV318" i="13034" s="1"/>
  <c r="AN318" i="13034"/>
  <c r="Y354" i="12908"/>
  <c r="AV354" i="13034" s="1"/>
  <c r="AN354" i="13034"/>
  <c r="Y721" i="12908"/>
  <c r="AN721" i="13034"/>
  <c r="Y247" i="12908"/>
  <c r="AV247" i="13034" s="1"/>
  <c r="AN247" i="13034"/>
  <c r="Q51" i="13016"/>
  <c r="W51" i="13016" s="1"/>
  <c r="Y51" i="13016" s="1"/>
  <c r="AI2254" i="13015"/>
  <c r="AA35" i="13007"/>
  <c r="AC35" i="13007" s="1"/>
  <c r="Y282" i="12908"/>
  <c r="AV282" i="13034" s="1"/>
  <c r="AN282" i="13034"/>
  <c r="Y1054" i="12908"/>
  <c r="AV1036" i="13034"/>
  <c r="Y1030" i="12908"/>
  <c r="AV1012" i="13034"/>
  <c r="Y1635" i="12908"/>
  <c r="AV1634" i="13034"/>
  <c r="O56" i="13016"/>
  <c r="S41" i="13007"/>
  <c r="AF56" i="12989"/>
  <c r="AG56" i="12989" s="1"/>
  <c r="S61" i="13005"/>
  <c r="U56" i="13005"/>
  <c r="M29" i="13020"/>
  <c r="O60" i="13016"/>
  <c r="S45" i="13007"/>
  <c r="U45" i="13007" s="1"/>
  <c r="AA45" i="13007" s="1"/>
  <c r="AC45" i="13007" s="1"/>
  <c r="AF60" i="12989"/>
  <c r="AG60" i="12989" s="1"/>
  <c r="U60" i="13005"/>
  <c r="AA60" i="13005" s="1"/>
  <c r="AC60" i="13005" s="1"/>
  <c r="O43" i="13017"/>
  <c r="Q43" i="13017" s="1"/>
  <c r="W43" i="13017" s="1"/>
  <c r="Y43" i="13017" s="1"/>
  <c r="Q58" i="13016"/>
  <c r="W58" i="13016" s="1"/>
  <c r="Y58" i="13016" s="1"/>
  <c r="O59" i="13016"/>
  <c r="S44" i="13007"/>
  <c r="U44" i="13007" s="1"/>
  <c r="AA44" i="13007" s="1"/>
  <c r="AC44" i="13007" s="1"/>
  <c r="U59" i="13005"/>
  <c r="AA59" i="13005" s="1"/>
  <c r="AC59" i="13005" s="1"/>
  <c r="AF59" i="12989"/>
  <c r="AG59" i="12989" s="1"/>
  <c r="O42" i="13017"/>
  <c r="Q42" i="13017" s="1"/>
  <c r="W42" i="13017" s="1"/>
  <c r="Y42" i="13017" s="1"/>
  <c r="Q57" i="13016"/>
  <c r="W57" i="13016" s="1"/>
  <c r="Y57" i="13016" s="1"/>
  <c r="M28" i="13020"/>
  <c r="W46" i="13007"/>
  <c r="Q858" i="12908"/>
  <c r="Q801" i="12908"/>
  <c r="M20" i="13020"/>
  <c r="O20" i="13020" s="1"/>
  <c r="Q782" i="12908"/>
  <c r="W35" i="13007"/>
  <c r="Y35" i="13007" s="1"/>
  <c r="Y45" i="12908"/>
  <c r="Y46" i="13007"/>
  <c r="Q283" i="12908"/>
  <c r="Q319" i="12908"/>
  <c r="S46" i="13017"/>
  <c r="U46" i="13017" s="1"/>
  <c r="M22" i="13020"/>
  <c r="Q22" i="13020" s="1"/>
  <c r="M31" i="13020"/>
  <c r="Q31" i="13020" s="1"/>
  <c r="M25" i="13020"/>
  <c r="Q25" i="13020" s="1"/>
  <c r="AC1612" i="13015"/>
  <c r="Q1637" i="13015" s="1"/>
  <c r="Y1637" i="13015" s="1"/>
  <c r="O39" i="13013" s="1"/>
  <c r="Q39" i="13013" s="1"/>
  <c r="W39" i="13013" s="1"/>
  <c r="Y39" i="13013" s="1"/>
  <c r="M11" i="13020"/>
  <c r="Q11" i="13020" s="1"/>
  <c r="M14" i="13020"/>
  <c r="O14" i="13020" s="1"/>
  <c r="AC1613" i="13015"/>
  <c r="Q1638" i="13015" s="1"/>
  <c r="Y1638" i="13015" s="1"/>
  <c r="M26" i="13020"/>
  <c r="O26" i="13020" s="1"/>
  <c r="M18" i="13020"/>
  <c r="Q18" i="13020" s="1"/>
  <c r="AC22" i="12908"/>
  <c r="Q43" i="12908" s="1"/>
  <c r="AN43" i="13034" s="1"/>
  <c r="Q36" i="13017"/>
  <c r="W36" i="13017" s="1"/>
  <c r="Y36" i="13017" s="1"/>
  <c r="M27" i="13020"/>
  <c r="Q27" i="13020" s="1"/>
  <c r="M15" i="13020"/>
  <c r="O15" i="13020" s="1"/>
  <c r="M21" i="13020"/>
  <c r="O21" i="13020" s="1"/>
  <c r="M10" i="13020"/>
  <c r="Q10" i="13020" s="1"/>
  <c r="M24" i="13020"/>
  <c r="O24" i="13020" s="1"/>
  <c r="M23" i="13020"/>
  <c r="O23" i="13020" s="1"/>
  <c r="M16" i="13020"/>
  <c r="O16" i="13020" s="1"/>
  <c r="M12" i="13020"/>
  <c r="Q12" i="13020" s="1"/>
  <c r="M30" i="13020"/>
  <c r="O30" i="13020" s="1"/>
  <c r="M13" i="13020"/>
  <c r="Z13" i="13020" s="1"/>
  <c r="M26" i="13016"/>
  <c r="AC26" i="12989"/>
  <c r="AE26" i="12989" s="1"/>
  <c r="Q742" i="13015"/>
  <c r="Y742" i="13015" s="1"/>
  <c r="Y753" i="13015" s="1"/>
  <c r="AB753" i="13015" s="1"/>
  <c r="Q700" i="13015"/>
  <c r="Y700" i="13015" s="1"/>
  <c r="Y711" i="13015" s="1"/>
  <c r="AB711" i="13015" s="1"/>
  <c r="Q721" i="13015"/>
  <c r="Y721" i="13015" s="1"/>
  <c r="Y732" i="13015" s="1"/>
  <c r="AB732" i="13015" s="1"/>
  <c r="W22" i="13022"/>
  <c r="Q763" i="13015"/>
  <c r="Q895" i="13015"/>
  <c r="Q839" i="13015"/>
  <c r="Y679" i="13015"/>
  <c r="Y690" i="13015" s="1"/>
  <c r="Q247" i="13015"/>
  <c r="Y838" i="13015"/>
  <c r="Q876" i="13015"/>
  <c r="Y876" i="13015" s="1"/>
  <c r="Q857" i="13015"/>
  <c r="Y857" i="13015" s="1"/>
  <c r="W64" i="13013"/>
  <c r="Y64" i="13013" s="1"/>
  <c r="Y61" i="13013"/>
  <c r="U61" i="13016"/>
  <c r="S64" i="13016"/>
  <c r="U64" i="13016" s="1"/>
  <c r="M14" i="13014"/>
  <c r="K14" i="13005"/>
  <c r="S14" i="13013"/>
  <c r="M21" i="13013"/>
  <c r="Q14" i="13013"/>
  <c r="O29" i="13020"/>
  <c r="Q29" i="13020"/>
  <c r="O28" i="13020"/>
  <c r="Q28" i="13020"/>
  <c r="AH16" i="12989"/>
  <c r="AI16" i="12989" s="1"/>
  <c r="M16" i="13005"/>
  <c r="O16" i="13005" s="1"/>
  <c r="Q16" i="13013"/>
  <c r="W16" i="13013" s="1"/>
  <c r="Y16" i="13013" s="1"/>
  <c r="O15" i="13014"/>
  <c r="M15" i="13005"/>
  <c r="AH15" i="12989"/>
  <c r="AI15" i="12989" s="1"/>
  <c r="S39" i="13013"/>
  <c r="U39" i="13013" s="1"/>
  <c r="K39" i="13005"/>
  <c r="Y1060" i="13015"/>
  <c r="Y1076" i="13015" s="1"/>
  <c r="Q1126" i="13015"/>
  <c r="Y1126" i="13015" s="1"/>
  <c r="Y1142" i="13015" s="1"/>
  <c r="AB1142" i="13015" s="1"/>
  <c r="Q1082" i="13015"/>
  <c r="Y1082" i="13015" s="1"/>
  <c r="Y1098" i="13015" s="1"/>
  <c r="AB1098" i="13015" s="1"/>
  <c r="Q1104" i="13015"/>
  <c r="Y1104" i="13015" s="1"/>
  <c r="Y1120" i="13015" s="1"/>
  <c r="AB1120" i="13015" s="1"/>
  <c r="Q2407" i="13015"/>
  <c r="Y2407" i="13015" s="1"/>
  <c r="Y2303" i="13015"/>
  <c r="Q2511" i="13015"/>
  <c r="Y2511" i="13015" s="1"/>
  <c r="Y222" i="12908"/>
  <c r="AV222" i="13034" s="1"/>
  <c r="AB1486" i="13015"/>
  <c r="Q18" i="13018"/>
  <c r="O18" i="13018"/>
  <c r="Q819" i="13015"/>
  <c r="Y819" i="13015" s="1"/>
  <c r="Q781" i="13015"/>
  <c r="Y781" i="13015" s="1"/>
  <c r="Q800" i="13015"/>
  <c r="Y800" i="13015" s="1"/>
  <c r="Y762" i="13015"/>
  <c r="Q912" i="13015"/>
  <c r="Y912" i="13015" s="1"/>
  <c r="Q559" i="13015"/>
  <c r="Q930" i="13015"/>
  <c r="Y930" i="13015" s="1"/>
  <c r="Y894" i="13015"/>
  <c r="Q948" i="13015"/>
  <c r="Y948" i="13015" s="1"/>
  <c r="O12" i="13020"/>
  <c r="O19" i="13020"/>
  <c r="Q19" i="13020"/>
  <c r="M15" i="13014"/>
  <c r="S15" i="13013"/>
  <c r="U15" i="13013" s="1"/>
  <c r="Q15" i="13013"/>
  <c r="W15" i="13013" s="1"/>
  <c r="Y15" i="13013" s="1"/>
  <c r="K15" i="13005"/>
  <c r="O46" i="13007"/>
  <c r="O49" i="13007" s="1"/>
  <c r="O14" i="13014"/>
  <c r="M14" i="13005"/>
  <c r="O21" i="13013"/>
  <c r="AH21" i="12989" s="1"/>
  <c r="AI21" i="12989" s="1"/>
  <c r="AH14" i="12989"/>
  <c r="AI14" i="12989" s="1"/>
  <c r="M19" i="13005"/>
  <c r="AH19" i="12989"/>
  <c r="AI19" i="12989" s="1"/>
  <c r="Q2408" i="13015"/>
  <c r="Y2408" i="13015" s="1"/>
  <c r="Q2512" i="13015"/>
  <c r="Y2512" i="13015" s="1"/>
  <c r="Y2304" i="13015"/>
  <c r="K28" i="13005"/>
  <c r="S28" i="13013"/>
  <c r="Q576" i="13015"/>
  <c r="Y576" i="13015" s="1"/>
  <c r="Y585" i="13015" s="1"/>
  <c r="Y543" i="13015"/>
  <c r="Y552" i="13015" s="1"/>
  <c r="Q609" i="13015"/>
  <c r="Y609" i="13015" s="1"/>
  <c r="Y618" i="13015" s="1"/>
  <c r="Q642" i="13015"/>
  <c r="Y642" i="13015" s="1"/>
  <c r="Y651" i="13015" s="1"/>
  <c r="Q282" i="13015"/>
  <c r="Y282" i="13015" s="1"/>
  <c r="Q390" i="13015"/>
  <c r="Q318" i="13015"/>
  <c r="Y318" i="13015" s="1"/>
  <c r="Y246" i="13015"/>
  <c r="Q354" i="13015"/>
  <c r="Y354" i="13015" s="1"/>
  <c r="V14" i="13023"/>
  <c r="W16" i="13030"/>
  <c r="Q2054" i="13015"/>
  <c r="Y2054" i="13015" s="1"/>
  <c r="Q1983" i="13015"/>
  <c r="Q2030" i="13015"/>
  <c r="Y2030" i="13015" s="1"/>
  <c r="Q2078" i="13015"/>
  <c r="Q2006" i="13015"/>
  <c r="Y2006" i="13015" s="1"/>
  <c r="Y1982" i="13015"/>
  <c r="Q1984" i="13015"/>
  <c r="AB15" i="13015"/>
  <c r="AB13" i="13015"/>
  <c r="O10" i="13020"/>
  <c r="W22" i="13029"/>
  <c r="M17" i="13005"/>
  <c r="AH17" i="12989"/>
  <c r="AI17" i="12989" s="1"/>
  <c r="T27" i="13021"/>
  <c r="K16" i="13021" s="1"/>
  <c r="E11" i="13020"/>
  <c r="E15" i="13020"/>
  <c r="E25" i="13020"/>
  <c r="E29" i="13020"/>
  <c r="E24" i="13020"/>
  <c r="E12" i="13020"/>
  <c r="E27" i="13020"/>
  <c r="E28" i="13020"/>
  <c r="E26" i="13020"/>
  <c r="E19" i="13020"/>
  <c r="E31" i="13020"/>
  <c r="E22" i="13020"/>
  <c r="E17" i="13020"/>
  <c r="E23" i="13020"/>
  <c r="E10" i="13020"/>
  <c r="E20" i="13020"/>
  <c r="E18" i="13020"/>
  <c r="E30" i="13020"/>
  <c r="E21" i="13020"/>
  <c r="E16" i="13020"/>
  <c r="E14" i="13020"/>
  <c r="AA24" i="13024"/>
  <c r="Z24" i="13025" s="1"/>
  <c r="Q1426" i="13015"/>
  <c r="Y1426" i="13015" s="1"/>
  <c r="Y1436" i="13015" s="1"/>
  <c r="AB1436" i="13015" s="1"/>
  <c r="Y1384" i="13015"/>
  <c r="Q1406" i="13015"/>
  <c r="Y1406" i="13015" s="1"/>
  <c r="Y1416" i="13015" s="1"/>
  <c r="AB1416" i="13015" s="1"/>
  <c r="Q1466" i="13015"/>
  <c r="Y1466" i="13015" s="1"/>
  <c r="Y1476" i="13015" s="1"/>
  <c r="M33" i="13013" s="1"/>
  <c r="Q2305" i="13015"/>
  <c r="Q1446" i="13015"/>
  <c r="Y1446" i="13015" s="1"/>
  <c r="Y1456" i="13015" s="1"/>
  <c r="Q373" i="13015"/>
  <c r="Y229" i="13015"/>
  <c r="Y238" i="13015" s="1"/>
  <c r="Q337" i="13015"/>
  <c r="Y337" i="13015" s="1"/>
  <c r="Y346" i="13015" s="1"/>
  <c r="Q301" i="13015"/>
  <c r="Y301" i="13015" s="1"/>
  <c r="Y310" i="13015" s="1"/>
  <c r="Q265" i="13015"/>
  <c r="Y265" i="13015" s="1"/>
  <c r="Y274" i="13015" s="1"/>
  <c r="O17" i="13005"/>
  <c r="O2544" i="12908"/>
  <c r="K19" i="13005"/>
  <c r="S19" i="13013"/>
  <c r="U19" i="13013" s="1"/>
  <c r="Q19" i="13013"/>
  <c r="W19" i="13013" s="1"/>
  <c r="Y19" i="13013" s="1"/>
  <c r="M38" i="13013"/>
  <c r="AB1605" i="13015"/>
  <c r="AB1614" i="13015"/>
  <c r="Q439" i="13015"/>
  <c r="Y439" i="13015" s="1"/>
  <c r="Q405" i="13015"/>
  <c r="Y405" i="13015" s="1"/>
  <c r="Q473" i="13015"/>
  <c r="Y473" i="13015" s="1"/>
  <c r="Y371" i="13015"/>
  <c r="Q507" i="13015"/>
  <c r="Y507" i="13015" s="1"/>
  <c r="O18" i="13020"/>
  <c r="Q20" i="13020"/>
  <c r="M18" i="13005"/>
  <c r="AH18" i="12989"/>
  <c r="AI18" i="12989" s="1"/>
  <c r="T27" i="13019"/>
  <c r="M25" i="13018"/>
  <c r="M13" i="13018"/>
  <c r="M14" i="13018"/>
  <c r="M23" i="13018"/>
  <c r="M12" i="13018"/>
  <c r="M28" i="13018"/>
  <c r="E22" i="13018"/>
  <c r="E27" i="13018"/>
  <c r="E25" i="13018"/>
  <c r="E20" i="13018"/>
  <c r="E24" i="13018"/>
  <c r="E12" i="13018"/>
  <c r="M20" i="13018"/>
  <c r="M11" i="13018"/>
  <c r="M27" i="13018"/>
  <c r="M26" i="13018"/>
  <c r="M22" i="13018"/>
  <c r="E23" i="13018"/>
  <c r="E10" i="13018"/>
  <c r="E30" i="13018"/>
  <c r="E15" i="13018"/>
  <c r="E14" i="13018"/>
  <c r="M31" i="13018"/>
  <c r="M10" i="13018"/>
  <c r="M24" i="13018"/>
  <c r="M19" i="13018"/>
  <c r="E19" i="13018"/>
  <c r="E28" i="13018"/>
  <c r="E17" i="13018"/>
  <c r="E26" i="13018"/>
  <c r="E13" i="13018"/>
  <c r="M30" i="13018"/>
  <c r="M17" i="13018"/>
  <c r="M29" i="13018"/>
  <c r="M16" i="13018"/>
  <c r="M15" i="13018"/>
  <c r="E21" i="13018"/>
  <c r="E31" i="13018"/>
  <c r="E18" i="13018"/>
  <c r="E11" i="13018"/>
  <c r="E29" i="13018"/>
  <c r="M26" i="13013"/>
  <c r="AB975" i="13015"/>
  <c r="AB969" i="13015"/>
  <c r="M40" i="13013"/>
  <c r="AB1653" i="13015"/>
  <c r="K18" i="13005"/>
  <c r="S18" i="13013"/>
  <c r="U18" i="13013" s="1"/>
  <c r="Q18" i="13013"/>
  <c r="W18" i="13013" s="1"/>
  <c r="Y18" i="13013" s="1"/>
  <c r="M2543" i="13015"/>
  <c r="U2543" i="13015" s="1"/>
  <c r="W2543" i="13015"/>
  <c r="AI2543" i="13015" s="1"/>
  <c r="W41" i="13014"/>
  <c r="Q46" i="13014"/>
  <c r="U46" i="13014"/>
  <c r="S49" i="13014"/>
  <c r="U49" i="13014" s="1"/>
  <c r="S49" i="13017"/>
  <c r="Q913" i="12908"/>
  <c r="Q355" i="12908"/>
  <c r="Q391" i="12908"/>
  <c r="Q949" i="12908"/>
  <c r="Q931" i="12908"/>
  <c r="Y390" i="12908"/>
  <c r="AV390" i="13034" s="1"/>
  <c r="Q625" i="12908"/>
  <c r="Y895" i="12908"/>
  <c r="Q458" i="12908"/>
  <c r="Y763" i="12908"/>
  <c r="AV763" i="13034" s="1"/>
  <c r="Q424" i="12908"/>
  <c r="Q526" i="12908"/>
  <c r="Y258" i="12908"/>
  <c r="Y148" i="12908"/>
  <c r="AA54" i="12989"/>
  <c r="X65" i="12989"/>
  <c r="AL65" i="12989" s="1"/>
  <c r="Q592" i="12908"/>
  <c r="Q658" i="12908"/>
  <c r="V70" i="12989"/>
  <c r="Y65" i="12989"/>
  <c r="Q2030" i="12908"/>
  <c r="W16" i="12991"/>
  <c r="Q2006" i="12908"/>
  <c r="Q2078" i="12908"/>
  <c r="AN2078" i="13034" s="1"/>
  <c r="Q2054" i="12908"/>
  <c r="Q1984" i="12908"/>
  <c r="Y1982" i="12908"/>
  <c r="AV1982" i="13034" s="1"/>
  <c r="Q1983" i="12908"/>
  <c r="Z54" i="12989"/>
  <c r="AB222" i="12908"/>
  <c r="Q19" i="13005"/>
  <c r="AB1614" i="12908"/>
  <c r="Q38" i="13005"/>
  <c r="AC23" i="12908"/>
  <c r="Q44" i="12908" s="1"/>
  <c r="AN44" i="13034" s="1"/>
  <c r="Y2587" i="12908"/>
  <c r="AV2587" i="13034" s="1"/>
  <c r="Q2408" i="12908"/>
  <c r="Y2304" i="12908"/>
  <c r="AV2304" i="13034" s="1"/>
  <c r="Q2512" i="12908"/>
  <c r="Y2303" i="12908"/>
  <c r="AV2303" i="13034" s="1"/>
  <c r="Q2511" i="12908"/>
  <c r="Q2407" i="12908"/>
  <c r="Q475" i="12908"/>
  <c r="Q441" i="12908"/>
  <c r="Q509" i="12908"/>
  <c r="Q407" i="12908"/>
  <c r="Y373" i="12908"/>
  <c r="W49" i="13007"/>
  <c r="Y49" i="13007" s="1"/>
  <c r="AB1076" i="12908"/>
  <c r="Q27" i="13005"/>
  <c r="Q1618" i="12908"/>
  <c r="Q1656" i="12908"/>
  <c r="Q1638" i="12908"/>
  <c r="Y82" i="12908"/>
  <c r="AV82" i="13034" s="1"/>
  <c r="Q1637" i="12908"/>
  <c r="Q1617" i="12908"/>
  <c r="Q626" i="12908"/>
  <c r="Y560" i="12908"/>
  <c r="Q659" i="12908"/>
  <c r="Q593" i="12908"/>
  <c r="AA24" i="12993"/>
  <c r="Q1466" i="12908"/>
  <c r="Q1426" i="12908"/>
  <c r="Q1446" i="12908"/>
  <c r="Q1406" i="12908"/>
  <c r="Y1384" i="12908"/>
  <c r="AV1384" i="13034" s="1"/>
  <c r="Q2305" i="12908"/>
  <c r="AN2305" i="13034" s="1"/>
  <c r="AB148" i="12908" l="1"/>
  <c r="AV148" i="13034"/>
  <c r="Y424" i="12908"/>
  <c r="AV424" i="13034" s="1"/>
  <c r="AN424" i="13034"/>
  <c r="Y949" i="12908"/>
  <c r="AN949" i="13034"/>
  <c r="Y283" i="12908"/>
  <c r="AN283" i="13034"/>
  <c r="AB1030" i="12908"/>
  <c r="AV1030" i="13034"/>
  <c r="Y732" i="12908"/>
  <c r="AV721" i="13034"/>
  <c r="AB1006" i="12908"/>
  <c r="AV1006" i="13034"/>
  <c r="Y1657" i="12908"/>
  <c r="AV1653" i="13034"/>
  <c r="Y1406" i="12908"/>
  <c r="AN1406" i="13034"/>
  <c r="Y626" i="12908"/>
  <c r="AV626" i="13034" s="1"/>
  <c r="AN626" i="13034"/>
  <c r="Y407" i="12908"/>
  <c r="AN407" i="13034"/>
  <c r="Y2407" i="12908"/>
  <c r="AV2407" i="13034" s="1"/>
  <c r="AN2407" i="13034"/>
  <c r="Y2054" i="12908"/>
  <c r="AV2054" i="13034" s="1"/>
  <c r="AN2054" i="13034"/>
  <c r="Y2030" i="12908"/>
  <c r="AV2030" i="13034" s="1"/>
  <c r="AN2030" i="13034"/>
  <c r="Y592" i="12908"/>
  <c r="AV592" i="13034" s="1"/>
  <c r="AN592" i="13034"/>
  <c r="Y185" i="12908"/>
  <c r="Y625" i="12908"/>
  <c r="AV625" i="13034" s="1"/>
  <c r="AN625" i="13034"/>
  <c r="Q527" i="12908"/>
  <c r="AN391" i="13034"/>
  <c r="O31" i="13020"/>
  <c r="W2544" i="12908"/>
  <c r="AT2544" i="13034" s="1"/>
  <c r="AL2544" i="13034"/>
  <c r="Q21" i="13020"/>
  <c r="W28" i="13005"/>
  <c r="Q14" i="13020"/>
  <c r="AI2357" i="13015"/>
  <c r="Y585" i="12908"/>
  <c r="AV585" i="13034" s="1"/>
  <c r="AV576" i="13034"/>
  <c r="Y274" i="12908"/>
  <c r="AV274" i="13034" s="1"/>
  <c r="AV265" i="13034"/>
  <c r="Y492" i="12908"/>
  <c r="AV492" i="13034" s="1"/>
  <c r="AN492" i="13034"/>
  <c r="Y1142" i="12908"/>
  <c r="AV1126" i="13034"/>
  <c r="AV1899" i="13034"/>
  <c r="AB1899" i="12908"/>
  <c r="W16" i="13031"/>
  <c r="AN1982" i="13034"/>
  <c r="Y848" i="12908"/>
  <c r="AV839" i="13034"/>
  <c r="Y1466" i="12908"/>
  <c r="AN1466" i="13034"/>
  <c r="Y475" i="12908"/>
  <c r="AN475" i="13034"/>
  <c r="Y1446" i="12908"/>
  <c r="AN1446" i="13034"/>
  <c r="Y2408" i="12908"/>
  <c r="AV2408" i="13034" s="1"/>
  <c r="AN2408" i="13034"/>
  <c r="Q23" i="13005"/>
  <c r="AV258" i="13034"/>
  <c r="Y355" i="12908"/>
  <c r="AN355" i="13034"/>
  <c r="AB21" i="12908"/>
  <c r="AV45" i="13034"/>
  <c r="Y1639" i="12908"/>
  <c r="AV1635" i="13034"/>
  <c r="AB1054" i="12908"/>
  <c r="AV1054" i="13034"/>
  <c r="AB969" i="12908"/>
  <c r="AV1076" i="13034"/>
  <c r="Y346" i="12908"/>
  <c r="AV346" i="13034" s="1"/>
  <c r="AV337" i="13034"/>
  <c r="Y753" i="12908"/>
  <c r="Y1120" i="12908"/>
  <c r="AV1104" i="13034"/>
  <c r="Y569" i="12908"/>
  <c r="AV569" i="13034" s="1"/>
  <c r="AV560" i="13034"/>
  <c r="Y382" i="12908"/>
  <c r="AV382" i="13034" s="1"/>
  <c r="AV373" i="13034"/>
  <c r="Y2512" i="12908"/>
  <c r="AV2512" i="13034" s="1"/>
  <c r="AN2512" i="13034"/>
  <c r="W24" i="13031"/>
  <c r="AN1984" i="13034"/>
  <c r="Y658" i="12908"/>
  <c r="AV658" i="13034" s="1"/>
  <c r="AN658" i="13034"/>
  <c r="Y904" i="12908"/>
  <c r="AV904" i="13034" s="1"/>
  <c r="AV895" i="13034"/>
  <c r="Y782" i="12908"/>
  <c r="AN782" i="13034"/>
  <c r="Y858" i="12908"/>
  <c r="AN858" i="13034"/>
  <c r="Y593" i="12908"/>
  <c r="AV593" i="13034" s="1"/>
  <c r="AN593" i="13034"/>
  <c r="Y509" i="12908"/>
  <c r="AN509" i="13034"/>
  <c r="Y2511" i="12908"/>
  <c r="AV2511" i="13034" s="1"/>
  <c r="AN2511" i="13034"/>
  <c r="W17" i="13031"/>
  <c r="AN1983" i="13034"/>
  <c r="Y458" i="12908"/>
  <c r="AV458" i="13034" s="1"/>
  <c r="AN458" i="13034"/>
  <c r="Y1426" i="12908"/>
  <c r="AN1426" i="13034"/>
  <c r="Y659" i="12908"/>
  <c r="AV659" i="13034" s="1"/>
  <c r="AN659" i="13034"/>
  <c r="Y441" i="12908"/>
  <c r="AN441" i="13034"/>
  <c r="Y2006" i="12908"/>
  <c r="AV2006" i="13034" s="1"/>
  <c r="AN2006" i="13034"/>
  <c r="Y526" i="12908"/>
  <c r="AV526" i="13034" s="1"/>
  <c r="AN526" i="13034"/>
  <c r="Y931" i="12908"/>
  <c r="AN931" i="13034"/>
  <c r="Y913" i="12908"/>
  <c r="AN913" i="13034"/>
  <c r="Y319" i="12908"/>
  <c r="AN319" i="13034"/>
  <c r="Y801" i="12908"/>
  <c r="AN801" i="13034"/>
  <c r="Y877" i="12908"/>
  <c r="AN877" i="13034"/>
  <c r="Y310" i="12908"/>
  <c r="AV310" i="13034" s="1"/>
  <c r="AV301" i="13034"/>
  <c r="Y820" i="12908"/>
  <c r="AV820" i="13034" s="1"/>
  <c r="AN820" i="13034"/>
  <c r="Q28" i="13005"/>
  <c r="M28" i="13016" s="1"/>
  <c r="S28" i="13016" s="1"/>
  <c r="AV1164" i="13034"/>
  <c r="AI2461" i="13015"/>
  <c r="AI2358" i="13015"/>
  <c r="Y1098" i="12908"/>
  <c r="AV1082" i="13034"/>
  <c r="Y651" i="12908"/>
  <c r="AV651" i="13034" s="1"/>
  <c r="AV642" i="13034"/>
  <c r="Y711" i="12908"/>
  <c r="AV700" i="13034"/>
  <c r="Y618" i="12908"/>
  <c r="AV618" i="13034" s="1"/>
  <c r="AV609" i="13034"/>
  <c r="S64" i="13005"/>
  <c r="AF64" i="12989" s="1"/>
  <c r="AG64" i="12989" s="1"/>
  <c r="AF61" i="12989"/>
  <c r="AG61" i="12989" s="1"/>
  <c r="X28" i="13029"/>
  <c r="AN1617" i="13034"/>
  <c r="Y1638" i="12908"/>
  <c r="AV1638" i="13034" s="1"/>
  <c r="AN1638" i="13034"/>
  <c r="O22" i="13020"/>
  <c r="O45" i="13017"/>
  <c r="Q45" i="13017" s="1"/>
  <c r="W45" i="13017" s="1"/>
  <c r="Y45" i="13017" s="1"/>
  <c r="Q60" i="13016"/>
  <c r="W60" i="13016" s="1"/>
  <c r="Y60" i="13016" s="1"/>
  <c r="Y1655" i="12908"/>
  <c r="AN1655" i="13034"/>
  <c r="Y1656" i="12908"/>
  <c r="AV1656" i="13034" s="1"/>
  <c r="AN1656" i="13034"/>
  <c r="O11" i="13020"/>
  <c r="S46" i="13007"/>
  <c r="S49" i="13007" s="1"/>
  <c r="U41" i="13007"/>
  <c r="Y1637" i="12908"/>
  <c r="AN1637" i="13034"/>
  <c r="Y1618" i="12908"/>
  <c r="AV1618" i="13034" s="1"/>
  <c r="AN1618" i="13034"/>
  <c r="Q59" i="13016"/>
  <c r="W59" i="13016" s="1"/>
  <c r="Y59" i="13016" s="1"/>
  <c r="O44" i="13017"/>
  <c r="Q44" i="13017" s="1"/>
  <c r="W44" i="13017" s="1"/>
  <c r="Y44" i="13017" s="1"/>
  <c r="U61" i="13005"/>
  <c r="U64" i="13005" s="1"/>
  <c r="AA56" i="13005"/>
  <c r="O61" i="13016"/>
  <c r="O64" i="13016" s="1"/>
  <c r="Q56" i="13016"/>
  <c r="O41" i="13017"/>
  <c r="Q49" i="13014"/>
  <c r="AK61" i="12989"/>
  <c r="O13" i="13020"/>
  <c r="Q15" i="13020"/>
  <c r="Q13" i="13020"/>
  <c r="Q23" i="13020"/>
  <c r="Q14" i="13005"/>
  <c r="AB679" i="12908"/>
  <c r="AB185" i="12908"/>
  <c r="Q17" i="13005"/>
  <c r="Q1617" i="13015"/>
  <c r="Q26" i="13020"/>
  <c r="Q1655" i="13015"/>
  <c r="Y1655" i="13015" s="1"/>
  <c r="O40" i="13013" s="1"/>
  <c r="Q16" i="13020"/>
  <c r="O2544" i="13015"/>
  <c r="AJ2544" i="13015" s="1"/>
  <c r="O25" i="13020"/>
  <c r="Q30" i="13020"/>
  <c r="Q24" i="13020"/>
  <c r="O27" i="13020"/>
  <c r="Q425" i="12908"/>
  <c r="Q1656" i="13015"/>
  <c r="Y1656" i="13015" s="1"/>
  <c r="Q459" i="12908"/>
  <c r="Q1618" i="13015"/>
  <c r="Y1618" i="13015" s="1"/>
  <c r="O17" i="13014"/>
  <c r="M15" i="13007"/>
  <c r="G31" i="13018"/>
  <c r="I31" i="13018"/>
  <c r="O19" i="13018"/>
  <c r="Q19" i="13018"/>
  <c r="Q11" i="13018"/>
  <c r="O11" i="13018"/>
  <c r="O13" i="13018"/>
  <c r="Q13" i="13018"/>
  <c r="I14" i="13020"/>
  <c r="G14" i="13020"/>
  <c r="Z15" i="13020"/>
  <c r="G18" i="13020"/>
  <c r="I18" i="13020"/>
  <c r="Z12" i="13020"/>
  <c r="G17" i="13020"/>
  <c r="I17" i="13020"/>
  <c r="I26" i="13020"/>
  <c r="G26" i="13020"/>
  <c r="G24" i="13020"/>
  <c r="I24" i="13020"/>
  <c r="G11" i="13020"/>
  <c r="I11" i="13020"/>
  <c r="M14" i="13007"/>
  <c r="M21" i="13005"/>
  <c r="O15" i="13005"/>
  <c r="K15" i="13007"/>
  <c r="K21" i="13005"/>
  <c r="O14" i="13005"/>
  <c r="K14" i="13007"/>
  <c r="Y1617" i="13015"/>
  <c r="O38" i="13013" s="1"/>
  <c r="Q38" i="13013" s="1"/>
  <c r="X28" i="13028"/>
  <c r="Q283" i="13015"/>
  <c r="Y283" i="13015" s="1"/>
  <c r="Y294" i="13015" s="1"/>
  <c r="AB294" i="13015" s="1"/>
  <c r="Q391" i="13015"/>
  <c r="Y247" i="13015"/>
  <c r="Y258" i="13015" s="1"/>
  <c r="AB238" i="13015" s="1"/>
  <c r="Q319" i="13015"/>
  <c r="Y319" i="13015" s="1"/>
  <c r="Y330" i="13015" s="1"/>
  <c r="AB330" i="13015" s="1"/>
  <c r="Q355" i="13015"/>
  <c r="Y355" i="13015" s="1"/>
  <c r="Y366" i="13015" s="1"/>
  <c r="AB366" i="13015" s="1"/>
  <c r="Q801" i="13015"/>
  <c r="Y801" i="13015" s="1"/>
  <c r="Q782" i="13015"/>
  <c r="Y782" i="13015" s="1"/>
  <c r="Y791" i="13015" s="1"/>
  <c r="AB791" i="13015" s="1"/>
  <c r="Q820" i="13015"/>
  <c r="Y820" i="13015" s="1"/>
  <c r="Y829" i="13015" s="1"/>
  <c r="AB829" i="13015" s="1"/>
  <c r="Y763" i="13015"/>
  <c r="S26" i="13016"/>
  <c r="U26" i="13016" s="1"/>
  <c r="Q20" i="13007"/>
  <c r="M27" i="13016"/>
  <c r="S27" i="13016" s="1"/>
  <c r="U27" i="13016" s="1"/>
  <c r="AC27" i="12989"/>
  <c r="G26" i="13018"/>
  <c r="I26" i="13018"/>
  <c r="G23" i="13018"/>
  <c r="I23" i="13018"/>
  <c r="Q28" i="13018"/>
  <c r="O28" i="13018"/>
  <c r="U27" i="13019"/>
  <c r="U27" i="13021"/>
  <c r="G29" i="13018"/>
  <c r="I29" i="13018"/>
  <c r="Z12" i="13018"/>
  <c r="I21" i="13018"/>
  <c r="G21" i="13018"/>
  <c r="O17" i="13018"/>
  <c r="Q17" i="13018"/>
  <c r="G17" i="13018"/>
  <c r="I17" i="13018"/>
  <c r="O24" i="13018"/>
  <c r="Q24" i="13018"/>
  <c r="G15" i="13018"/>
  <c r="I15" i="13018"/>
  <c r="O22" i="13018"/>
  <c r="Q22" i="13018"/>
  <c r="O20" i="13018"/>
  <c r="Q20" i="13018"/>
  <c r="G25" i="13018"/>
  <c r="I25" i="13018"/>
  <c r="O12" i="13018"/>
  <c r="Q12" i="13018"/>
  <c r="O25" i="13018"/>
  <c r="Q25" i="13018"/>
  <c r="AB1608" i="13015"/>
  <c r="AB1607" i="13015"/>
  <c r="AB1456" i="13015"/>
  <c r="M32" i="13013"/>
  <c r="Y1394" i="13015"/>
  <c r="AC1387" i="13015"/>
  <c r="Q1393" i="13015" s="1"/>
  <c r="G16" i="13020"/>
  <c r="I16" i="13020"/>
  <c r="G20" i="13020"/>
  <c r="I20" i="13020"/>
  <c r="G22" i="13020"/>
  <c r="I22" i="13020"/>
  <c r="I28" i="13020"/>
  <c r="G28" i="13020"/>
  <c r="I29" i="13020"/>
  <c r="G29" i="13020"/>
  <c r="C18" i="13021"/>
  <c r="C12" i="13021"/>
  <c r="C15" i="13021"/>
  <c r="C10" i="13021"/>
  <c r="C14" i="13021"/>
  <c r="C22" i="13021"/>
  <c r="C23" i="13021"/>
  <c r="C25" i="13021"/>
  <c r="C27" i="13021"/>
  <c r="C20" i="13021"/>
  <c r="C28" i="13021"/>
  <c r="C30" i="13021"/>
  <c r="C29" i="13021"/>
  <c r="C26" i="13021"/>
  <c r="C24" i="13021"/>
  <c r="C16" i="13021"/>
  <c r="C31" i="13021"/>
  <c r="C19" i="13021"/>
  <c r="C11" i="13021"/>
  <c r="C21" i="13021"/>
  <c r="K30" i="13021"/>
  <c r="K23" i="13021"/>
  <c r="K27" i="13021"/>
  <c r="K28" i="13021"/>
  <c r="K18" i="13021"/>
  <c r="C17" i="13021"/>
  <c r="K14" i="13021"/>
  <c r="K31" i="13021"/>
  <c r="K24" i="13021"/>
  <c r="K29" i="13021"/>
  <c r="K21" i="13021"/>
  <c r="K26" i="13021"/>
  <c r="K11" i="13021"/>
  <c r="K19" i="13021"/>
  <c r="K20" i="13021"/>
  <c r="K22" i="13021"/>
  <c r="K15" i="13021"/>
  <c r="K25" i="13021"/>
  <c r="Y2078" i="13015"/>
  <c r="Q2100" i="13015"/>
  <c r="Q2144" i="13015"/>
  <c r="Y2144" i="13015" s="1"/>
  <c r="Q2122" i="13015"/>
  <c r="Y2122" i="13015" s="1"/>
  <c r="V16" i="13031"/>
  <c r="Q458" i="13015"/>
  <c r="Y458" i="13015" s="1"/>
  <c r="Q492" i="13015"/>
  <c r="Y492" i="13015" s="1"/>
  <c r="Y390" i="13015"/>
  <c r="Q424" i="13015"/>
  <c r="Y424" i="13015" s="1"/>
  <c r="Q526" i="13015"/>
  <c r="Y526" i="13015" s="1"/>
  <c r="K10" i="13021"/>
  <c r="W14" i="13013"/>
  <c r="Q21" i="13013"/>
  <c r="M17" i="13014"/>
  <c r="V22" i="13023"/>
  <c r="K12" i="13021"/>
  <c r="H28" i="13029"/>
  <c r="H17" i="13029"/>
  <c r="H31" i="13029"/>
  <c r="H25" i="13029"/>
  <c r="H20" i="13029"/>
  <c r="H21" i="13029"/>
  <c r="H19" i="13029"/>
  <c r="H23" i="13029"/>
  <c r="H16" i="13029"/>
  <c r="H32" i="13029"/>
  <c r="H33" i="13029"/>
  <c r="H29" i="13029"/>
  <c r="H13" i="13029"/>
  <c r="H24" i="13029"/>
  <c r="H15" i="13029"/>
  <c r="H11" i="13029"/>
  <c r="H27" i="13029"/>
  <c r="H12" i="13029"/>
  <c r="P16" i="13029"/>
  <c r="P11" i="13029"/>
  <c r="P17" i="13029"/>
  <c r="P20" i="13029"/>
  <c r="P29" i="13029"/>
  <c r="P13" i="13029"/>
  <c r="P31" i="13029"/>
  <c r="P32" i="13029"/>
  <c r="P12" i="13029"/>
  <c r="P28" i="13029"/>
  <c r="P27" i="13029"/>
  <c r="P33" i="13029"/>
  <c r="P25" i="13029"/>
  <c r="P21" i="13029"/>
  <c r="P15" i="13029"/>
  <c r="P23" i="13029"/>
  <c r="P24" i="13029"/>
  <c r="P19" i="13029"/>
  <c r="AB972" i="13015"/>
  <c r="AD675" i="13015" s="1"/>
  <c r="AB971" i="13015"/>
  <c r="O29" i="13018"/>
  <c r="Q29" i="13018"/>
  <c r="G14" i="13018"/>
  <c r="I14" i="13018"/>
  <c r="G20" i="13018"/>
  <c r="I20" i="13018"/>
  <c r="M38" i="13016"/>
  <c r="AC38" i="12989"/>
  <c r="AE38" i="12989" s="1"/>
  <c r="M19" i="13016"/>
  <c r="AC19" i="12989"/>
  <c r="AE19" i="12989" s="1"/>
  <c r="M28" i="13014"/>
  <c r="S28" i="13014" s="1"/>
  <c r="U28" i="13014" s="1"/>
  <c r="S40" i="13013"/>
  <c r="U40" i="13013" s="1"/>
  <c r="K40" i="13005"/>
  <c r="Q40" i="13013"/>
  <c r="W40" i="13013" s="1"/>
  <c r="Y40" i="13013" s="1"/>
  <c r="K26" i="13005"/>
  <c r="W26" i="13005" s="1"/>
  <c r="Y26" i="13005" s="1"/>
  <c r="S26" i="13013"/>
  <c r="U26" i="13013" s="1"/>
  <c r="G11" i="13018"/>
  <c r="I11" i="13018"/>
  <c r="O15" i="13018"/>
  <c r="Q15" i="13018"/>
  <c r="O30" i="13018"/>
  <c r="Q30" i="13018"/>
  <c r="I28" i="13018"/>
  <c r="G28" i="13018"/>
  <c r="O10" i="13018"/>
  <c r="Q10" i="13018"/>
  <c r="G30" i="13018"/>
  <c r="I30" i="13018"/>
  <c r="O26" i="13018"/>
  <c r="Q26" i="13018"/>
  <c r="G12" i="13018"/>
  <c r="I12" i="13018"/>
  <c r="G27" i="13018"/>
  <c r="I27" i="13018"/>
  <c r="O23" i="13018"/>
  <c r="Q23" i="13018"/>
  <c r="C23" i="13019"/>
  <c r="K11" i="13019"/>
  <c r="K29" i="13019"/>
  <c r="K18" i="13019"/>
  <c r="K31" i="13019"/>
  <c r="K16" i="13019"/>
  <c r="C30" i="13019"/>
  <c r="C18" i="13019"/>
  <c r="C27" i="13019"/>
  <c r="C11" i="13019"/>
  <c r="C19" i="13019"/>
  <c r="K27" i="13019"/>
  <c r="K30" i="13019"/>
  <c r="K12" i="13019"/>
  <c r="K13" i="13019"/>
  <c r="K19" i="13019"/>
  <c r="C21" i="13019"/>
  <c r="C26" i="13019"/>
  <c r="C25" i="13019"/>
  <c r="K28" i="13019"/>
  <c r="K23" i="13019"/>
  <c r="K22" i="13019"/>
  <c r="C15" i="13019"/>
  <c r="C28" i="13019"/>
  <c r="C20" i="13019"/>
  <c r="K20" i="13019"/>
  <c r="K15" i="13019"/>
  <c r="K17" i="13019"/>
  <c r="K24" i="13019"/>
  <c r="K10" i="13019"/>
  <c r="K14" i="13019"/>
  <c r="C10" i="13019"/>
  <c r="C12" i="13019"/>
  <c r="C31" i="13019"/>
  <c r="C14" i="13019"/>
  <c r="C22" i="13019"/>
  <c r="C13" i="13019"/>
  <c r="K26" i="13019"/>
  <c r="K25" i="13019"/>
  <c r="C17" i="13019"/>
  <c r="C24" i="13019"/>
  <c r="C29" i="13019"/>
  <c r="W19" i="13005"/>
  <c r="Y19" i="13005" s="1"/>
  <c r="O19" i="13005"/>
  <c r="Q2513" i="13015"/>
  <c r="Y2513" i="13015" s="1"/>
  <c r="Y2305" i="13015"/>
  <c r="Q1483" i="13015" s="1"/>
  <c r="Q2409" i="13015"/>
  <c r="Y2409" i="13015" s="1"/>
  <c r="G21" i="13020"/>
  <c r="I21" i="13020"/>
  <c r="G10" i="13020"/>
  <c r="I10" i="13020"/>
  <c r="G31" i="13020"/>
  <c r="I31" i="13020"/>
  <c r="G27" i="13020"/>
  <c r="I27" i="13020"/>
  <c r="G25" i="13020"/>
  <c r="I25" i="13020"/>
  <c r="Q2056" i="13015"/>
  <c r="Y2056" i="13015" s="1"/>
  <c r="Y1984" i="13015"/>
  <c r="W24" i="13030"/>
  <c r="Q2032" i="13015"/>
  <c r="Y2032" i="13015" s="1"/>
  <c r="Q2008" i="13015"/>
  <c r="Y2008" i="13015" s="1"/>
  <c r="Q2080" i="13015"/>
  <c r="K13" i="13021"/>
  <c r="Y13" i="13021" s="1"/>
  <c r="Q625" i="13015"/>
  <c r="Y625" i="13015" s="1"/>
  <c r="Q658" i="13015"/>
  <c r="Y658" i="13015" s="1"/>
  <c r="Q592" i="13015"/>
  <c r="Y592" i="13015" s="1"/>
  <c r="Y559" i="13015"/>
  <c r="Y810" i="13015"/>
  <c r="AB810" i="13015" s="1"/>
  <c r="M27" i="13013"/>
  <c r="AB1076" i="13015"/>
  <c r="O28" i="13014"/>
  <c r="M40" i="13005"/>
  <c r="M28" i="13007" s="1"/>
  <c r="AH40" i="12989"/>
  <c r="AI40" i="12989" s="1"/>
  <c r="Q858" i="13015"/>
  <c r="Y858" i="13015" s="1"/>
  <c r="Y867" i="13015" s="1"/>
  <c r="Q877" i="13015"/>
  <c r="Y877" i="13015" s="1"/>
  <c r="Y886" i="13015" s="1"/>
  <c r="Y839" i="13015"/>
  <c r="Y848" i="13015" s="1"/>
  <c r="AB848" i="13015" s="1"/>
  <c r="AC1386" i="13015"/>
  <c r="Q1392" i="13015" s="1"/>
  <c r="M14" i="13016"/>
  <c r="W14" i="13005"/>
  <c r="AC14" i="12989"/>
  <c r="AE14" i="12989" s="1"/>
  <c r="M17" i="13016"/>
  <c r="W17" i="13005"/>
  <c r="Y17" i="13005" s="1"/>
  <c r="AC17" i="12989"/>
  <c r="AE17" i="12989" s="1"/>
  <c r="O18" i="13005"/>
  <c r="G18" i="13018"/>
  <c r="Z14" i="13018"/>
  <c r="I18" i="13018"/>
  <c r="Z13" i="13018"/>
  <c r="Q16" i="13018"/>
  <c r="O16" i="13018"/>
  <c r="G13" i="13018"/>
  <c r="I13" i="13018"/>
  <c r="I19" i="13018"/>
  <c r="G19" i="13018"/>
  <c r="Z15" i="13018"/>
  <c r="O31" i="13018"/>
  <c r="Q31" i="13018"/>
  <c r="G10" i="13018"/>
  <c r="I10" i="13018"/>
  <c r="O27" i="13018"/>
  <c r="Q27" i="13018"/>
  <c r="G24" i="13018"/>
  <c r="I24" i="13018"/>
  <c r="G22" i="13018"/>
  <c r="I22" i="13018"/>
  <c r="O14" i="13018"/>
  <c r="Q14" i="13018"/>
  <c r="M27" i="13014"/>
  <c r="M41" i="13013"/>
  <c r="K38" i="13005"/>
  <c r="W38" i="13005" s="1"/>
  <c r="S38" i="13013"/>
  <c r="Q475" i="13015"/>
  <c r="Y475" i="13015" s="1"/>
  <c r="Y484" i="13015" s="1"/>
  <c r="Y373" i="13015"/>
  <c r="Y382" i="13015" s="1"/>
  <c r="Q509" i="13015"/>
  <c r="Y509" i="13015" s="1"/>
  <c r="Y518" i="13015" s="1"/>
  <c r="Q441" i="13015"/>
  <c r="Y441" i="13015" s="1"/>
  <c r="Y450" i="13015" s="1"/>
  <c r="Q407" i="13015"/>
  <c r="Y407" i="13015" s="1"/>
  <c r="Y416" i="13015" s="1"/>
  <c r="K33" i="13005"/>
  <c r="S33" i="13013"/>
  <c r="G30" i="13020"/>
  <c r="I30" i="13020"/>
  <c r="G23" i="13020"/>
  <c r="I23" i="13020"/>
  <c r="G19" i="13020"/>
  <c r="I19" i="13020"/>
  <c r="G12" i="13020"/>
  <c r="I12" i="13020"/>
  <c r="G15" i="13020"/>
  <c r="I15" i="13020"/>
  <c r="Z14" i="13020"/>
  <c r="W17" i="13030"/>
  <c r="V17" i="13031" s="1"/>
  <c r="Q2079" i="13015"/>
  <c r="Q1985" i="13015"/>
  <c r="Q2031" i="13015"/>
  <c r="Y2031" i="13015" s="1"/>
  <c r="Q2055" i="13015"/>
  <c r="Y2055" i="13015" s="1"/>
  <c r="Y1983" i="13015"/>
  <c r="Q2007" i="13015"/>
  <c r="Y2007" i="13015" s="1"/>
  <c r="AA13" i="13020"/>
  <c r="AB13" i="13020"/>
  <c r="U14" i="13013"/>
  <c r="S21" i="13013"/>
  <c r="U21" i="13013" s="1"/>
  <c r="M39" i="13005"/>
  <c r="O39" i="13005" s="1"/>
  <c r="AH39" i="12989"/>
  <c r="AI39" i="12989" s="1"/>
  <c r="Q931" i="13015"/>
  <c r="Y931" i="13015" s="1"/>
  <c r="Y940" i="13015" s="1"/>
  <c r="AB940" i="13015" s="1"/>
  <c r="Q913" i="13015"/>
  <c r="Y913" i="13015" s="1"/>
  <c r="Y922" i="13015" s="1"/>
  <c r="AB922" i="13015" s="1"/>
  <c r="Q560" i="13015"/>
  <c r="Y895" i="13015"/>
  <c r="Y904" i="13015" s="1"/>
  <c r="Q949" i="13015"/>
  <c r="Y949" i="13015" s="1"/>
  <c r="Y958" i="13015" s="1"/>
  <c r="AB958" i="13015" s="1"/>
  <c r="M23" i="13016"/>
  <c r="AC23" i="12989"/>
  <c r="AE23" i="12989" s="1"/>
  <c r="M2544" i="13015"/>
  <c r="U2544" i="13015" s="1"/>
  <c r="W2544" i="13015"/>
  <c r="AI2544" i="13015" s="1"/>
  <c r="U49" i="13017"/>
  <c r="W46" i="13014"/>
  <c r="Y41" i="13014"/>
  <c r="Q493" i="12908"/>
  <c r="Y391" i="12908"/>
  <c r="AC682" i="12908"/>
  <c r="Q687" i="12908" s="1"/>
  <c r="AN687" i="13034" s="1"/>
  <c r="Y772" i="12908"/>
  <c r="AV772" i="13034" s="1"/>
  <c r="AC683" i="12908"/>
  <c r="Q688" i="12908" s="1"/>
  <c r="AB258" i="12908"/>
  <c r="AB238" i="12908"/>
  <c r="Y668" i="12908"/>
  <c r="AC1387" i="12908"/>
  <c r="Q1393" i="12908" s="1"/>
  <c r="Y1394" i="12908"/>
  <c r="Y602" i="12908"/>
  <c r="AA65" i="12989"/>
  <c r="X70" i="12989"/>
  <c r="AB569" i="12908"/>
  <c r="AB552" i="12908"/>
  <c r="Q29" i="13005"/>
  <c r="Y44" i="12908"/>
  <c r="AV44" i="13034" s="1"/>
  <c r="Q147" i="12908"/>
  <c r="Q81" i="12908"/>
  <c r="Q110" i="12908"/>
  <c r="Q184" i="12908"/>
  <c r="Q221" i="12908"/>
  <c r="Y2305" i="12908"/>
  <c r="AV2305" i="13034" s="1"/>
  <c r="Q2409" i="12908"/>
  <c r="Q2513" i="12908"/>
  <c r="AB82" i="12908"/>
  <c r="Q15" i="13005"/>
  <c r="AE27" i="12989"/>
  <c r="Y2078" i="12908"/>
  <c r="AV2078" i="13034" s="1"/>
  <c r="Q2122" i="12908"/>
  <c r="Q2144" i="12908"/>
  <c r="Q2100" i="12908"/>
  <c r="AN2100" i="13034" s="1"/>
  <c r="AB11" i="12908"/>
  <c r="U27" i="13009"/>
  <c r="Q183" i="12908"/>
  <c r="U27" i="13008"/>
  <c r="Q109" i="12908"/>
  <c r="Q146" i="12908"/>
  <c r="Y43" i="12908"/>
  <c r="Q80" i="12908"/>
  <c r="Q220" i="12908"/>
  <c r="Z65" i="12989"/>
  <c r="W70" i="12989"/>
  <c r="W24" i="12991"/>
  <c r="Q2032" i="12908"/>
  <c r="Q2008" i="12908"/>
  <c r="Q2056" i="12908"/>
  <c r="Q2080" i="12908"/>
  <c r="AN2080" i="13034" s="1"/>
  <c r="Y1984" i="12908"/>
  <c r="AV1984" i="13034" s="1"/>
  <c r="X28" i="12995"/>
  <c r="Y1617" i="12908"/>
  <c r="Q2031" i="12908"/>
  <c r="W17" i="12991"/>
  <c r="Q2055" i="12908"/>
  <c r="Q2007" i="12908"/>
  <c r="Q2079" i="12908"/>
  <c r="AN2079" i="13034" s="1"/>
  <c r="Y1983" i="12908"/>
  <c r="AV1983" i="13034" s="1"/>
  <c r="Q1985" i="12908"/>
  <c r="AC1386" i="12908"/>
  <c r="Q1392" i="12908" s="1"/>
  <c r="W25" i="13031" l="1"/>
  <c r="AN1985" i="13034"/>
  <c r="AB651" i="12908"/>
  <c r="AV668" i="13034"/>
  <c r="Y2032" i="12908"/>
  <c r="AV2032" i="13034" s="1"/>
  <c r="AN2032" i="13034"/>
  <c r="Y2144" i="12908"/>
  <c r="AV2144" i="13034" s="1"/>
  <c r="AN2144" i="13034"/>
  <c r="Y2513" i="12908"/>
  <c r="AV2513" i="13034" s="1"/>
  <c r="AN2513" i="13034"/>
  <c r="AB602" i="12908"/>
  <c r="AV602" i="13034"/>
  <c r="Y425" i="12908"/>
  <c r="AN425" i="13034"/>
  <c r="Y1436" i="12908"/>
  <c r="AV1426" i="13034"/>
  <c r="Y2031" i="12908"/>
  <c r="AV2031" i="13034" s="1"/>
  <c r="AN2031" i="13034"/>
  <c r="Y2122" i="12908"/>
  <c r="AV2122" i="13034" s="1"/>
  <c r="AN2122" i="13034"/>
  <c r="Y2409" i="12908"/>
  <c r="AV2409" i="13034" s="1"/>
  <c r="AN2409" i="13034"/>
  <c r="AV1394" i="13034"/>
  <c r="Y635" i="12908"/>
  <c r="AB904" i="12908"/>
  <c r="AB274" i="13015"/>
  <c r="AV877" i="13034"/>
  <c r="Y886" i="12908"/>
  <c r="AV886" i="13034" s="1"/>
  <c r="Y330" i="12908"/>
  <c r="AV319" i="13034"/>
  <c r="Y940" i="12908"/>
  <c r="AV931" i="13034"/>
  <c r="AB753" i="12908"/>
  <c r="AV753" i="13034"/>
  <c r="AB971" i="12908"/>
  <c r="AB972" i="12908"/>
  <c r="AD675" i="12908" s="1"/>
  <c r="AV1639" i="13034"/>
  <c r="Q39" i="13005"/>
  <c r="AB1639" i="12908"/>
  <c r="AB1605" i="12908"/>
  <c r="Y366" i="12908"/>
  <c r="AV355" i="13034"/>
  <c r="Y484" i="12908"/>
  <c r="AV484" i="13034" s="1"/>
  <c r="AV475" i="13034"/>
  <c r="AB848" i="12908"/>
  <c r="AV848" i="13034"/>
  <c r="Q18" i="13005"/>
  <c r="AV185" i="13034"/>
  <c r="AV1657" i="13034"/>
  <c r="Q40" i="13005"/>
  <c r="AB1653" i="12908"/>
  <c r="AB732" i="12908"/>
  <c r="AV732" i="13034"/>
  <c r="Y294" i="12908"/>
  <c r="AV283" i="13034"/>
  <c r="Y2055" i="12908"/>
  <c r="AV2055" i="13034" s="1"/>
  <c r="AN2055" i="13034"/>
  <c r="Y2008" i="12908"/>
  <c r="AV2008" i="13034" s="1"/>
  <c r="AN2008" i="13034"/>
  <c r="Y493" i="12908"/>
  <c r="AN493" i="13034"/>
  <c r="Y450" i="12908"/>
  <c r="AV450" i="13034" s="1"/>
  <c r="AV441" i="13034"/>
  <c r="Y518" i="12908"/>
  <c r="AV518" i="13034" s="1"/>
  <c r="AV509" i="13034"/>
  <c r="Y867" i="12908"/>
  <c r="AV858" i="13034"/>
  <c r="AB1120" i="12908"/>
  <c r="AV1120" i="13034"/>
  <c r="Y2007" i="12908"/>
  <c r="AV2007" i="13034" s="1"/>
  <c r="AN2007" i="13034"/>
  <c r="Y2056" i="12908"/>
  <c r="AV2056" i="13034" s="1"/>
  <c r="AN2056" i="13034"/>
  <c r="AB686" i="12908"/>
  <c r="Y400" i="12908"/>
  <c r="AV391" i="13034"/>
  <c r="AB346" i="13015"/>
  <c r="Y459" i="12908"/>
  <c r="AN459" i="13034"/>
  <c r="Y829" i="12908"/>
  <c r="Y791" i="12908"/>
  <c r="AV782" i="13034"/>
  <c r="Y527" i="12908"/>
  <c r="AV527" i="13034" s="1"/>
  <c r="AN527" i="13034"/>
  <c r="AB711" i="12908"/>
  <c r="AV711" i="13034"/>
  <c r="AB1098" i="12908"/>
  <c r="AV1098" i="13034"/>
  <c r="Y810" i="12908"/>
  <c r="AV801" i="13034"/>
  <c r="Y922" i="12908"/>
  <c r="AV913" i="13034"/>
  <c r="Y1456" i="12908"/>
  <c r="AV1446" i="13034"/>
  <c r="Y1476" i="12908"/>
  <c r="AV1466" i="13034"/>
  <c r="AB1142" i="12908"/>
  <c r="AV1142" i="13034"/>
  <c r="Y416" i="12908"/>
  <c r="AV416" i="13034" s="1"/>
  <c r="AV407" i="13034"/>
  <c r="Y1416" i="12908"/>
  <c r="AV1406" i="13034"/>
  <c r="Y958" i="12908"/>
  <c r="AV949" i="13034"/>
  <c r="S14" i="13005"/>
  <c r="O14" i="13016" s="1"/>
  <c r="AV43" i="13034"/>
  <c r="Y221" i="12908"/>
  <c r="AV221" i="13034" s="1"/>
  <c r="AN221" i="13034"/>
  <c r="AA30" i="13025"/>
  <c r="K59" i="13025" s="1"/>
  <c r="AN1392" i="13034"/>
  <c r="S38" i="13005"/>
  <c r="O38" i="13016" s="1"/>
  <c r="AV1617" i="13034"/>
  <c r="Y220" i="12908"/>
  <c r="AN220" i="13034"/>
  <c r="Y109" i="12908"/>
  <c r="AN109" i="13034"/>
  <c r="Y110" i="12908"/>
  <c r="AV110" i="13034" s="1"/>
  <c r="AN110" i="13034"/>
  <c r="Q1435" i="12908"/>
  <c r="AN1393" i="13034"/>
  <c r="AC56" i="13005"/>
  <c r="AA61" i="13005"/>
  <c r="U46" i="13007"/>
  <c r="U49" i="13007" s="1"/>
  <c r="AA41" i="13007"/>
  <c r="Q467" i="12908"/>
  <c r="AN688" i="13034"/>
  <c r="Q41" i="13017"/>
  <c r="O46" i="13017"/>
  <c r="O49" i="13017" s="1"/>
  <c r="Q61" i="13016"/>
  <c r="Q64" i="13016" s="1"/>
  <c r="W56" i="13016"/>
  <c r="S40" i="13005"/>
  <c r="AV1655" i="13034"/>
  <c r="Y80" i="12908"/>
  <c r="AN80" i="13034"/>
  <c r="Y81" i="12908"/>
  <c r="AV81" i="13034" s="1"/>
  <c r="AN81" i="13034"/>
  <c r="Y183" i="12908"/>
  <c r="AN183" i="13034"/>
  <c r="Y147" i="12908"/>
  <c r="AV147" i="13034" s="1"/>
  <c r="AN147" i="13034"/>
  <c r="Y146" i="12908"/>
  <c r="AN146" i="13034"/>
  <c r="Y184" i="12908"/>
  <c r="AV184" i="13034" s="1"/>
  <c r="AN184" i="13034"/>
  <c r="S39" i="13005"/>
  <c r="S27" i="13007" s="1"/>
  <c r="AV1637" i="13034"/>
  <c r="O15" i="13007"/>
  <c r="M17" i="13007"/>
  <c r="Q1455" i="12908"/>
  <c r="Q1475" i="12908"/>
  <c r="Q2313" i="12908"/>
  <c r="AN2313" i="13034" s="1"/>
  <c r="AB686" i="13015"/>
  <c r="Y1393" i="12908"/>
  <c r="AV1393" i="13034" s="1"/>
  <c r="M29" i="13014"/>
  <c r="Q1415" i="12908"/>
  <c r="Q28" i="13014"/>
  <c r="W28" i="13014" s="1"/>
  <c r="Y28" i="13014" s="1"/>
  <c r="M23" i="13013"/>
  <c r="K23" i="13005" s="1"/>
  <c r="Y15" i="13019"/>
  <c r="Q634" i="12908"/>
  <c r="AA13" i="13026"/>
  <c r="Z13" i="13027" s="1"/>
  <c r="Q1504" i="13015"/>
  <c r="Y1504" i="13015" s="1"/>
  <c r="Q1484" i="13015"/>
  <c r="Q1905" i="13015"/>
  <c r="Y1905" i="13015" s="1"/>
  <c r="Q2593" i="13015"/>
  <c r="Y2593" i="13015" s="1"/>
  <c r="Q1542" i="13015"/>
  <c r="Q1485" i="13015"/>
  <c r="Q1523" i="13015"/>
  <c r="Y1523" i="13015" s="1"/>
  <c r="Y1483" i="13015"/>
  <c r="Q2318" i="13015"/>
  <c r="AB867" i="13015"/>
  <c r="S27" i="13013"/>
  <c r="U27" i="13013" s="1"/>
  <c r="K27" i="13005"/>
  <c r="Q2167" i="13015"/>
  <c r="Y2100" i="13015"/>
  <c r="S32" i="13013"/>
  <c r="U32" i="13013" s="1"/>
  <c r="K32" i="13005"/>
  <c r="Y772" i="13015"/>
  <c r="AC682" i="13015"/>
  <c r="Q687" i="13015" s="1"/>
  <c r="AC683" i="13015"/>
  <c r="Q688" i="13015" s="1"/>
  <c r="AB679" i="13015"/>
  <c r="O21" i="13005"/>
  <c r="M15" i="13016"/>
  <c r="W15" i="13005"/>
  <c r="Y15" i="13005" s="1"/>
  <c r="AC15" i="12989"/>
  <c r="AE15" i="12989" s="1"/>
  <c r="W25" i="13030"/>
  <c r="V25" i="13031" s="1"/>
  <c r="Q2033" i="13015"/>
  <c r="Y2033" i="13015" s="1"/>
  <c r="Y2046" i="13015" s="1"/>
  <c r="AB2046" i="13015" s="1"/>
  <c r="Q2009" i="13015"/>
  <c r="Y2009" i="13015" s="1"/>
  <c r="Y2022" i="13015" s="1"/>
  <c r="AB2022" i="13015" s="1"/>
  <c r="Q2057" i="13015"/>
  <c r="Y2057" i="13015" s="1"/>
  <c r="Y2070" i="13015" s="1"/>
  <c r="AB2070" i="13015" s="1"/>
  <c r="Q2081" i="13015"/>
  <c r="Y1985" i="13015"/>
  <c r="Q41" i="13013"/>
  <c r="W38" i="13013"/>
  <c r="Q1454" i="13015"/>
  <c r="Y1454" i="13015" s="1"/>
  <c r="O32" i="13013" s="1"/>
  <c r="Q32" i="13013" s="1"/>
  <c r="W32" i="13013" s="1"/>
  <c r="Y32" i="13013" s="1"/>
  <c r="Q1474" i="13015"/>
  <c r="Y1474" i="13015" s="1"/>
  <c r="O33" i="13013" s="1"/>
  <c r="AA30" i="13024"/>
  <c r="Q2312" i="13015"/>
  <c r="Q1414" i="13015"/>
  <c r="Y1414" i="13015" s="1"/>
  <c r="Q1434" i="13015"/>
  <c r="Y1434" i="13015" s="1"/>
  <c r="Y1392" i="13015"/>
  <c r="O31" i="13013" s="1"/>
  <c r="Y12" i="13019"/>
  <c r="Y38" i="13005"/>
  <c r="AB904" i="13015"/>
  <c r="Q2145" i="13015"/>
  <c r="Y2145" i="13015" s="1"/>
  <c r="Q2123" i="13015"/>
  <c r="Y2123" i="13015" s="1"/>
  <c r="Q2101" i="13015"/>
  <c r="Y2079" i="13015"/>
  <c r="U38" i="13013"/>
  <c r="S41" i="13013"/>
  <c r="U41" i="13013" s="1"/>
  <c r="AA15" i="13018"/>
  <c r="AB15" i="13018"/>
  <c r="Y14" i="13005"/>
  <c r="Q2102" i="13015"/>
  <c r="Y2080" i="13015"/>
  <c r="Q2124" i="13015"/>
  <c r="Y2124" i="13015" s="1"/>
  <c r="Q2146" i="13015"/>
  <c r="Y2146" i="13015" s="1"/>
  <c r="Y14" i="13019"/>
  <c r="M20" i="13014"/>
  <c r="S20" i="13014" s="1"/>
  <c r="U20" i="13014" s="1"/>
  <c r="K28" i="13007"/>
  <c r="O40" i="13005"/>
  <c r="W40" i="13005"/>
  <c r="Y40" i="13005" s="1"/>
  <c r="S19" i="13016"/>
  <c r="U19" i="13016" s="1"/>
  <c r="S38" i="13016"/>
  <c r="Q38" i="13016"/>
  <c r="Y14" i="13013"/>
  <c r="W21" i="13013"/>
  <c r="Y21" i="13013" s="1"/>
  <c r="Y14" i="13021"/>
  <c r="W28" i="13029"/>
  <c r="H28" i="13028"/>
  <c r="J28" i="13028" s="1"/>
  <c r="L28" i="13028" s="1"/>
  <c r="H17" i="13028"/>
  <c r="J17" i="13028" s="1"/>
  <c r="L17" i="13028" s="1"/>
  <c r="H12" i="13028"/>
  <c r="J12" i="13028" s="1"/>
  <c r="L12" i="13028" s="1"/>
  <c r="H15" i="13028"/>
  <c r="J15" i="13028" s="1"/>
  <c r="L15" i="13028" s="1"/>
  <c r="H21" i="13028"/>
  <c r="J21" i="13028" s="1"/>
  <c r="L21" i="13028" s="1"/>
  <c r="H31" i="13028"/>
  <c r="J31" i="13028" s="1"/>
  <c r="L31" i="13028" s="1"/>
  <c r="H33" i="13028"/>
  <c r="J33" i="13028" s="1"/>
  <c r="L33" i="13028" s="1"/>
  <c r="H19" i="13028"/>
  <c r="J19" i="13028" s="1"/>
  <c r="L19" i="13028" s="1"/>
  <c r="H23" i="13028"/>
  <c r="J23" i="13028" s="1"/>
  <c r="L23" i="13028" s="1"/>
  <c r="H24" i="13028"/>
  <c r="J24" i="13028" s="1"/>
  <c r="L24" i="13028" s="1"/>
  <c r="H32" i="13028"/>
  <c r="J32" i="13028" s="1"/>
  <c r="L32" i="13028" s="1"/>
  <c r="H25" i="13028"/>
  <c r="J25" i="13028" s="1"/>
  <c r="L25" i="13028" s="1"/>
  <c r="H20" i="13028"/>
  <c r="J20" i="13028" s="1"/>
  <c r="L20" i="13028" s="1"/>
  <c r="H11" i="13028"/>
  <c r="J11" i="13028" s="1"/>
  <c r="L11" i="13028" s="1"/>
  <c r="H29" i="13028"/>
  <c r="J29" i="13028" s="1"/>
  <c r="L29" i="13028" s="1"/>
  <c r="H13" i="13028"/>
  <c r="J13" i="13028" s="1"/>
  <c r="L13" i="13028" s="1"/>
  <c r="H16" i="13028"/>
  <c r="J16" i="13028" s="1"/>
  <c r="L16" i="13028" s="1"/>
  <c r="H27" i="13028"/>
  <c r="J27" i="13028" s="1"/>
  <c r="L27" i="13028" s="1"/>
  <c r="P17" i="13028"/>
  <c r="R17" i="13028" s="1"/>
  <c r="T17" i="13028" s="1"/>
  <c r="P12" i="13028"/>
  <c r="R12" i="13028" s="1"/>
  <c r="T12" i="13028" s="1"/>
  <c r="P33" i="13028"/>
  <c r="R33" i="13028" s="1"/>
  <c r="T33" i="13028" s="1"/>
  <c r="P32" i="13028"/>
  <c r="R32" i="13028" s="1"/>
  <c r="T32" i="13028" s="1"/>
  <c r="P24" i="13028"/>
  <c r="R24" i="13028" s="1"/>
  <c r="T24" i="13028" s="1"/>
  <c r="P16" i="13028"/>
  <c r="R16" i="13028" s="1"/>
  <c r="T16" i="13028" s="1"/>
  <c r="P19" i="13028"/>
  <c r="R19" i="13028" s="1"/>
  <c r="T19" i="13028" s="1"/>
  <c r="P23" i="13028"/>
  <c r="R23" i="13028" s="1"/>
  <c r="T23" i="13028" s="1"/>
  <c r="P27" i="13028"/>
  <c r="R27" i="13028" s="1"/>
  <c r="T27" i="13028" s="1"/>
  <c r="P15" i="13028"/>
  <c r="R15" i="13028" s="1"/>
  <c r="T15" i="13028" s="1"/>
  <c r="P31" i="13028"/>
  <c r="R31" i="13028" s="1"/>
  <c r="T31" i="13028" s="1"/>
  <c r="P20" i="13028"/>
  <c r="R20" i="13028" s="1"/>
  <c r="T20" i="13028" s="1"/>
  <c r="P13" i="13028"/>
  <c r="R13" i="13028" s="1"/>
  <c r="T13" i="13028" s="1"/>
  <c r="P21" i="13028"/>
  <c r="R21" i="13028" s="1"/>
  <c r="T21" i="13028" s="1"/>
  <c r="P11" i="13028"/>
  <c r="R11" i="13028" s="1"/>
  <c r="T11" i="13028" s="1"/>
  <c r="P28" i="13028"/>
  <c r="R28" i="13028" s="1"/>
  <c r="T28" i="13028" s="1"/>
  <c r="P25" i="13028"/>
  <c r="R25" i="13028" s="1"/>
  <c r="T25" i="13028" s="1"/>
  <c r="P29" i="13028"/>
  <c r="R29" i="13028" s="1"/>
  <c r="T29" i="13028" s="1"/>
  <c r="AB310" i="13015"/>
  <c r="AB13" i="13018"/>
  <c r="AA13" i="13018"/>
  <c r="AB14" i="13020"/>
  <c r="AA14" i="13020"/>
  <c r="K41" i="13005"/>
  <c r="K27" i="13007"/>
  <c r="AA14" i="13018"/>
  <c r="AB14" i="13018"/>
  <c r="S14" i="13016"/>
  <c r="Q14" i="13016"/>
  <c r="Y12" i="13021"/>
  <c r="Q1455" i="13015"/>
  <c r="Y1455" i="13015" s="1"/>
  <c r="Y1393" i="13015"/>
  <c r="Q2313" i="13015"/>
  <c r="Q1435" i="13015"/>
  <c r="Y1435" i="13015" s="1"/>
  <c r="Q1475" i="13015"/>
  <c r="Y1475" i="13015" s="1"/>
  <c r="Q1415" i="13015"/>
  <c r="Y1415" i="13015" s="1"/>
  <c r="AA12" i="13018"/>
  <c r="AB12" i="13018"/>
  <c r="E27" i="13021"/>
  <c r="G27" i="13021" s="1"/>
  <c r="E14" i="13021"/>
  <c r="I14" i="13021" s="1"/>
  <c r="E25" i="13021"/>
  <c r="G25" i="13021" s="1"/>
  <c r="E20" i="13021"/>
  <c r="G20" i="13021" s="1"/>
  <c r="E23" i="13021"/>
  <c r="G23" i="13021" s="1"/>
  <c r="E30" i="13021"/>
  <c r="G30" i="13021" s="1"/>
  <c r="E29" i="13021"/>
  <c r="G29" i="13021" s="1"/>
  <c r="E10" i="13021"/>
  <c r="G10" i="13021" s="1"/>
  <c r="E24" i="13021"/>
  <c r="G24" i="13021" s="1"/>
  <c r="E28" i="13021"/>
  <c r="G28" i="13021" s="1"/>
  <c r="E22" i="13021"/>
  <c r="G22" i="13021" s="1"/>
  <c r="E31" i="13021"/>
  <c r="G31" i="13021" s="1"/>
  <c r="E17" i="13021"/>
  <c r="I17" i="13021" s="1"/>
  <c r="E18" i="13021"/>
  <c r="G18" i="13021" s="1"/>
  <c r="E21" i="13021"/>
  <c r="G21" i="13021" s="1"/>
  <c r="E19" i="13021"/>
  <c r="G19" i="13021" s="1"/>
  <c r="E26" i="13021"/>
  <c r="G26" i="13021" s="1"/>
  <c r="E11" i="13021"/>
  <c r="G11" i="13021" s="1"/>
  <c r="E15" i="13021"/>
  <c r="E16" i="13021"/>
  <c r="G16" i="13021" s="1"/>
  <c r="E12" i="13021"/>
  <c r="G12" i="13021" s="1"/>
  <c r="M15" i="13021"/>
  <c r="O15" i="13021" s="1"/>
  <c r="M31" i="13021"/>
  <c r="O31" i="13021" s="1"/>
  <c r="M27" i="13021"/>
  <c r="O27" i="13021" s="1"/>
  <c r="M23" i="13021"/>
  <c r="O23" i="13021" s="1"/>
  <c r="M26" i="13021"/>
  <c r="O26" i="13021" s="1"/>
  <c r="M14" i="13021"/>
  <c r="O14" i="13021" s="1"/>
  <c r="M13" i="13021"/>
  <c r="M10" i="13021"/>
  <c r="O10" i="13021" s="1"/>
  <c r="M11" i="13021"/>
  <c r="O11" i="13021" s="1"/>
  <c r="M20" i="13021"/>
  <c r="O20" i="13021" s="1"/>
  <c r="M28" i="13021"/>
  <c r="O28" i="13021" s="1"/>
  <c r="M18" i="13021"/>
  <c r="O18" i="13021" s="1"/>
  <c r="M25" i="13021"/>
  <c r="O25" i="13021" s="1"/>
  <c r="M12" i="13021"/>
  <c r="O12" i="13021" s="1"/>
  <c r="M16" i="13021"/>
  <c r="M29" i="13021"/>
  <c r="O29" i="13021" s="1"/>
  <c r="M30" i="13021"/>
  <c r="O30" i="13021" s="1"/>
  <c r="M21" i="13021"/>
  <c r="O21" i="13021" s="1"/>
  <c r="M24" i="13021"/>
  <c r="O24" i="13021" s="1"/>
  <c r="M19" i="13021"/>
  <c r="O19" i="13021" s="1"/>
  <c r="M22" i="13021"/>
  <c r="O22" i="13021" s="1"/>
  <c r="AB258" i="13015"/>
  <c r="O27" i="13014"/>
  <c r="O29" i="13014" s="1"/>
  <c r="M38" i="13005"/>
  <c r="O41" i="13013"/>
  <c r="AH41" i="12989" s="1"/>
  <c r="AI41" i="12989" s="1"/>
  <c r="AH38" i="12989"/>
  <c r="AI38" i="12989" s="1"/>
  <c r="AA15" i="13020"/>
  <c r="AB15" i="13020"/>
  <c r="E15" i="13008"/>
  <c r="M20" i="13008"/>
  <c r="V24" i="13031"/>
  <c r="E15" i="13009"/>
  <c r="M20" i="13009"/>
  <c r="Y560" i="13015"/>
  <c r="Y569" i="13015" s="1"/>
  <c r="M29" i="13013" s="1"/>
  <c r="Q593" i="13015"/>
  <c r="Y593" i="13015" s="1"/>
  <c r="Y602" i="13015" s="1"/>
  <c r="Q659" i="13015"/>
  <c r="Y659" i="13015" s="1"/>
  <c r="Y668" i="13015" s="1"/>
  <c r="Q626" i="13015"/>
  <c r="Y626" i="13015" s="1"/>
  <c r="Y635" i="13015" s="1"/>
  <c r="K17" i="13025"/>
  <c r="K31" i="13025"/>
  <c r="K28" i="13025"/>
  <c r="K46" i="13025"/>
  <c r="K45" i="13025"/>
  <c r="K42" i="13025"/>
  <c r="K14" i="13025"/>
  <c r="K43" i="13025"/>
  <c r="K24" i="13025"/>
  <c r="K39" i="13025"/>
  <c r="K34" i="13025"/>
  <c r="K44" i="13025"/>
  <c r="Q255" i="12908"/>
  <c r="W28" i="13023"/>
  <c r="S17" i="13016"/>
  <c r="U17" i="13016" s="1"/>
  <c r="Y13" i="13019"/>
  <c r="Y15" i="13021"/>
  <c r="M31" i="13013"/>
  <c r="AB1377" i="13015"/>
  <c r="AB1390" i="13015"/>
  <c r="E25" i="13019"/>
  <c r="G25" i="13019" s="1"/>
  <c r="E15" i="13019"/>
  <c r="I15" i="13019" s="1"/>
  <c r="E14" i="13019"/>
  <c r="G14" i="13019" s="1"/>
  <c r="E24" i="13019"/>
  <c r="G24" i="13019" s="1"/>
  <c r="M25" i="13019"/>
  <c r="O25" i="13019" s="1"/>
  <c r="M11" i="13019"/>
  <c r="O11" i="13019" s="1"/>
  <c r="M22" i="13019"/>
  <c r="O22" i="13019" s="1"/>
  <c r="M12" i="13019"/>
  <c r="O12" i="13019" s="1"/>
  <c r="M30" i="13019"/>
  <c r="O30" i="13019" s="1"/>
  <c r="E28" i="13019"/>
  <c r="E27" i="13019"/>
  <c r="G27" i="13019" s="1"/>
  <c r="E12" i="13019"/>
  <c r="G12" i="13019" s="1"/>
  <c r="E21" i="13019"/>
  <c r="I21" i="13019" s="1"/>
  <c r="M27" i="13019"/>
  <c r="O27" i="13019" s="1"/>
  <c r="M24" i="13019"/>
  <c r="O24" i="13019" s="1"/>
  <c r="M10" i="13019"/>
  <c r="O10" i="13019" s="1"/>
  <c r="M31" i="13019"/>
  <c r="O31" i="13019" s="1"/>
  <c r="M15" i="13019"/>
  <c r="O15" i="13019" s="1"/>
  <c r="E26" i="13019"/>
  <c r="G26" i="13019" s="1"/>
  <c r="E20" i="13019"/>
  <c r="G20" i="13019" s="1"/>
  <c r="E19" i="13019"/>
  <c r="E29" i="13019"/>
  <c r="G29" i="13019" s="1"/>
  <c r="E31" i="13019"/>
  <c r="G31" i="13019" s="1"/>
  <c r="E13" i="13019"/>
  <c r="G13" i="13019" s="1"/>
  <c r="M19" i="13019"/>
  <c r="O19" i="13019" s="1"/>
  <c r="M16" i="13019"/>
  <c r="M28" i="13019"/>
  <c r="O28" i="13019" s="1"/>
  <c r="M18" i="13019"/>
  <c r="M26" i="13019"/>
  <c r="O26" i="13019" s="1"/>
  <c r="E22" i="13019"/>
  <c r="G22" i="13019" s="1"/>
  <c r="E11" i="13019"/>
  <c r="G11" i="13019" s="1"/>
  <c r="E23" i="13019"/>
  <c r="G23" i="13019" s="1"/>
  <c r="E30" i="13019"/>
  <c r="G30" i="13019" s="1"/>
  <c r="E10" i="13019"/>
  <c r="G10" i="13019" s="1"/>
  <c r="M20" i="13019"/>
  <c r="O20" i="13019" s="1"/>
  <c r="M29" i="13019"/>
  <c r="O29" i="13019" s="1"/>
  <c r="M17" i="13019"/>
  <c r="O17" i="13019" s="1"/>
  <c r="M23" i="13019"/>
  <c r="O23" i="13019" s="1"/>
  <c r="M14" i="13019"/>
  <c r="O14" i="13019" s="1"/>
  <c r="M13" i="13019"/>
  <c r="O13" i="13019" s="1"/>
  <c r="E18" i="13019"/>
  <c r="E17" i="13019"/>
  <c r="G17" i="13019" s="1"/>
  <c r="M20" i="13017"/>
  <c r="S20" i="13017" s="1"/>
  <c r="U20" i="13017" s="1"/>
  <c r="Q493" i="13015"/>
  <c r="Y493" i="13015" s="1"/>
  <c r="Y502" i="13015" s="1"/>
  <c r="AB502" i="13015" s="1"/>
  <c r="Y391" i="13015"/>
  <c r="Y400" i="13015" s="1"/>
  <c r="AB400" i="13015" s="1"/>
  <c r="Q459" i="13015"/>
  <c r="Y459" i="13015" s="1"/>
  <c r="Y468" i="13015" s="1"/>
  <c r="AB468" i="13015" s="1"/>
  <c r="Q425" i="13015"/>
  <c r="Y425" i="13015" s="1"/>
  <c r="Y434" i="13015" s="1"/>
  <c r="AB434" i="13015" s="1"/>
  <c r="Q527" i="13015"/>
  <c r="Y527" i="13015" s="1"/>
  <c r="Y536" i="13015" s="1"/>
  <c r="AB536" i="13015" s="1"/>
  <c r="O14" i="13007"/>
  <c r="O17" i="13007" s="1"/>
  <c r="K17" i="13007"/>
  <c r="AA12" i="13020"/>
  <c r="AB12" i="13020"/>
  <c r="M29" i="13016"/>
  <c r="AC29" i="12989"/>
  <c r="AE29" i="12989" s="1"/>
  <c r="AB668" i="12908"/>
  <c r="AB382" i="12908"/>
  <c r="S23" i="13016"/>
  <c r="Q21" i="13005"/>
  <c r="S27" i="13014"/>
  <c r="U38" i="13005"/>
  <c r="S14" i="13014"/>
  <c r="Q14" i="13014"/>
  <c r="Y46" i="13014"/>
  <c r="AJ61" i="12989" s="1"/>
  <c r="W49" i="13014"/>
  <c r="Y49" i="13014" s="1"/>
  <c r="W28" i="12992"/>
  <c r="G13" i="12992" s="1"/>
  <c r="I13" i="12992" s="1"/>
  <c r="K13" i="12992" s="1"/>
  <c r="Q921" i="12908"/>
  <c r="Q432" i="12908"/>
  <c r="AB772" i="12908"/>
  <c r="Q31" i="13005"/>
  <c r="AB1390" i="12908"/>
  <c r="Q750" i="12908"/>
  <c r="Q920" i="12908"/>
  <c r="Q327" i="12908"/>
  <c r="Q708" i="12908"/>
  <c r="Q363" i="12908"/>
  <c r="Q466" i="12908"/>
  <c r="Q500" i="12908"/>
  <c r="Q957" i="12908"/>
  <c r="Q790" i="12908"/>
  <c r="AB635" i="12908"/>
  <c r="Q956" i="12908"/>
  <c r="Y687" i="12908"/>
  <c r="AV687" i="13034" s="1"/>
  <c r="Q770" i="12908"/>
  <c r="Q729" i="12908"/>
  <c r="Q771" i="12908"/>
  <c r="Q364" i="12908"/>
  <c r="Q399" i="12908"/>
  <c r="Q709" i="12908"/>
  <c r="Q730" i="12908"/>
  <c r="Q751" i="12908"/>
  <c r="Q292" i="12908"/>
  <c r="Q501" i="12908"/>
  <c r="Q256" i="12908"/>
  <c r="Q885" i="12908"/>
  <c r="Q667" i="12908"/>
  <c r="Y688" i="12908"/>
  <c r="AV688" i="13034" s="1"/>
  <c r="Q903" i="12908"/>
  <c r="Q433" i="12908"/>
  <c r="Q828" i="12908"/>
  <c r="Q809" i="12908"/>
  <c r="Q601" i="12908"/>
  <c r="Q535" i="12908"/>
  <c r="Q568" i="12908"/>
  <c r="Q939" i="12908"/>
  <c r="Q328" i="12908"/>
  <c r="AB672" i="12908"/>
  <c r="Q24" i="13005"/>
  <c r="Q902" i="12908"/>
  <c r="Q534" i="12908"/>
  <c r="Q398" i="12908"/>
  <c r="Q846" i="12908"/>
  <c r="Q808" i="12908"/>
  <c r="Q789" i="12908"/>
  <c r="Q633" i="12908"/>
  <c r="Q884" i="12908"/>
  <c r="Q666" i="12908"/>
  <c r="Q827" i="12908"/>
  <c r="Q567" i="12908"/>
  <c r="Q938" i="12908"/>
  <c r="Q865" i="12908"/>
  <c r="Q291" i="12908"/>
  <c r="Q600" i="12908"/>
  <c r="Q847" i="12908"/>
  <c r="Q866" i="12908"/>
  <c r="AB585" i="12908"/>
  <c r="W25" i="12991"/>
  <c r="Q2009" i="12908"/>
  <c r="Q2057" i="12908"/>
  <c r="Q2033" i="12908"/>
  <c r="Q2081" i="12908"/>
  <c r="AN2081" i="13034" s="1"/>
  <c r="Y1985" i="12908"/>
  <c r="E10" i="13009"/>
  <c r="E25" i="13009"/>
  <c r="E21" i="13009"/>
  <c r="E24" i="13009"/>
  <c r="E12" i="13009"/>
  <c r="E17" i="13009"/>
  <c r="E20" i="13009"/>
  <c r="E26" i="13009"/>
  <c r="E11" i="13009"/>
  <c r="E27" i="13009"/>
  <c r="E28" i="13009"/>
  <c r="E29" i="13009"/>
  <c r="E16" i="13009"/>
  <c r="E30" i="13009"/>
  <c r="E19" i="13009"/>
  <c r="E31" i="13009"/>
  <c r="E22" i="13009"/>
  <c r="E23" i="13009"/>
  <c r="E18" i="13009"/>
  <c r="E14" i="13009"/>
  <c r="M22" i="13009"/>
  <c r="M26" i="13009"/>
  <c r="M29" i="13009"/>
  <c r="M12" i="13009"/>
  <c r="M15" i="13009"/>
  <c r="M11" i="13009"/>
  <c r="M13" i="13009"/>
  <c r="M31" i="13009"/>
  <c r="M28" i="13009"/>
  <c r="M14" i="13009"/>
  <c r="M25" i="13009"/>
  <c r="M23" i="13009"/>
  <c r="M18" i="13009"/>
  <c r="M10" i="13009"/>
  <c r="M16" i="13009"/>
  <c r="M24" i="13009"/>
  <c r="M19" i="13009"/>
  <c r="M27" i="13009"/>
  <c r="M21" i="13009"/>
  <c r="M30" i="13009"/>
  <c r="Q1483" i="12908"/>
  <c r="Y2100" i="12908"/>
  <c r="AV2100" i="13034" s="1"/>
  <c r="Q2167" i="12908"/>
  <c r="AN2167" i="13034" s="1"/>
  <c r="Q1414" i="12908"/>
  <c r="AA30" i="12993"/>
  <c r="Q1474" i="12908"/>
  <c r="Y1392" i="12908"/>
  <c r="Q1434" i="12908"/>
  <c r="Q2312" i="12908"/>
  <c r="AN2312" i="13034" s="1"/>
  <c r="Q1454" i="12908"/>
  <c r="S41" i="13005"/>
  <c r="AF38" i="12989"/>
  <c r="AG38" i="12989" s="1"/>
  <c r="Y2080" i="12908"/>
  <c r="AV2080" i="13034" s="1"/>
  <c r="Q2124" i="12908"/>
  <c r="Q2146" i="12908"/>
  <c r="Q2102" i="12908"/>
  <c r="AN2102" i="13034" s="1"/>
  <c r="Y2313" i="12908"/>
  <c r="AV2313" i="13034" s="1"/>
  <c r="Q2417" i="12908"/>
  <c r="Q2521" i="12908"/>
  <c r="Q15" i="13007"/>
  <c r="Q21" i="13007"/>
  <c r="Q2145" i="12908"/>
  <c r="Y2079" i="12908"/>
  <c r="AV2079" i="13034" s="1"/>
  <c r="Q2123" i="12908"/>
  <c r="Q2101" i="12908"/>
  <c r="AN2101" i="13034" s="1"/>
  <c r="H20" i="12995"/>
  <c r="J20" i="12995" s="1"/>
  <c r="L20" i="12995" s="1"/>
  <c r="H17" i="12995"/>
  <c r="J17" i="12995" s="1"/>
  <c r="L17" i="12995" s="1"/>
  <c r="H25" i="12995"/>
  <c r="J25" i="12995" s="1"/>
  <c r="L25" i="12995" s="1"/>
  <c r="H24" i="12995"/>
  <c r="J24" i="12995" s="1"/>
  <c r="L24" i="12995" s="1"/>
  <c r="H31" i="12995"/>
  <c r="J31" i="12995" s="1"/>
  <c r="L31" i="12995" s="1"/>
  <c r="H23" i="12995"/>
  <c r="J23" i="12995" s="1"/>
  <c r="L23" i="12995" s="1"/>
  <c r="H29" i="12995"/>
  <c r="J29" i="12995" s="1"/>
  <c r="L29" i="12995" s="1"/>
  <c r="H15" i="12995"/>
  <c r="J15" i="12995" s="1"/>
  <c r="L15" i="12995" s="1"/>
  <c r="H33" i="12995"/>
  <c r="J33" i="12995" s="1"/>
  <c r="L33" i="12995" s="1"/>
  <c r="H28" i="12995"/>
  <c r="J28" i="12995" s="1"/>
  <c r="L28" i="12995" s="1"/>
  <c r="H11" i="12995"/>
  <c r="J11" i="12995" s="1"/>
  <c r="L11" i="12995" s="1"/>
  <c r="H19" i="12995"/>
  <c r="J19" i="12995" s="1"/>
  <c r="L19" i="12995" s="1"/>
  <c r="H21" i="12995"/>
  <c r="J21" i="12995" s="1"/>
  <c r="L21" i="12995" s="1"/>
  <c r="H12" i="12995"/>
  <c r="J12" i="12995" s="1"/>
  <c r="L12" i="12995" s="1"/>
  <c r="H13" i="12995"/>
  <c r="J13" i="12995" s="1"/>
  <c r="L13" i="12995" s="1"/>
  <c r="H16" i="12995"/>
  <c r="J16" i="12995" s="1"/>
  <c r="L16" i="12995" s="1"/>
  <c r="H32" i="12995"/>
  <c r="J32" i="12995" s="1"/>
  <c r="L32" i="12995" s="1"/>
  <c r="H27" i="12995"/>
  <c r="J27" i="12995" s="1"/>
  <c r="L27" i="12995" s="1"/>
  <c r="P12" i="12995"/>
  <c r="R12" i="12995" s="1"/>
  <c r="T12" i="12995" s="1"/>
  <c r="P32" i="12995"/>
  <c r="R32" i="12995" s="1"/>
  <c r="T32" i="12995" s="1"/>
  <c r="P25" i="12995"/>
  <c r="R25" i="12995" s="1"/>
  <c r="T25" i="12995" s="1"/>
  <c r="P28" i="12995"/>
  <c r="R28" i="12995" s="1"/>
  <c r="T28" i="12995" s="1"/>
  <c r="P24" i="12995"/>
  <c r="R24" i="12995" s="1"/>
  <c r="T24" i="12995" s="1"/>
  <c r="P23" i="12995"/>
  <c r="R23" i="12995" s="1"/>
  <c r="T23" i="12995" s="1"/>
  <c r="P16" i="12995"/>
  <c r="R16" i="12995" s="1"/>
  <c r="T16" i="12995" s="1"/>
  <c r="P17" i="12995"/>
  <c r="R17" i="12995" s="1"/>
  <c r="T17" i="12995" s="1"/>
  <c r="P31" i="12995"/>
  <c r="R31" i="12995" s="1"/>
  <c r="T31" i="12995" s="1"/>
  <c r="P29" i="12995"/>
  <c r="R29" i="12995" s="1"/>
  <c r="T29" i="12995" s="1"/>
  <c r="P13" i="12995"/>
  <c r="R13" i="12995" s="1"/>
  <c r="T13" i="12995" s="1"/>
  <c r="P27" i="12995"/>
  <c r="R27" i="12995" s="1"/>
  <c r="T27" i="12995" s="1"/>
  <c r="P21" i="12995"/>
  <c r="R21" i="12995" s="1"/>
  <c r="T21" i="12995" s="1"/>
  <c r="P33" i="12995"/>
  <c r="R33" i="12995" s="1"/>
  <c r="T33" i="12995" s="1"/>
  <c r="P19" i="12995"/>
  <c r="R19" i="12995" s="1"/>
  <c r="T19" i="12995" s="1"/>
  <c r="P11" i="12995"/>
  <c r="R11" i="12995" s="1"/>
  <c r="T11" i="12995" s="1"/>
  <c r="P20" i="12995"/>
  <c r="R20" i="12995" s="1"/>
  <c r="T20" i="12995" s="1"/>
  <c r="P15" i="12995"/>
  <c r="R15" i="12995" s="1"/>
  <c r="T15" i="12995" s="1"/>
  <c r="E17" i="13008"/>
  <c r="E22" i="13008"/>
  <c r="E10" i="13008"/>
  <c r="E27" i="13008"/>
  <c r="E20" i="13008"/>
  <c r="E25" i="13008"/>
  <c r="E24" i="13008"/>
  <c r="E26" i="13008"/>
  <c r="E12" i="13008"/>
  <c r="E21" i="13008"/>
  <c r="E28" i="13008"/>
  <c r="E30" i="13008"/>
  <c r="E23" i="13008"/>
  <c r="E11" i="13008"/>
  <c r="E19" i="13008"/>
  <c r="E29" i="13008"/>
  <c r="E18" i="13008"/>
  <c r="E13" i="13008"/>
  <c r="E14" i="13008"/>
  <c r="M29" i="13008"/>
  <c r="M24" i="13008"/>
  <c r="M22" i="13008"/>
  <c r="M31" i="13008"/>
  <c r="M18" i="13008"/>
  <c r="E31" i="13008"/>
  <c r="M23" i="13008"/>
  <c r="M26" i="13008"/>
  <c r="M12" i="13008"/>
  <c r="M30" i="13008"/>
  <c r="M17" i="13008"/>
  <c r="M27" i="13008"/>
  <c r="M14" i="13008"/>
  <c r="M19" i="13008"/>
  <c r="M10" i="13008"/>
  <c r="M11" i="13008"/>
  <c r="M25" i="13008"/>
  <c r="M15" i="13008"/>
  <c r="M13" i="13008"/>
  <c r="M16" i="13008"/>
  <c r="M28" i="13008"/>
  <c r="AB15" i="12908"/>
  <c r="AB13" i="12908"/>
  <c r="AB810" i="12908" l="1"/>
  <c r="AV810" i="13034"/>
  <c r="AB366" i="12908"/>
  <c r="AV366" i="13034"/>
  <c r="AB346" i="12908"/>
  <c r="AB1436" i="12908"/>
  <c r="AV1436" i="13034"/>
  <c r="AF14" i="12989"/>
  <c r="AG14" i="12989" s="1"/>
  <c r="Y2123" i="12908"/>
  <c r="AV2123" i="13034" s="1"/>
  <c r="AN2123" i="13034"/>
  <c r="Y2033" i="12908"/>
  <c r="AN2033" i="13034"/>
  <c r="K27" i="13025"/>
  <c r="K11" i="13025"/>
  <c r="K21" i="13025"/>
  <c r="K25" i="13025"/>
  <c r="K33" i="13025"/>
  <c r="K55" i="13025"/>
  <c r="K56" i="13025"/>
  <c r="K57" i="13025"/>
  <c r="K32" i="13025"/>
  <c r="K12" i="13025"/>
  <c r="K19" i="13025"/>
  <c r="W27" i="13007"/>
  <c r="Y27" i="13007" s="1"/>
  <c r="AB829" i="12908"/>
  <c r="AV829" i="13034"/>
  <c r="Y502" i="12908"/>
  <c r="AV493" i="13034"/>
  <c r="AB1608" i="12908"/>
  <c r="AB1607" i="12908"/>
  <c r="AB618" i="12908"/>
  <c r="AV635" i="13034"/>
  <c r="Y2124" i="12908"/>
  <c r="AV2124" i="13034" s="1"/>
  <c r="AN2124" i="13034"/>
  <c r="AB1416" i="12908"/>
  <c r="AV1416" i="13034"/>
  <c r="AV1456" i="13034"/>
  <c r="AB1456" i="12908"/>
  <c r="Q32" i="13005"/>
  <c r="AB791" i="12908"/>
  <c r="AV791" i="13034"/>
  <c r="AB330" i="12908"/>
  <c r="AV330" i="13034"/>
  <c r="AB310" i="12908"/>
  <c r="AB1377" i="12908"/>
  <c r="AA13" i="13027"/>
  <c r="AN1483" i="13034"/>
  <c r="Y2057" i="12908"/>
  <c r="AN2057" i="13034"/>
  <c r="U14" i="13005"/>
  <c r="AA14" i="13005" s="1"/>
  <c r="K16" i="13025"/>
  <c r="K22" i="13025"/>
  <c r="K52" i="13025"/>
  <c r="K41" i="13025"/>
  <c r="K58" i="13025"/>
  <c r="K13" i="13025"/>
  <c r="K15" i="13025"/>
  <c r="K23" i="13025"/>
  <c r="K38" i="13025"/>
  <c r="K47" i="13025"/>
  <c r="K54" i="13025"/>
  <c r="AB958" i="12908"/>
  <c r="AV958" i="13034"/>
  <c r="Q33" i="13005"/>
  <c r="AV1476" i="13034"/>
  <c r="AB922" i="12908"/>
  <c r="AV922" i="13034"/>
  <c r="AB400" i="12908"/>
  <c r="AV400" i="13034"/>
  <c r="M18" i="13016"/>
  <c r="W18" i="13005"/>
  <c r="Y18" i="13005" s="1"/>
  <c r="AC18" i="12989"/>
  <c r="AE18" i="12989" s="1"/>
  <c r="Q14" i="13007"/>
  <c r="W14" i="13007" s="1"/>
  <c r="Y14" i="13007" s="1"/>
  <c r="AB940" i="12908"/>
  <c r="AV940" i="13034"/>
  <c r="Y536" i="12908"/>
  <c r="AV425" i="13034"/>
  <c r="Y434" i="12908"/>
  <c r="Y2145" i="12908"/>
  <c r="AV2145" i="13034" s="1"/>
  <c r="AN2145" i="13034"/>
  <c r="Y2146" i="12908"/>
  <c r="AV2146" i="13034" s="1"/>
  <c r="AN2146" i="13034"/>
  <c r="Y1998" i="12908"/>
  <c r="AV1998" i="13034" s="1"/>
  <c r="AV1985" i="13034"/>
  <c r="Y2009" i="12908"/>
  <c r="AN2009" i="13034"/>
  <c r="S23" i="13013"/>
  <c r="U23" i="13013" s="1"/>
  <c r="K49" i="13025"/>
  <c r="K53" i="13025"/>
  <c r="K48" i="13025"/>
  <c r="K29" i="13025"/>
  <c r="K51" i="13025"/>
  <c r="K26" i="13025"/>
  <c r="K35" i="13025"/>
  <c r="K36" i="13025"/>
  <c r="K37" i="13025"/>
  <c r="K18" i="13025"/>
  <c r="AV459" i="13034"/>
  <c r="Y468" i="12908"/>
  <c r="AV867" i="13034"/>
  <c r="AB867" i="12908"/>
  <c r="AB294" i="12908"/>
  <c r="AV294" i="13034"/>
  <c r="AB274" i="12908"/>
  <c r="M40" i="13016"/>
  <c r="AC40" i="12989"/>
  <c r="AE40" i="12989" s="1"/>
  <c r="Q28" i="13007"/>
  <c r="W28" i="13007" s="1"/>
  <c r="Y28" i="13007" s="1"/>
  <c r="AC39" i="12989"/>
  <c r="AE39" i="12989" s="1"/>
  <c r="M39" i="13016"/>
  <c r="W39" i="13005"/>
  <c r="Y39" i="13005" s="1"/>
  <c r="Q27" i="13007"/>
  <c r="Q29" i="13007" s="1"/>
  <c r="Q41" i="13005"/>
  <c r="AC41" i="12989" s="1"/>
  <c r="AE41" i="12989" s="1"/>
  <c r="Y2521" i="12908"/>
  <c r="AV2521" i="13034" s="1"/>
  <c r="AN2521" i="13034"/>
  <c r="S31" i="13005"/>
  <c r="O31" i="13016" s="1"/>
  <c r="AV1392" i="13034"/>
  <c r="Y291" i="12908"/>
  <c r="AV291" i="13034" s="1"/>
  <c r="AN291" i="13034"/>
  <c r="Y827" i="12908"/>
  <c r="AV827" i="13034" s="1"/>
  <c r="AN827" i="13034"/>
  <c r="Y789" i="12908"/>
  <c r="AV789" i="13034" s="1"/>
  <c r="AN789" i="13034"/>
  <c r="Y534" i="12908"/>
  <c r="AV534" i="13034" s="1"/>
  <c r="AN534" i="13034"/>
  <c r="Y535" i="12908"/>
  <c r="AV535" i="13034" s="1"/>
  <c r="AN535" i="13034"/>
  <c r="Y433" i="12908"/>
  <c r="AV433" i="13034" s="1"/>
  <c r="AN433" i="13034"/>
  <c r="Y885" i="12908"/>
  <c r="AV885" i="13034" s="1"/>
  <c r="AN885" i="13034"/>
  <c r="Y751" i="12908"/>
  <c r="AV751" i="13034" s="1"/>
  <c r="AN751" i="13034"/>
  <c r="Y364" i="12908"/>
  <c r="AV364" i="13034" s="1"/>
  <c r="AN364" i="13034"/>
  <c r="Y790" i="12908"/>
  <c r="AV790" i="13034" s="1"/>
  <c r="AN790" i="13034"/>
  <c r="Y363" i="12908"/>
  <c r="AV363" i="13034" s="1"/>
  <c r="AN363" i="13034"/>
  <c r="Y920" i="12908"/>
  <c r="AV920" i="13034" s="1"/>
  <c r="AN920" i="13034"/>
  <c r="Y921" i="12908"/>
  <c r="AV921" i="13034" s="1"/>
  <c r="AN921" i="13034"/>
  <c r="Y255" i="12908"/>
  <c r="AV255" i="13034" s="1"/>
  <c r="AN255" i="13034"/>
  <c r="Y1415" i="12908"/>
  <c r="AV1415" i="13034" s="1"/>
  <c r="AN1415" i="13034"/>
  <c r="AC41" i="13007"/>
  <c r="AA46" i="13007"/>
  <c r="Y2417" i="12908"/>
  <c r="AV2417" i="13034" s="1"/>
  <c r="AN2417" i="13034"/>
  <c r="Y1454" i="12908"/>
  <c r="AN1454" i="13034"/>
  <c r="Y1474" i="12908"/>
  <c r="AN1474" i="13034"/>
  <c r="Y866" i="12908"/>
  <c r="AV866" i="13034" s="1"/>
  <c r="AN866" i="13034"/>
  <c r="Y865" i="12908"/>
  <c r="AV865" i="13034" s="1"/>
  <c r="AN865" i="13034"/>
  <c r="Y666" i="12908"/>
  <c r="AV666" i="13034" s="1"/>
  <c r="AN666" i="13034"/>
  <c r="Y808" i="12908"/>
  <c r="AV808" i="13034" s="1"/>
  <c r="AN808" i="13034"/>
  <c r="Y902" i="12908"/>
  <c r="AV902" i="13034" s="1"/>
  <c r="AN902" i="13034"/>
  <c r="Y328" i="12908"/>
  <c r="AV328" i="13034" s="1"/>
  <c r="AN328" i="13034"/>
  <c r="Y601" i="12908"/>
  <c r="AV601" i="13034" s="1"/>
  <c r="AN601" i="13034"/>
  <c r="Y903" i="12908"/>
  <c r="AV903" i="13034" s="1"/>
  <c r="AN903" i="13034"/>
  <c r="Y256" i="12908"/>
  <c r="AV256" i="13034" s="1"/>
  <c r="AN256" i="13034"/>
  <c r="Y730" i="12908"/>
  <c r="AV730" i="13034" s="1"/>
  <c r="AN730" i="13034"/>
  <c r="Y771" i="12908"/>
  <c r="AV771" i="13034" s="1"/>
  <c r="AN771" i="13034"/>
  <c r="Y956" i="12908"/>
  <c r="AV956" i="13034" s="1"/>
  <c r="AN956" i="13034"/>
  <c r="Y957" i="12908"/>
  <c r="AV957" i="13034" s="1"/>
  <c r="AN957" i="13034"/>
  <c r="Y750" i="12908"/>
  <c r="AV750" i="13034" s="1"/>
  <c r="AN750" i="13034"/>
  <c r="Y432" i="12908"/>
  <c r="AV432" i="13034" s="1"/>
  <c r="AN432" i="13034"/>
  <c r="Y1475" i="12908"/>
  <c r="AV1475" i="13034" s="1"/>
  <c r="AN1475" i="13034"/>
  <c r="O40" i="13016"/>
  <c r="S28" i="13007"/>
  <c r="U28" i="13007" s="1"/>
  <c r="AF40" i="12989"/>
  <c r="AG40" i="12989" s="1"/>
  <c r="U40" i="13005"/>
  <c r="AA40" i="13005" s="1"/>
  <c r="AC40" i="13005" s="1"/>
  <c r="Q46" i="13017"/>
  <c r="Q49" i="13017" s="1"/>
  <c r="W41" i="13017"/>
  <c r="Y1435" i="12908"/>
  <c r="AV1435" i="13034" s="1"/>
  <c r="AN1435" i="13034"/>
  <c r="S16" i="13005"/>
  <c r="AV109" i="13034"/>
  <c r="Y847" i="12908"/>
  <c r="AV847" i="13034" s="1"/>
  <c r="AN847" i="13034"/>
  <c r="Y938" i="12908"/>
  <c r="AV938" i="13034" s="1"/>
  <c r="AN938" i="13034"/>
  <c r="Y884" i="12908"/>
  <c r="AV884" i="13034" s="1"/>
  <c r="AN884" i="13034"/>
  <c r="Y846" i="12908"/>
  <c r="AV846" i="13034" s="1"/>
  <c r="AN846" i="13034"/>
  <c r="Y939" i="12908"/>
  <c r="AV939" i="13034" s="1"/>
  <c r="AN939" i="13034"/>
  <c r="Y809" i="12908"/>
  <c r="AV809" i="13034" s="1"/>
  <c r="AN809" i="13034"/>
  <c r="Y501" i="12908"/>
  <c r="AV501" i="13034" s="1"/>
  <c r="AN501" i="13034"/>
  <c r="Y709" i="12908"/>
  <c r="AV709" i="13034" s="1"/>
  <c r="AN709" i="13034"/>
  <c r="Y729" i="12908"/>
  <c r="AV729" i="13034" s="1"/>
  <c r="AN729" i="13034"/>
  <c r="Y500" i="12908"/>
  <c r="AV500" i="13034" s="1"/>
  <c r="AN500" i="13034"/>
  <c r="Y708" i="12908"/>
  <c r="AV708" i="13034" s="1"/>
  <c r="AN708" i="13034"/>
  <c r="Y634" i="12908"/>
  <c r="AV634" i="13034" s="1"/>
  <c r="AN634" i="13034"/>
  <c r="Y1455" i="12908"/>
  <c r="AV1455" i="13034" s="1"/>
  <c r="AN1455" i="13034"/>
  <c r="W61" i="13016"/>
  <c r="Y56" i="13016"/>
  <c r="AA64" i="13005"/>
  <c r="AC64" i="13005" s="1"/>
  <c r="AC61" i="13005"/>
  <c r="S29" i="13007"/>
  <c r="Y1434" i="12908"/>
  <c r="AV1434" i="13034" s="1"/>
  <c r="AN1434" i="13034"/>
  <c r="Y1414" i="12908"/>
  <c r="AV1414" i="13034" s="1"/>
  <c r="AN1414" i="13034"/>
  <c r="Y600" i="12908"/>
  <c r="AV600" i="13034" s="1"/>
  <c r="AN600" i="13034"/>
  <c r="Y567" i="12908"/>
  <c r="AV567" i="13034" s="1"/>
  <c r="AN567" i="13034"/>
  <c r="Y633" i="12908"/>
  <c r="AV633" i="13034" s="1"/>
  <c r="AN633" i="13034"/>
  <c r="Y398" i="12908"/>
  <c r="AV398" i="13034" s="1"/>
  <c r="AN398" i="13034"/>
  <c r="Y568" i="12908"/>
  <c r="AV568" i="13034" s="1"/>
  <c r="AN568" i="13034"/>
  <c r="Y828" i="12908"/>
  <c r="AV828" i="13034" s="1"/>
  <c r="AN828" i="13034"/>
  <c r="Y667" i="12908"/>
  <c r="AV667" i="13034" s="1"/>
  <c r="AN667" i="13034"/>
  <c r="Y292" i="12908"/>
  <c r="AV292" i="13034" s="1"/>
  <c r="AN292" i="13034"/>
  <c r="Y399" i="12908"/>
  <c r="AV399" i="13034" s="1"/>
  <c r="AN399" i="13034"/>
  <c r="Y770" i="12908"/>
  <c r="AV770" i="13034" s="1"/>
  <c r="AN770" i="13034"/>
  <c r="Y466" i="12908"/>
  <c r="AV466" i="13034" s="1"/>
  <c r="AN466" i="13034"/>
  <c r="Y327" i="12908"/>
  <c r="AV327" i="13034" s="1"/>
  <c r="AN327" i="13034"/>
  <c r="U39" i="13005"/>
  <c r="AA39" i="13005" s="1"/>
  <c r="AC39" i="13005" s="1"/>
  <c r="O39" i="13016"/>
  <c r="AF39" i="12989"/>
  <c r="AG39" i="12989" s="1"/>
  <c r="S17" i="13005"/>
  <c r="AV146" i="13034"/>
  <c r="S18" i="13005"/>
  <c r="AV183" i="13034"/>
  <c r="S15" i="13005"/>
  <c r="AV80" i="13034"/>
  <c r="Y467" i="12908"/>
  <c r="AV467" i="13034" s="1"/>
  <c r="AN467" i="13034"/>
  <c r="S19" i="13005"/>
  <c r="AV220" i="13034"/>
  <c r="I27" i="13021"/>
  <c r="Q12" i="13021"/>
  <c r="O29" i="12992"/>
  <c r="Q29" i="12992" s="1"/>
  <c r="S29" i="12992" s="1"/>
  <c r="I18" i="13021"/>
  <c r="Q11" i="13021"/>
  <c r="Q15" i="13021"/>
  <c r="Q30" i="13021"/>
  <c r="Q24" i="13021"/>
  <c r="I31" i="13021"/>
  <c r="O21" i="12992"/>
  <c r="Q21" i="12992" s="1"/>
  <c r="S21" i="12992" s="1"/>
  <c r="G25" i="12992"/>
  <c r="I25" i="12992" s="1"/>
  <c r="K25" i="12992" s="1"/>
  <c r="O20" i="12992"/>
  <c r="Q20" i="12992" s="1"/>
  <c r="S20" i="12992" s="1"/>
  <c r="G23" i="12992"/>
  <c r="I23" i="12992" s="1"/>
  <c r="K23" i="12992" s="1"/>
  <c r="O19" i="12992"/>
  <c r="Q19" i="12992" s="1"/>
  <c r="S19" i="12992" s="1"/>
  <c r="Q18" i="13021"/>
  <c r="G12" i="12992"/>
  <c r="I12" i="12992" s="1"/>
  <c r="K12" i="12992" s="1"/>
  <c r="G24" i="12992"/>
  <c r="I24" i="12992" s="1"/>
  <c r="K24" i="12992" s="1"/>
  <c r="O24" i="12992"/>
  <c r="Q24" i="12992" s="1"/>
  <c r="S24" i="12992" s="1"/>
  <c r="O17" i="12992"/>
  <c r="Q17" i="12992" s="1"/>
  <c r="S17" i="12992" s="1"/>
  <c r="G21" i="12992"/>
  <c r="I21" i="12992" s="1"/>
  <c r="K21" i="12992" s="1"/>
  <c r="G20" i="12992"/>
  <c r="I20" i="12992" s="1"/>
  <c r="K20" i="12992" s="1"/>
  <c r="O15" i="12992"/>
  <c r="Q15" i="12992" s="1"/>
  <c r="S15" i="12992" s="1"/>
  <c r="G28" i="12992"/>
  <c r="I28" i="12992" s="1"/>
  <c r="K28" i="12992" s="1"/>
  <c r="G11" i="12992"/>
  <c r="I11" i="12992" s="1"/>
  <c r="K11" i="12992" s="1"/>
  <c r="G19" i="12992"/>
  <c r="I19" i="12992" s="1"/>
  <c r="K19" i="12992" s="1"/>
  <c r="O11" i="12992"/>
  <c r="Q11" i="12992" s="1"/>
  <c r="S11" i="12992" s="1"/>
  <c r="G15" i="12992"/>
  <c r="I15" i="12992" s="1"/>
  <c r="K15" i="12992" s="1"/>
  <c r="O13" i="12992"/>
  <c r="Q13" i="12992" s="1"/>
  <c r="S13" i="12992" s="1"/>
  <c r="O25" i="12992"/>
  <c r="Q25" i="12992" s="1"/>
  <c r="S25" i="12992" s="1"/>
  <c r="O16" i="12992"/>
  <c r="Q16" i="12992" s="1"/>
  <c r="S16" i="12992" s="1"/>
  <c r="G16" i="12992"/>
  <c r="I16" i="12992" s="1"/>
  <c r="K16" i="12992" s="1"/>
  <c r="G29" i="12992"/>
  <c r="I29" i="12992" s="1"/>
  <c r="K29" i="12992" s="1"/>
  <c r="O12" i="12992"/>
  <c r="Q12" i="12992" s="1"/>
  <c r="S12" i="12992" s="1"/>
  <c r="O23" i="12992"/>
  <c r="Q23" i="12992" s="1"/>
  <c r="S23" i="12992" s="1"/>
  <c r="G27" i="12992"/>
  <c r="I27" i="12992" s="1"/>
  <c r="K27" i="12992" s="1"/>
  <c r="O27" i="12992"/>
  <c r="Q27" i="12992" s="1"/>
  <c r="S27" i="12992" s="1"/>
  <c r="G17" i="12992"/>
  <c r="I17" i="12992" s="1"/>
  <c r="K17" i="12992" s="1"/>
  <c r="O28" i="12992"/>
  <c r="Q28" i="12992" s="1"/>
  <c r="S28" i="12992" s="1"/>
  <c r="I31" i="13019"/>
  <c r="I23" i="13021"/>
  <c r="I16" i="13021"/>
  <c r="G15" i="13019"/>
  <c r="I28" i="13021"/>
  <c r="Q26" i="13021"/>
  <c r="I26" i="13019"/>
  <c r="I20" i="13021"/>
  <c r="Q19" i="13021"/>
  <c r="Q22" i="13019"/>
  <c r="I27" i="13019"/>
  <c r="Q23" i="13021"/>
  <c r="Q25" i="13021"/>
  <c r="AC21" i="12989"/>
  <c r="AE21" i="12989" s="1"/>
  <c r="AB1380" i="13015"/>
  <c r="AB1379" i="13015"/>
  <c r="Q26" i="13019"/>
  <c r="AB651" i="13015"/>
  <c r="AB668" i="13015"/>
  <c r="O20" i="13008"/>
  <c r="Q20" i="13008"/>
  <c r="G15" i="13021"/>
  <c r="Z14" i="13021"/>
  <c r="I30" i="13019"/>
  <c r="Q25" i="13019"/>
  <c r="Q30" i="13019"/>
  <c r="Q14" i="13021"/>
  <c r="Q27" i="13019"/>
  <c r="I10" i="13019"/>
  <c r="Y2101" i="13015"/>
  <c r="Q2168" i="13015"/>
  <c r="M21" i="13014"/>
  <c r="S21" i="13014" s="1"/>
  <c r="U21" i="13014" s="1"/>
  <c r="K29" i="13005"/>
  <c r="S29" i="13013"/>
  <c r="U29" i="13013" s="1"/>
  <c r="M33" i="13005"/>
  <c r="O33" i="13005" s="1"/>
  <c r="Q33" i="13013"/>
  <c r="W33" i="13013" s="1"/>
  <c r="M15" i="13017"/>
  <c r="S15" i="13016"/>
  <c r="U15" i="13016" s="1"/>
  <c r="Q957" i="13015"/>
  <c r="Y957" i="13015" s="1"/>
  <c r="Q709" i="13015"/>
  <c r="Y709" i="13015" s="1"/>
  <c r="Q885" i="13015"/>
  <c r="Y885" i="13015" s="1"/>
  <c r="Q866" i="13015"/>
  <c r="Y866" i="13015" s="1"/>
  <c r="Q939" i="13015"/>
  <c r="Y939" i="13015" s="1"/>
  <c r="Q809" i="13015"/>
  <c r="Y809" i="13015" s="1"/>
  <c r="Q903" i="13015"/>
  <c r="Y903" i="13015" s="1"/>
  <c r="Q771" i="13015"/>
  <c r="Y771" i="13015" s="1"/>
  <c r="Q467" i="13015"/>
  <c r="Y467" i="13015" s="1"/>
  <c r="Q921" i="13015"/>
  <c r="Y921" i="13015" s="1"/>
  <c r="Q847" i="13015"/>
  <c r="Y847" i="13015" s="1"/>
  <c r="Q399" i="13015"/>
  <c r="Y399" i="13015" s="1"/>
  <c r="Q292" i="13015"/>
  <c r="Y292" i="13015" s="1"/>
  <c r="Q730" i="13015"/>
  <c r="Y730" i="13015" s="1"/>
  <c r="Q328" i="13015"/>
  <c r="Y328" i="13015" s="1"/>
  <c r="Q790" i="13015"/>
  <c r="Y790" i="13015" s="1"/>
  <c r="Q751" i="13015"/>
  <c r="Y751" i="13015" s="1"/>
  <c r="Q601" i="13015"/>
  <c r="Y601" i="13015" s="1"/>
  <c r="Y688" i="13015"/>
  <c r="Q667" i="13015"/>
  <c r="Y667" i="13015" s="1"/>
  <c r="Q501" i="13015"/>
  <c r="Y501" i="13015" s="1"/>
  <c r="Q634" i="13015"/>
  <c r="Y634" i="13015" s="1"/>
  <c r="Q256" i="13015"/>
  <c r="Y256" i="13015" s="1"/>
  <c r="Q535" i="13015"/>
  <c r="Y535" i="13015" s="1"/>
  <c r="Q433" i="13015"/>
  <c r="Y433" i="13015" s="1"/>
  <c r="Q828" i="13015"/>
  <c r="Y828" i="13015" s="1"/>
  <c r="Q364" i="13015"/>
  <c r="Y364" i="13015" s="1"/>
  <c r="Q568" i="13015"/>
  <c r="Y568" i="13015" s="1"/>
  <c r="I13" i="13019"/>
  <c r="AB416" i="13015"/>
  <c r="Y1998" i="13015"/>
  <c r="AA14" i="13026"/>
  <c r="Z14" i="13027" s="1"/>
  <c r="Q1525" i="13015"/>
  <c r="Y1525" i="13015" s="1"/>
  <c r="Q1506" i="13015"/>
  <c r="Y1506" i="13015" s="1"/>
  <c r="Q2320" i="13015"/>
  <c r="Q1544" i="13015"/>
  <c r="Q1907" i="13015"/>
  <c r="Y1907" i="13015" s="1"/>
  <c r="Q1486" i="13015"/>
  <c r="Y1485" i="13015"/>
  <c r="Q2595" i="13015"/>
  <c r="Y2595" i="13015" s="1"/>
  <c r="AA21" i="13026"/>
  <c r="Z21" i="13027" s="1"/>
  <c r="Q2594" i="13015"/>
  <c r="Y2594" i="13015" s="1"/>
  <c r="Q1906" i="13015"/>
  <c r="Y1906" i="13015" s="1"/>
  <c r="Q1524" i="13015"/>
  <c r="Y1524" i="13015" s="1"/>
  <c r="Q1543" i="13015"/>
  <c r="Y1484" i="13015"/>
  <c r="Q2319" i="13015"/>
  <c r="Q1505" i="13015"/>
  <c r="Y1505" i="13015" s="1"/>
  <c r="I19" i="13019"/>
  <c r="G19" i="13019"/>
  <c r="Z15" i="13019"/>
  <c r="Q18" i="13019"/>
  <c r="O18" i="13019"/>
  <c r="K31" i="13005"/>
  <c r="K34" i="13005" s="1"/>
  <c r="K23" i="13007" s="1"/>
  <c r="S31" i="13013"/>
  <c r="M34" i="13013"/>
  <c r="M23" i="13014" s="1"/>
  <c r="Q31" i="13013"/>
  <c r="I11" i="13019"/>
  <c r="Q20" i="13019"/>
  <c r="I29" i="13019"/>
  <c r="AB382" i="13015"/>
  <c r="AB602" i="13015"/>
  <c r="AB585" i="13015"/>
  <c r="I20" i="13019"/>
  <c r="G15" i="13008"/>
  <c r="I15" i="13008"/>
  <c r="O38" i="13005"/>
  <c r="O41" i="13005" s="1"/>
  <c r="M27" i="13007"/>
  <c r="M29" i="13007" s="1"/>
  <c r="M41" i="13005"/>
  <c r="Z15" i="13021"/>
  <c r="G14" i="13021"/>
  <c r="I26" i="13021"/>
  <c r="Q13" i="13019"/>
  <c r="Q15" i="13019"/>
  <c r="W14" i="13016"/>
  <c r="AB518" i="13015"/>
  <c r="Q23" i="13019"/>
  <c r="AB484" i="13015"/>
  <c r="I24" i="13021"/>
  <c r="Q21" i="13021"/>
  <c r="W38" i="13016"/>
  <c r="Q19" i="13019"/>
  <c r="I22" i="13019"/>
  <c r="Q10" i="13021"/>
  <c r="M32" i="13005"/>
  <c r="O32" i="13005" s="1"/>
  <c r="AH32" i="12989"/>
  <c r="AI32" i="12989" s="1"/>
  <c r="Q2103" i="13015"/>
  <c r="Y2081" i="13015"/>
  <c r="Y2092" i="13015" s="1"/>
  <c r="Q2125" i="13015"/>
  <c r="Y2125" i="13015" s="1"/>
  <c r="Y2136" i="13015" s="1"/>
  <c r="AB2136" i="13015" s="1"/>
  <c r="Q2147" i="13015"/>
  <c r="Y2147" i="13015" s="1"/>
  <c r="Y2158" i="13015" s="1"/>
  <c r="AB2158" i="13015" s="1"/>
  <c r="Q902" i="13015"/>
  <c r="Y902" i="13015" s="1"/>
  <c r="Q938" i="13015"/>
  <c r="Y938" i="13015" s="1"/>
  <c r="Q846" i="13015"/>
  <c r="Y846" i="13015" s="1"/>
  <c r="Q567" i="13015"/>
  <c r="Y567" i="13015" s="1"/>
  <c r="Q500" i="13015"/>
  <c r="Y500" i="13015" s="1"/>
  <c r="Q666" i="13015"/>
  <c r="Y666" i="13015" s="1"/>
  <c r="Q729" i="13015"/>
  <c r="Y729" i="13015" s="1"/>
  <c r="Q466" i="13015"/>
  <c r="Y466" i="13015" s="1"/>
  <c r="Q534" i="13015"/>
  <c r="Y534" i="13015" s="1"/>
  <c r="Q865" i="13015"/>
  <c r="Y865" i="13015" s="1"/>
  <c r="W28" i="13022"/>
  <c r="Q398" i="13015"/>
  <c r="Y398" i="13015" s="1"/>
  <c r="Q600" i="13015"/>
  <c r="Y600" i="13015" s="1"/>
  <c r="Q770" i="13015"/>
  <c r="Y770" i="13015" s="1"/>
  <c r="Y687" i="13015"/>
  <c r="Q956" i="13015"/>
  <c r="Y956" i="13015" s="1"/>
  <c r="Q633" i="13015"/>
  <c r="Y633" i="13015" s="1"/>
  <c r="Q708" i="13015"/>
  <c r="Y708" i="13015" s="1"/>
  <c r="Q808" i="13015"/>
  <c r="Y808" i="13015" s="1"/>
  <c r="Q363" i="13015"/>
  <c r="Y363" i="13015" s="1"/>
  <c r="Q432" i="13015"/>
  <c r="Y432" i="13015" s="1"/>
  <c r="Q750" i="13015"/>
  <c r="Y750" i="13015" s="1"/>
  <c r="Q789" i="13015"/>
  <c r="Y789" i="13015" s="1"/>
  <c r="Q291" i="13015"/>
  <c r="Y291" i="13015" s="1"/>
  <c r="Q884" i="13015"/>
  <c r="Y884" i="13015" s="1"/>
  <c r="Q327" i="13015"/>
  <c r="Y327" i="13015" s="1"/>
  <c r="Q827" i="13015"/>
  <c r="Y827" i="13015" s="1"/>
  <c r="Q920" i="13015"/>
  <c r="Y920" i="13015" s="1"/>
  <c r="Q255" i="13015"/>
  <c r="Y255" i="13015" s="1"/>
  <c r="I10" i="13021"/>
  <c r="I21" i="13021"/>
  <c r="Q22" i="13021"/>
  <c r="K20" i="13007"/>
  <c r="W20" i="13007" s="1"/>
  <c r="Y20" i="13007" s="1"/>
  <c r="W27" i="13005"/>
  <c r="Y27" i="13005" s="1"/>
  <c r="Q2526" i="13015"/>
  <c r="Y2526" i="13015" s="1"/>
  <c r="Q2422" i="13015"/>
  <c r="Y2422" i="13015" s="1"/>
  <c r="Y2318" i="13015"/>
  <c r="Q1564" i="13015"/>
  <c r="Y1564" i="13015" s="1"/>
  <c r="Y1542" i="13015"/>
  <c r="Q1586" i="13015"/>
  <c r="Y1586" i="13015" s="1"/>
  <c r="Q17" i="13007"/>
  <c r="W15" i="13007"/>
  <c r="Y15" i="13007" s="1"/>
  <c r="G18" i="13019"/>
  <c r="Z14" i="13019"/>
  <c r="G21" i="13019"/>
  <c r="Z12" i="13019"/>
  <c r="AC14" i="13005"/>
  <c r="I29" i="13021"/>
  <c r="Q11" i="13019"/>
  <c r="Q12" i="13019"/>
  <c r="Q10" i="13019"/>
  <c r="AB569" i="13015"/>
  <c r="AB552" i="13015"/>
  <c r="O20" i="13009"/>
  <c r="Q20" i="13009"/>
  <c r="Z12" i="13021"/>
  <c r="G17" i="13021"/>
  <c r="I12" i="13021"/>
  <c r="I19" i="13021"/>
  <c r="Q29" i="13021"/>
  <c r="I25" i="13019"/>
  <c r="Q14" i="13019"/>
  <c r="M21" i="13016"/>
  <c r="I12" i="13019"/>
  <c r="I15" i="13021"/>
  <c r="I11" i="13021"/>
  <c r="Q20" i="13021"/>
  <c r="U38" i="13016"/>
  <c r="I18" i="13019"/>
  <c r="Q28" i="13019"/>
  <c r="I17" i="13019"/>
  <c r="Y2102" i="13015"/>
  <c r="Q2169" i="13015"/>
  <c r="AB450" i="13015"/>
  <c r="I24" i="13019"/>
  <c r="Y2312" i="13015"/>
  <c r="Q2416" i="13015"/>
  <c r="Y2416" i="13015" s="1"/>
  <c r="Q2520" i="13015"/>
  <c r="Y2520" i="13015" s="1"/>
  <c r="W41" i="13013"/>
  <c r="Y41" i="13013" s="1"/>
  <c r="Y38" i="13013"/>
  <c r="AB772" i="13015"/>
  <c r="M24" i="13013"/>
  <c r="AB672" i="13015"/>
  <c r="I25" i="13021"/>
  <c r="Q28" i="13021"/>
  <c r="I23" i="13019"/>
  <c r="M25" i="13013"/>
  <c r="M31" i="13016"/>
  <c r="AC31" i="12989"/>
  <c r="AE31" i="12989" s="1"/>
  <c r="Z13" i="13019"/>
  <c r="O16" i="13019"/>
  <c r="I28" i="13019"/>
  <c r="G28" i="13019"/>
  <c r="Q16" i="13019"/>
  <c r="G28" i="13023"/>
  <c r="G21" i="13023"/>
  <c r="G19" i="13023"/>
  <c r="G17" i="13023"/>
  <c r="G12" i="13023"/>
  <c r="G11" i="13023"/>
  <c r="G23" i="13023"/>
  <c r="G20" i="13023"/>
  <c r="G27" i="13023"/>
  <c r="G15" i="13023"/>
  <c r="G24" i="13023"/>
  <c r="G29" i="13023"/>
  <c r="G25" i="13023"/>
  <c r="G16" i="13023"/>
  <c r="G13" i="13023"/>
  <c r="O19" i="13023"/>
  <c r="O23" i="13023"/>
  <c r="O29" i="13023"/>
  <c r="O16" i="13023"/>
  <c r="O17" i="13023"/>
  <c r="O20" i="13023"/>
  <c r="O11" i="13023"/>
  <c r="O15" i="13023"/>
  <c r="O27" i="13023"/>
  <c r="O28" i="13023"/>
  <c r="O13" i="13023"/>
  <c r="O24" i="13023"/>
  <c r="O12" i="13023"/>
  <c r="O21" i="13023"/>
  <c r="O25" i="13023"/>
  <c r="AB635" i="13015"/>
  <c r="AB618" i="13015"/>
  <c r="I15" i="13009"/>
  <c r="G15" i="13009"/>
  <c r="AB685" i="13015"/>
  <c r="AB687" i="13015" s="1"/>
  <c r="O16" i="13021"/>
  <c r="Q16" i="13021"/>
  <c r="Q13" i="13021"/>
  <c r="O13" i="13021"/>
  <c r="Z13" i="13021"/>
  <c r="Q2521" i="13015"/>
  <c r="Y2521" i="13015" s="1"/>
  <c r="Y2313" i="13015"/>
  <c r="Q2417" i="13015"/>
  <c r="Y2417" i="13015" s="1"/>
  <c r="I22" i="13021"/>
  <c r="Q29" i="13019"/>
  <c r="I14" i="13019"/>
  <c r="U14" i="13016"/>
  <c r="K29" i="13007"/>
  <c r="F16" i="13029"/>
  <c r="J16" i="13029" s="1"/>
  <c r="L16" i="13029" s="1"/>
  <c r="F31" i="13029"/>
  <c r="J31" i="13029" s="1"/>
  <c r="L31" i="13029" s="1"/>
  <c r="F24" i="13029"/>
  <c r="J24" i="13029" s="1"/>
  <c r="L24" i="13029" s="1"/>
  <c r="F20" i="13029"/>
  <c r="J20" i="13029" s="1"/>
  <c r="L20" i="13029" s="1"/>
  <c r="F29" i="13029"/>
  <c r="J29" i="13029" s="1"/>
  <c r="L29" i="13029" s="1"/>
  <c r="F13" i="13029"/>
  <c r="J13" i="13029" s="1"/>
  <c r="L13" i="13029" s="1"/>
  <c r="F33" i="13029"/>
  <c r="J33" i="13029" s="1"/>
  <c r="L33" i="13029" s="1"/>
  <c r="F25" i="13029"/>
  <c r="J25" i="13029" s="1"/>
  <c r="L25" i="13029" s="1"/>
  <c r="F11" i="13029"/>
  <c r="J11" i="13029" s="1"/>
  <c r="L11" i="13029" s="1"/>
  <c r="F17" i="13029"/>
  <c r="J17" i="13029" s="1"/>
  <c r="L17" i="13029" s="1"/>
  <c r="F23" i="13029"/>
  <c r="J23" i="13029" s="1"/>
  <c r="L23" i="13029" s="1"/>
  <c r="F28" i="13029"/>
  <c r="J28" i="13029" s="1"/>
  <c r="L28" i="13029" s="1"/>
  <c r="F12" i="13029"/>
  <c r="J12" i="13029" s="1"/>
  <c r="L12" i="13029" s="1"/>
  <c r="F15" i="13029"/>
  <c r="J15" i="13029" s="1"/>
  <c r="L15" i="13029" s="1"/>
  <c r="F27" i="13029"/>
  <c r="J27" i="13029" s="1"/>
  <c r="L27" i="13029" s="1"/>
  <c r="F21" i="13029"/>
  <c r="J21" i="13029" s="1"/>
  <c r="L21" i="13029" s="1"/>
  <c r="F19" i="13029"/>
  <c r="J19" i="13029" s="1"/>
  <c r="L19" i="13029" s="1"/>
  <c r="F32" i="13029"/>
  <c r="J32" i="13029" s="1"/>
  <c r="L32" i="13029" s="1"/>
  <c r="N13" i="13029"/>
  <c r="R13" i="13029" s="1"/>
  <c r="T13" i="13029" s="1"/>
  <c r="N17" i="13029"/>
  <c r="R17" i="13029" s="1"/>
  <c r="T17" i="13029" s="1"/>
  <c r="N19" i="13029"/>
  <c r="R19" i="13029" s="1"/>
  <c r="T19" i="13029" s="1"/>
  <c r="N25" i="13029"/>
  <c r="R25" i="13029" s="1"/>
  <c r="T25" i="13029" s="1"/>
  <c r="N20" i="13029"/>
  <c r="R20" i="13029" s="1"/>
  <c r="T20" i="13029" s="1"/>
  <c r="N15" i="13029"/>
  <c r="R15" i="13029" s="1"/>
  <c r="T15" i="13029" s="1"/>
  <c r="N32" i="13029"/>
  <c r="R32" i="13029" s="1"/>
  <c r="T32" i="13029" s="1"/>
  <c r="N24" i="13029"/>
  <c r="R24" i="13029" s="1"/>
  <c r="T24" i="13029" s="1"/>
  <c r="N28" i="13029"/>
  <c r="R28" i="13029" s="1"/>
  <c r="T28" i="13029" s="1"/>
  <c r="N23" i="13029"/>
  <c r="R23" i="13029" s="1"/>
  <c r="T23" i="13029" s="1"/>
  <c r="N27" i="13029"/>
  <c r="R27" i="13029" s="1"/>
  <c r="T27" i="13029" s="1"/>
  <c r="N21" i="13029"/>
  <c r="R21" i="13029" s="1"/>
  <c r="T21" i="13029" s="1"/>
  <c r="N12" i="13029"/>
  <c r="R12" i="13029" s="1"/>
  <c r="T12" i="13029" s="1"/>
  <c r="N11" i="13029"/>
  <c r="R11" i="13029" s="1"/>
  <c r="T11" i="13029" s="1"/>
  <c r="N31" i="13029"/>
  <c r="R31" i="13029" s="1"/>
  <c r="T31" i="13029" s="1"/>
  <c r="N16" i="13029"/>
  <c r="R16" i="13029" s="1"/>
  <c r="T16" i="13029" s="1"/>
  <c r="N33" i="13029"/>
  <c r="R33" i="13029" s="1"/>
  <c r="T33" i="13029" s="1"/>
  <c r="N29" i="13029"/>
  <c r="R29" i="13029" s="1"/>
  <c r="T29" i="13029" s="1"/>
  <c r="Q27" i="13021"/>
  <c r="W23" i="13005"/>
  <c r="Y23" i="13005" s="1"/>
  <c r="Q17" i="13019"/>
  <c r="O28" i="13007"/>
  <c r="AA28" i="13007" s="1"/>
  <c r="AC28" i="13007" s="1"/>
  <c r="Q31" i="13019"/>
  <c r="O34" i="13013"/>
  <c r="M31" i="13005"/>
  <c r="AH31" i="12989"/>
  <c r="AI31" i="12989" s="1"/>
  <c r="Z30" i="13025"/>
  <c r="K49" i="13024"/>
  <c r="M49" i="13024" s="1"/>
  <c r="O49" i="13024" s="1"/>
  <c r="K34" i="13024"/>
  <c r="M34" i="13024" s="1"/>
  <c r="O34" i="13024" s="1"/>
  <c r="K25" i="13024"/>
  <c r="M25" i="13024" s="1"/>
  <c r="O25" i="13024" s="1"/>
  <c r="K32" i="13024"/>
  <c r="M32" i="13024" s="1"/>
  <c r="O32" i="13024" s="1"/>
  <c r="K55" i="13024"/>
  <c r="M55" i="13024" s="1"/>
  <c r="O55" i="13024" s="1"/>
  <c r="K15" i="13024"/>
  <c r="M15" i="13024" s="1"/>
  <c r="O15" i="13024" s="1"/>
  <c r="K57" i="13024"/>
  <c r="M57" i="13024" s="1"/>
  <c r="O57" i="13024" s="1"/>
  <c r="K46" i="13024"/>
  <c r="M46" i="13024" s="1"/>
  <c r="O46" i="13024" s="1"/>
  <c r="K26" i="13024"/>
  <c r="M26" i="13024" s="1"/>
  <c r="O26" i="13024" s="1"/>
  <c r="K43" i="13024"/>
  <c r="M43" i="13024" s="1"/>
  <c r="O43" i="13024" s="1"/>
  <c r="K41" i="13024"/>
  <c r="M41" i="13024" s="1"/>
  <c r="O41" i="13024" s="1"/>
  <c r="K23" i="13024"/>
  <c r="M23" i="13024" s="1"/>
  <c r="O23" i="13024" s="1"/>
  <c r="K21" i="13024"/>
  <c r="M21" i="13024" s="1"/>
  <c r="O21" i="13024" s="1"/>
  <c r="K17" i="13024"/>
  <c r="M17" i="13024" s="1"/>
  <c r="O17" i="13024" s="1"/>
  <c r="K22" i="13024"/>
  <c r="M22" i="13024" s="1"/>
  <c r="O22" i="13024" s="1"/>
  <c r="K54" i="13024"/>
  <c r="M54" i="13024" s="1"/>
  <c r="O54" i="13024" s="1"/>
  <c r="K37" i="13024"/>
  <c r="M37" i="13024" s="1"/>
  <c r="O37" i="13024" s="1"/>
  <c r="K12" i="13024"/>
  <c r="M12" i="13024" s="1"/>
  <c r="O12" i="13024" s="1"/>
  <c r="K38" i="13024"/>
  <c r="M38" i="13024" s="1"/>
  <c r="O38" i="13024" s="1"/>
  <c r="K19" i="13024"/>
  <c r="M19" i="13024" s="1"/>
  <c r="O19" i="13024" s="1"/>
  <c r="K42" i="13024"/>
  <c r="M42" i="13024" s="1"/>
  <c r="O42" i="13024" s="1"/>
  <c r="K29" i="13024"/>
  <c r="M29" i="13024" s="1"/>
  <c r="O29" i="13024" s="1"/>
  <c r="K39" i="13024"/>
  <c r="M39" i="13024" s="1"/>
  <c r="O39" i="13024" s="1"/>
  <c r="K13" i="13024"/>
  <c r="M13" i="13024" s="1"/>
  <c r="O13" i="13024" s="1"/>
  <c r="K18" i="13024"/>
  <c r="M18" i="13024" s="1"/>
  <c r="O18" i="13024" s="1"/>
  <c r="K58" i="13024"/>
  <c r="M58" i="13024" s="1"/>
  <c r="O58" i="13024" s="1"/>
  <c r="K36" i="13024"/>
  <c r="M36" i="13024" s="1"/>
  <c r="O36" i="13024" s="1"/>
  <c r="K51" i="13024"/>
  <c r="M51" i="13024" s="1"/>
  <c r="O51" i="13024" s="1"/>
  <c r="K31" i="13024"/>
  <c r="M31" i="13024" s="1"/>
  <c r="O31" i="13024" s="1"/>
  <c r="K11" i="13024"/>
  <c r="M11" i="13024" s="1"/>
  <c r="O11" i="13024" s="1"/>
  <c r="K56" i="13024"/>
  <c r="M56" i="13024" s="1"/>
  <c r="O56" i="13024" s="1"/>
  <c r="K45" i="13024"/>
  <c r="M45" i="13024" s="1"/>
  <c r="O45" i="13024" s="1"/>
  <c r="K59" i="13024"/>
  <c r="M59" i="13024" s="1"/>
  <c r="O59" i="13024" s="1"/>
  <c r="K33" i="13024"/>
  <c r="M33" i="13024" s="1"/>
  <c r="O33" i="13024" s="1"/>
  <c r="K16" i="13024"/>
  <c r="M16" i="13024" s="1"/>
  <c r="O16" i="13024" s="1"/>
  <c r="K28" i="13024"/>
  <c r="M28" i="13024" s="1"/>
  <c r="O28" i="13024" s="1"/>
  <c r="K27" i="13024"/>
  <c r="M27" i="13024" s="1"/>
  <c r="O27" i="13024" s="1"/>
  <c r="K48" i="13024"/>
  <c r="M48" i="13024" s="1"/>
  <c r="O48" i="13024" s="1"/>
  <c r="K52" i="13024"/>
  <c r="M52" i="13024" s="1"/>
  <c r="O52" i="13024" s="1"/>
  <c r="K47" i="13024"/>
  <c r="M47" i="13024" s="1"/>
  <c r="O47" i="13024" s="1"/>
  <c r="K53" i="13024"/>
  <c r="M53" i="13024" s="1"/>
  <c r="O53" i="13024" s="1"/>
  <c r="K24" i="13024"/>
  <c r="M24" i="13024" s="1"/>
  <c r="O24" i="13024" s="1"/>
  <c r="K14" i="13024"/>
  <c r="M14" i="13024" s="1"/>
  <c r="O14" i="13024" s="1"/>
  <c r="K35" i="13024"/>
  <c r="M35" i="13024" s="1"/>
  <c r="O35" i="13024" s="1"/>
  <c r="K44" i="13024"/>
  <c r="M44" i="13024" s="1"/>
  <c r="O44" i="13024" s="1"/>
  <c r="I30" i="13021"/>
  <c r="Q31" i="13021"/>
  <c r="Q2190" i="13015"/>
  <c r="Y2190" i="13015" s="1"/>
  <c r="Y2167" i="13015"/>
  <c r="Q2213" i="13015"/>
  <c r="Y2213" i="13015" s="1"/>
  <c r="Q24" i="13019"/>
  <c r="M21" i="13017"/>
  <c r="S21" i="13017" s="1"/>
  <c r="U21" i="13017" s="1"/>
  <c r="S29" i="13016"/>
  <c r="U29" i="13016" s="1"/>
  <c r="M24" i="13016"/>
  <c r="AC24" i="12989"/>
  <c r="AE24" i="12989" s="1"/>
  <c r="U23" i="13016"/>
  <c r="U31" i="13005"/>
  <c r="U14" i="13014"/>
  <c r="S15" i="13014"/>
  <c r="U15" i="13014" s="1"/>
  <c r="Q15" i="13014"/>
  <c r="W15" i="13014" s="1"/>
  <c r="Y15" i="13014" s="1"/>
  <c r="S29" i="13014"/>
  <c r="U29" i="13014" s="1"/>
  <c r="U27" i="13014"/>
  <c r="W14" i="13014"/>
  <c r="Q27" i="13014"/>
  <c r="AC979" i="13015"/>
  <c r="Q980" i="13015" s="1"/>
  <c r="AB674" i="12908"/>
  <c r="AB675" i="12908"/>
  <c r="U27" i="13007"/>
  <c r="U29" i="13007" s="1"/>
  <c r="O13" i="13008"/>
  <c r="Q13" i="13008"/>
  <c r="O26" i="13008"/>
  <c r="Q26" i="13008"/>
  <c r="I19" i="13008"/>
  <c r="Z15" i="13008"/>
  <c r="G19" i="13008"/>
  <c r="I24" i="13008"/>
  <c r="G24" i="13008"/>
  <c r="K21" i="12993"/>
  <c r="M21" i="12993" s="1"/>
  <c r="O21" i="12993" s="1"/>
  <c r="K46" i="12993"/>
  <c r="M46" i="12993" s="1"/>
  <c r="O46" i="12993" s="1"/>
  <c r="K55" i="12993"/>
  <c r="M55" i="12993" s="1"/>
  <c r="O55" i="12993" s="1"/>
  <c r="K34" i="12993"/>
  <c r="M34" i="12993" s="1"/>
  <c r="O34" i="12993" s="1"/>
  <c r="K56" i="12993"/>
  <c r="M56" i="12993" s="1"/>
  <c r="O56" i="12993" s="1"/>
  <c r="K52" i="12993"/>
  <c r="M52" i="12993" s="1"/>
  <c r="O52" i="12993" s="1"/>
  <c r="K16" i="12993"/>
  <c r="M16" i="12993" s="1"/>
  <c r="O16" i="12993" s="1"/>
  <c r="K25" i="12993"/>
  <c r="M25" i="12993" s="1"/>
  <c r="O25" i="12993" s="1"/>
  <c r="K59" i="12993"/>
  <c r="M59" i="12993" s="1"/>
  <c r="O59" i="12993" s="1"/>
  <c r="K53" i="12993"/>
  <c r="M53" i="12993" s="1"/>
  <c r="O53" i="12993" s="1"/>
  <c r="K26" i="12993"/>
  <c r="M26" i="12993" s="1"/>
  <c r="O26" i="12993" s="1"/>
  <c r="K48" i="12993"/>
  <c r="M48" i="12993" s="1"/>
  <c r="O48" i="12993" s="1"/>
  <c r="K32" i="12993"/>
  <c r="M32" i="12993" s="1"/>
  <c r="O32" i="12993" s="1"/>
  <c r="K37" i="12993"/>
  <c r="M37" i="12993" s="1"/>
  <c r="O37" i="12993" s="1"/>
  <c r="K27" i="12993"/>
  <c r="M27" i="12993" s="1"/>
  <c r="O27" i="12993" s="1"/>
  <c r="K28" i="12993"/>
  <c r="M28" i="12993" s="1"/>
  <c r="O28" i="12993" s="1"/>
  <c r="K39" i="12993"/>
  <c r="M39" i="12993" s="1"/>
  <c r="O39" i="12993" s="1"/>
  <c r="K23" i="12993"/>
  <c r="M23" i="12993" s="1"/>
  <c r="O23" i="12993" s="1"/>
  <c r="K29" i="12993"/>
  <c r="M29" i="12993" s="1"/>
  <c r="O29" i="12993" s="1"/>
  <c r="K33" i="12993"/>
  <c r="M33" i="12993" s="1"/>
  <c r="O33" i="12993" s="1"/>
  <c r="K47" i="12993"/>
  <c r="M47" i="12993" s="1"/>
  <c r="O47" i="12993" s="1"/>
  <c r="K17" i="12993"/>
  <c r="M17" i="12993" s="1"/>
  <c r="O17" i="12993" s="1"/>
  <c r="K11" i="12993"/>
  <c r="M11" i="12993" s="1"/>
  <c r="O11" i="12993" s="1"/>
  <c r="K14" i="12993"/>
  <c r="M14" i="12993" s="1"/>
  <c r="O14" i="12993" s="1"/>
  <c r="K12" i="12993"/>
  <c r="M12" i="12993" s="1"/>
  <c r="O12" i="12993" s="1"/>
  <c r="K36" i="12993"/>
  <c r="M36" i="12993" s="1"/>
  <c r="O36" i="12993" s="1"/>
  <c r="K24" i="12993"/>
  <c r="M24" i="12993" s="1"/>
  <c r="O24" i="12993" s="1"/>
  <c r="K41" i="12993"/>
  <c r="M41" i="12993" s="1"/>
  <c r="O41" i="12993" s="1"/>
  <c r="K45" i="12993"/>
  <c r="M45" i="12993" s="1"/>
  <c r="O45" i="12993" s="1"/>
  <c r="K31" i="12993"/>
  <c r="M31" i="12993" s="1"/>
  <c r="O31" i="12993" s="1"/>
  <c r="K22" i="12993"/>
  <c r="M22" i="12993" s="1"/>
  <c r="O22" i="12993" s="1"/>
  <c r="K57" i="12993"/>
  <c r="M57" i="12993" s="1"/>
  <c r="O57" i="12993" s="1"/>
  <c r="K19" i="12993"/>
  <c r="M19" i="12993" s="1"/>
  <c r="O19" i="12993" s="1"/>
  <c r="K15" i="12993"/>
  <c r="M15" i="12993" s="1"/>
  <c r="O15" i="12993" s="1"/>
  <c r="K51" i="12993"/>
  <c r="M51" i="12993" s="1"/>
  <c r="O51" i="12993" s="1"/>
  <c r="K13" i="12993"/>
  <c r="M13" i="12993" s="1"/>
  <c r="O13" i="12993" s="1"/>
  <c r="K44" i="12993"/>
  <c r="M44" i="12993" s="1"/>
  <c r="O44" i="12993" s="1"/>
  <c r="K58" i="12993"/>
  <c r="M58" i="12993" s="1"/>
  <c r="O58" i="12993" s="1"/>
  <c r="K54" i="12993"/>
  <c r="M54" i="12993" s="1"/>
  <c r="O54" i="12993" s="1"/>
  <c r="K42" i="12993"/>
  <c r="M42" i="12993" s="1"/>
  <c r="O42" i="12993" s="1"/>
  <c r="K43" i="12993"/>
  <c r="M43" i="12993" s="1"/>
  <c r="O43" i="12993" s="1"/>
  <c r="K18" i="12993"/>
  <c r="M18" i="12993" s="1"/>
  <c r="O18" i="12993" s="1"/>
  <c r="K49" i="12993"/>
  <c r="M49" i="12993" s="1"/>
  <c r="O49" i="12993" s="1"/>
  <c r="K38" i="12993"/>
  <c r="M38" i="12993" s="1"/>
  <c r="O38" i="12993" s="1"/>
  <c r="K35" i="12993"/>
  <c r="M35" i="12993" s="1"/>
  <c r="O35" i="12993" s="1"/>
  <c r="Q25" i="13009"/>
  <c r="O25" i="13009"/>
  <c r="O29" i="13009"/>
  <c r="Q29" i="13009"/>
  <c r="I28" i="13009"/>
  <c r="G28" i="13009"/>
  <c r="G24" i="13009"/>
  <c r="I24" i="13009"/>
  <c r="Q15" i="13008"/>
  <c r="O15" i="13008"/>
  <c r="Q10" i="13008"/>
  <c r="O10" i="13008"/>
  <c r="Q17" i="13008"/>
  <c r="O17" i="13008"/>
  <c r="Q23" i="13008"/>
  <c r="O23" i="13008"/>
  <c r="O22" i="13008"/>
  <c r="Q22" i="13008"/>
  <c r="I13" i="13008"/>
  <c r="G13" i="13008"/>
  <c r="I11" i="13008"/>
  <c r="G11" i="13008"/>
  <c r="G21" i="13008"/>
  <c r="I21" i="13008"/>
  <c r="Z12" i="13008"/>
  <c r="I25" i="13008"/>
  <c r="G25" i="13008"/>
  <c r="G10" i="13008"/>
  <c r="I10" i="13008"/>
  <c r="Y2102" i="12908"/>
  <c r="AV2102" i="13034" s="1"/>
  <c r="Q2169" i="12908"/>
  <c r="AN2169" i="13034" s="1"/>
  <c r="O19" i="13009"/>
  <c r="Q19" i="13009"/>
  <c r="O10" i="13009"/>
  <c r="Q10" i="13009"/>
  <c r="O14" i="13009"/>
  <c r="Q14" i="13009"/>
  <c r="O11" i="13009"/>
  <c r="Q11" i="13009"/>
  <c r="Q26" i="13009"/>
  <c r="O26" i="13009"/>
  <c r="I23" i="13009"/>
  <c r="G23" i="13009"/>
  <c r="I30" i="13009"/>
  <c r="G30" i="13009"/>
  <c r="G27" i="13009"/>
  <c r="I27" i="13009"/>
  <c r="I20" i="13009"/>
  <c r="G20" i="13009"/>
  <c r="G21" i="13009"/>
  <c r="I21" i="13009"/>
  <c r="O31" i="13008"/>
  <c r="Q31" i="13008"/>
  <c r="G27" i="13008"/>
  <c r="I27" i="13008"/>
  <c r="AF41" i="12989"/>
  <c r="AG41" i="12989" s="1"/>
  <c r="Q2416" i="12908"/>
  <c r="Y2312" i="12908"/>
  <c r="AV2312" i="13034" s="1"/>
  <c r="Q2520" i="12908"/>
  <c r="O16" i="13009"/>
  <c r="Q16" i="13009"/>
  <c r="I19" i="13009"/>
  <c r="G19" i="13009"/>
  <c r="O28" i="13008"/>
  <c r="Q28" i="13008"/>
  <c r="Q19" i="13008"/>
  <c r="O19" i="13008"/>
  <c r="Q24" i="13008"/>
  <c r="O24" i="13008"/>
  <c r="G23" i="13008"/>
  <c r="I23" i="13008"/>
  <c r="G22" i="13008"/>
  <c r="I22" i="13008"/>
  <c r="AF31" i="12989"/>
  <c r="AG31" i="12989" s="1"/>
  <c r="O30" i="13009"/>
  <c r="Q30" i="13009"/>
  <c r="O18" i="13009"/>
  <c r="Q18" i="13009"/>
  <c r="Q28" i="13009"/>
  <c r="O28" i="13009"/>
  <c r="O15" i="13009"/>
  <c r="Q15" i="13009"/>
  <c r="Z14" i="13009"/>
  <c r="Q22" i="13009"/>
  <c r="O22" i="13009"/>
  <c r="G22" i="13009"/>
  <c r="I22" i="13009"/>
  <c r="I16" i="13009"/>
  <c r="G16" i="13009"/>
  <c r="G17" i="13009"/>
  <c r="I17" i="13009"/>
  <c r="Z12" i="13009"/>
  <c r="I25" i="13009"/>
  <c r="G25" i="13009"/>
  <c r="Y2081" i="12908"/>
  <c r="Q2125" i="12908"/>
  <c r="Q2147" i="12908"/>
  <c r="Q2103" i="12908"/>
  <c r="AN2103" i="13034" s="1"/>
  <c r="Q43" i="13005"/>
  <c r="M43" i="13016" s="1"/>
  <c r="S43" i="13016" s="1"/>
  <c r="Q27" i="13008"/>
  <c r="O27" i="13008"/>
  <c r="G14" i="13008"/>
  <c r="I14" i="13008"/>
  <c r="G28" i="13008"/>
  <c r="I28" i="13008"/>
  <c r="AA13" i="12994"/>
  <c r="Q2593" i="12908"/>
  <c r="Y1483" i="12908"/>
  <c r="AV1483" i="13034" s="1"/>
  <c r="Q1504" i="12908"/>
  <c r="Q1523" i="12908"/>
  <c r="Q2318" i="12908"/>
  <c r="AN2318" i="13034" s="1"/>
  <c r="Q1542" i="12908"/>
  <c r="AN1542" i="13034" s="1"/>
  <c r="Q1484" i="12908"/>
  <c r="Q1905" i="12908"/>
  <c r="Q1485" i="12908"/>
  <c r="Q27" i="13009"/>
  <c r="O27" i="13009"/>
  <c r="O13" i="13009"/>
  <c r="Z13" i="13009"/>
  <c r="Q13" i="13009"/>
  <c r="I18" i="13009"/>
  <c r="G18" i="13009"/>
  <c r="G26" i="13009"/>
  <c r="I26" i="13009"/>
  <c r="O25" i="13008"/>
  <c r="Q25" i="13008"/>
  <c r="O30" i="13008"/>
  <c r="Q30" i="13008"/>
  <c r="I31" i="13008"/>
  <c r="G31" i="13008"/>
  <c r="I18" i="13008"/>
  <c r="G18" i="13008"/>
  <c r="Z14" i="13008"/>
  <c r="G12" i="13008"/>
  <c r="I12" i="13008"/>
  <c r="O16" i="13008"/>
  <c r="Q16" i="13008"/>
  <c r="Z13" i="13008"/>
  <c r="O11" i="13008"/>
  <c r="Q11" i="13008"/>
  <c r="Q14" i="13008"/>
  <c r="O14" i="13008"/>
  <c r="O12" i="13008"/>
  <c r="Q12" i="13008"/>
  <c r="O18" i="13008"/>
  <c r="Q18" i="13008"/>
  <c r="O29" i="13008"/>
  <c r="Q29" i="13008"/>
  <c r="I29" i="13008"/>
  <c r="G29" i="13008"/>
  <c r="I30" i="13008"/>
  <c r="G30" i="13008"/>
  <c r="I26" i="13008"/>
  <c r="G26" i="13008"/>
  <c r="G20" i="13008"/>
  <c r="I20" i="13008"/>
  <c r="I17" i="13008"/>
  <c r="G17" i="13008"/>
  <c r="Y2101" i="12908"/>
  <c r="AV2101" i="13034" s="1"/>
  <c r="Q2168" i="12908"/>
  <c r="AN2168" i="13034" s="1"/>
  <c r="Q2213" i="12908"/>
  <c r="Y2167" i="12908"/>
  <c r="AV2167" i="13034" s="1"/>
  <c r="Q2190" i="12908"/>
  <c r="Q21" i="13009"/>
  <c r="O21" i="13009"/>
  <c r="O24" i="13009"/>
  <c r="Q24" i="13009"/>
  <c r="Q23" i="13009"/>
  <c r="O23" i="13009"/>
  <c r="Q31" i="13009"/>
  <c r="O31" i="13009"/>
  <c r="Q12" i="13009"/>
  <c r="O12" i="13009"/>
  <c r="I14" i="13009"/>
  <c r="G14" i="13009"/>
  <c r="Z15" i="13009"/>
  <c r="I31" i="13009"/>
  <c r="G31" i="13009"/>
  <c r="I29" i="13009"/>
  <c r="G29" i="13009"/>
  <c r="G11" i="13009"/>
  <c r="I11" i="13009"/>
  <c r="G12" i="13009"/>
  <c r="I12" i="13009"/>
  <c r="I10" i="13009"/>
  <c r="G10" i="13009"/>
  <c r="Y1523" i="12908" l="1"/>
  <c r="AV1523" i="13034" s="1"/>
  <c r="AN1523" i="13034"/>
  <c r="Y2213" i="12908"/>
  <c r="AV2213" i="13034" s="1"/>
  <c r="AN2213" i="13034"/>
  <c r="AA21" i="13027"/>
  <c r="AN1484" i="13034"/>
  <c r="Y1504" i="12908"/>
  <c r="AV1504" i="13034" s="1"/>
  <c r="AN1504" i="13034"/>
  <c r="AB1991" i="12908"/>
  <c r="Y2092" i="12908"/>
  <c r="AV2092" i="13034" s="1"/>
  <c r="AV2081" i="13034"/>
  <c r="W41" i="13005"/>
  <c r="Y41" i="13005" s="1"/>
  <c r="U41" i="13005"/>
  <c r="S39" i="13016"/>
  <c r="M27" i="13017"/>
  <c r="M41" i="13016"/>
  <c r="M28" i="13017"/>
  <c r="S28" i="13017" s="1"/>
  <c r="U28" i="13017" s="1"/>
  <c r="S40" i="13016"/>
  <c r="U40" i="13016" s="1"/>
  <c r="AB434" i="12908"/>
  <c r="AV434" i="13034"/>
  <c r="AB416" i="12908"/>
  <c r="M14" i="13017"/>
  <c r="S14" i="13017" s="1"/>
  <c r="U14" i="13017" s="1"/>
  <c r="S18" i="13016"/>
  <c r="U18" i="13016" s="1"/>
  <c r="Y2046" i="12908"/>
  <c r="AV2033" i="13034"/>
  <c r="M32" i="13016"/>
  <c r="S32" i="13016" s="1"/>
  <c r="U32" i="13016" s="1"/>
  <c r="AC32" i="12989"/>
  <c r="AE32" i="12989" s="1"/>
  <c r="Q34" i="13005"/>
  <c r="AC34" i="12989" s="1"/>
  <c r="AE34" i="12989" s="1"/>
  <c r="W21" i="13005"/>
  <c r="Y21" i="13005" s="1"/>
  <c r="Y2022" i="12908"/>
  <c r="AV2009" i="13034"/>
  <c r="AB1380" i="12908"/>
  <c r="AB1379" i="12908"/>
  <c r="Y1905" i="12908"/>
  <c r="AV1905" i="13034" s="1"/>
  <c r="AN1905" i="13034"/>
  <c r="Y2125" i="12908"/>
  <c r="AN2125" i="13034"/>
  <c r="AB502" i="12908"/>
  <c r="AV502" i="13034"/>
  <c r="AB484" i="12908"/>
  <c r="Y2190" i="12908"/>
  <c r="AV2190" i="13034" s="1"/>
  <c r="AN2190" i="13034"/>
  <c r="AA14" i="13027"/>
  <c r="AN1485" i="13034"/>
  <c r="Y2593" i="12908"/>
  <c r="AV2593" i="13034" s="1"/>
  <c r="AN2593" i="13034"/>
  <c r="W29" i="13007"/>
  <c r="Y29" i="13007" s="1"/>
  <c r="Y2147" i="12908"/>
  <c r="AN2147" i="13034"/>
  <c r="AB468" i="12908"/>
  <c r="AV468" i="13034"/>
  <c r="AB450" i="12908"/>
  <c r="Q25" i="13005"/>
  <c r="AV536" i="13034"/>
  <c r="AB518" i="12908"/>
  <c r="AB685" i="12908"/>
  <c r="AB687" i="12908" s="1"/>
  <c r="AD673" i="12908" s="1"/>
  <c r="AB536" i="12908"/>
  <c r="M33" i="13016"/>
  <c r="S33" i="13016" s="1"/>
  <c r="AC33" i="12989"/>
  <c r="W33" i="13005"/>
  <c r="Y2070" i="12908"/>
  <c r="AV2057" i="13034"/>
  <c r="W32" i="13005"/>
  <c r="Y32" i="13005" s="1"/>
  <c r="Y2520" i="12908"/>
  <c r="AV2520" i="13034" s="1"/>
  <c r="AN2520" i="13034"/>
  <c r="O19" i="13016"/>
  <c r="Q19" i="13016" s="1"/>
  <c r="W19" i="13016" s="1"/>
  <c r="Y19" i="13016" s="1"/>
  <c r="AF19" i="12989"/>
  <c r="AG19" i="12989" s="1"/>
  <c r="U19" i="13005"/>
  <c r="AA19" i="13005" s="1"/>
  <c r="AC19" i="13005" s="1"/>
  <c r="O15" i="13016"/>
  <c r="U15" i="13005"/>
  <c r="S15" i="13007"/>
  <c r="U15" i="13007" s="1"/>
  <c r="AA15" i="13007" s="1"/>
  <c r="AC15" i="13007" s="1"/>
  <c r="AF15" i="12989"/>
  <c r="AG15" i="12989" s="1"/>
  <c r="S21" i="13005"/>
  <c r="AF21" i="12989" s="1"/>
  <c r="AG21" i="12989" s="1"/>
  <c r="O17" i="13016"/>
  <c r="U17" i="13005"/>
  <c r="AA17" i="13005" s="1"/>
  <c r="AC17" i="13005" s="1"/>
  <c r="S14" i="13007"/>
  <c r="AF17" i="12989"/>
  <c r="AG17" i="12989" s="1"/>
  <c r="W64" i="13016"/>
  <c r="Y64" i="13016" s="1"/>
  <c r="Y61" i="13016"/>
  <c r="O16" i="13016"/>
  <c r="Q16" i="13016" s="1"/>
  <c r="W16" i="13016" s="1"/>
  <c r="Y16" i="13016" s="1"/>
  <c r="AF16" i="12989"/>
  <c r="AG16" i="12989" s="1"/>
  <c r="U16" i="13005"/>
  <c r="AA16" i="13005" s="1"/>
  <c r="AC16" i="13005" s="1"/>
  <c r="O28" i="13017"/>
  <c r="Q28" i="13017" s="1"/>
  <c r="W28" i="13017" s="1"/>
  <c r="Y28" i="13017" s="1"/>
  <c r="Q40" i="13016"/>
  <c r="W40" i="13016" s="1"/>
  <c r="Y40" i="13016" s="1"/>
  <c r="S32" i="13005"/>
  <c r="AV1454" i="13034"/>
  <c r="Y2416" i="12908"/>
  <c r="AV2416" i="13034" s="1"/>
  <c r="AN2416" i="13034"/>
  <c r="U18" i="13005"/>
  <c r="AA18" i="13005" s="1"/>
  <c r="AC18" i="13005" s="1"/>
  <c r="O18" i="13016"/>
  <c r="AF18" i="12989"/>
  <c r="AG18" i="12989" s="1"/>
  <c r="Q39" i="13016"/>
  <c r="O41" i="13016"/>
  <c r="O27" i="13017"/>
  <c r="S33" i="13005"/>
  <c r="AV1474" i="13034"/>
  <c r="Y41" i="13017"/>
  <c r="W46" i="13017"/>
  <c r="AC46" i="13007"/>
  <c r="AA49" i="13007"/>
  <c r="AC49" i="13007" s="1"/>
  <c r="W31" i="13005"/>
  <c r="W34" i="13005" s="1"/>
  <c r="Y34" i="13005" s="1"/>
  <c r="S21" i="13016"/>
  <c r="U21" i="13016" s="1"/>
  <c r="AD673" i="13015"/>
  <c r="S15" i="13017"/>
  <c r="U15" i="13017" s="1"/>
  <c r="M34" i="13005"/>
  <c r="M23" i="13007" s="1"/>
  <c r="O23" i="13007" s="1"/>
  <c r="M30" i="13013"/>
  <c r="O27" i="13007"/>
  <c r="AA27" i="13007" s="1"/>
  <c r="AB13" i="13021"/>
  <c r="AA13" i="13021"/>
  <c r="M34" i="13016"/>
  <c r="M23" i="13017" s="1"/>
  <c r="S23" i="13017" s="1"/>
  <c r="U23" i="13017" s="1"/>
  <c r="Q31" i="13016"/>
  <c r="S31" i="13016"/>
  <c r="AB675" i="13015"/>
  <c r="AE691" i="13015"/>
  <c r="AB674" i="13015"/>
  <c r="AA14" i="13019"/>
  <c r="AB14" i="13019"/>
  <c r="O31" i="13005"/>
  <c r="AA38" i="13005"/>
  <c r="Q1565" i="13015"/>
  <c r="Y1565" i="13015" s="1"/>
  <c r="Y1543" i="13015"/>
  <c r="Q1587" i="13015"/>
  <c r="Y1587" i="13015" s="1"/>
  <c r="AB14" i="13021"/>
  <c r="AA14" i="13021"/>
  <c r="I19" i="13025"/>
  <c r="M19" i="13025" s="1"/>
  <c r="O19" i="13025" s="1"/>
  <c r="I23" i="13025"/>
  <c r="M23" i="13025" s="1"/>
  <c r="O23" i="13025" s="1"/>
  <c r="I18" i="13025"/>
  <c r="M18" i="13025" s="1"/>
  <c r="O18" i="13025" s="1"/>
  <c r="I49" i="13025"/>
  <c r="M49" i="13025" s="1"/>
  <c r="O49" i="13025" s="1"/>
  <c r="I37" i="13025"/>
  <c r="M37" i="13025" s="1"/>
  <c r="O37" i="13025" s="1"/>
  <c r="I26" i="13025"/>
  <c r="M26" i="13025" s="1"/>
  <c r="O26" i="13025" s="1"/>
  <c r="I13" i="13025"/>
  <c r="M13" i="13025" s="1"/>
  <c r="O13" i="13025" s="1"/>
  <c r="I24" i="13025"/>
  <c r="M24" i="13025" s="1"/>
  <c r="O24" i="13025" s="1"/>
  <c r="I46" i="13025"/>
  <c r="M46" i="13025" s="1"/>
  <c r="O46" i="13025" s="1"/>
  <c r="I35" i="13025"/>
  <c r="M35" i="13025" s="1"/>
  <c r="O35" i="13025" s="1"/>
  <c r="I12" i="13025"/>
  <c r="M12" i="13025" s="1"/>
  <c r="O12" i="13025" s="1"/>
  <c r="I43" i="13025"/>
  <c r="M43" i="13025" s="1"/>
  <c r="O43" i="13025" s="1"/>
  <c r="I53" i="13025"/>
  <c r="M53" i="13025" s="1"/>
  <c r="O53" i="13025" s="1"/>
  <c r="I34" i="13025"/>
  <c r="M34" i="13025" s="1"/>
  <c r="O34" i="13025" s="1"/>
  <c r="I22" i="13025"/>
  <c r="M22" i="13025" s="1"/>
  <c r="O22" i="13025" s="1"/>
  <c r="I44" i="13025"/>
  <c r="M44" i="13025" s="1"/>
  <c r="O44" i="13025" s="1"/>
  <c r="I33" i="13025"/>
  <c r="M33" i="13025" s="1"/>
  <c r="O33" i="13025" s="1"/>
  <c r="I57" i="13025"/>
  <c r="M57" i="13025" s="1"/>
  <c r="O57" i="13025" s="1"/>
  <c r="I28" i="13025"/>
  <c r="M28" i="13025" s="1"/>
  <c r="O28" i="13025" s="1"/>
  <c r="I31" i="13025"/>
  <c r="M31" i="13025" s="1"/>
  <c r="O31" i="13025" s="1"/>
  <c r="I42" i="13025"/>
  <c r="M42" i="13025" s="1"/>
  <c r="O42" i="13025" s="1"/>
  <c r="I55" i="13025"/>
  <c r="M55" i="13025" s="1"/>
  <c r="O55" i="13025" s="1"/>
  <c r="I15" i="13025"/>
  <c r="M15" i="13025" s="1"/>
  <c r="O15" i="13025" s="1"/>
  <c r="I48" i="13025"/>
  <c r="M48" i="13025" s="1"/>
  <c r="O48" i="13025" s="1"/>
  <c r="I54" i="13025"/>
  <c r="M54" i="13025" s="1"/>
  <c r="O54" i="13025" s="1"/>
  <c r="I11" i="13025"/>
  <c r="M11" i="13025" s="1"/>
  <c r="O11" i="13025" s="1"/>
  <c r="I25" i="13025"/>
  <c r="M25" i="13025" s="1"/>
  <c r="O25" i="13025" s="1"/>
  <c r="I36" i="13025"/>
  <c r="M36" i="13025" s="1"/>
  <c r="O36" i="13025" s="1"/>
  <c r="I14" i="13025"/>
  <c r="M14" i="13025" s="1"/>
  <c r="O14" i="13025" s="1"/>
  <c r="I27" i="13025"/>
  <c r="M27" i="13025" s="1"/>
  <c r="O27" i="13025" s="1"/>
  <c r="I47" i="13025"/>
  <c r="M47" i="13025" s="1"/>
  <c r="O47" i="13025" s="1"/>
  <c r="I52" i="13025"/>
  <c r="M52" i="13025" s="1"/>
  <c r="O52" i="13025" s="1"/>
  <c r="I51" i="13025"/>
  <c r="M51" i="13025" s="1"/>
  <c r="O51" i="13025" s="1"/>
  <c r="I41" i="13025"/>
  <c r="M41" i="13025" s="1"/>
  <c r="O41" i="13025" s="1"/>
  <c r="I38" i="13025"/>
  <c r="M38" i="13025" s="1"/>
  <c r="O38" i="13025" s="1"/>
  <c r="I45" i="13025"/>
  <c r="M45" i="13025" s="1"/>
  <c r="O45" i="13025" s="1"/>
  <c r="I58" i="13025"/>
  <c r="M58" i="13025" s="1"/>
  <c r="O58" i="13025" s="1"/>
  <c r="I39" i="13025"/>
  <c r="M39" i="13025" s="1"/>
  <c r="O39" i="13025" s="1"/>
  <c r="I59" i="13025"/>
  <c r="M59" i="13025" s="1"/>
  <c r="O59" i="13025" s="1"/>
  <c r="I16" i="13025"/>
  <c r="M16" i="13025" s="1"/>
  <c r="O16" i="13025" s="1"/>
  <c r="I17" i="13025"/>
  <c r="M17" i="13025" s="1"/>
  <c r="O17" i="13025" s="1"/>
  <c r="I21" i="13025"/>
  <c r="M21" i="13025" s="1"/>
  <c r="O21" i="13025" s="1"/>
  <c r="I32" i="13025"/>
  <c r="M32" i="13025" s="1"/>
  <c r="O32" i="13025" s="1"/>
  <c r="I29" i="13025"/>
  <c r="M29" i="13025" s="1"/>
  <c r="O29" i="13025" s="1"/>
  <c r="I56" i="13025"/>
  <c r="M56" i="13025" s="1"/>
  <c r="O56" i="13025" s="1"/>
  <c r="AA13" i="13019"/>
  <c r="AB13" i="13019"/>
  <c r="K24" i="13005"/>
  <c r="S24" i="13013"/>
  <c r="M19" i="13014"/>
  <c r="M22" i="13014" s="1"/>
  <c r="AA12" i="13021"/>
  <c r="AB12" i="13021"/>
  <c r="V28" i="13023"/>
  <c r="G13" i="13022"/>
  <c r="I13" i="13022" s="1"/>
  <c r="K13" i="13022" s="1"/>
  <c r="G12" i="13022"/>
  <c r="I12" i="13022" s="1"/>
  <c r="K12" i="13022" s="1"/>
  <c r="G21" i="13022"/>
  <c r="I21" i="13022" s="1"/>
  <c r="K21" i="13022" s="1"/>
  <c r="G20" i="13022"/>
  <c r="I20" i="13022" s="1"/>
  <c r="K20" i="13022" s="1"/>
  <c r="G11" i="13022"/>
  <c r="I11" i="13022" s="1"/>
  <c r="K11" i="13022" s="1"/>
  <c r="G15" i="13022"/>
  <c r="I15" i="13022" s="1"/>
  <c r="K15" i="13022" s="1"/>
  <c r="G27" i="13022"/>
  <c r="I27" i="13022" s="1"/>
  <c r="K27" i="13022" s="1"/>
  <c r="G28" i="13022"/>
  <c r="I28" i="13022" s="1"/>
  <c r="K28" i="13022" s="1"/>
  <c r="G16" i="13022"/>
  <c r="I16" i="13022" s="1"/>
  <c r="K16" i="13022" s="1"/>
  <c r="G23" i="13022"/>
  <c r="I23" i="13022" s="1"/>
  <c r="K23" i="13022" s="1"/>
  <c r="G25" i="13022"/>
  <c r="I25" i="13022" s="1"/>
  <c r="K25" i="13022" s="1"/>
  <c r="G29" i="13022"/>
  <c r="I29" i="13022" s="1"/>
  <c r="K29" i="13022" s="1"/>
  <c r="G19" i="13022"/>
  <c r="I19" i="13022" s="1"/>
  <c r="K19" i="13022" s="1"/>
  <c r="G17" i="13022"/>
  <c r="I17" i="13022" s="1"/>
  <c r="K17" i="13022" s="1"/>
  <c r="G24" i="13022"/>
  <c r="I24" i="13022" s="1"/>
  <c r="K24" i="13022" s="1"/>
  <c r="O11" i="13022"/>
  <c r="Q11" i="13022" s="1"/>
  <c r="S11" i="13022" s="1"/>
  <c r="O16" i="13022"/>
  <c r="Q16" i="13022" s="1"/>
  <c r="S16" i="13022" s="1"/>
  <c r="O12" i="13022"/>
  <c r="Q12" i="13022" s="1"/>
  <c r="S12" i="13022" s="1"/>
  <c r="O19" i="13022"/>
  <c r="Q19" i="13022" s="1"/>
  <c r="S19" i="13022" s="1"/>
  <c r="O13" i="13022"/>
  <c r="Q13" i="13022" s="1"/>
  <c r="S13" i="13022" s="1"/>
  <c r="O20" i="13022"/>
  <c r="Q20" i="13022" s="1"/>
  <c r="S20" i="13022" s="1"/>
  <c r="O21" i="13022"/>
  <c r="Q21" i="13022" s="1"/>
  <c r="S21" i="13022" s="1"/>
  <c r="O25" i="13022"/>
  <c r="Q25" i="13022" s="1"/>
  <c r="S25" i="13022" s="1"/>
  <c r="O15" i="13022"/>
  <c r="Q15" i="13022" s="1"/>
  <c r="S15" i="13022" s="1"/>
  <c r="O17" i="13022"/>
  <c r="Q17" i="13022" s="1"/>
  <c r="S17" i="13022" s="1"/>
  <c r="O27" i="13022"/>
  <c r="Q27" i="13022" s="1"/>
  <c r="S27" i="13022" s="1"/>
  <c r="O23" i="13022"/>
  <c r="Q23" i="13022" s="1"/>
  <c r="S23" i="13022" s="1"/>
  <c r="O29" i="13022"/>
  <c r="Q29" i="13022" s="1"/>
  <c r="S29" i="13022" s="1"/>
  <c r="O24" i="13022"/>
  <c r="Q24" i="13022" s="1"/>
  <c r="S24" i="13022" s="1"/>
  <c r="O28" i="13022"/>
  <c r="Q28" i="13022" s="1"/>
  <c r="S28" i="13022" s="1"/>
  <c r="Y38" i="13016"/>
  <c r="Y14" i="13016"/>
  <c r="W31" i="13013"/>
  <c r="Q34" i="13013"/>
  <c r="Q1588" i="13015"/>
  <c r="Y1588" i="13015" s="1"/>
  <c r="Y1544" i="13015"/>
  <c r="Q1566" i="13015"/>
  <c r="Y1566" i="13015" s="1"/>
  <c r="K21" i="13007"/>
  <c r="W21" i="13007" s="1"/>
  <c r="Y21" i="13007" s="1"/>
  <c r="W29" i="13005"/>
  <c r="Y29" i="13005" s="1"/>
  <c r="O23" i="13014"/>
  <c r="Q23" i="13014" s="1"/>
  <c r="AH34" i="12989"/>
  <c r="AI34" i="12989" s="1"/>
  <c r="O29" i="13007"/>
  <c r="K25" i="13005"/>
  <c r="W25" i="13005" s="1"/>
  <c r="Y25" i="13005" s="1"/>
  <c r="S25" i="13013"/>
  <c r="U25" i="13013" s="1"/>
  <c r="AA12" i="13019"/>
  <c r="AB12" i="13019"/>
  <c r="M44" i="13013"/>
  <c r="AB2092" i="13015"/>
  <c r="AA15" i="13021"/>
  <c r="AB15" i="13021"/>
  <c r="AB15" i="13019"/>
  <c r="AA15" i="13019"/>
  <c r="Y2319" i="13015"/>
  <c r="Q2423" i="13015"/>
  <c r="Y2423" i="13015" s="1"/>
  <c r="Q2527" i="13015"/>
  <c r="Y2527" i="13015" s="1"/>
  <c r="Q2528" i="13015"/>
  <c r="Y2528" i="13015" s="1"/>
  <c r="Q2424" i="13015"/>
  <c r="Y2424" i="13015" s="1"/>
  <c r="Y2320" i="13015"/>
  <c r="M43" i="13013"/>
  <c r="AB1991" i="13015"/>
  <c r="Y31" i="13005"/>
  <c r="Q2215" i="13015"/>
  <c r="Y2215" i="13015" s="1"/>
  <c r="Y2169" i="13015"/>
  <c r="Q2192" i="13015"/>
  <c r="Y2192" i="13015" s="1"/>
  <c r="Q2170" i="13015"/>
  <c r="Y2103" i="13015"/>
  <c r="Y2114" i="13015" s="1"/>
  <c r="AB2114" i="13015" s="1"/>
  <c r="U31" i="13013"/>
  <c r="S34" i="13013"/>
  <c r="U34" i="13013" s="1"/>
  <c r="AA22" i="13026"/>
  <c r="Z22" i="13027" s="1"/>
  <c r="Q2321" i="13015"/>
  <c r="Q1545" i="13015"/>
  <c r="Q1507" i="13015"/>
  <c r="Y1507" i="13015" s="1"/>
  <c r="Y1516" i="13015" s="1"/>
  <c r="AB1516" i="13015" s="1"/>
  <c r="Q1526" i="13015"/>
  <c r="Y1526" i="13015" s="1"/>
  <c r="Y1535" i="13015" s="1"/>
  <c r="AB1535" i="13015" s="1"/>
  <c r="Q2596" i="13015"/>
  <c r="Y2596" i="13015" s="1"/>
  <c r="Y2604" i="13015" s="1"/>
  <c r="Y2606" i="13015" s="1"/>
  <c r="Q1908" i="13015"/>
  <c r="Y1908" i="13015" s="1"/>
  <c r="Y1917" i="13015" s="1"/>
  <c r="Y1486" i="13015"/>
  <c r="Y1495" i="13015" s="1"/>
  <c r="Q2214" i="13015"/>
  <c r="Y2214" i="13015" s="1"/>
  <c r="Q2191" i="13015"/>
  <c r="Y2191" i="13015" s="1"/>
  <c r="Y2168" i="13015"/>
  <c r="S24" i="13016"/>
  <c r="AC43" i="12989"/>
  <c r="AE43" i="12989" s="1"/>
  <c r="U43" i="13016"/>
  <c r="W27" i="13014"/>
  <c r="Q29" i="13014"/>
  <c r="AK41" i="12989" s="1"/>
  <c r="Q17" i="13014"/>
  <c r="AK21" i="12989" s="1"/>
  <c r="S17" i="13014"/>
  <c r="U17" i="13014" s="1"/>
  <c r="S23" i="13014"/>
  <c r="U23" i="13014" s="1"/>
  <c r="W17" i="13014"/>
  <c r="Y17" i="13014" s="1"/>
  <c r="AJ21" i="12989" s="1"/>
  <c r="Y14" i="13014"/>
  <c r="Q1898" i="13015"/>
  <c r="Y1898" i="13015" s="1"/>
  <c r="Q1163" i="13015"/>
  <c r="Y1163" i="13015" s="1"/>
  <c r="Q1004" i="13015"/>
  <c r="Y1004" i="13015" s="1"/>
  <c r="Q449" i="13015"/>
  <c r="Y449" i="13015" s="1"/>
  <c r="Q483" i="13015"/>
  <c r="Y483" i="13015" s="1"/>
  <c r="Q345" i="13015"/>
  <c r="Y345" i="13015" s="1"/>
  <c r="Q1119" i="13015"/>
  <c r="Y1119" i="13015" s="1"/>
  <c r="Y980" i="13015"/>
  <c r="Q309" i="13015"/>
  <c r="Y309" i="13015" s="1"/>
  <c r="Q1028" i="13015"/>
  <c r="Y1028" i="13015" s="1"/>
  <c r="Q617" i="13015"/>
  <c r="Y617" i="13015" s="1"/>
  <c r="Q237" i="13015"/>
  <c r="Y237" i="13015" s="1"/>
  <c r="Q1052" i="13015"/>
  <c r="Y1052" i="13015" s="1"/>
  <c r="Q381" i="13015"/>
  <c r="Y381" i="13015" s="1"/>
  <c r="Q1075" i="13015"/>
  <c r="Y1075" i="13015" s="1"/>
  <c r="Q584" i="13015"/>
  <c r="Y584" i="13015" s="1"/>
  <c r="Q415" i="13015"/>
  <c r="Y415" i="13015" s="1"/>
  <c r="Q1141" i="13015"/>
  <c r="Y1141" i="13015" s="1"/>
  <c r="Q650" i="13015"/>
  <c r="Y650" i="13015" s="1"/>
  <c r="Q273" i="13015"/>
  <c r="Y273" i="13015" s="1"/>
  <c r="Q1097" i="13015"/>
  <c r="Y1097" i="13015" s="1"/>
  <c r="Q551" i="13015"/>
  <c r="Y551" i="13015" s="1"/>
  <c r="Q517" i="13015"/>
  <c r="Y517" i="13015" s="1"/>
  <c r="AA13" i="13009"/>
  <c r="AB13" i="13009"/>
  <c r="Y1542" i="12908"/>
  <c r="AV1542" i="13034" s="1"/>
  <c r="Q1564" i="12908"/>
  <c r="Q1586" i="12908"/>
  <c r="W17" i="13007"/>
  <c r="Q2422" i="12908"/>
  <c r="Q2526" i="12908"/>
  <c r="Y2318" i="12908"/>
  <c r="AV2318" i="13034" s="1"/>
  <c r="Q2170" i="12908"/>
  <c r="AN2170" i="13034" s="1"/>
  <c r="Y2103" i="12908"/>
  <c r="Y2168" i="12908"/>
  <c r="AV2168" i="13034" s="1"/>
  <c r="Q2191" i="12908"/>
  <c r="Q2214" i="12908"/>
  <c r="Q2595" i="12908"/>
  <c r="Q1907" i="12908"/>
  <c r="AA14" i="12994"/>
  <c r="Q1525" i="12908"/>
  <c r="Q1544" i="12908"/>
  <c r="AN1544" i="13034" s="1"/>
  <c r="Q1506" i="12908"/>
  <c r="Q2320" i="12908"/>
  <c r="AN2320" i="13034" s="1"/>
  <c r="Y1485" i="12908"/>
  <c r="AV1485" i="13034" s="1"/>
  <c r="Q1486" i="12908"/>
  <c r="AB12" i="13008"/>
  <c r="AA12" i="13008"/>
  <c r="AA14" i="13009"/>
  <c r="AB14" i="13009"/>
  <c r="Y2169" i="12908"/>
  <c r="AV2169" i="13034" s="1"/>
  <c r="Q2215" i="12908"/>
  <c r="Q2192" i="12908"/>
  <c r="AB2092" i="12908"/>
  <c r="Q44" i="13005"/>
  <c r="M44" i="13016" s="1"/>
  <c r="S44" i="13016" s="1"/>
  <c r="U44" i="13016" s="1"/>
  <c r="AA15" i="13009"/>
  <c r="AB15" i="13009"/>
  <c r="AA13" i="13008"/>
  <c r="AB13" i="13008"/>
  <c r="AA14" i="13008"/>
  <c r="AB14" i="13008"/>
  <c r="AA21" i="12994"/>
  <c r="Y1484" i="12908"/>
  <c r="AV1484" i="13034" s="1"/>
  <c r="Q2319" i="12908"/>
  <c r="AN2319" i="13034" s="1"/>
  <c r="Q1505" i="12908"/>
  <c r="Q1906" i="12908"/>
  <c r="Q1524" i="12908"/>
  <c r="Q1543" i="12908"/>
  <c r="AN1543" i="13034" s="1"/>
  <c r="Q2594" i="12908"/>
  <c r="AB12" i="13009"/>
  <c r="AA12" i="13009"/>
  <c r="AB15" i="13008"/>
  <c r="AA15" i="13008"/>
  <c r="AB2046" i="12908" l="1"/>
  <c r="AV2046" i="13034"/>
  <c r="Y2594" i="12908"/>
  <c r="AV2594" i="13034" s="1"/>
  <c r="AN2594" i="13034"/>
  <c r="Y1505" i="12908"/>
  <c r="AV1505" i="13034" s="1"/>
  <c r="AN1505" i="13034"/>
  <c r="Y2192" i="12908"/>
  <c r="AV2192" i="13034" s="1"/>
  <c r="AN2192" i="13034"/>
  <c r="Y1525" i="12908"/>
  <c r="AV1525" i="13034" s="1"/>
  <c r="AN1525" i="13034"/>
  <c r="Y2214" i="12908"/>
  <c r="AV2214" i="13034" s="1"/>
  <c r="AN2214" i="13034"/>
  <c r="Q23" i="13007"/>
  <c r="W23" i="13007" s="1"/>
  <c r="Y23" i="13007" s="1"/>
  <c r="AB2022" i="12908"/>
  <c r="AV2022" i="13034"/>
  <c r="M29" i="13017"/>
  <c r="S27" i="13017"/>
  <c r="Y1906" i="12908"/>
  <c r="AV1906" i="13034" s="1"/>
  <c r="AN1906" i="13034"/>
  <c r="AA22" i="13027"/>
  <c r="AN1486" i="13034"/>
  <c r="Y2595" i="12908"/>
  <c r="AV2595" i="13034" s="1"/>
  <c r="AN2595" i="13034"/>
  <c r="Y2422" i="12908"/>
  <c r="AV2422" i="13034" s="1"/>
  <c r="AN2422" i="13034"/>
  <c r="AB2070" i="12908"/>
  <c r="AV2070" i="13034"/>
  <c r="M25" i="13016"/>
  <c r="AC25" i="12989"/>
  <c r="AE25" i="12989" s="1"/>
  <c r="Q19" i="13007"/>
  <c r="Q22" i="13007" s="1"/>
  <c r="Q30" i="13005"/>
  <c r="AC30" i="12989" s="1"/>
  <c r="AE30" i="12989" s="1"/>
  <c r="U39" i="13016"/>
  <c r="S41" i="13016"/>
  <c r="U41" i="13016" s="1"/>
  <c r="Y2114" i="12908"/>
  <c r="AV2103" i="13034"/>
  <c r="Y2215" i="12908"/>
  <c r="AV2215" i="13034" s="1"/>
  <c r="AN2215" i="13034"/>
  <c r="Y2191" i="12908"/>
  <c r="AV2191" i="13034" s="1"/>
  <c r="AN2191" i="13034"/>
  <c r="Y1586" i="12908"/>
  <c r="AV1586" i="13034" s="1"/>
  <c r="AN1586" i="13034"/>
  <c r="Y1524" i="12908"/>
  <c r="AV1524" i="13034" s="1"/>
  <c r="AN1524" i="13034"/>
  <c r="Y1506" i="12908"/>
  <c r="AV1506" i="13034" s="1"/>
  <c r="AN1506" i="13034"/>
  <c r="Y1907" i="12908"/>
  <c r="AV1907" i="13034" s="1"/>
  <c r="AN1907" i="13034"/>
  <c r="Y2526" i="12908"/>
  <c r="AV2526" i="13034" s="1"/>
  <c r="AN2526" i="13034"/>
  <c r="Y1564" i="12908"/>
  <c r="AV1564" i="13034" s="1"/>
  <c r="AN1564" i="13034"/>
  <c r="Y2158" i="12908"/>
  <c r="AV2147" i="13034"/>
  <c r="Y2136" i="12908"/>
  <c r="AV2125" i="13034"/>
  <c r="M17" i="13017"/>
  <c r="U33" i="13005"/>
  <c r="AA33" i="13005" s="1"/>
  <c r="O33" i="13016"/>
  <c r="Q33" i="13016" s="1"/>
  <c r="W33" i="13016" s="1"/>
  <c r="W23" i="13014"/>
  <c r="Y23" i="13014" s="1"/>
  <c r="AJ34" i="12989" s="1"/>
  <c r="AK34" i="12989"/>
  <c r="W49" i="13017"/>
  <c r="Y49" i="13017" s="1"/>
  <c r="Y46" i="13017"/>
  <c r="O29" i="13017"/>
  <c r="Q27" i="13017"/>
  <c r="O21" i="13016"/>
  <c r="Q18" i="13016"/>
  <c r="W18" i="13016" s="1"/>
  <c r="Y18" i="13016" s="1"/>
  <c r="Q17" i="13016"/>
  <c r="W17" i="13016" s="1"/>
  <c r="Y17" i="13016" s="1"/>
  <c r="O14" i="13017"/>
  <c r="AA15" i="13005"/>
  <c r="U21" i="13005"/>
  <c r="U32" i="13005"/>
  <c r="O32" i="13016"/>
  <c r="AF32" i="12989"/>
  <c r="AG32" i="12989" s="1"/>
  <c r="S34" i="13005"/>
  <c r="O15" i="13017"/>
  <c r="Q15" i="13017" s="1"/>
  <c r="W15" i="13017" s="1"/>
  <c r="Y15" i="13017" s="1"/>
  <c r="Q15" i="13016"/>
  <c r="W39" i="13016"/>
  <c r="Q41" i="13016"/>
  <c r="U14" i="13007"/>
  <c r="S17" i="13007"/>
  <c r="S17" i="13017"/>
  <c r="U17" i="13017" s="1"/>
  <c r="B7" i="13012" s="1"/>
  <c r="AC27" i="13007"/>
  <c r="AA29" i="13007"/>
  <c r="S19" i="13014"/>
  <c r="U19" i="13014" s="1"/>
  <c r="M35" i="13013"/>
  <c r="AB1490" i="13015"/>
  <c r="AC29" i="13007"/>
  <c r="Q1567" i="13015"/>
  <c r="Y1567" i="13015" s="1"/>
  <c r="Y1579" i="13015" s="1"/>
  <c r="AB1579" i="13015" s="1"/>
  <c r="Q1589" i="13015"/>
  <c r="Y1589" i="13015" s="1"/>
  <c r="Y1601" i="13015" s="1"/>
  <c r="AB1601" i="13015" s="1"/>
  <c r="Y1545" i="13015"/>
  <c r="Y1557" i="13015" s="1"/>
  <c r="M36" i="13013" s="1"/>
  <c r="K36" i="13005" s="1"/>
  <c r="K25" i="13007" s="1"/>
  <c r="U24" i="13013"/>
  <c r="S30" i="13013"/>
  <c r="U30" i="13013" s="1"/>
  <c r="AC38" i="13005"/>
  <c r="AA41" i="13005"/>
  <c r="AC41" i="13005" s="1"/>
  <c r="K30" i="13005"/>
  <c r="K19" i="13007"/>
  <c r="W24" i="13005"/>
  <c r="AA31" i="13005"/>
  <c r="O34" i="13005"/>
  <c r="W31" i="13016"/>
  <c r="AB1491" i="13015"/>
  <c r="AB1917" i="13015"/>
  <c r="AB978" i="13015"/>
  <c r="AC978" i="13015" s="1"/>
  <c r="Q979" i="13015" s="1"/>
  <c r="Y1935" i="13015"/>
  <c r="E28" i="13023"/>
  <c r="I28" i="13023" s="1"/>
  <c r="K28" i="13023" s="1"/>
  <c r="E29" i="13023"/>
  <c r="I29" i="13023" s="1"/>
  <c r="K29" i="13023" s="1"/>
  <c r="E20" i="13023"/>
  <c r="I20" i="13023" s="1"/>
  <c r="K20" i="13023" s="1"/>
  <c r="E21" i="13023"/>
  <c r="I21" i="13023" s="1"/>
  <c r="K21" i="13023" s="1"/>
  <c r="E23" i="13023"/>
  <c r="I23" i="13023" s="1"/>
  <c r="K23" i="13023" s="1"/>
  <c r="E12" i="13023"/>
  <c r="I12" i="13023" s="1"/>
  <c r="K12" i="13023" s="1"/>
  <c r="E15" i="13023"/>
  <c r="I15" i="13023" s="1"/>
  <c r="K15" i="13023" s="1"/>
  <c r="E13" i="13023"/>
  <c r="I13" i="13023" s="1"/>
  <c r="K13" i="13023" s="1"/>
  <c r="E11" i="13023"/>
  <c r="I11" i="13023" s="1"/>
  <c r="K11" i="13023" s="1"/>
  <c r="E19" i="13023"/>
  <c r="I19" i="13023" s="1"/>
  <c r="K19" i="13023" s="1"/>
  <c r="E17" i="13023"/>
  <c r="I17" i="13023" s="1"/>
  <c r="K17" i="13023" s="1"/>
  <c r="E25" i="13023"/>
  <c r="I25" i="13023" s="1"/>
  <c r="K25" i="13023" s="1"/>
  <c r="E16" i="13023"/>
  <c r="I16" i="13023" s="1"/>
  <c r="K16" i="13023" s="1"/>
  <c r="E27" i="13023"/>
  <c r="I27" i="13023" s="1"/>
  <c r="K27" i="13023" s="1"/>
  <c r="E24" i="13023"/>
  <c r="I24" i="13023" s="1"/>
  <c r="K24" i="13023" s="1"/>
  <c r="M29" i="13023"/>
  <c r="Q29" i="13023" s="1"/>
  <c r="S29" i="13023" s="1"/>
  <c r="M17" i="13023"/>
  <c r="Q17" i="13023" s="1"/>
  <c r="S17" i="13023" s="1"/>
  <c r="M16" i="13023"/>
  <c r="Q16" i="13023" s="1"/>
  <c r="S16" i="13023" s="1"/>
  <c r="M13" i="13023"/>
  <c r="Q13" i="13023" s="1"/>
  <c r="S13" i="13023" s="1"/>
  <c r="M21" i="13023"/>
  <c r="Q21" i="13023" s="1"/>
  <c r="S21" i="13023" s="1"/>
  <c r="M11" i="13023"/>
  <c r="Q11" i="13023" s="1"/>
  <c r="S11" i="13023" s="1"/>
  <c r="M24" i="13023"/>
  <c r="Q24" i="13023" s="1"/>
  <c r="S24" i="13023" s="1"/>
  <c r="M23" i="13023"/>
  <c r="Q23" i="13023" s="1"/>
  <c r="S23" i="13023" s="1"/>
  <c r="M19" i="13023"/>
  <c r="Q19" i="13023" s="1"/>
  <c r="S19" i="13023" s="1"/>
  <c r="M25" i="13023"/>
  <c r="Q25" i="13023" s="1"/>
  <c r="S25" i="13023" s="1"/>
  <c r="M15" i="13023"/>
  <c r="Q15" i="13023" s="1"/>
  <c r="S15" i="13023" s="1"/>
  <c r="M27" i="13023"/>
  <c r="Q27" i="13023" s="1"/>
  <c r="S27" i="13023" s="1"/>
  <c r="M28" i="13023"/>
  <c r="Q28" i="13023" s="1"/>
  <c r="S28" i="13023" s="1"/>
  <c r="M20" i="13023"/>
  <c r="Q20" i="13023" s="1"/>
  <c r="S20" i="13023" s="1"/>
  <c r="M12" i="13023"/>
  <c r="Q12" i="13023" s="1"/>
  <c r="S12" i="13023" s="1"/>
  <c r="S34" i="13016"/>
  <c r="U34" i="13016" s="1"/>
  <c r="U31" i="13016"/>
  <c r="M48" i="13013"/>
  <c r="AB2606" i="13015"/>
  <c r="AB2543" i="13015"/>
  <c r="Q2425" i="13015"/>
  <c r="Y2425" i="13015" s="1"/>
  <c r="Y2433" i="13015" s="1"/>
  <c r="Y2435" i="13015" s="1"/>
  <c r="AB2435" i="13015" s="1"/>
  <c r="Q2529" i="13015"/>
  <c r="Y2529" i="13015" s="1"/>
  <c r="Y2537" i="13015" s="1"/>
  <c r="Y2539" i="13015" s="1"/>
  <c r="AB2539" i="13015" s="1"/>
  <c r="Y2321" i="13015"/>
  <c r="Y2329" i="13015" s="1"/>
  <c r="Y2331" i="13015" s="1"/>
  <c r="K43" i="13005"/>
  <c r="W43" i="13005" s="1"/>
  <c r="Y43" i="13005" s="1"/>
  <c r="S43" i="13013"/>
  <c r="K44" i="13005"/>
  <c r="W44" i="13005" s="1"/>
  <c r="Y44" i="13005" s="1"/>
  <c r="S44" i="13013"/>
  <c r="U44" i="13013" s="1"/>
  <c r="W34" i="13013"/>
  <c r="Y34" i="13013" s="1"/>
  <c r="Y31" i="13013"/>
  <c r="Q2193" i="13015"/>
  <c r="Y2193" i="13015" s="1"/>
  <c r="Y2204" i="13015" s="1"/>
  <c r="AB2204" i="13015" s="1"/>
  <c r="Q2216" i="13015"/>
  <c r="Y2216" i="13015" s="1"/>
  <c r="Y2227" i="13015" s="1"/>
  <c r="AB2227" i="13015" s="1"/>
  <c r="Y2170" i="13015"/>
  <c r="AC1989" i="13015" s="1"/>
  <c r="U24" i="13016"/>
  <c r="AC44" i="12989"/>
  <c r="AE44" i="12989" s="1"/>
  <c r="Y17" i="13007"/>
  <c r="B8" i="13012" s="1"/>
  <c r="B10" i="13012" s="1"/>
  <c r="W29" i="13014"/>
  <c r="Y29" i="13014" s="1"/>
  <c r="AJ41" i="12989" s="1"/>
  <c r="Y27" i="13014"/>
  <c r="Y1543" i="12908"/>
  <c r="AV1543" i="13034" s="1"/>
  <c r="Q1587" i="12908"/>
  <c r="Q1565" i="12908"/>
  <c r="Q2193" i="12908"/>
  <c r="Y2170" i="12908"/>
  <c r="Q2216" i="12908"/>
  <c r="Y2320" i="12908"/>
  <c r="AV2320" i="13034" s="1"/>
  <c r="Q2424" i="12908"/>
  <c r="Q2528" i="12908"/>
  <c r="Q1566" i="12908"/>
  <c r="Y1544" i="12908"/>
  <c r="AV1544" i="13034" s="1"/>
  <c r="Q1588" i="12908"/>
  <c r="Y2319" i="12908"/>
  <c r="AV2319" i="13034" s="1"/>
  <c r="Q2423" i="12908"/>
  <c r="Q2527" i="12908"/>
  <c r="AA22" i="12994"/>
  <c r="Q1526" i="12908"/>
  <c r="Q2596" i="12908"/>
  <c r="Q1507" i="12908"/>
  <c r="Q1545" i="12908"/>
  <c r="AN1545" i="13034" s="1"/>
  <c r="Q1908" i="12908"/>
  <c r="Y1486" i="12908"/>
  <c r="Q2321" i="12908"/>
  <c r="AN2321" i="13034" s="1"/>
  <c r="AB2158" i="12908" l="1"/>
  <c r="AV2158" i="13034"/>
  <c r="Y1588" i="12908"/>
  <c r="AV1588" i="13034" s="1"/>
  <c r="AN1588" i="13034"/>
  <c r="Y2424" i="12908"/>
  <c r="AV2424" i="13034" s="1"/>
  <c r="AN2424" i="13034"/>
  <c r="Y2193" i="12908"/>
  <c r="AN2193" i="13034"/>
  <c r="Y1908" i="12908"/>
  <c r="AN1908" i="13034"/>
  <c r="Y1526" i="12908"/>
  <c r="AN1526" i="13034"/>
  <c r="Y2528" i="12908"/>
  <c r="AV2528" i="13034" s="1"/>
  <c r="AN2528" i="13034"/>
  <c r="S25" i="13016"/>
  <c r="M30" i="13016"/>
  <c r="M19" i="13017"/>
  <c r="Y1507" i="12908"/>
  <c r="AN1507" i="13034"/>
  <c r="Y2527" i="12908"/>
  <c r="AV2527" i="13034" s="1"/>
  <c r="AN2527" i="13034"/>
  <c r="Y1565" i="12908"/>
  <c r="AV1565" i="13034" s="1"/>
  <c r="AN1565" i="13034"/>
  <c r="AB2136" i="12908"/>
  <c r="AV2136" i="13034"/>
  <c r="AB2114" i="12908"/>
  <c r="AV2114" i="13034"/>
  <c r="Y2181" i="12908"/>
  <c r="AV2181" i="13034" s="1"/>
  <c r="AV2170" i="13034"/>
  <c r="Y1495" i="12908"/>
  <c r="AV1495" i="13034" s="1"/>
  <c r="AV1486" i="13034"/>
  <c r="Y2596" i="12908"/>
  <c r="AN2596" i="13034"/>
  <c r="Y2423" i="12908"/>
  <c r="AV2423" i="13034" s="1"/>
  <c r="AN2423" i="13034"/>
  <c r="Y1566" i="12908"/>
  <c r="AV1566" i="13034" s="1"/>
  <c r="AN1566" i="13034"/>
  <c r="Y2216" i="12908"/>
  <c r="AN2216" i="13034"/>
  <c r="Y1587" i="12908"/>
  <c r="AV1587" i="13034" s="1"/>
  <c r="AN1587" i="13034"/>
  <c r="U27" i="13017"/>
  <c r="S29" i="13017"/>
  <c r="U29" i="13017" s="1"/>
  <c r="W15" i="13016"/>
  <c r="Q21" i="13016"/>
  <c r="O17" i="13017"/>
  <c r="Q14" i="13017"/>
  <c r="AA14" i="13007"/>
  <c r="U17" i="13007"/>
  <c r="AA32" i="13005"/>
  <c r="AC32" i="13005" s="1"/>
  <c r="U34" i="13005"/>
  <c r="Q32" i="13016"/>
  <c r="O34" i="13016"/>
  <c r="O23" i="13017" s="1"/>
  <c r="Q23" i="13017" s="1"/>
  <c r="W23" i="13017" s="1"/>
  <c r="Y23" i="13017" s="1"/>
  <c r="W27" i="13017"/>
  <c r="Q29" i="13017"/>
  <c r="AF34" i="12989"/>
  <c r="AG34" i="12989" s="1"/>
  <c r="S23" i="13007"/>
  <c r="U23" i="13007" s="1"/>
  <c r="AA23" i="13007" s="1"/>
  <c r="AC23" i="13007" s="1"/>
  <c r="Y39" i="13016"/>
  <c r="W41" i="13016"/>
  <c r="Y41" i="13016" s="1"/>
  <c r="AC15" i="13005"/>
  <c r="AA21" i="13005"/>
  <c r="AC21" i="13005" s="1"/>
  <c r="S22" i="13014"/>
  <c r="U22" i="13014" s="1"/>
  <c r="AB1557" i="13015"/>
  <c r="M47" i="13013"/>
  <c r="AB2231" i="13015"/>
  <c r="AB2325" i="13015"/>
  <c r="M33" i="13014"/>
  <c r="K48" i="13005"/>
  <c r="K33" i="13007" s="1"/>
  <c r="AC31" i="13005"/>
  <c r="AA34" i="13005"/>
  <c r="AC34" i="13005" s="1"/>
  <c r="AC1491" i="13015"/>
  <c r="K35" i="13005"/>
  <c r="M24" i="13014"/>
  <c r="M25" i="13014"/>
  <c r="AC1492" i="13015"/>
  <c r="U43" i="13013"/>
  <c r="AB1487" i="13015"/>
  <c r="AB1935" i="13015"/>
  <c r="M42" i="13013"/>
  <c r="Y31" i="13016"/>
  <c r="W30" i="13005"/>
  <c r="Y30" i="13005" s="1"/>
  <c r="Y24" i="13005"/>
  <c r="Q2157" i="13015"/>
  <c r="Y2157" i="13015" s="1"/>
  <c r="Q2044" i="13015"/>
  <c r="Y2044" i="13015" s="1"/>
  <c r="Q2113" i="13015"/>
  <c r="Y2113" i="13015" s="1"/>
  <c r="Q2203" i="13015"/>
  <c r="Y2203" i="13015" s="1"/>
  <c r="Q1996" i="13015"/>
  <c r="Y1996" i="13015" s="1"/>
  <c r="Q2226" i="13015"/>
  <c r="Y2226" i="13015" s="1"/>
  <c r="Q2020" i="13015"/>
  <c r="Y2020" i="13015" s="1"/>
  <c r="Q2091" i="13015"/>
  <c r="Y2091" i="13015" s="1"/>
  <c r="Q2180" i="13015"/>
  <c r="Y2180" i="13015" s="1"/>
  <c r="Q2068" i="13015"/>
  <c r="Y2068" i="13015" s="1"/>
  <c r="Q2135" i="13015"/>
  <c r="Y2135" i="13015" s="1"/>
  <c r="AB1479" i="13015"/>
  <c r="AB1481" i="13015" s="1"/>
  <c r="Y2181" i="13015"/>
  <c r="AC1988" i="13015"/>
  <c r="AB2546" i="13015"/>
  <c r="AB2545" i="13015"/>
  <c r="Q1162" i="13015"/>
  <c r="Y1162" i="13015" s="1"/>
  <c r="O28" i="13013" s="1"/>
  <c r="M28" i="13005" s="1"/>
  <c r="O28" i="13005" s="1"/>
  <c r="Q380" i="13015"/>
  <c r="Y380" i="13015" s="1"/>
  <c r="O24" i="13013" s="1"/>
  <c r="Q583" i="13015"/>
  <c r="Y583" i="13015" s="1"/>
  <c r="Q649" i="13015"/>
  <c r="Y649" i="13015" s="1"/>
  <c r="Q414" i="13015"/>
  <c r="Y414" i="13015" s="1"/>
  <c r="Q1003" i="13015"/>
  <c r="Y1003" i="13015" s="1"/>
  <c r="Y979" i="13015"/>
  <c r="O26" i="13013" s="1"/>
  <c r="Q1897" i="13015"/>
  <c r="Y1897" i="13015" s="1"/>
  <c r="Q344" i="13015"/>
  <c r="Y344" i="13015" s="1"/>
  <c r="Q1051" i="13015"/>
  <c r="Y1051" i="13015" s="1"/>
  <c r="Q1096" i="13015"/>
  <c r="Y1096" i="13015" s="1"/>
  <c r="Q516" i="13015"/>
  <c r="Y516" i="13015" s="1"/>
  <c r="O25" i="13013" s="1"/>
  <c r="Q448" i="13015"/>
  <c r="Y448" i="13015" s="1"/>
  <c r="Q1140" i="13015"/>
  <c r="Y1140" i="13015" s="1"/>
  <c r="Q616" i="13015"/>
  <c r="Y616" i="13015" s="1"/>
  <c r="Q1027" i="13015"/>
  <c r="Y1027" i="13015" s="1"/>
  <c r="Q236" i="13015"/>
  <c r="Y236" i="13015" s="1"/>
  <c r="O23" i="13013" s="1"/>
  <c r="Q1118" i="13015"/>
  <c r="Y1118" i="13015" s="1"/>
  <c r="Q550" i="13015"/>
  <c r="Y550" i="13015" s="1"/>
  <c r="O29" i="13013" s="1"/>
  <c r="Q272" i="13015"/>
  <c r="Y272" i="13015" s="1"/>
  <c r="Q482" i="13015"/>
  <c r="Y482" i="13015" s="1"/>
  <c r="Q1074" i="13015"/>
  <c r="Y1074" i="13015" s="1"/>
  <c r="O27" i="13013" s="1"/>
  <c r="Q308" i="13015"/>
  <c r="Y308" i="13015" s="1"/>
  <c r="K22" i="13007"/>
  <c r="W19" i="13007"/>
  <c r="S35" i="13013"/>
  <c r="S48" i="13013"/>
  <c r="U48" i="13013" s="1"/>
  <c r="AC1988" i="12908"/>
  <c r="Q2134" i="12908" s="1"/>
  <c r="AC1989" i="12908"/>
  <c r="Q2044" i="12908" s="1"/>
  <c r="AB1977" i="12908"/>
  <c r="AB1490" i="12908"/>
  <c r="Q35" i="13005"/>
  <c r="M35" i="13016" s="1"/>
  <c r="M24" i="13017" s="1"/>
  <c r="Y1545" i="12908"/>
  <c r="Q1589" i="12908"/>
  <c r="Q1567" i="12908"/>
  <c r="Q2529" i="12908"/>
  <c r="Y2321" i="12908"/>
  <c r="Q2425" i="12908"/>
  <c r="Y1567" i="12908" l="1"/>
  <c r="AN1567" i="13034"/>
  <c r="Y2604" i="12908"/>
  <c r="AV2596" i="13034"/>
  <c r="Y2529" i="12908"/>
  <c r="AN2529" i="13034"/>
  <c r="Y1589" i="12908"/>
  <c r="AN1589" i="13034"/>
  <c r="Q45" i="13005"/>
  <c r="M45" i="13016" s="1"/>
  <c r="S45" i="13016" s="1"/>
  <c r="U25" i="13016"/>
  <c r="S30" i="13016"/>
  <c r="U30" i="13016" s="1"/>
  <c r="Y1535" i="12908"/>
  <c r="AV1526" i="13034"/>
  <c r="Y2204" i="12908"/>
  <c r="AV2193" i="13034"/>
  <c r="Y1557" i="12908"/>
  <c r="AV1557" i="13034" s="1"/>
  <c r="AV1545" i="13034"/>
  <c r="AB2181" i="12908"/>
  <c r="Y2227" i="12908"/>
  <c r="AV2216" i="13034"/>
  <c r="Y1516" i="12908"/>
  <c r="AV1507" i="13034"/>
  <c r="Y2329" i="12908"/>
  <c r="AV2321" i="13034"/>
  <c r="Y2425" i="12908"/>
  <c r="AN2425" i="13034"/>
  <c r="S19" i="13017"/>
  <c r="M22" i="13017"/>
  <c r="Y1917" i="12908"/>
  <c r="AV1908" i="13034"/>
  <c r="Y2044" i="12908"/>
  <c r="AV2044" i="13034" s="1"/>
  <c r="AN2044" i="13034"/>
  <c r="W29" i="13017"/>
  <c r="Y29" i="13017" s="1"/>
  <c r="Y27" i="13017"/>
  <c r="Y2134" i="12908"/>
  <c r="AV2134" i="13034" s="1"/>
  <c r="AN2134" i="13034"/>
  <c r="W14" i="13017"/>
  <c r="Q17" i="13017"/>
  <c r="W32" i="13016"/>
  <c r="Q34" i="13016"/>
  <c r="AC14" i="13007"/>
  <c r="AA17" i="13007"/>
  <c r="AC17" i="13007" s="1"/>
  <c r="Y15" i="13016"/>
  <c r="W21" i="13016"/>
  <c r="Y21" i="13016" s="1"/>
  <c r="AB1482" i="13015"/>
  <c r="M26" i="13014"/>
  <c r="AH26" i="12989"/>
  <c r="AI26" i="12989" s="1"/>
  <c r="O20" i="13014"/>
  <c r="M26" i="13005"/>
  <c r="Q1972" i="13015"/>
  <c r="Q1577" i="13015"/>
  <c r="Y1577" i="13015" s="1"/>
  <c r="Q1493" i="13015"/>
  <c r="Q1555" i="13015"/>
  <c r="Y1555" i="13015" s="1"/>
  <c r="O36" i="13013" s="1"/>
  <c r="Q1514" i="13015"/>
  <c r="Y1514" i="13015" s="1"/>
  <c r="Q1599" i="13015"/>
  <c r="Y1599" i="13015" s="1"/>
  <c r="Q1533" i="13015"/>
  <c r="Y1533" i="13015" s="1"/>
  <c r="M46" i="13016"/>
  <c r="M31" i="13017" s="1"/>
  <c r="S35" i="13016"/>
  <c r="U35" i="13016" s="1"/>
  <c r="AH27" i="12989"/>
  <c r="AI27" i="12989" s="1"/>
  <c r="M27" i="13005"/>
  <c r="O27" i="13005" s="1"/>
  <c r="M24" i="13005"/>
  <c r="O24" i="13005" s="1"/>
  <c r="AH24" i="12989"/>
  <c r="AI24" i="12989" s="1"/>
  <c r="Q2179" i="13015"/>
  <c r="Y2179" i="13015" s="1"/>
  <c r="O45" i="13013" s="1"/>
  <c r="Q2067" i="13015"/>
  <c r="Y2067" i="13015" s="1"/>
  <c r="Q2225" i="13015"/>
  <c r="Y2225" i="13015" s="1"/>
  <c r="Q2156" i="13015"/>
  <c r="Y2156" i="13015" s="1"/>
  <c r="Q2043" i="13015"/>
  <c r="Y2043" i="13015" s="1"/>
  <c r="Q2112" i="13015"/>
  <c r="Y2112" i="13015" s="1"/>
  <c r="Q2090" i="13015"/>
  <c r="Y2090" i="13015" s="1"/>
  <c r="O44" i="13013" s="1"/>
  <c r="Q2134" i="13015"/>
  <c r="Y2134" i="13015" s="1"/>
  <c r="Q2019" i="13015"/>
  <c r="Y2019" i="13015" s="1"/>
  <c r="Q2202" i="13015"/>
  <c r="Y2202" i="13015" s="1"/>
  <c r="Q1995" i="13015"/>
  <c r="Q1600" i="13015"/>
  <c r="Y1600" i="13015" s="1"/>
  <c r="Q1578" i="13015"/>
  <c r="Y1578" i="13015" s="1"/>
  <c r="Q1534" i="13015"/>
  <c r="Y1534" i="13015" s="1"/>
  <c r="Q1556" i="13015"/>
  <c r="Y1556" i="13015" s="1"/>
  <c r="Q1515" i="13015"/>
  <c r="Y1515" i="13015" s="1"/>
  <c r="Q1973" i="13015"/>
  <c r="Q1494" i="13015"/>
  <c r="Y19" i="13007"/>
  <c r="W22" i="13007"/>
  <c r="Y22" i="13007" s="1"/>
  <c r="O19" i="13014"/>
  <c r="M23" i="13005"/>
  <c r="AH23" i="12989"/>
  <c r="AI23" i="12989" s="1"/>
  <c r="M45" i="13013"/>
  <c r="M54" i="13013" s="1"/>
  <c r="M65" i="13013" s="1"/>
  <c r="AB2181" i="13015"/>
  <c r="AB1977" i="13015"/>
  <c r="Y2677" i="13015"/>
  <c r="AB2677" i="13015" s="1"/>
  <c r="AB2233" i="13015"/>
  <c r="AB2234" i="13015"/>
  <c r="O21" i="13014"/>
  <c r="AH29" i="12989"/>
  <c r="AI29" i="12989" s="1"/>
  <c r="M29" i="13005"/>
  <c r="M25" i="13005"/>
  <c r="O25" i="13005" s="1"/>
  <c r="AH25" i="12989"/>
  <c r="AI25" i="12989" s="1"/>
  <c r="M30" i="13014"/>
  <c r="K42" i="13005"/>
  <c r="K30" i="13007" s="1"/>
  <c r="K24" i="13007"/>
  <c r="K37" i="13005"/>
  <c r="K47" i="13005"/>
  <c r="K32" i="13007" s="1"/>
  <c r="M32" i="13014"/>
  <c r="S36" i="13013"/>
  <c r="U36" i="13013" s="1"/>
  <c r="AC35" i="12989"/>
  <c r="AE35" i="12989" s="1"/>
  <c r="W35" i="13005"/>
  <c r="AC45" i="12989"/>
  <c r="AE45" i="12989" s="1"/>
  <c r="U45" i="13016"/>
  <c r="S46" i="13016"/>
  <c r="U46" i="13016" s="1"/>
  <c r="S24" i="13014"/>
  <c r="S33" i="13014"/>
  <c r="U33" i="13014" s="1"/>
  <c r="S42" i="13013"/>
  <c r="U42" i="13013" s="1"/>
  <c r="M37" i="13013"/>
  <c r="S47" i="13013"/>
  <c r="U47" i="13013" s="1"/>
  <c r="U35" i="13013"/>
  <c r="Q2067" i="12908"/>
  <c r="Q2113" i="12908"/>
  <c r="Q2157" i="12908"/>
  <c r="Q2091" i="12908"/>
  <c r="Q1995" i="12908"/>
  <c r="AN1995" i="13034" s="1"/>
  <c r="Q2068" i="12908"/>
  <c r="Q2226" i="12908"/>
  <c r="Q2180" i="12908"/>
  <c r="Q2225" i="12908"/>
  <c r="Q2020" i="12908"/>
  <c r="Q1996" i="12908"/>
  <c r="Q2090" i="12908"/>
  <c r="Q2135" i="12908"/>
  <c r="Q2203" i="12908"/>
  <c r="Q2019" i="12908"/>
  <c r="Q2156" i="12908"/>
  <c r="Q2043" i="12908"/>
  <c r="Q2179" i="12908"/>
  <c r="Q2112" i="12908"/>
  <c r="Q2202" i="12908"/>
  <c r="AB1487" i="12908"/>
  <c r="Q24" i="13007"/>
  <c r="AB1980" i="12908"/>
  <c r="AB1979" i="12908"/>
  <c r="AB1557" i="12908"/>
  <c r="Q46" i="13005"/>
  <c r="AC46" i="12989" s="1"/>
  <c r="AB1535" i="12908" l="1"/>
  <c r="AV1535" i="13034"/>
  <c r="S22" i="13017"/>
  <c r="U22" i="13017" s="1"/>
  <c r="U19" i="13017"/>
  <c r="Y2331" i="12908"/>
  <c r="AV2329" i="13034"/>
  <c r="AB2227" i="12908"/>
  <c r="AV2227" i="13034"/>
  <c r="Y1601" i="12908"/>
  <c r="AV1589" i="13034"/>
  <c r="Y2606" i="12908"/>
  <c r="AV2604" i="13034"/>
  <c r="AB2204" i="12908"/>
  <c r="AV2204" i="13034"/>
  <c r="Q36" i="13005"/>
  <c r="M36" i="13016" s="1"/>
  <c r="M25" i="13017" s="1"/>
  <c r="M26" i="13017" s="1"/>
  <c r="AV1917" i="13034"/>
  <c r="AB1917" i="12908"/>
  <c r="AB979" i="12908"/>
  <c r="AC979" i="12908" s="1"/>
  <c r="Q980" i="12908" s="1"/>
  <c r="AB1492" i="12908"/>
  <c r="AC1492" i="12908" s="1"/>
  <c r="Y1935" i="12908"/>
  <c r="AB978" i="12908"/>
  <c r="AC978" i="12908" s="1"/>
  <c r="Q979" i="12908" s="1"/>
  <c r="AN979" i="13034" s="1"/>
  <c r="AB1491" i="12908"/>
  <c r="AC1491" i="12908" s="1"/>
  <c r="Y2433" i="12908"/>
  <c r="AV2425" i="13034"/>
  <c r="AB1516" i="12908"/>
  <c r="AV1516" i="13034"/>
  <c r="Y2537" i="12908"/>
  <c r="AV2529" i="13034"/>
  <c r="Y1579" i="12908"/>
  <c r="AV1567" i="13034"/>
  <c r="Y2180" i="12908"/>
  <c r="AV2180" i="13034" s="1"/>
  <c r="AN2180" i="13034"/>
  <c r="Y2091" i="12908"/>
  <c r="AV2091" i="13034" s="1"/>
  <c r="AN2091" i="13034"/>
  <c r="Y2179" i="12908"/>
  <c r="AV2179" i="13034" s="1"/>
  <c r="AN2179" i="13034"/>
  <c r="Y2203" i="12908"/>
  <c r="AV2203" i="13034" s="1"/>
  <c r="AN2203" i="13034"/>
  <c r="Y1996" i="12908"/>
  <c r="AV1996" i="13034" s="1"/>
  <c r="AN1996" i="13034"/>
  <c r="Y2226" i="12908"/>
  <c r="AV2226" i="13034" s="1"/>
  <c r="AN2226" i="13034"/>
  <c r="Y2157" i="12908"/>
  <c r="AV2157" i="13034" s="1"/>
  <c r="AN2157" i="13034"/>
  <c r="Y14" i="13017"/>
  <c r="W17" i="13017"/>
  <c r="Y17" i="13017" s="1"/>
  <c r="Y2019" i="12908"/>
  <c r="AV2019" i="13034" s="1"/>
  <c r="AN2019" i="13034"/>
  <c r="Y2043" i="12908"/>
  <c r="AV2043" i="13034" s="1"/>
  <c r="AN2043" i="13034"/>
  <c r="Y2135" i="12908"/>
  <c r="AV2135" i="13034" s="1"/>
  <c r="AN2135" i="13034"/>
  <c r="Y2020" i="12908"/>
  <c r="AV2020" i="13034" s="1"/>
  <c r="AN2020" i="13034"/>
  <c r="Y2068" i="12908"/>
  <c r="AV2068" i="13034" s="1"/>
  <c r="AN2068" i="13034"/>
  <c r="Y2113" i="12908"/>
  <c r="AV2113" i="13034" s="1"/>
  <c r="AN2113" i="13034"/>
  <c r="Y2112" i="12908"/>
  <c r="AV2112" i="13034" s="1"/>
  <c r="AN2112" i="13034"/>
  <c r="Y2202" i="12908"/>
  <c r="AV2202" i="13034" s="1"/>
  <c r="AN2202" i="13034"/>
  <c r="Y2156" i="12908"/>
  <c r="AV2156" i="13034" s="1"/>
  <c r="AN2156" i="13034"/>
  <c r="Y2090" i="12908"/>
  <c r="AV2090" i="13034" s="1"/>
  <c r="AN2090" i="13034"/>
  <c r="Y2225" i="12908"/>
  <c r="AV2225" i="13034" s="1"/>
  <c r="AN2225" i="13034"/>
  <c r="Y2067" i="12908"/>
  <c r="AV2067" i="13034" s="1"/>
  <c r="AN2067" i="13034"/>
  <c r="Y32" i="13016"/>
  <c r="W34" i="13016"/>
  <c r="Y34" i="13016" s="1"/>
  <c r="W24" i="13007"/>
  <c r="Y24" i="13007" s="1"/>
  <c r="S37" i="13013"/>
  <c r="U37" i="13013" s="1"/>
  <c r="O22" i="13014"/>
  <c r="AB1980" i="13015"/>
  <c r="AB1979" i="13015"/>
  <c r="M19" i="13007"/>
  <c r="M30" i="13005"/>
  <c r="O23" i="13005"/>
  <c r="Y1995" i="12908"/>
  <c r="AV1995" i="13034" s="1"/>
  <c r="W31" i="13031"/>
  <c r="K26" i="13007"/>
  <c r="Y1995" i="13015"/>
  <c r="O43" i="13013" s="1"/>
  <c r="W31" i="13030"/>
  <c r="M44" i="13005"/>
  <c r="O44" i="13005" s="1"/>
  <c r="AH44" i="12989"/>
  <c r="AI44" i="12989" s="1"/>
  <c r="Q44" i="13013"/>
  <c r="W44" i="13013" s="1"/>
  <c r="Y44" i="13013" s="1"/>
  <c r="O25" i="13014"/>
  <c r="AH36" i="12989"/>
  <c r="AI36" i="12989" s="1"/>
  <c r="M36" i="13005"/>
  <c r="O26" i="13005"/>
  <c r="M20" i="13007"/>
  <c r="O20" i="13007" s="1"/>
  <c r="M21" i="13007"/>
  <c r="O21" i="13007" s="1"/>
  <c r="O29" i="13005"/>
  <c r="K45" i="13005"/>
  <c r="S45" i="13013"/>
  <c r="S54" i="13013" s="1"/>
  <c r="S65" i="13013" s="1"/>
  <c r="Q45" i="13013"/>
  <c r="W45" i="13013" s="1"/>
  <c r="Y45" i="13013" s="1"/>
  <c r="M46" i="13013"/>
  <c r="M31" i="13014" s="1"/>
  <c r="M39" i="13014" s="1"/>
  <c r="M50" i="13014" s="1"/>
  <c r="Q2603" i="13015"/>
  <c r="Y2603" i="13015" s="1"/>
  <c r="Q2328" i="13015"/>
  <c r="Y1494" i="13015"/>
  <c r="Q1916" i="13015"/>
  <c r="Y1916" i="13015" s="1"/>
  <c r="AA28" i="13026"/>
  <c r="Y1493" i="13015"/>
  <c r="O35" i="13013" s="1"/>
  <c r="Q1915" i="13015"/>
  <c r="Y1915" i="13015" s="1"/>
  <c r="O42" i="13013" s="1"/>
  <c r="Q2602" i="13015"/>
  <c r="Y2602" i="13015" s="1"/>
  <c r="O48" i="13013" s="1"/>
  <c r="Q2327" i="13015"/>
  <c r="M45" i="13005"/>
  <c r="AH45" i="12989"/>
  <c r="AI45" i="12989" s="1"/>
  <c r="AC36" i="12989"/>
  <c r="AE36" i="12989" s="1"/>
  <c r="W36" i="13005"/>
  <c r="Y36" i="13005" s="1"/>
  <c r="Y35" i="13005"/>
  <c r="S36" i="13016"/>
  <c r="M37" i="13016"/>
  <c r="S43" i="13005"/>
  <c r="O43" i="13016" s="1"/>
  <c r="S45" i="13005"/>
  <c r="O45" i="13016" s="1"/>
  <c r="Q45" i="13016" s="1"/>
  <c r="W45" i="13016" s="1"/>
  <c r="Y45" i="13016" s="1"/>
  <c r="S25" i="13017"/>
  <c r="U25" i="13017" s="1"/>
  <c r="S30" i="13014"/>
  <c r="U30" i="13014" s="1"/>
  <c r="S32" i="13014"/>
  <c r="U32" i="13014" s="1"/>
  <c r="S31" i="13017"/>
  <c r="U31" i="13017" s="1"/>
  <c r="S24" i="13017"/>
  <c r="Q37" i="13005"/>
  <c r="AC37" i="12989" s="1"/>
  <c r="AE37" i="12989" s="1"/>
  <c r="U24" i="13014"/>
  <c r="W31" i="12991"/>
  <c r="G17" i="12991" s="1"/>
  <c r="Q1003" i="12908"/>
  <c r="Q550" i="12908"/>
  <c r="Q448" i="12908"/>
  <c r="Q236" i="12908"/>
  <c r="Q1096" i="12908"/>
  <c r="Q344" i="12908"/>
  <c r="Q380" i="12908"/>
  <c r="Q1140" i="12908"/>
  <c r="Q583" i="12908"/>
  <c r="Q1074" i="12908"/>
  <c r="Q1118" i="12908"/>
  <c r="Q308" i="12908"/>
  <c r="Q1027" i="12908"/>
  <c r="Q516" i="12908"/>
  <c r="Q649" i="12908"/>
  <c r="Q616" i="12908"/>
  <c r="Q1897" i="12908"/>
  <c r="Q482" i="12908"/>
  <c r="Q414" i="12908"/>
  <c r="Y979" i="12908"/>
  <c r="AV979" i="13034" s="1"/>
  <c r="Q1051" i="12908"/>
  <c r="Q272" i="12908"/>
  <c r="Q1162" i="12908"/>
  <c r="Q1973" i="12908"/>
  <c r="AN1973" i="13034" s="1"/>
  <c r="Q1556" i="12908"/>
  <c r="Q1515" i="12908"/>
  <c r="Q1494" i="12908"/>
  <c r="AN1494" i="13034" s="1"/>
  <c r="Q1578" i="12908"/>
  <c r="Q1600" i="12908"/>
  <c r="Q1534" i="12908"/>
  <c r="AF43" i="12989"/>
  <c r="AG43" i="12989" s="1"/>
  <c r="Q25" i="13007"/>
  <c r="O24" i="12991"/>
  <c r="O25" i="12991"/>
  <c r="Q31" i="13007"/>
  <c r="AE46" i="12989"/>
  <c r="Q1514" i="12908"/>
  <c r="Q1972" i="12908"/>
  <c r="AN1972" i="13034" s="1"/>
  <c r="Q1577" i="12908"/>
  <c r="Q1555" i="12908"/>
  <c r="Q1599" i="12908"/>
  <c r="Q1533" i="12908"/>
  <c r="Q1493" i="12908"/>
  <c r="Y2539" i="12908" l="1"/>
  <c r="AV2537" i="13034"/>
  <c r="Y2435" i="12908"/>
  <c r="AV2433" i="13034"/>
  <c r="AV2606" i="13034"/>
  <c r="Q48" i="13005"/>
  <c r="AB2606" i="12908"/>
  <c r="AB2543" i="12908"/>
  <c r="AV1935" i="13034"/>
  <c r="AB1935" i="12908"/>
  <c r="Y2677" i="12908"/>
  <c r="Q42" i="13005"/>
  <c r="AN980" i="13034"/>
  <c r="Y980" i="12908"/>
  <c r="AV980" i="13034" s="1"/>
  <c r="Q483" i="12908"/>
  <c r="Q551" i="12908"/>
  <c r="Q345" i="12908"/>
  <c r="Q309" i="12908"/>
  <c r="Q650" i="12908"/>
  <c r="Q1028" i="12908"/>
  <c r="Q1052" i="12908"/>
  <c r="Q273" i="12908"/>
  <c r="Q1163" i="12908"/>
  <c r="Q381" i="12908"/>
  <c r="Q517" i="12908"/>
  <c r="Q1119" i="12908"/>
  <c r="Q1898" i="12908"/>
  <c r="Q584" i="12908"/>
  <c r="Q237" i="12908"/>
  <c r="Q415" i="12908"/>
  <c r="Q449" i="12908"/>
  <c r="Q617" i="12908"/>
  <c r="Q1075" i="12908"/>
  <c r="Q1097" i="12908"/>
  <c r="Q1141" i="12908"/>
  <c r="Q1004" i="12908"/>
  <c r="AB1579" i="12908"/>
  <c r="AV1579" i="13034"/>
  <c r="AB1601" i="12908"/>
  <c r="AV1601" i="13034"/>
  <c r="AV2331" i="13034"/>
  <c r="AB2325" i="12908"/>
  <c r="AB2231" i="12908"/>
  <c r="AB1479" i="12908"/>
  <c r="Q47" i="13005"/>
  <c r="Y516" i="12908"/>
  <c r="AV516" i="13034" s="1"/>
  <c r="AN516" i="13034"/>
  <c r="Y550" i="12908"/>
  <c r="AV550" i="13034" s="1"/>
  <c r="AN550" i="13034"/>
  <c r="Y1533" i="12908"/>
  <c r="AV1533" i="13034" s="1"/>
  <c r="AN1533" i="13034"/>
  <c r="Y1599" i="12908"/>
  <c r="AV1599" i="13034" s="1"/>
  <c r="AN1599" i="13034"/>
  <c r="Y1514" i="12908"/>
  <c r="AV1514" i="13034" s="1"/>
  <c r="AN1514" i="13034"/>
  <c r="Y1555" i="12908"/>
  <c r="AV1555" i="13034" s="1"/>
  <c r="AN1555" i="13034"/>
  <c r="Y1600" i="12908"/>
  <c r="AV1600" i="13034" s="1"/>
  <c r="AN1600" i="13034"/>
  <c r="Y1556" i="12908"/>
  <c r="AV1556" i="13034" s="1"/>
  <c r="AN1556" i="13034"/>
  <c r="Y1162" i="12908"/>
  <c r="AV1162" i="13034" s="1"/>
  <c r="AN1162" i="13034"/>
  <c r="Y414" i="12908"/>
  <c r="AV414" i="13034" s="1"/>
  <c r="AN414" i="13034"/>
  <c r="Y649" i="12908"/>
  <c r="AV649" i="13034" s="1"/>
  <c r="AN649" i="13034"/>
  <c r="Y1118" i="12908"/>
  <c r="AV1118" i="13034" s="1"/>
  <c r="AN1118" i="13034"/>
  <c r="Y380" i="12908"/>
  <c r="AV380" i="13034" s="1"/>
  <c r="AN380" i="13034"/>
  <c r="Y448" i="12908"/>
  <c r="AV448" i="13034" s="1"/>
  <c r="AN448" i="13034"/>
  <c r="Y272" i="12908"/>
  <c r="AV272" i="13034" s="1"/>
  <c r="AN272" i="13034"/>
  <c r="Y344" i="12908"/>
  <c r="AV344" i="13034" s="1"/>
  <c r="AN344" i="13034"/>
  <c r="Y1051" i="12908"/>
  <c r="AV1051" i="13034" s="1"/>
  <c r="AN1051" i="13034"/>
  <c r="Y1897" i="12908"/>
  <c r="AV1897" i="13034" s="1"/>
  <c r="AN1897" i="13034"/>
  <c r="Y1027" i="12908"/>
  <c r="AV1027" i="13034" s="1"/>
  <c r="AN1027" i="13034"/>
  <c r="Y583" i="12908"/>
  <c r="AV583" i="13034" s="1"/>
  <c r="AN583" i="13034"/>
  <c r="Y1096" i="12908"/>
  <c r="AV1096" i="13034" s="1"/>
  <c r="AN1096" i="13034"/>
  <c r="Y1003" i="12908"/>
  <c r="AV1003" i="13034" s="1"/>
  <c r="AN1003" i="13034"/>
  <c r="S44" i="13005"/>
  <c r="AF44" i="12989" s="1"/>
  <c r="AG44" i="12989" s="1"/>
  <c r="AA28" i="13027"/>
  <c r="AN1493" i="13034"/>
  <c r="Y1577" i="12908"/>
  <c r="AV1577" i="13034" s="1"/>
  <c r="AN1577" i="13034"/>
  <c r="Y1578" i="12908"/>
  <c r="AV1578" i="13034" s="1"/>
  <c r="AN1578" i="13034"/>
  <c r="Y482" i="12908"/>
  <c r="AV482" i="13034" s="1"/>
  <c r="AN482" i="13034"/>
  <c r="Y1074" i="12908"/>
  <c r="AV1074" i="13034" s="1"/>
  <c r="AN1074" i="13034"/>
  <c r="Y1534" i="12908"/>
  <c r="AV1534" i="13034" s="1"/>
  <c r="AN1534" i="13034"/>
  <c r="Y1515" i="12908"/>
  <c r="AV1515" i="13034" s="1"/>
  <c r="AN1515" i="13034"/>
  <c r="Y616" i="12908"/>
  <c r="AV616" i="13034" s="1"/>
  <c r="AN616" i="13034"/>
  <c r="Y308" i="12908"/>
  <c r="AV308" i="13034" s="1"/>
  <c r="AN308" i="13034"/>
  <c r="Y1140" i="12908"/>
  <c r="AV1140" i="13034" s="1"/>
  <c r="AN1140" i="13034"/>
  <c r="Y236" i="12908"/>
  <c r="AV236" i="13034" s="1"/>
  <c r="AN236" i="13034"/>
  <c r="O11" i="12991"/>
  <c r="G14" i="12991"/>
  <c r="G11" i="12991"/>
  <c r="G12" i="12991"/>
  <c r="I12" i="12991" s="1"/>
  <c r="O21" i="12991"/>
  <c r="Q21" i="12991" s="1"/>
  <c r="G24" i="12991"/>
  <c r="G18" i="12991"/>
  <c r="G26" i="12991"/>
  <c r="K26" i="12991" s="1"/>
  <c r="U43" i="13005"/>
  <c r="O45" i="13005"/>
  <c r="AF45" i="12989"/>
  <c r="AG45" i="12989" s="1"/>
  <c r="S46" i="13005"/>
  <c r="S31" i="13007" s="1"/>
  <c r="U31" i="13007" s="1"/>
  <c r="O20" i="12991"/>
  <c r="Q20" i="12991" s="1"/>
  <c r="O18" i="12991"/>
  <c r="S18" i="12991" s="1"/>
  <c r="O16" i="12991"/>
  <c r="O30" i="13005"/>
  <c r="K51" i="13027"/>
  <c r="K45" i="13027"/>
  <c r="K33" i="13027"/>
  <c r="K15" i="13027"/>
  <c r="K35" i="13027"/>
  <c r="K28" i="13027"/>
  <c r="K42" i="13027"/>
  <c r="K39" i="13027"/>
  <c r="K49" i="13027"/>
  <c r="K24" i="13027"/>
  <c r="K43" i="13027"/>
  <c r="K48" i="13027"/>
  <c r="K23" i="13027"/>
  <c r="K19" i="13027"/>
  <c r="K53" i="13027"/>
  <c r="K56" i="13027"/>
  <c r="K37" i="13027"/>
  <c r="K55" i="13027"/>
  <c r="K32" i="13027"/>
  <c r="K16" i="13027"/>
  <c r="K14" i="13027"/>
  <c r="K21" i="13027"/>
  <c r="K26" i="13027"/>
  <c r="K46" i="13027"/>
  <c r="K27" i="13027"/>
  <c r="K34" i="13027"/>
  <c r="K22" i="13027"/>
  <c r="K13" i="13027"/>
  <c r="K47" i="13027"/>
  <c r="K54" i="13027"/>
  <c r="K29" i="13027"/>
  <c r="K12" i="13027"/>
  <c r="K11" i="13027"/>
  <c r="K38" i="13027"/>
  <c r="K41" i="13027"/>
  <c r="K59" i="13027"/>
  <c r="K17" i="13027"/>
  <c r="K18" i="13027"/>
  <c r="K25" i="13027"/>
  <c r="K31" i="13027"/>
  <c r="K52" i="13027"/>
  <c r="K57" i="13027"/>
  <c r="K36" i="13027"/>
  <c r="K44" i="13027"/>
  <c r="K58" i="13027"/>
  <c r="S23" i="13027"/>
  <c r="S55" i="13027"/>
  <c r="S12" i="13027"/>
  <c r="S11" i="13027"/>
  <c r="S54" i="13027"/>
  <c r="S14" i="13027"/>
  <c r="S33" i="13027"/>
  <c r="S53" i="13027"/>
  <c r="S45" i="13027"/>
  <c r="S57" i="13027"/>
  <c r="S24" i="13027"/>
  <c r="S32" i="13027"/>
  <c r="S48" i="13027"/>
  <c r="S59" i="13027"/>
  <c r="S36" i="13027"/>
  <c r="S42" i="13027"/>
  <c r="S52" i="13027"/>
  <c r="S43" i="13027"/>
  <c r="S47" i="13027"/>
  <c r="S22" i="13027"/>
  <c r="S26" i="13027"/>
  <c r="S15" i="13027"/>
  <c r="S25" i="13027"/>
  <c r="S21" i="13027"/>
  <c r="S41" i="13027"/>
  <c r="S34" i="13027"/>
  <c r="S58" i="13027"/>
  <c r="S35" i="13027"/>
  <c r="S27" i="13027"/>
  <c r="S49" i="13027"/>
  <c r="S46" i="13027"/>
  <c r="S16" i="13027"/>
  <c r="S38" i="13027"/>
  <c r="S39" i="13027"/>
  <c r="S28" i="13027"/>
  <c r="S37" i="13027"/>
  <c r="S56" i="13027"/>
  <c r="S51" i="13027"/>
  <c r="S44" i="13027"/>
  <c r="S13" i="13027"/>
  <c r="S19" i="13027"/>
  <c r="S31" i="13027"/>
  <c r="S29" i="13027"/>
  <c r="S18" i="13027"/>
  <c r="S17" i="13027"/>
  <c r="U44" i="13005"/>
  <c r="AA44" i="13005" s="1"/>
  <c r="AC44" i="13005" s="1"/>
  <c r="O44" i="13016"/>
  <c r="Q44" i="13016" s="1"/>
  <c r="W44" i="13016" s="1"/>
  <c r="Y44" i="13016" s="1"/>
  <c r="O33" i="13014"/>
  <c r="M48" i="13005"/>
  <c r="AH48" i="12989"/>
  <c r="AI48" i="12989" s="1"/>
  <c r="O46" i="13013"/>
  <c r="M43" i="13005"/>
  <c r="O43" i="13005" s="1"/>
  <c r="O46" i="13005" s="1"/>
  <c r="AH43" i="12989"/>
  <c r="AI43" i="12989" s="1"/>
  <c r="Q43" i="13013"/>
  <c r="O30" i="13014"/>
  <c r="M42" i="13005"/>
  <c r="AH42" i="12989"/>
  <c r="AI42" i="12989" s="1"/>
  <c r="M25" i="13007"/>
  <c r="O25" i="13007" s="1"/>
  <c r="O36" i="13005"/>
  <c r="G26" i="13031"/>
  <c r="G22" i="13031"/>
  <c r="G11" i="13031"/>
  <c r="G24" i="13031"/>
  <c r="G20" i="13031"/>
  <c r="G13" i="13031"/>
  <c r="G21" i="13031"/>
  <c r="G17" i="13031"/>
  <c r="G12" i="13031"/>
  <c r="G16" i="13031"/>
  <c r="G25" i="13031"/>
  <c r="G14" i="13031"/>
  <c r="G18" i="13031"/>
  <c r="O16" i="13031"/>
  <c r="O12" i="13031"/>
  <c r="O18" i="13031"/>
  <c r="O25" i="13031"/>
  <c r="O14" i="13031"/>
  <c r="O26" i="13031"/>
  <c r="O17" i="13031"/>
  <c r="O21" i="13031"/>
  <c r="O20" i="13031"/>
  <c r="O13" i="13031"/>
  <c r="O22" i="13031"/>
  <c r="O11" i="13031"/>
  <c r="O24" i="13031"/>
  <c r="O19" i="13007"/>
  <c r="O22" i="13007" s="1"/>
  <c r="M22" i="13007"/>
  <c r="U45" i="13005"/>
  <c r="AA45" i="13005" s="1"/>
  <c r="AC45" i="13005" s="1"/>
  <c r="O24" i="13014"/>
  <c r="O26" i="13014" s="1"/>
  <c r="M35" i="13005"/>
  <c r="AH35" i="12989"/>
  <c r="AI35" i="12989" s="1"/>
  <c r="Q2432" i="13015"/>
  <c r="Y2432" i="13015" s="1"/>
  <c r="Q2536" i="13015"/>
  <c r="Y2536" i="13015" s="1"/>
  <c r="Y2328" i="13015"/>
  <c r="U45" i="13013"/>
  <c r="S46" i="13013"/>
  <c r="U46" i="13013" s="1"/>
  <c r="Y2327" i="13015"/>
  <c r="O47" i="13013" s="1"/>
  <c r="Q2431" i="13015"/>
  <c r="Y2431" i="13015" s="1"/>
  <c r="Q2535" i="13015"/>
  <c r="Y2535" i="13015" s="1"/>
  <c r="K11" i="13026"/>
  <c r="M11" i="13026" s="1"/>
  <c r="O11" i="13026" s="1"/>
  <c r="K51" i="13026"/>
  <c r="M51" i="13026" s="1"/>
  <c r="O51" i="13026" s="1"/>
  <c r="K25" i="13026"/>
  <c r="M25" i="13026" s="1"/>
  <c r="O25" i="13026" s="1"/>
  <c r="S24" i="13026"/>
  <c r="U24" i="13026" s="1"/>
  <c r="W24" i="13026" s="1"/>
  <c r="K33" i="13026"/>
  <c r="M33" i="13026" s="1"/>
  <c r="O33" i="13026" s="1"/>
  <c r="K31" i="13026"/>
  <c r="M31" i="13026" s="1"/>
  <c r="O31" i="13026" s="1"/>
  <c r="S33" i="13026"/>
  <c r="U33" i="13026" s="1"/>
  <c r="W33" i="13026" s="1"/>
  <c r="S43" i="13026"/>
  <c r="U43" i="13026" s="1"/>
  <c r="W43" i="13026" s="1"/>
  <c r="S53" i="13026"/>
  <c r="U53" i="13026" s="1"/>
  <c r="W53" i="13026" s="1"/>
  <c r="S27" i="13026"/>
  <c r="U27" i="13026" s="1"/>
  <c r="W27" i="13026" s="1"/>
  <c r="S35" i="13026"/>
  <c r="U35" i="13026" s="1"/>
  <c r="W35" i="13026" s="1"/>
  <c r="K36" i="13026"/>
  <c r="M36" i="13026" s="1"/>
  <c r="O36" i="13026" s="1"/>
  <c r="K38" i="13026"/>
  <c r="M38" i="13026" s="1"/>
  <c r="O38" i="13026" s="1"/>
  <c r="S13" i="13026"/>
  <c r="U13" i="13026" s="1"/>
  <c r="W13" i="13026" s="1"/>
  <c r="S38" i="13026"/>
  <c r="U38" i="13026" s="1"/>
  <c r="W38" i="13026" s="1"/>
  <c r="K13" i="13026"/>
  <c r="M13" i="13026" s="1"/>
  <c r="O13" i="13026" s="1"/>
  <c r="S39" i="13026"/>
  <c r="U39" i="13026" s="1"/>
  <c r="W39" i="13026" s="1"/>
  <c r="K55" i="13026"/>
  <c r="M55" i="13026" s="1"/>
  <c r="O55" i="13026" s="1"/>
  <c r="K29" i="13026"/>
  <c r="M29" i="13026" s="1"/>
  <c r="O29" i="13026" s="1"/>
  <c r="K57" i="13026"/>
  <c r="M57" i="13026" s="1"/>
  <c r="O57" i="13026" s="1"/>
  <c r="S19" i="13026"/>
  <c r="U19" i="13026" s="1"/>
  <c r="W19" i="13026" s="1"/>
  <c r="S58" i="13026"/>
  <c r="U58" i="13026" s="1"/>
  <c r="W58" i="13026" s="1"/>
  <c r="S59" i="13026"/>
  <c r="U59" i="13026" s="1"/>
  <c r="W59" i="13026" s="1"/>
  <c r="K53" i="13026"/>
  <c r="M53" i="13026" s="1"/>
  <c r="O53" i="13026" s="1"/>
  <c r="K27" i="13026"/>
  <c r="M27" i="13026" s="1"/>
  <c r="O27" i="13026" s="1"/>
  <c r="S32" i="13026"/>
  <c r="U32" i="13026" s="1"/>
  <c r="W32" i="13026" s="1"/>
  <c r="S15" i="13026"/>
  <c r="U15" i="13026" s="1"/>
  <c r="W15" i="13026" s="1"/>
  <c r="S48" i="13026"/>
  <c r="U48" i="13026" s="1"/>
  <c r="W48" i="13026" s="1"/>
  <c r="S55" i="13026"/>
  <c r="U55" i="13026" s="1"/>
  <c r="W55" i="13026" s="1"/>
  <c r="K59" i="13026"/>
  <c r="M59" i="13026" s="1"/>
  <c r="O59" i="13026" s="1"/>
  <c r="S31" i="13026"/>
  <c r="U31" i="13026" s="1"/>
  <c r="W31" i="13026" s="1"/>
  <c r="K42" i="13026"/>
  <c r="M42" i="13026" s="1"/>
  <c r="O42" i="13026" s="1"/>
  <c r="K35" i="13026"/>
  <c r="M35" i="13026" s="1"/>
  <c r="O35" i="13026" s="1"/>
  <c r="K21" i="13026"/>
  <c r="M21" i="13026" s="1"/>
  <c r="O21" i="13026" s="1"/>
  <c r="S51" i="13026"/>
  <c r="U51" i="13026" s="1"/>
  <c r="W51" i="13026" s="1"/>
  <c r="K32" i="13026"/>
  <c r="M32" i="13026" s="1"/>
  <c r="O32" i="13026" s="1"/>
  <c r="S23" i="13026"/>
  <c r="U23" i="13026" s="1"/>
  <c r="W23" i="13026" s="1"/>
  <c r="S42" i="13026"/>
  <c r="U42" i="13026" s="1"/>
  <c r="W42" i="13026" s="1"/>
  <c r="S44" i="13026"/>
  <c r="U44" i="13026" s="1"/>
  <c r="W44" i="13026" s="1"/>
  <c r="S41" i="13026"/>
  <c r="U41" i="13026" s="1"/>
  <c r="W41" i="13026" s="1"/>
  <c r="S37" i="13026"/>
  <c r="U37" i="13026" s="1"/>
  <c r="W37" i="13026" s="1"/>
  <c r="S26" i="13026"/>
  <c r="U26" i="13026" s="1"/>
  <c r="W26" i="13026" s="1"/>
  <c r="K47" i="13026"/>
  <c r="M47" i="13026" s="1"/>
  <c r="O47" i="13026" s="1"/>
  <c r="K54" i="13026"/>
  <c r="M54" i="13026" s="1"/>
  <c r="O54" i="13026" s="1"/>
  <c r="K26" i="13026"/>
  <c r="M26" i="13026" s="1"/>
  <c r="O26" i="13026" s="1"/>
  <c r="S36" i="13026"/>
  <c r="U36" i="13026" s="1"/>
  <c r="W36" i="13026" s="1"/>
  <c r="K18" i="13026"/>
  <c r="M18" i="13026" s="1"/>
  <c r="O18" i="13026" s="1"/>
  <c r="S18" i="13026"/>
  <c r="U18" i="13026" s="1"/>
  <c r="W18" i="13026" s="1"/>
  <c r="S29" i="13026"/>
  <c r="U29" i="13026" s="1"/>
  <c r="W29" i="13026" s="1"/>
  <c r="S46" i="13026"/>
  <c r="U46" i="13026" s="1"/>
  <c r="W46" i="13026" s="1"/>
  <c r="S49" i="13026"/>
  <c r="U49" i="13026" s="1"/>
  <c r="W49" i="13026" s="1"/>
  <c r="K49" i="13026"/>
  <c r="M49" i="13026" s="1"/>
  <c r="O49" i="13026" s="1"/>
  <c r="K22" i="13026"/>
  <c r="M22" i="13026" s="1"/>
  <c r="O22" i="13026" s="1"/>
  <c r="S12" i="13026"/>
  <c r="U12" i="13026" s="1"/>
  <c r="W12" i="13026" s="1"/>
  <c r="K23" i="13026"/>
  <c r="M23" i="13026" s="1"/>
  <c r="O23" i="13026" s="1"/>
  <c r="S25" i="13026"/>
  <c r="U25" i="13026" s="1"/>
  <c r="W25" i="13026" s="1"/>
  <c r="S54" i="13026"/>
  <c r="U54" i="13026" s="1"/>
  <c r="W54" i="13026" s="1"/>
  <c r="S17" i="13026"/>
  <c r="U17" i="13026" s="1"/>
  <c r="W17" i="13026" s="1"/>
  <c r="S16" i="13026"/>
  <c r="U16" i="13026" s="1"/>
  <c r="W16" i="13026" s="1"/>
  <c r="K19" i="13026"/>
  <c r="M19" i="13026" s="1"/>
  <c r="O19" i="13026" s="1"/>
  <c r="Z28" i="13027"/>
  <c r="S21" i="13026"/>
  <c r="U21" i="13026" s="1"/>
  <c r="W21" i="13026" s="1"/>
  <c r="S34" i="13026"/>
  <c r="U34" i="13026" s="1"/>
  <c r="W34" i="13026" s="1"/>
  <c r="K41" i="13026"/>
  <c r="M41" i="13026" s="1"/>
  <c r="O41" i="13026" s="1"/>
  <c r="K43" i="13026"/>
  <c r="M43" i="13026" s="1"/>
  <c r="O43" i="13026" s="1"/>
  <c r="S22" i="13026"/>
  <c r="U22" i="13026" s="1"/>
  <c r="W22" i="13026" s="1"/>
  <c r="K52" i="13026"/>
  <c r="M52" i="13026" s="1"/>
  <c r="O52" i="13026" s="1"/>
  <c r="K12" i="13026"/>
  <c r="M12" i="13026" s="1"/>
  <c r="O12" i="13026" s="1"/>
  <c r="K34" i="13026"/>
  <c r="M34" i="13026" s="1"/>
  <c r="O34" i="13026" s="1"/>
  <c r="K14" i="13026"/>
  <c r="M14" i="13026" s="1"/>
  <c r="O14" i="13026" s="1"/>
  <c r="K44" i="13026"/>
  <c r="M44" i="13026" s="1"/>
  <c r="O44" i="13026" s="1"/>
  <c r="S47" i="13026"/>
  <c r="U47" i="13026" s="1"/>
  <c r="W47" i="13026" s="1"/>
  <c r="S45" i="13026"/>
  <c r="U45" i="13026" s="1"/>
  <c r="W45" i="13026" s="1"/>
  <c r="K17" i="13026"/>
  <c r="M17" i="13026" s="1"/>
  <c r="O17" i="13026" s="1"/>
  <c r="K15" i="13026"/>
  <c r="M15" i="13026" s="1"/>
  <c r="O15" i="13026" s="1"/>
  <c r="S28" i="13026"/>
  <c r="U28" i="13026" s="1"/>
  <c r="W28" i="13026" s="1"/>
  <c r="K45" i="13026"/>
  <c r="M45" i="13026" s="1"/>
  <c r="O45" i="13026" s="1"/>
  <c r="K46" i="13026"/>
  <c r="M46" i="13026" s="1"/>
  <c r="O46" i="13026" s="1"/>
  <c r="S57" i="13026"/>
  <c r="U57" i="13026" s="1"/>
  <c r="W57" i="13026" s="1"/>
  <c r="K39" i="13026"/>
  <c r="M39" i="13026" s="1"/>
  <c r="O39" i="13026" s="1"/>
  <c r="K48" i="13026"/>
  <c r="M48" i="13026" s="1"/>
  <c r="O48" i="13026" s="1"/>
  <c r="K56" i="13026"/>
  <c r="M56" i="13026" s="1"/>
  <c r="O56" i="13026" s="1"/>
  <c r="K58" i="13026"/>
  <c r="M58" i="13026" s="1"/>
  <c r="O58" i="13026" s="1"/>
  <c r="S11" i="13026"/>
  <c r="U11" i="13026" s="1"/>
  <c r="W11" i="13026" s="1"/>
  <c r="S52" i="13026"/>
  <c r="U52" i="13026" s="1"/>
  <c r="W52" i="13026" s="1"/>
  <c r="K24" i="13026"/>
  <c r="M24" i="13026" s="1"/>
  <c r="O24" i="13026" s="1"/>
  <c r="S14" i="13026"/>
  <c r="U14" i="13026" s="1"/>
  <c r="W14" i="13026" s="1"/>
  <c r="K28" i="13026"/>
  <c r="M28" i="13026" s="1"/>
  <c r="O28" i="13026" s="1"/>
  <c r="K37" i="13026"/>
  <c r="M37" i="13026" s="1"/>
  <c r="O37" i="13026" s="1"/>
  <c r="K16" i="13026"/>
  <c r="M16" i="13026" s="1"/>
  <c r="O16" i="13026" s="1"/>
  <c r="S56" i="13026"/>
  <c r="U56" i="13026" s="1"/>
  <c r="W56" i="13026" s="1"/>
  <c r="K46" i="13005"/>
  <c r="K31" i="13007" s="1"/>
  <c r="K39" i="13007" s="1"/>
  <c r="K50" i="13007" s="1"/>
  <c r="K54" i="13005"/>
  <c r="K65" i="13005" s="1"/>
  <c r="W45" i="13005"/>
  <c r="V31" i="13031"/>
  <c r="G18" i="13030"/>
  <c r="G17" i="13030"/>
  <c r="G14" i="13030"/>
  <c r="O22" i="13030"/>
  <c r="O18" i="13030"/>
  <c r="O16" i="13030"/>
  <c r="G21" i="13030"/>
  <c r="G25" i="13030"/>
  <c r="G24" i="13030"/>
  <c r="G26" i="13030"/>
  <c r="O20" i="13030"/>
  <c r="O21" i="13030"/>
  <c r="O14" i="13030"/>
  <c r="O11" i="13030"/>
  <c r="G22" i="13030"/>
  <c r="G11" i="13030"/>
  <c r="G12" i="13030"/>
  <c r="G20" i="13030"/>
  <c r="O26" i="13030"/>
  <c r="O24" i="13030"/>
  <c r="O12" i="13030"/>
  <c r="G16" i="13030"/>
  <c r="G13" i="13030"/>
  <c r="O25" i="13030"/>
  <c r="O13" i="13030"/>
  <c r="O17" i="13030"/>
  <c r="W37" i="13005"/>
  <c r="Y37" i="13005" s="1"/>
  <c r="Q26" i="13007"/>
  <c r="W25" i="13007"/>
  <c r="Y25" i="13007" s="1"/>
  <c r="U36" i="13016"/>
  <c r="S37" i="13016"/>
  <c r="U37" i="13016" s="1"/>
  <c r="Q43" i="13016"/>
  <c r="U54" i="13013"/>
  <c r="U65" i="13013"/>
  <c r="Q88" i="12989"/>
  <c r="S31" i="13014"/>
  <c r="U31" i="13014" s="1"/>
  <c r="U24" i="13017"/>
  <c r="S26" i="13017"/>
  <c r="U26" i="13017" s="1"/>
  <c r="S26" i="13005"/>
  <c r="Q26" i="13013"/>
  <c r="W26" i="13013" s="1"/>
  <c r="Y26" i="13013" s="1"/>
  <c r="S23" i="13005"/>
  <c r="S28" i="13005"/>
  <c r="Q28" i="13013"/>
  <c r="W28" i="13013" s="1"/>
  <c r="S24" i="13005"/>
  <c r="O24" i="13016" s="1"/>
  <c r="Q24" i="13016" s="1"/>
  <c r="W24" i="13016" s="1"/>
  <c r="Y24" i="13016" s="1"/>
  <c r="S25" i="13005"/>
  <c r="Q25" i="13013"/>
  <c r="W25" i="13013" s="1"/>
  <c r="Y25" i="13013" s="1"/>
  <c r="S27" i="13005"/>
  <c r="Q27" i="13013"/>
  <c r="W27" i="13013" s="1"/>
  <c r="Y27" i="13013" s="1"/>
  <c r="S29" i="13005"/>
  <c r="Q29" i="13013"/>
  <c r="W29" i="13013" s="1"/>
  <c r="Y29" i="13013" s="1"/>
  <c r="S25" i="13014"/>
  <c r="Q36" i="13013"/>
  <c r="W36" i="13013" s="1"/>
  <c r="Y36" i="13013" s="1"/>
  <c r="G16" i="12991"/>
  <c r="I16" i="12991" s="1"/>
  <c r="G25" i="12991"/>
  <c r="I25" i="12991" s="1"/>
  <c r="O22" i="12991"/>
  <c r="S22" i="12991" s="1"/>
  <c r="G22" i="12991"/>
  <c r="K22" i="12991" s="1"/>
  <c r="O12" i="12991"/>
  <c r="Q12" i="12991" s="1"/>
  <c r="G20" i="12991"/>
  <c r="K20" i="12991" s="1"/>
  <c r="O17" i="12991"/>
  <c r="S17" i="12991" s="1"/>
  <c r="O26" i="12991"/>
  <c r="S26" i="12991" s="1"/>
  <c r="O13" i="12991"/>
  <c r="S13" i="12991" s="1"/>
  <c r="O14" i="12991"/>
  <c r="Q14" i="12991" s="1"/>
  <c r="G21" i="12991"/>
  <c r="I21" i="12991" s="1"/>
  <c r="G13" i="12991"/>
  <c r="K13" i="12991" s="1"/>
  <c r="K24" i="12991"/>
  <c r="I24" i="12991"/>
  <c r="Q25" i="12991"/>
  <c r="S25" i="12991"/>
  <c r="I18" i="12991"/>
  <c r="K18" i="12991"/>
  <c r="K11" i="12991"/>
  <c r="I11" i="12991"/>
  <c r="Y1494" i="12908"/>
  <c r="AV1494" i="13034" s="1"/>
  <c r="Q2603" i="12908"/>
  <c r="Q1916" i="12908"/>
  <c r="Q2328" i="12908"/>
  <c r="AN2328" i="13034" s="1"/>
  <c r="AA28" i="12994"/>
  <c r="Q1915" i="12908"/>
  <c r="Q2327" i="12908"/>
  <c r="AN2327" i="13034" s="1"/>
  <c r="Y1493" i="12908"/>
  <c r="AV1493" i="13034" s="1"/>
  <c r="Q2602" i="12908"/>
  <c r="K17" i="12991"/>
  <c r="I17" i="12991"/>
  <c r="K14" i="12991"/>
  <c r="I14" i="12991"/>
  <c r="S21" i="12991"/>
  <c r="S11" i="12991"/>
  <c r="Q11" i="12991"/>
  <c r="S20" i="12991"/>
  <c r="S24" i="12991"/>
  <c r="Q24" i="12991"/>
  <c r="S16" i="12991"/>
  <c r="Q16" i="12991"/>
  <c r="AB1482" i="12908" l="1"/>
  <c r="AB1481" i="12908"/>
  <c r="Y1004" i="12908"/>
  <c r="AV1004" i="13034" s="1"/>
  <c r="AN1004" i="13034"/>
  <c r="Y617" i="12908"/>
  <c r="AV617" i="13034" s="1"/>
  <c r="AN617" i="13034"/>
  <c r="AN584" i="13034"/>
  <c r="Y584" i="12908"/>
  <c r="AV584" i="13034" s="1"/>
  <c r="Y381" i="12908"/>
  <c r="AV381" i="13034" s="1"/>
  <c r="AN381" i="13034"/>
  <c r="Y1028" i="12908"/>
  <c r="AV1028" i="13034" s="1"/>
  <c r="AN1028" i="13034"/>
  <c r="Y551" i="12908"/>
  <c r="AV551" i="13034" s="1"/>
  <c r="AN551" i="13034"/>
  <c r="M42" i="13016"/>
  <c r="Q30" i="13007"/>
  <c r="AC42" i="12989"/>
  <c r="AE42" i="12989" s="1"/>
  <c r="Q54" i="13005"/>
  <c r="W42" i="13005"/>
  <c r="AB2546" i="12908"/>
  <c r="AB2545" i="12908"/>
  <c r="S36" i="13005"/>
  <c r="AB2234" i="12908"/>
  <c r="AB2233" i="12908"/>
  <c r="Y1141" i="12908"/>
  <c r="AV1141" i="13034" s="1"/>
  <c r="AN1141" i="13034"/>
  <c r="Y449" i="12908"/>
  <c r="AV449" i="13034" s="1"/>
  <c r="AN449" i="13034"/>
  <c r="AN1898" i="13034"/>
  <c r="Y1898" i="12908"/>
  <c r="AV1898" i="13034" s="1"/>
  <c r="Y1163" i="12908"/>
  <c r="AV1163" i="13034" s="1"/>
  <c r="AN1163" i="13034"/>
  <c r="Y650" i="12908"/>
  <c r="AV650" i="13034" s="1"/>
  <c r="AN650" i="13034"/>
  <c r="AN483" i="13034"/>
  <c r="Y483" i="12908"/>
  <c r="AV483" i="13034" s="1"/>
  <c r="AV2677" i="13034"/>
  <c r="AB2677" i="12908"/>
  <c r="AB2435" i="12908"/>
  <c r="AV2435" i="13034"/>
  <c r="Y1097" i="12908"/>
  <c r="AV1097" i="13034" s="1"/>
  <c r="AN1097" i="13034"/>
  <c r="Y415" i="12908"/>
  <c r="AV415" i="13034" s="1"/>
  <c r="AN415" i="13034"/>
  <c r="Y1119" i="12908"/>
  <c r="AV1119" i="13034" s="1"/>
  <c r="AN1119" i="13034"/>
  <c r="Y273" i="12908"/>
  <c r="AV273" i="13034" s="1"/>
  <c r="AN273" i="13034"/>
  <c r="Y309" i="12908"/>
  <c r="AV309" i="13034" s="1"/>
  <c r="AN309" i="13034"/>
  <c r="M48" i="13016"/>
  <c r="W48" i="13005"/>
  <c r="Y48" i="13005" s="1"/>
  <c r="AC48" i="12989"/>
  <c r="AE48" i="12989" s="1"/>
  <c r="Q33" i="13007"/>
  <c r="W33" i="13007" s="1"/>
  <c r="Y33" i="13007" s="1"/>
  <c r="M47" i="13016"/>
  <c r="W47" i="13005"/>
  <c r="Y47" i="13005" s="1"/>
  <c r="Q32" i="13007"/>
  <c r="W32" i="13007" s="1"/>
  <c r="Y32" i="13007" s="1"/>
  <c r="AC47" i="12989"/>
  <c r="AE47" i="12989" s="1"/>
  <c r="AN1075" i="13034"/>
  <c r="Y1075" i="12908"/>
  <c r="AV1075" i="13034" s="1"/>
  <c r="AN237" i="13034"/>
  <c r="Y237" i="12908"/>
  <c r="AV237" i="13034" s="1"/>
  <c r="AN517" i="13034"/>
  <c r="Y517" i="12908"/>
  <c r="AV517" i="13034" s="1"/>
  <c r="Y1052" i="12908"/>
  <c r="AV1052" i="13034" s="1"/>
  <c r="AN1052" i="13034"/>
  <c r="AN345" i="13034"/>
  <c r="Y345" i="12908"/>
  <c r="AV345" i="13034" s="1"/>
  <c r="AB2539" i="12908"/>
  <c r="AV2539" i="13034"/>
  <c r="Y1916" i="12908"/>
  <c r="AV1916" i="13034" s="1"/>
  <c r="AN1916" i="13034"/>
  <c r="Y1915" i="12908"/>
  <c r="AN1915" i="13034"/>
  <c r="Y2603" i="12908"/>
  <c r="AV2603" i="13034" s="1"/>
  <c r="AN2603" i="13034"/>
  <c r="Y2602" i="12908"/>
  <c r="AV2602" i="13034" s="1"/>
  <c r="AN2602" i="13034"/>
  <c r="K25" i="12991"/>
  <c r="K12" i="12991"/>
  <c r="U46" i="13005"/>
  <c r="I26" i="12991"/>
  <c r="AF46" i="12989"/>
  <c r="AG46" i="12989" s="1"/>
  <c r="K16" i="12991"/>
  <c r="Q18" i="12991"/>
  <c r="I20" i="12991"/>
  <c r="S12" i="12991"/>
  <c r="Q22" i="12991"/>
  <c r="Q17" i="12991"/>
  <c r="K21" i="12991"/>
  <c r="O46" i="13016"/>
  <c r="O31" i="13017" s="1"/>
  <c r="Q31" i="13017" s="1"/>
  <c r="W31" i="13017" s="1"/>
  <c r="Y31" i="13017" s="1"/>
  <c r="Q17" i="13030"/>
  <c r="S17" i="13030"/>
  <c r="S11" i="13030"/>
  <c r="Q11" i="13030"/>
  <c r="Q26" i="12991"/>
  <c r="S14" i="12991"/>
  <c r="O36" i="13016"/>
  <c r="Q13" i="13030"/>
  <c r="S13" i="13030"/>
  <c r="Q12" i="13030"/>
  <c r="S12" i="13030"/>
  <c r="K12" i="13030"/>
  <c r="I12" i="13030"/>
  <c r="Q14" i="13030"/>
  <c r="S14" i="13030"/>
  <c r="I24" i="13030"/>
  <c r="K24" i="13030"/>
  <c r="Q18" i="13030"/>
  <c r="S18" i="13030"/>
  <c r="K18" i="13030"/>
  <c r="I18" i="13030"/>
  <c r="AA43" i="13005"/>
  <c r="O31" i="13014"/>
  <c r="Q31" i="13014" s="1"/>
  <c r="M46" i="13005"/>
  <c r="M31" i="13007" s="1"/>
  <c r="O31" i="13007" s="1"/>
  <c r="AA31" i="13007" s="1"/>
  <c r="AC31" i="13007" s="1"/>
  <c r="AH46" i="12989"/>
  <c r="AI46" i="12989" s="1"/>
  <c r="I16" i="13030"/>
  <c r="K16" i="13030"/>
  <c r="Q16" i="13030"/>
  <c r="S16" i="13030"/>
  <c r="Q25" i="13030"/>
  <c r="S25" i="13030"/>
  <c r="I11" i="13030"/>
  <c r="K11" i="13030"/>
  <c r="I25" i="13030"/>
  <c r="K25" i="13030"/>
  <c r="E11" i="13031"/>
  <c r="K11" i="13031" s="1"/>
  <c r="E21" i="13031"/>
  <c r="K21" i="13031" s="1"/>
  <c r="E18" i="13031"/>
  <c r="K18" i="13031" s="1"/>
  <c r="E17" i="13031"/>
  <c r="K17" i="13031" s="1"/>
  <c r="E25" i="13031"/>
  <c r="K25" i="13031" s="1"/>
  <c r="E14" i="13031"/>
  <c r="K14" i="13031" s="1"/>
  <c r="E24" i="13031"/>
  <c r="K24" i="13031" s="1"/>
  <c r="E26" i="13031"/>
  <c r="K26" i="13031" s="1"/>
  <c r="E13" i="13031"/>
  <c r="K13" i="13031" s="1"/>
  <c r="E20" i="13031"/>
  <c r="K20" i="13031" s="1"/>
  <c r="E22" i="13031"/>
  <c r="K22" i="13031" s="1"/>
  <c r="E12" i="13031"/>
  <c r="K12" i="13031" s="1"/>
  <c r="E16" i="13031"/>
  <c r="K16" i="13031" s="1"/>
  <c r="M24" i="13031"/>
  <c r="S24" i="13031" s="1"/>
  <c r="M26" i="13031"/>
  <c r="S26" i="13031" s="1"/>
  <c r="M18" i="13031"/>
  <c r="S18" i="13031" s="1"/>
  <c r="M12" i="13031"/>
  <c r="S12" i="13031" s="1"/>
  <c r="M21" i="13031"/>
  <c r="S21" i="13031" s="1"/>
  <c r="M25" i="13031"/>
  <c r="S25" i="13031" s="1"/>
  <c r="M17" i="13031"/>
  <c r="S17" i="13031" s="1"/>
  <c r="M16" i="13031"/>
  <c r="S16" i="13031" s="1"/>
  <c r="M11" i="13031"/>
  <c r="S11" i="13031" s="1"/>
  <c r="M20" i="13031"/>
  <c r="S20" i="13031" s="1"/>
  <c r="M14" i="13031"/>
  <c r="S14" i="13031" s="1"/>
  <c r="M13" i="13031"/>
  <c r="S13" i="13031" s="1"/>
  <c r="M22" i="13031"/>
  <c r="S22" i="13031" s="1"/>
  <c r="Q46" i="13013"/>
  <c r="W43" i="13013"/>
  <c r="U25" i="13005"/>
  <c r="AA25" i="13005" s="1"/>
  <c r="AC25" i="13005" s="1"/>
  <c r="O25" i="13016"/>
  <c r="Q25" i="13016" s="1"/>
  <c r="W25" i="13016" s="1"/>
  <c r="Y25" i="13016" s="1"/>
  <c r="I20" i="13030"/>
  <c r="K20" i="13030"/>
  <c r="K26" i="13030"/>
  <c r="I26" i="13030"/>
  <c r="I17" i="13030"/>
  <c r="K17" i="13030"/>
  <c r="Q52" i="13027"/>
  <c r="U52" i="13027" s="1"/>
  <c r="W52" i="13027" s="1"/>
  <c r="Q34" i="13027"/>
  <c r="U34" i="13027" s="1"/>
  <c r="W34" i="13027" s="1"/>
  <c r="Q16" i="13027"/>
  <c r="U16" i="13027" s="1"/>
  <c r="W16" i="13027" s="1"/>
  <c r="I48" i="13027"/>
  <c r="M48" i="13027" s="1"/>
  <c r="O48" i="13027" s="1"/>
  <c r="I31" i="13027"/>
  <c r="M31" i="13027" s="1"/>
  <c r="O31" i="13027" s="1"/>
  <c r="I18" i="13027"/>
  <c r="M18" i="13027" s="1"/>
  <c r="O18" i="13027" s="1"/>
  <c r="Q46" i="13027"/>
  <c r="U46" i="13027" s="1"/>
  <c r="W46" i="13027" s="1"/>
  <c r="Q28" i="13027"/>
  <c r="U28" i="13027" s="1"/>
  <c r="W28" i="13027" s="1"/>
  <c r="Q11" i="13027"/>
  <c r="U11" i="13027" s="1"/>
  <c r="W11" i="13027" s="1"/>
  <c r="I43" i="13027"/>
  <c r="M43" i="13027" s="1"/>
  <c r="O43" i="13027" s="1"/>
  <c r="I25" i="13027"/>
  <c r="M25" i="13027" s="1"/>
  <c r="O25" i="13027" s="1"/>
  <c r="Q58" i="13027"/>
  <c r="U58" i="13027" s="1"/>
  <c r="W58" i="13027" s="1"/>
  <c r="Q41" i="13027"/>
  <c r="U41" i="13027" s="1"/>
  <c r="W41" i="13027" s="1"/>
  <c r="Q23" i="13027"/>
  <c r="U23" i="13027" s="1"/>
  <c r="W23" i="13027" s="1"/>
  <c r="I55" i="13027"/>
  <c r="M55" i="13027" s="1"/>
  <c r="O55" i="13027" s="1"/>
  <c r="I37" i="13027"/>
  <c r="M37" i="13027" s="1"/>
  <c r="O37" i="13027" s="1"/>
  <c r="I12" i="13027"/>
  <c r="M12" i="13027" s="1"/>
  <c r="O12" i="13027" s="1"/>
  <c r="Q53" i="13027"/>
  <c r="U53" i="13027" s="1"/>
  <c r="W53" i="13027" s="1"/>
  <c r="I45" i="13027"/>
  <c r="M45" i="13027" s="1"/>
  <c r="O45" i="13027" s="1"/>
  <c r="I58" i="13027"/>
  <c r="M58" i="13027" s="1"/>
  <c r="O58" i="13027" s="1"/>
  <c r="Q22" i="13027"/>
  <c r="U22" i="13027" s="1"/>
  <c r="W22" i="13027" s="1"/>
  <c r="Q35" i="13027"/>
  <c r="U35" i="13027" s="1"/>
  <c r="W35" i="13027" s="1"/>
  <c r="I17" i="13027"/>
  <c r="M17" i="13027" s="1"/>
  <c r="O17" i="13027" s="1"/>
  <c r="Q47" i="13027"/>
  <c r="U47" i="13027" s="1"/>
  <c r="W47" i="13027" s="1"/>
  <c r="Q29" i="13027"/>
  <c r="U29" i="13027" s="1"/>
  <c r="W29" i="13027" s="1"/>
  <c r="Q12" i="13027"/>
  <c r="U12" i="13027" s="1"/>
  <c r="W12" i="13027" s="1"/>
  <c r="I44" i="13027"/>
  <c r="M44" i="13027" s="1"/>
  <c r="O44" i="13027" s="1"/>
  <c r="I26" i="13027"/>
  <c r="M26" i="13027" s="1"/>
  <c r="O26" i="13027" s="1"/>
  <c r="Q59" i="13027"/>
  <c r="U59" i="13027" s="1"/>
  <c r="W59" i="13027" s="1"/>
  <c r="Q42" i="13027"/>
  <c r="U42" i="13027" s="1"/>
  <c r="W42" i="13027" s="1"/>
  <c r="Q24" i="13027"/>
  <c r="U24" i="13027" s="1"/>
  <c r="W24" i="13027" s="1"/>
  <c r="I56" i="13027"/>
  <c r="M56" i="13027" s="1"/>
  <c r="O56" i="13027" s="1"/>
  <c r="I38" i="13027"/>
  <c r="M38" i="13027" s="1"/>
  <c r="O38" i="13027" s="1"/>
  <c r="I21" i="13027"/>
  <c r="M21" i="13027" s="1"/>
  <c r="O21" i="13027" s="1"/>
  <c r="Q54" i="13027"/>
  <c r="U54" i="13027" s="1"/>
  <c r="W54" i="13027" s="1"/>
  <c r="Q36" i="13027"/>
  <c r="U36" i="13027" s="1"/>
  <c r="W36" i="13027" s="1"/>
  <c r="Q18" i="13027"/>
  <c r="U18" i="13027" s="1"/>
  <c r="W18" i="13027" s="1"/>
  <c r="I51" i="13027"/>
  <c r="M51" i="13027" s="1"/>
  <c r="O51" i="13027" s="1"/>
  <c r="I33" i="13027"/>
  <c r="M33" i="13027" s="1"/>
  <c r="O33" i="13027" s="1"/>
  <c r="I16" i="13027"/>
  <c r="M16" i="13027" s="1"/>
  <c r="O16" i="13027" s="1"/>
  <c r="Q48" i="13027"/>
  <c r="U48" i="13027" s="1"/>
  <c r="W48" i="13027" s="1"/>
  <c r="I27" i="13027"/>
  <c r="M27" i="13027" s="1"/>
  <c r="O27" i="13027" s="1"/>
  <c r="I41" i="13027"/>
  <c r="M41" i="13027" s="1"/>
  <c r="O41" i="13027" s="1"/>
  <c r="I54" i="13027"/>
  <c r="M54" i="13027" s="1"/>
  <c r="O54" i="13027" s="1"/>
  <c r="Q17" i="13027"/>
  <c r="U17" i="13027" s="1"/>
  <c r="W17" i="13027" s="1"/>
  <c r="Q43" i="13027"/>
  <c r="U43" i="13027" s="1"/>
  <c r="W43" i="13027" s="1"/>
  <c r="Q25" i="13027"/>
  <c r="U25" i="13027" s="1"/>
  <c r="W25" i="13027" s="1"/>
  <c r="I57" i="13027"/>
  <c r="M57" i="13027" s="1"/>
  <c r="O57" i="13027" s="1"/>
  <c r="I39" i="13027"/>
  <c r="M39" i="13027" s="1"/>
  <c r="O39" i="13027" s="1"/>
  <c r="I22" i="13027"/>
  <c r="M22" i="13027" s="1"/>
  <c r="O22" i="13027" s="1"/>
  <c r="Q55" i="13027"/>
  <c r="U55" i="13027" s="1"/>
  <c r="W55" i="13027" s="1"/>
  <c r="Q37" i="13027"/>
  <c r="U37" i="13027" s="1"/>
  <c r="W37" i="13027" s="1"/>
  <c r="Q19" i="13027"/>
  <c r="U19" i="13027" s="1"/>
  <c r="W19" i="13027" s="1"/>
  <c r="I52" i="13027"/>
  <c r="M52" i="13027" s="1"/>
  <c r="O52" i="13027" s="1"/>
  <c r="I34" i="13027"/>
  <c r="M34" i="13027" s="1"/>
  <c r="O34" i="13027" s="1"/>
  <c r="I15" i="13027"/>
  <c r="M15" i="13027" s="1"/>
  <c r="O15" i="13027" s="1"/>
  <c r="Q49" i="13027"/>
  <c r="U49" i="13027" s="1"/>
  <c r="W49" i="13027" s="1"/>
  <c r="Q32" i="13027"/>
  <c r="U32" i="13027" s="1"/>
  <c r="W32" i="13027" s="1"/>
  <c r="Q14" i="13027"/>
  <c r="U14" i="13027" s="1"/>
  <c r="W14" i="13027" s="1"/>
  <c r="I46" i="13027"/>
  <c r="M46" i="13027" s="1"/>
  <c r="O46" i="13027" s="1"/>
  <c r="I28" i="13027"/>
  <c r="M28" i="13027" s="1"/>
  <c r="O28" i="13027" s="1"/>
  <c r="I11" i="13027"/>
  <c r="M11" i="13027" s="1"/>
  <c r="O11" i="13027" s="1"/>
  <c r="Q31" i="13027"/>
  <c r="U31" i="13027" s="1"/>
  <c r="W31" i="13027" s="1"/>
  <c r="Q44" i="13027"/>
  <c r="U44" i="13027" s="1"/>
  <c r="W44" i="13027" s="1"/>
  <c r="I23" i="13027"/>
  <c r="M23" i="13027" s="1"/>
  <c r="O23" i="13027" s="1"/>
  <c r="I36" i="13027"/>
  <c r="M36" i="13027" s="1"/>
  <c r="O36" i="13027" s="1"/>
  <c r="I49" i="13027"/>
  <c r="M49" i="13027" s="1"/>
  <c r="O49" i="13027" s="1"/>
  <c r="Q56" i="13027"/>
  <c r="U56" i="13027" s="1"/>
  <c r="W56" i="13027" s="1"/>
  <c r="Q38" i="13027"/>
  <c r="U38" i="13027" s="1"/>
  <c r="W38" i="13027" s="1"/>
  <c r="Q21" i="13027"/>
  <c r="U21" i="13027" s="1"/>
  <c r="W21" i="13027" s="1"/>
  <c r="I53" i="13027"/>
  <c r="M53" i="13027" s="1"/>
  <c r="O53" i="13027" s="1"/>
  <c r="I35" i="13027"/>
  <c r="M35" i="13027" s="1"/>
  <c r="O35" i="13027" s="1"/>
  <c r="I14" i="13027"/>
  <c r="M14" i="13027" s="1"/>
  <c r="O14" i="13027" s="1"/>
  <c r="Q51" i="13027"/>
  <c r="U51" i="13027" s="1"/>
  <c r="W51" i="13027" s="1"/>
  <c r="Q33" i="13027"/>
  <c r="U33" i="13027" s="1"/>
  <c r="W33" i="13027" s="1"/>
  <c r="Q15" i="13027"/>
  <c r="U15" i="13027" s="1"/>
  <c r="W15" i="13027" s="1"/>
  <c r="I47" i="13027"/>
  <c r="M47" i="13027" s="1"/>
  <c r="O47" i="13027" s="1"/>
  <c r="I29" i="13027"/>
  <c r="M29" i="13027" s="1"/>
  <c r="O29" i="13027" s="1"/>
  <c r="I19" i="13027"/>
  <c r="M19" i="13027" s="1"/>
  <c r="O19" i="13027" s="1"/>
  <c r="Q45" i="13027"/>
  <c r="U45" i="13027" s="1"/>
  <c r="W45" i="13027" s="1"/>
  <c r="Q27" i="13027"/>
  <c r="U27" i="13027" s="1"/>
  <c r="W27" i="13027" s="1"/>
  <c r="I59" i="13027"/>
  <c r="M59" i="13027" s="1"/>
  <c r="O59" i="13027" s="1"/>
  <c r="I42" i="13027"/>
  <c r="M42" i="13027" s="1"/>
  <c r="O42" i="13027" s="1"/>
  <c r="I24" i="13027"/>
  <c r="M24" i="13027" s="1"/>
  <c r="O24" i="13027" s="1"/>
  <c r="Q57" i="13027"/>
  <c r="U57" i="13027" s="1"/>
  <c r="W57" i="13027" s="1"/>
  <c r="Q13" i="13027"/>
  <c r="U13" i="13027" s="1"/>
  <c r="W13" i="13027" s="1"/>
  <c r="Q26" i="13027"/>
  <c r="U26" i="13027" s="1"/>
  <c r="W26" i="13027" s="1"/>
  <c r="Q39" i="13027"/>
  <c r="U39" i="13027" s="1"/>
  <c r="W39" i="13027" s="1"/>
  <c r="I13" i="13027"/>
  <c r="M13" i="13027" s="1"/>
  <c r="O13" i="13027" s="1"/>
  <c r="I32" i="13027"/>
  <c r="M32" i="13027" s="1"/>
  <c r="O32" i="13027" s="1"/>
  <c r="I24" i="13031"/>
  <c r="AF27" i="12989"/>
  <c r="AG27" i="12989" s="1"/>
  <c r="O27" i="13016"/>
  <c r="Q27" i="13016" s="1"/>
  <c r="W27" i="13016" s="1"/>
  <c r="Y27" i="13016" s="1"/>
  <c r="U26" i="13005"/>
  <c r="AA26" i="13005" s="1"/>
  <c r="AC26" i="13005" s="1"/>
  <c r="O26" i="13016"/>
  <c r="Q24" i="13030"/>
  <c r="S24" i="13030"/>
  <c r="Q21" i="13030"/>
  <c r="S21" i="13030"/>
  <c r="S22" i="13030"/>
  <c r="Q22" i="13030"/>
  <c r="U28" i="13005"/>
  <c r="AA28" i="13005" s="1"/>
  <c r="O28" i="13016"/>
  <c r="Q28" i="13016" s="1"/>
  <c r="W28" i="13016" s="1"/>
  <c r="I13" i="13030"/>
  <c r="K13" i="13030"/>
  <c r="Q26" i="13030"/>
  <c r="S26" i="13030"/>
  <c r="K22" i="13030"/>
  <c r="I22" i="13030"/>
  <c r="Q20" i="13030"/>
  <c r="S20" i="13030"/>
  <c r="I21" i="13030"/>
  <c r="K21" i="13030"/>
  <c r="K14" i="13030"/>
  <c r="I14" i="13030"/>
  <c r="Y45" i="13005"/>
  <c r="W46" i="13005"/>
  <c r="Y46" i="13005" s="1"/>
  <c r="O32" i="13014"/>
  <c r="M47" i="13005"/>
  <c r="M54" i="13005" s="1"/>
  <c r="M65" i="13005" s="1"/>
  <c r="AH47" i="12989"/>
  <c r="AI47" i="12989" s="1"/>
  <c r="M24" i="13007"/>
  <c r="O35" i="13005"/>
  <c r="O37" i="13005" s="1"/>
  <c r="M37" i="13005"/>
  <c r="O42" i="13005"/>
  <c r="M30" i="13007"/>
  <c r="O30" i="13007" s="1"/>
  <c r="M33" i="13007"/>
  <c r="O33" i="13007" s="1"/>
  <c r="O48" i="13005"/>
  <c r="W31" i="13007"/>
  <c r="Y31" i="13007" s="1"/>
  <c r="O29" i="13016"/>
  <c r="AF23" i="12989"/>
  <c r="AG23" i="12989" s="1"/>
  <c r="O23" i="13016"/>
  <c r="AF25" i="12989"/>
  <c r="AG25" i="12989" s="1"/>
  <c r="I22" i="12991"/>
  <c r="Q13" i="12991"/>
  <c r="Q46" i="13016"/>
  <c r="W43" i="13016"/>
  <c r="S21" i="13007"/>
  <c r="U21" i="13007" s="1"/>
  <c r="AA21" i="13007" s="1"/>
  <c r="AC21" i="13007" s="1"/>
  <c r="S19" i="13007"/>
  <c r="U19" i="13007" s="1"/>
  <c r="AA19" i="13007" s="1"/>
  <c r="AC19" i="13007" s="1"/>
  <c r="S20" i="13007"/>
  <c r="U20" i="13007" s="1"/>
  <c r="AA20" i="13007" s="1"/>
  <c r="AC20" i="13007" s="1"/>
  <c r="U27" i="13005"/>
  <c r="AA27" i="13005" s="1"/>
  <c r="AC27" i="13005" s="1"/>
  <c r="AF36" i="12989"/>
  <c r="AG36" i="12989" s="1"/>
  <c r="S30" i="13005"/>
  <c r="AF30" i="12989" s="1"/>
  <c r="AG30" i="12989" s="1"/>
  <c r="Q30" i="13014"/>
  <c r="W30" i="13014" s="1"/>
  <c r="Y30" i="13014" s="1"/>
  <c r="S25" i="13007"/>
  <c r="U25" i="13007" s="1"/>
  <c r="AA25" i="13007" s="1"/>
  <c r="AC25" i="13007" s="1"/>
  <c r="U29" i="13005"/>
  <c r="AA29" i="13005" s="1"/>
  <c r="AC29" i="13005" s="1"/>
  <c r="S35" i="13005"/>
  <c r="AF35" i="12989" s="1"/>
  <c r="AG35" i="12989" s="1"/>
  <c r="AF29" i="12989"/>
  <c r="AG29" i="12989" s="1"/>
  <c r="Q21" i="13014"/>
  <c r="W21" i="13014" s="1"/>
  <c r="Y21" i="13014" s="1"/>
  <c r="Q23" i="13013"/>
  <c r="Q42" i="13013"/>
  <c r="W42" i="13013" s="1"/>
  <c r="Y42" i="13013" s="1"/>
  <c r="O30" i="13013"/>
  <c r="AH30" i="12989" s="1"/>
  <c r="Q24" i="13013"/>
  <c r="W24" i="13013" s="1"/>
  <c r="Y24" i="13013" s="1"/>
  <c r="U23" i="13005"/>
  <c r="AA23" i="13005" s="1"/>
  <c r="S48" i="13005"/>
  <c r="Q48" i="13013"/>
  <c r="W48" i="13013" s="1"/>
  <c r="Y48" i="13013" s="1"/>
  <c r="U25" i="13014"/>
  <c r="S39" i="13014"/>
  <c r="S26" i="13014"/>
  <c r="U26" i="13014" s="1"/>
  <c r="U24" i="13005"/>
  <c r="AA24" i="13005" s="1"/>
  <c r="AC24" i="13005" s="1"/>
  <c r="AF24" i="12989"/>
  <c r="AG24" i="12989" s="1"/>
  <c r="U36" i="13005"/>
  <c r="AA36" i="13005" s="1"/>
  <c r="AC36" i="13005" s="1"/>
  <c r="Q25" i="13014"/>
  <c r="W25" i="13014" s="1"/>
  <c r="Y25" i="13014" s="1"/>
  <c r="AF26" i="12989"/>
  <c r="AG26" i="12989" s="1"/>
  <c r="Q20" i="13014"/>
  <c r="W20" i="13014" s="1"/>
  <c r="Y20" i="13014" s="1"/>
  <c r="I13" i="12991"/>
  <c r="W26" i="13007"/>
  <c r="Y26" i="13007" s="1"/>
  <c r="K18" i="12994"/>
  <c r="M18" i="12994" s="1"/>
  <c r="O18" i="12994" s="1"/>
  <c r="K17" i="12994"/>
  <c r="M17" i="12994" s="1"/>
  <c r="O17" i="12994" s="1"/>
  <c r="K38" i="12994"/>
  <c r="M38" i="12994" s="1"/>
  <c r="O38" i="12994" s="1"/>
  <c r="K42" i="12994"/>
  <c r="M42" i="12994" s="1"/>
  <c r="O42" i="12994" s="1"/>
  <c r="K58" i="12994"/>
  <c r="M58" i="12994" s="1"/>
  <c r="O58" i="12994" s="1"/>
  <c r="K47" i="12994"/>
  <c r="M47" i="12994" s="1"/>
  <c r="O47" i="12994" s="1"/>
  <c r="K57" i="12994"/>
  <c r="M57" i="12994" s="1"/>
  <c r="O57" i="12994" s="1"/>
  <c r="K31" i="12994"/>
  <c r="M31" i="12994" s="1"/>
  <c r="O31" i="12994" s="1"/>
  <c r="K48" i="12994"/>
  <c r="M48" i="12994" s="1"/>
  <c r="O48" i="12994" s="1"/>
  <c r="K32" i="12994"/>
  <c r="M32" i="12994" s="1"/>
  <c r="O32" i="12994" s="1"/>
  <c r="K55" i="12994"/>
  <c r="M55" i="12994" s="1"/>
  <c r="O55" i="12994" s="1"/>
  <c r="K56" i="12994"/>
  <c r="M56" i="12994" s="1"/>
  <c r="O56" i="12994" s="1"/>
  <c r="K53" i="12994"/>
  <c r="M53" i="12994" s="1"/>
  <c r="O53" i="12994" s="1"/>
  <c r="K59" i="12994"/>
  <c r="M59" i="12994" s="1"/>
  <c r="O59" i="12994" s="1"/>
  <c r="K34" i="12994"/>
  <c r="M34" i="12994" s="1"/>
  <c r="O34" i="12994" s="1"/>
  <c r="K37" i="12994"/>
  <c r="M37" i="12994" s="1"/>
  <c r="O37" i="12994" s="1"/>
  <c r="K25" i="12994"/>
  <c r="M25" i="12994" s="1"/>
  <c r="O25" i="12994" s="1"/>
  <c r="K26" i="12994"/>
  <c r="M26" i="12994" s="1"/>
  <c r="O26" i="12994" s="1"/>
  <c r="K23" i="12994"/>
  <c r="M23" i="12994" s="1"/>
  <c r="O23" i="12994" s="1"/>
  <c r="K21" i="12994"/>
  <c r="M21" i="12994" s="1"/>
  <c r="O21" i="12994" s="1"/>
  <c r="K54" i="12994"/>
  <c r="M54" i="12994" s="1"/>
  <c r="O54" i="12994" s="1"/>
  <c r="K51" i="12994"/>
  <c r="M51" i="12994" s="1"/>
  <c r="O51" i="12994" s="1"/>
  <c r="K33" i="12994"/>
  <c r="M33" i="12994" s="1"/>
  <c r="O33" i="12994" s="1"/>
  <c r="K44" i="12994"/>
  <c r="M44" i="12994" s="1"/>
  <c r="O44" i="12994" s="1"/>
  <c r="K43" i="12994"/>
  <c r="M43" i="12994" s="1"/>
  <c r="O43" i="12994" s="1"/>
  <c r="K29" i="12994"/>
  <c r="M29" i="12994" s="1"/>
  <c r="O29" i="12994" s="1"/>
  <c r="K22" i="12994"/>
  <c r="M22" i="12994" s="1"/>
  <c r="O22" i="12994" s="1"/>
  <c r="K52" i="12994"/>
  <c r="M52" i="12994" s="1"/>
  <c r="O52" i="12994" s="1"/>
  <c r="K46" i="12994"/>
  <c r="M46" i="12994" s="1"/>
  <c r="O46" i="12994" s="1"/>
  <c r="K12" i="12994"/>
  <c r="M12" i="12994" s="1"/>
  <c r="O12" i="12994" s="1"/>
  <c r="K39" i="12994"/>
  <c r="M39" i="12994" s="1"/>
  <c r="O39" i="12994" s="1"/>
  <c r="K19" i="12994"/>
  <c r="M19" i="12994" s="1"/>
  <c r="O19" i="12994" s="1"/>
  <c r="K13" i="12994"/>
  <c r="M13" i="12994" s="1"/>
  <c r="O13" i="12994" s="1"/>
  <c r="K11" i="12994"/>
  <c r="M11" i="12994" s="1"/>
  <c r="O11" i="12994" s="1"/>
  <c r="K16" i="12994"/>
  <c r="M16" i="12994" s="1"/>
  <c r="O16" i="12994" s="1"/>
  <c r="K14" i="12994"/>
  <c r="M14" i="12994" s="1"/>
  <c r="O14" i="12994" s="1"/>
  <c r="K41" i="12994"/>
  <c r="M41" i="12994" s="1"/>
  <c r="O41" i="12994" s="1"/>
  <c r="K49" i="12994"/>
  <c r="M49" i="12994" s="1"/>
  <c r="O49" i="12994" s="1"/>
  <c r="K24" i="12994"/>
  <c r="M24" i="12994" s="1"/>
  <c r="O24" i="12994" s="1"/>
  <c r="K36" i="12994"/>
  <c r="M36" i="12994" s="1"/>
  <c r="O36" i="12994" s="1"/>
  <c r="K45" i="12994"/>
  <c r="M45" i="12994" s="1"/>
  <c r="O45" i="12994" s="1"/>
  <c r="K35" i="12994"/>
  <c r="M35" i="12994" s="1"/>
  <c r="O35" i="12994" s="1"/>
  <c r="K28" i="12994"/>
  <c r="M28" i="12994" s="1"/>
  <c r="O28" i="12994" s="1"/>
  <c r="K15" i="12994"/>
  <c r="M15" i="12994" s="1"/>
  <c r="O15" i="12994" s="1"/>
  <c r="K27" i="12994"/>
  <c r="M27" i="12994" s="1"/>
  <c r="O27" i="12994" s="1"/>
  <c r="S25" i="12994"/>
  <c r="U25" i="12994" s="1"/>
  <c r="W25" i="12994" s="1"/>
  <c r="S33" i="12994"/>
  <c r="U33" i="12994" s="1"/>
  <c r="W33" i="12994" s="1"/>
  <c r="S27" i="12994"/>
  <c r="U27" i="12994" s="1"/>
  <c r="W27" i="12994" s="1"/>
  <c r="S17" i="12994"/>
  <c r="U17" i="12994" s="1"/>
  <c r="W17" i="12994" s="1"/>
  <c r="S55" i="12994"/>
  <c r="U55" i="12994" s="1"/>
  <c r="W55" i="12994" s="1"/>
  <c r="S19" i="12994"/>
  <c r="U19" i="12994" s="1"/>
  <c r="W19" i="12994" s="1"/>
  <c r="S38" i="12994"/>
  <c r="U38" i="12994" s="1"/>
  <c r="W38" i="12994" s="1"/>
  <c r="S18" i="12994"/>
  <c r="U18" i="12994" s="1"/>
  <c r="W18" i="12994" s="1"/>
  <c r="S54" i="12994"/>
  <c r="U54" i="12994" s="1"/>
  <c r="W54" i="12994" s="1"/>
  <c r="S11" i="12994"/>
  <c r="U11" i="12994" s="1"/>
  <c r="W11" i="12994" s="1"/>
  <c r="S14" i="12994"/>
  <c r="U14" i="12994" s="1"/>
  <c r="W14" i="12994" s="1"/>
  <c r="S58" i="12994"/>
  <c r="U58" i="12994" s="1"/>
  <c r="W58" i="12994" s="1"/>
  <c r="S34" i="12994"/>
  <c r="U34" i="12994" s="1"/>
  <c r="W34" i="12994" s="1"/>
  <c r="S22" i="12994"/>
  <c r="U22" i="12994" s="1"/>
  <c r="W22" i="12994" s="1"/>
  <c r="S23" i="12994"/>
  <c r="U23" i="12994" s="1"/>
  <c r="W23" i="12994" s="1"/>
  <c r="S13" i="12994"/>
  <c r="U13" i="12994" s="1"/>
  <c r="W13" i="12994" s="1"/>
  <c r="S44" i="12994"/>
  <c r="U44" i="12994" s="1"/>
  <c r="W44" i="12994" s="1"/>
  <c r="S53" i="12994"/>
  <c r="U53" i="12994" s="1"/>
  <c r="W53" i="12994" s="1"/>
  <c r="S42" i="12994"/>
  <c r="U42" i="12994" s="1"/>
  <c r="W42" i="12994" s="1"/>
  <c r="S15" i="12994"/>
  <c r="U15" i="12994" s="1"/>
  <c r="W15" i="12994" s="1"/>
  <c r="S29" i="12994"/>
  <c r="U29" i="12994" s="1"/>
  <c r="W29" i="12994" s="1"/>
  <c r="S59" i="12994"/>
  <c r="U59" i="12994" s="1"/>
  <c r="W59" i="12994" s="1"/>
  <c r="S51" i="12994"/>
  <c r="U51" i="12994" s="1"/>
  <c r="W51" i="12994" s="1"/>
  <c r="S46" i="12994"/>
  <c r="U46" i="12994" s="1"/>
  <c r="W46" i="12994" s="1"/>
  <c r="S12" i="12994"/>
  <c r="U12" i="12994" s="1"/>
  <c r="W12" i="12994" s="1"/>
  <c r="S45" i="12994"/>
  <c r="U45" i="12994" s="1"/>
  <c r="W45" i="12994" s="1"/>
  <c r="S26" i="12994"/>
  <c r="U26" i="12994" s="1"/>
  <c r="W26" i="12994" s="1"/>
  <c r="S52" i="12994"/>
  <c r="U52" i="12994" s="1"/>
  <c r="W52" i="12994" s="1"/>
  <c r="S43" i="12994"/>
  <c r="U43" i="12994" s="1"/>
  <c r="W43" i="12994" s="1"/>
  <c r="S41" i="12994"/>
  <c r="U41" i="12994" s="1"/>
  <c r="W41" i="12994" s="1"/>
  <c r="S24" i="12994"/>
  <c r="U24" i="12994" s="1"/>
  <c r="W24" i="12994" s="1"/>
  <c r="S47" i="12994"/>
  <c r="U47" i="12994" s="1"/>
  <c r="W47" i="12994" s="1"/>
  <c r="S36" i="12994"/>
  <c r="U36" i="12994" s="1"/>
  <c r="W36" i="12994" s="1"/>
  <c r="S21" i="12994"/>
  <c r="U21" i="12994" s="1"/>
  <c r="W21" i="12994" s="1"/>
  <c r="S37" i="12994"/>
  <c r="U37" i="12994" s="1"/>
  <c r="W37" i="12994" s="1"/>
  <c r="S32" i="12994"/>
  <c r="U32" i="12994" s="1"/>
  <c r="W32" i="12994" s="1"/>
  <c r="S48" i="12994"/>
  <c r="U48" i="12994" s="1"/>
  <c r="W48" i="12994" s="1"/>
  <c r="S28" i="12994"/>
  <c r="U28" i="12994" s="1"/>
  <c r="W28" i="12994" s="1"/>
  <c r="S57" i="12994"/>
  <c r="U57" i="12994" s="1"/>
  <c r="W57" i="12994" s="1"/>
  <c r="S31" i="12994"/>
  <c r="U31" i="12994" s="1"/>
  <c r="W31" i="12994" s="1"/>
  <c r="S39" i="12994"/>
  <c r="U39" i="12994" s="1"/>
  <c r="W39" i="12994" s="1"/>
  <c r="S16" i="12994"/>
  <c r="U16" i="12994" s="1"/>
  <c r="W16" i="12994" s="1"/>
  <c r="S56" i="12994"/>
  <c r="U56" i="12994" s="1"/>
  <c r="W56" i="12994" s="1"/>
  <c r="S35" i="12994"/>
  <c r="U35" i="12994" s="1"/>
  <c r="W35" i="12994" s="1"/>
  <c r="S49" i="12994"/>
  <c r="U49" i="12994" s="1"/>
  <c r="W49" i="12994" s="1"/>
  <c r="Q2432" i="12908"/>
  <c r="Y2328" i="12908"/>
  <c r="AV2328" i="13034" s="1"/>
  <c r="Q2536" i="12908"/>
  <c r="Y2327" i="12908"/>
  <c r="AV2327" i="13034" s="1"/>
  <c r="Q2535" i="12908"/>
  <c r="Q2431" i="12908"/>
  <c r="W30" i="13007" l="1"/>
  <c r="Y30" i="13007" s="1"/>
  <c r="Q39" i="13007"/>
  <c r="Q50" i="13007" s="1"/>
  <c r="M32" i="13017"/>
  <c r="S32" i="13017" s="1"/>
  <c r="U32" i="13017" s="1"/>
  <c r="S47" i="13016"/>
  <c r="U47" i="13016" s="1"/>
  <c r="M33" i="13017"/>
  <c r="S33" i="13017" s="1"/>
  <c r="U33" i="13017" s="1"/>
  <c r="S48" i="13016"/>
  <c r="U48" i="13016" s="1"/>
  <c r="Y42" i="13005"/>
  <c r="W54" i="13005"/>
  <c r="M30" i="13017"/>
  <c r="M54" i="13016"/>
  <c r="M65" i="13016" s="1"/>
  <c r="S42" i="13016"/>
  <c r="AC54" i="12989"/>
  <c r="AE54" i="12989" s="1"/>
  <c r="Q65" i="13005"/>
  <c r="AC65" i="12989" s="1"/>
  <c r="AE65" i="12989" s="1"/>
  <c r="Y2432" i="12908"/>
  <c r="AV2432" i="13034" s="1"/>
  <c r="AN2432" i="13034"/>
  <c r="S42" i="13005"/>
  <c r="AV1915" i="13034"/>
  <c r="Y2431" i="12908"/>
  <c r="AV2431" i="13034" s="1"/>
  <c r="AN2431" i="13034"/>
  <c r="Y2536" i="12908"/>
  <c r="AV2536" i="13034" s="1"/>
  <c r="AN2536" i="13034"/>
  <c r="Y2535" i="12908"/>
  <c r="AV2535" i="13034" s="1"/>
  <c r="AN2535" i="13034"/>
  <c r="W31" i="13014"/>
  <c r="Y31" i="13014" s="1"/>
  <c r="AJ46" i="12989" s="1"/>
  <c r="AK46" i="12989"/>
  <c r="O39" i="13014"/>
  <c r="O50" i="13014" s="1"/>
  <c r="I12" i="13031"/>
  <c r="I18" i="13031"/>
  <c r="Q18" i="13031"/>
  <c r="Q25" i="13031"/>
  <c r="I26" i="13031"/>
  <c r="I16" i="13031"/>
  <c r="Q16" i="13031"/>
  <c r="Q14" i="13031"/>
  <c r="I20" i="13031"/>
  <c r="Q11" i="13031"/>
  <c r="Q21" i="13031"/>
  <c r="I13" i="13031"/>
  <c r="Q24" i="13031"/>
  <c r="I25" i="13031"/>
  <c r="Q13" i="13031"/>
  <c r="I17" i="13031"/>
  <c r="Q17" i="13031"/>
  <c r="S33" i="13007"/>
  <c r="U33" i="13007" s="1"/>
  <c r="AA33" i="13007" s="1"/>
  <c r="AC33" i="13007" s="1"/>
  <c r="O48" i="13016"/>
  <c r="U35" i="13005"/>
  <c r="AA35" i="13005" s="1"/>
  <c r="AC35" i="13005" s="1"/>
  <c r="O35" i="13016"/>
  <c r="M32" i="13007"/>
  <c r="O32" i="13007" s="1"/>
  <c r="O47" i="13005"/>
  <c r="O54" i="13005" s="1"/>
  <c r="O65" i="13005" s="1"/>
  <c r="I22" i="13031"/>
  <c r="Q22" i="13031"/>
  <c r="AC43" i="13005"/>
  <c r="AA46" i="13005"/>
  <c r="AC46" i="13005" s="1"/>
  <c r="Q12" i="13031"/>
  <c r="U22" i="13007"/>
  <c r="W39" i="13007"/>
  <c r="Y39" i="13007" s="1"/>
  <c r="O20" i="13017"/>
  <c r="Q20" i="13017" s="1"/>
  <c r="W20" i="13017" s="1"/>
  <c r="Y20" i="13017" s="1"/>
  <c r="Q26" i="13016"/>
  <c r="W26" i="13016" s="1"/>
  <c r="Y26" i="13016" s="1"/>
  <c r="Q20" i="13031"/>
  <c r="I11" i="13031"/>
  <c r="Q26" i="13031"/>
  <c r="O25" i="13017"/>
  <c r="Q25" i="13017" s="1"/>
  <c r="W25" i="13017" s="1"/>
  <c r="Y25" i="13017" s="1"/>
  <c r="Q36" i="13016"/>
  <c r="W36" i="13016" s="1"/>
  <c r="Y36" i="13016" s="1"/>
  <c r="I14" i="13031"/>
  <c r="O24" i="13007"/>
  <c r="M26" i="13007"/>
  <c r="Y43" i="13013"/>
  <c r="W46" i="13013"/>
  <c r="Y46" i="13013" s="1"/>
  <c r="I21" i="13031"/>
  <c r="O21" i="13017"/>
  <c r="Q21" i="13017" s="1"/>
  <c r="W21" i="13017" s="1"/>
  <c r="Y21" i="13017" s="1"/>
  <c r="Q29" i="13016"/>
  <c r="W29" i="13016" s="1"/>
  <c r="Y29" i="13016" s="1"/>
  <c r="AC973" i="12908"/>
  <c r="O19" i="13017"/>
  <c r="Q19" i="13017" s="1"/>
  <c r="O30" i="13016"/>
  <c r="Q23" i="13016"/>
  <c r="S24" i="13007"/>
  <c r="S26" i="13007" s="1"/>
  <c r="S37" i="13005"/>
  <c r="AF37" i="12989" s="1"/>
  <c r="AG37" i="12989" s="1"/>
  <c r="AC23" i="13005"/>
  <c r="AA30" i="13005"/>
  <c r="AC30" i="13005" s="1"/>
  <c r="Y43" i="13016"/>
  <c r="W46" i="13016"/>
  <c r="Y46" i="13016" s="1"/>
  <c r="AC973" i="13015"/>
  <c r="AI30" i="12989"/>
  <c r="S22" i="13007"/>
  <c r="U48" i="13005"/>
  <c r="AA48" i="13005" s="1"/>
  <c r="AC48" i="13005" s="1"/>
  <c r="AF48" i="12989"/>
  <c r="AG48" i="12989" s="1"/>
  <c r="U30" i="13005"/>
  <c r="Q33" i="13014"/>
  <c r="W33" i="13014" s="1"/>
  <c r="Y33" i="13014" s="1"/>
  <c r="S47" i="13005"/>
  <c r="O37" i="13013"/>
  <c r="AH37" i="12989" s="1"/>
  <c r="AI37" i="12989" s="1"/>
  <c r="Q35" i="13013"/>
  <c r="U39" i="13014"/>
  <c r="S50" i="13014"/>
  <c r="U50" i="13014" s="1"/>
  <c r="Q19" i="13014"/>
  <c r="W23" i="13013"/>
  <c r="Q30" i="13013"/>
  <c r="U37" i="13005"/>
  <c r="AA22" i="13007"/>
  <c r="AC22" i="13007" s="1"/>
  <c r="M39" i="13007" l="1"/>
  <c r="M50" i="13007" s="1"/>
  <c r="U42" i="13016"/>
  <c r="S54" i="13016"/>
  <c r="Y54" i="13005"/>
  <c r="W65" i="13005"/>
  <c r="Y65" i="13005" s="1"/>
  <c r="M39" i="13017"/>
  <c r="M50" i="13017" s="1"/>
  <c r="S30" i="13017"/>
  <c r="O42" i="13016"/>
  <c r="S30" i="13007"/>
  <c r="U30" i="13007" s="1"/>
  <c r="AA30" i="13007" s="1"/>
  <c r="AC30" i="13007" s="1"/>
  <c r="AF42" i="12989"/>
  <c r="AG42" i="12989" s="1"/>
  <c r="U42" i="13005"/>
  <c r="AA42" i="13005" s="1"/>
  <c r="AC42" i="13005" s="1"/>
  <c r="U24" i="13007"/>
  <c r="AA24" i="13007" s="1"/>
  <c r="AC24" i="13007" s="1"/>
  <c r="W50" i="13007"/>
  <c r="Y50" i="13007" s="1"/>
  <c r="AA37" i="13005"/>
  <c r="AC37" i="13005" s="1"/>
  <c r="S54" i="13005"/>
  <c r="AF54" i="12989" s="1"/>
  <c r="AG54" i="12989" s="1"/>
  <c r="O47" i="13016"/>
  <c r="O26" i="13007"/>
  <c r="O39" i="13007"/>
  <c r="O50" i="13007" s="1"/>
  <c r="O33" i="13017"/>
  <c r="Q33" i="13017" s="1"/>
  <c r="W33" i="13017" s="1"/>
  <c r="Y33" i="13017" s="1"/>
  <c r="Q48" i="13016"/>
  <c r="W48" i="13016" s="1"/>
  <c r="Y48" i="13016" s="1"/>
  <c r="O24" i="13017"/>
  <c r="O26" i="13017" s="1"/>
  <c r="O37" i="13016"/>
  <c r="Q35" i="13016"/>
  <c r="W23" i="13016"/>
  <c r="Q30" i="13016"/>
  <c r="O22" i="13017"/>
  <c r="Q24" i="13014"/>
  <c r="W24" i="13014" s="1"/>
  <c r="AF47" i="12989"/>
  <c r="AG47" i="12989" s="1"/>
  <c r="W19" i="13017"/>
  <c r="Q22" i="13017"/>
  <c r="Q32" i="13014"/>
  <c r="W32" i="13014" s="1"/>
  <c r="Y32" i="13014" s="1"/>
  <c r="Y23" i="13013"/>
  <c r="W30" i="13013"/>
  <c r="Y30" i="13013" s="1"/>
  <c r="W19" i="13014"/>
  <c r="Q22" i="13014"/>
  <c r="AK30" i="12989" s="1"/>
  <c r="S32" i="13007"/>
  <c r="U32" i="13007" s="1"/>
  <c r="AA32" i="13007" s="1"/>
  <c r="AC32" i="13007" s="1"/>
  <c r="Q37" i="13013"/>
  <c r="W35" i="13013"/>
  <c r="U47" i="13005"/>
  <c r="AA47" i="13005" s="1"/>
  <c r="Q47" i="13013"/>
  <c r="O54" i="13013"/>
  <c r="U26" i="13007" l="1"/>
  <c r="U30" i="13017"/>
  <c r="S39" i="13017"/>
  <c r="U54" i="13016"/>
  <c r="S65" i="13016"/>
  <c r="U65" i="13016" s="1"/>
  <c r="O30" i="13017"/>
  <c r="Q30" i="13017" s="1"/>
  <c r="W30" i="13017" s="1"/>
  <c r="Y30" i="13017" s="1"/>
  <c r="Q42" i="13016"/>
  <c r="W42" i="13016" s="1"/>
  <c r="Y42" i="13016" s="1"/>
  <c r="S65" i="13005"/>
  <c r="AF65" i="12989" s="1"/>
  <c r="AG65" i="12989" s="1"/>
  <c r="Q24" i="13017"/>
  <c r="Q26" i="13017" s="1"/>
  <c r="O32" i="13017"/>
  <c r="O39" i="13017" s="1"/>
  <c r="O50" i="13017" s="1"/>
  <c r="Q47" i="13016"/>
  <c r="W47" i="13016" s="1"/>
  <c r="Y47" i="13016" s="1"/>
  <c r="O54" i="13016"/>
  <c r="O65" i="13016" s="1"/>
  <c r="Q37" i="13016"/>
  <c r="W35" i="13016"/>
  <c r="Y23" i="13016"/>
  <c r="W30" i="13016"/>
  <c r="Y30" i="13016" s="1"/>
  <c r="Q26" i="13014"/>
  <c r="AK37" i="12989" s="1"/>
  <c r="U39" i="13007"/>
  <c r="U50" i="13007" s="1"/>
  <c r="AK66" i="12989" s="1"/>
  <c r="AC47" i="13005"/>
  <c r="AA54" i="13005"/>
  <c r="Q39" i="13014"/>
  <c r="Q50" i="13014" s="1"/>
  <c r="O65" i="13013"/>
  <c r="AH65" i="12989" s="1"/>
  <c r="AI65" i="12989" s="1"/>
  <c r="AH54" i="12989"/>
  <c r="AI54" i="12989" s="1"/>
  <c r="S39" i="13007"/>
  <c r="S50" i="13007" s="1"/>
  <c r="Y19" i="13017"/>
  <c r="W22" i="13017"/>
  <c r="Y22" i="13017" s="1"/>
  <c r="W47" i="13013"/>
  <c r="Y47" i="13013" s="1"/>
  <c r="Q54" i="13013"/>
  <c r="Q65" i="13013" s="1"/>
  <c r="W37" i="13013"/>
  <c r="Y37" i="13013" s="1"/>
  <c r="Y35" i="13013"/>
  <c r="Y19" i="13014"/>
  <c r="W22" i="13014"/>
  <c r="Y22" i="13014" s="1"/>
  <c r="AJ30" i="12989" s="1"/>
  <c r="W39" i="13014"/>
  <c r="U54" i="13005"/>
  <c r="U65" i="13005" s="1"/>
  <c r="Y24" i="13014"/>
  <c r="W26" i="13014"/>
  <c r="Y26" i="13014" s="1"/>
  <c r="AJ37" i="12989" s="1"/>
  <c r="AA26" i="13007"/>
  <c r="AC26" i="13007" s="1"/>
  <c r="AA39" i="13007"/>
  <c r="AC39" i="13007" s="1"/>
  <c r="S50" i="13017" l="1"/>
  <c r="U50" i="13017" s="1"/>
  <c r="U39" i="13017"/>
  <c r="AJ66" i="12989"/>
  <c r="AK65" i="12989"/>
  <c r="W24" i="13017"/>
  <c r="Y24" i="13017" s="1"/>
  <c r="Q32" i="13017"/>
  <c r="Q39" i="13017" s="1"/>
  <c r="Q50" i="13017" s="1"/>
  <c r="Y35" i="13016"/>
  <c r="W37" i="13016"/>
  <c r="Y37" i="13016" s="1"/>
  <c r="W54" i="13016"/>
  <c r="W65" i="13016" s="1"/>
  <c r="Y65" i="13016" s="1"/>
  <c r="Q54" i="13016"/>
  <c r="Q65" i="13016" s="1"/>
  <c r="AC54" i="13005"/>
  <c r="AA65" i="13005"/>
  <c r="AC65" i="13005" s="1"/>
  <c r="W54" i="13013"/>
  <c r="Y54" i="13013" s="1"/>
  <c r="W32" i="13017"/>
  <c r="Y32" i="13017" s="1"/>
  <c r="Y39" i="13014"/>
  <c r="W50" i="13014"/>
  <c r="Y50" i="13014" s="1"/>
  <c r="AJ65" i="12989" s="1"/>
  <c r="AA50" i="13007"/>
  <c r="AC50" i="13007" s="1"/>
  <c r="AC2331" i="12908"/>
  <c r="AD2331" i="12908" s="1"/>
  <c r="AE2331" i="12908" s="1"/>
  <c r="AC1495" i="12908"/>
  <c r="AC45" i="12908"/>
  <c r="AD45" i="12908" s="1"/>
  <c r="AC2633" i="12908"/>
  <c r="AC1859" i="12908"/>
  <c r="AD1859" i="12908" s="1"/>
  <c r="AC1394" i="12908"/>
  <c r="AD1394" i="12908" s="1"/>
  <c r="AC2623" i="12908"/>
  <c r="AC1619" i="12908"/>
  <c r="AC1657" i="12908"/>
  <c r="AC690" i="12908"/>
  <c r="AC982" i="12908"/>
  <c r="AD982" i="12908" s="1"/>
  <c r="AC1818" i="12908"/>
  <c r="AC1797" i="12908"/>
  <c r="Y2679" i="12908"/>
  <c r="AV2679" i="13034" s="1"/>
  <c r="W2679" i="12908"/>
  <c r="AT2679" i="13034" s="1"/>
  <c r="AD2633" i="12908"/>
  <c r="S2633" i="12908" s="1"/>
  <c r="AD1619" i="12908"/>
  <c r="AE1619" i="12908" s="1"/>
  <c r="AE1394" i="12908"/>
  <c r="AD1998" i="12908"/>
  <c r="AE1998" i="12908" s="1"/>
  <c r="S1619" i="12908" l="1"/>
  <c r="AP1619" i="13034" s="1"/>
  <c r="S1394" i="12908"/>
  <c r="U1394" i="12908"/>
  <c r="AR1394" i="13034" s="1"/>
  <c r="W2680" i="12908"/>
  <c r="AT2680" i="13034" s="1"/>
  <c r="S2627" i="12908"/>
  <c r="AP2627" i="13034" s="1"/>
  <c r="AP2633" i="13034"/>
  <c r="U45" i="12908"/>
  <c r="S45" i="12908"/>
  <c r="AP45" i="13034" s="1"/>
  <c r="U1859" i="12908"/>
  <c r="AR1859" i="13034" s="1"/>
  <c r="S1859" i="12908"/>
  <c r="W26" i="13017"/>
  <c r="Y26" i="13017" s="1"/>
  <c r="Y54" i="13016"/>
  <c r="S1604" i="12908"/>
  <c r="AP1604" i="13034" s="1"/>
  <c r="W39" i="13017"/>
  <c r="Y39" i="13017" s="1"/>
  <c r="S1998" i="12908"/>
  <c r="W65" i="13013"/>
  <c r="Y65" i="13013" s="1"/>
  <c r="AE45" i="12908"/>
  <c r="K2610" i="12908"/>
  <c r="AH2610" i="13034" s="1"/>
  <c r="AD1495" i="12908"/>
  <c r="K2586" i="12908"/>
  <c r="AH2586" i="13034" s="1"/>
  <c r="K2639" i="12908"/>
  <c r="AH2639" i="13034" s="1"/>
  <c r="K2637" i="12908"/>
  <c r="AH2637" i="13034" s="1"/>
  <c r="AD690" i="12908"/>
  <c r="AD1657" i="12908"/>
  <c r="S982" i="12908"/>
  <c r="AE982" i="12908"/>
  <c r="U982" i="12908"/>
  <c r="AR982" i="13034" s="1"/>
  <c r="U1998" i="12908"/>
  <c r="AR1998" i="13034" s="1"/>
  <c r="S2630" i="12908"/>
  <c r="AP2630" i="13034" s="1"/>
  <c r="S2629" i="12908"/>
  <c r="AP2629" i="13034" s="1"/>
  <c r="S2628" i="12908"/>
  <c r="AP2628" i="13034" s="1"/>
  <c r="AD1818" i="12908"/>
  <c r="AE1818" i="12908" s="1"/>
  <c r="U2633" i="12908"/>
  <c r="AE2633" i="12908"/>
  <c r="U1619" i="12908"/>
  <c r="AD2623" i="12908"/>
  <c r="AD1797" i="12908"/>
  <c r="S1716" i="12908" s="1"/>
  <c r="AP1716" i="13034" s="1"/>
  <c r="AE1859" i="12908"/>
  <c r="S2680" i="12908"/>
  <c r="AP2680" i="13034" s="1"/>
  <c r="U2679" i="12908"/>
  <c r="S2671" i="12908" l="1"/>
  <c r="AP2671" i="13034" s="1"/>
  <c r="AR2679" i="13034"/>
  <c r="W1619" i="12908"/>
  <c r="AT1619" i="13034" s="1"/>
  <c r="AR1619" i="13034"/>
  <c r="AP1998" i="13034"/>
  <c r="M29" i="12908"/>
  <c r="AJ29" i="13034" s="1"/>
  <c r="AR45" i="13034"/>
  <c r="W1859" i="12908"/>
  <c r="AT1859" i="13034" s="1"/>
  <c r="AP1859" i="13034"/>
  <c r="AP1394" i="13034"/>
  <c r="S1378" i="12908"/>
  <c r="S1379" i="12908" s="1"/>
  <c r="AP1379" i="13034" s="1"/>
  <c r="W1394" i="12908"/>
  <c r="AT1394" i="13034" s="1"/>
  <c r="W2633" i="12908"/>
  <c r="AT2633" i="13034" s="1"/>
  <c r="AR2633" i="13034"/>
  <c r="AP982" i="13034"/>
  <c r="K961" i="12908"/>
  <c r="AH961" i="13034" s="1"/>
  <c r="W45" i="12908"/>
  <c r="AT45" i="13034" s="1"/>
  <c r="S13" i="12908"/>
  <c r="AP13" i="13034" s="1"/>
  <c r="AE690" i="12908"/>
  <c r="AE691" i="12908"/>
  <c r="S2649" i="12908"/>
  <c r="AP2649" i="13034" s="1"/>
  <c r="U1807" i="12908"/>
  <c r="S1206" i="12908"/>
  <c r="AP1206" i="13034" s="1"/>
  <c r="U2649" i="12908"/>
  <c r="U1716" i="12908"/>
  <c r="AR1716" i="13034" s="1"/>
  <c r="S1807" i="12908"/>
  <c r="AE2623" i="12908"/>
  <c r="U2623" i="12908"/>
  <c r="AR2623" i="13034" s="1"/>
  <c r="S1605" i="12908"/>
  <c r="W50" i="13017"/>
  <c r="Y50" i="13017" s="1"/>
  <c r="W1807" i="12908"/>
  <c r="S2639" i="12908"/>
  <c r="AP2639" i="13034" s="1"/>
  <c r="M2639" i="12908"/>
  <c r="W1998" i="12908"/>
  <c r="AT1998" i="13034" s="1"/>
  <c r="S1977" i="12908"/>
  <c r="AP1977" i="13034" s="1"/>
  <c r="S2623" i="12908"/>
  <c r="AP2623" i="13034" s="1"/>
  <c r="W982" i="12908"/>
  <c r="AT982" i="13034" s="1"/>
  <c r="S2586" i="12908"/>
  <c r="AP2586" i="13034" s="1"/>
  <c r="M2586" i="12908"/>
  <c r="S690" i="12908"/>
  <c r="AP690" i="13034" s="1"/>
  <c r="U690" i="12908"/>
  <c r="AR690" i="13034" s="1"/>
  <c r="U2674" i="12908"/>
  <c r="AR2674" i="13034" s="1"/>
  <c r="U2672" i="12908"/>
  <c r="AR2672" i="13034" s="1"/>
  <c r="U2673" i="12908"/>
  <c r="AR2673" i="13034" s="1"/>
  <c r="U2670" i="12908"/>
  <c r="AR2670" i="13034" s="1"/>
  <c r="S2674" i="12908"/>
  <c r="AP2674" i="13034" s="1"/>
  <c r="U2680" i="12908"/>
  <c r="AR2680" i="13034" s="1"/>
  <c r="U2671" i="12908"/>
  <c r="AR2671" i="13034" s="1"/>
  <c r="U2630" i="12908"/>
  <c r="K2627" i="12908"/>
  <c r="AH2627" i="13034" s="1"/>
  <c r="U2627" i="12908"/>
  <c r="U2628" i="12908"/>
  <c r="U2629" i="12908"/>
  <c r="Y2680" i="12908"/>
  <c r="AV2680" i="13034" s="1"/>
  <c r="S1248" i="12908"/>
  <c r="AP1248" i="13034" s="1"/>
  <c r="K2628" i="12908"/>
  <c r="AH2628" i="13034" s="1"/>
  <c r="K2629" i="12908"/>
  <c r="AH2629" i="13034" s="1"/>
  <c r="AE1657" i="12908"/>
  <c r="S1657" i="12908"/>
  <c r="AP1657" i="13034" s="1"/>
  <c r="U1657" i="12908"/>
  <c r="AR1657" i="13034" s="1"/>
  <c r="AE1495" i="12908"/>
  <c r="U1495" i="12908"/>
  <c r="AR1495" i="13034" s="1"/>
  <c r="S1495" i="12908"/>
  <c r="AP1495" i="13034" s="1"/>
  <c r="S2670" i="12908"/>
  <c r="AP2670" i="13034" s="1"/>
  <c r="S2672" i="12908"/>
  <c r="AP2672" i="13034" s="1"/>
  <c r="S2673" i="12908"/>
  <c r="AP2673" i="13034" s="1"/>
  <c r="S1854" i="12908"/>
  <c r="AP1854" i="13034" s="1"/>
  <c r="AE1797" i="12908"/>
  <c r="U1206" i="12908"/>
  <c r="U1818" i="12908"/>
  <c r="S1818" i="12908"/>
  <c r="AA2634" i="12908"/>
  <c r="K2630" i="12908"/>
  <c r="AH2630" i="13034" s="1"/>
  <c r="M2637" i="12908"/>
  <c r="S2637" i="12908"/>
  <c r="M2610" i="12908"/>
  <c r="S2610" i="12908"/>
  <c r="AP2610" i="13034" s="1"/>
  <c r="U2637" i="12908" l="1"/>
  <c r="AR2637" i="13034" s="1"/>
  <c r="AJ2637" i="13034"/>
  <c r="S1606" i="12908"/>
  <c r="AP1606" i="13034" s="1"/>
  <c r="AP1605" i="13034"/>
  <c r="M2627" i="12908"/>
  <c r="AJ2627" i="13034" s="1"/>
  <c r="AR2627" i="13034"/>
  <c r="U2586" i="12908"/>
  <c r="AR2586" i="13034" s="1"/>
  <c r="AJ2586" i="13034"/>
  <c r="U2645" i="12908"/>
  <c r="AR2649" i="13034"/>
  <c r="S1380" i="12908"/>
  <c r="AP1380" i="13034" s="1"/>
  <c r="AR1818" i="13034"/>
  <c r="M2628" i="12908"/>
  <c r="AJ2628" i="13034" s="1"/>
  <c r="AR2628" i="13034"/>
  <c r="U2610" i="12908"/>
  <c r="AR2610" i="13034" s="1"/>
  <c r="AJ2610" i="13034"/>
  <c r="S2644" i="12908"/>
  <c r="AP2644" i="13034" s="1"/>
  <c r="W1716" i="12908"/>
  <c r="U1378" i="12908"/>
  <c r="AR1378" i="13034" s="1"/>
  <c r="AP1378" i="13034"/>
  <c r="S2640" i="12908"/>
  <c r="AP2640" i="13034" s="1"/>
  <c r="AP2637" i="13034"/>
  <c r="AP1818" i="13034"/>
  <c r="S1813" i="12908"/>
  <c r="S1810" i="12908"/>
  <c r="S1812" i="12908"/>
  <c r="S1811" i="12908"/>
  <c r="S2645" i="12908"/>
  <c r="AP2645" i="13034" s="1"/>
  <c r="M2629" i="12908"/>
  <c r="AJ2629" i="13034" s="1"/>
  <c r="AR2629" i="13034"/>
  <c r="M2630" i="12908"/>
  <c r="AJ2630" i="13034" s="1"/>
  <c r="AR2630" i="13034"/>
  <c r="U2639" i="12908"/>
  <c r="AR2639" i="13034" s="1"/>
  <c r="AJ2639" i="13034"/>
  <c r="AC1798" i="12908"/>
  <c r="AT1807" i="13034"/>
  <c r="AI1807" i="13015"/>
  <c r="AT1716" i="13034"/>
  <c r="AI1716" i="13015"/>
  <c r="U1248" i="12908"/>
  <c r="AR1206" i="13034"/>
  <c r="AB1798" i="12908"/>
  <c r="AR1807" i="13034"/>
  <c r="AA1798" i="12908"/>
  <c r="AP1807" i="13034"/>
  <c r="S1479" i="12908"/>
  <c r="U2644" i="12908"/>
  <c r="W2649" i="12908"/>
  <c r="S1613" i="12908"/>
  <c r="K1854" i="12908"/>
  <c r="S1855" i="12908"/>
  <c r="AP1855" i="13034" s="1"/>
  <c r="S673" i="12908"/>
  <c r="AP673" i="13034" s="1"/>
  <c r="O2628" i="12908"/>
  <c r="W2628" i="12908"/>
  <c r="AT2628" i="13034" s="1"/>
  <c r="W2630" i="12908"/>
  <c r="AT2630" i="13034" s="1"/>
  <c r="O2629" i="12908"/>
  <c r="O2630" i="12908"/>
  <c r="K1977" i="12908"/>
  <c r="K1380" i="12908"/>
  <c r="AH1380" i="13034" s="1"/>
  <c r="O2627" i="12908"/>
  <c r="W2627" i="12908"/>
  <c r="AT2627" i="13034" s="1"/>
  <c r="K1870" i="12908"/>
  <c r="O961" i="12908"/>
  <c r="W2645" i="12908"/>
  <c r="K2645" i="12908"/>
  <c r="AH2645" i="13034" s="1"/>
  <c r="W690" i="12908"/>
  <c r="AT690" i="13034" s="1"/>
  <c r="U2675" i="12908"/>
  <c r="AR2675" i="13034" s="1"/>
  <c r="S961" i="12908"/>
  <c r="AP961" i="13034" s="1"/>
  <c r="K1009" i="12908"/>
  <c r="K1033" i="12908"/>
  <c r="K985" i="12908"/>
  <c r="K1057" i="12908"/>
  <c r="AH1057" i="13034" s="1"/>
  <c r="K1145" i="12908"/>
  <c r="K540" i="12908"/>
  <c r="AH540" i="13034" s="1"/>
  <c r="K964" i="12908"/>
  <c r="AH964" i="13034" s="1"/>
  <c r="K962" i="12908"/>
  <c r="AH962" i="13034" s="1"/>
  <c r="K226" i="12908"/>
  <c r="AH226" i="13034" s="1"/>
  <c r="K963" i="12908"/>
  <c r="AH963" i="13034" s="1"/>
  <c r="K1889" i="12908"/>
  <c r="W1495" i="12908"/>
  <c r="AT1495" i="13034" s="1"/>
  <c r="K1479" i="12908"/>
  <c r="AH1479" i="13034" s="1"/>
  <c r="W1248" i="12908"/>
  <c r="S1290" i="12908"/>
  <c r="AP1290" i="13034" s="1"/>
  <c r="S2675" i="12908"/>
  <c r="AP2675" i="13034" s="1"/>
  <c r="W1657" i="12908"/>
  <c r="AT1657" i="13034" s="1"/>
  <c r="W2623" i="12908"/>
  <c r="AT2623" i="13034" s="1"/>
  <c r="S2613" i="12908"/>
  <c r="U29" i="12908"/>
  <c r="AR29" i="13034" s="1"/>
  <c r="M32" i="12908"/>
  <c r="AJ32" i="13034" s="1"/>
  <c r="M132" i="12908"/>
  <c r="M105" i="12908"/>
  <c r="M66" i="12908"/>
  <c r="M33" i="12908"/>
  <c r="AJ33" i="13034" s="1"/>
  <c r="M31" i="12908"/>
  <c r="AJ31" i="13034" s="1"/>
  <c r="M206" i="12908"/>
  <c r="M169" i="12908"/>
  <c r="M30" i="12908"/>
  <c r="AJ30" i="13034" s="1"/>
  <c r="M102" i="12908"/>
  <c r="U2640" i="12908"/>
  <c r="AR2640" i="13034" s="1"/>
  <c r="W1818" i="12908"/>
  <c r="AT1818" i="13034" s="1"/>
  <c r="W2644" i="12908"/>
  <c r="K2644" i="12908"/>
  <c r="AH2644" i="13034" s="1"/>
  <c r="W2629" i="12908"/>
  <c r="AT2629" i="13034" s="1"/>
  <c r="AB2634" i="12908"/>
  <c r="W1206" i="12908"/>
  <c r="S1607" i="12908"/>
  <c r="AP1607" i="13034" s="1"/>
  <c r="S1978" i="12908"/>
  <c r="AP1978" i="13034" s="1"/>
  <c r="AT2644" i="13034" l="1"/>
  <c r="AI2644" i="13015"/>
  <c r="S1009" i="12908"/>
  <c r="AP1009" i="13034" s="1"/>
  <c r="AH1009" i="13034"/>
  <c r="K2049" i="12908"/>
  <c r="AH1977" i="13034"/>
  <c r="K1862" i="12908"/>
  <c r="AH1854" i="13034"/>
  <c r="U169" i="12908"/>
  <c r="AR169" i="13034" s="1"/>
  <c r="AJ169" i="13034"/>
  <c r="U66" i="12908"/>
  <c r="AR66" i="13034" s="1"/>
  <c r="AJ66" i="13034"/>
  <c r="AT2645" i="13034"/>
  <c r="AI2645" i="13015"/>
  <c r="O2630" i="13015"/>
  <c r="AJ2630" i="13015" s="1"/>
  <c r="AL2630" i="13034"/>
  <c r="O2628" i="13015"/>
  <c r="AJ2628" i="13015" s="1"/>
  <c r="AL2628" i="13034"/>
  <c r="S1608" i="12908"/>
  <c r="AP1608" i="13034" s="1"/>
  <c r="AP1613" i="13034"/>
  <c r="AP1810" i="13034"/>
  <c r="U1810" i="12908"/>
  <c r="S1145" i="12908"/>
  <c r="AP1145" i="13034" s="1"/>
  <c r="AH1145" i="13034"/>
  <c r="U1479" i="12908"/>
  <c r="AR1479" i="13034" s="1"/>
  <c r="AP1479" i="13034"/>
  <c r="U206" i="12908"/>
  <c r="AR206" i="13034" s="1"/>
  <c r="AJ206" i="13034"/>
  <c r="U105" i="12908"/>
  <c r="AR105" i="13034" s="1"/>
  <c r="AJ105" i="13034"/>
  <c r="K2613" i="12908"/>
  <c r="AP2613" i="13034"/>
  <c r="S1889" i="12908"/>
  <c r="AP1889" i="13034" s="1"/>
  <c r="AH1889" i="13034"/>
  <c r="S985" i="12908"/>
  <c r="AP985" i="13034" s="1"/>
  <c r="AH985" i="13034"/>
  <c r="O961" i="13015"/>
  <c r="AJ961" i="13015" s="1"/>
  <c r="AL961" i="13034"/>
  <c r="O2627" i="13015"/>
  <c r="AJ2627" i="13015" s="1"/>
  <c r="AL2627" i="13034"/>
  <c r="O2629" i="13015"/>
  <c r="AJ2629" i="13015" s="1"/>
  <c r="AL2629" i="13034"/>
  <c r="AT2649" i="13034"/>
  <c r="AI2649" i="13015"/>
  <c r="AP1813" i="13034"/>
  <c r="K1813" i="12908"/>
  <c r="U1813" i="12908"/>
  <c r="AR1813" i="13034" s="1"/>
  <c r="S1870" i="12908"/>
  <c r="AP1870" i="13034" s="1"/>
  <c r="AH1870" i="13034"/>
  <c r="AP1812" i="13034"/>
  <c r="U1812" i="12908"/>
  <c r="AR1812" i="13034" s="1"/>
  <c r="U102" i="12908"/>
  <c r="AR102" i="13034" s="1"/>
  <c r="AJ102" i="13034"/>
  <c r="U132" i="12908"/>
  <c r="AR132" i="13034" s="1"/>
  <c r="AJ132" i="13034"/>
  <c r="S1033" i="12908"/>
  <c r="AP1033" i="13034" s="1"/>
  <c r="AH1033" i="13034"/>
  <c r="O1854" i="12908"/>
  <c r="O1862" i="12908" s="1"/>
  <c r="M2644" i="12908"/>
  <c r="AR2644" i="13034"/>
  <c r="AP1811" i="13034"/>
  <c r="U1811" i="12908"/>
  <c r="AR1811" i="13034" s="1"/>
  <c r="M2645" i="12908"/>
  <c r="AR2645" i="13034"/>
  <c r="AT1206" i="13034"/>
  <c r="AI1206" i="13015"/>
  <c r="U1290" i="12908"/>
  <c r="AR1248" i="13034"/>
  <c r="AT1248" i="13034"/>
  <c r="AI1248" i="13015"/>
  <c r="AD1798" i="12908"/>
  <c r="S1480" i="12908"/>
  <c r="AP1480" i="13034" s="1"/>
  <c r="K1811" i="12908"/>
  <c r="AH1811" i="13034" s="1"/>
  <c r="K1878" i="12908"/>
  <c r="S1609" i="12908"/>
  <c r="AP1609" i="13034" s="1"/>
  <c r="AE961" i="13015"/>
  <c r="O985" i="13015"/>
  <c r="O1033" i="13015"/>
  <c r="U1855" i="12908"/>
  <c r="S674" i="12908"/>
  <c r="AC2634" i="12908"/>
  <c r="AD2634" i="12908" s="1"/>
  <c r="M961" i="12908"/>
  <c r="U961" i="12908" s="1"/>
  <c r="AR961" i="13034" s="1"/>
  <c r="AE961" i="12908"/>
  <c r="O1977" i="12908"/>
  <c r="AL1977" i="13034" s="1"/>
  <c r="K2025" i="12908"/>
  <c r="K2001" i="12908"/>
  <c r="K1978" i="12908"/>
  <c r="K2073" i="12908"/>
  <c r="AA1395" i="12908"/>
  <c r="U1380" i="12908"/>
  <c r="U1379" i="12908"/>
  <c r="AR1379" i="13034" s="1"/>
  <c r="S2614" i="12908"/>
  <c r="S1610" i="12908"/>
  <c r="AP1610" i="13034" s="1"/>
  <c r="S1614" i="12908"/>
  <c r="AP1614" i="13034" s="1"/>
  <c r="W1290" i="12908"/>
  <c r="S1332" i="12908"/>
  <c r="AP1332" i="13034" s="1"/>
  <c r="S226" i="12908"/>
  <c r="AP226" i="13034" s="1"/>
  <c r="K334" i="12908"/>
  <c r="K298" i="12908"/>
  <c r="K370" i="12908"/>
  <c r="AH370" i="13034" s="1"/>
  <c r="K262" i="12908"/>
  <c r="K1855" i="12908"/>
  <c r="AH1855" i="13034" s="1"/>
  <c r="O2645" i="12908"/>
  <c r="K2654" i="12908"/>
  <c r="AH2654" i="13034" s="1"/>
  <c r="O1878" i="12908"/>
  <c r="M70" i="12908"/>
  <c r="U33" i="12908"/>
  <c r="AR33" i="13034" s="1"/>
  <c r="M210" i="12908"/>
  <c r="M173" i="12908"/>
  <c r="M136" i="12908"/>
  <c r="K1147" i="12908"/>
  <c r="K987" i="12908"/>
  <c r="K1035" i="12908"/>
  <c r="K1891" i="12908"/>
  <c r="K542" i="12908"/>
  <c r="AH542" i="13034" s="1"/>
  <c r="K1011" i="12908"/>
  <c r="S963" i="12908"/>
  <c r="AP963" i="13034" s="1"/>
  <c r="K1059" i="12908"/>
  <c r="AH1059" i="13034" s="1"/>
  <c r="K228" i="12908"/>
  <c r="AH228" i="13034" s="1"/>
  <c r="S540" i="12908"/>
  <c r="AP540" i="13034" s="1"/>
  <c r="K573" i="12908"/>
  <c r="K606" i="12908"/>
  <c r="K639" i="12908"/>
  <c r="S1979" i="12908"/>
  <c r="O2644" i="12908"/>
  <c r="K2653" i="12908"/>
  <c r="AH2653" i="13034" s="1"/>
  <c r="K1810" i="12908"/>
  <c r="K1379" i="12908"/>
  <c r="AH1379" i="13034" s="1"/>
  <c r="S962" i="12908"/>
  <c r="AP962" i="13034" s="1"/>
  <c r="K1010" i="12908"/>
  <c r="K1146" i="12908"/>
  <c r="K1890" i="12908"/>
  <c r="K986" i="12908"/>
  <c r="K1058" i="12908"/>
  <c r="AH1058" i="13034" s="1"/>
  <c r="K1034" i="12908"/>
  <c r="K541" i="12908"/>
  <c r="AH541" i="13034" s="1"/>
  <c r="K227" i="12908"/>
  <c r="AH227" i="13034" s="1"/>
  <c r="K1123" i="12908"/>
  <c r="S1057" i="12908"/>
  <c r="AP1057" i="13034" s="1"/>
  <c r="K1079" i="12908"/>
  <c r="K1101" i="12908"/>
  <c r="W961" i="12908"/>
  <c r="AT961" i="13034" s="1"/>
  <c r="O1033" i="12908"/>
  <c r="O1145" i="12908"/>
  <c r="O1009" i="12908"/>
  <c r="O985" i="12908"/>
  <c r="O962" i="12908"/>
  <c r="AL962" i="13034" s="1"/>
  <c r="O540" i="12908"/>
  <c r="AL540" i="13034" s="1"/>
  <c r="O1057" i="12908"/>
  <c r="AL1057" i="13034" s="1"/>
  <c r="O226" i="12908"/>
  <c r="AL226" i="13034" s="1"/>
  <c r="O963" i="12908"/>
  <c r="O1889" i="12908"/>
  <c r="K1422" i="12908"/>
  <c r="K1442" i="12908"/>
  <c r="K1402" i="12908"/>
  <c r="K1462" i="12908"/>
  <c r="K2301" i="12908"/>
  <c r="AH2301" i="13034" s="1"/>
  <c r="K1949" i="12908"/>
  <c r="AH1949" i="13034" s="1"/>
  <c r="K2558" i="12908"/>
  <c r="AH2558" i="13034" s="1"/>
  <c r="K2236" i="12908"/>
  <c r="AH2236" i="13034" s="1"/>
  <c r="M1380" i="12908"/>
  <c r="U30" i="12908"/>
  <c r="AR30" i="13034" s="1"/>
  <c r="M207" i="12908"/>
  <c r="M170" i="12908"/>
  <c r="M67" i="12908"/>
  <c r="M133" i="12908"/>
  <c r="M135" i="12908"/>
  <c r="M69" i="12908"/>
  <c r="M172" i="12908"/>
  <c r="U32" i="12908"/>
  <c r="AR32" i="13034" s="1"/>
  <c r="M209" i="12908"/>
  <c r="M208" i="12908"/>
  <c r="U31" i="12908"/>
  <c r="AR31" i="13034" s="1"/>
  <c r="M171" i="12908"/>
  <c r="M68" i="12908"/>
  <c r="M134" i="12908"/>
  <c r="K988" i="12908"/>
  <c r="S964" i="12908"/>
  <c r="AP964" i="13034" s="1"/>
  <c r="K1036" i="12908"/>
  <c r="K1892" i="12908"/>
  <c r="K1148" i="12908"/>
  <c r="K1012" i="12908"/>
  <c r="K543" i="12908"/>
  <c r="AH543" i="13034" s="1"/>
  <c r="K1060" i="12908"/>
  <c r="AH1060" i="13034" s="1"/>
  <c r="K229" i="12908"/>
  <c r="AH229" i="13034" s="1"/>
  <c r="O540" i="13015" l="1"/>
  <c r="O1009" i="13015"/>
  <c r="O1145" i="13015"/>
  <c r="O1057" i="13015"/>
  <c r="AJ1057" i="13015" s="1"/>
  <c r="O226" i="13015"/>
  <c r="O1889" i="13015"/>
  <c r="W961" i="13015"/>
  <c r="W1862" i="12908"/>
  <c r="AT1862" i="13034" s="1"/>
  <c r="AL1862" i="13034"/>
  <c r="S988" i="12908"/>
  <c r="AP988" i="13034" s="1"/>
  <c r="AH988" i="13034"/>
  <c r="U171" i="12908"/>
  <c r="AR171" i="13034" s="1"/>
  <c r="AJ171" i="13034"/>
  <c r="S1123" i="12908"/>
  <c r="AP1123" i="13034" s="1"/>
  <c r="AH1123" i="13034"/>
  <c r="S1010" i="12908"/>
  <c r="AP1010" i="13034" s="1"/>
  <c r="AH1010" i="13034"/>
  <c r="U136" i="12908"/>
  <c r="AR136" i="13034" s="1"/>
  <c r="AJ136" i="13034"/>
  <c r="U70" i="12908"/>
  <c r="AR70" i="13034" s="1"/>
  <c r="AJ70" i="13034"/>
  <c r="U2614" i="12908"/>
  <c r="AR2614" i="13034" s="1"/>
  <c r="AP2614" i="13034"/>
  <c r="K2117" i="12908"/>
  <c r="AH2073" i="13034"/>
  <c r="S675" i="12908"/>
  <c r="AP674" i="13034"/>
  <c r="AJ226" i="13015"/>
  <c r="S1892" i="12908"/>
  <c r="AP1892" i="13034" s="1"/>
  <c r="AH1892" i="13034"/>
  <c r="U172" i="12908"/>
  <c r="AR172" i="13034" s="1"/>
  <c r="AJ172" i="13034"/>
  <c r="U67" i="12908"/>
  <c r="AR67" i="13034" s="1"/>
  <c r="AJ67" i="13034"/>
  <c r="AA21" i="13025"/>
  <c r="S36" i="13025" s="1"/>
  <c r="AJ1380" i="13034"/>
  <c r="S1422" i="12908"/>
  <c r="AP1422" i="13034" s="1"/>
  <c r="AH1422" i="13034"/>
  <c r="W1009" i="12908"/>
  <c r="AT1009" i="13034" s="1"/>
  <c r="AL1009" i="13034"/>
  <c r="S1101" i="12908"/>
  <c r="AP1101" i="13034" s="1"/>
  <c r="AH1101" i="13034"/>
  <c r="S986" i="12908"/>
  <c r="AP986" i="13034" s="1"/>
  <c r="AH986" i="13034"/>
  <c r="O2653" i="12908"/>
  <c r="AL2644" i="13034"/>
  <c r="AJ2644" i="13015"/>
  <c r="S573" i="12908"/>
  <c r="AP573" i="13034" s="1"/>
  <c r="AH573" i="13034"/>
  <c r="S1035" i="12908"/>
  <c r="AP1035" i="13034" s="1"/>
  <c r="AH1035" i="13034"/>
  <c r="U173" i="12908"/>
  <c r="AR173" i="13034" s="1"/>
  <c r="AJ173" i="13034"/>
  <c r="O2654" i="12908"/>
  <c r="AL2645" i="13034"/>
  <c r="AJ2645" i="13015"/>
  <c r="S298" i="12908"/>
  <c r="AP298" i="13034" s="1"/>
  <c r="AH298" i="13034"/>
  <c r="K2026" i="12908"/>
  <c r="AH1978" i="13034"/>
  <c r="M1855" i="12908"/>
  <c r="AJ1855" i="13034" s="1"/>
  <c r="AR1855" i="13034"/>
  <c r="W1889" i="13015"/>
  <c r="AI1889" i="13015" s="1"/>
  <c r="AJ1889" i="13015"/>
  <c r="AI961" i="13015"/>
  <c r="S1878" i="12908"/>
  <c r="AP1878" i="13034" s="1"/>
  <c r="AH1878" i="13034"/>
  <c r="M2654" i="12908"/>
  <c r="AJ2645" i="13034"/>
  <c r="M2653" i="12908"/>
  <c r="AJ2644" i="13034"/>
  <c r="O2613" i="12908"/>
  <c r="AH2613" i="13034"/>
  <c r="S1862" i="12908"/>
  <c r="AP1862" i="13034" s="1"/>
  <c r="AH1862" i="13034"/>
  <c r="W1033" i="13015"/>
  <c r="AJ1033" i="13015"/>
  <c r="W985" i="13015"/>
  <c r="AJ985" i="13015"/>
  <c r="O1854" i="13015"/>
  <c r="AJ1854" i="13015" s="1"/>
  <c r="AL1854" i="13034"/>
  <c r="AH1813" i="13034"/>
  <c r="K1824" i="12908"/>
  <c r="K1835" i="12908"/>
  <c r="K1846" i="12908"/>
  <c r="AR1810" i="13034"/>
  <c r="U1814" i="12908"/>
  <c r="S1148" i="12908"/>
  <c r="AP1148" i="13034" s="1"/>
  <c r="AH1148" i="13034"/>
  <c r="U133" i="12908"/>
  <c r="AR133" i="13034" s="1"/>
  <c r="AJ133" i="13034"/>
  <c r="S1442" i="12908"/>
  <c r="AP1442" i="13034" s="1"/>
  <c r="AH1442" i="13034"/>
  <c r="W985" i="12908"/>
  <c r="AT985" i="13034" s="1"/>
  <c r="AL985" i="13034"/>
  <c r="S606" i="12908"/>
  <c r="AP606" i="13034" s="1"/>
  <c r="AH606" i="13034"/>
  <c r="S1891" i="12908"/>
  <c r="AP1891" i="13034" s="1"/>
  <c r="AH1891" i="13034"/>
  <c r="S1036" i="12908"/>
  <c r="AP1036" i="13034" s="1"/>
  <c r="AH1036" i="13034"/>
  <c r="U134" i="12908"/>
  <c r="AR134" i="13034" s="1"/>
  <c r="AJ134" i="13034"/>
  <c r="U208" i="12908"/>
  <c r="AR208" i="13034" s="1"/>
  <c r="AJ208" i="13034"/>
  <c r="U69" i="12908"/>
  <c r="AR69" i="13034" s="1"/>
  <c r="AJ69" i="13034"/>
  <c r="U170" i="12908"/>
  <c r="AR170" i="13034" s="1"/>
  <c r="AJ170" i="13034"/>
  <c r="S1462" i="12908"/>
  <c r="AP1462" i="13034" s="1"/>
  <c r="AH1462" i="13034"/>
  <c r="W1889" i="12908"/>
  <c r="AT1889" i="13034" s="1"/>
  <c r="AL1889" i="13034"/>
  <c r="W1145" i="12908"/>
  <c r="AT1145" i="13034" s="1"/>
  <c r="AL1145" i="13034"/>
  <c r="S1079" i="12908"/>
  <c r="AP1079" i="13034" s="1"/>
  <c r="AH1079" i="13034"/>
  <c r="S1890" i="12908"/>
  <c r="AP1890" i="13034" s="1"/>
  <c r="AH1890" i="13034"/>
  <c r="K1979" i="12908"/>
  <c r="AH1979" i="13034" s="1"/>
  <c r="AP1979" i="13034"/>
  <c r="S1011" i="12908"/>
  <c r="AP1011" i="13034" s="1"/>
  <c r="AH1011" i="13034"/>
  <c r="S987" i="12908"/>
  <c r="AP987" i="13034" s="1"/>
  <c r="AH987" i="13034"/>
  <c r="U210" i="12908"/>
  <c r="AR210" i="13034" s="1"/>
  <c r="AJ210" i="13034"/>
  <c r="W1878" i="12908"/>
  <c r="AT1878" i="13034" s="1"/>
  <c r="AL1878" i="13034"/>
  <c r="S334" i="12908"/>
  <c r="AP334" i="13034" s="1"/>
  <c r="AH334" i="13034"/>
  <c r="W1380" i="12908"/>
  <c r="AR1380" i="13034"/>
  <c r="S2001" i="12908"/>
  <c r="AP2001" i="13034" s="1"/>
  <c r="AH2001" i="13034"/>
  <c r="M985" i="12908"/>
  <c r="AJ961" i="13034"/>
  <c r="S1012" i="12908"/>
  <c r="AP1012" i="13034" s="1"/>
  <c r="AH1012" i="13034"/>
  <c r="U68" i="12908"/>
  <c r="AR68" i="13034" s="1"/>
  <c r="AJ68" i="13034"/>
  <c r="U209" i="12908"/>
  <c r="AR209" i="13034" s="1"/>
  <c r="AJ209" i="13034"/>
  <c r="U135" i="12908"/>
  <c r="AR135" i="13034" s="1"/>
  <c r="AJ135" i="13034"/>
  <c r="U207" i="12908"/>
  <c r="AR207" i="13034" s="1"/>
  <c r="AJ207" i="13034"/>
  <c r="S1402" i="12908"/>
  <c r="AP1402" i="13034" s="1"/>
  <c r="AH1402" i="13034"/>
  <c r="O963" i="13015"/>
  <c r="AJ963" i="13015" s="1"/>
  <c r="AL963" i="13034"/>
  <c r="W1033" i="12908"/>
  <c r="AT1033" i="13034" s="1"/>
  <c r="AL1033" i="13034"/>
  <c r="S1034" i="12908"/>
  <c r="AP1034" i="13034" s="1"/>
  <c r="AH1034" i="13034"/>
  <c r="S1146" i="12908"/>
  <c r="AP1146" i="13034" s="1"/>
  <c r="AH1146" i="13034"/>
  <c r="AH1810" i="13034"/>
  <c r="K1812" i="12908"/>
  <c r="AH1812" i="13034" s="1"/>
  <c r="S639" i="12908"/>
  <c r="AP639" i="13034" s="1"/>
  <c r="AH639" i="13034"/>
  <c r="S1147" i="12908"/>
  <c r="AP1147" i="13034" s="1"/>
  <c r="AH1147" i="13034"/>
  <c r="O1870" i="12908"/>
  <c r="S262" i="12908"/>
  <c r="AP262" i="13034" s="1"/>
  <c r="AH262" i="13034"/>
  <c r="S2025" i="12908"/>
  <c r="AP2025" i="13034" s="1"/>
  <c r="AH2025" i="13034"/>
  <c r="AJ540" i="13015"/>
  <c r="W1009" i="13015"/>
  <c r="AI1009" i="13015" s="1"/>
  <c r="AJ1009" i="13015"/>
  <c r="W1145" i="13015"/>
  <c r="AJ1145" i="13015"/>
  <c r="S2049" i="12908"/>
  <c r="AP2049" i="13034" s="1"/>
  <c r="AH2049" i="13034"/>
  <c r="AT1290" i="13034"/>
  <c r="AI1290" i="13015"/>
  <c r="U1332" i="12908"/>
  <c r="W1332" i="12908" s="1"/>
  <c r="AR1290" i="13034"/>
  <c r="S2616" i="12908"/>
  <c r="K1480" i="12908"/>
  <c r="AH1480" i="13034" s="1"/>
  <c r="S1481" i="12908"/>
  <c r="U1480" i="12908"/>
  <c r="AR1480" i="13034" s="1"/>
  <c r="S2615" i="12908"/>
  <c r="K1822" i="12908"/>
  <c r="K1833" i="12908"/>
  <c r="K1844" i="12908"/>
  <c r="AA1819" i="12908"/>
  <c r="M1889" i="12908"/>
  <c r="M1145" i="12908"/>
  <c r="M226" i="12908"/>
  <c r="AJ226" i="13034" s="1"/>
  <c r="M1033" i="12908"/>
  <c r="M540" i="12908"/>
  <c r="AJ540" i="13034" s="1"/>
  <c r="M1009" i="12908"/>
  <c r="M1057" i="12908"/>
  <c r="AJ1057" i="13034" s="1"/>
  <c r="W1855" i="12908"/>
  <c r="AT1855" i="13034" s="1"/>
  <c r="S14" i="13025"/>
  <c r="S31" i="13025"/>
  <c r="S16" i="13025"/>
  <c r="S13" i="13025"/>
  <c r="S15" i="13025"/>
  <c r="S46" i="13025"/>
  <c r="S22" i="13025"/>
  <c r="S33" i="13025"/>
  <c r="S56" i="13025"/>
  <c r="S42" i="13025"/>
  <c r="S48" i="13025"/>
  <c r="O606" i="13015"/>
  <c r="W540" i="13015"/>
  <c r="O639" i="13015"/>
  <c r="O573" i="13015"/>
  <c r="O1123" i="13015"/>
  <c r="O334" i="13015"/>
  <c r="O298" i="13015"/>
  <c r="O370" i="13015"/>
  <c r="O262" i="13015"/>
  <c r="W226" i="13015"/>
  <c r="AI226" i="13015" s="1"/>
  <c r="O1891" i="13015"/>
  <c r="AE963" i="13015"/>
  <c r="M962" i="12908"/>
  <c r="O962" i="13015"/>
  <c r="AJ962" i="13015" s="1"/>
  <c r="O2073" i="12908"/>
  <c r="O1977" i="13015"/>
  <c r="AJ1977" i="13015" s="1"/>
  <c r="W1379" i="12908"/>
  <c r="U1381" i="12908"/>
  <c r="M1381" i="12908"/>
  <c r="AJ1381" i="13034" s="1"/>
  <c r="O2049" i="12908"/>
  <c r="K2615" i="12908"/>
  <c r="AH2615" i="13034" s="1"/>
  <c r="O2001" i="12908"/>
  <c r="K2095" i="12908"/>
  <c r="O2025" i="12908"/>
  <c r="K2139" i="12908"/>
  <c r="S2073" i="12908"/>
  <c r="AP2073" i="13034" s="1"/>
  <c r="K2614" i="12908"/>
  <c r="AH2614" i="13034" s="1"/>
  <c r="O1978" i="12908"/>
  <c r="K2074" i="12908"/>
  <c r="K2002" i="12908"/>
  <c r="K2050" i="12908"/>
  <c r="S1981" i="12908"/>
  <c r="U1384" i="12908"/>
  <c r="U1383" i="12908"/>
  <c r="U1382" i="12908"/>
  <c r="AA1620" i="12908"/>
  <c r="S1980" i="12908"/>
  <c r="AA983" i="12908"/>
  <c r="U148" i="12908"/>
  <c r="AR148" i="13034" s="1"/>
  <c r="AB46" i="12908"/>
  <c r="U82" i="12908"/>
  <c r="AR82" i="13034" s="1"/>
  <c r="S1054" i="12908"/>
  <c r="AP1054" i="13034" s="1"/>
  <c r="K301" i="12908"/>
  <c r="K337" i="12908"/>
  <c r="S229" i="12908"/>
  <c r="AP229" i="13034" s="1"/>
  <c r="K265" i="12908"/>
  <c r="K373" i="12908"/>
  <c r="AH373" i="13034" s="1"/>
  <c r="K642" i="12908"/>
  <c r="K576" i="12908"/>
  <c r="S543" i="12908"/>
  <c r="AP543" i="13034" s="1"/>
  <c r="K609" i="12908"/>
  <c r="M334" i="12908"/>
  <c r="U226" i="12908"/>
  <c r="AR226" i="13034" s="1"/>
  <c r="M262" i="12908"/>
  <c r="M298" i="12908"/>
  <c r="M370" i="12908"/>
  <c r="AJ370" i="13034" s="1"/>
  <c r="S2236" i="12908"/>
  <c r="AP2236" i="13034" s="1"/>
  <c r="K2444" i="12908"/>
  <c r="M2236" i="12908"/>
  <c r="AJ2236" i="13034" s="1"/>
  <c r="K2340" i="12908"/>
  <c r="K2242" i="12908"/>
  <c r="AH2242" i="13034" s="1"/>
  <c r="K2258" i="12908"/>
  <c r="AH2258" i="13034" s="1"/>
  <c r="K2239" i="12908"/>
  <c r="AH2239" i="13034" s="1"/>
  <c r="O1147" i="12908"/>
  <c r="W963" i="12908"/>
  <c r="AT963" i="13034" s="1"/>
  <c r="O1891" i="12908"/>
  <c r="AE963" i="12908"/>
  <c r="O987" i="12908"/>
  <c r="O1011" i="12908"/>
  <c r="O1059" i="12908"/>
  <c r="AL1059" i="13034" s="1"/>
  <c r="O1035" i="12908"/>
  <c r="O228" i="12908"/>
  <c r="AL228" i="13034" s="1"/>
  <c r="O542" i="12908"/>
  <c r="AL542" i="13034" s="1"/>
  <c r="O964" i="12908"/>
  <c r="AE962" i="12908"/>
  <c r="O1034" i="12908"/>
  <c r="O1010" i="12908"/>
  <c r="W962" i="12908"/>
  <c r="AT962" i="13034" s="1"/>
  <c r="O541" i="12908"/>
  <c r="AL541" i="13034" s="1"/>
  <c r="O1890" i="12908"/>
  <c r="O986" i="12908"/>
  <c r="O227" i="12908"/>
  <c r="AL227" i="13034" s="1"/>
  <c r="O1146" i="12908"/>
  <c r="O1058" i="12908"/>
  <c r="AL1058" i="13034" s="1"/>
  <c r="K299" i="12908"/>
  <c r="S227" i="12908"/>
  <c r="AP227" i="13034" s="1"/>
  <c r="K263" i="12908"/>
  <c r="K335" i="12908"/>
  <c r="K371" i="12908"/>
  <c r="AH371" i="13034" s="1"/>
  <c r="K1102" i="12908"/>
  <c r="K1124" i="12908"/>
  <c r="S1058" i="12908"/>
  <c r="AP1058" i="13034" s="1"/>
  <c r="K1080" i="12908"/>
  <c r="K2662" i="12908"/>
  <c r="S2653" i="12908"/>
  <c r="AP2653" i="13034" s="1"/>
  <c r="S1059" i="12908"/>
  <c r="AP1059" i="13034" s="1"/>
  <c r="K1103" i="12908"/>
  <c r="K1081" i="12908"/>
  <c r="K1125" i="12908"/>
  <c r="S2654" i="12908"/>
  <c r="AP2654" i="13034" s="1"/>
  <c r="K2663" i="12908"/>
  <c r="M1879" i="12908"/>
  <c r="M1863" i="12908"/>
  <c r="M1871" i="12908"/>
  <c r="K1901" i="12908"/>
  <c r="K1538" i="12908"/>
  <c r="K1519" i="12908"/>
  <c r="K1500" i="12908"/>
  <c r="M1479" i="12908"/>
  <c r="AJ1479" i="13034" s="1"/>
  <c r="K2275" i="12908"/>
  <c r="AH2275" i="13034" s="1"/>
  <c r="U1614" i="12908"/>
  <c r="U1609" i="12908"/>
  <c r="AR1609" i="13034" s="1"/>
  <c r="U1610" i="12908"/>
  <c r="K1609" i="12908"/>
  <c r="AH1609" i="13034" s="1"/>
  <c r="S2558" i="12908"/>
  <c r="AP2558" i="13034" s="1"/>
  <c r="K2561" i="12908"/>
  <c r="AH2561" i="13034" s="1"/>
  <c r="W226" i="12908"/>
  <c r="AT226" i="13034" s="1"/>
  <c r="O262" i="12908"/>
  <c r="O298" i="12908"/>
  <c r="O370" i="12908"/>
  <c r="AL370" i="13034" s="1"/>
  <c r="O334" i="12908"/>
  <c r="M1034" i="12908"/>
  <c r="M986" i="12908"/>
  <c r="K1821" i="12908"/>
  <c r="K1843" i="12908"/>
  <c r="K1832" i="12908"/>
  <c r="O2662" i="12908"/>
  <c r="W2653" i="12908"/>
  <c r="K2003" i="12908"/>
  <c r="K2051" i="12908"/>
  <c r="K2027" i="12908"/>
  <c r="K2075" i="12908"/>
  <c r="AH2075" i="13034" s="1"/>
  <c r="O1979" i="12908"/>
  <c r="O2663" i="12908"/>
  <c r="K1879" i="12908"/>
  <c r="K1863" i="12908"/>
  <c r="K1871" i="12908"/>
  <c r="O1855" i="12908"/>
  <c r="K1952" i="12908"/>
  <c r="AH1952" i="13034" s="1"/>
  <c r="O1079" i="12908"/>
  <c r="O1123" i="12908"/>
  <c r="O1101" i="12908"/>
  <c r="W1057" i="12908"/>
  <c r="AT1057" i="13034" s="1"/>
  <c r="S541" i="12908"/>
  <c r="AP541" i="13034" s="1"/>
  <c r="K640" i="12908"/>
  <c r="K574" i="12908"/>
  <c r="K607" i="12908"/>
  <c r="O2026" i="12908"/>
  <c r="M1810" i="12908"/>
  <c r="M963" i="12908"/>
  <c r="AJ963" i="13034" s="1"/>
  <c r="K438" i="12908"/>
  <c r="S370" i="12908"/>
  <c r="AP370" i="13034" s="1"/>
  <c r="K472" i="12908"/>
  <c r="K506" i="12908"/>
  <c r="K404" i="12908"/>
  <c r="W1479" i="12908"/>
  <c r="M2614" i="12908"/>
  <c r="K1614" i="12908"/>
  <c r="AH1614" i="13034" s="1"/>
  <c r="U540" i="12908"/>
  <c r="AR540" i="13034" s="1"/>
  <c r="M606" i="12908"/>
  <c r="U1057" i="12908"/>
  <c r="AR1057" i="13034" s="1"/>
  <c r="M1123" i="12908"/>
  <c r="M1079" i="12908"/>
  <c r="M1101" i="12908"/>
  <c r="K1126" i="12908"/>
  <c r="S1060" i="12908"/>
  <c r="AP1060" i="13034" s="1"/>
  <c r="K1104" i="12908"/>
  <c r="K1082" i="12908"/>
  <c r="O2117" i="12908"/>
  <c r="M1422" i="12908"/>
  <c r="M1442" i="12908"/>
  <c r="M1402" i="12908"/>
  <c r="M1949" i="12908"/>
  <c r="M1462" i="12908"/>
  <c r="M2301" i="12908"/>
  <c r="AJ2301" i="13034" s="1"/>
  <c r="M2558" i="12908"/>
  <c r="AJ2558" i="13034" s="1"/>
  <c r="AA21" i="12993"/>
  <c r="K2405" i="12908"/>
  <c r="K2509" i="12908"/>
  <c r="S2301" i="12908"/>
  <c r="AP2301" i="13034" s="1"/>
  <c r="O573" i="12908"/>
  <c r="W540" i="12908"/>
  <c r="AT540" i="13034" s="1"/>
  <c r="O639" i="12908"/>
  <c r="O606" i="12908"/>
  <c r="AA2624" i="12908"/>
  <c r="K1421" i="12908"/>
  <c r="K1441" i="12908"/>
  <c r="K1401" i="12908"/>
  <c r="K2300" i="12908"/>
  <c r="AH2300" i="13034" s="1"/>
  <c r="K1948" i="12908"/>
  <c r="AH1948" i="13034" s="1"/>
  <c r="K1461" i="12908"/>
  <c r="K2557" i="12908"/>
  <c r="AH2557" i="13034" s="1"/>
  <c r="M1379" i="12908"/>
  <c r="AJ1379" i="13034" s="1"/>
  <c r="K2235" i="12908"/>
  <c r="AH2235" i="13034" s="1"/>
  <c r="S228" i="12908"/>
  <c r="AP228" i="13034" s="1"/>
  <c r="K300" i="12908"/>
  <c r="K336" i="12908"/>
  <c r="K264" i="12908"/>
  <c r="K372" i="12908"/>
  <c r="AH372" i="13034" s="1"/>
  <c r="K575" i="12908"/>
  <c r="K608" i="12908"/>
  <c r="S542" i="12908"/>
  <c r="AP542" i="13034" s="1"/>
  <c r="K641" i="12908"/>
  <c r="S1374" i="12908"/>
  <c r="W2614" i="12908"/>
  <c r="AT2614" i="13034" s="1"/>
  <c r="O1101" i="13015" l="1"/>
  <c r="O1079" i="13015"/>
  <c r="W1057" i="13015"/>
  <c r="S641" i="12908"/>
  <c r="AP641" i="13034" s="1"/>
  <c r="AH641" i="13034"/>
  <c r="S1461" i="12908"/>
  <c r="AH1461" i="13034"/>
  <c r="W639" i="12908"/>
  <c r="AT639" i="13034" s="1"/>
  <c r="AL639" i="13034"/>
  <c r="S2509" i="12908"/>
  <c r="AP2509" i="13034" s="1"/>
  <c r="AH2509" i="13034"/>
  <c r="U1442" i="12908"/>
  <c r="AR1442" i="13034" s="1"/>
  <c r="AJ1442" i="13034"/>
  <c r="U1079" i="12908"/>
  <c r="AR1079" i="13034" s="1"/>
  <c r="AJ1079" i="13034"/>
  <c r="O2614" i="12908"/>
  <c r="AJ2614" i="13034"/>
  <c r="S472" i="12908"/>
  <c r="AP472" i="13034" s="1"/>
  <c r="AH472" i="13034"/>
  <c r="S640" i="12908"/>
  <c r="AP640" i="13034" s="1"/>
  <c r="AH640" i="13034"/>
  <c r="S1871" i="12908"/>
  <c r="AH1871" i="13034"/>
  <c r="W2663" i="12908"/>
  <c r="AL2663" i="13034"/>
  <c r="AJ2663" i="13015"/>
  <c r="S1832" i="12908"/>
  <c r="AP1832" i="13034" s="1"/>
  <c r="AH1832" i="13034"/>
  <c r="W298" i="12908"/>
  <c r="AT298" i="13034" s="1"/>
  <c r="AL298" i="13034"/>
  <c r="W1614" i="12908"/>
  <c r="AT1614" i="13034" s="1"/>
  <c r="AR1614" i="13034"/>
  <c r="S263" i="12908"/>
  <c r="AP263" i="13034" s="1"/>
  <c r="AH263" i="13034"/>
  <c r="W1146" i="12908"/>
  <c r="AT1146" i="13034" s="1"/>
  <c r="AL1146" i="13034"/>
  <c r="W1384" i="12908"/>
  <c r="AT1384" i="13034" s="1"/>
  <c r="AR1384" i="13034"/>
  <c r="S2074" i="12908"/>
  <c r="AP2074" i="13034" s="1"/>
  <c r="AH2074" i="13034"/>
  <c r="S2139" i="12908"/>
  <c r="AP2139" i="13034" s="1"/>
  <c r="AH2139" i="13034"/>
  <c r="W334" i="13015"/>
  <c r="AI334" i="13015" s="1"/>
  <c r="AJ334" i="13015"/>
  <c r="W1123" i="13015"/>
  <c r="AJ1123" i="13015"/>
  <c r="W606" i="13015"/>
  <c r="AI606" i="13015" s="1"/>
  <c r="AJ606" i="13015"/>
  <c r="U1145" i="12908"/>
  <c r="AR1145" i="13034" s="1"/>
  <c r="AJ1145" i="13034"/>
  <c r="S1482" i="12908"/>
  <c r="AP1481" i="13034"/>
  <c r="AR1814" i="13034"/>
  <c r="W1814" i="12908"/>
  <c r="AT1814" i="13034" s="1"/>
  <c r="S264" i="12908"/>
  <c r="AP264" i="13034" s="1"/>
  <c r="AH264" i="13034"/>
  <c r="S1421" i="12908"/>
  <c r="AH1421" i="13034"/>
  <c r="S2405" i="12908"/>
  <c r="AP2405" i="13034" s="1"/>
  <c r="AH2405" i="13034"/>
  <c r="U1422" i="12908"/>
  <c r="AR1422" i="13034" s="1"/>
  <c r="AJ1422" i="13034"/>
  <c r="W2026" i="12908"/>
  <c r="AT2026" i="13034" s="1"/>
  <c r="AL2026" i="13034"/>
  <c r="W1079" i="12908"/>
  <c r="AT1079" i="13034" s="1"/>
  <c r="AL1079" i="13034"/>
  <c r="S1863" i="12908"/>
  <c r="AH1863" i="13034"/>
  <c r="S2003" i="12908"/>
  <c r="AP2003" i="13034" s="1"/>
  <c r="AH2003" i="13034"/>
  <c r="U1034" i="12908"/>
  <c r="AR1034" i="13034" s="1"/>
  <c r="AJ1034" i="13034"/>
  <c r="W262" i="12908"/>
  <c r="AT262" i="13034" s="1"/>
  <c r="AL262" i="13034"/>
  <c r="U1879" i="12908"/>
  <c r="AJ1879" i="13034"/>
  <c r="O964" i="13015"/>
  <c r="AJ964" i="13015" s="1"/>
  <c r="AL964" i="13034"/>
  <c r="W1891" i="12908"/>
  <c r="AT1891" i="13034" s="1"/>
  <c r="AL1891" i="13034"/>
  <c r="S2444" i="12908"/>
  <c r="AP2444" i="13034" s="1"/>
  <c r="AH2444" i="13034"/>
  <c r="S265" i="12908"/>
  <c r="AP265" i="13034" s="1"/>
  <c r="AH265" i="13034"/>
  <c r="S1030" i="12908"/>
  <c r="AP1030" i="13034" s="1"/>
  <c r="K1981" i="12908"/>
  <c r="AH1981" i="13034" s="1"/>
  <c r="AP1981" i="13034"/>
  <c r="O1011" i="13015"/>
  <c r="W262" i="13015"/>
  <c r="AI262" i="13015" s="1"/>
  <c r="AJ262" i="13015"/>
  <c r="W1101" i="13015"/>
  <c r="AI1101" i="13015" s="1"/>
  <c r="AJ1101" i="13015"/>
  <c r="S58" i="13025"/>
  <c r="S52" i="13025"/>
  <c r="S11" i="13025"/>
  <c r="S32" i="13025"/>
  <c r="S41" i="13025"/>
  <c r="U1889" i="12908"/>
  <c r="AR1889" i="13034" s="1"/>
  <c r="AJ1889" i="13034"/>
  <c r="S1822" i="12908"/>
  <c r="AP1822" i="13034" s="1"/>
  <c r="AH1822" i="13034"/>
  <c r="AI985" i="13015"/>
  <c r="AL2654" i="13034"/>
  <c r="AJ2654" i="13015"/>
  <c r="S676" i="12908"/>
  <c r="AP676" i="13034" s="1"/>
  <c r="AP675" i="13034"/>
  <c r="S608" i="12908"/>
  <c r="AP608" i="13034" s="1"/>
  <c r="AH608" i="13034"/>
  <c r="S336" i="12908"/>
  <c r="AP336" i="13034" s="1"/>
  <c r="AH336" i="13034"/>
  <c r="W573" i="12908"/>
  <c r="AT573" i="13034" s="1"/>
  <c r="AL573" i="13034"/>
  <c r="M1952" i="12908"/>
  <c r="AJ1952" i="13034" s="1"/>
  <c r="AJ1949" i="13034"/>
  <c r="W2117" i="12908"/>
  <c r="AT2117" i="13034" s="1"/>
  <c r="AL2117" i="13034"/>
  <c r="S1126" i="12908"/>
  <c r="AP1126" i="13034" s="1"/>
  <c r="AH1126" i="13034"/>
  <c r="M639" i="12908"/>
  <c r="S404" i="12908"/>
  <c r="AP404" i="13034" s="1"/>
  <c r="AH404" i="13034"/>
  <c r="S438" i="12908"/>
  <c r="AP438" i="13034" s="1"/>
  <c r="AH438" i="13034"/>
  <c r="S607" i="12908"/>
  <c r="AP607" i="13034" s="1"/>
  <c r="AH607" i="13034"/>
  <c r="S1879" i="12908"/>
  <c r="AH1879" i="13034"/>
  <c r="AT2653" i="13034"/>
  <c r="AI2653" i="13015"/>
  <c r="S1821" i="12908"/>
  <c r="AP1821" i="13034" s="1"/>
  <c r="AH1821" i="13034"/>
  <c r="W334" i="12908"/>
  <c r="AT334" i="13034" s="1"/>
  <c r="AL334" i="13034"/>
  <c r="W1610" i="12908"/>
  <c r="AT1610" i="13034" s="1"/>
  <c r="AR1610" i="13034"/>
  <c r="S1901" i="12908"/>
  <c r="AP1901" i="13034" s="1"/>
  <c r="AH1901" i="13034"/>
  <c r="S2663" i="12908"/>
  <c r="AP2663" i="13034" s="1"/>
  <c r="AH2663" i="13034"/>
  <c r="S1103" i="12908"/>
  <c r="AP1103" i="13034" s="1"/>
  <c r="AH1103" i="13034"/>
  <c r="S1080" i="12908"/>
  <c r="AP1080" i="13034" s="1"/>
  <c r="AH1080" i="13034"/>
  <c r="S299" i="12908"/>
  <c r="AP299" i="13034" s="1"/>
  <c r="AH299" i="13034"/>
  <c r="W986" i="12908"/>
  <c r="AT986" i="13034" s="1"/>
  <c r="AL986" i="13034"/>
  <c r="W1010" i="12908"/>
  <c r="AT1010" i="13034" s="1"/>
  <c r="AL1010" i="13034"/>
  <c r="W1011" i="12908"/>
  <c r="AT1011" i="13034" s="1"/>
  <c r="AL1011" i="13034"/>
  <c r="S576" i="12908"/>
  <c r="AP576" i="13034" s="1"/>
  <c r="AH576" i="13034"/>
  <c r="U185" i="12908"/>
  <c r="AR185" i="13034" s="1"/>
  <c r="S1899" i="12908"/>
  <c r="AP1899" i="13034" s="1"/>
  <c r="U222" i="12908"/>
  <c r="AR222" i="13034" s="1"/>
  <c r="W1382" i="12908"/>
  <c r="AT1382" i="13034" s="1"/>
  <c r="AR1382" i="13034"/>
  <c r="S2050" i="12908"/>
  <c r="AP2050" i="13034" s="1"/>
  <c r="AH2050" i="13034"/>
  <c r="K2161" i="12908"/>
  <c r="AH2161" i="13034" s="1"/>
  <c r="AH2095" i="13034"/>
  <c r="W2073" i="12908"/>
  <c r="AT2073" i="13034" s="1"/>
  <c r="AL2073" i="13034"/>
  <c r="O987" i="13015"/>
  <c r="O228" i="13015"/>
  <c r="AJ228" i="13015" s="1"/>
  <c r="O542" i="13015"/>
  <c r="AJ542" i="13015" s="1"/>
  <c r="AJ370" i="13015"/>
  <c r="W1079" i="13015"/>
  <c r="AI1079" i="13015" s="1"/>
  <c r="AJ1079" i="13015"/>
  <c r="W639" i="13015"/>
  <c r="AI639" i="13015" s="1"/>
  <c r="AJ639" i="13015"/>
  <c r="S49" i="13025"/>
  <c r="S37" i="13025"/>
  <c r="S19" i="13025"/>
  <c r="S26" i="13025"/>
  <c r="S27" i="13025"/>
  <c r="S12" i="13025"/>
  <c r="S18" i="13025"/>
  <c r="S34" i="13025"/>
  <c r="S55" i="13025"/>
  <c r="S44" i="13025"/>
  <c r="S53" i="13025"/>
  <c r="U1033" i="12908"/>
  <c r="AR1033" i="13034" s="1"/>
  <c r="AJ1033" i="13034"/>
  <c r="U2615" i="12908"/>
  <c r="AR2615" i="13034" s="1"/>
  <c r="AP2615" i="13034"/>
  <c r="K2616" i="12908"/>
  <c r="AH2616" i="13034" s="1"/>
  <c r="AP2616" i="13034"/>
  <c r="AI1145" i="13015"/>
  <c r="W1870" i="12908"/>
  <c r="AT1870" i="13034" s="1"/>
  <c r="AL1870" i="13034"/>
  <c r="U985" i="12908"/>
  <c r="AR985" i="13034" s="1"/>
  <c r="AJ985" i="13034"/>
  <c r="AT1380" i="13034"/>
  <c r="AI1380" i="13015"/>
  <c r="S1846" i="12908"/>
  <c r="AP1846" i="13034" s="1"/>
  <c r="AH1846" i="13034"/>
  <c r="AL2653" i="13034"/>
  <c r="AJ2653" i="13015"/>
  <c r="S1441" i="12908"/>
  <c r="AH1441" i="13034"/>
  <c r="S1104" i="12908"/>
  <c r="AP1104" i="13034" s="1"/>
  <c r="AH1104" i="13034"/>
  <c r="U606" i="12908"/>
  <c r="AR606" i="13034" s="1"/>
  <c r="AJ606" i="13034"/>
  <c r="AJ1810" i="13034"/>
  <c r="W1123" i="12908"/>
  <c r="AT1123" i="13034" s="1"/>
  <c r="AL1123" i="13034"/>
  <c r="S2051" i="12908"/>
  <c r="AP2051" i="13034" s="1"/>
  <c r="AH2051" i="13034"/>
  <c r="U986" i="12908"/>
  <c r="AR986" i="13034" s="1"/>
  <c r="AJ986" i="13034"/>
  <c r="S1519" i="12908"/>
  <c r="AP1519" i="13034" s="1"/>
  <c r="AH1519" i="13034"/>
  <c r="U1863" i="12908"/>
  <c r="AJ1863" i="13034"/>
  <c r="S1125" i="12908"/>
  <c r="AP1125" i="13034" s="1"/>
  <c r="AH1125" i="13034"/>
  <c r="S1124" i="12908"/>
  <c r="AP1124" i="13034" s="1"/>
  <c r="AH1124" i="13034"/>
  <c r="W1035" i="12908"/>
  <c r="AT1035" i="13034" s="1"/>
  <c r="AL1035" i="13034"/>
  <c r="U298" i="12908"/>
  <c r="AR298" i="13034" s="1"/>
  <c r="AJ298" i="13034"/>
  <c r="S609" i="12908"/>
  <c r="AP609" i="13034" s="1"/>
  <c r="AH609" i="13034"/>
  <c r="S301" i="12908"/>
  <c r="AP301" i="13034" s="1"/>
  <c r="AH301" i="13034"/>
  <c r="K1980" i="12908"/>
  <c r="O1980" i="12908" s="1"/>
  <c r="AL1980" i="13034" s="1"/>
  <c r="AP1980" i="13034"/>
  <c r="AT1379" i="13034"/>
  <c r="AI1379" i="13015"/>
  <c r="W1891" i="13015"/>
  <c r="AI1891" i="13015" s="1"/>
  <c r="AJ1891" i="13015"/>
  <c r="U1009" i="12908"/>
  <c r="AR1009" i="13034" s="1"/>
  <c r="AJ1009" i="13034"/>
  <c r="S1833" i="12908"/>
  <c r="AP1833" i="13034" s="1"/>
  <c r="AH1833" i="13034"/>
  <c r="S1824" i="12908"/>
  <c r="AP1824" i="13034" s="1"/>
  <c r="AH1824" i="13034"/>
  <c r="S2026" i="12908"/>
  <c r="AP2026" i="13034" s="1"/>
  <c r="AH2026" i="13034"/>
  <c r="U1462" i="12908"/>
  <c r="AR1462" i="13034" s="1"/>
  <c r="AJ1462" i="13034"/>
  <c r="U1123" i="12908"/>
  <c r="AR1123" i="13034" s="1"/>
  <c r="AJ1123" i="13034"/>
  <c r="AT1479" i="13034"/>
  <c r="AI1479" i="13015"/>
  <c r="O1979" i="13015"/>
  <c r="AJ1979" i="13015" s="1"/>
  <c r="AL1979" i="13034"/>
  <c r="S1843" i="12908"/>
  <c r="AP1843" i="13034" s="1"/>
  <c r="AH1843" i="13034"/>
  <c r="S1538" i="12908"/>
  <c r="AP1538" i="13034" s="1"/>
  <c r="AH1538" i="13034"/>
  <c r="S1081" i="12908"/>
  <c r="AP1081" i="13034" s="1"/>
  <c r="AH1081" i="13034"/>
  <c r="S2662" i="12908"/>
  <c r="AP2662" i="13034" s="1"/>
  <c r="AH2662" i="13034"/>
  <c r="S1102" i="12908"/>
  <c r="AP1102" i="13034" s="1"/>
  <c r="AH1102" i="13034"/>
  <c r="U262" i="12908"/>
  <c r="AR262" i="13034" s="1"/>
  <c r="AJ262" i="13034"/>
  <c r="O1978" i="13015"/>
  <c r="AJ1978" i="13015" s="1"/>
  <c r="AL1978" i="13034"/>
  <c r="W2025" i="12908"/>
  <c r="AT2025" i="13034" s="1"/>
  <c r="AL2025" i="13034"/>
  <c r="W2049" i="12908"/>
  <c r="AT2049" i="13034" s="1"/>
  <c r="AL2049" i="13034"/>
  <c r="M1010" i="12908"/>
  <c r="AJ962" i="13034"/>
  <c r="O1147" i="13015"/>
  <c r="W573" i="13015"/>
  <c r="AJ573" i="13015"/>
  <c r="S29" i="13025"/>
  <c r="S57" i="13025"/>
  <c r="S21" i="13025"/>
  <c r="S39" i="13025"/>
  <c r="S24" i="13025"/>
  <c r="S47" i="13025"/>
  <c r="S43" i="13025"/>
  <c r="S1982" i="12908"/>
  <c r="AP1982" i="13034" s="1"/>
  <c r="AJ2653" i="13034"/>
  <c r="M2662" i="12908"/>
  <c r="U2653" i="12908"/>
  <c r="S575" i="12908"/>
  <c r="AP575" i="13034" s="1"/>
  <c r="AH575" i="13034"/>
  <c r="S300" i="12908"/>
  <c r="AP300" i="13034" s="1"/>
  <c r="AH300" i="13034"/>
  <c r="S1401" i="12908"/>
  <c r="AH1401" i="13034"/>
  <c r="W606" i="12908"/>
  <c r="AT606" i="13034" s="1"/>
  <c r="AL606" i="13034"/>
  <c r="U1402" i="12908"/>
  <c r="AR1402" i="13034" s="1"/>
  <c r="AJ1402" i="13034"/>
  <c r="S1082" i="12908"/>
  <c r="AP1082" i="13034" s="1"/>
  <c r="AH1082" i="13034"/>
  <c r="U1101" i="12908"/>
  <c r="AR1101" i="13034" s="1"/>
  <c r="AJ1101" i="13034"/>
  <c r="M573" i="12908"/>
  <c r="S506" i="12908"/>
  <c r="AP506" i="13034" s="1"/>
  <c r="AH506" i="13034"/>
  <c r="S574" i="12908"/>
  <c r="AP574" i="13034" s="1"/>
  <c r="AH574" i="13034"/>
  <c r="W1101" i="12908"/>
  <c r="AT1101" i="13034" s="1"/>
  <c r="AL1101" i="13034"/>
  <c r="O1855" i="13015"/>
  <c r="AL1855" i="13034"/>
  <c r="W2654" i="12908"/>
  <c r="S2027" i="12908"/>
  <c r="AP2027" i="13034" s="1"/>
  <c r="AH2027" i="13034"/>
  <c r="W2662" i="12908"/>
  <c r="AL2662" i="13034"/>
  <c r="AJ2662" i="13015"/>
  <c r="M227" i="12908"/>
  <c r="AJ227" i="13034" s="1"/>
  <c r="S1500" i="12908"/>
  <c r="AP1500" i="13034" s="1"/>
  <c r="AH1500" i="13034"/>
  <c r="U1871" i="12908"/>
  <c r="AJ1871" i="13034"/>
  <c r="S335" i="12908"/>
  <c r="AP335" i="13034" s="1"/>
  <c r="AH335" i="13034"/>
  <c r="W1890" i="12908"/>
  <c r="AT1890" i="13034" s="1"/>
  <c r="AL1890" i="13034"/>
  <c r="W1034" i="12908"/>
  <c r="AT1034" i="13034" s="1"/>
  <c r="AL1034" i="13034"/>
  <c r="W987" i="12908"/>
  <c r="AT987" i="13034" s="1"/>
  <c r="AL987" i="13034"/>
  <c r="W1147" i="12908"/>
  <c r="AT1147" i="13034" s="1"/>
  <c r="AL1147" i="13034"/>
  <c r="S2340" i="12908"/>
  <c r="AP2340" i="13034" s="1"/>
  <c r="AH2340" i="13034"/>
  <c r="U334" i="12908"/>
  <c r="AR334" i="13034" s="1"/>
  <c r="AJ334" i="13034"/>
  <c r="S642" i="12908"/>
  <c r="AP642" i="13034" s="1"/>
  <c r="AH642" i="13034"/>
  <c r="S337" i="12908"/>
  <c r="AP337" i="13034" s="1"/>
  <c r="AH337" i="13034"/>
  <c r="S1164" i="12908"/>
  <c r="AP1164" i="13034" s="1"/>
  <c r="S1006" i="12908"/>
  <c r="AP1006" i="13034" s="1"/>
  <c r="W1383" i="12908"/>
  <c r="AT1383" i="13034" s="1"/>
  <c r="AR1383" i="13034"/>
  <c r="S2002" i="12908"/>
  <c r="AP2002" i="13034" s="1"/>
  <c r="AH2002" i="13034"/>
  <c r="W2001" i="12908"/>
  <c r="AT2001" i="13034" s="1"/>
  <c r="AL2001" i="13034"/>
  <c r="W1381" i="12908"/>
  <c r="AT1381" i="13034" s="1"/>
  <c r="AR1381" i="13034"/>
  <c r="S677" i="12908"/>
  <c r="W963" i="13015"/>
  <c r="AI963" i="13015" s="1"/>
  <c r="O1035" i="13015"/>
  <c r="O1059" i="13015"/>
  <c r="AJ1059" i="13015" s="1"/>
  <c r="W298" i="13015"/>
  <c r="AI298" i="13015" s="1"/>
  <c r="AJ298" i="13015"/>
  <c r="AI1057" i="13015"/>
  <c r="AI540" i="13015"/>
  <c r="S17" i="13025"/>
  <c r="S35" i="13025"/>
  <c r="S45" i="13025"/>
  <c r="S23" i="13025"/>
  <c r="S51" i="13025"/>
  <c r="S25" i="13025"/>
  <c r="S28" i="13025"/>
  <c r="S38" i="13025"/>
  <c r="S59" i="13025"/>
  <c r="S54" i="13025"/>
  <c r="S1844" i="12908"/>
  <c r="AP1844" i="13034" s="1"/>
  <c r="AH1844" i="13034"/>
  <c r="S1835" i="12908"/>
  <c r="AP1835" i="13034" s="1"/>
  <c r="AH1835" i="13034"/>
  <c r="AI1033" i="13015"/>
  <c r="O2613" i="13015"/>
  <c r="AJ2613" i="13015" s="1"/>
  <c r="AL2613" i="13034"/>
  <c r="AJ2654" i="13034"/>
  <c r="U2654" i="12908"/>
  <c r="AR2654" i="13034" s="1"/>
  <c r="M2663" i="12908"/>
  <c r="S2117" i="12908"/>
  <c r="AP2117" i="13034" s="1"/>
  <c r="AH2117" i="13034"/>
  <c r="U1374" i="12908"/>
  <c r="AR1374" i="13034" s="1"/>
  <c r="AR1332" i="13034"/>
  <c r="AP1374" i="13034"/>
  <c r="AT1332" i="13034"/>
  <c r="AI1332" i="13015"/>
  <c r="M2615" i="12908"/>
  <c r="AJ2615" i="13034" s="1"/>
  <c r="K1481" i="12908"/>
  <c r="W1480" i="12908"/>
  <c r="W2615" i="12908"/>
  <c r="AT2615" i="13034" s="1"/>
  <c r="U2616" i="12908"/>
  <c r="K1501" i="12908"/>
  <c r="K2590" i="12908"/>
  <c r="K1539" i="12908"/>
  <c r="AH1539" i="13034" s="1"/>
  <c r="K2315" i="12908"/>
  <c r="AH2315" i="13034" s="1"/>
  <c r="K1902" i="12908"/>
  <c r="K1520" i="12908"/>
  <c r="K2276" i="12908"/>
  <c r="AH2276" i="13034" s="1"/>
  <c r="K1845" i="12908"/>
  <c r="K1834" i="12908"/>
  <c r="K1823" i="12908"/>
  <c r="S2095" i="12908"/>
  <c r="AP2095" i="13034" s="1"/>
  <c r="O2139" i="12908"/>
  <c r="O2095" i="12908"/>
  <c r="K2096" i="12908"/>
  <c r="K2140" i="12908"/>
  <c r="O2002" i="12908"/>
  <c r="U962" i="12908"/>
  <c r="AR962" i="13034" s="1"/>
  <c r="M1890" i="12908"/>
  <c r="O2050" i="12908"/>
  <c r="M541" i="12908"/>
  <c r="AJ541" i="13034" s="1"/>
  <c r="M1146" i="12908"/>
  <c r="O2074" i="12908"/>
  <c r="M1058" i="12908"/>
  <c r="O1058" i="13015"/>
  <c r="AJ1058" i="13015" s="1"/>
  <c r="AE962" i="13015"/>
  <c r="W962" i="13015"/>
  <c r="AI962" i="13015" s="1"/>
  <c r="O986" i="13015"/>
  <c r="O1010" i="13015"/>
  <c r="O1146" i="13015"/>
  <c r="O1890" i="13015"/>
  <c r="O227" i="13015"/>
  <c r="AJ227" i="13015" s="1"/>
  <c r="O1034" i="13015"/>
  <c r="O541" i="13015"/>
  <c r="AJ541" i="13015" s="1"/>
  <c r="O1060" i="13015"/>
  <c r="O1036" i="13015"/>
  <c r="W964" i="13015"/>
  <c r="O1148" i="13015"/>
  <c r="AE964" i="13015"/>
  <c r="O988" i="13015"/>
  <c r="O1012" i="13015"/>
  <c r="O543" i="13015"/>
  <c r="O1892" i="13015"/>
  <c r="O229" i="13015"/>
  <c r="AJ229" i="13015" s="1"/>
  <c r="O300" i="13015"/>
  <c r="O372" i="13015"/>
  <c r="O336" i="13015"/>
  <c r="O575" i="13015"/>
  <c r="O472" i="13015"/>
  <c r="O404" i="13015"/>
  <c r="W370" i="13015"/>
  <c r="O438" i="13015"/>
  <c r="O506" i="13015"/>
  <c r="U676" i="12908"/>
  <c r="AR676" i="13034" s="1"/>
  <c r="O1081" i="13015"/>
  <c r="W1059" i="13015"/>
  <c r="O1103" i="13015"/>
  <c r="O1125" i="13015"/>
  <c r="O2558" i="12908"/>
  <c r="K2118" i="12908"/>
  <c r="S1985" i="12908"/>
  <c r="AP1985" i="13034" s="1"/>
  <c r="S1983" i="12908"/>
  <c r="AP1983" i="13034" s="1"/>
  <c r="S1984" i="12908"/>
  <c r="AP1984" i="13034" s="1"/>
  <c r="K2076" i="12908"/>
  <c r="AB1395" i="12908"/>
  <c r="S274" i="12908"/>
  <c r="AP274" i="13034" s="1"/>
  <c r="S310" i="12908"/>
  <c r="AP310" i="13034" s="1"/>
  <c r="S1076" i="12908"/>
  <c r="AP1076" i="13034" s="1"/>
  <c r="S618" i="12908"/>
  <c r="AP618" i="13034" s="1"/>
  <c r="S346" i="12908"/>
  <c r="AP346" i="13034" s="1"/>
  <c r="M1814" i="12908"/>
  <c r="AJ1814" i="13034" s="1"/>
  <c r="AB1620" i="12908"/>
  <c r="O1395" i="12908"/>
  <c r="AL1395" i="13034" s="1"/>
  <c r="S238" i="12908"/>
  <c r="AP238" i="13034" s="1"/>
  <c r="S1120" i="12908"/>
  <c r="AP1120" i="13034" s="1"/>
  <c r="S552" i="12908"/>
  <c r="AP552" i="13034" s="1"/>
  <c r="S2557" i="12908"/>
  <c r="AP2557" i="13034" s="1"/>
  <c r="K2560" i="12908"/>
  <c r="AH2560" i="13034" s="1"/>
  <c r="W2616" i="12908"/>
  <c r="AT2616" i="13034" s="1"/>
  <c r="M1811" i="12908"/>
  <c r="AJ1811" i="13034" s="1"/>
  <c r="M1843" i="12908"/>
  <c r="M1832" i="12908"/>
  <c r="M1821" i="12908"/>
  <c r="O1949" i="12908"/>
  <c r="O472" i="12908"/>
  <c r="W370" i="12908"/>
  <c r="AT370" i="13034" s="1"/>
  <c r="O438" i="12908"/>
  <c r="O404" i="12908"/>
  <c r="O506" i="12908"/>
  <c r="S2561" i="12908"/>
  <c r="AP2561" i="13034" s="1"/>
  <c r="K2564" i="12908"/>
  <c r="AH2564" i="13034" s="1"/>
  <c r="M1519" i="12908"/>
  <c r="M1500" i="12908"/>
  <c r="M1538" i="12908"/>
  <c r="M1901" i="12908"/>
  <c r="M2275" i="12908"/>
  <c r="W542" i="12908"/>
  <c r="AT542" i="13034" s="1"/>
  <c r="O575" i="12908"/>
  <c r="O641" i="12908"/>
  <c r="O608" i="12908"/>
  <c r="K2346" i="12908"/>
  <c r="K2450" i="12908"/>
  <c r="S2242" i="12908"/>
  <c r="AP2242" i="13034" s="1"/>
  <c r="M2242" i="12908"/>
  <c r="AJ2242" i="13034" s="1"/>
  <c r="S56" i="12993"/>
  <c r="U56" i="12993" s="1"/>
  <c r="W56" i="12993" s="1"/>
  <c r="S41" i="12993"/>
  <c r="U41" i="12993" s="1"/>
  <c r="W41" i="12993" s="1"/>
  <c r="S49" i="12993"/>
  <c r="U49" i="12993" s="1"/>
  <c r="W49" i="12993" s="1"/>
  <c r="S37" i="12993"/>
  <c r="U37" i="12993" s="1"/>
  <c r="W37" i="12993" s="1"/>
  <c r="S25" i="12993"/>
  <c r="U25" i="12993" s="1"/>
  <c r="W25" i="12993" s="1"/>
  <c r="S43" i="12993"/>
  <c r="U43" i="12993" s="1"/>
  <c r="W43" i="12993" s="1"/>
  <c r="S17" i="12993"/>
  <c r="U17" i="12993" s="1"/>
  <c r="W17" i="12993" s="1"/>
  <c r="S46" i="12993"/>
  <c r="U46" i="12993" s="1"/>
  <c r="W46" i="12993" s="1"/>
  <c r="S51" i="12993"/>
  <c r="U51" i="12993" s="1"/>
  <c r="W51" i="12993" s="1"/>
  <c r="S45" i="12993"/>
  <c r="U45" i="12993" s="1"/>
  <c r="W45" i="12993" s="1"/>
  <c r="S19" i="12993"/>
  <c r="U19" i="12993" s="1"/>
  <c r="W19" i="12993" s="1"/>
  <c r="S47" i="12993"/>
  <c r="U47" i="12993" s="1"/>
  <c r="W47" i="12993" s="1"/>
  <c r="S13" i="12993"/>
  <c r="U13" i="12993" s="1"/>
  <c r="W13" i="12993" s="1"/>
  <c r="S21" i="12993"/>
  <c r="U21" i="12993" s="1"/>
  <c r="W21" i="12993" s="1"/>
  <c r="S54" i="12993"/>
  <c r="U54" i="12993" s="1"/>
  <c r="W54" i="12993" s="1"/>
  <c r="S59" i="12993"/>
  <c r="U59" i="12993" s="1"/>
  <c r="W59" i="12993" s="1"/>
  <c r="S57" i="12993"/>
  <c r="U57" i="12993" s="1"/>
  <c r="W57" i="12993" s="1"/>
  <c r="S26" i="12993"/>
  <c r="U26" i="12993" s="1"/>
  <c r="W26" i="12993" s="1"/>
  <c r="S52" i="12993"/>
  <c r="U52" i="12993" s="1"/>
  <c r="W52" i="12993" s="1"/>
  <c r="S29" i="12993"/>
  <c r="U29" i="12993" s="1"/>
  <c r="W29" i="12993" s="1"/>
  <c r="S42" i="12993"/>
  <c r="U42" i="12993" s="1"/>
  <c r="W42" i="12993" s="1"/>
  <c r="S33" i="12993"/>
  <c r="U33" i="12993" s="1"/>
  <c r="W33" i="12993" s="1"/>
  <c r="S34" i="12993"/>
  <c r="U34" i="12993" s="1"/>
  <c r="W34" i="12993" s="1"/>
  <c r="S27" i="12993"/>
  <c r="U27" i="12993" s="1"/>
  <c r="W27" i="12993" s="1"/>
  <c r="S22" i="12993"/>
  <c r="U22" i="12993" s="1"/>
  <c r="W22" i="12993" s="1"/>
  <c r="S11" i="12993"/>
  <c r="U11" i="12993" s="1"/>
  <c r="W11" i="12993" s="1"/>
  <c r="S23" i="12993"/>
  <c r="U23" i="12993" s="1"/>
  <c r="W23" i="12993" s="1"/>
  <c r="S53" i="12993"/>
  <c r="U53" i="12993" s="1"/>
  <c r="W53" i="12993" s="1"/>
  <c r="S44" i="12993"/>
  <c r="U44" i="12993" s="1"/>
  <c r="W44" i="12993" s="1"/>
  <c r="S36" i="12993"/>
  <c r="U36" i="12993" s="1"/>
  <c r="W36" i="12993" s="1"/>
  <c r="S39" i="12993"/>
  <c r="U39" i="12993" s="1"/>
  <c r="W39" i="12993" s="1"/>
  <c r="S32" i="12993"/>
  <c r="U32" i="12993" s="1"/>
  <c r="W32" i="12993" s="1"/>
  <c r="S16" i="12993"/>
  <c r="U16" i="12993" s="1"/>
  <c r="W16" i="12993" s="1"/>
  <c r="S38" i="12993"/>
  <c r="U38" i="12993" s="1"/>
  <c r="W38" i="12993" s="1"/>
  <c r="S28" i="12993"/>
  <c r="U28" i="12993" s="1"/>
  <c r="W28" i="12993" s="1"/>
  <c r="S18" i="12993"/>
  <c r="U18" i="12993" s="1"/>
  <c r="W18" i="12993" s="1"/>
  <c r="S12" i="12993"/>
  <c r="U12" i="12993" s="1"/>
  <c r="W12" i="12993" s="1"/>
  <c r="S55" i="12993"/>
  <c r="U55" i="12993" s="1"/>
  <c r="W55" i="12993" s="1"/>
  <c r="S48" i="12993"/>
  <c r="U48" i="12993" s="1"/>
  <c r="W48" i="12993" s="1"/>
  <c r="S35" i="12993"/>
  <c r="U35" i="12993" s="1"/>
  <c r="W35" i="12993" s="1"/>
  <c r="S24" i="12993"/>
  <c r="U24" i="12993" s="1"/>
  <c r="W24" i="12993" s="1"/>
  <c r="S15" i="12993"/>
  <c r="U15" i="12993" s="1"/>
  <c r="W15" i="12993" s="1"/>
  <c r="S58" i="12993"/>
  <c r="U58" i="12993" s="1"/>
  <c r="W58" i="12993" s="1"/>
  <c r="S31" i="12993"/>
  <c r="U31" i="12993" s="1"/>
  <c r="W31" i="12993" s="1"/>
  <c r="S14" i="12993"/>
  <c r="U14" i="12993" s="1"/>
  <c r="W14" i="12993" s="1"/>
  <c r="U2619" i="12908"/>
  <c r="AR2619" i="13034" s="1"/>
  <c r="U963" i="12908"/>
  <c r="AR963" i="13034" s="1"/>
  <c r="M1011" i="12908"/>
  <c r="M1891" i="12908"/>
  <c r="M987" i="12908"/>
  <c r="M1035" i="12908"/>
  <c r="M542" i="12908"/>
  <c r="AJ542" i="13034" s="1"/>
  <c r="M1147" i="12908"/>
  <c r="M228" i="12908"/>
  <c r="AJ228" i="13034" s="1"/>
  <c r="M1059" i="12908"/>
  <c r="AJ1059" i="13034" s="1"/>
  <c r="M1480" i="12908"/>
  <c r="AJ1480" i="13034" s="1"/>
  <c r="O1871" i="12908"/>
  <c r="O1863" i="12908"/>
  <c r="O1879" i="12908"/>
  <c r="W2655" i="12908"/>
  <c r="M574" i="12908"/>
  <c r="K2029" i="12908"/>
  <c r="K2077" i="12908"/>
  <c r="AH2077" i="13034" s="1"/>
  <c r="O1981" i="12908"/>
  <c r="O1080" i="12908"/>
  <c r="W1058" i="12908"/>
  <c r="AT1058" i="13034" s="1"/>
  <c r="O1102" i="12908"/>
  <c r="O1124" i="12908"/>
  <c r="W228" i="12908"/>
  <c r="AT228" i="13034" s="1"/>
  <c r="O300" i="12908"/>
  <c r="O372" i="12908"/>
  <c r="AL372" i="13034" s="1"/>
  <c r="O336" i="12908"/>
  <c r="O264" i="12908"/>
  <c r="K406" i="12908"/>
  <c r="S372" i="12908"/>
  <c r="AP372" i="13034" s="1"/>
  <c r="K474" i="12908"/>
  <c r="K440" i="12908"/>
  <c r="K508" i="12908"/>
  <c r="K2238" i="12908"/>
  <c r="AH2238" i="13034" s="1"/>
  <c r="K2241" i="12908"/>
  <c r="AH2241" i="13034" s="1"/>
  <c r="K2443" i="12908"/>
  <c r="K2339" i="12908"/>
  <c r="K2257" i="12908"/>
  <c r="AH2257" i="13034" s="1"/>
  <c r="M2235" i="12908"/>
  <c r="AJ2235" i="13034" s="1"/>
  <c r="S2235" i="12908"/>
  <c r="AP2235" i="13034" s="1"/>
  <c r="K1951" i="12908"/>
  <c r="AH1951" i="13034" s="1"/>
  <c r="U2558" i="12908"/>
  <c r="AR2558" i="13034" s="1"/>
  <c r="M2561" i="12908"/>
  <c r="O2161" i="12908"/>
  <c r="AL2161" i="13034" s="1"/>
  <c r="K1634" i="12908"/>
  <c r="K1652" i="12908"/>
  <c r="U2620" i="12908"/>
  <c r="AR2620" i="13034" s="1"/>
  <c r="O2027" i="12908"/>
  <c r="O2003" i="12908"/>
  <c r="O2051" i="12908"/>
  <c r="O2075" i="12908"/>
  <c r="AL2075" i="13034" s="1"/>
  <c r="W2664" i="12908"/>
  <c r="O1396" i="12908"/>
  <c r="AL1396" i="13034" s="1"/>
  <c r="M263" i="12908"/>
  <c r="M335" i="12908"/>
  <c r="M299" i="12908"/>
  <c r="U227" i="12908"/>
  <c r="AR227" i="13034" s="1"/>
  <c r="M371" i="12908"/>
  <c r="AJ371" i="13034" s="1"/>
  <c r="W1609" i="12908"/>
  <c r="AT1609" i="13034" s="1"/>
  <c r="S2655" i="12908"/>
  <c r="K507" i="12908"/>
  <c r="K439" i="12908"/>
  <c r="S371" i="12908"/>
  <c r="AP371" i="13034" s="1"/>
  <c r="K405" i="12908"/>
  <c r="K473" i="12908"/>
  <c r="O607" i="12908"/>
  <c r="W541" i="12908"/>
  <c r="AT541" i="13034" s="1"/>
  <c r="O640" i="12908"/>
  <c r="O574" i="12908"/>
  <c r="S2239" i="12908"/>
  <c r="AP2239" i="13034" s="1"/>
  <c r="K2343" i="12908"/>
  <c r="K2447" i="12908"/>
  <c r="M2239" i="12908"/>
  <c r="AJ2239" i="13034" s="1"/>
  <c r="U2236" i="12908"/>
  <c r="AR2236" i="13034" s="1"/>
  <c r="M2340" i="12908"/>
  <c r="M2444" i="12908"/>
  <c r="U370" i="12908"/>
  <c r="AR370" i="13034" s="1"/>
  <c r="M438" i="12908"/>
  <c r="M404" i="12908"/>
  <c r="M472" i="12908"/>
  <c r="M506" i="12908"/>
  <c r="S373" i="12908"/>
  <c r="AP373" i="13034" s="1"/>
  <c r="K407" i="12908"/>
  <c r="K441" i="12908"/>
  <c r="K475" i="12908"/>
  <c r="K509" i="12908"/>
  <c r="K2184" i="12908"/>
  <c r="K2207" i="12908"/>
  <c r="S2161" i="12908"/>
  <c r="AP2161" i="13034" s="1"/>
  <c r="M1948" i="12908"/>
  <c r="M1401" i="12908"/>
  <c r="M1441" i="12908"/>
  <c r="M1421" i="12908"/>
  <c r="M2557" i="12908"/>
  <c r="M1461" i="12908"/>
  <c r="M2300" i="12908"/>
  <c r="AJ2300" i="13034" s="1"/>
  <c r="S2300" i="12908"/>
  <c r="AP2300" i="13034" s="1"/>
  <c r="K2508" i="12908"/>
  <c r="K2404" i="12908"/>
  <c r="M2405" i="12908"/>
  <c r="M2509" i="12908"/>
  <c r="U2301" i="12908"/>
  <c r="AR2301" i="13034" s="1"/>
  <c r="K676" i="12908"/>
  <c r="AH676" i="13034" s="1"/>
  <c r="W2074" i="12908"/>
  <c r="AT2074" i="13034" s="1"/>
  <c r="O1952" i="12908"/>
  <c r="K2119" i="12908"/>
  <c r="S2075" i="12908"/>
  <c r="AP2075" i="13034" s="1"/>
  <c r="K2141" i="12908"/>
  <c r="K2097" i="12908"/>
  <c r="AH2097" i="13034" s="1"/>
  <c r="O1810" i="12908"/>
  <c r="M1423" i="12908"/>
  <c r="M1443" i="12908"/>
  <c r="M1463" i="12908"/>
  <c r="M1403" i="12908"/>
  <c r="M2302" i="12908"/>
  <c r="AJ2302" i="13034" s="1"/>
  <c r="M1383" i="12908"/>
  <c r="AJ1383" i="13034" s="1"/>
  <c r="M1384" i="12908"/>
  <c r="AJ1384" i="13034" s="1"/>
  <c r="M1958" i="12908"/>
  <c r="AJ1958" i="13034" s="1"/>
  <c r="M1382" i="12908"/>
  <c r="AJ1382" i="13034" s="1"/>
  <c r="O1381" i="12908"/>
  <c r="M1102" i="12908"/>
  <c r="K1610" i="12908"/>
  <c r="AH1610" i="13034" s="1"/>
  <c r="K1627" i="12908"/>
  <c r="K2483" i="12908"/>
  <c r="K2379" i="12908"/>
  <c r="S2275" i="12908"/>
  <c r="AP2275" i="13034" s="1"/>
  <c r="K2545" i="12908"/>
  <c r="AH2545" i="13034" s="1"/>
  <c r="K1560" i="12908"/>
  <c r="K1582" i="12908"/>
  <c r="S2664" i="12908"/>
  <c r="O299" i="12908"/>
  <c r="O335" i="12908"/>
  <c r="W227" i="12908"/>
  <c r="AT227" i="13034" s="1"/>
  <c r="O263" i="12908"/>
  <c r="O371" i="12908"/>
  <c r="AL371" i="13034" s="1"/>
  <c r="AE964" i="12908"/>
  <c r="O1892" i="12908"/>
  <c r="W964" i="12908"/>
  <c r="O1148" i="12908"/>
  <c r="O1036" i="12908"/>
  <c r="O1060" i="12908"/>
  <c r="AL1060" i="13034" s="1"/>
  <c r="O988" i="12908"/>
  <c r="O543" i="12908"/>
  <c r="AL543" i="13034" s="1"/>
  <c r="O229" i="12908"/>
  <c r="AL229" i="13034" s="1"/>
  <c r="O1012" i="12908"/>
  <c r="M964" i="12908"/>
  <c r="AJ964" i="13034" s="1"/>
  <c r="O1103" i="12908"/>
  <c r="O1081" i="12908"/>
  <c r="O1125" i="12908"/>
  <c r="W1059" i="12908"/>
  <c r="AT1059" i="13034" s="1"/>
  <c r="K2466" i="12908"/>
  <c r="S2258" i="12908"/>
  <c r="AP2258" i="13034" s="1"/>
  <c r="K2264" i="12908"/>
  <c r="AH2264" i="13034" s="1"/>
  <c r="K2261" i="12908"/>
  <c r="AH2261" i="13034" s="1"/>
  <c r="M2258" i="12908"/>
  <c r="AJ2258" i="13034" s="1"/>
  <c r="K2362" i="12908"/>
  <c r="W988" i="12908" l="1"/>
  <c r="AL988" i="13034"/>
  <c r="W263" i="12908"/>
  <c r="AT263" i="13034" s="1"/>
  <c r="AL263" i="13034"/>
  <c r="S2667" i="12908"/>
  <c r="AP2667" i="13034" s="1"/>
  <c r="AP2664" i="13034"/>
  <c r="O1810" i="13015"/>
  <c r="AJ1810" i="13015" s="1"/>
  <c r="AL1810" i="13034"/>
  <c r="S2119" i="12908"/>
  <c r="AP2119" i="13034" s="1"/>
  <c r="AH2119" i="13034"/>
  <c r="S2508" i="12908"/>
  <c r="AP2508" i="13034" s="1"/>
  <c r="AH2508" i="13034"/>
  <c r="M1951" i="12908"/>
  <c r="AJ1951" i="13034" s="1"/>
  <c r="AJ1948" i="13034"/>
  <c r="S509" i="12908"/>
  <c r="AP509" i="13034" s="1"/>
  <c r="AH509" i="13034"/>
  <c r="U438" i="12908"/>
  <c r="AR438" i="13034" s="1"/>
  <c r="AJ438" i="13034"/>
  <c r="U263" i="12908"/>
  <c r="AR263" i="13034" s="1"/>
  <c r="AJ263" i="13034"/>
  <c r="W2051" i="12908"/>
  <c r="AT2051" i="13034" s="1"/>
  <c r="AL2051" i="13034"/>
  <c r="O2561" i="12908"/>
  <c r="AJ2561" i="13034"/>
  <c r="W336" i="12908"/>
  <c r="AT336" i="13034" s="1"/>
  <c r="AL336" i="13034"/>
  <c r="O1981" i="13015"/>
  <c r="AJ1981" i="13015" s="1"/>
  <c r="AL1981" i="13034"/>
  <c r="U574" i="12908"/>
  <c r="AR574" i="13034" s="1"/>
  <c r="AJ574" i="13034"/>
  <c r="W1871" i="12908"/>
  <c r="AL1871" i="13034"/>
  <c r="U987" i="12908"/>
  <c r="AR987" i="13034" s="1"/>
  <c r="AJ987" i="13034"/>
  <c r="S2450" i="12908"/>
  <c r="AP2450" i="13034" s="1"/>
  <c r="AH2450" i="13034"/>
  <c r="U1538" i="12908"/>
  <c r="AR1538" i="13034" s="1"/>
  <c r="AJ1538" i="13034"/>
  <c r="U1832" i="12908"/>
  <c r="AR1832" i="13034" s="1"/>
  <c r="AJ1832" i="13034"/>
  <c r="K2120" i="12908"/>
  <c r="AH2076" i="13034"/>
  <c r="AI1059" i="13015"/>
  <c r="W575" i="13015"/>
  <c r="AI575" i="13015" s="1"/>
  <c r="AJ575" i="13015"/>
  <c r="W336" i="13015"/>
  <c r="AJ336" i="13015"/>
  <c r="W300" i="13015"/>
  <c r="AJ300" i="13015"/>
  <c r="W1012" i="13015"/>
  <c r="AJ1012" i="13015"/>
  <c r="W1034" i="13015"/>
  <c r="AI1034" i="13015" s="1"/>
  <c r="AJ1034" i="13015"/>
  <c r="W1010" i="13015"/>
  <c r="AI1010" i="13015" s="1"/>
  <c r="AJ1010" i="13015"/>
  <c r="W2139" i="12908"/>
  <c r="AT2139" i="13034" s="1"/>
  <c r="AL2139" i="13034"/>
  <c r="AH1481" i="13034"/>
  <c r="K1954" i="12908"/>
  <c r="AH1954" i="13034" s="1"/>
  <c r="W1035" i="13015"/>
  <c r="AI1035" i="13015" s="1"/>
  <c r="AJ1035" i="13015"/>
  <c r="S1416" i="12908"/>
  <c r="AP1416" i="13034" s="1"/>
  <c r="AP1401" i="13034"/>
  <c r="U1010" i="12908"/>
  <c r="AR1010" i="13034" s="1"/>
  <c r="AJ1010" i="13034"/>
  <c r="U639" i="12908"/>
  <c r="AR639" i="13034" s="1"/>
  <c r="AJ639" i="13034"/>
  <c r="K1482" i="12908"/>
  <c r="AP1482" i="13034"/>
  <c r="W1012" i="12908"/>
  <c r="AL1012" i="13034"/>
  <c r="S2379" i="12908"/>
  <c r="AP2379" i="13034" s="1"/>
  <c r="AH2379" i="13034"/>
  <c r="U1463" i="12908"/>
  <c r="AR1463" i="13034" s="1"/>
  <c r="AJ1463" i="13034"/>
  <c r="AL1952" i="13034"/>
  <c r="O1952" i="13015"/>
  <c r="AJ1952" i="13015" s="1"/>
  <c r="U1421" i="12908"/>
  <c r="AR1421" i="13034" s="1"/>
  <c r="AJ1421" i="13034"/>
  <c r="S475" i="12908"/>
  <c r="AP475" i="13034" s="1"/>
  <c r="AH475" i="13034"/>
  <c r="W574" i="12908"/>
  <c r="AT574" i="13034" s="1"/>
  <c r="AL574" i="13034"/>
  <c r="S473" i="12908"/>
  <c r="AP473" i="13034" s="1"/>
  <c r="AH473" i="13034"/>
  <c r="S507" i="12908"/>
  <c r="AP507" i="13034" s="1"/>
  <c r="AH507" i="13034"/>
  <c r="W2003" i="12908"/>
  <c r="AT2003" i="13034" s="1"/>
  <c r="AL2003" i="13034"/>
  <c r="U1147" i="12908"/>
  <c r="AR1147" i="13034" s="1"/>
  <c r="AJ1147" i="13034"/>
  <c r="U1891" i="12908"/>
  <c r="AR1891" i="13034" s="1"/>
  <c r="AJ1891" i="13034"/>
  <c r="S2346" i="12908"/>
  <c r="AP2346" i="13034" s="1"/>
  <c r="AH2346" i="13034"/>
  <c r="U1500" i="12908"/>
  <c r="AR1500" i="13034" s="1"/>
  <c r="AJ1500" i="13034"/>
  <c r="W506" i="12908"/>
  <c r="AT506" i="13034" s="1"/>
  <c r="AL506" i="13034"/>
  <c r="W472" i="12908"/>
  <c r="AT472" i="13034" s="1"/>
  <c r="AL472" i="13034"/>
  <c r="U1843" i="12908"/>
  <c r="AR1843" i="13034" s="1"/>
  <c r="AJ1843" i="13034"/>
  <c r="S1142" i="12908"/>
  <c r="AP1142" i="13034" s="1"/>
  <c r="K2028" i="12908"/>
  <c r="AI370" i="13015"/>
  <c r="O641" i="13015"/>
  <c r="U1058" i="12908"/>
  <c r="AR1058" i="13034" s="1"/>
  <c r="AJ1058" i="13034"/>
  <c r="S2140" i="12908"/>
  <c r="AP2140" i="13034" s="1"/>
  <c r="AH2140" i="13034"/>
  <c r="AI573" i="13015"/>
  <c r="S1875" i="12908"/>
  <c r="AP1875" i="13034" s="1"/>
  <c r="AP1871" i="13034"/>
  <c r="S2362" i="12908"/>
  <c r="AP2362" i="13034" s="1"/>
  <c r="AH2362" i="13034"/>
  <c r="W1081" i="12908"/>
  <c r="AT1081" i="13034" s="1"/>
  <c r="AL1081" i="13034"/>
  <c r="W1036" i="12908"/>
  <c r="AL1036" i="13034"/>
  <c r="W335" i="12908"/>
  <c r="AT335" i="13034" s="1"/>
  <c r="AL335" i="13034"/>
  <c r="S1560" i="12908"/>
  <c r="AP1560" i="13034" s="1"/>
  <c r="AH1560" i="13034"/>
  <c r="S2483" i="12908"/>
  <c r="AP2483" i="13034" s="1"/>
  <c r="AH2483" i="13034"/>
  <c r="O1381" i="13015"/>
  <c r="AL1381" i="13034"/>
  <c r="U1443" i="12908"/>
  <c r="AR1443" i="13034" s="1"/>
  <c r="AJ1443" i="13034"/>
  <c r="S2141" i="12908"/>
  <c r="AP2141" i="13034" s="1"/>
  <c r="AH2141" i="13034"/>
  <c r="U2405" i="12908"/>
  <c r="AR2405" i="13034" s="1"/>
  <c r="AJ2405" i="13034"/>
  <c r="U1441" i="12908"/>
  <c r="AR1441" i="13034" s="1"/>
  <c r="AJ1441" i="13034"/>
  <c r="S2207" i="12908"/>
  <c r="AP2207" i="13034" s="1"/>
  <c r="AH2207" i="13034"/>
  <c r="S441" i="12908"/>
  <c r="AP441" i="13034" s="1"/>
  <c r="AH441" i="13034"/>
  <c r="U472" i="12908"/>
  <c r="AR472" i="13034" s="1"/>
  <c r="AJ472" i="13034"/>
  <c r="U2444" i="12908"/>
  <c r="AR2444" i="13034" s="1"/>
  <c r="AJ2444" i="13034"/>
  <c r="S2447" i="12908"/>
  <c r="AP2447" i="13034" s="1"/>
  <c r="AH2447" i="13034"/>
  <c r="W640" i="12908"/>
  <c r="AT640" i="13034" s="1"/>
  <c r="AL640" i="13034"/>
  <c r="S405" i="12908"/>
  <c r="AP405" i="13034" s="1"/>
  <c r="AH405" i="13034"/>
  <c r="S2658" i="12908"/>
  <c r="AP2658" i="13034" s="1"/>
  <c r="AP2655" i="13034"/>
  <c r="U299" i="12908"/>
  <c r="AR299" i="13034" s="1"/>
  <c r="AJ299" i="13034"/>
  <c r="W2667" i="12908"/>
  <c r="AT2664" i="13034"/>
  <c r="AI2664" i="13015"/>
  <c r="W2027" i="12908"/>
  <c r="AT2027" i="13034" s="1"/>
  <c r="AL2027" i="13034"/>
  <c r="S1634" i="12908"/>
  <c r="AH1634" i="13034"/>
  <c r="S2339" i="12908"/>
  <c r="AP2339" i="13034" s="1"/>
  <c r="AH2339" i="13034"/>
  <c r="S508" i="12908"/>
  <c r="AP508" i="13034" s="1"/>
  <c r="AH508" i="13034"/>
  <c r="S406" i="12908"/>
  <c r="AP406" i="13034" s="1"/>
  <c r="AH406" i="13034"/>
  <c r="W300" i="12908"/>
  <c r="AT300" i="13034" s="1"/>
  <c r="AL300" i="13034"/>
  <c r="K2005" i="12908"/>
  <c r="M607" i="12908"/>
  <c r="W1879" i="12908"/>
  <c r="AL1879" i="13034"/>
  <c r="O2615" i="12908"/>
  <c r="U1011" i="12908"/>
  <c r="AR1011" i="13034" s="1"/>
  <c r="AJ1011" i="13034"/>
  <c r="W608" i="12908"/>
  <c r="AT608" i="13034" s="1"/>
  <c r="AL608" i="13034"/>
  <c r="O2275" i="12908"/>
  <c r="AL2275" i="13034" s="1"/>
  <c r="AJ2275" i="13034"/>
  <c r="U1519" i="12908"/>
  <c r="AR1519" i="13034" s="1"/>
  <c r="AJ1519" i="13034"/>
  <c r="W404" i="12908"/>
  <c r="AT404" i="13034" s="1"/>
  <c r="AL404" i="13034"/>
  <c r="AL1949" i="13034"/>
  <c r="O1949" i="13015"/>
  <c r="AJ1949" i="13015" s="1"/>
  <c r="AC1395" i="12908"/>
  <c r="W1125" i="13015"/>
  <c r="AI1125" i="13015" s="1"/>
  <c r="AJ1125" i="13015"/>
  <c r="W404" i="13015"/>
  <c r="AI404" i="13015" s="1"/>
  <c r="AJ404" i="13015"/>
  <c r="W542" i="13015"/>
  <c r="AI542" i="13015" s="1"/>
  <c r="W228" i="13015"/>
  <c r="AI228" i="13015" s="1"/>
  <c r="W1892" i="13015"/>
  <c r="AJ1892" i="13015"/>
  <c r="AJ1060" i="13015"/>
  <c r="W1890" i="13015"/>
  <c r="AI1890" i="13015" s="1"/>
  <c r="AJ1890" i="13015"/>
  <c r="O2140" i="12908"/>
  <c r="AL2074" i="13034"/>
  <c r="U1890" i="12908"/>
  <c r="AR1890" i="13034" s="1"/>
  <c r="AJ1890" i="13034"/>
  <c r="S2096" i="12908"/>
  <c r="AP2096" i="13034" s="1"/>
  <c r="AH2096" i="13034"/>
  <c r="S1823" i="12908"/>
  <c r="AH1823" i="13034"/>
  <c r="S1520" i="12908"/>
  <c r="AP1520" i="13034" s="1"/>
  <c r="AH1520" i="13034"/>
  <c r="S2590" i="12908"/>
  <c r="AP2590" i="13034" s="1"/>
  <c r="AH2590" i="13034"/>
  <c r="AT1480" i="13034"/>
  <c r="AI1480" i="13015"/>
  <c r="U1481" i="12908"/>
  <c r="AR1481" i="13034" s="1"/>
  <c r="W1374" i="12908"/>
  <c r="U677" i="12908"/>
  <c r="AP677" i="13034"/>
  <c r="AT2662" i="13034"/>
  <c r="AI2662" i="13015"/>
  <c r="U573" i="12908"/>
  <c r="AR573" i="13034" s="1"/>
  <c r="AJ573" i="13034"/>
  <c r="U2662" i="12908"/>
  <c r="AJ2662" i="13034"/>
  <c r="W1147" i="13015"/>
  <c r="AI1147" i="13015" s="1"/>
  <c r="AJ1147" i="13015"/>
  <c r="U1867" i="12908"/>
  <c r="AR1867" i="13034" s="1"/>
  <c r="AR1863" i="13034"/>
  <c r="S1456" i="12908"/>
  <c r="AP1456" i="13034" s="1"/>
  <c r="AP1441" i="13034"/>
  <c r="W987" i="13015"/>
  <c r="AI987" i="13015" s="1"/>
  <c r="AJ987" i="13015"/>
  <c r="S1436" i="12908"/>
  <c r="AP1436" i="13034" s="1"/>
  <c r="AP1421" i="13034"/>
  <c r="AI1123" i="13015"/>
  <c r="AC983" i="12908"/>
  <c r="AT964" i="13034"/>
  <c r="U1403" i="12908"/>
  <c r="AR1403" i="13034" s="1"/>
  <c r="AJ1403" i="13034"/>
  <c r="M2560" i="12908"/>
  <c r="AJ2560" i="13034" s="1"/>
  <c r="AJ2557" i="13034"/>
  <c r="W607" i="12908"/>
  <c r="AT607" i="13034" s="1"/>
  <c r="AL607" i="13034"/>
  <c r="S439" i="12908"/>
  <c r="AP439" i="13034" s="1"/>
  <c r="AH439" i="13034"/>
  <c r="S474" i="12908"/>
  <c r="AP474" i="13034" s="1"/>
  <c r="AH474" i="13034"/>
  <c r="W1124" i="12908"/>
  <c r="AT1124" i="13034" s="1"/>
  <c r="AL1124" i="13034"/>
  <c r="S2029" i="12908"/>
  <c r="AP2029" i="13034" s="1"/>
  <c r="AH2029" i="13034"/>
  <c r="W575" i="12908"/>
  <c r="AT575" i="13034" s="1"/>
  <c r="AL575" i="13034"/>
  <c r="S2118" i="12908"/>
  <c r="AP2118" i="13034" s="1"/>
  <c r="AH2118" i="13034"/>
  <c r="W438" i="13015"/>
  <c r="AJ438" i="13015"/>
  <c r="AI964" i="13015"/>
  <c r="W2002" i="12908"/>
  <c r="AT2002" i="13034" s="1"/>
  <c r="AL2002" i="13034"/>
  <c r="S1845" i="12908"/>
  <c r="AH1845" i="13034"/>
  <c r="U2617" i="12908"/>
  <c r="AR2617" i="13034" s="1"/>
  <c r="AR2616" i="13034"/>
  <c r="U1875" i="12908"/>
  <c r="AR1875" i="13034" s="1"/>
  <c r="AR1871" i="13034"/>
  <c r="K2004" i="12908"/>
  <c r="AH1980" i="13034"/>
  <c r="U1883" i="12908"/>
  <c r="AR1883" i="13034" s="1"/>
  <c r="AR1879" i="13034"/>
  <c r="S1867" i="12908"/>
  <c r="AP1867" i="13034" s="1"/>
  <c r="AP1863" i="13034"/>
  <c r="W1125" i="12908"/>
  <c r="AT1125" i="13034" s="1"/>
  <c r="AL1125" i="13034"/>
  <c r="W1892" i="12908"/>
  <c r="AL1892" i="13034"/>
  <c r="S1582" i="12908"/>
  <c r="AP1582" i="13034" s="1"/>
  <c r="AH1582" i="13034"/>
  <c r="U1102" i="12908"/>
  <c r="AR1102" i="13034" s="1"/>
  <c r="AJ1102" i="13034"/>
  <c r="U2509" i="12908"/>
  <c r="AR2509" i="13034" s="1"/>
  <c r="AJ2509" i="13034"/>
  <c r="U506" i="12908"/>
  <c r="AR506" i="13034" s="1"/>
  <c r="AJ506" i="13034"/>
  <c r="S1652" i="12908"/>
  <c r="AH1652" i="13034"/>
  <c r="W1102" i="12908"/>
  <c r="AT1102" i="13034" s="1"/>
  <c r="AL1102" i="13034"/>
  <c r="M640" i="12908"/>
  <c r="W2658" i="12908"/>
  <c r="AT2655" i="13034"/>
  <c r="AI2655" i="13015"/>
  <c r="S585" i="12908"/>
  <c r="AP585" i="13034" s="1"/>
  <c r="O2558" i="13015"/>
  <c r="AJ2558" i="13015" s="1"/>
  <c r="AL2558" i="13034"/>
  <c r="W1081" i="13015"/>
  <c r="AI1081" i="13015" s="1"/>
  <c r="AJ1081" i="13015"/>
  <c r="AJ372" i="13015"/>
  <c r="W988" i="13015"/>
  <c r="AI988" i="13015" s="1"/>
  <c r="AJ988" i="13015"/>
  <c r="W1036" i="13015"/>
  <c r="AJ1036" i="13015"/>
  <c r="W986" i="13015"/>
  <c r="AI986" i="13015" s="1"/>
  <c r="AJ986" i="13015"/>
  <c r="W2050" i="12908"/>
  <c r="AT2050" i="13034" s="1"/>
  <c r="AL2050" i="13034"/>
  <c r="AT2654" i="13034"/>
  <c r="AI2654" i="13015"/>
  <c r="AR2653" i="13034"/>
  <c r="U2655" i="12908"/>
  <c r="S1883" i="12908"/>
  <c r="AP1883" i="13034" s="1"/>
  <c r="AP1879" i="13034"/>
  <c r="S1476" i="12908"/>
  <c r="AP1476" i="13034" s="1"/>
  <c r="AP1461" i="13034"/>
  <c r="S2466" i="12908"/>
  <c r="AP2466" i="13034" s="1"/>
  <c r="AH2466" i="13034"/>
  <c r="W1103" i="12908"/>
  <c r="AT1103" i="13034" s="1"/>
  <c r="AL1103" i="13034"/>
  <c r="W1148" i="12908"/>
  <c r="AL1148" i="13034"/>
  <c r="W299" i="12908"/>
  <c r="AT299" i="13034" s="1"/>
  <c r="AL299" i="13034"/>
  <c r="S1627" i="12908"/>
  <c r="AP1627" i="13034" s="1"/>
  <c r="AH1627" i="13034"/>
  <c r="U1423" i="12908"/>
  <c r="AR1423" i="13034" s="1"/>
  <c r="AJ1423" i="13034"/>
  <c r="S2404" i="12908"/>
  <c r="AP2404" i="13034" s="1"/>
  <c r="AH2404" i="13034"/>
  <c r="U1461" i="12908"/>
  <c r="AR1461" i="13034" s="1"/>
  <c r="AJ1461" i="13034"/>
  <c r="U1401" i="12908"/>
  <c r="AR1401" i="13034" s="1"/>
  <c r="AJ1401" i="13034"/>
  <c r="S2184" i="12908"/>
  <c r="AP2184" i="13034" s="1"/>
  <c r="AH2184" i="13034"/>
  <c r="S407" i="12908"/>
  <c r="AP407" i="13034" s="1"/>
  <c r="AH407" i="13034"/>
  <c r="U404" i="12908"/>
  <c r="AR404" i="13034" s="1"/>
  <c r="AJ404" i="13034"/>
  <c r="U2340" i="12908"/>
  <c r="AR2340" i="13034" s="1"/>
  <c r="AJ2340" i="13034"/>
  <c r="S2343" i="12908"/>
  <c r="AP2343" i="13034" s="1"/>
  <c r="AH2343" i="13034"/>
  <c r="U335" i="12908"/>
  <c r="AR335" i="13034" s="1"/>
  <c r="AJ335" i="13034"/>
  <c r="U1482" i="12908"/>
  <c r="AR1482" i="13034" s="1"/>
  <c r="S2443" i="12908"/>
  <c r="AP2443" i="13034" s="1"/>
  <c r="AH2443" i="13034"/>
  <c r="S440" i="12908"/>
  <c r="AP440" i="13034" s="1"/>
  <c r="AH440" i="13034"/>
  <c r="W264" i="12908"/>
  <c r="AT264" i="13034" s="1"/>
  <c r="AL264" i="13034"/>
  <c r="W1080" i="12908"/>
  <c r="AT1080" i="13034" s="1"/>
  <c r="AL1080" i="13034"/>
  <c r="K2053" i="12908"/>
  <c r="U541" i="12908"/>
  <c r="AR541" i="13034" s="1"/>
  <c r="W1863" i="12908"/>
  <c r="AL1863" i="13034"/>
  <c r="U1035" i="12908"/>
  <c r="AR1035" i="13034" s="1"/>
  <c r="AJ1035" i="13034"/>
  <c r="W641" i="12908"/>
  <c r="AT641" i="13034" s="1"/>
  <c r="AL641" i="13034"/>
  <c r="U1901" i="12908"/>
  <c r="AR1901" i="13034" s="1"/>
  <c r="AJ1901" i="13034"/>
  <c r="W438" i="12908"/>
  <c r="AT438" i="13034" s="1"/>
  <c r="AL438" i="13034"/>
  <c r="U1821" i="12908"/>
  <c r="AR1821" i="13034" s="1"/>
  <c r="AJ1821" i="13034"/>
  <c r="M2616" i="12908"/>
  <c r="S651" i="12908"/>
  <c r="AP651" i="13034" s="1"/>
  <c r="S1098" i="12908"/>
  <c r="AP1098" i="13034" s="1"/>
  <c r="K2052" i="12908"/>
  <c r="U2618" i="12908"/>
  <c r="W1103" i="13015"/>
  <c r="AI1103" i="13015" s="1"/>
  <c r="AJ1103" i="13015"/>
  <c r="W506" i="13015"/>
  <c r="AI506" i="13015" s="1"/>
  <c r="AJ506" i="13015"/>
  <c r="W472" i="13015"/>
  <c r="AJ472" i="13015"/>
  <c r="O608" i="13015"/>
  <c r="O264" i="13015"/>
  <c r="AJ543" i="13015"/>
  <c r="W1148" i="13015"/>
  <c r="AI1148" i="13015" s="1"/>
  <c r="AJ1148" i="13015"/>
  <c r="W1146" i="13015"/>
  <c r="AI1146" i="13015" s="1"/>
  <c r="AJ1146" i="13015"/>
  <c r="U1146" i="12908"/>
  <c r="AR1146" i="13034" s="1"/>
  <c r="AJ1146" i="13034"/>
  <c r="W2095" i="12908"/>
  <c r="AT2095" i="13034" s="1"/>
  <c r="AL2095" i="13034"/>
  <c r="S1834" i="12908"/>
  <c r="AH1834" i="13034"/>
  <c r="S1902" i="12908"/>
  <c r="AP1902" i="13034" s="1"/>
  <c r="AH1902" i="13034"/>
  <c r="S1501" i="12908"/>
  <c r="AP1501" i="13034" s="1"/>
  <c r="AH1501" i="13034"/>
  <c r="AA1496" i="12908"/>
  <c r="U2663" i="12908"/>
  <c r="AR2663" i="13034" s="1"/>
  <c r="AJ2663" i="13034"/>
  <c r="W1855" i="13015"/>
  <c r="AI1855" i="13015" s="1"/>
  <c r="AJ1855" i="13015"/>
  <c r="M1812" i="12908"/>
  <c r="AJ1812" i="13034" s="1"/>
  <c r="W1011" i="13015"/>
  <c r="AI1011" i="13015" s="1"/>
  <c r="AJ1011" i="13015"/>
  <c r="AT2663" i="13034"/>
  <c r="AI2663" i="13015"/>
  <c r="O2614" i="13015"/>
  <c r="AJ2614" i="13015" s="1"/>
  <c r="AL2614" i="13034"/>
  <c r="AT1374" i="13034"/>
  <c r="AI1374" i="13015"/>
  <c r="S2315" i="12908"/>
  <c r="AP2315" i="13034" s="1"/>
  <c r="K2523" i="12908"/>
  <c r="K2419" i="12908"/>
  <c r="K2484" i="12908"/>
  <c r="K2380" i="12908"/>
  <c r="S2276" i="12908"/>
  <c r="AP2276" i="13034" s="1"/>
  <c r="S1539" i="12908"/>
  <c r="AP1539" i="13034" s="1"/>
  <c r="K1561" i="12908"/>
  <c r="K1583" i="12908"/>
  <c r="K2316" i="12908"/>
  <c r="AH2316" i="13034" s="1"/>
  <c r="K2591" i="12908"/>
  <c r="K1521" i="12908"/>
  <c r="K1540" i="12908"/>
  <c r="AH1540" i="13034" s="1"/>
  <c r="K1903" i="12908"/>
  <c r="K1502" i="12908"/>
  <c r="K2279" i="12908"/>
  <c r="AH2279" i="13034" s="1"/>
  <c r="K2569" i="12908"/>
  <c r="AC1819" i="12908"/>
  <c r="M1813" i="12908"/>
  <c r="AJ1813" i="13034" s="1"/>
  <c r="AB1819" i="12908"/>
  <c r="O2118" i="12908"/>
  <c r="K2162" i="12908"/>
  <c r="AH2162" i="13034" s="1"/>
  <c r="O2096" i="12908"/>
  <c r="M1124" i="12908"/>
  <c r="M1080" i="12908"/>
  <c r="M2618" i="12908"/>
  <c r="W1899" i="13015"/>
  <c r="W676" i="12908"/>
  <c r="U678" i="12908"/>
  <c r="AR678" i="13034" s="1"/>
  <c r="U679" i="12908"/>
  <c r="AR679" i="13034" s="1"/>
  <c r="O1126" i="13015"/>
  <c r="W1060" i="13015"/>
  <c r="O1104" i="13015"/>
  <c r="O1082" i="13015"/>
  <c r="O263" i="13015"/>
  <c r="O371" i="13015"/>
  <c r="AJ371" i="13015" s="1"/>
  <c r="O335" i="13015"/>
  <c r="O299" i="13015"/>
  <c r="W227" i="13015"/>
  <c r="AI227" i="13015" s="1"/>
  <c r="O609" i="13015"/>
  <c r="W543" i="13015"/>
  <c r="O642" i="13015"/>
  <c r="O576" i="13015"/>
  <c r="W1164" i="13015"/>
  <c r="W982" i="13015"/>
  <c r="AI982" i="13015" s="1"/>
  <c r="O2028" i="12908"/>
  <c r="O1980" i="13015"/>
  <c r="AJ1980" i="13015" s="1"/>
  <c r="O607" i="13015"/>
  <c r="O640" i="13015"/>
  <c r="O574" i="13015"/>
  <c r="W541" i="13015"/>
  <c r="AI541" i="13015" s="1"/>
  <c r="O440" i="13015"/>
  <c r="O474" i="13015"/>
  <c r="O508" i="13015"/>
  <c r="O406" i="13015"/>
  <c r="W372" i="13015"/>
  <c r="AI372" i="13015" s="1"/>
  <c r="O337" i="13015"/>
  <c r="O301" i="13015"/>
  <c r="W229" i="13015"/>
  <c r="O373" i="13015"/>
  <c r="O265" i="13015"/>
  <c r="W1006" i="13015"/>
  <c r="O1080" i="13015"/>
  <c r="W1058" i="13015"/>
  <c r="AI1058" i="13015" s="1"/>
  <c r="O1124" i="13015"/>
  <c r="O1102" i="13015"/>
  <c r="W2558" i="12908"/>
  <c r="AT2558" i="13034" s="1"/>
  <c r="O2560" i="12908"/>
  <c r="O2557" i="12908"/>
  <c r="M2545" i="12908"/>
  <c r="U1982" i="12908"/>
  <c r="AR1982" i="13034" s="1"/>
  <c r="K1982" i="12908"/>
  <c r="AH1982" i="13034" s="1"/>
  <c r="O2076" i="12908"/>
  <c r="O2052" i="12908"/>
  <c r="O2004" i="12908"/>
  <c r="S2076" i="12908"/>
  <c r="AP2076" i="13034" s="1"/>
  <c r="U1984" i="12908"/>
  <c r="K2098" i="12908"/>
  <c r="K2142" i="12908"/>
  <c r="AD1395" i="12908"/>
  <c r="M1483" i="12908"/>
  <c r="S416" i="12908"/>
  <c r="AP416" i="13034" s="1"/>
  <c r="AB2624" i="12908"/>
  <c r="S382" i="12908"/>
  <c r="AP382" i="13034" s="1"/>
  <c r="S450" i="12908"/>
  <c r="AP450" i="13034" s="1"/>
  <c r="W229" i="12908"/>
  <c r="O301" i="12908"/>
  <c r="O337" i="12908"/>
  <c r="O265" i="12908"/>
  <c r="O373" i="12908"/>
  <c r="AL373" i="13034" s="1"/>
  <c r="S2261" i="12908"/>
  <c r="AP2261" i="13034" s="1"/>
  <c r="K2469" i="12908"/>
  <c r="K2365" i="12908"/>
  <c r="M2261" i="12908"/>
  <c r="AJ2261" i="13034" s="1"/>
  <c r="U964" i="12908"/>
  <c r="M1148" i="12908"/>
  <c r="M1892" i="12908"/>
  <c r="M988" i="12908"/>
  <c r="M1012" i="12908"/>
  <c r="M543" i="12908"/>
  <c r="AJ543" i="13034" s="1"/>
  <c r="M1060" i="12908"/>
  <c r="AJ1060" i="13034" s="1"/>
  <c r="M229" i="12908"/>
  <c r="AJ229" i="13034" s="1"/>
  <c r="M1036" i="12908"/>
  <c r="W2275" i="12908"/>
  <c r="AT2275" i="13034" s="1"/>
  <c r="O2379" i="12908"/>
  <c r="O2483" i="12908"/>
  <c r="O1443" i="12908"/>
  <c r="O1403" i="12908"/>
  <c r="O1463" i="12908"/>
  <c r="O1423" i="12908"/>
  <c r="O2302" i="12908"/>
  <c r="AL2302" i="13034" s="1"/>
  <c r="M1405" i="12908"/>
  <c r="M1445" i="12908"/>
  <c r="M1465" i="12908"/>
  <c r="M1425" i="12908"/>
  <c r="O1383" i="12908"/>
  <c r="M2304" i="12908"/>
  <c r="AJ2304" i="13034" s="1"/>
  <c r="K2164" i="12908"/>
  <c r="AH2164" i="13034" s="1"/>
  <c r="S2097" i="12908"/>
  <c r="AP2097" i="13034" s="1"/>
  <c r="U1486" i="12908"/>
  <c r="K739" i="12908"/>
  <c r="K718" i="12908"/>
  <c r="K697" i="12908"/>
  <c r="K760" i="12908"/>
  <c r="AH760" i="13034" s="1"/>
  <c r="K836" i="12908"/>
  <c r="AH836" i="13034" s="1"/>
  <c r="K244" i="12908"/>
  <c r="AH244" i="13034" s="1"/>
  <c r="M676" i="12908"/>
  <c r="AJ676" i="13034" s="1"/>
  <c r="K892" i="12908"/>
  <c r="AH892" i="13034" s="1"/>
  <c r="U2557" i="12908"/>
  <c r="AR2557" i="13034" s="1"/>
  <c r="W2560" i="12908"/>
  <c r="AT2560" i="13034" s="1"/>
  <c r="U2239" i="12908"/>
  <c r="AR2239" i="13034" s="1"/>
  <c r="M2447" i="12908"/>
  <c r="M2343" i="12908"/>
  <c r="O1609" i="12908"/>
  <c r="AC1620" i="12908"/>
  <c r="AD1620" i="12908" s="1"/>
  <c r="K677" i="12908"/>
  <c r="AH677" i="13034" s="1"/>
  <c r="AA691" i="12908"/>
  <c r="O1951" i="12908"/>
  <c r="W372" i="12908"/>
  <c r="AT372" i="13034" s="1"/>
  <c r="O508" i="12908"/>
  <c r="O406" i="12908"/>
  <c r="O440" i="12908"/>
  <c r="O474" i="12908"/>
  <c r="O2053" i="12908"/>
  <c r="O2005" i="12908"/>
  <c r="O2029" i="12908"/>
  <c r="O2077" i="12908"/>
  <c r="AL2077" i="13034" s="1"/>
  <c r="U542" i="12908"/>
  <c r="AR542" i="13034" s="1"/>
  <c r="M641" i="12908"/>
  <c r="M575" i="12908"/>
  <c r="M608" i="12908"/>
  <c r="U1983" i="12908"/>
  <c r="W2619" i="12908"/>
  <c r="AT2619" i="13034" s="1"/>
  <c r="M2619" i="12908"/>
  <c r="S2162" i="12908"/>
  <c r="AP2162" i="13034" s="1"/>
  <c r="S2564" i="12908"/>
  <c r="AP2564" i="13034" s="1"/>
  <c r="K2567" i="12908"/>
  <c r="AH2567" i="13034" s="1"/>
  <c r="S2560" i="12908"/>
  <c r="AP2560" i="13034" s="1"/>
  <c r="K2563" i="12908"/>
  <c r="AH2563" i="13034" s="1"/>
  <c r="S2264" i="12908"/>
  <c r="AP2264" i="13034" s="1"/>
  <c r="K2368" i="12908"/>
  <c r="K2472" i="12908"/>
  <c r="M2264" i="12908"/>
  <c r="AJ2264" i="13034" s="1"/>
  <c r="M1404" i="12908"/>
  <c r="M1444" i="12908"/>
  <c r="M2303" i="12908"/>
  <c r="AJ2303" i="13034" s="1"/>
  <c r="M1464" i="12908"/>
  <c r="M1424" i="12908"/>
  <c r="O1382" i="12908"/>
  <c r="U2302" i="12908"/>
  <c r="AR2302" i="13034" s="1"/>
  <c r="M2406" i="12908"/>
  <c r="M2510" i="12908"/>
  <c r="W1481" i="12908"/>
  <c r="M1481" i="12908"/>
  <c r="W2096" i="12908"/>
  <c r="AT2096" i="13034" s="1"/>
  <c r="M1824" i="12908"/>
  <c r="M1846" i="12908"/>
  <c r="M1835" i="12908"/>
  <c r="O1813" i="12908"/>
  <c r="W2075" i="12908"/>
  <c r="AT2075" i="13034" s="1"/>
  <c r="O2141" i="12908"/>
  <c r="O2097" i="12908"/>
  <c r="AL2097" i="13034" s="1"/>
  <c r="O2119" i="12908"/>
  <c r="M2620" i="12908"/>
  <c r="W2620" i="12908"/>
  <c r="AT2620" i="13034" s="1"/>
  <c r="U2561" i="12908"/>
  <c r="AR2561" i="13034" s="1"/>
  <c r="M2564" i="12908"/>
  <c r="S2077" i="12908"/>
  <c r="AP2077" i="13034" s="1"/>
  <c r="K2121" i="12908"/>
  <c r="K2143" i="12908"/>
  <c r="K2099" i="12908"/>
  <c r="AH2099" i="13034" s="1"/>
  <c r="M1125" i="12908"/>
  <c r="U1059" i="12908"/>
  <c r="AR1059" i="13034" s="1"/>
  <c r="M1081" i="12908"/>
  <c r="M1103" i="12908"/>
  <c r="U1985" i="12908"/>
  <c r="M2346" i="12908"/>
  <c r="M2450" i="12908"/>
  <c r="U2242" i="12908"/>
  <c r="AR2242" i="13034" s="1"/>
  <c r="M1582" i="12908"/>
  <c r="M1560" i="12908"/>
  <c r="W2561" i="12908"/>
  <c r="AT2561" i="13034" s="1"/>
  <c r="U1483" i="12908"/>
  <c r="W1060" i="12908"/>
  <c r="O1126" i="12908"/>
  <c r="O1104" i="12908"/>
  <c r="O1082" i="12908"/>
  <c r="K1628" i="12908"/>
  <c r="M1960" i="12908"/>
  <c r="M1963" i="12908"/>
  <c r="M1964" i="12908"/>
  <c r="M1966" i="12908"/>
  <c r="M1959" i="12908"/>
  <c r="M1961" i="12908"/>
  <c r="O1958" i="12908"/>
  <c r="M1965" i="12908"/>
  <c r="O1821" i="12908"/>
  <c r="O1832" i="12908"/>
  <c r="O1843" i="12908"/>
  <c r="M2508" i="12908"/>
  <c r="M2404" i="12908"/>
  <c r="U2300" i="12908"/>
  <c r="AR2300" i="13034" s="1"/>
  <c r="U1484" i="12908"/>
  <c r="U2235" i="12908"/>
  <c r="AR2235" i="13034" s="1"/>
  <c r="M2339" i="12908"/>
  <c r="M2443" i="12908"/>
  <c r="K2449" i="12908"/>
  <c r="S2241" i="12908"/>
  <c r="AP2241" i="13034" s="1"/>
  <c r="K2345" i="12908"/>
  <c r="M2241" i="12908"/>
  <c r="AJ2241" i="13034" s="1"/>
  <c r="M1501" i="12908"/>
  <c r="M1520" i="12908"/>
  <c r="M1902" i="12908"/>
  <c r="M2590" i="12908"/>
  <c r="M1539" i="12908"/>
  <c r="M2315" i="12908"/>
  <c r="AJ2315" i="13034" s="1"/>
  <c r="M2276" i="12908"/>
  <c r="AJ2276" i="13034" s="1"/>
  <c r="M336" i="12908"/>
  <c r="U228" i="12908"/>
  <c r="AR228" i="13034" s="1"/>
  <c r="M264" i="12908"/>
  <c r="M372" i="12908"/>
  <c r="AJ372" i="13034" s="1"/>
  <c r="M300" i="12908"/>
  <c r="M1844" i="12908"/>
  <c r="M1833" i="12908"/>
  <c r="O1811" i="12908"/>
  <c r="M1822" i="12908"/>
  <c r="M1825" i="12908"/>
  <c r="O1814" i="12908"/>
  <c r="M1847" i="12908"/>
  <c r="M1836" i="12908"/>
  <c r="S2545" i="12908"/>
  <c r="AP2545" i="13034" s="1"/>
  <c r="M2362" i="12908"/>
  <c r="U2258" i="12908"/>
  <c r="AR2258" i="13034" s="1"/>
  <c r="M2466" i="12908"/>
  <c r="O609" i="12908"/>
  <c r="W543" i="12908"/>
  <c r="O642" i="12908"/>
  <c r="O576" i="12908"/>
  <c r="W371" i="12908"/>
  <c r="AT371" i="13034" s="1"/>
  <c r="O439" i="12908"/>
  <c r="O405" i="12908"/>
  <c r="O507" i="12908"/>
  <c r="O473" i="12908"/>
  <c r="M1426" i="12908"/>
  <c r="M2305" i="12908"/>
  <c r="AJ2305" i="13034" s="1"/>
  <c r="M1406" i="12908"/>
  <c r="M1466" i="12908"/>
  <c r="M1446" i="12908"/>
  <c r="O1384" i="12908"/>
  <c r="U1485" i="12908"/>
  <c r="M473" i="12908"/>
  <c r="U371" i="12908"/>
  <c r="AR371" i="13034" s="1"/>
  <c r="M405" i="12908"/>
  <c r="M507" i="12908"/>
  <c r="M439" i="12908"/>
  <c r="W1482" i="12908"/>
  <c r="M1482" i="12908"/>
  <c r="AJ1482" i="13034" s="1"/>
  <c r="W2161" i="12908"/>
  <c r="AT2161" i="13034" s="1"/>
  <c r="O2184" i="12908"/>
  <c r="O2207" i="12908"/>
  <c r="O1948" i="12908"/>
  <c r="S2257" i="12908"/>
  <c r="AP2257" i="13034" s="1"/>
  <c r="K2465" i="12908"/>
  <c r="K2361" i="12908"/>
  <c r="M2257" i="12908"/>
  <c r="AJ2257" i="13034" s="1"/>
  <c r="K2260" i="12908"/>
  <c r="AH2260" i="13034" s="1"/>
  <c r="K2263" i="12908"/>
  <c r="AH2263" i="13034" s="1"/>
  <c r="S2238" i="12908"/>
  <c r="AP2238" i="13034" s="1"/>
  <c r="K2446" i="12908"/>
  <c r="K2342" i="12908"/>
  <c r="M2238" i="12908"/>
  <c r="AJ2238" i="13034" s="1"/>
  <c r="W2617" i="12908"/>
  <c r="AT2617" i="13034" s="1"/>
  <c r="M2617" i="12908"/>
  <c r="U2275" i="12908"/>
  <c r="AR2275" i="13034" s="1"/>
  <c r="M2483" i="12908"/>
  <c r="M2379" i="12908"/>
  <c r="S2342" i="12908" l="1"/>
  <c r="AP2342" i="13034" s="1"/>
  <c r="AH2342" i="13034"/>
  <c r="W552" i="12908"/>
  <c r="AT552" i="13034" s="1"/>
  <c r="AT543" i="13034"/>
  <c r="O1814" i="13015"/>
  <c r="AL1814" i="13034"/>
  <c r="U264" i="12908"/>
  <c r="AR264" i="13034" s="1"/>
  <c r="AJ264" i="13034"/>
  <c r="U2508" i="12908"/>
  <c r="AR2508" i="13034" s="1"/>
  <c r="AJ2508" i="13034"/>
  <c r="O1965" i="12908"/>
  <c r="AJ1965" i="13034"/>
  <c r="S1628" i="12908"/>
  <c r="AP1628" i="13034" s="1"/>
  <c r="AH1628" i="13034"/>
  <c r="U1582" i="12908"/>
  <c r="AR1582" i="13034" s="1"/>
  <c r="AJ1582" i="13034"/>
  <c r="U2510" i="12908"/>
  <c r="AR2510" i="13034" s="1"/>
  <c r="AJ2510" i="13034"/>
  <c r="U1424" i="12908"/>
  <c r="AR1424" i="13034" s="1"/>
  <c r="AJ1424" i="13034"/>
  <c r="U575" i="12908"/>
  <c r="AR575" i="13034" s="1"/>
  <c r="AJ575" i="13034"/>
  <c r="AL1951" i="13034"/>
  <c r="O1951" i="13015"/>
  <c r="AJ1951" i="13015" s="1"/>
  <c r="W1423" i="12908"/>
  <c r="AT1423" i="13034" s="1"/>
  <c r="AL1423" i="13034"/>
  <c r="U988" i="12908"/>
  <c r="AJ988" i="13034"/>
  <c r="W2004" i="12908"/>
  <c r="AT2004" i="13034" s="1"/>
  <c r="AL2004" i="13034"/>
  <c r="AJ373" i="13015"/>
  <c r="W440" i="13015"/>
  <c r="AI440" i="13015" s="1"/>
  <c r="AJ440" i="13015"/>
  <c r="W607" i="13015"/>
  <c r="AI607" i="13015" s="1"/>
  <c r="AJ607" i="13015"/>
  <c r="AI1060" i="13015"/>
  <c r="U2658" i="12908"/>
  <c r="AR2658" i="13034" s="1"/>
  <c r="AR2655" i="13034"/>
  <c r="AT2658" i="13034"/>
  <c r="AI2658" i="13015"/>
  <c r="W1883" i="12908"/>
  <c r="AT1883" i="13034" s="1"/>
  <c r="AT1879" i="13034"/>
  <c r="O2617" i="12908"/>
  <c r="AJ2617" i="13034"/>
  <c r="S2446" i="12908"/>
  <c r="AP2446" i="13034" s="1"/>
  <c r="AH2446" i="13034"/>
  <c r="AL1948" i="13034"/>
  <c r="O1948" i="13015"/>
  <c r="U439" i="12908"/>
  <c r="AR439" i="13034" s="1"/>
  <c r="AJ439" i="13034"/>
  <c r="U473" i="12908"/>
  <c r="AR473" i="13034" s="1"/>
  <c r="AJ473" i="13034"/>
  <c r="U1466" i="12908"/>
  <c r="AR1466" i="13034" s="1"/>
  <c r="AJ1466" i="13034"/>
  <c r="W473" i="12908"/>
  <c r="AT473" i="13034" s="1"/>
  <c r="AL473" i="13034"/>
  <c r="W609" i="12908"/>
  <c r="AL609" i="13034"/>
  <c r="U1825" i="12908"/>
  <c r="AR1825" i="13034" s="1"/>
  <c r="AJ1825" i="13034"/>
  <c r="U1844" i="12908"/>
  <c r="AR1844" i="13034" s="1"/>
  <c r="AJ1844" i="13034"/>
  <c r="U1539" i="12908"/>
  <c r="AR1539" i="13034" s="1"/>
  <c r="AJ1539" i="13034"/>
  <c r="U1501" i="12908"/>
  <c r="AR1501" i="13034" s="1"/>
  <c r="AJ1501" i="13034"/>
  <c r="S2449" i="12908"/>
  <c r="AP2449" i="13034" s="1"/>
  <c r="AH2449" i="13034"/>
  <c r="W1484" i="12908"/>
  <c r="AT1484" i="13034" s="1"/>
  <c r="AR1484" i="13034"/>
  <c r="W1843" i="12908"/>
  <c r="AT1843" i="13034" s="1"/>
  <c r="AL1843" i="13034"/>
  <c r="AL1958" i="13034"/>
  <c r="O1958" i="13015"/>
  <c r="O1964" i="12908"/>
  <c r="AJ1964" i="13034"/>
  <c r="W1082" i="12908"/>
  <c r="AL1082" i="13034"/>
  <c r="W1483" i="12908"/>
  <c r="AT1483" i="13034" s="1"/>
  <c r="AR1483" i="13034"/>
  <c r="U1103" i="12908"/>
  <c r="AR1103" i="13034" s="1"/>
  <c r="AJ1103" i="13034"/>
  <c r="O2564" i="12908"/>
  <c r="AJ2564" i="13034"/>
  <c r="W2119" i="12908"/>
  <c r="AT2119" i="13034" s="1"/>
  <c r="AL2119" i="13034"/>
  <c r="O1813" i="13015"/>
  <c r="AJ1813" i="13015" s="1"/>
  <c r="AL1813" i="13034"/>
  <c r="U2406" i="12908"/>
  <c r="AR2406" i="13034" s="1"/>
  <c r="AJ2406" i="13034"/>
  <c r="U1464" i="12908"/>
  <c r="AR1464" i="13034" s="1"/>
  <c r="AJ1464" i="13034"/>
  <c r="K2185" i="12908"/>
  <c r="U641" i="12908"/>
  <c r="AR641" i="13034" s="1"/>
  <c r="AJ641" i="13034"/>
  <c r="W2005" i="12908"/>
  <c r="AT2005" i="13034" s="1"/>
  <c r="AL2005" i="13034"/>
  <c r="W406" i="12908"/>
  <c r="AT406" i="13034" s="1"/>
  <c r="AL406" i="13034"/>
  <c r="U2343" i="12908"/>
  <c r="AR2343" i="13034" s="1"/>
  <c r="AJ2343" i="13034"/>
  <c r="S739" i="12908"/>
  <c r="AP739" i="13034" s="1"/>
  <c r="AH739" i="13034"/>
  <c r="U1445" i="12908"/>
  <c r="AR1445" i="13034" s="1"/>
  <c r="AJ1445" i="13034"/>
  <c r="W1463" i="12908"/>
  <c r="AT1463" i="13034" s="1"/>
  <c r="AL1463" i="13034"/>
  <c r="W2379" i="12908"/>
  <c r="AT2379" i="13034" s="1"/>
  <c r="AL2379" i="13034"/>
  <c r="U1892" i="12908"/>
  <c r="AJ1892" i="13034"/>
  <c r="S2365" i="12908"/>
  <c r="AP2365" i="13034" s="1"/>
  <c r="AH2365" i="13034"/>
  <c r="W265" i="12908"/>
  <c r="AL265" i="13034"/>
  <c r="S2098" i="12908"/>
  <c r="AP2098" i="13034" s="1"/>
  <c r="AH2098" i="13034"/>
  <c r="S484" i="12908"/>
  <c r="AP484" i="13034" s="1"/>
  <c r="W1080" i="13015"/>
  <c r="AI1080" i="13015" s="1"/>
  <c r="AJ1080" i="13015"/>
  <c r="W238" i="13015"/>
  <c r="AI229" i="13015"/>
  <c r="W406" i="13015"/>
  <c r="AI406" i="13015" s="1"/>
  <c r="AJ406" i="13015"/>
  <c r="W576" i="13015"/>
  <c r="AJ576" i="13015"/>
  <c r="W263" i="13015"/>
  <c r="AI263" i="13015" s="1"/>
  <c r="AJ263" i="13015"/>
  <c r="W1126" i="13015"/>
  <c r="AJ1126" i="13015"/>
  <c r="U1124" i="12908"/>
  <c r="AR1124" i="13034" s="1"/>
  <c r="AJ1124" i="13034"/>
  <c r="S1502" i="12908"/>
  <c r="AH1502" i="13034"/>
  <c r="S2591" i="12908"/>
  <c r="AH2591" i="13034"/>
  <c r="AI472" i="13015"/>
  <c r="W1054" i="13015"/>
  <c r="AI1036" i="13015"/>
  <c r="U640" i="12908"/>
  <c r="AR640" i="13034" s="1"/>
  <c r="AJ640" i="13034"/>
  <c r="S1653" i="12908"/>
  <c r="AP1652" i="13034"/>
  <c r="S1851" i="12908"/>
  <c r="AP1845" i="13034"/>
  <c r="W677" i="12908"/>
  <c r="AR677" i="13034"/>
  <c r="W2140" i="12908"/>
  <c r="AT2140" i="13034" s="1"/>
  <c r="AL2140" i="13034"/>
  <c r="U607" i="12908"/>
  <c r="AR607" i="13034" s="1"/>
  <c r="AJ607" i="13034"/>
  <c r="AT2667" i="13034"/>
  <c r="AI2667" i="13015"/>
  <c r="M1381" i="13015"/>
  <c r="AJ1381" i="13015"/>
  <c r="W1054" i="12908"/>
  <c r="AT1054" i="13034" s="1"/>
  <c r="AT1036" i="13034"/>
  <c r="W641" i="13015"/>
  <c r="AI641" i="13015" s="1"/>
  <c r="AJ641" i="13015"/>
  <c r="W1875" i="12908"/>
  <c r="AT1875" i="13034" s="1"/>
  <c r="AT1871" i="13034"/>
  <c r="O2561" i="13015"/>
  <c r="AJ2561" i="13015" s="1"/>
  <c r="AL2561" i="13034"/>
  <c r="U1446" i="12908"/>
  <c r="AR1446" i="13034" s="1"/>
  <c r="AJ1446" i="13034"/>
  <c r="W439" i="12908"/>
  <c r="AT439" i="13034" s="1"/>
  <c r="AL439" i="13034"/>
  <c r="U2362" i="12908"/>
  <c r="AR2362" i="13034" s="1"/>
  <c r="AJ2362" i="13034"/>
  <c r="O1966" i="12908"/>
  <c r="AJ1966" i="13034"/>
  <c r="W1076" i="12908"/>
  <c r="AT1076" i="13034" s="1"/>
  <c r="AT1060" i="13034"/>
  <c r="U1125" i="12908"/>
  <c r="AR1125" i="13034" s="1"/>
  <c r="AJ1125" i="13034"/>
  <c r="O2620" i="12908"/>
  <c r="AJ2620" i="13034"/>
  <c r="U1824" i="12908"/>
  <c r="AR1824" i="13034" s="1"/>
  <c r="AJ1824" i="13034"/>
  <c r="O2619" i="12908"/>
  <c r="AJ2619" i="13034"/>
  <c r="W2029" i="12908"/>
  <c r="AT2029" i="13034" s="1"/>
  <c r="AL2029" i="13034"/>
  <c r="W440" i="12908"/>
  <c r="AT440" i="13034" s="1"/>
  <c r="AL440" i="13034"/>
  <c r="S718" i="12908"/>
  <c r="AP718" i="13034" s="1"/>
  <c r="AH718" i="13034"/>
  <c r="U1465" i="12908"/>
  <c r="AR1465" i="13034" s="1"/>
  <c r="AJ1465" i="13034"/>
  <c r="W2483" i="12908"/>
  <c r="AT2483" i="13034" s="1"/>
  <c r="AL2483" i="13034"/>
  <c r="W238" i="12908"/>
  <c r="AT238" i="13034" s="1"/>
  <c r="AT229" i="13034"/>
  <c r="S2142" i="12908"/>
  <c r="AP2142" i="13034" s="1"/>
  <c r="AH2142" i="13034"/>
  <c r="O2560" i="13015"/>
  <c r="AJ2560" i="13015" s="1"/>
  <c r="AL2560" i="13034"/>
  <c r="W609" i="13015"/>
  <c r="AI609" i="13015" s="1"/>
  <c r="AJ609" i="13015"/>
  <c r="AT676" i="13034"/>
  <c r="AI676" i="13015"/>
  <c r="W2118" i="12908"/>
  <c r="AT2118" i="13034" s="1"/>
  <c r="AL2118" i="13034"/>
  <c r="S1521" i="12908"/>
  <c r="AH1521" i="13034"/>
  <c r="S1635" i="12908"/>
  <c r="AP1635" i="13034" s="1"/>
  <c r="AP1634" i="13034"/>
  <c r="AH1482" i="13034"/>
  <c r="K1955" i="12908"/>
  <c r="AH1955" i="13034" s="1"/>
  <c r="K2317" i="12908"/>
  <c r="K2592" i="12908"/>
  <c r="K1522" i="12908"/>
  <c r="K2570" i="12908"/>
  <c r="K1541" i="12908"/>
  <c r="K1904" i="12908"/>
  <c r="K1503" i="12908"/>
  <c r="K2280" i="12908"/>
  <c r="AI300" i="13015"/>
  <c r="U2379" i="12908"/>
  <c r="AR2379" i="13034" s="1"/>
  <c r="AJ2379" i="13034"/>
  <c r="S2361" i="12908"/>
  <c r="AP2361" i="13034" s="1"/>
  <c r="AH2361" i="13034"/>
  <c r="W2207" i="12908"/>
  <c r="AT2207" i="13034" s="1"/>
  <c r="AL2207" i="13034"/>
  <c r="U507" i="12908"/>
  <c r="AR507" i="13034" s="1"/>
  <c r="AJ507" i="13034"/>
  <c r="W1485" i="12908"/>
  <c r="AT1485" i="13034" s="1"/>
  <c r="AR1485" i="13034"/>
  <c r="U1406" i="12908"/>
  <c r="AR1406" i="13034" s="1"/>
  <c r="AJ1406" i="13034"/>
  <c r="W507" i="12908"/>
  <c r="AT507" i="13034" s="1"/>
  <c r="AL507" i="13034"/>
  <c r="W576" i="12908"/>
  <c r="AL576" i="13034"/>
  <c r="U2466" i="12908"/>
  <c r="AR2466" i="13034" s="1"/>
  <c r="AJ2466" i="13034"/>
  <c r="U1836" i="12908"/>
  <c r="AR1836" i="13034" s="1"/>
  <c r="AJ1836" i="13034"/>
  <c r="U1822" i="12908"/>
  <c r="AR1822" i="13034" s="1"/>
  <c r="AJ1822" i="13034"/>
  <c r="U300" i="12908"/>
  <c r="AR300" i="13034" s="1"/>
  <c r="AJ300" i="13034"/>
  <c r="U336" i="12908"/>
  <c r="AR336" i="13034" s="1"/>
  <c r="AJ336" i="13034"/>
  <c r="U2590" i="12908"/>
  <c r="AR2590" i="13034" s="1"/>
  <c r="AJ2590" i="13034"/>
  <c r="U2443" i="12908"/>
  <c r="AR2443" i="13034" s="1"/>
  <c r="AJ2443" i="13034"/>
  <c r="W1832" i="12908"/>
  <c r="AT1832" i="13034" s="1"/>
  <c r="AL1832" i="13034"/>
  <c r="O1961" i="12908"/>
  <c r="AJ1961" i="13034"/>
  <c r="O1963" i="12908"/>
  <c r="AJ1963" i="13034"/>
  <c r="W1104" i="12908"/>
  <c r="AL1104" i="13034"/>
  <c r="U2450" i="12908"/>
  <c r="AR2450" i="13034" s="1"/>
  <c r="AJ2450" i="13034"/>
  <c r="U1081" i="12908"/>
  <c r="AR1081" i="13034" s="1"/>
  <c r="AJ1081" i="13034"/>
  <c r="S2143" i="12908"/>
  <c r="AP2143" i="13034" s="1"/>
  <c r="AH2143" i="13034"/>
  <c r="U1835" i="12908"/>
  <c r="AR1835" i="13034" s="1"/>
  <c r="AJ1835" i="13034"/>
  <c r="M2569" i="12908"/>
  <c r="AJ1481" i="13034"/>
  <c r="S2472" i="12908"/>
  <c r="AP2472" i="13034" s="1"/>
  <c r="AH2472" i="13034"/>
  <c r="K2208" i="12908"/>
  <c r="W1983" i="12908"/>
  <c r="AT1983" i="13034" s="1"/>
  <c r="AR1983" i="13034"/>
  <c r="W2053" i="12908"/>
  <c r="AT2053" i="13034" s="1"/>
  <c r="AL2053" i="13034"/>
  <c r="W508" i="12908"/>
  <c r="AT508" i="13034" s="1"/>
  <c r="AL508" i="13034"/>
  <c r="U2447" i="12908"/>
  <c r="AR2447" i="13034" s="1"/>
  <c r="AJ2447" i="13034"/>
  <c r="W1486" i="12908"/>
  <c r="AT1486" i="13034" s="1"/>
  <c r="AR1486" i="13034"/>
  <c r="O1383" i="13015"/>
  <c r="AL1383" i="13034"/>
  <c r="U1405" i="12908"/>
  <c r="AR1405" i="13034" s="1"/>
  <c r="AJ1405" i="13034"/>
  <c r="W1403" i="12908"/>
  <c r="AT1403" i="13034" s="1"/>
  <c r="AL1403" i="13034"/>
  <c r="U1148" i="12908"/>
  <c r="AJ1148" i="13034"/>
  <c r="S2469" i="12908"/>
  <c r="AP2469" i="13034" s="1"/>
  <c r="AH2469" i="13034"/>
  <c r="W337" i="12908"/>
  <c r="AL337" i="13034"/>
  <c r="S518" i="12908"/>
  <c r="AP518" i="13034" s="1"/>
  <c r="M1968" i="12908"/>
  <c r="AJ1968" i="13034" s="1"/>
  <c r="AJ1483" i="13034"/>
  <c r="W1984" i="12908"/>
  <c r="AT1984" i="13034" s="1"/>
  <c r="AR1984" i="13034"/>
  <c r="W2052" i="12908"/>
  <c r="AT2052" i="13034" s="1"/>
  <c r="AL2052" i="13034"/>
  <c r="O2545" i="12908"/>
  <c r="AL2545" i="13034" s="1"/>
  <c r="AJ2545" i="13034"/>
  <c r="W1102" i="13015"/>
  <c r="AI1102" i="13015" s="1"/>
  <c r="AJ1102" i="13015"/>
  <c r="W301" i="13015"/>
  <c r="AJ301" i="13015"/>
  <c r="W508" i="13015"/>
  <c r="AI508" i="13015" s="1"/>
  <c r="AJ508" i="13015"/>
  <c r="W574" i="13015"/>
  <c r="AI574" i="13015" s="1"/>
  <c r="AJ574" i="13015"/>
  <c r="W2028" i="12908"/>
  <c r="AT2028" i="13034" s="1"/>
  <c r="AL2028" i="13034"/>
  <c r="W642" i="13015"/>
  <c r="AJ642" i="13015"/>
  <c r="W299" i="13015"/>
  <c r="AI299" i="13015" s="1"/>
  <c r="AJ299" i="13015"/>
  <c r="W1082" i="13015"/>
  <c r="AI1082" i="13015" s="1"/>
  <c r="AJ1082" i="13015"/>
  <c r="O2618" i="12908"/>
  <c r="AJ2618" i="13034"/>
  <c r="O2162" i="12908"/>
  <c r="AL2162" i="13034" s="1"/>
  <c r="AL2096" i="13034"/>
  <c r="S1903" i="12908"/>
  <c r="AH1903" i="13034"/>
  <c r="S1583" i="12908"/>
  <c r="AP1583" i="13034" s="1"/>
  <c r="AH1583" i="13034"/>
  <c r="S2380" i="12908"/>
  <c r="AP2380" i="13034" s="1"/>
  <c r="AH2380" i="13034"/>
  <c r="S2419" i="12908"/>
  <c r="AP2419" i="13034" s="1"/>
  <c r="AH2419" i="13034"/>
  <c r="W264" i="13015"/>
  <c r="AI264" i="13015" s="1"/>
  <c r="AJ264" i="13015"/>
  <c r="W2618" i="12908"/>
  <c r="AT2618" i="13034" s="1"/>
  <c r="AR2618" i="13034"/>
  <c r="O2616" i="12908"/>
  <c r="AJ2616" i="13034"/>
  <c r="W1867" i="12908"/>
  <c r="AT1867" i="13034" s="1"/>
  <c r="AT1863" i="13034"/>
  <c r="AI438" i="13015"/>
  <c r="AI1892" i="13015"/>
  <c r="O2615" i="13015"/>
  <c r="AJ2615" i="13015" s="1"/>
  <c r="AL2615" i="13034"/>
  <c r="S2005" i="12908"/>
  <c r="AP2005" i="13034" s="1"/>
  <c r="AH2005" i="13034"/>
  <c r="W1030" i="12908"/>
  <c r="AT1030" i="13034" s="1"/>
  <c r="AT1012" i="13034"/>
  <c r="AI1012" i="13015"/>
  <c r="AI336" i="13015"/>
  <c r="AT1482" i="13034"/>
  <c r="AI1482" i="13015"/>
  <c r="U1426" i="12908"/>
  <c r="AR1426" i="13034" s="1"/>
  <c r="AJ1426" i="13034"/>
  <c r="U1833" i="12908"/>
  <c r="AR1833" i="13034" s="1"/>
  <c r="AJ1833" i="13034"/>
  <c r="U1520" i="12908"/>
  <c r="AR1520" i="13034" s="1"/>
  <c r="AJ1520" i="13034"/>
  <c r="W1985" i="12908"/>
  <c r="AT1985" i="13034" s="1"/>
  <c r="AR1985" i="13034"/>
  <c r="U1404" i="12908"/>
  <c r="AR1404" i="13034" s="1"/>
  <c r="AJ1404" i="13034"/>
  <c r="O1609" i="13015"/>
  <c r="AL1609" i="13034"/>
  <c r="U1080" i="12908"/>
  <c r="AR1080" i="13034" s="1"/>
  <c r="AJ1080" i="13034"/>
  <c r="S1840" i="12908"/>
  <c r="AP1840" i="13034" s="1"/>
  <c r="AP1834" i="13034"/>
  <c r="S2053" i="12908"/>
  <c r="AP2053" i="13034" s="1"/>
  <c r="AH2053" i="13034"/>
  <c r="U2483" i="12908"/>
  <c r="AR2483" i="13034" s="1"/>
  <c r="AJ2483" i="13034"/>
  <c r="S2465" i="12908"/>
  <c r="AP2465" i="13034" s="1"/>
  <c r="AH2465" i="13034"/>
  <c r="W2184" i="12908"/>
  <c r="AT2184" i="13034" s="1"/>
  <c r="AL2184" i="13034"/>
  <c r="U405" i="12908"/>
  <c r="AR405" i="13034" s="1"/>
  <c r="AJ405" i="13034"/>
  <c r="O1384" i="13015"/>
  <c r="AL1384" i="13034"/>
  <c r="W405" i="12908"/>
  <c r="AT405" i="13034" s="1"/>
  <c r="AL405" i="13034"/>
  <c r="W642" i="12908"/>
  <c r="AL642" i="13034"/>
  <c r="U1847" i="12908"/>
  <c r="AR1847" i="13034" s="1"/>
  <c r="AJ1847" i="13034"/>
  <c r="O1811" i="13015"/>
  <c r="AJ1811" i="13015" s="1"/>
  <c r="AL1811" i="13034"/>
  <c r="U1902" i="12908"/>
  <c r="AR1902" i="13034" s="1"/>
  <c r="AJ1902" i="13034"/>
  <c r="S2345" i="12908"/>
  <c r="AP2345" i="13034" s="1"/>
  <c r="AH2345" i="13034"/>
  <c r="U2339" i="12908"/>
  <c r="AR2339" i="13034" s="1"/>
  <c r="AJ2339" i="13034"/>
  <c r="U2404" i="12908"/>
  <c r="AR2404" i="13034" s="1"/>
  <c r="AJ2404" i="13034"/>
  <c r="W1821" i="12908"/>
  <c r="AT1821" i="13034" s="1"/>
  <c r="AL1821" i="13034"/>
  <c r="O1959" i="12908"/>
  <c r="AJ1959" i="13034"/>
  <c r="O1960" i="12908"/>
  <c r="AJ1960" i="13034"/>
  <c r="W1126" i="12908"/>
  <c r="AL1126" i="13034"/>
  <c r="U1560" i="12908"/>
  <c r="AR1560" i="13034" s="1"/>
  <c r="AJ1560" i="13034"/>
  <c r="U2346" i="12908"/>
  <c r="AR2346" i="13034" s="1"/>
  <c r="AJ2346" i="13034"/>
  <c r="S2121" i="12908"/>
  <c r="AP2121" i="13034" s="1"/>
  <c r="AH2121" i="13034"/>
  <c r="W2141" i="12908"/>
  <c r="AT2141" i="13034" s="1"/>
  <c r="AL2141" i="13034"/>
  <c r="U1846" i="12908"/>
  <c r="AR1846" i="13034" s="1"/>
  <c r="AJ1846" i="13034"/>
  <c r="AT1481" i="13034"/>
  <c r="AI1481" i="13015"/>
  <c r="O1382" i="13015"/>
  <c r="AL1382" i="13034"/>
  <c r="U1444" i="12908"/>
  <c r="AR1444" i="13034" s="1"/>
  <c r="AJ1444" i="13034"/>
  <c r="S2368" i="12908"/>
  <c r="AP2368" i="13034" s="1"/>
  <c r="AH2368" i="13034"/>
  <c r="U608" i="12908"/>
  <c r="AR608" i="13034" s="1"/>
  <c r="AJ608" i="13034"/>
  <c r="W474" i="12908"/>
  <c r="AT474" i="13034" s="1"/>
  <c r="AL474" i="13034"/>
  <c r="S697" i="12908"/>
  <c r="AP697" i="13034" s="1"/>
  <c r="AH697" i="13034"/>
  <c r="U1425" i="12908"/>
  <c r="AR1425" i="13034" s="1"/>
  <c r="AJ1425" i="13034"/>
  <c r="W1443" i="12908"/>
  <c r="AT1443" i="13034" s="1"/>
  <c r="AL1443" i="13034"/>
  <c r="U1036" i="12908"/>
  <c r="AJ1036" i="13034"/>
  <c r="U1012" i="12908"/>
  <c r="AJ1012" i="13034"/>
  <c r="AB983" i="12908"/>
  <c r="AD983" i="12908" s="1"/>
  <c r="AR964" i="13034"/>
  <c r="W301" i="12908"/>
  <c r="AL301" i="13034"/>
  <c r="O2120" i="12908"/>
  <c r="AL2076" i="13034"/>
  <c r="O2557" i="13015"/>
  <c r="AJ2557" i="13015" s="1"/>
  <c r="AL2557" i="13034"/>
  <c r="W1124" i="13015"/>
  <c r="AI1124" i="13015" s="1"/>
  <c r="AJ1124" i="13015"/>
  <c r="W265" i="13015"/>
  <c r="AI265" i="13015" s="1"/>
  <c r="AJ265" i="13015"/>
  <c r="W337" i="13015"/>
  <c r="AJ337" i="13015"/>
  <c r="W474" i="13015"/>
  <c r="AJ474" i="13015"/>
  <c r="W640" i="13015"/>
  <c r="AI640" i="13015" s="1"/>
  <c r="AJ640" i="13015"/>
  <c r="AI543" i="13015"/>
  <c r="W335" i="13015"/>
  <c r="AI335" i="13015" s="1"/>
  <c r="AJ335" i="13015"/>
  <c r="W1104" i="13015"/>
  <c r="AI1104" i="13015" s="1"/>
  <c r="AJ1104" i="13015"/>
  <c r="W1030" i="13015"/>
  <c r="AI1030" i="13015" s="1"/>
  <c r="S2569" i="12908"/>
  <c r="AP2569" i="13034" s="1"/>
  <c r="AH2569" i="13034"/>
  <c r="S1561" i="12908"/>
  <c r="AP1561" i="13034" s="1"/>
  <c r="AH1561" i="13034"/>
  <c r="S2484" i="12908"/>
  <c r="AP2484" i="13034" s="1"/>
  <c r="AH2484" i="13034"/>
  <c r="S2523" i="12908"/>
  <c r="AP2523" i="13034" s="1"/>
  <c r="AH2523" i="13034"/>
  <c r="W608" i="13015"/>
  <c r="AI608" i="13015" s="1"/>
  <c r="AJ608" i="13015"/>
  <c r="S2052" i="12908"/>
  <c r="AP2052" i="13034" s="1"/>
  <c r="AH2052" i="13034"/>
  <c r="W1164" i="12908"/>
  <c r="AT1164" i="13034" s="1"/>
  <c r="AT1148" i="13034"/>
  <c r="W1899" i="12908"/>
  <c r="AT1899" i="13034" s="1"/>
  <c r="AT1892" i="13034"/>
  <c r="S2004" i="12908"/>
  <c r="AP2004" i="13034" s="1"/>
  <c r="AH2004" i="13034"/>
  <c r="AR2662" i="13034"/>
  <c r="U2664" i="12908"/>
  <c r="S1829" i="12908"/>
  <c r="AP1829" i="13034" s="1"/>
  <c r="AP1823" i="13034"/>
  <c r="S2028" i="12908"/>
  <c r="AP2028" i="13034" s="1"/>
  <c r="AH2028" i="13034"/>
  <c r="S2120" i="12908"/>
  <c r="AP2120" i="13034" s="1"/>
  <c r="AH2120" i="13034"/>
  <c r="W1006" i="12908"/>
  <c r="AT1006" i="13034" s="1"/>
  <c r="AT988" i="13034"/>
  <c r="S2316" i="12908"/>
  <c r="K2420" i="12908"/>
  <c r="K2524" i="12908"/>
  <c r="S1540" i="12908"/>
  <c r="K1562" i="12908"/>
  <c r="K1584" i="12908"/>
  <c r="K2383" i="12908"/>
  <c r="K2285" i="12908"/>
  <c r="AH2285" i="13034" s="1"/>
  <c r="M2279" i="12908"/>
  <c r="AJ2279" i="13034" s="1"/>
  <c r="K2282" i="12908"/>
  <c r="AH2282" i="13034" s="1"/>
  <c r="S2279" i="12908"/>
  <c r="AP2279" i="13034" s="1"/>
  <c r="K2487" i="12908"/>
  <c r="AD1819" i="12908"/>
  <c r="O2098" i="12908"/>
  <c r="AL2098" i="13034" s="1"/>
  <c r="W2557" i="12908"/>
  <c r="AT2557" i="13034" s="1"/>
  <c r="W2076" i="12908"/>
  <c r="AT2076" i="13034" s="1"/>
  <c r="O2142" i="12908"/>
  <c r="W274" i="13015"/>
  <c r="K2165" i="12908"/>
  <c r="W552" i="13015"/>
  <c r="AI552" i="13015" s="1"/>
  <c r="W585" i="13015"/>
  <c r="W1142" i="13015"/>
  <c r="W1098" i="13015"/>
  <c r="S982" i="13015"/>
  <c r="AC983" i="13015"/>
  <c r="W1120" i="13015"/>
  <c r="O475" i="13015"/>
  <c r="W373" i="13015"/>
  <c r="O509" i="13015"/>
  <c r="O407" i="13015"/>
  <c r="O441" i="13015"/>
  <c r="O473" i="13015"/>
  <c r="W371" i="13015"/>
  <c r="AI371" i="13015" s="1"/>
  <c r="O439" i="13015"/>
  <c r="O405" i="13015"/>
  <c r="O507" i="13015"/>
  <c r="W1076" i="13015"/>
  <c r="AI1076" i="13015" s="1"/>
  <c r="U2545" i="12908"/>
  <c r="AR2545" i="13034" s="1"/>
  <c r="O1984" i="12908"/>
  <c r="AL1984" i="13034" s="1"/>
  <c r="W679" i="12908"/>
  <c r="AT679" i="13034" s="1"/>
  <c r="U1476" i="12908"/>
  <c r="AR1476" i="13034" s="1"/>
  <c r="M1484" i="12908"/>
  <c r="M1486" i="12908"/>
  <c r="M1523" i="12908"/>
  <c r="O1483" i="12908"/>
  <c r="AL1483" i="13034" s="1"/>
  <c r="M2318" i="12908"/>
  <c r="M1905" i="12908"/>
  <c r="M1485" i="12908"/>
  <c r="M2593" i="12908"/>
  <c r="M1542" i="12908"/>
  <c r="M1504" i="12908"/>
  <c r="AC2624" i="12908"/>
  <c r="AD2624" i="12908" s="1"/>
  <c r="W678" i="12908"/>
  <c r="AT678" i="13034" s="1"/>
  <c r="K2188" i="12908"/>
  <c r="M1561" i="12908"/>
  <c r="M1583" i="12908"/>
  <c r="AB1496" i="12908"/>
  <c r="S2099" i="12908"/>
  <c r="AP2099" i="13034" s="1"/>
  <c r="K2166" i="12908"/>
  <c r="AH2166" i="13034" s="1"/>
  <c r="M2591" i="12908"/>
  <c r="M1521" i="12908"/>
  <c r="M1954" i="12908"/>
  <c r="M1903" i="12908"/>
  <c r="M2316" i="12908"/>
  <c r="AJ2316" i="13034" s="1"/>
  <c r="M1502" i="12908"/>
  <c r="M1540" i="12908"/>
  <c r="AJ1540" i="13034" s="1"/>
  <c r="O1444" i="12908"/>
  <c r="O1404" i="12908"/>
  <c r="O1424" i="12908"/>
  <c r="O1464" i="12908"/>
  <c r="O2303" i="12908"/>
  <c r="AL2303" i="13034" s="1"/>
  <c r="S2563" i="12908"/>
  <c r="AP2563" i="13034" s="1"/>
  <c r="K2566" i="12908"/>
  <c r="AH2566" i="13034" s="1"/>
  <c r="K740" i="12908"/>
  <c r="K719" i="12908"/>
  <c r="K698" i="12908"/>
  <c r="K761" i="12908"/>
  <c r="AH761" i="13034" s="1"/>
  <c r="K837" i="12908"/>
  <c r="AH837" i="13034" s="1"/>
  <c r="K893" i="12908"/>
  <c r="AH893" i="13034" s="1"/>
  <c r="M677" i="12908"/>
  <c r="AJ677" i="13034" s="1"/>
  <c r="K245" i="12908"/>
  <c r="AH245" i="13034" s="1"/>
  <c r="K928" i="12908"/>
  <c r="S892" i="12908"/>
  <c r="AP892" i="13034" s="1"/>
  <c r="K946" i="12908"/>
  <c r="K910" i="12908"/>
  <c r="K557" i="12908"/>
  <c r="AH557" i="13034" s="1"/>
  <c r="S760" i="12908"/>
  <c r="AP760" i="13034" s="1"/>
  <c r="K817" i="12908"/>
  <c r="K798" i="12908"/>
  <c r="K779" i="12908"/>
  <c r="O2406" i="12908"/>
  <c r="O2510" i="12908"/>
  <c r="W2302" i="12908"/>
  <c r="AT2302" i="13034" s="1"/>
  <c r="U543" i="12908"/>
  <c r="M576" i="12908"/>
  <c r="M609" i="12908"/>
  <c r="M642" i="12908"/>
  <c r="O1968" i="12908"/>
  <c r="M1969" i="12908"/>
  <c r="M1971" i="12908"/>
  <c r="M1970" i="12908"/>
  <c r="U2238" i="12908"/>
  <c r="AR2238" i="13034" s="1"/>
  <c r="M2342" i="12908"/>
  <c r="M2446" i="12908"/>
  <c r="K2471" i="12908"/>
  <c r="K2367" i="12908"/>
  <c r="S2263" i="12908"/>
  <c r="AP2263" i="13034" s="1"/>
  <c r="M2263" i="12908"/>
  <c r="AJ2263" i="13034" s="1"/>
  <c r="M2592" i="12908"/>
  <c r="M1503" i="12908"/>
  <c r="M2570" i="12908"/>
  <c r="M1541" i="12908"/>
  <c r="AJ1541" i="13034" s="1"/>
  <c r="M1522" i="12908"/>
  <c r="M1955" i="12908"/>
  <c r="M1904" i="12908"/>
  <c r="M2317" i="12908"/>
  <c r="AJ2317" i="13034" s="1"/>
  <c r="O1406" i="12908"/>
  <c r="O1426" i="12908"/>
  <c r="O2305" i="12908"/>
  <c r="AL2305" i="13034" s="1"/>
  <c r="O1466" i="12908"/>
  <c r="O1446" i="12908"/>
  <c r="U2305" i="12908"/>
  <c r="AR2305" i="13034" s="1"/>
  <c r="M2409" i="12908"/>
  <c r="M2513" i="12908"/>
  <c r="M1823" i="12908"/>
  <c r="M1845" i="12908"/>
  <c r="M1834" i="12908"/>
  <c r="O1812" i="12908"/>
  <c r="M508" i="12908"/>
  <c r="U372" i="12908"/>
  <c r="AR372" i="13034" s="1"/>
  <c r="M440" i="12908"/>
  <c r="M474" i="12908"/>
  <c r="M406" i="12908"/>
  <c r="M2345" i="12908"/>
  <c r="U2241" i="12908"/>
  <c r="AR2241" i="13034" s="1"/>
  <c r="M2449" i="12908"/>
  <c r="U2564" i="12908"/>
  <c r="AR2564" i="13034" s="1"/>
  <c r="M2567" i="12908"/>
  <c r="AC1496" i="12908"/>
  <c r="S2567" i="12908"/>
  <c r="AP2567" i="13034" s="1"/>
  <c r="M697" i="12908"/>
  <c r="M718" i="12908"/>
  <c r="M760" i="12908"/>
  <c r="AJ760" i="13034" s="1"/>
  <c r="M892" i="12908"/>
  <c r="AJ892" i="13034" s="1"/>
  <c r="M739" i="12908"/>
  <c r="M244" i="12908"/>
  <c r="AJ244" i="13034" s="1"/>
  <c r="M836" i="12908"/>
  <c r="AJ836" i="13034" s="1"/>
  <c r="K2187" i="12908"/>
  <c r="S2164" i="12908"/>
  <c r="AP2164" i="13034" s="1"/>
  <c r="K2210" i="12908"/>
  <c r="O1822" i="12908"/>
  <c r="O1844" i="12908"/>
  <c r="O1833" i="12908"/>
  <c r="M2380" i="12908"/>
  <c r="U2276" i="12908"/>
  <c r="AR2276" i="13034" s="1"/>
  <c r="M2484" i="12908"/>
  <c r="O2276" i="12908"/>
  <c r="AL2276" i="13034" s="1"/>
  <c r="U2560" i="12908"/>
  <c r="AR2560" i="13034" s="1"/>
  <c r="M2563" i="12908"/>
  <c r="K280" i="12908"/>
  <c r="K352" i="12908"/>
  <c r="K316" i="12908"/>
  <c r="K388" i="12908"/>
  <c r="AH388" i="13034" s="1"/>
  <c r="S244" i="12908"/>
  <c r="AP244" i="13034" s="1"/>
  <c r="M2512" i="12908"/>
  <c r="U2304" i="12908"/>
  <c r="AR2304" i="13034" s="1"/>
  <c r="M2408" i="12908"/>
  <c r="U229" i="12908"/>
  <c r="M265" i="12908"/>
  <c r="M373" i="12908"/>
  <c r="AJ373" i="13034" s="1"/>
  <c r="M301" i="12908"/>
  <c r="M337" i="12908"/>
  <c r="U2261" i="12908"/>
  <c r="AR2261" i="13034" s="1"/>
  <c r="M2469" i="12908"/>
  <c r="M2365" i="12908"/>
  <c r="S2260" i="12908"/>
  <c r="AP2260" i="13034" s="1"/>
  <c r="K2364" i="12908"/>
  <c r="K2468" i="12908"/>
  <c r="M2260" i="12908"/>
  <c r="AJ2260" i="13034" s="1"/>
  <c r="AB1999" i="12908"/>
  <c r="W1982" i="12908"/>
  <c r="AT1982" i="13034" s="1"/>
  <c r="M2361" i="12908"/>
  <c r="U2257" i="12908"/>
  <c r="AR2257" i="13034" s="1"/>
  <c r="M2465" i="12908"/>
  <c r="O1836" i="12908"/>
  <c r="O1847" i="12908"/>
  <c r="O1825" i="12908"/>
  <c r="U2315" i="12908"/>
  <c r="AR2315" i="13034" s="1"/>
  <c r="M2523" i="12908"/>
  <c r="M2419" i="12908"/>
  <c r="O1496" i="12908"/>
  <c r="AL1496" i="13034" s="1"/>
  <c r="W2097" i="12908"/>
  <c r="AT2097" i="13034" s="1"/>
  <c r="O2164" i="12908"/>
  <c r="AL2164" i="13034" s="1"/>
  <c r="O1846" i="12908"/>
  <c r="O1824" i="12908"/>
  <c r="O1835" i="12908"/>
  <c r="W2162" i="12908"/>
  <c r="AT2162" i="13034" s="1"/>
  <c r="O2185" i="12908"/>
  <c r="O2208" i="12908"/>
  <c r="U2303" i="12908"/>
  <c r="AR2303" i="13034" s="1"/>
  <c r="M2407" i="12908"/>
  <c r="M2511" i="12908"/>
  <c r="U2264" i="12908"/>
  <c r="AR2264" i="13034" s="1"/>
  <c r="M2368" i="12908"/>
  <c r="M2472" i="12908"/>
  <c r="W2564" i="12908"/>
  <c r="AT2564" i="13034" s="1"/>
  <c r="W2077" i="12908"/>
  <c r="AT2077" i="13034" s="1"/>
  <c r="O2121" i="12908"/>
  <c r="O2099" i="12908"/>
  <c r="AL2099" i="13034" s="1"/>
  <c r="O2143" i="12908"/>
  <c r="O1610" i="12908"/>
  <c r="O1614" i="12908"/>
  <c r="O1627" i="12908"/>
  <c r="M1609" i="12908"/>
  <c r="S836" i="12908"/>
  <c r="AP836" i="13034" s="1"/>
  <c r="K855" i="12908"/>
  <c r="K874" i="12908"/>
  <c r="O1445" i="12908"/>
  <c r="O1425" i="12908"/>
  <c r="O1465" i="12908"/>
  <c r="O1405" i="12908"/>
  <c r="O2304" i="12908"/>
  <c r="AL2304" i="13034" s="1"/>
  <c r="U1060" i="12908"/>
  <c r="M1126" i="12908"/>
  <c r="M1104" i="12908"/>
  <c r="M1082" i="12908"/>
  <c r="O407" i="12908"/>
  <c r="O441" i="12908"/>
  <c r="O509" i="12908"/>
  <c r="O475" i="12908"/>
  <c r="W373" i="12908"/>
  <c r="U1126" i="12908" l="1"/>
  <c r="AJ1126" i="13034"/>
  <c r="W1465" i="12908"/>
  <c r="AT1465" i="13034" s="1"/>
  <c r="AL1465" i="13034"/>
  <c r="W1835" i="12908"/>
  <c r="AT1835" i="13034" s="1"/>
  <c r="AL1835" i="13034"/>
  <c r="S2364" i="12908"/>
  <c r="AP2364" i="13034" s="1"/>
  <c r="AH2364" i="13034"/>
  <c r="U2512" i="12908"/>
  <c r="AR2512" i="13034" s="1"/>
  <c r="AJ2512" i="13034"/>
  <c r="U2409" i="12908"/>
  <c r="AR2409" i="13034" s="1"/>
  <c r="AJ2409" i="13034"/>
  <c r="U1904" i="12908"/>
  <c r="AR1904" i="13034" s="1"/>
  <c r="AJ1904" i="13034"/>
  <c r="U2342" i="12908"/>
  <c r="AR2342" i="13034" s="1"/>
  <c r="AJ2342" i="13034"/>
  <c r="W473" i="13015"/>
  <c r="AI473" i="13015" s="1"/>
  <c r="AJ473" i="13015"/>
  <c r="S1562" i="12908"/>
  <c r="AH1562" i="13034"/>
  <c r="AP2316" i="13034"/>
  <c r="W346" i="13015"/>
  <c r="AI337" i="13015"/>
  <c r="W2120" i="12908"/>
  <c r="AT2120" i="13034" s="1"/>
  <c r="AL2120" i="13034"/>
  <c r="U1054" i="12908"/>
  <c r="AR1054" i="13034" s="1"/>
  <c r="AR1036" i="13034"/>
  <c r="M1382" i="13015"/>
  <c r="AJ1382" i="13015"/>
  <c r="O2616" i="13015"/>
  <c r="AL2616" i="13034"/>
  <c r="AP1903" i="13034"/>
  <c r="U1164" i="12908"/>
  <c r="AR1164" i="13034" s="1"/>
  <c r="AR1148" i="13034"/>
  <c r="AH1541" i="13034"/>
  <c r="S1541" i="12908"/>
  <c r="AP1541" i="13034" s="1"/>
  <c r="K1585" i="12908"/>
  <c r="K1563" i="12908"/>
  <c r="W382" i="12908"/>
  <c r="AT382" i="13034" s="1"/>
  <c r="AT373" i="13034"/>
  <c r="W407" i="12908"/>
  <c r="AL407" i="13034"/>
  <c r="U1076" i="12908"/>
  <c r="AR1076" i="13034" s="1"/>
  <c r="AR1060" i="13034"/>
  <c r="W1425" i="12908"/>
  <c r="AT1425" i="13034" s="1"/>
  <c r="AL1425" i="13034"/>
  <c r="O1610" i="13015"/>
  <c r="AL1610" i="13034"/>
  <c r="W2208" i="12908"/>
  <c r="AT2208" i="13034" s="1"/>
  <c r="AL2208" i="13034"/>
  <c r="W1824" i="12908"/>
  <c r="AT1824" i="13034" s="1"/>
  <c r="AL1824" i="13034"/>
  <c r="W1825" i="12908"/>
  <c r="AT1825" i="13034" s="1"/>
  <c r="AL1825" i="13034"/>
  <c r="U2465" i="12908"/>
  <c r="AR2465" i="13034" s="1"/>
  <c r="AJ2465" i="13034"/>
  <c r="U337" i="12908"/>
  <c r="AJ337" i="13034"/>
  <c r="U238" i="12908"/>
  <c r="AR238" i="13034" s="1"/>
  <c r="AR229" i="13034"/>
  <c r="S280" i="12908"/>
  <c r="AP280" i="13034" s="1"/>
  <c r="AH280" i="13034"/>
  <c r="U2484" i="12908"/>
  <c r="AR2484" i="13034" s="1"/>
  <c r="AJ2484" i="13034"/>
  <c r="W1844" i="12908"/>
  <c r="AT1844" i="13034" s="1"/>
  <c r="AL1844" i="13034"/>
  <c r="S2187" i="12908"/>
  <c r="AP2187" i="13034" s="1"/>
  <c r="AH2187" i="13034"/>
  <c r="O2165" i="12908"/>
  <c r="AL2165" i="13034" s="1"/>
  <c r="U2567" i="12908"/>
  <c r="AR2567" i="13034" s="1"/>
  <c r="AJ2567" i="13034"/>
  <c r="U2345" i="12908"/>
  <c r="AR2345" i="13034" s="1"/>
  <c r="AJ2345" i="13034"/>
  <c r="U1845" i="12908"/>
  <c r="AJ1845" i="13034"/>
  <c r="W1426" i="12908"/>
  <c r="AT1426" i="13034" s="1"/>
  <c r="AL1426" i="13034"/>
  <c r="O1955" i="12908"/>
  <c r="AJ1955" i="13034"/>
  <c r="U1503" i="12908"/>
  <c r="AR1503" i="13034" s="1"/>
  <c r="AJ1503" i="13034"/>
  <c r="S2367" i="12908"/>
  <c r="AP2367" i="13034" s="1"/>
  <c r="AH2367" i="13034"/>
  <c r="AL1968" i="13034"/>
  <c r="O1968" i="13015"/>
  <c r="U552" i="12908"/>
  <c r="AR552" i="13034" s="1"/>
  <c r="AR543" i="13034"/>
  <c r="S779" i="12908"/>
  <c r="AP779" i="13034" s="1"/>
  <c r="AH779" i="13034"/>
  <c r="S928" i="12908"/>
  <c r="AP928" i="13034" s="1"/>
  <c r="AH928" i="13034"/>
  <c r="S740" i="12908"/>
  <c r="AH740" i="13034"/>
  <c r="W1464" i="12908"/>
  <c r="AT1464" i="13034" s="1"/>
  <c r="AL1464" i="13034"/>
  <c r="O1954" i="12908"/>
  <c r="AJ1954" i="13034"/>
  <c r="S2188" i="12908"/>
  <c r="AP2188" i="13034" s="1"/>
  <c r="AH2188" i="13034"/>
  <c r="O1497" i="12908"/>
  <c r="AL1497" i="13034" s="1"/>
  <c r="M1506" i="12908"/>
  <c r="AJ1485" i="13034"/>
  <c r="U1523" i="12908"/>
  <c r="AR1523" i="13034" s="1"/>
  <c r="AJ1523" i="13034"/>
  <c r="U1416" i="12908"/>
  <c r="AR1416" i="13034" s="1"/>
  <c r="U1456" i="12908"/>
  <c r="AR1456" i="13034" s="1"/>
  <c r="W405" i="13015"/>
  <c r="AI405" i="13015" s="1"/>
  <c r="AJ405" i="13015"/>
  <c r="W618" i="13015"/>
  <c r="AI373" i="13015"/>
  <c r="W2142" i="12908"/>
  <c r="AT2142" i="13034" s="1"/>
  <c r="AL2142" i="13034"/>
  <c r="S2487" i="12908"/>
  <c r="AP2487" i="13034" s="1"/>
  <c r="AH2487" i="13034"/>
  <c r="S1557" i="12908"/>
  <c r="AP1557" i="13034" s="1"/>
  <c r="AP1540" i="13034"/>
  <c r="U2667" i="12908"/>
  <c r="AR2667" i="13034" s="1"/>
  <c r="AR2664" i="13034"/>
  <c r="S2208" i="12908"/>
  <c r="AP2208" i="13034" s="1"/>
  <c r="AH2208" i="13034"/>
  <c r="O2569" i="12908"/>
  <c r="W2569" i="12908" s="1"/>
  <c r="AT2569" i="13034" s="1"/>
  <c r="AJ2569" i="13034"/>
  <c r="AL1963" i="13034"/>
  <c r="O1963" i="13015"/>
  <c r="W585" i="12908"/>
  <c r="AT585" i="13034" s="1"/>
  <c r="AT576" i="13034"/>
  <c r="AH2280" i="13034"/>
  <c r="M2280" i="12908"/>
  <c r="S2280" i="12908"/>
  <c r="AP2280" i="13034" s="1"/>
  <c r="K2283" i="12908"/>
  <c r="K2488" i="12908"/>
  <c r="K2384" i="12908"/>
  <c r="K2286" i="12908"/>
  <c r="S2570" i="12908"/>
  <c r="AP2570" i="13034" s="1"/>
  <c r="AH2570" i="13034"/>
  <c r="AI1164" i="13015"/>
  <c r="AL1966" i="13034"/>
  <c r="O1966" i="13015"/>
  <c r="AT677" i="13034"/>
  <c r="AI677" i="13015"/>
  <c r="AP1653" i="13034"/>
  <c r="S1647" i="12908"/>
  <c r="S1648" i="12908"/>
  <c r="AP1648" i="13034" s="1"/>
  <c r="AI1054" i="13015"/>
  <c r="AI1899" i="13015"/>
  <c r="O2564" i="13015"/>
  <c r="AJ2564" i="13015" s="1"/>
  <c r="AL2564" i="13034"/>
  <c r="AL1964" i="13034"/>
  <c r="O1964" i="13015"/>
  <c r="O2617" i="13015"/>
  <c r="AL2617" i="13034"/>
  <c r="U1006" i="12908"/>
  <c r="AR1006" i="13034" s="1"/>
  <c r="AR988" i="13034"/>
  <c r="AL1965" i="13034"/>
  <c r="O1965" i="13015"/>
  <c r="O1614" i="13015"/>
  <c r="AL1614" i="13034"/>
  <c r="S352" i="12908"/>
  <c r="AP352" i="13034" s="1"/>
  <c r="AH352" i="13034"/>
  <c r="W1833" i="12908"/>
  <c r="AT1833" i="13034" s="1"/>
  <c r="AL1833" i="13034"/>
  <c r="U697" i="12908"/>
  <c r="AR697" i="13034" s="1"/>
  <c r="AJ697" i="13034"/>
  <c r="U440" i="12908"/>
  <c r="AR440" i="13034" s="1"/>
  <c r="AJ440" i="13034"/>
  <c r="O2570" i="12908"/>
  <c r="AJ2570" i="13034"/>
  <c r="AL1960" i="13034"/>
  <c r="O1960" i="13015"/>
  <c r="W346" i="12908"/>
  <c r="AT346" i="13034" s="1"/>
  <c r="AT337" i="13034"/>
  <c r="M1627" i="12908"/>
  <c r="AJ1609" i="13034"/>
  <c r="W2143" i="12908"/>
  <c r="AT2143" i="13034" s="1"/>
  <c r="AL2143" i="13034"/>
  <c r="U2511" i="12908"/>
  <c r="AR2511" i="13034" s="1"/>
  <c r="AJ2511" i="13034"/>
  <c r="U2419" i="12908"/>
  <c r="AR2419" i="13034" s="1"/>
  <c r="AJ2419" i="13034"/>
  <c r="U2408" i="12908"/>
  <c r="AR2408" i="13034" s="1"/>
  <c r="AJ2408" i="13034"/>
  <c r="O2563" i="12908"/>
  <c r="AJ2563" i="13034"/>
  <c r="W1822" i="12908"/>
  <c r="AT1822" i="13034" s="1"/>
  <c r="AL1822" i="13034"/>
  <c r="W2098" i="12908"/>
  <c r="AT2098" i="13034" s="1"/>
  <c r="U508" i="12908"/>
  <c r="AR508" i="13034" s="1"/>
  <c r="AJ508" i="13034"/>
  <c r="W1446" i="12908"/>
  <c r="AT1446" i="13034" s="1"/>
  <c r="AL1446" i="13034"/>
  <c r="U1522" i="12908"/>
  <c r="AR1522" i="13034" s="1"/>
  <c r="AJ1522" i="13034"/>
  <c r="S2471" i="12908"/>
  <c r="AP2471" i="13034" s="1"/>
  <c r="AH2471" i="13034"/>
  <c r="O1970" i="12908"/>
  <c r="AJ1970" i="13034"/>
  <c r="U642" i="12908"/>
  <c r="AJ642" i="13034"/>
  <c r="S910" i="12908"/>
  <c r="AP910" i="13034" s="1"/>
  <c r="AH910" i="13034"/>
  <c r="W441" i="13015"/>
  <c r="AJ441" i="13015"/>
  <c r="W475" i="13015"/>
  <c r="AJ475" i="13015"/>
  <c r="S2383" i="12908"/>
  <c r="AP2383" i="13034" s="1"/>
  <c r="AH2383" i="13034"/>
  <c r="S2524" i="12908"/>
  <c r="AH2524" i="13034"/>
  <c r="AI474" i="13015"/>
  <c r="W310" i="12908"/>
  <c r="AT310" i="13034" s="1"/>
  <c r="AT301" i="13034"/>
  <c r="U1030" i="12908"/>
  <c r="AR1030" i="13034" s="1"/>
  <c r="AR1012" i="13034"/>
  <c r="W1142" i="12908"/>
  <c r="AT1142" i="13034" s="1"/>
  <c r="AT1126" i="13034"/>
  <c r="AL1959" i="13034"/>
  <c r="O1959" i="13015"/>
  <c r="W651" i="12908"/>
  <c r="AT651" i="13034" s="1"/>
  <c r="AT642" i="13034"/>
  <c r="M1384" i="13015"/>
  <c r="U1384" i="13015" s="1"/>
  <c r="AJ1384" i="13015"/>
  <c r="W1609" i="13015"/>
  <c r="AI1609" i="13015" s="1"/>
  <c r="AJ1609" i="13015"/>
  <c r="AI642" i="13015"/>
  <c r="W310" i="13015"/>
  <c r="AI310" i="13015" s="1"/>
  <c r="AI301" i="13015"/>
  <c r="M1383" i="13015"/>
  <c r="AJ1383" i="13015"/>
  <c r="S1503" i="12908"/>
  <c r="AP1503" i="13034" s="1"/>
  <c r="AH1503" i="13034"/>
  <c r="S1522" i="12908"/>
  <c r="AP1522" i="13034" s="1"/>
  <c r="AH1522" i="13034"/>
  <c r="AP1521" i="13034"/>
  <c r="S1516" i="12908"/>
  <c r="AP1516" i="13034" s="1"/>
  <c r="AP1502" i="13034"/>
  <c r="W274" i="12908"/>
  <c r="AT274" i="13034" s="1"/>
  <c r="AT265" i="13034"/>
  <c r="U1899" i="12908"/>
  <c r="AR1899" i="13034" s="1"/>
  <c r="AR1892" i="13034"/>
  <c r="M1958" i="13015"/>
  <c r="AJ1958" i="13015"/>
  <c r="W441" i="12908"/>
  <c r="AL441" i="13034"/>
  <c r="S855" i="12908"/>
  <c r="AP855" i="13034" s="1"/>
  <c r="AH855" i="13034"/>
  <c r="W2121" i="12908"/>
  <c r="AT2121" i="13034" s="1"/>
  <c r="AL2121" i="13034"/>
  <c r="U2368" i="12908"/>
  <c r="AR2368" i="13034" s="1"/>
  <c r="AJ2368" i="13034"/>
  <c r="U265" i="12908"/>
  <c r="AJ265" i="13034"/>
  <c r="U739" i="12908"/>
  <c r="AR739" i="13034" s="1"/>
  <c r="AJ739" i="13034"/>
  <c r="U1834" i="12908"/>
  <c r="AJ1834" i="13034"/>
  <c r="O1969" i="12908"/>
  <c r="AJ1969" i="13034"/>
  <c r="U576" i="12908"/>
  <c r="AJ576" i="13034"/>
  <c r="W2406" i="12908"/>
  <c r="AT2406" i="13034" s="1"/>
  <c r="AL2406" i="13034"/>
  <c r="S719" i="12908"/>
  <c r="AH719" i="13034"/>
  <c r="W1444" i="12908"/>
  <c r="AT1444" i="13034" s="1"/>
  <c r="AL1444" i="13034"/>
  <c r="U1903" i="12908"/>
  <c r="AR1903" i="13034" s="1"/>
  <c r="AJ1903" i="13034"/>
  <c r="U1561" i="12908"/>
  <c r="AR1561" i="13034" s="1"/>
  <c r="AJ1561" i="13034"/>
  <c r="U2593" i="12908"/>
  <c r="AR2593" i="13034" s="1"/>
  <c r="AJ2593" i="13034"/>
  <c r="W507" i="13015"/>
  <c r="AI507" i="13015" s="1"/>
  <c r="AJ507" i="13015"/>
  <c r="W509" i="13015"/>
  <c r="AI509" i="13015" s="1"/>
  <c r="AJ509" i="13015"/>
  <c r="AI1142" i="13015"/>
  <c r="O2618" i="13015"/>
  <c r="AL2618" i="13034"/>
  <c r="AH2317" i="13034"/>
  <c r="K2421" i="12908"/>
  <c r="S2317" i="12908"/>
  <c r="AP2317" i="13034" s="1"/>
  <c r="K2525" i="12908"/>
  <c r="AP2591" i="13034"/>
  <c r="AJ1948" i="13015"/>
  <c r="W475" i="12908"/>
  <c r="AL475" i="13034"/>
  <c r="U1082" i="12908"/>
  <c r="AJ1082" i="13034"/>
  <c r="W1445" i="12908"/>
  <c r="AT1445" i="13034" s="1"/>
  <c r="AL1445" i="13034"/>
  <c r="W2185" i="12908"/>
  <c r="AT2185" i="13034" s="1"/>
  <c r="AL2185" i="13034"/>
  <c r="W1846" i="12908"/>
  <c r="AT1846" i="13034" s="1"/>
  <c r="AL1846" i="13034"/>
  <c r="W1847" i="12908"/>
  <c r="AT1847" i="13034" s="1"/>
  <c r="AL1847" i="13034"/>
  <c r="U2365" i="12908"/>
  <c r="AR2365" i="13034" s="1"/>
  <c r="AJ2365" i="13034"/>
  <c r="U301" i="12908"/>
  <c r="AJ301" i="13034"/>
  <c r="U406" i="12908"/>
  <c r="AR406" i="13034" s="1"/>
  <c r="AJ406" i="13034"/>
  <c r="U1823" i="12908"/>
  <c r="AJ1823" i="13034"/>
  <c r="W1406" i="12908"/>
  <c r="AT1406" i="13034" s="1"/>
  <c r="AL1406" i="13034"/>
  <c r="U2592" i="12908"/>
  <c r="AR2592" i="13034" s="1"/>
  <c r="AJ2592" i="13034"/>
  <c r="S798" i="12908"/>
  <c r="AP798" i="13034" s="1"/>
  <c r="AH798" i="13034"/>
  <c r="W1424" i="12908"/>
  <c r="AT1424" i="13034" s="1"/>
  <c r="AL1424" i="13034"/>
  <c r="U1502" i="12908"/>
  <c r="AR1502" i="13034" s="1"/>
  <c r="AJ1502" i="13034"/>
  <c r="U1521" i="12908"/>
  <c r="AR1521" i="13034" s="1"/>
  <c r="AJ1521" i="13034"/>
  <c r="U1436" i="12908"/>
  <c r="AR1436" i="13034" s="1"/>
  <c r="U1504" i="12908"/>
  <c r="AR1504" i="13034" s="1"/>
  <c r="AJ1504" i="13034"/>
  <c r="U1905" i="12908"/>
  <c r="AR1905" i="13034" s="1"/>
  <c r="AJ1905" i="13034"/>
  <c r="M1908" i="12908"/>
  <c r="AJ1486" i="13034"/>
  <c r="W439" i="13015"/>
  <c r="AI439" i="13015" s="1"/>
  <c r="AJ439" i="13015"/>
  <c r="W509" i="12908"/>
  <c r="AL509" i="13034"/>
  <c r="U1104" i="12908"/>
  <c r="AJ1104" i="13034"/>
  <c r="W1405" i="12908"/>
  <c r="AT1405" i="13034" s="1"/>
  <c r="AL1405" i="13034"/>
  <c r="S874" i="12908"/>
  <c r="AP874" i="13034" s="1"/>
  <c r="AH874" i="13034"/>
  <c r="W1627" i="12908"/>
  <c r="AT1627" i="13034" s="1"/>
  <c r="AL1627" i="13034"/>
  <c r="U2472" i="12908"/>
  <c r="AR2472" i="13034" s="1"/>
  <c r="AJ2472" i="13034"/>
  <c r="U2407" i="12908"/>
  <c r="AR2407" i="13034" s="1"/>
  <c r="AJ2407" i="13034"/>
  <c r="U2523" i="12908"/>
  <c r="AR2523" i="13034" s="1"/>
  <c r="AJ2523" i="13034"/>
  <c r="W1836" i="12908"/>
  <c r="AT1836" i="13034" s="1"/>
  <c r="AL1836" i="13034"/>
  <c r="U2361" i="12908"/>
  <c r="AR2361" i="13034" s="1"/>
  <c r="AJ2361" i="13034"/>
  <c r="S2468" i="12908"/>
  <c r="AP2468" i="13034" s="1"/>
  <c r="AH2468" i="13034"/>
  <c r="U2469" i="12908"/>
  <c r="AR2469" i="13034" s="1"/>
  <c r="AJ2469" i="13034"/>
  <c r="S316" i="12908"/>
  <c r="AP316" i="13034" s="1"/>
  <c r="AH316" i="13034"/>
  <c r="U2380" i="12908"/>
  <c r="AR2380" i="13034" s="1"/>
  <c r="AJ2380" i="13034"/>
  <c r="S2210" i="12908"/>
  <c r="AP2210" i="13034" s="1"/>
  <c r="AH2210" i="13034"/>
  <c r="U718" i="12908"/>
  <c r="AR718" i="13034" s="1"/>
  <c r="AJ718" i="13034"/>
  <c r="U2449" i="12908"/>
  <c r="AR2449" i="13034" s="1"/>
  <c r="AJ2449" i="13034"/>
  <c r="U474" i="12908"/>
  <c r="AR474" i="13034" s="1"/>
  <c r="AJ474" i="13034"/>
  <c r="O1812" i="13015"/>
  <c r="AJ1812" i="13015" s="1"/>
  <c r="AL1812" i="13034"/>
  <c r="U2513" i="12908"/>
  <c r="AR2513" i="13034" s="1"/>
  <c r="AJ2513" i="13034"/>
  <c r="W1466" i="12908"/>
  <c r="AT1466" i="13034" s="1"/>
  <c r="AL1466" i="13034"/>
  <c r="U2446" i="12908"/>
  <c r="AR2446" i="13034" s="1"/>
  <c r="AJ2446" i="13034"/>
  <c r="O1971" i="12908"/>
  <c r="AJ1971" i="13034"/>
  <c r="U609" i="12908"/>
  <c r="AJ609" i="13034"/>
  <c r="W2510" i="12908"/>
  <c r="AT2510" i="13034" s="1"/>
  <c r="AL2510" i="13034"/>
  <c r="S817" i="12908"/>
  <c r="AP817" i="13034" s="1"/>
  <c r="AH817" i="13034"/>
  <c r="S946" i="12908"/>
  <c r="AP946" i="13034" s="1"/>
  <c r="AH946" i="13034"/>
  <c r="S698" i="12908"/>
  <c r="AH698" i="13034"/>
  <c r="W1404" i="12908"/>
  <c r="AT1404" i="13034" s="1"/>
  <c r="AL1404" i="13034"/>
  <c r="U2591" i="12908"/>
  <c r="AR2591" i="13034" s="1"/>
  <c r="AJ2591" i="13034"/>
  <c r="U1583" i="12908"/>
  <c r="AR1583" i="13034" s="1"/>
  <c r="AJ1583" i="13034"/>
  <c r="U1542" i="12908"/>
  <c r="AR1542" i="13034" s="1"/>
  <c r="AJ1542" i="13034"/>
  <c r="M2526" i="12908"/>
  <c r="AJ2318" i="13034"/>
  <c r="M1524" i="12908"/>
  <c r="AJ1484" i="13034"/>
  <c r="W407" i="13015"/>
  <c r="AI407" i="13015" s="1"/>
  <c r="AJ407" i="13015"/>
  <c r="AI1120" i="13015"/>
  <c r="W651" i="13015"/>
  <c r="AI651" i="13015" s="1"/>
  <c r="S2165" i="12908"/>
  <c r="AP2165" i="13034" s="1"/>
  <c r="AH2165" i="13034"/>
  <c r="S1584" i="12908"/>
  <c r="AH1584" i="13034"/>
  <c r="S2420" i="12908"/>
  <c r="AH2420" i="13034"/>
  <c r="AI1006" i="13015"/>
  <c r="W1120" i="12908"/>
  <c r="AT1120" i="13034" s="1"/>
  <c r="AT1104" i="13034"/>
  <c r="AL1961" i="13034"/>
  <c r="O1961" i="13015"/>
  <c r="S1904" i="12908"/>
  <c r="AP1904" i="13034" s="1"/>
  <c r="AH1904" i="13034"/>
  <c r="S2592" i="12908"/>
  <c r="AP2592" i="13034" s="1"/>
  <c r="AH2592" i="13034"/>
  <c r="O2619" i="13015"/>
  <c r="AL2619" i="13034"/>
  <c r="O2620" i="13015"/>
  <c r="AL2620" i="13034"/>
  <c r="AA1860" i="12908"/>
  <c r="AP1851" i="13034"/>
  <c r="AI1126" i="13015"/>
  <c r="AI576" i="13015"/>
  <c r="AI238" i="13015"/>
  <c r="S2185" i="12908"/>
  <c r="AP2185" i="13034" s="1"/>
  <c r="AH2185" i="13034"/>
  <c r="W1098" i="12908"/>
  <c r="AT1098" i="13034" s="1"/>
  <c r="AT1082" i="13034"/>
  <c r="W618" i="12908"/>
  <c r="AT618" i="13034" s="1"/>
  <c r="AT609" i="13034"/>
  <c r="AJ1814" i="13015"/>
  <c r="M1814" i="13015"/>
  <c r="M2285" i="12908"/>
  <c r="AJ2285" i="13034" s="1"/>
  <c r="K2389" i="12908"/>
  <c r="S2285" i="12908"/>
  <c r="AP2285" i="13034" s="1"/>
  <c r="K2493" i="12908"/>
  <c r="S2282" i="12908"/>
  <c r="AP2282" i="13034" s="1"/>
  <c r="K2386" i="12908"/>
  <c r="K2490" i="12908"/>
  <c r="M2282" i="12908"/>
  <c r="AJ2282" i="13034" s="1"/>
  <c r="M2383" i="12908"/>
  <c r="U2279" i="12908"/>
  <c r="AR2279" i="13034" s="1"/>
  <c r="M2487" i="12908"/>
  <c r="M2422" i="12908"/>
  <c r="M1505" i="12908"/>
  <c r="K2211" i="12908"/>
  <c r="M2320" i="12908"/>
  <c r="W484" i="13015"/>
  <c r="W382" i="13015"/>
  <c r="AI382" i="13015" s="1"/>
  <c r="O1484" i="12908"/>
  <c r="K961" i="13015"/>
  <c r="U982" i="13015"/>
  <c r="M2319" i="12908"/>
  <c r="M1906" i="12908"/>
  <c r="M1543" i="12908"/>
  <c r="O2567" i="12908"/>
  <c r="O1504" i="12908"/>
  <c r="O1483" i="13015"/>
  <c r="AJ1483" i="13015" s="1"/>
  <c r="W2545" i="12908"/>
  <c r="AT2545" i="13034" s="1"/>
  <c r="O2545" i="13015"/>
  <c r="AJ2545" i="13015" s="1"/>
  <c r="O2032" i="12908"/>
  <c r="O1984" i="13015"/>
  <c r="AJ1984" i="13015" s="1"/>
  <c r="O1985" i="12908"/>
  <c r="AL1985" i="13034" s="1"/>
  <c r="O2080" i="12908"/>
  <c r="M679" i="12908"/>
  <c r="M1507" i="12908"/>
  <c r="O2056" i="12908"/>
  <c r="O2008" i="12908"/>
  <c r="M2595" i="12908"/>
  <c r="M2594" i="12908"/>
  <c r="M1526" i="12908"/>
  <c r="M1545" i="12908"/>
  <c r="M2596" i="12908"/>
  <c r="M2321" i="12908"/>
  <c r="O1486" i="12908"/>
  <c r="AL1486" i="13034" s="1"/>
  <c r="AB691" i="12908"/>
  <c r="W1436" i="12908"/>
  <c r="AT1436" i="13034" s="1"/>
  <c r="AC691" i="12908"/>
  <c r="M1907" i="12908"/>
  <c r="O1542" i="12908"/>
  <c r="M1525" i="12908"/>
  <c r="AJ1525" i="13034" s="1"/>
  <c r="O2318" i="12908"/>
  <c r="O1905" i="12908"/>
  <c r="O1523" i="12908"/>
  <c r="O2593" i="12908"/>
  <c r="U2318" i="12908"/>
  <c r="AR2318" i="13034" s="1"/>
  <c r="M1586" i="12908"/>
  <c r="M1564" i="12908"/>
  <c r="M1544" i="12908"/>
  <c r="M678" i="12908"/>
  <c r="O1485" i="12908"/>
  <c r="AL1485" i="13034" s="1"/>
  <c r="W1456" i="12908"/>
  <c r="AT1456" i="13034" s="1"/>
  <c r="W2304" i="12908"/>
  <c r="AT2304" i="13034" s="1"/>
  <c r="O2408" i="12908"/>
  <c r="O2512" i="12908"/>
  <c r="O1982" i="12908"/>
  <c r="AC1999" i="12908"/>
  <c r="M2364" i="12908"/>
  <c r="U2260" i="12908"/>
  <c r="AR2260" i="13034" s="1"/>
  <c r="M2468" i="12908"/>
  <c r="M874" i="12908"/>
  <c r="U836" i="12908"/>
  <c r="AR836" i="13034" s="1"/>
  <c r="M855" i="12908"/>
  <c r="M817" i="12908"/>
  <c r="U760" i="12908"/>
  <c r="AR760" i="13034" s="1"/>
  <c r="M779" i="12908"/>
  <c r="M798" i="12908"/>
  <c r="K947" i="12908"/>
  <c r="S893" i="12908"/>
  <c r="K929" i="12908"/>
  <c r="K911" i="12908"/>
  <c r="K558" i="12908"/>
  <c r="AH558" i="13034" s="1"/>
  <c r="S2566" i="12908"/>
  <c r="U1540" i="12908"/>
  <c r="AR1540" i="13034" s="1"/>
  <c r="M1562" i="12908"/>
  <c r="M1584" i="12908"/>
  <c r="O1628" i="12908"/>
  <c r="M1610" i="12908"/>
  <c r="W2099" i="12908"/>
  <c r="AT2099" i="13034" s="1"/>
  <c r="O2166" i="12908"/>
  <c r="AL2166" i="13034" s="1"/>
  <c r="M441" i="12908"/>
  <c r="M407" i="12908"/>
  <c r="U373" i="12908"/>
  <c r="M475" i="12908"/>
  <c r="M509" i="12908"/>
  <c r="U2563" i="12908"/>
  <c r="AR2563" i="13034" s="1"/>
  <c r="M2566" i="12908"/>
  <c r="U244" i="12908"/>
  <c r="AR244" i="13034" s="1"/>
  <c r="M280" i="12908"/>
  <c r="M388" i="12908"/>
  <c r="AJ388" i="13034" s="1"/>
  <c r="M352" i="12908"/>
  <c r="M316" i="12908"/>
  <c r="M2525" i="12908"/>
  <c r="U2317" i="12908"/>
  <c r="AR2317" i="13034" s="1"/>
  <c r="M2421" i="12908"/>
  <c r="U1541" i="12908"/>
  <c r="AR1541" i="13034" s="1"/>
  <c r="M1563" i="12908"/>
  <c r="M1585" i="12908"/>
  <c r="S837" i="12908"/>
  <c r="K875" i="12908"/>
  <c r="K856" i="12908"/>
  <c r="U2569" i="12908"/>
  <c r="AR2569" i="13034" s="1"/>
  <c r="K2212" i="12908"/>
  <c r="K2189" i="12908"/>
  <c r="S2166" i="12908"/>
  <c r="AP2166" i="13034" s="1"/>
  <c r="W2164" i="12908"/>
  <c r="AT2164" i="13034" s="1"/>
  <c r="O2187" i="12908"/>
  <c r="O2210" i="12908"/>
  <c r="W2276" i="12908"/>
  <c r="O2380" i="12908"/>
  <c r="O2484" i="12908"/>
  <c r="O1823" i="12908"/>
  <c r="O1834" i="12908"/>
  <c r="O1845" i="12908"/>
  <c r="U2570" i="12908"/>
  <c r="AR2570" i="13034" s="1"/>
  <c r="W2570" i="12908"/>
  <c r="AT2570" i="13034" s="1"/>
  <c r="U2263" i="12908"/>
  <c r="AR2263" i="13034" s="1"/>
  <c r="M2367" i="12908"/>
  <c r="M2471" i="12908"/>
  <c r="O1906" i="12908"/>
  <c r="S557" i="12908"/>
  <c r="AP557" i="13034" s="1"/>
  <c r="K656" i="12908"/>
  <c r="K623" i="12908"/>
  <c r="K590" i="12908"/>
  <c r="K317" i="12908"/>
  <c r="S245" i="12908"/>
  <c r="K281" i="12908"/>
  <c r="K353" i="12908"/>
  <c r="K389" i="12908"/>
  <c r="AH389" i="13034" s="1"/>
  <c r="S761" i="12908"/>
  <c r="K799" i="12908"/>
  <c r="K818" i="12908"/>
  <c r="K780" i="12908"/>
  <c r="O2407" i="12908"/>
  <c r="W2303" i="12908"/>
  <c r="AT2303" i="13034" s="1"/>
  <c r="O2511" i="12908"/>
  <c r="O1634" i="12908"/>
  <c r="O1652" i="12908"/>
  <c r="AL1652" i="13034" s="1"/>
  <c r="M1614" i="12908"/>
  <c r="AJ1614" i="13034" s="1"/>
  <c r="S388" i="12908"/>
  <c r="AP388" i="13034" s="1"/>
  <c r="K456" i="12908"/>
  <c r="K422" i="12908"/>
  <c r="K524" i="12908"/>
  <c r="K490" i="12908"/>
  <c r="M928" i="12908"/>
  <c r="U892" i="12908"/>
  <c r="AR892" i="13034" s="1"/>
  <c r="M910" i="12908"/>
  <c r="M946" i="12908"/>
  <c r="M557" i="12908"/>
  <c r="AJ557" i="13034" s="1"/>
  <c r="O2188" i="12908"/>
  <c r="O2211" i="12908"/>
  <c r="W2165" i="12908"/>
  <c r="AT2165" i="13034" s="1"/>
  <c r="W2305" i="12908"/>
  <c r="AT2305" i="13034" s="1"/>
  <c r="O2513" i="12908"/>
  <c r="O2409" i="12908"/>
  <c r="M698" i="12908"/>
  <c r="M740" i="12908"/>
  <c r="M245" i="12908"/>
  <c r="AJ245" i="13034" s="1"/>
  <c r="M719" i="12908"/>
  <c r="M761" i="12908"/>
  <c r="AJ761" i="13034" s="1"/>
  <c r="M837" i="12908"/>
  <c r="AJ837" i="13034" s="1"/>
  <c r="M893" i="12908"/>
  <c r="AJ893" i="13034" s="1"/>
  <c r="W2563" i="12908"/>
  <c r="AT2563" i="13034" s="1"/>
  <c r="U2316" i="12908"/>
  <c r="AR2316" i="13034" s="1"/>
  <c r="M2420" i="12908"/>
  <c r="M2524" i="12908"/>
  <c r="AD1496" i="12908"/>
  <c r="W2513" i="12908" l="1"/>
  <c r="AT2513" i="13034" s="1"/>
  <c r="AL2513" i="13034"/>
  <c r="S422" i="12908"/>
  <c r="AP422" i="13034" s="1"/>
  <c r="AH422" i="13034"/>
  <c r="W2511" i="12908"/>
  <c r="AT2511" i="13034" s="1"/>
  <c r="AL2511" i="13034"/>
  <c r="S590" i="12908"/>
  <c r="AP590" i="13034" s="1"/>
  <c r="AH590" i="13034"/>
  <c r="W1906" i="12908"/>
  <c r="AT1906" i="13034" s="1"/>
  <c r="AL1906" i="13034"/>
  <c r="W1823" i="12908"/>
  <c r="AL1823" i="13034"/>
  <c r="W2210" i="12908"/>
  <c r="AT2210" i="13034" s="1"/>
  <c r="AL2210" i="13034"/>
  <c r="U1563" i="12908"/>
  <c r="AR1563" i="13034" s="1"/>
  <c r="AJ1563" i="13034"/>
  <c r="U2525" i="12908"/>
  <c r="AR2525" i="13034" s="1"/>
  <c r="AJ2525" i="13034"/>
  <c r="U441" i="12908"/>
  <c r="AJ441" i="13034"/>
  <c r="S904" i="12908"/>
  <c r="AP904" i="13034" s="1"/>
  <c r="AP893" i="13034"/>
  <c r="M741" i="12908"/>
  <c r="AJ678" i="13034"/>
  <c r="M1589" i="12908"/>
  <c r="AJ1545" i="13034"/>
  <c r="W2032" i="12908"/>
  <c r="AT2032" i="13034" s="1"/>
  <c r="AL2032" i="13034"/>
  <c r="U2319" i="12908"/>
  <c r="AR2319" i="13034" s="1"/>
  <c r="AJ2319" i="13034"/>
  <c r="U1505" i="12908"/>
  <c r="AR1505" i="13034" s="1"/>
  <c r="AJ1505" i="13034"/>
  <c r="AJ1961" i="13015"/>
  <c r="M1961" i="13015"/>
  <c r="S1601" i="12908"/>
  <c r="AP1601" i="13034" s="1"/>
  <c r="AP1584" i="13034"/>
  <c r="U1524" i="12908"/>
  <c r="AR1524" i="13034" s="1"/>
  <c r="AJ1524" i="13034"/>
  <c r="U618" i="12908"/>
  <c r="AR618" i="13034" s="1"/>
  <c r="AR609" i="13034"/>
  <c r="U1120" i="12908"/>
  <c r="AR1120" i="13034" s="1"/>
  <c r="AR1104" i="13034"/>
  <c r="U585" i="12908"/>
  <c r="AR585" i="13034" s="1"/>
  <c r="AR576" i="13034"/>
  <c r="AP2524" i="13034"/>
  <c r="U1627" i="12908"/>
  <c r="AR1627" i="13034" s="1"/>
  <c r="AJ1627" i="13034"/>
  <c r="AJ1964" i="13015"/>
  <c r="M1964" i="13015"/>
  <c r="AL1955" i="13034"/>
  <c r="O1955" i="13015"/>
  <c r="AJ1955" i="13015" s="1"/>
  <c r="U1851" i="12908"/>
  <c r="AR1845" i="13034"/>
  <c r="S1563" i="12908"/>
  <c r="AP1563" i="13034" s="1"/>
  <c r="AH1563" i="13034"/>
  <c r="U2420" i="12908"/>
  <c r="AR2420" i="13034" s="1"/>
  <c r="AJ2420" i="13034"/>
  <c r="U740" i="12908"/>
  <c r="AR740" i="13034" s="1"/>
  <c r="AJ740" i="13034"/>
  <c r="U928" i="12908"/>
  <c r="AR928" i="13034" s="1"/>
  <c r="AJ928" i="13034"/>
  <c r="S456" i="12908"/>
  <c r="AP456" i="13034" s="1"/>
  <c r="AH456" i="13034"/>
  <c r="S799" i="12908"/>
  <c r="AH799" i="13034"/>
  <c r="S281" i="12908"/>
  <c r="AH281" i="13034"/>
  <c r="S623" i="12908"/>
  <c r="AP623" i="13034" s="1"/>
  <c r="AH623" i="13034"/>
  <c r="U2471" i="12908"/>
  <c r="AR2471" i="13034" s="1"/>
  <c r="AJ2471" i="13034"/>
  <c r="W2484" i="12908"/>
  <c r="AL2484" i="13034"/>
  <c r="W2187" i="12908"/>
  <c r="AT2187" i="13034" s="1"/>
  <c r="AL2187" i="13034"/>
  <c r="S2212" i="12908"/>
  <c r="AP2212" i="13034" s="1"/>
  <c r="AH2212" i="13034"/>
  <c r="S875" i="12908"/>
  <c r="AH875" i="13034"/>
  <c r="U316" i="12908"/>
  <c r="AR316" i="13034" s="1"/>
  <c r="AJ316" i="13034"/>
  <c r="U475" i="12908"/>
  <c r="AJ475" i="13034"/>
  <c r="U1584" i="12908"/>
  <c r="AR1584" i="13034" s="1"/>
  <c r="AJ1584" i="13034"/>
  <c r="S947" i="12908"/>
  <c r="AH947" i="13034"/>
  <c r="U817" i="12908"/>
  <c r="AR817" i="13034" s="1"/>
  <c r="AJ817" i="13034"/>
  <c r="U2468" i="12908"/>
  <c r="AR2468" i="13034" s="1"/>
  <c r="AJ2468" i="13034"/>
  <c r="O1982" i="13015"/>
  <c r="AJ1982" i="13015" s="1"/>
  <c r="AL1982" i="13034"/>
  <c r="U1544" i="12908"/>
  <c r="AR1544" i="13034" s="1"/>
  <c r="AJ1544" i="13034"/>
  <c r="W2593" i="12908"/>
  <c r="AT2593" i="13034" s="1"/>
  <c r="AL2593" i="13034"/>
  <c r="W1416" i="12908"/>
  <c r="AT1416" i="13034" s="1"/>
  <c r="U1526" i="12908"/>
  <c r="AR1526" i="13034" s="1"/>
  <c r="AJ1526" i="13034"/>
  <c r="W2056" i="12908"/>
  <c r="AT2056" i="13034" s="1"/>
  <c r="AL2056" i="13034"/>
  <c r="O2146" i="12908"/>
  <c r="AL2080" i="13034"/>
  <c r="O2567" i="13015"/>
  <c r="AJ2567" i="13015" s="1"/>
  <c r="AL2567" i="13034"/>
  <c r="W416" i="13015"/>
  <c r="U2422" i="12908"/>
  <c r="AR2422" i="13034" s="1"/>
  <c r="AJ2422" i="13034"/>
  <c r="S2389" i="12908"/>
  <c r="AP2389" i="13034" s="1"/>
  <c r="AH2389" i="13034"/>
  <c r="M2620" i="13015"/>
  <c r="AJ2620" i="13015"/>
  <c r="U1829" i="12908"/>
  <c r="AR1829" i="13034" s="1"/>
  <c r="AR1823" i="13034"/>
  <c r="U310" i="12908"/>
  <c r="AR310" i="13034" s="1"/>
  <c r="AR301" i="13034"/>
  <c r="U1098" i="12908"/>
  <c r="AR1098" i="13034" s="1"/>
  <c r="AR1082" i="13034"/>
  <c r="M2618" i="13015"/>
  <c r="AJ2618" i="13015"/>
  <c r="AI475" i="13015"/>
  <c r="AL1970" i="13034"/>
  <c r="O1970" i="13015"/>
  <c r="AI274" i="13015"/>
  <c r="W1614" i="13015"/>
  <c r="AI1614" i="13015" s="1"/>
  <c r="AJ1614" i="13015"/>
  <c r="S2384" i="12908"/>
  <c r="AP2384" i="13034" s="1"/>
  <c r="AH2384" i="13034"/>
  <c r="AJ2280" i="13034"/>
  <c r="M2488" i="12908"/>
  <c r="U2280" i="12908"/>
  <c r="AR2280" i="13034" s="1"/>
  <c r="M2384" i="12908"/>
  <c r="M1963" i="13015"/>
  <c r="AJ1963" i="13015"/>
  <c r="AI618" i="13015"/>
  <c r="U1506" i="12908"/>
  <c r="AR1506" i="13034" s="1"/>
  <c r="AJ1506" i="13034"/>
  <c r="M1968" i="13015"/>
  <c r="AJ1968" i="13015"/>
  <c r="U346" i="12908"/>
  <c r="AR346" i="13034" s="1"/>
  <c r="AR337" i="13034"/>
  <c r="W416" i="12908"/>
  <c r="AT416" i="13034" s="1"/>
  <c r="AT407" i="13034"/>
  <c r="S1585" i="12908"/>
  <c r="AP1585" i="13034" s="1"/>
  <c r="AH1585" i="13034"/>
  <c r="AJ2616" i="13015"/>
  <c r="AI346" i="13015"/>
  <c r="S1579" i="12908"/>
  <c r="AP1579" i="13034" s="1"/>
  <c r="AP1562" i="13034"/>
  <c r="S353" i="12908"/>
  <c r="AH353" i="13034"/>
  <c r="S856" i="12908"/>
  <c r="AH856" i="13034"/>
  <c r="W2318" i="12908"/>
  <c r="AT2318" i="13034" s="1"/>
  <c r="AL2318" i="13034"/>
  <c r="M839" i="12908"/>
  <c r="AJ839" i="13034" s="1"/>
  <c r="AJ679" i="13034"/>
  <c r="W1504" i="12908"/>
  <c r="AT1504" i="13034" s="1"/>
  <c r="AL1504" i="13034"/>
  <c r="O1484" i="13015"/>
  <c r="AL1484" i="13034"/>
  <c r="U1840" i="12908"/>
  <c r="AR1840" i="13034" s="1"/>
  <c r="AR1834" i="13034"/>
  <c r="U698" i="12908"/>
  <c r="AR698" i="13034" s="1"/>
  <c r="AJ698" i="13034"/>
  <c r="S772" i="12908"/>
  <c r="AP772" i="13034" s="1"/>
  <c r="AP761" i="13034"/>
  <c r="S656" i="12908"/>
  <c r="AP656" i="13034" s="1"/>
  <c r="AH656" i="13034"/>
  <c r="W1845" i="12908"/>
  <c r="AL1845" i="13034"/>
  <c r="W2380" i="12908"/>
  <c r="AL2380" i="13034"/>
  <c r="U352" i="12908"/>
  <c r="AR352" i="13034" s="1"/>
  <c r="AJ352" i="13034"/>
  <c r="U382" i="12908"/>
  <c r="AR382" i="13034" s="1"/>
  <c r="AR373" i="13034"/>
  <c r="U1562" i="12908"/>
  <c r="AR1562" i="13034" s="1"/>
  <c r="AJ1562" i="13034"/>
  <c r="U798" i="12908"/>
  <c r="AR798" i="13034" s="1"/>
  <c r="AJ798" i="13034"/>
  <c r="W2512" i="12908"/>
  <c r="AT2512" i="13034" s="1"/>
  <c r="AL2512" i="13034"/>
  <c r="U2594" i="12908"/>
  <c r="AR2594" i="13034" s="1"/>
  <c r="AJ2594" i="13034"/>
  <c r="U1507" i="12908"/>
  <c r="AJ1507" i="13034"/>
  <c r="M1565" i="12908"/>
  <c r="AJ1543" i="13034"/>
  <c r="W518" i="13015"/>
  <c r="AI518" i="13015" s="1"/>
  <c r="S2490" i="12908"/>
  <c r="AP2490" i="13034" s="1"/>
  <c r="AH2490" i="13034"/>
  <c r="S2433" i="12908"/>
  <c r="AP2433" i="13034" s="1"/>
  <c r="AP2420" i="13034"/>
  <c r="U2526" i="12908"/>
  <c r="AR2526" i="13034" s="1"/>
  <c r="AJ2526" i="13034"/>
  <c r="AL1971" i="13034"/>
  <c r="O1971" i="13015"/>
  <c r="W518" i="12908"/>
  <c r="AT518" i="13034" s="1"/>
  <c r="AT509" i="13034"/>
  <c r="U1908" i="12908"/>
  <c r="AR1908" i="13034" s="1"/>
  <c r="AJ1908" i="13034"/>
  <c r="S2421" i="12908"/>
  <c r="AP2421" i="13034" s="1"/>
  <c r="AH2421" i="13034"/>
  <c r="AL1969" i="13034"/>
  <c r="O1969" i="13015"/>
  <c r="S1535" i="12908"/>
  <c r="AP1535" i="13034" s="1"/>
  <c r="AJ1959" i="13015"/>
  <c r="M1959" i="13015"/>
  <c r="O2563" i="13015"/>
  <c r="AJ2563" i="13015" s="1"/>
  <c r="AL2563" i="13034"/>
  <c r="AJ1965" i="13015"/>
  <c r="M1965" i="13015"/>
  <c r="S2488" i="12908"/>
  <c r="AP2488" i="13034" s="1"/>
  <c r="AH2488" i="13034"/>
  <c r="AL1954" i="13034"/>
  <c r="O1954" i="13015"/>
  <c r="AJ1954" i="13015" s="1"/>
  <c r="S753" i="12908"/>
  <c r="AP753" i="13034" s="1"/>
  <c r="AP740" i="13034"/>
  <c r="U2524" i="12908"/>
  <c r="AR2524" i="13034" s="1"/>
  <c r="AJ2524" i="13034"/>
  <c r="W2188" i="12908"/>
  <c r="AT2188" i="13034" s="1"/>
  <c r="AL2188" i="13034"/>
  <c r="S818" i="12908"/>
  <c r="AH818" i="13034"/>
  <c r="S2189" i="12908"/>
  <c r="AP2189" i="13034" s="1"/>
  <c r="AH2189" i="13034"/>
  <c r="U280" i="12908"/>
  <c r="AR280" i="13034" s="1"/>
  <c r="AJ280" i="13034"/>
  <c r="U509" i="12908"/>
  <c r="AJ509" i="13034"/>
  <c r="W1628" i="12908"/>
  <c r="AT1628" i="13034" s="1"/>
  <c r="AL1628" i="13034"/>
  <c r="S2587" i="12908"/>
  <c r="AP2566" i="13034"/>
  <c r="U874" i="12908"/>
  <c r="AR874" i="13034" s="1"/>
  <c r="AJ874" i="13034"/>
  <c r="W2008" i="12908"/>
  <c r="AT2008" i="13034" s="1"/>
  <c r="AL2008" i="13034"/>
  <c r="U2383" i="12908"/>
  <c r="AR2383" i="13034" s="1"/>
  <c r="AJ2383" i="13034"/>
  <c r="S711" i="12908"/>
  <c r="AP711" i="13034" s="1"/>
  <c r="AP698" i="13034"/>
  <c r="S2525" i="12908"/>
  <c r="AP2525" i="13034" s="1"/>
  <c r="AH2525" i="13034"/>
  <c r="S732" i="12908"/>
  <c r="AP732" i="13034" s="1"/>
  <c r="AP719" i="13034"/>
  <c r="U274" i="12908"/>
  <c r="AR274" i="13034" s="1"/>
  <c r="AR265" i="13034"/>
  <c r="W450" i="12908"/>
  <c r="AT450" i="13034" s="1"/>
  <c r="AT441" i="13034"/>
  <c r="AH2286" i="13034"/>
  <c r="K2390" i="12908"/>
  <c r="M2286" i="12908"/>
  <c r="S2286" i="12908"/>
  <c r="AP2286" i="13034" s="1"/>
  <c r="K2494" i="12908"/>
  <c r="O2569" i="13015"/>
  <c r="AL2569" i="13034"/>
  <c r="U946" i="12908"/>
  <c r="AR946" i="13034" s="1"/>
  <c r="AJ946" i="13034"/>
  <c r="S490" i="12908"/>
  <c r="AP490" i="13034" s="1"/>
  <c r="AH490" i="13034"/>
  <c r="W2407" i="12908"/>
  <c r="AT2407" i="13034" s="1"/>
  <c r="AL2407" i="13034"/>
  <c r="S258" i="12908"/>
  <c r="AP258" i="13034" s="1"/>
  <c r="AP245" i="13034"/>
  <c r="U2367" i="12908"/>
  <c r="AR2367" i="13034" s="1"/>
  <c r="AJ2367" i="13034"/>
  <c r="S848" i="12908"/>
  <c r="AP848" i="13034" s="1"/>
  <c r="AP837" i="13034"/>
  <c r="U2421" i="12908"/>
  <c r="AR2421" i="13034" s="1"/>
  <c r="AJ2421" i="13034"/>
  <c r="U2566" i="12908"/>
  <c r="AR2566" i="13034" s="1"/>
  <c r="AJ2566" i="13034"/>
  <c r="S911" i="12908"/>
  <c r="AH911" i="13034"/>
  <c r="U855" i="12908"/>
  <c r="AR855" i="13034" s="1"/>
  <c r="AJ855" i="13034"/>
  <c r="U1564" i="12908"/>
  <c r="AR1564" i="13034" s="1"/>
  <c r="AJ1564" i="13034"/>
  <c r="W1523" i="12908"/>
  <c r="AT1523" i="13034" s="1"/>
  <c r="AL1523" i="13034"/>
  <c r="O1564" i="12908"/>
  <c r="AL1542" i="13034"/>
  <c r="U2321" i="12908"/>
  <c r="AR2321" i="13034" s="1"/>
  <c r="AJ2321" i="13034"/>
  <c r="U2320" i="12908"/>
  <c r="AR2320" i="13034" s="1"/>
  <c r="AJ2320" i="13034"/>
  <c r="U2487" i="12908"/>
  <c r="AR2487" i="13034" s="1"/>
  <c r="AJ2487" i="13034"/>
  <c r="U719" i="12908"/>
  <c r="AR719" i="13034" s="1"/>
  <c r="AJ719" i="13034"/>
  <c r="W2409" i="12908"/>
  <c r="AT2409" i="13034" s="1"/>
  <c r="AL2409" i="13034"/>
  <c r="W2211" i="12908"/>
  <c r="AT2211" i="13034" s="1"/>
  <c r="AL2211" i="13034"/>
  <c r="U910" i="12908"/>
  <c r="AR910" i="13034" s="1"/>
  <c r="AJ910" i="13034"/>
  <c r="S524" i="12908"/>
  <c r="AP524" i="13034" s="1"/>
  <c r="AH524" i="13034"/>
  <c r="W1634" i="12908"/>
  <c r="AL1634" i="13034"/>
  <c r="S780" i="12908"/>
  <c r="AH780" i="13034"/>
  <c r="S317" i="12908"/>
  <c r="AH317" i="13034"/>
  <c r="W1834" i="12908"/>
  <c r="AL1834" i="13034"/>
  <c r="W2296" i="12908"/>
  <c r="AT2296" i="13034" s="1"/>
  <c r="AT2276" i="13034"/>
  <c r="U1585" i="12908"/>
  <c r="AR1585" i="13034" s="1"/>
  <c r="AJ1585" i="13034"/>
  <c r="U407" i="12908"/>
  <c r="AJ407" i="13034"/>
  <c r="M1628" i="12908"/>
  <c r="AJ1610" i="13034"/>
  <c r="S929" i="12908"/>
  <c r="AH929" i="13034"/>
  <c r="U779" i="12908"/>
  <c r="AR779" i="13034" s="1"/>
  <c r="AJ779" i="13034"/>
  <c r="U2364" i="12908"/>
  <c r="AR2364" i="13034" s="1"/>
  <c r="AJ2364" i="13034"/>
  <c r="W2408" i="12908"/>
  <c r="AT2408" i="13034" s="1"/>
  <c r="AL2408" i="13034"/>
  <c r="U1586" i="12908"/>
  <c r="AR1586" i="13034" s="1"/>
  <c r="AJ1586" i="13034"/>
  <c r="W1905" i="12908"/>
  <c r="AT1905" i="13034" s="1"/>
  <c r="AL1905" i="13034"/>
  <c r="U1907" i="12908"/>
  <c r="AR1907" i="13034" s="1"/>
  <c r="AJ1907" i="13034"/>
  <c r="U2596" i="12908"/>
  <c r="AR2596" i="13034" s="1"/>
  <c r="AJ2596" i="13034"/>
  <c r="U2595" i="12908"/>
  <c r="AR2595" i="13034" s="1"/>
  <c r="AJ2595" i="13034"/>
  <c r="W1476" i="12908"/>
  <c r="AT1476" i="13034" s="1"/>
  <c r="U1906" i="12908"/>
  <c r="AR1906" i="13034" s="1"/>
  <c r="AJ1906" i="13034"/>
  <c r="W450" i="13015"/>
  <c r="AI450" i="13015" s="1"/>
  <c r="AI484" i="13015"/>
  <c r="S2211" i="12908"/>
  <c r="AP2211" i="13034" s="1"/>
  <c r="AH2211" i="13034"/>
  <c r="S2386" i="12908"/>
  <c r="AP2386" i="13034" s="1"/>
  <c r="AH2386" i="13034"/>
  <c r="S2493" i="12908"/>
  <c r="AH2493" i="13034"/>
  <c r="M2619" i="13015"/>
  <c r="AJ2619" i="13015"/>
  <c r="W484" i="12908"/>
  <c r="AT484" i="13034" s="1"/>
  <c r="AT475" i="13034"/>
  <c r="S2604" i="12908"/>
  <c r="AP2604" i="13034" s="1"/>
  <c r="AI1098" i="13015"/>
  <c r="AI441" i="13015"/>
  <c r="U651" i="12908"/>
  <c r="AR651" i="13034" s="1"/>
  <c r="AR642" i="13034"/>
  <c r="AJ1960" i="13015"/>
  <c r="M1960" i="13015"/>
  <c r="O2570" i="13015"/>
  <c r="AL2570" i="13034"/>
  <c r="M2617" i="13015"/>
  <c r="AJ2617" i="13015"/>
  <c r="AP1647" i="13034"/>
  <c r="AA1658" i="12908"/>
  <c r="K1647" i="12908"/>
  <c r="AJ1966" i="13015"/>
  <c r="M1966" i="13015"/>
  <c r="AH2283" i="13034"/>
  <c r="K2491" i="12908"/>
  <c r="S2283" i="12908"/>
  <c r="AP2283" i="13034" s="1"/>
  <c r="K2387" i="12908"/>
  <c r="M2283" i="12908"/>
  <c r="AI585" i="13015"/>
  <c r="W1610" i="13015"/>
  <c r="AJ1610" i="13015"/>
  <c r="S1917" i="12908"/>
  <c r="S2329" i="12908"/>
  <c r="AP2329" i="13034" s="1"/>
  <c r="U1142" i="12908"/>
  <c r="AR1142" i="13034" s="1"/>
  <c r="AR1126" i="13034"/>
  <c r="U2282" i="12908"/>
  <c r="AR2282" i="13034" s="1"/>
  <c r="M2490" i="12908"/>
  <c r="M2386" i="12908"/>
  <c r="M2389" i="12908"/>
  <c r="U2285" i="12908"/>
  <c r="AR2285" i="13034" s="1"/>
  <c r="M2493" i="12908"/>
  <c r="M2528" i="12908"/>
  <c r="U1543" i="12908"/>
  <c r="AR1543" i="13034" s="1"/>
  <c r="M2424" i="12908"/>
  <c r="M1587" i="12908"/>
  <c r="O1524" i="12908"/>
  <c r="O1505" i="12908"/>
  <c r="M2527" i="12908"/>
  <c r="O2319" i="12908"/>
  <c r="M2423" i="12908"/>
  <c r="O2594" i="12908"/>
  <c r="O1543" i="12908"/>
  <c r="K1009" i="13015"/>
  <c r="S1009" i="13015" s="1"/>
  <c r="K1033" i="13015"/>
  <c r="S1033" i="13015" s="1"/>
  <c r="K963" i="13015"/>
  <c r="K962" i="13015"/>
  <c r="K985" i="13015"/>
  <c r="S985" i="13015" s="1"/>
  <c r="K226" i="13015"/>
  <c r="K1145" i="13015"/>
  <c r="S1145" i="13015" s="1"/>
  <c r="K1057" i="13015"/>
  <c r="S961" i="13015"/>
  <c r="K540" i="13015"/>
  <c r="K1889" i="13015"/>
  <c r="S1889" i="13015" s="1"/>
  <c r="K964" i="13015"/>
  <c r="M961" i="13015"/>
  <c r="O2124" i="12908"/>
  <c r="W1652" i="12908"/>
  <c r="O1652" i="13015"/>
  <c r="AJ1652" i="13015" s="1"/>
  <c r="W2567" i="12908"/>
  <c r="AT2567" i="13034" s="1"/>
  <c r="O2566" i="12908"/>
  <c r="O1544" i="12908"/>
  <c r="O1485" i="13015"/>
  <c r="AJ1485" i="13015" s="1"/>
  <c r="W1483" i="13015"/>
  <c r="AI1483" i="13015" s="1"/>
  <c r="M1483" i="13015"/>
  <c r="U1483" i="13015" s="1"/>
  <c r="U1525" i="12908"/>
  <c r="O1507" i="12908"/>
  <c r="O1486" i="13015"/>
  <c r="AJ1486" i="13015" s="1"/>
  <c r="O2033" i="12908"/>
  <c r="O1985" i="13015"/>
  <c r="AJ1985" i="13015" s="1"/>
  <c r="O2102" i="12908"/>
  <c r="O2057" i="12908"/>
  <c r="W2080" i="12908"/>
  <c r="AT2080" i="13034" s="1"/>
  <c r="O2009" i="12908"/>
  <c r="O2081" i="12908"/>
  <c r="M895" i="12908"/>
  <c r="M763" i="12908"/>
  <c r="AJ763" i="13034" s="1"/>
  <c r="M742" i="12908"/>
  <c r="M721" i="12908"/>
  <c r="M247" i="12908"/>
  <c r="M700" i="12908"/>
  <c r="O679" i="12908"/>
  <c r="O2321" i="12908"/>
  <c r="O1526" i="12908"/>
  <c r="O1545" i="12908"/>
  <c r="AD691" i="12908"/>
  <c r="M1567" i="12908"/>
  <c r="O2596" i="12908"/>
  <c r="O1908" i="12908"/>
  <c r="U1545" i="12908"/>
  <c r="AR1545" i="13034" s="1"/>
  <c r="M2529" i="12908"/>
  <c r="M2425" i="12908"/>
  <c r="O1586" i="12908"/>
  <c r="M1588" i="12908"/>
  <c r="AJ1588" i="13034" s="1"/>
  <c r="M1566" i="12908"/>
  <c r="M838" i="12908"/>
  <c r="M246" i="12908"/>
  <c r="M894" i="12908"/>
  <c r="O2422" i="12908"/>
  <c r="M762" i="12908"/>
  <c r="M699" i="12908"/>
  <c r="O2526" i="12908"/>
  <c r="M720" i="12908"/>
  <c r="O678" i="12908"/>
  <c r="AL678" i="13034" s="1"/>
  <c r="W1542" i="12908"/>
  <c r="AT1542" i="13034" s="1"/>
  <c r="O1506" i="12908"/>
  <c r="O2320" i="12908"/>
  <c r="O2595" i="12908"/>
  <c r="O1525" i="12908"/>
  <c r="O1907" i="12908"/>
  <c r="M929" i="12908"/>
  <c r="U893" i="12908"/>
  <c r="AR893" i="13034" s="1"/>
  <c r="M558" i="12908"/>
  <c r="AJ558" i="13034" s="1"/>
  <c r="M911" i="12908"/>
  <c r="M947" i="12908"/>
  <c r="M877" i="12908"/>
  <c r="U839" i="12908"/>
  <c r="AR839" i="13034" s="1"/>
  <c r="U2587" i="12908"/>
  <c r="AR2587" i="13034" s="1"/>
  <c r="U761" i="12908"/>
  <c r="AR761" i="13034" s="1"/>
  <c r="M780" i="12908"/>
  <c r="M799" i="12908"/>
  <c r="M818" i="12908"/>
  <c r="M590" i="12908"/>
  <c r="U557" i="12908"/>
  <c r="AR557" i="13034" s="1"/>
  <c r="M656" i="12908"/>
  <c r="M623" i="12908"/>
  <c r="K657" i="12908"/>
  <c r="S558" i="12908"/>
  <c r="K591" i="12908"/>
  <c r="K624" i="12908"/>
  <c r="M283" i="12908"/>
  <c r="M422" i="12908"/>
  <c r="M524" i="12908"/>
  <c r="U388" i="12908"/>
  <c r="AR388" i="13034" s="1"/>
  <c r="M490" i="12908"/>
  <c r="M456" i="12908"/>
  <c r="W2166" i="12908"/>
  <c r="AT2166" i="13034" s="1"/>
  <c r="O2189" i="12908"/>
  <c r="O2212" i="12908"/>
  <c r="U245" i="12908"/>
  <c r="AR245" i="13034" s="1"/>
  <c r="M353" i="12908"/>
  <c r="M317" i="12908"/>
  <c r="M389" i="12908"/>
  <c r="AJ389" i="13034" s="1"/>
  <c r="M281" i="12908"/>
  <c r="M856" i="12908"/>
  <c r="U837" i="12908"/>
  <c r="AR837" i="13034" s="1"/>
  <c r="M875" i="12908"/>
  <c r="M1634" i="12908"/>
  <c r="M1652" i="12908"/>
  <c r="S389" i="12908"/>
  <c r="K525" i="12908"/>
  <c r="K491" i="12908"/>
  <c r="K457" i="12908"/>
  <c r="K423" i="12908"/>
  <c r="M949" i="12908"/>
  <c r="M820" i="12908"/>
  <c r="M801" i="12908"/>
  <c r="O2169" i="12908"/>
  <c r="AL2169" i="13034" s="1"/>
  <c r="O2030" i="12908"/>
  <c r="O2054" i="12908"/>
  <c r="O2006" i="12908"/>
  <c r="O1983" i="12908"/>
  <c r="O2078" i="12908"/>
  <c r="AL2078" i="13034" s="1"/>
  <c r="S829" i="12908" l="1"/>
  <c r="AP829" i="13034" s="1"/>
  <c r="AP818" i="13034"/>
  <c r="U1565" i="12908"/>
  <c r="AR1565" i="13034" s="1"/>
  <c r="AJ1565" i="13034"/>
  <c r="W2400" i="12908"/>
  <c r="AT2400" i="13034" s="1"/>
  <c r="AT2380" i="13034"/>
  <c r="W1484" i="13015"/>
  <c r="AI1484" i="13015" s="1"/>
  <c r="AJ1484" i="13015"/>
  <c r="S867" i="12908"/>
  <c r="AP867" i="13034" s="1"/>
  <c r="AP856" i="13034"/>
  <c r="S958" i="12908"/>
  <c r="AP958" i="13034" s="1"/>
  <c r="AP947" i="13034"/>
  <c r="U484" i="12908"/>
  <c r="AR484" i="13034" s="1"/>
  <c r="AR475" i="13034"/>
  <c r="S886" i="12908"/>
  <c r="AP886" i="13034" s="1"/>
  <c r="AP875" i="13034"/>
  <c r="S294" i="12908"/>
  <c r="AP294" i="13034" s="1"/>
  <c r="AP281" i="13034"/>
  <c r="U741" i="12908"/>
  <c r="AR741" i="13034" s="1"/>
  <c r="AJ741" i="13034"/>
  <c r="U450" i="12908"/>
  <c r="AR450" i="13034" s="1"/>
  <c r="AR441" i="13034"/>
  <c r="W1829" i="12908"/>
  <c r="AT1829" i="13034" s="1"/>
  <c r="AT1823" i="13034"/>
  <c r="U801" i="12908"/>
  <c r="AR801" i="13034" s="1"/>
  <c r="AJ801" i="13034"/>
  <c r="U949" i="12908"/>
  <c r="AR949" i="13034" s="1"/>
  <c r="AJ949" i="13034"/>
  <c r="S525" i="12908"/>
  <c r="AH525" i="13034"/>
  <c r="U875" i="12908"/>
  <c r="AR875" i="13034" s="1"/>
  <c r="AJ875" i="13034"/>
  <c r="U281" i="12908"/>
  <c r="AR281" i="13034" s="1"/>
  <c r="AJ281" i="13034"/>
  <c r="W2189" i="12908"/>
  <c r="AT2189" i="13034" s="1"/>
  <c r="AL2189" i="13034"/>
  <c r="U947" i="12908"/>
  <c r="AR947" i="13034" s="1"/>
  <c r="AJ947" i="13034"/>
  <c r="U929" i="12908"/>
  <c r="AR929" i="13034" s="1"/>
  <c r="AJ929" i="13034"/>
  <c r="W1525" i="12908"/>
  <c r="AT1525" i="13034" s="1"/>
  <c r="AL1525" i="13034"/>
  <c r="M318" i="12908"/>
  <c r="AJ246" i="13034"/>
  <c r="W1908" i="12908"/>
  <c r="AT1908" i="13034" s="1"/>
  <c r="AL1908" i="13034"/>
  <c r="O679" i="13015"/>
  <c r="AL679" i="13034"/>
  <c r="W2009" i="12908"/>
  <c r="AT2009" i="13034" s="1"/>
  <c r="AL2009" i="13034"/>
  <c r="U1535" i="12908"/>
  <c r="AR1535" i="13034" s="1"/>
  <c r="AR1525" i="13034"/>
  <c r="O1588" i="12908"/>
  <c r="AL1544" i="13034"/>
  <c r="S2491" i="12908"/>
  <c r="AP2491" i="13034" s="1"/>
  <c r="AH2491" i="13034"/>
  <c r="S400" i="12908"/>
  <c r="AP400" i="13034" s="1"/>
  <c r="AP389" i="13034"/>
  <c r="U524" i="12908"/>
  <c r="AR524" i="13034" s="1"/>
  <c r="AJ524" i="13034"/>
  <c r="U656" i="12908"/>
  <c r="AR656" i="13034" s="1"/>
  <c r="AJ656" i="13034"/>
  <c r="U799" i="12908"/>
  <c r="AR799" i="13034" s="1"/>
  <c r="AJ799" i="13034"/>
  <c r="U911" i="12908"/>
  <c r="AR911" i="13034" s="1"/>
  <c r="AJ911" i="13034"/>
  <c r="U2425" i="12908"/>
  <c r="AR2425" i="13034" s="1"/>
  <c r="AJ2425" i="13034"/>
  <c r="W1526" i="12908"/>
  <c r="AT1526" i="13034" s="1"/>
  <c r="AL1526" i="13034"/>
  <c r="W2033" i="12908"/>
  <c r="AT2033" i="13034" s="1"/>
  <c r="AL2033" i="13034"/>
  <c r="O2566" i="13015"/>
  <c r="AJ2566" i="13015" s="1"/>
  <c r="AL2566" i="13034"/>
  <c r="W2594" i="12908"/>
  <c r="AT2594" i="13034" s="1"/>
  <c r="AL2594" i="13034"/>
  <c r="U2527" i="12908"/>
  <c r="AR2527" i="13034" s="1"/>
  <c r="AJ2527" i="13034"/>
  <c r="U2424" i="12908"/>
  <c r="AR2424" i="13034" s="1"/>
  <c r="AJ2424" i="13034"/>
  <c r="S1935" i="12908"/>
  <c r="AP1935" i="13034" s="1"/>
  <c r="AP1917" i="13034"/>
  <c r="S2494" i="12908"/>
  <c r="AP2494" i="13034" s="1"/>
  <c r="AH2494" i="13034"/>
  <c r="W2030" i="12908"/>
  <c r="AT2030" i="13034" s="1"/>
  <c r="AL2030" i="13034"/>
  <c r="M782" i="12908"/>
  <c r="S457" i="12908"/>
  <c r="AH457" i="13034"/>
  <c r="U1652" i="12908"/>
  <c r="AJ1652" i="13034"/>
  <c r="U856" i="12908"/>
  <c r="AR856" i="13034" s="1"/>
  <c r="AJ856" i="13034"/>
  <c r="U317" i="12908"/>
  <c r="AR317" i="13034" s="1"/>
  <c r="AJ317" i="13034"/>
  <c r="W2566" i="12908"/>
  <c r="AT2566" i="13034" s="1"/>
  <c r="U456" i="12908"/>
  <c r="AR456" i="13034" s="1"/>
  <c r="AJ456" i="13034"/>
  <c r="U422" i="12908"/>
  <c r="AR422" i="13034" s="1"/>
  <c r="AJ422" i="13034"/>
  <c r="S569" i="12908"/>
  <c r="AP569" i="13034" s="1"/>
  <c r="AP558" i="13034"/>
  <c r="U780" i="12908"/>
  <c r="AR780" i="13034" s="1"/>
  <c r="AJ780" i="13034"/>
  <c r="M858" i="12908"/>
  <c r="U2329" i="12908"/>
  <c r="AR2329" i="13034" s="1"/>
  <c r="O2528" i="12908"/>
  <c r="AL2320" i="13034"/>
  <c r="U720" i="12908"/>
  <c r="AR720" i="13034" s="1"/>
  <c r="AJ720" i="13034"/>
  <c r="W2422" i="12908"/>
  <c r="AT2422" i="13034" s="1"/>
  <c r="AL2422" i="13034"/>
  <c r="U1566" i="12908"/>
  <c r="AJ1566" i="13034"/>
  <c r="U2529" i="12908"/>
  <c r="AR2529" i="13034" s="1"/>
  <c r="AJ2529" i="13034"/>
  <c r="U1567" i="12908"/>
  <c r="AR1567" i="13034" s="1"/>
  <c r="AJ1567" i="13034"/>
  <c r="W2321" i="12908"/>
  <c r="AT2321" i="13034" s="1"/>
  <c r="AL2321" i="13034"/>
  <c r="M355" i="12908"/>
  <c r="AJ247" i="13034"/>
  <c r="U895" i="12908"/>
  <c r="AR895" i="13034" s="1"/>
  <c r="AJ895" i="13034"/>
  <c r="W2057" i="12908"/>
  <c r="AT2057" i="13034" s="1"/>
  <c r="AL2057" i="13034"/>
  <c r="W2124" i="12908"/>
  <c r="AT2124" i="13034" s="1"/>
  <c r="AL2124" i="13034"/>
  <c r="M1484" i="13015"/>
  <c r="U1484" i="13015" s="1"/>
  <c r="W1505" i="12908"/>
  <c r="AT1505" i="13034" s="1"/>
  <c r="AL1505" i="13034"/>
  <c r="U2389" i="12908"/>
  <c r="AJ2389" i="13034"/>
  <c r="S2387" i="12908"/>
  <c r="AP2387" i="13034" s="1"/>
  <c r="AH2387" i="13034"/>
  <c r="AJ2570" i="13015"/>
  <c r="S2296" i="12908"/>
  <c r="S922" i="12908"/>
  <c r="AP922" i="13034" s="1"/>
  <c r="AP911" i="13034"/>
  <c r="U2384" i="12908"/>
  <c r="AR2384" i="13034" s="1"/>
  <c r="AJ2384" i="13034"/>
  <c r="W2006" i="12908"/>
  <c r="AT2006" i="13034" s="1"/>
  <c r="AL2006" i="13034"/>
  <c r="S624" i="12908"/>
  <c r="AH624" i="13034"/>
  <c r="U623" i="12908"/>
  <c r="AR623" i="13034" s="1"/>
  <c r="AJ623" i="13034"/>
  <c r="U818" i="12908"/>
  <c r="AR818" i="13034" s="1"/>
  <c r="AJ818" i="13034"/>
  <c r="U699" i="12908"/>
  <c r="AR699" i="13034" s="1"/>
  <c r="AJ699" i="13034"/>
  <c r="W1586" i="12908"/>
  <c r="AT1586" i="13034" s="1"/>
  <c r="AL1586" i="13034"/>
  <c r="O1567" i="12908"/>
  <c r="AL1545" i="13034"/>
  <c r="U742" i="12908"/>
  <c r="AJ742" i="13034"/>
  <c r="W1653" i="12908"/>
  <c r="AT1652" i="13034"/>
  <c r="O1565" i="12908"/>
  <c r="AL1543" i="13034"/>
  <c r="W2319" i="12908"/>
  <c r="AT2319" i="13034" s="1"/>
  <c r="AL2319" i="13034"/>
  <c r="U1587" i="12908"/>
  <c r="AR1587" i="13034" s="1"/>
  <c r="AJ1587" i="13034"/>
  <c r="U2493" i="12908"/>
  <c r="AR2493" i="13034" s="1"/>
  <c r="AJ2493" i="13034"/>
  <c r="U2490" i="12908"/>
  <c r="AR2490" i="13034" s="1"/>
  <c r="AJ2490" i="13034"/>
  <c r="AH1647" i="13034"/>
  <c r="K1648" i="12908"/>
  <c r="K1629" i="12908"/>
  <c r="AJ2569" i="13015"/>
  <c r="S2390" i="12908"/>
  <c r="AP2390" i="13034" s="1"/>
  <c r="AH2390" i="13034"/>
  <c r="U2488" i="12908"/>
  <c r="AJ2488" i="13034"/>
  <c r="AI416" i="13015"/>
  <c r="W2146" i="12908"/>
  <c r="AT2146" i="13034" s="1"/>
  <c r="AL2146" i="13034"/>
  <c r="W2054" i="12908"/>
  <c r="AT2054" i="13034" s="1"/>
  <c r="AL2054" i="13034"/>
  <c r="U820" i="12908"/>
  <c r="AR820" i="13034" s="1"/>
  <c r="AJ820" i="13034"/>
  <c r="S423" i="12908"/>
  <c r="AH423" i="13034"/>
  <c r="S591" i="12908"/>
  <c r="AH591" i="13034"/>
  <c r="W2595" i="12908"/>
  <c r="AL2595" i="13034"/>
  <c r="M800" i="12908"/>
  <c r="AJ762" i="13034"/>
  <c r="M857" i="12908"/>
  <c r="AJ838" i="13034"/>
  <c r="W2596" i="12908"/>
  <c r="AT2596" i="13034" s="1"/>
  <c r="AL2596" i="13034"/>
  <c r="U700" i="12908"/>
  <c r="AR700" i="13034" s="1"/>
  <c r="AJ700" i="13034"/>
  <c r="U1917" i="12908"/>
  <c r="AJ2283" i="13034"/>
  <c r="U2283" i="12908"/>
  <c r="M2387" i="12908"/>
  <c r="M2491" i="12908"/>
  <c r="U1628" i="12908"/>
  <c r="AR1628" i="13034" s="1"/>
  <c r="AJ1628" i="13034"/>
  <c r="W1840" i="12908"/>
  <c r="AT1840" i="13034" s="1"/>
  <c r="AT1834" i="13034"/>
  <c r="S791" i="12908"/>
  <c r="AP791" i="13034" s="1"/>
  <c r="AP780" i="13034"/>
  <c r="W1564" i="12908"/>
  <c r="AT1564" i="13034" s="1"/>
  <c r="AL1564" i="13034"/>
  <c r="O1983" i="13015"/>
  <c r="AJ1983" i="13015" s="1"/>
  <c r="AL1983" i="13034"/>
  <c r="U763" i="12908"/>
  <c r="AR763" i="13034" s="1"/>
  <c r="S491" i="12908"/>
  <c r="AH491" i="13034"/>
  <c r="U1634" i="12908"/>
  <c r="AJ1634" i="13034"/>
  <c r="U353" i="12908"/>
  <c r="AR353" i="13034" s="1"/>
  <c r="AJ353" i="13034"/>
  <c r="W2212" i="12908"/>
  <c r="AT2212" i="13034" s="1"/>
  <c r="AL2212" i="13034"/>
  <c r="U490" i="12908"/>
  <c r="AR490" i="13034" s="1"/>
  <c r="AJ490" i="13034"/>
  <c r="U283" i="12908"/>
  <c r="AR283" i="13034" s="1"/>
  <c r="AJ283" i="13034"/>
  <c r="S657" i="12908"/>
  <c r="AH657" i="13034"/>
  <c r="U590" i="12908"/>
  <c r="AR590" i="13034" s="1"/>
  <c r="AJ590" i="13034"/>
  <c r="U877" i="12908"/>
  <c r="AR877" i="13034" s="1"/>
  <c r="AJ877" i="13034"/>
  <c r="W1907" i="12908"/>
  <c r="AT1907" i="13034" s="1"/>
  <c r="AL1907" i="13034"/>
  <c r="W1506" i="12908"/>
  <c r="AT1506" i="13034" s="1"/>
  <c r="AL1506" i="13034"/>
  <c r="W2526" i="12908"/>
  <c r="AT2526" i="13034" s="1"/>
  <c r="AL2526" i="13034"/>
  <c r="M912" i="12908"/>
  <c r="AJ894" i="13034"/>
  <c r="U2604" i="12908"/>
  <c r="AR2604" i="13034" s="1"/>
  <c r="U721" i="12908"/>
  <c r="AR721" i="13034" s="1"/>
  <c r="AJ721" i="13034"/>
  <c r="O2147" i="12908"/>
  <c r="AL2081" i="13034"/>
  <c r="W2102" i="12908"/>
  <c r="AT2102" i="13034" s="1"/>
  <c r="AL2102" i="13034"/>
  <c r="W1507" i="12908"/>
  <c r="AT1507" i="13034" s="1"/>
  <c r="AL1507" i="13034"/>
  <c r="U2423" i="12908"/>
  <c r="AR2423" i="13034" s="1"/>
  <c r="AJ2423" i="13034"/>
  <c r="W1524" i="12908"/>
  <c r="AT1524" i="13034" s="1"/>
  <c r="AL1524" i="13034"/>
  <c r="U2528" i="12908"/>
  <c r="AR2528" i="13034" s="1"/>
  <c r="AJ2528" i="13034"/>
  <c r="U2386" i="12908"/>
  <c r="AR2386" i="13034" s="1"/>
  <c r="AJ2386" i="13034"/>
  <c r="AI1610" i="13015"/>
  <c r="W1619" i="13015"/>
  <c r="AI1619" i="13015" s="1"/>
  <c r="AP2493" i="13034"/>
  <c r="S940" i="12908"/>
  <c r="AP940" i="13034" s="1"/>
  <c r="AP929" i="13034"/>
  <c r="U416" i="12908"/>
  <c r="AR416" i="13034" s="1"/>
  <c r="AR407" i="13034"/>
  <c r="S330" i="12908"/>
  <c r="AP330" i="13034" s="1"/>
  <c r="AP317" i="13034"/>
  <c r="W1635" i="12908"/>
  <c r="AT1635" i="13034" s="1"/>
  <c r="AT1634" i="13034"/>
  <c r="AJ2286" i="13034"/>
  <c r="U2286" i="12908"/>
  <c r="AR2286" i="13034" s="1"/>
  <c r="M2494" i="12908"/>
  <c r="M2390" i="12908"/>
  <c r="S2606" i="12908"/>
  <c r="AP2606" i="13034" s="1"/>
  <c r="AP2587" i="13034"/>
  <c r="U518" i="12908"/>
  <c r="AR518" i="13034" s="1"/>
  <c r="AR509" i="13034"/>
  <c r="AJ1969" i="13015"/>
  <c r="M1969" i="13015"/>
  <c r="AJ1971" i="13015"/>
  <c r="M1971" i="13015"/>
  <c r="U1516" i="12908"/>
  <c r="AR1516" i="13034" s="1"/>
  <c r="AR1507" i="13034"/>
  <c r="W1851" i="12908"/>
  <c r="AT1845" i="13034"/>
  <c r="S366" i="12908"/>
  <c r="AP366" i="13034" s="1"/>
  <c r="AP353" i="13034"/>
  <c r="AJ1970" i="13015"/>
  <c r="M1970" i="13015"/>
  <c r="W2504" i="12908"/>
  <c r="AT2504" i="13034" s="1"/>
  <c r="AT2484" i="13034"/>
  <c r="S810" i="12908"/>
  <c r="AP810" i="13034" s="1"/>
  <c r="AP799" i="13034"/>
  <c r="AB1860" i="12908"/>
  <c r="AR1851" i="13034"/>
  <c r="S2537" i="12908"/>
  <c r="AP2537" i="13034" s="1"/>
  <c r="U1589" i="12908"/>
  <c r="AR1589" i="13034" s="1"/>
  <c r="AJ1589" i="13034"/>
  <c r="U1557" i="12908"/>
  <c r="AR1557" i="13034" s="1"/>
  <c r="O2527" i="12908"/>
  <c r="O2103" i="12908"/>
  <c r="AL2103" i="13034" s="1"/>
  <c r="O1566" i="12908"/>
  <c r="W1543" i="12908"/>
  <c r="AT1543" i="13034" s="1"/>
  <c r="M931" i="12908"/>
  <c r="W1516" i="12908"/>
  <c r="AT1516" i="13034" s="1"/>
  <c r="W2587" i="12908"/>
  <c r="M913" i="12908"/>
  <c r="M560" i="12908"/>
  <c r="M319" i="12908"/>
  <c r="W1544" i="12908"/>
  <c r="AT1544" i="13034" s="1"/>
  <c r="O1587" i="12908"/>
  <c r="O2423" i="12908"/>
  <c r="O2125" i="12908"/>
  <c r="W2081" i="12908"/>
  <c r="AT2081" i="13034" s="1"/>
  <c r="U2433" i="12908"/>
  <c r="K1036" i="13015"/>
  <c r="S1036" i="13015" s="1"/>
  <c r="K1148" i="13015"/>
  <c r="S1148" i="13015" s="1"/>
  <c r="K229" i="13015"/>
  <c r="S964" i="13015"/>
  <c r="K1892" i="13015"/>
  <c r="S1892" i="13015" s="1"/>
  <c r="K1060" i="13015"/>
  <c r="K1012" i="13015"/>
  <c r="S1012" i="13015" s="1"/>
  <c r="K988" i="13015"/>
  <c r="S988" i="13015" s="1"/>
  <c r="K543" i="13015"/>
  <c r="M964" i="13015"/>
  <c r="K1101" i="13015"/>
  <c r="S1101" i="13015" s="1"/>
  <c r="K1123" i="13015"/>
  <c r="S1123" i="13015" s="1"/>
  <c r="K1079" i="13015"/>
  <c r="S1079" i="13015" s="1"/>
  <c r="S1057" i="13015"/>
  <c r="K1058" i="13015"/>
  <c r="K1010" i="13015"/>
  <c r="S1010" i="13015" s="1"/>
  <c r="K541" i="13015"/>
  <c r="K227" i="13015"/>
  <c r="S962" i="13015"/>
  <c r="K986" i="13015"/>
  <c r="S986" i="13015" s="1"/>
  <c r="K1034" i="13015"/>
  <c r="S1034" i="13015" s="1"/>
  <c r="K1890" i="13015"/>
  <c r="S1890" i="13015" s="1"/>
  <c r="K1146" i="13015"/>
  <c r="S1146" i="13015" s="1"/>
  <c r="M962" i="13015"/>
  <c r="K1011" i="13015"/>
  <c r="S1011" i="13015" s="1"/>
  <c r="K1059" i="13015"/>
  <c r="K987" i="13015"/>
  <c r="S987" i="13015" s="1"/>
  <c r="K228" i="13015"/>
  <c r="K542" i="13015"/>
  <c r="S963" i="13015"/>
  <c r="K1035" i="13015"/>
  <c r="S1035" i="13015" s="1"/>
  <c r="K1891" i="13015"/>
  <c r="S1891" i="13015" s="1"/>
  <c r="K1147" i="13015"/>
  <c r="S1147" i="13015" s="1"/>
  <c r="M963" i="13015"/>
  <c r="M391" i="12908"/>
  <c r="U247" i="12908"/>
  <c r="AR247" i="13034" s="1"/>
  <c r="S540" i="13015"/>
  <c r="K573" i="13015"/>
  <c r="S573" i="13015" s="1"/>
  <c r="K606" i="13015"/>
  <c r="S606" i="13015" s="1"/>
  <c r="K639" i="13015"/>
  <c r="S639" i="13015" s="1"/>
  <c r="K262" i="13015"/>
  <c r="S262" i="13015" s="1"/>
  <c r="K298" i="13015"/>
  <c r="S298" i="13015" s="1"/>
  <c r="S226" i="13015"/>
  <c r="K334" i="13015"/>
  <c r="S334" i="13015" s="1"/>
  <c r="K370" i="13015"/>
  <c r="M540" i="13015"/>
  <c r="M226" i="13015"/>
  <c r="M1889" i="13015"/>
  <c r="U1889" i="13015" s="1"/>
  <c r="M1009" i="13015"/>
  <c r="U1009" i="13015" s="1"/>
  <c r="M1145" i="13015"/>
  <c r="U1145" i="13015" s="1"/>
  <c r="M1057" i="13015"/>
  <c r="U961" i="13015"/>
  <c r="M1033" i="13015"/>
  <c r="U1033" i="13015" s="1"/>
  <c r="M985" i="13015"/>
  <c r="U985" i="13015" s="1"/>
  <c r="O2425" i="12908"/>
  <c r="O2529" i="12908"/>
  <c r="W1486" i="13015"/>
  <c r="AI1486" i="13015" s="1"/>
  <c r="M1486" i="13015"/>
  <c r="U1486" i="13015" s="1"/>
  <c r="U1588" i="12908"/>
  <c r="W1485" i="13015"/>
  <c r="AI1485" i="13015" s="1"/>
  <c r="M1485" i="13015"/>
  <c r="U1485" i="13015" s="1"/>
  <c r="O700" i="12908"/>
  <c r="U732" i="12908"/>
  <c r="AR732" i="13034" s="1"/>
  <c r="O247" i="12908"/>
  <c r="AL247" i="13034" s="1"/>
  <c r="O763" i="12908"/>
  <c r="O895" i="12908"/>
  <c r="O742" i="12908"/>
  <c r="O721" i="13015"/>
  <c r="O247" i="13015"/>
  <c r="O839" i="12908"/>
  <c r="O895" i="13015"/>
  <c r="O763" i="13015"/>
  <c r="O839" i="13015"/>
  <c r="W679" i="13015"/>
  <c r="AI679" i="13015" s="1"/>
  <c r="O721" i="12908"/>
  <c r="O700" i="13015"/>
  <c r="O742" i="13015"/>
  <c r="O699" i="12908"/>
  <c r="O678" i="13015"/>
  <c r="AJ678" i="13015" s="1"/>
  <c r="W1535" i="12908"/>
  <c r="AT1535" i="13034" s="1"/>
  <c r="O720" i="12908"/>
  <c r="W1545" i="12908"/>
  <c r="AT1545" i="13034" s="1"/>
  <c r="O1589" i="12908"/>
  <c r="AL1589" i="13034" s="1"/>
  <c r="M354" i="12908"/>
  <c r="M930" i="12908"/>
  <c r="U838" i="12908"/>
  <c r="O741" i="12908"/>
  <c r="M819" i="12908"/>
  <c r="O762" i="12908"/>
  <c r="U762" i="12908"/>
  <c r="O894" i="12908"/>
  <c r="O838" i="12908"/>
  <c r="M876" i="12908"/>
  <c r="M781" i="12908"/>
  <c r="O246" i="12908"/>
  <c r="U246" i="12908"/>
  <c r="AR246" i="13034" s="1"/>
  <c r="M390" i="12908"/>
  <c r="M282" i="12908"/>
  <c r="O2424" i="12908"/>
  <c r="W2320" i="12908"/>
  <c r="M559" i="12908"/>
  <c r="U894" i="12908"/>
  <c r="M948" i="12908"/>
  <c r="W247" i="12908"/>
  <c r="AT247" i="13034" s="1"/>
  <c r="O319" i="12908"/>
  <c r="O283" i="12908"/>
  <c r="O391" i="12908"/>
  <c r="AL391" i="13034" s="1"/>
  <c r="O355" i="12908"/>
  <c r="W2078" i="12908"/>
  <c r="AT2078" i="13034" s="1"/>
  <c r="O2122" i="12908"/>
  <c r="O2144" i="12908"/>
  <c r="O2100" i="12908"/>
  <c r="AL2100" i="13034" s="1"/>
  <c r="U560" i="12908"/>
  <c r="AR560" i="13034" s="1"/>
  <c r="O801" i="12908"/>
  <c r="O2031" i="12908"/>
  <c r="O2079" i="12908"/>
  <c r="AL2079" i="13034" s="1"/>
  <c r="O2055" i="12908"/>
  <c r="O2007" i="12908"/>
  <c r="U558" i="12908"/>
  <c r="AR558" i="13034" s="1"/>
  <c r="M624" i="12908"/>
  <c r="M591" i="12908"/>
  <c r="M657" i="12908"/>
  <c r="U389" i="12908"/>
  <c r="AR389" i="13034" s="1"/>
  <c r="M423" i="12908"/>
  <c r="M525" i="12908"/>
  <c r="M457" i="12908"/>
  <c r="M491" i="12908"/>
  <c r="W2169" i="12908"/>
  <c r="AT2169" i="13034" s="1"/>
  <c r="O2192" i="12908"/>
  <c r="O2215" i="12908"/>
  <c r="M493" i="12908"/>
  <c r="M425" i="12908"/>
  <c r="W2103" i="12908"/>
  <c r="AT2103" i="13034" s="1"/>
  <c r="O2170" i="12908"/>
  <c r="AL2170" i="13034" s="1"/>
  <c r="W2192" i="12908" l="1"/>
  <c r="AT2192" i="13034" s="1"/>
  <c r="AL2192" i="13034"/>
  <c r="U591" i="12908"/>
  <c r="AR591" i="13034" s="1"/>
  <c r="AJ591" i="13034"/>
  <c r="W2055" i="12908"/>
  <c r="AT2055" i="13034" s="1"/>
  <c r="AL2055" i="13034"/>
  <c r="U781" i="12908"/>
  <c r="AJ781" i="13034"/>
  <c r="W2423" i="12908"/>
  <c r="AT2423" i="13034" s="1"/>
  <c r="AL2423" i="13034"/>
  <c r="U931" i="12908"/>
  <c r="AR931" i="13034" s="1"/>
  <c r="AJ931" i="13034"/>
  <c r="U1635" i="12908"/>
  <c r="AR1635" i="13034" s="1"/>
  <c r="AR1634" i="13034"/>
  <c r="AT1653" i="13034"/>
  <c r="AI1653" i="13015"/>
  <c r="U782" i="12908"/>
  <c r="AR782" i="13034" s="1"/>
  <c r="AJ782" i="13034"/>
  <c r="U423" i="12908"/>
  <c r="AR423" i="13034" s="1"/>
  <c r="AJ423" i="13034"/>
  <c r="W355" i="12908"/>
  <c r="AT355" i="13034" s="1"/>
  <c r="AL355" i="13034"/>
  <c r="O949" i="12908"/>
  <c r="AL895" i="13034"/>
  <c r="AR2433" i="13034"/>
  <c r="W1587" i="12908"/>
  <c r="AT1587" i="13034" s="1"/>
  <c r="AL1587" i="13034"/>
  <c r="U913" i="12908"/>
  <c r="AJ913" i="13034"/>
  <c r="U2537" i="12908"/>
  <c r="AR2537" i="13034" s="1"/>
  <c r="AC1860" i="12908"/>
  <c r="AD1860" i="12908" s="1"/>
  <c r="AT1851" i="13034"/>
  <c r="U2494" i="12908"/>
  <c r="AR2494" i="13034" s="1"/>
  <c r="AJ2494" i="13034"/>
  <c r="S2504" i="12908"/>
  <c r="W2147" i="12908"/>
  <c r="AT2147" i="13034" s="1"/>
  <c r="AL2147" i="13034"/>
  <c r="AR2488" i="13034"/>
  <c r="U2504" i="12908"/>
  <c r="S2331" i="12908"/>
  <c r="AP2296" i="13034"/>
  <c r="U1653" i="12908"/>
  <c r="AR1652" i="13034"/>
  <c r="S2400" i="12908"/>
  <c r="M679" i="13015"/>
  <c r="U679" i="13015" s="1"/>
  <c r="AJ679" i="13015"/>
  <c r="U318" i="12908"/>
  <c r="AR318" i="13034" s="1"/>
  <c r="AJ318" i="13034"/>
  <c r="U525" i="12908"/>
  <c r="AR525" i="13034" s="1"/>
  <c r="AJ525" i="13034"/>
  <c r="W319" i="12908"/>
  <c r="AT319" i="13034" s="1"/>
  <c r="AL319" i="13034"/>
  <c r="U282" i="12908"/>
  <c r="AJ282" i="13034"/>
  <c r="U772" i="12908"/>
  <c r="AR772" i="13034" s="1"/>
  <c r="AR762" i="13034"/>
  <c r="W721" i="12908"/>
  <c r="AT721" i="13034" s="1"/>
  <c r="AL721" i="13034"/>
  <c r="U1601" i="12908"/>
  <c r="AR1601" i="13034" s="1"/>
  <c r="AR1588" i="13034"/>
  <c r="U2390" i="12908"/>
  <c r="AR2390" i="13034" s="1"/>
  <c r="AJ2390" i="13034"/>
  <c r="AR2283" i="13034"/>
  <c r="U2296" i="12908"/>
  <c r="U857" i="12908"/>
  <c r="AJ857" i="13034"/>
  <c r="W2604" i="12908"/>
  <c r="AT2604" i="13034" s="1"/>
  <c r="AT2595" i="13034"/>
  <c r="W1567" i="12908"/>
  <c r="AT1567" i="13034" s="1"/>
  <c r="AL1567" i="13034"/>
  <c r="M625" i="12908"/>
  <c r="AJ559" i="13034"/>
  <c r="U491" i="12908"/>
  <c r="AR491" i="13034" s="1"/>
  <c r="AJ491" i="13034"/>
  <c r="W2031" i="12908"/>
  <c r="AT2031" i="13034" s="1"/>
  <c r="AL2031" i="13034"/>
  <c r="W2144" i="12908"/>
  <c r="AT2144" i="13034" s="1"/>
  <c r="AL2144" i="13034"/>
  <c r="W2329" i="12908"/>
  <c r="AT2320" i="13034"/>
  <c r="O876" i="12908"/>
  <c r="AL838" i="13034"/>
  <c r="U819" i="12908"/>
  <c r="AJ819" i="13034"/>
  <c r="W1917" i="12908"/>
  <c r="W720" i="12908"/>
  <c r="AT720" i="13034" s="1"/>
  <c r="AL720" i="13034"/>
  <c r="W742" i="13015"/>
  <c r="AJ742" i="13015"/>
  <c r="O877" i="13015"/>
  <c r="AJ839" i="13015"/>
  <c r="O391" i="13015"/>
  <c r="AJ391" i="13015" s="1"/>
  <c r="AJ247" i="13015"/>
  <c r="O782" i="12908"/>
  <c r="AL763" i="13034"/>
  <c r="M527" i="12908"/>
  <c r="AJ391" i="13034"/>
  <c r="AT2587" i="13034"/>
  <c r="W1566" i="12908"/>
  <c r="AT1566" i="13034" s="1"/>
  <c r="AL1566" i="13034"/>
  <c r="U912" i="12908"/>
  <c r="AR912" i="13034" s="1"/>
  <c r="AJ912" i="13034"/>
  <c r="S668" i="12908"/>
  <c r="AP668" i="13034" s="1"/>
  <c r="AP657" i="13034"/>
  <c r="S502" i="12908"/>
  <c r="AP502" i="13034" s="1"/>
  <c r="AP491" i="13034"/>
  <c r="U2491" i="12908"/>
  <c r="AR2491" i="13034" s="1"/>
  <c r="AJ2491" i="13034"/>
  <c r="U1935" i="12908"/>
  <c r="AR1935" i="13034" s="1"/>
  <c r="AR1917" i="13034"/>
  <c r="U800" i="12908"/>
  <c r="AJ800" i="13034"/>
  <c r="S602" i="12908"/>
  <c r="AP602" i="13034" s="1"/>
  <c r="AP591" i="13034"/>
  <c r="S1629" i="12908"/>
  <c r="AP1629" i="13034" s="1"/>
  <c r="AH1629" i="13034"/>
  <c r="W1565" i="12908"/>
  <c r="AL1565" i="13034"/>
  <c r="U753" i="12908"/>
  <c r="AR753" i="13034" s="1"/>
  <c r="AR742" i="13034"/>
  <c r="S635" i="12908"/>
  <c r="AP635" i="13034" s="1"/>
  <c r="AP624" i="13034"/>
  <c r="U355" i="12908"/>
  <c r="AR355" i="13034" s="1"/>
  <c r="AJ355" i="13034"/>
  <c r="U1579" i="12908"/>
  <c r="AR1579" i="13034" s="1"/>
  <c r="AR1566" i="13034"/>
  <c r="U858" i="12908"/>
  <c r="AR858" i="13034" s="1"/>
  <c r="AJ858" i="13034"/>
  <c r="U904" i="12908"/>
  <c r="AR904" i="13034" s="1"/>
  <c r="AR894" i="13034"/>
  <c r="U848" i="12908"/>
  <c r="AR848" i="13034" s="1"/>
  <c r="AR838" i="13034"/>
  <c r="W895" i="13015"/>
  <c r="AI895" i="13015" s="1"/>
  <c r="AJ895" i="13015"/>
  <c r="W742" i="12908"/>
  <c r="AT742" i="13034" s="1"/>
  <c r="AL742" i="13034"/>
  <c r="W2425" i="12908"/>
  <c r="AT2425" i="13034" s="1"/>
  <c r="AL2425" i="13034"/>
  <c r="M659" i="12908"/>
  <c r="AJ560" i="13034"/>
  <c r="W2527" i="12908"/>
  <c r="AT2527" i="13034" s="1"/>
  <c r="AL2527" i="13034"/>
  <c r="S434" i="12908"/>
  <c r="AP434" i="13034" s="1"/>
  <c r="AP423" i="13034"/>
  <c r="W2528" i="12908"/>
  <c r="AT2528" i="13034" s="1"/>
  <c r="AL2528" i="13034"/>
  <c r="U624" i="12908"/>
  <c r="AR624" i="13034" s="1"/>
  <c r="AJ624" i="13034"/>
  <c r="M458" i="12908"/>
  <c r="AJ390" i="13034"/>
  <c r="U876" i="12908"/>
  <c r="AJ876" i="13034"/>
  <c r="O800" i="12908"/>
  <c r="AL762" i="13034"/>
  <c r="U930" i="12908"/>
  <c r="AR930" i="13034" s="1"/>
  <c r="AJ930" i="13034"/>
  <c r="W699" i="12908"/>
  <c r="AL699" i="13034"/>
  <c r="O858" i="12908"/>
  <c r="AL839" i="13034"/>
  <c r="W700" i="12908"/>
  <c r="AT700" i="13034" s="1"/>
  <c r="AL700" i="13034"/>
  <c r="U2606" i="12908"/>
  <c r="AR2606" i="13034" s="1"/>
  <c r="U425" i="12908"/>
  <c r="AR425" i="13034" s="1"/>
  <c r="AJ425" i="13034"/>
  <c r="U493" i="12908"/>
  <c r="AR493" i="13034" s="1"/>
  <c r="AJ493" i="13034"/>
  <c r="W2215" i="12908"/>
  <c r="AT2215" i="13034" s="1"/>
  <c r="AL2215" i="13034"/>
  <c r="U457" i="12908"/>
  <c r="AR457" i="13034" s="1"/>
  <c r="AJ457" i="13034"/>
  <c r="U657" i="12908"/>
  <c r="AR657" i="13034" s="1"/>
  <c r="AJ657" i="13034"/>
  <c r="W2007" i="12908"/>
  <c r="AT2007" i="13034" s="1"/>
  <c r="AL2007" i="13034"/>
  <c r="W801" i="12908"/>
  <c r="AT801" i="13034" s="1"/>
  <c r="AL801" i="13034"/>
  <c r="W2122" i="12908"/>
  <c r="AT2122" i="13034" s="1"/>
  <c r="AL2122" i="13034"/>
  <c r="W283" i="12908"/>
  <c r="AT283" i="13034" s="1"/>
  <c r="AL283" i="13034"/>
  <c r="W2537" i="12908"/>
  <c r="U948" i="12908"/>
  <c r="AJ948" i="13034"/>
  <c r="W2424" i="12908"/>
  <c r="AT2424" i="13034" s="1"/>
  <c r="AL2424" i="13034"/>
  <c r="O282" i="12908"/>
  <c r="AL246" i="13034"/>
  <c r="O930" i="12908"/>
  <c r="AL894" i="13034"/>
  <c r="W741" i="12908"/>
  <c r="AT741" i="13034" s="1"/>
  <c r="AL741" i="13034"/>
  <c r="U354" i="12908"/>
  <c r="AJ354" i="13034"/>
  <c r="W700" i="13015"/>
  <c r="AJ700" i="13015"/>
  <c r="W763" i="13015"/>
  <c r="AI763" i="13015" s="1"/>
  <c r="AJ763" i="13015"/>
  <c r="W721" i="13015"/>
  <c r="AI721" i="13015" s="1"/>
  <c r="AJ721" i="13015"/>
  <c r="W2529" i="12908"/>
  <c r="AT2529" i="13034" s="1"/>
  <c r="AL2529" i="13034"/>
  <c r="U711" i="12908"/>
  <c r="AR711" i="13034" s="1"/>
  <c r="W2125" i="12908"/>
  <c r="AT2125" i="13034" s="1"/>
  <c r="AL2125" i="13034"/>
  <c r="U319" i="12908"/>
  <c r="AJ319" i="13034"/>
  <c r="U2387" i="12908"/>
  <c r="AR2387" i="13034" s="1"/>
  <c r="AJ2387" i="13034"/>
  <c r="AH1648" i="13034"/>
  <c r="K1630" i="12908"/>
  <c r="U2400" i="12908"/>
  <c r="AR2400" i="13034" s="1"/>
  <c r="AR2389" i="13034"/>
  <c r="S468" i="12908"/>
  <c r="AP468" i="13034" s="1"/>
  <c r="AP457" i="13034"/>
  <c r="W1588" i="12908"/>
  <c r="AT1588" i="13034" s="1"/>
  <c r="AL1588" i="13034"/>
  <c r="S536" i="12908"/>
  <c r="AP536" i="13034" s="1"/>
  <c r="AP525" i="13034"/>
  <c r="W1557" i="12908"/>
  <c r="AT1557" i="13034" s="1"/>
  <c r="S1030" i="13015"/>
  <c r="U940" i="12908"/>
  <c r="AR940" i="13034" s="1"/>
  <c r="M593" i="12908"/>
  <c r="M626" i="12908"/>
  <c r="O877" i="12908"/>
  <c r="O931" i="12908"/>
  <c r="W895" i="12908"/>
  <c r="AT895" i="13034" s="1"/>
  <c r="W753" i="12908"/>
  <c r="AT753" i="13034" s="1"/>
  <c r="O949" i="13015"/>
  <c r="O931" i="13015"/>
  <c r="O913" i="13015"/>
  <c r="O820" i="13015"/>
  <c r="O801" i="13015"/>
  <c r="S1164" i="13015"/>
  <c r="W839" i="12908"/>
  <c r="AT839" i="13034" s="1"/>
  <c r="O913" i="12908"/>
  <c r="W247" i="13015"/>
  <c r="AI247" i="13015" s="1"/>
  <c r="O560" i="12908"/>
  <c r="U258" i="12908"/>
  <c r="AR258" i="13034" s="1"/>
  <c r="S1006" i="13015"/>
  <c r="AA983" i="13015"/>
  <c r="S1054" i="13015"/>
  <c r="M1010" i="13015"/>
  <c r="U1010" i="13015" s="1"/>
  <c r="M1058" i="13015"/>
  <c r="M1034" i="13015"/>
  <c r="U1034" i="13015" s="1"/>
  <c r="M986" i="13015"/>
  <c r="U986" i="13015" s="1"/>
  <c r="M1146" i="13015"/>
  <c r="U1146" i="13015" s="1"/>
  <c r="U962" i="13015"/>
  <c r="M541" i="13015"/>
  <c r="M227" i="13015"/>
  <c r="M1890" i="13015"/>
  <c r="U1890" i="13015" s="1"/>
  <c r="M459" i="12908"/>
  <c r="U391" i="12908"/>
  <c r="AR391" i="13034" s="1"/>
  <c r="O820" i="12908"/>
  <c r="O319" i="13015"/>
  <c r="M1891" i="13015"/>
  <c r="U1891" i="13015" s="1"/>
  <c r="M1011" i="13015"/>
  <c r="U1011" i="13015" s="1"/>
  <c r="M228" i="13015"/>
  <c r="M987" i="13015"/>
  <c r="U987" i="13015" s="1"/>
  <c r="M1147" i="13015"/>
  <c r="U1147" i="13015" s="1"/>
  <c r="M1035" i="13015"/>
  <c r="U1035" i="13015" s="1"/>
  <c r="M1059" i="13015"/>
  <c r="U963" i="13015"/>
  <c r="M542" i="13015"/>
  <c r="K1103" i="13015"/>
  <c r="S1103" i="13015" s="1"/>
  <c r="S1059" i="13015"/>
  <c r="K1081" i="13015"/>
  <c r="S1081" i="13015" s="1"/>
  <c r="K1125" i="13015"/>
  <c r="S1125" i="13015" s="1"/>
  <c r="S1058" i="13015"/>
  <c r="K1102" i="13015"/>
  <c r="S1102" i="13015" s="1"/>
  <c r="K1080" i="13015"/>
  <c r="S1080" i="13015" s="1"/>
  <c r="K1124" i="13015"/>
  <c r="S1124" i="13015" s="1"/>
  <c r="S229" i="13015"/>
  <c r="K337" i="13015"/>
  <c r="S337" i="13015" s="1"/>
  <c r="K373" i="13015"/>
  <c r="K265" i="13015"/>
  <c r="S265" i="13015" s="1"/>
  <c r="K301" i="13015"/>
  <c r="S301" i="13015" s="1"/>
  <c r="O858" i="13015"/>
  <c r="M1123" i="13015"/>
  <c r="U1123" i="13015" s="1"/>
  <c r="M1101" i="13015"/>
  <c r="U1101" i="13015" s="1"/>
  <c r="U1057" i="13015"/>
  <c r="M1079" i="13015"/>
  <c r="U1079" i="13015" s="1"/>
  <c r="M334" i="13015"/>
  <c r="U334" i="13015" s="1"/>
  <c r="M298" i="13015"/>
  <c r="U298" i="13015" s="1"/>
  <c r="U226" i="13015"/>
  <c r="M370" i="13015"/>
  <c r="M262" i="13015"/>
  <c r="U262" i="13015" s="1"/>
  <c r="K506" i="13015"/>
  <c r="S506" i="13015" s="1"/>
  <c r="K438" i="13015"/>
  <c r="S438" i="13015" s="1"/>
  <c r="K472" i="13015"/>
  <c r="S472" i="13015" s="1"/>
  <c r="K404" i="13015"/>
  <c r="S404" i="13015" s="1"/>
  <c r="S370" i="13015"/>
  <c r="S542" i="13015"/>
  <c r="K608" i="13015"/>
  <c r="S608" i="13015" s="1"/>
  <c r="K575" i="13015"/>
  <c r="S575" i="13015" s="1"/>
  <c r="K641" i="13015"/>
  <c r="S641" i="13015" s="1"/>
  <c r="S1899" i="13015"/>
  <c r="K263" i="13015"/>
  <c r="S263" i="13015" s="1"/>
  <c r="K335" i="13015"/>
  <c r="S335" i="13015" s="1"/>
  <c r="S227" i="13015"/>
  <c r="K299" i="13015"/>
  <c r="S299" i="13015" s="1"/>
  <c r="K371" i="13015"/>
  <c r="M1036" i="13015"/>
  <c r="U1036" i="13015" s="1"/>
  <c r="M1148" i="13015"/>
  <c r="U1148" i="13015" s="1"/>
  <c r="M543" i="13015"/>
  <c r="M229" i="13015"/>
  <c r="M1012" i="13015"/>
  <c r="U1012" i="13015" s="1"/>
  <c r="M1060" i="13015"/>
  <c r="M1892" i="13015"/>
  <c r="U1892" i="13015" s="1"/>
  <c r="U964" i="13015"/>
  <c r="M988" i="13015"/>
  <c r="U988" i="13015" s="1"/>
  <c r="K1126" i="13015"/>
  <c r="S1126" i="13015" s="1"/>
  <c r="K1082" i="13015"/>
  <c r="S1082" i="13015" s="1"/>
  <c r="S1060" i="13015"/>
  <c r="K1104" i="13015"/>
  <c r="S1104" i="13015" s="1"/>
  <c r="M606" i="13015"/>
  <c r="U606" i="13015" s="1"/>
  <c r="M639" i="13015"/>
  <c r="U639" i="13015" s="1"/>
  <c r="M573" i="13015"/>
  <c r="U573" i="13015" s="1"/>
  <c r="U540" i="13015"/>
  <c r="K300" i="13015"/>
  <c r="S300" i="13015" s="1"/>
  <c r="K372" i="13015"/>
  <c r="K264" i="13015"/>
  <c r="S264" i="13015" s="1"/>
  <c r="K336" i="13015"/>
  <c r="S336" i="13015" s="1"/>
  <c r="S228" i="13015"/>
  <c r="S541" i="13015"/>
  <c r="K607" i="13015"/>
  <c r="S607" i="13015" s="1"/>
  <c r="K574" i="13015"/>
  <c r="S574" i="13015" s="1"/>
  <c r="K640" i="13015"/>
  <c r="S640" i="13015" s="1"/>
  <c r="K609" i="13015"/>
  <c r="S609" i="13015" s="1"/>
  <c r="K642" i="13015"/>
  <c r="S642" i="13015" s="1"/>
  <c r="K576" i="13015"/>
  <c r="S576" i="13015" s="1"/>
  <c r="S543" i="13015"/>
  <c r="W1589" i="12908"/>
  <c r="W763" i="12908"/>
  <c r="AT763" i="13034" s="1"/>
  <c r="W839" i="13015"/>
  <c r="AI839" i="13015" s="1"/>
  <c r="O560" i="13015"/>
  <c r="O355" i="13015"/>
  <c r="O283" i="13015"/>
  <c r="O782" i="13015"/>
  <c r="O626" i="13015"/>
  <c r="M678" i="13015"/>
  <c r="U678" i="13015" s="1"/>
  <c r="W678" i="13015"/>
  <c r="AI678" i="13015" s="1"/>
  <c r="O838" i="13015"/>
  <c r="AJ838" i="13015" s="1"/>
  <c r="O699" i="13015"/>
  <c r="O762" i="13015"/>
  <c r="AJ762" i="13015" s="1"/>
  <c r="O246" i="13015"/>
  <c r="AJ246" i="13015" s="1"/>
  <c r="O741" i="13015"/>
  <c r="O894" i="13015"/>
  <c r="AJ894" i="13015" s="1"/>
  <c r="O720" i="13015"/>
  <c r="O527" i="13015"/>
  <c r="O559" i="12908"/>
  <c r="O390" i="12908"/>
  <c r="O857" i="12908"/>
  <c r="W838" i="12908"/>
  <c r="AT838" i="13034" s="1"/>
  <c r="U390" i="12908"/>
  <c r="O781" i="12908"/>
  <c r="O318" i="12908"/>
  <c r="O912" i="12908"/>
  <c r="O354" i="12908"/>
  <c r="W894" i="12908"/>
  <c r="W246" i="12908"/>
  <c r="AT246" i="13034" s="1"/>
  <c r="O948" i="12908"/>
  <c r="M424" i="12908"/>
  <c r="M526" i="12908"/>
  <c r="O819" i="12908"/>
  <c r="M492" i="12908"/>
  <c r="U559" i="12908"/>
  <c r="W762" i="12908"/>
  <c r="W258" i="12908"/>
  <c r="AT258" i="13034" s="1"/>
  <c r="M592" i="12908"/>
  <c r="M658" i="12908"/>
  <c r="W560" i="12908"/>
  <c r="AT560" i="13034" s="1"/>
  <c r="W391" i="12908"/>
  <c r="AT391" i="13034" s="1"/>
  <c r="O459" i="12908"/>
  <c r="O527" i="12908"/>
  <c r="O425" i="12908"/>
  <c r="O493" i="12908"/>
  <c r="O2193" i="12908"/>
  <c r="W2170" i="12908"/>
  <c r="AT2170" i="13034" s="1"/>
  <c r="O2216" i="12908"/>
  <c r="O2123" i="12908"/>
  <c r="O2145" i="12908"/>
  <c r="W2079" i="12908"/>
  <c r="O2101" i="12908"/>
  <c r="AL2101" i="13034" s="1"/>
  <c r="W2100" i="12908"/>
  <c r="AT2100" i="13034" s="1"/>
  <c r="O2167" i="12908"/>
  <c r="AL2167" i="13034" s="1"/>
  <c r="W391" i="13015" l="1"/>
  <c r="AI391" i="13015" s="1"/>
  <c r="O459" i="13015"/>
  <c r="O493" i="13015"/>
  <c r="O425" i="13015"/>
  <c r="W425" i="13015" s="1"/>
  <c r="AI425" i="13015" s="1"/>
  <c r="U658" i="12908"/>
  <c r="AJ658" i="13034"/>
  <c r="U424" i="12908"/>
  <c r="AJ424" i="13034"/>
  <c r="W354" i="12908"/>
  <c r="AL354" i="13034"/>
  <c r="W559" i="12908"/>
  <c r="AT559" i="13034" s="1"/>
  <c r="AL559" i="13034"/>
  <c r="W527" i="13015"/>
  <c r="AJ527" i="13015"/>
  <c r="W699" i="13015"/>
  <c r="AJ699" i="13015"/>
  <c r="O659" i="13015"/>
  <c r="AJ560" i="13015"/>
  <c r="W1601" i="12908"/>
  <c r="AT1601" i="13034" s="1"/>
  <c r="AT1589" i="13034"/>
  <c r="W801" i="13015"/>
  <c r="AI801" i="13015" s="1"/>
  <c r="AJ801" i="13015"/>
  <c r="U330" i="12908"/>
  <c r="AR330" i="13034" s="1"/>
  <c r="AR319" i="13034"/>
  <c r="W2539" i="12908"/>
  <c r="AT2539" i="13034" s="1"/>
  <c r="AT2537" i="13034"/>
  <c r="U829" i="12908"/>
  <c r="AR829" i="13034" s="1"/>
  <c r="AR819" i="13034"/>
  <c r="U625" i="12908"/>
  <c r="AJ625" i="13034"/>
  <c r="S2539" i="12908"/>
  <c r="AP2539" i="13034" s="1"/>
  <c r="AP2504" i="13034"/>
  <c r="W2193" i="12908"/>
  <c r="AT2193" i="13034" s="1"/>
  <c r="AL2193" i="13034"/>
  <c r="W459" i="12908"/>
  <c r="AT459" i="13034" s="1"/>
  <c r="AL459" i="13034"/>
  <c r="U592" i="12908"/>
  <c r="AR592" i="13034" s="1"/>
  <c r="AJ592" i="13034"/>
  <c r="W948" i="12908"/>
  <c r="AL948" i="13034"/>
  <c r="W912" i="12908"/>
  <c r="AL912" i="13034"/>
  <c r="W820" i="13015"/>
  <c r="AJ820" i="13015"/>
  <c r="AT1565" i="13034"/>
  <c r="W1579" i="12908"/>
  <c r="AT1579" i="13034" s="1"/>
  <c r="AR1653" i="13034"/>
  <c r="U1647" i="12908"/>
  <c r="U1648" i="12908"/>
  <c r="W949" i="12908"/>
  <c r="AT949" i="13034" s="1"/>
  <c r="AL949" i="13034"/>
  <c r="U791" i="12908"/>
  <c r="AR791" i="13034" s="1"/>
  <c r="AR781" i="13034"/>
  <c r="W2145" i="12908"/>
  <c r="AL2145" i="13034"/>
  <c r="AB1658" i="12908"/>
  <c r="W493" i="12908"/>
  <c r="AT493" i="13034" s="1"/>
  <c r="AL493" i="13034"/>
  <c r="W819" i="12908"/>
  <c r="AT819" i="13034" s="1"/>
  <c r="AL819" i="13034"/>
  <c r="W318" i="12908"/>
  <c r="AL318" i="13034"/>
  <c r="W857" i="12908"/>
  <c r="AL857" i="13034"/>
  <c r="W459" i="13015"/>
  <c r="AI459" i="13015" s="1"/>
  <c r="AJ459" i="13015"/>
  <c r="W493" i="13015"/>
  <c r="AI493" i="13015" s="1"/>
  <c r="AJ493" i="13015"/>
  <c r="W283" i="13015"/>
  <c r="AI283" i="13015" s="1"/>
  <c r="AJ283" i="13015"/>
  <c r="W732" i="12908"/>
  <c r="AT732" i="13034" s="1"/>
  <c r="W319" i="13015"/>
  <c r="AI319" i="13015" s="1"/>
  <c r="AJ319" i="13015"/>
  <c r="W913" i="13015"/>
  <c r="AJ913" i="13015"/>
  <c r="W2433" i="12908"/>
  <c r="U626" i="12908"/>
  <c r="AR626" i="13034" s="1"/>
  <c r="AJ626" i="13034"/>
  <c r="W1935" i="12908"/>
  <c r="AT1935" i="13034" s="1"/>
  <c r="AT1917" i="13034"/>
  <c r="W876" i="12908"/>
  <c r="AT876" i="13034" s="1"/>
  <c r="AL876" i="13034"/>
  <c r="AR857" i="13034"/>
  <c r="U867" i="12908"/>
  <c r="AR867" i="13034" s="1"/>
  <c r="U294" i="12908"/>
  <c r="AR294" i="13034" s="1"/>
  <c r="AR282" i="13034"/>
  <c r="W527" i="12908"/>
  <c r="AT527" i="13034" s="1"/>
  <c r="AL527" i="13034"/>
  <c r="U569" i="12908"/>
  <c r="AR569" i="13034" s="1"/>
  <c r="AR559" i="13034"/>
  <c r="U400" i="12908"/>
  <c r="AR400" i="13034" s="1"/>
  <c r="AR390" i="13034"/>
  <c r="W626" i="13015"/>
  <c r="W949" i="13015"/>
  <c r="AI949" i="13015" s="1"/>
  <c r="AJ949" i="13015"/>
  <c r="W931" i="12908"/>
  <c r="AT931" i="13034" s="1"/>
  <c r="AL931" i="13034"/>
  <c r="W2331" i="12908"/>
  <c r="AT2329" i="13034"/>
  <c r="AR2504" i="13034"/>
  <c r="U2539" i="12908"/>
  <c r="AR2539" i="13034" s="1"/>
  <c r="W2092" i="12908"/>
  <c r="AT2092" i="13034" s="1"/>
  <c r="AT2079" i="13034"/>
  <c r="U492" i="12908"/>
  <c r="AJ492" i="13034"/>
  <c r="W741" i="13015"/>
  <c r="AJ741" i="13015"/>
  <c r="W782" i="13015"/>
  <c r="AJ782" i="13015"/>
  <c r="U459" i="12908"/>
  <c r="AR459" i="13034" s="1"/>
  <c r="AJ459" i="13034"/>
  <c r="W913" i="12908"/>
  <c r="AT913" i="13034" s="1"/>
  <c r="AL913" i="13034"/>
  <c r="W877" i="12908"/>
  <c r="AL877" i="13034"/>
  <c r="U366" i="12908"/>
  <c r="AR366" i="13034" s="1"/>
  <c r="AR354" i="13034"/>
  <c r="W930" i="12908"/>
  <c r="AL930" i="13034"/>
  <c r="W711" i="12908"/>
  <c r="AT711" i="13034" s="1"/>
  <c r="AT699" i="13034"/>
  <c r="W800" i="12908"/>
  <c r="AL800" i="13034"/>
  <c r="U458" i="12908"/>
  <c r="AR458" i="13034" s="1"/>
  <c r="AJ458" i="13034"/>
  <c r="W2606" i="12908"/>
  <c r="AT2606" i="13034" s="1"/>
  <c r="W782" i="12908"/>
  <c r="AT782" i="13034" s="1"/>
  <c r="AL782" i="13034"/>
  <c r="W877" i="13015"/>
  <c r="AJ877" i="13015"/>
  <c r="W2123" i="12908"/>
  <c r="AL2123" i="13034"/>
  <c r="W2216" i="12908"/>
  <c r="AT2216" i="13034" s="1"/>
  <c r="AL2216" i="13034"/>
  <c r="W425" i="12908"/>
  <c r="AT425" i="13034" s="1"/>
  <c r="AL425" i="13034"/>
  <c r="W772" i="12908"/>
  <c r="AT772" i="13034" s="1"/>
  <c r="AT762" i="13034"/>
  <c r="U526" i="12908"/>
  <c r="AJ526" i="13034"/>
  <c r="W904" i="12908"/>
  <c r="AT904" i="13034" s="1"/>
  <c r="AT894" i="13034"/>
  <c r="W781" i="12908"/>
  <c r="AL781" i="13034"/>
  <c r="W390" i="12908"/>
  <c r="AT390" i="13034" s="1"/>
  <c r="AL390" i="13034"/>
  <c r="AJ425" i="13015"/>
  <c r="W720" i="13015"/>
  <c r="AJ720" i="13015"/>
  <c r="W355" i="13015"/>
  <c r="AI355" i="13015" s="1"/>
  <c r="AJ355" i="13015"/>
  <c r="W858" i="13015"/>
  <c r="AJ858" i="13015"/>
  <c r="W820" i="12908"/>
  <c r="AT820" i="13034" s="1"/>
  <c r="AL820" i="13034"/>
  <c r="O659" i="12908"/>
  <c r="AL560" i="13034"/>
  <c r="W931" i="13015"/>
  <c r="AI931" i="13015" s="1"/>
  <c r="AJ931" i="13015"/>
  <c r="U593" i="12908"/>
  <c r="AR593" i="13034" s="1"/>
  <c r="AJ593" i="13034"/>
  <c r="S1630" i="12908"/>
  <c r="AH1630" i="13034"/>
  <c r="AI700" i="13015"/>
  <c r="W282" i="12908"/>
  <c r="AL282" i="13034"/>
  <c r="U958" i="12908"/>
  <c r="AR958" i="13034" s="1"/>
  <c r="AR948" i="13034"/>
  <c r="W858" i="12908"/>
  <c r="AT858" i="13034" s="1"/>
  <c r="AL858" i="13034"/>
  <c r="U886" i="12908"/>
  <c r="AR886" i="13034" s="1"/>
  <c r="AR876" i="13034"/>
  <c r="U659" i="12908"/>
  <c r="AR659" i="13034" s="1"/>
  <c r="AJ659" i="13034"/>
  <c r="AR800" i="13034"/>
  <c r="U810" i="12908"/>
  <c r="AR810" i="13034" s="1"/>
  <c r="U527" i="12908"/>
  <c r="AR527" i="13034" s="1"/>
  <c r="AJ527" i="13034"/>
  <c r="AI742" i="13015"/>
  <c r="AR2296" i="13034"/>
  <c r="U2331" i="12908"/>
  <c r="S2435" i="12908"/>
  <c r="AP2435" i="13034" s="1"/>
  <c r="AP2400" i="13034"/>
  <c r="AA2332" i="12908"/>
  <c r="AP2331" i="13034"/>
  <c r="U922" i="12908"/>
  <c r="AR922" i="13034" s="1"/>
  <c r="AR913" i="13034"/>
  <c r="U2435" i="12908"/>
  <c r="AR2435" i="13034" s="1"/>
  <c r="U602" i="12908"/>
  <c r="AR602" i="13034" s="1"/>
  <c r="W848" i="12908"/>
  <c r="AT848" i="13034" s="1"/>
  <c r="S1098" i="13015"/>
  <c r="O458" i="12908"/>
  <c r="O626" i="12908"/>
  <c r="AJ626" i="13015" s="1"/>
  <c r="W829" i="12908"/>
  <c r="AT829" i="13034" s="1"/>
  <c r="S1120" i="13015"/>
  <c r="U1006" i="13015"/>
  <c r="O593" i="12908"/>
  <c r="S552" i="13015"/>
  <c r="O526" i="12908"/>
  <c r="S238" i="13015"/>
  <c r="S1142" i="13015"/>
  <c r="U1164" i="13015"/>
  <c r="AB983" i="13015"/>
  <c r="AD983" i="13015" s="1"/>
  <c r="S346" i="13015"/>
  <c r="S651" i="13015"/>
  <c r="U1030" i="13015"/>
  <c r="S585" i="13015"/>
  <c r="U1899" i="13015"/>
  <c r="S310" i="13015"/>
  <c r="W560" i="13015"/>
  <c r="AI560" i="13015" s="1"/>
  <c r="S618" i="13015"/>
  <c r="S1076" i="13015"/>
  <c r="U1054" i="13015"/>
  <c r="M642" i="13015"/>
  <c r="U642" i="13015" s="1"/>
  <c r="U543" i="13015"/>
  <c r="M609" i="13015"/>
  <c r="U609" i="13015" s="1"/>
  <c r="M576" i="13015"/>
  <c r="U576" i="13015" s="1"/>
  <c r="K473" i="13015"/>
  <c r="S473" i="13015" s="1"/>
  <c r="K507" i="13015"/>
  <c r="S507" i="13015" s="1"/>
  <c r="K439" i="13015"/>
  <c r="S439" i="13015" s="1"/>
  <c r="S371" i="13015"/>
  <c r="K405" i="13015"/>
  <c r="S405" i="13015" s="1"/>
  <c r="S274" i="13015"/>
  <c r="M1124" i="13015"/>
  <c r="U1124" i="13015" s="1"/>
  <c r="M1080" i="13015"/>
  <c r="U1080" i="13015" s="1"/>
  <c r="U1058" i="13015"/>
  <c r="M1102" i="13015"/>
  <c r="U1102" i="13015" s="1"/>
  <c r="K440" i="13015"/>
  <c r="S440" i="13015" s="1"/>
  <c r="S372" i="13015"/>
  <c r="K406" i="13015"/>
  <c r="S406" i="13015" s="1"/>
  <c r="K508" i="13015"/>
  <c r="S508" i="13015" s="1"/>
  <c r="K474" i="13015"/>
  <c r="S474" i="13015" s="1"/>
  <c r="M1104" i="13015"/>
  <c r="U1104" i="13015" s="1"/>
  <c r="M1082" i="13015"/>
  <c r="U1082" i="13015" s="1"/>
  <c r="M1126" i="13015"/>
  <c r="U1126" i="13015" s="1"/>
  <c r="U1060" i="13015"/>
  <c r="M472" i="13015"/>
  <c r="U472" i="13015" s="1"/>
  <c r="M438" i="13015"/>
  <c r="U438" i="13015" s="1"/>
  <c r="M404" i="13015"/>
  <c r="U404" i="13015" s="1"/>
  <c r="M506" i="13015"/>
  <c r="U506" i="13015" s="1"/>
  <c r="U370" i="13015"/>
  <c r="K441" i="13015"/>
  <c r="S441" i="13015" s="1"/>
  <c r="K407" i="13015"/>
  <c r="S407" i="13015" s="1"/>
  <c r="K475" i="13015"/>
  <c r="S475" i="13015" s="1"/>
  <c r="K509" i="13015"/>
  <c r="S509" i="13015" s="1"/>
  <c r="S373" i="13015"/>
  <c r="M641" i="13015"/>
  <c r="U641" i="13015" s="1"/>
  <c r="M575" i="13015"/>
  <c r="U575" i="13015" s="1"/>
  <c r="U542" i="13015"/>
  <c r="M608" i="13015"/>
  <c r="U608" i="13015" s="1"/>
  <c r="O424" i="12908"/>
  <c r="O593" i="13015"/>
  <c r="U227" i="13015"/>
  <c r="M263" i="13015"/>
  <c r="U263" i="13015" s="1"/>
  <c r="M371" i="13015"/>
  <c r="M335" i="13015"/>
  <c r="U335" i="13015" s="1"/>
  <c r="M299" i="13015"/>
  <c r="U299" i="13015" s="1"/>
  <c r="O492" i="12908"/>
  <c r="M337" i="13015"/>
  <c r="U337" i="13015" s="1"/>
  <c r="M301" i="13015"/>
  <c r="U301" i="13015" s="1"/>
  <c r="U229" i="13015"/>
  <c r="M265" i="13015"/>
  <c r="U265" i="13015" s="1"/>
  <c r="M373" i="13015"/>
  <c r="M1103" i="13015"/>
  <c r="U1103" i="13015" s="1"/>
  <c r="U1059" i="13015"/>
  <c r="M1125" i="13015"/>
  <c r="U1125" i="13015" s="1"/>
  <c r="M1081" i="13015"/>
  <c r="U1081" i="13015" s="1"/>
  <c r="M372" i="13015"/>
  <c r="M264" i="13015"/>
  <c r="U264" i="13015" s="1"/>
  <c r="M300" i="13015"/>
  <c r="U300" i="13015" s="1"/>
  <c r="U228" i="13015"/>
  <c r="M336" i="13015"/>
  <c r="U336" i="13015" s="1"/>
  <c r="M607" i="13015"/>
  <c r="U607" i="13015" s="1"/>
  <c r="M640" i="13015"/>
  <c r="U640" i="13015" s="1"/>
  <c r="M574" i="13015"/>
  <c r="U574" i="13015" s="1"/>
  <c r="U541" i="13015"/>
  <c r="O592" i="12908"/>
  <c r="O625" i="12908"/>
  <c r="O658" i="12908"/>
  <c r="O857" i="13015"/>
  <c r="W838" i="13015"/>
  <c r="O876" i="13015"/>
  <c r="O318" i="13015"/>
  <c r="O282" i="13015"/>
  <c r="W246" i="13015"/>
  <c r="O390" i="13015"/>
  <c r="AJ390" i="13015" s="1"/>
  <c r="O354" i="13015"/>
  <c r="O800" i="13015"/>
  <c r="W762" i="13015"/>
  <c r="O819" i="13015"/>
  <c r="O781" i="13015"/>
  <c r="O559" i="13015"/>
  <c r="AJ559" i="13015" s="1"/>
  <c r="O930" i="13015"/>
  <c r="W894" i="13015"/>
  <c r="O948" i="13015"/>
  <c r="O912" i="13015"/>
  <c r="W400" i="12908"/>
  <c r="AT400" i="13034" s="1"/>
  <c r="W569" i="12908"/>
  <c r="AT569" i="13034" s="1"/>
  <c r="W2167" i="12908"/>
  <c r="AT2167" i="13034" s="1"/>
  <c r="O2190" i="12908"/>
  <c r="O2213" i="12908"/>
  <c r="W2101" i="12908"/>
  <c r="O2168" i="12908"/>
  <c r="AL2168" i="13034" s="1"/>
  <c r="W258" i="13015" l="1"/>
  <c r="AI258" i="13015" s="1"/>
  <c r="AI246" i="13015"/>
  <c r="AB2332" i="12908"/>
  <c r="AR2331" i="13034"/>
  <c r="AT800" i="13034"/>
  <c r="W810" i="12908"/>
  <c r="AT810" i="13034" s="1"/>
  <c r="W886" i="12908"/>
  <c r="AT886" i="13034" s="1"/>
  <c r="AT877" i="13034"/>
  <c r="W2435" i="12908"/>
  <c r="AT2435" i="13034" s="1"/>
  <c r="AT2433" i="13034"/>
  <c r="AR1647" i="13034"/>
  <c r="M1647" i="12908"/>
  <c r="W1647" i="12908"/>
  <c r="W2190" i="12908"/>
  <c r="AT2190" i="13034" s="1"/>
  <c r="AL2190" i="13034"/>
  <c r="W912" i="13015"/>
  <c r="AJ912" i="13015"/>
  <c r="W800" i="13015"/>
  <c r="AJ800" i="13015"/>
  <c r="W282" i="13015"/>
  <c r="AJ282" i="13015"/>
  <c r="W857" i="13015"/>
  <c r="AJ857" i="13015"/>
  <c r="W593" i="13015"/>
  <c r="AJ593" i="13015"/>
  <c r="W458" i="12908"/>
  <c r="AL458" i="13034"/>
  <c r="W659" i="12908"/>
  <c r="AT659" i="13034" s="1"/>
  <c r="AL659" i="13034"/>
  <c r="AI858" i="13015"/>
  <c r="W732" i="13015"/>
  <c r="AI732" i="13015" s="1"/>
  <c r="AI720" i="13015"/>
  <c r="AI877" i="13015"/>
  <c r="AT2331" i="13034"/>
  <c r="AC2332" i="12908"/>
  <c r="AD2332" i="12908" s="1"/>
  <c r="W867" i="12908"/>
  <c r="AT867" i="13034" s="1"/>
  <c r="AT857" i="13034"/>
  <c r="AI820" i="13015"/>
  <c r="W958" i="12908"/>
  <c r="AT958" i="13034" s="1"/>
  <c r="AT948" i="13034"/>
  <c r="W711" i="13015"/>
  <c r="AI711" i="13015" s="1"/>
  <c r="AI699" i="13015"/>
  <c r="U434" i="12908"/>
  <c r="AR434" i="13034" s="1"/>
  <c r="AR424" i="13034"/>
  <c r="W2213" i="12908"/>
  <c r="AT2213" i="13034" s="1"/>
  <c r="AL2213" i="13034"/>
  <c r="W772" i="13015"/>
  <c r="AI772" i="13015" s="1"/>
  <c r="AI762" i="13015"/>
  <c r="W592" i="12908"/>
  <c r="AL592" i="13034"/>
  <c r="W593" i="12908"/>
  <c r="AT593" i="13034" s="1"/>
  <c r="AL593" i="13034"/>
  <c r="AT282" i="13034"/>
  <c r="W294" i="12908"/>
  <c r="AT294" i="13034" s="1"/>
  <c r="W948" i="13015"/>
  <c r="AJ948" i="13015"/>
  <c r="W781" i="13015"/>
  <c r="AJ781" i="13015"/>
  <c r="W354" i="13015"/>
  <c r="AJ354" i="13015"/>
  <c r="W318" i="13015"/>
  <c r="AJ318" i="13015"/>
  <c r="W658" i="12908"/>
  <c r="AL658" i="13034"/>
  <c r="U1098" i="13015"/>
  <c r="W424" i="12908"/>
  <c r="AL424" i="13034"/>
  <c r="W526" i="12908"/>
  <c r="AL526" i="13034"/>
  <c r="AI782" i="13015"/>
  <c r="U502" i="12908"/>
  <c r="AR502" i="13034" s="1"/>
  <c r="AR492" i="13034"/>
  <c r="AI913" i="13015"/>
  <c r="W2158" i="12908"/>
  <c r="AT2158" i="13034" s="1"/>
  <c r="AT2145" i="13034"/>
  <c r="W930" i="13015"/>
  <c r="AJ930" i="13015"/>
  <c r="W848" i="13015"/>
  <c r="AI848" i="13015" s="1"/>
  <c r="AI838" i="13015"/>
  <c r="W626" i="12908"/>
  <c r="AT626" i="13034" s="1"/>
  <c r="AL626" i="13034"/>
  <c r="AT930" i="13034"/>
  <c r="W940" i="12908"/>
  <c r="AT940" i="13034" s="1"/>
  <c r="W753" i="13015"/>
  <c r="AI753" i="13015" s="1"/>
  <c r="AI741" i="13015"/>
  <c r="W2114" i="12908"/>
  <c r="AT2114" i="13034" s="1"/>
  <c r="AT2101" i="13034"/>
  <c r="W904" i="13015"/>
  <c r="AI904" i="13015" s="1"/>
  <c r="AI894" i="13015"/>
  <c r="W819" i="13015"/>
  <c r="AJ819" i="13015"/>
  <c r="W876" i="13015"/>
  <c r="AJ876" i="13015"/>
  <c r="W625" i="12908"/>
  <c r="AL625" i="13034"/>
  <c r="W492" i="12908"/>
  <c r="AL492" i="13034"/>
  <c r="S1631" i="12908"/>
  <c r="AP1630" i="13034"/>
  <c r="W791" i="12908"/>
  <c r="AT791" i="13034" s="1"/>
  <c r="AT781" i="13034"/>
  <c r="U536" i="12908"/>
  <c r="AR536" i="13034" s="1"/>
  <c r="AR526" i="13034"/>
  <c r="W2136" i="12908"/>
  <c r="AT2136" i="13034" s="1"/>
  <c r="AT2123" i="13034"/>
  <c r="U468" i="12908"/>
  <c r="AR468" i="13034" s="1"/>
  <c r="AI626" i="13015"/>
  <c r="W330" i="12908"/>
  <c r="AT330" i="13034" s="1"/>
  <c r="AT318" i="13034"/>
  <c r="W1648" i="12908"/>
  <c r="AT1648" i="13034" s="1"/>
  <c r="AR1648" i="13034"/>
  <c r="W922" i="12908"/>
  <c r="AT922" i="13034" s="1"/>
  <c r="AT912" i="13034"/>
  <c r="AR625" i="13034"/>
  <c r="U635" i="12908"/>
  <c r="AR635" i="13034" s="1"/>
  <c r="W659" i="13015"/>
  <c r="AI659" i="13015" s="1"/>
  <c r="AJ659" i="13015"/>
  <c r="AI527" i="13015"/>
  <c r="W366" i="12908"/>
  <c r="AT366" i="13034" s="1"/>
  <c r="AT354" i="13034"/>
  <c r="U668" i="12908"/>
  <c r="AR668" i="13034" s="1"/>
  <c r="AR658" i="13034"/>
  <c r="U238" i="13015"/>
  <c r="S484" i="13015"/>
  <c r="U552" i="13015"/>
  <c r="U1120" i="13015"/>
  <c r="U651" i="13015"/>
  <c r="U1142" i="13015"/>
  <c r="U310" i="13015"/>
  <c r="S450" i="13015"/>
  <c r="U618" i="13015"/>
  <c r="U274" i="13015"/>
  <c r="S416" i="13015"/>
  <c r="U1076" i="13015"/>
  <c r="U585" i="13015"/>
  <c r="U346" i="13015"/>
  <c r="M475" i="13015"/>
  <c r="U475" i="13015" s="1"/>
  <c r="M407" i="13015"/>
  <c r="U407" i="13015" s="1"/>
  <c r="M441" i="13015"/>
  <c r="U441" i="13015" s="1"/>
  <c r="M509" i="13015"/>
  <c r="U509" i="13015" s="1"/>
  <c r="U373" i="13015"/>
  <c r="S518" i="13015"/>
  <c r="U372" i="13015"/>
  <c r="M508" i="13015"/>
  <c r="U508" i="13015" s="1"/>
  <c r="M474" i="13015"/>
  <c r="U474" i="13015" s="1"/>
  <c r="M406" i="13015"/>
  <c r="U406" i="13015" s="1"/>
  <c r="M440" i="13015"/>
  <c r="U440" i="13015" s="1"/>
  <c r="M405" i="13015"/>
  <c r="U405" i="13015" s="1"/>
  <c r="M507" i="13015"/>
  <c r="U507" i="13015" s="1"/>
  <c r="M439" i="13015"/>
  <c r="U439" i="13015" s="1"/>
  <c r="U371" i="13015"/>
  <c r="U382" i="13015" s="1"/>
  <c r="M473" i="13015"/>
  <c r="U473" i="13015" s="1"/>
  <c r="S382" i="13015"/>
  <c r="O424" i="13015"/>
  <c r="O458" i="13015"/>
  <c r="O492" i="13015"/>
  <c r="O526" i="13015"/>
  <c r="W390" i="13015"/>
  <c r="O625" i="13015"/>
  <c r="O592" i="13015"/>
  <c r="O658" i="13015"/>
  <c r="W559" i="13015"/>
  <c r="W2168" i="12908"/>
  <c r="O2214" i="12908"/>
  <c r="O2191" i="12908"/>
  <c r="W400" i="13015" l="1"/>
  <c r="AI400" i="13015" s="1"/>
  <c r="AI390" i="13015"/>
  <c r="W424" i="13015"/>
  <c r="AJ424" i="13015"/>
  <c r="W2181" i="12908"/>
  <c r="AT2181" i="13034" s="1"/>
  <c r="AT2168" i="13034"/>
  <c r="W668" i="12908"/>
  <c r="AT668" i="13034" s="1"/>
  <c r="AT658" i="13034"/>
  <c r="W958" i="13015"/>
  <c r="AI958" i="13015" s="1"/>
  <c r="AI948" i="13015"/>
  <c r="S1639" i="12908"/>
  <c r="AP1639" i="13034" s="1"/>
  <c r="AP1631" i="13034"/>
  <c r="W635" i="12908"/>
  <c r="AT635" i="13034" s="1"/>
  <c r="AT625" i="13034"/>
  <c r="W829" i="13015"/>
  <c r="AI829" i="13015" s="1"/>
  <c r="AI819" i="13015"/>
  <c r="W434" i="12908"/>
  <c r="AT434" i="13034" s="1"/>
  <c r="AT424" i="13034"/>
  <c r="W468" i="12908"/>
  <c r="AT468" i="13034" s="1"/>
  <c r="AT458" i="13034"/>
  <c r="W867" i="13015"/>
  <c r="AI867" i="13015" s="1"/>
  <c r="AI857" i="13015"/>
  <c r="W810" i="13015"/>
  <c r="AI810" i="13015" s="1"/>
  <c r="AI800" i="13015"/>
  <c r="W569" i="13015"/>
  <c r="AI569" i="13015" s="1"/>
  <c r="AI559" i="13015"/>
  <c r="W658" i="13015"/>
  <c r="AJ658" i="13015"/>
  <c r="W526" i="13015"/>
  <c r="AJ526" i="13015"/>
  <c r="W366" i="13015"/>
  <c r="AI366" i="13015" s="1"/>
  <c r="AI354" i="13015"/>
  <c r="W592" i="13015"/>
  <c r="AJ592" i="13015"/>
  <c r="W492" i="13015"/>
  <c r="AJ492" i="13015"/>
  <c r="W2191" i="12908"/>
  <c r="AL2191" i="13034"/>
  <c r="W625" i="13015"/>
  <c r="AJ625" i="13015"/>
  <c r="W458" i="13015"/>
  <c r="AJ458" i="13015"/>
  <c r="W330" i="13015"/>
  <c r="AI330" i="13015" s="1"/>
  <c r="AI318" i="13015"/>
  <c r="W791" i="13015"/>
  <c r="AI791" i="13015" s="1"/>
  <c r="AI781" i="13015"/>
  <c r="AT592" i="13034"/>
  <c r="W602" i="12908"/>
  <c r="AT602" i="13034" s="1"/>
  <c r="AC1658" i="12908"/>
  <c r="AD1658" i="12908" s="1"/>
  <c r="AT1647" i="13034"/>
  <c r="W2214" i="12908"/>
  <c r="AL2214" i="13034"/>
  <c r="W502" i="12908"/>
  <c r="AT502" i="13034" s="1"/>
  <c r="AT492" i="13034"/>
  <c r="W886" i="13015"/>
  <c r="AI886" i="13015" s="1"/>
  <c r="AI876" i="13015"/>
  <c r="W940" i="13015"/>
  <c r="AI940" i="13015" s="1"/>
  <c r="AI930" i="13015"/>
  <c r="W536" i="12908"/>
  <c r="AT536" i="13034" s="1"/>
  <c r="AT526" i="13034"/>
  <c r="AI593" i="13015"/>
  <c r="W294" i="13015"/>
  <c r="AI294" i="13015" s="1"/>
  <c r="AI282" i="13015"/>
  <c r="W922" i="13015"/>
  <c r="AI922" i="13015" s="1"/>
  <c r="AI912" i="13015"/>
  <c r="AJ1647" i="13034"/>
  <c r="O1647" i="12908"/>
  <c r="M1629" i="12908"/>
  <c r="M1648" i="12908"/>
  <c r="U450" i="13015"/>
  <c r="U416" i="13015"/>
  <c r="U518" i="13015"/>
  <c r="U484" i="13015"/>
  <c r="S14" i="12908"/>
  <c r="AP14" i="13034" s="1"/>
  <c r="U1629" i="12908" l="1"/>
  <c r="AR1629" i="13034" s="1"/>
  <c r="AJ1629" i="13034"/>
  <c r="W434" i="13015"/>
  <c r="AI434" i="13015" s="1"/>
  <c r="AI424" i="13015"/>
  <c r="AL1647" i="13034"/>
  <c r="O1647" i="13015"/>
  <c r="O1629" i="12908"/>
  <c r="W2227" i="12908"/>
  <c r="AT2227" i="13034" s="1"/>
  <c r="AT2214" i="13034"/>
  <c r="W635" i="13015"/>
  <c r="AI635" i="13015" s="1"/>
  <c r="AI625" i="13015"/>
  <c r="W502" i="13015"/>
  <c r="AI502" i="13015" s="1"/>
  <c r="AI492" i="13015"/>
  <c r="W668" i="13015"/>
  <c r="AI668" i="13015" s="1"/>
  <c r="AI658" i="13015"/>
  <c r="AJ1648" i="13034"/>
  <c r="M1630" i="12908"/>
  <c r="O1648" i="12908"/>
  <c r="W468" i="13015"/>
  <c r="AI468" i="13015" s="1"/>
  <c r="AI458" i="13015"/>
  <c r="W2204" i="12908"/>
  <c r="AT2204" i="13034" s="1"/>
  <c r="AT2191" i="13034"/>
  <c r="W602" i="13015"/>
  <c r="AI602" i="13015" s="1"/>
  <c r="AI592" i="13015"/>
  <c r="W536" i="13015"/>
  <c r="AI536" i="13015" s="1"/>
  <c r="AI526" i="13015"/>
  <c r="S16" i="12908"/>
  <c r="AP16" i="13034" s="1"/>
  <c r="W1629" i="12908" l="1"/>
  <c r="AT1629" i="13034" s="1"/>
  <c r="AL1629" i="13034"/>
  <c r="AL1648" i="13034"/>
  <c r="O1648" i="13015"/>
  <c r="O1630" i="12908"/>
  <c r="W1647" i="13015"/>
  <c r="AI1647" i="13015" s="1"/>
  <c r="AJ1647" i="13015"/>
  <c r="U1630" i="12908"/>
  <c r="AJ1630" i="13034"/>
  <c r="S17" i="12908"/>
  <c r="AP17" i="13034" s="1"/>
  <c r="U1631" i="12908" l="1"/>
  <c r="AR1630" i="13034"/>
  <c r="W1648" i="13015"/>
  <c r="AI1648" i="13015" s="1"/>
  <c r="AJ1648" i="13015"/>
  <c r="W1630" i="12908"/>
  <c r="AL1630" i="13034"/>
  <c r="S18" i="12908"/>
  <c r="S19" i="12908" l="1"/>
  <c r="AP18" i="13034"/>
  <c r="W1631" i="12908"/>
  <c r="AT1630" i="13034"/>
  <c r="U1639" i="12908"/>
  <c r="AR1639" i="13034" s="1"/>
  <c r="AR1631" i="13034"/>
  <c r="W1639" i="12908" l="1"/>
  <c r="AT1639" i="13034" s="1"/>
  <c r="AT1631" i="13034"/>
  <c r="K29" i="12908"/>
  <c r="AP19" i="13034"/>
  <c r="AH29" i="13034" l="1"/>
  <c r="K66" i="12908"/>
  <c r="S29" i="12908"/>
  <c r="AP29" i="13034" s="1"/>
  <c r="K103" i="12908"/>
  <c r="K33" i="12908"/>
  <c r="K41" i="12908"/>
  <c r="K206" i="12908"/>
  <c r="K169" i="12908"/>
  <c r="K31" i="12908"/>
  <c r="K132" i="12908"/>
  <c r="K30" i="12908"/>
  <c r="K106" i="12908"/>
  <c r="O29" i="12908"/>
  <c r="K105" i="12908"/>
  <c r="K102" i="12908"/>
  <c r="K32" i="12908"/>
  <c r="AH106" i="13034" l="1"/>
  <c r="S106" i="12908"/>
  <c r="AP106" i="13034" s="1"/>
  <c r="M106" i="12908"/>
  <c r="AH102" i="13034"/>
  <c r="O102" i="12908"/>
  <c r="S102" i="12908"/>
  <c r="AH30" i="13034"/>
  <c r="O30" i="12908"/>
  <c r="K207" i="12908"/>
  <c r="K133" i="12908"/>
  <c r="K67" i="12908"/>
  <c r="K170" i="12908"/>
  <c r="S30" i="12908"/>
  <c r="S206" i="12908"/>
  <c r="AH206" i="13034"/>
  <c r="S169" i="12908"/>
  <c r="AH169" i="13034"/>
  <c r="AH103" i="13034"/>
  <c r="S103" i="12908"/>
  <c r="AP103" i="13034" s="1"/>
  <c r="M103" i="12908"/>
  <c r="AH105" i="13034"/>
  <c r="S105" i="12908"/>
  <c r="AP105" i="13034" s="1"/>
  <c r="O105" i="12908"/>
  <c r="S132" i="12908"/>
  <c r="AH132" i="13034"/>
  <c r="AH41" i="13034"/>
  <c r="AC42" i="12908"/>
  <c r="K107" i="12908"/>
  <c r="O41" i="12908"/>
  <c r="K218" i="12908"/>
  <c r="K181" i="12908"/>
  <c r="K78" i="12908"/>
  <c r="K144" i="12908"/>
  <c r="S66" i="12908"/>
  <c r="AH66" i="13034"/>
  <c r="AH32" i="13034"/>
  <c r="O32" i="12908"/>
  <c r="K209" i="12908"/>
  <c r="K172" i="12908"/>
  <c r="K69" i="12908"/>
  <c r="K135" i="12908"/>
  <c r="S32" i="12908"/>
  <c r="AP32" i="13034" s="1"/>
  <c r="O29" i="13015"/>
  <c r="AL29" i="13034"/>
  <c r="O132" i="12908"/>
  <c r="O66" i="12908"/>
  <c r="O206" i="12908"/>
  <c r="W29" i="12908"/>
  <c r="AT29" i="13034" s="1"/>
  <c r="O169" i="12908"/>
  <c r="AH31" i="13034"/>
  <c r="S31" i="12908"/>
  <c r="AP31" i="13034" s="1"/>
  <c r="K134" i="12908"/>
  <c r="K68" i="12908"/>
  <c r="K171" i="12908"/>
  <c r="K208" i="12908"/>
  <c r="O31" i="12908"/>
  <c r="AH33" i="13034"/>
  <c r="S33" i="12908"/>
  <c r="AP33" i="13034" s="1"/>
  <c r="K70" i="12908"/>
  <c r="O33" i="12908"/>
  <c r="K173" i="12908"/>
  <c r="K210" i="12908"/>
  <c r="K136" i="12908"/>
  <c r="O33" i="13015" l="1"/>
  <c r="AL33" i="13034"/>
  <c r="O136" i="12908"/>
  <c r="O173" i="12908"/>
  <c r="O210" i="12908"/>
  <c r="O70" i="12908"/>
  <c r="W33" i="12908"/>
  <c r="AT33" i="13034" s="1"/>
  <c r="S134" i="12908"/>
  <c r="AP134" i="13034" s="1"/>
  <c r="AH134" i="13034"/>
  <c r="S69" i="12908"/>
  <c r="AP69" i="13034" s="1"/>
  <c r="AH69" i="13034"/>
  <c r="S78" i="12908"/>
  <c r="AP78" i="13034" s="1"/>
  <c r="AH78" i="13034"/>
  <c r="S107" i="12908"/>
  <c r="AP107" i="13034" s="1"/>
  <c r="AH107" i="13034"/>
  <c r="U103" i="12908"/>
  <c r="AJ103" i="13034"/>
  <c r="S170" i="12908"/>
  <c r="AP170" i="13034" s="1"/>
  <c r="AH170" i="13034"/>
  <c r="O30" i="13015"/>
  <c r="AL30" i="13034"/>
  <c r="O170" i="12908"/>
  <c r="W30" i="12908"/>
  <c r="AT30" i="13034" s="1"/>
  <c r="O133" i="12908"/>
  <c r="O67" i="12908"/>
  <c r="O207" i="12908"/>
  <c r="S136" i="12908"/>
  <c r="AP136" i="13034" s="1"/>
  <c r="AH136" i="13034"/>
  <c r="S70" i="12908"/>
  <c r="AP70" i="13034" s="1"/>
  <c r="AH70" i="13034"/>
  <c r="S208" i="12908"/>
  <c r="AP208" i="13034" s="1"/>
  <c r="AH208" i="13034"/>
  <c r="W206" i="12908"/>
  <c r="AL206" i="13034"/>
  <c r="AJ29" i="13015"/>
  <c r="O132" i="13015"/>
  <c r="O206" i="13015"/>
  <c r="O169" i="13015"/>
  <c r="O66" i="13015"/>
  <c r="W29" i="13015"/>
  <c r="AI29" i="13015" s="1"/>
  <c r="S172" i="12908"/>
  <c r="AP172" i="13034" s="1"/>
  <c r="AH172" i="13034"/>
  <c r="S181" i="12908"/>
  <c r="AP181" i="13034" s="1"/>
  <c r="AH181" i="13034"/>
  <c r="AL105" i="13034"/>
  <c r="W105" i="12908"/>
  <c r="AT105" i="13034" s="1"/>
  <c r="O105" i="13015"/>
  <c r="S67" i="12908"/>
  <c r="AP67" i="13034" s="1"/>
  <c r="AH67" i="13034"/>
  <c r="U106" i="12908"/>
  <c r="AR106" i="13034" s="1"/>
  <c r="AJ106" i="13034"/>
  <c r="AP132" i="13034"/>
  <c r="S210" i="12908"/>
  <c r="AP210" i="13034" s="1"/>
  <c r="AH210" i="13034"/>
  <c r="S171" i="12908"/>
  <c r="AP171" i="13034" s="1"/>
  <c r="AH171" i="13034"/>
  <c r="W66" i="12908"/>
  <c r="AL66" i="13034"/>
  <c r="S209" i="12908"/>
  <c r="AP209" i="13034" s="1"/>
  <c r="AH209" i="13034"/>
  <c r="AP66" i="13034"/>
  <c r="S218" i="12908"/>
  <c r="AP218" i="13034" s="1"/>
  <c r="AH218" i="13034"/>
  <c r="AP206" i="13034"/>
  <c r="S222" i="12908"/>
  <c r="AP222" i="13034" s="1"/>
  <c r="S133" i="12908"/>
  <c r="AP133" i="13034" s="1"/>
  <c r="AH133" i="13034"/>
  <c r="AP102" i="13034"/>
  <c r="S111" i="12908"/>
  <c r="AP111" i="13034" s="1"/>
  <c r="O31" i="13015"/>
  <c r="AL31" i="13034"/>
  <c r="W31" i="12908"/>
  <c r="AT31" i="13034" s="1"/>
  <c r="O68" i="12908"/>
  <c r="O171" i="12908"/>
  <c r="O208" i="12908"/>
  <c r="O134" i="12908"/>
  <c r="AP169" i="13034"/>
  <c r="S173" i="12908"/>
  <c r="AP173" i="13034" s="1"/>
  <c r="AH173" i="13034"/>
  <c r="S68" i="12908"/>
  <c r="AP68" i="13034" s="1"/>
  <c r="AH68" i="13034"/>
  <c r="W169" i="12908"/>
  <c r="AL169" i="13034"/>
  <c r="W132" i="12908"/>
  <c r="AL132" i="13034"/>
  <c r="S135" i="12908"/>
  <c r="AP135" i="13034" s="1"/>
  <c r="AH135" i="13034"/>
  <c r="O32" i="13015"/>
  <c r="AL32" i="13034"/>
  <c r="O135" i="12908"/>
  <c r="O172" i="12908"/>
  <c r="W32" i="12908"/>
  <c r="AT32" i="13034" s="1"/>
  <c r="O69" i="12908"/>
  <c r="O209" i="12908"/>
  <c r="S144" i="12908"/>
  <c r="AP144" i="13034" s="1"/>
  <c r="AH144" i="13034"/>
  <c r="AL41" i="13034"/>
  <c r="O41" i="13015"/>
  <c r="AJ41" i="13015" s="1"/>
  <c r="O78" i="12908"/>
  <c r="O181" i="12908"/>
  <c r="W41" i="12908"/>
  <c r="AT41" i="13034" s="1"/>
  <c r="O218" i="12908"/>
  <c r="O107" i="12908"/>
  <c r="O144" i="12908"/>
  <c r="AP30" i="13034"/>
  <c r="AA46" i="12908"/>
  <c r="S207" i="12908"/>
  <c r="AP207" i="13034" s="1"/>
  <c r="AH207" i="13034"/>
  <c r="AL102" i="13034"/>
  <c r="O102" i="13015"/>
  <c r="W102" i="12908"/>
  <c r="AT102" i="13034" s="1"/>
  <c r="AA1999" i="12908"/>
  <c r="AD1999" i="12908" s="1"/>
  <c r="K2030" i="12908"/>
  <c r="AJ32" i="13015" l="1"/>
  <c r="O135" i="13015"/>
  <c r="O172" i="13015"/>
  <c r="O209" i="13015"/>
  <c r="O69" i="13015"/>
  <c r="W32" i="13015"/>
  <c r="AI32" i="13015" s="1"/>
  <c r="AL107" i="13034"/>
  <c r="O107" i="13015"/>
  <c r="W107" i="12908"/>
  <c r="W78" i="12908"/>
  <c r="AT78" i="13034" s="1"/>
  <c r="AL78" i="13034"/>
  <c r="W172" i="12908"/>
  <c r="AT172" i="13034" s="1"/>
  <c r="AL172" i="13034"/>
  <c r="W134" i="12908"/>
  <c r="AT134" i="13034" s="1"/>
  <c r="AL134" i="13034"/>
  <c r="AT66" i="13034"/>
  <c r="W169" i="13015"/>
  <c r="AI169" i="13015" s="1"/>
  <c r="AJ169" i="13015"/>
  <c r="AC46" i="12908"/>
  <c r="AD46" i="12908" s="1"/>
  <c r="W136" i="12908"/>
  <c r="AT136" i="13034" s="1"/>
  <c r="AL136" i="13034"/>
  <c r="W181" i="12908"/>
  <c r="AT181" i="13034" s="1"/>
  <c r="AL181" i="13034"/>
  <c r="W68" i="12908"/>
  <c r="AT68" i="13034" s="1"/>
  <c r="AL68" i="13034"/>
  <c r="S82" i="12908"/>
  <c r="AP82" i="13034" s="1"/>
  <c r="W105" i="13015"/>
  <c r="AI105" i="13015" s="1"/>
  <c r="AJ105" i="13015"/>
  <c r="W66" i="13015"/>
  <c r="AI66" i="13015" s="1"/>
  <c r="AJ66" i="13015"/>
  <c r="W133" i="12908"/>
  <c r="AT133" i="13034" s="1"/>
  <c r="AL133" i="13034"/>
  <c r="AJ30" i="13015"/>
  <c r="W30" i="13015"/>
  <c r="AI30" i="13015" s="1"/>
  <c r="O133" i="13015"/>
  <c r="O67" i="13015"/>
  <c r="O170" i="13015"/>
  <c r="O207" i="13015"/>
  <c r="W173" i="12908"/>
  <c r="AT173" i="13034" s="1"/>
  <c r="AL173" i="13034"/>
  <c r="S2030" i="12908"/>
  <c r="AP2030" i="13034" s="1"/>
  <c r="AH2030" i="13034"/>
  <c r="W102" i="13015"/>
  <c r="AI102" i="13015" s="1"/>
  <c r="AJ102" i="13015"/>
  <c r="W218" i="12908"/>
  <c r="AT218" i="13034" s="1"/>
  <c r="AL218" i="13034"/>
  <c r="W209" i="12908"/>
  <c r="AT209" i="13034" s="1"/>
  <c r="AL209" i="13034"/>
  <c r="W135" i="12908"/>
  <c r="AT135" i="13034" s="1"/>
  <c r="AL135" i="13034"/>
  <c r="AT169" i="13034"/>
  <c r="W185" i="12908"/>
  <c r="AT185" i="13034" s="1"/>
  <c r="W208" i="12908"/>
  <c r="AT208" i="13034" s="1"/>
  <c r="AL208" i="13034"/>
  <c r="S148" i="12908"/>
  <c r="AP148" i="13034" s="1"/>
  <c r="W206" i="13015"/>
  <c r="AI206" i="13015" s="1"/>
  <c r="AJ206" i="13015"/>
  <c r="AT206" i="13034"/>
  <c r="W207" i="12908"/>
  <c r="AT207" i="13034" s="1"/>
  <c r="AL207" i="13034"/>
  <c r="W170" i="12908"/>
  <c r="AT170" i="13034" s="1"/>
  <c r="AL170" i="13034"/>
  <c r="W70" i="12908"/>
  <c r="AT70" i="13034" s="1"/>
  <c r="AL70" i="13034"/>
  <c r="W144" i="12908"/>
  <c r="AT144" i="13034" s="1"/>
  <c r="AL144" i="13034"/>
  <c r="AT132" i="13034"/>
  <c r="AR103" i="13034"/>
  <c r="U111" i="12908"/>
  <c r="AR111" i="13034" s="1"/>
  <c r="W69" i="12908"/>
  <c r="AT69" i="13034" s="1"/>
  <c r="AL69" i="13034"/>
  <c r="S185" i="12908"/>
  <c r="AP185" i="13034" s="1"/>
  <c r="W171" i="12908"/>
  <c r="AT171" i="13034" s="1"/>
  <c r="AL171" i="13034"/>
  <c r="AJ31" i="13015"/>
  <c r="O208" i="13015"/>
  <c r="W31" i="13015"/>
  <c r="AI31" i="13015" s="1"/>
  <c r="O171" i="13015"/>
  <c r="O134" i="13015"/>
  <c r="O68" i="13015"/>
  <c r="W132" i="13015"/>
  <c r="AI132" i="13015" s="1"/>
  <c r="AJ132" i="13015"/>
  <c r="W67" i="12908"/>
  <c r="AT67" i="13034" s="1"/>
  <c r="AL67" i="13034"/>
  <c r="W210" i="12908"/>
  <c r="AT210" i="13034" s="1"/>
  <c r="AL210" i="13034"/>
  <c r="AJ33" i="13015"/>
  <c r="O136" i="13015"/>
  <c r="O70" i="13015"/>
  <c r="O173" i="13015"/>
  <c r="O210" i="13015"/>
  <c r="W33" i="13015"/>
  <c r="AI33" i="13015" s="1"/>
  <c r="M1982" i="12908"/>
  <c r="AJ1982" i="13034" s="1"/>
  <c r="K2006" i="12908"/>
  <c r="K1993" i="12908"/>
  <c r="K1983" i="12908"/>
  <c r="AH1983" i="13034" s="1"/>
  <c r="K2078" i="12908"/>
  <c r="AH2078" i="13034" s="1"/>
  <c r="K2054" i="12908"/>
  <c r="K1985" i="12908"/>
  <c r="AH1985" i="13034" s="1"/>
  <c r="K1984" i="12908"/>
  <c r="AH1984" i="13034" s="1"/>
  <c r="AH1993" i="13034" l="1"/>
  <c r="AC1994" i="12908"/>
  <c r="W173" i="13015"/>
  <c r="AI173" i="13015" s="1"/>
  <c r="AJ173" i="13015"/>
  <c r="S2006" i="12908"/>
  <c r="AP2006" i="13034" s="1"/>
  <c r="AH2006" i="13034"/>
  <c r="W107" i="13015"/>
  <c r="AJ107" i="13015"/>
  <c r="W136" i="13015"/>
  <c r="AI136" i="13015" s="1"/>
  <c r="AJ136" i="13015"/>
  <c r="W68" i="13015"/>
  <c r="AI68" i="13015" s="1"/>
  <c r="AJ68" i="13015"/>
  <c r="W208" i="13015"/>
  <c r="AI208" i="13015" s="1"/>
  <c r="AJ208" i="13015"/>
  <c r="W207" i="13015"/>
  <c r="AI207" i="13015" s="1"/>
  <c r="AJ207" i="13015"/>
  <c r="W172" i="13015"/>
  <c r="AI172" i="13015" s="1"/>
  <c r="AJ172" i="13015"/>
  <c r="W171" i="13015"/>
  <c r="AI171" i="13015" s="1"/>
  <c r="AJ171" i="13015"/>
  <c r="S2054" i="12908"/>
  <c r="AP2054" i="13034" s="1"/>
  <c r="AH2054" i="13034"/>
  <c r="W70" i="13015"/>
  <c r="AI70" i="13015" s="1"/>
  <c r="AJ70" i="13015"/>
  <c r="W222" i="12908"/>
  <c r="AT222" i="13034" s="1"/>
  <c r="W133" i="13015"/>
  <c r="AI133" i="13015" s="1"/>
  <c r="AJ133" i="13015"/>
  <c r="W209" i="13015"/>
  <c r="AI209" i="13015" s="1"/>
  <c r="AJ209" i="13015"/>
  <c r="W210" i="13015"/>
  <c r="AI210" i="13015" s="1"/>
  <c r="AJ210" i="13015"/>
  <c r="W134" i="13015"/>
  <c r="AI134" i="13015" s="1"/>
  <c r="AJ134" i="13015"/>
  <c r="W148" i="12908"/>
  <c r="AT148" i="13034" s="1"/>
  <c r="W170" i="13015"/>
  <c r="AI170" i="13015" s="1"/>
  <c r="AJ170" i="13015"/>
  <c r="W135" i="13015"/>
  <c r="AI135" i="13015" s="1"/>
  <c r="AJ135" i="13015"/>
  <c r="W67" i="13015"/>
  <c r="AI67" i="13015" s="1"/>
  <c r="AJ67" i="13015"/>
  <c r="W82" i="12908"/>
  <c r="W111" i="12908"/>
  <c r="AT111" i="13034" s="1"/>
  <c r="AT107" i="13034"/>
  <c r="W69" i="13015"/>
  <c r="AI69" i="13015" s="1"/>
  <c r="AJ69" i="13015"/>
  <c r="K2144" i="12908"/>
  <c r="S2078" i="12908"/>
  <c r="AP2078" i="13034" s="1"/>
  <c r="K2100" i="12908"/>
  <c r="AH2100" i="13034" s="1"/>
  <c r="K2122" i="12908"/>
  <c r="K2008" i="12908"/>
  <c r="K2056" i="12908"/>
  <c r="M1984" i="12908"/>
  <c r="AJ1984" i="13034" s="1"/>
  <c r="K2032" i="12908"/>
  <c r="K2080" i="12908"/>
  <c r="AH2080" i="13034" s="1"/>
  <c r="K2057" i="12908"/>
  <c r="K2081" i="12908"/>
  <c r="AH2081" i="13034" s="1"/>
  <c r="M1985" i="12908"/>
  <c r="AJ1985" i="13034" s="1"/>
  <c r="K2033" i="12908"/>
  <c r="K2009" i="12908"/>
  <c r="O1993" i="12908"/>
  <c r="K2017" i="12908"/>
  <c r="K2065" i="12908"/>
  <c r="K2041" i="12908"/>
  <c r="M2054" i="12908"/>
  <c r="M2078" i="12908"/>
  <c r="AJ2078" i="13034" s="1"/>
  <c r="M2030" i="12908"/>
  <c r="M2006" i="12908"/>
  <c r="K2031" i="12908"/>
  <c r="K2055" i="12908"/>
  <c r="K2007" i="12908"/>
  <c r="M1983" i="12908"/>
  <c r="AJ1983" i="13034" s="1"/>
  <c r="K2079" i="12908"/>
  <c r="AH2079" i="13034" s="1"/>
  <c r="O1993" i="13015" l="1"/>
  <c r="AJ1993" i="13015" s="1"/>
  <c r="AL1993" i="13034"/>
  <c r="U2006" i="12908"/>
  <c r="AR2006" i="13034" s="1"/>
  <c r="AJ2006" i="13034"/>
  <c r="W111" i="13015"/>
  <c r="AI111" i="13015" s="1"/>
  <c r="AI107" i="13015"/>
  <c r="S2031" i="12908"/>
  <c r="AP2031" i="13034" s="1"/>
  <c r="AH2031" i="13034"/>
  <c r="U2054" i="12908"/>
  <c r="AR2054" i="13034" s="1"/>
  <c r="AJ2054" i="13034"/>
  <c r="S2041" i="12908"/>
  <c r="AP2041" i="13034" s="1"/>
  <c r="AH2041" i="13034"/>
  <c r="S2009" i="12908"/>
  <c r="AP2009" i="13034" s="1"/>
  <c r="AH2009" i="13034"/>
  <c r="S2057" i="12908"/>
  <c r="AP2057" i="13034" s="1"/>
  <c r="AH2057" i="13034"/>
  <c r="S2056" i="12908"/>
  <c r="AP2056" i="13034" s="1"/>
  <c r="AH2056" i="13034"/>
  <c r="S2007" i="12908"/>
  <c r="AP2007" i="13034" s="1"/>
  <c r="AH2007" i="13034"/>
  <c r="U2030" i="12908"/>
  <c r="AR2030" i="13034" s="1"/>
  <c r="AJ2030" i="13034"/>
  <c r="S2065" i="12908"/>
  <c r="AP2065" i="13034" s="1"/>
  <c r="AH2065" i="13034"/>
  <c r="S2033" i="12908"/>
  <c r="AP2033" i="13034" s="1"/>
  <c r="AH2033" i="13034"/>
  <c r="S2008" i="12908"/>
  <c r="AP2008" i="13034" s="1"/>
  <c r="AH2008" i="13034"/>
  <c r="S2144" i="12908"/>
  <c r="AP2144" i="13034" s="1"/>
  <c r="AH2144" i="13034"/>
  <c r="S2055" i="12908"/>
  <c r="AP2055" i="13034" s="1"/>
  <c r="AH2055" i="13034"/>
  <c r="S2017" i="12908"/>
  <c r="AP2017" i="13034" s="1"/>
  <c r="AH2017" i="13034"/>
  <c r="S2032" i="12908"/>
  <c r="AP2032" i="13034" s="1"/>
  <c r="AH2032" i="13034"/>
  <c r="S2122" i="12908"/>
  <c r="AP2122" i="13034" s="1"/>
  <c r="AH2122" i="13034"/>
  <c r="AT82" i="13034"/>
  <c r="W2677" i="12908"/>
  <c r="S2046" i="12908"/>
  <c r="AP2046" i="13034" s="1"/>
  <c r="M2055" i="12908"/>
  <c r="M2079" i="12908"/>
  <c r="AJ2079" i="13034" s="1"/>
  <c r="M2007" i="12908"/>
  <c r="M2031" i="12908"/>
  <c r="M2057" i="12908"/>
  <c r="M2009" i="12908"/>
  <c r="M2033" i="12908"/>
  <c r="M2081" i="12908"/>
  <c r="AJ2081" i="13034" s="1"/>
  <c r="M2100" i="12908"/>
  <c r="AJ2100" i="13034" s="1"/>
  <c r="U2078" i="12908"/>
  <c r="AR2078" i="13034" s="1"/>
  <c r="M2122" i="12908"/>
  <c r="M2144" i="12908"/>
  <c r="S2079" i="12908"/>
  <c r="AP2079" i="13034" s="1"/>
  <c r="K2101" i="12908"/>
  <c r="AH2101" i="13034" s="1"/>
  <c r="K2145" i="12908"/>
  <c r="K2123" i="12908"/>
  <c r="K2124" i="12908"/>
  <c r="S2080" i="12908"/>
  <c r="AP2080" i="13034" s="1"/>
  <c r="K2102" i="12908"/>
  <c r="AH2102" i="13034" s="1"/>
  <c r="K2146" i="12908"/>
  <c r="O2065" i="12908"/>
  <c r="O2017" i="12908"/>
  <c r="O2041" i="12908"/>
  <c r="S2081" i="12908"/>
  <c r="AP2081" i="13034" s="1"/>
  <c r="K2147" i="12908"/>
  <c r="K2125" i="12908"/>
  <c r="K2103" i="12908"/>
  <c r="AH2103" i="13034" s="1"/>
  <c r="M2032" i="12908"/>
  <c r="M2008" i="12908"/>
  <c r="M2056" i="12908"/>
  <c r="M2080" i="12908"/>
  <c r="AJ2080" i="13034" s="1"/>
  <c r="S2100" i="12908"/>
  <c r="AP2100" i="13034" s="1"/>
  <c r="K2167" i="12908"/>
  <c r="AH2167" i="13034" s="1"/>
  <c r="U2008" i="12908" l="1"/>
  <c r="AR2008" i="13034" s="1"/>
  <c r="AJ2008" i="13034"/>
  <c r="S2147" i="12908"/>
  <c r="AP2147" i="13034" s="1"/>
  <c r="AH2147" i="13034"/>
  <c r="W2065" i="12908"/>
  <c r="AL2065" i="13034"/>
  <c r="S2124" i="12908"/>
  <c r="AP2124" i="13034" s="1"/>
  <c r="AH2124" i="13034"/>
  <c r="U2057" i="12908"/>
  <c r="AR2057" i="13034" s="1"/>
  <c r="AJ2057" i="13034"/>
  <c r="U2055" i="12908"/>
  <c r="AR2055" i="13034" s="1"/>
  <c r="AJ2055" i="13034"/>
  <c r="U2032" i="12908"/>
  <c r="AR2032" i="13034" s="1"/>
  <c r="AJ2032" i="13034"/>
  <c r="S2146" i="12908"/>
  <c r="AP2146" i="13034" s="1"/>
  <c r="AH2146" i="13034"/>
  <c r="S2123" i="12908"/>
  <c r="AP2123" i="13034" s="1"/>
  <c r="AH2123" i="13034"/>
  <c r="U2144" i="12908"/>
  <c r="AR2144" i="13034" s="1"/>
  <c r="AJ2144" i="13034"/>
  <c r="U2031" i="12908"/>
  <c r="AR2031" i="13034" s="1"/>
  <c r="AJ2031" i="13034"/>
  <c r="W2041" i="12908"/>
  <c r="AL2041" i="13034"/>
  <c r="S2145" i="12908"/>
  <c r="AP2145" i="13034" s="1"/>
  <c r="AH2145" i="13034"/>
  <c r="U2122" i="12908"/>
  <c r="AR2122" i="13034" s="1"/>
  <c r="AJ2122" i="13034"/>
  <c r="U2033" i="12908"/>
  <c r="AR2033" i="13034" s="1"/>
  <c r="AJ2033" i="13034"/>
  <c r="U2007" i="12908"/>
  <c r="AR2007" i="13034" s="1"/>
  <c r="AJ2007" i="13034"/>
  <c r="S2022" i="12908"/>
  <c r="AP2022" i="13034" s="1"/>
  <c r="W2682" i="12908"/>
  <c r="W2681" i="12908"/>
  <c r="AT2681" i="13034" s="1"/>
  <c r="AT2677" i="13034"/>
  <c r="U2056" i="12908"/>
  <c r="AR2056" i="13034" s="1"/>
  <c r="AJ2056" i="13034"/>
  <c r="S2125" i="12908"/>
  <c r="AP2125" i="13034" s="1"/>
  <c r="AH2125" i="13034"/>
  <c r="W2017" i="12908"/>
  <c r="AL2017" i="13034"/>
  <c r="U2009" i="12908"/>
  <c r="AR2009" i="13034" s="1"/>
  <c r="AJ2009" i="13034"/>
  <c r="S2070" i="12908"/>
  <c r="AP2070" i="13034" s="1"/>
  <c r="S2092" i="12908"/>
  <c r="AP2092" i="13034" s="1"/>
  <c r="U2046" i="12908"/>
  <c r="AR2046" i="13034" s="1"/>
  <c r="S2167" i="12908"/>
  <c r="AP2167" i="13034" s="1"/>
  <c r="K2213" i="12908"/>
  <c r="K2190" i="12908"/>
  <c r="S2101" i="12908"/>
  <c r="AP2101" i="13034" s="1"/>
  <c r="K2168" i="12908"/>
  <c r="AH2168" i="13034" s="1"/>
  <c r="U2100" i="12908"/>
  <c r="AR2100" i="13034" s="1"/>
  <c r="M2167" i="12908"/>
  <c r="AJ2167" i="13034" s="1"/>
  <c r="U2080" i="12908"/>
  <c r="AR2080" i="13034" s="1"/>
  <c r="M2102" i="12908"/>
  <c r="AJ2102" i="13034" s="1"/>
  <c r="M2124" i="12908"/>
  <c r="M2146" i="12908"/>
  <c r="K2170" i="12908"/>
  <c r="AH2170" i="13034" s="1"/>
  <c r="S2103" i="12908"/>
  <c r="AP2103" i="13034" s="1"/>
  <c r="M2123" i="12908"/>
  <c r="M2145" i="12908"/>
  <c r="M2101" i="12908"/>
  <c r="AJ2101" i="13034" s="1"/>
  <c r="U2079" i="12908"/>
  <c r="AR2079" i="13034" s="1"/>
  <c r="S2102" i="12908"/>
  <c r="AP2102" i="13034" s="1"/>
  <c r="K2169" i="12908"/>
  <c r="AH2169" i="13034" s="1"/>
  <c r="M2103" i="12908"/>
  <c r="AJ2103" i="13034" s="1"/>
  <c r="M2147" i="12908"/>
  <c r="U2081" i="12908"/>
  <c r="AR2081" i="13034" s="1"/>
  <c r="M2125" i="12908"/>
  <c r="W2046" i="12908" l="1"/>
  <c r="AT2046" i="13034" s="1"/>
  <c r="AT2041" i="13034"/>
  <c r="U2147" i="12908"/>
  <c r="AR2147" i="13034" s="1"/>
  <c r="AJ2147" i="13034"/>
  <c r="U2022" i="12908"/>
  <c r="AR2022" i="13034" s="1"/>
  <c r="U2125" i="12908"/>
  <c r="AR2125" i="13034" s="1"/>
  <c r="AJ2125" i="13034"/>
  <c r="U2145" i="12908"/>
  <c r="AR2145" i="13034" s="1"/>
  <c r="AJ2145" i="13034"/>
  <c r="U2146" i="12908"/>
  <c r="AR2146" i="13034" s="1"/>
  <c r="AJ2146" i="13034"/>
  <c r="S2190" i="12908"/>
  <c r="AP2190" i="13034" s="1"/>
  <c r="AH2190" i="13034"/>
  <c r="S2158" i="12908"/>
  <c r="AP2158" i="13034" s="1"/>
  <c r="U2070" i="12908"/>
  <c r="AR2070" i="13034" s="1"/>
  <c r="U2123" i="12908"/>
  <c r="AR2123" i="13034" s="1"/>
  <c r="AJ2123" i="13034"/>
  <c r="U2124" i="12908"/>
  <c r="AR2124" i="13034" s="1"/>
  <c r="AJ2124" i="13034"/>
  <c r="S2213" i="12908"/>
  <c r="AP2213" i="13034" s="1"/>
  <c r="AH2213" i="13034"/>
  <c r="S2136" i="12908"/>
  <c r="AP2136" i="13034" s="1"/>
  <c r="W2022" i="12908"/>
  <c r="AT2022" i="13034" s="1"/>
  <c r="AT2017" i="13034"/>
  <c r="W2070" i="12908"/>
  <c r="AT2070" i="13034" s="1"/>
  <c r="AT2065" i="13034"/>
  <c r="U2092" i="12908"/>
  <c r="AR2092" i="13034" s="1"/>
  <c r="S2114" i="12908"/>
  <c r="AP2114" i="13034" s="1"/>
  <c r="S2170" i="12908"/>
  <c r="AP2170" i="13034" s="1"/>
  <c r="K2193" i="12908"/>
  <c r="K2216" i="12908"/>
  <c r="U2167" i="12908"/>
  <c r="AR2167" i="13034" s="1"/>
  <c r="M2190" i="12908"/>
  <c r="M2213" i="12908"/>
  <c r="U2103" i="12908"/>
  <c r="AR2103" i="13034" s="1"/>
  <c r="M2170" i="12908"/>
  <c r="AJ2170" i="13034" s="1"/>
  <c r="U2102" i="12908"/>
  <c r="AR2102" i="13034" s="1"/>
  <c r="M2169" i="12908"/>
  <c r="AJ2169" i="13034" s="1"/>
  <c r="U2101" i="12908"/>
  <c r="AR2101" i="13034" s="1"/>
  <c r="M2168" i="12908"/>
  <c r="AJ2168" i="13034" s="1"/>
  <c r="K2215" i="12908"/>
  <c r="K2192" i="12908"/>
  <c r="S2169" i="12908"/>
  <c r="AP2169" i="13034" s="1"/>
  <c r="S2168" i="12908"/>
  <c r="AP2168" i="13034" s="1"/>
  <c r="K2214" i="12908"/>
  <c r="K2191" i="12908"/>
  <c r="S2214" i="12908" l="1"/>
  <c r="AP2214" i="13034" s="1"/>
  <c r="AH2214" i="13034"/>
  <c r="S2215" i="12908"/>
  <c r="AP2215" i="13034" s="1"/>
  <c r="AH2215" i="13034"/>
  <c r="U2190" i="12908"/>
  <c r="AR2190" i="13034" s="1"/>
  <c r="AJ2190" i="13034"/>
  <c r="U2158" i="12908"/>
  <c r="AR2158" i="13034" s="1"/>
  <c r="S2191" i="12908"/>
  <c r="AH2191" i="13034"/>
  <c r="S2192" i="12908"/>
  <c r="AP2192" i="13034" s="1"/>
  <c r="AH2192" i="13034"/>
  <c r="U2213" i="12908"/>
  <c r="AR2213" i="13034" s="1"/>
  <c r="AJ2213" i="13034"/>
  <c r="S2193" i="12908"/>
  <c r="AP2193" i="13034" s="1"/>
  <c r="AH2193" i="13034"/>
  <c r="U2136" i="12908"/>
  <c r="AR2136" i="13034" s="1"/>
  <c r="S2216" i="12908"/>
  <c r="AP2216" i="13034" s="1"/>
  <c r="AH2216" i="13034"/>
  <c r="S2227" i="12908"/>
  <c r="AP2227" i="13034" s="1"/>
  <c r="S2181" i="12908"/>
  <c r="U2114" i="12908"/>
  <c r="AR2114" i="13034" s="1"/>
  <c r="M2192" i="12908"/>
  <c r="U2169" i="12908"/>
  <c r="AR2169" i="13034" s="1"/>
  <c r="M2215" i="12908"/>
  <c r="U2168" i="12908"/>
  <c r="AR2168" i="13034" s="1"/>
  <c r="M2191" i="12908"/>
  <c r="M2214" i="12908"/>
  <c r="M2193" i="12908"/>
  <c r="U2170" i="12908"/>
  <c r="AR2170" i="13034" s="1"/>
  <c r="M2216" i="12908"/>
  <c r="U2193" i="12908" l="1"/>
  <c r="AR2193" i="13034" s="1"/>
  <c r="AJ2193" i="13034"/>
  <c r="U2215" i="12908"/>
  <c r="AR2215" i="13034" s="1"/>
  <c r="AJ2215" i="13034"/>
  <c r="U2214" i="12908"/>
  <c r="AR2214" i="13034" s="1"/>
  <c r="AJ2214" i="13034"/>
  <c r="U2191" i="12908"/>
  <c r="AR2191" i="13034" s="1"/>
  <c r="AJ2191" i="13034"/>
  <c r="S2677" i="12908"/>
  <c r="AP2677" i="13034" s="1"/>
  <c r="AP2181" i="13034"/>
  <c r="S2204" i="12908"/>
  <c r="AP2204" i="13034" s="1"/>
  <c r="AP2191" i="13034"/>
  <c r="U2216" i="12908"/>
  <c r="AR2216" i="13034" s="1"/>
  <c r="AJ2216" i="13034"/>
  <c r="U2192" i="12908"/>
  <c r="AR2192" i="13034" s="1"/>
  <c r="AJ2192" i="13034"/>
  <c r="U2181" i="12908"/>
  <c r="U2227" i="12908"/>
  <c r="AR2227" i="13034" s="1"/>
  <c r="S2682" i="12908" l="1"/>
  <c r="U2677" i="12908"/>
  <c r="AR2677" i="13034" s="1"/>
  <c r="AR2181" i="13034"/>
  <c r="S2681" i="12908"/>
  <c r="AP2681" i="13034" s="1"/>
  <c r="U2204" i="12908"/>
  <c r="AR2204" i="13034" s="1"/>
  <c r="W690" i="13015"/>
  <c r="S690" i="13015" l="1"/>
  <c r="U690" i="13015" s="1"/>
  <c r="AI690" i="13015"/>
  <c r="U2682" i="12908"/>
  <c r="U2681" i="12908"/>
  <c r="Y2681" i="12908" s="1"/>
  <c r="AV2681" i="13034" s="1"/>
  <c r="AC2677" i="12908"/>
  <c r="S673" i="13015"/>
  <c r="AC691" i="13015"/>
  <c r="AR2681" i="13034" l="1"/>
  <c r="S674" i="13015"/>
  <c r="S675" i="13015" l="1"/>
  <c r="S677" i="13015" s="1"/>
  <c r="K677" i="13015" s="1"/>
  <c r="S676" i="13015" l="1"/>
  <c r="K676" i="13015" s="1"/>
  <c r="M676" i="13015" s="1"/>
  <c r="U676" i="13015" s="1"/>
  <c r="M677" i="13015"/>
  <c r="U677" i="13015" s="1"/>
  <c r="K761" i="13015"/>
  <c r="S761" i="13015" s="1"/>
  <c r="K893" i="13015"/>
  <c r="K911" i="13015" s="1"/>
  <c r="S911" i="13015" s="1"/>
  <c r="K245" i="13015"/>
  <c r="S245" i="13015" s="1"/>
  <c r="K698" i="13015"/>
  <c r="S698" i="13015" s="1"/>
  <c r="K719" i="13015"/>
  <c r="S719" i="13015" s="1"/>
  <c r="K740" i="13015"/>
  <c r="S740" i="13015" s="1"/>
  <c r="K837" i="13015"/>
  <c r="K856" i="13015" s="1"/>
  <c r="S856" i="13015" s="1"/>
  <c r="K780" i="13015"/>
  <c r="S780" i="13015" s="1"/>
  <c r="M245" i="13015"/>
  <c r="K353" i="13015"/>
  <c r="S353" i="13015" s="1"/>
  <c r="K799" i="13015" l="1"/>
  <c r="S799" i="13015" s="1"/>
  <c r="K760" i="13015"/>
  <c r="K281" i="13015"/>
  <c r="S281" i="13015" s="1"/>
  <c r="K836" i="13015"/>
  <c r="K874" i="13015" s="1"/>
  <c r="S874" i="13015" s="1"/>
  <c r="AA691" i="13015"/>
  <c r="K892" i="13015"/>
  <c r="K946" i="13015" s="1"/>
  <c r="S946" i="13015" s="1"/>
  <c r="M719" i="13015"/>
  <c r="U719" i="13015" s="1"/>
  <c r="K818" i="13015"/>
  <c r="S818" i="13015" s="1"/>
  <c r="M893" i="13015"/>
  <c r="M929" i="13015" s="1"/>
  <c r="U929" i="13015" s="1"/>
  <c r="K389" i="13015"/>
  <c r="K423" i="13015" s="1"/>
  <c r="S423" i="13015" s="1"/>
  <c r="M837" i="13015"/>
  <c r="M856" i="13015" s="1"/>
  <c r="U856" i="13015" s="1"/>
  <c r="M740" i="13015"/>
  <c r="U740" i="13015" s="1"/>
  <c r="K739" i="13015"/>
  <c r="S739" i="13015" s="1"/>
  <c r="S753" i="13015" s="1"/>
  <c r="K718" i="13015"/>
  <c r="S718" i="13015" s="1"/>
  <c r="S732" i="13015" s="1"/>
  <c r="K317" i="13015"/>
  <c r="S317" i="13015" s="1"/>
  <c r="M761" i="13015"/>
  <c r="M780" i="13015" s="1"/>
  <c r="U780" i="13015" s="1"/>
  <c r="M698" i="13015"/>
  <c r="U698" i="13015" s="1"/>
  <c r="K697" i="13015"/>
  <c r="S697" i="13015" s="1"/>
  <c r="S711" i="13015" s="1"/>
  <c r="K244" i="13015"/>
  <c r="S244" i="13015" s="1"/>
  <c r="S258" i="13015" s="1"/>
  <c r="S837" i="13015"/>
  <c r="K875" i="13015"/>
  <c r="S875" i="13015" s="1"/>
  <c r="S893" i="13015"/>
  <c r="K558" i="13015"/>
  <c r="K624" i="13015" s="1"/>
  <c r="S624" i="13015" s="1"/>
  <c r="K929" i="13015"/>
  <c r="S929" i="13015" s="1"/>
  <c r="K947" i="13015"/>
  <c r="S947" i="13015" s="1"/>
  <c r="M246" i="13015"/>
  <c r="M720" i="13015"/>
  <c r="U720" i="13015" s="1"/>
  <c r="M762" i="13015"/>
  <c r="M838" i="13015"/>
  <c r="M699" i="13015"/>
  <c r="U699" i="13015" s="1"/>
  <c r="M741" i="13015"/>
  <c r="U741" i="13015" s="1"/>
  <c r="M894" i="13015"/>
  <c r="U245" i="13015"/>
  <c r="M281" i="13015"/>
  <c r="U281" i="13015" s="1"/>
  <c r="M353" i="13015"/>
  <c r="U353" i="13015" s="1"/>
  <c r="M317" i="13015"/>
  <c r="U317" i="13015" s="1"/>
  <c r="M389" i="13015"/>
  <c r="AB691" i="13015"/>
  <c r="S389" i="13015"/>
  <c r="K525" i="13015"/>
  <c r="S525" i="13015" s="1"/>
  <c r="M244" i="13015"/>
  <c r="M697" i="13015"/>
  <c r="U697" i="13015" s="1"/>
  <c r="M739" i="13015"/>
  <c r="U739" i="13015" s="1"/>
  <c r="M892" i="13015"/>
  <c r="M718" i="13015"/>
  <c r="U718" i="13015" s="1"/>
  <c r="M760" i="13015"/>
  <c r="M836" i="13015"/>
  <c r="S892" i="13015"/>
  <c r="S904" i="13015" s="1"/>
  <c r="K910" i="13015"/>
  <c r="S910" i="13015" s="1"/>
  <c r="S922" i="13015" s="1"/>
  <c r="M247" i="13015"/>
  <c r="M700" i="13015"/>
  <c r="U700" i="13015" s="1"/>
  <c r="M742" i="13015"/>
  <c r="U742" i="13015" s="1"/>
  <c r="M895" i="13015"/>
  <c r="M721" i="13015"/>
  <c r="U721" i="13015" s="1"/>
  <c r="M763" i="13015"/>
  <c r="M839" i="13015"/>
  <c r="K798" i="13015"/>
  <c r="S798" i="13015" s="1"/>
  <c r="S810" i="13015" s="1"/>
  <c r="S760" i="13015"/>
  <c r="S772" i="13015" s="1"/>
  <c r="K779" i="13015"/>
  <c r="S779" i="13015" s="1"/>
  <c r="S791" i="13015" s="1"/>
  <c r="K817" i="13015"/>
  <c r="S817" i="13015" s="1"/>
  <c r="S829" i="13015" l="1"/>
  <c r="M799" i="13015"/>
  <c r="U799" i="13015" s="1"/>
  <c r="K855" i="13015"/>
  <c r="S855" i="13015" s="1"/>
  <c r="S867" i="13015" s="1"/>
  <c r="S836" i="13015"/>
  <c r="S848" i="13015" s="1"/>
  <c r="K457" i="13015"/>
  <c r="S457" i="13015" s="1"/>
  <c r="AD691" i="13015"/>
  <c r="M947" i="13015"/>
  <c r="U947" i="13015" s="1"/>
  <c r="K928" i="13015"/>
  <c r="S928" i="13015" s="1"/>
  <c r="S940" i="13015" s="1"/>
  <c r="K557" i="13015"/>
  <c r="S557" i="13015" s="1"/>
  <c r="K491" i="13015"/>
  <c r="S491" i="13015" s="1"/>
  <c r="M558" i="13015"/>
  <c r="M657" i="13015" s="1"/>
  <c r="U657" i="13015" s="1"/>
  <c r="M911" i="13015"/>
  <c r="U911" i="13015" s="1"/>
  <c r="U893" i="13015"/>
  <c r="S886" i="13015"/>
  <c r="U837" i="13015"/>
  <c r="K316" i="13015"/>
  <c r="S316" i="13015" s="1"/>
  <c r="S330" i="13015" s="1"/>
  <c r="M818" i="13015"/>
  <c r="U818" i="13015" s="1"/>
  <c r="U761" i="13015"/>
  <c r="M875" i="13015"/>
  <c r="U875" i="13015" s="1"/>
  <c r="K352" i="13015"/>
  <c r="S352" i="13015" s="1"/>
  <c r="S366" i="13015" s="1"/>
  <c r="K280" i="13015"/>
  <c r="S280" i="13015" s="1"/>
  <c r="S294" i="13015" s="1"/>
  <c r="K388" i="13015"/>
  <c r="K490" i="13015" s="1"/>
  <c r="S490" i="13015" s="1"/>
  <c r="K657" i="13015"/>
  <c r="S657" i="13015" s="1"/>
  <c r="K591" i="13015"/>
  <c r="S591" i="13015" s="1"/>
  <c r="S558" i="13015"/>
  <c r="S958" i="13015"/>
  <c r="U763" i="13015"/>
  <c r="M782" i="13015"/>
  <c r="U782" i="13015" s="1"/>
  <c r="M820" i="13015"/>
  <c r="U820" i="13015" s="1"/>
  <c r="M801" i="13015"/>
  <c r="U801" i="13015" s="1"/>
  <c r="U732" i="13015"/>
  <c r="U244" i="13015"/>
  <c r="M280" i="13015"/>
  <c r="U280" i="13015" s="1"/>
  <c r="M352" i="13015"/>
  <c r="U352" i="13015" s="1"/>
  <c r="M316" i="13015"/>
  <c r="U316" i="13015" s="1"/>
  <c r="M388" i="13015"/>
  <c r="U389" i="13015"/>
  <c r="M423" i="13015"/>
  <c r="U423" i="13015" s="1"/>
  <c r="M491" i="13015"/>
  <c r="U491" i="13015" s="1"/>
  <c r="M457" i="13015"/>
  <c r="U457" i="13015" s="1"/>
  <c r="M525" i="13015"/>
  <c r="U525" i="13015" s="1"/>
  <c r="M876" i="13015"/>
  <c r="U876" i="13015" s="1"/>
  <c r="U838" i="13015"/>
  <c r="M857" i="13015"/>
  <c r="U857" i="13015" s="1"/>
  <c r="M319" i="13015"/>
  <c r="U319" i="13015" s="1"/>
  <c r="M391" i="13015"/>
  <c r="U247" i="13015"/>
  <c r="M283" i="13015"/>
  <c r="U283" i="13015" s="1"/>
  <c r="M355" i="13015"/>
  <c r="U355" i="13015" s="1"/>
  <c r="S388" i="13015"/>
  <c r="S400" i="13015" s="1"/>
  <c r="M557" i="13015"/>
  <c r="M928" i="13015"/>
  <c r="U928" i="13015" s="1"/>
  <c r="U892" i="13015"/>
  <c r="M910" i="13015"/>
  <c r="U910" i="13015" s="1"/>
  <c r="M946" i="13015"/>
  <c r="U946" i="13015" s="1"/>
  <c r="M559" i="13015"/>
  <c r="U894" i="13015"/>
  <c r="M912" i="13015"/>
  <c r="U912" i="13015" s="1"/>
  <c r="M948" i="13015"/>
  <c r="U948" i="13015" s="1"/>
  <c r="M930" i="13015"/>
  <c r="U930" i="13015" s="1"/>
  <c r="M800" i="13015"/>
  <c r="U800" i="13015" s="1"/>
  <c r="U762" i="13015"/>
  <c r="M781" i="13015"/>
  <c r="U781" i="13015" s="1"/>
  <c r="M819" i="13015"/>
  <c r="U819" i="13015" s="1"/>
  <c r="M560" i="13015"/>
  <c r="M931" i="13015"/>
  <c r="U931" i="13015" s="1"/>
  <c r="U895" i="13015"/>
  <c r="M913" i="13015"/>
  <c r="U913" i="13015" s="1"/>
  <c r="M949" i="13015"/>
  <c r="U949" i="13015" s="1"/>
  <c r="U836" i="13015"/>
  <c r="M855" i="13015"/>
  <c r="U855" i="13015" s="1"/>
  <c r="M874" i="13015"/>
  <c r="U874" i="13015" s="1"/>
  <c r="U753" i="13015"/>
  <c r="U839" i="13015"/>
  <c r="M858" i="13015"/>
  <c r="U858" i="13015" s="1"/>
  <c r="M877" i="13015"/>
  <c r="U877" i="13015" s="1"/>
  <c r="U760" i="13015"/>
  <c r="M779" i="13015"/>
  <c r="U779" i="13015" s="1"/>
  <c r="M817" i="13015"/>
  <c r="U817" i="13015" s="1"/>
  <c r="M798" i="13015"/>
  <c r="U798" i="13015" s="1"/>
  <c r="U711" i="13015"/>
  <c r="M282" i="13015"/>
  <c r="U282" i="13015" s="1"/>
  <c r="M354" i="13015"/>
  <c r="U354" i="13015" s="1"/>
  <c r="M318" i="13015"/>
  <c r="U318" i="13015" s="1"/>
  <c r="M390" i="13015"/>
  <c r="U246" i="13015"/>
  <c r="M591" i="13015" l="1"/>
  <c r="U591" i="13015" s="1"/>
  <c r="M624" i="13015"/>
  <c r="U624" i="13015" s="1"/>
  <c r="K590" i="13015"/>
  <c r="S590" i="13015" s="1"/>
  <c r="S602" i="13015" s="1"/>
  <c r="K623" i="13015"/>
  <c r="S623" i="13015" s="1"/>
  <c r="S635" i="13015" s="1"/>
  <c r="S502" i="13015"/>
  <c r="U558" i="13015"/>
  <c r="K656" i="13015"/>
  <c r="S656" i="13015" s="1"/>
  <c r="K524" i="13015"/>
  <c r="S524" i="13015" s="1"/>
  <c r="S536" i="13015" s="1"/>
  <c r="K422" i="13015"/>
  <c r="S422" i="13015" s="1"/>
  <c r="S434" i="13015" s="1"/>
  <c r="K456" i="13015"/>
  <c r="S456" i="13015" s="1"/>
  <c r="S468" i="13015" s="1"/>
  <c r="S668" i="13015"/>
  <c r="S569" i="13015"/>
  <c r="U829" i="13015"/>
  <c r="U791" i="13015"/>
  <c r="U772" i="13015"/>
  <c r="U810" i="13015"/>
  <c r="U848" i="13015"/>
  <c r="U922" i="13015"/>
  <c r="M459" i="13015"/>
  <c r="U459" i="13015" s="1"/>
  <c r="M527" i="13015"/>
  <c r="U527" i="13015" s="1"/>
  <c r="U391" i="13015"/>
  <c r="M425" i="13015"/>
  <c r="U425" i="13015" s="1"/>
  <c r="M493" i="13015"/>
  <c r="U493" i="13015" s="1"/>
  <c r="U366" i="13015"/>
  <c r="M424" i="13015"/>
  <c r="U424" i="13015" s="1"/>
  <c r="M492" i="13015"/>
  <c r="U492" i="13015" s="1"/>
  <c r="M458" i="13015"/>
  <c r="U458" i="13015" s="1"/>
  <c r="M526" i="13015"/>
  <c r="U526" i="13015" s="1"/>
  <c r="U390" i="13015"/>
  <c r="M593" i="13015"/>
  <c r="U593" i="13015" s="1"/>
  <c r="M626" i="13015"/>
  <c r="U626" i="13015" s="1"/>
  <c r="U560" i="13015"/>
  <c r="M659" i="13015"/>
  <c r="U659" i="13015" s="1"/>
  <c r="U904" i="13015"/>
  <c r="U294" i="13015"/>
  <c r="U886" i="13015"/>
  <c r="M625" i="13015"/>
  <c r="U625" i="13015" s="1"/>
  <c r="U559" i="13015"/>
  <c r="M592" i="13015"/>
  <c r="U592" i="13015" s="1"/>
  <c r="M658" i="13015"/>
  <c r="U658" i="13015" s="1"/>
  <c r="U940" i="13015"/>
  <c r="U388" i="13015"/>
  <c r="M422" i="13015"/>
  <c r="U422" i="13015" s="1"/>
  <c r="M490" i="13015"/>
  <c r="U490" i="13015" s="1"/>
  <c r="M456" i="13015"/>
  <c r="U456" i="13015" s="1"/>
  <c r="M524" i="13015"/>
  <c r="U524" i="13015" s="1"/>
  <c r="U258" i="13015"/>
  <c r="U867" i="13015"/>
  <c r="U958" i="13015"/>
  <c r="M623" i="13015"/>
  <c r="U623" i="13015" s="1"/>
  <c r="U557" i="13015"/>
  <c r="M590" i="13015"/>
  <c r="U590" i="13015" s="1"/>
  <c r="M656" i="13015"/>
  <c r="U656" i="13015" s="1"/>
  <c r="U330" i="13015"/>
  <c r="U468" i="13015" l="1"/>
  <c r="U536" i="13015"/>
  <c r="U668" i="13015"/>
  <c r="U635" i="13015"/>
  <c r="U400" i="13015"/>
  <c r="U602" i="13015"/>
  <c r="U502" i="13015"/>
  <c r="U569" i="13015"/>
  <c r="U434" i="13015"/>
  <c r="W1381" i="13015"/>
  <c r="AI1381" i="13015" s="1"/>
  <c r="O1403" i="13015"/>
  <c r="O1423" i="13015"/>
  <c r="O1443" i="13015"/>
  <c r="O1463" i="13015"/>
  <c r="O2302" i="13015"/>
  <c r="W1382" i="13015"/>
  <c r="AI1382" i="13015" s="1"/>
  <c r="W1383" i="13015"/>
  <c r="AI1383" i="13015" s="1"/>
  <c r="W1384" i="13015"/>
  <c r="AI1384" i="13015" s="1"/>
  <c r="O1404" i="13015"/>
  <c r="O1405" i="13015"/>
  <c r="O1406" i="13015"/>
  <c r="O1424" i="13015"/>
  <c r="O1425" i="13015"/>
  <c r="O1426" i="13015"/>
  <c r="O1444" i="13015"/>
  <c r="O1445" i="13015"/>
  <c r="O1446" i="13015"/>
  <c r="O1464" i="13015"/>
  <c r="O1465" i="13015"/>
  <c r="O1466" i="13015"/>
  <c r="O2303" i="13015"/>
  <c r="O2304" i="13015"/>
  <c r="O2305" i="13015"/>
  <c r="W1446" i="13015" l="1"/>
  <c r="AI1446" i="13015" s="1"/>
  <c r="AJ1446" i="13015"/>
  <c r="W1404" i="13015"/>
  <c r="AI1404" i="13015" s="1"/>
  <c r="AJ1404" i="13015"/>
  <c r="W1424" i="13015"/>
  <c r="AI1424" i="13015" s="1"/>
  <c r="AJ1424" i="13015"/>
  <c r="W1463" i="13015"/>
  <c r="AI1463" i="13015" s="1"/>
  <c r="AJ1463" i="13015"/>
  <c r="O2408" i="13015"/>
  <c r="AJ2304" i="13015"/>
  <c r="W1464" i="13015"/>
  <c r="AI1464" i="13015" s="1"/>
  <c r="AJ1464" i="13015"/>
  <c r="W1426" i="13015"/>
  <c r="AI1426" i="13015" s="1"/>
  <c r="AJ1426" i="13015"/>
  <c r="W1405" i="13015"/>
  <c r="AI1405" i="13015" s="1"/>
  <c r="AJ1405" i="13015"/>
  <c r="W1423" i="13015"/>
  <c r="AI1423" i="13015" s="1"/>
  <c r="AJ1423" i="13015"/>
  <c r="O2407" i="13015"/>
  <c r="AJ2303" i="13015"/>
  <c r="W1425" i="13015"/>
  <c r="AI1425" i="13015" s="1"/>
  <c r="AJ1425" i="13015"/>
  <c r="W2302" i="13015"/>
  <c r="AI2302" i="13015" s="1"/>
  <c r="AJ2302" i="13015"/>
  <c r="W1403" i="13015"/>
  <c r="AI1403" i="13015" s="1"/>
  <c r="AJ1403" i="13015"/>
  <c r="W1466" i="13015"/>
  <c r="AI1466" i="13015" s="1"/>
  <c r="AJ1466" i="13015"/>
  <c r="W1445" i="13015"/>
  <c r="AI1445" i="13015" s="1"/>
  <c r="AJ1445" i="13015"/>
  <c r="O2409" i="13015"/>
  <c r="AJ2305" i="13015"/>
  <c r="W1465" i="13015"/>
  <c r="AI1465" i="13015" s="1"/>
  <c r="AJ1465" i="13015"/>
  <c r="W1444" i="13015"/>
  <c r="AI1444" i="13015" s="1"/>
  <c r="AJ1444" i="13015"/>
  <c r="W1406" i="13015"/>
  <c r="AI1406" i="13015" s="1"/>
  <c r="AJ1406" i="13015"/>
  <c r="W1443" i="13015"/>
  <c r="AI1443" i="13015" s="1"/>
  <c r="AJ1443" i="13015"/>
  <c r="O1395" i="13015"/>
  <c r="AJ1395" i="13015" s="1"/>
  <c r="O2510" i="13015"/>
  <c r="O1396" i="13015"/>
  <c r="AJ1396" i="13015" s="1"/>
  <c r="O2406" i="13015"/>
  <c r="W1456" i="13015"/>
  <c r="AI1456" i="13015" s="1"/>
  <c r="W1436" i="13015"/>
  <c r="AI1436" i="13015" s="1"/>
  <c r="W1416" i="13015"/>
  <c r="AI1416" i="13015" s="1"/>
  <c r="W1394" i="13015"/>
  <c r="W2304" i="13015"/>
  <c r="AI2304" i="13015" s="1"/>
  <c r="O2512" i="13015"/>
  <c r="W2305" i="13015"/>
  <c r="AI2305" i="13015" s="1"/>
  <c r="O2513" i="13015"/>
  <c r="W2303" i="13015"/>
  <c r="AI2303" i="13015" s="1"/>
  <c r="O2511" i="13015"/>
  <c r="W2513" i="13015" l="1"/>
  <c r="AI2513" i="13015" s="1"/>
  <c r="AJ2513" i="13015"/>
  <c r="W2409" i="13015"/>
  <c r="AI2409" i="13015" s="1"/>
  <c r="AJ2409" i="13015"/>
  <c r="W2407" i="13015"/>
  <c r="AI2407" i="13015" s="1"/>
  <c r="AJ2407" i="13015"/>
  <c r="W2406" i="13015"/>
  <c r="AI2406" i="13015" s="1"/>
  <c r="AJ2406" i="13015"/>
  <c r="W2511" i="13015"/>
  <c r="AI2511" i="13015" s="1"/>
  <c r="AJ2511" i="13015"/>
  <c r="W2512" i="13015"/>
  <c r="AI2512" i="13015" s="1"/>
  <c r="AJ2512" i="13015"/>
  <c r="W1476" i="13015"/>
  <c r="AI1476" i="13015" s="1"/>
  <c r="W2510" i="13015"/>
  <c r="AI2510" i="13015" s="1"/>
  <c r="AJ2510" i="13015"/>
  <c r="S1394" i="13015"/>
  <c r="U1394" i="13015" s="1"/>
  <c r="AI1394" i="13015"/>
  <c r="W2408" i="13015"/>
  <c r="AI2408" i="13015" s="1"/>
  <c r="AJ2408" i="13015"/>
  <c r="AC1395" i="13015"/>
  <c r="S1378" i="13015"/>
  <c r="S1380" i="13015" l="1"/>
  <c r="K1380" i="13015" s="1"/>
  <c r="S1379" i="13015"/>
  <c r="K1379" i="13015" s="1"/>
  <c r="K1442" i="13015" l="1"/>
  <c r="S1442" i="13015" s="1"/>
  <c r="K1462" i="13015"/>
  <c r="S1462" i="13015" s="1"/>
  <c r="K1402" i="13015"/>
  <c r="S1402" i="13015" s="1"/>
  <c r="M1380" i="13015"/>
  <c r="AA21" i="13024" s="1"/>
  <c r="K1422" i="13015"/>
  <c r="S1422" i="13015" s="1"/>
  <c r="K1949" i="13015"/>
  <c r="M1949" i="13015" s="1"/>
  <c r="K2301" i="13015"/>
  <c r="K2558" i="13015"/>
  <c r="M2558" i="13015" s="1"/>
  <c r="K2236" i="13015"/>
  <c r="K1441" i="13015"/>
  <c r="S1441" i="13015" s="1"/>
  <c r="K1461" i="13015"/>
  <c r="S1461" i="13015" s="1"/>
  <c r="K1401" i="13015"/>
  <c r="S1401" i="13015" s="1"/>
  <c r="M1379" i="13015"/>
  <c r="K1421" i="13015"/>
  <c r="S1421" i="13015" s="1"/>
  <c r="K1948" i="13015"/>
  <c r="M1948" i="13015" s="1"/>
  <c r="K2300" i="13015"/>
  <c r="K2557" i="13015"/>
  <c r="M2557" i="13015" s="1"/>
  <c r="K2235" i="13015"/>
  <c r="K2257" i="13015" s="1"/>
  <c r="AA1395" i="13015"/>
  <c r="Z21" i="13025" l="1"/>
  <c r="S14" i="13024"/>
  <c r="U14" i="13024" s="1"/>
  <c r="W14" i="13024" s="1"/>
  <c r="S32" i="13024"/>
  <c r="U32" i="13024" s="1"/>
  <c r="W32" i="13024" s="1"/>
  <c r="S52" i="13024"/>
  <c r="U52" i="13024" s="1"/>
  <c r="W52" i="13024" s="1"/>
  <c r="S41" i="13024"/>
  <c r="U41" i="13024" s="1"/>
  <c r="W41" i="13024" s="1"/>
  <c r="S35" i="13024"/>
  <c r="U35" i="13024" s="1"/>
  <c r="W35" i="13024" s="1"/>
  <c r="S18" i="13024"/>
  <c r="U18" i="13024" s="1"/>
  <c r="W18" i="13024" s="1"/>
  <c r="S24" i="13024"/>
  <c r="U24" i="13024" s="1"/>
  <c r="W24" i="13024" s="1"/>
  <c r="S45" i="13024"/>
  <c r="U45" i="13024" s="1"/>
  <c r="W45" i="13024" s="1"/>
  <c r="S39" i="13024"/>
  <c r="U39" i="13024" s="1"/>
  <c r="W39" i="13024" s="1"/>
  <c r="S58" i="13024"/>
  <c r="U58" i="13024" s="1"/>
  <c r="W58" i="13024" s="1"/>
  <c r="S26" i="13024"/>
  <c r="U26" i="13024" s="1"/>
  <c r="W26" i="13024" s="1"/>
  <c r="S37" i="13024"/>
  <c r="U37" i="13024" s="1"/>
  <c r="W37" i="13024" s="1"/>
  <c r="S22" i="13024"/>
  <c r="U22" i="13024" s="1"/>
  <c r="W22" i="13024" s="1"/>
  <c r="S23" i="13024"/>
  <c r="U23" i="13024" s="1"/>
  <c r="W23" i="13024" s="1"/>
  <c r="S57" i="13024"/>
  <c r="U57" i="13024" s="1"/>
  <c r="W57" i="13024" s="1"/>
  <c r="S46" i="13024"/>
  <c r="U46" i="13024" s="1"/>
  <c r="W46" i="13024" s="1"/>
  <c r="S53" i="13024"/>
  <c r="U53" i="13024" s="1"/>
  <c r="W53" i="13024" s="1"/>
  <c r="S51" i="13024"/>
  <c r="U51" i="13024" s="1"/>
  <c r="W51" i="13024" s="1"/>
  <c r="S34" i="13024"/>
  <c r="U34" i="13024" s="1"/>
  <c r="W34" i="13024" s="1"/>
  <c r="S43" i="13024"/>
  <c r="U43" i="13024" s="1"/>
  <c r="W43" i="13024" s="1"/>
  <c r="S17" i="13024"/>
  <c r="U17" i="13024" s="1"/>
  <c r="W17" i="13024" s="1"/>
  <c r="S13" i="13024"/>
  <c r="U13" i="13024" s="1"/>
  <c r="W13" i="13024" s="1"/>
  <c r="S36" i="13024"/>
  <c r="U36" i="13024" s="1"/>
  <c r="W36" i="13024" s="1"/>
  <c r="S16" i="13024"/>
  <c r="U16" i="13024" s="1"/>
  <c r="W16" i="13024" s="1"/>
  <c r="S27" i="13024"/>
  <c r="U27" i="13024" s="1"/>
  <c r="W27" i="13024" s="1"/>
  <c r="S48" i="13024"/>
  <c r="U48" i="13024" s="1"/>
  <c r="W48" i="13024" s="1"/>
  <c r="S59" i="13024"/>
  <c r="U59" i="13024" s="1"/>
  <c r="W59" i="13024" s="1"/>
  <c r="S29" i="13024"/>
  <c r="U29" i="13024" s="1"/>
  <c r="W29" i="13024" s="1"/>
  <c r="S21" i="13024"/>
  <c r="U21" i="13024" s="1"/>
  <c r="W21" i="13024" s="1"/>
  <c r="S15" i="13024"/>
  <c r="U15" i="13024" s="1"/>
  <c r="W15" i="13024" s="1"/>
  <c r="S47" i="13024"/>
  <c r="U47" i="13024" s="1"/>
  <c r="W47" i="13024" s="1"/>
  <c r="S49" i="13024"/>
  <c r="U49" i="13024" s="1"/>
  <c r="W49" i="13024" s="1"/>
  <c r="S31" i="13024"/>
  <c r="U31" i="13024" s="1"/>
  <c r="W31" i="13024" s="1"/>
  <c r="S42" i="13024"/>
  <c r="U42" i="13024" s="1"/>
  <c r="W42" i="13024" s="1"/>
  <c r="S12" i="13024"/>
  <c r="U12" i="13024" s="1"/>
  <c r="W12" i="13024" s="1"/>
  <c r="S33" i="13024"/>
  <c r="U33" i="13024" s="1"/>
  <c r="W33" i="13024" s="1"/>
  <c r="S54" i="13024"/>
  <c r="U54" i="13024" s="1"/>
  <c r="W54" i="13024" s="1"/>
  <c r="S44" i="13024"/>
  <c r="U44" i="13024" s="1"/>
  <c r="W44" i="13024" s="1"/>
  <c r="S55" i="13024"/>
  <c r="U55" i="13024" s="1"/>
  <c r="W55" i="13024" s="1"/>
  <c r="S38" i="13024"/>
  <c r="U38" i="13024" s="1"/>
  <c r="W38" i="13024" s="1"/>
  <c r="S19" i="13024"/>
  <c r="U19" i="13024" s="1"/>
  <c r="W19" i="13024" s="1"/>
  <c r="S25" i="13024"/>
  <c r="U25" i="13024" s="1"/>
  <c r="W25" i="13024" s="1"/>
  <c r="S28" i="13024"/>
  <c r="U28" i="13024" s="1"/>
  <c r="W28" i="13024" s="1"/>
  <c r="S11" i="13024"/>
  <c r="U11" i="13024" s="1"/>
  <c r="W11" i="13024" s="1"/>
  <c r="S56" i="13024"/>
  <c r="U56" i="13024" s="1"/>
  <c r="W56" i="13024" s="1"/>
  <c r="S1416" i="13015"/>
  <c r="S1436" i="13015"/>
  <c r="S1456" i="13015"/>
  <c r="K2561" i="13015"/>
  <c r="M2561" i="13015" s="1"/>
  <c r="S2558" i="13015"/>
  <c r="M1422" i="13015"/>
  <c r="U1422" i="13015" s="1"/>
  <c r="U1380" i="13015"/>
  <c r="M1442" i="13015"/>
  <c r="U1442" i="13015" s="1"/>
  <c r="M1462" i="13015"/>
  <c r="U1462" i="13015" s="1"/>
  <c r="M1402" i="13015"/>
  <c r="U1402" i="13015" s="1"/>
  <c r="M2301" i="13015"/>
  <c r="K1951" i="13015"/>
  <c r="M1951" i="13015" s="1"/>
  <c r="S1476" i="13015"/>
  <c r="S2301" i="13015"/>
  <c r="K2509" i="13015"/>
  <c r="S2509" i="13015" s="1"/>
  <c r="K2405" i="13015"/>
  <c r="S2405" i="13015" s="1"/>
  <c r="K2508" i="13015"/>
  <c r="S2508" i="13015" s="1"/>
  <c r="K2404" i="13015"/>
  <c r="S2404" i="13015" s="1"/>
  <c r="S2300" i="13015"/>
  <c r="M2235" i="13015"/>
  <c r="S2235" i="13015"/>
  <c r="K2443" i="13015"/>
  <c r="S2443" i="13015" s="1"/>
  <c r="K2238" i="13015"/>
  <c r="K2241" i="13015"/>
  <c r="K2339" i="13015"/>
  <c r="S2339" i="13015" s="1"/>
  <c r="K1952" i="13015"/>
  <c r="M1952" i="13015" s="1"/>
  <c r="S2557" i="13015"/>
  <c r="K2560" i="13015"/>
  <c r="M2560" i="13015" s="1"/>
  <c r="M1421" i="13015"/>
  <c r="U1421" i="13015" s="1"/>
  <c r="U1379" i="13015"/>
  <c r="M1441" i="13015"/>
  <c r="U1441" i="13015" s="1"/>
  <c r="M1461" i="13015"/>
  <c r="U1461" i="13015" s="1"/>
  <c r="M1401" i="13015"/>
  <c r="U1401" i="13015" s="1"/>
  <c r="M2300" i="13015"/>
  <c r="W2557" i="13015"/>
  <c r="AI2557" i="13015" s="1"/>
  <c r="M2236" i="13015"/>
  <c r="S2236" i="13015"/>
  <c r="K2444" i="13015"/>
  <c r="S2444" i="13015" s="1"/>
  <c r="K2340" i="13015"/>
  <c r="S2340" i="13015" s="1"/>
  <c r="K2239" i="13015"/>
  <c r="K2242" i="13015"/>
  <c r="K2258" i="13015"/>
  <c r="Q56" i="13025" l="1"/>
  <c r="U56" i="13025" s="1"/>
  <c r="W56" i="13025" s="1"/>
  <c r="Q38" i="13025"/>
  <c r="U38" i="13025" s="1"/>
  <c r="W38" i="13025" s="1"/>
  <c r="Q21" i="13025"/>
  <c r="U21" i="13025" s="1"/>
  <c r="W21" i="13025" s="1"/>
  <c r="Q49" i="13025"/>
  <c r="U49" i="13025" s="1"/>
  <c r="W49" i="13025" s="1"/>
  <c r="Q17" i="13025"/>
  <c r="U17" i="13025" s="1"/>
  <c r="W17" i="13025" s="1"/>
  <c r="Q31" i="13025"/>
  <c r="U31" i="13025" s="1"/>
  <c r="W31" i="13025" s="1"/>
  <c r="Q55" i="13025"/>
  <c r="U55" i="13025" s="1"/>
  <c r="W55" i="13025" s="1"/>
  <c r="Q37" i="13025"/>
  <c r="U37" i="13025" s="1"/>
  <c r="W37" i="13025" s="1"/>
  <c r="Q12" i="13025"/>
  <c r="U12" i="13025" s="1"/>
  <c r="W12" i="13025" s="1"/>
  <c r="Q45" i="13025"/>
  <c r="U45" i="13025" s="1"/>
  <c r="W45" i="13025" s="1"/>
  <c r="Q53" i="13025"/>
  <c r="U53" i="13025" s="1"/>
  <c r="W53" i="13025" s="1"/>
  <c r="Q14" i="13025"/>
  <c r="U14" i="13025" s="1"/>
  <c r="W14" i="13025" s="1"/>
  <c r="Q25" i="13025"/>
  <c r="U25" i="13025" s="1"/>
  <c r="W25" i="13025" s="1"/>
  <c r="Q26" i="13025"/>
  <c r="U26" i="13025" s="1"/>
  <c r="W26" i="13025" s="1"/>
  <c r="Q52" i="13025"/>
  <c r="U52" i="13025" s="1"/>
  <c r="W52" i="13025" s="1"/>
  <c r="Q34" i="13025"/>
  <c r="U34" i="13025" s="1"/>
  <c r="W34" i="13025" s="1"/>
  <c r="Q15" i="13025"/>
  <c r="U15" i="13025" s="1"/>
  <c r="W15" i="13025" s="1"/>
  <c r="Q41" i="13025"/>
  <c r="U41" i="13025" s="1"/>
  <c r="W41" i="13025" s="1"/>
  <c r="Q57" i="13025"/>
  <c r="U57" i="13025" s="1"/>
  <c r="W57" i="13025" s="1"/>
  <c r="Q22" i="13025"/>
  <c r="U22" i="13025" s="1"/>
  <c r="W22" i="13025" s="1"/>
  <c r="Q51" i="13025"/>
  <c r="U51" i="13025" s="1"/>
  <c r="W51" i="13025" s="1"/>
  <c r="Q33" i="13025"/>
  <c r="U33" i="13025" s="1"/>
  <c r="W33" i="13025" s="1"/>
  <c r="Q16" i="13025"/>
  <c r="U16" i="13025" s="1"/>
  <c r="W16" i="13025" s="1"/>
  <c r="Q36" i="13025"/>
  <c r="U36" i="13025" s="1"/>
  <c r="W36" i="13025" s="1"/>
  <c r="Q44" i="13025"/>
  <c r="U44" i="13025" s="1"/>
  <c r="W44" i="13025" s="1"/>
  <c r="Q24" i="13025"/>
  <c r="U24" i="13025" s="1"/>
  <c r="W24" i="13025" s="1"/>
  <c r="Q47" i="13025"/>
  <c r="U47" i="13025" s="1"/>
  <c r="W47" i="13025" s="1"/>
  <c r="Q29" i="13025"/>
  <c r="U29" i="13025" s="1"/>
  <c r="W29" i="13025" s="1"/>
  <c r="Q19" i="13025"/>
  <c r="U19" i="13025" s="1"/>
  <c r="W19" i="13025" s="1"/>
  <c r="Q32" i="13025"/>
  <c r="U32" i="13025" s="1"/>
  <c r="W32" i="13025" s="1"/>
  <c r="Q48" i="13025"/>
  <c r="U48" i="13025" s="1"/>
  <c r="W48" i="13025" s="1"/>
  <c r="Q18" i="13025"/>
  <c r="U18" i="13025" s="1"/>
  <c r="W18" i="13025" s="1"/>
  <c r="Q46" i="13025"/>
  <c r="U46" i="13025" s="1"/>
  <c r="W46" i="13025" s="1"/>
  <c r="Q28" i="13025"/>
  <c r="U28" i="13025" s="1"/>
  <c r="W28" i="13025" s="1"/>
  <c r="Q11" i="13025"/>
  <c r="U11" i="13025" s="1"/>
  <c r="W11" i="13025" s="1"/>
  <c r="Q27" i="13025"/>
  <c r="U27" i="13025" s="1"/>
  <c r="W27" i="13025" s="1"/>
  <c r="Q35" i="13025"/>
  <c r="U35" i="13025" s="1"/>
  <c r="W35" i="13025" s="1"/>
  <c r="Q43" i="13025"/>
  <c r="U43" i="13025" s="1"/>
  <c r="W43" i="13025" s="1"/>
  <c r="Q58" i="13025"/>
  <c r="U58" i="13025" s="1"/>
  <c r="W58" i="13025" s="1"/>
  <c r="Q23" i="13025"/>
  <c r="U23" i="13025" s="1"/>
  <c r="W23" i="13025" s="1"/>
  <c r="Q39" i="13025"/>
  <c r="U39" i="13025" s="1"/>
  <c r="W39" i="13025" s="1"/>
  <c r="Q59" i="13025"/>
  <c r="U59" i="13025" s="1"/>
  <c r="W59" i="13025" s="1"/>
  <c r="Q42" i="13025"/>
  <c r="U42" i="13025" s="1"/>
  <c r="W42" i="13025" s="1"/>
  <c r="Q54" i="13025"/>
  <c r="U54" i="13025" s="1"/>
  <c r="W54" i="13025" s="1"/>
  <c r="Q13" i="13025"/>
  <c r="U13" i="13025" s="1"/>
  <c r="W13" i="13025" s="1"/>
  <c r="M2239" i="13015"/>
  <c r="S2239" i="13015"/>
  <c r="K2447" i="13015"/>
  <c r="S2447" i="13015" s="1"/>
  <c r="K2343" i="13015"/>
  <c r="S2343" i="13015" s="1"/>
  <c r="M2340" i="13015"/>
  <c r="U2340" i="13015" s="1"/>
  <c r="U2236" i="13015"/>
  <c r="M2444" i="13015"/>
  <c r="U2444" i="13015" s="1"/>
  <c r="M2258" i="13015"/>
  <c r="S2258" i="13015"/>
  <c r="K2466" i="13015"/>
  <c r="S2466" i="13015" s="1"/>
  <c r="K2362" i="13015"/>
  <c r="S2362" i="13015" s="1"/>
  <c r="K2261" i="13015"/>
  <c r="K2264" i="13015"/>
  <c r="M2404" i="13015"/>
  <c r="U2404" i="13015" s="1"/>
  <c r="U2300" i="13015"/>
  <c r="M2508" i="13015"/>
  <c r="U2508" i="13015" s="1"/>
  <c r="M2257" i="13015"/>
  <c r="S2257" i="13015"/>
  <c r="K2465" i="13015"/>
  <c r="S2465" i="13015" s="1"/>
  <c r="K2260" i="13015"/>
  <c r="K2263" i="13015"/>
  <c r="K2361" i="13015"/>
  <c r="S2361" i="13015" s="1"/>
  <c r="U2558" i="13015"/>
  <c r="W2558" i="13015"/>
  <c r="AI2558" i="13015" s="1"/>
  <c r="M2242" i="13015"/>
  <c r="S2242" i="13015"/>
  <c r="K2450" i="13015"/>
  <c r="S2450" i="13015" s="1"/>
  <c r="K2346" i="13015"/>
  <c r="S2346" i="13015" s="1"/>
  <c r="M2241" i="13015"/>
  <c r="S2241" i="13015"/>
  <c r="K2449" i="13015"/>
  <c r="S2449" i="13015" s="1"/>
  <c r="K2345" i="13015"/>
  <c r="S2345" i="13015" s="1"/>
  <c r="U2235" i="13015"/>
  <c r="M2443" i="13015"/>
  <c r="U2443" i="13015" s="1"/>
  <c r="M2339" i="13015"/>
  <c r="U2339" i="13015" s="1"/>
  <c r="M2405" i="13015"/>
  <c r="U2405" i="13015" s="1"/>
  <c r="U2301" i="13015"/>
  <c r="M2509" i="13015"/>
  <c r="U2509" i="13015" s="1"/>
  <c r="U2557" i="13015"/>
  <c r="W2560" i="13015"/>
  <c r="AI2560" i="13015" s="1"/>
  <c r="S2560" i="13015"/>
  <c r="K2563" i="13015"/>
  <c r="M2563" i="13015" s="1"/>
  <c r="M2238" i="13015"/>
  <c r="S2238" i="13015"/>
  <c r="K2446" i="13015"/>
  <c r="S2446" i="13015" s="1"/>
  <c r="K2342" i="13015"/>
  <c r="S2342" i="13015" s="1"/>
  <c r="K2564" i="13015"/>
  <c r="M2564" i="13015" s="1"/>
  <c r="W2561" i="13015"/>
  <c r="AI2561" i="13015" s="1"/>
  <c r="S2561" i="13015"/>
  <c r="U2238" i="13015" l="1"/>
  <c r="M2446" i="13015"/>
  <c r="U2446" i="13015" s="1"/>
  <c r="M2342" i="13015"/>
  <c r="U2342" i="13015" s="1"/>
  <c r="S2563" i="13015"/>
  <c r="K2566" i="13015"/>
  <c r="M2566" i="13015" s="1"/>
  <c r="U2560" i="13015"/>
  <c r="U2561" i="13015"/>
  <c r="M2263" i="13015"/>
  <c r="S2263" i="13015"/>
  <c r="K2471" i="13015"/>
  <c r="S2471" i="13015" s="1"/>
  <c r="K2367" i="13015"/>
  <c r="S2367" i="13015" s="1"/>
  <c r="U2257" i="13015"/>
  <c r="M2465" i="13015"/>
  <c r="U2465" i="13015" s="1"/>
  <c r="M2361" i="13015"/>
  <c r="U2361" i="13015" s="1"/>
  <c r="M2264" i="13015"/>
  <c r="S2264" i="13015"/>
  <c r="K2472" i="13015"/>
  <c r="S2472" i="13015" s="1"/>
  <c r="K2368" i="13015"/>
  <c r="S2368" i="13015" s="1"/>
  <c r="M2343" i="13015"/>
  <c r="U2343" i="13015" s="1"/>
  <c r="U2239" i="13015"/>
  <c r="M2447" i="13015"/>
  <c r="U2447" i="13015" s="1"/>
  <c r="U2241" i="13015"/>
  <c r="M2449" i="13015"/>
  <c r="U2449" i="13015" s="1"/>
  <c r="M2345" i="13015"/>
  <c r="U2345" i="13015" s="1"/>
  <c r="M2260" i="13015"/>
  <c r="S2260" i="13015"/>
  <c r="K2468" i="13015"/>
  <c r="S2468" i="13015" s="1"/>
  <c r="K2364" i="13015"/>
  <c r="S2364" i="13015" s="1"/>
  <c r="M2261" i="13015"/>
  <c r="S2261" i="13015"/>
  <c r="K2469" i="13015"/>
  <c r="S2469" i="13015" s="1"/>
  <c r="K2365" i="13015"/>
  <c r="S2365" i="13015" s="1"/>
  <c r="M2362" i="13015"/>
  <c r="U2362" i="13015" s="1"/>
  <c r="U2258" i="13015"/>
  <c r="M2466" i="13015"/>
  <c r="U2466" i="13015" s="1"/>
  <c r="S2564" i="13015"/>
  <c r="K2567" i="13015"/>
  <c r="M2567" i="13015" s="1"/>
  <c r="M2346" i="13015"/>
  <c r="U2346" i="13015" s="1"/>
  <c r="U2242" i="13015"/>
  <c r="M2450" i="13015"/>
  <c r="U2450" i="13015" s="1"/>
  <c r="M1443" i="13015"/>
  <c r="U1443" i="13015" s="1"/>
  <c r="M1463" i="13015"/>
  <c r="U1463" i="13015" s="1"/>
  <c r="M1403" i="13015"/>
  <c r="U1403" i="13015" s="1"/>
  <c r="U1381" i="13015"/>
  <c r="M1423" i="13015"/>
  <c r="U1423" i="13015" s="1"/>
  <c r="M2302" i="13015"/>
  <c r="U1383" i="13015" l="1"/>
  <c r="M1405" i="13015"/>
  <c r="U1405" i="13015" s="1"/>
  <c r="M1425" i="13015"/>
  <c r="U1425" i="13015" s="1"/>
  <c r="M1445" i="13015"/>
  <c r="U1445" i="13015" s="1"/>
  <c r="M1465" i="13015"/>
  <c r="U1465" i="13015" s="1"/>
  <c r="M2304" i="13015"/>
  <c r="M2368" i="13015"/>
  <c r="U2368" i="13015" s="1"/>
  <c r="U2264" i="13015"/>
  <c r="M2472" i="13015"/>
  <c r="U2472" i="13015" s="1"/>
  <c r="U2564" i="13015"/>
  <c r="U2567" i="13015"/>
  <c r="U2563" i="13015"/>
  <c r="U2566" i="13015"/>
  <c r="U2302" i="13015"/>
  <c r="M2406" i="13015"/>
  <c r="U2406" i="13015" s="1"/>
  <c r="M2510" i="13015"/>
  <c r="U2510" i="13015" s="1"/>
  <c r="W2564" i="13015"/>
  <c r="AI2564" i="13015" s="1"/>
  <c r="U2260" i="13015"/>
  <c r="M2468" i="13015"/>
  <c r="U2468" i="13015" s="1"/>
  <c r="M2364" i="13015"/>
  <c r="U2364" i="13015" s="1"/>
  <c r="W2566" i="13015"/>
  <c r="AI2566" i="13015" s="1"/>
  <c r="S2566" i="13015"/>
  <c r="M2469" i="13015"/>
  <c r="U2469" i="13015" s="1"/>
  <c r="M2365" i="13015"/>
  <c r="U2365" i="13015" s="1"/>
  <c r="U2261" i="13015"/>
  <c r="M1404" i="13015"/>
  <c r="U1404" i="13015" s="1"/>
  <c r="U1382" i="13015"/>
  <c r="M1424" i="13015"/>
  <c r="U1424" i="13015" s="1"/>
  <c r="M1444" i="13015"/>
  <c r="U1444" i="13015" s="1"/>
  <c r="M1464" i="13015"/>
  <c r="U1464" i="13015" s="1"/>
  <c r="M2303" i="13015"/>
  <c r="M1406" i="13015"/>
  <c r="U1406" i="13015" s="1"/>
  <c r="M1426" i="13015"/>
  <c r="U1426" i="13015" s="1"/>
  <c r="M1446" i="13015"/>
  <c r="U1446" i="13015" s="1"/>
  <c r="M1466" i="13015"/>
  <c r="U1466" i="13015" s="1"/>
  <c r="M2305" i="13015"/>
  <c r="W2567" i="13015"/>
  <c r="AI2567" i="13015" s="1"/>
  <c r="S2567" i="13015"/>
  <c r="U2263" i="13015"/>
  <c r="M2471" i="13015"/>
  <c r="U2471" i="13015" s="1"/>
  <c r="M2367" i="13015"/>
  <c r="U2367" i="13015" s="1"/>
  <c r="W2563" i="13015"/>
  <c r="AI2563" i="13015" s="1"/>
  <c r="U1456" i="13015" l="1"/>
  <c r="AB1395" i="13015"/>
  <c r="AD1395" i="13015" s="1"/>
  <c r="U1416" i="13015"/>
  <c r="U1476" i="13015"/>
  <c r="U1436" i="13015"/>
  <c r="U2304" i="13015"/>
  <c r="M2512" i="13015"/>
  <c r="U2512" i="13015" s="1"/>
  <c r="M2408" i="13015"/>
  <c r="U2408" i="13015" s="1"/>
  <c r="U2305" i="13015"/>
  <c r="M2513" i="13015"/>
  <c r="U2513" i="13015" s="1"/>
  <c r="M2409" i="13015"/>
  <c r="U2409" i="13015" s="1"/>
  <c r="U2303" i="13015"/>
  <c r="M2511" i="13015"/>
  <c r="U2511" i="13015" s="1"/>
  <c r="M2407" i="13015"/>
  <c r="U2407" i="13015" s="1"/>
  <c r="O1504" i="13015"/>
  <c r="O1523" i="13015"/>
  <c r="O1542" i="13015"/>
  <c r="O1905" i="13015"/>
  <c r="O2318" i="13015"/>
  <c r="O2593" i="13015"/>
  <c r="O1505" i="13015"/>
  <c r="O1506" i="13015"/>
  <c r="O1507" i="13015"/>
  <c r="O1524" i="13015"/>
  <c r="O1525" i="13015"/>
  <c r="O1526" i="13015"/>
  <c r="O1543" i="13015"/>
  <c r="AJ1543" i="13015" s="1"/>
  <c r="O1544" i="13015"/>
  <c r="AJ1544" i="13015" s="1"/>
  <c r="O1545" i="13015"/>
  <c r="AJ1545" i="13015" s="1"/>
  <c r="O1906" i="13015"/>
  <c r="O1907" i="13015"/>
  <c r="O1908" i="13015"/>
  <c r="O2319" i="13015"/>
  <c r="O2320" i="13015"/>
  <c r="O2321" i="13015"/>
  <c r="O2594" i="13015"/>
  <c r="O2595" i="13015"/>
  <c r="O2596" i="13015"/>
  <c r="W1507" i="13015" l="1"/>
  <c r="AI1507" i="13015" s="1"/>
  <c r="AJ1507" i="13015"/>
  <c r="W2318" i="13015"/>
  <c r="AI2318" i="13015" s="1"/>
  <c r="AJ2318" i="13015"/>
  <c r="W1504" i="13015"/>
  <c r="AI1504" i="13015" s="1"/>
  <c r="AJ1504" i="13015"/>
  <c r="W2594" i="13015"/>
  <c r="AI2594" i="13015" s="1"/>
  <c r="AJ2594" i="13015"/>
  <c r="W1524" i="13015"/>
  <c r="AI1524" i="13015" s="1"/>
  <c r="AJ1524" i="13015"/>
  <c r="W1523" i="13015"/>
  <c r="AI1523" i="13015" s="1"/>
  <c r="AJ1523" i="13015"/>
  <c r="W2321" i="13015"/>
  <c r="AI2321" i="13015" s="1"/>
  <c r="AJ2321" i="13015"/>
  <c r="W1907" i="13015"/>
  <c r="AI1907" i="13015" s="1"/>
  <c r="AJ1907" i="13015"/>
  <c r="W2596" i="13015"/>
  <c r="AI2596" i="13015" s="1"/>
  <c r="AJ2596" i="13015"/>
  <c r="W2320" i="13015"/>
  <c r="AI2320" i="13015" s="1"/>
  <c r="AJ2320" i="13015"/>
  <c r="W1906" i="13015"/>
  <c r="AI1906" i="13015" s="1"/>
  <c r="AJ1906" i="13015"/>
  <c r="W1526" i="13015"/>
  <c r="AI1526" i="13015" s="1"/>
  <c r="AJ1526" i="13015"/>
  <c r="W1506" i="13015"/>
  <c r="AI1506" i="13015" s="1"/>
  <c r="AJ1506" i="13015"/>
  <c r="W1905" i="13015"/>
  <c r="AI1905" i="13015" s="1"/>
  <c r="AJ1905" i="13015"/>
  <c r="W1908" i="13015"/>
  <c r="AI1908" i="13015" s="1"/>
  <c r="AJ1908" i="13015"/>
  <c r="W2593" i="13015"/>
  <c r="AI2593" i="13015" s="1"/>
  <c r="AJ2593" i="13015"/>
  <c r="W2595" i="13015"/>
  <c r="AI2595" i="13015" s="1"/>
  <c r="AJ2595" i="13015"/>
  <c r="W2319" i="13015"/>
  <c r="AI2319" i="13015" s="1"/>
  <c r="AJ2319" i="13015"/>
  <c r="W1525" i="13015"/>
  <c r="AI1525" i="13015" s="1"/>
  <c r="AJ1525" i="13015"/>
  <c r="W1505" i="13015"/>
  <c r="AI1505" i="13015" s="1"/>
  <c r="AJ1505" i="13015"/>
  <c r="W1542" i="13015"/>
  <c r="AI1542" i="13015" s="1"/>
  <c r="AJ1542" i="13015"/>
  <c r="O1586" i="13015"/>
  <c r="O2526" i="13015"/>
  <c r="O2422" i="13015"/>
  <c r="O1564" i="13015"/>
  <c r="O2529" i="13015"/>
  <c r="O2425" i="13015"/>
  <c r="O2424" i="13015"/>
  <c r="O2423" i="13015"/>
  <c r="O2527" i="13015"/>
  <c r="W1516" i="13015"/>
  <c r="AI1516" i="13015" s="1"/>
  <c r="O2528" i="13015"/>
  <c r="W1917" i="13015"/>
  <c r="W1544" i="13015"/>
  <c r="AI1544" i="13015" s="1"/>
  <c r="O1588" i="13015"/>
  <c r="O1566" i="13015"/>
  <c r="W1545" i="13015"/>
  <c r="AI1545" i="13015" s="1"/>
  <c r="O1589" i="13015"/>
  <c r="W1543" i="13015"/>
  <c r="AI1543" i="13015" s="1"/>
  <c r="O1587" i="13015"/>
  <c r="AJ1587" i="13015" s="1"/>
  <c r="O1567" i="13015"/>
  <c r="O1565" i="13015"/>
  <c r="W2604" i="13015" l="1"/>
  <c r="AI2604" i="13015" s="1"/>
  <c r="W1535" i="13015"/>
  <c r="AI1535" i="13015" s="1"/>
  <c r="W2527" i="13015"/>
  <c r="AI2527" i="13015" s="1"/>
  <c r="AJ2527" i="13015"/>
  <c r="W1586" i="13015"/>
  <c r="AI1586" i="13015" s="1"/>
  <c r="AJ1586" i="13015"/>
  <c r="W1567" i="13015"/>
  <c r="AI1567" i="13015" s="1"/>
  <c r="AJ1567" i="13015"/>
  <c r="W1935" i="13015"/>
  <c r="AI1935" i="13015" s="1"/>
  <c r="AI1917" i="13015"/>
  <c r="W2425" i="13015"/>
  <c r="AI2425" i="13015" s="1"/>
  <c r="AJ2425" i="13015"/>
  <c r="W1566" i="13015"/>
  <c r="AI1566" i="13015" s="1"/>
  <c r="AJ1566" i="13015"/>
  <c r="W2529" i="13015"/>
  <c r="AI2529" i="13015" s="1"/>
  <c r="AJ2529" i="13015"/>
  <c r="W1588" i="13015"/>
  <c r="AI1588" i="13015" s="1"/>
  <c r="AJ1588" i="13015"/>
  <c r="W2329" i="13015"/>
  <c r="AI2329" i="13015" s="1"/>
  <c r="W2423" i="13015"/>
  <c r="AI2423" i="13015" s="1"/>
  <c r="AJ2423" i="13015"/>
  <c r="W1564" i="13015"/>
  <c r="AI1564" i="13015" s="1"/>
  <c r="AJ1564" i="13015"/>
  <c r="W2526" i="13015"/>
  <c r="AI2526" i="13015" s="1"/>
  <c r="AJ2526" i="13015"/>
  <c r="W1565" i="13015"/>
  <c r="AI1565" i="13015" s="1"/>
  <c r="AJ1565" i="13015"/>
  <c r="W1589" i="13015"/>
  <c r="AI1589" i="13015" s="1"/>
  <c r="AJ1589" i="13015"/>
  <c r="W2528" i="13015"/>
  <c r="AI2528" i="13015" s="1"/>
  <c r="AJ2528" i="13015"/>
  <c r="W2424" i="13015"/>
  <c r="AI2424" i="13015" s="1"/>
  <c r="AJ2424" i="13015"/>
  <c r="W2422" i="13015"/>
  <c r="AI2422" i="13015" s="1"/>
  <c r="AJ2422" i="13015"/>
  <c r="W1587" i="13015"/>
  <c r="W1557" i="13015"/>
  <c r="AI1557" i="13015" s="1"/>
  <c r="M1504" i="13015"/>
  <c r="U1504" i="13015" s="1"/>
  <c r="M1505" i="13015"/>
  <c r="U1505" i="13015" s="1"/>
  <c r="M1506" i="13015"/>
  <c r="U1506" i="13015" s="1"/>
  <c r="M1507" i="13015"/>
  <c r="U1507" i="13015" s="1"/>
  <c r="M1523" i="13015"/>
  <c r="U1523" i="13015" s="1"/>
  <c r="M1524" i="13015"/>
  <c r="U1524" i="13015" s="1"/>
  <c r="M1525" i="13015"/>
  <c r="U1525" i="13015" s="1"/>
  <c r="M1526" i="13015"/>
  <c r="U1526" i="13015" s="1"/>
  <c r="M1542" i="13015"/>
  <c r="U1542" i="13015" s="1"/>
  <c r="M1543" i="13015"/>
  <c r="U1543" i="13015" s="1"/>
  <c r="M1544" i="13015"/>
  <c r="U1544" i="13015" s="1"/>
  <c r="M1545" i="13015"/>
  <c r="U1545" i="13015" s="1"/>
  <c r="M1905" i="13015"/>
  <c r="U1905" i="13015" s="1"/>
  <c r="M1906" i="13015"/>
  <c r="U1906" i="13015" s="1"/>
  <c r="M1907" i="13015"/>
  <c r="U1907" i="13015" s="1"/>
  <c r="M1908" i="13015"/>
  <c r="U1908" i="13015" s="1"/>
  <c r="M2318" i="13015"/>
  <c r="M2422" i="13015" s="1"/>
  <c r="U2422" i="13015" s="1"/>
  <c r="M2319" i="13015"/>
  <c r="U2319" i="13015" s="1"/>
  <c r="M2320" i="13015"/>
  <c r="U2320" i="13015" s="1"/>
  <c r="M2321" i="13015"/>
  <c r="U2321" i="13015" s="1"/>
  <c r="W2569" i="13015"/>
  <c r="AI2569" i="13015" s="1"/>
  <c r="W2570" i="13015"/>
  <c r="AI2570" i="13015" s="1"/>
  <c r="M2593" i="13015"/>
  <c r="U2593" i="13015" s="1"/>
  <c r="M2594" i="13015"/>
  <c r="U2594" i="13015" s="1"/>
  <c r="M2595" i="13015"/>
  <c r="U2595" i="13015" s="1"/>
  <c r="M2596" i="13015"/>
  <c r="U2596" i="13015" s="1"/>
  <c r="W2433" i="13015" l="1"/>
  <c r="AI2433" i="13015" s="1"/>
  <c r="W1601" i="13015"/>
  <c r="AI1601" i="13015" s="1"/>
  <c r="AI1587" i="13015"/>
  <c r="W1579" i="13015"/>
  <c r="AI1579" i="13015" s="1"/>
  <c r="W2537" i="13015"/>
  <c r="AI2537" i="13015" s="1"/>
  <c r="M2424" i="13015"/>
  <c r="U2424" i="13015" s="1"/>
  <c r="M2423" i="13015"/>
  <c r="U2423" i="13015" s="1"/>
  <c r="M2528" i="13015"/>
  <c r="U2528" i="13015" s="1"/>
  <c r="M1564" i="13015"/>
  <c r="U1564" i="13015" s="1"/>
  <c r="M1587" i="13015"/>
  <c r="U1587" i="13015" s="1"/>
  <c r="M2526" i="13015"/>
  <c r="U2526" i="13015" s="1"/>
  <c r="M2529" i="13015"/>
  <c r="U2529" i="13015" s="1"/>
  <c r="M1588" i="13015"/>
  <c r="U1588" i="13015" s="1"/>
  <c r="M1566" i="13015"/>
  <c r="U1566" i="13015" s="1"/>
  <c r="M1586" i="13015"/>
  <c r="U1586" i="13015" s="1"/>
  <c r="M1565" i="13015"/>
  <c r="U1565" i="13015" s="1"/>
  <c r="M2527" i="13015"/>
  <c r="U2527" i="13015" s="1"/>
  <c r="U2318" i="13015"/>
  <c r="M2425" i="13015"/>
  <c r="U2425" i="13015" s="1"/>
  <c r="M1589" i="13015"/>
  <c r="U1589" i="13015" s="1"/>
  <c r="M1567" i="13015"/>
  <c r="U1567" i="13015" s="1"/>
  <c r="W1495" i="13015"/>
  <c r="O1496" i="13015"/>
  <c r="AJ1496" i="13015" s="1"/>
  <c r="O1497" i="13015"/>
  <c r="AJ1497" i="13015" s="1"/>
  <c r="S1495" i="13015" l="1"/>
  <c r="AI1495" i="13015"/>
  <c r="AC1496" i="13015"/>
  <c r="U1495" i="13015" l="1"/>
  <c r="S1479" i="13015"/>
  <c r="K1479" i="13015" s="1"/>
  <c r="K1519" i="13015" s="1"/>
  <c r="S1519" i="13015" s="1"/>
  <c r="S1480" i="13015" l="1"/>
  <c r="K1480" i="13015" s="1"/>
  <c r="K1501" i="13015" s="1"/>
  <c r="S1501" i="13015" s="1"/>
  <c r="M1479" i="13015"/>
  <c r="U1479" i="13015" s="1"/>
  <c r="K2275" i="13015"/>
  <c r="K2483" i="13015" s="1"/>
  <c r="S2483" i="13015" s="1"/>
  <c r="K1538" i="13015"/>
  <c r="S1538" i="13015" s="1"/>
  <c r="K2315" i="13015"/>
  <c r="K2590" i="13015"/>
  <c r="S2590" i="13015" s="1"/>
  <c r="K1520" i="13015"/>
  <c r="S1520" i="13015" s="1"/>
  <c r="K1902" i="13015"/>
  <c r="S1902" i="13015" s="1"/>
  <c r="K1539" i="13015"/>
  <c r="M1480" i="13015"/>
  <c r="K2276" i="13015"/>
  <c r="K1901" i="13015"/>
  <c r="S1901" i="13015" s="1"/>
  <c r="K1500" i="13015"/>
  <c r="S1500" i="13015" s="1"/>
  <c r="S1481" i="13015"/>
  <c r="K1481" i="13015" s="1"/>
  <c r="M1519" i="13015"/>
  <c r="U1519" i="13015" s="1"/>
  <c r="M1500" i="13015"/>
  <c r="U1500" i="13015" s="1"/>
  <c r="M1538" i="13015"/>
  <c r="U1538" i="13015" s="1"/>
  <c r="M1901" i="13015"/>
  <c r="U1901" i="13015" s="1"/>
  <c r="M2275" i="13015"/>
  <c r="K1560" i="13015"/>
  <c r="S1560" i="13015" s="1"/>
  <c r="K1582" i="13015" l="1"/>
  <c r="S1582" i="13015" s="1"/>
  <c r="K2379" i="13015"/>
  <c r="S2379" i="13015" s="1"/>
  <c r="S2275" i="13015"/>
  <c r="O2275" i="13015"/>
  <c r="AJ2275" i="13015" s="1"/>
  <c r="K2523" i="13015"/>
  <c r="S2523" i="13015" s="1"/>
  <c r="K2419" i="13015"/>
  <c r="S2419" i="13015" s="1"/>
  <c r="S2315" i="13015"/>
  <c r="S1539" i="13015"/>
  <c r="K1583" i="13015"/>
  <c r="S1583" i="13015" s="1"/>
  <c r="K1561" i="13015"/>
  <c r="S1561" i="13015" s="1"/>
  <c r="K2545" i="13015"/>
  <c r="M2545" i="13015" s="1"/>
  <c r="K2380" i="13015"/>
  <c r="S2380" i="13015" s="1"/>
  <c r="K2484" i="13015"/>
  <c r="S2484" i="13015" s="1"/>
  <c r="S2276" i="13015"/>
  <c r="S1482" i="13015"/>
  <c r="K1482" i="13015" s="1"/>
  <c r="AA1496" i="13015"/>
  <c r="K2591" i="13015"/>
  <c r="S2591" i="13015" s="1"/>
  <c r="K1521" i="13015"/>
  <c r="S1521" i="13015" s="1"/>
  <c r="K1540" i="13015"/>
  <c r="K2316" i="13015"/>
  <c r="K1502" i="13015"/>
  <c r="S1502" i="13015" s="1"/>
  <c r="K1903" i="13015"/>
  <c r="S1903" i="13015" s="1"/>
  <c r="K1954" i="13015"/>
  <c r="M1954" i="13015" s="1"/>
  <c r="K2279" i="13015"/>
  <c r="M1481" i="13015"/>
  <c r="K2569" i="13015"/>
  <c r="U1480" i="13015"/>
  <c r="M1539" i="13015"/>
  <c r="M2590" i="13015"/>
  <c r="U2590" i="13015" s="1"/>
  <c r="M1520" i="13015"/>
  <c r="U1520" i="13015" s="1"/>
  <c r="M1902" i="13015"/>
  <c r="U1902" i="13015" s="1"/>
  <c r="M1501" i="13015"/>
  <c r="U1501" i="13015" s="1"/>
  <c r="M2276" i="13015"/>
  <c r="M2315" i="13015"/>
  <c r="M1560" i="13015"/>
  <c r="U1560" i="13015" s="1"/>
  <c r="M1582" i="13015"/>
  <c r="U1582" i="13015" s="1"/>
  <c r="S2545" i="13015"/>
  <c r="O2483" i="13015"/>
  <c r="U2275" i="13015"/>
  <c r="M2379" i="13015"/>
  <c r="U2379" i="13015" s="1"/>
  <c r="M2483" i="13015"/>
  <c r="U2483" i="13015" s="1"/>
  <c r="U2545" i="13015"/>
  <c r="O2379" i="13015" l="1"/>
  <c r="W2275" i="13015"/>
  <c r="U2315" i="13015"/>
  <c r="M2419" i="13015"/>
  <c r="U2419" i="13015" s="1"/>
  <c r="M2523" i="13015"/>
  <c r="U2523" i="13015" s="1"/>
  <c r="W2379" i="13015"/>
  <c r="AJ2379" i="13015"/>
  <c r="O2276" i="13015"/>
  <c r="M2380" i="13015"/>
  <c r="U2380" i="13015" s="1"/>
  <c r="M2484" i="13015"/>
  <c r="U2484" i="13015" s="1"/>
  <c r="U2276" i="13015"/>
  <c r="U1481" i="13015"/>
  <c r="M1903" i="13015"/>
  <c r="U1903" i="13015" s="1"/>
  <c r="M2316" i="13015"/>
  <c r="M1502" i="13015"/>
  <c r="U1502" i="13015" s="1"/>
  <c r="M1540" i="13015"/>
  <c r="M2591" i="13015"/>
  <c r="U2591" i="13015" s="1"/>
  <c r="M1521" i="13015"/>
  <c r="U1521" i="13015" s="1"/>
  <c r="S2569" i="13015"/>
  <c r="M2569" i="13015"/>
  <c r="U2569" i="13015" s="1"/>
  <c r="U1539" i="13015"/>
  <c r="M1583" i="13015"/>
  <c r="U1583" i="13015" s="1"/>
  <c r="M1561" i="13015"/>
  <c r="U1561" i="13015" s="1"/>
  <c r="M2279" i="13015"/>
  <c r="K2282" i="13015"/>
  <c r="K2487" i="13015"/>
  <c r="S2487" i="13015" s="1"/>
  <c r="K2383" i="13015"/>
  <c r="S2383" i="13015" s="1"/>
  <c r="K2285" i="13015"/>
  <c r="S2279" i="13015"/>
  <c r="K2420" i="13015"/>
  <c r="S2420" i="13015" s="1"/>
  <c r="S2316" i="13015"/>
  <c r="K2524" i="13015"/>
  <c r="S2524" i="13015" s="1"/>
  <c r="K1904" i="13015"/>
  <c r="S1904" i="13015" s="1"/>
  <c r="S1917" i="13015" s="1"/>
  <c r="S1935" i="13015" s="1"/>
  <c r="K1541" i="13015"/>
  <c r="K1503" i="13015"/>
  <c r="S1503" i="13015" s="1"/>
  <c r="S1516" i="13015" s="1"/>
  <c r="K2592" i="13015"/>
  <c r="S2592" i="13015" s="1"/>
  <c r="S2604" i="13015" s="1"/>
  <c r="K1522" i="13015"/>
  <c r="S1522" i="13015" s="1"/>
  <c r="S1535" i="13015" s="1"/>
  <c r="K2317" i="13015"/>
  <c r="K1955" i="13015"/>
  <c r="M1955" i="13015" s="1"/>
  <c r="K2280" i="13015"/>
  <c r="M1482" i="13015"/>
  <c r="K2570" i="13015"/>
  <c r="AI2275" i="13015"/>
  <c r="W2483" i="13015"/>
  <c r="AJ2483" i="13015"/>
  <c r="K1562" i="13015"/>
  <c r="S1562" i="13015" s="1"/>
  <c r="S1540" i="13015"/>
  <c r="K1584" i="13015"/>
  <c r="S1584" i="13015" s="1"/>
  <c r="W2545" i="13015"/>
  <c r="O1627" i="13015"/>
  <c r="O1628" i="13015"/>
  <c r="O1634" i="13015"/>
  <c r="W1652" i="13015"/>
  <c r="W1627" i="13015" l="1"/>
  <c r="AI1627" i="13015" s="1"/>
  <c r="AJ1627" i="13015"/>
  <c r="U1482" i="13015"/>
  <c r="AB1496" i="13015" s="1"/>
  <c r="AD1496" i="13015" s="1"/>
  <c r="M1503" i="13015"/>
  <c r="U1503" i="13015" s="1"/>
  <c r="M1522" i="13015"/>
  <c r="U1522" i="13015" s="1"/>
  <c r="U1535" i="13015" s="1"/>
  <c r="M1904" i="13015"/>
  <c r="U1904" i="13015" s="1"/>
  <c r="U1917" i="13015" s="1"/>
  <c r="U1935" i="13015" s="1"/>
  <c r="M2317" i="13015"/>
  <c r="M2592" i="13015"/>
  <c r="U2592" i="13015" s="1"/>
  <c r="U2604" i="13015" s="1"/>
  <c r="M1541" i="13015"/>
  <c r="K2386" i="13015"/>
  <c r="S2386" i="13015" s="1"/>
  <c r="K2490" i="13015"/>
  <c r="S2490" i="13015" s="1"/>
  <c r="S2282" i="13015"/>
  <c r="M2282" i="13015"/>
  <c r="AI2379" i="13015"/>
  <c r="W1657" i="13015"/>
  <c r="AI1657" i="13015" s="1"/>
  <c r="AI1652" i="13015"/>
  <c r="W2587" i="13015"/>
  <c r="AI2545" i="13015"/>
  <c r="M2280" i="13015"/>
  <c r="K2384" i="13015"/>
  <c r="S2384" i="13015" s="1"/>
  <c r="S2280" i="13015"/>
  <c r="K2286" i="13015"/>
  <c r="K2283" i="13015"/>
  <c r="K2488" i="13015"/>
  <c r="S2488" i="13015" s="1"/>
  <c r="K2493" i="13015"/>
  <c r="S2493" i="13015" s="1"/>
  <c r="K2389" i="13015"/>
  <c r="S2389" i="13015" s="1"/>
  <c r="M2285" i="13015"/>
  <c r="S2285" i="13015"/>
  <c r="M2487" i="13015"/>
  <c r="U2487" i="13015" s="1"/>
  <c r="M2383" i="13015"/>
  <c r="U2383" i="13015" s="1"/>
  <c r="U2279" i="13015"/>
  <c r="U1540" i="13015"/>
  <c r="M1562" i="13015"/>
  <c r="U1562" i="13015" s="1"/>
  <c r="M1584" i="13015"/>
  <c r="U1584" i="13015" s="1"/>
  <c r="W1634" i="13015"/>
  <c r="AJ1634" i="13015"/>
  <c r="AI2483" i="13015"/>
  <c r="U1516" i="13015"/>
  <c r="AJ2276" i="13015"/>
  <c r="W2276" i="13015"/>
  <c r="O2484" i="13015"/>
  <c r="O2380" i="13015"/>
  <c r="W1628" i="13015"/>
  <c r="AI1628" i="13015" s="1"/>
  <c r="AJ1628" i="13015"/>
  <c r="S2570" i="13015"/>
  <c r="S2587" i="13015" s="1"/>
  <c r="S2606" i="13015" s="1"/>
  <c r="M2570" i="13015"/>
  <c r="U2570" i="13015" s="1"/>
  <c r="U2587" i="13015" s="1"/>
  <c r="S2317" i="13015"/>
  <c r="S2329" i="13015" s="1"/>
  <c r="K2525" i="13015"/>
  <c r="S2525" i="13015" s="1"/>
  <c r="S2537" i="13015" s="1"/>
  <c r="K2421" i="13015"/>
  <c r="S2421" i="13015" s="1"/>
  <c r="S2433" i="13015" s="1"/>
  <c r="K1585" i="13015"/>
  <c r="S1585" i="13015" s="1"/>
  <c r="S1601" i="13015" s="1"/>
  <c r="K1563" i="13015"/>
  <c r="S1563" i="13015" s="1"/>
  <c r="S1579" i="13015" s="1"/>
  <c r="S1541" i="13015"/>
  <c r="S1557" i="13015" s="1"/>
  <c r="U2316" i="13015"/>
  <c r="M2420" i="13015"/>
  <c r="U2420" i="13015" s="1"/>
  <c r="M2524" i="13015"/>
  <c r="U2524" i="13015" s="1"/>
  <c r="S1619" i="13015"/>
  <c r="U1619" i="13015" s="1"/>
  <c r="AC1620" i="13015"/>
  <c r="M2389" i="13015" l="1"/>
  <c r="U2389" i="13015" s="1"/>
  <c r="U2285" i="13015"/>
  <c r="M2493" i="13015"/>
  <c r="U2493" i="13015" s="1"/>
  <c r="M2283" i="13015"/>
  <c r="K2387" i="13015"/>
  <c r="S2387" i="13015" s="1"/>
  <c r="S2283" i="13015"/>
  <c r="K2491" i="13015"/>
  <c r="S2491" i="13015" s="1"/>
  <c r="M2384" i="13015"/>
  <c r="U2384" i="13015" s="1"/>
  <c r="U2280" i="13015"/>
  <c r="M2488" i="13015"/>
  <c r="U2488" i="13015" s="1"/>
  <c r="U2317" i="13015"/>
  <c r="U2329" i="13015" s="1"/>
  <c r="M2421" i="13015"/>
  <c r="U2421" i="13015" s="1"/>
  <c r="U2433" i="13015" s="1"/>
  <c r="M2525" i="13015"/>
  <c r="U2525" i="13015" s="1"/>
  <c r="U2537" i="13015" s="1"/>
  <c r="U2606" i="13015"/>
  <c r="W2380" i="13015"/>
  <c r="AJ2380" i="13015"/>
  <c r="K2494" i="13015"/>
  <c r="S2494" i="13015" s="1"/>
  <c r="K2390" i="13015"/>
  <c r="S2390" i="13015" s="1"/>
  <c r="S2286" i="13015"/>
  <c r="M2286" i="13015"/>
  <c r="M2490" i="13015"/>
  <c r="U2490" i="13015" s="1"/>
  <c r="M2386" i="13015"/>
  <c r="U2386" i="13015" s="1"/>
  <c r="U2282" i="13015"/>
  <c r="S1657" i="13015"/>
  <c r="W2484" i="13015"/>
  <c r="AJ2484" i="13015"/>
  <c r="W2606" i="13015"/>
  <c r="AI2606" i="13015" s="1"/>
  <c r="AI2587" i="13015"/>
  <c r="M1585" i="13015"/>
  <c r="U1585" i="13015" s="1"/>
  <c r="U1601" i="13015" s="1"/>
  <c r="U1541" i="13015"/>
  <c r="U1557" i="13015" s="1"/>
  <c r="M1563" i="13015"/>
  <c r="U1563" i="13015" s="1"/>
  <c r="U1579" i="13015" s="1"/>
  <c r="AI2276" i="13015"/>
  <c r="W2296" i="13015"/>
  <c r="W1635" i="13015"/>
  <c r="AI1635" i="13015" s="1"/>
  <c r="AI1634" i="13015"/>
  <c r="U1657" i="13015"/>
  <c r="S1604" i="13015"/>
  <c r="S1605" i="13015" s="1"/>
  <c r="S2504" i="13015" l="1"/>
  <c r="S2539" i="13015" s="1"/>
  <c r="S2296" i="13015"/>
  <c r="S2331" i="13015" s="1"/>
  <c r="AA2332" i="13015" s="1"/>
  <c r="S2400" i="13015"/>
  <c r="S2435" i="13015" s="1"/>
  <c r="AI2484" i="13015"/>
  <c r="W2504" i="13015"/>
  <c r="M2390" i="13015"/>
  <c r="U2390" i="13015" s="1"/>
  <c r="U2286" i="13015"/>
  <c r="U2296" i="13015" s="1"/>
  <c r="U2331" i="13015" s="1"/>
  <c r="AB2332" i="13015" s="1"/>
  <c r="M2494" i="13015"/>
  <c r="U2494" i="13015" s="1"/>
  <c r="U2283" i="13015"/>
  <c r="M2387" i="13015"/>
  <c r="U2387" i="13015" s="1"/>
  <c r="M2491" i="13015"/>
  <c r="U2491" i="13015" s="1"/>
  <c r="AI2296" i="13015"/>
  <c r="W2331" i="13015"/>
  <c r="AI2380" i="13015"/>
  <c r="W2400" i="13015"/>
  <c r="S1606" i="13015"/>
  <c r="S1613" i="13015"/>
  <c r="AC2332" i="13015" l="1"/>
  <c r="AD2332" i="13015" s="1"/>
  <c r="AI2331" i="13015"/>
  <c r="U2504" i="13015"/>
  <c r="U2539" i="13015" s="1"/>
  <c r="W2539" i="13015"/>
  <c r="AI2539" i="13015" s="1"/>
  <c r="AI2504" i="13015"/>
  <c r="W2435" i="13015"/>
  <c r="AI2435" i="13015" s="1"/>
  <c r="AI2400" i="13015"/>
  <c r="U2400" i="13015"/>
  <c r="U2435" i="13015" s="1"/>
  <c r="S1607" i="13015"/>
  <c r="S1608" i="13015"/>
  <c r="S1609" i="13015" l="1"/>
  <c r="S1610" i="13015"/>
  <c r="S1614" i="13015"/>
  <c r="K1614" i="13015" s="1"/>
  <c r="K1609" i="13015" l="1"/>
  <c r="K1610" i="13015" s="1"/>
  <c r="M1614" i="13015"/>
  <c r="K1634" i="13015"/>
  <c r="S1634" i="13015" s="1"/>
  <c r="S1635" i="13015" s="1"/>
  <c r="K1652" i="13015"/>
  <c r="AA1620" i="13015"/>
  <c r="M1609" i="13015"/>
  <c r="K1627" i="13015"/>
  <c r="S1627" i="13015" s="1"/>
  <c r="S1652" i="13015" l="1"/>
  <c r="S1653" i="13015" s="1"/>
  <c r="M1652" i="13015"/>
  <c r="U1652" i="13015" s="1"/>
  <c r="M1627" i="13015"/>
  <c r="U1627" i="13015" s="1"/>
  <c r="U1609" i="13015"/>
  <c r="M1610" i="13015"/>
  <c r="K1628" i="13015"/>
  <c r="S1628" i="13015" s="1"/>
  <c r="U1614" i="13015"/>
  <c r="M1634" i="13015"/>
  <c r="U1634" i="13015" s="1"/>
  <c r="U1635" i="13015" s="1"/>
  <c r="S1648" i="13015" l="1"/>
  <c r="S1647" i="13015"/>
  <c r="M1628" i="13015"/>
  <c r="U1628" i="13015" s="1"/>
  <c r="U1610" i="13015"/>
  <c r="AB1620" i="13015" s="1"/>
  <c r="AD1620" i="13015" s="1"/>
  <c r="K1647" i="13015" l="1"/>
  <c r="M1647" i="13015" s="1"/>
  <c r="U1647" i="13015" s="1"/>
  <c r="AA1658" i="13015"/>
  <c r="AC1658" i="13015"/>
  <c r="K1629" i="13015" l="1"/>
  <c r="S1629" i="13015" s="1"/>
  <c r="K1648" i="13015"/>
  <c r="M1648" i="13015" s="1"/>
  <c r="U1648" i="13015" s="1"/>
  <c r="AB1658" i="13015" s="1"/>
  <c r="AD1658" i="13015" s="1"/>
  <c r="M1629" i="13015"/>
  <c r="U1629" i="13015" s="1"/>
  <c r="O1629" i="13015"/>
  <c r="W1629" i="13015" l="1"/>
  <c r="AI1629" i="13015" s="1"/>
  <c r="AJ1629" i="13015"/>
  <c r="M1630" i="13015"/>
  <c r="U1630" i="13015" s="1"/>
  <c r="U1631" i="13015" s="1"/>
  <c r="U1639" i="13015" s="1"/>
  <c r="K1630" i="13015"/>
  <c r="S1630" i="13015" s="1"/>
  <c r="S1631" i="13015" s="1"/>
  <c r="S1639" i="13015" s="1"/>
  <c r="O1630" i="13015"/>
  <c r="W1810" i="13015"/>
  <c r="AI1810" i="13015" s="1"/>
  <c r="O1821" i="13015"/>
  <c r="O1832" i="13015"/>
  <c r="AJ1832" i="13015" s="1"/>
  <c r="O1843" i="13015"/>
  <c r="W1811" i="13015"/>
  <c r="AI1811" i="13015" s="1"/>
  <c r="W1812" i="13015"/>
  <c r="AI1812" i="13015" s="1"/>
  <c r="W1813" i="13015"/>
  <c r="AI1813" i="13015" s="1"/>
  <c r="W1814" i="13015"/>
  <c r="AI1814" i="13015" s="1"/>
  <c r="O1822" i="13015"/>
  <c r="O1823" i="13015"/>
  <c r="O1824" i="13015"/>
  <c r="O1825" i="13015"/>
  <c r="O1833" i="13015"/>
  <c r="O1834" i="13015"/>
  <c r="O1835" i="13015"/>
  <c r="O1836" i="13015"/>
  <c r="O1844" i="13015"/>
  <c r="O1845" i="13015"/>
  <c r="O1846" i="13015"/>
  <c r="O1847" i="13015"/>
  <c r="W1847" i="13015" l="1"/>
  <c r="AI1847" i="13015" s="1"/>
  <c r="AJ1847" i="13015"/>
  <c r="W1836" i="13015"/>
  <c r="AI1836" i="13015" s="1"/>
  <c r="AJ1836" i="13015"/>
  <c r="W1825" i="13015"/>
  <c r="AI1825" i="13015" s="1"/>
  <c r="AJ1825" i="13015"/>
  <c r="W1843" i="13015"/>
  <c r="AI1843" i="13015" s="1"/>
  <c r="AJ1843" i="13015"/>
  <c r="W1845" i="13015"/>
  <c r="AI1845" i="13015" s="1"/>
  <c r="AJ1845" i="13015"/>
  <c r="W1834" i="13015"/>
  <c r="AI1834" i="13015" s="1"/>
  <c r="AJ1834" i="13015"/>
  <c r="W1823" i="13015"/>
  <c r="AI1823" i="13015" s="1"/>
  <c r="AJ1823" i="13015"/>
  <c r="W1844" i="13015"/>
  <c r="AI1844" i="13015" s="1"/>
  <c r="AJ1844" i="13015"/>
  <c r="W1833" i="13015"/>
  <c r="AI1833" i="13015" s="1"/>
  <c r="AJ1833" i="13015"/>
  <c r="W1822" i="13015"/>
  <c r="AI1822" i="13015" s="1"/>
  <c r="AJ1822" i="13015"/>
  <c r="W1821" i="13015"/>
  <c r="AI1821" i="13015" s="1"/>
  <c r="AJ1821" i="13015"/>
  <c r="W1846" i="13015"/>
  <c r="AI1846" i="13015" s="1"/>
  <c r="AJ1846" i="13015"/>
  <c r="W1835" i="13015"/>
  <c r="AI1835" i="13015" s="1"/>
  <c r="AJ1835" i="13015"/>
  <c r="W1824" i="13015"/>
  <c r="AI1824" i="13015" s="1"/>
  <c r="AJ1824" i="13015"/>
  <c r="W1832" i="13015"/>
  <c r="AI1832" i="13015" s="1"/>
  <c r="W1630" i="13015"/>
  <c r="AJ1630" i="13015"/>
  <c r="W1829" i="13015"/>
  <c r="AI1829" i="13015" s="1"/>
  <c r="W1818" i="13015"/>
  <c r="W1840" i="13015"/>
  <c r="AI1840" i="13015" s="1"/>
  <c r="W1851" i="13015" l="1"/>
  <c r="AI1851" i="13015" s="1"/>
  <c r="W1631" i="13015"/>
  <c r="AI1630" i="13015"/>
  <c r="AC1819" i="13015"/>
  <c r="AI1818" i="13015"/>
  <c r="S1818" i="13015"/>
  <c r="W1639" i="13015" l="1"/>
  <c r="AI1639" i="13015" s="1"/>
  <c r="AI1631" i="13015"/>
  <c r="S1810" i="13015"/>
  <c r="K1810" i="13015" s="1"/>
  <c r="S1813" i="13015"/>
  <c r="K1813" i="13015" s="1"/>
  <c r="M1813" i="13015" s="1"/>
  <c r="S1812" i="13015"/>
  <c r="S1811" i="13015"/>
  <c r="K1811" i="13015" s="1"/>
  <c r="M1811" i="13015" s="1"/>
  <c r="U1818" i="13015"/>
  <c r="U1810" i="13015"/>
  <c r="K1812" i="13015" l="1"/>
  <c r="M1812" i="13015" s="1"/>
  <c r="M1810" i="13015"/>
  <c r="M1843" i="13015" s="1"/>
  <c r="U1843" i="13015" s="1"/>
  <c r="K1846" i="13015"/>
  <c r="S1846" i="13015" s="1"/>
  <c r="K1835" i="13015"/>
  <c r="S1835" i="13015" s="1"/>
  <c r="K1824" i="13015"/>
  <c r="S1824" i="13015" s="1"/>
  <c r="K1833" i="13015"/>
  <c r="S1833" i="13015" s="1"/>
  <c r="K1822" i="13015"/>
  <c r="S1822" i="13015" s="1"/>
  <c r="K1844" i="13015"/>
  <c r="S1844" i="13015" s="1"/>
  <c r="AA1819" i="13015"/>
  <c r="K1832" i="13015"/>
  <c r="S1832" i="13015" s="1"/>
  <c r="K1821" i="13015"/>
  <c r="S1821" i="13015" s="1"/>
  <c r="K1843" i="13015"/>
  <c r="S1843" i="13015" s="1"/>
  <c r="M1832" i="13015"/>
  <c r="U1832" i="13015" s="1"/>
  <c r="M1821" i="13015"/>
  <c r="U1821" i="13015" s="1"/>
  <c r="U1811" i="13015"/>
  <c r="K1834" i="13015" l="1"/>
  <c r="S1834" i="13015" s="1"/>
  <c r="S1840" i="13015" s="1"/>
  <c r="K1845" i="13015"/>
  <c r="S1845" i="13015" s="1"/>
  <c r="S1851" i="13015" s="1"/>
  <c r="K1823" i="13015"/>
  <c r="S1823" i="13015" s="1"/>
  <c r="S1829" i="13015" s="1"/>
  <c r="U1812" i="13015"/>
  <c r="U1813" i="13015" s="1"/>
  <c r="M1833" i="13015"/>
  <c r="U1833" i="13015" s="1"/>
  <c r="M1822" i="13015"/>
  <c r="U1822" i="13015" s="1"/>
  <c r="M1844" i="13015"/>
  <c r="U1844" i="13015" s="1"/>
  <c r="M1834" i="13015" l="1"/>
  <c r="U1834" i="13015" s="1"/>
  <c r="M1823" i="13015"/>
  <c r="U1823" i="13015" s="1"/>
  <c r="M1845" i="13015"/>
  <c r="U1845" i="13015" s="1"/>
  <c r="U1814" i="13015"/>
  <c r="M1835" i="13015"/>
  <c r="U1835" i="13015" s="1"/>
  <c r="M1824" i="13015"/>
  <c r="U1824" i="13015" s="1"/>
  <c r="M1846" i="13015"/>
  <c r="U1846" i="13015" s="1"/>
  <c r="M1836" i="13015" l="1"/>
  <c r="U1836" i="13015" s="1"/>
  <c r="U1840" i="13015" s="1"/>
  <c r="M1825" i="13015"/>
  <c r="U1825" i="13015" s="1"/>
  <c r="U1829" i="13015" s="1"/>
  <c r="M1847" i="13015"/>
  <c r="U1847" i="13015" s="1"/>
  <c r="U1851" i="13015" s="1"/>
  <c r="AB1819" i="13015"/>
  <c r="AD1819" i="13015" s="1"/>
  <c r="W1977" i="13015"/>
  <c r="AI1977" i="13015" s="1"/>
  <c r="O2001" i="13015"/>
  <c r="O2025" i="13015"/>
  <c r="O2049" i="13015"/>
  <c r="O2073" i="13015"/>
  <c r="W2073" i="13015" l="1"/>
  <c r="AI2073" i="13015" s="1"/>
  <c r="AJ2073" i="13015"/>
  <c r="W2049" i="13015"/>
  <c r="AI2049" i="13015" s="1"/>
  <c r="AJ2049" i="13015"/>
  <c r="W2025" i="13015"/>
  <c r="AI2025" i="13015" s="1"/>
  <c r="AJ2025" i="13015"/>
  <c r="W2001" i="13015"/>
  <c r="AI2001" i="13015" s="1"/>
  <c r="AJ2001" i="13015"/>
  <c r="O2139" i="13015"/>
  <c r="O2117" i="13015"/>
  <c r="O2095" i="13015"/>
  <c r="AJ2095" i="13015" s="1"/>
  <c r="W1978" i="13015"/>
  <c r="AI1978" i="13015" s="1"/>
  <c r="W1979" i="13015"/>
  <c r="AI1979" i="13015" s="1"/>
  <c r="W1980" i="13015"/>
  <c r="AI1980" i="13015" s="1"/>
  <c r="W1981" i="13015"/>
  <c r="AI1981" i="13015" s="1"/>
  <c r="W1982" i="13015"/>
  <c r="AI1982" i="13015" s="1"/>
  <c r="W1983" i="13015"/>
  <c r="AI1983" i="13015" s="1"/>
  <c r="W1984" i="13015"/>
  <c r="AI1984" i="13015" s="1"/>
  <c r="W1985" i="13015"/>
  <c r="AI1985" i="13015" s="1"/>
  <c r="O2002" i="13015"/>
  <c r="O2003" i="13015"/>
  <c r="O2004" i="13015"/>
  <c r="O2005" i="13015"/>
  <c r="O2006" i="13015"/>
  <c r="O2007" i="13015"/>
  <c r="O2008" i="13015"/>
  <c r="O2009" i="13015"/>
  <c r="O2026" i="13015"/>
  <c r="O2027" i="13015"/>
  <c r="O2028" i="13015"/>
  <c r="O2029" i="13015"/>
  <c r="O2030" i="13015"/>
  <c r="O2031" i="13015"/>
  <c r="O2032" i="13015"/>
  <c r="O2033" i="13015"/>
  <c r="O2050" i="13015"/>
  <c r="O2051" i="13015"/>
  <c r="O2052" i="13015"/>
  <c r="O2053" i="13015"/>
  <c r="O2054" i="13015"/>
  <c r="O2055" i="13015"/>
  <c r="O2056" i="13015"/>
  <c r="O2057" i="13015"/>
  <c r="O2074" i="13015"/>
  <c r="O2075" i="13015"/>
  <c r="O2076" i="13015"/>
  <c r="O2077" i="13015"/>
  <c r="O2078" i="13015"/>
  <c r="O2079" i="13015"/>
  <c r="O2080" i="13015"/>
  <c r="O2081" i="13015"/>
  <c r="W2074" i="13015" l="1"/>
  <c r="AI2074" i="13015" s="1"/>
  <c r="AJ2074" i="13015"/>
  <c r="W2081" i="13015"/>
  <c r="AI2081" i="13015" s="1"/>
  <c r="AJ2081" i="13015"/>
  <c r="W2077" i="13015"/>
  <c r="AI2077" i="13015" s="1"/>
  <c r="AJ2077" i="13015"/>
  <c r="W2057" i="13015"/>
  <c r="AI2057" i="13015" s="1"/>
  <c r="AJ2057" i="13015"/>
  <c r="W2053" i="13015"/>
  <c r="AI2053" i="13015" s="1"/>
  <c r="AJ2053" i="13015"/>
  <c r="W2033" i="13015"/>
  <c r="AI2033" i="13015" s="1"/>
  <c r="AJ2033" i="13015"/>
  <c r="W2029" i="13015"/>
  <c r="AI2029" i="13015" s="1"/>
  <c r="AJ2029" i="13015"/>
  <c r="W2009" i="13015"/>
  <c r="AI2009" i="13015" s="1"/>
  <c r="AJ2009" i="13015"/>
  <c r="W2005" i="13015"/>
  <c r="AI2005" i="13015" s="1"/>
  <c r="AJ2005" i="13015"/>
  <c r="W2078" i="13015"/>
  <c r="AI2078" i="13015" s="1"/>
  <c r="AJ2078" i="13015"/>
  <c r="W2054" i="13015"/>
  <c r="AI2054" i="13015" s="1"/>
  <c r="AJ2054" i="13015"/>
  <c r="W2050" i="13015"/>
  <c r="AI2050" i="13015" s="1"/>
  <c r="AJ2050" i="13015"/>
  <c r="W2026" i="13015"/>
  <c r="AI2026" i="13015" s="1"/>
  <c r="AJ2026" i="13015"/>
  <c r="W2006" i="13015"/>
  <c r="AI2006" i="13015" s="1"/>
  <c r="AJ2006" i="13015"/>
  <c r="W2002" i="13015"/>
  <c r="AI2002" i="13015" s="1"/>
  <c r="AJ2002" i="13015"/>
  <c r="W2080" i="13015"/>
  <c r="AI2080" i="13015" s="1"/>
  <c r="AJ2080" i="13015"/>
  <c r="W2076" i="13015"/>
  <c r="AI2076" i="13015" s="1"/>
  <c r="AJ2076" i="13015"/>
  <c r="W2056" i="13015"/>
  <c r="AI2056" i="13015" s="1"/>
  <c r="AJ2056" i="13015"/>
  <c r="W2052" i="13015"/>
  <c r="AI2052" i="13015" s="1"/>
  <c r="AJ2052" i="13015"/>
  <c r="W2032" i="13015"/>
  <c r="AI2032" i="13015" s="1"/>
  <c r="AJ2032" i="13015"/>
  <c r="W2028" i="13015"/>
  <c r="AI2028" i="13015" s="1"/>
  <c r="AJ2028" i="13015"/>
  <c r="W2008" i="13015"/>
  <c r="AI2008" i="13015" s="1"/>
  <c r="AJ2008" i="13015"/>
  <c r="W2004" i="13015"/>
  <c r="AI2004" i="13015" s="1"/>
  <c r="AJ2004" i="13015"/>
  <c r="W2117" i="13015"/>
  <c r="AI2117" i="13015" s="1"/>
  <c r="AJ2117" i="13015"/>
  <c r="W2030" i="13015"/>
  <c r="AI2030" i="13015" s="1"/>
  <c r="AJ2030" i="13015"/>
  <c r="W2079" i="13015"/>
  <c r="AI2079" i="13015" s="1"/>
  <c r="AJ2079" i="13015"/>
  <c r="W2075" i="13015"/>
  <c r="AI2075" i="13015" s="1"/>
  <c r="AJ2075" i="13015"/>
  <c r="W2055" i="13015"/>
  <c r="AI2055" i="13015" s="1"/>
  <c r="AJ2055" i="13015"/>
  <c r="W2051" i="13015"/>
  <c r="AI2051" i="13015" s="1"/>
  <c r="AJ2051" i="13015"/>
  <c r="W2031" i="13015"/>
  <c r="AI2031" i="13015" s="1"/>
  <c r="AJ2031" i="13015"/>
  <c r="W2027" i="13015"/>
  <c r="AI2027" i="13015" s="1"/>
  <c r="AJ2027" i="13015"/>
  <c r="W2007" i="13015"/>
  <c r="AI2007" i="13015" s="1"/>
  <c r="AJ2007" i="13015"/>
  <c r="W2003" i="13015"/>
  <c r="AI2003" i="13015" s="1"/>
  <c r="AJ2003" i="13015"/>
  <c r="W2139" i="13015"/>
  <c r="AI2139" i="13015" s="1"/>
  <c r="AJ2139" i="13015"/>
  <c r="O2141" i="13015"/>
  <c r="O2119" i="13015"/>
  <c r="O2144" i="13015"/>
  <c r="O2097" i="13015"/>
  <c r="O2140" i="13015"/>
  <c r="O2142" i="13015"/>
  <c r="O2147" i="13015"/>
  <c r="O2103" i="13015"/>
  <c r="O2099" i="13015"/>
  <c r="O2143" i="13015"/>
  <c r="O2125" i="13015"/>
  <c r="O2120" i="13015"/>
  <c r="O2146" i="13015"/>
  <c r="O2122" i="13015"/>
  <c r="O2118" i="13015"/>
  <c r="O2121" i="13015"/>
  <c r="O2124" i="13015"/>
  <c r="O2101" i="13015"/>
  <c r="AJ2101" i="13015" s="1"/>
  <c r="O2145" i="13015"/>
  <c r="O2123" i="13015"/>
  <c r="W2095" i="13015"/>
  <c r="AI2095" i="13015" s="1"/>
  <c r="O2161" i="13015"/>
  <c r="AJ2161" i="13015" s="1"/>
  <c r="O2102" i="13015"/>
  <c r="AJ2102" i="13015" s="1"/>
  <c r="O2100" i="13015"/>
  <c r="AJ2100" i="13015" s="1"/>
  <c r="O2098" i="13015"/>
  <c r="AJ2098" i="13015" s="1"/>
  <c r="O2096" i="13015"/>
  <c r="AJ2096" i="13015" s="1"/>
  <c r="W2125" i="13015" l="1"/>
  <c r="AI2125" i="13015" s="1"/>
  <c r="AJ2125" i="13015"/>
  <c r="W2144" i="13015"/>
  <c r="AI2144" i="13015" s="1"/>
  <c r="AJ2144" i="13015"/>
  <c r="W2123" i="13015"/>
  <c r="AI2123" i="13015" s="1"/>
  <c r="AJ2123" i="13015"/>
  <c r="W2103" i="13015"/>
  <c r="AI2103" i="13015" s="1"/>
  <c r="AJ2103" i="13015"/>
  <c r="W2145" i="13015"/>
  <c r="AI2145" i="13015" s="1"/>
  <c r="AJ2145" i="13015"/>
  <c r="W2147" i="13015"/>
  <c r="AI2147" i="13015" s="1"/>
  <c r="AJ2147" i="13015"/>
  <c r="W2122" i="13015"/>
  <c r="AI2122" i="13015" s="1"/>
  <c r="AJ2122" i="13015"/>
  <c r="W2143" i="13015"/>
  <c r="AI2143" i="13015" s="1"/>
  <c r="AJ2143" i="13015"/>
  <c r="W2142" i="13015"/>
  <c r="AI2142" i="13015" s="1"/>
  <c r="AJ2142" i="13015"/>
  <c r="W2119" i="13015"/>
  <c r="AI2119" i="13015" s="1"/>
  <c r="AJ2119" i="13015"/>
  <c r="W2121" i="13015"/>
  <c r="AI2121" i="13015" s="1"/>
  <c r="AJ2121" i="13015"/>
  <c r="W2120" i="13015"/>
  <c r="AI2120" i="13015" s="1"/>
  <c r="AJ2120" i="13015"/>
  <c r="O2164" i="13015"/>
  <c r="AJ2164" i="13015" s="1"/>
  <c r="AJ2097" i="13015"/>
  <c r="W2118" i="13015"/>
  <c r="AI2118" i="13015" s="1"/>
  <c r="AJ2118" i="13015"/>
  <c r="W2124" i="13015"/>
  <c r="AI2124" i="13015" s="1"/>
  <c r="AJ2124" i="13015"/>
  <c r="W2146" i="13015"/>
  <c r="AI2146" i="13015" s="1"/>
  <c r="AJ2146" i="13015"/>
  <c r="W2099" i="13015"/>
  <c r="AI2099" i="13015" s="1"/>
  <c r="AJ2099" i="13015"/>
  <c r="W2140" i="13015"/>
  <c r="AI2140" i="13015" s="1"/>
  <c r="AJ2140" i="13015"/>
  <c r="W2141" i="13015"/>
  <c r="AI2141" i="13015" s="1"/>
  <c r="AJ2141" i="13015"/>
  <c r="W2097" i="13015"/>
  <c r="AI2097" i="13015" s="1"/>
  <c r="O2166" i="13015"/>
  <c r="O2189" i="13015" s="1"/>
  <c r="O2170" i="13015"/>
  <c r="W2161" i="13015"/>
  <c r="AI2161" i="13015" s="1"/>
  <c r="O2207" i="13015"/>
  <c r="O2184" i="13015"/>
  <c r="W2170" i="13015"/>
  <c r="AI2170" i="13015" s="1"/>
  <c r="W2101" i="13015"/>
  <c r="AI2101" i="13015" s="1"/>
  <c r="O2168" i="13015"/>
  <c r="AJ2168" i="13015" s="1"/>
  <c r="W2164" i="13015"/>
  <c r="AI2164" i="13015" s="1"/>
  <c r="O2187" i="13015"/>
  <c r="O2210" i="13015"/>
  <c r="W2102" i="13015"/>
  <c r="AI2102" i="13015" s="1"/>
  <c r="O2169" i="13015"/>
  <c r="AJ2169" i="13015" s="1"/>
  <c r="W2096" i="13015"/>
  <c r="AI2096" i="13015" s="1"/>
  <c r="O2162" i="13015"/>
  <c r="AJ2162" i="13015" s="1"/>
  <c r="W2098" i="13015"/>
  <c r="AI2098" i="13015" s="1"/>
  <c r="O2165" i="13015"/>
  <c r="AJ2165" i="13015" s="1"/>
  <c r="W2100" i="13015"/>
  <c r="AI2100" i="13015" s="1"/>
  <c r="O2167" i="13015"/>
  <c r="AJ2167" i="13015" s="1"/>
  <c r="O2212" i="13015" l="1"/>
  <c r="W2189" i="13015"/>
  <c r="AI2189" i="13015" s="1"/>
  <c r="AJ2189" i="13015"/>
  <c r="W2207" i="13015"/>
  <c r="AI2207" i="13015" s="1"/>
  <c r="AJ2207" i="13015"/>
  <c r="W2184" i="13015"/>
  <c r="AI2184" i="13015" s="1"/>
  <c r="AJ2184" i="13015"/>
  <c r="W2166" i="13015"/>
  <c r="AI2166" i="13015" s="1"/>
  <c r="AJ2166" i="13015"/>
  <c r="W2210" i="13015"/>
  <c r="AI2210" i="13015" s="1"/>
  <c r="AJ2210" i="13015"/>
  <c r="W2212" i="13015"/>
  <c r="AI2212" i="13015" s="1"/>
  <c r="AJ2212" i="13015"/>
  <c r="W2187" i="13015"/>
  <c r="AI2187" i="13015" s="1"/>
  <c r="AJ2187" i="13015"/>
  <c r="O2193" i="13015"/>
  <c r="AJ2170" i="13015"/>
  <c r="O2216" i="13015"/>
  <c r="W2168" i="13015"/>
  <c r="AI2168" i="13015" s="1"/>
  <c r="O2191" i="13015"/>
  <c r="O2214" i="13015"/>
  <c r="W2165" i="13015"/>
  <c r="AI2165" i="13015" s="1"/>
  <c r="O2188" i="13015"/>
  <c r="O2211" i="13015"/>
  <c r="W2162" i="13015"/>
  <c r="AI2162" i="13015" s="1"/>
  <c r="O2208" i="13015"/>
  <c r="O2185" i="13015"/>
  <c r="W2167" i="13015"/>
  <c r="AI2167" i="13015" s="1"/>
  <c r="O2213" i="13015"/>
  <c r="O2190" i="13015"/>
  <c r="W2169" i="13015"/>
  <c r="AI2169" i="13015" s="1"/>
  <c r="O2215" i="13015"/>
  <c r="O2192" i="13015"/>
  <c r="W1988" i="13015"/>
  <c r="AI1988" i="13015" s="1"/>
  <c r="O2012" i="13015"/>
  <c r="AJ2012" i="13015" s="1"/>
  <c r="W2012" i="13015"/>
  <c r="AI2012" i="13015" s="1"/>
  <c r="O2036" i="13015"/>
  <c r="AJ2036" i="13015" s="1"/>
  <c r="O2060" i="13015"/>
  <c r="O2084" i="13015"/>
  <c r="AJ2084" i="13015" s="1"/>
  <c r="W2084" i="13015"/>
  <c r="O2150" i="13015"/>
  <c r="AJ2150" i="13015" s="1"/>
  <c r="W2150" i="13015"/>
  <c r="W1993" i="13015"/>
  <c r="AI1993" i="13015" s="1"/>
  <c r="O2017" i="13015"/>
  <c r="O2041" i="13015"/>
  <c r="O2065" i="13015"/>
  <c r="O2128" i="13015" l="1"/>
  <c r="AJ2128" i="13015" s="1"/>
  <c r="O2106" i="13015"/>
  <c r="W2092" i="13015"/>
  <c r="AI2092" i="13015" s="1"/>
  <c r="AI2084" i="13015"/>
  <c r="W2215" i="13015"/>
  <c r="AI2215" i="13015" s="1"/>
  <c r="AJ2215" i="13015"/>
  <c r="W2211" i="13015"/>
  <c r="AI2211" i="13015" s="1"/>
  <c r="AJ2211" i="13015"/>
  <c r="W2191" i="13015"/>
  <c r="AI2191" i="13015" s="1"/>
  <c r="AJ2191" i="13015"/>
  <c r="W2193" i="13015"/>
  <c r="AI2193" i="13015" s="1"/>
  <c r="AJ2193" i="13015"/>
  <c r="W2065" i="13015"/>
  <c r="AJ2065" i="13015"/>
  <c r="W2192" i="13015"/>
  <c r="AI2192" i="13015" s="1"/>
  <c r="AJ2192" i="13015"/>
  <c r="W2213" i="13015"/>
  <c r="AI2213" i="13015" s="1"/>
  <c r="AJ2213" i="13015"/>
  <c r="W2214" i="13015"/>
  <c r="AI2214" i="13015" s="1"/>
  <c r="AJ2214" i="13015"/>
  <c r="W2041" i="13015"/>
  <c r="AI2041" i="13015" s="1"/>
  <c r="AJ2041" i="13015"/>
  <c r="W2017" i="13015"/>
  <c r="AI2017" i="13015" s="1"/>
  <c r="AJ2017" i="13015"/>
  <c r="W2128" i="13015"/>
  <c r="W2060" i="13015"/>
  <c r="AI2060" i="13015" s="1"/>
  <c r="AJ2060" i="13015"/>
  <c r="W2185" i="13015"/>
  <c r="AI2185" i="13015" s="1"/>
  <c r="AJ2185" i="13015"/>
  <c r="W2188" i="13015"/>
  <c r="AI2188" i="13015" s="1"/>
  <c r="AJ2188" i="13015"/>
  <c r="W2158" i="13015"/>
  <c r="AI2158" i="13015" s="1"/>
  <c r="AI2150" i="13015"/>
  <c r="W2106" i="13015"/>
  <c r="AJ2106" i="13015"/>
  <c r="W2036" i="13015"/>
  <c r="AI2036" i="13015" s="1"/>
  <c r="W2190" i="13015"/>
  <c r="AI2190" i="13015" s="1"/>
  <c r="AJ2190" i="13015"/>
  <c r="W2208" i="13015"/>
  <c r="AI2208" i="13015" s="1"/>
  <c r="AJ2208" i="13015"/>
  <c r="W2216" i="13015"/>
  <c r="AI2216" i="13015" s="1"/>
  <c r="AJ2216" i="13015"/>
  <c r="W1998" i="13015"/>
  <c r="W2046" i="13015"/>
  <c r="AI2046" i="13015" s="1"/>
  <c r="O2173" i="13015"/>
  <c r="AJ2173" i="13015" s="1"/>
  <c r="W2022" i="13015"/>
  <c r="AI2022" i="13015" s="1"/>
  <c r="W2136" i="13015" l="1"/>
  <c r="AI2136" i="13015" s="1"/>
  <c r="AI2128" i="13015"/>
  <c r="W2070" i="13015"/>
  <c r="AI2070" i="13015" s="1"/>
  <c r="AI2065" i="13015"/>
  <c r="S1998" i="13015"/>
  <c r="S1977" i="13015" s="1"/>
  <c r="K1977" i="13015" s="1"/>
  <c r="M1977" i="13015" s="1"/>
  <c r="AI1998" i="13015"/>
  <c r="W2114" i="13015"/>
  <c r="AI2114" i="13015" s="1"/>
  <c r="AI2106" i="13015"/>
  <c r="AC1999" i="13015"/>
  <c r="U1998" i="13015"/>
  <c r="O2219" i="13015"/>
  <c r="O2196" i="13015"/>
  <c r="W2173" i="13015"/>
  <c r="S1978" i="13015"/>
  <c r="K2001" i="13015"/>
  <c r="S2001" i="13015" s="1"/>
  <c r="K2025" i="13015"/>
  <c r="S2025" i="13015" s="1"/>
  <c r="K2049" i="13015"/>
  <c r="S2049" i="13015" s="1"/>
  <c r="K2073" i="13015"/>
  <c r="K1978" i="13015" l="1"/>
  <c r="M1978" i="13015" s="1"/>
  <c r="W2219" i="13015"/>
  <c r="AJ2219" i="13015"/>
  <c r="W2196" i="13015"/>
  <c r="AJ2196" i="13015"/>
  <c r="W2181" i="13015"/>
  <c r="AI2181" i="13015" s="1"/>
  <c r="AI2173" i="13015"/>
  <c r="K2095" i="13015"/>
  <c r="K2117" i="13015"/>
  <c r="S2117" i="13015" s="1"/>
  <c r="K2139" i="13015"/>
  <c r="S2139" i="13015" s="1"/>
  <c r="S2073" i="13015"/>
  <c r="S1979" i="13015"/>
  <c r="K2002" i="13015"/>
  <c r="S2002" i="13015" s="1"/>
  <c r="K2026" i="13015"/>
  <c r="S2026" i="13015" s="1"/>
  <c r="K2074" i="13015"/>
  <c r="K2050" i="13015"/>
  <c r="S2050" i="13015" s="1"/>
  <c r="W2204" i="13015" l="1"/>
  <c r="AI2204" i="13015" s="1"/>
  <c r="AI2196" i="13015"/>
  <c r="W2227" i="13015"/>
  <c r="AI2227" i="13015" s="1"/>
  <c r="AI2219" i="13015"/>
  <c r="K1979" i="13015"/>
  <c r="M1979" i="13015" s="1"/>
  <c r="S1980" i="13015"/>
  <c r="K2096" i="13015"/>
  <c r="K2118" i="13015"/>
  <c r="S2118" i="13015" s="1"/>
  <c r="K2140" i="13015"/>
  <c r="S2140" i="13015" s="1"/>
  <c r="S2074" i="13015"/>
  <c r="S1981" i="13015"/>
  <c r="K1981" i="13015" s="1"/>
  <c r="M1981" i="13015" s="1"/>
  <c r="K2161" i="13015"/>
  <c r="S2095" i="13015"/>
  <c r="S1982" i="13015" l="1"/>
  <c r="K1980" i="13015"/>
  <c r="M1980" i="13015" s="1"/>
  <c r="S1985" i="13015"/>
  <c r="S1984" i="13015"/>
  <c r="S1983" i="13015"/>
  <c r="K2003" i="13015"/>
  <c r="S2003" i="13015" s="1"/>
  <c r="K2027" i="13015"/>
  <c r="S2027" i="13015" s="1"/>
  <c r="K2051" i="13015"/>
  <c r="S2051" i="13015" s="1"/>
  <c r="K2075" i="13015"/>
  <c r="K2005" i="13015"/>
  <c r="S2005" i="13015" s="1"/>
  <c r="K2029" i="13015"/>
  <c r="S2029" i="13015" s="1"/>
  <c r="K2053" i="13015"/>
  <c r="S2053" i="13015" s="1"/>
  <c r="K2077" i="13015"/>
  <c r="K2162" i="13015"/>
  <c r="S2096" i="13015"/>
  <c r="K2184" i="13015"/>
  <c r="S2184" i="13015" s="1"/>
  <c r="K2207" i="13015"/>
  <c r="S2207" i="13015" s="1"/>
  <c r="S2161" i="13015"/>
  <c r="K1982" i="13015" l="1"/>
  <c r="M1982" i="13015" s="1"/>
  <c r="AA1999" i="13015"/>
  <c r="K2099" i="13015"/>
  <c r="K2121" i="13015"/>
  <c r="S2121" i="13015" s="1"/>
  <c r="K2143" i="13015"/>
  <c r="S2143" i="13015" s="1"/>
  <c r="S2077" i="13015"/>
  <c r="K2097" i="13015"/>
  <c r="K2119" i="13015"/>
  <c r="S2119" i="13015" s="1"/>
  <c r="K2141" i="13015"/>
  <c r="S2141" i="13015" s="1"/>
  <c r="S2075" i="13015"/>
  <c r="K2004" i="13015"/>
  <c r="S2004" i="13015" s="1"/>
  <c r="K2028" i="13015"/>
  <c r="S2028" i="13015" s="1"/>
  <c r="K2076" i="13015"/>
  <c r="K2052" i="13015"/>
  <c r="S2052" i="13015" s="1"/>
  <c r="K2185" i="13015"/>
  <c r="S2185" i="13015" s="1"/>
  <c r="K2208" i="13015"/>
  <c r="S2208" i="13015" s="1"/>
  <c r="S2162" i="13015"/>
  <c r="K1993" i="13015" l="1"/>
  <c r="AC1994" i="13015" s="1"/>
  <c r="K2006" i="13015"/>
  <c r="S2006" i="13015" s="1"/>
  <c r="K1983" i="13015"/>
  <c r="M1983" i="13015" s="1"/>
  <c r="K1984" i="13015"/>
  <c r="M1984" i="13015" s="1"/>
  <c r="K1985" i="13015"/>
  <c r="M1985" i="13015" s="1"/>
  <c r="K2030" i="13015"/>
  <c r="S2030" i="13015" s="1"/>
  <c r="K2078" i="13015"/>
  <c r="K2054" i="13015"/>
  <c r="S2054" i="13015" s="1"/>
  <c r="K2164" i="13015"/>
  <c r="S2097" i="13015"/>
  <c r="K2166" i="13015"/>
  <c r="S2099" i="13015"/>
  <c r="K2098" i="13015"/>
  <c r="K2120" i="13015"/>
  <c r="S2120" i="13015" s="1"/>
  <c r="K2142" i="13015"/>
  <c r="S2142" i="13015" s="1"/>
  <c r="S2076" i="13015"/>
  <c r="U1993" i="13015" l="1"/>
  <c r="M2041" i="13015"/>
  <c r="U2041" i="13015" s="1"/>
  <c r="M2065" i="13015"/>
  <c r="U2065" i="13015" s="1"/>
  <c r="M2017" i="13015"/>
  <c r="U2017" i="13015" s="1"/>
  <c r="K2187" i="13015"/>
  <c r="S2187" i="13015" s="1"/>
  <c r="K2210" i="13015"/>
  <c r="S2210" i="13015" s="1"/>
  <c r="S2164" i="13015"/>
  <c r="K2189" i="13015"/>
  <c r="S2189" i="13015" s="1"/>
  <c r="K2212" i="13015"/>
  <c r="S2212" i="13015" s="1"/>
  <c r="S2166" i="13015"/>
  <c r="K2100" i="13015"/>
  <c r="K2122" i="13015"/>
  <c r="S2122" i="13015" s="1"/>
  <c r="K2144" i="13015"/>
  <c r="S2144" i="13015" s="1"/>
  <c r="S2078" i="13015"/>
  <c r="K2008" i="13015"/>
  <c r="S2008" i="13015" s="1"/>
  <c r="K2056" i="13015"/>
  <c r="S2056" i="13015" s="1"/>
  <c r="K2080" i="13015"/>
  <c r="K2032" i="13015"/>
  <c r="S2032" i="13015" s="1"/>
  <c r="K2009" i="13015"/>
  <c r="S2009" i="13015" s="1"/>
  <c r="K2057" i="13015"/>
  <c r="S2057" i="13015" s="1"/>
  <c r="K2033" i="13015"/>
  <c r="S2033" i="13015" s="1"/>
  <c r="K2081" i="13015"/>
  <c r="K2041" i="13015"/>
  <c r="S2041" i="13015" s="1"/>
  <c r="K2017" i="13015"/>
  <c r="S2017" i="13015" s="1"/>
  <c r="K2065" i="13015"/>
  <c r="S2065" i="13015" s="1"/>
  <c r="K2165" i="13015"/>
  <c r="S2098" i="13015"/>
  <c r="M2054" i="13015"/>
  <c r="U2054" i="13015" s="1"/>
  <c r="U1982" i="13015"/>
  <c r="M2006" i="13015"/>
  <c r="U2006" i="13015" s="1"/>
  <c r="M2030" i="13015"/>
  <c r="U2030" i="13015" s="1"/>
  <c r="M2078" i="13015"/>
  <c r="K2007" i="13015"/>
  <c r="S2007" i="13015" s="1"/>
  <c r="K2031" i="13015"/>
  <c r="S2031" i="13015" s="1"/>
  <c r="K2079" i="13015"/>
  <c r="K2055" i="13015"/>
  <c r="S2055" i="13015" s="1"/>
  <c r="S2046" i="13015" l="1"/>
  <c r="S2070" i="13015"/>
  <c r="S2022" i="13015"/>
  <c r="K2167" i="13015"/>
  <c r="S2100" i="13015"/>
  <c r="K2101" i="13015"/>
  <c r="K2123" i="13015"/>
  <c r="S2123" i="13015" s="1"/>
  <c r="K2145" i="13015"/>
  <c r="S2145" i="13015" s="1"/>
  <c r="S2079" i="13015"/>
  <c r="U2078" i="13015"/>
  <c r="M2100" i="13015"/>
  <c r="M2122" i="13015"/>
  <c r="U2122" i="13015" s="1"/>
  <c r="M2144" i="13015"/>
  <c r="U2144" i="13015" s="1"/>
  <c r="M2056" i="13015"/>
  <c r="U2056" i="13015" s="1"/>
  <c r="U1984" i="13015"/>
  <c r="M2008" i="13015"/>
  <c r="U2008" i="13015" s="1"/>
  <c r="M2032" i="13015"/>
  <c r="U2032" i="13015" s="1"/>
  <c r="M2080" i="13015"/>
  <c r="M2055" i="13015"/>
  <c r="U2055" i="13015" s="1"/>
  <c r="U1983" i="13015"/>
  <c r="M2007" i="13015"/>
  <c r="U2007" i="13015" s="1"/>
  <c r="M2031" i="13015"/>
  <c r="U2031" i="13015" s="1"/>
  <c r="M2079" i="13015"/>
  <c r="K2102" i="13015"/>
  <c r="K2124" i="13015"/>
  <c r="S2124" i="13015" s="1"/>
  <c r="K2146" i="13015"/>
  <c r="S2146" i="13015" s="1"/>
  <c r="S2080" i="13015"/>
  <c r="K2103" i="13015"/>
  <c r="K2125" i="13015"/>
  <c r="S2125" i="13015" s="1"/>
  <c r="K2147" i="13015"/>
  <c r="S2147" i="13015" s="1"/>
  <c r="S2081" i="13015"/>
  <c r="K2188" i="13015"/>
  <c r="S2188" i="13015" s="1"/>
  <c r="K2211" i="13015"/>
  <c r="S2211" i="13015" s="1"/>
  <c r="S2165" i="13015"/>
  <c r="U1985" i="13015"/>
  <c r="M2009" i="13015"/>
  <c r="U2009" i="13015" s="1"/>
  <c r="M2057" i="13015"/>
  <c r="U2057" i="13015" s="1"/>
  <c r="M2033" i="13015"/>
  <c r="U2033" i="13015" s="1"/>
  <c r="M2081" i="13015"/>
  <c r="U2081" i="13015" l="1"/>
  <c r="M2103" i="13015"/>
  <c r="M2125" i="13015"/>
  <c r="U2125" i="13015" s="1"/>
  <c r="M2147" i="13015"/>
  <c r="U2147" i="13015" s="1"/>
  <c r="K2169" i="13015"/>
  <c r="S2102" i="13015"/>
  <c r="S2092" i="13015"/>
  <c r="S2158" i="13015"/>
  <c r="U2079" i="13015"/>
  <c r="M2123" i="13015"/>
  <c r="U2123" i="13015" s="1"/>
  <c r="M2101" i="13015"/>
  <c r="M2145" i="13015"/>
  <c r="U2145" i="13015" s="1"/>
  <c r="U2100" i="13015"/>
  <c r="M2167" i="13015"/>
  <c r="K2190" i="13015"/>
  <c r="S2190" i="13015" s="1"/>
  <c r="K2213" i="13015"/>
  <c r="S2213" i="13015" s="1"/>
  <c r="S2167" i="13015"/>
  <c r="K2170" i="13015"/>
  <c r="S2103" i="13015"/>
  <c r="S2136" i="13015"/>
  <c r="U2080" i="13015"/>
  <c r="M2102" i="13015"/>
  <c r="M2124" i="13015"/>
  <c r="U2124" i="13015" s="1"/>
  <c r="M2146" i="13015"/>
  <c r="U2146" i="13015" s="1"/>
  <c r="K2168" i="13015"/>
  <c r="S2101" i="13015"/>
  <c r="S2114" i="13015" l="1"/>
  <c r="U2101" i="13015"/>
  <c r="M2168" i="13015"/>
  <c r="K2191" i="13015"/>
  <c r="S2191" i="13015" s="1"/>
  <c r="K2214" i="13015"/>
  <c r="S2214" i="13015" s="1"/>
  <c r="S2168" i="13015"/>
  <c r="U2103" i="13015"/>
  <c r="M2170" i="13015"/>
  <c r="U2102" i="13015"/>
  <c r="M2169" i="13015"/>
  <c r="K2193" i="13015"/>
  <c r="S2193" i="13015" s="1"/>
  <c r="K2216" i="13015"/>
  <c r="S2216" i="13015" s="1"/>
  <c r="S2170" i="13015"/>
  <c r="U2167" i="13015"/>
  <c r="M2213" i="13015"/>
  <c r="U2213" i="13015" s="1"/>
  <c r="M2190" i="13015"/>
  <c r="U2190" i="13015" s="1"/>
  <c r="K2192" i="13015"/>
  <c r="S2192" i="13015" s="1"/>
  <c r="K2215" i="13015"/>
  <c r="S2215" i="13015" s="1"/>
  <c r="S2169" i="13015"/>
  <c r="S2181" i="13015" l="1"/>
  <c r="S2227" i="13015"/>
  <c r="S2204" i="13015"/>
  <c r="U2169" i="13015"/>
  <c r="M2215" i="13015"/>
  <c r="U2215" i="13015" s="1"/>
  <c r="M2192" i="13015"/>
  <c r="U2192" i="13015" s="1"/>
  <c r="U2168" i="13015"/>
  <c r="M2191" i="13015"/>
  <c r="U2191" i="13015" s="1"/>
  <c r="M2214" i="13015"/>
  <c r="U2214" i="13015" s="1"/>
  <c r="U2170" i="13015"/>
  <c r="M2193" i="13015"/>
  <c r="U2193" i="13015" s="1"/>
  <c r="M2216" i="13015"/>
  <c r="U2216" i="13015" s="1"/>
  <c r="U1977" i="13015"/>
  <c r="U1978" i="13015"/>
  <c r="M2001" i="13015"/>
  <c r="U2001" i="13015" s="1"/>
  <c r="M2002" i="13015"/>
  <c r="U2002" i="13015" s="1"/>
  <c r="M2025" i="13015"/>
  <c r="U2025" i="13015" s="1"/>
  <c r="M2026" i="13015"/>
  <c r="U2026" i="13015" s="1"/>
  <c r="M2049" i="13015"/>
  <c r="U2049" i="13015" s="1"/>
  <c r="M2050" i="13015"/>
  <c r="U2050" i="13015" s="1"/>
  <c r="M2073" i="13015"/>
  <c r="M2074" i="13015"/>
  <c r="U2074" i="13015" s="1"/>
  <c r="M2140" i="13015" l="1"/>
  <c r="U2140" i="13015" s="1"/>
  <c r="M2118" i="13015"/>
  <c r="U2118" i="13015" s="1"/>
  <c r="M2096" i="13015"/>
  <c r="M2162" i="13015" s="1"/>
  <c r="M2208" i="13015" s="1"/>
  <c r="U2208" i="13015" s="1"/>
  <c r="U2073" i="13015"/>
  <c r="M2095" i="13015"/>
  <c r="M2139" i="13015"/>
  <c r="U2139" i="13015" s="1"/>
  <c r="M2117" i="13015"/>
  <c r="U2117" i="13015" s="1"/>
  <c r="U2162" i="13015" l="1"/>
  <c r="U2096" i="13015"/>
  <c r="M2185" i="13015"/>
  <c r="U2185" i="13015" s="1"/>
  <c r="U2095" i="13015"/>
  <c r="M2161" i="13015"/>
  <c r="U2161" i="13015" l="1"/>
  <c r="M2184" i="13015"/>
  <c r="U2184" i="13015" s="1"/>
  <c r="M2207" i="13015"/>
  <c r="U2207" i="13015" s="1"/>
  <c r="U1979" i="13015"/>
  <c r="U1980" i="13015"/>
  <c r="U1981" i="13015"/>
  <c r="M2003" i="13015"/>
  <c r="U2003" i="13015" s="1"/>
  <c r="M2004" i="13015"/>
  <c r="U2004" i="13015" s="1"/>
  <c r="M2005" i="13015"/>
  <c r="U2005" i="13015" s="1"/>
  <c r="M2027" i="13015"/>
  <c r="U2027" i="13015" s="1"/>
  <c r="M2028" i="13015"/>
  <c r="U2028" i="13015" s="1"/>
  <c r="M2029" i="13015"/>
  <c r="U2029" i="13015" s="1"/>
  <c r="M2051" i="13015"/>
  <c r="U2051" i="13015" s="1"/>
  <c r="M2052" i="13015"/>
  <c r="U2052" i="13015" s="1"/>
  <c r="M2053" i="13015"/>
  <c r="U2053" i="13015" s="1"/>
  <c r="M2075" i="13015"/>
  <c r="U2075" i="13015" s="1"/>
  <c r="M2076" i="13015"/>
  <c r="U2076" i="13015" s="1"/>
  <c r="M2077" i="13015"/>
  <c r="M2143" i="13015" s="1"/>
  <c r="U2143" i="13015" s="1"/>
  <c r="M2142" i="13015" l="1"/>
  <c r="U2142" i="13015" s="1"/>
  <c r="M2120" i="13015"/>
  <c r="U2120" i="13015" s="1"/>
  <c r="U2077" i="13015"/>
  <c r="M2121" i="13015"/>
  <c r="U2121" i="13015" s="1"/>
  <c r="M2099" i="13015"/>
  <c r="M2141" i="13015"/>
  <c r="U2141" i="13015" s="1"/>
  <c r="M2119" i="13015"/>
  <c r="U2119" i="13015" s="1"/>
  <c r="M2097" i="13015"/>
  <c r="M2098" i="13015"/>
  <c r="M2166" i="13015" l="1"/>
  <c r="U2099" i="13015"/>
  <c r="U2097" i="13015"/>
  <c r="M2164" i="13015"/>
  <c r="M2165" i="13015"/>
  <c r="U2098" i="13015"/>
  <c r="M2189" i="13015" l="1"/>
  <c r="U2189" i="13015" s="1"/>
  <c r="U2166" i="13015"/>
  <c r="M2212" i="13015"/>
  <c r="U2212" i="13015" s="1"/>
  <c r="M2187" i="13015"/>
  <c r="U2187" i="13015" s="1"/>
  <c r="M2210" i="13015"/>
  <c r="U2210" i="13015" s="1"/>
  <c r="U2164" i="13015"/>
  <c r="U2165" i="13015"/>
  <c r="M2188" i="13015"/>
  <c r="U2188" i="13015" s="1"/>
  <c r="M2211" i="13015"/>
  <c r="U2211" i="13015" s="1"/>
  <c r="U1988" i="13015"/>
  <c r="AB1999" i="13015" s="1"/>
  <c r="AD1999" i="13015" s="1"/>
  <c r="M2012" i="13015"/>
  <c r="U2012" i="13015" s="1"/>
  <c r="U2022" i="13015" s="1"/>
  <c r="M2036" i="13015"/>
  <c r="U2036" i="13015" s="1"/>
  <c r="U2046" i="13015" s="1"/>
  <c r="M2060" i="13015"/>
  <c r="U2060" i="13015"/>
  <c r="U2070" i="13015" s="1"/>
  <c r="M2084" i="13015"/>
  <c r="U2084" i="13015" s="1"/>
  <c r="U2092" i="13015" s="1"/>
  <c r="M2106" i="13015" l="1"/>
  <c r="U2106" i="13015" s="1"/>
  <c r="U2114" i="13015" s="1"/>
  <c r="M2128" i="13015"/>
  <c r="U2128" i="13015" s="1"/>
  <c r="U2136" i="13015" s="1"/>
  <c r="M2150" i="13015"/>
  <c r="U2150" i="13015" s="1"/>
  <c r="U2158" i="13015" s="1"/>
  <c r="M2173" i="13015" l="1"/>
  <c r="U2173" i="13015" s="1"/>
  <c r="U2181" i="13015" s="1"/>
  <c r="W2613" i="13015"/>
  <c r="AI2613" i="13015" s="1"/>
  <c r="W2614" i="13015"/>
  <c r="AI2614" i="13015" s="1"/>
  <c r="W2615" i="13015"/>
  <c r="AI2615" i="13015" s="1"/>
  <c r="W2616" i="13015"/>
  <c r="AI2616" i="13015" s="1"/>
  <c r="W2617" i="13015"/>
  <c r="AI2617" i="13015" s="1"/>
  <c r="W2618" i="13015"/>
  <c r="AI2618" i="13015" s="1"/>
  <c r="W2619" i="13015"/>
  <c r="AI2619" i="13015" s="1"/>
  <c r="W2620" i="13015"/>
  <c r="AI2620" i="13015" s="1"/>
  <c r="M2219" i="13015" l="1"/>
  <c r="U2219" i="13015" s="1"/>
  <c r="U2227" i="13015" s="1"/>
  <c r="M2196" i="13015"/>
  <c r="U2196" i="13015" s="1"/>
  <c r="U2204" i="13015" s="1"/>
  <c r="W2623" i="13015"/>
  <c r="AC2624" i="13015" l="1"/>
  <c r="AI2623" i="13015"/>
  <c r="S2623" i="13015"/>
  <c r="U2623" i="13015" l="1"/>
  <c r="S2613" i="13015"/>
  <c r="S2614" i="13015" s="1"/>
  <c r="U2617" i="13015"/>
  <c r="U2618" i="13015"/>
  <c r="U2619" i="13015"/>
  <c r="U2620" i="13015"/>
  <c r="W2627" i="13015"/>
  <c r="AI2627" i="13015" s="1"/>
  <c r="W2628" i="13015"/>
  <c r="AI2628" i="13015" s="1"/>
  <c r="W2629" i="13015"/>
  <c r="AI2629" i="13015" s="1"/>
  <c r="W2630" i="13015"/>
  <c r="AI2630" i="13015" s="1"/>
  <c r="K2613" i="13015" l="1"/>
  <c r="M2613" i="13015" s="1"/>
  <c r="U2613" i="13015" s="1"/>
  <c r="S2616" i="13015"/>
  <c r="K2616" i="13015" s="1"/>
  <c r="M2616" i="13015" s="1"/>
  <c r="U2616" i="13015" s="1"/>
  <c r="S2615" i="13015"/>
  <c r="K2615" i="13015" s="1"/>
  <c r="M2615" i="13015" s="1"/>
  <c r="U2615" i="13015" s="1"/>
  <c r="AB2624" i="13015" s="1"/>
  <c r="K2614" i="13015"/>
  <c r="M2614" i="13015" s="1"/>
  <c r="U2614" i="13015" s="1"/>
  <c r="W2633" i="13015"/>
  <c r="S2633" i="13015" l="1"/>
  <c r="AI2633" i="13015"/>
  <c r="AC2634" i="13015"/>
  <c r="AA2624" i="13015"/>
  <c r="AD2624" i="13015" s="1"/>
  <c r="S2630" i="13015"/>
  <c r="K2630" i="13015" s="1"/>
  <c r="M2630" i="13015" s="1"/>
  <c r="U2633" i="13015"/>
  <c r="S2627" i="13015"/>
  <c r="K2627" i="13015" s="1"/>
  <c r="M2627" i="13015" s="1"/>
  <c r="S2629" i="13015"/>
  <c r="K2629" i="13015" s="1"/>
  <c r="M2629" i="13015" s="1"/>
  <c r="S2628" i="13015"/>
  <c r="K2628" i="13015" s="1"/>
  <c r="M2628" i="13015" s="1"/>
  <c r="AA2634" i="13015" l="1"/>
  <c r="U2627" i="13015"/>
  <c r="U2628" i="13015"/>
  <c r="U2629" i="13015"/>
  <c r="U2630" i="13015"/>
  <c r="AB2634" i="13015" l="1"/>
  <c r="AD2634" i="13015" s="1"/>
  <c r="O1862" i="13015"/>
  <c r="O1870" i="13015"/>
  <c r="O1878" i="13015"/>
  <c r="O1863" i="13015"/>
  <c r="O1871" i="13015"/>
  <c r="O1879" i="13015"/>
  <c r="W1859" i="13015"/>
  <c r="W1878" i="13015" l="1"/>
  <c r="AI1878" i="13015" s="1"/>
  <c r="AJ1878" i="13015"/>
  <c r="W1870" i="13015"/>
  <c r="AI1870" i="13015" s="1"/>
  <c r="AJ1870" i="13015"/>
  <c r="W1871" i="13015"/>
  <c r="AI1871" i="13015" s="1"/>
  <c r="AJ1871" i="13015"/>
  <c r="W1862" i="13015"/>
  <c r="AI1862" i="13015" s="1"/>
  <c r="AJ1862" i="13015"/>
  <c r="S1859" i="13015"/>
  <c r="U1859" i="13015" s="1"/>
  <c r="AI1859" i="13015"/>
  <c r="W1879" i="13015"/>
  <c r="AI1879" i="13015" s="1"/>
  <c r="AJ1879" i="13015"/>
  <c r="W1863" i="13015"/>
  <c r="AI1863" i="13015" s="1"/>
  <c r="AJ1863" i="13015"/>
  <c r="W1875" i="13015"/>
  <c r="AI1875" i="13015" s="1"/>
  <c r="S1854" i="13015"/>
  <c r="K1854" i="13015" s="1"/>
  <c r="M1854" i="13015" s="1"/>
  <c r="AA1854" i="13015"/>
  <c r="AC1860" i="13015"/>
  <c r="W1867" i="13015" l="1"/>
  <c r="AI1867" i="13015" s="1"/>
  <c r="M1878" i="13015"/>
  <c r="U1878" i="13015" s="1"/>
  <c r="M1870" i="13015"/>
  <c r="U1870" i="13015" s="1"/>
  <c r="M1862" i="13015"/>
  <c r="U1862" i="13015" s="1"/>
  <c r="W1883" i="13015"/>
  <c r="AI1883" i="13015" s="1"/>
  <c r="S1855" i="13015"/>
  <c r="K1855" i="13015" s="1"/>
  <c r="M1855" i="13015" s="1"/>
  <c r="K1862" i="13015"/>
  <c r="S1862" i="13015" s="1"/>
  <c r="K1870" i="13015"/>
  <c r="S1870" i="13015" s="1"/>
  <c r="K1878" i="13015"/>
  <c r="S1878" i="13015" s="1"/>
  <c r="AA1860" i="13015" l="1"/>
  <c r="K1863" i="13015" l="1"/>
  <c r="S1863" i="13015" s="1"/>
  <c r="S1867" i="13015" s="1"/>
  <c r="K1871" i="13015"/>
  <c r="S1871" i="13015" s="1"/>
  <c r="S1875" i="13015" s="1"/>
  <c r="K1879" i="13015"/>
  <c r="S1879" i="13015" s="1"/>
  <c r="S1883" i="13015" s="1"/>
  <c r="U1855" i="13015"/>
  <c r="AB1860" i="13015" s="1"/>
  <c r="AD1860" i="13015" s="1"/>
  <c r="M1863" i="13015"/>
  <c r="U1863" i="13015" s="1"/>
  <c r="U1867" i="13015" s="1"/>
  <c r="M1871" i="13015"/>
  <c r="U1871" i="13015" s="1"/>
  <c r="U1875" i="13015" s="1"/>
  <c r="M1879" i="13015"/>
  <c r="U1879" i="13015" s="1"/>
  <c r="U1883" i="13015" s="1"/>
  <c r="O78" i="13015"/>
  <c r="AJ78" i="13015" s="1"/>
  <c r="O218" i="13015"/>
  <c r="O144" i="13015"/>
  <c r="O181" i="13015"/>
  <c r="AJ181" i="13015" s="1"/>
  <c r="W41" i="13015"/>
  <c r="W144" i="13015" l="1"/>
  <c r="AJ144" i="13015"/>
  <c r="W45" i="13015"/>
  <c r="AI45" i="13015" s="1"/>
  <c r="AI41" i="13015"/>
  <c r="W218" i="13015"/>
  <c r="AJ218" i="13015"/>
  <c r="W181" i="13015"/>
  <c r="W78" i="13015"/>
  <c r="W82" i="13015" l="1"/>
  <c r="AI82" i="13015" s="1"/>
  <c r="AI78" i="13015"/>
  <c r="S45" i="13015"/>
  <c r="U45" i="13015" s="1"/>
  <c r="W185" i="13015"/>
  <c r="AI185" i="13015" s="1"/>
  <c r="AI181" i="13015"/>
  <c r="AC46" i="13015"/>
  <c r="W222" i="13015"/>
  <c r="AI222" i="13015" s="1"/>
  <c r="AI218" i="13015"/>
  <c r="W148" i="13015"/>
  <c r="AI148" i="13015" s="1"/>
  <c r="AI144" i="13015"/>
  <c r="S13" i="13015"/>
  <c r="W2677" i="13015" l="1"/>
  <c r="S14" i="13015"/>
  <c r="AI2677" i="13015" l="1"/>
  <c r="W2681" i="13015"/>
  <c r="W2682" i="13015"/>
  <c r="S16" i="13015"/>
  <c r="S17" i="13015" s="1"/>
  <c r="S18" i="13015" l="1"/>
  <c r="S19" i="13015" s="1"/>
  <c r="K29" i="13015" l="1"/>
  <c r="K106" i="13015" l="1"/>
  <c r="K105" i="13015"/>
  <c r="S105" i="13015" s="1"/>
  <c r="S29" i="13015"/>
  <c r="K103" i="13015"/>
  <c r="K33" i="13015"/>
  <c r="K30" i="13015"/>
  <c r="K32" i="13015"/>
  <c r="M29" i="13015"/>
  <c r="K206" i="13015"/>
  <c r="S206" i="13015" s="1"/>
  <c r="K102" i="13015"/>
  <c r="S102" i="13015" s="1"/>
  <c r="K66" i="13015"/>
  <c r="S66" i="13015" s="1"/>
  <c r="K169" i="13015"/>
  <c r="S169" i="13015" s="1"/>
  <c r="K132" i="13015"/>
  <c r="S132" i="13015" s="1"/>
  <c r="K31" i="13015"/>
  <c r="K41" i="13015"/>
  <c r="AC42" i="13015" s="1"/>
  <c r="S30" i="13015" l="1"/>
  <c r="K207" i="13015"/>
  <c r="S207" i="13015" s="1"/>
  <c r="K67" i="13015"/>
  <c r="S67" i="13015" s="1"/>
  <c r="K133" i="13015"/>
  <c r="S133" i="13015" s="1"/>
  <c r="M30" i="13015"/>
  <c r="K170" i="13015"/>
  <c r="S170" i="13015" s="1"/>
  <c r="M169" i="13015"/>
  <c r="U169" i="13015" s="1"/>
  <c r="M206" i="13015"/>
  <c r="U206" i="13015" s="1"/>
  <c r="M132" i="13015"/>
  <c r="U132" i="13015" s="1"/>
  <c r="M102" i="13015"/>
  <c r="U102" i="13015" s="1"/>
  <c r="U29" i="13015"/>
  <c r="M105" i="13015"/>
  <c r="U105" i="13015" s="1"/>
  <c r="M66" i="13015"/>
  <c r="U66" i="13015" s="1"/>
  <c r="S103" i="13015"/>
  <c r="M103" i="13015"/>
  <c r="U103" i="13015" s="1"/>
  <c r="K134" i="13015"/>
  <c r="S134" i="13015" s="1"/>
  <c r="K208" i="13015"/>
  <c r="S208" i="13015" s="1"/>
  <c r="M31" i="13015"/>
  <c r="S31" i="13015"/>
  <c r="K68" i="13015"/>
  <c r="S68" i="13015" s="1"/>
  <c r="K171" i="13015"/>
  <c r="S171" i="13015" s="1"/>
  <c r="K218" i="13015"/>
  <c r="S218" i="13015" s="1"/>
  <c r="K181" i="13015"/>
  <c r="S181" i="13015" s="1"/>
  <c r="K107" i="13015"/>
  <c r="S107" i="13015" s="1"/>
  <c r="K144" i="13015"/>
  <c r="S144" i="13015" s="1"/>
  <c r="K78" i="13015"/>
  <c r="S78" i="13015" s="1"/>
  <c r="M32" i="13015"/>
  <c r="S32" i="13015"/>
  <c r="K172" i="13015"/>
  <c r="S172" i="13015" s="1"/>
  <c r="K69" i="13015"/>
  <c r="S69" i="13015" s="1"/>
  <c r="K135" i="13015"/>
  <c r="S135" i="13015" s="1"/>
  <c r="K209" i="13015"/>
  <c r="S209" i="13015" s="1"/>
  <c r="K136" i="13015"/>
  <c r="S136" i="13015" s="1"/>
  <c r="K210" i="13015"/>
  <c r="S210" i="13015" s="1"/>
  <c r="S33" i="13015"/>
  <c r="K173" i="13015"/>
  <c r="S173" i="13015" s="1"/>
  <c r="M33" i="13015"/>
  <c r="K70" i="13015"/>
  <c r="S70" i="13015" s="1"/>
  <c r="M106" i="13015"/>
  <c r="U106" i="13015" s="1"/>
  <c r="S106" i="13015"/>
  <c r="S148" i="13015" l="1"/>
  <c r="AA46" i="13015"/>
  <c r="S222" i="13015"/>
  <c r="S82" i="13015"/>
  <c r="S111" i="13015"/>
  <c r="S185" i="13015"/>
  <c r="U111" i="13015"/>
  <c r="U33" i="13015"/>
  <c r="M136" i="13015"/>
  <c r="U136" i="13015" s="1"/>
  <c r="M210" i="13015"/>
  <c r="U210" i="13015" s="1"/>
  <c r="M173" i="13015"/>
  <c r="U173" i="13015" s="1"/>
  <c r="M70" i="13015"/>
  <c r="U70" i="13015" s="1"/>
  <c r="M69" i="13015"/>
  <c r="U69" i="13015" s="1"/>
  <c r="M172" i="13015"/>
  <c r="U172" i="13015" s="1"/>
  <c r="M135" i="13015"/>
  <c r="U135" i="13015" s="1"/>
  <c r="U32" i="13015"/>
  <c r="M209" i="13015"/>
  <c r="U209" i="13015" s="1"/>
  <c r="M67" i="13015"/>
  <c r="U67" i="13015" s="1"/>
  <c r="U30" i="13015"/>
  <c r="M170" i="13015"/>
  <c r="U170" i="13015" s="1"/>
  <c r="M133" i="13015"/>
  <c r="U133" i="13015" s="1"/>
  <c r="M207" i="13015"/>
  <c r="U207" i="13015" s="1"/>
  <c r="M208" i="13015"/>
  <c r="U208" i="13015" s="1"/>
  <c r="M68" i="13015"/>
  <c r="U68" i="13015" s="1"/>
  <c r="M134" i="13015"/>
  <c r="U134" i="13015" s="1"/>
  <c r="M171" i="13015"/>
  <c r="U171" i="13015" s="1"/>
  <c r="U31" i="13015"/>
  <c r="S2677" i="13015" l="1"/>
  <c r="S2682" i="13015" s="1"/>
  <c r="U222" i="13015"/>
  <c r="U185" i="13015"/>
  <c r="U82" i="13015"/>
  <c r="AB46" i="13015"/>
  <c r="AD46" i="13015" s="1"/>
  <c r="U148" i="13015"/>
  <c r="U2677" i="13015" s="1"/>
  <c r="U2681" i="13015" s="1"/>
  <c r="S2681" i="13015" l="1"/>
  <c r="Y2681" i="13015" s="1"/>
  <c r="AC2677" i="13015"/>
  <c r="U2682" i="13015"/>
</calcChain>
</file>

<file path=xl/comments1.xml><?xml version="1.0" encoding="utf-8"?>
<comments xmlns="http://schemas.openxmlformats.org/spreadsheetml/2006/main">
  <authors>
    <author>Meredith, Robert</author>
    <author>Zhang, James</author>
  </authors>
  <commentList>
    <comment ref="Q74" authorId="0" shapeId="0">
      <text>
        <r>
          <rPr>
            <sz val="9"/>
            <color indexed="81"/>
            <rFont val="Tahoma"/>
            <family val="2"/>
          </rPr>
          <t>Goal seek on this cell.</t>
        </r>
      </text>
    </comment>
    <comment ref="S74" authorId="1" shapeId="0">
      <text>
        <r>
          <rPr>
            <b/>
            <sz val="9"/>
            <color indexed="81"/>
            <rFont val="Tahoma"/>
            <family val="2"/>
          </rPr>
          <t>Goal Seek target cell 0</t>
        </r>
      </text>
    </comment>
    <comment ref="U74" authorId="0" shapeId="0">
      <text>
        <r>
          <rPr>
            <sz val="9"/>
            <color indexed="81"/>
            <rFont val="Tahoma"/>
            <family val="2"/>
          </rPr>
          <t>Goal seek on this cell.</t>
        </r>
      </text>
    </comment>
  </commentList>
</comments>
</file>

<file path=xl/comments2.xml><?xml version="1.0" encoding="utf-8"?>
<comments xmlns="http://schemas.openxmlformats.org/spreadsheetml/2006/main">
  <authors>
    <author>Zhang, James</author>
  </authors>
  <commentList>
    <comment ref="AA42" authorId="0" shapeId="0">
      <text>
        <r>
          <rPr>
            <sz val="9"/>
            <color indexed="81"/>
            <rFont val="Tahoma"/>
            <family val="2"/>
          </rPr>
          <t>set this value to make cell O41 to be zero</t>
        </r>
      </text>
    </comment>
    <comment ref="AB42" authorId="0" shapeId="0">
      <text>
        <r>
          <rPr>
            <sz val="9"/>
            <color indexed="81"/>
            <rFont val="Tahoma"/>
            <family val="2"/>
          </rPr>
          <t>set this value to zero first, and set it to be the same as cell K41</t>
        </r>
      </text>
    </comment>
    <comment ref="AC672" authorId="0" shapeId="0">
      <text>
        <r>
          <rPr>
            <sz val="9"/>
            <color indexed="81"/>
            <rFont val="Tahoma"/>
            <family val="2"/>
          </rPr>
          <t>goal seek changing cell</t>
        </r>
      </text>
    </comment>
    <comment ref="AD673" authorId="0" shapeId="0">
      <text>
        <r>
          <rPr>
            <b/>
            <sz val="9"/>
            <color indexed="81"/>
            <rFont val="Tahoma"/>
            <family val="2"/>
          </rPr>
          <t>goal see set cell</t>
        </r>
      </text>
    </comment>
    <comment ref="AC972" authorId="0" shapeId="0">
      <text>
        <r>
          <rPr>
            <sz val="9"/>
            <color indexed="81"/>
            <rFont val="Tahoma"/>
            <charset val="1"/>
          </rPr>
          <t>change this value to minimize below cell AC973</t>
        </r>
      </text>
    </comment>
    <comment ref="AA1994" authorId="0" shapeId="0">
      <text>
        <r>
          <rPr>
            <sz val="9"/>
            <color indexed="81"/>
            <rFont val="Tahoma"/>
            <family val="2"/>
          </rPr>
          <t>set this value to make cell O1993 to be zero</t>
        </r>
      </text>
    </comment>
    <comment ref="AB1994" authorId="0" shapeId="0">
      <text>
        <r>
          <rPr>
            <sz val="9"/>
            <color indexed="81"/>
            <rFont val="Tahoma"/>
            <family val="2"/>
          </rPr>
          <t>set this value to zero first, and set it to be the same as cell K1993</t>
        </r>
      </text>
    </comment>
  </commentList>
</comments>
</file>

<file path=xl/comments3.xml><?xml version="1.0" encoding="utf-8"?>
<comments xmlns="http://schemas.openxmlformats.org/spreadsheetml/2006/main">
  <authors>
    <author>Zhang, James</author>
  </authors>
  <commentList>
    <comment ref="AA42" authorId="0" shapeId="0">
      <text>
        <r>
          <rPr>
            <sz val="9"/>
            <color indexed="81"/>
            <rFont val="Tahoma"/>
            <family val="2"/>
          </rPr>
          <t>set this value to make cell O41 to be zero</t>
        </r>
      </text>
    </comment>
    <comment ref="AB42" authorId="0" shapeId="0">
      <text>
        <r>
          <rPr>
            <sz val="9"/>
            <color indexed="81"/>
            <rFont val="Tahoma"/>
            <family val="2"/>
          </rPr>
          <t>set this value to zero first, and set it to be the same as cell K41</t>
        </r>
      </text>
    </comment>
    <comment ref="AC672" authorId="0" shapeId="0">
      <text>
        <r>
          <rPr>
            <sz val="9"/>
            <color indexed="81"/>
            <rFont val="Tahoma"/>
            <family val="2"/>
          </rPr>
          <t>goal seek changing cell</t>
        </r>
      </text>
    </comment>
    <comment ref="AD673" authorId="0" shapeId="0">
      <text>
        <r>
          <rPr>
            <b/>
            <sz val="9"/>
            <color indexed="81"/>
            <rFont val="Tahoma"/>
            <family val="2"/>
          </rPr>
          <t>goal see set cell</t>
        </r>
      </text>
    </comment>
    <comment ref="AC972" authorId="0" shapeId="0">
      <text>
        <r>
          <rPr>
            <sz val="9"/>
            <color indexed="81"/>
            <rFont val="Tahoma"/>
            <charset val="1"/>
          </rPr>
          <t>change this value to minimize below cell AC973</t>
        </r>
      </text>
    </comment>
    <comment ref="AA1994" authorId="0" shapeId="0">
      <text>
        <r>
          <rPr>
            <sz val="9"/>
            <color indexed="81"/>
            <rFont val="Tahoma"/>
            <family val="2"/>
          </rPr>
          <t>set this value to make cell O1993 to be zero</t>
        </r>
      </text>
    </comment>
    <comment ref="AB1994" authorId="0" shapeId="0">
      <text>
        <r>
          <rPr>
            <sz val="9"/>
            <color indexed="81"/>
            <rFont val="Tahoma"/>
            <family val="2"/>
          </rPr>
          <t>set this value to zero first, and set it to be the same as cell K1993</t>
        </r>
      </text>
    </comment>
    <comment ref="W2682" authorId="0" shapeId="0">
      <text>
        <r>
          <rPr>
            <sz val="9"/>
            <color indexed="81"/>
            <rFont val="Tahoma"/>
            <family val="2"/>
          </rPr>
          <t>goal seek set cell to make pricing variable supply revenue equal to COS.</t>
        </r>
      </text>
    </comment>
    <comment ref="W2683" authorId="0" shapeId="0">
      <text>
        <r>
          <rPr>
            <sz val="9"/>
            <color indexed="81"/>
            <rFont val="Tahoma"/>
            <family val="2"/>
          </rPr>
          <t>goal seek changing cell to make an adjustment for Schedules 8, 9, contract 1 and contract 2 and make pricing variable supply revenue equal to COS.</t>
        </r>
      </text>
    </comment>
  </commentList>
</comments>
</file>

<file path=xl/comments4.xml><?xml version="1.0" encoding="utf-8"?>
<comments xmlns="http://schemas.openxmlformats.org/spreadsheetml/2006/main">
  <authors>
    <author>Zhang, James</author>
  </authors>
  <commentList>
    <comment ref="G19" authorId="0" shapeId="0">
      <text>
        <r>
          <rPr>
            <b/>
            <sz val="9"/>
            <color indexed="81"/>
            <rFont val="Tahoma"/>
            <charset val="1"/>
          </rPr>
          <t>Due to buy-through adjustment for Contract 2</t>
        </r>
      </text>
    </comment>
  </commentList>
</comments>
</file>

<file path=xl/sharedStrings.xml><?xml version="1.0" encoding="utf-8"?>
<sst xmlns="http://schemas.openxmlformats.org/spreadsheetml/2006/main" count="24229" uniqueCount="2349">
  <si>
    <t>20,000 MV</t>
  </si>
  <si>
    <t>5,600 HPSV, COMPANY-OWNED POLE</t>
  </si>
  <si>
    <t>5,600 HPSV, NO COMPANY-OWNED POLE</t>
  </si>
  <si>
    <t>9,500 HPSV COMPANY-OWNED POLE</t>
  </si>
  <si>
    <t>9,500 HPSV NO COMPANY-OWNED POLES</t>
  </si>
  <si>
    <t>16,000 HPSV COMPANY-OWNED POLE</t>
  </si>
  <si>
    <t>16,000 NO COMPANY-OWNED POLE</t>
  </si>
  <si>
    <t>22,000 HPSV</t>
  </si>
  <si>
    <t>27,500 HPSV, COMPANY-OWNED POLE</t>
  </si>
  <si>
    <t>27,500 HPSV, NO COMPANY-OWNED POLE</t>
  </si>
  <si>
    <t>50,000 HPSV, COMPANY-OWNED POLE</t>
  </si>
  <si>
    <t>50,000 HPSV, NO COMPANY-OWNED POLE</t>
  </si>
  <si>
    <t>16,000 HPSV FLOOD, COMPANY-OWNED POLE</t>
  </si>
  <si>
    <t>16,000 HPSV FLOOD, NO COMPANY-OWNED POLE</t>
  </si>
  <si>
    <t>27,500 HPSV FLOOD, COMPANY-OWNED POLE</t>
  </si>
  <si>
    <t>27,500 HPSV FLOOD, NO COMPANY-OWNED POLE</t>
  </si>
  <si>
    <t>50,000 HPSV FLOOD, COMPANY-OWNED POLE</t>
  </si>
  <si>
    <t>4,000 MERCURY VAPOR, ENERGY ONLY</t>
  </si>
  <si>
    <t xml:space="preserve">  On-Peak kW (May - Sept)</t>
  </si>
  <si>
    <t xml:space="preserve">  On-Peak kWh (May-Sept)</t>
  </si>
  <si>
    <t>10</t>
  </si>
  <si>
    <t>1st S</t>
  </si>
  <si>
    <t>1st W</t>
  </si>
  <si>
    <t>DSM</t>
  </si>
  <si>
    <t>08GNSV0008</t>
  </si>
  <si>
    <t>08GNSV008M</t>
  </si>
  <si>
    <t>CODE</t>
  </si>
  <si>
    <t>08GNSV0008 - UT GEN SVC TOU &gt; 1000KW</t>
  </si>
  <si>
    <t>08GNSV008M - UT GEN SVC TOU &gt; 1000KW</t>
  </si>
  <si>
    <t>08LNX00311 - LINE EXT 80% GUARANTEE</t>
  </si>
  <si>
    <t>% Change</t>
  </si>
  <si>
    <t>( ¢/kWh)</t>
  </si>
  <si>
    <t>08NMT23135 - UT NET MTR, GEN, &lt; 25 KW</t>
  </si>
  <si>
    <t>08LNX00310 - IRR, 80% ANNUAL MIN + 80% ?</t>
  </si>
  <si>
    <t xml:space="preserve">  Post Season</t>
  </si>
  <si>
    <t xml:space="preserve">   kWh</t>
  </si>
  <si>
    <t xml:space="preserve">  kWh Included</t>
  </si>
  <si>
    <t>kWh Street Lighting</t>
  </si>
  <si>
    <t>% kWh_off_S</t>
  </si>
  <si>
    <t>% kWh_off_W</t>
  </si>
  <si>
    <t>301119 - UNBILLED REV - UNCOLLECTIBLE</t>
  </si>
  <si>
    <t>Rev Billed</t>
  </si>
  <si>
    <t>C6</t>
  </si>
  <si>
    <t>C9</t>
  </si>
  <si>
    <t>C23</t>
  </si>
  <si>
    <t>C6A</t>
  </si>
  <si>
    <t>C6B</t>
  </si>
  <si>
    <t>C9A</t>
  </si>
  <si>
    <t>CHECK</t>
  </si>
  <si>
    <t>CAGA</t>
  </si>
  <si>
    <t>C31</t>
  </si>
  <si>
    <t>C8</t>
  </si>
  <si>
    <t>CU</t>
  </si>
  <si>
    <t>I21</t>
  </si>
  <si>
    <t>I6</t>
  </si>
  <si>
    <t>I9</t>
  </si>
  <si>
    <t>I23</t>
  </si>
  <si>
    <t>I6A</t>
  </si>
  <si>
    <t>I9A</t>
  </si>
  <si>
    <t>I7</t>
  </si>
  <si>
    <t>C7</t>
  </si>
  <si>
    <t>IAGA</t>
  </si>
  <si>
    <t>I31</t>
  </si>
  <si>
    <t>I8</t>
  </si>
  <si>
    <t>IU</t>
  </si>
  <si>
    <t>PAGA</t>
  </si>
  <si>
    <t>P7</t>
  </si>
  <si>
    <t>P11</t>
  </si>
  <si>
    <t>Rev Unbilled</t>
  </si>
  <si>
    <t>Sch 6A</t>
  </si>
  <si>
    <t>TKWH</t>
  </si>
  <si>
    <t>TAMOUNT</t>
  </si>
  <si>
    <t>TBILL</t>
  </si>
  <si>
    <t>TKWS</t>
  </si>
  <si>
    <t>Rev Total</t>
  </si>
  <si>
    <t>kWh Billed</t>
  </si>
  <si>
    <t>kWh Unbilled</t>
  </si>
  <si>
    <t>kWh Total</t>
  </si>
  <si>
    <t>Account</t>
  </si>
  <si>
    <t>Summer</t>
  </si>
  <si>
    <t>Winter</t>
  </si>
  <si>
    <r>
      <t>Revenue</t>
    </r>
    <r>
      <rPr>
        <vertAlign val="superscript"/>
        <sz val="12"/>
        <color indexed="8"/>
        <rFont val="Times New Roman"/>
        <family val="1"/>
      </rPr>
      <t>1</t>
    </r>
  </si>
  <si>
    <t>Revenue</t>
  </si>
  <si>
    <t>State of Utah</t>
  </si>
  <si>
    <t>A</t>
  </si>
  <si>
    <t>B</t>
  </si>
  <si>
    <t>C</t>
  </si>
  <si>
    <t>D</t>
  </si>
  <si>
    <t>E</t>
  </si>
  <si>
    <t>F</t>
  </si>
  <si>
    <t>G</t>
  </si>
  <si>
    <t>H</t>
  </si>
  <si>
    <t>I</t>
  </si>
  <si>
    <t>Total</t>
  </si>
  <si>
    <t xml:space="preserve">  All add'l kWh (May-Sept)</t>
  </si>
  <si>
    <t xml:space="preserve">  All add'l kWh</t>
  </si>
  <si>
    <t xml:space="preserve">Total </t>
  </si>
  <si>
    <t>Normalizing</t>
  </si>
  <si>
    <t>Temperature</t>
  </si>
  <si>
    <t>Price</t>
  </si>
  <si>
    <t>Adjusted</t>
  </si>
  <si>
    <t>Adjustments</t>
  </si>
  <si>
    <t>Normalization</t>
  </si>
  <si>
    <t>Residential</t>
  </si>
  <si>
    <t>Commercial</t>
  </si>
  <si>
    <t>Public St &amp; Hwy</t>
  </si>
  <si>
    <t>Total Utah</t>
  </si>
  <si>
    <t>Source / Formula</t>
  </si>
  <si>
    <t>Table 2</t>
  </si>
  <si>
    <t>MWh</t>
  </si>
  <si>
    <t>Month</t>
  </si>
  <si>
    <t>kWh</t>
  </si>
  <si>
    <t>Schedule 23</t>
  </si>
  <si>
    <t>Schedule 6</t>
  </si>
  <si>
    <t>Total Residential</t>
  </si>
  <si>
    <t>Total Commercial</t>
  </si>
  <si>
    <t>Table 3</t>
  </si>
  <si>
    <t>Industrial</t>
  </si>
  <si>
    <t xml:space="preserve"> </t>
  </si>
  <si>
    <t>08OALT007R</t>
  </si>
  <si>
    <t>08OALT007N</t>
  </si>
  <si>
    <t>Schedule 1</t>
  </si>
  <si>
    <t>08PTLD000R</t>
  </si>
  <si>
    <t>08PTLD000N</t>
  </si>
  <si>
    <t>Situs Contracts</t>
  </si>
  <si>
    <t>305KWH</t>
  </si>
  <si>
    <t>305REV</t>
  </si>
  <si>
    <t>OOPKWH</t>
  </si>
  <si>
    <t>OOPREV</t>
  </si>
  <si>
    <t>08GNSV006B</t>
  </si>
  <si>
    <t>Subtotal</t>
  </si>
  <si>
    <t>08PRSV031M</t>
  </si>
  <si>
    <t>08APSV0010</t>
  </si>
  <si>
    <t>Public Street &amp; Highway Lighting</t>
  </si>
  <si>
    <t>08SLCO0011</t>
  </si>
  <si>
    <t>Revenues</t>
  </si>
  <si>
    <t>Unbilled</t>
  </si>
  <si>
    <t>08GNSV0006</t>
  </si>
  <si>
    <t>08GNSV0023</t>
  </si>
  <si>
    <t>Type 1</t>
  </si>
  <si>
    <t>Type 2</t>
  </si>
  <si>
    <t>Customers</t>
  </si>
  <si>
    <t>Booked</t>
  </si>
  <si>
    <t>E + F</t>
  </si>
  <si>
    <t>A + D</t>
  </si>
  <si>
    <t>B + C</t>
  </si>
  <si>
    <t>Adjustment</t>
  </si>
  <si>
    <t>J</t>
  </si>
  <si>
    <t>Temperature Normalization</t>
  </si>
  <si>
    <t>Worksheet</t>
  </si>
  <si>
    <t>COMMERCIAL SALES</t>
  </si>
  <si>
    <t>TCUST</t>
  </si>
  <si>
    <t>Energy Only Res</t>
  </si>
  <si>
    <t>Energy Only Non-Res</t>
  </si>
  <si>
    <t xml:space="preserve">  Subtotal </t>
  </si>
  <si>
    <t>SCH9</t>
  </si>
  <si>
    <t>Sch</t>
  </si>
  <si>
    <t xml:space="preserve">  Facilities kW (May - Sept)</t>
  </si>
  <si>
    <t xml:space="preserve">  All On-peak kW (May - Sept)</t>
  </si>
  <si>
    <t xml:space="preserve">  All Add'l kWh (Oct - Apr)</t>
  </si>
  <si>
    <t xml:space="preserve">  First 1,500 kWh (Oct - Apr)</t>
  </si>
  <si>
    <t xml:space="preserve">  All kW (Oct - Apr)</t>
  </si>
  <si>
    <t xml:space="preserve">  Facilities kW (Oct - Apr)</t>
  </si>
  <si>
    <t xml:space="preserve">  On-Peak kWh (Oct - Apr)</t>
  </si>
  <si>
    <t xml:space="preserve">  Off-Peak kWh (Oct - Apr)</t>
  </si>
  <si>
    <t xml:space="preserve">  All On-peak kW (Oct - Apr)</t>
  </si>
  <si>
    <t xml:space="preserve">  On-Peak kW (Oct - Apr)</t>
  </si>
  <si>
    <t>INDUSTRIAL SALES</t>
  </si>
  <si>
    <t xml:space="preserve">  Facilities kW</t>
  </si>
  <si>
    <t>IRRIGATION SALES</t>
  </si>
  <si>
    <t>Test Period</t>
  </si>
  <si>
    <t>PUBLIC STREET&amp;HIGHWAY LIGHTING</t>
  </si>
  <si>
    <t>RESIDENTIAL SALES</t>
  </si>
  <si>
    <t xml:space="preserve">  Total (Aggregated)</t>
  </si>
  <si>
    <t>08NMT10135</t>
  </si>
  <si>
    <t>TUNIT</t>
  </si>
  <si>
    <t>Firm</t>
  </si>
  <si>
    <t>R</t>
  </si>
  <si>
    <t>08NETMT135 - Net Metering</t>
  </si>
  <si>
    <t>08COOLKPRR - Utah Cool Keeper Program</t>
  </si>
  <si>
    <t xml:space="preserve">  All On-Season kW</t>
  </si>
  <si>
    <t>Secondary Voltage</t>
  </si>
  <si>
    <t>Transmission Voltage</t>
  </si>
  <si>
    <t>Primary Voltage</t>
  </si>
  <si>
    <t>08COOLKPRN - A/C DIRECT LOAD CONTROL</t>
  </si>
  <si>
    <t>08LNX00300 - LINE EXT 80% PLUS MONTHLY</t>
  </si>
  <si>
    <t>08APSV10NS- Irg Soil Drain Pump Non Seas</t>
  </si>
  <si>
    <t>08GNSV006A</t>
  </si>
  <si>
    <t xml:space="preserve">  On-Peak kWh (May - Sept)</t>
  </si>
  <si>
    <t xml:space="preserve">  Off-Peak kWh (May - Sept)</t>
  </si>
  <si>
    <t>Schedule 2 - Regular Rates</t>
  </si>
  <si>
    <t>CLASS</t>
  </si>
  <si>
    <t>RATE CODE</t>
  </si>
  <si>
    <t>Schedule 2 - Time of Day Rates</t>
  </si>
  <si>
    <t xml:space="preserve">  First 1,500 kWh (May - Sept)</t>
  </si>
  <si>
    <t xml:space="preserve">  All Add'l kWh (May - Sept)</t>
  </si>
  <si>
    <t xml:space="preserve">  All kW (May - Sept)</t>
  </si>
  <si>
    <t>Change</t>
  </si>
  <si>
    <t xml:space="preserve">Variance </t>
  </si>
  <si>
    <t>Analysis</t>
  </si>
  <si>
    <t xml:space="preserve">Present </t>
  </si>
  <si>
    <t>Schedule 10</t>
  </si>
  <si>
    <t>S</t>
  </si>
  <si>
    <t>10TOU</t>
  </si>
  <si>
    <t>Sch 10</t>
  </si>
  <si>
    <t>Estimated Effect of Proposed Changes</t>
  </si>
  <si>
    <t xml:space="preserve">  High Pressures Sodium Vapor Lamps</t>
  </si>
  <si>
    <t>2a - Partial Maintenance (No New Service)</t>
  </si>
  <si>
    <t>2b - Full Maintenance (No New Service)</t>
  </si>
  <si>
    <t xml:space="preserve">   9,500 Lumen - Decorative</t>
  </si>
  <si>
    <t xml:space="preserve">   50,000 Lumen - Decorative</t>
  </si>
  <si>
    <t xml:space="preserve">   9,000 Lumen - Decorative</t>
  </si>
  <si>
    <t xml:space="preserve">   12,000 Lumen - Decorative</t>
  </si>
  <si>
    <t xml:space="preserve">   19,500 Lumen - Decorative</t>
  </si>
  <si>
    <t xml:space="preserve">   32,000 Lumen - Decorative</t>
  </si>
  <si>
    <t>on Revenues from Electric Sales to Ultimate Consumers in Utah</t>
  </si>
  <si>
    <t>Present</t>
  </si>
  <si>
    <t>Line</t>
  </si>
  <si>
    <t>Schedule</t>
  </si>
  <si>
    <t>No.</t>
  </si>
  <si>
    <t>Description</t>
  </si>
  <si>
    <t>6A</t>
  </si>
  <si>
    <t>General Service-Distribution-Demand TOD</t>
  </si>
  <si>
    <t>6B</t>
  </si>
  <si>
    <t>Subtotal Schedule 6</t>
  </si>
  <si>
    <t>9A</t>
  </si>
  <si>
    <t>Subtotal Schedule 9</t>
  </si>
  <si>
    <t>Irrigation</t>
  </si>
  <si>
    <t>10TOD</t>
  </si>
  <si>
    <t>Subtotal Irrigation</t>
  </si>
  <si>
    <t>Electric Furnace</t>
  </si>
  <si>
    <t>Public Street Lighting</t>
  </si>
  <si>
    <t>Security Area Lighting</t>
  </si>
  <si>
    <t>Street Lighting - Company Owned</t>
  </si>
  <si>
    <t>Street Lighting - Customer Owned</t>
  </si>
  <si>
    <t>Traffic Signal Systems</t>
  </si>
  <si>
    <t>Metered Outdoor Lighting</t>
  </si>
  <si>
    <t>Subtotal Public Street Lighting</t>
  </si>
  <si>
    <t>Total Public Street Lighting</t>
  </si>
  <si>
    <t>Total Sales to Ultimate Customers</t>
  </si>
  <si>
    <t xml:space="preserve">  Customer Charge</t>
  </si>
  <si>
    <t xml:space="preserve">  First 400 kWh (May-Sept)</t>
  </si>
  <si>
    <t xml:space="preserve">  Next 600 kWh (May-Sept)</t>
  </si>
  <si>
    <t xml:space="preserve">  Minimum 1 Phase</t>
  </si>
  <si>
    <t xml:space="preserve">  Minimum 3 Phase</t>
  </si>
  <si>
    <t xml:space="preserve">  Minimum Seasonal</t>
  </si>
  <si>
    <t xml:space="preserve">  Unbilled</t>
  </si>
  <si>
    <t xml:space="preserve">  Total</t>
  </si>
  <si>
    <t xml:space="preserve">  On-Peak kWh</t>
  </si>
  <si>
    <t xml:space="preserve">  Off-Peak kWh</t>
  </si>
  <si>
    <t>Total Irrigation</t>
  </si>
  <si>
    <t>Ratio</t>
  </si>
  <si>
    <t>on peak</t>
  </si>
  <si>
    <t>off peak</t>
  </si>
  <si>
    <t>ON PEAK S</t>
  </si>
  <si>
    <t>ON PEAK W</t>
  </si>
  <si>
    <t>Summary</t>
  </si>
  <si>
    <t xml:space="preserve">  On-Peak kWh (Oct-Apr)</t>
  </si>
  <si>
    <t>TFCH</t>
  </si>
  <si>
    <t>TKWB</t>
  </si>
  <si>
    <t>TKWX</t>
  </si>
  <si>
    <t xml:space="preserve">  Voltage Discount</t>
  </si>
  <si>
    <t xml:space="preserve">  Seasonal Service</t>
  </si>
  <si>
    <t>08GNSV023F</t>
  </si>
  <si>
    <t xml:space="preserve">  MERCURY VAPOR LAMPS</t>
  </si>
  <si>
    <t xml:space="preserve">   4,000 Lumen Energy Only</t>
  </si>
  <si>
    <t xml:space="preserve">   7,000 Lumen</t>
  </si>
  <si>
    <t xml:space="preserve">   7,000 Lumen Energy Only</t>
  </si>
  <si>
    <t xml:space="preserve">   20,000 Lumen</t>
  </si>
  <si>
    <t xml:space="preserve">  SODIUM VAPOR LAMPS</t>
  </si>
  <si>
    <t xml:space="preserve">   5,600 Lumen New Pole</t>
  </si>
  <si>
    <t xml:space="preserve">   5,600 Lumen No New Pole</t>
  </si>
  <si>
    <t xml:space="preserve">   9,500 Lumen New Pole</t>
  </si>
  <si>
    <t xml:space="preserve">   9,500 Lumen No New Pole</t>
  </si>
  <si>
    <t xml:space="preserve">   16,000 Lumen New Pole</t>
  </si>
  <si>
    <t xml:space="preserve">   16,000 Lumen No New Pole</t>
  </si>
  <si>
    <t xml:space="preserve">   22,000 Lumen</t>
  </si>
  <si>
    <t xml:space="preserve">   27,500 Lumen New Pole</t>
  </si>
  <si>
    <t xml:space="preserve">   27,500 Lumen No New Pole</t>
  </si>
  <si>
    <t xml:space="preserve">   50,000 Lumen New Pole</t>
  </si>
  <si>
    <t xml:space="preserve">   50,000 Lumen No New Pole</t>
  </si>
  <si>
    <t xml:space="preserve">  SODIUM VAPOR FLOOD LAMPS </t>
  </si>
  <si>
    <t xml:space="preserve">  kW over 15 (May - Sept)</t>
  </si>
  <si>
    <t xml:space="preserve">  kW over 15 (Oct - Apr)</t>
  </si>
  <si>
    <t xml:space="preserve">  Voltage Discount kW</t>
  </si>
  <si>
    <t xml:space="preserve">   Monthly Cust. Serv. Chg.</t>
  </si>
  <si>
    <t xml:space="preserve">  Annual Cust. Serv. Chg. - Primary</t>
  </si>
  <si>
    <t xml:space="preserve">  Annual Cust. Serv. Chg. - Secondary</t>
  </si>
  <si>
    <t xml:space="preserve"> Unbilled</t>
  </si>
  <si>
    <t xml:space="preserve">  METAL HALIDE LAMPS</t>
  </si>
  <si>
    <t xml:space="preserve">   12,000 Lumen New Pole</t>
  </si>
  <si>
    <t xml:space="preserve">   12,000 Lumen No New Pole</t>
  </si>
  <si>
    <t xml:space="preserve">   19,500 Lumen New Pole</t>
  </si>
  <si>
    <t xml:space="preserve">   19,500 Lumen No New Pole</t>
  </si>
  <si>
    <t xml:space="preserve">   32,000 Lumen New Pole</t>
  </si>
  <si>
    <t>SCH 6</t>
  </si>
  <si>
    <t>SCH 6B</t>
  </si>
  <si>
    <t xml:space="preserve">   32,000 Lumen No New Pole</t>
  </si>
  <si>
    <t xml:space="preserve">  107,000 Lumen New Pole</t>
  </si>
  <si>
    <t>Year</t>
  </si>
  <si>
    <t xml:space="preserve">  107,000 Lumen No New Pole</t>
  </si>
  <si>
    <t xml:space="preserve">  KWH Included</t>
  </si>
  <si>
    <t>Total (kWh)</t>
  </si>
  <si>
    <t>VOLTAGE</t>
  </si>
  <si>
    <t>T</t>
  </si>
  <si>
    <t xml:space="preserve">  Facilities Charge per kW</t>
  </si>
  <si>
    <t xml:space="preserve">  Monthly Cust. Serv. Chg.</t>
  </si>
  <si>
    <t xml:space="preserve">  First 30,000 kWh</t>
  </si>
  <si>
    <t>Total On Season</t>
  </si>
  <si>
    <t>Total Post Season</t>
  </si>
  <si>
    <t>TOTAL RATE 10</t>
  </si>
  <si>
    <t>Schedule No. 10-TOD</t>
  </si>
  <si>
    <t xml:space="preserve">     Customer Charge per month</t>
  </si>
  <si>
    <t xml:space="preserve">     Facilities Charge, per kW month</t>
  </si>
  <si>
    <t xml:space="preserve">     Back-up Power Charge</t>
  </si>
  <si>
    <t xml:space="preserve">         Regular, per On-Peak kW day</t>
  </si>
  <si>
    <t xml:space="preserve">         Maintenance, per On-Peak kW day</t>
  </si>
  <si>
    <t xml:space="preserve">     Excess Power, per kW month</t>
  </si>
  <si>
    <t>Semi-Annual Report - 305 Summary</t>
  </si>
  <si>
    <t>TOTAL RATE 10-TOD</t>
  </si>
  <si>
    <t xml:space="preserve">  Incandescent Lamps</t>
  </si>
  <si>
    <t xml:space="preserve">   500 Lumen</t>
  </si>
  <si>
    <t xml:space="preserve">   600 Lumen</t>
  </si>
  <si>
    <t xml:space="preserve">   1,000 Lumen</t>
  </si>
  <si>
    <t xml:space="preserve">   2,500 Lumen</t>
  </si>
  <si>
    <t xml:space="preserve">   4,000 Lumen</t>
  </si>
  <si>
    <t xml:space="preserve">   6,000 Lumen</t>
  </si>
  <si>
    <t xml:space="preserve">   10,000 Lumen</t>
  </si>
  <si>
    <t xml:space="preserve">   10,000 Lumen @ 90%</t>
  </si>
  <si>
    <t xml:space="preserve">  Mercury Vapor Lamps</t>
  </si>
  <si>
    <t xml:space="preserve">  Sodium Vapor Lamps</t>
  </si>
  <si>
    <t>Adj Actual</t>
  </si>
  <si>
    <t xml:space="preserve">   5,600 Lumen</t>
  </si>
  <si>
    <t xml:space="preserve">   9,500 Lumen</t>
  </si>
  <si>
    <t xml:space="preserve">   16,000 Lumen</t>
  </si>
  <si>
    <t xml:space="preserve">   27,500 Lumen</t>
  </si>
  <si>
    <t xml:space="preserve">   50,000 Lumen</t>
  </si>
  <si>
    <t xml:space="preserve">   50,000 Lumen - Flood</t>
  </si>
  <si>
    <t xml:space="preserve">   125,000 Lumen</t>
  </si>
  <si>
    <t xml:space="preserve">  Fluorescent Lamps</t>
  </si>
  <si>
    <t xml:space="preserve">   21,000 Lumen</t>
  </si>
  <si>
    <t xml:space="preserve">   21,800 Lumen</t>
  </si>
  <si>
    <t xml:space="preserve">   2,500 Lumen or Less</t>
  </si>
  <si>
    <t xml:space="preserve">   54,000 Lumen</t>
  </si>
  <si>
    <t xml:space="preserve">  Non-listed Luminaries kWh</t>
  </si>
  <si>
    <t xml:space="preserve">   22,000 Lumen </t>
  </si>
  <si>
    <t>08NMT10135-UT IRR_SOIL DRNG NET MTR SVC</t>
  </si>
  <si>
    <t>08LNX00312 UT IRG LINE EXT</t>
  </si>
  <si>
    <t xml:space="preserve">  Metal Halide Lamps</t>
  </si>
  <si>
    <t xml:space="preserve">   12,000 Lumen</t>
  </si>
  <si>
    <t xml:space="preserve">   19,500 Lumen</t>
  </si>
  <si>
    <t xml:space="preserve">   32,000 Lumen</t>
  </si>
  <si>
    <t xml:space="preserve">   107,000 Lumen </t>
  </si>
  <si>
    <t>08SLCU012P</t>
  </si>
  <si>
    <t>08SLCU012F</t>
  </si>
  <si>
    <t>08TOSS0015</t>
  </si>
  <si>
    <t>08MONL0015</t>
  </si>
  <si>
    <t>08TOSS015F</t>
  </si>
  <si>
    <t>08SLCU012E</t>
  </si>
  <si>
    <t xml:space="preserve"> Customer Charge</t>
  </si>
  <si>
    <t xml:space="preserve"> All kWh</t>
  </si>
  <si>
    <t xml:space="preserve">   9,500 Lumen - Functional</t>
  </si>
  <si>
    <t xml:space="preserve">   9,500 Lumen - Functional @ 90%</t>
  </si>
  <si>
    <t xml:space="preserve">   9,500 Lumen - S1</t>
  </si>
  <si>
    <t xml:space="preserve">   9,500 Lumen - S2</t>
  </si>
  <si>
    <t xml:space="preserve">   16,000 Lumen - Functional</t>
  </si>
  <si>
    <t xml:space="preserve">   16,000 Lumen - Functional @ 90%</t>
  </si>
  <si>
    <t xml:space="preserve">   16,000 Lumen - S1</t>
  </si>
  <si>
    <t xml:space="preserve">   16,000 Lumen - S2</t>
  </si>
  <si>
    <t xml:space="preserve">   27,500 Lumen - Functional</t>
  </si>
  <si>
    <t xml:space="preserve">   27,500 Lumen - Functional @ 90%</t>
  </si>
  <si>
    <t xml:space="preserve"> Irrigation</t>
  </si>
  <si>
    <t xml:space="preserve">   27,500 Lumen - S1</t>
  </si>
  <si>
    <t xml:space="preserve">   27,500 Lumen - S2</t>
  </si>
  <si>
    <t xml:space="preserve">   50,000 Lumen - Functional</t>
  </si>
  <si>
    <t xml:space="preserve">  Special Service (No New Service)</t>
  </si>
  <si>
    <t xml:space="preserve">   9,000 Lumen - S1</t>
  </si>
  <si>
    <t xml:space="preserve">   12,000 Lumen - S2</t>
  </si>
  <si>
    <t xml:space="preserve">   12,000 Lumen - S1</t>
  </si>
  <si>
    <t xml:space="preserve">   19,500 Lumen - S1</t>
  </si>
  <si>
    <t xml:space="preserve">   32,000 Lumen - S1</t>
  </si>
  <si>
    <t xml:space="preserve">   12,000 Lumen - Functional</t>
  </si>
  <si>
    <t xml:space="preserve">   9,000 Lumen - S2</t>
  </si>
  <si>
    <t xml:space="preserve">   19,500 Lumen - Functional</t>
  </si>
  <si>
    <t xml:space="preserve">   19,500 Lumen - S2</t>
  </si>
  <si>
    <t xml:space="preserve">   32,000 Lumen - Functional</t>
  </si>
  <si>
    <t xml:space="preserve">   32,000 Lumen - S2</t>
  </si>
  <si>
    <t xml:space="preserve">   5,600 Lumen - Functional</t>
  </si>
  <si>
    <t xml:space="preserve">  1. Energy Only, No Maintenance</t>
  </si>
  <si>
    <t>Schedule No. 12 - Street Lighting - Customer-Owned System</t>
  </si>
  <si>
    <t xml:space="preserve"> Annual Minimum Charge</t>
  </si>
  <si>
    <t xml:space="preserve"> Annual Facility Charge</t>
  </si>
  <si>
    <t xml:space="preserve"> Annual Customer Charge</t>
  </si>
  <si>
    <t xml:space="preserve"> Monthly Customer Charge</t>
  </si>
  <si>
    <t xml:space="preserve">   9,000 Lumen</t>
  </si>
  <si>
    <t xml:space="preserve"> Primary Voltage</t>
  </si>
  <si>
    <t xml:space="preserve">  First 100,000 kWh</t>
  </si>
  <si>
    <t xml:space="preserve">  Subtotal</t>
  </si>
  <si>
    <t xml:space="preserve"> 44KV or Higher</t>
  </si>
  <si>
    <t>SPCL0001</t>
  </si>
  <si>
    <t>SPCL0002</t>
  </si>
  <si>
    <t>SPCL0003</t>
  </si>
  <si>
    <t xml:space="preserve">  Total </t>
  </si>
  <si>
    <t>Unit Price</t>
  </si>
  <si>
    <t>Charg Comp Type Cd</t>
  </si>
  <si>
    <t xml:space="preserve"> Residential</t>
  </si>
  <si>
    <t xml:space="preserve"> Commercial</t>
  </si>
  <si>
    <t xml:space="preserve"> Industrial</t>
  </si>
  <si>
    <t xml:space="preserve"> Public Street &amp; Highway Lighting</t>
  </si>
  <si>
    <t xml:space="preserve">  Total AGA</t>
  </si>
  <si>
    <t>TOTAL - ALL CLASSES</t>
  </si>
  <si>
    <t>Blocking</t>
  </si>
  <si>
    <t>Schedule 9</t>
  </si>
  <si>
    <t>Schedule 21</t>
  </si>
  <si>
    <t>Schedule 31</t>
  </si>
  <si>
    <t>Cust</t>
  </si>
  <si>
    <t>Pres. Rev</t>
  </si>
  <si>
    <t>RateSpread</t>
  </si>
  <si>
    <t>Temp</t>
  </si>
  <si>
    <t>Table 1 - Rev</t>
  </si>
  <si>
    <t>Table 1 - kWh</t>
  </si>
  <si>
    <t>Checking Matrix</t>
  </si>
  <si>
    <t>08APSV10NS</t>
  </si>
  <si>
    <t>Class</t>
  </si>
  <si>
    <t>Out of Period</t>
  </si>
  <si>
    <t>Actual</t>
  </si>
  <si>
    <t>Table  A - By Class</t>
  </si>
  <si>
    <t>Table  A</t>
  </si>
  <si>
    <t>RES</t>
  </si>
  <si>
    <t>COM</t>
  </si>
  <si>
    <t>08GNSV0009</t>
  </si>
  <si>
    <t>08GNSV006M</t>
  </si>
  <si>
    <t>08GNSV009A</t>
  </si>
  <si>
    <t>08GNSV009M</t>
  </si>
  <si>
    <t>08GNSV023M</t>
  </si>
  <si>
    <t>08GNSV06AM</t>
  </si>
  <si>
    <t>08GNSV06MN</t>
  </si>
  <si>
    <t>08EFOP0021</t>
  </si>
  <si>
    <t>IND</t>
  </si>
  <si>
    <t>08EFOP021M</t>
  </si>
  <si>
    <t>IRG</t>
  </si>
  <si>
    <t>PSH</t>
  </si>
  <si>
    <t>Supplemental billed at Schedule 6/8/9 rate</t>
  </si>
  <si>
    <t xml:space="preserve">  Schedule 8</t>
  </si>
  <si>
    <t xml:space="preserve">  Schedule 9</t>
  </si>
  <si>
    <t>Forecast</t>
  </si>
  <si>
    <t>Customer, kWh, and Revenue Adjustments</t>
  </si>
  <si>
    <t>Revenue Adjustments</t>
  </si>
  <si>
    <t>Sch 1</t>
  </si>
  <si>
    <t>Sch 2</t>
  </si>
  <si>
    <t>TOTAL</t>
  </si>
  <si>
    <t>Schedule 2</t>
  </si>
  <si>
    <t>Schedule 3</t>
  </si>
  <si>
    <t>Schedule 6A</t>
  </si>
  <si>
    <t>Schedule 6B</t>
  </si>
  <si>
    <t>Schedule 7</t>
  </si>
  <si>
    <t>Schedule 9A</t>
  </si>
  <si>
    <t>Rev $000</t>
  </si>
  <si>
    <t>Schedule 11</t>
  </si>
  <si>
    <t>Pole Top Lighting</t>
  </si>
  <si>
    <t>P</t>
  </si>
  <si>
    <t>Table A</t>
  </si>
  <si>
    <t>TKW</t>
  </si>
  <si>
    <t>Checking</t>
  </si>
  <si>
    <t>Total Industrial</t>
  </si>
  <si>
    <t>%</t>
  </si>
  <si>
    <t>Sch 23</t>
  </si>
  <si>
    <t>Sch 8</t>
  </si>
  <si>
    <t>Discrepancy</t>
  </si>
  <si>
    <t>Table 1</t>
  </si>
  <si>
    <t>Table 4</t>
  </si>
  <si>
    <t>AGA/Revenue Credit</t>
  </si>
  <si>
    <t>SCH</t>
  </si>
  <si>
    <t>Rate Group Cd</t>
  </si>
  <si>
    <t>08TOSS0015-TRAF &amp;amp; OTHER S</t>
  </si>
  <si>
    <t>08MONL0015-MTR OUTDONIGHT</t>
  </si>
  <si>
    <t>08TOSS015F-TRAFFIC SIG NM</t>
  </si>
  <si>
    <t>08SLCU012P-STR LGT CUST-O</t>
  </si>
  <si>
    <t>08SLCU012F-STR LGT CUST-O</t>
  </si>
  <si>
    <t>08SLCU012E-DECOR CUST-OWN</t>
  </si>
  <si>
    <t>IR10</t>
  </si>
  <si>
    <t>IRAGA</t>
  </si>
  <si>
    <t>IRU</t>
  </si>
  <si>
    <t xml:space="preserve">   16,000 Lumen - Decorative</t>
  </si>
  <si>
    <t xml:space="preserve">   27,500 Lumen - Decorative</t>
  </si>
  <si>
    <t>Schedule No. 21 - Electric Furnace Operations - Limited Service - Industrial</t>
  </si>
  <si>
    <t>Annual Guarantee Adjustment</t>
  </si>
  <si>
    <t>TMIN</t>
  </si>
  <si>
    <t>Summary of Revenue Adjustments ($000)</t>
  </si>
  <si>
    <t>305 Report</t>
  </si>
  <si>
    <t>Cognos</t>
  </si>
  <si>
    <t>SUBTOTAL</t>
  </si>
  <si>
    <t>Sch 6</t>
  </si>
  <si>
    <t>Sch 6B</t>
  </si>
  <si>
    <t>Annual</t>
  </si>
  <si>
    <t>¢</t>
  </si>
  <si>
    <t>Rev</t>
  </si>
  <si>
    <t>Rocky Mountain Power - State of Utah</t>
  </si>
  <si>
    <t>Diff</t>
  </si>
  <si>
    <t>on</t>
  </si>
  <si>
    <t>off</t>
  </si>
  <si>
    <t>Res Subtotal</t>
  </si>
  <si>
    <t>Com Subtotal</t>
  </si>
  <si>
    <t>% off-peak kWh</t>
  </si>
  <si>
    <t>% on-peak-kWh</t>
  </si>
  <si>
    <t>TACUST</t>
  </si>
  <si>
    <t>Subtotal kWh</t>
  </si>
  <si>
    <t>INC 189 WATT</t>
  </si>
  <si>
    <t>INC 295 WATT</t>
  </si>
  <si>
    <t>MV 100 WATT</t>
  </si>
  <si>
    <t>MV 175 WATT</t>
  </si>
  <si>
    <t>MV 400 WATT</t>
  </si>
  <si>
    <t>HPS 70 WATT</t>
  </si>
  <si>
    <t>HPS 100 WATT</t>
  </si>
  <si>
    <t>HPS 100 WATT, DUSK TO MIDNIGHT</t>
  </si>
  <si>
    <t>HPS 150 WATT</t>
  </si>
  <si>
    <t>HPS 150 WATT, DUSK TO MIDNIGHT</t>
  </si>
  <si>
    <t>HPS 250 WATT</t>
  </si>
  <si>
    <t>HPS 400 WATT</t>
  </si>
  <si>
    <t>MH 175 WATT</t>
  </si>
  <si>
    <t>MH 250 WATT</t>
  </si>
  <si>
    <t>MH 400 WATT</t>
  </si>
  <si>
    <t>FL 320 WATT</t>
  </si>
  <si>
    <t>HPS 100 WATT - DECORATIVE</t>
  </si>
  <si>
    <t>HPS 150 WATT - DECORATIVE</t>
  </si>
  <si>
    <t>HPS 250 WATT - DECORATIVE</t>
  </si>
  <si>
    <t>HPS 400 WATT - DECORATIVE</t>
  </si>
  <si>
    <t xml:space="preserve">  High Pressure Sodium Vapor Lamps</t>
  </si>
  <si>
    <t>HPS 250 WATT, DUSK TO MIDNIGHT</t>
  </si>
  <si>
    <t>HPS 100W - DECORATIVE SERIES 1</t>
  </si>
  <si>
    <t>HPS 150W - DECORATIVE SERIES 1</t>
  </si>
  <si>
    <t>HPS 250W - DECORATIVE SERIES 1</t>
  </si>
  <si>
    <t>HPS 100W - DECORATIVE SERIES 2</t>
  </si>
  <si>
    <t>HPS 150W - DECORATIVE SERIES 2</t>
  </si>
  <si>
    <t>XFL</t>
  </si>
  <si>
    <t>Summary of Energy Adjustments (MWh)</t>
  </si>
  <si>
    <t>6000 INC, FULL MAINT, DUSK TO DAWN</t>
  </si>
  <si>
    <t>10000 INC, FULL MAINT, DUSK TO DAWN</t>
  </si>
  <si>
    <t>7000 MV, FULL MAINT, DUSK TO DAWN</t>
  </si>
  <si>
    <t>5600 HPSV, FULL MAINT DUSK TO DAWN</t>
  </si>
  <si>
    <t>9500 HPSV, FULL MAINT, DUSK TO DAWN</t>
  </si>
  <si>
    <t>16000 HPSV, FULL MAINT, DUSK TO DAWN</t>
  </si>
  <si>
    <t>27500 HPSV, FULL MAINT, DUSK TO DAWN</t>
  </si>
  <si>
    <t>50000 HPSV, FULL MAINT, DUSK TO DAWN</t>
  </si>
  <si>
    <t>Avg Rate</t>
  </si>
  <si>
    <t>12000 METAL HALIDE, FULL MAINT, DUSK TO DAWN</t>
  </si>
  <si>
    <t>19500 METAL HALIDE, FULL MAINT, DUSK TO DAWN</t>
  </si>
  <si>
    <t>Rocky Mountain Power</t>
  </si>
  <si>
    <t>Schedule No. 1- Residential Service</t>
  </si>
  <si>
    <t>Schedule No. 6 - Composite</t>
  </si>
  <si>
    <t>Schedule No. 6 - Industrial</t>
  </si>
  <si>
    <t>Schedule No. 6 - Commercial</t>
  </si>
  <si>
    <t>Schedule No. 6A - Energy Time-of-Day Option - Composite</t>
  </si>
  <si>
    <t>Schedule No. 6A - Energy Time-of-Day Option - Industrial</t>
  </si>
  <si>
    <t>Schedule No. 6A - Energy Time-of-Day Option - Commercial</t>
  </si>
  <si>
    <t>Schedule No. 6B - Demand Time-of-Day Option - Commercial</t>
  </si>
  <si>
    <t>Schedule No. 6B - Demand Time-of-Day Option - Industrial</t>
  </si>
  <si>
    <t>Schedule No. 8 - Composite</t>
  </si>
  <si>
    <t>Schedule No. 8 - Commercial</t>
  </si>
  <si>
    <t>Schedule No. 8 - Industrial</t>
  </si>
  <si>
    <t>Schedule No. 9 - Composite</t>
  </si>
  <si>
    <t>Schedule No. 9 - Commercial</t>
  </si>
  <si>
    <t>SEQ</t>
  </si>
  <si>
    <t>Schedule No. 9 - Industrial</t>
  </si>
  <si>
    <t>Schedule No. 9A - Energy TOD - Commercial</t>
  </si>
  <si>
    <t>Schedule No. 9A - Energy TOD - Industrial</t>
  </si>
  <si>
    <t>Schedule No. 10 - Irrigation</t>
  </si>
  <si>
    <t>Schedule No. 11 - Street Lighting - Company-Owned System</t>
  </si>
  <si>
    <t>Schedule 8</t>
  </si>
  <si>
    <t>U</t>
  </si>
  <si>
    <t>Blocking Based on Adjusted Actuals and Forecasted Loads</t>
  </si>
  <si>
    <t>Block</t>
  </si>
  <si>
    <t>SCH8</t>
  </si>
  <si>
    <t>Invoicing Structure Desc</t>
  </si>
  <si>
    <t>Fixed Usage</t>
  </si>
  <si>
    <t>Price Last Effect Dt</t>
  </si>
  <si>
    <t>XSV</t>
  </si>
  <si>
    <t>XMH</t>
  </si>
  <si>
    <t>XIN</t>
  </si>
  <si>
    <t>XMV</t>
  </si>
  <si>
    <t>7000 MV</t>
  </si>
  <si>
    <t>20000 MV</t>
  </si>
  <si>
    <t>5600 HPSV, COMPANY-OWNED POLE</t>
  </si>
  <si>
    <t>5600 HPSV, NO COMPANY-OWNED POLE</t>
  </si>
  <si>
    <t>9500 HPSV, COMPANY-OWNED POLE</t>
  </si>
  <si>
    <t>9500 HPSV, NO COMPANY-OWNED POLE</t>
  </si>
  <si>
    <t>16000 HPSV, COMPANY-OWNED POLE</t>
  </si>
  <si>
    <t>16000 HPSV, NO COMPANY-OWNED POLE</t>
  </si>
  <si>
    <t>22000 HPSV</t>
  </si>
  <si>
    <t>27500 HPSV, COMPANY-OWNED POLE</t>
  </si>
  <si>
    <t>27500 HPSV, NO COMPANY-OWNED POLE</t>
  </si>
  <si>
    <t>50000 HPSV, COMPANY-OWNED POLE</t>
  </si>
  <si>
    <t>50000 HPSV, NO COMPANY-OWNED POLE</t>
  </si>
  <si>
    <t>16000 HPSV FLOOD, COMPANY-OWNED POLE</t>
  </si>
  <si>
    <t>XSF</t>
  </si>
  <si>
    <t>16000 HPSV FLOOD, NO COMPANY-OWNED POLE</t>
  </si>
  <si>
    <t>27500 HPSV FLOOD, COMPANY-OWNED POLE</t>
  </si>
  <si>
    <t>27500 HPSV FLOOD, NO COMPANY-OWNED POLE</t>
  </si>
  <si>
    <t>50000 HPSV FLOOD, COMPANY-OWNED POLE</t>
  </si>
  <si>
    <t>50000 HPSV FLOOD, NO COMPANY-OWNED POLE</t>
  </si>
  <si>
    <t>Schedule 15-Traffic</t>
  </si>
  <si>
    <t>Schedule 15-Monl</t>
  </si>
  <si>
    <t>Schedule 12E</t>
  </si>
  <si>
    <t>Schedule 12F</t>
  </si>
  <si>
    <t>Schedule 12P</t>
  </si>
  <si>
    <t>12000 METAL HALIDE, NO COMPANY-OWNED POLE</t>
  </si>
  <si>
    <t>19500 METAL HALIDE, COMPANY-OWNED POLE</t>
  </si>
  <si>
    <t>19500 METAL HALIDE, NO COMPANY-OWNED POLE</t>
  </si>
  <si>
    <t>32000 METAL HALIDE, COMPANY-OWNED POLE</t>
  </si>
  <si>
    <t>32500 METAL HALIDE, NO COMPANY-OWNED POLE</t>
  </si>
  <si>
    <t>107000 METAL HALIDE, COMPANY-OWNED POLE</t>
  </si>
  <si>
    <t>107000 METAL HALIDE, NO COMPANY-OWNED POLE</t>
  </si>
  <si>
    <t>08NMT06135-UT NET METERING GEN SVC</t>
  </si>
  <si>
    <t>08NMT08135 - NET METERING GEN SVC</t>
  </si>
  <si>
    <t>08NMT6A135-NET METERING GEN SVC TOU</t>
  </si>
  <si>
    <t>08NMT06135</t>
  </si>
  <si>
    <t>08NMT6A135</t>
  </si>
  <si>
    <t>08NMT08135</t>
  </si>
  <si>
    <t>TAMOUNT-C</t>
  </si>
  <si>
    <t>TREV-P</t>
  </si>
  <si>
    <t>TKWH-ADJ</t>
  </si>
  <si>
    <t>08NMT23135</t>
  </si>
  <si>
    <t>TKWH-S</t>
  </si>
  <si>
    <t>TKWH-S1</t>
  </si>
  <si>
    <t>TKWH-S2</t>
  </si>
  <si>
    <t>TKWH-S3</t>
  </si>
  <si>
    <t>TKWH-W</t>
  </si>
  <si>
    <t>TBILL-A</t>
  </si>
  <si>
    <t>TBILL-T</t>
  </si>
  <si>
    <t>TBILL-S</t>
  </si>
  <si>
    <t>TBILL-W</t>
  </si>
  <si>
    <t>TKW-DIS</t>
  </si>
  <si>
    <t>TKWH-ONS</t>
  </si>
  <si>
    <t>TKWH-OFFS</t>
  </si>
  <si>
    <t>TKWH-P1</t>
  </si>
  <si>
    <t>TKWH-P2</t>
  </si>
  <si>
    <t>TKWH-T1</t>
  </si>
  <si>
    <t>TKWH-T2</t>
  </si>
  <si>
    <t>TKW-S</t>
  </si>
  <si>
    <t>TKW-W</t>
  </si>
  <si>
    <t>TKWH-W1</t>
  </si>
  <si>
    <t>TKWH-W2</t>
  </si>
  <si>
    <t>TFCH-S</t>
  </si>
  <si>
    <t>TKWB-U</t>
  </si>
  <si>
    <t>TKWB-S</t>
  </si>
  <si>
    <t>TKWS-S</t>
  </si>
  <si>
    <t>TKWS-W</t>
  </si>
  <si>
    <t>TKWS-DIS</t>
  </si>
  <si>
    <t>TKWH-ONW</t>
  </si>
  <si>
    <t>TKWH-OFF</t>
  </si>
  <si>
    <t>TKWH-ON</t>
  </si>
  <si>
    <t>P15T</t>
  </si>
  <si>
    <t>P15M</t>
  </si>
  <si>
    <t>P12P</t>
  </si>
  <si>
    <t>P12F</t>
  </si>
  <si>
    <t>P12E</t>
  </si>
  <si>
    <t>PU</t>
  </si>
  <si>
    <t>RAGA</t>
  </si>
  <si>
    <t>R7</t>
  </si>
  <si>
    <t>R1</t>
  </si>
  <si>
    <t>R2</t>
  </si>
  <si>
    <t>R3</t>
  </si>
  <si>
    <t>R135</t>
  </si>
  <si>
    <t>RU</t>
  </si>
  <si>
    <t>C15T</t>
  </si>
  <si>
    <t>C15M</t>
  </si>
  <si>
    <t>I15T</t>
  </si>
  <si>
    <t>I15M</t>
  </si>
  <si>
    <t>Sch 3</t>
  </si>
  <si>
    <t>Unbilled Rev</t>
  </si>
  <si>
    <t>Unbilled kWh</t>
  </si>
  <si>
    <t>Nucor Steel</t>
  </si>
  <si>
    <t>US Magnesium</t>
  </si>
  <si>
    <t>Kennecott</t>
  </si>
  <si>
    <t>Norma</t>
  </si>
  <si>
    <t>Table A by Class</t>
  </si>
  <si>
    <t>Present Revenues and Loads Comparison</t>
  </si>
  <si>
    <t>By Class</t>
  </si>
  <si>
    <t>Notes:</t>
  </si>
  <si>
    <t>8</t>
  </si>
  <si>
    <t>Contract 1</t>
  </si>
  <si>
    <t>Contract 2</t>
  </si>
  <si>
    <t>Contract 3</t>
  </si>
  <si>
    <t xml:space="preserve">  Customer Charge - 1 Phase</t>
  </si>
  <si>
    <t xml:space="preserve">  Customer Charge - 3 Phase</t>
  </si>
  <si>
    <t xml:space="preserve">  Total Customer</t>
  </si>
  <si>
    <t>TBILL-1MIN</t>
  </si>
  <si>
    <t>TBILL-3MIN</t>
  </si>
  <si>
    <t>TBILL-1</t>
  </si>
  <si>
    <t>TBILL-3</t>
  </si>
  <si>
    <t>REVENUE_ACCOUNTING ADJUSTMENTS</t>
  </si>
  <si>
    <t>08ABL-NRES - APPLICANT BUILT LINE</t>
  </si>
  <si>
    <t>Rev Accounting Adj</t>
  </si>
  <si>
    <t>Schedule 10 - Non-TOD</t>
  </si>
  <si>
    <t>1st</t>
  </si>
  <si>
    <t>Schedule 10 - TOD</t>
  </si>
  <si>
    <t>On kWh</t>
  </si>
  <si>
    <t>Total Sch 10</t>
  </si>
  <si>
    <t>Res</t>
  </si>
  <si>
    <t>Com</t>
  </si>
  <si>
    <t>Irr</t>
  </si>
  <si>
    <t>Ind</t>
  </si>
  <si>
    <t>08MHTP0006</t>
  </si>
  <si>
    <t>TKWH-SON</t>
  </si>
  <si>
    <t>TKWH-SOFF</t>
  </si>
  <si>
    <t>TKWH-WON</t>
  </si>
  <si>
    <t>TKWH-WOFF</t>
  </si>
  <si>
    <t>LAMP LUMEN</t>
  </si>
  <si>
    <t>LAMP-CODE</t>
  </si>
  <si>
    <t>FIXED-KWH</t>
  </si>
  <si>
    <t>RATE</t>
  </si>
  <si>
    <t>TKW-F</t>
  </si>
  <si>
    <t>TKW-T</t>
  </si>
  <si>
    <t>TKW-ONW</t>
  </si>
  <si>
    <t>TBILL-DIS</t>
  </si>
  <si>
    <t>TREV-DIS</t>
  </si>
  <si>
    <t>MH 175W</t>
  </si>
  <si>
    <t>MH 250W</t>
  </si>
  <si>
    <t>MH 100W - DECORATIVE SERIES 1</t>
  </si>
  <si>
    <t>MH 100W - DECORATIVE SERIES 2</t>
  </si>
  <si>
    <t>MH 175W - DECORATIVE SERIES 2</t>
  </si>
  <si>
    <t>MH 250W - DECORATIVE SERIES 2</t>
  </si>
  <si>
    <t>MV 250 WATT</t>
  </si>
  <si>
    <t>INC 71 WATT - NO NEW SERVICE</t>
  </si>
  <si>
    <t>INC 295 WATT - NO NEW SERVICE</t>
  </si>
  <si>
    <t>FLUOR 400 WATT</t>
  </si>
  <si>
    <t>LUMEN</t>
  </si>
  <si>
    <t>LAMP CODE</t>
  </si>
  <si>
    <t>FIXED KWH</t>
  </si>
  <si>
    <t>KWH</t>
  </si>
  <si>
    <t>INDUCT 165 WATT - ENERGY ONLY</t>
  </si>
  <si>
    <t>HPS 70 WATT - ENERGY ONLY</t>
  </si>
  <si>
    <t>HPS 100 WATT - ENERGY ONLY</t>
  </si>
  <si>
    <t>HPS 150 WATT - ENERGY ONLY</t>
  </si>
  <si>
    <t>HPS 250 WATT - ENERGY ONLY</t>
  </si>
  <si>
    <t>HPS 400 WATT - ENERGY ONLY</t>
  </si>
  <si>
    <t>HPS 1000 WATT - ENERGY ONLY</t>
  </si>
  <si>
    <t>MH 39 WATT - ENERGY ONLY</t>
  </si>
  <si>
    <t>MH 70 WATT - ENERGY ONLY</t>
  </si>
  <si>
    <t>MH 100 WATT - ENERGY ONLY</t>
  </si>
  <si>
    <t>MH 150 WATT - ENERGY ONLY</t>
  </si>
  <si>
    <t>MH 175 WATT - ENERGY ONLY</t>
  </si>
  <si>
    <t>MH 250 WATT - ENERGY ONLY</t>
  </si>
  <si>
    <t>MH 400 WATT - ENERGY ONLY</t>
  </si>
  <si>
    <t>INC 55 WATT - ENERGY ONLY</t>
  </si>
  <si>
    <t>INC 189 WATT - ENERGY ONLY</t>
  </si>
  <si>
    <t>MV 100 WATT - ENERGY ONLY</t>
  </si>
  <si>
    <t>MV 175 WATT - ENERGY ONLY</t>
  </si>
  <si>
    <t>MV 250 WATT - ENERGY ONLY</t>
  </si>
  <si>
    <t>MV 400 WATT - ENERGY ONLY</t>
  </si>
  <si>
    <t>INDUCT 55 WATT - ENERGY ONLY</t>
  </si>
  <si>
    <t>XND</t>
  </si>
  <si>
    <t>INDUCT 85 WATT - ENERGY ONLY</t>
  </si>
  <si>
    <t>INC 75 WATT - ENERGY ONLY</t>
  </si>
  <si>
    <t>INDUCT 35 WATT - ENERGY ONLY</t>
  </si>
  <si>
    <t>INDUCT 40 WATT - ENERGY ONLY</t>
  </si>
  <si>
    <t>INDUCT 150 WATT - ENERGY ONLY</t>
  </si>
  <si>
    <t>INDUCT 200 WATT - ENERGY ONLY</t>
  </si>
  <si>
    <t>32000 METAL HALIDE, FULL MAINT, DUSK TO DAWN</t>
  </si>
  <si>
    <t>MH 100W - DECORATIVE</t>
  </si>
  <si>
    <t>MH 175W - DECORATIVE</t>
  </si>
  <si>
    <t>MH 250W - DECORATIVE</t>
  </si>
  <si>
    <t>MH 400W - DECORATIVE</t>
  </si>
  <si>
    <t>SCH-SUP</t>
  </si>
  <si>
    <t>Schedule No. 6B - Demand Time-of-Day Option - Composite</t>
  </si>
  <si>
    <t>2nd</t>
  </si>
  <si>
    <t>post 10</t>
  </si>
  <si>
    <t>post tod</t>
  </si>
  <si>
    <t>Schedule No. 9A - Energy TOD - Composite</t>
  </si>
  <si>
    <t xml:space="preserve">  Sodium Vapor Lamps (HPS)</t>
  </si>
  <si>
    <t xml:space="preserve">  Metal Halide Lamps (MH)</t>
  </si>
  <si>
    <t xml:space="preserve">  Mercury Vapor Lamps (No New Service) (MV)</t>
  </si>
  <si>
    <t xml:space="preserve">  Incandescent Lamps (No New Service) (INC)</t>
  </si>
  <si>
    <t xml:space="preserve">  Fluorescent Lamps (No New Service) (FLOUR)</t>
  </si>
  <si>
    <t>A + B + C</t>
  </si>
  <si>
    <t>Interruptible</t>
  </si>
  <si>
    <t>Sch 135 Ratio</t>
  </si>
  <si>
    <t>Sch 3 Ratio</t>
  </si>
  <si>
    <t>Customer</t>
  </si>
  <si>
    <t>Summary of Revenue and kWh Adjustments - Special Contracts</t>
  </si>
  <si>
    <t>Ratio - S</t>
  </si>
  <si>
    <t>Ratio - W</t>
  </si>
  <si>
    <t>W2</t>
  </si>
  <si>
    <t>W1</t>
  </si>
  <si>
    <t>S1</t>
  </si>
  <si>
    <t>S2</t>
  </si>
  <si>
    <t>S3</t>
  </si>
  <si>
    <t>W</t>
  </si>
  <si>
    <t>S-on</t>
  </si>
  <si>
    <t>S-off</t>
  </si>
  <si>
    <t>W-on</t>
  </si>
  <si>
    <t>W-off</t>
  </si>
  <si>
    <t>Schedule 6B - Com</t>
  </si>
  <si>
    <t>Sch 6 -Res</t>
  </si>
  <si>
    <t>Sch 6 - Com</t>
  </si>
  <si>
    <t>Sch 6A - Com</t>
  </si>
  <si>
    <t>TREV-A</t>
  </si>
  <si>
    <t>Revenue Class Desc</t>
  </si>
  <si>
    <t>Rate Desc</t>
  </si>
  <si>
    <t>Total kWh</t>
  </si>
  <si>
    <t>REVENUE ADJUSTMENT - DEFERRED NPC</t>
  </si>
  <si>
    <t>301270-DSM REVENUE-COMMERCIAL</t>
  </si>
  <si>
    <t>301280-BLUE SKY REVENUE-COMMERCIAL</t>
  </si>
  <si>
    <t>367680-REVENUE ADJ PROPERTY INSUR-COM</t>
  </si>
  <si>
    <t>301370-DSM REVENUE-INDUSTRIAL</t>
  </si>
  <si>
    <t>301380-BLUE SKY REVENUE-INDUSTRIAL</t>
  </si>
  <si>
    <t>367780-REVENUE ADJ PROPERTY INSUR-IND</t>
  </si>
  <si>
    <t>301470-DSM REVENUE-IRRIGATION</t>
  </si>
  <si>
    <t>367880-REVENUE ADJ PROPERTY INSUR-IRG</t>
  </si>
  <si>
    <t>301670-DSM REVENUE-PSHL</t>
  </si>
  <si>
    <t>301170-DSM REVENUE-RESIDENTIAL</t>
  </si>
  <si>
    <t>301180-BLUE SKY REVENUE-RESIDENTIAL</t>
  </si>
  <si>
    <t>367580-REVENUE ADJ PROPERTY INSUR-RES</t>
  </si>
  <si>
    <t>08MHTP0006-MOBILE HOME &amp; TRAILER</t>
  </si>
  <si>
    <t>08MHTP0023-MOBILE HOME &amp; TRAILER</t>
  </si>
  <si>
    <t>08RGNSV006-GEN SRVC-RES</t>
  </si>
  <si>
    <t>08RGNSV023-GEN SRVC-RES</t>
  </si>
  <si>
    <t>08RNM23135 - UT NET MTR, GEN SVC-RES</t>
  </si>
  <si>
    <t>08RGNSV06A-UT SMALL GENERAL SVC-RES-TOU</t>
  </si>
  <si>
    <t>CREVDEF</t>
  </si>
  <si>
    <t>CREVADJ</t>
  </si>
  <si>
    <t>CDSM</t>
  </si>
  <si>
    <t>CBLUE</t>
  </si>
  <si>
    <t>CINSUR</t>
  </si>
  <si>
    <t>IREVDEF</t>
  </si>
  <si>
    <t>IREVADJ</t>
  </si>
  <si>
    <t>IDSM</t>
  </si>
  <si>
    <t>IBLUE</t>
  </si>
  <si>
    <t>IINSUR</t>
  </si>
  <si>
    <t>ISPCL1</t>
  </si>
  <si>
    <t>ISPCL2</t>
  </si>
  <si>
    <t>ISPCL3</t>
  </si>
  <si>
    <t>IRREVADJ</t>
  </si>
  <si>
    <t>IRDSM</t>
  </si>
  <si>
    <t>IRINSUR</t>
  </si>
  <si>
    <t>PREVADJ</t>
  </si>
  <si>
    <t>PDSM</t>
  </si>
  <si>
    <t>RREVDEF</t>
  </si>
  <si>
    <t>RREVADJ</t>
  </si>
  <si>
    <t>RDSM</t>
  </si>
  <si>
    <t>RBLUE</t>
  </si>
  <si>
    <t>RINSUR</t>
  </si>
  <si>
    <t>CSOLAR</t>
  </si>
  <si>
    <t>ISOLAR</t>
  </si>
  <si>
    <t>IRSOLAR</t>
  </si>
  <si>
    <t>PSOLAR</t>
  </si>
  <si>
    <t>RSOLAR</t>
  </si>
  <si>
    <t>Rev Adj - Deferred NPC</t>
  </si>
  <si>
    <t>Blue Sky</t>
  </si>
  <si>
    <t>Rev Adj - Property Insurance</t>
  </si>
  <si>
    <t>R23</t>
  </si>
  <si>
    <t>R6</t>
  </si>
  <si>
    <t>R6A</t>
  </si>
  <si>
    <t>08RGNSV06A</t>
  </si>
  <si>
    <t>08RGNSV006</t>
  </si>
  <si>
    <t>FLOUR 25 WATT - ENERGY ONLY</t>
  </si>
  <si>
    <t>LED</t>
  </si>
  <si>
    <t>INC 135 WATT - ENERGY ONLY</t>
  </si>
  <si>
    <t>INC 327 WATT - ENERGY ONLY</t>
  </si>
  <si>
    <t>MH 50 WATT - ENERGY ONLY</t>
  </si>
  <si>
    <t>HPS 50 WATT - ENERGY ONLY</t>
  </si>
  <si>
    <t>LED 30-34 WATT ENERGY ONLY</t>
  </si>
  <si>
    <t>LED 50-54 WATT ENERGY ONLY</t>
  </si>
  <si>
    <t>LED 55-59 WATT ENERGY ONLY</t>
  </si>
  <si>
    <t>LED 70-74 WATT ENERGY ONLY</t>
  </si>
  <si>
    <t>LED 85-89 WATT ENERGY ONLY</t>
  </si>
  <si>
    <t>LED 90-94 WATT ENERGY ONLY</t>
  </si>
  <si>
    <t>LED 100-104 WATT ENERGY ONLY</t>
  </si>
  <si>
    <t>LED 105-109 WATT ENERGY ONLY</t>
  </si>
  <si>
    <t>LED 115-119 WATT ENERGY ONLY</t>
  </si>
  <si>
    <t>LED 125-129 WATT ENERGY ONLY</t>
  </si>
  <si>
    <t>LED 145-149 WATT ENERGY ONLY</t>
  </si>
  <si>
    <t>LED 150-154 WATT ENERGY ONLY</t>
  </si>
  <si>
    <t>LED 160-164 WATT ENERGY ONLY</t>
  </si>
  <si>
    <t>LED 130-134 WATT ENERGY ONLY</t>
  </si>
  <si>
    <t>INDUCT 155 WATT - ENERGY ONLY</t>
  </si>
  <si>
    <t>MH 200 WATT - ENERGY ONLY</t>
  </si>
  <si>
    <t>INC 27 WATT - ENERGY ONLY</t>
  </si>
  <si>
    <t>INC 12.5 WATT - ENERGY ONLY</t>
  </si>
  <si>
    <t>LED 35-39 WATT ENERGY ONLY</t>
  </si>
  <si>
    <t>LED 40-44 WATT ENERGY ONLY</t>
  </si>
  <si>
    <t>INDUCT 50 WATT - ENERGY ONLY</t>
  </si>
  <si>
    <t>INDUCT 135 WATT - ENERGY ONLY</t>
  </si>
  <si>
    <t>LED 60-64 WATT ENERGY ONLY</t>
  </si>
  <si>
    <t>LED 80-84 WATT ENERGY ONLY</t>
  </si>
  <si>
    <t>LED 45-49 WATT - ENERGY ONLY</t>
  </si>
  <si>
    <t>INC 116 WATT - ENERGY ONLY</t>
  </si>
  <si>
    <t>FLOUR 27 WATT - ENERGY ONLY</t>
  </si>
  <si>
    <t>FLOUR 42 WATT - ENERGY ONLY</t>
  </si>
  <si>
    <t>INDUCT 210 WATT - ENERGY ONLY</t>
  </si>
  <si>
    <t>LED 250-254 WATT - ENERGY ONLY</t>
  </si>
  <si>
    <t>INDUCT 74 WATT - ENERGY ONLY</t>
  </si>
  <si>
    <t>LED 205-209 WATT - ENERGY ONLY</t>
  </si>
  <si>
    <t>LED 220-224 WATT - ENERGY ONLY</t>
  </si>
  <si>
    <t>LED 230-234 WATT - ENERGY ONLY</t>
  </si>
  <si>
    <t>08RGNSV023</t>
  </si>
  <si>
    <t>08MHTP0023</t>
  </si>
  <si>
    <t>08RNM23135</t>
  </si>
  <si>
    <t>Schedule 8 - Com</t>
  </si>
  <si>
    <t>Schedule 23 - Res</t>
  </si>
  <si>
    <t>Schedule 23 - Com</t>
  </si>
  <si>
    <t>Com On Peak</t>
  </si>
  <si>
    <t>Ind On Peak</t>
  </si>
  <si>
    <t>Non-TOD</t>
  </si>
  <si>
    <t>Summer 1st</t>
  </si>
  <si>
    <t>On-peak</t>
  </si>
  <si>
    <t>On Peak S</t>
  </si>
  <si>
    <t>On Peak W</t>
  </si>
  <si>
    <t>Schedule No. 6 - Residential</t>
  </si>
  <si>
    <t>Schedule No. 6A - Energy Time-of-Day Option - Residential</t>
  </si>
  <si>
    <t>Schedule No. 7 - Security Area Lighting - Composite</t>
  </si>
  <si>
    <t>Schedule No. 7 - Security Area Lighting - Residential</t>
  </si>
  <si>
    <t>Schedule No. 7 - Security Area Lighting - Industrial</t>
  </si>
  <si>
    <t>Schedule No. 7 - Security Area Lighting - Public Street Lighting</t>
  </si>
  <si>
    <t>Schedule No. 7 - Security Area Lighting - Commercial</t>
  </si>
  <si>
    <t>Standard</t>
  </si>
  <si>
    <t>Non-standard</t>
  </si>
  <si>
    <t>Schedule 15.1 - Metered Outdoor Nighttime Lighting - Composite</t>
  </si>
  <si>
    <t>Schedule 15.1 - Metered Outdoor Nighttime Lighting - Commercial</t>
  </si>
  <si>
    <t>Schedule 15.1 - Metered Outdoor Nighttime Lighting - Industrial</t>
  </si>
  <si>
    <t>Schedule 15.1 - Metered Outdoor Nighttime Lighting - Public Street Lighting</t>
  </si>
  <si>
    <t>Schedule 15.2 - Traffic Signal Systems - Composite</t>
  </si>
  <si>
    <t>Schedule 15.2 - Traffic Signal Systems - Commercial</t>
  </si>
  <si>
    <t>Schedule 15.2 - Traffic Signal Systems - Industrial</t>
  </si>
  <si>
    <t>Schedule 15.2 - Traffic Signal Systems - Public Street Lighting</t>
  </si>
  <si>
    <t>Customer Charge</t>
  </si>
  <si>
    <t>Demand Charge</t>
  </si>
  <si>
    <t xml:space="preserve">   Customer Charge</t>
  </si>
  <si>
    <t>Lighting Contract - Post Top Lighting - Composite</t>
  </si>
  <si>
    <t>Lighting Contract - Post Top Lighting - Commercial</t>
  </si>
  <si>
    <t>Lighting Contract - Post Top Lighting - Residential</t>
  </si>
  <si>
    <t>Schedule No. 3- Residential Service - Low Income Lifeline Program</t>
  </si>
  <si>
    <t>Schedule No. 2 - Residential Service - Optional Time-of-Day</t>
  </si>
  <si>
    <t>Schedule No. 23 - Composite</t>
  </si>
  <si>
    <t>Schedule No. 23 - Commercial</t>
  </si>
  <si>
    <t>Schedule No. 23 - Industrial</t>
  </si>
  <si>
    <t>Schedule No. 23 - Residential</t>
  </si>
  <si>
    <t>Schedule No.31 - Composite</t>
  </si>
  <si>
    <t>Schedule No.31 - Commercial</t>
  </si>
  <si>
    <t>Schedule No. 31 - Industrial</t>
  </si>
  <si>
    <t>TOTAL UTAH</t>
  </si>
  <si>
    <t>RevByClass</t>
  </si>
  <si>
    <r>
      <t>1</t>
    </r>
    <r>
      <rPr>
        <sz val="12"/>
        <color indexed="8"/>
        <rFont val="Times New Roman"/>
        <family val="1"/>
      </rPr>
      <t xml:space="preserve"> Includes weather normalization, buy-through, and out of period adjustments.</t>
    </r>
  </si>
  <si>
    <t>15T</t>
  </si>
  <si>
    <t xml:space="preserve">              May - Sept</t>
  </si>
  <si>
    <t xml:space="preserve">              Oct - Apr</t>
  </si>
  <si>
    <t>301X65-SOLAR FEED-IN REVENUE</t>
  </si>
  <si>
    <t>08RGNSV06B-UT SMALL GENERAL SVC-RES-TOU</t>
  </si>
  <si>
    <t>08RNM06135 - UT NET MTR, GEN SVC-RES</t>
  </si>
  <si>
    <t>R6B</t>
  </si>
  <si>
    <t>C6135</t>
  </si>
  <si>
    <t>C8135</t>
  </si>
  <si>
    <t>C6A135</t>
  </si>
  <si>
    <t>I23135</t>
  </si>
  <si>
    <t>I6135</t>
  </si>
  <si>
    <t>I6A135</t>
  </si>
  <si>
    <t>IR10135</t>
  </si>
  <si>
    <t>R23135</t>
  </si>
  <si>
    <t>R6135</t>
  </si>
  <si>
    <t>6-135</t>
  </si>
  <si>
    <t>23-135</t>
  </si>
  <si>
    <t>PTLD</t>
  </si>
  <si>
    <t>SOLAR</t>
  </si>
  <si>
    <t>6A-135</t>
  </si>
  <si>
    <t>8-135</t>
  </si>
  <si>
    <t>15M</t>
  </si>
  <si>
    <t>10-135</t>
  </si>
  <si>
    <t>12E</t>
  </si>
  <si>
    <t>12F</t>
  </si>
  <si>
    <t>12P</t>
  </si>
  <si>
    <t>Schedule No. 135 - Residential Service - Net Metering</t>
  </si>
  <si>
    <t>Sch1</t>
  </si>
  <si>
    <t>Sch2</t>
  </si>
  <si>
    <t>Sch3</t>
  </si>
  <si>
    <t>TKWF</t>
  </si>
  <si>
    <t>08RNM06135</t>
  </si>
  <si>
    <t>08RGNSV06B</t>
  </si>
  <si>
    <t>SCH 6-135</t>
  </si>
  <si>
    <t>Sch 135</t>
  </si>
  <si>
    <t>Schedule No. 6-135 - Net Metering - Composite</t>
  </si>
  <si>
    <t>Schedule No. 6-135 - Net Metering - Commercial</t>
  </si>
  <si>
    <t>Schedule No. 6-135 - Net Metering - Industrial</t>
  </si>
  <si>
    <t>Schedule No. 6-135 - Net Metering - Residential</t>
  </si>
  <si>
    <t>Schedule No. 6B - Demand Time-of-Day Option - Residential</t>
  </si>
  <si>
    <t>Sch 6A-135</t>
  </si>
  <si>
    <t>Schedule No. 6A-135 - Composite</t>
  </si>
  <si>
    <t>Schedule No. 6A-135 - Commercial</t>
  </si>
  <si>
    <t>Schedule No. 6A-135 - Industrial</t>
  </si>
  <si>
    <t>Schedule No. 6A-135 - Residential</t>
  </si>
  <si>
    <t>FRZN 7000 MV, SELF DIRECT CREDIT</t>
  </si>
  <si>
    <t>Schedule No. 8-135 - Commercial</t>
  </si>
  <si>
    <t>Schedule No. 10-135 - Irrigation</t>
  </si>
  <si>
    <t>FRZN ENERGY ONLY LIGHTING - KWH INPUT ON JSGV</t>
  </si>
  <si>
    <t>INDUCT 80 WATT - ENERGY ONLY</t>
  </si>
  <si>
    <t>LED 25-29 WATT ENERGY ONLY</t>
  </si>
  <si>
    <t>LED 165-169 WATT ENERGY ONLY</t>
  </si>
  <si>
    <t>LED 120-124 WATT - ENERGY ONLY</t>
  </si>
  <si>
    <t>LED 110-114 WATT - ENERGY ONLY</t>
  </si>
  <si>
    <t>INC 202 WATT - ENERGY ONLY</t>
  </si>
  <si>
    <t>LED 135-139 WATT - ENERGY ONLY</t>
  </si>
  <si>
    <t>INDUCT 65 WATT - ENERGY ONLY</t>
  </si>
  <si>
    <t>LED 180-184 WATT - ENERGY ONLY</t>
  </si>
  <si>
    <t>FLOUR 32 WATT - ENERGY ONLY</t>
  </si>
  <si>
    <t>FLOUR 68 WATT - ENERGY ONLY</t>
  </si>
  <si>
    <t>INDUCT 120 WATT - ENERGY ONLY</t>
  </si>
  <si>
    <t>LED 20-24 WATT - ENERGY ONLY</t>
  </si>
  <si>
    <t>LED 140-144 WATT - ENERGY ONLY</t>
  </si>
  <si>
    <t>INDUCT 250 WATT - ENERGY ONLY</t>
  </si>
  <si>
    <t>LED 65-69 WATT - ENERGY ONLY 4167</t>
  </si>
  <si>
    <t>LED 420-424 WATT - ENERGY ONLY 4167</t>
  </si>
  <si>
    <t>LED 95-99 WATT - ENERGY ONLY 4167</t>
  </si>
  <si>
    <t>Sch 23-135</t>
  </si>
  <si>
    <t>Schedule No. 23-135 - Composite</t>
  </si>
  <si>
    <t>Schedule No. 23-135 - Commercial</t>
  </si>
  <si>
    <t>Schedule No. 23-135 - Industrial</t>
  </si>
  <si>
    <t>Schedule No. 23-135 - Residential</t>
  </si>
  <si>
    <t>TKWB-US</t>
  </si>
  <si>
    <t>TKWB-UW</t>
  </si>
  <si>
    <t>TKWB-SS</t>
  </si>
  <si>
    <t>TKWB-SW</t>
  </si>
  <si>
    <t>TKWX-S</t>
  </si>
  <si>
    <t>TKWX-W</t>
  </si>
  <si>
    <t xml:space="preserve">  Monthly Fixed Charge</t>
  </si>
  <si>
    <t xml:space="preserve">  Customer Charge per HLH kW</t>
  </si>
  <si>
    <t xml:space="preserve">  Demand Charge per HLH kW (May - Sept)</t>
  </si>
  <si>
    <t xml:space="preserve">  Demand Charge per HLH kW  (Oct - Apr)</t>
  </si>
  <si>
    <t xml:space="preserve">  kWh HLH (May - Sept)</t>
  </si>
  <si>
    <t xml:space="preserve">  kWh LLH (May - Sept)</t>
  </si>
  <si>
    <t xml:space="preserve">  kWh HLH (Oct - Apr)</t>
  </si>
  <si>
    <t xml:space="preserve">  kWh LLH (Oct - Apr)</t>
  </si>
  <si>
    <t>UTAH Adjustments (MWh)</t>
  </si>
  <si>
    <t>On-Peak Ratio</t>
  </si>
  <si>
    <t>Sch 6-135</t>
  </si>
  <si>
    <t>Sch 8-135</t>
  </si>
  <si>
    <t>Sch 10-135</t>
  </si>
  <si>
    <t>Ratio of Sch135 and Sch1</t>
  </si>
  <si>
    <t>Ratio of Sch135 and Sch23</t>
  </si>
  <si>
    <t>Ratio of Sch135 and Sch10</t>
  </si>
  <si>
    <t>C23135</t>
  </si>
  <si>
    <t xml:space="preserve">  Off-Peak kWh (Oct-Apr)</t>
  </si>
  <si>
    <t>Schedule 6-135</t>
  </si>
  <si>
    <t>Schedule 23-135</t>
  </si>
  <si>
    <t>Schedule 135</t>
  </si>
  <si>
    <t>Schedule 6A-135</t>
  </si>
  <si>
    <t>Schedule 8-135</t>
  </si>
  <si>
    <t>Schedule 10-135</t>
  </si>
  <si>
    <r>
      <t>Booked</t>
    </r>
    <r>
      <rPr>
        <vertAlign val="superscript"/>
        <sz val="12"/>
        <rFont val="Times New Roman"/>
        <family val="1"/>
      </rPr>
      <t>1</t>
    </r>
  </si>
  <si>
    <r>
      <t>Normalization</t>
    </r>
    <r>
      <rPr>
        <vertAlign val="superscript"/>
        <sz val="12"/>
        <rFont val="Times New Roman"/>
        <family val="1"/>
      </rPr>
      <t>2</t>
    </r>
  </si>
  <si>
    <t>Block Ration</t>
  </si>
  <si>
    <t xml:space="preserve">  Light-Emitting Diode (LED)</t>
  </si>
  <si>
    <t xml:space="preserve">   4,000 Lumen - Functional</t>
  </si>
  <si>
    <t xml:space="preserve">   6,200 Lumen - Functional</t>
  </si>
  <si>
    <t xml:space="preserve">   13,000 Lumen - Functional</t>
  </si>
  <si>
    <t xml:space="preserve">   16,800 Lumen - Functional</t>
  </si>
  <si>
    <t>LED 50 WATT - COMPANY OWNED</t>
  </si>
  <si>
    <t>AGA</t>
  </si>
  <si>
    <t>T Revenue</t>
  </si>
  <si>
    <t>T kWh</t>
  </si>
  <si>
    <t>T Avg Billing Count</t>
  </si>
  <si>
    <t>08CFR00051-MTH FAC SRVCHG</t>
  </si>
  <si>
    <t>08CFR00052-ANN FAC SVCCHG</t>
  </si>
  <si>
    <t>08GNSV0006-GEN SRVC-DISTR</t>
  </si>
  <si>
    <t>08GNSV0009-GEN SRVC-HI VO</t>
  </si>
  <si>
    <t>08GNSV0023-GEN SRVC-DISTR</t>
  </si>
  <si>
    <t>08GNSV006A-GEN SRVC-ENERG</t>
  </si>
  <si>
    <t>08GNSV006B-GEN SRVC-DEM&amp;</t>
  </si>
  <si>
    <t>08GNSV006M-MNL DIST VOLTG</t>
  </si>
  <si>
    <t>08GNSV009A-GEN SRVC HI VO</t>
  </si>
  <si>
    <t>08GNSV009M-MANL HIGH VOLT</t>
  </si>
  <si>
    <t>08GNSV023F-GEN SRVC FIXED</t>
  </si>
  <si>
    <t>08GNSV023M-GNSV DIST VOLT</t>
  </si>
  <si>
    <t>08GNSV06AM-MNL ENERGY TOD</t>
  </si>
  <si>
    <t>08GNSV06MN-GNSV DIST VOLT</t>
  </si>
  <si>
    <t>08LNX00002-MTHLY 80% GUAR</t>
  </si>
  <si>
    <t>08LNX00004-ANNUAL 80%GUAR</t>
  </si>
  <si>
    <t>08LNX00006-FIXD MTHLY MIN</t>
  </si>
  <si>
    <t>08LNX00014-80% MIN MNTHLY</t>
  </si>
  <si>
    <t>08LNX00017-ADV/REF&amp;80%ANN</t>
  </si>
  <si>
    <t>08LNX00158-ANNUALCOST MTH</t>
  </si>
  <si>
    <t>08OALT007N-SECURITY AR LG</t>
  </si>
  <si>
    <t>08POLE0075-POLES W/LIGHT</t>
  </si>
  <si>
    <t>08PRSV031M-BKUP MNT&amp;SUPPL</t>
  </si>
  <si>
    <t>08PTLD000N-POST TOP LIGHT</t>
  </si>
  <si>
    <t>08SSLR0006-GENERAL SVC SUBSCR SOLAR</t>
  </si>
  <si>
    <t>08SSLR0023-SMALL GEN SVC SUBSCR SOLAR</t>
  </si>
  <si>
    <t>08SSLR006A-GEN SVC TOU SUBSCR SOLAR</t>
  </si>
  <si>
    <t>CUSTOMER COUNT - REGULAR</t>
  </si>
  <si>
    <t>UNBILLED REVENUE</t>
  </si>
  <si>
    <t>08EFOP0021-ELEC FURNACE O</t>
  </si>
  <si>
    <t>08EFOP021M-ELEC FURNACE O</t>
  </si>
  <si>
    <t>08SPCL0001</t>
  </si>
  <si>
    <t>08SPCL0002</t>
  </si>
  <si>
    <t>08SPCL0003</t>
  </si>
  <si>
    <t>08APSV0010-IRR &amp; SOIL DRA</t>
  </si>
  <si>
    <t>08NMT010NS-IRR &amp; SOIL DRAIN NON SEASONAL</t>
  </si>
  <si>
    <t>CUSTOMER CNT - IRRIGATION</t>
  </si>
  <si>
    <t>UNBILLED REV - IRRIGATION</t>
  </si>
  <si>
    <t>08CFR00012-STR LGTS (CONV</t>
  </si>
  <si>
    <t>08CFR00062-STREET LIGHTS</t>
  </si>
  <si>
    <t>08SLCO0011-STR LGT CO-OWN</t>
  </si>
  <si>
    <t>08BLSKY01R-BLUESKY ENERGY</t>
  </si>
  <si>
    <t>08CFR00001-MTH FACILITY S</t>
  </si>
  <si>
    <t>08CHCK000R-UT RES CHECK M</t>
  </si>
  <si>
    <t>08LNX00001-MTHLY 80% GUAR</t>
  </si>
  <si>
    <t>08LNX00005-MTHLY MIN GUAR</t>
  </si>
  <si>
    <t>08LNX00013-80% MNTHLY MIN</t>
  </si>
  <si>
    <t>08LNX00108-ANN COST MTHLY</t>
  </si>
  <si>
    <t>08NMT03135-LOW INCOME RES NET METERING</t>
  </si>
  <si>
    <t>08OALT007R-SECURITY AR LG</t>
  </si>
  <si>
    <t>08PTLD000R-POST TOP LIGHT</t>
  </si>
  <si>
    <t>08RESD0001-RES SRVC</t>
  </si>
  <si>
    <t>08RESD0002-RES SRVC-OPTIO</t>
  </si>
  <si>
    <t>08RESD0003-LIFELINE PRGRM</t>
  </si>
  <si>
    <t>08RESD002E-RES ELCTRC VEHICLE TOU PILOT</t>
  </si>
  <si>
    <t>08SSLR0001 - RESIDENTIAL SUBSCRB SOLAR</t>
  </si>
  <si>
    <t>08SSLR0003-RES LOW INC SUBSCR SOLAR</t>
  </si>
  <si>
    <t>08SSLRRG23-RES SMALL GEN SV SUBSCR SOLAR</t>
  </si>
  <si>
    <t>08UPPL000R-BASE SCH FALL</t>
  </si>
  <si>
    <t>2E</t>
  </si>
  <si>
    <t>CPTLD</t>
  </si>
  <si>
    <t>RPTLD</t>
  </si>
  <si>
    <t>R2E</t>
  </si>
  <si>
    <t>Schedule 2E</t>
  </si>
  <si>
    <t>ACTUAL BILLS</t>
  </si>
  <si>
    <t>YrMo</t>
  </si>
  <si>
    <t>Base (Firm)</t>
  </si>
  <si>
    <t>Non-Firm (Adders)</t>
  </si>
  <si>
    <t>Mo Bill Total</t>
  </si>
  <si>
    <t>On-Peak</t>
  </si>
  <si>
    <t>Off-Peak</t>
  </si>
  <si>
    <t>(Total Base Rev</t>
  </si>
  <si>
    <t>EBA</t>
  </si>
  <si>
    <t>STEP</t>
  </si>
  <si>
    <t>HELP</t>
  </si>
  <si>
    <t>+</t>
  </si>
  <si>
    <t>Total Rev</t>
  </si>
  <si>
    <t>Rate</t>
  </si>
  <si>
    <t>Charge</t>
  </si>
  <si>
    <t>Non-Firm)</t>
  </si>
  <si>
    <t>Non-Firm</t>
  </si>
  <si>
    <t>Fixed</t>
  </si>
  <si>
    <t>Energy Charge</t>
  </si>
  <si>
    <t>RBA</t>
  </si>
  <si>
    <t>HLH kW</t>
  </si>
  <si>
    <t>HLH kWh</t>
  </si>
  <si>
    <t>LLH kWh</t>
  </si>
  <si>
    <t>Block 1 Base</t>
  </si>
  <si>
    <t>Block 2 Market Purchases</t>
  </si>
  <si>
    <t>Block 2 Index Purchases</t>
  </si>
  <si>
    <t>Block 1 Non-Generation</t>
  </si>
  <si>
    <t>QF</t>
  </si>
  <si>
    <t>Purchase</t>
  </si>
  <si>
    <t>TSWH</t>
  </si>
  <si>
    <t>TKWH-O1ON</t>
  </si>
  <si>
    <t>TKWH-O1OFF</t>
  </si>
  <si>
    <t>TKWH-O2ON</t>
  </si>
  <si>
    <t>TKWH-O2OFF</t>
  </si>
  <si>
    <t>Subscriber Solar kWh</t>
  </si>
  <si>
    <t xml:space="preserve">  Subscriber Solar kWh</t>
  </si>
  <si>
    <t>Schedule No. 2E - Electric Vehicle Time-of-Use Pilot Option</t>
  </si>
  <si>
    <t>Rate Option 1</t>
  </si>
  <si>
    <t>Rate Option 2</t>
  </si>
  <si>
    <t>08SSLR0006</t>
  </si>
  <si>
    <t>08SSLR0023</t>
  </si>
  <si>
    <t>08SSLR006A</t>
  </si>
  <si>
    <t>08NMT010NS</t>
  </si>
  <si>
    <t>08SSLRRG23</t>
  </si>
  <si>
    <t>LED 135 WATT - COMPANY OWNED</t>
  </si>
  <si>
    <t>LED 75 WATT - COMPANY OWNED</t>
  </si>
  <si>
    <t>LED 185 WATT - COMPANY OWNED</t>
  </si>
  <si>
    <t>LED 75-79 WATT - ENERGY ONLY</t>
  </si>
  <si>
    <t>LED 200-204 WATT ENERGY ONLY 4167</t>
  </si>
  <si>
    <t>LED 195-199 WATT ENERGY ONLY 4167</t>
  </si>
  <si>
    <t>LED 175-179 WATT - ENERGY ONLY 4167</t>
  </si>
  <si>
    <t>Block 1</t>
  </si>
  <si>
    <t>Block 2 - Market</t>
  </si>
  <si>
    <t>Block 2 - Index</t>
  </si>
  <si>
    <t>pass-through</t>
  </si>
  <si>
    <t>com</t>
  </si>
  <si>
    <t>ind</t>
  </si>
  <si>
    <t>305 Report- SSLR23</t>
  </si>
  <si>
    <t>305 Report-SSLR</t>
  </si>
  <si>
    <t>res</t>
  </si>
  <si>
    <t>08ABTCLXGN-LINE EXT 80% CONTRACT MIN</t>
  </si>
  <si>
    <t>08CGM23136-UTAH NET METER SM GEN SVC</t>
  </si>
  <si>
    <t>08CGN06136-UT GEN SVC TRANSITION GEN</t>
  </si>
  <si>
    <t>08CGN08136-UT NET MTR GEN SVC &gt; 1000 KW</t>
  </si>
  <si>
    <t>08CGN23136-UTAH NET METER SMALL GEN SVC</t>
  </si>
  <si>
    <t>08TCVLNXGN-TCV LNX - 80% GAR - NON RES</t>
  </si>
  <si>
    <t>08TCVLXACN-GAR ADDED CAPACITY NON RES</t>
  </si>
  <si>
    <t>INCOME TAX DEFERRAL ADJUSTMENTS</t>
  </si>
  <si>
    <t>08CGENR136-UT RES TRANSITION GENERATION</t>
  </si>
  <si>
    <t>08CGR01136-UTAH RESIDENTIAL TRANS GEN</t>
  </si>
  <si>
    <t>08CGR02136-UT RES TOU TRANSITION GEN</t>
  </si>
  <si>
    <t>08CGR03136-UTAH LOW INC RES TRANS GEN</t>
  </si>
  <si>
    <t>08CGR23136-RESIDENTIAL SMALL GEN SVC</t>
  </si>
  <si>
    <t>08RCG23136-RES NET METER, SMALL GEN SVC</t>
  </si>
  <si>
    <t>08RGNSV008-UT RESIDENTIAL GENERAL SVC</t>
  </si>
  <si>
    <t>08RNM6A135-RES GEN SVC NET METERING</t>
  </si>
  <si>
    <t>I6B</t>
  </si>
  <si>
    <t>IRREVDEF</t>
  </si>
  <si>
    <t>PTAX</t>
  </si>
  <si>
    <t>PREVDEF</t>
  </si>
  <si>
    <t>R136</t>
  </si>
  <si>
    <t>R23136</t>
  </si>
  <si>
    <t>R8</t>
  </si>
  <si>
    <t>R6A135</t>
  </si>
  <si>
    <t>RTAX</t>
  </si>
  <si>
    <t>C23136</t>
  </si>
  <si>
    <t>C6136</t>
  </si>
  <si>
    <t>C8136</t>
  </si>
  <si>
    <t>CTAX</t>
  </si>
  <si>
    <t>ITAX</t>
  </si>
  <si>
    <t>IRTAX</t>
  </si>
  <si>
    <t>23-136</t>
  </si>
  <si>
    <t>6-136</t>
  </si>
  <si>
    <t>8-136</t>
  </si>
  <si>
    <t>Schedule 136</t>
  </si>
  <si>
    <t>Schedule 23-136</t>
  </si>
  <si>
    <t>Schedule 6-136</t>
  </si>
  <si>
    <t>Schedule 8-136</t>
  </si>
  <si>
    <t>TSWH-NWH</t>
  </si>
  <si>
    <t>TNWH</t>
  </si>
  <si>
    <t>TNWH-S</t>
  </si>
  <si>
    <t>TNWH-W</t>
  </si>
  <si>
    <t>TTAA</t>
  </si>
  <si>
    <t>08CGM06136</t>
  </si>
  <si>
    <t>08CGN06136</t>
  </si>
  <si>
    <t>SCH 6-136</t>
  </si>
  <si>
    <t>RateCode</t>
  </si>
  <si>
    <t>I6136</t>
  </si>
  <si>
    <t>R6136</t>
  </si>
  <si>
    <t>Sch 136</t>
  </si>
  <si>
    <t>Sch 23-136</t>
  </si>
  <si>
    <t>Ratio Sch135/Sch6</t>
  </si>
  <si>
    <t>Ratio Sch136/Sch6</t>
  </si>
  <si>
    <t xml:space="preserve">  Aggregate Charge</t>
  </si>
  <si>
    <t>Sch 6-136</t>
  </si>
  <si>
    <t>Schedule No. 6-136 - Net Metering - Commercial</t>
  </si>
  <si>
    <t>Check kWh</t>
  </si>
  <si>
    <t xml:space="preserve">  TAA</t>
  </si>
  <si>
    <t>TAA</t>
  </si>
  <si>
    <t>TNWH-SOFF</t>
  </si>
  <si>
    <t>TNWH-WON</t>
  </si>
  <si>
    <t>TNWH-WOFF</t>
  </si>
  <si>
    <t>08RNM6A135</t>
  </si>
  <si>
    <t>C6A-135</t>
  </si>
  <si>
    <t>I6A-135</t>
  </si>
  <si>
    <t>R6A-135</t>
  </si>
  <si>
    <t>08RGNSV008</t>
  </si>
  <si>
    <t xml:space="preserve">  Power Charge All kW</t>
  </si>
  <si>
    <t>Check</t>
  </si>
  <si>
    <t>Invoicing Schedule Struc Cd</t>
  </si>
  <si>
    <t>FRZN 20000 MV, SELF DIRECT CREDIT</t>
  </si>
  <si>
    <t>FRZN 9500 HPSV, NO COMPANY-OWNED POLE, SELF DIRECT CREDIT</t>
  </si>
  <si>
    <t>FRZN SV 250 WATT, POLE, SELF DIRECT</t>
  </si>
  <si>
    <t>TTAA-305</t>
  </si>
  <si>
    <t>LED 400-404 WATT ENERGY ONLY 4167</t>
  </si>
  <si>
    <t>LED 15-19 WATT - ENERGY ONLY 4167</t>
  </si>
  <si>
    <t>LED 185-189 WATT - ENERGY ONLY 4167</t>
  </si>
  <si>
    <t>LED 380-384 WATT - ENERGY ONLY 4167</t>
  </si>
  <si>
    <t>TNWH-S1</t>
  </si>
  <si>
    <t>TNWH-S2</t>
  </si>
  <si>
    <t>TNWH-W1</t>
  </si>
  <si>
    <t>TNWH-W2</t>
  </si>
  <si>
    <t>08CGM23136</t>
  </si>
  <si>
    <t>08CGN23136</t>
  </si>
  <si>
    <t>08CGR23136</t>
  </si>
  <si>
    <t>08RCG23136</t>
  </si>
  <si>
    <t>C135</t>
  </si>
  <si>
    <t>I135</t>
  </si>
  <si>
    <t>C136</t>
  </si>
  <si>
    <t>I136</t>
  </si>
  <si>
    <t>08CGR01136</t>
  </si>
  <si>
    <t>08CGR02136</t>
  </si>
  <si>
    <t>08CGR03136</t>
  </si>
  <si>
    <t>08NETMT135</t>
  </si>
  <si>
    <t>08NMT03135</t>
  </si>
  <si>
    <t>08RESD0001</t>
  </si>
  <si>
    <t>08RESD0002</t>
  </si>
  <si>
    <t>08RESD0003</t>
  </si>
  <si>
    <t>08RESD002E</t>
  </si>
  <si>
    <t>08SSLR0001</t>
  </si>
  <si>
    <t>08SSLR0003</t>
  </si>
  <si>
    <t>INVOICING_SCHEDULE_STRUC_CD</t>
  </si>
  <si>
    <t>TNWH-S3</t>
  </si>
  <si>
    <t>08CGENR136</t>
  </si>
  <si>
    <t>ResiFinal1 &lt; 30000000000000</t>
  </si>
  <si>
    <t>ResiFinal2 30000000000000-60000000000000</t>
  </si>
  <si>
    <t>ResiFinal3 &gt; 60000000000000</t>
  </si>
  <si>
    <t>Schedule No. 136 - Residential Service - Net Metering</t>
  </si>
  <si>
    <t>Schedule No. 23-136 - Composite</t>
  </si>
  <si>
    <t>Schedule No. 23-136 - Commercial</t>
  </si>
  <si>
    <t>Schedule No. 23-136 - Residential</t>
  </si>
  <si>
    <t>unbilled</t>
  </si>
  <si>
    <t>blocking</t>
  </si>
  <si>
    <t>diff</t>
  </si>
  <si>
    <t>TBILL-MIN</t>
  </si>
  <si>
    <t xml:space="preserve">  Minimum Charge</t>
  </si>
  <si>
    <t>TBILL-SMIN</t>
  </si>
  <si>
    <t>TBILL-NSM</t>
  </si>
  <si>
    <t xml:space="preserve">  Non-Standard Meter Reading Fee</t>
  </si>
  <si>
    <t>Sch136</t>
  </si>
  <si>
    <t>Non-Firm (Pass Thru)</t>
  </si>
  <si>
    <t>Ck</t>
  </si>
  <si>
    <t xml:space="preserve">    </t>
  </si>
  <si>
    <r>
      <t xml:space="preserve">1 </t>
    </r>
    <r>
      <rPr>
        <sz val="12"/>
        <rFont val="Times New Roman"/>
        <family val="1"/>
      </rPr>
      <t xml:space="preserve"> Includes out of period adjustments made due to one month lag between actual bills and revenue system and normalization of Contract 2's buy-through revenues and kWhs.</t>
    </r>
  </si>
  <si>
    <t>pass-through kWh</t>
  </si>
  <si>
    <t>Annualized</t>
  </si>
  <si>
    <t>Sch 197</t>
  </si>
  <si>
    <t>1/1/2019</t>
  </si>
  <si>
    <t>Rev diff</t>
  </si>
  <si>
    <t>kWh diff</t>
  </si>
  <si>
    <t>305 kWh</t>
  </si>
  <si>
    <t>305 Rev</t>
  </si>
  <si>
    <t>kWh Diff</t>
  </si>
  <si>
    <t>Commercial &amp; Industrial</t>
  </si>
  <si>
    <t xml:space="preserve">  Subscriber Solar kWh Adj</t>
  </si>
  <si>
    <t>D + E</t>
  </si>
  <si>
    <r>
      <t>1</t>
    </r>
    <r>
      <rPr>
        <sz val="12"/>
        <color indexed="8"/>
        <rFont val="Times New Roman"/>
        <family val="1"/>
      </rPr>
      <t xml:space="preserve"> All revenues are as booked in the Company's revenue report system.</t>
    </r>
  </si>
  <si>
    <r>
      <t>2</t>
    </r>
    <r>
      <rPr>
        <sz val="12"/>
        <rFont val="Times New Roman"/>
        <family val="1"/>
      </rPr>
      <t xml:space="preserve"> Includes removal of REVENUE ADJUSTMENT - DEFERRED NPC, REVENUE_ACCOUNTING ADJUSTMENTS, INCOME TAX ADJUSTMENT,</t>
    </r>
  </si>
  <si>
    <t xml:space="preserve">  REVENUE ADJ PROPERTY INSUR, DSM REVENUE, BLUE SKY REVENUE, SOLAR FEED-IN REVENUE, buy-through, and out of period adjustments.</t>
  </si>
  <si>
    <r>
      <t xml:space="preserve">3 </t>
    </r>
    <r>
      <rPr>
        <sz val="12"/>
        <color indexed="8"/>
        <rFont val="Times New Roman"/>
        <family val="1"/>
      </rPr>
      <t>Type 2 adjustment includes price change annualization, and adjustment made to reconcile booked revenue with billing determinants revenue.</t>
    </r>
  </si>
  <si>
    <t>UTAH ENERGY</t>
  </si>
  <si>
    <t>Energy by Class and Schedule</t>
  </si>
  <si>
    <t>Residential Inactive</t>
  </si>
  <si>
    <t>Net Metering 135</t>
  </si>
  <si>
    <t>Net Metering 136</t>
  </si>
  <si>
    <t>Net Metering 3</t>
  </si>
  <si>
    <t>Net Metering 6</t>
  </si>
  <si>
    <t>Net Metering 6A</t>
  </si>
  <si>
    <t>Net Metering 23</t>
  </si>
  <si>
    <t>Transition Program 1</t>
  </si>
  <si>
    <t>Transition Program 2</t>
  </si>
  <si>
    <t>Transition Program 3</t>
  </si>
  <si>
    <t>Transition Program 23</t>
  </si>
  <si>
    <t>Residential for % Weights</t>
  </si>
  <si>
    <t>Schedule 15F</t>
  </si>
  <si>
    <t>Schedule 15-MONL</t>
  </si>
  <si>
    <t>Schedule 32</t>
  </si>
  <si>
    <t>Schedule 34</t>
  </si>
  <si>
    <t>Net Metering 8</t>
  </si>
  <si>
    <t xml:space="preserve">Transition Program 6 </t>
  </si>
  <si>
    <t>Commercial for % Weights</t>
  </si>
  <si>
    <t>Special 5 and 11 (inactive)</t>
  </si>
  <si>
    <t>Special Contracts</t>
  </si>
  <si>
    <t>Industrial for % Weights</t>
  </si>
  <si>
    <t>Net Metering 10</t>
  </si>
  <si>
    <t>Lighting</t>
  </si>
  <si>
    <t>Lighting Inactive</t>
  </si>
  <si>
    <t>Total Lighting</t>
  </si>
  <si>
    <t>Lighting for % Weights</t>
  </si>
  <si>
    <t>Schedule 31M</t>
  </si>
  <si>
    <t>PA Inactive</t>
  </si>
  <si>
    <t>Total PA</t>
  </si>
  <si>
    <t>Public Authority for % Weights</t>
  </si>
  <si>
    <t>Public Authority (closed)</t>
  </si>
  <si>
    <t>UTAH BILLS</t>
  </si>
  <si>
    <t>Bills by Class and Schedule</t>
  </si>
  <si>
    <t>Total Public Authority</t>
  </si>
  <si>
    <t xml:space="preserve">  First 400 kWh (Oct-Apr)</t>
  </si>
  <si>
    <t xml:space="preserve">  All add'l kWh (Oct-Apr)</t>
  </si>
  <si>
    <t xml:space="preserve">  kWh (May-Sept)</t>
  </si>
  <si>
    <t xml:space="preserve">  kWh (Oct-Apr)</t>
  </si>
  <si>
    <t>TOTAL RATE 10-135</t>
  </si>
  <si>
    <t>Units</t>
  </si>
  <si>
    <t>Base</t>
  </si>
  <si>
    <t>Proposed</t>
  </si>
  <si>
    <t>No. of</t>
  </si>
  <si>
    <t xml:space="preserve">Avg </t>
  </si>
  <si>
    <t>(%)</t>
  </si>
  <si>
    <t>¢/kWh</t>
  </si>
  <si>
    <t>Subtotal Schedule 8</t>
  </si>
  <si>
    <t>Subtotal Schedule 23</t>
  </si>
  <si>
    <t>Res. NM Transition</t>
  </si>
  <si>
    <t>Res. Electric Vehicle TOD</t>
  </si>
  <si>
    <t>Res. NM</t>
  </si>
  <si>
    <t>Res. Optional TOD</t>
  </si>
  <si>
    <t>Gen. Svc. Dist.</t>
  </si>
  <si>
    <t>Gen. Svc. Dist. NM</t>
  </si>
  <si>
    <t>Gen. Svc. Dist. NM Transition</t>
  </si>
  <si>
    <t>Gen. Svc. Dist. Energy TOD</t>
  </si>
  <si>
    <t>Gen. Svc. Dist. Energy TOD NM</t>
  </si>
  <si>
    <t>Gen. Svc. Dist. Demand TOD</t>
  </si>
  <si>
    <t>Gen. Svc. Dist. &gt; 1,000 kW</t>
  </si>
  <si>
    <t>Gen. Svc. Dist. &gt; 1,000 kW NM</t>
  </si>
  <si>
    <t>Gen. Svc. High Voltage</t>
  </si>
  <si>
    <t>Irrigation NM</t>
  </si>
  <si>
    <t>Irrigation TOD</t>
  </si>
  <si>
    <t>Gen. Svc. Dist. Small</t>
  </si>
  <si>
    <t>Gen. Svc. Dist. Small NM</t>
  </si>
  <si>
    <t>Gen. Svc. Dist. Small NM Transition</t>
  </si>
  <si>
    <t>Partial Req. Svc. &gt;= 1,000 kW</t>
  </si>
  <si>
    <t>Total Commercial &amp; Industrial</t>
  </si>
  <si>
    <t>Res. Low Income</t>
  </si>
  <si>
    <t>Gen. Svc. H.V. Energy TOD</t>
  </si>
  <si>
    <t>Security AR LG-Contracts (PTL)</t>
  </si>
  <si>
    <t>($000)</t>
  </si>
  <si>
    <t>Monthly Average</t>
  </si>
  <si>
    <t>$</t>
  </si>
  <si>
    <t>No. of Customer</t>
  </si>
  <si>
    <t>Type 3</t>
  </si>
  <si>
    <t>Forecast Impact</t>
  </si>
  <si>
    <t>Impact</t>
  </si>
  <si>
    <t>Average Customer</t>
  </si>
  <si>
    <r>
      <t>Type 2 Adjustment</t>
    </r>
    <r>
      <rPr>
        <vertAlign val="superscript"/>
        <sz val="12"/>
        <color indexed="8"/>
        <rFont val="Times New Roman"/>
        <family val="1"/>
      </rPr>
      <t>3</t>
    </r>
  </si>
  <si>
    <r>
      <t>Adjustment</t>
    </r>
    <r>
      <rPr>
        <vertAlign val="superscript"/>
        <sz val="12"/>
        <color indexed="8"/>
        <rFont val="Times New Roman"/>
        <family val="1"/>
      </rPr>
      <t>2</t>
    </r>
  </si>
  <si>
    <r>
      <t>Adjustment</t>
    </r>
    <r>
      <rPr>
        <vertAlign val="superscript"/>
        <sz val="12"/>
        <color indexed="8"/>
        <rFont val="Times New Roman"/>
        <family val="1"/>
      </rPr>
      <t>3</t>
    </r>
  </si>
  <si>
    <r>
      <t>Adjustment</t>
    </r>
    <r>
      <rPr>
        <vertAlign val="superscript"/>
        <sz val="12"/>
        <color indexed="8"/>
        <rFont val="Times New Roman"/>
        <family val="1"/>
      </rPr>
      <t>4</t>
    </r>
  </si>
  <si>
    <t>Type 1 Adjustment</t>
  </si>
  <si>
    <r>
      <t>Type 2 Adjustment</t>
    </r>
    <r>
      <rPr>
        <vertAlign val="superscript"/>
        <sz val="12"/>
        <rFont val="Times New Roman"/>
        <family val="1"/>
      </rPr>
      <t>3</t>
    </r>
  </si>
  <si>
    <r>
      <t>Type 3 Adjustment</t>
    </r>
    <r>
      <rPr>
        <vertAlign val="superscript"/>
        <sz val="12"/>
        <rFont val="Times New Roman"/>
        <family val="1"/>
      </rPr>
      <t>4</t>
    </r>
  </si>
  <si>
    <t>INCOME TAX DEFERRAL</t>
  </si>
  <si>
    <r>
      <t>2</t>
    </r>
    <r>
      <rPr>
        <sz val="12"/>
        <rFont val="Times New Roman"/>
        <family val="1"/>
      </rPr>
      <t xml:space="preserve"> Includes removal of REVENUE ADJUSTMENT - DEFERRED NPC, REVENUE_ACCOUNTING ADJUSTMENTS, INCOME TAX DEFERRAL ADJUSTMENTS,</t>
    </r>
  </si>
  <si>
    <r>
      <t xml:space="preserve">4 </t>
    </r>
    <r>
      <rPr>
        <sz val="12"/>
        <color indexed="8"/>
        <rFont val="Times New Roman"/>
        <family val="1"/>
      </rPr>
      <t>Type 3 adjustment reflects the difference between the normalized actual and forecast.</t>
    </r>
  </si>
  <si>
    <r>
      <t>Type 3 Adjustment</t>
    </r>
    <r>
      <rPr>
        <vertAlign val="superscript"/>
        <sz val="12"/>
        <color indexed="8"/>
        <rFont val="Times New Roman"/>
        <family val="1"/>
      </rPr>
      <t>4</t>
    </r>
  </si>
  <si>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 xml:space="preserve"> Type 2 adjustment reflects the differences between developed billing determinants and actual bills and price change annualization.</t>
    </r>
  </si>
  <si>
    <r>
      <t xml:space="preserve">4  </t>
    </r>
    <r>
      <rPr>
        <sz val="12"/>
        <color indexed="8"/>
        <rFont val="Times New Roman"/>
        <family val="1"/>
      </rPr>
      <t>Type 3 adjustment reflects the difference between the normalized actual and forecast.</t>
    </r>
  </si>
  <si>
    <r>
      <t>1</t>
    </r>
    <r>
      <rPr>
        <sz val="12"/>
        <color indexed="8"/>
        <rFont val="Times New Roman"/>
        <family val="1"/>
      </rPr>
      <t xml:space="preserve"> Number of customers and kWh are as booked in the Company's revenue report system.</t>
    </r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</si>
  <si>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Type 1 adjustment on kWh includes weather normalization, special contract buy-through kWh and out of period adjustment.</t>
    </r>
  </si>
  <si>
    <t xml:space="preserve">  Type 1 adjustment on revenue includes removal of REVENUE ADJUSTMENT - DEFERRED NPC, REVENUE_ACCOUNTING ADJUSTMENTS, INCOME TAX DEFERRAL ADJUSTMENTS,</t>
  </si>
  <si>
    <r>
      <t>Type 1 Adjustment</t>
    </r>
    <r>
      <rPr>
        <vertAlign val="superscript"/>
        <sz val="12"/>
        <color indexed="8"/>
        <rFont val="Times New Roman"/>
        <family val="1"/>
      </rPr>
      <t>2</t>
    </r>
  </si>
  <si>
    <t>Total Type 1</t>
  </si>
  <si>
    <t>Type 2 Adjustment</t>
  </si>
  <si>
    <t>Type 3 Adjustment</t>
  </si>
  <si>
    <t>G + H</t>
  </si>
  <si>
    <t>Adjusted Actual</t>
  </si>
  <si>
    <r>
      <t>3</t>
    </r>
    <r>
      <rPr>
        <sz val="12"/>
        <color indexed="8"/>
        <rFont val="Times New Roman"/>
        <family val="1"/>
      </rPr>
      <t xml:space="preserve"> Type 2 adjustment includes price change annualization, and adjustment made to reconcile booked revenue with billing determinants revenue.</t>
    </r>
  </si>
  <si>
    <t>A+B</t>
  </si>
  <si>
    <t>C+D</t>
  </si>
  <si>
    <t>E+F</t>
  </si>
  <si>
    <r>
      <t>MWh</t>
    </r>
    <r>
      <rPr>
        <vertAlign val="superscript"/>
        <sz val="12"/>
        <color indexed="8"/>
        <rFont val="Times New Roman"/>
        <family val="1"/>
      </rPr>
      <t>1</t>
    </r>
  </si>
  <si>
    <r>
      <t>MWh</t>
    </r>
    <r>
      <rPr>
        <vertAlign val="superscript"/>
        <sz val="12"/>
        <color indexed="8"/>
        <rFont val="Times New Roman"/>
        <family val="1"/>
      </rPr>
      <t>2</t>
    </r>
  </si>
  <si>
    <r>
      <t>MWh</t>
    </r>
    <r>
      <rPr>
        <vertAlign val="superscript"/>
        <sz val="12"/>
        <color indexed="8"/>
        <rFont val="Times New Roman"/>
        <family val="1"/>
      </rPr>
      <t>3</t>
    </r>
  </si>
  <si>
    <t>Customer Charges:</t>
  </si>
  <si>
    <t xml:space="preserve">    Distribution Voltage &lt; 1 MW </t>
  </si>
  <si>
    <t xml:space="preserve">    Distribution Voltage &gt; 1 MW </t>
  </si>
  <si>
    <t xml:space="preserve">    Transmission Voltage </t>
  </si>
  <si>
    <t>Administrative Fee:</t>
  </si>
  <si>
    <t xml:space="preserve">    All Voltages / per Generator</t>
  </si>
  <si>
    <t xml:space="preserve">    All Voltages / per Delivery Point</t>
  </si>
  <si>
    <t>Delivery Facilities Charges:</t>
  </si>
  <si>
    <t xml:space="preserve">    Secondary Voltage &lt; 1 MW </t>
  </si>
  <si>
    <t xml:space="preserve">    Primary Voltage &lt; 1 MW </t>
  </si>
  <si>
    <t xml:space="preserve">    Secondary Voltage &gt; 1 MW </t>
  </si>
  <si>
    <t xml:space="preserve">    Primary Voltage &gt; 1 MW </t>
  </si>
  <si>
    <t>Daily Power Charges:</t>
  </si>
  <si>
    <t xml:space="preserve">    On-Peak Secondary Voltage &lt; 1 MW</t>
  </si>
  <si>
    <t xml:space="preserve">        May - September: </t>
  </si>
  <si>
    <t xml:space="preserve">        October - April: </t>
  </si>
  <si>
    <t xml:space="preserve">    On-Peak Primary Voltage &lt; 1 MW</t>
  </si>
  <si>
    <t xml:space="preserve">    On-Peak Secondary Voltage &gt; 1 MW</t>
  </si>
  <si>
    <t xml:space="preserve">    On-Peak Primary Voltage &gt; 1 MW</t>
  </si>
  <si>
    <t xml:space="preserve">    On-Peak Transmission Voltage</t>
  </si>
  <si>
    <t xml:space="preserve">        October - April:</t>
  </si>
  <si>
    <t>Renewable Energy PPA</t>
  </si>
  <si>
    <t>Global Assumptions</t>
  </si>
  <si>
    <t>PPA (Levelized)</t>
  </si>
  <si>
    <t>Retail Revenue</t>
  </si>
  <si>
    <t>Peak Impacts</t>
  </si>
  <si>
    <t>Facebook Buildout Cycle</t>
  </si>
  <si>
    <t>1- Assumes a newly constructed building every 18 months.</t>
  </si>
  <si>
    <t xml:space="preserve">FB reports that they will be constructing a building every 12 months.  </t>
  </si>
  <si>
    <t xml:space="preserve">Currently at the Prineville location, they have been constructing at ~24 months per building.  </t>
  </si>
  <si>
    <t>2- Assumes 6 buildings of construction in phase 1 with a ten year construction phase</t>
  </si>
  <si>
    <t xml:space="preserve">3- The forecast does not contemplate usage related to site construstion power; uncertain, intermitent, and immaterial. </t>
  </si>
  <si>
    <t xml:space="preserve">RMP will construct a new distribution line for site construction power.  It is possible that some building commissioning may take place on this distribution line.  </t>
  </si>
  <si>
    <t>FB will be construct a substation for permanent power during this first year and once building #1 and their substation is ready they will transition from construction power to permanent power that will be fed from their substation.  Each building thereafter will follow a similar pattern.</t>
  </si>
  <si>
    <t xml:space="preserve">4- The pattern of the monthly usage was taken directly from the Prineville facility monthly usage.  </t>
  </si>
  <si>
    <t>Item</t>
  </si>
  <si>
    <t>Load Factor</t>
  </si>
  <si>
    <t>Company Supply Sales (MWh)</t>
  </si>
  <si>
    <t>Renewable Supply Sales (&lt;=122 MWh)</t>
  </si>
  <si>
    <t>Renewable Supply Sales (&gt;122 MWh)</t>
  </si>
  <si>
    <t>Exported Energy (kWh)</t>
  </si>
  <si>
    <t>Company Supply Revenue ($)</t>
  </si>
  <si>
    <t>Renewable Supply Revenue ($)</t>
  </si>
  <si>
    <t>Exported Energy Revenue ($)</t>
  </si>
  <si>
    <t>Total Revenue ($)</t>
  </si>
  <si>
    <t>YEARMONTH</t>
  </si>
  <si>
    <t>CONCAT_AGREEMENT_NUMBER</t>
  </si>
  <si>
    <t>201901</t>
  </si>
  <si>
    <t>201902</t>
  </si>
  <si>
    <t>201903</t>
  </si>
  <si>
    <t>201904</t>
  </si>
  <si>
    <t>201905</t>
  </si>
  <si>
    <t>201906</t>
  </si>
  <si>
    <t>Schedule 34 - Renewable Energy Purchases for Qualified Customers – 5,000 kW and Over - Commercial</t>
  </si>
  <si>
    <t>Schedule 32 - Service From Renewable Energy Facilities - Commercial</t>
  </si>
  <si>
    <t>Ren. Ene. Pur. for Qlf. Cust &gt; 5,000 kW</t>
  </si>
  <si>
    <t>Svc. From Ren. Ene. Facilities</t>
  </si>
  <si>
    <t>08ABTVCLGN-ABL TCV LNX GAR NON RES</t>
  </si>
  <si>
    <t>08CGM06136-UT NET METERING GENERAL SVC</t>
  </si>
  <si>
    <t>08CGN6A136-UT GEN SVC TRAN - TOU ENERGY</t>
  </si>
  <si>
    <t>08LNX00008-ANNUALMIN GUAR</t>
  </si>
  <si>
    <t>08REFS032M-UT RENEWABLE FAC &amp; SUPP PWR</t>
  </si>
  <si>
    <t>08TCVLAACN-UTAH TCV LNX ANNUAL GAR</t>
  </si>
  <si>
    <t>08TCVLNAGN-UTAH LNX ANNUAL GAR NON RES</t>
  </si>
  <si>
    <t>08RFND1999-UTAH RATE RFND</t>
  </si>
  <si>
    <t>08RTCVLNGA-TCV LNX GAR</t>
  </si>
  <si>
    <t>ResiFinal1 - Total</t>
  </si>
  <si>
    <t>AC</t>
  </si>
  <si>
    <t>Apartment/Condo Complex</t>
  </si>
  <si>
    <t>AM</t>
  </si>
  <si>
    <t>Apartment/Condo Master Metered</t>
  </si>
  <si>
    <t>AS</t>
  </si>
  <si>
    <t>Apartment/Condo Seasonal Use</t>
  </si>
  <si>
    <t>CF</t>
  </si>
  <si>
    <t>Care Facility Residential Assisted Living</t>
  </si>
  <si>
    <t>MH</t>
  </si>
  <si>
    <t>Manufactured Home</t>
  </si>
  <si>
    <t>MM</t>
  </si>
  <si>
    <t>Manufactured Home Park Master Meter</t>
  </si>
  <si>
    <t>MU</t>
  </si>
  <si>
    <t>Multiple units (non-residential only)</t>
  </si>
  <si>
    <t>RC</t>
  </si>
  <si>
    <t>Residential Common Areas</t>
  </si>
  <si>
    <t>RK</t>
  </si>
  <si>
    <t>Residential kW</t>
  </si>
  <si>
    <t>RO</t>
  </si>
  <si>
    <t>OTHER RESD SVCS-GARAGES, SHEDS, WELLS, SHOPS, ETC.</t>
  </si>
  <si>
    <t>SA</t>
  </si>
  <si>
    <t>Stand alone (non-residential only)</t>
  </si>
  <si>
    <t>SD</t>
  </si>
  <si>
    <t>Single Dwelling</t>
  </si>
  <si>
    <t>SS</t>
  </si>
  <si>
    <t>Single Dwelling/Seasonal Use</t>
  </si>
  <si>
    <t>XD</t>
  </si>
  <si>
    <t>Deduct Interconnect/Net Metering</t>
  </si>
  <si>
    <t>Dwelling Cd</t>
  </si>
  <si>
    <t>Dwelling Desc</t>
  </si>
  <si>
    <t/>
  </si>
  <si>
    <t xml:space="preserve">  On-Peak kWh (Jun - Sept)</t>
  </si>
  <si>
    <t xml:space="preserve">  Off-Peak kWh (Jun - Sept)</t>
  </si>
  <si>
    <t xml:space="preserve">  First 400 kWh (Jun-Sept)</t>
  </si>
  <si>
    <t xml:space="preserve">  Next 600 kWh (Jun-Sept)</t>
  </si>
  <si>
    <t xml:space="preserve">  All add'l kWh (Jun-Sept)</t>
  </si>
  <si>
    <t xml:space="preserve">  First 400 kWh (Oct-May)</t>
  </si>
  <si>
    <t xml:space="preserve">  All add'l kWh (Oct-May)</t>
  </si>
  <si>
    <t>08CGN6A136</t>
  </si>
  <si>
    <t>08CGN08136</t>
  </si>
  <si>
    <t>C6A136</t>
  </si>
  <si>
    <t>I23136</t>
  </si>
  <si>
    <t>Multi</t>
  </si>
  <si>
    <t>Single</t>
  </si>
  <si>
    <t>TBILL-1-MULTI</t>
  </si>
  <si>
    <t>TBILL-3-MULTI</t>
  </si>
  <si>
    <t>TBILL-1MIN-MULTI</t>
  </si>
  <si>
    <t>TBILL-3MIN-MULTI</t>
  </si>
  <si>
    <t>TBILL-SMIN-MULTI</t>
  </si>
  <si>
    <t>Sch 6A-136</t>
  </si>
  <si>
    <t>C6A-136</t>
  </si>
  <si>
    <t>I6A-136</t>
  </si>
  <si>
    <t>R6A-136</t>
  </si>
  <si>
    <t>6A-136</t>
  </si>
  <si>
    <t>Schedule No. 6A-136 - Commercial</t>
  </si>
  <si>
    <t>Com-135</t>
  </si>
  <si>
    <t>Com-136</t>
  </si>
  <si>
    <t>Schedule No. 6-136 - Net Metering - Composite</t>
  </si>
  <si>
    <t>Schedule No. 6-136 - Net Metering - Industrial</t>
  </si>
  <si>
    <t>Schedule No. 8-136 - Commercial</t>
  </si>
  <si>
    <t>Sch 8-136</t>
  </si>
  <si>
    <t>Ratio Sch135, 136/Sch8</t>
  </si>
  <si>
    <t>C32</t>
  </si>
  <si>
    <t>INVOICE_REVENUE_CLASS_CD</t>
  </si>
  <si>
    <t>TKWF-R</t>
  </si>
  <si>
    <t>TADM-G</t>
  </si>
  <si>
    <t>TADM-D</t>
  </si>
  <si>
    <t>TKWF-S</t>
  </si>
  <si>
    <t>TREV-EGC</t>
  </si>
  <si>
    <t>TREV-PWH</t>
  </si>
  <si>
    <t>TKWD</t>
  </si>
  <si>
    <t>TKWD-S</t>
  </si>
  <si>
    <t>TKWD-W</t>
  </si>
  <si>
    <t>TPWH</t>
  </si>
  <si>
    <t>TKWH-EGC</t>
  </si>
  <si>
    <t>08REFS032M</t>
  </si>
  <si>
    <t>Adjustment Source: December 2019 Semi Report</t>
  </si>
  <si>
    <t>Base Period 12 Months Ending December 2019</t>
  </si>
  <si>
    <t>Forecast Period 12 Months Ending December 2021</t>
  </si>
  <si>
    <t>Schedule 6A-136</t>
  </si>
  <si>
    <t xml:space="preserve">      Single Family</t>
  </si>
  <si>
    <t xml:space="preserve">      Multi Family</t>
  </si>
  <si>
    <t>Total Sales (kWh)</t>
  </si>
  <si>
    <t>Block 1 Sales</t>
  </si>
  <si>
    <t>Base Block 1 Rate</t>
  </si>
  <si>
    <t>Inflation</t>
  </si>
  <si>
    <t>Tariff Rate ($/MWh)</t>
  </si>
  <si>
    <t>Block 1 Revenue</t>
  </si>
  <si>
    <t>Block 2 Sales</t>
  </si>
  <si>
    <t>Mid Columbia Market Rate ($/MWh)</t>
  </si>
  <si>
    <t>OATT Rate ($/MWh)</t>
  </si>
  <si>
    <t>Margin Rate ($/MWh)</t>
  </si>
  <si>
    <t>Block 2 Revenue</t>
  </si>
  <si>
    <t>UTAH Step charge monthly</t>
  </si>
  <si>
    <t>Annual Maintenance Fee</t>
  </si>
  <si>
    <t>Energy Profiler Online Charge &amp; Agreement 9 Parking Lot</t>
  </si>
  <si>
    <t>Schedule 91 Surcharge</t>
  </si>
  <si>
    <t>EBA Recovery</t>
  </si>
  <si>
    <t>Total Revenue</t>
  </si>
  <si>
    <t>Average Rate</t>
  </si>
  <si>
    <t>OATT Rate Calculation</t>
  </si>
  <si>
    <t>Scheduling, System Control, and Dispatch ($/kW-mo)</t>
  </si>
  <si>
    <t>Reactive Supply &amp; Voltage Control ($/kW-mo)</t>
  </si>
  <si>
    <t>Regulation &amp; Frequency Response ($/kW-mo)</t>
  </si>
  <si>
    <t>Network</t>
  </si>
  <si>
    <t>Total Fixed $/kW-mo</t>
  </si>
  <si>
    <t>Losses</t>
  </si>
  <si>
    <t>Spin ($/MWh)</t>
  </si>
  <si>
    <t>Non-Spin ($/MWh)</t>
  </si>
  <si>
    <t>Block 2 Hourly Demand at Hour of PacifiCorp Coincident Peak (MW) - assuming average block 2 energy for forecast period</t>
  </si>
  <si>
    <t>Grossed up for losses (MW)</t>
  </si>
  <si>
    <t>Block 2 Total Monthly MWh</t>
  </si>
  <si>
    <t>Monthly Transmission Cost (1-3, 7)</t>
  </si>
  <si>
    <t>Monthly Transmission Cost (5&amp;6)</t>
  </si>
  <si>
    <t>Total Cost</t>
  </si>
  <si>
    <t>$/MWh Transmission Cost (amount used in Section 4.01(b)(ii))</t>
  </si>
  <si>
    <t>Hours</t>
  </si>
  <si>
    <t>201907</t>
  </si>
  <si>
    <t>201908</t>
  </si>
  <si>
    <t>201909</t>
  </si>
  <si>
    <t>201911</t>
  </si>
  <si>
    <t>201910</t>
  </si>
  <si>
    <t>19238276008001</t>
  </si>
  <si>
    <t>201912</t>
  </si>
  <si>
    <t>19238276008002</t>
  </si>
  <si>
    <t>19238276008003</t>
  </si>
  <si>
    <t>202001</t>
  </si>
  <si>
    <t>Schedule 32 Forecast</t>
  </si>
  <si>
    <t>Average</t>
  </si>
  <si>
    <t>Forecast kWh</t>
  </si>
  <si>
    <t>Gen. Svc. Dist. Energy TOD NM Transition</t>
  </si>
  <si>
    <r>
      <t>2</t>
    </r>
    <r>
      <rPr>
        <sz val="12"/>
        <color indexed="8"/>
        <rFont val="Times New Roman"/>
        <family val="1"/>
      </rPr>
      <t xml:space="preserve"> Includes the adjustment made to reconcile the booked with billing determinants MWh, </t>
    </r>
  </si>
  <si>
    <r>
      <t>3</t>
    </r>
    <r>
      <rPr>
        <sz val="12"/>
        <color indexed="8"/>
        <rFont val="Times New Roman"/>
        <family val="1"/>
      </rPr>
      <t xml:space="preserve"> reflects the difference between the normalized actual and forecast MWh, </t>
    </r>
  </si>
  <si>
    <t>RESR</t>
  </si>
  <si>
    <t>June 2019 Type 1</t>
  </si>
  <si>
    <t>Dec 2019 Type 1</t>
  </si>
  <si>
    <t>Dec 2021 Forecast</t>
  </si>
  <si>
    <t>H - F</t>
  </si>
  <si>
    <t>K</t>
  </si>
  <si>
    <t>L</t>
  </si>
  <si>
    <t>M</t>
  </si>
  <si>
    <t>N</t>
  </si>
  <si>
    <t>N - L</t>
  </si>
  <si>
    <t>I + J + K</t>
  </si>
  <si>
    <t xml:space="preserve">  All kW (Jun - Sept)</t>
  </si>
  <si>
    <t xml:space="preserve">  All kW (Oct - May)</t>
  </si>
  <si>
    <t xml:space="preserve">  kWh (Jun-Sept)</t>
  </si>
  <si>
    <t xml:space="preserve">  kWh (Oct-May)</t>
  </si>
  <si>
    <t xml:space="preserve">  All on-peak kW (Jun - Sept)</t>
  </si>
  <si>
    <t xml:space="preserve">  All on-peak kW (Oct - May)</t>
  </si>
  <si>
    <t xml:space="preserve">  On-Peak kW (Jun - Sept)</t>
  </si>
  <si>
    <t xml:space="preserve">  On-Peak kW (Oct - May)</t>
  </si>
  <si>
    <t xml:space="preserve">  On-Peak kWh (Oct - May)</t>
  </si>
  <si>
    <t xml:space="preserve">  kW over 15 (Jun - Sept)</t>
  </si>
  <si>
    <t xml:space="preserve">  kW over 15 (Oct - May)</t>
  </si>
  <si>
    <t xml:space="preserve">  First 1,500 kWh (Jun - Sept)</t>
  </si>
  <si>
    <t xml:space="preserve">  All Add'l kWh (Jun - Sept)</t>
  </si>
  <si>
    <t xml:space="preserve">  First 1,500 kWh (Oct - May)</t>
  </si>
  <si>
    <t xml:space="preserve">  All Add'l kWh (Oct - May)</t>
  </si>
  <si>
    <t>Delivery</t>
  </si>
  <si>
    <t>Fixed Supply</t>
  </si>
  <si>
    <t>Variable Supply</t>
  </si>
  <si>
    <t>MaxKW</t>
  </si>
  <si>
    <t>18983686001001</t>
  </si>
  <si>
    <t>37988826001003</t>
  </si>
  <si>
    <t>42030836003001</t>
  </si>
  <si>
    <t>90816679002001</t>
  </si>
  <si>
    <t xml:space="preserve">              Jun - Sept</t>
  </si>
  <si>
    <t xml:space="preserve">              Oct - May</t>
  </si>
  <si>
    <t xml:space="preserve">        June - September: </t>
  </si>
  <si>
    <t xml:space="preserve">        October - May: </t>
  </si>
  <si>
    <t>Monthly Billing Comparison</t>
  </si>
  <si>
    <t>Schedule 23 - State of Utah</t>
  </si>
  <si>
    <t>General Service - Distribution Voltage</t>
  </si>
  <si>
    <t>kW</t>
  </si>
  <si>
    <r>
      <t>Monthly Billing</t>
    </r>
    <r>
      <rPr>
        <vertAlign val="superscript"/>
        <sz val="10"/>
        <rFont val="Times New Roman"/>
        <family val="1"/>
      </rPr>
      <t>1</t>
    </r>
  </si>
  <si>
    <t>Load Size</t>
  </si>
  <si>
    <t>Basic Charge</t>
  </si>
  <si>
    <t>Demand</t>
  </si>
  <si>
    <t>Voltage</t>
  </si>
  <si>
    <t>kWh-1st 1,500</t>
  </si>
  <si>
    <t>All other kWh</t>
  </si>
  <si>
    <t>HELP Charge</t>
  </si>
  <si>
    <t>Sch 195 Solar</t>
  </si>
  <si>
    <t>Sch 94 EBA</t>
  </si>
  <si>
    <t>Sch 98 REC</t>
  </si>
  <si>
    <t>Net (EBA+REC)</t>
  </si>
  <si>
    <t>Schedule 6 - State of Utah</t>
  </si>
  <si>
    <t>All kWh</t>
  </si>
  <si>
    <t>Schedule 8 - State of Utah</t>
  </si>
  <si>
    <t>General Service - Distribution Voltage &gt; 1 MW</t>
  </si>
  <si>
    <r>
      <t>Load Size</t>
    </r>
    <r>
      <rPr>
        <vertAlign val="superscript"/>
        <sz val="10"/>
        <rFont val="Times New Roman"/>
        <family val="1"/>
      </rPr>
      <t>2</t>
    </r>
  </si>
  <si>
    <t>kWh %</t>
  </si>
  <si>
    <t>Facilities kW</t>
  </si>
  <si>
    <t>On-Peak kW</t>
  </si>
  <si>
    <t>On-Peak kWh</t>
  </si>
  <si>
    <t>Off-Peak kWh</t>
  </si>
  <si>
    <r>
      <t>2</t>
    </r>
    <r>
      <rPr>
        <sz val="10"/>
        <rFont val="Times New Roman"/>
        <family val="1"/>
      </rPr>
      <t xml:space="preserve">  Assumes customer monthly peak occurs during On-Peak hours.</t>
    </r>
  </si>
  <si>
    <t>Schedule 9 - State of Utah</t>
  </si>
  <si>
    <t>General Service - Transmission Voltage</t>
  </si>
  <si>
    <t>Sch 9</t>
  </si>
  <si>
    <t>Schedule 10 - State of Utah</t>
  </si>
  <si>
    <t>Irrigation and Soil Drainage Pumping Power Service - Distribution Voltage</t>
  </si>
  <si>
    <t>Irrigation Season</t>
  </si>
  <si>
    <t>Post-Irrigation Season</t>
  </si>
  <si>
    <t>On-Season</t>
  </si>
  <si>
    <t>1st 30,000 kWh</t>
  </si>
  <si>
    <t>All add'l kWh</t>
  </si>
  <si>
    <t>Off-Season</t>
  </si>
  <si>
    <t>Schedule 1 - State of Utah</t>
  </si>
  <si>
    <t>Basic</t>
  </si>
  <si>
    <t>kWh1</t>
  </si>
  <si>
    <t>kWh2</t>
  </si>
  <si>
    <t>kWh3</t>
  </si>
  <si>
    <t>Minimum</t>
  </si>
  <si>
    <t>w</t>
  </si>
  <si>
    <t>a</t>
  </si>
  <si>
    <t>DSM&amp;STEP</t>
  </si>
  <si>
    <t>s</t>
  </si>
  <si>
    <t>Sch 197 TAA</t>
  </si>
  <si>
    <t>Sch 196 STEP</t>
  </si>
  <si>
    <t>Sch 193 DSM</t>
  </si>
  <si>
    <r>
      <t>1</t>
    </r>
    <r>
      <rPr>
        <sz val="10"/>
        <rFont val="Times New Roman"/>
        <family val="1"/>
      </rPr>
      <t xml:space="preserve">  Including HELP, DSM, EBA, REC, STEP and TAA.</t>
    </r>
  </si>
  <si>
    <t>w: Winter average usage; a:  Annual average usage; s: Summer average usage.</t>
  </si>
  <si>
    <t>Total kW</t>
  </si>
  <si>
    <t>Utah Large Customers TOU Profile - 2019</t>
  </si>
  <si>
    <t>Adj</t>
  </si>
  <si>
    <t>8 (base point)</t>
  </si>
  <si>
    <t>Res 1, 2,2E 3</t>
  </si>
  <si>
    <t>6,6A,6B</t>
  </si>
  <si>
    <t>9, 9A, 21, 31, 32</t>
  </si>
  <si>
    <t>7,11,12</t>
  </si>
  <si>
    <t>C1</t>
  </si>
  <si>
    <t>C2</t>
  </si>
  <si>
    <t>34, C3</t>
  </si>
  <si>
    <t>Target increase ($000)</t>
  </si>
  <si>
    <t>avg w/o 34, C3</t>
  </si>
  <si>
    <t>overall avg</t>
  </si>
  <si>
    <t>avg w/o LT, AGA, 34, C3</t>
  </si>
  <si>
    <t>rounding</t>
  </si>
  <si>
    <t>In Rate</t>
  </si>
  <si>
    <t>Target</t>
  </si>
  <si>
    <t>In Rate Change</t>
  </si>
  <si>
    <t>Target Change</t>
  </si>
  <si>
    <t>Energy %</t>
  </si>
  <si>
    <t>Avg Usage - A</t>
  </si>
  <si>
    <t>Avg Usage - S</t>
  </si>
  <si>
    <t>Avg Usage - W</t>
  </si>
  <si>
    <t>season</t>
  </si>
  <si>
    <t>tier</t>
  </si>
  <si>
    <t>Non-Basic Change</t>
  </si>
  <si>
    <t>Net Change</t>
  </si>
  <si>
    <t>Sch 9 Net Change</t>
  </si>
  <si>
    <t>Sch 10, 10TOD</t>
  </si>
  <si>
    <t>Sch 31</t>
  </si>
  <si>
    <t>Season ratio</t>
  </si>
  <si>
    <t>on-off diff</t>
  </si>
  <si>
    <t>Cost Of Service By Rate Schedule</t>
  </si>
  <si>
    <t>Return on</t>
  </si>
  <si>
    <t>Rate of</t>
  </si>
  <si>
    <t>Production</t>
  </si>
  <si>
    <t xml:space="preserve">Transmission </t>
  </si>
  <si>
    <t>Distribution</t>
  </si>
  <si>
    <t xml:space="preserve">Retail </t>
  </si>
  <si>
    <t>Misc</t>
  </si>
  <si>
    <t>Increase</t>
  </si>
  <si>
    <t>Percentage</t>
  </si>
  <si>
    <t>Return</t>
  </si>
  <si>
    <t>Cost of</t>
  </si>
  <si>
    <t>(Decrease)</t>
  </si>
  <si>
    <t>Change from</t>
  </si>
  <si>
    <t>Index</t>
  </si>
  <si>
    <t>Service</t>
  </si>
  <si>
    <t>to = ROR</t>
  </si>
  <si>
    <t>Current Revenues</t>
  </si>
  <si>
    <t>1</t>
  </si>
  <si>
    <t>6</t>
  </si>
  <si>
    <t xml:space="preserve">General Service - Large </t>
  </si>
  <si>
    <t>General Service - Over 1 MW</t>
  </si>
  <si>
    <t>Street &amp; Area Lighting</t>
  </si>
  <si>
    <t>9</t>
  </si>
  <si>
    <t>General Service - High Voltage</t>
  </si>
  <si>
    <t>Traffic Signals</t>
  </si>
  <si>
    <t>Outdoor Lighting</t>
  </si>
  <si>
    <t>23</t>
  </si>
  <si>
    <t xml:space="preserve">General Service - Small </t>
  </si>
  <si>
    <t>SpC</t>
  </si>
  <si>
    <t>Customer 1</t>
  </si>
  <si>
    <t>Customer 2</t>
  </si>
  <si>
    <t>Total Utah Jurisdiction</t>
  </si>
  <si>
    <t>Footnotes :</t>
  </si>
  <si>
    <t>Column C :</t>
  </si>
  <si>
    <t xml:space="preserve">Column D :  </t>
  </si>
  <si>
    <t xml:space="preserve">Column E : </t>
  </si>
  <si>
    <t>Rate of Return Index. Rate of return by rate schedule, divided by Utah Jurisdiction's normalized rate of return.</t>
  </si>
  <si>
    <t xml:space="preserve">Column F : </t>
  </si>
  <si>
    <t xml:space="preserve">Column G : </t>
  </si>
  <si>
    <t xml:space="preserve">Column H : </t>
  </si>
  <si>
    <t xml:space="preserve">Column I : </t>
  </si>
  <si>
    <t xml:space="preserve">Column J :  </t>
  </si>
  <si>
    <t xml:space="preserve">Column K : </t>
  </si>
  <si>
    <t xml:space="preserve">Column L :  </t>
  </si>
  <si>
    <t>Increase or Decrease Required to Move From Annual Revenue to Full Cost of Service Dollars.</t>
  </si>
  <si>
    <t xml:space="preserve">Column M : </t>
  </si>
  <si>
    <t>Increase or Decrease Required to Move From Annual Revenue to Full Cost of Service Percent.</t>
  </si>
  <si>
    <t>Utah
Jurisdiction
Normalized</t>
  </si>
  <si>
    <t>Residential
Sch 1</t>
  </si>
  <si>
    <t>General
Large Dist.
Sch 6</t>
  </si>
  <si>
    <t>General
+1 MW
Sch 8</t>
  </si>
  <si>
    <t>Street &amp; Area
Lighting
Sch. 7,11,12</t>
  </si>
  <si>
    <t>General
Trans
Sch 9</t>
  </si>
  <si>
    <t>Irrigation
Sch 10</t>
  </si>
  <si>
    <t>Traffic
Signals
Sch 15</t>
  </si>
  <si>
    <t>Outdoor
Lighting
Sch 15</t>
  </si>
  <si>
    <t>General
Small Dist.
Sch 23</t>
  </si>
  <si>
    <t>Industrial
Cust 1</t>
  </si>
  <si>
    <t>Industrial
Cust 2</t>
  </si>
  <si>
    <t>Aggregated
Industrial</t>
  </si>
  <si>
    <t>UNITS</t>
  </si>
  <si>
    <t>NCP kW</t>
  </si>
  <si>
    <t>Annual KWH</t>
  </si>
  <si>
    <t>Average Customers</t>
  </si>
  <si>
    <t>PTDRM TOTAL</t>
  </si>
  <si>
    <t>Revenue Requirement</t>
  </si>
  <si>
    <t>Per NCP kW</t>
  </si>
  <si>
    <t>Per KWH</t>
  </si>
  <si>
    <t>Per Customer</t>
  </si>
  <si>
    <t>PRODUCTION-TOTAL</t>
  </si>
  <si>
    <t>PRODUCTION-DEMAND VARIABLE</t>
  </si>
  <si>
    <t>PRODUCTION-ENERGY VARIABLE</t>
  </si>
  <si>
    <t>PRODUCTION-DEMAND FIXED</t>
  </si>
  <si>
    <t>PRODUCTION-ENERGY FIXED</t>
  </si>
  <si>
    <t>TRANSMISSION-TOTAL</t>
  </si>
  <si>
    <t>TRANSMISSION-DEMAND VARIABLE</t>
  </si>
  <si>
    <t>TRANSMISSION-ENERGY VARIABLE</t>
  </si>
  <si>
    <t>TRANSMISSION-DEMAND FIXED</t>
  </si>
  <si>
    <t>TRANSMISSION-ENERGY FIXED</t>
  </si>
  <si>
    <t>DISTRIBUTION-TOTAL</t>
  </si>
  <si>
    <t>DISTRIBUTION-SUBSTATION</t>
  </si>
  <si>
    <t>DISTRIBUTION- P &amp; C</t>
  </si>
  <si>
    <t>DISTRIBUTION-TRANSFORMER</t>
  </si>
  <si>
    <t>DISTRIBUTION-SERVICE</t>
  </si>
  <si>
    <t>DISTRIBUTION-METER</t>
  </si>
  <si>
    <t>RETAIL-TOTAL</t>
  </si>
  <si>
    <t>MISC - Total</t>
  </si>
  <si>
    <t>Sch 32</t>
  </si>
  <si>
    <t>C3 Forecasted Revenues</t>
  </si>
  <si>
    <t>Res 1, 2, 2E, 3, 135, 136</t>
  </si>
  <si>
    <t>Utah 2020 GRC Schedule 6A Rate Redesign</t>
  </si>
  <si>
    <t>Schedule 6A redesign</t>
  </si>
  <si>
    <t>6ACOM</t>
  </si>
  <si>
    <t>6AIND</t>
  </si>
  <si>
    <t>6ARES</t>
  </si>
  <si>
    <t>6A-135COM</t>
  </si>
  <si>
    <t>6A-135IND</t>
  </si>
  <si>
    <t>6A-135RES</t>
  </si>
  <si>
    <t>6A-136COM</t>
  </si>
  <si>
    <t>6A-136IND</t>
  </si>
  <si>
    <t>6A-136RES</t>
  </si>
  <si>
    <t>Total Overall</t>
  </si>
  <si>
    <t>kWh/kW-s</t>
  </si>
  <si>
    <t>kWh-remain-s</t>
  </si>
  <si>
    <t>kWh/kW-w</t>
  </si>
  <si>
    <t>kWh-remain-w</t>
  </si>
  <si>
    <t>kWh-on-s</t>
  </si>
  <si>
    <t>kWh-off-s</t>
  </si>
  <si>
    <t>kWh-on-w</t>
  </si>
  <si>
    <t>kWh-off-w</t>
  </si>
  <si>
    <t>Voltage Discount</t>
  </si>
  <si>
    <t>Schedule 6 moving to Sch 6A redesign</t>
  </si>
  <si>
    <t>6COM</t>
  </si>
  <si>
    <t>6IND</t>
  </si>
  <si>
    <t>6RES</t>
  </si>
  <si>
    <t>6-135COM</t>
  </si>
  <si>
    <t>6-135IND</t>
  </si>
  <si>
    <t>6-135RES</t>
  </si>
  <si>
    <t>6-136COM</t>
  </si>
  <si>
    <t>6-136IND</t>
  </si>
  <si>
    <t>6-136RES</t>
  </si>
  <si>
    <t>Schedule 6B moving to Sch 6A redesign</t>
  </si>
  <si>
    <t>6BCOM</t>
  </si>
  <si>
    <t>6BIND</t>
  </si>
  <si>
    <t>6BRES</t>
  </si>
  <si>
    <t>6B-135COM</t>
  </si>
  <si>
    <t>6B-135IND</t>
  </si>
  <si>
    <t>6B-135RES</t>
  </si>
  <si>
    <t>6B-136COM</t>
  </si>
  <si>
    <t>6B-136IND</t>
  </si>
  <si>
    <t>6B-136RES</t>
  </si>
  <si>
    <t>6B-135</t>
  </si>
  <si>
    <t>6B-136</t>
  </si>
  <si>
    <t>Schedule 6 BD moving from Sch 6</t>
  </si>
  <si>
    <t>Fac kW</t>
  </si>
  <si>
    <t>Power kW, Summer</t>
  </si>
  <si>
    <t>Power kW, Winter</t>
  </si>
  <si>
    <t>Energy kWh, Summer</t>
  </si>
  <si>
    <t>Energy kWh, Winter</t>
  </si>
  <si>
    <t>all additional (Oct-May)</t>
  </si>
  <si>
    <t>all additional kWh (Jun-Sept)</t>
  </si>
  <si>
    <t>On-Pk kWh (Jun-Sept)</t>
  </si>
  <si>
    <t>Off-Pk kWh (Jun-Sept)</t>
  </si>
  <si>
    <t>On-Pk kWh (Oct-May)</t>
  </si>
  <si>
    <t>Off-Pk kWh (Oct-May)</t>
  </si>
  <si>
    <t>all kWh under 50 kWh/kW (Jun-Sept)</t>
  </si>
  <si>
    <t>all kWh under 50 kWh/kW (Oct-May)</t>
  </si>
  <si>
    <t xml:space="preserve">  On-Pk kWh (Jun-Sept)</t>
  </si>
  <si>
    <t xml:space="preserve">  Off-Pk kWh (Jun-Sept)</t>
  </si>
  <si>
    <t xml:space="preserve">  On-Pk kWh (Oct-May)</t>
  </si>
  <si>
    <t xml:space="preserve">  Off-Pk kWh (Oct-May)</t>
  </si>
  <si>
    <t xml:space="preserve">  All kWh under 50 kWh/kW (Jun-Sept)</t>
  </si>
  <si>
    <t xml:space="preserve">  All additional kWh (Jun-Sept)</t>
  </si>
  <si>
    <t xml:space="preserve">  All kWh under 50 kWh/kW (Oct-May)</t>
  </si>
  <si>
    <t xml:space="preserve">  All additional (Oct-May)</t>
  </si>
  <si>
    <t>Schedule 6 moving to 6A - Composite</t>
  </si>
  <si>
    <t>Schedule 6 moving to 6A  - Residential</t>
  </si>
  <si>
    <t>Schedule 6 moving to 6A  - Commercial</t>
  </si>
  <si>
    <t>Schedule 6 moving to 6A  - Industrial</t>
  </si>
  <si>
    <t>Schedule 6-135 moving to 6A - Net Metering - Composite</t>
  </si>
  <si>
    <t>Schedule 6-135 moving to 6A - Net Metering - Residential</t>
  </si>
  <si>
    <t>Schedule 6-135 moving to 6A - Net Metering - Commercial</t>
  </si>
  <si>
    <t>Schedule 6-135 moving to 6A - Net Metering - Industrial</t>
  </si>
  <si>
    <t>Schedule 6-136 moving to 6A - Net Metering - Commercial</t>
  </si>
  <si>
    <t xml:space="preserve">  Schedule 6A</t>
  </si>
  <si>
    <t>Schedule 6B BD moving from Sch 6</t>
  </si>
  <si>
    <t>Schedule 6B moving to 6A - Composite</t>
  </si>
  <si>
    <t>Schedule 6B moving to 6A - Residential</t>
  </si>
  <si>
    <t>Schedule 6B moving to 6A - Commercial</t>
  </si>
  <si>
    <t>Schedule 6B moving to 6A - Industrial</t>
  </si>
  <si>
    <t>Sch 6 moving to 6A</t>
  </si>
  <si>
    <t>Rev 6</t>
  </si>
  <si>
    <t>Rev 6A</t>
  </si>
  <si>
    <t>Forecast Revenues</t>
  </si>
  <si>
    <t>Base Revenue</t>
  </si>
  <si>
    <t>F101</t>
  </si>
  <si>
    <t>Rate Base</t>
  </si>
  <si>
    <t>Tax Act Rev</t>
  </si>
  <si>
    <t>Proposed TAA</t>
  </si>
  <si>
    <t>Tax year 1</t>
  </si>
  <si>
    <t>Tax year 2</t>
  </si>
  <si>
    <t>Unit COS</t>
  </si>
  <si>
    <t>Price ($/MWh)</t>
  </si>
  <si>
    <t>Scalar</t>
  </si>
  <si>
    <t>Summer On-Peak Average</t>
  </si>
  <si>
    <t>Summer Off-Peak Average</t>
  </si>
  <si>
    <t>Winter On-Peak Average</t>
  </si>
  <si>
    <t>Winter Off-Peak Average</t>
  </si>
  <si>
    <t>Three Year Average</t>
  </si>
  <si>
    <t>12 Months Ended Dec 2021</t>
  </si>
  <si>
    <t>Unit Costs @ Target ROR</t>
  </si>
  <si>
    <t>2020 Protocol (Non Wgt)</t>
  </si>
  <si>
    <t>Diff to AVG</t>
  </si>
  <si>
    <t>Mid Point</t>
  </si>
  <si>
    <t>C3</t>
  </si>
  <si>
    <t>Factor Table COS</t>
  </si>
  <si>
    <t>Cost Of Service By Rate Schedule - COS Factor Summary</t>
  </si>
  <si>
    <t>Class Allocation Factors</t>
  </si>
  <si>
    <t>O</t>
  </si>
  <si>
    <t>COS</t>
  </si>
  <si>
    <t>Dmd</t>
  </si>
  <si>
    <t>Eng</t>
  </si>
  <si>
    <t>Factor</t>
  </si>
  <si>
    <t xml:space="preserve">DESCRIPTION </t>
  </si>
  <si>
    <t>Split</t>
  </si>
  <si>
    <t>Direct Assignment</t>
  </si>
  <si>
    <t>F10</t>
  </si>
  <si>
    <t xml:space="preserve">Coincident Peak, System </t>
  </si>
  <si>
    <t>/</t>
  </si>
  <si>
    <t>F11</t>
  </si>
  <si>
    <t>F12</t>
  </si>
  <si>
    <t>F20</t>
  </si>
  <si>
    <t>12 Weighted Distribution Peaks</t>
  </si>
  <si>
    <t>F21</t>
  </si>
  <si>
    <t>Transformers      - NCP</t>
  </si>
  <si>
    <t>F22</t>
  </si>
  <si>
    <t>Secondary Lines - NCP</t>
  </si>
  <si>
    <t>F30</t>
  </si>
  <si>
    <t>MWH @ Input</t>
  </si>
  <si>
    <t>F40</t>
  </si>
  <si>
    <t>F41</t>
  </si>
  <si>
    <t>Weighted Customers Acct 902</t>
  </si>
  <si>
    <t>F42</t>
  </si>
  <si>
    <t>Weighted Customers Acct 903</t>
  </si>
  <si>
    <t>F43</t>
  </si>
  <si>
    <t>Residential Split</t>
  </si>
  <si>
    <t>F44</t>
  </si>
  <si>
    <t>Commercial Split</t>
  </si>
  <si>
    <t>F45</t>
  </si>
  <si>
    <t>Industrial / Irrigation Split</t>
  </si>
  <si>
    <t>F46</t>
  </si>
  <si>
    <t>Lighting / OSPA  Split</t>
  </si>
  <si>
    <t>F47</t>
  </si>
  <si>
    <t>Wtd Customers Acct 902 - irrigation</t>
  </si>
  <si>
    <t>F48</t>
  </si>
  <si>
    <t>Wtd Customers Acct 903 - irrigation</t>
  </si>
  <si>
    <t>F50</t>
  </si>
  <si>
    <t>Contribution in Aid of Construction</t>
  </si>
  <si>
    <t>F51</t>
  </si>
  <si>
    <t>Security Deposits</t>
  </si>
  <si>
    <t>F60</t>
  </si>
  <si>
    <t>Meters</t>
  </si>
  <si>
    <t>F70</t>
  </si>
  <si>
    <t>Services</t>
  </si>
  <si>
    <t>F80</t>
  </si>
  <si>
    <t>Uncollectables</t>
  </si>
  <si>
    <t>F85</t>
  </si>
  <si>
    <t>Firm Sales - Utah Share</t>
  </si>
  <si>
    <t>F86</t>
  </si>
  <si>
    <t>Non Firm Sales - Utah Share</t>
  </si>
  <si>
    <t>F87</t>
  </si>
  <si>
    <t>Firm Purchases (Non-Seasonal) - Utah Share</t>
  </si>
  <si>
    <t>F88</t>
  </si>
  <si>
    <t>Seasonal Purchases - Utah Share</t>
  </si>
  <si>
    <t>F89</t>
  </si>
  <si>
    <t>Non firm Purchases - Utah Share</t>
  </si>
  <si>
    <t>F90</t>
  </si>
  <si>
    <t>Coal (Non-Seasonal) - Utah Share</t>
  </si>
  <si>
    <t>F91</t>
  </si>
  <si>
    <t>Seasonal Cholla Coal - Utah Share</t>
  </si>
  <si>
    <t>F92</t>
  </si>
  <si>
    <t>Gas (Non-Seasonal) - Utah Share</t>
  </si>
  <si>
    <t>F93</t>
  </si>
  <si>
    <t>Seasonal CT Gas - Utah Share</t>
  </si>
  <si>
    <t>F94</t>
  </si>
  <si>
    <t>Other Generation - Utah Share</t>
  </si>
  <si>
    <t>F95</t>
  </si>
  <si>
    <t>Firm Wheeling - Utah Share</t>
  </si>
  <si>
    <t>F96</t>
  </si>
  <si>
    <t>Non-Firm Wheeling - Utah Share</t>
  </si>
  <si>
    <t>F101P</t>
  </si>
  <si>
    <t>Generation Rate Base</t>
  </si>
  <si>
    <t>F101T</t>
  </si>
  <si>
    <t>Transmission Rate Base</t>
  </si>
  <si>
    <t>F101D</t>
  </si>
  <si>
    <t>Distribution Rate Base</t>
  </si>
  <si>
    <t>F101R</t>
  </si>
  <si>
    <t>Retail Rate Base</t>
  </si>
  <si>
    <t>F101M</t>
  </si>
  <si>
    <t>Misc Rate Base</t>
  </si>
  <si>
    <t>F102</t>
  </si>
  <si>
    <t>SGP - System Gross Plant</t>
  </si>
  <si>
    <t>F102P</t>
  </si>
  <si>
    <t>SGGP - System Gross Generation Plant</t>
  </si>
  <si>
    <t>F102T</t>
  </si>
  <si>
    <t>SGTP - System Gross Transmission Plant</t>
  </si>
  <si>
    <t>F102D</t>
  </si>
  <si>
    <t>SGDP - System Gross Distribution Plant</t>
  </si>
  <si>
    <t>F102R</t>
  </si>
  <si>
    <t>SGTP - System Gross Retail Plant</t>
  </si>
  <si>
    <t>F102M</t>
  </si>
  <si>
    <t>SGDP - System Gross Misc Plant</t>
  </si>
  <si>
    <t>F103</t>
  </si>
  <si>
    <t>SGP - System Gross Plant (Regulatory fees)</t>
  </si>
  <si>
    <t>F104</t>
  </si>
  <si>
    <t>SNP - System Net Plant</t>
  </si>
  <si>
    <t>F104P</t>
  </si>
  <si>
    <t>SNP - System Net Generation Plant</t>
  </si>
  <si>
    <t>F104T</t>
  </si>
  <si>
    <t>SNP - System Net Transmission Plant</t>
  </si>
  <si>
    <t>F104D</t>
  </si>
  <si>
    <t>SNP - System Net Distribution Plant</t>
  </si>
  <si>
    <t>F104R</t>
  </si>
  <si>
    <t>SNP - System Net Retail Plant</t>
  </si>
  <si>
    <t>F104M</t>
  </si>
  <si>
    <t>SNP - System Net Misc Plant</t>
  </si>
  <si>
    <t>F105</t>
  </si>
  <si>
    <t>STP - System Prod &amp; Trans Plant</t>
  </si>
  <si>
    <t>F105P</t>
  </si>
  <si>
    <t>F105T</t>
  </si>
  <si>
    <t>F105D</t>
  </si>
  <si>
    <t>F105R</t>
  </si>
  <si>
    <t>F105M</t>
  </si>
  <si>
    <t>F106</t>
  </si>
  <si>
    <t>STP - System Transmission Plant</t>
  </si>
  <si>
    <t>F107</t>
  </si>
  <si>
    <t>STP - System Trans &amp; Dist Plant</t>
  </si>
  <si>
    <t>F107P</t>
  </si>
  <si>
    <t>F107T</t>
  </si>
  <si>
    <t>F107D</t>
  </si>
  <si>
    <t>F107R</t>
  </si>
  <si>
    <t>F107M</t>
  </si>
  <si>
    <t>F108</t>
  </si>
  <si>
    <t>SGP - System General Plant</t>
  </si>
  <si>
    <t>F108P</t>
  </si>
  <si>
    <t>SGGP - System Gen Generation Plant</t>
  </si>
  <si>
    <t>F108T</t>
  </si>
  <si>
    <t>SGTP - System Gen Transmission Plant</t>
  </si>
  <si>
    <t>F108D</t>
  </si>
  <si>
    <t>SGDP - System Gen Distribution Plant</t>
  </si>
  <si>
    <t>F108R</t>
  </si>
  <si>
    <t>SGTP - System Gen Retail Plant</t>
  </si>
  <si>
    <t>F108M</t>
  </si>
  <si>
    <t>SGDP - System Gen Misc Plant</t>
  </si>
  <si>
    <t>F110</t>
  </si>
  <si>
    <t>SIP - System Intangible Plant</t>
  </si>
  <si>
    <t>F118</t>
  </si>
  <si>
    <t>Account 360</t>
  </si>
  <si>
    <t>F119</t>
  </si>
  <si>
    <t>Account 361</t>
  </si>
  <si>
    <t>F120</t>
  </si>
  <si>
    <t>Account 362</t>
  </si>
  <si>
    <t>F121</t>
  </si>
  <si>
    <t>Account 364</t>
  </si>
  <si>
    <t>F122</t>
  </si>
  <si>
    <t>Account 365</t>
  </si>
  <si>
    <t>F123</t>
  </si>
  <si>
    <t>Account 366</t>
  </si>
  <si>
    <t>F124</t>
  </si>
  <si>
    <t>Account 367</t>
  </si>
  <si>
    <t>F125</t>
  </si>
  <si>
    <t>Account 368</t>
  </si>
  <si>
    <t>F126</t>
  </si>
  <si>
    <t>Account 369</t>
  </si>
  <si>
    <t>F127</t>
  </si>
  <si>
    <t>Account 370</t>
  </si>
  <si>
    <t>F128</t>
  </si>
  <si>
    <t>Account 371</t>
  </si>
  <si>
    <t>F129</t>
  </si>
  <si>
    <t>Account 372</t>
  </si>
  <si>
    <t>F130</t>
  </si>
  <si>
    <t>Account 373</t>
  </si>
  <si>
    <t>F131</t>
  </si>
  <si>
    <t>Account 581 thru 587 &amp; 591 thru 597</t>
  </si>
  <si>
    <t>F132</t>
  </si>
  <si>
    <t>Account 364 + 365</t>
  </si>
  <si>
    <t>F133</t>
  </si>
  <si>
    <t>Account 366 + 367</t>
  </si>
  <si>
    <t>F134</t>
  </si>
  <si>
    <t>Account 364 + 365 + 369  (OH)</t>
  </si>
  <si>
    <t>F135</t>
  </si>
  <si>
    <t>Account 366 + 367 + 369  (UG)</t>
  </si>
  <si>
    <t>F136</t>
  </si>
  <si>
    <t>Account 902 + 903 + 904</t>
  </si>
  <si>
    <t>F137</t>
  </si>
  <si>
    <t>Total O &amp; M Expense</t>
  </si>
  <si>
    <t>F137P</t>
  </si>
  <si>
    <t>Generation O &amp; M Exp</t>
  </si>
  <si>
    <t>F137T</t>
  </si>
  <si>
    <t>Transmission O &amp; M Exp</t>
  </si>
  <si>
    <t>F137D</t>
  </si>
  <si>
    <t xml:space="preserve">Distribution O &amp; M Exp </t>
  </si>
  <si>
    <t>F137R</t>
  </si>
  <si>
    <t>Retail O &amp; M Exp  (Customer)</t>
  </si>
  <si>
    <t>F137M</t>
  </si>
  <si>
    <t xml:space="preserve">Misc &amp; Customer O &amp; M Exp </t>
  </si>
  <si>
    <t>F138</t>
  </si>
  <si>
    <t>GTD O&amp;M Exp  (less fuel, purchased p &amp; wheeling)</t>
  </si>
  <si>
    <t>F138P</t>
  </si>
  <si>
    <t xml:space="preserve">Generation O &amp; M Exp (less fuel &amp; purchased power) </t>
  </si>
  <si>
    <t>F138T</t>
  </si>
  <si>
    <t>Transmission O &amp; M Exp - (less wheeling exp)</t>
  </si>
  <si>
    <t>F138D</t>
  </si>
  <si>
    <t>F138R</t>
  </si>
  <si>
    <t>F138M</t>
  </si>
  <si>
    <t>F140</t>
  </si>
  <si>
    <t>Revenue Requirement Before Rev Credits</t>
  </si>
  <si>
    <t>F140P</t>
  </si>
  <si>
    <t>F140T</t>
  </si>
  <si>
    <t>F140D</t>
  </si>
  <si>
    <t>F140R</t>
  </si>
  <si>
    <t>F140M</t>
  </si>
  <si>
    <t>F141</t>
  </si>
  <si>
    <t>Firm Revenues</t>
  </si>
  <si>
    <t>F150</t>
  </si>
  <si>
    <t>Income Before State Taxes</t>
  </si>
  <si>
    <t>F150P</t>
  </si>
  <si>
    <t>F150T</t>
  </si>
  <si>
    <t>F150D</t>
  </si>
  <si>
    <t>F150R</t>
  </si>
  <si>
    <t>F150M</t>
  </si>
  <si>
    <t>F151</t>
  </si>
  <si>
    <t>Depreciation Expense</t>
  </si>
  <si>
    <t>F151P</t>
  </si>
  <si>
    <t>F151T</t>
  </si>
  <si>
    <t>F151D</t>
  </si>
  <si>
    <t>F151R</t>
  </si>
  <si>
    <t>F151M</t>
  </si>
  <si>
    <t xml:space="preserve">  Off-Peak kWh (Oct - May)</t>
  </si>
  <si>
    <t>scalar on-off diff</t>
  </si>
  <si>
    <t>1/5 of Div</t>
  </si>
  <si>
    <t>season diff</t>
  </si>
  <si>
    <t>adj</t>
  </si>
  <si>
    <t>kWh Change</t>
  </si>
  <si>
    <t>TKWH-ON-S</t>
  </si>
  <si>
    <t>TKWH-OFF-S</t>
  </si>
  <si>
    <t>On-peak kW summer</t>
  </si>
  <si>
    <t>On-peak kW winter</t>
  </si>
  <si>
    <t>On-peak kWh summer</t>
  </si>
  <si>
    <t>On-peak kWh winter</t>
  </si>
  <si>
    <t>Off-peak kWh summer</t>
  </si>
  <si>
    <t>Off-peak kWh winter</t>
  </si>
  <si>
    <t>Rev-6</t>
  </si>
  <si>
    <t>Redesign</t>
  </si>
  <si>
    <t>%Chng</t>
  </si>
  <si>
    <t>Power kW (Jun-Sept)</t>
  </si>
  <si>
    <t>Power kW (Oct-May)</t>
  </si>
  <si>
    <t>Energy kWh (Jun-Sept)</t>
  </si>
  <si>
    <t>Energy kWh (Oct-May)</t>
  </si>
  <si>
    <t>kWh/kW</t>
  </si>
  <si>
    <t>TKW-S-Jun</t>
  </si>
  <si>
    <t>TKW-S-May</t>
  </si>
  <si>
    <t>TKWH-S-Jun</t>
  </si>
  <si>
    <t>TKWH-S-May</t>
  </si>
  <si>
    <t>season ratio</t>
  </si>
  <si>
    <t>Sch 9,31,32,9A,21</t>
  </si>
  <si>
    <t>kW Charge</t>
  </si>
  <si>
    <t>kWh Charge</t>
  </si>
  <si>
    <t>F kW Charge</t>
  </si>
  <si>
    <t>block diff</t>
  </si>
  <si>
    <t>Tax</t>
  </si>
  <si>
    <t>Net</t>
  </si>
  <si>
    <t>Base Change</t>
  </si>
  <si>
    <t>Unbundling check</t>
  </si>
  <si>
    <t>Pricing</t>
  </si>
  <si>
    <t>Checking Base</t>
  </si>
  <si>
    <t xml:space="preserve">Annual revenues based on January 2021 thru December 2021 data. </t>
  </si>
  <si>
    <t xml:space="preserve">Calculated Return on Ratebase per January 2021 thru December 2021 Embedded Cost of Service Study </t>
  </si>
  <si>
    <t>Calculated Full Cost of Service at Jurisdictional Rate of Return per the January 2021 thru December 2021 Embedded COS Study</t>
  </si>
  <si>
    <t>Calculated Generation Cost of Service at Jurisdictional Rate of Return per the January 2021 thru December 2021 Embedded COS Study.</t>
  </si>
  <si>
    <t>Calculated Transmission Cost of Service at Jurisdictional Rate of Return per the January 2021 thru December 2021 Embedded COS Study.</t>
  </si>
  <si>
    <t>Calculated Distribution Cost of Service at Jurisdictional Rate of Return per the January 2021 thru December 2021 Embedded COS Study.</t>
  </si>
  <si>
    <t>Calculated Retail Cost of Service at Jurisdictional Rate of Return per the January 2021 thru December 2021 Embedded COS Study.</t>
  </si>
  <si>
    <t>Calculated Miscellaneous Cost of Service at Jurisdictional Rate of Return per the January 2021 thru December 2021 Embedded COS Study.</t>
  </si>
  <si>
    <t>Schedule 32 Cost of Service Analysis</t>
  </si>
  <si>
    <t>12 Months Ended Dec 2019</t>
  </si>
  <si>
    <t>Delivery Facilities Charges</t>
  </si>
  <si>
    <t>Delivery Voltage</t>
  </si>
  <si>
    <t>Secondary  &lt; 1 MW</t>
  </si>
  <si>
    <t>Primary  &lt; 1 MW</t>
  </si>
  <si>
    <t>Secondary  &gt; 1 MW</t>
  </si>
  <si>
    <t>Primary  &gt; 1 MW</t>
  </si>
  <si>
    <t xml:space="preserve">Transmission-Demand COS </t>
  </si>
  <si>
    <t>Distribution - P&amp;C, Transformer &amp; Substation</t>
  </si>
  <si>
    <t>Billing Units</t>
  </si>
  <si>
    <t>Per kW</t>
  </si>
  <si>
    <t>Delivery Charge per kW</t>
  </si>
  <si>
    <t>Daily Power Charges</t>
  </si>
  <si>
    <t>Jun - Sept</t>
  </si>
  <si>
    <t>Schedule 6/8/9 Facilities Charge per kW</t>
  </si>
  <si>
    <t>Schedule 6/8/9 On-Peak Power Charge per kW</t>
  </si>
  <si>
    <t>Less: Delivery Facilities Charge</t>
  </si>
  <si>
    <t>Remaining Retail Rate for Backup Power Charge</t>
  </si>
  <si>
    <t>On-Peak Days per Month</t>
  </si>
  <si>
    <t>Per Day</t>
  </si>
  <si>
    <t>Ratio - Daily Average to Monthly Peak kW</t>
  </si>
  <si>
    <t>Backup Power Charge per kW/Day</t>
  </si>
  <si>
    <t>Primary/Secondary Loss Adjustment</t>
  </si>
  <si>
    <t>Power Charge per kW/Day</t>
  </si>
  <si>
    <t>Oct - May</t>
  </si>
  <si>
    <t>Less: Deliverfy Facilities Charge</t>
  </si>
  <si>
    <t>1/3</t>
  </si>
  <si>
    <t>2/2E</t>
  </si>
  <si>
    <t>Residential Service - Single Family</t>
  </si>
  <si>
    <t>Residential Service - Multi-Family</t>
  </si>
  <si>
    <r>
      <t>1</t>
    </r>
    <r>
      <rPr>
        <sz val="10"/>
        <rFont val="Times New Roman"/>
        <family val="1"/>
      </rPr>
      <t xml:space="preserve">  Including HELP, DSM, EBA, REC, STEP and TAA.  Not including annual customer service charge.</t>
    </r>
  </si>
  <si>
    <t>Goal Seek</t>
  </si>
  <si>
    <t>C2 Curtailment kWh</t>
  </si>
  <si>
    <t>C2 Net kWh</t>
  </si>
  <si>
    <t>Special 1</t>
  </si>
  <si>
    <t>Special 2</t>
  </si>
  <si>
    <t>Special 3</t>
  </si>
  <si>
    <t>Consolidated Proposed Lighting Revenue by Lamp Type</t>
  </si>
  <si>
    <t>Historic Test Period 12 Months Ended December 2019</t>
  </si>
  <si>
    <t>Forecast Test Period 12 Months Ended December 2021</t>
  </si>
  <si>
    <t>Sch No.</t>
  </si>
  <si>
    <t>Lamp Units</t>
  </si>
  <si>
    <t>Price Units</t>
  </si>
  <si>
    <t>Level 1 (0-5,500 LED Equivalent Lumens)</t>
  </si>
  <si>
    <t>$/mo</t>
  </si>
  <si>
    <t>Level 2 (5,501-12,000 LED Equivalent Lumens)</t>
  </si>
  <si>
    <t>Level 3 (12,001 and Greater LED Equivalent Lumens)</t>
  </si>
  <si>
    <t>Street Lighting - Company-Owned System</t>
  </si>
  <si>
    <t>Level 1 (0-3,500 LED Equivalent Lumens)</t>
  </si>
  <si>
    <t>Level 2 (3,501-5,500 LED Equivalent Lumens)</t>
  </si>
  <si>
    <t>Level 3 (5,501-8,000 LED Equivalent Lumens)</t>
  </si>
  <si>
    <t>Level 4 (8,001-12,000 LED Equivalent Lumens)</t>
  </si>
  <si>
    <t>Level 5 (12,001-15,500 LED Equivalent Lumens)</t>
  </si>
  <si>
    <t>Level 6 (15,501 and Greater LED Equivalent Lumens)</t>
  </si>
  <si>
    <t>Dec. Series Level 3 (5,501-8,000 LED Equivalent Lumens)</t>
  </si>
  <si>
    <t>Cust. Funded Conv. - Level 1 (0-3,500 LED Equivalent Lumens)</t>
  </si>
  <si>
    <t>Cust. Funded Conv. - Level 2 (3,501-5,500 LED Equivalent Lumens)</t>
  </si>
  <si>
    <t>Cust. Funded Conv. - Level 3 (5,501-8,000 LED Equivalent Lumens)</t>
  </si>
  <si>
    <t>Cust. Funded Conv. - Level 4 (8,001-12,000 LED Equivalent Lumens)</t>
  </si>
  <si>
    <t>Cust. Funded Conv. - Level 5 (12,001-15,500 LED Equivalent Lumens)</t>
  </si>
  <si>
    <t>Cust. Funded Conv. - Level 6 (15,501 and Greater LED Equivalent Lumens)</t>
  </si>
  <si>
    <t>Cust. Funded Conv. - Dec. Series Level 3 (5,501-8,000 LED Equivalent Lumens)</t>
  </si>
  <si>
    <t>Street Lighting - Customer-Owned System</t>
  </si>
  <si>
    <t>$/kWh</t>
  </si>
  <si>
    <t>Total Proposed Revenue</t>
  </si>
  <si>
    <t>Total Unique Price Count (Company-Owned System)</t>
  </si>
  <si>
    <t>Proposed Change to the Low Income Lifeline Credit</t>
  </si>
  <si>
    <t>Present Home Electric Lifeline Program (HELP) credit</t>
  </si>
  <si>
    <t>Residential Class Proposed Base Increase Percentage</t>
  </si>
  <si>
    <t>Proposed Home Electric Lifeline Program (HELP) credit</t>
  </si>
  <si>
    <t>Proposed Low Income Lifeline Credit (Schedule 3)</t>
  </si>
  <si>
    <t>Schedule No.22 - Indoor Agricultural Lighting Service – 1,000 kW and Over</t>
  </si>
  <si>
    <t>Power Charge</t>
  </si>
  <si>
    <t>Customer Service Charge</t>
  </si>
  <si>
    <t xml:space="preserve">     Secondary</t>
  </si>
  <si>
    <t xml:space="preserve">     Primary</t>
  </si>
  <si>
    <t xml:space="preserve">     Transmission</t>
  </si>
  <si>
    <t xml:space="preserve">         Summer-On Peak kW</t>
  </si>
  <si>
    <t xml:space="preserve">         Winter-On Peak kW</t>
  </si>
  <si>
    <t xml:space="preserve">    Transmission</t>
  </si>
  <si>
    <t xml:space="preserve">         Summer-On Peak kWh</t>
  </si>
  <si>
    <t xml:space="preserve">         Summer-Off Peak kWh</t>
  </si>
  <si>
    <t xml:space="preserve">         Winter-Off Peak kWh</t>
  </si>
  <si>
    <t xml:space="preserve">         Winter-On Peak kWh</t>
  </si>
  <si>
    <t>Facilities Charge All kW</t>
  </si>
  <si>
    <t>Average Variable Supply Price - (Jun-Sept)</t>
  </si>
  <si>
    <t>TAA adj</t>
  </si>
  <si>
    <t>Add Excess Generation Credits from Schedule 135</t>
  </si>
  <si>
    <t>Varaible Supply</t>
  </si>
  <si>
    <t>Facility kW</t>
  </si>
  <si>
    <t>*</t>
  </si>
  <si>
    <r>
      <t xml:space="preserve">* </t>
    </r>
    <r>
      <rPr>
        <sz val="10"/>
        <rFont val="Times New Roman"/>
        <family val="1"/>
      </rPr>
      <t xml:space="preserve"> Or &lt;= 15 kW.</t>
    </r>
  </si>
  <si>
    <t>kw</t>
  </si>
  <si>
    <t>7.48% = Target Return on Rate Base</t>
  </si>
  <si>
    <t>7.48% = Earned Return on Rate Base</t>
  </si>
  <si>
    <t>Year 2 (1/1/2022)</t>
  </si>
  <si>
    <t>Year 1 (7/1/2021)</t>
  </si>
  <si>
    <t>Year 1 (1/1/2021)</t>
  </si>
  <si>
    <t>Phase 1 increase ($000)</t>
  </si>
  <si>
    <t>Tax Year 1 (7/1/2021)</t>
  </si>
  <si>
    <t>Tax Year 2 (1/1/2022)</t>
  </si>
  <si>
    <t>Tax Year 1 (1/1/2021)</t>
  </si>
  <si>
    <t>Phase 2</t>
  </si>
  <si>
    <t>Phase 1</t>
  </si>
  <si>
    <t>Proposed - Step 1 (1/1/2021)</t>
  </si>
  <si>
    <t>Proposed - Step 2 (7/1/2021)</t>
  </si>
  <si>
    <t>Proposed - Step 1&amp;2</t>
  </si>
  <si>
    <t>Proposed Step 1 (1/1/2021)</t>
  </si>
  <si>
    <t>Proposed Step 2 (7/1/2021)</t>
  </si>
  <si>
    <t>Proposed Step 1&amp;2 Total</t>
  </si>
  <si>
    <t>Step 2</t>
  </si>
  <si>
    <t>Step 1</t>
  </si>
  <si>
    <t>Step 1 Price Change</t>
  </si>
  <si>
    <t>Step 2 Price Change</t>
  </si>
  <si>
    <t>Net Increase</t>
  </si>
  <si>
    <t>Year 1</t>
  </si>
  <si>
    <t>(1/1/2021)</t>
  </si>
  <si>
    <t>Year 2</t>
  </si>
  <si>
    <t>Year 3</t>
  </si>
  <si>
    <t>(1/1/2022)</t>
  </si>
  <si>
    <t>(1/1/2023)</t>
  </si>
  <si>
    <t>Average net rate</t>
  </si>
  <si>
    <t>Change in variable supply</t>
  </si>
  <si>
    <t>price</t>
  </si>
  <si>
    <t>rev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</si>
</sst>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_(&quot;$&quot;* #,##0_);_(&quot;$&quot;* \(#,##0\);_(&quot;$&quot;* &quot;-&quot;??_);_(@_)"/>
    <numFmt numFmtId="166" formatCode="_(* #,##0_);_(* \(#,##0\);_(* &quot;-&quot;??_);_(@_)"/>
    <numFmt numFmtId="167" formatCode="General_)"/>
    <numFmt numFmtId="168" formatCode="0.000000"/>
    <numFmt numFmtId="169" formatCode="0.0%"/>
    <numFmt numFmtId="170" formatCode="_(* #,##0.0000_);_(* \(#,##0.0000\);_(* &quot;-&quot;??_);_(@_)"/>
    <numFmt numFmtId="171" formatCode="0.0000_);[Red]\(0.0000\)"/>
    <numFmt numFmtId="172" formatCode="0.0000_)"/>
    <numFmt numFmtId="173" formatCode="#,##0.0000_);\(#,##0.0000\)"/>
    <numFmt numFmtId="174" formatCode="&quot;$&quot;#,##0"/>
    <numFmt numFmtId="175" formatCode="&quot;$&quot;#,##0.0000_);\(&quot;$&quot;#,##0.0000\)"/>
    <numFmt numFmtId="176" formatCode="0.0000"/>
    <numFmt numFmtId="177" formatCode="0.000%"/>
    <numFmt numFmtId="178" formatCode=";;;@"/>
    <numFmt numFmtId="179" formatCode="#,##0_);\-#,##0_);#,##0_)"/>
    <numFmt numFmtId="180" formatCode="&quot;$&quot;#,##0.00_);\(&quot;$&quot;#,##0.00\);&quot;$&quot;0.00_)"/>
    <numFmt numFmtId="181" formatCode="&quot;$&quot;#,##0.00"/>
    <numFmt numFmtId="182" formatCode="0;\-0;0"/>
    <numFmt numFmtId="183" formatCode="#,##0;\-#,##0;#,##0"/>
    <numFmt numFmtId="184" formatCode="#,##0.00000_);\(#,##0.00000\)"/>
    <numFmt numFmtId="185" formatCode="#,##0.00;\-#,##0.00;#,##0.00"/>
    <numFmt numFmtId="186" formatCode="#,##0.0_);\(#,##0.0\)"/>
    <numFmt numFmtId="187" formatCode="#,##0.000_);\(#,##0.000\)"/>
    <numFmt numFmtId="188" formatCode="0.0"/>
    <numFmt numFmtId="189" formatCode="#,##0.0000"/>
    <numFmt numFmtId="190" formatCode="#,##0.0"/>
    <numFmt numFmtId="191" formatCode="mm/dd/yyyy"/>
    <numFmt numFmtId="192" formatCode="#,##0.0000;\-#,##0.0000"/>
    <numFmt numFmtId="193" formatCode="&quot;$&quot;###0;[Red]\(&quot;$&quot;###0\)"/>
    <numFmt numFmtId="194" formatCode="mmm\ dd\,\ yyyy"/>
    <numFmt numFmtId="195" formatCode="#,##0.000000_);\(#,##0.000000\)"/>
    <numFmt numFmtId="196" formatCode="&quot;$&quot;#,##0.000000_);[Red]\(&quot;$&quot;#,##0.000000\)"/>
    <numFmt numFmtId="197" formatCode="0.000"/>
    <numFmt numFmtId="198" formatCode="0.00;\-0.00"/>
    <numFmt numFmtId="199" formatCode="_(* #,##0.0_);_(* \(#,##0.0\);_(* &quot;-&quot;??_);_(@_)"/>
    <numFmt numFmtId="200" formatCode="_(* #,##0.000_);_(* \(#,##0.000\);_(* &quot;-&quot;??_);_(@_)"/>
    <numFmt numFmtId="201" formatCode="0.00000"/>
    <numFmt numFmtId="202" formatCode="[$-409]mmm\-yy;@"/>
    <numFmt numFmtId="203" formatCode="_(* #,##0_);_(* \(#,##0\);_(* &quot;-&quot;?_);_(@_)"/>
    <numFmt numFmtId="204" formatCode="&quot;$&quot;#,##0.000000_);\(&quot;$&quot;#,##0.000000\)"/>
    <numFmt numFmtId="205" formatCode="0.0%;\-0.0%"/>
    <numFmt numFmtId="206" formatCode="&quot;$&quot;#,##0.000_);\(&quot;$&quot;#,##0.000\)"/>
    <numFmt numFmtId="207" formatCode="0.00%;\-0.00%"/>
    <numFmt numFmtId="208" formatCode="0_)"/>
    <numFmt numFmtId="209" formatCode="&quot;$&quot;#,##0.000000"/>
    <numFmt numFmtId="210" formatCode="_(* #,##0.00000000000000_);_(* \(#,##0.00000000000000\);_(* &quot;-&quot;_);_(@_)"/>
    <numFmt numFmtId="211" formatCode="_(* #,##0.00000_);_(* \(#,##0.00000\);_(* &quot;-&quot;??_);_(@_)"/>
    <numFmt numFmtId="212" formatCode="_(* #,##0.00000000_);_(* \(#,##0.00000000\);_(* &quot;-&quot;_);_(@_)"/>
    <numFmt numFmtId="213" formatCode="_(* #,##0.000_);_(* \(#,##0.000\);_(* &quot;-&quot;_);_(@_)"/>
    <numFmt numFmtId="214" formatCode="_(* #,##0.000000_);_(* \(#,##0.000000\);_(* &quot;-&quot;??_);_(@_)"/>
    <numFmt numFmtId="215" formatCode="0_);\(0\)"/>
    <numFmt numFmtId="216" formatCode="#,##0.000000000_);\(#,##0.000000000\)"/>
    <numFmt numFmtId="217" formatCode="0.0000000000"/>
    <numFmt numFmtId="218" formatCode="&quot;$&quot;#,##0.00000000_);\(&quot;$&quot;#,##0.00000000\)"/>
  </numFmts>
  <fonts count="138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10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vertAlign val="superscript"/>
      <sz val="12"/>
      <color indexed="8"/>
      <name val="Times New Roman"/>
      <family val="1"/>
    </font>
    <font>
      <b/>
      <sz val="12"/>
      <name val="Times New Roman"/>
      <family val="1"/>
    </font>
    <font>
      <u val="double"/>
      <sz val="12"/>
      <name val="Times New Roman"/>
      <family val="1"/>
    </font>
    <font>
      <vertAlign val="superscript"/>
      <sz val="12"/>
      <name val="Times New Roman"/>
      <family val="1"/>
    </font>
    <font>
      <sz val="10"/>
      <name val="MS Sans Serif"/>
      <family val="2"/>
    </font>
    <font>
      <sz val="7"/>
      <name val="Arial"/>
      <family val="2"/>
    </font>
    <font>
      <sz val="10"/>
      <name val="LinePrinter"/>
    </font>
    <font>
      <sz val="8"/>
      <name val="Times New Roman"/>
      <family val="1"/>
    </font>
    <font>
      <sz val="8"/>
      <name val="Arial"/>
      <family val="2"/>
    </font>
    <font>
      <sz val="12"/>
      <name val="Arial"/>
      <family val="2"/>
    </font>
    <font>
      <sz val="12"/>
      <color indexed="12"/>
      <name val="Times New Roman"/>
      <family val="1"/>
    </font>
    <font>
      <b/>
      <sz val="12"/>
      <name val="Times New Roman"/>
      <family val="1"/>
    </font>
    <font>
      <sz val="12"/>
      <color indexed="10"/>
      <name val="Times New Roman"/>
      <family val="1"/>
    </font>
    <font>
      <b/>
      <sz val="10"/>
      <name val="Arial"/>
      <family val="2"/>
    </font>
    <font>
      <b/>
      <sz val="10"/>
      <name val="MS Sans Serif"/>
      <family val="2"/>
    </font>
    <font>
      <i/>
      <sz val="12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Arial"/>
      <family val="2"/>
    </font>
    <font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8"/>
      <name val="MS Sans Serif"/>
      <family val="2"/>
    </font>
    <font>
      <b/>
      <sz val="10"/>
      <color indexed="8"/>
      <name val="Times New Roman"/>
      <family val="1"/>
    </font>
    <font>
      <sz val="8"/>
      <name val="Times New Roman"/>
      <family val="1"/>
    </font>
    <font>
      <b/>
      <sz val="12"/>
      <name val="Arial"/>
      <family val="2"/>
    </font>
    <font>
      <sz val="10"/>
      <color indexed="8"/>
      <name val="Arial"/>
      <family val="2"/>
      <charset val="1"/>
    </font>
    <font>
      <sz val="12"/>
      <color theme="1"/>
      <name val="Times New Roman"/>
      <family val="1"/>
    </font>
    <font>
      <sz val="12"/>
      <color rgb="FF0000FF"/>
      <name val="Times New Roman"/>
      <family val="1"/>
    </font>
    <font>
      <sz val="11"/>
      <color theme="1"/>
      <name val="Calibri"/>
      <family val="2"/>
      <scheme val="minor"/>
    </font>
    <font>
      <sz val="12"/>
      <name val="TimesNewRomanPS"/>
    </font>
    <font>
      <sz val="11"/>
      <color indexed="8"/>
      <name val="Century Schoolbook"/>
      <family val="2"/>
    </font>
    <font>
      <sz val="10"/>
      <name val="Swiss"/>
      <family val="2"/>
    </font>
    <font>
      <sz val="10"/>
      <color theme="1"/>
      <name val="Times New Roman"/>
      <family val="2"/>
    </font>
    <font>
      <sz val="10"/>
      <color rgb="FF0000FF"/>
      <name val="Arial"/>
      <family val="2"/>
    </font>
    <font>
      <i/>
      <sz val="12"/>
      <color theme="1"/>
      <name val="Times New Roman"/>
      <family val="1"/>
    </font>
    <font>
      <sz val="12"/>
      <name val="Arial MT"/>
    </font>
    <font>
      <b/>
      <sz val="10"/>
      <color indexed="8"/>
      <name val="Arial"/>
      <family val="2"/>
    </font>
    <font>
      <b/>
      <sz val="18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sz val="10"/>
      <name val="SWISS"/>
    </font>
    <font>
      <sz val="10"/>
      <name val="Arial"/>
      <family val="2"/>
    </font>
    <font>
      <sz val="8"/>
      <name val="Helv"/>
    </font>
    <font>
      <b/>
      <sz val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sz val="8"/>
      <color indexed="12"/>
      <name val="Arial"/>
      <family val="2"/>
    </font>
    <font>
      <sz val="12"/>
      <color rgb="FFC00000"/>
      <name val="Times New Roman"/>
      <family val="1"/>
    </font>
    <font>
      <sz val="10"/>
      <name val="Arial"/>
      <family val="2"/>
    </font>
    <font>
      <b/>
      <sz val="10"/>
      <color rgb="FF0070C0"/>
      <name val="Arial"/>
      <family val="2"/>
    </font>
    <font>
      <sz val="10"/>
      <name val="Courier"/>
      <family val="3"/>
    </font>
    <font>
      <b/>
      <sz val="10"/>
      <color rgb="FF0000FF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color rgb="FF0070C0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  <charset val="1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0"/>
      <name val="MS Sans Serif"/>
      <family val="2"/>
    </font>
    <font>
      <sz val="10"/>
      <color theme="0"/>
      <name val="MS Sans Serif"/>
      <family val="2"/>
    </font>
    <font>
      <b/>
      <sz val="10"/>
      <color theme="0" tint="-0.249977111117893"/>
      <name val="MS Sans Serif"/>
      <family val="2"/>
    </font>
    <font>
      <b/>
      <sz val="12"/>
      <name val="MS Sans Serif"/>
      <family val="2"/>
    </font>
    <font>
      <b/>
      <sz val="10"/>
      <color theme="3" tint="0.39997558519241921"/>
      <name val="MS Sans Serif"/>
      <family val="2"/>
    </font>
    <font>
      <b/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Arial"/>
      <family val="2"/>
      <charset val="1"/>
    </font>
    <font>
      <sz val="10"/>
      <color rgb="FF0000FF"/>
      <name val="MS Sans Serif"/>
      <family val="2"/>
    </font>
    <font>
      <b/>
      <sz val="13"/>
      <name val="Times New Roman"/>
      <family val="1"/>
    </font>
    <font>
      <b/>
      <i/>
      <sz val="13"/>
      <name val="Times New Roman"/>
      <family val="1"/>
    </font>
    <font>
      <vertAlign val="superscript"/>
      <sz val="10"/>
      <name val="Times New Roman"/>
      <family val="1"/>
    </font>
    <font>
      <u/>
      <sz val="10"/>
      <name val="Times New Roman"/>
      <family val="1"/>
    </font>
    <font>
      <b/>
      <i/>
      <u/>
      <sz val="10"/>
      <name val="Times New Roman"/>
      <family val="1"/>
    </font>
    <font>
      <sz val="10"/>
      <color indexed="12"/>
      <name val="Times New Roman"/>
      <family val="1"/>
    </font>
    <font>
      <sz val="10"/>
      <color indexed="9"/>
      <name val="Arial"/>
      <family val="2"/>
    </font>
    <font>
      <sz val="10"/>
      <color indexed="9"/>
      <name val="Times New Roman"/>
      <family val="1"/>
    </font>
    <font>
      <sz val="10"/>
      <color rgb="FF0000FF"/>
      <name val="Times New Roman"/>
      <family val="1"/>
    </font>
    <font>
      <b/>
      <u/>
      <sz val="13"/>
      <name val="Times New Roman"/>
      <family val="1"/>
    </font>
    <font>
      <sz val="11"/>
      <name val="Times New Roman"/>
      <family val="1"/>
    </font>
    <font>
      <sz val="10"/>
      <color theme="1"/>
      <name val="Times New Roman"/>
      <family val="1"/>
    </font>
    <font>
      <b/>
      <sz val="10"/>
      <name val="Swiss"/>
      <family val="2"/>
    </font>
    <font>
      <u/>
      <sz val="10"/>
      <name val="Arial"/>
      <family val="2"/>
    </font>
    <font>
      <b/>
      <sz val="9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  <font>
      <sz val="12"/>
      <color rgb="FF0066FF"/>
      <name val="Times New Roman"/>
      <family val="1"/>
    </font>
    <font>
      <sz val="10"/>
      <color rgb="FF0066FF"/>
      <name val="Arial"/>
      <family val="2"/>
    </font>
    <font>
      <b/>
      <sz val="14"/>
      <color theme="1"/>
      <name val="Times New Roman"/>
      <family val="1"/>
    </font>
    <font>
      <sz val="12"/>
      <color theme="1"/>
      <name val="Arial"/>
      <family val="2"/>
    </font>
    <font>
      <b/>
      <sz val="13"/>
      <color theme="1"/>
      <name val="Times New Roman"/>
      <family val="1"/>
    </font>
    <font>
      <sz val="12"/>
      <color theme="1"/>
      <name val="Symbol"/>
      <family val="1"/>
      <charset val="2"/>
    </font>
    <font>
      <b/>
      <u/>
      <sz val="12"/>
      <color theme="1"/>
      <name val="Times New Roman"/>
      <family val="1"/>
    </font>
    <font>
      <i/>
      <u/>
      <sz val="12"/>
      <color theme="1"/>
      <name val="Times New Roman"/>
      <family val="1"/>
    </font>
    <font>
      <sz val="10"/>
      <color theme="0"/>
      <name val="Times New Roman"/>
      <family val="1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6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8"/>
      </patternFill>
    </fill>
    <fill>
      <patternFill patternType="solid">
        <fgColor theme="0" tint="-0.249977111117893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</fills>
  <borders count="155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indexed="8"/>
      </right>
      <top style="thick">
        <color indexed="64"/>
      </top>
      <bottom/>
      <diagonal/>
    </border>
    <border>
      <left/>
      <right style="thin">
        <color indexed="8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8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8"/>
      </right>
      <top style="thin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ck">
        <color indexed="8"/>
      </bottom>
      <diagonal/>
    </border>
    <border>
      <left/>
      <right style="thin">
        <color indexed="8"/>
      </right>
      <top style="thin">
        <color indexed="64"/>
      </top>
      <bottom style="thick">
        <color indexed="8"/>
      </bottom>
      <diagonal/>
    </border>
    <border>
      <left style="thin">
        <color indexed="8"/>
      </left>
      <right style="thick">
        <color indexed="64"/>
      </right>
      <top style="thin">
        <color indexed="64"/>
      </top>
      <bottom style="thick">
        <color indexed="8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ck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253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/>
    </xf>
    <xf numFmtId="166" fontId="14" fillId="0" borderId="0" applyFont="0" applyAlignment="0" applyProtection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167" fontId="17" fillId="0" borderId="0"/>
    <xf numFmtId="167" fontId="17" fillId="0" borderId="0"/>
    <xf numFmtId="0" fontId="27" fillId="0" borderId="0"/>
    <xf numFmtId="0" fontId="17" fillId="0" borderId="0"/>
    <xf numFmtId="0" fontId="22" fillId="0" borderId="0"/>
    <xf numFmtId="0" fontId="8" fillId="0" borderId="0"/>
    <xf numFmtId="0" fontId="8" fillId="0" borderId="0">
      <alignment wrapText="1"/>
    </xf>
    <xf numFmtId="9" fontId="8" fillId="0" borderId="0" applyFont="0" applyFill="0" applyBorder="0" applyAlignment="0" applyProtection="0"/>
    <xf numFmtId="167" fontId="24" fillId="0" borderId="0">
      <alignment horizontal="left"/>
    </xf>
    <xf numFmtId="0" fontId="34" fillId="0" borderId="0">
      <alignment wrapText="1"/>
    </xf>
    <xf numFmtId="0" fontId="17" fillId="0" borderId="0"/>
    <xf numFmtId="0" fontId="16" fillId="0" borderId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81" fontId="54" fillId="0" borderId="0"/>
    <xf numFmtId="0" fontId="55" fillId="0" borderId="0"/>
    <xf numFmtId="9" fontId="5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5" fillId="0" borderId="0" applyFont="0" applyFill="0" applyBorder="0" applyAlignment="0" applyProtection="0"/>
    <xf numFmtId="41" fontId="56" fillId="0" borderId="0" applyFont="0" applyFill="0" applyBorder="0" applyAlignment="0" applyProtection="0"/>
    <xf numFmtId="0" fontId="53" fillId="0" borderId="0"/>
    <xf numFmtId="9" fontId="8" fillId="0" borderId="0" applyFont="0" applyFill="0" applyBorder="0" applyAlignment="0" applyProtection="0"/>
    <xf numFmtId="166" fontId="16" fillId="0" borderId="0"/>
    <xf numFmtId="0" fontId="8" fillId="0" borderId="0"/>
    <xf numFmtId="0" fontId="53" fillId="0" borderId="0"/>
    <xf numFmtId="0" fontId="8" fillId="0" borderId="0"/>
    <xf numFmtId="9" fontId="5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6" fillId="0" borderId="0" applyFont="0" applyFill="0" applyBorder="0" applyAlignment="0" applyProtection="0"/>
    <xf numFmtId="4" fontId="61" fillId="8" borderId="0" applyNumberFormat="0" applyProtection="0">
      <alignment horizontal="left" vertical="center" indent="1"/>
    </xf>
    <xf numFmtId="4" fontId="62" fillId="0" borderId="0" applyNumberFormat="0" applyProtection="0">
      <alignment horizontal="left" vertical="center"/>
    </xf>
    <xf numFmtId="43" fontId="8" fillId="0" borderId="0" applyFont="0" applyFill="0" applyBorder="0" applyAlignment="0" applyProtection="0"/>
    <xf numFmtId="0" fontId="54" fillId="0" borderId="0"/>
    <xf numFmtId="9" fontId="54" fillId="0" borderId="0" applyFont="0" applyFill="0" applyBorder="0" applyAlignment="0" applyProtection="0"/>
    <xf numFmtId="44" fontId="8" fillId="0" borderId="0" applyFont="0" applyFill="0" applyBorder="0" applyAlignment="0" applyProtection="0"/>
    <xf numFmtId="167" fontId="63" fillId="0" borderId="0"/>
    <xf numFmtId="9" fontId="63" fillId="0" borderId="0" applyFont="0" applyFill="0" applyBorder="0" applyAlignment="0" applyProtection="0"/>
    <xf numFmtId="0" fontId="64" fillId="0" borderId="0"/>
    <xf numFmtId="43" fontId="2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65" fillId="0" borderId="0" applyFont="0" applyFill="0" applyBorder="0" applyAlignment="0" applyProtection="0"/>
    <xf numFmtId="0" fontId="66" fillId="0" borderId="0"/>
    <xf numFmtId="167" fontId="16" fillId="0" borderId="0"/>
    <xf numFmtId="0" fontId="16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" fillId="0" borderId="0" applyFont="0" applyFill="0" applyBorder="0" applyAlignment="0" applyProtection="0"/>
    <xf numFmtId="193" fontId="67" fillId="0" borderId="0" applyFont="0" applyFill="0" applyBorder="0" applyProtection="0">
      <alignment horizontal="right"/>
    </xf>
    <xf numFmtId="188" fontId="68" fillId="0" borderId="0" applyNumberFormat="0" applyFill="0" applyBorder="0" applyAlignment="0" applyProtection="0"/>
    <xf numFmtId="0" fontId="26" fillId="0" borderId="81" applyNumberFormat="0" applyBorder="0" applyAlignment="0"/>
    <xf numFmtId="0" fontId="4" fillId="0" borderId="0"/>
    <xf numFmtId="0" fontId="4" fillId="0" borderId="0"/>
    <xf numFmtId="0" fontId="4" fillId="10" borderId="80" applyNumberFormat="0" applyFont="0" applyAlignment="0" applyProtection="0"/>
    <xf numFmtId="0" fontId="4" fillId="10" borderId="80" applyNumberFormat="0" applyFont="0" applyAlignment="0" applyProtection="0"/>
    <xf numFmtId="12" fontId="49" fillId="11" borderId="33">
      <alignment horizontal="left"/>
    </xf>
    <xf numFmtId="4" fontId="61" fillId="12" borderId="82" applyNumberFormat="0" applyProtection="0">
      <alignment vertical="center"/>
    </xf>
    <xf numFmtId="4" fontId="69" fillId="13" borderId="82" applyNumberFormat="0" applyProtection="0">
      <alignment vertical="center"/>
    </xf>
    <xf numFmtId="4" fontId="61" fillId="13" borderId="82" applyNumberFormat="0" applyProtection="0">
      <alignment vertical="center"/>
    </xf>
    <xf numFmtId="0" fontId="61" fillId="13" borderId="82" applyNumberFormat="0" applyProtection="0">
      <alignment horizontal="left" vertical="top" indent="1"/>
    </xf>
    <xf numFmtId="4" fontId="35" fillId="14" borderId="82" applyNumberFormat="0" applyProtection="0">
      <alignment horizontal="right" vertical="center"/>
    </xf>
    <xf numFmtId="4" fontId="35" fillId="15" borderId="82" applyNumberFormat="0" applyProtection="0">
      <alignment horizontal="right" vertical="center"/>
    </xf>
    <xf numFmtId="4" fontId="35" fillId="16" borderId="82" applyNumberFormat="0" applyProtection="0">
      <alignment horizontal="right" vertical="center"/>
    </xf>
    <xf numFmtId="4" fontId="35" fillId="17" borderId="82" applyNumberFormat="0" applyProtection="0">
      <alignment horizontal="right" vertical="center"/>
    </xf>
    <xf numFmtId="4" fontId="35" fillId="18" borderId="82" applyNumberFormat="0" applyProtection="0">
      <alignment horizontal="right" vertical="center"/>
    </xf>
    <xf numFmtId="4" fontId="35" fillId="19" borderId="82" applyNumberFormat="0" applyProtection="0">
      <alignment horizontal="right" vertical="center"/>
    </xf>
    <xf numFmtId="4" fontId="35" fillId="20" borderId="82" applyNumberFormat="0" applyProtection="0">
      <alignment horizontal="right" vertical="center"/>
    </xf>
    <xf numFmtId="4" fontId="35" fillId="21" borderId="82" applyNumberFormat="0" applyProtection="0">
      <alignment horizontal="right" vertical="center"/>
    </xf>
    <xf numFmtId="4" fontId="35" fillId="22" borderId="82" applyNumberFormat="0" applyProtection="0">
      <alignment horizontal="right" vertical="center"/>
    </xf>
    <xf numFmtId="4" fontId="61" fillId="23" borderId="83" applyNumberFormat="0" applyProtection="0">
      <alignment horizontal="left" vertical="center" indent="1"/>
    </xf>
    <xf numFmtId="4" fontId="35" fillId="24" borderId="0" applyNumberFormat="0" applyProtection="0">
      <alignment horizontal="left" vertical="center" indent="1"/>
    </xf>
    <xf numFmtId="4" fontId="70" fillId="25" borderId="0" applyNumberFormat="0" applyProtection="0">
      <alignment horizontal="left" vertical="center" indent="1"/>
    </xf>
    <xf numFmtId="4" fontId="35" fillId="26" borderId="82" applyNumberFormat="0" applyProtection="0">
      <alignment horizontal="right" vertical="center"/>
    </xf>
    <xf numFmtId="4" fontId="71" fillId="0" borderId="0" applyNumberFormat="0" applyProtection="0">
      <alignment horizontal="left" vertical="center" indent="1"/>
    </xf>
    <xf numFmtId="4" fontId="72" fillId="0" borderId="0" applyNumberFormat="0" applyProtection="0">
      <alignment horizontal="left" vertical="center" indent="1"/>
    </xf>
    <xf numFmtId="0" fontId="8" fillId="25" borderId="82" applyNumberFormat="0" applyProtection="0">
      <alignment horizontal="left" vertical="center" indent="1"/>
    </xf>
    <xf numFmtId="0" fontId="8" fillId="25" borderId="82" applyNumberFormat="0" applyProtection="0">
      <alignment horizontal="left" vertical="top" indent="1"/>
    </xf>
    <xf numFmtId="0" fontId="8" fillId="8" borderId="82" applyNumberFormat="0" applyProtection="0">
      <alignment horizontal="left" vertical="center" indent="1"/>
    </xf>
    <xf numFmtId="0" fontId="8" fillId="8" borderId="82" applyNumberFormat="0" applyProtection="0">
      <alignment horizontal="left" vertical="top" indent="1"/>
    </xf>
    <xf numFmtId="0" fontId="8" fillId="27" borderId="82" applyNumberFormat="0" applyProtection="0">
      <alignment horizontal="left" vertical="center" indent="1"/>
    </xf>
    <xf numFmtId="0" fontId="8" fillId="27" borderId="82" applyNumberFormat="0" applyProtection="0">
      <alignment horizontal="left" vertical="top" indent="1"/>
    </xf>
    <xf numFmtId="0" fontId="8" fillId="28" borderId="82" applyNumberFormat="0" applyProtection="0">
      <alignment horizontal="left" vertical="center" indent="1"/>
    </xf>
    <xf numFmtId="0" fontId="8" fillId="28" borderId="82" applyNumberFormat="0" applyProtection="0">
      <alignment horizontal="left" vertical="top" indent="1"/>
    </xf>
    <xf numFmtId="4" fontId="35" fillId="29" borderId="82" applyNumberFormat="0" applyProtection="0">
      <alignment vertical="center"/>
    </xf>
    <xf numFmtId="4" fontId="73" fillId="29" borderId="82" applyNumberFormat="0" applyProtection="0">
      <alignment vertical="center"/>
    </xf>
    <xf numFmtId="4" fontId="35" fillId="29" borderId="82" applyNumberFormat="0" applyProtection="0">
      <alignment horizontal="left" vertical="center" indent="1"/>
    </xf>
    <xf numFmtId="0" fontId="35" fillId="29" borderId="82" applyNumberFormat="0" applyProtection="0">
      <alignment horizontal="left" vertical="top" indent="1"/>
    </xf>
    <xf numFmtId="4" fontId="35" fillId="3" borderId="84" applyNumberFormat="0" applyProtection="0">
      <alignment horizontal="right" vertical="center"/>
    </xf>
    <xf numFmtId="4" fontId="73" fillId="24" borderId="82" applyNumberFormat="0" applyProtection="0">
      <alignment horizontal="right" vertical="center"/>
    </xf>
    <xf numFmtId="4" fontId="35" fillId="3" borderId="82" applyNumberFormat="0" applyProtection="0">
      <alignment horizontal="left" vertical="center" indent="1"/>
    </xf>
    <xf numFmtId="0" fontId="35" fillId="8" borderId="82" applyNumberFormat="0" applyProtection="0">
      <alignment horizontal="center" vertical="top"/>
    </xf>
    <xf numFmtId="4" fontId="40" fillId="24" borderId="82" applyNumberFormat="0" applyProtection="0">
      <alignment horizontal="right" vertical="center"/>
    </xf>
    <xf numFmtId="194" fontId="8" fillId="0" borderId="0" applyFill="0" applyBorder="0" applyAlignment="0" applyProtection="0">
      <alignment wrapText="1"/>
    </xf>
    <xf numFmtId="0" fontId="31" fillId="0" borderId="0" applyNumberFormat="0" applyFill="0" applyBorder="0">
      <alignment horizontal="center" wrapText="1"/>
    </xf>
    <xf numFmtId="0" fontId="31" fillId="0" borderId="0" applyNumberFormat="0" applyFill="0" applyBorder="0">
      <alignment horizontal="center" wrapText="1"/>
    </xf>
    <xf numFmtId="37" fontId="26" fillId="13" borderId="0" applyNumberFormat="0" applyBorder="0" applyAlignment="0" applyProtection="0"/>
    <xf numFmtId="37" fontId="26" fillId="0" borderId="0"/>
    <xf numFmtId="3" fontId="74" fillId="30" borderId="85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9" borderId="0" applyNumberFormat="0" applyBorder="0" applyAlignment="0" applyProtection="0"/>
    <xf numFmtId="0" fontId="3" fillId="41" borderId="0" applyNumberFormat="0" applyBorder="0" applyAlignment="0" applyProtection="0"/>
    <xf numFmtId="0" fontId="3" fillId="32" borderId="0" applyNumberFormat="0" applyBorder="0" applyAlignment="0" applyProtection="0"/>
    <xf numFmtId="0" fontId="3" fillId="34" borderId="0" applyNumberFormat="0" applyBorder="0" applyAlignment="0" applyProtection="0"/>
    <xf numFmtId="0" fontId="3" fillId="36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2" borderId="0" applyNumberFormat="0" applyBorder="0" applyAlignment="0" applyProtection="0"/>
    <xf numFmtId="0" fontId="76" fillId="0" borderId="0"/>
    <xf numFmtId="43" fontId="2" fillId="0" borderId="0" applyFont="0" applyFill="0" applyBorder="0" applyAlignment="0" applyProtection="0"/>
    <xf numFmtId="167" fontId="78" fillId="0" borderId="0"/>
    <xf numFmtId="44" fontId="2" fillId="0" borderId="0" applyFont="0" applyFill="0" applyBorder="0" applyAlignment="0" applyProtection="0"/>
    <xf numFmtId="0" fontId="8" fillId="0" borderId="0"/>
    <xf numFmtId="0" fontId="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" fillId="0" borderId="0"/>
    <xf numFmtId="0" fontId="98" fillId="0" borderId="0"/>
    <xf numFmtId="0" fontId="8" fillId="0" borderId="0"/>
    <xf numFmtId="0" fontId="116" fillId="0" borderId="0"/>
    <xf numFmtId="41" fontId="5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159">
    <xf numFmtId="0" fontId="0" fillId="0" borderId="0" xfId="0"/>
    <xf numFmtId="0" fontId="9" fillId="0" borderId="0" xfId="0" applyFont="1" applyFill="1" applyProtection="1"/>
    <xf numFmtId="0" fontId="9" fillId="0" borderId="0" xfId="0" applyFont="1" applyFill="1" applyAlignment="1" applyProtection="1">
      <alignment horizontal="centerContinuous"/>
    </xf>
    <xf numFmtId="5" fontId="9" fillId="0" borderId="0" xfId="0" applyNumberFormat="1" applyFont="1" applyFill="1" applyProtection="1"/>
    <xf numFmtId="0" fontId="9" fillId="0" borderId="0" xfId="0" applyFont="1" applyFill="1" applyAlignment="1" applyProtection="1">
      <alignment horizontal="center"/>
    </xf>
    <xf numFmtId="0" fontId="9" fillId="0" borderId="1" xfId="0" applyFont="1" applyFill="1" applyBorder="1" applyAlignment="1" applyProtection="1">
      <alignment horizontal="centerContinuous"/>
    </xf>
    <xf numFmtId="0" fontId="9" fillId="0" borderId="2" xfId="0" applyFont="1" applyFill="1" applyBorder="1" applyAlignment="1" applyProtection="1">
      <alignment horizontal="centerContinuous"/>
    </xf>
    <xf numFmtId="0" fontId="9" fillId="0" borderId="3" xfId="0" applyFont="1" applyFill="1" applyBorder="1" applyAlignment="1" applyProtection="1">
      <alignment horizontal="center"/>
    </xf>
    <xf numFmtId="5" fontId="9" fillId="0" borderId="4" xfId="0" applyNumberFormat="1" applyFont="1" applyFill="1" applyBorder="1" applyProtection="1"/>
    <xf numFmtId="0" fontId="9" fillId="0" borderId="2" xfId="0" applyFont="1" applyFill="1" applyBorder="1" applyProtection="1"/>
    <xf numFmtId="0" fontId="0" fillId="0" borderId="0" xfId="0" applyFill="1"/>
    <xf numFmtId="5" fontId="13" fillId="0" borderId="5" xfId="0" applyNumberFormat="1" applyFont="1" applyFill="1" applyBorder="1" applyProtection="1"/>
    <xf numFmtId="0" fontId="9" fillId="0" borderId="1" xfId="0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Continuous"/>
    </xf>
    <xf numFmtId="0" fontId="13" fillId="0" borderId="0" xfId="0" applyFont="1" applyFill="1" applyAlignment="1" applyProtection="1">
      <alignment horizontal="centerContinuous"/>
    </xf>
    <xf numFmtId="0" fontId="16" fillId="0" borderId="0" xfId="0" applyFont="1" applyFill="1"/>
    <xf numFmtId="0" fontId="19" fillId="0" borderId="0" xfId="0" applyFont="1" applyFill="1"/>
    <xf numFmtId="0" fontId="16" fillId="0" borderId="0" xfId="0" applyFont="1" applyFill="1" applyBorder="1"/>
    <xf numFmtId="0" fontId="16" fillId="0" borderId="7" xfId="0" applyFont="1" applyFill="1" applyBorder="1"/>
    <xf numFmtId="166" fontId="16" fillId="0" borderId="0" xfId="0" applyNumberFormat="1" applyFont="1" applyFill="1" applyBorder="1"/>
    <xf numFmtId="166" fontId="16" fillId="0" borderId="7" xfId="0" applyNumberFormat="1" applyFont="1" applyFill="1" applyBorder="1"/>
    <xf numFmtId="0" fontId="15" fillId="0" borderId="0" xfId="0" applyFont="1" applyFill="1"/>
    <xf numFmtId="166" fontId="15" fillId="0" borderId="0" xfId="0" applyNumberFormat="1" applyFont="1" applyFill="1"/>
    <xf numFmtId="166" fontId="16" fillId="0" borderId="9" xfId="0" applyNumberFormat="1" applyFont="1" applyFill="1" applyBorder="1"/>
    <xf numFmtId="166" fontId="16" fillId="0" borderId="10" xfId="0" applyNumberFormat="1" applyFont="1" applyFill="1" applyBorder="1"/>
    <xf numFmtId="0" fontId="20" fillId="0" borderId="0" xfId="0" applyFont="1" applyFill="1"/>
    <xf numFmtId="166" fontId="16" fillId="0" borderId="12" xfId="0" applyNumberFormat="1" applyFont="1" applyFill="1" applyBorder="1"/>
    <xf numFmtId="0" fontId="13" fillId="0" borderId="0" xfId="0" applyFont="1" applyFill="1" applyAlignment="1" applyProtection="1">
      <alignment horizontal="center"/>
    </xf>
    <xf numFmtId="166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0" fontId="9" fillId="0" borderId="13" xfId="0" applyFont="1" applyFill="1" applyBorder="1" applyAlignment="1" applyProtection="1">
      <alignment horizontal="centerContinuous"/>
    </xf>
    <xf numFmtId="0" fontId="9" fillId="0" borderId="3" xfId="0" applyFont="1" applyFill="1" applyBorder="1" applyAlignment="1" applyProtection="1">
      <alignment horizontal="centerContinuous"/>
    </xf>
    <xf numFmtId="0" fontId="9" fillId="0" borderId="14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left"/>
    </xf>
    <xf numFmtId="0" fontId="9" fillId="0" borderId="4" xfId="0" applyFont="1" applyFill="1" applyBorder="1" applyProtection="1"/>
    <xf numFmtId="5" fontId="13" fillId="0" borderId="5" xfId="0" applyNumberFormat="1" applyFont="1" applyFill="1" applyBorder="1" applyProtection="1">
      <protection locked="0"/>
    </xf>
    <xf numFmtId="37" fontId="9" fillId="0" borderId="0" xfId="0" applyNumberFormat="1" applyFont="1" applyFill="1" applyProtection="1"/>
    <xf numFmtId="0" fontId="9" fillId="0" borderId="16" xfId="0" applyFont="1" applyFill="1" applyBorder="1" applyAlignment="1" applyProtection="1">
      <alignment horizontal="left"/>
    </xf>
    <xf numFmtId="0" fontId="9" fillId="0" borderId="5" xfId="0" applyFont="1" applyFill="1" applyBorder="1" applyProtection="1"/>
    <xf numFmtId="0" fontId="9" fillId="0" borderId="17" xfId="0" applyFont="1" applyFill="1" applyBorder="1" applyAlignment="1" applyProtection="1">
      <alignment horizontal="left"/>
    </xf>
    <xf numFmtId="0" fontId="13" fillId="0" borderId="2" xfId="0" applyFont="1" applyFill="1" applyBorder="1" applyAlignment="1" applyProtection="1">
      <alignment horizontal="center"/>
    </xf>
    <xf numFmtId="0" fontId="0" fillId="0" borderId="0" xfId="0" applyFill="1" applyAlignment="1">
      <alignment horizontal="left"/>
    </xf>
    <xf numFmtId="0" fontId="9" fillId="0" borderId="0" xfId="0" applyFont="1" applyFill="1" applyAlignment="1" applyProtection="1">
      <alignment horizontal="left"/>
    </xf>
    <xf numFmtId="164" fontId="9" fillId="0" borderId="0" xfId="0" applyNumberFormat="1" applyFont="1" applyFill="1" applyProtection="1"/>
    <xf numFmtId="5" fontId="13" fillId="0" borderId="18" xfId="0" applyNumberFormat="1" applyFont="1" applyFill="1" applyBorder="1" applyProtection="1"/>
    <xf numFmtId="5" fontId="9" fillId="0" borderId="2" xfId="0" applyNumberFormat="1" applyFont="1" applyFill="1" applyBorder="1" applyAlignment="1" applyProtection="1">
      <alignment horizontal="center"/>
    </xf>
    <xf numFmtId="0" fontId="9" fillId="0" borderId="5" xfId="0" applyFont="1" applyFill="1" applyBorder="1" applyAlignment="1" applyProtection="1">
      <alignment horizontal="center"/>
    </xf>
    <xf numFmtId="0" fontId="13" fillId="0" borderId="5" xfId="0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6" fillId="0" borderId="2" xfId="0" applyFont="1" applyFill="1" applyBorder="1" applyAlignment="1" applyProtection="1">
      <alignment horizontal="center"/>
    </xf>
    <xf numFmtId="0" fontId="16" fillId="0" borderId="5" xfId="0" applyFont="1" applyFill="1" applyBorder="1" applyAlignment="1" applyProtection="1">
      <alignment horizontal="center"/>
    </xf>
    <xf numFmtId="5" fontId="16" fillId="0" borderId="5" xfId="0" applyNumberFormat="1" applyFont="1" applyFill="1" applyBorder="1" applyProtection="1"/>
    <xf numFmtId="5" fontId="16" fillId="0" borderId="5" xfId="0" applyNumberFormat="1" applyFont="1" applyFill="1" applyBorder="1" applyProtection="1">
      <protection locked="0"/>
    </xf>
    <xf numFmtId="5" fontId="16" fillId="0" borderId="18" xfId="0" applyNumberFormat="1" applyFont="1" applyFill="1" applyBorder="1" applyProtection="1"/>
    <xf numFmtId="0" fontId="16" fillId="0" borderId="10" xfId="0" applyFont="1" applyFill="1" applyBorder="1" applyAlignment="1">
      <alignment horizontal="center"/>
    </xf>
    <xf numFmtId="0" fontId="18" fillId="0" borderId="0" xfId="0" applyFont="1" applyFill="1" applyAlignment="1" applyProtection="1">
      <alignment horizontal="left"/>
    </xf>
    <xf numFmtId="166" fontId="16" fillId="0" borderId="18" xfId="0" applyNumberFormat="1" applyFont="1" applyFill="1" applyBorder="1"/>
    <xf numFmtId="166" fontId="16" fillId="0" borderId="14" xfId="0" applyNumberFormat="1" applyFont="1" applyFill="1" applyBorder="1"/>
    <xf numFmtId="37" fontId="9" fillId="0" borderId="4" xfId="0" applyNumberFormat="1" applyFont="1" applyFill="1" applyBorder="1" applyProtection="1"/>
    <xf numFmtId="37" fontId="13" fillId="0" borderId="5" xfId="0" applyNumberFormat="1" applyFont="1" applyFill="1" applyBorder="1" applyProtection="1"/>
    <xf numFmtId="0" fontId="0" fillId="0" borderId="0" xfId="0" applyFill="1" applyAlignment="1">
      <alignment horizontal="centerContinuous"/>
    </xf>
    <xf numFmtId="0" fontId="19" fillId="0" borderId="0" xfId="0" applyFont="1" applyFill="1" applyAlignment="1">
      <alignment horizontal="centerContinuous"/>
    </xf>
    <xf numFmtId="0" fontId="21" fillId="0" borderId="0" xfId="0" quotePrefix="1" applyFont="1" applyFill="1"/>
    <xf numFmtId="0" fontId="13" fillId="0" borderId="0" xfId="0" applyFont="1" applyFill="1" applyBorder="1" applyAlignment="1" applyProtection="1">
      <alignment horizontal="center"/>
    </xf>
    <xf numFmtId="167" fontId="17" fillId="0" borderId="0" xfId="18" applyFill="1" applyAlignment="1">
      <alignment horizontal="left"/>
    </xf>
    <xf numFmtId="166" fontId="17" fillId="0" borderId="12" xfId="1" applyNumberFormat="1" applyFont="1" applyFill="1" applyBorder="1"/>
    <xf numFmtId="166" fontId="17" fillId="0" borderId="0" xfId="1" applyNumberFormat="1" applyFont="1" applyFill="1"/>
    <xf numFmtId="0" fontId="0" fillId="0" borderId="0" xfId="0" applyAlignment="1">
      <alignment horizontal="center"/>
    </xf>
    <xf numFmtId="3" fontId="0" fillId="0" borderId="0" xfId="0" applyNumberFormat="1"/>
    <xf numFmtId="166" fontId="17" fillId="0" borderId="9" xfId="1" applyNumberFormat="1" applyFont="1" applyFill="1" applyBorder="1"/>
    <xf numFmtId="167" fontId="17" fillId="0" borderId="9" xfId="17" applyFill="1" applyBorder="1" applyAlignment="1">
      <alignment horizontal="right"/>
    </xf>
    <xf numFmtId="166" fontId="17" fillId="0" borderId="9" xfId="1" applyNumberFormat="1" applyFont="1" applyFill="1" applyBorder="1" applyAlignment="1">
      <alignment horizontal="right"/>
    </xf>
    <xf numFmtId="166" fontId="17" fillId="0" borderId="0" xfId="1" applyNumberFormat="1" applyFont="1" applyFill="1" applyBorder="1"/>
    <xf numFmtId="167" fontId="29" fillId="0" borderId="0" xfId="17" applyFont="1" applyFill="1" applyAlignment="1">
      <alignment horizontal="centerContinuous"/>
    </xf>
    <xf numFmtId="167" fontId="17" fillId="0" borderId="0" xfId="17" applyFill="1"/>
    <xf numFmtId="165" fontId="17" fillId="0" borderId="0" xfId="2" applyNumberFormat="1" applyFont="1" applyFill="1"/>
    <xf numFmtId="165" fontId="17" fillId="0" borderId="0" xfId="17" applyNumberFormat="1" applyFill="1"/>
    <xf numFmtId="167" fontId="19" fillId="0" borderId="0" xfId="17" applyFont="1" applyFill="1" applyAlignment="1">
      <alignment horizontal="center"/>
    </xf>
    <xf numFmtId="167" fontId="19" fillId="0" borderId="0" xfId="17" applyFont="1" applyFill="1"/>
    <xf numFmtId="37" fontId="19" fillId="0" borderId="0" xfId="17" quotePrefix="1" applyNumberFormat="1" applyFont="1" applyFill="1" applyAlignment="1">
      <alignment horizontal="center"/>
    </xf>
    <xf numFmtId="0" fontId="19" fillId="0" borderId="0" xfId="0" applyFont="1"/>
    <xf numFmtId="167" fontId="19" fillId="0" borderId="0" xfId="17" applyFont="1" applyFill="1" applyBorder="1" applyAlignment="1">
      <alignment horizontal="center"/>
    </xf>
    <xf numFmtId="167" fontId="29" fillId="0" borderId="0" xfId="17" applyFont="1" applyFill="1" applyBorder="1" applyAlignment="1">
      <alignment horizontal="center"/>
    </xf>
    <xf numFmtId="167" fontId="29" fillId="0" borderId="0" xfId="17" applyFont="1" applyFill="1" applyBorder="1" applyAlignment="1">
      <alignment horizontal="left"/>
    </xf>
    <xf numFmtId="38" fontId="0" fillId="0" borderId="0" xfId="0" applyNumberFormat="1"/>
    <xf numFmtId="0" fontId="0" fillId="0" borderId="0" xfId="0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5" fontId="0" fillId="0" borderId="0" xfId="0" applyNumberFormat="1" applyFill="1"/>
    <xf numFmtId="167" fontId="17" fillId="0" borderId="0" xfId="17" applyFill="1" applyBorder="1"/>
    <xf numFmtId="174" fontId="29" fillId="0" borderId="0" xfId="17" applyNumberFormat="1" applyFont="1" applyFill="1" applyAlignment="1">
      <alignment horizontal="centerContinuous"/>
    </xf>
    <xf numFmtId="174" fontId="19" fillId="0" borderId="0" xfId="17" applyNumberFormat="1" applyFont="1" applyFill="1"/>
    <xf numFmtId="174" fontId="17" fillId="0" borderId="0" xfId="17" applyNumberFormat="1" applyFill="1"/>
    <xf numFmtId="174" fontId="17" fillId="0" borderId="0" xfId="2" applyNumberFormat="1" applyFont="1" applyFill="1"/>
    <xf numFmtId="174" fontId="17" fillId="0" borderId="0" xfId="1" applyNumberFormat="1" applyFont="1" applyFill="1"/>
    <xf numFmtId="174" fontId="17" fillId="0" borderId="9" xfId="2" applyNumberFormat="1" applyFont="1" applyFill="1" applyBorder="1"/>
    <xf numFmtId="174" fontId="17" fillId="0" borderId="0" xfId="2" applyNumberFormat="1" applyFont="1" applyFill="1" applyBorder="1"/>
    <xf numFmtId="174" fontId="17" fillId="0" borderId="12" xfId="2" applyNumberFormat="1" applyFont="1" applyFill="1" applyBorder="1"/>
    <xf numFmtId="0" fontId="0" fillId="0" borderId="0" xfId="0" applyBorder="1"/>
    <xf numFmtId="0" fontId="0" fillId="2" borderId="0" xfId="0" applyFill="1"/>
    <xf numFmtId="7" fontId="0" fillId="0" borderId="0" xfId="0" applyNumberFormat="1" applyFill="1"/>
    <xf numFmtId="167" fontId="17" fillId="0" borderId="0" xfId="17" applyFont="1" applyFill="1"/>
    <xf numFmtId="0" fontId="21" fillId="0" borderId="0" xfId="0" applyFont="1" applyFill="1"/>
    <xf numFmtId="0" fontId="0" fillId="0" borderId="0" xfId="0" applyAlignment="1">
      <alignment horizontal="centerContinuous"/>
    </xf>
    <xf numFmtId="0" fontId="8" fillId="0" borderId="0" xfId="22" applyFont="1"/>
    <xf numFmtId="0" fontId="8" fillId="0" borderId="0" xfId="22"/>
    <xf numFmtId="0" fontId="31" fillId="0" borderId="0" xfId="22" applyFont="1"/>
    <xf numFmtId="0" fontId="31" fillId="0" borderId="25" xfId="22" applyFont="1" applyBorder="1"/>
    <xf numFmtId="0" fontId="31" fillId="0" borderId="26" xfId="22" applyFont="1" applyBorder="1"/>
    <xf numFmtId="0" fontId="31" fillId="0" borderId="27" xfId="22" applyFont="1" applyBorder="1"/>
    <xf numFmtId="0" fontId="31" fillId="0" borderId="28" xfId="22" applyFont="1" applyBorder="1"/>
    <xf numFmtId="0" fontId="8" fillId="0" borderId="29" xfId="22" applyFont="1" applyBorder="1"/>
    <xf numFmtId="3" fontId="8" fillId="0" borderId="7" xfId="22" applyNumberFormat="1" applyBorder="1"/>
    <xf numFmtId="3" fontId="8" fillId="0" borderId="0" xfId="22" applyNumberFormat="1" applyBorder="1"/>
    <xf numFmtId="3" fontId="8" fillId="0" borderId="30" xfId="22" applyNumberFormat="1" applyBorder="1"/>
    <xf numFmtId="0" fontId="8" fillId="0" borderId="31" xfId="22" applyFont="1" applyBorder="1"/>
    <xf numFmtId="3" fontId="8" fillId="0" borderId="32" xfId="22" applyNumberFormat="1" applyBorder="1"/>
    <xf numFmtId="3" fontId="8" fillId="0" borderId="33" xfId="22" applyNumberFormat="1" applyBorder="1"/>
    <xf numFmtId="3" fontId="8" fillId="0" borderId="34" xfId="22" applyNumberFormat="1" applyBorder="1"/>
    <xf numFmtId="0" fontId="19" fillId="0" borderId="9" xfId="0" applyFont="1" applyBorder="1" applyAlignment="1">
      <alignment horizontal="center"/>
    </xf>
    <xf numFmtId="0" fontId="19" fillId="0" borderId="0" xfId="0" applyFont="1" applyAlignment="1">
      <alignment horizontal="centerContinuous"/>
    </xf>
    <xf numFmtId="0" fontId="8" fillId="0" borderId="0" xfId="23">
      <alignment wrapText="1"/>
    </xf>
    <xf numFmtId="169" fontId="0" fillId="0" borderId="0" xfId="0" applyNumberFormat="1" applyFill="1"/>
    <xf numFmtId="178" fontId="35" fillId="3" borderId="13" xfId="0" applyNumberFormat="1" applyFont="1" applyFill="1" applyBorder="1" applyAlignment="1">
      <alignment horizontal="left" vertical="top"/>
    </xf>
    <xf numFmtId="178" fontId="35" fillId="3" borderId="18" xfId="0" applyNumberFormat="1" applyFont="1" applyFill="1" applyBorder="1" applyAlignment="1">
      <alignment horizontal="left" vertical="top"/>
    </xf>
    <xf numFmtId="0" fontId="8" fillId="0" borderId="0" xfId="23" applyAlignment="1">
      <alignment horizontal="center" wrapText="1"/>
    </xf>
    <xf numFmtId="1" fontId="0" fillId="0" borderId="0" xfId="0" applyNumberFormat="1"/>
    <xf numFmtId="0" fontId="0" fillId="0" borderId="0" xfId="0" applyAlignment="1">
      <alignment horizontal="right"/>
    </xf>
    <xf numFmtId="10" fontId="8" fillId="0" borderId="0" xfId="23" applyNumberFormat="1">
      <alignment wrapText="1"/>
    </xf>
    <xf numFmtId="0" fontId="8" fillId="0" borderId="0" xfId="5">
      <alignment wrapText="1"/>
    </xf>
    <xf numFmtId="0" fontId="8" fillId="0" borderId="0" xfId="6">
      <alignment wrapText="1"/>
    </xf>
    <xf numFmtId="0" fontId="8" fillId="0" borderId="0" xfId="12">
      <alignment wrapText="1"/>
    </xf>
    <xf numFmtId="0" fontId="8" fillId="0" borderId="0" xfId="9">
      <alignment wrapText="1"/>
    </xf>
    <xf numFmtId="0" fontId="8" fillId="0" borderId="0" xfId="10">
      <alignment wrapText="1"/>
    </xf>
    <xf numFmtId="0" fontId="8" fillId="0" borderId="0" xfId="7">
      <alignment wrapText="1"/>
    </xf>
    <xf numFmtId="0" fontId="8" fillId="0" borderId="0" xfId="14">
      <alignment wrapText="1"/>
    </xf>
    <xf numFmtId="0" fontId="8" fillId="0" borderId="0" xfId="16">
      <alignment wrapText="1"/>
    </xf>
    <xf numFmtId="0" fontId="8" fillId="0" borderId="0" xfId="8">
      <alignment wrapText="1"/>
    </xf>
    <xf numFmtId="3" fontId="8" fillId="0" borderId="0" xfId="8" applyNumberFormat="1">
      <alignment wrapText="1"/>
    </xf>
    <xf numFmtId="0" fontId="8" fillId="0" borderId="0" xfId="13">
      <alignment wrapText="1"/>
    </xf>
    <xf numFmtId="0" fontId="8" fillId="0" borderId="0" xfId="15">
      <alignment wrapText="1"/>
    </xf>
    <xf numFmtId="179" fontId="8" fillId="0" borderId="0" xfId="16" applyNumberFormat="1">
      <alignment wrapText="1"/>
    </xf>
    <xf numFmtId="37" fontId="0" fillId="0" borderId="0" xfId="0" applyNumberFormat="1"/>
    <xf numFmtId="5" fontId="17" fillId="0" borderId="0" xfId="2" applyNumberFormat="1" applyFont="1" applyFill="1"/>
    <xf numFmtId="5" fontId="17" fillId="0" borderId="9" xfId="2" applyNumberFormat="1" applyFont="1" applyFill="1" applyBorder="1"/>
    <xf numFmtId="5" fontId="17" fillId="0" borderId="12" xfId="2" applyNumberFormat="1" applyFont="1" applyFill="1" applyBorder="1"/>
    <xf numFmtId="178" fontId="35" fillId="3" borderId="0" xfId="0" applyNumberFormat="1" applyFont="1" applyFill="1" applyBorder="1" applyAlignment="1">
      <alignment horizontal="left" vertical="top"/>
    </xf>
    <xf numFmtId="182" fontId="35" fillId="3" borderId="0" xfId="0" applyNumberFormat="1" applyFont="1" applyFill="1" applyBorder="1" applyAlignment="1">
      <alignment horizontal="right" vertical="top"/>
    </xf>
    <xf numFmtId="183" fontId="35" fillId="3" borderId="0" xfId="0" applyNumberFormat="1" applyFont="1" applyFill="1" applyBorder="1" applyAlignment="1">
      <alignment horizontal="right" vertical="top"/>
    </xf>
    <xf numFmtId="0" fontId="0" fillId="3" borderId="0" xfId="0" applyFill="1" applyBorder="1"/>
    <xf numFmtId="179" fontId="35" fillId="3" borderId="0" xfId="0" applyNumberFormat="1" applyFont="1" applyFill="1" applyBorder="1" applyAlignment="1">
      <alignment horizontal="right" vertical="top"/>
    </xf>
    <xf numFmtId="0" fontId="8" fillId="0" borderId="0" xfId="23" applyBorder="1">
      <alignment wrapText="1"/>
    </xf>
    <xf numFmtId="0" fontId="8" fillId="3" borderId="0" xfId="23" applyFill="1" applyBorder="1">
      <alignment wrapText="1"/>
    </xf>
    <xf numFmtId="179" fontId="35" fillId="3" borderId="0" xfId="23" applyNumberFormat="1" applyFont="1" applyFill="1" applyBorder="1" applyAlignment="1">
      <alignment horizontal="right" vertical="top"/>
    </xf>
    <xf numFmtId="180" fontId="35" fillId="3" borderId="0" xfId="23" applyNumberFormat="1" applyFont="1" applyFill="1" applyBorder="1" applyAlignment="1">
      <alignment horizontal="right" vertical="top"/>
    </xf>
    <xf numFmtId="0" fontId="8" fillId="0" borderId="0" xfId="13" applyBorder="1">
      <alignment wrapText="1"/>
    </xf>
    <xf numFmtId="0" fontId="8" fillId="0" borderId="0" xfId="5" applyBorder="1">
      <alignment wrapText="1"/>
    </xf>
    <xf numFmtId="0" fontId="8" fillId="0" borderId="0" xfId="5" applyAlignment="1"/>
    <xf numFmtId="0" fontId="8" fillId="0" borderId="0" xfId="7" applyAlignment="1"/>
    <xf numFmtId="10" fontId="0" fillId="0" borderId="0" xfId="0" applyNumberFormat="1" applyFill="1"/>
    <xf numFmtId="174" fontId="17" fillId="0" borderId="0" xfId="17" applyNumberFormat="1" applyFont="1" applyFill="1"/>
    <xf numFmtId="0" fontId="33" fillId="0" borderId="0" xfId="0" applyFont="1" applyBorder="1" applyAlignment="1">
      <alignment horizontal="center"/>
    </xf>
    <xf numFmtId="0" fontId="33" fillId="0" borderId="0" xfId="0" applyFont="1" applyBorder="1"/>
    <xf numFmtId="3" fontId="33" fillId="0" borderId="0" xfId="0" applyNumberFormat="1" applyFont="1" applyBorder="1"/>
    <xf numFmtId="0" fontId="41" fillId="0" borderId="0" xfId="0" applyFont="1" applyBorder="1" applyAlignment="1">
      <alignment horizontal="right"/>
    </xf>
    <xf numFmtId="0" fontId="7" fillId="0" borderId="0" xfId="22" applyFont="1" applyBorder="1" applyAlignment="1">
      <alignment horizontal="right"/>
    </xf>
    <xf numFmtId="0" fontId="8" fillId="0" borderId="0" xfId="23" applyAlignment="1"/>
    <xf numFmtId="0" fontId="8" fillId="0" borderId="0" xfId="16" applyFill="1">
      <alignment wrapText="1"/>
    </xf>
    <xf numFmtId="0" fontId="8" fillId="0" borderId="0" xfId="16" applyAlignment="1"/>
    <xf numFmtId="0" fontId="8" fillId="0" borderId="0" xfId="23" applyFill="1">
      <alignment wrapText="1"/>
    </xf>
    <xf numFmtId="0" fontId="8" fillId="0" borderId="0" xfId="23" applyFill="1" applyAlignment="1"/>
    <xf numFmtId="178" fontId="36" fillId="0" borderId="13" xfId="0" applyNumberFormat="1" applyFont="1" applyFill="1" applyBorder="1" applyAlignment="1">
      <alignment horizontal="left" vertical="top"/>
    </xf>
    <xf numFmtId="183" fontId="36" fillId="0" borderId="13" xfId="0" applyNumberFormat="1" applyFont="1" applyFill="1" applyBorder="1" applyAlignment="1">
      <alignment horizontal="right" vertical="top"/>
    </xf>
    <xf numFmtId="178" fontId="36" fillId="0" borderId="19" xfId="0" applyNumberFormat="1" applyFont="1" applyFill="1" applyBorder="1" applyAlignment="1">
      <alignment horizontal="left" vertical="top"/>
    </xf>
    <xf numFmtId="178" fontId="36" fillId="0" borderId="14" xfId="0" applyNumberFormat="1" applyFont="1" applyFill="1" applyBorder="1" applyAlignment="1">
      <alignment horizontal="left"/>
    </xf>
    <xf numFmtId="183" fontId="36" fillId="0" borderId="14" xfId="0" applyNumberFormat="1" applyFont="1" applyFill="1" applyBorder="1" applyAlignment="1">
      <alignment horizontal="right"/>
    </xf>
    <xf numFmtId="0" fontId="42" fillId="0" borderId="0" xfId="16" applyFont="1" applyAlignment="1"/>
    <xf numFmtId="0" fontId="36" fillId="0" borderId="0" xfId="16" applyFont="1" applyAlignment="1"/>
    <xf numFmtId="179" fontId="36" fillId="0" borderId="0" xfId="16" applyNumberFormat="1" applyFont="1" applyAlignment="1"/>
    <xf numFmtId="0" fontId="43" fillId="0" borderId="0" xfId="23" applyFont="1">
      <alignment wrapText="1"/>
    </xf>
    <xf numFmtId="183" fontId="43" fillId="0" borderId="0" xfId="23" applyNumberFormat="1" applyFont="1">
      <alignment wrapText="1"/>
    </xf>
    <xf numFmtId="178" fontId="42" fillId="0" borderId="0" xfId="0" applyNumberFormat="1" applyFont="1" applyFill="1" applyBorder="1" applyAlignment="1">
      <alignment horizontal="left" vertical="top"/>
    </xf>
    <xf numFmtId="10" fontId="8" fillId="0" borderId="0" xfId="23" applyNumberFormat="1" applyFill="1">
      <alignment wrapText="1"/>
    </xf>
    <xf numFmtId="0" fontId="36" fillId="0" borderId="0" xfId="23" applyFont="1" applyFill="1">
      <alignment wrapText="1"/>
    </xf>
    <xf numFmtId="178" fontId="44" fillId="3" borderId="0" xfId="0" applyNumberFormat="1" applyFont="1" applyFill="1" applyBorder="1" applyAlignment="1">
      <alignment horizontal="left" vertical="top"/>
    </xf>
    <xf numFmtId="183" fontId="44" fillId="3" borderId="0" xfId="0" applyNumberFormat="1" applyFont="1" applyFill="1" applyBorder="1" applyAlignment="1">
      <alignment horizontal="right" vertical="top"/>
    </xf>
    <xf numFmtId="178" fontId="44" fillId="3" borderId="13" xfId="0" applyNumberFormat="1" applyFont="1" applyFill="1" applyBorder="1" applyAlignment="1">
      <alignment horizontal="left" vertical="top"/>
    </xf>
    <xf numFmtId="183" fontId="0" fillId="0" borderId="0" xfId="0" applyNumberFormat="1" applyFill="1" applyBorder="1"/>
    <xf numFmtId="0" fontId="8" fillId="0" borderId="0" xfId="5" applyFill="1" applyBorder="1">
      <alignment wrapText="1"/>
    </xf>
    <xf numFmtId="178" fontId="44" fillId="0" borderId="0" xfId="0" applyNumberFormat="1" applyFont="1" applyFill="1" applyBorder="1" applyAlignment="1">
      <alignment horizontal="left" vertical="top"/>
    </xf>
    <xf numFmtId="179" fontId="44" fillId="0" borderId="0" xfId="0" applyNumberFormat="1" applyFont="1" applyFill="1" applyBorder="1" applyAlignment="1">
      <alignment horizontal="right" vertical="top"/>
    </xf>
    <xf numFmtId="180" fontId="44" fillId="0" borderId="0" xfId="0" applyNumberFormat="1" applyFont="1" applyFill="1" applyBorder="1" applyAlignment="1">
      <alignment horizontal="right" vertical="top"/>
    </xf>
    <xf numFmtId="0" fontId="44" fillId="0" borderId="0" xfId="5" applyFont="1" applyFill="1" applyBorder="1">
      <alignment wrapText="1"/>
    </xf>
    <xf numFmtId="183" fontId="44" fillId="3" borderId="13" xfId="0" applyNumberFormat="1" applyFont="1" applyFill="1" applyBorder="1" applyAlignment="1">
      <alignment horizontal="right" vertical="top"/>
    </xf>
    <xf numFmtId="183" fontId="44" fillId="3" borderId="39" xfId="0" applyNumberFormat="1" applyFont="1" applyFill="1" applyBorder="1" applyAlignment="1">
      <alignment horizontal="right" vertical="top"/>
    </xf>
    <xf numFmtId="178" fontId="44" fillId="3" borderId="40" xfId="0" applyNumberFormat="1" applyFont="1" applyFill="1" applyBorder="1" applyAlignment="1">
      <alignment horizontal="left" vertical="top"/>
    </xf>
    <xf numFmtId="178" fontId="44" fillId="3" borderId="19" xfId="0" applyNumberFormat="1" applyFont="1" applyFill="1" applyBorder="1" applyAlignment="1">
      <alignment horizontal="left" vertical="top"/>
    </xf>
    <xf numFmtId="183" fontId="44" fillId="3" borderId="19" xfId="0" applyNumberFormat="1" applyFont="1" applyFill="1" applyBorder="1" applyAlignment="1">
      <alignment horizontal="right" vertical="top"/>
    </xf>
    <xf numFmtId="0" fontId="43" fillId="3" borderId="0" xfId="23" applyFont="1" applyFill="1" applyBorder="1" applyAlignment="1"/>
    <xf numFmtId="0" fontId="43" fillId="3" borderId="0" xfId="23" applyFont="1" applyFill="1" applyBorder="1">
      <alignment wrapText="1"/>
    </xf>
    <xf numFmtId="179" fontId="43" fillId="3" borderId="0" xfId="23" applyNumberFormat="1" applyFont="1" applyFill="1" applyBorder="1" applyAlignment="1">
      <alignment horizontal="right" vertical="top"/>
    </xf>
    <xf numFmtId="180" fontId="43" fillId="3" borderId="0" xfId="23" applyNumberFormat="1" applyFont="1" applyFill="1" applyBorder="1" applyAlignment="1">
      <alignment horizontal="right" vertical="top"/>
    </xf>
    <xf numFmtId="178" fontId="43" fillId="3" borderId="13" xfId="0" applyNumberFormat="1" applyFont="1" applyFill="1" applyBorder="1" applyAlignment="1">
      <alignment horizontal="left" vertical="top"/>
    </xf>
    <xf numFmtId="182" fontId="43" fillId="3" borderId="13" xfId="0" applyNumberFormat="1" applyFont="1" applyFill="1" applyBorder="1" applyAlignment="1">
      <alignment horizontal="right" vertical="top"/>
    </xf>
    <xf numFmtId="183" fontId="43" fillId="3" borderId="13" xfId="0" applyNumberFormat="1" applyFont="1" applyFill="1" applyBorder="1" applyAlignment="1">
      <alignment horizontal="right" vertical="top"/>
    </xf>
    <xf numFmtId="185" fontId="43" fillId="3" borderId="13" xfId="0" applyNumberFormat="1" applyFont="1" applyFill="1" applyBorder="1" applyAlignment="1">
      <alignment horizontal="right" vertical="top"/>
    </xf>
    <xf numFmtId="182" fontId="44" fillId="3" borderId="39" xfId="0" applyNumberFormat="1" applyFont="1" applyFill="1" applyBorder="1" applyAlignment="1">
      <alignment horizontal="right" vertical="top"/>
    </xf>
    <xf numFmtId="185" fontId="44" fillId="3" borderId="39" xfId="0" applyNumberFormat="1" applyFont="1" applyFill="1" applyBorder="1" applyAlignment="1">
      <alignment horizontal="right" vertical="top"/>
    </xf>
    <xf numFmtId="0" fontId="45" fillId="3" borderId="41" xfId="0" applyFont="1" applyFill="1" applyBorder="1"/>
    <xf numFmtId="0" fontId="43" fillId="0" borderId="0" xfId="7" applyFont="1">
      <alignment wrapText="1"/>
    </xf>
    <xf numFmtId="178" fontId="44" fillId="3" borderId="41" xfId="0" applyNumberFormat="1" applyFont="1" applyFill="1" applyBorder="1" applyAlignment="1">
      <alignment horizontal="left" vertical="top"/>
    </xf>
    <xf numFmtId="178" fontId="44" fillId="3" borderId="39" xfId="0" applyNumberFormat="1" applyFont="1" applyFill="1" applyBorder="1" applyAlignment="1">
      <alignment horizontal="left" vertical="top"/>
    </xf>
    <xf numFmtId="0" fontId="8" fillId="0" borderId="0" xfId="14" applyBorder="1">
      <alignment wrapText="1"/>
    </xf>
    <xf numFmtId="0" fontId="8" fillId="0" borderId="0" xfId="14" applyFill="1" applyBorder="1">
      <alignment wrapText="1"/>
    </xf>
    <xf numFmtId="183" fontId="44" fillId="0" borderId="0" xfId="14" applyNumberFormat="1" applyFont="1">
      <alignment wrapText="1"/>
    </xf>
    <xf numFmtId="0" fontId="28" fillId="3" borderId="0" xfId="0" applyFont="1" applyFill="1" applyBorder="1"/>
    <xf numFmtId="0" fontId="28" fillId="3" borderId="3" xfId="0" applyFont="1" applyFill="1" applyBorder="1"/>
    <xf numFmtId="0" fontId="43" fillId="0" borderId="0" xfId="14" applyFont="1">
      <alignment wrapText="1"/>
    </xf>
    <xf numFmtId="0" fontId="40" fillId="0" borderId="0" xfId="14" applyFont="1">
      <alignment wrapText="1"/>
    </xf>
    <xf numFmtId="183" fontId="40" fillId="0" borderId="0" xfId="14" applyNumberFormat="1" applyFont="1">
      <alignment wrapText="1"/>
    </xf>
    <xf numFmtId="0" fontId="43" fillId="0" borderId="0" xfId="23" applyFont="1" applyAlignment="1"/>
    <xf numFmtId="0" fontId="43" fillId="0" borderId="0" xfId="16" applyFont="1" applyAlignment="1"/>
    <xf numFmtId="0" fontId="43" fillId="0" borderId="0" xfId="16" applyFont="1">
      <alignment wrapText="1"/>
    </xf>
    <xf numFmtId="183" fontId="43" fillId="0" borderId="0" xfId="16" applyNumberFormat="1" applyFont="1">
      <alignment wrapText="1"/>
    </xf>
    <xf numFmtId="0" fontId="8" fillId="0" borderId="0" xfId="23" applyFont="1">
      <alignment wrapText="1"/>
    </xf>
    <xf numFmtId="183" fontId="8" fillId="0" borderId="0" xfId="23" applyNumberFormat="1">
      <alignment wrapText="1"/>
    </xf>
    <xf numFmtId="0" fontId="8" fillId="0" borderId="0" xfId="5" applyFont="1">
      <alignment wrapText="1"/>
    </xf>
    <xf numFmtId="183" fontId="8" fillId="0" borderId="0" xfId="5" applyNumberFormat="1">
      <alignment wrapText="1"/>
    </xf>
    <xf numFmtId="179" fontId="43" fillId="3" borderId="0" xfId="8" applyNumberFormat="1" applyFont="1" applyFill="1">
      <alignment wrapText="1"/>
    </xf>
    <xf numFmtId="0" fontId="43" fillId="3" borderId="0" xfId="8" applyFont="1" applyFill="1">
      <alignment wrapText="1"/>
    </xf>
    <xf numFmtId="0" fontId="8" fillId="0" borderId="0" xfId="8" applyBorder="1">
      <alignment wrapText="1"/>
    </xf>
    <xf numFmtId="0" fontId="43" fillId="0" borderId="0" xfId="22" applyFont="1"/>
    <xf numFmtId="3" fontId="43" fillId="0" borderId="24" xfId="12" applyNumberFormat="1" applyFont="1" applyBorder="1" applyProtection="1">
      <alignment wrapText="1"/>
      <protection locked="0"/>
    </xf>
    <xf numFmtId="3" fontId="43" fillId="0" borderId="37" xfId="12" applyNumberFormat="1" applyFont="1" applyBorder="1" applyProtection="1">
      <alignment wrapText="1"/>
      <protection locked="0"/>
    </xf>
    <xf numFmtId="3" fontId="43" fillId="0" borderId="10" xfId="12" applyNumberFormat="1" applyFont="1" applyBorder="1" applyProtection="1">
      <alignment wrapText="1"/>
      <protection locked="0"/>
    </xf>
    <xf numFmtId="3" fontId="43" fillId="0" borderId="9" xfId="12" applyNumberFormat="1" applyFont="1" applyBorder="1" applyProtection="1">
      <alignment wrapText="1"/>
      <protection locked="0"/>
    </xf>
    <xf numFmtId="10" fontId="0" fillId="0" borderId="0" xfId="0" applyNumberFormat="1"/>
    <xf numFmtId="0" fontId="0" fillId="0" borderId="0" xfId="0" applyAlignment="1">
      <alignment horizontal="left"/>
    </xf>
    <xf numFmtId="0" fontId="19" fillId="0" borderId="7" xfId="0" applyFont="1" applyBorder="1"/>
    <xf numFmtId="0" fontId="19" fillId="0" borderId="7" xfId="0" applyFont="1" applyBorder="1" applyAlignment="1">
      <alignment horizontal="left"/>
    </xf>
    <xf numFmtId="0" fontId="19" fillId="0" borderId="24" xfId="0" applyFont="1" applyBorder="1" applyAlignment="1">
      <alignment horizontal="left"/>
    </xf>
    <xf numFmtId="0" fontId="0" fillId="0" borderId="37" xfId="0" applyBorder="1"/>
    <xf numFmtId="0" fontId="0" fillId="0" borderId="24" xfId="0" applyBorder="1"/>
    <xf numFmtId="0" fontId="0" fillId="0" borderId="10" xfId="0" applyBorder="1" applyAlignment="1">
      <alignment horizontal="left"/>
    </xf>
    <xf numFmtId="37" fontId="0" fillId="0" borderId="0" xfId="0" applyNumberFormat="1" applyBorder="1" applyAlignment="1">
      <alignment horizontal="right"/>
    </xf>
    <xf numFmtId="5" fontId="0" fillId="0" borderId="0" xfId="0" applyNumberFormat="1"/>
    <xf numFmtId="7" fontId="8" fillId="0" borderId="0" xfId="23" applyNumberFormat="1">
      <alignment wrapText="1"/>
    </xf>
    <xf numFmtId="7" fontId="8" fillId="0" borderId="0" xfId="23" applyNumberFormat="1" applyBorder="1">
      <alignment wrapText="1"/>
    </xf>
    <xf numFmtId="37" fontId="0" fillId="0" borderId="9" xfId="0" applyNumberFormat="1" applyBorder="1" applyAlignment="1">
      <alignment horizontal="right"/>
    </xf>
    <xf numFmtId="37" fontId="0" fillId="0" borderId="6" xfId="0" applyNumberForma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7" fontId="0" fillId="0" borderId="7" xfId="0" applyNumberFormat="1" applyBorder="1" applyAlignment="1">
      <alignment horizontal="right"/>
    </xf>
    <xf numFmtId="3" fontId="0" fillId="0" borderId="10" xfId="0" applyNumberFormat="1" applyBorder="1" applyAlignment="1">
      <alignment horizontal="right"/>
    </xf>
    <xf numFmtId="3" fontId="0" fillId="0" borderId="9" xfId="0" applyNumberFormat="1" applyBorder="1" applyAlignment="1">
      <alignment horizontal="right"/>
    </xf>
    <xf numFmtId="0" fontId="0" fillId="0" borderId="10" xfId="0" applyBorder="1" applyAlignment="1">
      <alignment horizontal="right"/>
    </xf>
    <xf numFmtId="0" fontId="0" fillId="0" borderId="9" xfId="0" applyBorder="1" applyAlignment="1">
      <alignment horizontal="right"/>
    </xf>
    <xf numFmtId="37" fontId="0" fillId="0" borderId="10" xfId="0" applyNumberFormat="1" applyBorder="1" applyAlignment="1">
      <alignment horizontal="right"/>
    </xf>
    <xf numFmtId="0" fontId="19" fillId="0" borderId="10" xfId="0" applyFont="1" applyBorder="1" applyAlignment="1">
      <alignment horizontal="left"/>
    </xf>
    <xf numFmtId="0" fontId="19" fillId="0" borderId="10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19" fillId="0" borderId="9" xfId="0" applyFont="1" applyBorder="1" applyAlignment="1">
      <alignment horizontal="centerContinuous"/>
    </xf>
    <xf numFmtId="0" fontId="19" fillId="0" borderId="10" xfId="0" applyFont="1" applyBorder="1" applyAlignment="1">
      <alignment horizontal="centerContinuous"/>
    </xf>
    <xf numFmtId="0" fontId="19" fillId="0" borderId="8" xfId="0" applyFont="1" applyBorder="1" applyAlignment="1">
      <alignment horizontal="centerContinuous"/>
    </xf>
    <xf numFmtId="0" fontId="19" fillId="0" borderId="35" xfId="0" applyFont="1" applyBorder="1" applyAlignment="1">
      <alignment horizontal="centerContinuous"/>
    </xf>
    <xf numFmtId="0" fontId="0" fillId="0" borderId="36" xfId="0" applyBorder="1" applyAlignment="1">
      <alignment horizontal="centerContinuous"/>
    </xf>
    <xf numFmtId="0" fontId="0" fillId="0" borderId="23" xfId="0" applyBorder="1" applyAlignment="1">
      <alignment horizontal="centerContinuous"/>
    </xf>
    <xf numFmtId="0" fontId="19" fillId="0" borderId="36" xfId="0" applyFont="1" applyBorder="1" applyAlignment="1">
      <alignment horizontal="centerContinuous"/>
    </xf>
    <xf numFmtId="0" fontId="19" fillId="0" borderId="23" xfId="0" applyFont="1" applyBorder="1" applyAlignment="1">
      <alignment horizontal="centerContinuous"/>
    </xf>
    <xf numFmtId="183" fontId="43" fillId="0" borderId="0" xfId="16" applyNumberFormat="1" applyFont="1" applyAlignment="1" applyProtection="1">
      <protection locked="0"/>
    </xf>
    <xf numFmtId="0" fontId="31" fillId="0" borderId="0" xfId="23" applyFont="1" applyAlignment="1" applyProtection="1">
      <alignment horizontal="left"/>
      <protection locked="0"/>
    </xf>
    <xf numFmtId="2" fontId="0" fillId="0" borderId="0" xfId="0" applyNumberFormat="1"/>
    <xf numFmtId="168" fontId="0" fillId="0" borderId="0" xfId="0" applyNumberFormat="1"/>
    <xf numFmtId="0" fontId="9" fillId="0" borderId="50" xfId="0" applyFont="1" applyFill="1" applyBorder="1" applyAlignment="1" applyProtection="1">
      <alignment horizontal="centerContinuous"/>
    </xf>
    <xf numFmtId="0" fontId="9" fillId="0" borderId="51" xfId="0" applyFont="1" applyFill="1" applyBorder="1" applyAlignment="1" applyProtection="1">
      <alignment horizontal="centerContinuous"/>
    </xf>
    <xf numFmtId="5" fontId="13" fillId="0" borderId="52" xfId="0" applyNumberFormat="1" applyFont="1" applyFill="1" applyBorder="1" applyProtection="1">
      <protection locked="0"/>
    </xf>
    <xf numFmtId="5" fontId="16" fillId="0" borderId="52" xfId="0" applyNumberFormat="1" applyFont="1" applyFill="1" applyBorder="1" applyProtection="1">
      <protection locked="0"/>
    </xf>
    <xf numFmtId="0" fontId="16" fillId="0" borderId="51" xfId="0" applyFont="1" applyFill="1" applyBorder="1" applyAlignment="1" applyProtection="1">
      <alignment horizontal="center"/>
    </xf>
    <xf numFmtId="0" fontId="16" fillId="0" borderId="52" xfId="0" applyFont="1" applyFill="1" applyBorder="1" applyAlignment="1" applyProtection="1">
      <alignment horizontal="center"/>
    </xf>
    <xf numFmtId="0" fontId="47" fillId="0" borderId="0" xfId="20" applyFont="1" applyFill="1" applyAlignment="1" applyProtection="1">
      <alignment horizontal="left"/>
    </xf>
    <xf numFmtId="0" fontId="37" fillId="0" borderId="0" xfId="21" applyFont="1"/>
    <xf numFmtId="17" fontId="37" fillId="0" borderId="44" xfId="21" quotePrefix="1" applyNumberFormat="1" applyFont="1" applyBorder="1" applyAlignment="1">
      <alignment horizontal="centerContinuous"/>
    </xf>
    <xf numFmtId="17" fontId="37" fillId="0" borderId="45" xfId="21" quotePrefix="1" applyNumberFormat="1" applyFont="1" applyBorder="1" applyAlignment="1">
      <alignment horizontal="centerContinuous"/>
    </xf>
    <xf numFmtId="17" fontId="37" fillId="0" borderId="46" xfId="21" quotePrefix="1" applyNumberFormat="1" applyFont="1" applyBorder="1" applyAlignment="1">
      <alignment horizontal="centerContinuous"/>
    </xf>
    <xf numFmtId="0" fontId="39" fillId="0" borderId="53" xfId="20" applyFont="1" applyFill="1" applyBorder="1" applyAlignment="1" applyProtection="1">
      <alignment horizontal="center"/>
    </xf>
    <xf numFmtId="0" fontId="39" fillId="0" borderId="54" xfId="20" applyFont="1" applyFill="1" applyBorder="1" applyAlignment="1" applyProtection="1">
      <alignment horizontal="center"/>
    </xf>
    <xf numFmtId="0" fontId="37" fillId="0" borderId="34" xfId="21" applyFont="1" applyBorder="1" applyAlignment="1">
      <alignment horizontal="center"/>
    </xf>
    <xf numFmtId="5" fontId="37" fillId="0" borderId="55" xfId="21" applyNumberFormat="1" applyFont="1" applyBorder="1"/>
    <xf numFmtId="2" fontId="37" fillId="0" borderId="56" xfId="21" applyNumberFormat="1" applyFont="1" applyBorder="1"/>
    <xf numFmtId="37" fontId="37" fillId="0" borderId="57" xfId="21" applyNumberFormat="1" applyFont="1" applyBorder="1"/>
    <xf numFmtId="2" fontId="37" fillId="0" borderId="0" xfId="21" applyNumberFormat="1" applyFont="1"/>
    <xf numFmtId="0" fontId="39" fillId="0" borderId="58" xfId="20" applyFont="1" applyFill="1" applyBorder="1" applyAlignment="1" applyProtection="1">
      <alignment horizontal="left"/>
    </xf>
    <xf numFmtId="5" fontId="37" fillId="0" borderId="59" xfId="21" applyNumberFormat="1" applyFont="1" applyBorder="1"/>
    <xf numFmtId="37" fontId="37" fillId="0" borderId="60" xfId="21" applyNumberFormat="1" applyFont="1" applyBorder="1"/>
    <xf numFmtId="169" fontId="37" fillId="0" borderId="0" xfId="21" applyNumberFormat="1" applyFont="1"/>
    <xf numFmtId="37" fontId="37" fillId="0" borderId="61" xfId="21" applyNumberFormat="1" applyFont="1" applyBorder="1"/>
    <xf numFmtId="2" fontId="37" fillId="0" borderId="61" xfId="21" applyNumberFormat="1" applyFont="1" applyBorder="1"/>
    <xf numFmtId="5" fontId="37" fillId="0" borderId="0" xfId="21" applyNumberFormat="1" applyFont="1"/>
    <xf numFmtId="37" fontId="37" fillId="0" borderId="0" xfId="21" applyNumberFormat="1" applyFont="1"/>
    <xf numFmtId="0" fontId="37" fillId="0" borderId="0" xfId="21" applyFont="1" applyBorder="1"/>
    <xf numFmtId="0" fontId="48" fillId="0" borderId="0" xfId="21" applyFont="1" applyBorder="1"/>
    <xf numFmtId="5" fontId="37" fillId="0" borderId="63" xfId="21" applyNumberFormat="1" applyFont="1" applyBorder="1"/>
    <xf numFmtId="6" fontId="39" fillId="0" borderId="53" xfId="20" applyNumberFormat="1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9" fillId="0" borderId="17" xfId="0" applyFont="1" applyFill="1" applyBorder="1" applyAlignment="1" applyProtection="1">
      <alignment horizontal="center"/>
    </xf>
    <xf numFmtId="0" fontId="9" fillId="0" borderId="47" xfId="0" applyFont="1" applyFill="1" applyBorder="1" applyAlignment="1" applyProtection="1">
      <alignment horizontal="centerContinuous"/>
    </xf>
    <xf numFmtId="0" fontId="9" fillId="0" borderId="47" xfId="0" applyFont="1" applyFill="1" applyBorder="1" applyAlignment="1" applyProtection="1">
      <alignment horizontal="center"/>
    </xf>
    <xf numFmtId="0" fontId="9" fillId="0" borderId="49" xfId="0" applyFont="1" applyFill="1" applyBorder="1" applyAlignment="1" applyProtection="1">
      <alignment horizontal="center"/>
    </xf>
    <xf numFmtId="0" fontId="9" fillId="0" borderId="17" xfId="0" applyFont="1" applyFill="1" applyBorder="1" applyAlignment="1" applyProtection="1">
      <alignment horizontal="centerContinuous"/>
    </xf>
    <xf numFmtId="37" fontId="16" fillId="0" borderId="5" xfId="0" applyNumberFormat="1" applyFont="1" applyFill="1" applyBorder="1" applyProtection="1"/>
    <xf numFmtId="37" fontId="9" fillId="0" borderId="5" xfId="0" applyNumberFormat="1" applyFont="1" applyFill="1" applyBorder="1" applyProtection="1"/>
    <xf numFmtId="37" fontId="30" fillId="0" borderId="0" xfId="0" applyNumberFormat="1" applyFont="1"/>
    <xf numFmtId="38" fontId="13" fillId="0" borderId="0" xfId="0" applyNumberFormat="1" applyFont="1" applyFill="1" applyAlignment="1" applyProtection="1">
      <alignment horizontal="centerContinuous"/>
    </xf>
    <xf numFmtId="38" fontId="13" fillId="0" borderId="0" xfId="0" applyNumberFormat="1" applyFont="1" applyFill="1" applyAlignment="1" applyProtection="1">
      <alignment horizontal="center"/>
    </xf>
    <xf numFmtId="38" fontId="16" fillId="0" borderId="0" xfId="0" applyNumberFormat="1" applyFont="1" applyFill="1" applyBorder="1" applyAlignment="1">
      <alignment horizontal="center"/>
    </xf>
    <xf numFmtId="38" fontId="16" fillId="0" borderId="9" xfId="0" applyNumberFormat="1" applyFont="1" applyFill="1" applyBorder="1" applyAlignment="1">
      <alignment horizontal="center"/>
    </xf>
    <xf numFmtId="38" fontId="16" fillId="0" borderId="0" xfId="0" applyNumberFormat="1" applyFont="1" applyFill="1" applyBorder="1"/>
    <xf numFmtId="38" fontId="16" fillId="0" borderId="9" xfId="0" applyNumberFormat="1" applyFont="1" applyFill="1" applyBorder="1"/>
    <xf numFmtId="38" fontId="16" fillId="0" borderId="12" xfId="0" applyNumberFormat="1" applyFont="1" applyFill="1" applyBorder="1"/>
    <xf numFmtId="38" fontId="0" fillId="0" borderId="0" xfId="0" applyNumberFormat="1" applyFill="1" applyBorder="1"/>
    <xf numFmtId="38" fontId="0" fillId="0" borderId="0" xfId="0" applyNumberFormat="1" applyFill="1"/>
    <xf numFmtId="38" fontId="16" fillId="0" borderId="7" xfId="0" applyNumberFormat="1" applyFont="1" applyFill="1" applyBorder="1"/>
    <xf numFmtId="38" fontId="16" fillId="0" borderId="8" xfId="0" applyNumberFormat="1" applyFont="1" applyFill="1" applyBorder="1" applyAlignment="1">
      <alignment horizontal="center"/>
    </xf>
    <xf numFmtId="38" fontId="16" fillId="0" borderId="10" xfId="0" applyNumberFormat="1" applyFont="1" applyFill="1" applyBorder="1" applyAlignment="1">
      <alignment horizontal="center"/>
    </xf>
    <xf numFmtId="38" fontId="16" fillId="0" borderId="6" xfId="0" applyNumberFormat="1" applyFont="1" applyFill="1" applyBorder="1"/>
    <xf numFmtId="38" fontId="16" fillId="0" borderId="8" xfId="0" applyNumberFormat="1" applyFont="1" applyFill="1" applyBorder="1"/>
    <xf numFmtId="38" fontId="16" fillId="0" borderId="0" xfId="24" applyNumberFormat="1" applyFont="1" applyFill="1" applyBorder="1"/>
    <xf numFmtId="38" fontId="16" fillId="0" borderId="11" xfId="0" applyNumberFormat="1" applyFont="1" applyFill="1" applyBorder="1"/>
    <xf numFmtId="38" fontId="16" fillId="0" borderId="64" xfId="0" applyNumberFormat="1" applyFont="1" applyFill="1" applyBorder="1"/>
    <xf numFmtId="0" fontId="8" fillId="0" borderId="0" xfId="7" applyFont="1">
      <alignment wrapText="1"/>
    </xf>
    <xf numFmtId="38" fontId="9" fillId="0" borderId="0" xfId="0" applyNumberFormat="1" applyFont="1" applyFill="1" applyBorder="1"/>
    <xf numFmtId="38" fontId="16" fillId="0" borderId="10" xfId="0" applyNumberFormat="1" applyFont="1" applyFill="1" applyBorder="1"/>
    <xf numFmtId="38" fontId="16" fillId="0" borderId="65" xfId="0" applyNumberFormat="1" applyFont="1" applyFill="1" applyBorder="1"/>
    <xf numFmtId="38" fontId="9" fillId="0" borderId="0" xfId="0" applyNumberFormat="1" applyFont="1" applyFill="1"/>
    <xf numFmtId="38" fontId="9" fillId="0" borderId="0" xfId="0" applyNumberFormat="1" applyFont="1" applyFill="1" applyBorder="1" applyProtection="1"/>
    <xf numFmtId="0" fontId="8" fillId="0" borderId="0" xfId="11">
      <alignment wrapText="1"/>
    </xf>
    <xf numFmtId="183" fontId="8" fillId="0" borderId="0" xfId="7" applyNumberFormat="1">
      <alignment wrapText="1"/>
    </xf>
    <xf numFmtId="3" fontId="8" fillId="0" borderId="0" xfId="23" applyNumberFormat="1">
      <alignment wrapText="1"/>
    </xf>
    <xf numFmtId="40" fontId="37" fillId="0" borderId="35" xfId="21" applyNumberFormat="1" applyFont="1" applyBorder="1"/>
    <xf numFmtId="6" fontId="37" fillId="0" borderId="55" xfId="21" applyNumberFormat="1" applyFont="1" applyBorder="1"/>
    <xf numFmtId="6" fontId="37" fillId="0" borderId="59" xfId="21" applyNumberFormat="1" applyFont="1" applyBorder="1"/>
    <xf numFmtId="38" fontId="37" fillId="0" borderId="57" xfId="21" applyNumberFormat="1" applyFont="1" applyBorder="1"/>
    <xf numFmtId="38" fontId="37" fillId="0" borderId="60" xfId="21" applyNumberFormat="1" applyFont="1" applyBorder="1"/>
    <xf numFmtId="38" fontId="37" fillId="0" borderId="61" xfId="21" applyNumberFormat="1" applyFont="1" applyBorder="1"/>
    <xf numFmtId="169" fontId="39" fillId="0" borderId="55" xfId="24" applyNumberFormat="1" applyFont="1" applyBorder="1"/>
    <xf numFmtId="169" fontId="39" fillId="0" borderId="57" xfId="24" applyNumberFormat="1" applyFont="1" applyBorder="1"/>
    <xf numFmtId="169" fontId="39" fillId="0" borderId="28" xfId="24" applyNumberFormat="1" applyFont="1" applyBorder="1"/>
    <xf numFmtId="169" fontId="39" fillId="0" borderId="59" xfId="24" applyNumberFormat="1" applyFont="1" applyBorder="1"/>
    <xf numFmtId="169" fontId="39" fillId="0" borderId="60" xfId="24" applyNumberFormat="1" applyFont="1" applyBorder="1"/>
    <xf numFmtId="169" fontId="39" fillId="0" borderId="56" xfId="24" applyNumberFormat="1" applyFont="1" applyBorder="1"/>
    <xf numFmtId="0" fontId="32" fillId="0" borderId="0" xfId="0" applyFont="1" applyFill="1"/>
    <xf numFmtId="183" fontId="43" fillId="0" borderId="0" xfId="9" applyNumberFormat="1" applyFont="1">
      <alignment wrapText="1"/>
    </xf>
    <xf numFmtId="0" fontId="43" fillId="0" borderId="0" xfId="9" applyFont="1">
      <alignment wrapText="1"/>
    </xf>
    <xf numFmtId="182" fontId="44" fillId="3" borderId="0" xfId="0" applyNumberFormat="1" applyFont="1" applyFill="1" applyBorder="1" applyAlignment="1">
      <alignment horizontal="right" vertical="top"/>
    </xf>
    <xf numFmtId="185" fontId="44" fillId="3" borderId="0" xfId="0" applyNumberFormat="1" applyFont="1" applyFill="1" applyBorder="1" applyAlignment="1">
      <alignment horizontal="right" vertical="top"/>
    </xf>
    <xf numFmtId="183" fontId="43" fillId="0" borderId="0" xfId="6" applyNumberFormat="1" applyFont="1">
      <alignment wrapText="1"/>
    </xf>
    <xf numFmtId="0" fontId="43" fillId="0" borderId="0" xfId="6" applyFont="1">
      <alignment wrapText="1"/>
    </xf>
    <xf numFmtId="0" fontId="13" fillId="0" borderId="0" xfId="0" applyFont="1" applyFill="1" applyAlignment="1" applyProtection="1">
      <alignment horizontal="centerContinuous"/>
      <protection locked="0"/>
    </xf>
    <xf numFmtId="0" fontId="19" fillId="0" borderId="0" xfId="0" applyFont="1" applyFill="1" applyProtection="1">
      <protection locked="0"/>
    </xf>
    <xf numFmtId="0" fontId="16" fillId="0" borderId="0" xfId="0" applyFont="1" applyFill="1" applyProtection="1">
      <protection locked="0"/>
    </xf>
    <xf numFmtId="0" fontId="19" fillId="0" borderId="12" xfId="0" applyFont="1" applyFill="1" applyBorder="1" applyProtection="1">
      <protection locked="0"/>
    </xf>
    <xf numFmtId="0" fontId="16" fillId="0" borderId="0" xfId="0" applyFont="1" applyFill="1" applyBorder="1" applyProtection="1">
      <protection locked="0"/>
    </xf>
    <xf numFmtId="0" fontId="8" fillId="0" borderId="0" xfId="22" applyProtection="1">
      <protection locked="0"/>
    </xf>
    <xf numFmtId="0" fontId="8" fillId="0" borderId="0" xfId="11" applyFont="1">
      <alignment wrapText="1"/>
    </xf>
    <xf numFmtId="0" fontId="8" fillId="0" borderId="0" xfId="11" applyAlignment="1"/>
    <xf numFmtId="183" fontId="8" fillId="0" borderId="0" xfId="11" applyNumberFormat="1">
      <alignment wrapText="1"/>
    </xf>
    <xf numFmtId="183" fontId="8" fillId="0" borderId="0" xfId="11" applyNumberFormat="1" applyAlignment="1"/>
    <xf numFmtId="0" fontId="8" fillId="0" borderId="0" xfId="11" applyFont="1" applyAlignment="1">
      <alignment horizontal="right"/>
    </xf>
    <xf numFmtId="0" fontId="8" fillId="0" borderId="0" xfId="10" applyAlignment="1"/>
    <xf numFmtId="183" fontId="8" fillId="0" borderId="0" xfId="9" applyNumberFormat="1">
      <alignment wrapText="1"/>
    </xf>
    <xf numFmtId="0" fontId="0" fillId="6" borderId="3" xfId="0" applyFill="1" applyBorder="1" applyAlignment="1" applyProtection="1">
      <alignment vertical="top"/>
      <protection locked="0"/>
    </xf>
    <xf numFmtId="0" fontId="0" fillId="6" borderId="14" xfId="0" applyFill="1" applyBorder="1" applyAlignment="1" applyProtection="1">
      <alignment vertical="top"/>
      <protection locked="0"/>
    </xf>
    <xf numFmtId="183" fontId="50" fillId="6" borderId="18" xfId="0" applyNumberFormat="1" applyFont="1" applyFill="1" applyBorder="1" applyAlignment="1" applyProtection="1">
      <alignment horizontal="right" vertical="top"/>
      <protection locked="0"/>
    </xf>
    <xf numFmtId="0" fontId="50" fillId="6" borderId="18" xfId="0" applyFont="1" applyFill="1" applyBorder="1" applyAlignment="1" applyProtection="1">
      <alignment horizontal="left" vertical="top"/>
      <protection locked="0"/>
    </xf>
    <xf numFmtId="0" fontId="34" fillId="0" borderId="0" xfId="23" applyFont="1">
      <alignment wrapText="1"/>
    </xf>
    <xf numFmtId="39" fontId="0" fillId="0" borderId="6" xfId="0" applyNumberFormat="1" applyFill="1" applyBorder="1"/>
    <xf numFmtId="0" fontId="13" fillId="0" borderId="7" xfId="0" applyFont="1" applyFill="1" applyBorder="1" applyAlignment="1" applyProtection="1">
      <alignment horizontal="left"/>
    </xf>
    <xf numFmtId="0" fontId="0" fillId="0" borderId="10" xfId="0" applyFill="1" applyBorder="1"/>
    <xf numFmtId="39" fontId="0" fillId="0" borderId="8" xfId="0" applyNumberFormat="1" applyFill="1" applyBorder="1"/>
    <xf numFmtId="38" fontId="0" fillId="0" borderId="9" xfId="0" applyNumberFormat="1" applyFill="1" applyBorder="1"/>
    <xf numFmtId="0" fontId="16" fillId="0" borderId="36" xfId="0" applyFont="1" applyFill="1" applyBorder="1" applyAlignment="1">
      <alignment horizontal="center"/>
    </xf>
    <xf numFmtId="0" fontId="16" fillId="0" borderId="23" xfId="0" applyFont="1" applyFill="1" applyBorder="1" applyAlignment="1">
      <alignment horizontal="center"/>
    </xf>
    <xf numFmtId="0" fontId="16" fillId="0" borderId="35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37" fontId="8" fillId="0" borderId="0" xfId="10" applyNumberFormat="1" applyAlignment="1"/>
    <xf numFmtId="7" fontId="8" fillId="0" borderId="0" xfId="8" applyNumberFormat="1">
      <alignment wrapText="1"/>
    </xf>
    <xf numFmtId="0" fontId="17" fillId="0" borderId="0" xfId="27" applyFill="1"/>
    <xf numFmtId="38" fontId="13" fillId="0" borderId="0" xfId="0" applyNumberFormat="1" applyFont="1" applyFill="1" applyBorder="1" applyAlignment="1" applyProtection="1">
      <alignment horizontal="center"/>
    </xf>
    <xf numFmtId="169" fontId="0" fillId="0" borderId="0" xfId="0" applyNumberFormat="1"/>
    <xf numFmtId="169" fontId="0" fillId="0" borderId="0" xfId="0" applyNumberFormat="1" applyAlignment="1">
      <alignment horizontal="centerContinuous"/>
    </xf>
    <xf numFmtId="0" fontId="16" fillId="0" borderId="0" xfId="0" applyFont="1"/>
    <xf numFmtId="38" fontId="13" fillId="0" borderId="9" xfId="0" applyNumberFormat="1" applyFont="1" applyFill="1" applyBorder="1" applyAlignment="1" applyProtection="1">
      <alignment horizontal="centerContinuous"/>
    </xf>
    <xf numFmtId="38" fontId="0" fillId="0" borderId="9" xfId="0" applyNumberFormat="1" applyFill="1" applyBorder="1" applyAlignment="1">
      <alignment horizontal="centerContinuous"/>
    </xf>
    <xf numFmtId="38" fontId="16" fillId="0" borderId="23" xfId="0" applyNumberFormat="1" applyFont="1" applyFill="1" applyBorder="1" applyAlignment="1">
      <alignment horizontal="centerContinuous"/>
    </xf>
    <xf numFmtId="38" fontId="16" fillId="0" borderId="48" xfId="0" applyNumberFormat="1" applyFont="1" applyFill="1" applyBorder="1" applyAlignment="1">
      <alignment horizontal="center"/>
    </xf>
    <xf numFmtId="38" fontId="16" fillId="0" borderId="49" xfId="0" applyNumberFormat="1" applyFont="1" applyFill="1" applyBorder="1" applyAlignment="1">
      <alignment horizontal="center"/>
    </xf>
    <xf numFmtId="38" fontId="16" fillId="0" borderId="47" xfId="0" applyNumberFormat="1" applyFont="1" applyFill="1" applyBorder="1"/>
    <xf numFmtId="38" fontId="16" fillId="0" borderId="49" xfId="0" applyNumberFormat="1" applyFont="1" applyFill="1" applyBorder="1"/>
    <xf numFmtId="38" fontId="16" fillId="0" borderId="68" xfId="0" applyNumberFormat="1" applyFont="1" applyFill="1" applyBorder="1"/>
    <xf numFmtId="38" fontId="13" fillId="0" borderId="48" xfId="0" applyNumberFormat="1" applyFont="1" applyFill="1" applyBorder="1" applyAlignment="1" applyProtection="1">
      <alignment horizontal="center"/>
    </xf>
    <xf numFmtId="38" fontId="13" fillId="0" borderId="70" xfId="0" applyNumberFormat="1" applyFont="1" applyFill="1" applyBorder="1" applyAlignment="1" applyProtection="1">
      <alignment horizontal="centerContinuous"/>
    </xf>
    <xf numFmtId="38" fontId="13" fillId="0" borderId="71" xfId="0" applyNumberFormat="1" applyFont="1" applyFill="1" applyBorder="1" applyAlignment="1" applyProtection="1">
      <alignment horizontal="center"/>
    </xf>
    <xf numFmtId="38" fontId="16" fillId="0" borderId="70" xfId="0" applyNumberFormat="1" applyFont="1" applyFill="1" applyBorder="1" applyAlignment="1">
      <alignment horizontal="center"/>
    </xf>
    <xf numFmtId="38" fontId="16" fillId="0" borderId="71" xfId="0" applyNumberFormat="1" applyFont="1" applyFill="1" applyBorder="1"/>
    <xf numFmtId="38" fontId="16" fillId="0" borderId="70" xfId="0" applyNumberFormat="1" applyFont="1" applyFill="1" applyBorder="1"/>
    <xf numFmtId="38" fontId="16" fillId="0" borderId="69" xfId="0" applyNumberFormat="1" applyFont="1" applyFill="1" applyBorder="1"/>
    <xf numFmtId="0" fontId="0" fillId="0" borderId="71" xfId="0" applyFill="1" applyBorder="1"/>
    <xf numFmtId="0" fontId="13" fillId="0" borderId="71" xfId="0" applyFont="1" applyFill="1" applyBorder="1" applyAlignment="1" applyProtection="1">
      <alignment horizontal="center"/>
    </xf>
    <xf numFmtId="0" fontId="16" fillId="0" borderId="70" xfId="0" applyFont="1" applyFill="1" applyBorder="1" applyAlignment="1">
      <alignment horizontal="center"/>
    </xf>
    <xf numFmtId="0" fontId="16" fillId="0" borderId="71" xfId="0" applyFont="1" applyFill="1" applyBorder="1"/>
    <xf numFmtId="166" fontId="16" fillId="0" borderId="71" xfId="0" applyNumberFormat="1" applyFont="1" applyFill="1" applyBorder="1"/>
    <xf numFmtId="166" fontId="16" fillId="0" borderId="70" xfId="0" applyNumberFormat="1" applyFont="1" applyFill="1" applyBorder="1"/>
    <xf numFmtId="166" fontId="16" fillId="0" borderId="69" xfId="0" applyNumberFormat="1" applyFont="1" applyFill="1" applyBorder="1"/>
    <xf numFmtId="0" fontId="13" fillId="0" borderId="73" xfId="0" applyFont="1" applyFill="1" applyBorder="1" applyAlignment="1" applyProtection="1">
      <alignment horizontal="center"/>
    </xf>
    <xf numFmtId="0" fontId="16" fillId="0" borderId="74" xfId="0" applyFont="1" applyFill="1" applyBorder="1" applyAlignment="1">
      <alignment horizontal="center"/>
    </xf>
    <xf numFmtId="0" fontId="16" fillId="0" borderId="73" xfId="0" applyFont="1" applyFill="1" applyBorder="1"/>
    <xf numFmtId="166" fontId="16" fillId="0" borderId="73" xfId="0" applyNumberFormat="1" applyFont="1" applyFill="1" applyBorder="1"/>
    <xf numFmtId="166" fontId="16" fillId="0" borderId="74" xfId="0" applyNumberFormat="1" applyFont="1" applyFill="1" applyBorder="1"/>
    <xf numFmtId="166" fontId="16" fillId="0" borderId="72" xfId="0" applyNumberFormat="1" applyFont="1" applyFill="1" applyBorder="1"/>
    <xf numFmtId="0" fontId="13" fillId="0" borderId="9" xfId="0" applyFont="1" applyFill="1" applyBorder="1" applyAlignment="1" applyProtection="1">
      <alignment horizontal="centerContinuous"/>
    </xf>
    <xf numFmtId="0" fontId="13" fillId="0" borderId="74" xfId="0" applyFont="1" applyFill="1" applyBorder="1" applyAlignment="1" applyProtection="1">
      <alignment horizontal="centerContinuous"/>
    </xf>
    <xf numFmtId="0" fontId="13" fillId="0" borderId="35" xfId="0" applyFont="1" applyFill="1" applyBorder="1" applyAlignment="1" applyProtection="1">
      <alignment horizontal="centerContinuous"/>
    </xf>
    <xf numFmtId="0" fontId="16" fillId="0" borderId="36" xfId="0" applyFont="1" applyFill="1" applyBorder="1" applyAlignment="1">
      <alignment horizontal="centerContinuous"/>
    </xf>
    <xf numFmtId="166" fontId="16" fillId="0" borderId="65" xfId="0" applyNumberFormat="1" applyFont="1" applyFill="1" applyBorder="1"/>
    <xf numFmtId="38" fontId="16" fillId="0" borderId="37" xfId="0" applyNumberFormat="1" applyFont="1" applyFill="1" applyBorder="1"/>
    <xf numFmtId="38" fontId="9" fillId="0" borderId="48" xfId="0" applyNumberFormat="1" applyFont="1" applyFill="1" applyBorder="1" applyAlignment="1" applyProtection="1">
      <alignment horizontal="center"/>
    </xf>
    <xf numFmtId="38" fontId="9" fillId="0" borderId="49" xfId="0" applyNumberFormat="1" applyFont="1" applyFill="1" applyBorder="1" applyAlignment="1">
      <alignment horizontal="center"/>
    </xf>
    <xf numFmtId="38" fontId="9" fillId="0" borderId="47" xfId="0" applyNumberFormat="1" applyFont="1" applyFill="1" applyBorder="1"/>
    <xf numFmtId="38" fontId="9" fillId="0" borderId="68" xfId="0" applyNumberFormat="1" applyFont="1" applyFill="1" applyBorder="1"/>
    <xf numFmtId="38" fontId="13" fillId="0" borderId="77" xfId="0" applyNumberFormat="1" applyFont="1" applyFill="1" applyBorder="1" applyAlignment="1" applyProtection="1">
      <alignment horizontal="center"/>
    </xf>
    <xf numFmtId="38" fontId="16" fillId="0" borderId="75" xfId="0" applyNumberFormat="1" applyFont="1" applyFill="1" applyBorder="1" applyAlignment="1">
      <alignment horizontal="center"/>
    </xf>
    <xf numFmtId="38" fontId="16" fillId="0" borderId="77" xfId="0" applyNumberFormat="1" applyFont="1" applyFill="1" applyBorder="1"/>
    <xf numFmtId="38" fontId="16" fillId="0" borderId="75" xfId="0" applyNumberFormat="1" applyFont="1" applyFill="1" applyBorder="1"/>
    <xf numFmtId="38" fontId="16" fillId="0" borderId="76" xfId="0" applyNumberFormat="1" applyFont="1" applyFill="1" applyBorder="1"/>
    <xf numFmtId="177" fontId="28" fillId="0" borderId="0" xfId="0" applyNumberFormat="1" applyFont="1" applyFill="1" applyBorder="1" applyAlignment="1">
      <alignment horizontal="center"/>
    </xf>
    <xf numFmtId="169" fontId="0" fillId="0" borderId="0" xfId="0" applyNumberFormat="1" applyFill="1" applyBorder="1"/>
    <xf numFmtId="0" fontId="16" fillId="0" borderId="9" xfId="0" applyFont="1" applyFill="1" applyBorder="1"/>
    <xf numFmtId="0" fontId="16" fillId="0" borderId="9" xfId="0" applyFont="1" applyFill="1" applyBorder="1" applyProtection="1">
      <protection locked="0"/>
    </xf>
    <xf numFmtId="0" fontId="13" fillId="0" borderId="0" xfId="0" applyFont="1" applyFill="1" applyBorder="1" applyAlignment="1" applyProtection="1">
      <alignment horizontal="centerContinuous"/>
    </xf>
    <xf numFmtId="3" fontId="8" fillId="0" borderId="0" xfId="12" applyNumberFormat="1">
      <alignment wrapText="1"/>
    </xf>
    <xf numFmtId="0" fontId="52" fillId="0" borderId="0" xfId="0" applyFont="1"/>
    <xf numFmtId="0" fontId="11" fillId="0" borderId="0" xfId="28" applyFont="1" applyFill="1" applyAlignment="1" applyProtection="1">
      <alignment horizontal="centerContinuous"/>
    </xf>
    <xf numFmtId="0" fontId="12" fillId="0" borderId="0" xfId="28" applyNumberFormat="1" applyFont="1" applyFill="1" applyAlignment="1">
      <alignment horizontal="centerContinuous"/>
    </xf>
    <xf numFmtId="0" fontId="12" fillId="0" borderId="0" xfId="28" applyFont="1" applyFill="1" applyAlignment="1">
      <alignment horizontal="centerContinuous"/>
    </xf>
    <xf numFmtId="0" fontId="16" fillId="0" borderId="0" xfId="28" applyFill="1"/>
    <xf numFmtId="190" fontId="16" fillId="0" borderId="0" xfId="28" applyNumberFormat="1" applyFill="1"/>
    <xf numFmtId="0" fontId="11" fillId="0" borderId="0" xfId="28" applyNumberFormat="1" applyFont="1" applyFill="1" applyAlignment="1" applyProtection="1">
      <alignment horizontal="centerContinuous"/>
    </xf>
    <xf numFmtId="0" fontId="9" fillId="0" borderId="0" xfId="28" applyFont="1" applyFill="1" applyAlignment="1" applyProtection="1">
      <alignment horizontal="centerContinuous"/>
    </xf>
    <xf numFmtId="0" fontId="9" fillId="0" borderId="0" xfId="28" applyFont="1" applyFill="1" applyProtection="1"/>
    <xf numFmtId="190" fontId="9" fillId="0" borderId="0" xfId="28" applyNumberFormat="1" applyFont="1" applyFill="1" applyProtection="1"/>
    <xf numFmtId="0" fontId="10" fillId="0" borderId="0" xfId="28" applyFont="1" applyFill="1" applyAlignment="1" applyProtection="1">
      <alignment horizontal="left"/>
    </xf>
    <xf numFmtId="0" fontId="9" fillId="0" borderId="0" xfId="28" applyNumberFormat="1" applyFont="1" applyFill="1" applyAlignment="1" applyProtection="1">
      <alignment horizontal="centerContinuous"/>
    </xf>
    <xf numFmtId="190" fontId="9" fillId="0" borderId="0" xfId="28" applyNumberFormat="1" applyFont="1" applyFill="1" applyAlignment="1" applyProtection="1">
      <alignment horizontal="centerContinuous"/>
    </xf>
    <xf numFmtId="0" fontId="9" fillId="0" borderId="0" xfId="28" applyNumberFormat="1" applyFont="1" applyFill="1" applyProtection="1"/>
    <xf numFmtId="0" fontId="9" fillId="0" borderId="0" xfId="28" applyFont="1" applyFill="1" applyAlignment="1" applyProtection="1">
      <alignment horizontal="center"/>
    </xf>
    <xf numFmtId="0" fontId="9" fillId="0" borderId="9" xfId="28" applyFont="1" applyFill="1" applyBorder="1" applyAlignment="1" applyProtection="1">
      <alignment horizontal="center"/>
    </xf>
    <xf numFmtId="0" fontId="9" fillId="0" borderId="9" xfId="28" applyNumberFormat="1" applyFont="1" applyFill="1" applyBorder="1" applyAlignment="1" applyProtection="1">
      <alignment horizontal="center"/>
    </xf>
    <xf numFmtId="10" fontId="9" fillId="0" borderId="0" xfId="28" applyNumberFormat="1" applyFont="1" applyFill="1" applyAlignment="1" applyProtection="1">
      <alignment horizontal="center"/>
    </xf>
    <xf numFmtId="190" fontId="9" fillId="0" borderId="9" xfId="28" applyNumberFormat="1" applyFont="1" applyFill="1" applyBorder="1" applyAlignment="1" applyProtection="1">
      <alignment horizontal="center"/>
    </xf>
    <xf numFmtId="17" fontId="9" fillId="0" borderId="0" xfId="28" applyNumberFormat="1" applyFont="1" applyFill="1" applyBorder="1" applyAlignment="1" applyProtection="1">
      <alignment horizontal="left"/>
    </xf>
    <xf numFmtId="0" fontId="9" fillId="0" borderId="0" xfId="28" applyNumberFormat="1" applyFont="1" applyFill="1" applyBorder="1" applyAlignment="1" applyProtection="1">
      <alignment horizontal="left"/>
    </xf>
    <xf numFmtId="37" fontId="14" fillId="0" borderId="0" xfId="28" applyNumberFormat="1" applyFont="1" applyFill="1" applyBorder="1" applyProtection="1"/>
    <xf numFmtId="168" fontId="16" fillId="0" borderId="0" xfId="28" applyNumberFormat="1" applyFill="1" applyBorder="1"/>
    <xf numFmtId="5" fontId="9" fillId="0" borderId="0" xfId="28" applyNumberFormat="1" applyFont="1" applyFill="1" applyBorder="1" applyProtection="1"/>
    <xf numFmtId="37" fontId="9" fillId="0" borderId="0" xfId="28" applyNumberFormat="1" applyFont="1" applyFill="1" applyAlignment="1" applyProtection="1">
      <alignment horizontal="center"/>
    </xf>
    <xf numFmtId="17" fontId="9" fillId="0" borderId="0" xfId="28" applyNumberFormat="1" applyFont="1" applyFill="1" applyAlignment="1" applyProtection="1">
      <alignment horizontal="left"/>
    </xf>
    <xf numFmtId="190" fontId="14" fillId="0" borderId="0" xfId="28" applyNumberFormat="1" applyFont="1" applyFill="1" applyProtection="1"/>
    <xf numFmtId="5" fontId="9" fillId="0" borderId="0" xfId="28" applyNumberFormat="1" applyFont="1" applyFill="1" applyProtection="1"/>
    <xf numFmtId="37" fontId="16" fillId="0" borderId="0" xfId="28" applyNumberFormat="1" applyFont="1" applyFill="1" applyBorder="1" applyProtection="1"/>
    <xf numFmtId="168" fontId="9" fillId="0" borderId="0" xfId="28" applyNumberFormat="1" applyFont="1" applyFill="1" applyBorder="1" applyProtection="1"/>
    <xf numFmtId="0" fontId="52" fillId="0" borderId="0" xfId="28" applyFont="1" applyFill="1"/>
    <xf numFmtId="190" fontId="14" fillId="0" borderId="0" xfId="28" applyNumberFormat="1" applyFont="1" applyFill="1" applyBorder="1" applyProtection="1"/>
    <xf numFmtId="0" fontId="9" fillId="0" borderId="0" xfId="28" applyFont="1" applyFill="1" applyBorder="1" applyProtection="1"/>
    <xf numFmtId="17" fontId="9" fillId="0" borderId="9" xfId="28" applyNumberFormat="1" applyFont="1" applyFill="1" applyBorder="1" applyAlignment="1" applyProtection="1">
      <alignment horizontal="left"/>
    </xf>
    <xf numFmtId="0" fontId="9" fillId="0" borderId="9" xfId="28" applyNumberFormat="1" applyFont="1" applyFill="1" applyBorder="1" applyAlignment="1" applyProtection="1">
      <alignment horizontal="left"/>
    </xf>
    <xf numFmtId="37" fontId="14" fillId="0" borderId="9" xfId="28" applyNumberFormat="1" applyFont="1" applyFill="1" applyBorder="1" applyProtection="1"/>
    <xf numFmtId="168" fontId="16" fillId="0" borderId="9" xfId="28" applyNumberFormat="1" applyFill="1" applyBorder="1"/>
    <xf numFmtId="5" fontId="9" fillId="0" borderId="9" xfId="28" applyNumberFormat="1" applyFont="1" applyFill="1" applyBorder="1" applyProtection="1"/>
    <xf numFmtId="37" fontId="9" fillId="0" borderId="0" xfId="28" applyNumberFormat="1" applyFont="1" applyFill="1" applyProtection="1"/>
    <xf numFmtId="190" fontId="14" fillId="0" borderId="9" xfId="28" applyNumberFormat="1" applyFont="1" applyFill="1" applyBorder="1" applyProtection="1"/>
    <xf numFmtId="0" fontId="16" fillId="0" borderId="9" xfId="28" applyFill="1" applyBorder="1"/>
    <xf numFmtId="186" fontId="16" fillId="0" borderId="0" xfId="28" applyNumberFormat="1" applyFont="1" applyFill="1" applyBorder="1" applyProtection="1"/>
    <xf numFmtId="186" fontId="14" fillId="0" borderId="0" xfId="28" applyNumberFormat="1" applyFont="1" applyFill="1" applyBorder="1" applyProtection="1"/>
    <xf numFmtId="186" fontId="14" fillId="0" borderId="9" xfId="28" applyNumberFormat="1" applyFont="1" applyFill="1" applyBorder="1" applyProtection="1"/>
    <xf numFmtId="173" fontId="9" fillId="0" borderId="0" xfId="40" applyNumberFormat="1" applyFont="1" applyFill="1" applyProtection="1">
      <protection locked="0"/>
    </xf>
    <xf numFmtId="0" fontId="16" fillId="0" borderId="0" xfId="28" applyNumberFormat="1" applyFill="1"/>
    <xf numFmtId="37" fontId="14" fillId="0" borderId="0" xfId="28" applyNumberFormat="1" applyFont="1" applyFill="1" applyProtection="1"/>
    <xf numFmtId="0" fontId="14" fillId="0" borderId="0" xfId="28" applyFont="1" applyFill="1" applyProtection="1"/>
    <xf numFmtId="0" fontId="10" fillId="0" borderId="35" xfId="28" applyFont="1" applyFill="1" applyBorder="1" applyAlignment="1" applyProtection="1">
      <alignment horizontal="centerContinuous"/>
    </xf>
    <xf numFmtId="0" fontId="9" fillId="0" borderId="36" xfId="28" applyNumberFormat="1" applyFont="1" applyFill="1" applyBorder="1" applyAlignment="1" applyProtection="1">
      <alignment horizontal="centerContinuous"/>
    </xf>
    <xf numFmtId="37" fontId="9" fillId="0" borderId="36" xfId="28" applyNumberFormat="1" applyFont="1" applyFill="1" applyBorder="1" applyAlignment="1" applyProtection="1">
      <alignment horizontal="centerContinuous"/>
    </xf>
    <xf numFmtId="0" fontId="14" fillId="0" borderId="36" xfId="28" applyFont="1" applyFill="1" applyBorder="1" applyAlignment="1" applyProtection="1">
      <alignment horizontal="centerContinuous"/>
    </xf>
    <xf numFmtId="5" fontId="9" fillId="0" borderId="36" xfId="28" applyNumberFormat="1" applyFont="1" applyFill="1" applyBorder="1" applyAlignment="1" applyProtection="1">
      <alignment horizontal="centerContinuous"/>
    </xf>
    <xf numFmtId="0" fontId="19" fillId="0" borderId="0" xfId="28" applyFont="1" applyFill="1"/>
    <xf numFmtId="0" fontId="10" fillId="0" borderId="0" xfId="28" applyNumberFormat="1" applyFont="1" applyFill="1" applyProtection="1"/>
    <xf numFmtId="0" fontId="10" fillId="0" borderId="0" xfId="28" applyFont="1" applyFill="1" applyProtection="1"/>
    <xf numFmtId="0" fontId="10" fillId="0" borderId="0" xfId="28" applyFont="1" applyFill="1" applyAlignment="1" applyProtection="1">
      <alignment horizontal="center"/>
    </xf>
    <xf numFmtId="0" fontId="10" fillId="0" borderId="9" xfId="28" applyFont="1" applyFill="1" applyBorder="1" applyProtection="1"/>
    <xf numFmtId="0" fontId="10" fillId="0" borderId="9" xfId="28" applyNumberFormat="1" applyFont="1" applyFill="1" applyBorder="1" applyProtection="1"/>
    <xf numFmtId="0" fontId="10" fillId="0" borderId="9" xfId="28" applyFont="1" applyFill="1" applyBorder="1" applyAlignment="1" applyProtection="1">
      <alignment horizontal="center"/>
    </xf>
    <xf numFmtId="0" fontId="9" fillId="0" borderId="0" xfId="28" applyNumberFormat="1" applyFont="1" applyFill="1" applyAlignment="1" applyProtection="1">
      <alignment horizontal="right"/>
    </xf>
    <xf numFmtId="0" fontId="9" fillId="0" borderId="9" xfId="28" applyNumberFormat="1" applyFont="1" applyFill="1" applyBorder="1" applyAlignment="1" applyProtection="1">
      <alignment horizontal="right"/>
    </xf>
    <xf numFmtId="37" fontId="9" fillId="0" borderId="9" xfId="28" applyNumberFormat="1" applyFont="1" applyFill="1" applyBorder="1" applyProtection="1"/>
    <xf numFmtId="0" fontId="9" fillId="0" borderId="43" xfId="28" applyNumberFormat="1" applyFont="1" applyFill="1" applyBorder="1" applyAlignment="1" applyProtection="1">
      <alignment horizontal="right"/>
    </xf>
    <xf numFmtId="37" fontId="9" fillId="0" borderId="43" xfId="28" applyNumberFormat="1" applyFont="1" applyFill="1" applyBorder="1" applyProtection="1"/>
    <xf numFmtId="5" fontId="9" fillId="0" borderId="43" xfId="28" applyNumberFormat="1" applyFont="1" applyFill="1" applyBorder="1" applyProtection="1"/>
    <xf numFmtId="0" fontId="9" fillId="0" borderId="9" xfId="28" applyFont="1" applyFill="1" applyBorder="1" applyProtection="1"/>
    <xf numFmtId="0" fontId="9" fillId="0" borderId="43" xfId="28" applyFont="1" applyFill="1" applyBorder="1" applyProtection="1"/>
    <xf numFmtId="0" fontId="10" fillId="4" borderId="35" xfId="28" applyFont="1" applyFill="1" applyBorder="1" applyAlignment="1" applyProtection="1">
      <alignment horizontal="left"/>
    </xf>
    <xf numFmtId="0" fontId="9" fillId="4" borderId="36" xfId="28" applyNumberFormat="1" applyFont="1" applyFill="1" applyBorder="1" applyProtection="1"/>
    <xf numFmtId="37" fontId="9" fillId="4" borderId="36" xfId="28" applyNumberFormat="1" applyFont="1" applyFill="1" applyBorder="1" applyProtection="1"/>
    <xf numFmtId="0" fontId="14" fillId="4" borderId="36" xfId="28" applyFont="1" applyFill="1" applyBorder="1" applyProtection="1"/>
    <xf numFmtId="5" fontId="16" fillId="0" borderId="0" xfId="28" applyNumberFormat="1" applyFill="1"/>
    <xf numFmtId="0" fontId="10" fillId="4" borderId="24" xfId="28" applyFont="1" applyFill="1" applyBorder="1" applyAlignment="1" applyProtection="1">
      <alignment horizontal="left"/>
    </xf>
    <xf numFmtId="0" fontId="16" fillId="4" borderId="37" xfId="28" applyNumberFormat="1" applyFill="1" applyBorder="1"/>
    <xf numFmtId="37" fontId="9" fillId="4" borderId="37" xfId="28" applyNumberFormat="1" applyFont="1" applyFill="1" applyBorder="1" applyProtection="1"/>
    <xf numFmtId="0" fontId="16" fillId="4" borderId="37" xfId="28" applyFill="1" applyBorder="1"/>
    <xf numFmtId="5" fontId="9" fillId="4" borderId="37" xfId="28" applyNumberFormat="1" applyFont="1" applyFill="1" applyBorder="1" applyProtection="1"/>
    <xf numFmtId="0" fontId="31" fillId="0" borderId="0" xfId="41" applyFont="1"/>
    <xf numFmtId="0" fontId="8" fillId="0" borderId="0" xfId="41"/>
    <xf numFmtId="0" fontId="8" fillId="0" borderId="0" xfId="41" applyFill="1"/>
    <xf numFmtId="166" fontId="8" fillId="0" borderId="0" xfId="41" applyNumberFormat="1"/>
    <xf numFmtId="5" fontId="16" fillId="0" borderId="52" xfId="0" applyNumberFormat="1" applyFont="1" applyFill="1" applyBorder="1" applyProtection="1"/>
    <xf numFmtId="183" fontId="50" fillId="6" borderId="0" xfId="0" applyNumberFormat="1" applyFont="1" applyFill="1" applyBorder="1" applyAlignment="1" applyProtection="1">
      <alignment horizontal="right" vertical="top"/>
      <protection locked="0"/>
    </xf>
    <xf numFmtId="0" fontId="50" fillId="6" borderId="0" xfId="0" applyFont="1" applyFill="1" applyBorder="1" applyAlignment="1" applyProtection="1">
      <alignment horizontal="left" vertical="top"/>
      <protection locked="0"/>
    </xf>
    <xf numFmtId="5" fontId="8" fillId="0" borderId="0" xfId="15" applyNumberFormat="1">
      <alignment wrapText="1"/>
    </xf>
    <xf numFmtId="3" fontId="8" fillId="0" borderId="0" xfId="16" applyNumberFormat="1">
      <alignment wrapText="1"/>
    </xf>
    <xf numFmtId="37" fontId="51" fillId="0" borderId="0" xfId="18" applyNumberFormat="1" applyFont="1" applyFill="1" applyProtection="1"/>
    <xf numFmtId="37" fontId="51" fillId="0" borderId="20" xfId="18" applyNumberFormat="1" applyFont="1" applyFill="1" applyBorder="1" applyProtection="1"/>
    <xf numFmtId="7" fontId="8" fillId="0" borderId="0" xfId="12" applyNumberFormat="1">
      <alignment wrapText="1"/>
    </xf>
    <xf numFmtId="178" fontId="43" fillId="3" borderId="78" xfId="0" applyNumberFormat="1" applyFont="1" applyFill="1" applyBorder="1" applyAlignment="1">
      <alignment horizontal="left" vertical="top"/>
    </xf>
    <xf numFmtId="178" fontId="43" fillId="3" borderId="40" xfId="0" applyNumberFormat="1" applyFont="1" applyFill="1" applyBorder="1" applyAlignment="1">
      <alignment horizontal="left" vertical="top"/>
    </xf>
    <xf numFmtId="182" fontId="43" fillId="3" borderId="40" xfId="0" applyNumberFormat="1" applyFont="1" applyFill="1" applyBorder="1" applyAlignment="1">
      <alignment horizontal="right" vertical="top"/>
    </xf>
    <xf numFmtId="183" fontId="43" fillId="3" borderId="40" xfId="0" applyNumberFormat="1" applyFont="1" applyFill="1" applyBorder="1" applyAlignment="1">
      <alignment horizontal="right" vertical="top"/>
    </xf>
    <xf numFmtId="185" fontId="43" fillId="3" borderId="40" xfId="0" applyNumberFormat="1" applyFont="1" applyFill="1" applyBorder="1" applyAlignment="1">
      <alignment horizontal="right" vertical="top"/>
    </xf>
    <xf numFmtId="178" fontId="43" fillId="3" borderId="19" xfId="0" applyNumberFormat="1" applyFont="1" applyFill="1" applyBorder="1" applyAlignment="1">
      <alignment horizontal="left" vertical="top"/>
    </xf>
    <xf numFmtId="182" fontId="43" fillId="3" borderId="19" xfId="0" applyNumberFormat="1" applyFont="1" applyFill="1" applyBorder="1" applyAlignment="1">
      <alignment horizontal="right" vertical="top"/>
    </xf>
    <xf numFmtId="183" fontId="43" fillId="3" borderId="19" xfId="0" applyNumberFormat="1" applyFont="1" applyFill="1" applyBorder="1" applyAlignment="1">
      <alignment horizontal="right" vertical="top"/>
    </xf>
    <xf numFmtId="185" fontId="43" fillId="3" borderId="19" xfId="0" applyNumberFormat="1" applyFont="1" applyFill="1" applyBorder="1" applyAlignment="1">
      <alignment horizontal="right" vertical="top"/>
    </xf>
    <xf numFmtId="178" fontId="36" fillId="0" borderId="40" xfId="0" applyNumberFormat="1" applyFont="1" applyFill="1" applyBorder="1" applyAlignment="1">
      <alignment horizontal="left" vertical="top"/>
    </xf>
    <xf numFmtId="183" fontId="36" fillId="0" borderId="40" xfId="0" applyNumberFormat="1" applyFont="1" applyFill="1" applyBorder="1" applyAlignment="1">
      <alignment horizontal="right" vertical="top"/>
    </xf>
    <xf numFmtId="3" fontId="43" fillId="0" borderId="65" xfId="12" applyNumberFormat="1" applyFont="1" applyBorder="1" applyProtection="1">
      <alignment wrapText="1"/>
      <protection locked="0"/>
    </xf>
    <xf numFmtId="3" fontId="43" fillId="0" borderId="12" xfId="12" applyNumberFormat="1" applyFont="1" applyBorder="1" applyProtection="1">
      <alignment wrapText="1"/>
      <protection locked="0"/>
    </xf>
    <xf numFmtId="183" fontId="8" fillId="0" borderId="0" xfId="13" applyNumberFormat="1">
      <alignment wrapText="1"/>
    </xf>
    <xf numFmtId="0" fontId="39" fillId="0" borderId="79" xfId="20" applyFont="1" applyFill="1" applyBorder="1" applyAlignment="1" applyProtection="1">
      <alignment horizontal="left"/>
    </xf>
    <xf numFmtId="0" fontId="39" fillId="0" borderId="62" xfId="20" applyFont="1" applyFill="1" applyBorder="1" applyAlignment="1" applyProtection="1">
      <alignment horizontal="left"/>
    </xf>
    <xf numFmtId="0" fontId="58" fillId="0" borderId="0" xfId="23" applyFont="1" applyAlignment="1">
      <alignment horizontal="right" wrapText="1"/>
    </xf>
    <xf numFmtId="5" fontId="58" fillId="0" borderId="0" xfId="23" applyNumberFormat="1" applyFont="1">
      <alignment wrapText="1"/>
    </xf>
    <xf numFmtId="167" fontId="59" fillId="0" borderId="0" xfId="18" applyFont="1" applyFill="1" applyBorder="1"/>
    <xf numFmtId="0" fontId="19" fillId="9" borderId="0" xfId="28" applyFont="1" applyFill="1"/>
    <xf numFmtId="0" fontId="16" fillId="9" borderId="0" xfId="28" applyFill="1"/>
    <xf numFmtId="168" fontId="16" fillId="0" borderId="0" xfId="28" applyNumberFormat="1" applyFill="1"/>
    <xf numFmtId="3" fontId="50" fillId="6" borderId="18" xfId="0" applyNumberFormat="1" applyFont="1" applyFill="1" applyBorder="1" applyAlignment="1" applyProtection="1">
      <alignment horizontal="right" vertical="top"/>
      <protection locked="0"/>
    </xf>
    <xf numFmtId="0" fontId="52" fillId="0" borderId="0" xfId="0" applyFont="1" applyProtection="1">
      <protection locked="0"/>
    </xf>
    <xf numFmtId="38" fontId="52" fillId="0" borderId="0" xfId="0" applyNumberFormat="1" applyFont="1"/>
    <xf numFmtId="38" fontId="8" fillId="0" borderId="0" xfId="22" applyNumberFormat="1"/>
    <xf numFmtId="0" fontId="33" fillId="0" borderId="0" xfId="0" applyFont="1" applyFill="1"/>
    <xf numFmtId="38" fontId="33" fillId="0" borderId="77" xfId="0" applyNumberFormat="1" applyFont="1" applyFill="1" applyBorder="1"/>
    <xf numFmtId="38" fontId="33" fillId="0" borderId="0" xfId="0" applyNumberFormat="1" applyFont="1" applyFill="1" applyBorder="1"/>
    <xf numFmtId="166" fontId="33" fillId="0" borderId="0" xfId="0" applyNumberFormat="1" applyFont="1" applyFill="1" applyBorder="1"/>
    <xf numFmtId="38" fontId="33" fillId="0" borderId="47" xfId="0" applyNumberFormat="1" applyFont="1" applyFill="1" applyBorder="1"/>
    <xf numFmtId="38" fontId="33" fillId="0" borderId="71" xfId="0" applyNumberFormat="1" applyFont="1" applyFill="1" applyBorder="1"/>
    <xf numFmtId="169" fontId="33" fillId="0" borderId="0" xfId="0" applyNumberFormat="1" applyFont="1" applyFill="1" applyBorder="1"/>
    <xf numFmtId="10" fontId="33" fillId="0" borderId="0" xfId="0" applyNumberFormat="1" applyFont="1" applyFill="1"/>
    <xf numFmtId="169" fontId="33" fillId="0" borderId="0" xfId="0" applyNumberFormat="1" applyFont="1" applyFill="1"/>
    <xf numFmtId="38" fontId="33" fillId="0" borderId="7" xfId="0" applyNumberFormat="1" applyFont="1" applyFill="1" applyBorder="1"/>
    <xf numFmtId="38" fontId="33" fillId="0" borderId="6" xfId="0" applyNumberFormat="1" applyFont="1" applyFill="1" applyBorder="1"/>
    <xf numFmtId="166" fontId="33" fillId="0" borderId="71" xfId="0" applyNumberFormat="1" applyFont="1" applyFill="1" applyBorder="1"/>
    <xf numFmtId="166" fontId="33" fillId="0" borderId="7" xfId="0" applyNumberFormat="1" applyFont="1" applyFill="1" applyBorder="1"/>
    <xf numFmtId="166" fontId="33" fillId="0" borderId="73" xfId="0" applyNumberFormat="1" applyFont="1" applyFill="1" applyBorder="1"/>
    <xf numFmtId="178" fontId="36" fillId="3" borderId="13" xfId="0" applyNumberFormat="1" applyFont="1" applyFill="1" applyBorder="1" applyAlignment="1">
      <alignment horizontal="left" vertical="top"/>
    </xf>
    <xf numFmtId="3" fontId="16" fillId="0" borderId="0" xfId="28" applyNumberFormat="1" applyFill="1"/>
    <xf numFmtId="3" fontId="9" fillId="9" borderId="0" xfId="28" applyNumberFormat="1" applyFont="1" applyFill="1" applyProtection="1"/>
    <xf numFmtId="7" fontId="16" fillId="0" borderId="0" xfId="28" applyNumberFormat="1" applyFill="1"/>
    <xf numFmtId="189" fontId="8" fillId="0" borderId="0" xfId="41" applyNumberFormat="1" applyBorder="1" applyAlignment="1">
      <alignment horizontal="centerContinuous"/>
    </xf>
    <xf numFmtId="0" fontId="8" fillId="0" borderId="0" xfId="41" applyBorder="1"/>
    <xf numFmtId="37" fontId="8" fillId="0" borderId="0" xfId="41" applyNumberFormat="1" applyBorder="1"/>
    <xf numFmtId="9" fontId="8" fillId="0" borderId="0" xfId="23" applyNumberFormat="1">
      <alignment wrapText="1"/>
    </xf>
    <xf numFmtId="10" fontId="16" fillId="0" borderId="0" xfId="28" applyNumberFormat="1" applyFill="1" applyAlignment="1">
      <alignment horizontal="center"/>
    </xf>
    <xf numFmtId="176" fontId="14" fillId="0" borderId="0" xfId="28" applyNumberFormat="1" applyFont="1" applyFill="1" applyAlignment="1" applyProtection="1">
      <alignment horizontal="center"/>
    </xf>
    <xf numFmtId="0" fontId="16" fillId="0" borderId="0" xfId="28" applyFill="1" applyAlignment="1">
      <alignment horizontal="center"/>
    </xf>
    <xf numFmtId="0" fontId="8" fillId="0" borderId="0" xfId="23" applyBorder="1" applyAlignment="1"/>
    <xf numFmtId="9" fontId="8" fillId="0" borderId="0" xfId="16" applyNumberFormat="1" applyBorder="1">
      <alignment wrapText="1"/>
    </xf>
    <xf numFmtId="37" fontId="51" fillId="0" borderId="0" xfId="18" applyNumberFormat="1" applyFont="1" applyFill="1" applyBorder="1" applyProtection="1"/>
    <xf numFmtId="37" fontId="51" fillId="0" borderId="20" xfId="18" applyNumberFormat="1" applyFont="1" applyFill="1" applyBorder="1" applyProtection="1">
      <protection locked="0"/>
    </xf>
    <xf numFmtId="37" fontId="51" fillId="0" borderId="9" xfId="18" applyNumberFormat="1" applyFont="1" applyFill="1" applyBorder="1" applyProtection="1"/>
    <xf numFmtId="0" fontId="9" fillId="0" borderId="35" xfId="0" applyFont="1" applyFill="1" applyBorder="1" applyAlignment="1" applyProtection="1">
      <alignment horizontal="centerContinuous"/>
    </xf>
    <xf numFmtId="0" fontId="0" fillId="0" borderId="23" xfId="0" applyFill="1" applyBorder="1" applyAlignment="1">
      <alignment horizontal="centerContinuous"/>
    </xf>
    <xf numFmtId="0" fontId="16" fillId="0" borderId="6" xfId="0" applyFont="1" applyFill="1" applyBorder="1" applyAlignment="1">
      <alignment horizontal="center"/>
    </xf>
    <xf numFmtId="0" fontId="0" fillId="0" borderId="6" xfId="0" applyFill="1" applyBorder="1"/>
    <xf numFmtId="10" fontId="0" fillId="0" borderId="6" xfId="0" applyNumberFormat="1" applyFill="1" applyBorder="1"/>
    <xf numFmtId="0" fontId="16" fillId="0" borderId="60" xfId="0" applyFont="1" applyFill="1" applyBorder="1" applyAlignment="1">
      <alignment horizontal="center"/>
    </xf>
    <xf numFmtId="166" fontId="16" fillId="0" borderId="47" xfId="0" applyNumberFormat="1" applyFont="1" applyFill="1" applyBorder="1"/>
    <xf numFmtId="0" fontId="16" fillId="0" borderId="47" xfId="0" applyFont="1" applyFill="1" applyBorder="1"/>
    <xf numFmtId="166" fontId="16" fillId="0" borderId="0" xfId="1" applyNumberFormat="1" applyFont="1" applyFill="1"/>
    <xf numFmtId="167" fontId="51" fillId="0" borderId="0" xfId="18" applyFont="1" applyFill="1" applyBorder="1"/>
    <xf numFmtId="7" fontId="51" fillId="0" borderId="0" xfId="18" applyNumberFormat="1" applyFont="1" applyFill="1" applyBorder="1" applyProtection="1"/>
    <xf numFmtId="0" fontId="14" fillId="0" borderId="9" xfId="0" applyFont="1" applyFill="1" applyBorder="1" applyAlignment="1" applyProtection="1">
      <alignment horizontal="centerContinuous"/>
    </xf>
    <xf numFmtId="0" fontId="0" fillId="0" borderId="9" xfId="0" applyFill="1" applyBorder="1" applyAlignment="1">
      <alignment horizontal="centerContinuous"/>
    </xf>
    <xf numFmtId="0" fontId="16" fillId="0" borderId="0" xfId="0" applyFont="1" applyFill="1" applyAlignment="1">
      <alignment horizontal="left"/>
    </xf>
    <xf numFmtId="0" fontId="16" fillId="0" borderId="0" xfId="0" applyFont="1" applyFill="1" applyBorder="1" applyAlignment="1">
      <alignment horizontal="left"/>
    </xf>
    <xf numFmtId="10" fontId="58" fillId="0" borderId="0" xfId="23" applyNumberFormat="1" applyFont="1">
      <alignment wrapText="1"/>
    </xf>
    <xf numFmtId="0" fontId="28" fillId="3" borderId="42" xfId="0" applyFont="1" applyFill="1" applyBorder="1"/>
    <xf numFmtId="183" fontId="36" fillId="0" borderId="0" xfId="0" applyNumberFormat="1" applyFont="1" applyFill="1" applyBorder="1" applyAlignment="1">
      <alignment horizontal="right" vertical="top"/>
    </xf>
    <xf numFmtId="178" fontId="36" fillId="0" borderId="48" xfId="0" applyNumberFormat="1" applyFont="1" applyFill="1" applyBorder="1" applyAlignment="1">
      <alignment horizontal="left" vertical="top"/>
    </xf>
    <xf numFmtId="178" fontId="36" fillId="0" borderId="47" xfId="0" applyNumberFormat="1" applyFont="1" applyFill="1" applyBorder="1" applyAlignment="1">
      <alignment horizontal="left" vertical="top"/>
    </xf>
    <xf numFmtId="178" fontId="42" fillId="0" borderId="49" xfId="0" applyNumberFormat="1" applyFont="1" applyFill="1" applyBorder="1" applyAlignment="1">
      <alignment horizontal="left" vertical="top"/>
    </xf>
    <xf numFmtId="178" fontId="36" fillId="0" borderId="24" xfId="0" applyNumberFormat="1" applyFont="1" applyFill="1" applyBorder="1" applyAlignment="1">
      <alignment horizontal="left" vertical="top"/>
    </xf>
    <xf numFmtId="178" fontId="36" fillId="0" borderId="7" xfId="0" applyNumberFormat="1" applyFont="1" applyFill="1" applyBorder="1" applyAlignment="1">
      <alignment horizontal="left" vertical="top"/>
    </xf>
    <xf numFmtId="178" fontId="42" fillId="0" borderId="10" xfId="0" applyNumberFormat="1" applyFont="1" applyFill="1" applyBorder="1" applyAlignment="1">
      <alignment horizontal="left" vertical="top"/>
    </xf>
    <xf numFmtId="183" fontId="36" fillId="0" borderId="37" xfId="0" applyNumberFormat="1" applyFont="1" applyFill="1" applyBorder="1" applyAlignment="1">
      <alignment horizontal="right" vertical="top"/>
    </xf>
    <xf numFmtId="183" fontId="36" fillId="0" borderId="9" xfId="0" applyNumberFormat="1" applyFont="1" applyFill="1" applyBorder="1" applyAlignment="1">
      <alignment horizontal="right" vertical="top"/>
    </xf>
    <xf numFmtId="178" fontId="36" fillId="3" borderId="24" xfId="0" applyNumberFormat="1" applyFont="1" applyFill="1" applyBorder="1" applyAlignment="1">
      <alignment horizontal="left" vertical="top"/>
    </xf>
    <xf numFmtId="178" fontId="36" fillId="3" borderId="7" xfId="0" applyNumberFormat="1" applyFont="1" applyFill="1" applyBorder="1" applyAlignment="1">
      <alignment horizontal="left" vertical="top"/>
    </xf>
    <xf numFmtId="178" fontId="36" fillId="3" borderId="47" xfId="0" applyNumberFormat="1" applyFont="1" applyFill="1" applyBorder="1" applyAlignment="1">
      <alignment horizontal="left" vertical="top"/>
    </xf>
    <xf numFmtId="37" fontId="0" fillId="0" borderId="0" xfId="0" applyNumberFormat="1" applyFill="1"/>
    <xf numFmtId="7" fontId="51" fillId="0" borderId="0" xfId="167" applyNumberFormat="1" applyFont="1" applyFill="1" applyBorder="1" applyProtection="1"/>
    <xf numFmtId="17" fontId="52" fillId="0" borderId="0" xfId="28" applyNumberFormat="1" applyFont="1" applyFill="1" applyBorder="1" applyAlignment="1" applyProtection="1">
      <alignment horizontal="left"/>
    </xf>
    <xf numFmtId="17" fontId="52" fillId="0" borderId="9" xfId="28" applyNumberFormat="1" applyFont="1" applyFill="1" applyBorder="1" applyAlignment="1" applyProtection="1">
      <alignment horizontal="left"/>
    </xf>
    <xf numFmtId="168" fontId="52" fillId="0" borderId="0" xfId="37" applyNumberFormat="1" applyFont="1" applyFill="1" applyBorder="1"/>
    <xf numFmtId="168" fontId="52" fillId="0" borderId="0" xfId="37" applyNumberFormat="1" applyFont="1" applyFill="1" applyBorder="1" applyProtection="1"/>
    <xf numFmtId="184" fontId="9" fillId="0" borderId="0" xfId="40" applyNumberFormat="1" applyFont="1" applyFill="1" applyProtection="1">
      <protection locked="0"/>
    </xf>
    <xf numFmtId="195" fontId="9" fillId="0" borderId="0" xfId="40" applyNumberFormat="1" applyFont="1" applyFill="1" applyProtection="1">
      <protection locked="0"/>
    </xf>
    <xf numFmtId="168" fontId="52" fillId="0" borderId="0" xfId="37" applyNumberFormat="1" applyFont="1" applyFill="1"/>
    <xf numFmtId="168" fontId="52" fillId="0" borderId="0" xfId="28" applyNumberFormat="1" applyFont="1" applyFill="1"/>
    <xf numFmtId="9" fontId="8" fillId="0" borderId="0" xfId="23" applyNumberFormat="1" applyBorder="1">
      <alignment wrapText="1"/>
    </xf>
    <xf numFmtId="9" fontId="58" fillId="0" borderId="7" xfId="23" applyNumberFormat="1" applyFont="1" applyBorder="1">
      <alignment wrapText="1"/>
    </xf>
    <xf numFmtId="0" fontId="58" fillId="0" borderId="0" xfId="23" applyFont="1" applyBorder="1">
      <alignment wrapText="1"/>
    </xf>
    <xf numFmtId="9" fontId="58" fillId="0" borderId="0" xfId="23" applyNumberFormat="1" applyFont="1" applyBorder="1">
      <alignment wrapText="1"/>
    </xf>
    <xf numFmtId="9" fontId="58" fillId="0" borderId="6" xfId="23" applyNumberFormat="1" applyFont="1" applyBorder="1">
      <alignment wrapText="1"/>
    </xf>
    <xf numFmtId="9" fontId="58" fillId="0" borderId="10" xfId="23" applyNumberFormat="1" applyFont="1" applyBorder="1">
      <alignment wrapText="1"/>
    </xf>
    <xf numFmtId="0" fontId="58" fillId="0" borderId="86" xfId="23" applyFont="1" applyBorder="1">
      <alignment wrapText="1"/>
    </xf>
    <xf numFmtId="9" fontId="58" fillId="0" borderId="86" xfId="23" applyNumberFormat="1" applyFont="1" applyBorder="1">
      <alignment wrapText="1"/>
    </xf>
    <xf numFmtId="9" fontId="58" fillId="0" borderId="8" xfId="23" applyNumberFormat="1" applyFont="1" applyBorder="1">
      <alignment wrapText="1"/>
    </xf>
    <xf numFmtId="10" fontId="58" fillId="0" borderId="0" xfId="23" applyNumberFormat="1" applyFont="1" applyBorder="1">
      <alignment wrapText="1"/>
    </xf>
    <xf numFmtId="10" fontId="58" fillId="0" borderId="6" xfId="23" applyNumberFormat="1" applyFont="1" applyBorder="1">
      <alignment wrapText="1"/>
    </xf>
    <xf numFmtId="10" fontId="58" fillId="0" borderId="86" xfId="23" applyNumberFormat="1" applyFont="1" applyBorder="1">
      <alignment wrapText="1"/>
    </xf>
    <xf numFmtId="10" fontId="58" fillId="0" borderId="8" xfId="23" applyNumberFormat="1" applyFont="1" applyBorder="1">
      <alignment wrapText="1"/>
    </xf>
    <xf numFmtId="0" fontId="58" fillId="0" borderId="7" xfId="23" applyFont="1" applyBorder="1">
      <alignment wrapText="1"/>
    </xf>
    <xf numFmtId="0" fontId="58" fillId="0" borderId="10" xfId="23" applyFont="1" applyBorder="1">
      <alignment wrapText="1"/>
    </xf>
    <xf numFmtId="10" fontId="75" fillId="0" borderId="0" xfId="28" applyNumberFormat="1" applyFont="1" applyFill="1" applyAlignment="1" applyProtection="1">
      <alignment horizontal="center"/>
    </xf>
    <xf numFmtId="9" fontId="8" fillId="0" borderId="6" xfId="16" applyNumberFormat="1" applyBorder="1">
      <alignment wrapText="1"/>
    </xf>
    <xf numFmtId="9" fontId="8" fillId="0" borderId="8" xfId="16" applyNumberFormat="1" applyBorder="1">
      <alignment wrapText="1"/>
    </xf>
    <xf numFmtId="0" fontId="8" fillId="0" borderId="24" xfId="16" applyFont="1" applyBorder="1">
      <alignment wrapText="1"/>
    </xf>
    <xf numFmtId="9" fontId="8" fillId="0" borderId="21" xfId="16" applyNumberFormat="1" applyBorder="1">
      <alignment wrapText="1"/>
    </xf>
    <xf numFmtId="0" fontId="8" fillId="0" borderId="7" xfId="16" applyFont="1" applyBorder="1">
      <alignment wrapText="1"/>
    </xf>
    <xf numFmtId="0" fontId="8" fillId="0" borderId="10" xfId="16" applyFont="1" applyBorder="1">
      <alignment wrapText="1"/>
    </xf>
    <xf numFmtId="0" fontId="8" fillId="0" borderId="24" xfId="23" applyBorder="1">
      <alignment wrapText="1"/>
    </xf>
    <xf numFmtId="0" fontId="8" fillId="0" borderId="24" xfId="14" applyBorder="1">
      <alignment wrapText="1"/>
    </xf>
    <xf numFmtId="0" fontId="58" fillId="0" borderId="21" xfId="23" applyFont="1" applyBorder="1" applyAlignment="1">
      <alignment horizontal="right"/>
    </xf>
    <xf numFmtId="0" fontId="8" fillId="0" borderId="10" xfId="14" applyBorder="1">
      <alignment wrapText="1"/>
    </xf>
    <xf numFmtId="9" fontId="16" fillId="0" borderId="0" xfId="28" applyNumberFormat="1" applyFill="1" applyAlignment="1">
      <alignment horizontal="center"/>
    </xf>
    <xf numFmtId="169" fontId="16" fillId="0" borderId="0" xfId="28" applyNumberFormat="1" applyFill="1" applyAlignment="1">
      <alignment horizontal="center"/>
    </xf>
    <xf numFmtId="0" fontId="16" fillId="0" borderId="9" xfId="0" applyFont="1" applyFill="1" applyBorder="1" applyAlignment="1">
      <alignment horizontal="left"/>
    </xf>
    <xf numFmtId="0" fontId="79" fillId="0" borderId="0" xfId="41" applyFont="1"/>
    <xf numFmtId="0" fontId="58" fillId="0" borderId="24" xfId="14" applyFont="1" applyBorder="1">
      <alignment wrapText="1"/>
    </xf>
    <xf numFmtId="0" fontId="58" fillId="0" borderId="7" xfId="14" applyFont="1" applyBorder="1">
      <alignment wrapText="1"/>
    </xf>
    <xf numFmtId="0" fontId="58" fillId="0" borderId="10" xfId="14" applyFont="1" applyBorder="1">
      <alignment wrapText="1"/>
    </xf>
    <xf numFmtId="0" fontId="58" fillId="0" borderId="24" xfId="14" applyFont="1" applyBorder="1" applyAlignment="1">
      <alignment horizontal="right" wrapText="1"/>
    </xf>
    <xf numFmtId="5" fontId="58" fillId="0" borderId="21" xfId="14" applyNumberFormat="1" applyFont="1" applyBorder="1">
      <alignment wrapText="1"/>
    </xf>
    <xf numFmtId="0" fontId="58" fillId="0" borderId="7" xfId="14" applyFont="1" applyBorder="1" applyAlignment="1">
      <alignment horizontal="right" wrapText="1"/>
    </xf>
    <xf numFmtId="5" fontId="58" fillId="0" borderId="6" xfId="14" applyNumberFormat="1" applyFont="1" applyBorder="1">
      <alignment wrapText="1"/>
    </xf>
    <xf numFmtId="0" fontId="58" fillId="0" borderId="10" xfId="14" applyFont="1" applyBorder="1" applyAlignment="1">
      <alignment horizontal="right" wrapText="1"/>
    </xf>
    <xf numFmtId="5" fontId="58" fillId="0" borderId="8" xfId="14" applyNumberFormat="1" applyFont="1" applyBorder="1">
      <alignment wrapText="1"/>
    </xf>
    <xf numFmtId="0" fontId="58" fillId="0" borderId="37" xfId="23" applyFont="1" applyBorder="1" applyAlignment="1">
      <alignment horizontal="right" wrapText="1"/>
    </xf>
    <xf numFmtId="0" fontId="8" fillId="0" borderId="10" xfId="23" applyBorder="1">
      <alignment wrapText="1"/>
    </xf>
    <xf numFmtId="0" fontId="58" fillId="0" borderId="9" xfId="23" applyFont="1" applyBorder="1" applyAlignment="1">
      <alignment horizontal="right"/>
    </xf>
    <xf numFmtId="0" fontId="58" fillId="0" borderId="35" xfId="23" applyFont="1" applyBorder="1" applyAlignment="1">
      <alignment horizontal="centerContinuous" wrapText="1"/>
    </xf>
    <xf numFmtId="3" fontId="8" fillId="0" borderId="36" xfId="23" applyNumberFormat="1" applyBorder="1" applyAlignment="1">
      <alignment horizontal="centerContinuous" wrapText="1"/>
    </xf>
    <xf numFmtId="0" fontId="8" fillId="0" borderId="36" xfId="23" applyBorder="1" applyAlignment="1">
      <alignment horizontal="centerContinuous" wrapText="1"/>
    </xf>
    <xf numFmtId="0" fontId="8" fillId="0" borderId="23" xfId="23" applyBorder="1" applyAlignment="1">
      <alignment horizontal="centerContinuous" wrapText="1"/>
    </xf>
    <xf numFmtId="0" fontId="58" fillId="0" borderId="36" xfId="23" applyFont="1" applyBorder="1" applyAlignment="1">
      <alignment horizontal="centerContinuous" wrapText="1"/>
    </xf>
    <xf numFmtId="0" fontId="58" fillId="0" borderId="23" xfId="23" applyFont="1" applyBorder="1" applyAlignment="1">
      <alignment horizontal="centerContinuous" wrapText="1"/>
    </xf>
    <xf numFmtId="0" fontId="58" fillId="0" borderId="24" xfId="23" applyFont="1" applyBorder="1">
      <alignment wrapText="1"/>
    </xf>
    <xf numFmtId="5" fontId="58" fillId="0" borderId="21" xfId="23" applyNumberFormat="1" applyFont="1" applyBorder="1">
      <alignment wrapText="1"/>
    </xf>
    <xf numFmtId="5" fontId="58" fillId="0" borderId="6" xfId="23" applyNumberFormat="1" applyFont="1" applyBorder="1">
      <alignment wrapText="1"/>
    </xf>
    <xf numFmtId="5" fontId="58" fillId="0" borderId="8" xfId="23" applyNumberFormat="1" applyFont="1" applyBorder="1">
      <alignment wrapText="1"/>
    </xf>
    <xf numFmtId="0" fontId="58" fillId="0" borderId="24" xfId="15" applyFont="1" applyBorder="1">
      <alignment wrapText="1"/>
    </xf>
    <xf numFmtId="9" fontId="58" fillId="0" borderId="37" xfId="15" applyNumberFormat="1" applyFont="1" applyBorder="1">
      <alignment wrapText="1"/>
    </xf>
    <xf numFmtId="9" fontId="58" fillId="0" borderId="21" xfId="15" applyNumberFormat="1" applyFont="1" applyBorder="1">
      <alignment wrapText="1"/>
    </xf>
    <xf numFmtId="0" fontId="58" fillId="0" borderId="10" xfId="15" applyFont="1" applyBorder="1">
      <alignment wrapText="1"/>
    </xf>
    <xf numFmtId="9" fontId="58" fillId="0" borderId="9" xfId="15" applyNumberFormat="1" applyFont="1" applyBorder="1">
      <alignment wrapText="1"/>
    </xf>
    <xf numFmtId="9" fontId="58" fillId="0" borderId="8" xfId="15" applyNumberFormat="1" applyFont="1" applyBorder="1">
      <alignment wrapText="1"/>
    </xf>
    <xf numFmtId="0" fontId="58" fillId="0" borderId="24" xfId="16" applyFont="1" applyBorder="1">
      <alignment wrapText="1"/>
    </xf>
    <xf numFmtId="0" fontId="58" fillId="0" borderId="37" xfId="16" applyFont="1" applyBorder="1">
      <alignment wrapText="1"/>
    </xf>
    <xf numFmtId="0" fontId="58" fillId="0" borderId="7" xfId="16" applyFont="1" applyBorder="1" applyAlignment="1">
      <alignment horizontal="right" wrapText="1"/>
    </xf>
    <xf numFmtId="9" fontId="58" fillId="0" borderId="0" xfId="16" applyNumberFormat="1" applyFont="1" applyBorder="1">
      <alignment wrapText="1"/>
    </xf>
    <xf numFmtId="0" fontId="58" fillId="0" borderId="10" xfId="16" applyFont="1" applyBorder="1" applyAlignment="1">
      <alignment horizontal="right" wrapText="1"/>
    </xf>
    <xf numFmtId="9" fontId="58" fillId="0" borderId="86" xfId="16" applyNumberFormat="1" applyFont="1" applyBorder="1">
      <alignment wrapText="1"/>
    </xf>
    <xf numFmtId="0" fontId="58" fillId="0" borderId="24" xfId="23" applyFont="1" applyBorder="1" applyAlignment="1"/>
    <xf numFmtId="0" fontId="58" fillId="0" borderId="37" xfId="23" applyFont="1" applyBorder="1" applyAlignment="1"/>
    <xf numFmtId="9" fontId="58" fillId="0" borderId="21" xfId="16" applyNumberFormat="1" applyFont="1" applyBorder="1">
      <alignment wrapText="1"/>
    </xf>
    <xf numFmtId="178" fontId="58" fillId="0" borderId="7" xfId="0" applyNumberFormat="1" applyFont="1" applyFill="1" applyBorder="1" applyAlignment="1">
      <alignment horizontal="left" vertical="top"/>
    </xf>
    <xf numFmtId="0" fontId="58" fillId="0" borderId="0" xfId="23" applyFont="1" applyBorder="1" applyAlignment="1"/>
    <xf numFmtId="9" fontId="58" fillId="0" borderId="6" xfId="16" applyNumberFormat="1" applyFont="1" applyBorder="1">
      <alignment wrapText="1"/>
    </xf>
    <xf numFmtId="0" fontId="58" fillId="0" borderId="0" xfId="16" applyFont="1" applyBorder="1">
      <alignment wrapText="1"/>
    </xf>
    <xf numFmtId="178" fontId="58" fillId="0" borderId="10" xfId="0" applyNumberFormat="1" applyFont="1" applyFill="1" applyBorder="1" applyAlignment="1">
      <alignment horizontal="left" vertical="top"/>
    </xf>
    <xf numFmtId="0" fontId="58" fillId="0" borderId="86" xfId="16" applyFont="1" applyBorder="1">
      <alignment wrapText="1"/>
    </xf>
    <xf numFmtId="9" fontId="58" fillId="0" borderId="8" xfId="16" applyNumberFormat="1" applyFont="1" applyBorder="1">
      <alignment wrapText="1"/>
    </xf>
    <xf numFmtId="0" fontId="58" fillId="0" borderId="24" xfId="5" applyFont="1" applyBorder="1" applyAlignment="1">
      <alignment horizontal="center" wrapText="1"/>
    </xf>
    <xf numFmtId="0" fontId="58" fillId="0" borderId="37" xfId="5" applyFont="1" applyBorder="1" applyAlignment="1">
      <alignment horizontal="center" wrapText="1"/>
    </xf>
    <xf numFmtId="0" fontId="58" fillId="0" borderId="21" xfId="5" applyFont="1" applyBorder="1" applyAlignment="1">
      <alignment horizontal="center" wrapText="1"/>
    </xf>
    <xf numFmtId="9" fontId="58" fillId="0" borderId="10" xfId="5" applyNumberFormat="1" applyFont="1" applyBorder="1">
      <alignment wrapText="1"/>
    </xf>
    <xf numFmtId="0" fontId="58" fillId="0" borderId="86" xfId="5" applyFont="1" applyBorder="1">
      <alignment wrapText="1"/>
    </xf>
    <xf numFmtId="9" fontId="58" fillId="0" borderId="86" xfId="5" applyNumberFormat="1" applyFont="1" applyBorder="1">
      <alignment wrapText="1"/>
    </xf>
    <xf numFmtId="9" fontId="58" fillId="0" borderId="8" xfId="5" applyNumberFormat="1" applyFont="1" applyBorder="1">
      <alignment wrapText="1"/>
    </xf>
    <xf numFmtId="183" fontId="58" fillId="3" borderId="21" xfId="0" applyNumberFormat="1" applyFont="1" applyFill="1" applyBorder="1" applyAlignment="1">
      <alignment horizontal="right" vertical="top"/>
    </xf>
    <xf numFmtId="183" fontId="58" fillId="3" borderId="6" xfId="0" applyNumberFormat="1" applyFont="1" applyFill="1" applyBorder="1" applyAlignment="1">
      <alignment horizontal="right" vertical="top"/>
    </xf>
    <xf numFmtId="183" fontId="58" fillId="3" borderId="8" xfId="0" applyNumberFormat="1" applyFont="1" applyFill="1" applyBorder="1" applyAlignment="1">
      <alignment horizontal="right" vertical="top"/>
    </xf>
    <xf numFmtId="0" fontId="58" fillId="0" borderId="37" xfId="23" applyFont="1" applyBorder="1">
      <alignment wrapText="1"/>
    </xf>
    <xf numFmtId="0" fontId="58" fillId="0" borderId="21" xfId="23" applyFont="1" applyBorder="1">
      <alignment wrapText="1"/>
    </xf>
    <xf numFmtId="38" fontId="58" fillId="0" borderId="21" xfId="13" applyNumberFormat="1" applyFont="1" applyBorder="1">
      <alignment wrapText="1"/>
    </xf>
    <xf numFmtId="38" fontId="58" fillId="0" borderId="6" xfId="13" applyNumberFormat="1" applyFont="1" applyBorder="1">
      <alignment wrapText="1"/>
    </xf>
    <xf numFmtId="38" fontId="58" fillId="0" borderId="8" xfId="13" applyNumberFormat="1" applyFont="1" applyBorder="1">
      <alignment wrapText="1"/>
    </xf>
    <xf numFmtId="178" fontId="36" fillId="3" borderId="0" xfId="0" applyNumberFormat="1" applyFont="1" applyFill="1" applyBorder="1" applyAlignment="1">
      <alignment horizontal="left" vertical="top"/>
    </xf>
    <xf numFmtId="179" fontId="36" fillId="3" borderId="0" xfId="0" applyNumberFormat="1" applyFont="1" applyFill="1" applyBorder="1" applyAlignment="1">
      <alignment horizontal="right" vertical="top"/>
    </xf>
    <xf numFmtId="180" fontId="36" fillId="3" borderId="0" xfId="0" applyNumberFormat="1" applyFont="1" applyFill="1" applyBorder="1" applyAlignment="1">
      <alignment horizontal="right" vertical="top"/>
    </xf>
    <xf numFmtId="183" fontId="36" fillId="3" borderId="0" xfId="0" applyNumberFormat="1" applyFont="1" applyFill="1" applyBorder="1" applyAlignment="1">
      <alignment horizontal="right" vertical="top"/>
    </xf>
    <xf numFmtId="0" fontId="36" fillId="0" borderId="0" xfId="23" applyFont="1" applyBorder="1">
      <alignment wrapText="1"/>
    </xf>
    <xf numFmtId="178" fontId="36" fillId="3" borderId="48" xfId="0" applyNumberFormat="1" applyFont="1" applyFill="1" applyBorder="1" applyAlignment="1">
      <alignment horizontal="left" vertical="top"/>
    </xf>
    <xf numFmtId="183" fontId="36" fillId="3" borderId="37" xfId="0" applyNumberFormat="1" applyFont="1" applyFill="1" applyBorder="1" applyAlignment="1">
      <alignment horizontal="right" vertical="top"/>
    </xf>
    <xf numFmtId="178" fontId="36" fillId="3" borderId="10" xfId="0" applyNumberFormat="1" applyFont="1" applyFill="1" applyBorder="1" applyAlignment="1">
      <alignment horizontal="left" vertical="top"/>
    </xf>
    <xf numFmtId="178" fontId="36" fillId="3" borderId="49" xfId="0" applyNumberFormat="1" applyFont="1" applyFill="1" applyBorder="1" applyAlignment="1">
      <alignment horizontal="left" vertical="top"/>
    </xf>
    <xf numFmtId="183" fontId="36" fillId="3" borderId="9" xfId="0" applyNumberFormat="1" applyFont="1" applyFill="1" applyBorder="1" applyAlignment="1">
      <alignment horizontal="right" vertical="top"/>
    </xf>
    <xf numFmtId="183" fontId="36" fillId="3" borderId="13" xfId="0" applyNumberFormat="1" applyFont="1" applyFill="1" applyBorder="1" applyAlignment="1">
      <alignment horizontal="right" vertical="top"/>
    </xf>
    <xf numFmtId="183" fontId="36" fillId="3" borderId="40" xfId="0" applyNumberFormat="1" applyFont="1" applyFill="1" applyBorder="1" applyAlignment="1">
      <alignment horizontal="right" vertical="top"/>
    </xf>
    <xf numFmtId="0" fontId="77" fillId="0" borderId="0" xfId="26" applyFont="1" applyFill="1" applyBorder="1" applyAlignment="1"/>
    <xf numFmtId="0" fontId="31" fillId="0" borderId="0" xfId="26" applyFont="1" applyFill="1" applyBorder="1" applyAlignment="1"/>
    <xf numFmtId="166" fontId="31" fillId="0" borderId="0" xfId="47" applyNumberFormat="1" applyFont="1" applyFill="1" applyBorder="1" applyAlignment="1">
      <alignment horizontal="center"/>
    </xf>
    <xf numFmtId="0" fontId="31" fillId="43" borderId="10" xfId="26" applyFont="1" applyFill="1" applyBorder="1" applyAlignment="1">
      <alignment horizontal="center"/>
    </xf>
    <xf numFmtId="0" fontId="31" fillId="43" borderId="8" xfId="26" applyFont="1" applyFill="1" applyBorder="1" applyAlignment="1">
      <alignment horizontal="center"/>
    </xf>
    <xf numFmtId="0" fontId="31" fillId="43" borderId="86" xfId="26" applyFont="1" applyFill="1" applyBorder="1" applyAlignment="1">
      <alignment horizontal="center"/>
    </xf>
    <xf numFmtId="0" fontId="31" fillId="43" borderId="49" xfId="26" applyFont="1" applyFill="1" applyBorder="1" applyAlignment="1">
      <alignment horizontal="center"/>
    </xf>
    <xf numFmtId="0" fontId="8" fillId="43" borderId="0" xfId="26" applyFont="1" applyFill="1" applyBorder="1" applyAlignment="1">
      <alignment horizontal="center"/>
    </xf>
    <xf numFmtId="166" fontId="8" fillId="43" borderId="7" xfId="47" applyNumberFormat="1" applyFont="1" applyFill="1" applyBorder="1" applyAlignment="1">
      <alignment horizontal="center"/>
    </xf>
    <xf numFmtId="166" fontId="8" fillId="43" borderId="0" xfId="47" applyNumberFormat="1" applyFont="1" applyFill="1" applyBorder="1" applyAlignment="1">
      <alignment horizontal="center"/>
    </xf>
    <xf numFmtId="166" fontId="8" fillId="43" borderId="6" xfId="47" applyNumberFormat="1" applyFont="1" applyFill="1" applyBorder="1" applyAlignment="1">
      <alignment horizontal="center"/>
    </xf>
    <xf numFmtId="166" fontId="8" fillId="43" borderId="47" xfId="47" applyNumberFormat="1" applyFont="1" applyFill="1" applyBorder="1" applyAlignment="1">
      <alignment horizontal="center"/>
    </xf>
    <xf numFmtId="0" fontId="8" fillId="43" borderId="6" xfId="26" applyFont="1" applyFill="1" applyBorder="1" applyAlignment="1">
      <alignment horizontal="center"/>
    </xf>
    <xf numFmtId="0" fontId="8" fillId="43" borderId="8" xfId="26" applyFont="1" applyFill="1" applyBorder="1" applyAlignment="1">
      <alignment horizontal="center"/>
    </xf>
    <xf numFmtId="166" fontId="8" fillId="43" borderId="10" xfId="47" applyNumberFormat="1" applyFont="1" applyFill="1" applyBorder="1" applyAlignment="1">
      <alignment horizontal="center"/>
    </xf>
    <xf numFmtId="166" fontId="8" fillId="43" borderId="8" xfId="47" applyNumberFormat="1" applyFont="1" applyFill="1" applyBorder="1" applyAlignment="1">
      <alignment horizontal="center"/>
    </xf>
    <xf numFmtId="166" fontId="8" fillId="43" borderId="49" xfId="47" applyNumberFormat="1" applyFont="1" applyFill="1" applyBorder="1" applyAlignment="1">
      <alignment horizontal="center"/>
    </xf>
    <xf numFmtId="0" fontId="8" fillId="43" borderId="7" xfId="26" applyFont="1" applyFill="1" applyBorder="1" applyAlignment="1">
      <alignment horizontal="center"/>
    </xf>
    <xf numFmtId="0" fontId="8" fillId="43" borderId="10" xfId="26" applyFont="1" applyFill="1" applyBorder="1" applyAlignment="1">
      <alignment horizontal="center"/>
    </xf>
    <xf numFmtId="168" fontId="56" fillId="0" borderId="0" xfId="37" applyNumberFormat="1" applyFill="1" applyBorder="1"/>
    <xf numFmtId="168" fontId="9" fillId="0" borderId="0" xfId="37" applyNumberFormat="1" applyFont="1" applyFill="1" applyBorder="1" applyProtection="1"/>
    <xf numFmtId="0" fontId="80" fillId="0" borderId="0" xfId="0" applyFont="1" applyAlignment="1">
      <alignment horizontal="centerContinuous"/>
    </xf>
    <xf numFmtId="0" fontId="81" fillId="0" borderId="0" xfId="0" applyFont="1" applyAlignment="1">
      <alignment horizontal="centerContinuous"/>
    </xf>
    <xf numFmtId="0" fontId="81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82" fillId="0" borderId="0" xfId="0" applyFont="1" applyAlignment="1">
      <alignment horizontal="centerContinuous"/>
    </xf>
    <xf numFmtId="0" fontId="80" fillId="0" borderId="0" xfId="0" applyFont="1" applyAlignment="1">
      <alignment horizontal="center"/>
    </xf>
    <xf numFmtId="166" fontId="81" fillId="0" borderId="0" xfId="1" applyNumberFormat="1" applyFont="1" applyAlignment="1">
      <alignment horizontal="right"/>
    </xf>
    <xf numFmtId="8" fontId="81" fillId="0" borderId="0" xfId="101" applyNumberFormat="1" applyFont="1" applyFill="1" applyBorder="1" applyAlignment="1">
      <alignment horizontal="right"/>
    </xf>
    <xf numFmtId="166" fontId="83" fillId="0" borderId="0" xfId="1" applyNumberFormat="1" applyFont="1" applyAlignment="1">
      <alignment horizontal="center"/>
    </xf>
    <xf numFmtId="196" fontId="83" fillId="0" borderId="0" xfId="101" applyNumberFormat="1" applyFont="1" applyFill="1" applyBorder="1" applyAlignment="1"/>
    <xf numFmtId="8" fontId="81" fillId="0" borderId="0" xfId="101" applyNumberFormat="1" applyFont="1" applyFill="1" applyBorder="1" applyAlignment="1"/>
    <xf numFmtId="196" fontId="81" fillId="0" borderId="0" xfId="101" applyNumberFormat="1" applyFont="1" applyFill="1" applyBorder="1" applyAlignment="1"/>
    <xf numFmtId="8" fontId="83" fillId="0" borderId="0" xfId="101" applyNumberFormat="1" applyFont="1" applyFill="1" applyBorder="1" applyAlignment="1"/>
    <xf numFmtId="10" fontId="83" fillId="0" borderId="0" xfId="101" applyNumberFormat="1" applyFont="1" applyFill="1" applyBorder="1" applyAlignment="1"/>
    <xf numFmtId="0" fontId="80" fillId="0" borderId="12" xfId="0" applyFont="1" applyBorder="1" applyAlignment="1">
      <alignment horizontal="center"/>
    </xf>
    <xf numFmtId="0" fontId="81" fillId="0" borderId="12" xfId="0" applyFont="1" applyBorder="1" applyAlignment="1">
      <alignment horizontal="center"/>
    </xf>
    <xf numFmtId="166" fontId="81" fillId="0" borderId="12" xfId="1" applyNumberFormat="1" applyFont="1" applyBorder="1" applyAlignment="1">
      <alignment horizontal="right"/>
    </xf>
    <xf numFmtId="8" fontId="81" fillId="0" borderId="12" xfId="101" applyNumberFormat="1" applyFont="1" applyFill="1" applyBorder="1" applyAlignment="1">
      <alignment horizontal="right"/>
    </xf>
    <xf numFmtId="166" fontId="83" fillId="0" borderId="12" xfId="1" applyNumberFormat="1" applyFont="1" applyBorder="1" applyAlignment="1">
      <alignment horizontal="center"/>
    </xf>
    <xf numFmtId="196" fontId="83" fillId="0" borderId="12" xfId="101" applyNumberFormat="1" applyFont="1" applyFill="1" applyBorder="1" applyAlignment="1"/>
    <xf numFmtId="8" fontId="81" fillId="0" borderId="12" xfId="101" applyNumberFormat="1" applyFont="1" applyFill="1" applyBorder="1" applyAlignment="1"/>
    <xf numFmtId="196" fontId="81" fillId="0" borderId="12" xfId="101" applyNumberFormat="1" applyFont="1" applyFill="1" applyBorder="1" applyAlignment="1"/>
    <xf numFmtId="8" fontId="83" fillId="0" borderId="12" xfId="101" applyNumberFormat="1" applyFont="1" applyFill="1" applyBorder="1" applyAlignment="1"/>
    <xf numFmtId="10" fontId="83" fillId="0" borderId="12" xfId="101" applyNumberFormat="1" applyFont="1" applyFill="1" applyBorder="1" applyAlignment="1"/>
    <xf numFmtId="166" fontId="80" fillId="0" borderId="0" xfId="1" applyNumberFormat="1" applyFont="1" applyAlignment="1">
      <alignment horizontal="right"/>
    </xf>
    <xf numFmtId="181" fontId="80" fillId="0" borderId="0" xfId="1" applyNumberFormat="1" applyFont="1" applyAlignment="1">
      <alignment horizontal="right"/>
    </xf>
    <xf numFmtId="166" fontId="80" fillId="0" borderId="0" xfId="1" applyNumberFormat="1" applyFont="1" applyAlignment="1">
      <alignment horizontal="center"/>
    </xf>
    <xf numFmtId="0" fontId="80" fillId="0" borderId="0" xfId="0" applyFont="1" applyAlignment="1">
      <alignment horizontal="right"/>
    </xf>
    <xf numFmtId="8" fontId="80" fillId="0" borderId="0" xfId="101" applyNumberFormat="1" applyFont="1" applyFill="1" applyBorder="1" applyAlignment="1">
      <alignment horizontal="right"/>
    </xf>
    <xf numFmtId="181" fontId="80" fillId="0" borderId="0" xfId="31" applyFont="1" applyAlignment="1">
      <alignment horizontal="centerContinuous"/>
    </xf>
    <xf numFmtId="181" fontId="81" fillId="0" borderId="0" xfId="31" applyFont="1" applyAlignment="1">
      <alignment horizontal="centerContinuous"/>
    </xf>
    <xf numFmtId="181" fontId="81" fillId="0" borderId="0" xfId="31" applyFont="1" applyAlignment="1">
      <alignment horizontal="center"/>
    </xf>
    <xf numFmtId="181" fontId="81" fillId="0" borderId="0" xfId="31" applyFont="1"/>
    <xf numFmtId="181" fontId="82" fillId="0" borderId="0" xfId="31" applyFont="1" applyAlignment="1">
      <alignment horizontal="center"/>
    </xf>
    <xf numFmtId="181" fontId="80" fillId="0" borderId="0" xfId="31" applyFont="1" applyAlignment="1">
      <alignment horizontal="center"/>
    </xf>
    <xf numFmtId="166" fontId="81" fillId="0" borderId="0" xfId="31" applyNumberFormat="1" applyFont="1"/>
    <xf numFmtId="8" fontId="81" fillId="0" borderId="0" xfId="31" applyNumberFormat="1" applyFont="1"/>
    <xf numFmtId="10" fontId="83" fillId="0" borderId="0" xfId="24" applyNumberFormat="1" applyFont="1" applyFill="1" applyBorder="1" applyAlignment="1">
      <alignment horizontal="right"/>
    </xf>
    <xf numFmtId="181" fontId="81" fillId="0" borderId="12" xfId="31" applyFont="1" applyBorder="1" applyAlignment="1">
      <alignment horizontal="center"/>
    </xf>
    <xf numFmtId="0" fontId="81" fillId="0" borderId="0" xfId="0" applyFont="1"/>
    <xf numFmtId="0" fontId="80" fillId="0" borderId="7" xfId="0" applyFont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80" fillId="0" borderId="6" xfId="0" applyFont="1" applyBorder="1" applyAlignment="1">
      <alignment horizontal="center"/>
    </xf>
    <xf numFmtId="166" fontId="81" fillId="0" borderId="7" xfId="0" applyNumberFormat="1" applyFont="1" applyBorder="1"/>
    <xf numFmtId="8" fontId="81" fillId="0" borderId="0" xfId="0" applyNumberFormat="1" applyFont="1" applyBorder="1"/>
    <xf numFmtId="166" fontId="83" fillId="0" borderId="0" xfId="1" applyNumberFormat="1" applyFont="1" applyBorder="1" applyAlignment="1">
      <alignment horizontal="center"/>
    </xf>
    <xf numFmtId="8" fontId="83" fillId="0" borderId="6" xfId="101" applyNumberFormat="1" applyFont="1" applyFill="1" applyBorder="1" applyAlignment="1"/>
    <xf numFmtId="166" fontId="83" fillId="0" borderId="7" xfId="1" applyNumberFormat="1" applyFont="1" applyBorder="1" applyAlignment="1">
      <alignment horizontal="center"/>
    </xf>
    <xf numFmtId="0" fontId="81" fillId="0" borderId="0" xfId="0" applyFont="1" applyBorder="1"/>
    <xf numFmtId="0" fontId="81" fillId="0" borderId="0" xfId="0" applyFont="1" applyBorder="1" applyAlignment="1">
      <alignment horizontal="center"/>
    </xf>
    <xf numFmtId="166" fontId="81" fillId="0" borderId="10" xfId="0" applyNumberFormat="1" applyFont="1" applyBorder="1"/>
    <xf numFmtId="8" fontId="83" fillId="0" borderId="8" xfId="101" applyNumberFormat="1" applyFont="1" applyFill="1" applyBorder="1" applyAlignment="1"/>
    <xf numFmtId="166" fontId="83" fillId="0" borderId="10" xfId="1" applyNumberFormat="1" applyFont="1" applyBorder="1" applyAlignment="1">
      <alignment horizontal="center"/>
    </xf>
    <xf numFmtId="166" fontId="81" fillId="0" borderId="0" xfId="0" applyNumberFormat="1" applyFont="1"/>
    <xf numFmtId="8" fontId="81" fillId="0" borderId="0" xfId="0" applyNumberFormat="1" applyFont="1"/>
    <xf numFmtId="0" fontId="85" fillId="0" borderId="0" xfId="23" applyFont="1">
      <alignment wrapText="1"/>
    </xf>
    <xf numFmtId="167" fontId="59" fillId="0" borderId="0" xfId="167" applyFont="1" applyFill="1" applyBorder="1"/>
    <xf numFmtId="0" fontId="50" fillId="6" borderId="3" xfId="0" applyFont="1" applyFill="1" applyBorder="1" applyAlignment="1" applyProtection="1">
      <alignment horizontal="left" vertical="top"/>
      <protection locked="0"/>
    </xf>
    <xf numFmtId="6" fontId="9" fillId="0" borderId="0" xfId="0" applyNumberFormat="1" applyFont="1" applyFill="1" applyBorder="1" applyProtection="1"/>
    <xf numFmtId="6" fontId="0" fillId="0" borderId="9" xfId="0" applyNumberFormat="1" applyFill="1" applyBorder="1"/>
    <xf numFmtId="38" fontId="16" fillId="0" borderId="86" xfId="0" applyNumberFormat="1" applyFont="1" applyFill="1" applyBorder="1"/>
    <xf numFmtId="38" fontId="8" fillId="0" borderId="0" xfId="15" applyNumberFormat="1">
      <alignment wrapText="1"/>
    </xf>
    <xf numFmtId="38" fontId="8" fillId="0" borderId="0" xfId="14" applyNumberFormat="1">
      <alignment wrapText="1"/>
    </xf>
    <xf numFmtId="38" fontId="8" fillId="0" borderId="0" xfId="23" applyNumberFormat="1">
      <alignment wrapText="1"/>
    </xf>
    <xf numFmtId="0" fontId="58" fillId="0" borderId="0" xfId="22" applyFont="1"/>
    <xf numFmtId="0" fontId="16" fillId="7" borderId="0" xfId="0" applyFont="1" applyFill="1"/>
    <xf numFmtId="166" fontId="16" fillId="7" borderId="7" xfId="0" applyNumberFormat="1" applyFont="1" applyFill="1" applyBorder="1"/>
    <xf numFmtId="0" fontId="0" fillId="7" borderId="0" xfId="0" applyFill="1"/>
    <xf numFmtId="38" fontId="58" fillId="0" borderId="0" xfId="22" applyNumberFormat="1" applyFont="1"/>
    <xf numFmtId="166" fontId="16" fillId="7" borderId="47" xfId="0" applyNumberFormat="1" applyFont="1" applyFill="1" applyBorder="1"/>
    <xf numFmtId="10" fontId="0" fillId="7" borderId="6" xfId="0" applyNumberFormat="1" applyFill="1" applyBorder="1"/>
    <xf numFmtId="0" fontId="8" fillId="44" borderId="0" xfId="14" applyFill="1">
      <alignment wrapText="1"/>
    </xf>
    <xf numFmtId="0" fontId="58" fillId="44" borderId="0" xfId="14" applyFont="1" applyFill="1" applyAlignment="1">
      <alignment horizontal="center" wrapText="1"/>
    </xf>
    <xf numFmtId="0" fontId="10" fillId="0" borderId="0" xfId="28" applyFont="1" applyFill="1" applyBorder="1" applyAlignment="1" applyProtection="1">
      <alignment horizontal="left"/>
    </xf>
    <xf numFmtId="0" fontId="9" fillId="0" borderId="0" xfId="28" applyFont="1" applyFill="1" applyBorder="1" applyAlignment="1" applyProtection="1">
      <alignment horizontal="centerContinuous"/>
    </xf>
    <xf numFmtId="10" fontId="16" fillId="0" borderId="0" xfId="28" applyNumberFormat="1" applyFill="1" applyBorder="1"/>
    <xf numFmtId="0" fontId="9" fillId="0" borderId="0" xfId="28" applyFont="1" applyFill="1" applyBorder="1" applyAlignment="1" applyProtection="1">
      <alignment horizontal="center"/>
    </xf>
    <xf numFmtId="10" fontId="9" fillId="0" borderId="0" xfId="28" applyNumberFormat="1" applyFont="1" applyFill="1" applyBorder="1" applyProtection="1"/>
    <xf numFmtId="0" fontId="16" fillId="0" borderId="0" xfId="28" applyFill="1" applyBorder="1"/>
    <xf numFmtId="10" fontId="9" fillId="0" borderId="0" xfId="28" applyNumberFormat="1" applyFont="1" applyFill="1" applyBorder="1" applyAlignment="1" applyProtection="1">
      <alignment horizontal="center"/>
    </xf>
    <xf numFmtId="176" fontId="14" fillId="0" borderId="0" xfId="28" applyNumberFormat="1" applyFont="1" applyFill="1" applyBorder="1" applyProtection="1"/>
    <xf numFmtId="37" fontId="9" fillId="0" borderId="0" xfId="28" applyNumberFormat="1" applyFont="1" applyFill="1" applyBorder="1" applyProtection="1"/>
    <xf numFmtId="10" fontId="16" fillId="0" borderId="0" xfId="28" applyNumberFormat="1" applyFill="1" applyBorder="1" applyAlignment="1">
      <alignment horizontal="center"/>
    </xf>
    <xf numFmtId="176" fontId="14" fillId="0" borderId="0" xfId="28" applyNumberFormat="1" applyFont="1" applyFill="1" applyBorder="1" applyAlignment="1" applyProtection="1">
      <alignment horizontal="center"/>
    </xf>
    <xf numFmtId="0" fontId="16" fillId="0" borderId="0" xfId="28" applyFill="1" applyBorder="1" applyAlignment="1">
      <alignment horizontal="center"/>
    </xf>
    <xf numFmtId="190" fontId="16" fillId="0" borderId="0" xfId="28" applyNumberFormat="1" applyFill="1" applyBorder="1"/>
    <xf numFmtId="37" fontId="9" fillId="0" borderId="0" xfId="28" applyNumberFormat="1" applyFont="1" applyFill="1" applyBorder="1" applyAlignment="1" applyProtection="1">
      <alignment horizontal="center"/>
    </xf>
    <xf numFmtId="183" fontId="8" fillId="0" borderId="0" xfId="14" applyNumberFormat="1">
      <alignment wrapText="1"/>
    </xf>
    <xf numFmtId="5" fontId="8" fillId="0" borderId="0" xfId="14" applyNumberFormat="1">
      <alignment wrapText="1"/>
    </xf>
    <xf numFmtId="0" fontId="86" fillId="44" borderId="0" xfId="14" applyFont="1" applyFill="1" applyAlignment="1">
      <alignment horizontal="center" wrapText="1"/>
    </xf>
    <xf numFmtId="197" fontId="8" fillId="0" borderId="0" xfId="15" applyNumberFormat="1">
      <alignment wrapText="1"/>
    </xf>
    <xf numFmtId="38" fontId="8" fillId="7" borderId="0" xfId="15" applyNumberFormat="1" applyFill="1">
      <alignment wrapText="1"/>
    </xf>
    <xf numFmtId="0" fontId="85" fillId="6" borderId="13" xfId="0" applyFont="1" applyFill="1" applyBorder="1" applyAlignment="1" applyProtection="1">
      <alignment horizontal="center" vertical="top"/>
      <protection locked="0"/>
    </xf>
    <xf numFmtId="0" fontId="58" fillId="0" borderId="0" xfId="15" applyFont="1">
      <alignment wrapText="1"/>
    </xf>
    <xf numFmtId="0" fontId="87" fillId="3" borderId="0" xfId="0" applyFont="1" applyFill="1" applyBorder="1" applyAlignment="1">
      <alignment horizontal="left" vertical="top"/>
    </xf>
    <xf numFmtId="0" fontId="88" fillId="3" borderId="0" xfId="0" applyFont="1" applyFill="1" applyBorder="1" applyAlignment="1">
      <alignment horizontal="center" vertical="top" wrapText="1"/>
    </xf>
    <xf numFmtId="0" fontId="88" fillId="0" borderId="0" xfId="15" applyFont="1">
      <alignment wrapText="1"/>
    </xf>
    <xf numFmtId="178" fontId="88" fillId="3" borderId="13" xfId="0" applyNumberFormat="1" applyFont="1" applyFill="1" applyBorder="1" applyAlignment="1">
      <alignment horizontal="left" vertical="top"/>
    </xf>
    <xf numFmtId="183" fontId="88" fillId="3" borderId="13" xfId="0" applyNumberFormat="1" applyFont="1" applyFill="1" applyBorder="1" applyAlignment="1">
      <alignment horizontal="right" vertical="top"/>
    </xf>
    <xf numFmtId="0" fontId="51" fillId="3" borderId="3" xfId="0" applyFont="1" applyFill="1" applyBorder="1"/>
    <xf numFmtId="0" fontId="51" fillId="3" borderId="42" xfId="0" applyFont="1" applyFill="1" applyBorder="1"/>
    <xf numFmtId="178" fontId="88" fillId="3" borderId="19" xfId="0" applyNumberFormat="1" applyFont="1" applyFill="1" applyBorder="1" applyAlignment="1">
      <alignment horizontal="left" vertical="top"/>
    </xf>
    <xf numFmtId="183" fontId="88" fillId="3" borderId="19" xfId="0" applyNumberFormat="1" applyFont="1" applyFill="1" applyBorder="1" applyAlignment="1">
      <alignment horizontal="right" vertical="top"/>
    </xf>
    <xf numFmtId="0" fontId="88" fillId="0" borderId="0" xfId="14" applyFont="1">
      <alignment wrapText="1"/>
    </xf>
    <xf numFmtId="183" fontId="88" fillId="0" borderId="0" xfId="14" applyNumberFormat="1" applyFont="1">
      <alignment wrapText="1"/>
    </xf>
    <xf numFmtId="183" fontId="8" fillId="0" borderId="0" xfId="15" applyNumberFormat="1">
      <alignment wrapText="1"/>
    </xf>
    <xf numFmtId="5" fontId="58" fillId="0" borderId="0" xfId="23" applyNumberFormat="1" applyFont="1" applyBorder="1">
      <alignment wrapText="1"/>
    </xf>
    <xf numFmtId="198" fontId="50" fillId="6" borderId="18" xfId="0" applyNumberFormat="1" applyFont="1" applyFill="1" applyBorder="1" applyAlignment="1" applyProtection="1">
      <alignment horizontal="right" vertical="top"/>
      <protection locked="0"/>
    </xf>
    <xf numFmtId="37" fontId="51" fillId="0" borderId="86" xfId="18" applyNumberFormat="1" applyFont="1" applyFill="1" applyBorder="1" applyProtection="1"/>
    <xf numFmtId="5" fontId="8" fillId="0" borderId="0" xfId="16" applyNumberFormat="1">
      <alignment wrapText="1"/>
    </xf>
    <xf numFmtId="0" fontId="8" fillId="0" borderId="0" xfId="16" applyAlignment="1">
      <alignment horizontal="center" wrapText="1"/>
    </xf>
    <xf numFmtId="5" fontId="8" fillId="0" borderId="0" xfId="23" applyNumberFormat="1">
      <alignment wrapText="1"/>
    </xf>
    <xf numFmtId="0" fontId="58" fillId="0" borderId="0" xfId="23" applyFont="1" applyAlignment="1">
      <alignment horizontal="center" wrapText="1"/>
    </xf>
    <xf numFmtId="183" fontId="58" fillId="0" borderId="0" xfId="23" applyNumberFormat="1" applyFont="1">
      <alignment wrapText="1"/>
    </xf>
    <xf numFmtId="0" fontId="58" fillId="5" borderId="66" xfId="0" applyFont="1" applyFill="1" applyBorder="1" applyAlignment="1">
      <alignment horizontal="center" vertical="top" wrapText="1"/>
    </xf>
    <xf numFmtId="0" fontId="58" fillId="5" borderId="66" xfId="0" applyFont="1" applyFill="1" applyBorder="1" applyAlignment="1">
      <alignment horizontal="left" vertical="top"/>
    </xf>
    <xf numFmtId="185" fontId="58" fillId="5" borderId="67" xfId="0" applyNumberFormat="1" applyFont="1" applyFill="1" applyBorder="1" applyAlignment="1">
      <alignment horizontal="right" vertical="top"/>
    </xf>
    <xf numFmtId="0" fontId="58" fillId="5" borderId="67" xfId="0" applyFont="1" applyFill="1" applyBorder="1" applyAlignment="1">
      <alignment horizontal="left" vertical="top"/>
    </xf>
    <xf numFmtId="182" fontId="58" fillId="5" borderId="67" xfId="0" applyNumberFormat="1" applyFont="1" applyFill="1" applyBorder="1" applyAlignment="1">
      <alignment horizontal="right" vertical="top"/>
    </xf>
    <xf numFmtId="191" fontId="58" fillId="5" borderId="67" xfId="0" applyNumberFormat="1" applyFont="1" applyFill="1" applyBorder="1" applyAlignment="1">
      <alignment horizontal="left" vertical="top"/>
    </xf>
    <xf numFmtId="0" fontId="52" fillId="5" borderId="87" xfId="0" applyFont="1" applyFill="1" applyBorder="1" applyAlignment="1">
      <alignment wrapText="1"/>
    </xf>
    <xf numFmtId="0" fontId="52" fillId="5" borderId="88" xfId="0" applyFont="1" applyFill="1" applyBorder="1" applyAlignment="1">
      <alignment wrapText="1"/>
    </xf>
    <xf numFmtId="5" fontId="58" fillId="0" borderId="0" xfId="14" applyNumberFormat="1" applyFont="1" applyBorder="1">
      <alignment wrapText="1"/>
    </xf>
    <xf numFmtId="5" fontId="8" fillId="0" borderId="0" xfId="11" applyNumberFormat="1">
      <alignment wrapText="1"/>
    </xf>
    <xf numFmtId="5" fontId="8" fillId="0" borderId="0" xfId="10" applyNumberFormat="1">
      <alignment wrapText="1"/>
    </xf>
    <xf numFmtId="0" fontId="8" fillId="0" borderId="0" xfId="10" applyAlignment="1">
      <alignment horizontal="center" wrapText="1"/>
    </xf>
    <xf numFmtId="0" fontId="8" fillId="0" borderId="0" xfId="11" applyAlignment="1">
      <alignment horizontal="center" wrapText="1"/>
    </xf>
    <xf numFmtId="0" fontId="50" fillId="6" borderId="0" xfId="0" applyFont="1" applyFill="1" applyBorder="1" applyAlignment="1" applyProtection="1">
      <alignment horizontal="center" vertical="top"/>
      <protection locked="0"/>
    </xf>
    <xf numFmtId="0" fontId="50" fillId="6" borderId="18" xfId="0" applyFont="1" applyFill="1" applyBorder="1" applyAlignment="1" applyProtection="1">
      <alignment horizontal="center" vertical="top"/>
      <protection locked="0"/>
    </xf>
    <xf numFmtId="0" fontId="58" fillId="0" borderId="0" xfId="23" applyFont="1" applyBorder="1" applyAlignment="1">
      <alignment horizontal="center" wrapText="1"/>
    </xf>
    <xf numFmtId="0" fontId="8" fillId="7" borderId="0" xfId="23" applyFill="1">
      <alignment wrapText="1"/>
    </xf>
    <xf numFmtId="0" fontId="8" fillId="0" borderId="0" xfId="14" applyAlignment="1">
      <alignment horizontal="center" wrapText="1"/>
    </xf>
    <xf numFmtId="0" fontId="8" fillId="0" borderId="0" xfId="15" applyAlignment="1">
      <alignment horizontal="center" wrapText="1"/>
    </xf>
    <xf numFmtId="5" fontId="58" fillId="0" borderId="0" xfId="23" applyNumberFormat="1" applyFont="1" applyBorder="1" applyAlignment="1">
      <alignment horizontal="center" wrapText="1"/>
    </xf>
    <xf numFmtId="5" fontId="58" fillId="0" borderId="0" xfId="14" applyNumberFormat="1" applyFont="1" applyBorder="1" applyAlignment="1">
      <alignment horizontal="center" wrapText="1"/>
    </xf>
    <xf numFmtId="5" fontId="8" fillId="0" borderId="0" xfId="13" applyNumberFormat="1">
      <alignment wrapText="1"/>
    </xf>
    <xf numFmtId="0" fontId="8" fillId="0" borderId="0" xfId="13" applyAlignment="1">
      <alignment horizontal="center" wrapText="1"/>
    </xf>
    <xf numFmtId="5" fontId="8" fillId="0" borderId="0" xfId="5" applyNumberFormat="1">
      <alignment wrapText="1"/>
    </xf>
    <xf numFmtId="2" fontId="8" fillId="0" borderId="0" xfId="23" applyNumberFormat="1">
      <alignment wrapText="1"/>
    </xf>
    <xf numFmtId="38" fontId="8" fillId="0" borderId="0" xfId="16" applyNumberFormat="1">
      <alignment wrapText="1"/>
    </xf>
    <xf numFmtId="1" fontId="8" fillId="0" borderId="0" xfId="14" applyNumberFormat="1">
      <alignment wrapText="1"/>
    </xf>
    <xf numFmtId="3" fontId="8" fillId="0" borderId="0" xfId="6" applyNumberFormat="1">
      <alignment wrapText="1"/>
    </xf>
    <xf numFmtId="5" fontId="8" fillId="0" borderId="0" xfId="12" applyNumberFormat="1">
      <alignment wrapText="1"/>
    </xf>
    <xf numFmtId="5" fontId="8" fillId="0" borderId="0" xfId="8" applyNumberFormat="1">
      <alignment wrapText="1"/>
    </xf>
    <xf numFmtId="37" fontId="8" fillId="0" borderId="0" xfId="23" applyNumberFormat="1">
      <alignment wrapText="1"/>
    </xf>
    <xf numFmtId="37" fontId="8" fillId="0" borderId="0" xfId="11" applyNumberFormat="1">
      <alignment wrapText="1"/>
    </xf>
    <xf numFmtId="5" fontId="58" fillId="0" borderId="0" xfId="23" applyNumberFormat="1" applyFont="1" applyAlignment="1">
      <alignment horizontal="center" wrapText="1"/>
    </xf>
    <xf numFmtId="3" fontId="50" fillId="6" borderId="0" xfId="0" applyNumberFormat="1" applyFont="1" applyFill="1" applyBorder="1" applyAlignment="1" applyProtection="1">
      <alignment horizontal="right" vertical="top"/>
      <protection locked="0"/>
    </xf>
    <xf numFmtId="5" fontId="8" fillId="0" borderId="0" xfId="23" applyNumberFormat="1" applyBorder="1">
      <alignment wrapText="1"/>
    </xf>
    <xf numFmtId="10" fontId="8" fillId="0" borderId="0" xfId="23" applyNumberFormat="1" applyBorder="1">
      <alignment wrapText="1"/>
    </xf>
    <xf numFmtId="37" fontId="8" fillId="0" borderId="0" xfId="23" applyNumberFormat="1" applyBorder="1">
      <alignment wrapText="1"/>
    </xf>
    <xf numFmtId="0" fontId="8" fillId="0" borderId="0" xfId="23" applyAlignment="1">
      <alignment horizontal="right" wrapText="1"/>
    </xf>
    <xf numFmtId="0" fontId="80" fillId="0" borderId="0" xfId="0" applyFont="1" applyAlignment="1">
      <alignment horizontal="left"/>
    </xf>
    <xf numFmtId="166" fontId="81" fillId="0" borderId="7" xfId="1" applyNumberFormat="1" applyFont="1" applyBorder="1" applyAlignment="1">
      <alignment horizontal="right"/>
    </xf>
    <xf numFmtId="8" fontId="81" fillId="0" borderId="6" xfId="101" applyNumberFormat="1" applyFont="1" applyFill="1" applyBorder="1" applyAlignment="1"/>
    <xf numFmtId="10" fontId="83" fillId="0" borderId="7" xfId="101" applyNumberFormat="1" applyFont="1" applyFill="1" applyBorder="1" applyAlignment="1"/>
    <xf numFmtId="166" fontId="81" fillId="0" borderId="10" xfId="1" applyNumberFormat="1" applyFont="1" applyBorder="1" applyAlignment="1">
      <alignment horizontal="right"/>
    </xf>
    <xf numFmtId="8" fontId="81" fillId="0" borderId="8" xfId="101" applyNumberFormat="1" applyFont="1" applyFill="1" applyBorder="1" applyAlignment="1"/>
    <xf numFmtId="10" fontId="83" fillId="0" borderId="10" xfId="101" applyNumberFormat="1" applyFont="1" applyFill="1" applyBorder="1" applyAlignment="1"/>
    <xf numFmtId="8" fontId="80" fillId="0" borderId="0" xfId="101" applyNumberFormat="1" applyFont="1" applyFill="1" applyBorder="1" applyAlignment="1"/>
    <xf numFmtId="0" fontId="81" fillId="0" borderId="0" xfId="0" applyFont="1" applyAlignment="1">
      <alignment horizontal="right"/>
    </xf>
    <xf numFmtId="181" fontId="81" fillId="0" borderId="0" xfId="31" applyFont="1" applyAlignment="1">
      <alignment horizontal="left"/>
    </xf>
    <xf numFmtId="181" fontId="80" fillId="0" borderId="7" xfId="31" applyFont="1" applyBorder="1" applyAlignment="1">
      <alignment horizontal="center"/>
    </xf>
    <xf numFmtId="181" fontId="80" fillId="0" borderId="0" xfId="31" applyFont="1" applyBorder="1" applyAlignment="1">
      <alignment horizontal="center"/>
    </xf>
    <xf numFmtId="181" fontId="80" fillId="0" borderId="6" xfId="31" applyFont="1" applyBorder="1" applyAlignment="1">
      <alignment horizontal="center"/>
    </xf>
    <xf numFmtId="166" fontId="81" fillId="0" borderId="7" xfId="31" applyNumberFormat="1" applyFont="1" applyBorder="1"/>
    <xf numFmtId="8" fontId="81" fillId="0" borderId="0" xfId="31" applyNumberFormat="1" applyFont="1" applyBorder="1"/>
    <xf numFmtId="181" fontId="81" fillId="0" borderId="0" xfId="31" applyFont="1" applyBorder="1"/>
    <xf numFmtId="181" fontId="81" fillId="0" borderId="0" xfId="31" applyFont="1" applyBorder="1" applyAlignment="1">
      <alignment horizontal="center"/>
    </xf>
    <xf numFmtId="166" fontId="81" fillId="0" borderId="0" xfId="1" applyNumberFormat="1" applyFont="1" applyBorder="1" applyAlignment="1">
      <alignment horizontal="center"/>
    </xf>
    <xf numFmtId="10" fontId="83" fillId="0" borderId="0" xfId="24" applyNumberFormat="1" applyFont="1" applyFill="1" applyBorder="1" applyAlignment="1"/>
    <xf numFmtId="8" fontId="89" fillId="0" borderId="6" xfId="101" applyNumberFormat="1" applyFont="1" applyFill="1" applyBorder="1" applyAlignment="1"/>
    <xf numFmtId="10" fontId="83" fillId="0" borderId="7" xfId="24" applyNumberFormat="1" applyFont="1" applyFill="1" applyBorder="1" applyAlignment="1">
      <alignment horizontal="right"/>
    </xf>
    <xf numFmtId="8" fontId="89" fillId="0" borderId="0" xfId="101" applyNumberFormat="1" applyFont="1" applyFill="1" applyBorder="1" applyAlignment="1"/>
    <xf numFmtId="166" fontId="81" fillId="0" borderId="10" xfId="31" applyNumberFormat="1" applyFont="1" applyBorder="1"/>
    <xf numFmtId="8" fontId="89" fillId="0" borderId="8" xfId="101" applyNumberFormat="1" applyFont="1" applyFill="1" applyBorder="1" applyAlignment="1"/>
    <xf numFmtId="10" fontId="83" fillId="0" borderId="10" xfId="24" applyNumberFormat="1" applyFont="1" applyFill="1" applyBorder="1" applyAlignment="1">
      <alignment horizontal="right"/>
    </xf>
    <xf numFmtId="181" fontId="81" fillId="0" borderId="0" xfId="31" applyFont="1" applyAlignment="1">
      <alignment horizontal="right"/>
    </xf>
    <xf numFmtId="166" fontId="81" fillId="0" borderId="0" xfId="31" applyNumberFormat="1" applyFont="1" applyAlignment="1">
      <alignment horizontal="center"/>
    </xf>
    <xf numFmtId="8" fontId="81" fillId="0" borderId="0" xfId="31" applyNumberFormat="1" applyFont="1" applyAlignment="1">
      <alignment horizontal="center"/>
    </xf>
    <xf numFmtId="44" fontId="81" fillId="0" borderId="0" xfId="2" applyFont="1" applyBorder="1" applyAlignment="1">
      <alignment horizontal="center"/>
    </xf>
    <xf numFmtId="0" fontId="9" fillId="0" borderId="48" xfId="0" applyFont="1" applyFill="1" applyBorder="1" applyAlignment="1" applyProtection="1">
      <alignment horizontal="left"/>
    </xf>
    <xf numFmtId="0" fontId="9" fillId="0" borderId="47" xfId="0" applyFont="1" applyFill="1" applyBorder="1" applyAlignment="1" applyProtection="1">
      <alignment horizontal="left"/>
    </xf>
    <xf numFmtId="5" fontId="13" fillId="0" borderId="47" xfId="0" applyNumberFormat="1" applyFont="1" applyFill="1" applyBorder="1" applyProtection="1"/>
    <xf numFmtId="39" fontId="0" fillId="0" borderId="0" xfId="0" applyNumberFormat="1" applyFill="1" applyBorder="1"/>
    <xf numFmtId="5" fontId="51" fillId="0" borderId="5" xfId="0" applyNumberFormat="1" applyFont="1" applyFill="1" applyBorder="1" applyProtection="1">
      <protection locked="0"/>
    </xf>
    <xf numFmtId="5" fontId="51" fillId="0" borderId="47" xfId="0" applyNumberFormat="1" applyFont="1" applyFill="1" applyBorder="1" applyProtection="1"/>
    <xf numFmtId="37" fontId="51" fillId="0" borderId="4" xfId="0" applyNumberFormat="1" applyFont="1" applyFill="1" applyBorder="1" applyProtection="1"/>
    <xf numFmtId="37" fontId="0" fillId="0" borderId="8" xfId="0" applyNumberFormat="1" applyBorder="1" applyAlignment="1">
      <alignment horizontal="right"/>
    </xf>
    <xf numFmtId="199" fontId="8" fillId="0" borderId="0" xfId="41" applyNumberFormat="1"/>
    <xf numFmtId="200" fontId="8" fillId="0" borderId="0" xfId="41" applyNumberFormat="1" applyFill="1"/>
    <xf numFmtId="200" fontId="8" fillId="0" borderId="0" xfId="41" applyNumberFormat="1"/>
    <xf numFmtId="10" fontId="52" fillId="0" borderId="0" xfId="37" applyNumberFormat="1" applyFont="1" applyFill="1" applyBorder="1"/>
    <xf numFmtId="41" fontId="52" fillId="0" borderId="7" xfId="37" applyFont="1" applyFill="1" applyBorder="1"/>
    <xf numFmtId="10" fontId="52" fillId="0" borderId="6" xfId="37" applyNumberFormat="1" applyFont="1" applyFill="1" applyBorder="1"/>
    <xf numFmtId="168" fontId="52" fillId="0" borderId="7" xfId="37" applyNumberFormat="1" applyFont="1" applyFill="1" applyBorder="1"/>
    <xf numFmtId="168" fontId="52" fillId="0" borderId="10" xfId="37" applyNumberFormat="1" applyFont="1" applyFill="1" applyBorder="1"/>
    <xf numFmtId="10" fontId="52" fillId="0" borderId="86" xfId="37" applyNumberFormat="1" applyFont="1" applyFill="1" applyBorder="1"/>
    <xf numFmtId="10" fontId="52" fillId="0" borderId="8" xfId="37" applyNumberFormat="1" applyFont="1" applyFill="1" applyBorder="1"/>
    <xf numFmtId="0" fontId="16" fillId="0" borderId="35" xfId="28" applyFill="1" applyBorder="1"/>
    <xf numFmtId="41" fontId="52" fillId="0" borderId="36" xfId="37" applyFont="1" applyFill="1" applyBorder="1"/>
    <xf numFmtId="0" fontId="16" fillId="0" borderId="23" xfId="28" applyFill="1" applyBorder="1"/>
    <xf numFmtId="41" fontId="52" fillId="0" borderId="35" xfId="37" applyFont="1" applyFill="1" applyBorder="1"/>
    <xf numFmtId="0" fontId="16" fillId="0" borderId="36" xfId="28" applyFill="1" applyBorder="1"/>
    <xf numFmtId="168" fontId="52" fillId="7" borderId="0" xfId="37" applyNumberFormat="1" applyFont="1" applyFill="1" applyBorder="1"/>
    <xf numFmtId="38" fontId="9" fillId="0" borderId="9" xfId="0" applyNumberFormat="1" applyFont="1" applyFill="1" applyBorder="1" applyAlignment="1" applyProtection="1">
      <alignment horizontal="centerContinuous"/>
    </xf>
    <xf numFmtId="38" fontId="9" fillId="0" borderId="35" xfId="0" applyNumberFormat="1" applyFont="1" applyFill="1" applyBorder="1" applyAlignment="1" applyProtection="1">
      <alignment horizontal="centerContinuous"/>
    </xf>
    <xf numFmtId="169" fontId="39" fillId="0" borderId="89" xfId="24" applyNumberFormat="1" applyFont="1" applyBorder="1"/>
    <xf numFmtId="169" fontId="39" fillId="0" borderId="90" xfId="24" applyNumberFormat="1" applyFont="1" applyBorder="1"/>
    <xf numFmtId="169" fontId="39" fillId="0" borderId="91" xfId="24" applyNumberFormat="1" applyFont="1" applyBorder="1"/>
    <xf numFmtId="169" fontId="39" fillId="0" borderId="63" xfId="24" applyNumberFormat="1" applyFont="1" applyBorder="1"/>
    <xf numFmtId="169" fontId="39" fillId="0" borderId="61" xfId="24" applyNumberFormat="1" applyFont="1" applyBorder="1"/>
    <xf numFmtId="169" fontId="39" fillId="0" borderId="92" xfId="24" applyNumberFormat="1" applyFont="1" applyBorder="1"/>
    <xf numFmtId="6" fontId="37" fillId="0" borderId="63" xfId="21" applyNumberFormat="1" applyFont="1" applyBorder="1"/>
    <xf numFmtId="40" fontId="37" fillId="0" borderId="92" xfId="21" applyNumberFormat="1" applyFont="1" applyBorder="1"/>
    <xf numFmtId="0" fontId="90" fillId="45" borderId="0" xfId="0" applyFont="1" applyFill="1"/>
    <xf numFmtId="0" fontId="91" fillId="45" borderId="0" xfId="0" applyFont="1" applyFill="1"/>
    <xf numFmtId="0" fontId="22" fillId="0" borderId="0" xfId="0" applyFont="1" applyFill="1"/>
    <xf numFmtId="0" fontId="31" fillId="0" borderId="0" xfId="246" applyFont="1" applyFill="1"/>
    <xf numFmtId="3" fontId="22" fillId="0" borderId="0" xfId="0" applyNumberFormat="1" applyFont="1" applyFill="1"/>
    <xf numFmtId="17" fontId="32" fillId="0" borderId="0" xfId="0" applyNumberFormat="1" applyFont="1" applyFill="1"/>
    <xf numFmtId="0" fontId="32" fillId="0" borderId="0" xfId="0" applyFont="1" applyFill="1" applyAlignment="1">
      <alignment horizontal="center"/>
    </xf>
    <xf numFmtId="38" fontId="22" fillId="0" borderId="0" xfId="160" applyNumberFormat="1" applyFont="1" applyFill="1"/>
    <xf numFmtId="3" fontId="22" fillId="0" borderId="0" xfId="0" applyNumberFormat="1" applyFont="1" applyFill="1" applyAlignment="1">
      <alignment horizontal="center"/>
    </xf>
    <xf numFmtId="38" fontId="22" fillId="43" borderId="0" xfId="160" applyNumberFormat="1" applyFont="1" applyFill="1"/>
    <xf numFmtId="38" fontId="22" fillId="46" borderId="0" xfId="160" applyNumberFormat="1" applyFont="1" applyFill="1"/>
    <xf numFmtId="0" fontId="32" fillId="44" borderId="0" xfId="0" applyFont="1" applyFill="1"/>
    <xf numFmtId="38" fontId="22" fillId="44" borderId="0" xfId="160" applyNumberFormat="1" applyFont="1" applyFill="1"/>
    <xf numFmtId="3" fontId="22" fillId="44" borderId="0" xfId="0" applyNumberFormat="1" applyFont="1" applyFill="1" applyAlignment="1">
      <alignment horizontal="center"/>
    </xf>
    <xf numFmtId="0" fontId="32" fillId="47" borderId="0" xfId="0" applyFont="1" applyFill="1" applyAlignment="1">
      <alignment horizontal="right"/>
    </xf>
    <xf numFmtId="0" fontId="32" fillId="47" borderId="0" xfId="0" applyFont="1" applyFill="1"/>
    <xf numFmtId="0" fontId="32" fillId="44" borderId="0" xfId="0" applyFont="1" applyFill="1" applyAlignment="1">
      <alignment horizontal="right"/>
    </xf>
    <xf numFmtId="0" fontId="32" fillId="48" borderId="0" xfId="0" applyFont="1" applyFill="1" applyAlignment="1">
      <alignment horizontal="right"/>
    </xf>
    <xf numFmtId="0" fontId="32" fillId="48" borderId="0" xfId="0" applyFont="1" applyFill="1"/>
    <xf numFmtId="0" fontId="32" fillId="49" borderId="0" xfId="0" applyFont="1" applyFill="1"/>
    <xf numFmtId="38" fontId="32" fillId="0" borderId="0" xfId="160" applyNumberFormat="1" applyFont="1" applyFill="1"/>
    <xf numFmtId="3" fontId="32" fillId="0" borderId="0" xfId="0" applyNumberFormat="1" applyFont="1" applyFill="1" applyAlignment="1">
      <alignment horizontal="center"/>
    </xf>
    <xf numFmtId="0" fontId="32" fillId="50" borderId="0" xfId="0" applyFont="1" applyFill="1"/>
    <xf numFmtId="38" fontId="32" fillId="50" borderId="0" xfId="0" applyNumberFormat="1" applyFont="1" applyFill="1"/>
    <xf numFmtId="3" fontId="32" fillId="0" borderId="0" xfId="0" applyNumberFormat="1" applyFont="1" applyFill="1"/>
    <xf numFmtId="41" fontId="0" fillId="0" borderId="0" xfId="0" applyNumberFormat="1" applyFill="1"/>
    <xf numFmtId="38" fontId="22" fillId="7" borderId="0" xfId="160" applyNumberFormat="1" applyFont="1" applyFill="1"/>
    <xf numFmtId="0" fontId="32" fillId="47" borderId="0" xfId="0" applyFont="1" applyFill="1" applyAlignment="1">
      <alignment horizontal="left"/>
    </xf>
    <xf numFmtId="38" fontId="22" fillId="51" borderId="0" xfId="160" applyNumberFormat="1" applyFont="1" applyFill="1"/>
    <xf numFmtId="41" fontId="22" fillId="0" borderId="0" xfId="160" applyNumberFormat="1" applyFont="1" applyFill="1"/>
    <xf numFmtId="3" fontId="22" fillId="43" borderId="0" xfId="160" applyNumberFormat="1" applyFont="1" applyFill="1"/>
    <xf numFmtId="1" fontId="22" fillId="44" borderId="0" xfId="0" applyNumberFormat="1" applyFont="1" applyFill="1"/>
    <xf numFmtId="166" fontId="22" fillId="0" borderId="0" xfId="160" applyNumberFormat="1" applyFont="1" applyFill="1"/>
    <xf numFmtId="41" fontId="22" fillId="46" borderId="0" xfId="160" applyNumberFormat="1" applyFont="1" applyFill="1"/>
    <xf numFmtId="41" fontId="22" fillId="52" borderId="0" xfId="160" applyNumberFormat="1" applyFont="1" applyFill="1"/>
    <xf numFmtId="0" fontId="22" fillId="44" borderId="0" xfId="0" applyFont="1" applyFill="1"/>
    <xf numFmtId="0" fontId="32" fillId="53" borderId="0" xfId="0" applyFont="1" applyFill="1"/>
    <xf numFmtId="0" fontId="22" fillId="53" borderId="0" xfId="0" applyFont="1" applyFill="1"/>
    <xf numFmtId="3" fontId="32" fillId="49" borderId="0" xfId="0" applyNumberFormat="1" applyFont="1" applyFill="1"/>
    <xf numFmtId="3" fontId="32" fillId="50" borderId="0" xfId="0" applyNumberFormat="1" applyFont="1" applyFill="1"/>
    <xf numFmtId="0" fontId="92" fillId="0" borderId="0" xfId="0" applyFont="1" applyFill="1"/>
    <xf numFmtId="41" fontId="22" fillId="44" borderId="0" xfId="160" applyNumberFormat="1" applyFont="1" applyFill="1"/>
    <xf numFmtId="41" fontId="32" fillId="44" borderId="0" xfId="160" applyNumberFormat="1" applyFont="1" applyFill="1"/>
    <xf numFmtId="3" fontId="32" fillId="44" borderId="0" xfId="0" applyNumberFormat="1" applyFont="1" applyFill="1" applyAlignment="1">
      <alignment horizontal="center"/>
    </xf>
    <xf numFmtId="166" fontId="32" fillId="0" borderId="0" xfId="160" applyNumberFormat="1" applyFont="1" applyFill="1"/>
    <xf numFmtId="0" fontId="32" fillId="54" borderId="0" xfId="0" applyFont="1" applyFill="1"/>
    <xf numFmtId="0" fontId="0" fillId="0" borderId="0" xfId="0" applyFill="1" applyAlignment="1">
      <alignment horizontal="right"/>
    </xf>
    <xf numFmtId="0" fontId="32" fillId="0" borderId="0" xfId="0" applyFont="1" applyFill="1" applyAlignment="1">
      <alignment horizontal="left"/>
    </xf>
    <xf numFmtId="0" fontId="93" fillId="0" borderId="0" xfId="0" applyFont="1" applyFill="1"/>
    <xf numFmtId="3" fontId="0" fillId="0" borderId="0" xfId="0" applyNumberFormat="1" applyFill="1" applyAlignment="1">
      <alignment horizontal="center"/>
    </xf>
    <xf numFmtId="3" fontId="22" fillId="46" borderId="0" xfId="0" applyNumberFormat="1" applyFont="1" applyFill="1"/>
    <xf numFmtId="3" fontId="22" fillId="47" borderId="0" xfId="0" applyNumberFormat="1" applyFont="1" applyFill="1"/>
    <xf numFmtId="3" fontId="22" fillId="44" borderId="0" xfId="0" applyNumberFormat="1" applyFont="1" applyFill="1"/>
    <xf numFmtId="3" fontId="22" fillId="7" borderId="0" xfId="0" applyNumberFormat="1" applyFont="1" applyFill="1"/>
    <xf numFmtId="3" fontId="22" fillId="51" borderId="0" xfId="0" applyNumberFormat="1" applyFont="1" applyFill="1"/>
    <xf numFmtId="0" fontId="94" fillId="54" borderId="0" xfId="0" applyFont="1" applyFill="1" applyAlignment="1">
      <alignment horizontal="right"/>
    </xf>
    <xf numFmtId="0" fontId="22" fillId="54" borderId="0" xfId="0" applyFont="1" applyFill="1"/>
    <xf numFmtId="3" fontId="32" fillId="54" borderId="0" xfId="0" applyNumberFormat="1" applyFont="1" applyFill="1"/>
    <xf numFmtId="4" fontId="22" fillId="0" borderId="0" xfId="0" applyNumberFormat="1" applyFont="1" applyFill="1"/>
    <xf numFmtId="0" fontId="52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37" fontId="51" fillId="0" borderId="0" xfId="167" applyNumberFormat="1" applyFont="1" applyFill="1" applyBorder="1" applyProtection="1"/>
    <xf numFmtId="37" fontId="51" fillId="0" borderId="0" xfId="18" applyNumberFormat="1" applyFont="1" applyFill="1" applyBorder="1" applyProtection="1">
      <protection locked="0"/>
    </xf>
    <xf numFmtId="37" fontId="51" fillId="0" borderId="22" xfId="18" applyNumberFormat="1" applyFont="1" applyFill="1" applyBorder="1" applyProtection="1">
      <protection locked="0"/>
    </xf>
    <xf numFmtId="37" fontId="51" fillId="0" borderId="0" xfId="18" applyNumberFormat="1" applyFont="1" applyFill="1" applyProtection="1">
      <protection locked="0"/>
    </xf>
    <xf numFmtId="37" fontId="51" fillId="0" borderId="9" xfId="18" applyNumberFormat="1" applyFont="1" applyFill="1" applyBorder="1" applyProtection="1">
      <protection locked="0"/>
    </xf>
    <xf numFmtId="37" fontId="51" fillId="0" borderId="12" xfId="18" applyNumberFormat="1" applyFont="1" applyFill="1" applyBorder="1" applyProtection="1">
      <protection locked="0"/>
    </xf>
    <xf numFmtId="5" fontId="51" fillId="0" borderId="20" xfId="18" applyNumberFormat="1" applyFont="1" applyFill="1" applyBorder="1" applyProtection="1"/>
    <xf numFmtId="167" fontId="19" fillId="0" borderId="86" xfId="17" applyFont="1" applyFill="1" applyBorder="1" applyAlignment="1">
      <alignment horizontal="center"/>
    </xf>
    <xf numFmtId="167" fontId="19" fillId="0" borderId="86" xfId="17" quotePrefix="1" applyFont="1" applyFill="1" applyBorder="1" applyAlignment="1">
      <alignment horizontal="center"/>
    </xf>
    <xf numFmtId="10" fontId="19" fillId="0" borderId="86" xfId="17" applyNumberFormat="1" applyFont="1" applyFill="1" applyBorder="1" applyAlignment="1">
      <alignment horizontal="center"/>
    </xf>
    <xf numFmtId="2" fontId="19" fillId="0" borderId="86" xfId="17" applyNumberFormat="1" applyFont="1" applyFill="1" applyBorder="1" applyAlignment="1">
      <alignment horizontal="center"/>
    </xf>
    <xf numFmtId="167" fontId="19" fillId="0" borderId="86" xfId="17" applyFont="1" applyFill="1" applyBorder="1" applyAlignment="1">
      <alignment horizontal="centerContinuous"/>
    </xf>
    <xf numFmtId="166" fontId="33" fillId="0" borderId="0" xfId="1" applyNumberFormat="1" applyFont="1" applyFill="1"/>
    <xf numFmtId="5" fontId="33" fillId="0" borderId="0" xfId="2" applyNumberFormat="1" applyFont="1" applyFill="1"/>
    <xf numFmtId="167" fontId="33" fillId="0" borderId="0" xfId="17" applyFont="1" applyFill="1"/>
    <xf numFmtId="169" fontId="19" fillId="0" borderId="86" xfId="17" applyNumberFormat="1" applyFont="1" applyFill="1" applyBorder="1" applyAlignment="1">
      <alignment horizontal="centerContinuous"/>
    </xf>
    <xf numFmtId="2" fontId="17" fillId="0" borderId="86" xfId="17" applyNumberFormat="1" applyFill="1" applyBorder="1" applyAlignment="1">
      <alignment horizontal="centerContinuous"/>
    </xf>
    <xf numFmtId="2" fontId="19" fillId="0" borderId="0" xfId="17" applyNumberFormat="1" applyFont="1" applyFill="1" applyAlignment="1">
      <alignment horizontal="center"/>
    </xf>
    <xf numFmtId="169" fontId="19" fillId="0" borderId="86" xfId="17" applyNumberFormat="1" applyFont="1" applyFill="1" applyBorder="1" applyAlignment="1">
      <alignment horizontal="center"/>
    </xf>
    <xf numFmtId="169" fontId="19" fillId="0" borderId="0" xfId="17" applyNumberFormat="1" applyFont="1" applyFill="1" applyAlignment="1">
      <alignment horizontal="center"/>
    </xf>
    <xf numFmtId="174" fontId="19" fillId="0" borderId="86" xfId="17" applyNumberFormat="1" applyFont="1" applyFill="1" applyBorder="1" applyAlignment="1">
      <alignment horizontal="centerContinuous"/>
    </xf>
    <xf numFmtId="2" fontId="16" fillId="0" borderId="86" xfId="17" applyNumberFormat="1" applyFont="1" applyFill="1" applyBorder="1" applyAlignment="1">
      <alignment horizontal="centerContinuous"/>
    </xf>
    <xf numFmtId="167" fontId="19" fillId="0" borderId="86" xfId="17" quotePrefix="1" applyFont="1" applyFill="1" applyBorder="1" applyAlignment="1">
      <alignment horizontal="centerContinuous"/>
    </xf>
    <xf numFmtId="174" fontId="19" fillId="0" borderId="0" xfId="17" quotePrefix="1" applyNumberFormat="1" applyFont="1" applyFill="1" applyBorder="1" applyAlignment="1">
      <alignment horizontal="center"/>
    </xf>
    <xf numFmtId="174" fontId="19" fillId="0" borderId="0" xfId="17" applyNumberFormat="1" applyFont="1" applyFill="1" applyBorder="1" applyAlignment="1">
      <alignment horizontal="center"/>
    </xf>
    <xf numFmtId="167" fontId="19" fillId="0" borderId="93" xfId="17" applyFont="1" applyFill="1" applyBorder="1" applyAlignment="1">
      <alignment horizontal="centerContinuous"/>
    </xf>
    <xf numFmtId="10" fontId="19" fillId="0" borderId="93" xfId="17" applyNumberFormat="1" applyFont="1" applyFill="1" applyBorder="1" applyAlignment="1">
      <alignment horizontal="centerContinuous"/>
    </xf>
    <xf numFmtId="174" fontId="19" fillId="0" borderId="86" xfId="17" applyNumberFormat="1" applyFont="1" applyFill="1" applyBorder="1" applyAlignment="1">
      <alignment horizontal="center"/>
    </xf>
    <xf numFmtId="38" fontId="16" fillId="0" borderId="86" xfId="0" applyNumberFormat="1" applyFont="1" applyFill="1" applyBorder="1" applyAlignment="1">
      <alignment horizontal="center"/>
    </xf>
    <xf numFmtId="38" fontId="13" fillId="0" borderId="86" xfId="0" applyNumberFormat="1" applyFont="1" applyFill="1" applyBorder="1" applyAlignment="1" applyProtection="1">
      <alignment horizontal="centerContinuous"/>
    </xf>
    <xf numFmtId="38" fontId="9" fillId="0" borderId="95" xfId="0" applyNumberFormat="1" applyFont="1" applyFill="1" applyBorder="1" applyAlignment="1" applyProtection="1">
      <alignment horizontal="center"/>
    </xf>
    <xf numFmtId="38" fontId="9" fillId="0" borderId="98" xfId="0" applyNumberFormat="1" applyFont="1" applyFill="1" applyBorder="1" applyAlignment="1" applyProtection="1">
      <alignment horizontal="center"/>
    </xf>
    <xf numFmtId="38" fontId="9" fillId="0" borderId="99" xfId="0" applyNumberFormat="1" applyFont="1" applyFill="1" applyBorder="1" applyAlignment="1" applyProtection="1">
      <alignment horizontal="center"/>
    </xf>
    <xf numFmtId="38" fontId="16" fillId="0" borderId="93" xfId="0" applyNumberFormat="1" applyFont="1" applyFill="1" applyBorder="1" applyAlignment="1">
      <alignment horizontal="centerContinuous"/>
    </xf>
    <xf numFmtId="0" fontId="16" fillId="0" borderId="97" xfId="0" applyFont="1" applyFill="1" applyBorder="1" applyAlignment="1">
      <alignment horizontal="center"/>
    </xf>
    <xf numFmtId="0" fontId="9" fillId="0" borderId="49" xfId="0" applyFont="1" applyFill="1" applyBorder="1" applyAlignment="1" applyProtection="1">
      <alignment horizontal="centerContinuous"/>
    </xf>
    <xf numFmtId="166" fontId="16" fillId="0" borderId="49" xfId="0" applyNumberFormat="1" applyFont="1" applyFill="1" applyBorder="1"/>
    <xf numFmtId="166" fontId="33" fillId="0" borderId="47" xfId="0" applyNumberFormat="1" applyFont="1" applyFill="1" applyBorder="1"/>
    <xf numFmtId="38" fontId="9" fillId="0" borderId="86" xfId="0" applyNumberFormat="1" applyFont="1" applyFill="1" applyBorder="1" applyAlignment="1" applyProtection="1">
      <alignment horizontal="centerContinuous"/>
    </xf>
    <xf numFmtId="38" fontId="9" fillId="0" borderId="10" xfId="0" applyNumberFormat="1" applyFont="1" applyFill="1" applyBorder="1" applyAlignment="1">
      <alignment horizontal="center"/>
    </xf>
    <xf numFmtId="38" fontId="9" fillId="0" borderId="7" xfId="0" applyNumberFormat="1" applyFont="1" applyFill="1" applyBorder="1"/>
    <xf numFmtId="38" fontId="9" fillId="0" borderId="65" xfId="0" applyNumberFormat="1" applyFont="1" applyFill="1" applyBorder="1"/>
    <xf numFmtId="38" fontId="9" fillId="0" borderId="74" xfId="0" applyNumberFormat="1" applyFont="1" applyFill="1" applyBorder="1" applyAlignment="1" applyProtection="1">
      <alignment horizontal="centerContinuous"/>
    </xf>
    <xf numFmtId="38" fontId="9" fillId="0" borderId="71" xfId="0" applyNumberFormat="1" applyFont="1" applyFill="1" applyBorder="1" applyAlignment="1" applyProtection="1">
      <alignment horizontal="center"/>
    </xf>
    <xf numFmtId="38" fontId="9" fillId="0" borderId="100" xfId="0" applyNumberFormat="1" applyFont="1" applyFill="1" applyBorder="1"/>
    <xf numFmtId="38" fontId="9" fillId="0" borderId="101" xfId="0" applyNumberFormat="1" applyFont="1" applyFill="1" applyBorder="1"/>
    <xf numFmtId="38" fontId="16" fillId="0" borderId="100" xfId="0" applyNumberFormat="1" applyFont="1" applyFill="1" applyBorder="1"/>
    <xf numFmtId="38" fontId="16" fillId="0" borderId="101" xfId="0" applyNumberFormat="1" applyFont="1" applyFill="1" applyBorder="1"/>
    <xf numFmtId="38" fontId="16" fillId="0" borderId="102" xfId="0" applyNumberFormat="1" applyFont="1" applyFill="1" applyBorder="1"/>
    <xf numFmtId="38" fontId="16" fillId="0" borderId="99" xfId="0" applyNumberFormat="1" applyFont="1" applyFill="1" applyBorder="1"/>
    <xf numFmtId="38" fontId="33" fillId="0" borderId="100" xfId="0" applyNumberFormat="1" applyFont="1" applyFill="1" applyBorder="1"/>
    <xf numFmtId="38" fontId="33" fillId="0" borderId="101" xfId="0" applyNumberFormat="1" applyFont="1" applyFill="1" applyBorder="1"/>
    <xf numFmtId="38" fontId="9" fillId="0" borderId="103" xfId="0" applyNumberFormat="1" applyFont="1" applyFill="1" applyBorder="1"/>
    <xf numFmtId="38" fontId="9" fillId="0" borderId="104" xfId="0" applyNumberFormat="1" applyFont="1" applyFill="1" applyBorder="1"/>
    <xf numFmtId="0" fontId="13" fillId="0" borderId="0" xfId="0" applyFont="1" applyFill="1" applyBorder="1" applyAlignment="1" applyProtection="1">
      <alignment horizontal="left"/>
    </xf>
    <xf numFmtId="0" fontId="9" fillId="0" borderId="70" xfId="0" applyFont="1" applyFill="1" applyBorder="1" applyAlignment="1" applyProtection="1">
      <alignment horizontal="centerContinuous"/>
    </xf>
    <xf numFmtId="38" fontId="9" fillId="0" borderId="70" xfId="0" applyNumberFormat="1" applyFont="1" applyFill="1" applyBorder="1" applyAlignment="1" applyProtection="1">
      <alignment horizontal="centerContinuous"/>
    </xf>
    <xf numFmtId="0" fontId="9" fillId="0" borderId="105" xfId="0" applyFont="1" applyFill="1" applyBorder="1" applyAlignment="1" applyProtection="1">
      <alignment horizontal="centerContinuous"/>
    </xf>
    <xf numFmtId="0" fontId="9" fillId="0" borderId="106" xfId="0" applyFont="1" applyFill="1" applyBorder="1" applyAlignment="1" applyProtection="1">
      <alignment horizontal="centerContinuous"/>
    </xf>
    <xf numFmtId="0" fontId="9" fillId="0" borderId="2" xfId="0" applyFont="1" applyFill="1" applyBorder="1" applyAlignment="1" applyProtection="1">
      <alignment horizontal="left"/>
    </xf>
    <xf numFmtId="5" fontId="13" fillId="0" borderId="20" xfId="0" applyNumberFormat="1" applyFont="1" applyFill="1" applyBorder="1" applyProtection="1"/>
    <xf numFmtId="5" fontId="13" fillId="0" borderId="14" xfId="0" applyNumberFormat="1" applyFont="1" applyFill="1" applyBorder="1" applyProtection="1"/>
    <xf numFmtId="0" fontId="9" fillId="0" borderId="78" xfId="0" applyFont="1" applyFill="1" applyBorder="1" applyAlignment="1" applyProtection="1">
      <alignment horizontal="centerContinuous"/>
    </xf>
    <xf numFmtId="0" fontId="9" fillId="0" borderId="107" xfId="0" applyFont="1" applyFill="1" applyBorder="1" applyAlignment="1" applyProtection="1">
      <alignment horizontal="centerContinuous"/>
    </xf>
    <xf numFmtId="0" fontId="9" fillId="0" borderId="107" xfId="0" applyFont="1" applyFill="1" applyBorder="1" applyAlignment="1" applyProtection="1">
      <alignment horizontal="center"/>
    </xf>
    <xf numFmtId="0" fontId="9" fillId="0" borderId="40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left"/>
    </xf>
    <xf numFmtId="0" fontId="16" fillId="0" borderId="0" xfId="0" applyFont="1" applyFill="1" applyBorder="1" applyAlignment="1" applyProtection="1">
      <alignment horizontal="center"/>
    </xf>
    <xf numFmtId="0" fontId="9" fillId="0" borderId="108" xfId="0" applyFont="1" applyFill="1" applyBorder="1" applyAlignment="1" applyProtection="1">
      <alignment horizontal="centerContinuous"/>
    </xf>
    <xf numFmtId="0" fontId="16" fillId="0" borderId="60" xfId="0" applyFont="1" applyFill="1" applyBorder="1" applyAlignment="1">
      <alignment horizontal="centerContinuous"/>
    </xf>
    <xf numFmtId="0" fontId="0" fillId="0" borderId="60" xfId="0" applyFill="1" applyBorder="1" applyAlignment="1">
      <alignment horizontal="centerContinuous"/>
    </xf>
    <xf numFmtId="166" fontId="16" fillId="0" borderId="3" xfId="0" applyNumberFormat="1" applyFont="1" applyFill="1" applyBorder="1"/>
    <xf numFmtId="5" fontId="9" fillId="0" borderId="97" xfId="0" applyNumberFormat="1" applyFont="1" applyFill="1" applyBorder="1" applyAlignment="1" applyProtection="1">
      <alignment horizontal="center"/>
    </xf>
    <xf numFmtId="5" fontId="9" fillId="0" borderId="47" xfId="0" applyNumberFormat="1" applyFont="1" applyFill="1" applyBorder="1" applyAlignment="1" applyProtection="1">
      <alignment horizontal="center"/>
    </xf>
    <xf numFmtId="38" fontId="17" fillId="0" borderId="0" xfId="2" applyNumberFormat="1" applyFont="1" applyFill="1" applyBorder="1"/>
    <xf numFmtId="38" fontId="17" fillId="0" borderId="9" xfId="2" applyNumberFormat="1" applyFont="1" applyFill="1" applyBorder="1"/>
    <xf numFmtId="38" fontId="17" fillId="0" borderId="0" xfId="2" applyNumberFormat="1" applyFont="1" applyFill="1"/>
    <xf numFmtId="38" fontId="17" fillId="0" borderId="0" xfId="1" applyNumberFormat="1" applyFont="1" applyFill="1" applyBorder="1"/>
    <xf numFmtId="38" fontId="17" fillId="0" borderId="0" xfId="1" applyNumberFormat="1" applyFont="1" applyFill="1"/>
    <xf numFmtId="38" fontId="17" fillId="0" borderId="12" xfId="2" applyNumberFormat="1" applyFont="1" applyFill="1" applyBorder="1"/>
    <xf numFmtId="167" fontId="51" fillId="0" borderId="0" xfId="167" applyFont="1" applyFill="1"/>
    <xf numFmtId="37" fontId="51" fillId="0" borderId="0" xfId="167" applyNumberFormat="1" applyFont="1" applyFill="1" applyProtection="1"/>
    <xf numFmtId="172" fontId="51" fillId="0" borderId="0" xfId="167" applyNumberFormat="1" applyFont="1" applyFill="1" applyProtection="1"/>
    <xf numFmtId="172" fontId="51" fillId="0" borderId="0" xfId="167" applyNumberFormat="1" applyFont="1" applyFill="1" applyBorder="1" applyProtection="1"/>
    <xf numFmtId="167" fontId="51" fillId="0" borderId="0" xfId="167" applyFont="1"/>
    <xf numFmtId="167" fontId="51" fillId="0" borderId="0" xfId="167" applyFont="1" applyFill="1" applyBorder="1"/>
    <xf numFmtId="7" fontId="51" fillId="0" borderId="0" xfId="167" applyNumberFormat="1" applyFont="1" applyFill="1" applyBorder="1" applyProtection="1">
      <protection locked="0"/>
    </xf>
    <xf numFmtId="175" fontId="51" fillId="0" borderId="0" xfId="167" applyNumberFormat="1" applyFont="1" applyFill="1" applyBorder="1" applyProtection="1">
      <protection locked="0"/>
    </xf>
    <xf numFmtId="175" fontId="51" fillId="0" borderId="0" xfId="167" applyNumberFormat="1" applyFont="1" applyFill="1" applyBorder="1" applyProtection="1"/>
    <xf numFmtId="173" fontId="51" fillId="0" borderId="0" xfId="167" applyNumberFormat="1" applyFont="1" applyFill="1" applyBorder="1" applyProtection="1"/>
    <xf numFmtId="5" fontId="51" fillId="0" borderId="0" xfId="167" applyNumberFormat="1" applyFont="1" applyFill="1" applyBorder="1" applyProtection="1"/>
    <xf numFmtId="167" fontId="95" fillId="0" borderId="0" xfId="167" applyFont="1" applyFill="1" applyAlignment="1">
      <alignment horizontal="left"/>
    </xf>
    <xf numFmtId="167" fontId="51" fillId="0" borderId="0" xfId="167" applyFont="1" applyFill="1" applyAlignment="1">
      <alignment horizontal="left"/>
    </xf>
    <xf numFmtId="37" fontId="51" fillId="0" borderId="0" xfId="167" applyNumberFormat="1" applyFont="1" applyFill="1" applyBorder="1" applyProtection="1">
      <protection locked="0"/>
    </xf>
    <xf numFmtId="10" fontId="51" fillId="0" borderId="0" xfId="167" applyNumberFormat="1" applyFont="1" applyFill="1" applyBorder="1" applyProtection="1"/>
    <xf numFmtId="0" fontId="97" fillId="55" borderId="44" xfId="0" applyFont="1" applyFill="1" applyBorder="1" applyAlignment="1">
      <alignment horizontal="center"/>
    </xf>
    <xf numFmtId="0" fontId="99" fillId="0" borderId="0" xfId="0" applyFont="1"/>
    <xf numFmtId="0" fontId="0" fillId="0" borderId="0" xfId="0" applyAlignment="1">
      <alignment horizontal="left" indent="1"/>
    </xf>
    <xf numFmtId="0" fontId="0" fillId="0" borderId="0" xfId="0" applyFont="1" applyAlignment="1">
      <alignment horizontal="left" vertical="center" indent="1"/>
    </xf>
    <xf numFmtId="0" fontId="97" fillId="55" borderId="62" xfId="0" applyFont="1" applyFill="1" applyBorder="1" applyAlignment="1">
      <alignment horizontal="center"/>
    </xf>
    <xf numFmtId="0" fontId="97" fillId="55" borderId="62" xfId="0" applyNumberFormat="1" applyFont="1" applyFill="1" applyBorder="1" applyAlignment="1">
      <alignment horizontal="center"/>
    </xf>
    <xf numFmtId="166" fontId="0" fillId="0" borderId="0" xfId="0" applyNumberFormat="1"/>
    <xf numFmtId="0" fontId="0" fillId="50" borderId="0" xfId="0" applyFill="1"/>
    <xf numFmtId="0" fontId="96" fillId="50" borderId="0" xfId="0" applyFont="1" applyFill="1" applyAlignment="1">
      <alignment horizontal="left" indent="1"/>
    </xf>
    <xf numFmtId="203" fontId="0" fillId="50" borderId="0" xfId="0" applyNumberFormat="1" applyFill="1"/>
    <xf numFmtId="174" fontId="0" fillId="50" borderId="0" xfId="0" applyNumberFormat="1" applyFill="1"/>
    <xf numFmtId="0" fontId="98" fillId="0" borderId="0" xfId="247"/>
    <xf numFmtId="0" fontId="50" fillId="6" borderId="109" xfId="247" applyFont="1" applyFill="1" applyBorder="1" applyAlignment="1" applyProtection="1">
      <alignment horizontal="center" vertical="top"/>
      <protection locked="0"/>
    </xf>
    <xf numFmtId="0" fontId="50" fillId="6" borderId="110" xfId="247" applyFont="1" applyFill="1" applyBorder="1" applyAlignment="1" applyProtection="1">
      <alignment horizontal="left" vertical="top"/>
      <protection locked="0"/>
    </xf>
    <xf numFmtId="183" fontId="50" fillId="6" borderId="110" xfId="247" applyNumberFormat="1" applyFont="1" applyFill="1" applyBorder="1" applyAlignment="1" applyProtection="1">
      <alignment horizontal="right" vertical="top"/>
      <protection locked="0"/>
    </xf>
    <xf numFmtId="183" fontId="98" fillId="0" borderId="0" xfId="247" applyNumberFormat="1"/>
    <xf numFmtId="38" fontId="98" fillId="0" borderId="0" xfId="247" applyNumberFormat="1"/>
    <xf numFmtId="37" fontId="51" fillId="0" borderId="20" xfId="167" applyNumberFormat="1" applyFont="1" applyFill="1" applyBorder="1" applyProtection="1">
      <protection locked="0"/>
    </xf>
    <xf numFmtId="37" fontId="51" fillId="0" borderId="9" xfId="167" applyNumberFormat="1" applyFont="1" applyFill="1" applyBorder="1" applyProtection="1"/>
    <xf numFmtId="37" fontId="51" fillId="0" borderId="22" xfId="167" applyNumberFormat="1" applyFont="1" applyFill="1" applyBorder="1" applyProtection="1"/>
    <xf numFmtId="181" fontId="51" fillId="0" borderId="0" xfId="167" applyNumberFormat="1" applyFont="1" applyFill="1" applyProtection="1">
      <protection locked="0"/>
    </xf>
    <xf numFmtId="181" fontId="51" fillId="0" borderId="0" xfId="167" applyNumberFormat="1" applyFont="1" applyFill="1" applyProtection="1"/>
    <xf numFmtId="181" fontId="51" fillId="0" borderId="0" xfId="167" applyNumberFormat="1" applyFont="1" applyFill="1"/>
    <xf numFmtId="7" fontId="51" fillId="0" borderId="0" xfId="167" applyNumberFormat="1" applyFont="1" applyFill="1" applyProtection="1"/>
    <xf numFmtId="173" fontId="51" fillId="0" borderId="0" xfId="167" applyNumberFormat="1" applyFont="1" applyFill="1" applyProtection="1"/>
    <xf numFmtId="173" fontId="51" fillId="0" borderId="9" xfId="167" applyNumberFormat="1" applyFont="1" applyFill="1" applyBorder="1" applyProtection="1"/>
    <xf numFmtId="167" fontId="51" fillId="0" borderId="22" xfId="167" applyFont="1" applyFill="1" applyBorder="1"/>
    <xf numFmtId="5" fontId="51" fillId="0" borderId="0" xfId="167" applyNumberFormat="1" applyFont="1" applyFill="1" applyProtection="1"/>
    <xf numFmtId="5" fontId="51" fillId="0" borderId="20" xfId="167" applyNumberFormat="1" applyFont="1" applyFill="1" applyBorder="1" applyProtection="1"/>
    <xf numFmtId="5" fontId="51" fillId="0" borderId="9" xfId="167" applyNumberFormat="1" applyFont="1" applyFill="1" applyBorder="1" applyProtection="1"/>
    <xf numFmtId="5" fontId="51" fillId="0" borderId="22" xfId="167" applyNumberFormat="1" applyFont="1" applyFill="1" applyBorder="1" applyProtection="1"/>
    <xf numFmtId="0" fontId="85" fillId="6" borderId="109" xfId="0" applyFont="1" applyFill="1" applyBorder="1" applyAlignment="1" applyProtection="1">
      <alignment horizontal="left" vertical="top"/>
      <protection locked="0"/>
    </xf>
    <xf numFmtId="0" fontId="85" fillId="6" borderId="110" xfId="0" applyFont="1" applyFill="1" applyBorder="1" applyAlignment="1" applyProtection="1">
      <alignment horizontal="left" vertical="top"/>
      <protection locked="0"/>
    </xf>
    <xf numFmtId="0" fontId="52" fillId="6" borderId="3" xfId="0" applyFont="1" applyFill="1" applyBorder="1" applyAlignment="1" applyProtection="1">
      <alignment vertical="top"/>
      <protection locked="0"/>
    </xf>
    <xf numFmtId="0" fontId="52" fillId="6" borderId="14" xfId="0" applyFont="1" applyFill="1" applyBorder="1" applyAlignment="1" applyProtection="1">
      <alignment vertical="top"/>
      <protection locked="0"/>
    </xf>
    <xf numFmtId="5" fontId="51" fillId="0" borderId="12" xfId="167" applyNumberFormat="1" applyFont="1" applyFill="1" applyBorder="1" applyProtection="1"/>
    <xf numFmtId="0" fontId="50" fillId="6" borderId="109" xfId="0" applyFont="1" applyFill="1" applyBorder="1" applyAlignment="1" applyProtection="1">
      <alignment horizontal="center" vertical="top"/>
      <protection locked="0"/>
    </xf>
    <xf numFmtId="0" fontId="50" fillId="6" borderId="109" xfId="0" applyFont="1" applyFill="1" applyBorder="1" applyAlignment="1" applyProtection="1">
      <alignment horizontal="left" vertical="top"/>
      <protection locked="0"/>
    </xf>
    <xf numFmtId="183" fontId="50" fillId="6" borderId="109" xfId="0" applyNumberFormat="1" applyFont="1" applyFill="1" applyBorder="1" applyAlignment="1" applyProtection="1">
      <alignment horizontal="right" vertical="top"/>
      <protection locked="0"/>
    </xf>
    <xf numFmtId="3" fontId="50" fillId="6" borderId="109" xfId="0" applyNumberFormat="1" applyFont="1" applyFill="1" applyBorder="1" applyAlignment="1" applyProtection="1">
      <alignment horizontal="right" vertical="top"/>
      <protection locked="0"/>
    </xf>
    <xf numFmtId="198" fontId="50" fillId="6" borderId="109" xfId="0" applyNumberFormat="1" applyFont="1" applyFill="1" applyBorder="1" applyAlignment="1" applyProtection="1">
      <alignment horizontal="right" vertical="top"/>
      <protection locked="0"/>
    </xf>
    <xf numFmtId="0" fontId="50" fillId="6" borderId="110" xfId="0" applyFont="1" applyFill="1" applyBorder="1" applyAlignment="1" applyProtection="1">
      <alignment horizontal="left" vertical="top"/>
      <protection locked="0"/>
    </xf>
    <xf numFmtId="183" fontId="50" fillId="6" borderId="110" xfId="0" applyNumberFormat="1" applyFont="1" applyFill="1" applyBorder="1" applyAlignment="1" applyProtection="1">
      <alignment horizontal="right" vertical="top"/>
      <protection locked="0"/>
    </xf>
    <xf numFmtId="3" fontId="50" fillId="6" borderId="110" xfId="0" applyNumberFormat="1" applyFont="1" applyFill="1" applyBorder="1" applyAlignment="1" applyProtection="1">
      <alignment horizontal="right" vertical="top"/>
      <protection locked="0"/>
    </xf>
    <xf numFmtId="198" fontId="50" fillId="6" borderId="110" xfId="0" applyNumberFormat="1" applyFont="1" applyFill="1" applyBorder="1" applyAlignment="1" applyProtection="1">
      <alignment horizontal="right" vertical="top"/>
      <protection locked="0"/>
    </xf>
    <xf numFmtId="0" fontId="50" fillId="6" borderId="110" xfId="0" applyFont="1" applyFill="1" applyBorder="1" applyAlignment="1" applyProtection="1">
      <alignment horizontal="center" vertical="top"/>
      <protection locked="0"/>
    </xf>
    <xf numFmtId="0" fontId="50" fillId="6" borderId="110" xfId="0" applyFont="1" applyFill="1" applyBorder="1" applyAlignment="1" applyProtection="1">
      <alignment horizontal="right" vertical="top"/>
      <protection locked="0"/>
    </xf>
    <xf numFmtId="0" fontId="50" fillId="56" borderId="18" xfId="0" applyFont="1" applyFill="1" applyBorder="1" applyAlignment="1" applyProtection="1">
      <alignment horizontal="center" vertical="top"/>
      <protection locked="0"/>
    </xf>
    <xf numFmtId="0" fontId="50" fillId="57" borderId="110" xfId="0" applyFont="1" applyFill="1" applyBorder="1" applyAlignment="1" applyProtection="1">
      <alignment horizontal="left" vertical="top"/>
      <protection locked="0"/>
    </xf>
    <xf numFmtId="183" fontId="50" fillId="57" borderId="110" xfId="0" applyNumberFormat="1" applyFont="1" applyFill="1" applyBorder="1" applyAlignment="1" applyProtection="1">
      <alignment horizontal="right" vertical="top"/>
      <protection locked="0"/>
    </xf>
    <xf numFmtId="0" fontId="50" fillId="57" borderId="109" xfId="0" applyFont="1" applyFill="1" applyBorder="1" applyAlignment="1" applyProtection="1">
      <alignment horizontal="left" vertical="top"/>
      <protection locked="0"/>
    </xf>
    <xf numFmtId="0" fontId="8" fillId="44" borderId="0" xfId="23" applyFill="1">
      <alignment wrapText="1"/>
    </xf>
    <xf numFmtId="0" fontId="101" fillId="5" borderId="66" xfId="0" applyFont="1" applyFill="1" applyBorder="1" applyAlignment="1">
      <alignment horizontal="center" vertical="top" wrapText="1"/>
    </xf>
    <xf numFmtId="0" fontId="101" fillId="5" borderId="66" xfId="0" applyFont="1" applyFill="1" applyBorder="1" applyAlignment="1">
      <alignment horizontal="left" vertical="top"/>
    </xf>
    <xf numFmtId="0" fontId="101" fillId="5" borderId="67" xfId="0" applyFont="1" applyFill="1" applyBorder="1" applyAlignment="1">
      <alignment horizontal="left" vertical="top"/>
    </xf>
    <xf numFmtId="183" fontId="8" fillId="44" borderId="0" xfId="23" applyNumberFormat="1" applyFill="1">
      <alignment wrapText="1"/>
    </xf>
    <xf numFmtId="38" fontId="8" fillId="44" borderId="0" xfId="23" applyNumberFormat="1" applyFill="1">
      <alignment wrapText="1"/>
    </xf>
    <xf numFmtId="0" fontId="50" fillId="0" borderId="18" xfId="0" applyFont="1" applyFill="1" applyBorder="1" applyAlignment="1" applyProtection="1">
      <alignment horizontal="center" vertical="top"/>
      <protection locked="0"/>
    </xf>
    <xf numFmtId="0" fontId="50" fillId="0" borderId="110" xfId="0" applyFont="1" applyFill="1" applyBorder="1" applyAlignment="1" applyProtection="1">
      <alignment horizontal="center" vertical="top"/>
      <protection locked="0"/>
    </xf>
    <xf numFmtId="169" fontId="8" fillId="0" borderId="0" xfId="23" applyNumberFormat="1">
      <alignment wrapText="1"/>
    </xf>
    <xf numFmtId="169" fontId="8" fillId="44" borderId="0" xfId="23" applyNumberFormat="1" applyFill="1">
      <alignment wrapText="1"/>
    </xf>
    <xf numFmtId="0" fontId="50" fillId="6" borderId="109" xfId="0" applyFont="1" applyFill="1" applyBorder="1" applyAlignment="1" applyProtection="1">
      <alignment horizontal="right" vertical="top"/>
      <protection locked="0"/>
    </xf>
    <xf numFmtId="182" fontId="50" fillId="6" borderId="109" xfId="0" applyNumberFormat="1" applyFont="1" applyFill="1" applyBorder="1" applyAlignment="1" applyProtection="1">
      <alignment horizontal="right" vertical="top"/>
      <protection locked="0"/>
    </xf>
    <xf numFmtId="185" fontId="50" fillId="6" borderId="109" xfId="0" applyNumberFormat="1" applyFont="1" applyFill="1" applyBorder="1" applyAlignment="1" applyProtection="1">
      <alignment horizontal="right" vertical="top"/>
      <protection locked="0"/>
    </xf>
    <xf numFmtId="182" fontId="50" fillId="6" borderId="110" xfId="0" applyNumberFormat="1" applyFont="1" applyFill="1" applyBorder="1" applyAlignment="1" applyProtection="1">
      <alignment horizontal="right" vertical="top"/>
      <protection locked="0"/>
    </xf>
    <xf numFmtId="185" fontId="50" fillId="6" borderId="110" xfId="0" applyNumberFormat="1" applyFont="1" applyFill="1" applyBorder="1" applyAlignment="1" applyProtection="1">
      <alignment horizontal="right" vertical="top"/>
      <protection locked="0"/>
    </xf>
    <xf numFmtId="192" fontId="50" fillId="6" borderId="109" xfId="0" applyNumberFormat="1" applyFont="1" applyFill="1" applyBorder="1" applyAlignment="1" applyProtection="1">
      <alignment horizontal="right" vertical="top"/>
      <protection locked="0"/>
    </xf>
    <xf numFmtId="192" fontId="50" fillId="6" borderId="110" xfId="0" applyNumberFormat="1" applyFont="1" applyFill="1" applyBorder="1" applyAlignment="1" applyProtection="1">
      <alignment horizontal="right" vertical="top"/>
      <protection locked="0"/>
    </xf>
    <xf numFmtId="0" fontId="101" fillId="7" borderId="66" xfId="0" applyFont="1" applyFill="1" applyBorder="1" applyAlignment="1">
      <alignment horizontal="left" vertical="top"/>
    </xf>
    <xf numFmtId="0" fontId="101" fillId="7" borderId="67" xfId="0" applyFont="1" applyFill="1" applyBorder="1" applyAlignment="1">
      <alignment horizontal="left" vertical="top"/>
    </xf>
    <xf numFmtId="0" fontId="8" fillId="7" borderId="0" xfId="22" applyFill="1"/>
    <xf numFmtId="0" fontId="8" fillId="7" borderId="0" xfId="22" applyFont="1" applyFill="1"/>
    <xf numFmtId="0" fontId="52" fillId="7" borderId="0" xfId="0" applyFont="1" applyFill="1" applyProtection="1">
      <protection locked="0"/>
    </xf>
    <xf numFmtId="38" fontId="52" fillId="7" borderId="0" xfId="0" applyNumberFormat="1" applyFont="1" applyFill="1"/>
    <xf numFmtId="5" fontId="51" fillId="0" borderId="0" xfId="167" quotePrefix="1" applyNumberFormat="1" applyFont="1" applyFill="1" applyBorder="1" applyProtection="1"/>
    <xf numFmtId="0" fontId="31" fillId="43" borderId="95" xfId="26" applyFont="1" applyFill="1" applyBorder="1" applyAlignment="1"/>
    <xf numFmtId="0" fontId="31" fillId="43" borderId="96" xfId="26" applyFont="1" applyFill="1" applyBorder="1" applyAlignment="1"/>
    <xf numFmtId="0" fontId="31" fillId="43" borderId="95" xfId="26" applyFont="1" applyFill="1" applyBorder="1" applyAlignment="1">
      <alignment horizontal="center"/>
    </xf>
    <xf numFmtId="0" fontId="31" fillId="43" borderId="94" xfId="26" applyFont="1" applyFill="1" applyBorder="1" applyAlignment="1">
      <alignment horizontal="center"/>
    </xf>
    <xf numFmtId="0" fontId="31" fillId="43" borderId="96" xfId="26" applyFont="1" applyFill="1" applyBorder="1" applyAlignment="1">
      <alignment horizontal="center"/>
    </xf>
    <xf numFmtId="0" fontId="31" fillId="43" borderId="97" xfId="26" applyFont="1" applyFill="1" applyBorder="1" applyAlignment="1">
      <alignment horizontal="center"/>
    </xf>
    <xf numFmtId="0" fontId="8" fillId="43" borderId="96" xfId="26" applyFont="1" applyFill="1" applyBorder="1" applyAlignment="1">
      <alignment horizontal="center"/>
    </xf>
    <xf numFmtId="0" fontId="8" fillId="43" borderId="86" xfId="26" applyFont="1" applyFill="1" applyBorder="1" applyAlignment="1">
      <alignment horizontal="center"/>
    </xf>
    <xf numFmtId="166" fontId="8" fillId="43" borderId="86" xfId="47" applyNumberFormat="1" applyFont="1" applyFill="1" applyBorder="1" applyAlignment="1">
      <alignment horizontal="center"/>
    </xf>
    <xf numFmtId="0" fontId="8" fillId="43" borderId="95" xfId="26" applyFont="1" applyFill="1" applyBorder="1" applyAlignment="1">
      <alignment horizontal="center"/>
    </xf>
    <xf numFmtId="3" fontId="50" fillId="6" borderId="110" xfId="247" applyNumberFormat="1" applyFont="1" applyFill="1" applyBorder="1" applyAlignment="1" applyProtection="1">
      <alignment horizontal="right" vertical="top"/>
      <protection locked="0"/>
    </xf>
    <xf numFmtId="0" fontId="80" fillId="0" borderId="95" xfId="0" applyFont="1" applyBorder="1" applyAlignment="1">
      <alignment horizontal="center"/>
    </xf>
    <xf numFmtId="0" fontId="80" fillId="0" borderId="94" xfId="0" applyFont="1" applyBorder="1" applyAlignment="1">
      <alignment horizontal="center"/>
    </xf>
    <xf numFmtId="0" fontId="80" fillId="0" borderId="94" xfId="0" applyFont="1" applyBorder="1" applyAlignment="1">
      <alignment horizontal="centerContinuous"/>
    </xf>
    <xf numFmtId="0" fontId="80" fillId="0" borderId="96" xfId="0" applyFont="1" applyBorder="1" applyAlignment="1">
      <alignment horizontal="centerContinuous"/>
    </xf>
    <xf numFmtId="0" fontId="80" fillId="0" borderId="95" xfId="0" applyFont="1" applyBorder="1" applyAlignment="1">
      <alignment horizontal="centerContinuous"/>
    </xf>
    <xf numFmtId="0" fontId="80" fillId="0" borderId="96" xfId="0" applyFont="1" applyBorder="1" applyAlignment="1">
      <alignment horizontal="center"/>
    </xf>
    <xf numFmtId="8" fontId="81" fillId="0" borderId="9" xfId="0" applyNumberFormat="1" applyFont="1" applyBorder="1"/>
    <xf numFmtId="0" fontId="81" fillId="0" borderId="9" xfId="0" applyFont="1" applyBorder="1"/>
    <xf numFmtId="166" fontId="83" fillId="0" borderId="9" xfId="1" applyNumberFormat="1" applyFont="1" applyBorder="1" applyAlignment="1">
      <alignment horizontal="center"/>
    </xf>
    <xf numFmtId="196" fontId="81" fillId="0" borderId="9" xfId="101" applyNumberFormat="1" applyFont="1" applyFill="1" applyBorder="1" applyAlignment="1"/>
    <xf numFmtId="8" fontId="83" fillId="0" borderId="9" xfId="101" applyNumberFormat="1" applyFont="1" applyFill="1" applyBorder="1" applyAlignment="1"/>
    <xf numFmtId="0" fontId="81" fillId="0" borderId="9" xfId="0" applyFont="1" applyBorder="1" applyAlignment="1">
      <alignment horizontal="center"/>
    </xf>
    <xf numFmtId="181" fontId="80" fillId="0" borderId="95" xfId="31" applyFont="1" applyBorder="1" applyAlignment="1">
      <alignment horizontal="center"/>
    </xf>
    <xf numFmtId="181" fontId="80" fillId="0" borderId="94" xfId="31" applyFont="1" applyBorder="1" applyAlignment="1">
      <alignment horizontal="center"/>
    </xf>
    <xf numFmtId="181" fontId="80" fillId="0" borderId="94" xfId="31" applyFont="1" applyBorder="1" applyAlignment="1">
      <alignment horizontal="centerContinuous"/>
    </xf>
    <xf numFmtId="181" fontId="80" fillId="0" borderId="94" xfId="31" applyFont="1" applyBorder="1" applyAlignment="1">
      <alignment horizontal="left"/>
    </xf>
    <xf numFmtId="181" fontId="80" fillId="0" borderId="96" xfId="31" applyFont="1" applyBorder="1" applyAlignment="1">
      <alignment horizontal="centerContinuous"/>
    </xf>
    <xf numFmtId="181" fontId="80" fillId="0" borderId="95" xfId="31" applyFont="1" applyBorder="1" applyAlignment="1">
      <alignment horizontal="centerContinuous"/>
    </xf>
    <xf numFmtId="181" fontId="81" fillId="0" borderId="94" xfId="31" applyFont="1" applyBorder="1" applyAlignment="1">
      <alignment horizontal="centerContinuous"/>
    </xf>
    <xf numFmtId="181" fontId="80" fillId="0" borderId="96" xfId="31" applyFont="1" applyBorder="1" applyAlignment="1">
      <alignment horizontal="center"/>
    </xf>
    <xf numFmtId="196" fontId="83" fillId="0" borderId="9" xfId="101" applyNumberFormat="1" applyFont="1" applyFill="1" applyBorder="1" applyAlignment="1"/>
    <xf numFmtId="8" fontId="81" fillId="0" borderId="9" xfId="101" applyNumberFormat="1" applyFont="1" applyFill="1" applyBorder="1" applyAlignment="1"/>
    <xf numFmtId="10" fontId="83" fillId="0" borderId="9" xfId="101" applyNumberFormat="1" applyFont="1" applyFill="1" applyBorder="1" applyAlignment="1"/>
    <xf numFmtId="8" fontId="81" fillId="0" borderId="9" xfId="101" applyNumberFormat="1" applyFont="1" applyFill="1" applyBorder="1" applyAlignment="1">
      <alignment horizontal="right"/>
    </xf>
    <xf numFmtId="8" fontId="81" fillId="0" borderId="86" xfId="31" applyNumberFormat="1" applyFont="1" applyBorder="1"/>
    <xf numFmtId="181" fontId="81" fillId="0" borderId="86" xfId="31" applyFont="1" applyBorder="1" applyAlignment="1">
      <alignment horizontal="center"/>
    </xf>
    <xf numFmtId="8" fontId="83" fillId="0" borderId="86" xfId="101" applyNumberFormat="1" applyFont="1" applyFill="1" applyBorder="1" applyAlignment="1"/>
    <xf numFmtId="166" fontId="83" fillId="0" borderId="86" xfId="1" applyNumberFormat="1" applyFont="1" applyBorder="1" applyAlignment="1">
      <alignment horizontal="center"/>
    </xf>
    <xf numFmtId="196" fontId="83" fillId="0" borderId="86" xfId="101" applyNumberFormat="1" applyFont="1" applyFill="1" applyBorder="1" applyAlignment="1"/>
    <xf numFmtId="8" fontId="81" fillId="0" borderId="86" xfId="101" applyNumberFormat="1" applyFont="1" applyFill="1" applyBorder="1" applyAlignment="1"/>
    <xf numFmtId="166" fontId="81" fillId="0" borderId="86" xfId="1" applyNumberFormat="1" applyFont="1" applyBorder="1" applyAlignment="1">
      <alignment horizontal="center"/>
    </xf>
    <xf numFmtId="10" fontId="83" fillId="0" borderId="86" xfId="24" applyNumberFormat="1" applyFont="1" applyFill="1" applyBorder="1" applyAlignment="1"/>
    <xf numFmtId="10" fontId="83" fillId="0" borderId="86" xfId="24" applyNumberFormat="1" applyFont="1" applyFill="1" applyBorder="1" applyAlignment="1">
      <alignment horizontal="right"/>
    </xf>
    <xf numFmtId="10" fontId="83" fillId="0" borderId="86" xfId="101" applyNumberFormat="1" applyFont="1" applyFill="1" applyBorder="1" applyAlignment="1"/>
    <xf numFmtId="1" fontId="80" fillId="0" borderId="0" xfId="31" applyNumberFormat="1" applyFont="1" applyAlignment="1">
      <alignment horizontal="center"/>
    </xf>
    <xf numFmtId="166" fontId="0" fillId="0" borderId="0" xfId="1" applyNumberFormat="1" applyFont="1"/>
    <xf numFmtId="0" fontId="98" fillId="7" borderId="0" xfId="247" applyFill="1"/>
    <xf numFmtId="10" fontId="0" fillId="0" borderId="0" xfId="24" applyNumberFormat="1" applyFont="1"/>
    <xf numFmtId="0" fontId="98" fillId="0" borderId="0" xfId="247" applyFont="1"/>
    <xf numFmtId="169" fontId="0" fillId="0" borderId="0" xfId="24" applyNumberFormat="1" applyFont="1"/>
    <xf numFmtId="200" fontId="0" fillId="0" borderId="0" xfId="1" applyNumberFormat="1" applyFont="1"/>
    <xf numFmtId="187" fontId="0" fillId="0" borderId="0" xfId="1" applyNumberFormat="1" applyFont="1" applyFill="1" applyBorder="1"/>
    <xf numFmtId="166" fontId="0" fillId="0" borderId="0" xfId="1" applyNumberFormat="1" applyFont="1" applyFill="1" applyBorder="1"/>
    <xf numFmtId="3" fontId="85" fillId="6" borderId="110" xfId="0" applyNumberFormat="1" applyFont="1" applyFill="1" applyBorder="1" applyAlignment="1" applyProtection="1">
      <alignment horizontal="right" vertical="top"/>
      <protection locked="0"/>
    </xf>
    <xf numFmtId="0" fontId="51" fillId="0" borderId="0" xfId="0" applyFont="1"/>
    <xf numFmtId="0" fontId="104" fillId="6" borderId="3" xfId="0" applyFont="1" applyFill="1" applyBorder="1" applyAlignment="1" applyProtection="1">
      <alignment horizontal="center" vertical="top"/>
      <protection locked="0"/>
    </xf>
    <xf numFmtId="183" fontId="51" fillId="0" borderId="0" xfId="0" applyNumberFormat="1" applyFont="1"/>
    <xf numFmtId="183" fontId="104" fillId="6" borderId="110" xfId="0" applyNumberFormat="1" applyFont="1" applyFill="1" applyBorder="1" applyAlignment="1" applyProtection="1">
      <alignment horizontal="right" vertical="top"/>
      <protection locked="0"/>
    </xf>
    <xf numFmtId="38" fontId="51" fillId="0" borderId="0" xfId="0" applyNumberFormat="1" applyFont="1"/>
    <xf numFmtId="183" fontId="104" fillId="6" borderId="18" xfId="0" applyNumberFormat="1" applyFont="1" applyFill="1" applyBorder="1" applyAlignment="1" applyProtection="1">
      <alignment horizontal="right" vertical="top"/>
      <protection locked="0"/>
    </xf>
    <xf numFmtId="9" fontId="51" fillId="0" borderId="0" xfId="0" applyNumberFormat="1" applyFont="1"/>
    <xf numFmtId="3" fontId="51" fillId="0" borderId="0" xfId="0" applyNumberFormat="1" applyFont="1"/>
    <xf numFmtId="0" fontId="95" fillId="0" borderId="0" xfId="0" applyFont="1"/>
    <xf numFmtId="0" fontId="104" fillId="6" borderId="18" xfId="0" applyFont="1" applyFill="1" applyBorder="1" applyAlignment="1" applyProtection="1">
      <alignment horizontal="center" vertical="top"/>
      <protection locked="0"/>
    </xf>
    <xf numFmtId="0" fontId="104" fillId="6" borderId="13" xfId="0" applyFont="1" applyFill="1" applyBorder="1" applyAlignment="1" applyProtection="1">
      <alignment horizontal="left" vertical="top"/>
      <protection locked="0"/>
    </xf>
    <xf numFmtId="0" fontId="104" fillId="6" borderId="18" xfId="0" applyFont="1" applyFill="1" applyBorder="1" applyAlignment="1" applyProtection="1">
      <alignment horizontal="left" vertical="top"/>
      <protection locked="0"/>
    </xf>
    <xf numFmtId="0" fontId="51" fillId="6" borderId="3" xfId="0" applyFont="1" applyFill="1" applyBorder="1" applyAlignment="1" applyProtection="1">
      <alignment vertical="top"/>
      <protection locked="0"/>
    </xf>
    <xf numFmtId="0" fontId="51" fillId="6" borderId="14" xfId="0" applyFont="1" applyFill="1" applyBorder="1" applyAlignment="1" applyProtection="1">
      <alignment vertical="top"/>
      <protection locked="0"/>
    </xf>
    <xf numFmtId="0" fontId="104" fillId="6" borderId="110" xfId="0" applyFont="1" applyFill="1" applyBorder="1" applyAlignment="1" applyProtection="1">
      <alignment horizontal="left" vertical="top"/>
      <protection locked="0"/>
    </xf>
    <xf numFmtId="202" fontId="0" fillId="0" borderId="0" xfId="0" applyNumberFormat="1"/>
    <xf numFmtId="0" fontId="0" fillId="0" borderId="0" xfId="0" applyNumberFormat="1" applyAlignment="1">
      <alignment horizontal="center"/>
    </xf>
    <xf numFmtId="0" fontId="0" fillId="0" borderId="0" xfId="0" applyNumberFormat="1" applyAlignment="1">
      <alignment horizontal="right"/>
    </xf>
    <xf numFmtId="0" fontId="96" fillId="0" borderId="0" xfId="0" applyFont="1"/>
    <xf numFmtId="166" fontId="0" fillId="7" borderId="0" xfId="0" applyNumberFormat="1" applyFill="1"/>
    <xf numFmtId="7" fontId="0" fillId="0" borderId="0" xfId="0" applyNumberFormat="1"/>
    <xf numFmtId="2" fontId="0" fillId="46" borderId="0" xfId="0" applyNumberFormat="1" applyFill="1"/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applyFont="1"/>
    <xf numFmtId="5" fontId="0" fillId="0" borderId="93" xfId="0" applyNumberFormat="1" applyFont="1" applyBorder="1"/>
    <xf numFmtId="8" fontId="0" fillId="0" borderId="0" xfId="0" applyNumberFormat="1"/>
    <xf numFmtId="204" fontId="0" fillId="0" borderId="0" xfId="0" applyNumberFormat="1"/>
    <xf numFmtId="0" fontId="0" fillId="0" borderId="0" xfId="0" applyFill="1" applyBorder="1" applyAlignment="1">
      <alignment wrapText="1"/>
    </xf>
    <xf numFmtId="0" fontId="0" fillId="0" borderId="0" xfId="0" quotePrefix="1" applyFill="1" applyBorder="1"/>
    <xf numFmtId="5" fontId="0" fillId="0" borderId="0" xfId="0" applyNumberFormat="1" applyFill="1" applyBorder="1"/>
    <xf numFmtId="5" fontId="0" fillId="0" borderId="0" xfId="0" applyNumberFormat="1" applyFont="1" applyFill="1" applyBorder="1"/>
    <xf numFmtId="37" fontId="0" fillId="0" borderId="0" xfId="0" applyNumberFormat="1" applyFill="1" applyBorder="1"/>
    <xf numFmtId="7" fontId="0" fillId="0" borderId="0" xfId="0" applyNumberFormat="1" applyFont="1" applyFill="1" applyBorder="1"/>
    <xf numFmtId="38" fontId="0" fillId="0" borderId="0" xfId="0" applyNumberFormat="1" applyFill="1" applyAlignment="1">
      <alignment horizontal="centerContinuous"/>
    </xf>
    <xf numFmtId="38" fontId="9" fillId="0" borderId="0" xfId="0" applyNumberFormat="1" applyFont="1" applyFill="1" applyAlignment="1">
      <alignment horizontal="centerContinuous"/>
    </xf>
    <xf numFmtId="0" fontId="0" fillId="0" borderId="0" xfId="0" applyFill="1" applyAlignment="1"/>
    <xf numFmtId="38" fontId="0" fillId="0" borderId="0" xfId="0" applyNumberFormat="1" applyFill="1" applyAlignment="1"/>
    <xf numFmtId="38" fontId="9" fillId="0" borderId="0" xfId="0" applyNumberFormat="1" applyFont="1" applyFill="1" applyAlignment="1"/>
    <xf numFmtId="38" fontId="16" fillId="0" borderId="70" xfId="0" applyNumberFormat="1" applyFont="1" applyFill="1" applyBorder="1" applyAlignment="1">
      <alignment horizontal="centerContinuous"/>
    </xf>
    <xf numFmtId="167" fontId="19" fillId="0" borderId="86" xfId="17" applyFont="1" applyFill="1" applyBorder="1"/>
    <xf numFmtId="37" fontId="19" fillId="0" borderId="0" xfId="17" applyNumberFormat="1" applyFont="1" applyFill="1" applyAlignment="1">
      <alignment horizontal="center"/>
    </xf>
    <xf numFmtId="167" fontId="19" fillId="0" borderId="0" xfId="17" applyFont="1" applyFill="1" applyBorder="1"/>
    <xf numFmtId="167" fontId="29" fillId="0" borderId="0" xfId="17" applyFont="1" applyFill="1"/>
    <xf numFmtId="167" fontId="17" fillId="0" borderId="0" xfId="17" applyFont="1" applyFill="1" applyAlignment="1">
      <alignment horizontal="right"/>
    </xf>
    <xf numFmtId="169" fontId="17" fillId="0" borderId="0" xfId="17" applyNumberFormat="1" applyFill="1"/>
    <xf numFmtId="167" fontId="16" fillId="0" borderId="0" xfId="17" applyFont="1" applyFill="1"/>
    <xf numFmtId="167" fontId="17" fillId="0" borderId="0" xfId="17" applyFill="1" applyAlignment="1">
      <alignment horizontal="right"/>
    </xf>
    <xf numFmtId="167" fontId="16" fillId="0" borderId="0" xfId="17" applyFont="1" applyFill="1" applyAlignment="1">
      <alignment horizontal="right"/>
    </xf>
    <xf numFmtId="167" fontId="17" fillId="0" borderId="86" xfId="17" applyFont="1" applyFill="1" applyBorder="1"/>
    <xf numFmtId="167" fontId="17" fillId="0" borderId="86" xfId="17" applyFill="1" applyBorder="1" applyAlignment="1">
      <alignment horizontal="right"/>
    </xf>
    <xf numFmtId="169" fontId="17" fillId="0" borderId="86" xfId="17" applyNumberFormat="1" applyFill="1" applyBorder="1"/>
    <xf numFmtId="167" fontId="17" fillId="0" borderId="86" xfId="17" applyFill="1" applyBorder="1"/>
    <xf numFmtId="167" fontId="17" fillId="0" borderId="0" xfId="17" quotePrefix="1" applyFill="1" applyAlignment="1">
      <alignment horizontal="right"/>
    </xf>
    <xf numFmtId="167" fontId="16" fillId="0" borderId="0" xfId="17" quotePrefix="1" applyFont="1" applyFill="1" applyAlignment="1">
      <alignment horizontal="right"/>
    </xf>
    <xf numFmtId="169" fontId="33" fillId="0" borderId="0" xfId="17" applyNumberFormat="1" applyFont="1" applyFill="1"/>
    <xf numFmtId="167" fontId="19" fillId="0" borderId="93" xfId="17" applyFont="1" applyFill="1" applyBorder="1"/>
    <xf numFmtId="167" fontId="17" fillId="0" borderId="93" xfId="17" applyFill="1" applyBorder="1"/>
    <xf numFmtId="169" fontId="17" fillId="0" borderId="93" xfId="17" applyNumberFormat="1" applyFill="1" applyBorder="1"/>
    <xf numFmtId="167" fontId="19" fillId="0" borderId="43" xfId="17" applyFont="1" applyFill="1" applyBorder="1"/>
    <xf numFmtId="167" fontId="17" fillId="0" borderId="43" xfId="17" applyFill="1" applyBorder="1"/>
    <xf numFmtId="169" fontId="17" fillId="0" borderId="43" xfId="17" applyNumberFormat="1" applyFill="1" applyBorder="1"/>
    <xf numFmtId="167" fontId="17" fillId="0" borderId="0" xfId="17" applyFill="1" applyAlignment="1">
      <alignment horizontal="centerContinuous"/>
    </xf>
    <xf numFmtId="167" fontId="17" fillId="0" borderId="0" xfId="17" applyFill="1" applyBorder="1" applyAlignment="1">
      <alignment horizontal="right"/>
    </xf>
    <xf numFmtId="167" fontId="17" fillId="0" borderId="12" xfId="17" applyFill="1" applyBorder="1"/>
    <xf numFmtId="0" fontId="85" fillId="6" borderId="14" xfId="0" applyFont="1" applyFill="1" applyBorder="1" applyAlignment="1" applyProtection="1">
      <alignment horizontal="center" vertical="top"/>
      <protection locked="0"/>
    </xf>
    <xf numFmtId="0" fontId="0" fillId="6" borderId="0" xfId="0" applyFill="1" applyBorder="1" applyAlignment="1" applyProtection="1">
      <alignment vertical="top"/>
      <protection locked="0"/>
    </xf>
    <xf numFmtId="38" fontId="51" fillId="0" borderId="0" xfId="0" applyNumberFormat="1" applyFont="1" applyBorder="1"/>
    <xf numFmtId="0" fontId="51" fillId="0" borderId="0" xfId="0" applyFont="1" applyBorder="1"/>
    <xf numFmtId="0" fontId="51" fillId="6" borderId="40" xfId="0" applyFont="1" applyFill="1" applyBorder="1" applyAlignment="1" applyProtection="1">
      <alignment vertical="top"/>
      <protection locked="0"/>
    </xf>
    <xf numFmtId="0" fontId="104" fillId="6" borderId="111" xfId="0" applyFont="1" applyFill="1" applyBorder="1" applyAlignment="1" applyProtection="1">
      <alignment horizontal="left" vertical="top"/>
      <protection locked="0"/>
    </xf>
    <xf numFmtId="183" fontId="104" fillId="6" borderId="111" xfId="0" applyNumberFormat="1" applyFont="1" applyFill="1" applyBorder="1" applyAlignment="1" applyProtection="1">
      <alignment horizontal="right" vertical="top"/>
      <protection locked="0"/>
    </xf>
    <xf numFmtId="0" fontId="52" fillId="7" borderId="0" xfId="0" applyFont="1" applyFill="1"/>
    <xf numFmtId="3" fontId="8" fillId="0" borderId="0" xfId="22" applyNumberFormat="1" applyFill="1" applyBorder="1"/>
    <xf numFmtId="7" fontId="37" fillId="0" borderId="59" xfId="21" applyNumberFormat="1" applyFont="1" applyBorder="1"/>
    <xf numFmtId="0" fontId="9" fillId="0" borderId="1" xfId="0" applyFont="1" applyFill="1" applyBorder="1" applyAlignment="1" applyProtection="1">
      <alignment horizontal="left"/>
    </xf>
    <xf numFmtId="0" fontId="52" fillId="0" borderId="0" xfId="26" applyFont="1" applyAlignment="1">
      <alignment horizontal="right"/>
    </xf>
    <xf numFmtId="3" fontId="0" fillId="0" borderId="0" xfId="0" applyNumberFormat="1" applyAlignment="1">
      <alignment wrapText="1"/>
    </xf>
    <xf numFmtId="0" fontId="0" fillId="0" borderId="0" xfId="0" applyBorder="1" applyAlignment="1">
      <alignment wrapText="1"/>
    </xf>
    <xf numFmtId="3" fontId="0" fillId="0" borderId="0" xfId="0" applyNumberFormat="1" applyBorder="1" applyAlignment="1">
      <alignment wrapText="1"/>
    </xf>
    <xf numFmtId="166" fontId="105" fillId="0" borderId="0" xfId="160" applyNumberFormat="1" applyFont="1" applyFill="1"/>
    <xf numFmtId="0" fontId="50" fillId="58" borderId="109" xfId="0" applyFont="1" applyFill="1" applyBorder="1" applyAlignment="1" applyProtection="1">
      <alignment horizontal="center" vertical="top"/>
      <protection locked="0"/>
    </xf>
    <xf numFmtId="183" fontId="50" fillId="57" borderId="109" xfId="0" applyNumberFormat="1" applyFont="1" applyFill="1" applyBorder="1" applyAlignment="1" applyProtection="1">
      <alignment horizontal="right" vertical="top"/>
      <protection locked="0"/>
    </xf>
    <xf numFmtId="0" fontId="50" fillId="57" borderId="109" xfId="0" applyFont="1" applyFill="1" applyBorder="1" applyAlignment="1" applyProtection="1">
      <alignment horizontal="right" vertical="top"/>
      <protection locked="0"/>
    </xf>
    <xf numFmtId="3" fontId="50" fillId="57" borderId="109" xfId="0" applyNumberFormat="1" applyFont="1" applyFill="1" applyBorder="1" applyAlignment="1" applyProtection="1">
      <alignment horizontal="right" vertical="top"/>
      <protection locked="0"/>
    </xf>
    <xf numFmtId="198" fontId="50" fillId="57" borderId="109" xfId="0" applyNumberFormat="1" applyFont="1" applyFill="1" applyBorder="1" applyAlignment="1" applyProtection="1">
      <alignment horizontal="right" vertical="top"/>
      <protection locked="0"/>
    </xf>
    <xf numFmtId="0" fontId="0" fillId="57" borderId="3" xfId="0" applyFill="1" applyBorder="1" applyAlignment="1" applyProtection="1">
      <alignment vertical="top"/>
      <protection locked="0"/>
    </xf>
    <xf numFmtId="183" fontId="8" fillId="44" borderId="0" xfId="14" applyNumberFormat="1" applyFill="1">
      <alignment wrapText="1"/>
    </xf>
    <xf numFmtId="3" fontId="8" fillId="0" borderId="0" xfId="14" applyNumberFormat="1">
      <alignment wrapText="1"/>
    </xf>
    <xf numFmtId="0" fontId="58" fillId="0" borderId="0" xfId="14" applyFont="1" applyBorder="1">
      <alignment wrapText="1"/>
    </xf>
    <xf numFmtId="0" fontId="32" fillId="0" borderId="0" xfId="0" applyFont="1" applyFill="1" applyAlignment="1">
      <alignment horizontal="centerContinuous"/>
    </xf>
    <xf numFmtId="0" fontId="50" fillId="59" borderId="109" xfId="0" applyFont="1" applyFill="1" applyBorder="1" applyAlignment="1" applyProtection="1">
      <alignment horizontal="left" vertical="top"/>
      <protection locked="0"/>
    </xf>
    <xf numFmtId="183" fontId="50" fillId="59" borderId="109" xfId="0" applyNumberFormat="1" applyFont="1" applyFill="1" applyBorder="1" applyAlignment="1" applyProtection="1">
      <alignment horizontal="right" vertical="top"/>
      <protection locked="0"/>
    </xf>
    <xf numFmtId="3" fontId="50" fillId="59" borderId="109" xfId="0" applyNumberFormat="1" applyFont="1" applyFill="1" applyBorder="1" applyAlignment="1" applyProtection="1">
      <alignment horizontal="right" vertical="top"/>
      <protection locked="0"/>
    </xf>
    <xf numFmtId="0" fontId="50" fillId="59" borderId="109" xfId="0" applyFont="1" applyFill="1" applyBorder="1" applyAlignment="1" applyProtection="1">
      <alignment horizontal="right" vertical="top"/>
      <protection locked="0"/>
    </xf>
    <xf numFmtId="198" fontId="50" fillId="59" borderId="109" xfId="0" applyNumberFormat="1" applyFont="1" applyFill="1" applyBorder="1" applyAlignment="1" applyProtection="1">
      <alignment horizontal="right" vertical="top"/>
      <protection locked="0"/>
    </xf>
    <xf numFmtId="0" fontId="8" fillId="9" borderId="0" xfId="23" applyFill="1">
      <alignment wrapText="1"/>
    </xf>
    <xf numFmtId="0" fontId="50" fillId="59" borderId="110" xfId="0" applyFont="1" applyFill="1" applyBorder="1" applyAlignment="1" applyProtection="1">
      <alignment horizontal="left" vertical="top"/>
      <protection locked="0"/>
    </xf>
    <xf numFmtId="183" fontId="50" fillId="59" borderId="110" xfId="0" applyNumberFormat="1" applyFont="1" applyFill="1" applyBorder="1" applyAlignment="1" applyProtection="1">
      <alignment horizontal="right" vertical="top"/>
      <protection locked="0"/>
    </xf>
    <xf numFmtId="3" fontId="50" fillId="59" borderId="110" xfId="0" applyNumberFormat="1" applyFont="1" applyFill="1" applyBorder="1" applyAlignment="1" applyProtection="1">
      <alignment horizontal="right" vertical="top"/>
      <protection locked="0"/>
    </xf>
    <xf numFmtId="0" fontId="50" fillId="59" borderId="110" xfId="0" applyFont="1" applyFill="1" applyBorder="1" applyAlignment="1" applyProtection="1">
      <alignment horizontal="right" vertical="top"/>
      <protection locked="0"/>
    </xf>
    <xf numFmtId="198" fontId="50" fillId="59" borderId="110" xfId="0" applyNumberFormat="1" applyFont="1" applyFill="1" applyBorder="1" applyAlignment="1" applyProtection="1">
      <alignment horizontal="right" vertical="top"/>
      <protection locked="0"/>
    </xf>
    <xf numFmtId="1" fontId="8" fillId="0" borderId="0" xfId="23" applyNumberFormat="1">
      <alignment wrapText="1"/>
    </xf>
    <xf numFmtId="3" fontId="8" fillId="9" borderId="0" xfId="23" applyNumberFormat="1" applyFill="1">
      <alignment wrapText="1"/>
    </xf>
    <xf numFmtId="167" fontId="19" fillId="0" borderId="0" xfId="167" applyFont="1" applyFill="1" applyBorder="1" applyAlignment="1">
      <alignment horizontal="right"/>
    </xf>
    <xf numFmtId="167" fontId="19" fillId="0" borderId="0" xfId="167" applyFont="1" applyFill="1" applyBorder="1"/>
    <xf numFmtId="0" fontId="0" fillId="0" borderId="86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16" fillId="0" borderId="86" xfId="0" applyFont="1" applyBorder="1" applyAlignment="1">
      <alignment horizontal="centerContinuous"/>
    </xf>
    <xf numFmtId="0" fontId="0" fillId="0" borderId="86" xfId="0" applyBorder="1"/>
    <xf numFmtId="0" fontId="16" fillId="0" borderId="86" xfId="0" applyFont="1" applyBorder="1" applyAlignment="1">
      <alignment horizontal="center"/>
    </xf>
    <xf numFmtId="0" fontId="16" fillId="0" borderId="10" xfId="0" applyFon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0" fontId="16" fillId="0" borderId="10" xfId="0" applyFont="1" applyBorder="1" applyAlignment="1">
      <alignment horizontal="center"/>
    </xf>
    <xf numFmtId="0" fontId="0" fillId="0" borderId="8" xfId="0" applyBorder="1" applyAlignment="1">
      <alignment horizontal="centerContinuous"/>
    </xf>
    <xf numFmtId="0" fontId="0" fillId="0" borderId="6" xfId="0" applyBorder="1" applyAlignment="1">
      <alignment horizontal="centerContinuous"/>
    </xf>
    <xf numFmtId="0" fontId="16" fillId="0" borderId="8" xfId="0" applyFont="1" applyBorder="1" applyAlignment="1">
      <alignment horizontal="center"/>
    </xf>
    <xf numFmtId="167" fontId="16" fillId="0" borderId="0" xfId="17" applyFont="1" applyFill="1" applyBorder="1" applyAlignment="1">
      <alignment horizontal="right"/>
    </xf>
    <xf numFmtId="10" fontId="51" fillId="0" borderId="0" xfId="17" applyNumberFormat="1" applyFont="1" applyFill="1" applyBorder="1"/>
    <xf numFmtId="167" fontId="16" fillId="0" borderId="6" xfId="17" applyFont="1" applyFill="1" applyBorder="1"/>
    <xf numFmtId="10" fontId="51" fillId="49" borderId="0" xfId="17" applyNumberFormat="1" applyFont="1" applyFill="1" applyBorder="1"/>
    <xf numFmtId="10" fontId="16" fillId="0" borderId="6" xfId="17" applyNumberFormat="1" applyFont="1" applyFill="1" applyBorder="1" applyAlignment="1">
      <alignment horizontal="center"/>
    </xf>
    <xf numFmtId="10" fontId="16" fillId="0" borderId="0" xfId="17" applyNumberFormat="1" applyFont="1" applyFill="1" applyBorder="1" applyAlignment="1">
      <alignment horizontal="right"/>
    </xf>
    <xf numFmtId="10" fontId="52" fillId="0" borderId="6" xfId="17" quotePrefix="1" applyNumberFormat="1" applyFont="1" applyFill="1" applyBorder="1"/>
    <xf numFmtId="10" fontId="16" fillId="0" borderId="0" xfId="17" quotePrefix="1" applyNumberFormat="1" applyFont="1" applyFill="1" applyBorder="1" applyAlignment="1">
      <alignment horizontal="right"/>
    </xf>
    <xf numFmtId="10" fontId="52" fillId="49" borderId="6" xfId="17" quotePrefix="1" applyNumberFormat="1" applyFont="1" applyFill="1" applyBorder="1"/>
    <xf numFmtId="10" fontId="52" fillId="0" borderId="0" xfId="17" applyNumberFormat="1" applyFont="1" applyFill="1" applyBorder="1"/>
    <xf numFmtId="167" fontId="17" fillId="0" borderId="10" xfId="17" applyFill="1" applyBorder="1"/>
    <xf numFmtId="10" fontId="52" fillId="0" borderId="8" xfId="17" quotePrefix="1" applyNumberFormat="1" applyFont="1" applyFill="1" applyBorder="1"/>
    <xf numFmtId="5" fontId="17" fillId="0" borderId="86" xfId="2" applyNumberFormat="1" applyFont="1" applyFill="1" applyBorder="1"/>
    <xf numFmtId="2" fontId="17" fillId="0" borderId="0" xfId="17" applyNumberFormat="1" applyFill="1"/>
    <xf numFmtId="1" fontId="16" fillId="0" borderId="0" xfId="17" quotePrefix="1" applyNumberFormat="1" applyFont="1" applyFill="1" applyBorder="1" applyAlignment="1">
      <alignment horizontal="right"/>
    </xf>
    <xf numFmtId="0" fontId="8" fillId="0" borderId="0" xfId="0" applyFont="1" applyFill="1"/>
    <xf numFmtId="0" fontId="31" fillId="0" borderId="0" xfId="0" applyFont="1" applyFill="1" applyAlignment="1">
      <alignment horizontal="centerContinuous"/>
    </xf>
    <xf numFmtId="37" fontId="31" fillId="0" borderId="0" xfId="0" applyNumberFormat="1" applyFont="1" applyFill="1" applyAlignment="1" applyProtection="1">
      <alignment horizontal="centerContinuous"/>
      <protection locked="0"/>
    </xf>
    <xf numFmtId="1" fontId="31" fillId="0" borderId="0" xfId="0" applyNumberFormat="1" applyFont="1" applyFill="1" applyAlignment="1">
      <alignment horizontal="centerContinuous"/>
    </xf>
    <xf numFmtId="0" fontId="8" fillId="0" borderId="0" xfId="0" applyFont="1" applyFill="1" applyProtection="1">
      <protection locked="0"/>
    </xf>
    <xf numFmtId="0" fontId="8" fillId="0" borderId="0" xfId="0" applyFont="1" applyFill="1" applyAlignment="1" applyProtection="1">
      <alignment horizontal="center"/>
      <protection locked="0"/>
    </xf>
    <xf numFmtId="41" fontId="8" fillId="0" borderId="112" xfId="250" applyFont="1" applyFill="1" applyBorder="1" applyProtection="1">
      <protection locked="0"/>
    </xf>
    <xf numFmtId="41" fontId="8" fillId="0" borderId="112" xfId="250" applyFont="1" applyFill="1" applyBorder="1" applyAlignment="1" applyProtection="1">
      <alignment horizontal="center"/>
      <protection locked="0"/>
    </xf>
    <xf numFmtId="41" fontId="8" fillId="0" borderId="113" xfId="250" applyFont="1" applyFill="1" applyBorder="1" applyAlignment="1" applyProtection="1">
      <alignment horizontal="center"/>
      <protection locked="0"/>
    </xf>
    <xf numFmtId="41" fontId="8" fillId="0" borderId="114" xfId="250" applyFont="1" applyFill="1" applyBorder="1" applyAlignment="1" applyProtection="1">
      <alignment horizontal="center"/>
      <protection locked="0"/>
    </xf>
    <xf numFmtId="41" fontId="8" fillId="0" borderId="114" xfId="250" applyFont="1" applyFill="1" applyBorder="1" applyProtection="1">
      <protection locked="0"/>
    </xf>
    <xf numFmtId="208" fontId="8" fillId="0" borderId="115" xfId="250" applyNumberFormat="1" applyFont="1" applyFill="1" applyBorder="1" applyAlignment="1" applyProtection="1">
      <alignment horizontal="center"/>
      <protection locked="0"/>
    </xf>
    <xf numFmtId="41" fontId="8" fillId="0" borderId="115" xfId="250" applyFont="1" applyFill="1" applyBorder="1" applyAlignment="1" applyProtection="1">
      <alignment horizontal="center"/>
      <protection locked="0"/>
    </xf>
    <xf numFmtId="41" fontId="8" fillId="0" borderId="115" xfId="250" applyFont="1" applyFill="1" applyBorder="1" applyProtection="1">
      <protection locked="0"/>
    </xf>
    <xf numFmtId="37" fontId="8" fillId="0" borderId="115" xfId="250" applyNumberFormat="1" applyFont="1" applyFill="1" applyBorder="1" applyProtection="1">
      <protection locked="0"/>
    </xf>
    <xf numFmtId="10" fontId="8" fillId="0" borderId="115" xfId="250" applyNumberFormat="1" applyFont="1" applyFill="1" applyBorder="1" applyProtection="1">
      <protection locked="0"/>
    </xf>
    <xf numFmtId="39" fontId="8" fillId="0" borderId="115" xfId="250" applyNumberFormat="1" applyFont="1" applyFill="1" applyBorder="1" applyProtection="1">
      <protection locked="0"/>
    </xf>
    <xf numFmtId="37" fontId="8" fillId="0" borderId="115" xfId="250" applyNumberFormat="1" applyFont="1" applyFill="1" applyBorder="1" applyAlignment="1" applyProtection="1">
      <alignment horizontal="center"/>
      <protection locked="0"/>
    </xf>
    <xf numFmtId="41" fontId="8" fillId="0" borderId="115" xfId="250" quotePrefix="1" applyFont="1" applyFill="1" applyBorder="1" applyAlignment="1" applyProtection="1">
      <alignment horizontal="center"/>
      <protection locked="0"/>
    </xf>
    <xf numFmtId="0" fontId="8" fillId="0" borderId="115" xfId="250" applyNumberFormat="1" applyFont="1" applyFill="1" applyBorder="1" applyAlignment="1" applyProtection="1">
      <alignment horizontal="center"/>
      <protection locked="0"/>
    </xf>
    <xf numFmtId="37" fontId="8" fillId="0" borderId="113" xfId="250" applyNumberFormat="1" applyFont="1" applyFill="1" applyBorder="1" applyAlignment="1" applyProtection="1">
      <alignment horizontal="center"/>
      <protection locked="0"/>
    </xf>
    <xf numFmtId="41" fontId="8" fillId="0" borderId="113" xfId="250" applyFont="1" applyFill="1" applyBorder="1" applyProtection="1">
      <protection locked="0"/>
    </xf>
    <xf numFmtId="37" fontId="8" fillId="0" borderId="113" xfId="250" applyNumberFormat="1" applyFont="1" applyFill="1" applyBorder="1" applyProtection="1">
      <protection locked="0"/>
    </xf>
    <xf numFmtId="39" fontId="8" fillId="0" borderId="113" xfId="250" applyNumberFormat="1" applyFont="1" applyFill="1" applyBorder="1" applyProtection="1">
      <protection locked="0"/>
    </xf>
    <xf numFmtId="10" fontId="8" fillId="0" borderId="113" xfId="24" applyNumberFormat="1" applyFont="1" applyFill="1" applyBorder="1" applyProtection="1">
      <protection locked="0"/>
    </xf>
    <xf numFmtId="37" fontId="8" fillId="0" borderId="114" xfId="250" applyNumberFormat="1" applyFont="1" applyFill="1" applyBorder="1" applyAlignment="1" applyProtection="1">
      <alignment horizontal="center"/>
      <protection locked="0"/>
    </xf>
    <xf numFmtId="5" fontId="8" fillId="0" borderId="114" xfId="250" applyNumberFormat="1" applyFont="1" applyFill="1" applyBorder="1" applyProtection="1">
      <protection locked="0"/>
    </xf>
    <xf numFmtId="10" fontId="8" fillId="0" borderId="114" xfId="250" applyNumberFormat="1" applyFont="1" applyFill="1" applyBorder="1" applyProtection="1">
      <protection locked="0"/>
    </xf>
    <xf numFmtId="39" fontId="8" fillId="0" borderId="114" xfId="250" applyNumberFormat="1" applyFont="1" applyFill="1" applyBorder="1" applyProtection="1">
      <protection locked="0"/>
    </xf>
    <xf numFmtId="37" fontId="8" fillId="0" borderId="0" xfId="0" applyNumberFormat="1" applyFont="1" applyFill="1" applyProtection="1">
      <protection locked="0"/>
    </xf>
    <xf numFmtId="0" fontId="119" fillId="0" borderId="0" xfId="0" applyFont="1" applyFill="1" applyProtection="1">
      <protection locked="0"/>
    </xf>
    <xf numFmtId="0" fontId="31" fillId="0" borderId="0" xfId="0" applyFont="1" applyFill="1" applyAlignment="1" applyProtection="1">
      <alignment horizontal="centerContinuous"/>
      <protection locked="0"/>
    </xf>
    <xf numFmtId="177" fontId="118" fillId="0" borderId="0" xfId="24" quotePrefix="1" applyNumberFormat="1" applyFont="1" applyFill="1" applyAlignment="1">
      <alignment horizontal="centerContinuous"/>
    </xf>
    <xf numFmtId="1" fontId="118" fillId="0" borderId="0" xfId="0" quotePrefix="1" applyNumberFormat="1" applyFont="1" applyFill="1" applyAlignment="1">
      <alignment horizontal="centerContinuous"/>
    </xf>
    <xf numFmtId="10" fontId="8" fillId="0" borderId="113" xfId="250" applyNumberFormat="1" applyFont="1" applyFill="1" applyBorder="1" applyProtection="1">
      <protection locked="0"/>
    </xf>
    <xf numFmtId="37" fontId="8" fillId="0" borderId="114" xfId="250" applyNumberFormat="1" applyFont="1" applyFill="1" applyBorder="1" applyProtection="1">
      <protection locked="0"/>
    </xf>
    <xf numFmtId="10" fontId="8" fillId="0" borderId="114" xfId="24" applyNumberFormat="1" applyFont="1" applyFill="1" applyBorder="1" applyProtection="1">
      <protection locked="0"/>
    </xf>
    <xf numFmtId="1" fontId="31" fillId="0" borderId="0" xfId="0" applyNumberFormat="1" applyFont="1" applyFill="1"/>
    <xf numFmtId="0" fontId="31" fillId="0" borderId="0" xfId="0" applyFont="1" applyFill="1" applyAlignment="1">
      <alignment horizontal="center"/>
    </xf>
    <xf numFmtId="37" fontId="31" fillId="0" borderId="0" xfId="0" applyNumberFormat="1" applyFont="1" applyFill="1" applyAlignment="1" applyProtection="1">
      <alignment horizontal="centerContinuous"/>
    </xf>
    <xf numFmtId="1" fontId="31" fillId="0" borderId="0" xfId="0" applyNumberFormat="1" applyFont="1" applyFill="1" applyAlignment="1"/>
    <xf numFmtId="1" fontId="120" fillId="0" borderId="0" xfId="0" quotePrefix="1" applyNumberFormat="1" applyFont="1" applyFill="1" applyAlignment="1">
      <alignment horizontal="center"/>
    </xf>
    <xf numFmtId="37" fontId="31" fillId="0" borderId="0" xfId="0" applyNumberFormat="1" applyFont="1" applyFill="1" applyProtection="1"/>
    <xf numFmtId="37" fontId="31" fillId="0" borderId="0" xfId="0" applyNumberFormat="1" applyFont="1" applyFill="1" applyAlignment="1" applyProtection="1">
      <alignment horizontal="center"/>
    </xf>
    <xf numFmtId="0" fontId="8" fillId="0" borderId="0" xfId="0" applyFont="1" applyFill="1" applyBorder="1" applyAlignment="1">
      <alignment horizontal="center"/>
    </xf>
    <xf numFmtId="1" fontId="8" fillId="0" borderId="0" xfId="0" applyNumberFormat="1" applyFont="1" applyFill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33" xfId="0" applyFont="1" applyFill="1" applyBorder="1" applyAlignment="1">
      <alignment horizontal="center"/>
    </xf>
    <xf numFmtId="0" fontId="31" fillId="0" borderId="33" xfId="0" applyFont="1" applyFill="1" applyBorder="1" applyAlignment="1">
      <alignment horizontal="center" wrapText="1"/>
    </xf>
    <xf numFmtId="166" fontId="31" fillId="0" borderId="33" xfId="0" applyNumberFormat="1" applyFont="1" applyFill="1" applyBorder="1" applyAlignment="1" applyProtection="1">
      <alignment horizontal="center" wrapText="1"/>
    </xf>
    <xf numFmtId="1" fontId="68" fillId="0" borderId="0" xfId="0" applyNumberFormat="1" applyFont="1" applyFill="1" applyAlignment="1">
      <alignment horizontal="centerContinuous"/>
    </xf>
    <xf numFmtId="166" fontId="31" fillId="0" borderId="0" xfId="45" applyNumberFormat="1" applyFont="1" applyFill="1" applyBorder="1"/>
    <xf numFmtId="1" fontId="26" fillId="0" borderId="0" xfId="0" applyNumberFormat="1" applyFont="1" applyFill="1" applyAlignment="1">
      <alignment horizontal="centerContinuous"/>
    </xf>
    <xf numFmtId="1" fontId="121" fillId="0" borderId="0" xfId="0" applyNumberFormat="1" applyFont="1" applyFill="1" applyBorder="1"/>
    <xf numFmtId="166" fontId="8" fillId="0" borderId="0" xfId="45" applyNumberFormat="1" applyFont="1" applyFill="1"/>
    <xf numFmtId="1" fontId="8" fillId="0" borderId="0" xfId="0" applyNumberFormat="1" applyFont="1" applyFill="1"/>
    <xf numFmtId="1" fontId="8" fillId="0" borderId="0" xfId="0" quotePrefix="1" applyNumberFormat="1" applyFont="1" applyFill="1" applyAlignment="1">
      <alignment horizontal="left"/>
    </xf>
    <xf numFmtId="9" fontId="8" fillId="0" borderId="0" xfId="162" applyFont="1" applyFill="1"/>
    <xf numFmtId="9" fontId="8" fillId="0" borderId="0" xfId="162" applyFont="1" applyFill="1" applyBorder="1"/>
    <xf numFmtId="9" fontId="8" fillId="0" borderId="0" xfId="162" applyNumberFormat="1" applyFont="1" applyFill="1" applyBorder="1"/>
    <xf numFmtId="1" fontId="121" fillId="0" borderId="0" xfId="0" applyNumberFormat="1" applyFont="1" applyFill="1"/>
    <xf numFmtId="10" fontId="26" fillId="0" borderId="0" xfId="162" applyNumberFormat="1" applyFont="1" applyFill="1"/>
    <xf numFmtId="43" fontId="8" fillId="0" borderId="0" xfId="45" applyNumberFormat="1" applyFont="1" applyFill="1"/>
    <xf numFmtId="200" fontId="8" fillId="0" borderId="0" xfId="45" applyNumberFormat="1" applyFont="1" applyFill="1"/>
    <xf numFmtId="170" fontId="8" fillId="0" borderId="0" xfId="45" applyNumberFormat="1" applyFont="1" applyFill="1"/>
    <xf numFmtId="1" fontId="8" fillId="0" borderId="0" xfId="0" applyNumberFormat="1" applyFont="1" applyFill="1" applyBorder="1"/>
    <xf numFmtId="166" fontId="8" fillId="0" borderId="0" xfId="45" applyNumberFormat="1" applyFont="1" applyFill="1" applyBorder="1" applyAlignment="1">
      <alignment horizontal="center"/>
    </xf>
    <xf numFmtId="1" fontId="26" fillId="0" borderId="0" xfId="0" applyNumberFormat="1" applyFont="1" applyFill="1"/>
    <xf numFmtId="1" fontId="123" fillId="0" borderId="0" xfId="0" applyNumberFormat="1" applyFont="1" applyFill="1" applyAlignment="1">
      <alignment horizontal="left" vertical="center"/>
    </xf>
    <xf numFmtId="1" fontId="124" fillId="0" borderId="0" xfId="0" applyNumberFormat="1" applyFont="1" applyFill="1" applyAlignment="1">
      <alignment vertical="center"/>
    </xf>
    <xf numFmtId="1" fontId="125" fillId="0" borderId="0" xfId="0" applyNumberFormat="1" applyFont="1" applyFill="1" applyAlignment="1">
      <alignment horizontal="left" vertical="center"/>
    </xf>
    <xf numFmtId="1" fontId="124" fillId="0" borderId="0" xfId="0" applyNumberFormat="1" applyFont="1" applyFill="1" applyAlignment="1">
      <alignment horizontal="left" vertical="center"/>
    </xf>
    <xf numFmtId="1" fontId="124" fillId="0" borderId="9" xfId="0" applyNumberFormat="1" applyFont="1" applyFill="1" applyBorder="1" applyAlignment="1">
      <alignment horizontal="centerContinuous" vertical="center"/>
    </xf>
    <xf numFmtId="1" fontId="124" fillId="0" borderId="9" xfId="0" applyNumberFormat="1" applyFont="1" applyFill="1" applyBorder="1" applyAlignment="1">
      <alignment horizontal="left" vertical="center"/>
    </xf>
    <xf numFmtId="1" fontId="124" fillId="0" borderId="9" xfId="0" applyNumberFormat="1" applyFont="1" applyFill="1" applyBorder="1" applyAlignment="1">
      <alignment horizontal="center" vertical="center"/>
    </xf>
    <xf numFmtId="1" fontId="124" fillId="0" borderId="0" xfId="0" applyNumberFormat="1" applyFont="1" applyFill="1" applyBorder="1" applyAlignment="1">
      <alignment horizontal="left" vertical="center"/>
    </xf>
    <xf numFmtId="181" fontId="100" fillId="0" borderId="0" xfId="0" applyNumberFormat="1" applyFont="1" applyBorder="1" applyAlignment="1">
      <alignment horizontal="center" vertical="center"/>
    </xf>
    <xf numFmtId="181" fontId="100" fillId="0" borderId="0" xfId="0" applyNumberFormat="1" applyFont="1" applyBorder="1" applyAlignment="1">
      <alignment horizontal="left" vertical="center"/>
    </xf>
    <xf numFmtId="3" fontId="126" fillId="0" borderId="0" xfId="0" applyNumberFormat="1" applyFont="1" applyFill="1" applyAlignment="1">
      <alignment vertical="center"/>
    </xf>
    <xf numFmtId="166" fontId="126" fillId="0" borderId="0" xfId="1" applyNumberFormat="1" applyFont="1" applyFill="1" applyBorder="1" applyAlignment="1">
      <alignment vertical="center"/>
    </xf>
    <xf numFmtId="209" fontId="100" fillId="0" borderId="0" xfId="0" applyNumberFormat="1" applyFont="1" applyBorder="1" applyAlignment="1">
      <alignment horizontal="center" vertical="center"/>
    </xf>
    <xf numFmtId="209" fontId="100" fillId="0" borderId="0" xfId="0" applyNumberFormat="1" applyFont="1" applyBorder="1" applyAlignment="1">
      <alignment horizontal="left" vertical="center"/>
    </xf>
    <xf numFmtId="209" fontId="122" fillId="0" borderId="0" xfId="0" applyNumberFormat="1" applyFont="1" applyBorder="1" applyAlignment="1">
      <alignment horizontal="center" vertical="center"/>
    </xf>
    <xf numFmtId="209" fontId="122" fillId="0" borderId="0" xfId="0" applyNumberFormat="1" applyFont="1" applyBorder="1" applyAlignment="1">
      <alignment horizontal="left" vertical="center"/>
    </xf>
    <xf numFmtId="209" fontId="0" fillId="0" borderId="0" xfId="0" applyNumberFormat="1" applyFont="1" applyBorder="1" applyAlignment="1">
      <alignment horizontal="center" vertical="center"/>
    </xf>
    <xf numFmtId="209" fontId="0" fillId="0" borderId="0" xfId="0" applyNumberFormat="1" applyFont="1" applyBorder="1" applyAlignment="1">
      <alignment horizontal="left" vertical="center"/>
    </xf>
    <xf numFmtId="209" fontId="100" fillId="0" borderId="9" xfId="0" applyNumberFormat="1" applyFont="1" applyBorder="1" applyAlignment="1">
      <alignment horizontal="center" vertical="center"/>
    </xf>
    <xf numFmtId="209" fontId="100" fillId="0" borderId="9" xfId="0" applyNumberFormat="1" applyFont="1" applyBorder="1" applyAlignment="1">
      <alignment horizontal="left" vertical="center"/>
    </xf>
    <xf numFmtId="3" fontId="126" fillId="0" borderId="9" xfId="0" applyNumberFormat="1" applyFont="1" applyFill="1" applyBorder="1" applyAlignment="1">
      <alignment vertical="center"/>
    </xf>
    <xf numFmtId="166" fontId="126" fillId="0" borderId="9" xfId="1" applyNumberFormat="1" applyFont="1" applyFill="1" applyBorder="1" applyAlignment="1">
      <alignment vertical="center"/>
    </xf>
    <xf numFmtId="1" fontId="124" fillId="0" borderId="0" xfId="0" applyNumberFormat="1" applyFont="1" applyFill="1" applyBorder="1" applyAlignment="1">
      <alignment horizontal="right" vertical="center"/>
    </xf>
    <xf numFmtId="1" fontId="124" fillId="0" borderId="9" xfId="0" applyNumberFormat="1" applyFont="1" applyFill="1" applyBorder="1" applyAlignment="1">
      <alignment vertical="center"/>
    </xf>
    <xf numFmtId="1" fontId="124" fillId="0" borderId="9" xfId="0" applyNumberFormat="1" applyFont="1" applyFill="1" applyBorder="1" applyAlignment="1">
      <alignment horizontal="right" vertical="center"/>
    </xf>
    <xf numFmtId="1" fontId="124" fillId="0" borderId="0" xfId="0" applyNumberFormat="1" applyFont="1" applyFill="1" applyAlignment="1">
      <alignment horizontal="right" vertical="center"/>
    </xf>
    <xf numFmtId="166" fontId="126" fillId="0" borderId="0" xfId="1" applyNumberFormat="1" applyFont="1" applyFill="1" applyAlignment="1">
      <alignment vertical="center"/>
    </xf>
    <xf numFmtId="3" fontId="126" fillId="0" borderId="0" xfId="0" applyNumberFormat="1" applyFont="1" applyFill="1" applyBorder="1" applyAlignment="1">
      <alignment vertical="center"/>
    </xf>
    <xf numFmtId="169" fontId="19" fillId="0" borderId="93" xfId="17" applyNumberFormat="1" applyFont="1" applyFill="1" applyBorder="1" applyAlignment="1">
      <alignment horizontal="centerContinuous"/>
    </xf>
    <xf numFmtId="10" fontId="17" fillId="0" borderId="0" xfId="17" applyNumberFormat="1" applyFill="1"/>
    <xf numFmtId="10" fontId="17" fillId="0" borderId="0" xfId="2" applyNumberFormat="1" applyFont="1" applyFill="1"/>
    <xf numFmtId="10" fontId="17" fillId="0" borderId="86" xfId="2" applyNumberFormat="1" applyFont="1" applyFill="1" applyBorder="1"/>
    <xf numFmtId="10" fontId="33" fillId="0" borderId="0" xfId="2" applyNumberFormat="1" applyFont="1" applyFill="1"/>
    <xf numFmtId="10" fontId="17" fillId="0" borderId="9" xfId="2" applyNumberFormat="1" applyFont="1" applyFill="1" applyBorder="1"/>
    <xf numFmtId="10" fontId="17" fillId="0" borderId="86" xfId="17" applyNumberFormat="1" applyFill="1" applyBorder="1"/>
    <xf numFmtId="10" fontId="17" fillId="0" borderId="12" xfId="2" applyNumberFormat="1" applyFont="1" applyFill="1" applyBorder="1"/>
    <xf numFmtId="167" fontId="16" fillId="0" borderId="0" xfId="17" applyFont="1" applyFill="1" applyBorder="1"/>
    <xf numFmtId="10" fontId="16" fillId="0" borderId="0" xfId="17" applyNumberFormat="1" applyFont="1" applyFill="1" applyBorder="1" applyAlignment="1">
      <alignment horizontal="center"/>
    </xf>
    <xf numFmtId="10" fontId="52" fillId="0" borderId="0" xfId="17" quotePrefix="1" applyNumberFormat="1" applyFont="1" applyFill="1" applyBorder="1"/>
    <xf numFmtId="5" fontId="52" fillId="0" borderId="0" xfId="2" applyNumberFormat="1" applyFont="1" applyFill="1"/>
    <xf numFmtId="5" fontId="51" fillId="0" borderId="0" xfId="17" applyNumberFormat="1" applyFont="1" applyFill="1" applyBorder="1"/>
    <xf numFmtId="167" fontId="33" fillId="0" borderId="0" xfId="17" applyFont="1" applyFill="1" applyBorder="1"/>
    <xf numFmtId="167" fontId="29" fillId="0" borderId="0" xfId="17" applyFont="1" applyFill="1" applyBorder="1" applyAlignment="1">
      <alignment horizontal="centerContinuous"/>
    </xf>
    <xf numFmtId="0" fontId="0" fillId="0" borderId="0" xfId="0" applyFill="1" applyBorder="1" applyAlignment="1">
      <alignment horizontal="centerContinuous"/>
    </xf>
    <xf numFmtId="167" fontId="19" fillId="0" borderId="0" xfId="17" applyFont="1" applyFill="1" applyBorder="1" applyAlignment="1">
      <alignment horizontal="left"/>
    </xf>
    <xf numFmtId="37" fontId="19" fillId="0" borderId="0" xfId="17" quotePrefix="1" applyNumberFormat="1" applyFont="1" applyFill="1" applyBorder="1" applyAlignment="1">
      <alignment horizontal="center"/>
    </xf>
    <xf numFmtId="166" fontId="0" fillId="0" borderId="0" xfId="1" applyNumberFormat="1" applyFont="1" applyBorder="1"/>
    <xf numFmtId="166" fontId="0" fillId="0" borderId="6" xfId="1" applyNumberFormat="1" applyFont="1" applyBorder="1"/>
    <xf numFmtId="9" fontId="51" fillId="0" borderId="0" xfId="167" applyNumberFormat="1" applyFont="1" applyFill="1"/>
    <xf numFmtId="9" fontId="51" fillId="0" borderId="0" xfId="167" applyNumberFormat="1" applyFont="1" applyFill="1" applyBorder="1"/>
    <xf numFmtId="9" fontId="51" fillId="0" borderId="0" xfId="167" applyNumberFormat="1" applyFont="1" applyFill="1" applyBorder="1" applyProtection="1"/>
    <xf numFmtId="0" fontId="95" fillId="0" borderId="0" xfId="0" applyFont="1" applyBorder="1" applyAlignment="1">
      <alignment horizontal="center"/>
    </xf>
    <xf numFmtId="0" fontId="95" fillId="0" borderId="0" xfId="0" applyFont="1" applyBorder="1"/>
    <xf numFmtId="0" fontId="95" fillId="0" borderId="0" xfId="0" applyFont="1" applyAlignment="1">
      <alignment horizontal="right"/>
    </xf>
    <xf numFmtId="43" fontId="51" fillId="0" borderId="60" xfId="1" applyFont="1" applyBorder="1"/>
    <xf numFmtId="43" fontId="51" fillId="0" borderId="60" xfId="0" applyNumberFormat="1" applyFont="1" applyBorder="1"/>
    <xf numFmtId="0" fontId="51" fillId="0" borderId="0" xfId="0" applyFont="1" applyAlignment="1">
      <alignment horizontal="right"/>
    </xf>
    <xf numFmtId="166" fontId="8" fillId="0" borderId="0" xfId="162" applyNumberFormat="1" applyFont="1" applyFill="1" applyAlignment="1">
      <alignment horizontal="right"/>
    </xf>
    <xf numFmtId="41" fontId="8" fillId="0" borderId="0" xfId="250" applyFont="1" applyFill="1" applyBorder="1" applyAlignment="1" applyProtection="1">
      <alignment horizontal="center"/>
      <protection locked="0"/>
    </xf>
    <xf numFmtId="10" fontId="8" fillId="0" borderId="0" xfId="250" applyNumberFormat="1" applyFont="1" applyFill="1" applyBorder="1" applyProtection="1">
      <protection locked="0"/>
    </xf>
    <xf numFmtId="10" fontId="8" fillId="0" borderId="0" xfId="24" applyNumberFormat="1" applyFont="1" applyFill="1" applyBorder="1" applyProtection="1">
      <protection locked="0"/>
    </xf>
    <xf numFmtId="0" fontId="128" fillId="0" borderId="0" xfId="0" applyFont="1" applyFill="1" applyProtection="1">
      <protection locked="0"/>
    </xf>
    <xf numFmtId="10" fontId="128" fillId="0" borderId="0" xfId="0" applyNumberFormat="1" applyFont="1" applyFill="1" applyProtection="1">
      <protection locked="0"/>
    </xf>
    <xf numFmtId="165" fontId="51" fillId="0" borderId="0" xfId="2" applyNumberFormat="1" applyFont="1" applyFill="1" applyBorder="1" applyAlignment="1">
      <alignment horizontal="right"/>
    </xf>
    <xf numFmtId="10" fontId="51" fillId="0" borderId="0" xfId="17" applyNumberFormat="1" applyFont="1" applyFill="1" applyBorder="1" applyAlignment="1">
      <alignment horizontal="right"/>
    </xf>
    <xf numFmtId="167" fontId="17" fillId="0" borderId="9" xfId="17" applyFill="1" applyBorder="1"/>
    <xf numFmtId="167" fontId="16" fillId="0" borderId="9" xfId="17" applyFont="1" applyFill="1" applyBorder="1" applyAlignment="1">
      <alignment horizontal="right"/>
    </xf>
    <xf numFmtId="169" fontId="127" fillId="0" borderId="0" xfId="17" applyNumberFormat="1" applyFont="1" applyFill="1"/>
    <xf numFmtId="0" fontId="121" fillId="0" borderId="0" xfId="0" applyFont="1" applyFill="1"/>
    <xf numFmtId="210" fontId="8" fillId="0" borderId="0" xfId="0" applyNumberFormat="1" applyFont="1" applyFill="1"/>
    <xf numFmtId="0" fontId="8" fillId="0" borderId="0" xfId="0" applyFont="1" applyFill="1" applyAlignment="1">
      <alignment horizontal="centerContinuous"/>
    </xf>
    <xf numFmtId="37" fontId="8" fillId="0" borderId="0" xfId="0" applyNumberFormat="1" applyFont="1" applyFill="1" applyAlignment="1" applyProtection="1">
      <alignment horizontal="centerContinuous"/>
    </xf>
    <xf numFmtId="210" fontId="8" fillId="0" borderId="0" xfId="0" applyNumberFormat="1" applyFont="1" applyFill="1" applyAlignment="1">
      <alignment horizontal="centerContinuous"/>
    </xf>
    <xf numFmtId="0" fontId="121" fillId="0" borderId="0" xfId="0" applyFont="1" applyFill="1" applyProtection="1"/>
    <xf numFmtId="2" fontId="121" fillId="0" borderId="0" xfId="0" applyNumberFormat="1" applyFont="1" applyFill="1" applyBorder="1" applyAlignment="1">
      <alignment horizontal="center"/>
    </xf>
    <xf numFmtId="0" fontId="31" fillId="0" borderId="0" xfId="0" applyFont="1" applyFill="1"/>
    <xf numFmtId="0" fontId="31" fillId="0" borderId="117" xfId="0" applyFont="1" applyFill="1" applyBorder="1"/>
    <xf numFmtId="0" fontId="31" fillId="0" borderId="118" xfId="0" applyFont="1" applyFill="1" applyBorder="1"/>
    <xf numFmtId="0" fontId="31" fillId="0" borderId="119" xfId="0" applyFont="1" applyFill="1" applyBorder="1"/>
    <xf numFmtId="0" fontId="31" fillId="0" borderId="118" xfId="0" applyFont="1" applyFill="1" applyBorder="1" applyAlignment="1">
      <alignment horizontal="center"/>
    </xf>
    <xf numFmtId="166" fontId="31" fillId="0" borderId="118" xfId="1" applyNumberFormat="1" applyFont="1" applyFill="1" applyBorder="1" applyAlignment="1">
      <alignment horizontal="center"/>
    </xf>
    <xf numFmtId="210" fontId="31" fillId="0" borderId="120" xfId="0" applyNumberFormat="1" applyFont="1" applyFill="1" applyBorder="1"/>
    <xf numFmtId="0" fontId="31" fillId="0" borderId="121" xfId="0" applyFont="1" applyFill="1" applyBorder="1" applyAlignment="1">
      <alignment horizontal="center"/>
    </xf>
    <xf numFmtId="0" fontId="31" fillId="0" borderId="2" xfId="0" applyFont="1" applyFill="1" applyBorder="1"/>
    <xf numFmtId="0" fontId="31" fillId="0" borderId="0" xfId="0" applyFont="1" applyFill="1" applyBorder="1"/>
    <xf numFmtId="0" fontId="31" fillId="0" borderId="2" xfId="0" applyFont="1" applyFill="1" applyBorder="1" applyAlignment="1">
      <alignment horizontal="center"/>
    </xf>
    <xf numFmtId="0" fontId="31" fillId="0" borderId="3" xfId="0" applyFont="1" applyFill="1" applyBorder="1" applyAlignment="1">
      <alignment horizontal="center"/>
    </xf>
    <xf numFmtId="37" fontId="31" fillId="0" borderId="47" xfId="0" applyNumberFormat="1" applyFont="1" applyFill="1" applyBorder="1" applyAlignment="1" applyProtection="1">
      <alignment horizontal="center"/>
    </xf>
    <xf numFmtId="210" fontId="31" fillId="0" borderId="122" xfId="0" applyNumberFormat="1" applyFont="1" applyFill="1" applyBorder="1"/>
    <xf numFmtId="0" fontId="31" fillId="0" borderId="123" xfId="0" applyFont="1" applyFill="1" applyBorder="1" applyAlignment="1">
      <alignment horizontal="center"/>
    </xf>
    <xf numFmtId="0" fontId="31" fillId="0" borderId="107" xfId="0" applyFont="1" applyFill="1" applyBorder="1" applyAlignment="1">
      <alignment horizontal="center"/>
    </xf>
    <xf numFmtId="0" fontId="31" fillId="0" borderId="9" xfId="0" applyFont="1" applyFill="1" applyBorder="1" applyAlignment="1">
      <alignment horizontal="centerContinuous"/>
    </xf>
    <xf numFmtId="0" fontId="31" fillId="0" borderId="107" xfId="0" applyFont="1" applyFill="1" applyBorder="1" applyAlignment="1">
      <alignment horizontal="centerContinuous"/>
    </xf>
    <xf numFmtId="0" fontId="31" fillId="0" borderId="40" xfId="0" applyFont="1" applyFill="1" applyBorder="1" applyAlignment="1">
      <alignment horizontal="center" wrapText="1"/>
    </xf>
    <xf numFmtId="0" fontId="31" fillId="0" borderId="124" xfId="0" applyFont="1" applyFill="1" applyBorder="1"/>
    <xf numFmtId="9" fontId="31" fillId="0" borderId="125" xfId="0" applyNumberFormat="1" applyFont="1" applyFill="1" applyBorder="1" applyAlignment="1" applyProtection="1">
      <alignment horizontal="center"/>
    </xf>
    <xf numFmtId="0" fontId="31" fillId="0" borderId="125" xfId="0" applyFont="1" applyFill="1" applyBorder="1" applyAlignment="1">
      <alignment horizontal="center"/>
    </xf>
    <xf numFmtId="9" fontId="31" fillId="0" borderId="124" xfId="0" applyNumberFormat="1" applyFont="1" applyFill="1" applyBorder="1" applyAlignment="1" applyProtection="1">
      <alignment horizontal="center"/>
    </xf>
    <xf numFmtId="211" fontId="31" fillId="0" borderId="124" xfId="0" applyNumberFormat="1" applyFont="1" applyFill="1" applyBorder="1" applyProtection="1"/>
    <xf numFmtId="0" fontId="31" fillId="0" borderId="126" xfId="0" applyFont="1" applyFill="1" applyBorder="1" applyAlignment="1">
      <alignment horizontal="center"/>
    </xf>
    <xf numFmtId="0" fontId="31" fillId="0" borderId="5" xfId="0" applyFont="1" applyFill="1" applyBorder="1"/>
    <xf numFmtId="9" fontId="31" fillId="0" borderId="20" xfId="0" applyNumberFormat="1" applyFont="1" applyFill="1" applyBorder="1" applyAlignment="1" applyProtection="1">
      <alignment horizontal="center"/>
    </xf>
    <xf numFmtId="0" fontId="31" fillId="0" borderId="20" xfId="0" applyFont="1" applyFill="1" applyBorder="1" applyAlignment="1">
      <alignment horizontal="center"/>
    </xf>
    <xf numFmtId="211" fontId="31" fillId="0" borderId="5" xfId="0" applyNumberFormat="1" applyFont="1" applyFill="1" applyBorder="1" applyProtection="1"/>
    <xf numFmtId="0" fontId="31" fillId="0" borderId="126" xfId="0" quotePrefix="1" applyFont="1" applyFill="1" applyBorder="1" applyAlignment="1">
      <alignment horizontal="center"/>
    </xf>
    <xf numFmtId="9" fontId="31" fillId="0" borderId="5" xfId="0" applyNumberFormat="1" applyFont="1" applyFill="1" applyBorder="1" applyAlignment="1" applyProtection="1">
      <alignment horizontal="center"/>
    </xf>
    <xf numFmtId="0" fontId="31" fillId="0" borderId="20" xfId="0" applyFont="1" applyFill="1" applyBorder="1"/>
    <xf numFmtId="0" fontId="31" fillId="0" borderId="125" xfId="0" applyFont="1" applyFill="1" applyBorder="1"/>
    <xf numFmtId="0" fontId="31" fillId="0" borderId="127" xfId="0" applyFont="1" applyFill="1" applyBorder="1"/>
    <xf numFmtId="211" fontId="31" fillId="60" borderId="127" xfId="1" applyNumberFormat="1" applyFont="1" applyFill="1" applyBorder="1"/>
    <xf numFmtId="211" fontId="31" fillId="60" borderId="127" xfId="45" applyNumberFormat="1" applyFont="1" applyFill="1" applyBorder="1"/>
    <xf numFmtId="0" fontId="31" fillId="0" borderId="9" xfId="0" applyFont="1" applyFill="1" applyBorder="1"/>
    <xf numFmtId="0" fontId="31" fillId="0" borderId="10" xfId="0" applyFont="1" applyFill="1" applyBorder="1"/>
    <xf numFmtId="0" fontId="31" fillId="0" borderId="8" xfId="0" applyFont="1" applyFill="1" applyBorder="1"/>
    <xf numFmtId="0" fontId="31" fillId="0" borderId="128" xfId="0" applyFont="1" applyFill="1" applyBorder="1" applyAlignment="1">
      <alignment horizontal="center"/>
    </xf>
    <xf numFmtId="0" fontId="31" fillId="0" borderId="23" xfId="0" applyFont="1" applyFill="1" applyBorder="1" applyAlignment="1">
      <alignment horizontal="left"/>
    </xf>
    <xf numFmtId="0" fontId="31" fillId="0" borderId="23" xfId="0" applyFont="1" applyFill="1" applyBorder="1"/>
    <xf numFmtId="0" fontId="31" fillId="0" borderId="5" xfId="0" quotePrefix="1" applyFont="1" applyFill="1" applyBorder="1" applyAlignment="1">
      <alignment horizontal="left"/>
    </xf>
    <xf numFmtId="0" fontId="31" fillId="0" borderId="107" xfId="0" applyFont="1" applyFill="1" applyBorder="1"/>
    <xf numFmtId="211" fontId="31" fillId="0" borderId="107" xfId="0" applyNumberFormat="1" applyFont="1" applyFill="1" applyBorder="1" applyProtection="1"/>
    <xf numFmtId="0" fontId="8" fillId="0" borderId="0" xfId="0" applyFont="1" applyFill="1" applyBorder="1"/>
    <xf numFmtId="0" fontId="31" fillId="0" borderId="129" xfId="0" applyFont="1" applyFill="1" applyBorder="1"/>
    <xf numFmtId="0" fontId="31" fillId="0" borderId="130" xfId="0" applyFont="1" applyFill="1" applyBorder="1"/>
    <xf numFmtId="211" fontId="31" fillId="0" borderId="129" xfId="1" applyNumberFormat="1" applyFont="1" applyFill="1" applyBorder="1" applyProtection="1"/>
    <xf numFmtId="0" fontId="31" fillId="0" borderId="35" xfId="0" applyFont="1" applyFill="1" applyBorder="1"/>
    <xf numFmtId="0" fontId="31" fillId="0" borderId="131" xfId="0" applyFont="1" applyFill="1" applyBorder="1"/>
    <xf numFmtId="211" fontId="31" fillId="0" borderId="131" xfId="0" applyNumberFormat="1" applyFont="1" applyFill="1" applyBorder="1" applyProtection="1"/>
    <xf numFmtId="0" fontId="31" fillId="0" borderId="24" xfId="0" applyFont="1" applyFill="1" applyBorder="1"/>
    <xf numFmtId="0" fontId="31" fillId="0" borderId="37" xfId="0" applyFont="1" applyFill="1" applyBorder="1"/>
    <xf numFmtId="0" fontId="31" fillId="0" borderId="132" xfId="0" applyFont="1" applyFill="1" applyBorder="1" applyAlignment="1">
      <alignment horizontal="center"/>
    </xf>
    <xf numFmtId="0" fontId="31" fillId="0" borderId="133" xfId="0" applyFont="1" applyFill="1" applyBorder="1" applyAlignment="1">
      <alignment horizontal="left"/>
    </xf>
    <xf numFmtId="0" fontId="31" fillId="0" borderId="134" xfId="0" applyFont="1" applyFill="1" applyBorder="1"/>
    <xf numFmtId="0" fontId="31" fillId="0" borderId="135" xfId="0" applyFont="1" applyFill="1" applyBorder="1"/>
    <xf numFmtId="0" fontId="31" fillId="0" borderId="136" xfId="0" applyFont="1" applyFill="1" applyBorder="1"/>
    <xf numFmtId="211" fontId="31" fillId="0" borderId="137" xfId="0" applyNumberFormat="1" applyFont="1" applyFill="1" applyBorder="1" applyProtection="1"/>
    <xf numFmtId="211" fontId="31" fillId="0" borderId="138" xfId="0" applyNumberFormat="1" applyFont="1" applyFill="1" applyBorder="1" applyProtection="1"/>
    <xf numFmtId="210" fontId="31" fillId="0" borderId="139" xfId="0" applyNumberFormat="1" applyFont="1" applyFill="1" applyBorder="1" applyAlignment="1" applyProtection="1">
      <alignment horizontal="right"/>
    </xf>
    <xf numFmtId="0" fontId="8" fillId="0" borderId="44" xfId="0" applyFont="1" applyFill="1" applyBorder="1"/>
    <xf numFmtId="0" fontId="8" fillId="0" borderId="45" xfId="0" applyFont="1" applyFill="1" applyBorder="1"/>
    <xf numFmtId="212" fontId="8" fillId="0" borderId="46" xfId="0" applyNumberFormat="1" applyFont="1" applyFill="1" applyBorder="1"/>
    <xf numFmtId="213" fontId="8" fillId="0" borderId="0" xfId="0" applyNumberFormat="1" applyFont="1" applyFill="1"/>
    <xf numFmtId="214" fontId="31" fillId="0" borderId="0" xfId="0" applyNumberFormat="1" applyFont="1" applyFill="1" applyBorder="1" applyProtection="1"/>
    <xf numFmtId="43" fontId="0" fillId="0" borderId="0" xfId="0" applyNumberFormat="1"/>
    <xf numFmtId="10" fontId="51" fillId="0" borderId="9" xfId="17" applyNumberFormat="1" applyFont="1" applyFill="1" applyBorder="1"/>
    <xf numFmtId="10" fontId="127" fillId="0" borderId="0" xfId="17" applyNumberFormat="1" applyFont="1" applyFill="1" applyBorder="1"/>
    <xf numFmtId="210" fontId="31" fillId="0" borderId="140" xfId="0" applyNumberFormat="1" applyFont="1" applyFill="1" applyBorder="1" applyAlignment="1">
      <alignment horizontal="center"/>
    </xf>
    <xf numFmtId="0" fontId="31" fillId="0" borderId="141" xfId="0" applyFont="1" applyFill="1" applyBorder="1" applyAlignment="1">
      <alignment horizontal="center"/>
    </xf>
    <xf numFmtId="0" fontId="31" fillId="0" borderId="142" xfId="0" applyFont="1" applyFill="1" applyBorder="1" applyProtection="1"/>
    <xf numFmtId="210" fontId="8" fillId="0" borderId="143" xfId="0" applyNumberFormat="1" applyFont="1" applyFill="1" applyBorder="1"/>
    <xf numFmtId="0" fontId="31" fillId="0" borderId="144" xfId="0" applyFont="1" applyFill="1" applyBorder="1" applyAlignment="1">
      <alignment horizontal="center"/>
    </xf>
    <xf numFmtId="0" fontId="31" fillId="0" borderId="145" xfId="0" applyFont="1" applyFill="1" applyBorder="1"/>
    <xf numFmtId="211" fontId="31" fillId="60" borderId="146" xfId="1" applyNumberFormat="1" applyFont="1" applyFill="1" applyBorder="1"/>
    <xf numFmtId="0" fontId="50" fillId="6" borderId="147" xfId="0" applyFont="1" applyFill="1" applyBorder="1" applyAlignment="1" applyProtection="1">
      <alignment horizontal="center" vertical="top"/>
      <protection locked="0"/>
    </xf>
    <xf numFmtId="0" fontId="50" fillId="6" borderId="147" xfId="0" applyFont="1" applyFill="1" applyBorder="1" applyAlignment="1" applyProtection="1">
      <alignment horizontal="left" vertical="top"/>
      <protection locked="0"/>
    </xf>
    <xf numFmtId="183" fontId="50" fillId="6" borderId="147" xfId="0" applyNumberFormat="1" applyFont="1" applyFill="1" applyBorder="1" applyAlignment="1" applyProtection="1">
      <alignment horizontal="right" vertical="top"/>
      <protection locked="0"/>
    </xf>
    <xf numFmtId="3" fontId="50" fillId="6" borderId="147" xfId="0" applyNumberFormat="1" applyFont="1" applyFill="1" applyBorder="1" applyAlignment="1" applyProtection="1">
      <alignment horizontal="right" vertical="top"/>
      <protection locked="0"/>
    </xf>
    <xf numFmtId="198" fontId="50" fillId="6" borderId="147" xfId="0" applyNumberFormat="1" applyFont="1" applyFill="1" applyBorder="1" applyAlignment="1" applyProtection="1">
      <alignment horizontal="right" vertical="top"/>
      <protection locked="0"/>
    </xf>
    <xf numFmtId="0" fontId="50" fillId="6" borderId="147" xfId="0" applyFont="1" applyFill="1" applyBorder="1" applyAlignment="1" applyProtection="1">
      <alignment horizontal="right" vertical="top"/>
      <protection locked="0"/>
    </xf>
    <xf numFmtId="0" fontId="50" fillId="6" borderId="148" xfId="0" applyFont="1" applyFill="1" applyBorder="1" applyAlignment="1" applyProtection="1">
      <alignment horizontal="left" vertical="top"/>
      <protection locked="0"/>
    </xf>
    <xf numFmtId="183" fontId="50" fillId="6" borderId="148" xfId="0" applyNumberFormat="1" applyFont="1" applyFill="1" applyBorder="1" applyAlignment="1" applyProtection="1">
      <alignment horizontal="right" vertical="top"/>
      <protection locked="0"/>
    </xf>
    <xf numFmtId="3" fontId="50" fillId="6" borderId="148" xfId="0" applyNumberFormat="1" applyFont="1" applyFill="1" applyBorder="1" applyAlignment="1" applyProtection="1">
      <alignment horizontal="right" vertical="top"/>
      <protection locked="0"/>
    </xf>
    <xf numFmtId="198" fontId="50" fillId="6" borderId="148" xfId="0" applyNumberFormat="1" applyFont="1" applyFill="1" applyBorder="1" applyAlignment="1" applyProtection="1">
      <alignment horizontal="right" vertical="top"/>
      <protection locked="0"/>
    </xf>
    <xf numFmtId="0" fontId="50" fillId="6" borderId="148" xfId="0" applyFont="1" applyFill="1" applyBorder="1" applyAlignment="1" applyProtection="1">
      <alignment horizontal="right" vertical="top"/>
      <protection locked="0"/>
    </xf>
    <xf numFmtId="0" fontId="1" fillId="0" borderId="0" xfId="251"/>
    <xf numFmtId="3" fontId="1" fillId="7" borderId="0" xfId="251" applyNumberFormat="1" applyFill="1"/>
    <xf numFmtId="0" fontId="1" fillId="7" borderId="0" xfId="251" applyFill="1"/>
    <xf numFmtId="3" fontId="1" fillId="0" borderId="0" xfId="251" applyNumberFormat="1"/>
    <xf numFmtId="174" fontId="1" fillId="0" borderId="0" xfId="251" applyNumberFormat="1"/>
    <xf numFmtId="9" fontId="1" fillId="0" borderId="0" xfId="251" applyNumberFormat="1"/>
    <xf numFmtId="1" fontId="1" fillId="0" borderId="0" xfId="251" applyNumberFormat="1"/>
    <xf numFmtId="181" fontId="1" fillId="0" borderId="0" xfId="251" applyNumberFormat="1" applyFont="1" applyAlignment="1">
      <alignment horizontal="center" vertical="center"/>
    </xf>
    <xf numFmtId="209" fontId="1" fillId="0" borderId="0" xfId="251" applyNumberFormat="1" applyFont="1" applyAlignment="1">
      <alignment horizontal="center" vertical="center"/>
    </xf>
    <xf numFmtId="181" fontId="1" fillId="0" borderId="0" xfId="251" applyNumberFormat="1" applyFont="1" applyBorder="1" applyAlignment="1">
      <alignment horizontal="center" vertical="center"/>
    </xf>
    <xf numFmtId="209" fontId="1" fillId="0" borderId="0" xfId="251" applyNumberFormat="1" applyFont="1" applyBorder="1" applyAlignment="1">
      <alignment horizontal="center" vertical="center"/>
    </xf>
    <xf numFmtId="10" fontId="1" fillId="0" borderId="0" xfId="251" applyNumberFormat="1"/>
    <xf numFmtId="3" fontId="0" fillId="0" borderId="0" xfId="252" applyNumberFormat="1" applyFont="1"/>
    <xf numFmtId="3" fontId="96" fillId="0" borderId="0" xfId="251" applyNumberFormat="1" applyFont="1"/>
    <xf numFmtId="9" fontId="96" fillId="0" borderId="0" xfId="251" applyNumberFormat="1" applyFont="1"/>
    <xf numFmtId="5" fontId="51" fillId="0" borderId="0" xfId="167" applyNumberFormat="1" applyFont="1" applyFill="1"/>
    <xf numFmtId="5" fontId="51" fillId="0" borderId="0" xfId="167" applyNumberFormat="1" applyFont="1" applyFill="1" applyBorder="1"/>
    <xf numFmtId="5" fontId="51" fillId="0" borderId="0" xfId="167" applyNumberFormat="1" applyFont="1" applyFill="1" applyBorder="1" applyProtection="1">
      <protection locked="0"/>
    </xf>
    <xf numFmtId="37" fontId="51" fillId="0" borderId="0" xfId="18" applyNumberFormat="1" applyFont="1" applyFill="1"/>
    <xf numFmtId="37" fontId="51" fillId="0" borderId="0" xfId="167" applyNumberFormat="1" applyFont="1" applyFill="1"/>
    <xf numFmtId="37" fontId="51" fillId="0" borderId="0" xfId="167" applyNumberFormat="1" applyFont="1" applyFill="1" applyBorder="1"/>
    <xf numFmtId="37" fontId="17" fillId="0" borderId="0" xfId="1" applyNumberFormat="1" applyFont="1" applyFill="1"/>
    <xf numFmtId="37" fontId="17" fillId="0" borderId="12" xfId="1" applyNumberFormat="1" applyFont="1" applyFill="1" applyBorder="1"/>
    <xf numFmtId="5" fontId="129" fillId="0" borderId="0" xfId="18" applyNumberFormat="1" applyFont="1" applyFill="1" applyBorder="1" applyAlignment="1">
      <alignment horizontal="centerContinuous"/>
    </xf>
    <xf numFmtId="5" fontId="129" fillId="0" borderId="0" xfId="18" applyNumberFormat="1" applyFont="1" applyFill="1" applyAlignment="1">
      <alignment horizontal="centerContinuous"/>
    </xf>
    <xf numFmtId="5" fontId="51" fillId="0" borderId="0" xfId="18" applyNumberFormat="1" applyFont="1" applyFill="1" applyBorder="1"/>
    <xf numFmtId="5" fontId="51" fillId="0" borderId="0" xfId="18" applyNumberFormat="1" applyFont="1" applyFill="1"/>
    <xf numFmtId="5" fontId="95" fillId="0" borderId="86" xfId="18" applyNumberFormat="1" applyFont="1" applyFill="1" applyBorder="1" applyAlignment="1">
      <alignment horizontal="centerContinuous"/>
    </xf>
    <xf numFmtId="5" fontId="95" fillId="0" borderId="93" xfId="18" applyNumberFormat="1" applyFont="1" applyFill="1" applyBorder="1" applyAlignment="1">
      <alignment horizontal="centerContinuous"/>
    </xf>
    <xf numFmtId="5" fontId="95" fillId="0" borderId="20" xfId="18" quotePrefix="1" applyNumberFormat="1" applyFont="1" applyFill="1" applyBorder="1" applyAlignment="1">
      <alignment horizontal="center"/>
    </xf>
    <xf numFmtId="5" fontId="95" fillId="0" borderId="0" xfId="18" applyNumberFormat="1" applyFont="1" applyFill="1" applyBorder="1" applyAlignment="1">
      <alignment horizontal="center"/>
    </xf>
    <xf numFmtId="5" fontId="51" fillId="0" borderId="0" xfId="18" applyNumberFormat="1" applyFont="1" applyFill="1" applyBorder="1" applyProtection="1">
      <protection locked="0"/>
    </xf>
    <xf numFmtId="5" fontId="51" fillId="0" borderId="0" xfId="18" applyNumberFormat="1" applyFont="1" applyFill="1" applyProtection="1"/>
    <xf numFmtId="5" fontId="51" fillId="0" borderId="0" xfId="18" applyNumberFormat="1" applyFont="1" applyFill="1" applyBorder="1" applyProtection="1"/>
    <xf numFmtId="5" fontId="51" fillId="0" borderId="12" xfId="18" applyNumberFormat="1" applyFont="1" applyFill="1" applyBorder="1" applyProtection="1"/>
    <xf numFmtId="5" fontId="51" fillId="0" borderId="22" xfId="18" applyNumberFormat="1" applyFont="1" applyFill="1" applyBorder="1" applyProtection="1"/>
    <xf numFmtId="5" fontId="51" fillId="0" borderId="0" xfId="0" applyNumberFormat="1" applyFont="1" applyFill="1" applyBorder="1"/>
    <xf numFmtId="5" fontId="51" fillId="0" borderId="9" xfId="18" applyNumberFormat="1" applyFont="1" applyFill="1" applyBorder="1" applyProtection="1"/>
    <xf numFmtId="5" fontId="51" fillId="0" borderId="0" xfId="1" applyNumberFormat="1" applyFont="1" applyFill="1" applyBorder="1"/>
    <xf numFmtId="5" fontId="51" fillId="0" borderId="22" xfId="1" applyNumberFormat="1" applyFont="1" applyFill="1" applyBorder="1"/>
    <xf numFmtId="5" fontId="51" fillId="0" borderId="0" xfId="24" applyNumberFormat="1" applyFont="1" applyFill="1" applyBorder="1"/>
    <xf numFmtId="5" fontId="51" fillId="0" borderId="0" xfId="1" applyNumberFormat="1" applyFont="1" applyFill="1" applyBorder="1" applyProtection="1">
      <protection locked="0"/>
    </xf>
    <xf numFmtId="5" fontId="51" fillId="0" borderId="86" xfId="18" applyNumberFormat="1" applyFont="1" applyFill="1" applyBorder="1" applyProtection="1"/>
    <xf numFmtId="9" fontId="51" fillId="0" borderId="0" xfId="18" applyNumberFormat="1" applyFont="1" applyFill="1" applyProtection="1"/>
    <xf numFmtId="5" fontId="51" fillId="0" borderId="0" xfId="168" applyNumberFormat="1" applyFont="1" applyFill="1" applyBorder="1"/>
    <xf numFmtId="5" fontId="17" fillId="0" borderId="0" xfId="17" applyNumberFormat="1" applyFill="1"/>
    <xf numFmtId="5" fontId="33" fillId="0" borderId="0" xfId="17" applyNumberFormat="1" applyFont="1" applyFill="1"/>
    <xf numFmtId="5" fontId="17" fillId="0" borderId="0" xfId="1" applyNumberFormat="1" applyFont="1" applyFill="1"/>
    <xf numFmtId="5" fontId="29" fillId="0" borderId="0" xfId="17" applyNumberFormat="1" applyFont="1" applyFill="1" applyAlignment="1">
      <alignment horizontal="centerContinuous"/>
    </xf>
    <xf numFmtId="5" fontId="0" fillId="0" borderId="0" xfId="0" applyNumberFormat="1" applyFill="1" applyAlignment="1">
      <alignment horizontal="centerContinuous"/>
    </xf>
    <xf numFmtId="5" fontId="29" fillId="0" borderId="0" xfId="17" applyNumberFormat="1" applyFont="1" applyFill="1" applyBorder="1" applyAlignment="1">
      <alignment horizontal="center"/>
    </xf>
    <xf numFmtId="5" fontId="29" fillId="0" borderId="0" xfId="17" applyNumberFormat="1" applyFont="1" applyFill="1" applyBorder="1" applyAlignment="1">
      <alignment horizontal="left"/>
    </xf>
    <xf numFmtId="5" fontId="19" fillId="0" borderId="0" xfId="17" applyNumberFormat="1" applyFont="1" applyFill="1" applyBorder="1" applyAlignment="1">
      <alignment horizontal="center"/>
    </xf>
    <xf numFmtId="5" fontId="19" fillId="0" borderId="0" xfId="17" applyNumberFormat="1" applyFont="1" applyFill="1" applyAlignment="1">
      <alignment horizontal="center"/>
    </xf>
    <xf numFmtId="5" fontId="19" fillId="0" borderId="86" xfId="17" applyNumberFormat="1" applyFont="1" applyFill="1" applyBorder="1" applyAlignment="1">
      <alignment horizontal="centerContinuous"/>
    </xf>
    <xf numFmtId="5" fontId="19" fillId="0" borderId="86" xfId="17" quotePrefix="1" applyNumberFormat="1" applyFont="1" applyFill="1" applyBorder="1" applyAlignment="1">
      <alignment horizontal="center"/>
    </xf>
    <xf numFmtId="5" fontId="19" fillId="0" borderId="0" xfId="17" applyNumberFormat="1" applyFont="1" applyFill="1"/>
    <xf numFmtId="5" fontId="19" fillId="0" borderId="0" xfId="17" quotePrefix="1" applyNumberFormat="1" applyFont="1" applyFill="1" applyAlignment="1">
      <alignment horizontal="center"/>
    </xf>
    <xf numFmtId="37" fontId="29" fillId="0" borderId="0" xfId="17" applyNumberFormat="1" applyFont="1" applyFill="1" applyAlignment="1">
      <alignment horizontal="centerContinuous"/>
    </xf>
    <xf numFmtId="37" fontId="0" fillId="0" borderId="0" xfId="0" applyNumberFormat="1" applyFill="1" applyAlignment="1">
      <alignment horizontal="centerContinuous"/>
    </xf>
    <xf numFmtId="37" fontId="17" fillId="0" borderId="0" xfId="17" applyNumberFormat="1" applyFill="1"/>
    <xf numFmtId="37" fontId="19" fillId="0" borderId="86" xfId="17" applyNumberFormat="1" applyFont="1" applyFill="1" applyBorder="1" applyAlignment="1">
      <alignment horizontal="center"/>
    </xf>
    <xf numFmtId="37" fontId="19" fillId="0" borderId="0" xfId="17" applyNumberFormat="1" applyFont="1" applyFill="1"/>
    <xf numFmtId="37" fontId="17" fillId="0" borderId="9" xfId="17" applyNumberFormat="1" applyFill="1" applyBorder="1" applyAlignment="1">
      <alignment horizontal="right"/>
    </xf>
    <xf numFmtId="37" fontId="17" fillId="0" borderId="9" xfId="1" applyNumberFormat="1" applyFont="1" applyFill="1" applyBorder="1"/>
    <xf numFmtId="37" fontId="33" fillId="0" borderId="0" xfId="1" applyNumberFormat="1" applyFont="1" applyFill="1"/>
    <xf numFmtId="37" fontId="17" fillId="0" borderId="9" xfId="1" applyNumberFormat="1" applyFont="1" applyFill="1" applyBorder="1" applyAlignment="1">
      <alignment horizontal="right"/>
    </xf>
    <xf numFmtId="212" fontId="31" fillId="0" borderId="149" xfId="0" applyNumberFormat="1" applyFont="1" applyFill="1" applyBorder="1" applyAlignment="1" applyProtection="1">
      <alignment horizontal="right"/>
    </xf>
    <xf numFmtId="0" fontId="31" fillId="0" borderId="150" xfId="0" applyFont="1" applyFill="1" applyBorder="1" applyAlignment="1">
      <alignment horizontal="center"/>
    </xf>
    <xf numFmtId="0" fontId="31" fillId="0" borderId="151" xfId="0" applyFont="1" applyFill="1" applyBorder="1"/>
    <xf numFmtId="0" fontId="51" fillId="0" borderId="0" xfId="0" applyFont="1" applyAlignment="1">
      <alignment horizontal="centerContinuous"/>
    </xf>
    <xf numFmtId="37" fontId="19" fillId="0" borderId="0" xfId="0" applyNumberFormat="1" applyFont="1" applyFill="1" applyAlignment="1" applyProtection="1">
      <alignment horizontal="centerContinuous"/>
      <protection locked="0"/>
    </xf>
    <xf numFmtId="1" fontId="19" fillId="0" borderId="0" xfId="0" applyNumberFormat="1" applyFont="1" applyFill="1" applyAlignment="1">
      <alignment horizontal="centerContinuous"/>
    </xf>
    <xf numFmtId="0" fontId="16" fillId="0" borderId="0" xfId="0" applyFont="1" applyAlignment="1">
      <alignment horizontal="centerContinuous"/>
    </xf>
    <xf numFmtId="167" fontId="51" fillId="0" borderId="60" xfId="167" applyFont="1" applyBorder="1" applyAlignment="1">
      <alignment horizontal="center"/>
    </xf>
    <xf numFmtId="174" fontId="51" fillId="0" borderId="0" xfId="167" applyNumberFormat="1" applyFont="1"/>
    <xf numFmtId="37" fontId="16" fillId="61" borderId="0" xfId="0" applyNumberFormat="1" applyFont="1" applyFill="1"/>
    <xf numFmtId="37" fontId="16" fillId="0" borderId="0" xfId="0" applyNumberFormat="1" applyFont="1" applyFill="1"/>
    <xf numFmtId="181" fontId="16" fillId="0" borderId="0" xfId="0" applyNumberFormat="1" applyFont="1"/>
    <xf numFmtId="7" fontId="16" fillId="0" borderId="0" xfId="0" applyNumberFormat="1" applyFont="1"/>
    <xf numFmtId="181" fontId="19" fillId="0" borderId="60" xfId="0" applyNumberFormat="1" applyFont="1" applyBorder="1"/>
    <xf numFmtId="2" fontId="16" fillId="0" borderId="0" xfId="0" applyNumberFormat="1" applyFont="1"/>
    <xf numFmtId="9" fontId="16" fillId="0" borderId="0" xfId="24" applyFont="1"/>
    <xf numFmtId="169" fontId="16" fillId="0" borderId="0" xfId="24" applyNumberFormat="1" applyFont="1"/>
    <xf numFmtId="7" fontId="19" fillId="0" borderId="60" xfId="0" applyNumberFormat="1" applyFont="1" applyBorder="1"/>
    <xf numFmtId="3" fontId="106" fillId="0" borderId="0" xfId="248" applyNumberFormat="1" applyFont="1" applyFill="1" applyAlignment="1">
      <alignment horizontal="centerContinuous"/>
    </xf>
    <xf numFmtId="0" fontId="37" fillId="0" borderId="0" xfId="248" applyFont="1" applyFill="1" applyAlignment="1">
      <alignment horizontal="centerContinuous"/>
    </xf>
    <xf numFmtId="181" fontId="37" fillId="0" borderId="0" xfId="248" applyNumberFormat="1" applyFont="1" applyFill="1" applyAlignment="1">
      <alignment horizontal="centerContinuous"/>
    </xf>
    <xf numFmtId="7" fontId="37" fillId="0" borderId="0" xfId="248" applyNumberFormat="1" applyFont="1" applyFill="1" applyAlignment="1">
      <alignment horizontal="centerContinuous"/>
    </xf>
    <xf numFmtId="0" fontId="37" fillId="0" borderId="0" xfId="248" applyFont="1" applyFill="1" applyBorder="1" applyAlignment="1">
      <alignment horizontal="centerContinuous"/>
    </xf>
    <xf numFmtId="0" fontId="37" fillId="0" borderId="0" xfId="248" applyFont="1" applyFill="1" applyBorder="1"/>
    <xf numFmtId="9" fontId="19" fillId="0" borderId="0" xfId="167" applyNumberFormat="1" applyFont="1" applyFill="1" applyBorder="1" applyAlignment="1">
      <alignment horizontal="right"/>
    </xf>
    <xf numFmtId="0" fontId="37" fillId="0" borderId="0" xfId="248" applyFont="1" applyFill="1"/>
    <xf numFmtId="10" fontId="19" fillId="0" borderId="0" xfId="167" applyNumberFormat="1" applyFont="1" applyFill="1" applyBorder="1" applyAlignment="1">
      <alignment horizontal="right"/>
    </xf>
    <xf numFmtId="174" fontId="19" fillId="0" borderId="0" xfId="167" applyNumberFormat="1" applyFont="1" applyFill="1" applyBorder="1"/>
    <xf numFmtId="3" fontId="37" fillId="0" borderId="0" xfId="248" applyNumberFormat="1" applyFont="1" applyFill="1"/>
    <xf numFmtId="181" fontId="37" fillId="0" borderId="0" xfId="248" applyNumberFormat="1" applyFont="1" applyFill="1"/>
    <xf numFmtId="181" fontId="37" fillId="0" borderId="0" xfId="248" applyNumberFormat="1" applyFont="1" applyFill="1" applyBorder="1" applyAlignment="1">
      <alignment horizontal="centerContinuous"/>
    </xf>
    <xf numFmtId="181" fontId="38" fillId="0" borderId="86" xfId="248" applyNumberFormat="1" applyFont="1" applyFill="1" applyBorder="1" applyAlignment="1">
      <alignment horizontal="centerContinuous"/>
    </xf>
    <xf numFmtId="0" fontId="8" fillId="0" borderId="86" xfId="248" applyFill="1" applyBorder="1" applyAlignment="1">
      <alignment horizontal="centerContinuous"/>
    </xf>
    <xf numFmtId="181" fontId="37" fillId="0" borderId="86" xfId="248" applyNumberFormat="1" applyFont="1" applyFill="1" applyBorder="1" applyAlignment="1">
      <alignment horizontal="centerContinuous"/>
    </xf>
    <xf numFmtId="0" fontId="37" fillId="0" borderId="86" xfId="248" applyFont="1" applyFill="1" applyBorder="1" applyAlignment="1">
      <alignment horizontal="centerContinuous"/>
    </xf>
    <xf numFmtId="7" fontId="37" fillId="0" borderId="86" xfId="248" applyNumberFormat="1" applyFont="1" applyFill="1" applyBorder="1" applyAlignment="1">
      <alignment horizontal="centerContinuous"/>
    </xf>
    <xf numFmtId="7" fontId="37" fillId="0" borderId="0" xfId="248" applyNumberFormat="1" applyFont="1" applyFill="1"/>
    <xf numFmtId="3" fontId="109" fillId="0" borderId="0" xfId="248" applyNumberFormat="1" applyFont="1" applyFill="1" applyAlignment="1">
      <alignment horizontal="center"/>
    </xf>
    <xf numFmtId="181" fontId="37" fillId="0" borderId="36" xfId="248" applyNumberFormat="1" applyFont="1" applyFill="1" applyBorder="1" applyAlignment="1">
      <alignment horizontal="centerContinuous"/>
    </xf>
    <xf numFmtId="181" fontId="37" fillId="0" borderId="36" xfId="248" applyNumberFormat="1" applyFont="1" applyFill="1" applyBorder="1" applyAlignment="1">
      <alignment horizontal="centerContinuous" wrapText="1"/>
    </xf>
    <xf numFmtId="7" fontId="37" fillId="0" borderId="86" xfId="248" applyNumberFormat="1" applyFont="1" applyFill="1" applyBorder="1" applyAlignment="1">
      <alignment horizontal="center"/>
    </xf>
    <xf numFmtId="0" fontId="37" fillId="0" borderId="86" xfId="248" applyFont="1" applyFill="1" applyBorder="1" applyAlignment="1">
      <alignment horizontal="center"/>
    </xf>
    <xf numFmtId="0" fontId="37" fillId="0" borderId="0" xfId="248" applyFont="1" applyFill="1" applyAlignment="1">
      <alignment horizontal="center"/>
    </xf>
    <xf numFmtId="7" fontId="37" fillId="0" borderId="0" xfId="24" applyNumberFormat="1" applyFont="1" applyFill="1"/>
    <xf numFmtId="169" fontId="37" fillId="0" borderId="0" xfId="24" applyNumberFormat="1" applyFont="1" applyFill="1"/>
    <xf numFmtId="0" fontId="38" fillId="0" borderId="35" xfId="248" applyFont="1" applyFill="1" applyBorder="1"/>
    <xf numFmtId="0" fontId="38" fillId="0" borderId="36" xfId="248" applyFont="1" applyFill="1" applyBorder="1" applyAlignment="1">
      <alignment horizontal="center"/>
    </xf>
    <xf numFmtId="0" fontId="38" fillId="0" borderId="23" xfId="248" applyFont="1" applyFill="1" applyBorder="1" applyAlignment="1">
      <alignment horizontal="center"/>
    </xf>
    <xf numFmtId="0" fontId="37" fillId="0" borderId="24" xfId="248" applyFont="1" applyFill="1" applyBorder="1" applyAlignment="1">
      <alignment horizontal="centerContinuous"/>
    </xf>
    <xf numFmtId="0" fontId="37" fillId="0" borderId="37" xfId="248" applyFont="1" applyFill="1" applyBorder="1" applyAlignment="1">
      <alignment horizontal="centerContinuous"/>
    </xf>
    <xf numFmtId="0" fontId="37" fillId="0" borderId="35" xfId="248" applyFont="1" applyFill="1" applyBorder="1" applyAlignment="1">
      <alignment horizontal="centerContinuous"/>
    </xf>
    <xf numFmtId="0" fontId="37" fillId="0" borderId="23" xfId="248" applyFont="1" applyFill="1" applyBorder="1" applyAlignment="1">
      <alignment horizontal="centerContinuous"/>
    </xf>
    <xf numFmtId="0" fontId="110" fillId="0" borderId="7" xfId="248" applyFont="1" applyFill="1" applyBorder="1"/>
    <xf numFmtId="0" fontId="37" fillId="0" borderId="6" xfId="248" applyFont="1" applyFill="1" applyBorder="1"/>
    <xf numFmtId="0" fontId="37" fillId="0" borderId="35" xfId="248" applyFont="1" applyFill="1" applyBorder="1" applyAlignment="1">
      <alignment horizontal="center"/>
    </xf>
    <xf numFmtId="0" fontId="37" fillId="0" borderId="10" xfId="248" applyFont="1" applyFill="1" applyBorder="1" applyAlignment="1">
      <alignment horizontal="center"/>
    </xf>
    <xf numFmtId="0" fontId="37" fillId="0" borderId="49" xfId="248" applyFont="1" applyFill="1" applyBorder="1" applyAlignment="1">
      <alignment horizontal="center"/>
    </xf>
    <xf numFmtId="0" fontId="37" fillId="0" borderId="7" xfId="248" applyFont="1" applyFill="1" applyBorder="1"/>
    <xf numFmtId="7" fontId="114" fillId="0" borderId="0" xfId="248" applyNumberFormat="1" applyFont="1" applyFill="1" applyBorder="1"/>
    <xf numFmtId="7" fontId="114" fillId="0" borderId="6" xfId="248" applyNumberFormat="1" applyFont="1" applyFill="1" applyBorder="1"/>
    <xf numFmtId="169" fontId="37" fillId="0" borderId="0" xfId="248" applyNumberFormat="1" applyFont="1" applyFill="1"/>
    <xf numFmtId="0" fontId="37" fillId="0" borderId="48" xfId="248" applyFont="1" applyFill="1" applyBorder="1"/>
    <xf numFmtId="1" fontId="37" fillId="0" borderId="0" xfId="248" applyNumberFormat="1" applyFont="1" applyFill="1" applyBorder="1"/>
    <xf numFmtId="181" fontId="37" fillId="0" borderId="7" xfId="248" applyNumberFormat="1" applyFont="1" applyFill="1" applyBorder="1"/>
    <xf numFmtId="169" fontId="37" fillId="0" borderId="48" xfId="24" applyNumberFormat="1" applyFont="1" applyFill="1" applyBorder="1"/>
    <xf numFmtId="189" fontId="114" fillId="0" borderId="0" xfId="248" applyNumberFormat="1" applyFont="1" applyFill="1" applyBorder="1"/>
    <xf numFmtId="189" fontId="114" fillId="0" borderId="6" xfId="248" applyNumberFormat="1" applyFont="1" applyFill="1" applyBorder="1"/>
    <xf numFmtId="0" fontId="37" fillId="0" borderId="47" xfId="248" applyFont="1" applyFill="1" applyBorder="1"/>
    <xf numFmtId="169" fontId="37" fillId="0" borderId="47" xfId="24" applyNumberFormat="1" applyFont="1" applyFill="1" applyBorder="1"/>
    <xf numFmtId="0" fontId="37" fillId="0" borderId="49" xfId="248" applyFont="1" applyFill="1" applyBorder="1"/>
    <xf numFmtId="3" fontId="37" fillId="0" borderId="86" xfId="248" applyNumberFormat="1" applyFont="1" applyFill="1" applyBorder="1"/>
    <xf numFmtId="181" fontId="37" fillId="0" borderId="10" xfId="248" applyNumberFormat="1" applyFont="1" applyFill="1" applyBorder="1"/>
    <xf numFmtId="169" fontId="37" fillId="0" borderId="49" xfId="24" applyNumberFormat="1" applyFont="1" applyFill="1" applyBorder="1"/>
    <xf numFmtId="10" fontId="37" fillId="0" borderId="0" xfId="248" applyNumberFormat="1" applyFont="1" applyFill="1" applyBorder="1"/>
    <xf numFmtId="39" fontId="37" fillId="0" borderId="0" xfId="248" applyNumberFormat="1" applyFont="1" applyFill="1"/>
    <xf numFmtId="10" fontId="117" fillId="0" borderId="0" xfId="24" applyNumberFormat="1" applyFont="1" applyFill="1" applyBorder="1"/>
    <xf numFmtId="10" fontId="117" fillId="0" borderId="6" xfId="24" applyNumberFormat="1" applyFont="1" applyFill="1" applyBorder="1"/>
    <xf numFmtId="0" fontId="117" fillId="0" borderId="0" xfId="248" applyFont="1" applyFill="1" applyBorder="1"/>
    <xf numFmtId="0" fontId="117" fillId="0" borderId="6" xfId="248" applyFont="1" applyFill="1" applyBorder="1"/>
    <xf numFmtId="176" fontId="114" fillId="0" borderId="0" xfId="248" applyNumberFormat="1" applyFont="1" applyFill="1" applyBorder="1"/>
    <xf numFmtId="0" fontId="37" fillId="0" borderId="10" xfId="248" applyFont="1" applyFill="1" applyBorder="1"/>
    <xf numFmtId="10" fontId="37" fillId="0" borderId="86" xfId="24" applyNumberFormat="1" applyFont="1" applyFill="1" applyBorder="1"/>
    <xf numFmtId="10" fontId="117" fillId="0" borderId="8" xfId="24" applyNumberFormat="1" applyFont="1" applyFill="1" applyBorder="1"/>
    <xf numFmtId="0" fontId="37" fillId="0" borderId="24" xfId="248" applyFont="1" applyFill="1" applyBorder="1"/>
    <xf numFmtId="10" fontId="114" fillId="0" borderId="37" xfId="248" applyNumberFormat="1" applyFont="1" applyFill="1" applyBorder="1"/>
    <xf numFmtId="10" fontId="37" fillId="0" borderId="21" xfId="248" applyNumberFormat="1" applyFont="1" applyFill="1" applyBorder="1"/>
    <xf numFmtId="10" fontId="114" fillId="0" borderId="0" xfId="248" applyNumberFormat="1" applyFont="1" applyFill="1" applyBorder="1"/>
    <xf numFmtId="10" fontId="37" fillId="0" borderId="6" xfId="248" applyNumberFormat="1" applyFont="1" applyFill="1" applyBorder="1"/>
    <xf numFmtId="9" fontId="37" fillId="0" borderId="0" xfId="248" applyNumberFormat="1" applyFont="1" applyFill="1"/>
    <xf numFmtId="10" fontId="37" fillId="0" borderId="86" xfId="248" applyNumberFormat="1" applyFont="1" applyFill="1" applyBorder="1"/>
    <xf numFmtId="10" fontId="37" fillId="0" borderId="8" xfId="248" applyNumberFormat="1" applyFont="1" applyFill="1" applyBorder="1"/>
    <xf numFmtId="3" fontId="108" fillId="0" borderId="0" xfId="248" applyNumberFormat="1" applyFont="1" applyFill="1"/>
    <xf numFmtId="3" fontId="37" fillId="0" borderId="0" xfId="248" applyNumberFormat="1" applyFont="1" applyFill="1" applyBorder="1"/>
    <xf numFmtId="181" fontId="37" fillId="0" borderId="0" xfId="248" applyNumberFormat="1" applyFont="1" applyFill="1" applyBorder="1"/>
    <xf numFmtId="7" fontId="37" fillId="0" borderId="0" xfId="248" applyNumberFormat="1" applyFont="1" applyFill="1" applyBorder="1"/>
    <xf numFmtId="181" fontId="38" fillId="0" borderId="0" xfId="248" applyNumberFormat="1" applyFont="1" applyFill="1" applyBorder="1" applyAlignment="1">
      <alignment horizontal="centerContinuous"/>
    </xf>
    <xf numFmtId="0" fontId="8" fillId="0" borderId="0" xfId="248" applyFill="1" applyBorder="1" applyAlignment="1">
      <alignment horizontal="centerContinuous"/>
    </xf>
    <xf numFmtId="7" fontId="37" fillId="0" borderId="0" xfId="248" applyNumberFormat="1" applyFont="1" applyFill="1" applyBorder="1" applyAlignment="1">
      <alignment horizontal="centerContinuous"/>
    </xf>
    <xf numFmtId="3" fontId="109" fillId="0" borderId="0" xfId="248" applyNumberFormat="1" applyFont="1" applyFill="1" applyBorder="1" applyAlignment="1">
      <alignment horizontal="center"/>
    </xf>
    <xf numFmtId="181" fontId="37" fillId="0" borderId="0" xfId="248" applyNumberFormat="1" applyFont="1" applyFill="1" applyBorder="1" applyAlignment="1">
      <alignment horizontal="centerContinuous" wrapText="1"/>
    </xf>
    <xf numFmtId="7" fontId="37" fillId="0" borderId="0" xfId="248" applyNumberFormat="1" applyFont="1" applyFill="1" applyBorder="1" applyAlignment="1">
      <alignment horizontal="center"/>
    </xf>
    <xf numFmtId="0" fontId="37" fillId="0" borderId="0" xfId="248" applyFont="1" applyFill="1" applyBorder="1" applyAlignment="1">
      <alignment horizontal="center"/>
    </xf>
    <xf numFmtId="169" fontId="37" fillId="0" borderId="0" xfId="24" applyNumberFormat="1" applyFont="1" applyFill="1" applyBorder="1"/>
    <xf numFmtId="7" fontId="37" fillId="0" borderId="0" xfId="24" applyNumberFormat="1" applyFont="1" applyFill="1" applyBorder="1"/>
    <xf numFmtId="3" fontId="115" fillId="0" borderId="0" xfId="248" applyNumberFormat="1" applyFont="1" applyFill="1" applyAlignment="1">
      <alignment horizontal="left"/>
    </xf>
    <xf numFmtId="3" fontId="115" fillId="0" borderId="0" xfId="248" applyNumberFormat="1" applyFont="1" applyFill="1" applyAlignment="1">
      <alignment horizontal="centerContinuous"/>
    </xf>
    <xf numFmtId="0" fontId="109" fillId="0" borderId="0" xfId="248" applyFont="1" applyFill="1" applyAlignment="1">
      <alignment horizontal="centerContinuous"/>
    </xf>
    <xf numFmtId="181" fontId="109" fillId="0" borderId="0" xfId="248" applyNumberFormat="1" applyFont="1" applyFill="1" applyAlignment="1">
      <alignment horizontal="centerContinuous"/>
    </xf>
    <xf numFmtId="3" fontId="107" fillId="0" borderId="0" xfId="248" applyNumberFormat="1" applyFont="1" applyFill="1" applyBorder="1" applyAlignment="1">
      <alignment horizontal="left"/>
    </xf>
    <xf numFmtId="0" fontId="38" fillId="0" borderId="0" xfId="248" applyFont="1" applyFill="1" applyBorder="1" applyAlignment="1">
      <alignment horizontal="centerContinuous"/>
    </xf>
    <xf numFmtId="181" fontId="38" fillId="0" borderId="35" xfId="248" applyNumberFormat="1" applyFont="1" applyFill="1" applyBorder="1" applyAlignment="1">
      <alignment horizontal="left"/>
    </xf>
    <xf numFmtId="0" fontId="38" fillId="0" borderId="36" xfId="248" applyFont="1" applyFill="1" applyBorder="1"/>
    <xf numFmtId="3" fontId="37" fillId="0" borderId="0" xfId="248" applyNumberFormat="1" applyFont="1" applyFill="1" applyAlignment="1">
      <alignment horizontal="center"/>
    </xf>
    <xf numFmtId="0" fontId="110" fillId="0" borderId="7" xfId="248" applyFont="1" applyFill="1" applyBorder="1" applyAlignment="1">
      <alignment horizontal="left"/>
    </xf>
    <xf numFmtId="3" fontId="109" fillId="0" borderId="0" xfId="248" applyNumberFormat="1" applyFont="1" applyFill="1"/>
    <xf numFmtId="3" fontId="37" fillId="0" borderId="86" xfId="248" applyNumberFormat="1" applyFont="1" applyFill="1" applyBorder="1" applyAlignment="1">
      <alignment horizontal="center"/>
    </xf>
    <xf numFmtId="7" fontId="111" fillId="0" borderId="0" xfId="248" applyNumberFormat="1" applyFont="1" applyFill="1" applyBorder="1"/>
    <xf numFmtId="7" fontId="111" fillId="0" borderId="6" xfId="248" applyNumberFormat="1" applyFont="1" applyFill="1" applyBorder="1"/>
    <xf numFmtId="5" fontId="37" fillId="0" borderId="0" xfId="248" applyNumberFormat="1" applyFont="1" applyFill="1"/>
    <xf numFmtId="3" fontId="113" fillId="0" borderId="0" xfId="248" applyNumberFormat="1" applyFont="1" applyFill="1" applyProtection="1">
      <protection locked="0" hidden="1"/>
    </xf>
    <xf numFmtId="189" fontId="111" fillId="0" borderId="0" xfId="248" applyNumberFormat="1" applyFont="1" applyFill="1" applyBorder="1"/>
    <xf numFmtId="189" fontId="111" fillId="0" borderId="6" xfId="248" applyNumberFormat="1" applyFont="1" applyFill="1" applyBorder="1"/>
    <xf numFmtId="176" fontId="111" fillId="0" borderId="0" xfId="248" applyNumberFormat="1" applyFont="1" applyFill="1" applyBorder="1"/>
    <xf numFmtId="7" fontId="39" fillId="0" borderId="6" xfId="248" applyNumberFormat="1" applyFont="1" applyFill="1" applyBorder="1"/>
    <xf numFmtId="10" fontId="111" fillId="0" borderId="0" xfId="248" applyNumberFormat="1" applyFont="1" applyFill="1" applyBorder="1"/>
    <xf numFmtId="10" fontId="39" fillId="0" borderId="6" xfId="248" applyNumberFormat="1" applyFont="1" applyFill="1" applyBorder="1"/>
    <xf numFmtId="7" fontId="37" fillId="0" borderId="6" xfId="248" applyNumberFormat="1" applyFont="1" applyFill="1" applyBorder="1"/>
    <xf numFmtId="176" fontId="37" fillId="0" borderId="0" xfId="248" applyNumberFormat="1" applyFont="1" applyFill="1" applyBorder="1"/>
    <xf numFmtId="189" fontId="37" fillId="0" borderId="6" xfId="248" applyNumberFormat="1" applyFont="1" applyFill="1" applyBorder="1"/>
    <xf numFmtId="10" fontId="37" fillId="0" borderId="0" xfId="248" applyNumberFormat="1" applyFont="1" applyFill="1"/>
    <xf numFmtId="10" fontId="114" fillId="0" borderId="0" xfId="248" applyNumberFormat="1" applyFont="1" applyFill="1"/>
    <xf numFmtId="3" fontId="37" fillId="0" borderId="0" xfId="248" applyNumberFormat="1" applyFont="1" applyFill="1" applyAlignment="1">
      <alignment horizontal="centerContinuous"/>
    </xf>
    <xf numFmtId="0" fontId="110" fillId="0" borderId="24" xfId="248" applyFont="1" applyFill="1" applyBorder="1" applyAlignment="1">
      <alignment horizontal="left"/>
    </xf>
    <xf numFmtId="0" fontId="37" fillId="0" borderId="37" xfId="248" applyFont="1" applyFill="1" applyBorder="1"/>
    <xf numFmtId="0" fontId="37" fillId="0" borderId="21" xfId="248" applyFont="1" applyFill="1" applyBorder="1"/>
    <xf numFmtId="205" fontId="37" fillId="0" borderId="0" xfId="24" applyNumberFormat="1" applyFont="1" applyFill="1"/>
    <xf numFmtId="3" fontId="113" fillId="0" borderId="0" xfId="248" applyNumberFormat="1" applyFont="1" applyFill="1"/>
    <xf numFmtId="175" fontId="37" fillId="0" borderId="0" xfId="248" applyNumberFormat="1" applyFont="1" applyFill="1"/>
    <xf numFmtId="206" fontId="37" fillId="0" borderId="0" xfId="248" applyNumberFormat="1" applyFont="1" applyFill="1"/>
    <xf numFmtId="207" fontId="37" fillId="0" borderId="0" xfId="24" applyNumberFormat="1" applyFont="1" applyFill="1"/>
    <xf numFmtId="0" fontId="8" fillId="0" borderId="86" xfId="248" applyFont="1" applyFill="1" applyBorder="1" applyAlignment="1">
      <alignment horizontal="centerContinuous"/>
    </xf>
    <xf numFmtId="0" fontId="37" fillId="0" borderId="86" xfId="248" applyFont="1" applyFill="1" applyBorder="1" applyAlignment="1">
      <alignment horizontal="center" wrapText="1"/>
    </xf>
    <xf numFmtId="0" fontId="37" fillId="0" borderId="0" xfId="249" applyFont="1" applyFill="1"/>
    <xf numFmtId="37" fontId="37" fillId="0" borderId="0" xfId="249" applyNumberFormat="1" applyFont="1" applyFill="1" applyProtection="1"/>
    <xf numFmtId="0" fontId="113" fillId="0" borderId="0" xfId="249" applyFont="1" applyFill="1"/>
    <xf numFmtId="0" fontId="39" fillId="0" borderId="0" xfId="248" applyFont="1" applyFill="1" applyBorder="1"/>
    <xf numFmtId="189" fontId="39" fillId="0" borderId="6" xfId="248" applyNumberFormat="1" applyFont="1" applyFill="1" applyBorder="1"/>
    <xf numFmtId="176" fontId="39" fillId="0" borderId="0" xfId="248" applyNumberFormat="1" applyFont="1" applyFill="1" applyBorder="1"/>
    <xf numFmtId="0" fontId="8" fillId="0" borderId="0" xfId="248" applyFill="1"/>
    <xf numFmtId="3" fontId="37" fillId="0" borderId="0" xfId="248" applyNumberFormat="1" applyFont="1" applyFill="1" applyAlignment="1">
      <alignment horizontal="right"/>
    </xf>
    <xf numFmtId="0" fontId="38" fillId="0" borderId="0" xfId="248" applyFont="1" applyFill="1" applyAlignment="1">
      <alignment horizontal="center"/>
    </xf>
    <xf numFmtId="10" fontId="37" fillId="0" borderId="0" xfId="24" applyNumberFormat="1" applyFont="1" applyFill="1"/>
    <xf numFmtId="3" fontId="112" fillId="0" borderId="0" xfId="248" applyNumberFormat="1" applyFont="1" applyFill="1"/>
    <xf numFmtId="0" fontId="113" fillId="0" borderId="0" xfId="248" applyFont="1" applyFill="1"/>
    <xf numFmtId="5" fontId="51" fillId="0" borderId="0" xfId="18" applyNumberFormat="1" applyFont="1" applyFill="1" applyBorder="1" applyAlignment="1">
      <alignment horizontal="right"/>
    </xf>
    <xf numFmtId="215" fontId="19" fillId="0" borderId="0" xfId="17" quotePrefix="1" applyNumberFormat="1" applyFont="1" applyFill="1" applyAlignment="1">
      <alignment horizontal="center"/>
    </xf>
    <xf numFmtId="1" fontId="124" fillId="0" borderId="36" xfId="0" applyNumberFormat="1" applyFont="1" applyFill="1" applyBorder="1" applyAlignment="1">
      <alignment horizontal="center" vertical="center"/>
    </xf>
    <xf numFmtId="167" fontId="51" fillId="0" borderId="0" xfId="167" applyFont="1" applyAlignment="1">
      <alignment horizontal="center"/>
    </xf>
    <xf numFmtId="201" fontId="51" fillId="0" borderId="0" xfId="0" applyNumberFormat="1" applyFont="1"/>
    <xf numFmtId="0" fontId="51" fillId="0" borderId="152" xfId="0" applyFont="1" applyBorder="1" applyAlignment="1">
      <alignment horizontal="centerContinuous"/>
    </xf>
    <xf numFmtId="0" fontId="51" fillId="0" borderId="0" xfId="0" applyFont="1" applyBorder="1" applyAlignment="1">
      <alignment horizontal="centerContinuous"/>
    </xf>
    <xf numFmtId="0" fontId="51" fillId="0" borderId="152" xfId="0" applyFont="1" applyBorder="1"/>
    <xf numFmtId="0" fontId="51" fillId="0" borderId="10" xfId="0" applyFont="1" applyBorder="1" applyAlignment="1">
      <alignment horizontal="center"/>
    </xf>
    <xf numFmtId="0" fontId="51" fillId="0" borderId="9" xfId="0" applyFont="1" applyBorder="1" applyAlignment="1">
      <alignment horizontal="center"/>
    </xf>
    <xf numFmtId="0" fontId="51" fillId="0" borderId="152" xfId="0" applyFont="1" applyBorder="1" applyAlignment="1">
      <alignment horizontal="left" indent="2"/>
    </xf>
    <xf numFmtId="0" fontId="51" fillId="0" borderId="0" xfId="0" applyFont="1" applyAlignment="1">
      <alignment horizontal="center"/>
    </xf>
    <xf numFmtId="166" fontId="51" fillId="0" borderId="0" xfId="1" applyNumberFormat="1" applyFont="1"/>
    <xf numFmtId="43" fontId="51" fillId="0" borderId="0" xfId="1" applyNumberFormat="1" applyFont="1"/>
    <xf numFmtId="43" fontId="51" fillId="0" borderId="0" xfId="1" applyNumberFormat="1" applyFont="1" applyAlignment="1">
      <alignment horizontal="center"/>
    </xf>
    <xf numFmtId="174" fontId="51" fillId="0" borderId="0" xfId="0" applyNumberFormat="1" applyFont="1"/>
    <xf numFmtId="0" fontId="51" fillId="0" borderId="152" xfId="0" applyFont="1" applyBorder="1" applyAlignment="1"/>
    <xf numFmtId="181" fontId="51" fillId="0" borderId="0" xfId="0" applyNumberFormat="1" applyFont="1"/>
    <xf numFmtId="0" fontId="51" fillId="0" borderId="152" xfId="0" applyFont="1" applyBorder="1" applyAlignment="1">
      <alignment horizontal="left"/>
    </xf>
    <xf numFmtId="214" fontId="51" fillId="0" borderId="0" xfId="1" applyNumberFormat="1" applyFont="1"/>
    <xf numFmtId="0" fontId="51" fillId="0" borderId="10" xfId="0" applyFont="1" applyBorder="1"/>
    <xf numFmtId="0" fontId="51" fillId="0" borderId="9" xfId="0" applyFont="1" applyBorder="1"/>
    <xf numFmtId="181" fontId="51" fillId="0" borderId="9" xfId="0" applyNumberFormat="1" applyFont="1" applyBorder="1"/>
    <xf numFmtId="167" fontId="17" fillId="0" borderId="24" xfId="17" applyFill="1" applyBorder="1"/>
    <xf numFmtId="167" fontId="17" fillId="0" borderId="37" xfId="17" applyFill="1" applyBorder="1"/>
    <xf numFmtId="167" fontId="16" fillId="0" borderId="37" xfId="17" applyFont="1" applyFill="1" applyBorder="1" applyAlignment="1">
      <alignment horizontal="right"/>
    </xf>
    <xf numFmtId="165" fontId="51" fillId="0" borderId="37" xfId="2" applyNumberFormat="1" applyFont="1" applyFill="1" applyBorder="1"/>
    <xf numFmtId="167" fontId="16" fillId="0" borderId="21" xfId="17" applyFont="1" applyFill="1" applyBorder="1"/>
    <xf numFmtId="167" fontId="17" fillId="0" borderId="152" xfId="17" applyFill="1" applyBorder="1"/>
    <xf numFmtId="7" fontId="16" fillId="61" borderId="0" xfId="0" applyNumberFormat="1" applyFont="1" applyFill="1"/>
    <xf numFmtId="7" fontId="16" fillId="0" borderId="0" xfId="0" applyNumberFormat="1" applyFont="1" applyFill="1"/>
    <xf numFmtId="9" fontId="124" fillId="0" borderId="0" xfId="0" applyNumberFormat="1" applyFont="1" applyFill="1" applyAlignment="1">
      <alignment vertical="center"/>
    </xf>
    <xf numFmtId="0" fontId="0" fillId="0" borderId="152" xfId="0" applyBorder="1" applyAlignment="1">
      <alignment horizontal="centerContinuous"/>
    </xf>
    <xf numFmtId="166" fontId="0" fillId="0" borderId="152" xfId="1" applyNumberFormat="1" applyFont="1" applyBorder="1"/>
    <xf numFmtId="8" fontId="15" fillId="0" borderId="0" xfId="0" applyNumberFormat="1" applyFont="1"/>
    <xf numFmtId="7" fontId="51" fillId="0" borderId="22" xfId="1" applyNumberFormat="1" applyFont="1" applyFill="1" applyBorder="1"/>
    <xf numFmtId="167" fontId="51" fillId="0" borderId="0" xfId="18" applyFont="1" applyFill="1"/>
    <xf numFmtId="5" fontId="130" fillId="0" borderId="0" xfId="19" applyNumberFormat="1" applyFont="1" applyFill="1" applyBorder="1"/>
    <xf numFmtId="5" fontId="130" fillId="0" borderId="0" xfId="19" applyNumberFormat="1" applyFont="1" applyFill="1"/>
    <xf numFmtId="173" fontId="51" fillId="0" borderId="0" xfId="18" applyNumberFormat="1" applyFont="1" applyFill="1" applyBorder="1" applyProtection="1"/>
    <xf numFmtId="37" fontId="51" fillId="0" borderId="0" xfId="18" applyNumberFormat="1" applyFont="1" applyFill="1" applyBorder="1"/>
    <xf numFmtId="201" fontId="51" fillId="0" borderId="0" xfId="167" applyNumberFormat="1" applyFont="1" applyFill="1"/>
    <xf numFmtId="0" fontId="51" fillId="0" borderId="0" xfId="96" applyFont="1" applyFill="1" applyBorder="1"/>
    <xf numFmtId="5" fontId="51" fillId="0" borderId="0" xfId="96" applyNumberFormat="1" applyFont="1" applyFill="1" applyBorder="1"/>
    <xf numFmtId="169" fontId="51" fillId="0" borderId="0" xfId="167" applyNumberFormat="1" applyFont="1" applyFill="1"/>
    <xf numFmtId="9" fontId="51" fillId="0" borderId="0" xfId="18" applyNumberFormat="1" applyFont="1" applyFill="1"/>
    <xf numFmtId="3" fontId="131" fillId="0" borderId="0" xfId="0" applyNumberFormat="1" applyFont="1" applyFill="1" applyAlignment="1">
      <alignment horizontal="centerContinuous"/>
    </xf>
    <xf numFmtId="167" fontId="129" fillId="0" borderId="0" xfId="18" applyFont="1" applyFill="1" applyAlignment="1">
      <alignment horizontal="centerContinuous"/>
    </xf>
    <xf numFmtId="37" fontId="129" fillId="0" borderId="0" xfId="18" applyNumberFormat="1" applyFont="1" applyFill="1" applyAlignment="1">
      <alignment horizontal="centerContinuous"/>
    </xf>
    <xf numFmtId="167" fontId="129" fillId="0" borderId="0" xfId="18" applyFont="1" applyFill="1" applyBorder="1" applyAlignment="1">
      <alignment horizontal="centerContinuous"/>
    </xf>
    <xf numFmtId="37" fontId="95" fillId="0" borderId="0" xfId="18" applyNumberFormat="1" applyFont="1" applyFill="1" applyAlignment="1" applyProtection="1">
      <alignment horizontal="center"/>
    </xf>
    <xf numFmtId="167" fontId="95" fillId="0" borderId="86" xfId="18" applyFont="1" applyFill="1" applyBorder="1" applyAlignment="1">
      <alignment horizontal="centerContinuous"/>
    </xf>
    <xf numFmtId="37" fontId="95" fillId="0" borderId="86" xfId="18" applyNumberFormat="1" applyFont="1" applyFill="1" applyBorder="1" applyAlignment="1" applyProtection="1">
      <alignment horizontal="centerContinuous"/>
    </xf>
    <xf numFmtId="167" fontId="95" fillId="0" borderId="0" xfId="18" applyFont="1" applyFill="1" applyAlignment="1">
      <alignment horizontal="center"/>
    </xf>
    <xf numFmtId="167" fontId="95" fillId="0" borderId="0" xfId="18" applyFont="1" applyFill="1" applyBorder="1" applyAlignment="1">
      <alignment horizontal="center"/>
    </xf>
    <xf numFmtId="167" fontId="95" fillId="0" borderId="93" xfId="18" applyFont="1" applyFill="1" applyBorder="1" applyAlignment="1">
      <alignment horizontal="centerContinuous"/>
    </xf>
    <xf numFmtId="167" fontId="51" fillId="0" borderId="93" xfId="18" applyFont="1" applyFill="1" applyBorder="1" applyAlignment="1">
      <alignment horizontal="centerContinuous"/>
    </xf>
    <xf numFmtId="10" fontId="51" fillId="0" borderId="0" xfId="167" applyNumberFormat="1" applyFont="1" applyFill="1"/>
    <xf numFmtId="37" fontId="95" fillId="0" borderId="9" xfId="18" quotePrefix="1" applyNumberFormat="1" applyFont="1" applyFill="1" applyBorder="1" applyAlignment="1" applyProtection="1">
      <alignment horizontal="center"/>
    </xf>
    <xf numFmtId="167" fontId="95" fillId="0" borderId="20" xfId="18" quotePrefix="1" applyFont="1" applyFill="1" applyBorder="1" applyAlignment="1">
      <alignment horizontal="center"/>
    </xf>
    <xf numFmtId="5" fontId="95" fillId="0" borderId="20" xfId="18" applyNumberFormat="1" applyFont="1" applyFill="1" applyBorder="1" applyAlignment="1">
      <alignment horizontal="center"/>
    </xf>
    <xf numFmtId="167" fontId="95" fillId="0" borderId="93" xfId="18" quotePrefix="1" applyFont="1" applyFill="1" applyBorder="1" applyAlignment="1">
      <alignment horizontal="center"/>
    </xf>
    <xf numFmtId="10" fontId="51" fillId="0" borderId="0" xfId="24" quotePrefix="1" applyNumberFormat="1" applyFont="1" applyFill="1"/>
    <xf numFmtId="37" fontId="51" fillId="0" borderId="0" xfId="167" applyNumberFormat="1" applyFont="1" applyFill="1" applyProtection="1">
      <protection locked="0"/>
    </xf>
    <xf numFmtId="167" fontId="95" fillId="0" borderId="0" xfId="18" applyFont="1" applyFill="1" applyAlignment="1">
      <alignment horizontal="left"/>
    </xf>
    <xf numFmtId="167" fontId="51" fillId="0" borderId="35" xfId="167" applyFont="1" applyFill="1" applyBorder="1"/>
    <xf numFmtId="167" fontId="51" fillId="0" borderId="23" xfId="167" applyFont="1" applyFill="1" applyBorder="1"/>
    <xf numFmtId="167" fontId="51" fillId="0" borderId="0" xfId="18" applyFont="1" applyFill="1" applyAlignment="1">
      <alignment horizontal="left"/>
    </xf>
    <xf numFmtId="7" fontId="51" fillId="0" borderId="0" xfId="18" applyNumberFormat="1" applyFont="1" applyFill="1" applyProtection="1">
      <protection locked="0"/>
    </xf>
    <xf numFmtId="7" fontId="51" fillId="0" borderId="0" xfId="18" applyNumberFormat="1" applyFont="1" applyFill="1" applyBorder="1" applyProtection="1">
      <protection locked="0"/>
    </xf>
    <xf numFmtId="167" fontId="51" fillId="0" borderId="95" xfId="167" applyFont="1" applyFill="1" applyBorder="1"/>
    <xf numFmtId="5" fontId="51" fillId="0" borderId="96" xfId="167" applyNumberFormat="1" applyFont="1" applyFill="1" applyBorder="1" applyProtection="1"/>
    <xf numFmtId="167" fontId="51" fillId="0" borderId="7" xfId="167" applyFont="1" applyFill="1" applyBorder="1"/>
    <xf numFmtId="5" fontId="51" fillId="0" borderId="6" xfId="167" applyNumberFormat="1" applyFont="1" applyFill="1" applyBorder="1" applyProtection="1"/>
    <xf numFmtId="7" fontId="51" fillId="0" borderId="0" xfId="167" applyNumberFormat="1" applyFont="1" applyFill="1" applyProtection="1">
      <protection locked="0"/>
    </xf>
    <xf numFmtId="167" fontId="132" fillId="0" borderId="10" xfId="167" applyFont="1" applyFill="1" applyBorder="1"/>
    <xf numFmtId="5" fontId="51" fillId="0" borderId="8" xfId="167" applyNumberFormat="1" applyFont="1" applyFill="1" applyBorder="1" applyProtection="1"/>
    <xf numFmtId="169" fontId="51" fillId="0" borderId="96" xfId="167" applyNumberFormat="1" applyFont="1" applyFill="1" applyBorder="1"/>
    <xf numFmtId="169" fontId="51" fillId="0" borderId="6" xfId="167" applyNumberFormat="1" applyFont="1" applyFill="1" applyBorder="1"/>
    <xf numFmtId="169" fontId="51" fillId="0" borderId="6" xfId="1" applyNumberFormat="1" applyFont="1" applyFill="1" applyBorder="1"/>
    <xf numFmtId="167" fontId="51" fillId="0" borderId="7" xfId="18" applyFont="1" applyFill="1" applyBorder="1"/>
    <xf numFmtId="167" fontId="51" fillId="0" borderId="6" xfId="18" applyFont="1" applyFill="1" applyBorder="1"/>
    <xf numFmtId="167" fontId="51" fillId="0" borderId="10" xfId="167" applyFont="1" applyFill="1" applyBorder="1"/>
    <xf numFmtId="9" fontId="51" fillId="0" borderId="8" xfId="167" applyNumberFormat="1" applyFont="1" applyFill="1" applyBorder="1"/>
    <xf numFmtId="174" fontId="51" fillId="0" borderId="0" xfId="0" applyNumberFormat="1" applyFont="1" applyFill="1" applyBorder="1"/>
    <xf numFmtId="10" fontId="51" fillId="0" borderId="0" xfId="18" applyNumberFormat="1" applyFont="1" applyFill="1"/>
    <xf numFmtId="3" fontId="51" fillId="0" borderId="0" xfId="0" applyNumberFormat="1" applyFont="1" applyFill="1"/>
    <xf numFmtId="173" fontId="51" fillId="0" borderId="0" xfId="18" applyNumberFormat="1" applyFont="1" applyFill="1" applyProtection="1">
      <protection locked="0"/>
    </xf>
    <xf numFmtId="0" fontId="51" fillId="0" borderId="0" xfId="0" applyFont="1" applyFill="1" applyBorder="1"/>
    <xf numFmtId="173" fontId="51" fillId="0" borderId="0" xfId="167" applyNumberFormat="1" applyFont="1" applyFill="1" applyProtection="1">
      <protection locked="0"/>
    </xf>
    <xf numFmtId="171" fontId="51" fillId="0" borderId="0" xfId="18" applyNumberFormat="1" applyFont="1" applyFill="1" applyProtection="1">
      <protection locked="0"/>
    </xf>
    <xf numFmtId="171" fontId="51" fillId="0" borderId="0" xfId="167" applyNumberFormat="1" applyFont="1" applyFill="1" applyProtection="1">
      <protection locked="0"/>
    </xf>
    <xf numFmtId="167" fontId="59" fillId="0" borderId="0" xfId="18" applyFont="1" applyFill="1"/>
    <xf numFmtId="172" fontId="51" fillId="0" borderId="0" xfId="18" applyNumberFormat="1" applyFont="1" applyFill="1" applyProtection="1">
      <protection locked="0"/>
    </xf>
    <xf numFmtId="172" fontId="51" fillId="0" borderId="0" xfId="167" applyNumberFormat="1" applyFont="1" applyFill="1" applyProtection="1">
      <protection locked="0"/>
    </xf>
    <xf numFmtId="167" fontId="59" fillId="0" borderId="0" xfId="167" applyFont="1" applyFill="1"/>
    <xf numFmtId="0" fontId="51" fillId="0" borderId="0" xfId="168" applyFont="1" applyFill="1" applyBorder="1"/>
    <xf numFmtId="10" fontId="51" fillId="0" borderId="0" xfId="18" applyNumberFormat="1" applyFont="1" applyFill="1" applyProtection="1"/>
    <xf numFmtId="10" fontId="51" fillId="0" borderId="0" xfId="18" applyNumberFormat="1" applyFont="1" applyFill="1" applyAlignment="1" applyProtection="1">
      <alignment horizontal="right"/>
    </xf>
    <xf numFmtId="167" fontId="51" fillId="0" borderId="86" xfId="18" applyFont="1" applyFill="1" applyBorder="1" applyAlignment="1">
      <alignment horizontal="centerContinuous"/>
    </xf>
    <xf numFmtId="167" fontId="51" fillId="0" borderId="0" xfId="18" applyFont="1" applyFill="1" applyAlignment="1">
      <alignment horizontal="center"/>
    </xf>
    <xf numFmtId="37" fontId="51" fillId="0" borderId="12" xfId="18" applyNumberFormat="1" applyFont="1" applyFill="1" applyBorder="1" applyProtection="1"/>
    <xf numFmtId="167" fontId="51" fillId="0" borderId="12" xfId="18" applyFont="1" applyFill="1" applyBorder="1"/>
    <xf numFmtId="9" fontId="51" fillId="0" borderId="0" xfId="18" applyNumberFormat="1" applyFont="1" applyFill="1" applyBorder="1"/>
    <xf numFmtId="174" fontId="51" fillId="0" borderId="0" xfId="18" applyNumberFormat="1" applyFont="1" applyFill="1" applyBorder="1"/>
    <xf numFmtId="174" fontId="51" fillId="0" borderId="0" xfId="167" applyNumberFormat="1" applyFont="1" applyFill="1" applyBorder="1"/>
    <xf numFmtId="167" fontId="51" fillId="0" borderId="22" xfId="18" applyFont="1" applyFill="1" applyBorder="1"/>
    <xf numFmtId="37" fontId="51" fillId="0" borderId="20" xfId="167" applyNumberFormat="1" applyFont="1" applyFill="1" applyBorder="1" applyProtection="1"/>
    <xf numFmtId="37" fontId="51" fillId="0" borderId="12" xfId="167" applyNumberFormat="1" applyFont="1" applyFill="1" applyBorder="1" applyProtection="1"/>
    <xf numFmtId="173" fontId="51" fillId="0" borderId="0" xfId="18" applyNumberFormat="1" applyFont="1" applyFill="1" applyProtection="1"/>
    <xf numFmtId="172" fontId="51" fillId="0" borderId="0" xfId="18" applyNumberFormat="1" applyFont="1" applyFill="1" applyProtection="1"/>
    <xf numFmtId="7" fontId="51" fillId="0" borderId="0" xfId="18" applyNumberFormat="1" applyFont="1" applyFill="1" applyProtection="1"/>
    <xf numFmtId="167" fontId="132" fillId="0" borderId="0" xfId="167" applyFont="1" applyFill="1" applyBorder="1"/>
    <xf numFmtId="10" fontId="51" fillId="0" borderId="0" xfId="167" applyNumberFormat="1" applyFont="1" applyFill="1" applyBorder="1"/>
    <xf numFmtId="169" fontId="51" fillId="0" borderId="0" xfId="167" applyNumberFormat="1" applyFont="1" applyFill="1" applyBorder="1"/>
    <xf numFmtId="169" fontId="51" fillId="0" borderId="0" xfId="24" applyNumberFormat="1" applyFont="1" applyFill="1" applyBorder="1"/>
    <xf numFmtId="37" fontId="51" fillId="0" borderId="22" xfId="18" applyNumberFormat="1" applyFont="1" applyFill="1" applyBorder="1" applyProtection="1"/>
    <xf numFmtId="49" fontId="51" fillId="0" borderId="0" xfId="18" applyNumberFormat="1" applyFont="1" applyFill="1" applyAlignment="1">
      <alignment horizontal="left"/>
    </xf>
    <xf numFmtId="217" fontId="51" fillId="0" borderId="0" xfId="18" applyNumberFormat="1" applyFont="1" applyFill="1"/>
    <xf numFmtId="167" fontId="51" fillId="0" borderId="0" xfId="18" applyNumberFormat="1" applyFont="1" applyFill="1" applyProtection="1"/>
    <xf numFmtId="10" fontId="51" fillId="0" borderId="6" xfId="167" applyNumberFormat="1" applyFont="1" applyFill="1" applyBorder="1"/>
    <xf numFmtId="10" fontId="51" fillId="0" borderId="8" xfId="167" applyNumberFormat="1" applyFont="1" applyFill="1" applyBorder="1"/>
    <xf numFmtId="10" fontId="51" fillId="0" borderId="23" xfId="167" applyNumberFormat="1" applyFont="1" applyFill="1" applyBorder="1"/>
    <xf numFmtId="2" fontId="51" fillId="0" borderId="0" xfId="24" applyNumberFormat="1" applyFont="1" applyFill="1" applyBorder="1"/>
    <xf numFmtId="172" fontId="51" fillId="0" borderId="0" xfId="18" applyNumberFormat="1" applyFont="1" applyFill="1" applyBorder="1" applyProtection="1"/>
    <xf numFmtId="10" fontId="51" fillId="0" borderId="96" xfId="167" applyNumberFormat="1" applyFont="1" applyFill="1" applyBorder="1"/>
    <xf numFmtId="2" fontId="51" fillId="0" borderId="0" xfId="167" applyNumberFormat="1" applyFont="1" applyFill="1" applyBorder="1"/>
    <xf numFmtId="167" fontId="59" fillId="0" borderId="0" xfId="18" applyFont="1" applyFill="1" applyAlignment="1">
      <alignment horizontal="left"/>
    </xf>
    <xf numFmtId="167" fontId="51" fillId="0" borderId="9" xfId="18" applyFont="1" applyFill="1" applyBorder="1"/>
    <xf numFmtId="169" fontId="51" fillId="0" borderId="8" xfId="167" applyNumberFormat="1" applyFont="1" applyFill="1" applyBorder="1"/>
    <xf numFmtId="189" fontId="51" fillId="0" borderId="0" xfId="18" applyNumberFormat="1" applyFont="1" applyFill="1" applyProtection="1">
      <protection locked="0"/>
    </xf>
    <xf numFmtId="167" fontId="51" fillId="0" borderId="0" xfId="18" applyFont="1" applyFill="1" applyAlignment="1">
      <alignment horizontal="right"/>
    </xf>
    <xf numFmtId="9" fontId="130" fillId="0" borderId="0" xfId="19" applyNumberFormat="1" applyFont="1" applyFill="1"/>
    <xf numFmtId="0" fontId="130" fillId="0" borderId="0" xfId="19" applyFont="1" applyFill="1"/>
    <xf numFmtId="37" fontId="130" fillId="0" borderId="0" xfId="19" applyNumberFormat="1" applyFont="1" applyFill="1"/>
    <xf numFmtId="0" fontId="130" fillId="0" borderId="0" xfId="19" applyFont="1" applyFill="1" applyBorder="1"/>
    <xf numFmtId="167" fontId="132" fillId="0" borderId="7" xfId="167" applyFont="1" applyFill="1" applyBorder="1"/>
    <xf numFmtId="167" fontId="51" fillId="0" borderId="0" xfId="18" applyNumberFormat="1" applyFont="1" applyFill="1" applyProtection="1">
      <protection locked="0"/>
    </xf>
    <xf numFmtId="2" fontId="51" fillId="0" borderId="8" xfId="167" applyNumberFormat="1" applyFont="1" applyFill="1" applyBorder="1"/>
    <xf numFmtId="176" fontId="51" fillId="0" borderId="0" xfId="18" applyNumberFormat="1" applyFont="1" applyFill="1" applyProtection="1">
      <protection locked="0"/>
    </xf>
    <xf numFmtId="167" fontId="51" fillId="0" borderId="0" xfId="167" applyNumberFormat="1" applyFont="1" applyFill="1" applyBorder="1" applyProtection="1"/>
    <xf numFmtId="10" fontId="51" fillId="0" borderId="0" xfId="18" applyNumberFormat="1" applyFont="1" applyFill="1" applyBorder="1"/>
    <xf numFmtId="174" fontId="51" fillId="0" borderId="8" xfId="167" applyNumberFormat="1" applyFont="1" applyFill="1" applyBorder="1" applyProtection="1"/>
    <xf numFmtId="167" fontId="51" fillId="0" borderId="20" xfId="18" applyFont="1" applyFill="1" applyBorder="1"/>
    <xf numFmtId="167" fontId="59" fillId="0" borderId="0" xfId="167" applyFont="1" applyFill="1" applyAlignment="1">
      <alignment horizontal="left"/>
    </xf>
    <xf numFmtId="5" fontId="51" fillId="0" borderId="22" xfId="18" applyNumberFormat="1" applyFont="1" applyFill="1" applyBorder="1"/>
    <xf numFmtId="174" fontId="51" fillId="0" borderId="22" xfId="1" applyNumberFormat="1" applyFont="1" applyFill="1" applyBorder="1"/>
    <xf numFmtId="174" fontId="51" fillId="0" borderId="0" xfId="1" applyNumberFormat="1" applyFont="1" applyFill="1" applyBorder="1"/>
    <xf numFmtId="167" fontId="133" fillId="0" borderId="0" xfId="18" applyFont="1" applyFill="1" applyAlignment="1">
      <alignment horizontal="left"/>
    </xf>
    <xf numFmtId="170" fontId="51" fillId="0" borderId="0" xfId="1" applyNumberFormat="1" applyFont="1" applyFill="1" applyBorder="1" applyProtection="1">
      <protection locked="0"/>
    </xf>
    <xf numFmtId="49" fontId="95" fillId="0" borderId="0" xfId="18" applyNumberFormat="1" applyFont="1" applyFill="1"/>
    <xf numFmtId="7" fontId="51" fillId="0" borderId="6" xfId="167" applyNumberFormat="1" applyFont="1" applyFill="1" applyBorder="1" applyProtection="1"/>
    <xf numFmtId="10" fontId="51" fillId="0" borderId="0" xfId="24" applyNumberFormat="1" applyFont="1" applyFill="1"/>
    <xf numFmtId="10" fontId="51" fillId="0" borderId="0" xfId="24" applyNumberFormat="1" applyFont="1" applyFill="1" applyBorder="1"/>
    <xf numFmtId="167" fontId="134" fillId="0" borderId="0" xfId="18" applyFont="1" applyFill="1" applyAlignment="1">
      <alignment horizontal="left"/>
    </xf>
    <xf numFmtId="170" fontId="51" fillId="0" borderId="0" xfId="1" applyNumberFormat="1" applyFont="1" applyFill="1" applyProtection="1">
      <protection locked="0"/>
    </xf>
    <xf numFmtId="181" fontId="51" fillId="0" borderId="0" xfId="18" applyNumberFormat="1" applyFont="1" applyFill="1" applyBorder="1" applyProtection="1">
      <protection locked="0"/>
    </xf>
    <xf numFmtId="181" fontId="51" fillId="0" borderId="0" xfId="18" applyNumberFormat="1" applyFont="1" applyFill="1" applyBorder="1" applyProtection="1"/>
    <xf numFmtId="175" fontId="51" fillId="0" borderId="0" xfId="18" applyNumberFormat="1" applyFont="1" applyFill="1" applyBorder="1" applyProtection="1">
      <protection locked="0"/>
    </xf>
    <xf numFmtId="175" fontId="51" fillId="0" borderId="0" xfId="18" applyNumberFormat="1" applyFont="1" applyFill="1" applyBorder="1" applyProtection="1"/>
    <xf numFmtId="167" fontId="51" fillId="0" borderId="0" xfId="18" applyFont="1" applyFill="1" applyBorder="1" applyAlignment="1">
      <alignment horizontal="left"/>
    </xf>
    <xf numFmtId="176" fontId="51" fillId="0" borderId="0" xfId="18" applyNumberFormat="1" applyFont="1" applyFill="1" applyBorder="1" applyProtection="1">
      <protection locked="0"/>
    </xf>
    <xf numFmtId="176" fontId="51" fillId="0" borderId="0" xfId="18" applyNumberFormat="1" applyFont="1" applyFill="1" applyBorder="1" applyProtection="1"/>
    <xf numFmtId="176" fontId="51" fillId="0" borderId="0" xfId="18" applyNumberFormat="1" applyFont="1" applyFill="1" applyBorder="1"/>
    <xf numFmtId="10" fontId="51" fillId="0" borderId="0" xfId="18" applyNumberFormat="1" applyFont="1" applyFill="1" applyBorder="1" applyProtection="1"/>
    <xf numFmtId="206" fontId="51" fillId="0" borderId="96" xfId="167" applyNumberFormat="1" applyFont="1" applyFill="1" applyBorder="1" applyProtection="1"/>
    <xf numFmtId="206" fontId="51" fillId="0" borderId="6" xfId="167" applyNumberFormat="1" applyFont="1" applyFill="1" applyBorder="1" applyProtection="1"/>
    <xf numFmtId="181" fontId="51" fillId="0" borderId="0" xfId="18" applyNumberFormat="1" applyFont="1" applyFill="1" applyProtection="1">
      <protection locked="0"/>
    </xf>
    <xf numFmtId="181" fontId="51" fillId="0" borderId="0" xfId="18" applyNumberFormat="1" applyFont="1" applyFill="1" applyProtection="1"/>
    <xf numFmtId="181" fontId="51" fillId="0" borderId="0" xfId="18" applyNumberFormat="1" applyFont="1" applyFill="1"/>
    <xf numFmtId="172" fontId="51" fillId="0" borderId="86" xfId="18" applyNumberFormat="1" applyFont="1" applyFill="1" applyBorder="1" applyProtection="1"/>
    <xf numFmtId="173" fontId="51" fillId="0" borderId="9" xfId="18" applyNumberFormat="1" applyFont="1" applyFill="1" applyBorder="1" applyProtection="1"/>
    <xf numFmtId="10" fontId="51" fillId="0" borderId="36" xfId="18" applyNumberFormat="1" applyFont="1" applyFill="1" applyBorder="1" applyProtection="1"/>
    <xf numFmtId="5" fontId="51" fillId="0" borderId="36" xfId="18" applyNumberFormat="1" applyFont="1" applyFill="1" applyBorder="1" applyProtection="1"/>
    <xf numFmtId="0" fontId="129" fillId="0" borderId="29" xfId="0" applyFont="1" applyFill="1" applyBorder="1" applyAlignment="1">
      <alignment horizontal="left"/>
    </xf>
    <xf numFmtId="167" fontId="134" fillId="0" borderId="0" xfId="167" applyFont="1" applyFill="1" applyAlignment="1">
      <alignment horizontal="left"/>
    </xf>
    <xf numFmtId="174" fontId="51" fillId="0" borderId="6" xfId="0" applyNumberFormat="1" applyFont="1" applyFill="1" applyBorder="1"/>
    <xf numFmtId="174" fontId="51" fillId="0" borderId="8" xfId="0" applyNumberFormat="1" applyFont="1" applyFill="1" applyBorder="1"/>
    <xf numFmtId="172" fontId="51" fillId="0" borderId="22" xfId="18" applyNumberFormat="1" applyFont="1" applyFill="1" applyBorder="1" applyProtection="1"/>
    <xf numFmtId="167" fontId="95" fillId="0" borderId="0" xfId="18" applyFont="1" applyFill="1" applyBorder="1" applyAlignment="1">
      <alignment horizontal="left"/>
    </xf>
    <xf numFmtId="37" fontId="51" fillId="0" borderId="38" xfId="18" applyNumberFormat="1" applyFont="1" applyFill="1" applyBorder="1" applyProtection="1"/>
    <xf numFmtId="172" fontId="51" fillId="0" borderId="12" xfId="18" applyNumberFormat="1" applyFont="1" applyFill="1" applyBorder="1" applyProtection="1"/>
    <xf numFmtId="175" fontId="51" fillId="0" borderId="0" xfId="18" applyNumberFormat="1" applyFont="1" applyFill="1" applyProtection="1">
      <protection locked="0"/>
    </xf>
    <xf numFmtId="37" fontId="51" fillId="0" borderId="0" xfId="1" applyNumberFormat="1" applyFont="1" applyFill="1"/>
    <xf numFmtId="37" fontId="51" fillId="0" borderId="12" xfId="1" applyNumberFormat="1" applyFont="1" applyFill="1" applyBorder="1"/>
    <xf numFmtId="216" fontId="51" fillId="0" borderId="0" xfId="18" applyNumberFormat="1" applyFont="1" applyFill="1" applyBorder="1"/>
    <xf numFmtId="7" fontId="17" fillId="0" borderId="0" xfId="2" applyNumberFormat="1" applyFont="1" applyFill="1"/>
    <xf numFmtId="176" fontId="51" fillId="0" borderId="0" xfId="0" applyNumberFormat="1" applyFont="1" applyFill="1" applyBorder="1"/>
    <xf numFmtId="3" fontId="135" fillId="0" borderId="0" xfId="248" applyNumberFormat="1" applyFont="1" applyFill="1"/>
    <xf numFmtId="167" fontId="19" fillId="0" borderId="0" xfId="17" applyFont="1" applyFill="1" applyAlignment="1">
      <alignment horizontal="center"/>
    </xf>
    <xf numFmtId="3" fontId="51" fillId="0" borderId="0" xfId="18" applyNumberFormat="1" applyFont="1" applyFill="1"/>
    <xf numFmtId="167" fontId="19" fillId="0" borderId="0" xfId="17" applyFont="1" applyFill="1" applyAlignment="1">
      <alignment horizontal="center"/>
    </xf>
    <xf numFmtId="0" fontId="31" fillId="0" borderId="151" xfId="0" applyFont="1" applyFill="1" applyBorder="1" applyProtection="1"/>
    <xf numFmtId="0" fontId="31" fillId="0" borderId="37" xfId="0" applyFont="1" applyFill="1" applyBorder="1" applyProtection="1"/>
    <xf numFmtId="212" fontId="31" fillId="60" borderId="149" xfId="0" applyNumberFormat="1" applyFont="1" applyFill="1" applyBorder="1" applyAlignment="1" applyProtection="1">
      <alignment horizontal="right"/>
    </xf>
    <xf numFmtId="0" fontId="31" fillId="0" borderId="21" xfId="0" applyFont="1" applyFill="1" applyBorder="1" applyAlignment="1">
      <alignment horizontal="left"/>
    </xf>
    <xf numFmtId="0" fontId="31" fillId="0" borderId="153" xfId="0" applyFont="1" applyFill="1" applyBorder="1"/>
    <xf numFmtId="0" fontId="31" fillId="7" borderId="126" xfId="0" applyFont="1" applyFill="1" applyBorder="1" applyAlignment="1">
      <alignment horizontal="center"/>
    </xf>
    <xf numFmtId="0" fontId="31" fillId="7" borderId="5" xfId="0" applyFont="1" applyFill="1" applyBorder="1"/>
    <xf numFmtId="0" fontId="31" fillId="7" borderId="20" xfId="0" applyFont="1" applyFill="1" applyBorder="1"/>
    <xf numFmtId="211" fontId="31" fillId="7" borderId="5" xfId="0" applyNumberFormat="1" applyFont="1" applyFill="1" applyBorder="1" applyProtection="1"/>
    <xf numFmtId="212" fontId="31" fillId="7" borderId="149" xfId="0" applyNumberFormat="1" applyFont="1" applyFill="1" applyBorder="1" applyAlignment="1" applyProtection="1">
      <alignment horizontal="right"/>
    </xf>
    <xf numFmtId="0" fontId="8" fillId="7" borderId="0" xfId="0" applyFont="1" applyFill="1"/>
    <xf numFmtId="167" fontId="52" fillId="0" borderId="0" xfId="18" applyFont="1" applyFill="1"/>
    <xf numFmtId="7" fontId="51" fillId="0" borderId="0" xfId="0" applyNumberFormat="1" applyFont="1" applyFill="1" applyBorder="1"/>
    <xf numFmtId="167" fontId="19" fillId="0" borderId="0" xfId="17" applyFont="1" applyFill="1" applyAlignment="1">
      <alignment horizontal="center"/>
    </xf>
    <xf numFmtId="181" fontId="51" fillId="7" borderId="0" xfId="167" applyNumberFormat="1" applyFont="1" applyFill="1" applyProtection="1">
      <protection locked="0"/>
    </xf>
    <xf numFmtId="181" fontId="51" fillId="7" borderId="0" xfId="167" applyNumberFormat="1" applyFont="1" applyFill="1" applyProtection="1"/>
    <xf numFmtId="181" fontId="51" fillId="7" borderId="0" xfId="167" applyNumberFormat="1" applyFont="1" applyFill="1"/>
    <xf numFmtId="181" fontId="51" fillId="7" borderId="0" xfId="18" applyNumberFormat="1" applyFont="1" applyFill="1" applyProtection="1">
      <protection locked="0"/>
    </xf>
    <xf numFmtId="188" fontId="17" fillId="0" borderId="0" xfId="17" applyNumberFormat="1" applyFill="1"/>
    <xf numFmtId="167" fontId="19" fillId="0" borderId="0" xfId="17" applyFont="1" applyBorder="1"/>
    <xf numFmtId="167" fontId="17" fillId="0" borderId="0" xfId="17" applyBorder="1"/>
    <xf numFmtId="167" fontId="16" fillId="0" borderId="0" xfId="17" applyFont="1" applyBorder="1"/>
    <xf numFmtId="181" fontId="38" fillId="0" borderId="36" xfId="248" applyNumberFormat="1" applyFont="1" applyFill="1" applyBorder="1" applyAlignment="1">
      <alignment horizontal="centerContinuous" wrapText="1"/>
    </xf>
    <xf numFmtId="0" fontId="37" fillId="0" borderId="0" xfId="248" applyFont="1" applyFill="1" applyAlignment="1">
      <alignment horizontal="left"/>
    </xf>
    <xf numFmtId="167" fontId="19" fillId="0" borderId="9" xfId="17" applyFont="1" applyFill="1" applyBorder="1" applyAlignment="1">
      <alignment horizontal="centerContinuous"/>
    </xf>
    <xf numFmtId="167" fontId="16" fillId="0" borderId="9" xfId="17" applyFont="1" applyFill="1" applyBorder="1"/>
    <xf numFmtId="1" fontId="26" fillId="49" borderId="0" xfId="0" applyNumberFormat="1" applyFont="1" applyFill="1" applyAlignment="1">
      <alignment horizontal="centerContinuous"/>
    </xf>
    <xf numFmtId="1" fontId="8" fillId="49" borderId="0" xfId="0" applyNumberFormat="1" applyFont="1" applyFill="1"/>
    <xf numFmtId="166" fontId="8" fillId="49" borderId="0" xfId="45" applyNumberFormat="1" applyFont="1" applyFill="1"/>
    <xf numFmtId="189" fontId="51" fillId="0" borderId="0" xfId="18" applyNumberFormat="1" applyFont="1" applyFill="1"/>
    <xf numFmtId="167" fontId="129" fillId="0" borderId="0" xfId="167" applyFont="1" applyFill="1" applyAlignment="1">
      <alignment horizontal="centerContinuous"/>
    </xf>
    <xf numFmtId="37" fontId="129" fillId="0" borderId="0" xfId="167" applyNumberFormat="1" applyFont="1" applyFill="1" applyAlignment="1">
      <alignment horizontal="centerContinuous"/>
    </xf>
    <xf numFmtId="167" fontId="129" fillId="0" borderId="0" xfId="167" applyFont="1" applyFill="1" applyBorder="1" applyAlignment="1">
      <alignment horizontal="centerContinuous"/>
    </xf>
    <xf numFmtId="5" fontId="129" fillId="0" borderId="0" xfId="167" applyNumberFormat="1" applyFont="1" applyFill="1" applyAlignment="1">
      <alignment horizontal="centerContinuous"/>
    </xf>
    <xf numFmtId="5" fontId="129" fillId="0" borderId="0" xfId="167" applyNumberFormat="1" applyFont="1" applyFill="1" applyBorder="1" applyAlignment="1">
      <alignment horizontal="centerContinuous"/>
    </xf>
    <xf numFmtId="37" fontId="95" fillId="0" borderId="0" xfId="167" applyNumberFormat="1" applyFont="1" applyFill="1" applyAlignment="1" applyProtection="1">
      <alignment horizontal="center"/>
    </xf>
    <xf numFmtId="167" fontId="95" fillId="0" borderId="86" xfId="167" applyFont="1" applyFill="1" applyBorder="1" applyAlignment="1">
      <alignment horizontal="centerContinuous"/>
    </xf>
    <xf numFmtId="5" fontId="95" fillId="0" borderId="86" xfId="167" applyNumberFormat="1" applyFont="1" applyFill="1" applyBorder="1" applyAlignment="1">
      <alignment horizontal="centerContinuous"/>
    </xf>
    <xf numFmtId="37" fontId="95" fillId="0" borderId="86" xfId="167" applyNumberFormat="1" applyFont="1" applyFill="1" applyBorder="1" applyAlignment="1" applyProtection="1">
      <alignment horizontal="centerContinuous"/>
    </xf>
    <xf numFmtId="167" fontId="95" fillId="0" borderId="0" xfId="167" applyFont="1" applyFill="1" applyAlignment="1">
      <alignment horizontal="center"/>
    </xf>
    <xf numFmtId="167" fontId="95" fillId="0" borderId="0" xfId="167" applyFont="1" applyFill="1" applyBorder="1" applyAlignment="1">
      <alignment horizontal="center"/>
    </xf>
    <xf numFmtId="5" fontId="95" fillId="0" borderId="154" xfId="167" applyNumberFormat="1" applyFont="1" applyFill="1" applyBorder="1" applyAlignment="1">
      <alignment horizontal="centerContinuous"/>
    </xf>
    <xf numFmtId="167" fontId="95" fillId="0" borderId="154" xfId="167" applyFont="1" applyFill="1" applyBorder="1" applyAlignment="1">
      <alignment horizontal="centerContinuous"/>
    </xf>
    <xf numFmtId="167" fontId="51" fillId="0" borderId="154" xfId="167" applyFont="1" applyFill="1" applyBorder="1" applyAlignment="1">
      <alignment horizontal="centerContinuous"/>
    </xf>
    <xf numFmtId="167" fontId="95" fillId="0" borderId="0" xfId="167" applyFont="1" applyFill="1" applyBorder="1" applyAlignment="1">
      <alignment horizontal="left"/>
    </xf>
    <xf numFmtId="37" fontId="95" fillId="0" borderId="86" xfId="167" quotePrefix="1" applyNumberFormat="1" applyFont="1" applyFill="1" applyBorder="1" applyAlignment="1" applyProtection="1">
      <alignment horizontal="center"/>
    </xf>
    <xf numFmtId="167" fontId="95" fillId="0" borderId="20" xfId="167" quotePrefix="1" applyFont="1" applyFill="1" applyBorder="1" applyAlignment="1">
      <alignment horizontal="center"/>
    </xf>
    <xf numFmtId="5" fontId="95" fillId="0" borderId="20" xfId="167" applyNumberFormat="1" applyFont="1" applyFill="1" applyBorder="1" applyAlignment="1">
      <alignment horizontal="center"/>
    </xf>
    <xf numFmtId="167" fontId="95" fillId="0" borderId="154" xfId="167" quotePrefix="1" applyFont="1" applyFill="1" applyBorder="1" applyAlignment="1">
      <alignment horizontal="center"/>
    </xf>
    <xf numFmtId="5" fontId="95" fillId="0" borderId="20" xfId="167" quotePrefix="1" applyNumberFormat="1" applyFont="1" applyFill="1" applyBorder="1" applyAlignment="1">
      <alignment horizontal="center"/>
    </xf>
    <xf numFmtId="5" fontId="95" fillId="0" borderId="0" xfId="167" applyNumberFormat="1" applyFont="1" applyFill="1" applyBorder="1" applyAlignment="1">
      <alignment horizontal="center"/>
    </xf>
    <xf numFmtId="10" fontId="51" fillId="0" borderId="0" xfId="167" applyNumberFormat="1" applyFont="1" applyFill="1" applyProtection="1"/>
    <xf numFmtId="10" fontId="51" fillId="0" borderId="0" xfId="167" applyNumberFormat="1" applyFont="1" applyFill="1" applyAlignment="1" applyProtection="1">
      <alignment horizontal="right"/>
    </xf>
    <xf numFmtId="167" fontId="51" fillId="0" borderId="12" xfId="167" applyFont="1" applyFill="1" applyBorder="1"/>
    <xf numFmtId="49" fontId="51" fillId="0" borderId="0" xfId="167" applyNumberFormat="1" applyFont="1" applyFill="1" applyAlignment="1">
      <alignment horizontal="left"/>
    </xf>
    <xf numFmtId="167" fontId="51" fillId="0" borderId="0" xfId="167" applyNumberFormat="1" applyFont="1" applyFill="1" applyProtection="1"/>
    <xf numFmtId="37" fontId="51" fillId="0" borderId="9" xfId="167" applyNumberFormat="1" applyFont="1" applyFill="1" applyBorder="1" applyProtection="1">
      <protection locked="0"/>
    </xf>
    <xf numFmtId="167" fontId="51" fillId="0" borderId="9" xfId="167" applyFont="1" applyFill="1" applyBorder="1"/>
    <xf numFmtId="37" fontId="51" fillId="0" borderId="12" xfId="167" applyNumberFormat="1" applyFont="1" applyFill="1" applyBorder="1" applyProtection="1">
      <protection locked="0"/>
    </xf>
    <xf numFmtId="189" fontId="51" fillId="0" borderId="0" xfId="167" applyNumberFormat="1" applyFont="1" applyFill="1" applyProtection="1">
      <protection locked="0"/>
    </xf>
    <xf numFmtId="167" fontId="51" fillId="0" borderId="0" xfId="167" applyFont="1" applyFill="1" applyAlignment="1">
      <alignment horizontal="right"/>
    </xf>
    <xf numFmtId="167" fontId="51" fillId="0" borderId="0" xfId="167" applyNumberFormat="1" applyFont="1" applyFill="1" applyProtection="1">
      <protection locked="0"/>
    </xf>
    <xf numFmtId="176" fontId="51" fillId="0" borderId="0" xfId="167" applyNumberFormat="1" applyFont="1" applyFill="1" applyProtection="1">
      <protection locked="0"/>
    </xf>
    <xf numFmtId="167" fontId="51" fillId="0" borderId="20" xfId="167" applyFont="1" applyFill="1" applyBorder="1"/>
    <xf numFmtId="37" fontId="51" fillId="0" borderId="22" xfId="167" applyNumberFormat="1" applyFont="1" applyFill="1" applyBorder="1" applyProtection="1">
      <protection locked="0"/>
    </xf>
    <xf numFmtId="5" fontId="51" fillId="0" borderId="22" xfId="167" applyNumberFormat="1" applyFont="1" applyFill="1" applyBorder="1"/>
    <xf numFmtId="167" fontId="133" fillId="0" borderId="0" xfId="167" applyFont="1" applyFill="1" applyAlignment="1">
      <alignment horizontal="left"/>
    </xf>
    <xf numFmtId="49" fontId="95" fillId="0" borderId="0" xfId="167" applyNumberFormat="1" applyFont="1" applyFill="1"/>
    <xf numFmtId="37" fontId="51" fillId="0" borderId="86" xfId="167" applyNumberFormat="1" applyFont="1" applyFill="1" applyBorder="1" applyProtection="1"/>
    <xf numFmtId="181" fontId="51" fillId="0" borderId="0" xfId="167" applyNumberFormat="1" applyFont="1" applyFill="1" applyBorder="1" applyProtection="1">
      <protection locked="0"/>
    </xf>
    <xf numFmtId="181" fontId="51" fillId="0" borderId="0" xfId="167" applyNumberFormat="1" applyFont="1" applyFill="1" applyBorder="1" applyProtection="1"/>
    <xf numFmtId="167" fontId="51" fillId="0" borderId="0" xfId="167" applyFont="1" applyFill="1" applyBorder="1" applyAlignment="1">
      <alignment horizontal="left"/>
    </xf>
    <xf numFmtId="176" fontId="51" fillId="0" borderId="0" xfId="167" applyNumberFormat="1" applyFont="1" applyFill="1" applyBorder="1" applyProtection="1">
      <protection locked="0"/>
    </xf>
    <xf numFmtId="176" fontId="51" fillId="0" borderId="0" xfId="167" applyNumberFormat="1" applyFont="1" applyFill="1" applyBorder="1" applyProtection="1"/>
    <xf numFmtId="176" fontId="51" fillId="0" borderId="0" xfId="167" applyNumberFormat="1" applyFont="1" applyFill="1" applyBorder="1"/>
    <xf numFmtId="5" fontId="51" fillId="0" borderId="86" xfId="167" applyNumberFormat="1" applyFont="1" applyFill="1" applyBorder="1" applyProtection="1"/>
    <xf numFmtId="172" fontId="51" fillId="0" borderId="86" xfId="167" applyNumberFormat="1" applyFont="1" applyFill="1" applyBorder="1" applyProtection="1"/>
    <xf numFmtId="173" fontId="51" fillId="0" borderId="86" xfId="167" applyNumberFormat="1" applyFont="1" applyFill="1" applyBorder="1" applyProtection="1"/>
    <xf numFmtId="10" fontId="51" fillId="0" borderId="154" xfId="167" applyNumberFormat="1" applyFont="1" applyFill="1" applyBorder="1" applyProtection="1"/>
    <xf numFmtId="5" fontId="51" fillId="0" borderId="154" xfId="167" applyNumberFormat="1" applyFont="1" applyFill="1" applyBorder="1" applyProtection="1"/>
    <xf numFmtId="172" fontId="51" fillId="0" borderId="22" xfId="167" applyNumberFormat="1" applyFont="1" applyFill="1" applyBorder="1" applyProtection="1"/>
    <xf numFmtId="37" fontId="51" fillId="0" borderId="38" xfId="167" applyNumberFormat="1" applyFont="1" applyFill="1" applyBorder="1" applyProtection="1"/>
    <xf numFmtId="172" fontId="51" fillId="0" borderId="12" xfId="167" applyNumberFormat="1" applyFont="1" applyFill="1" applyBorder="1" applyProtection="1"/>
    <xf numFmtId="175" fontId="51" fillId="0" borderId="0" xfId="167" applyNumberFormat="1" applyFont="1" applyFill="1" applyProtection="1">
      <protection locked="0"/>
    </xf>
    <xf numFmtId="9" fontId="51" fillId="0" borderId="0" xfId="167" applyNumberFormat="1" applyFont="1" applyFill="1" applyProtection="1"/>
    <xf numFmtId="5" fontId="51" fillId="0" borderId="0" xfId="167" applyNumberFormat="1" applyFont="1" applyFill="1" applyBorder="1" applyAlignment="1">
      <alignment horizontal="right"/>
    </xf>
    <xf numFmtId="216" fontId="51" fillId="0" borderId="0" xfId="167" applyNumberFormat="1" applyFont="1" applyFill="1" applyBorder="1"/>
    <xf numFmtId="5" fontId="51" fillId="0" borderId="0" xfId="167" quotePrefix="1" applyNumberFormat="1" applyFont="1" applyFill="1" applyBorder="1"/>
    <xf numFmtId="218" fontId="51" fillId="0" borderId="0" xfId="167" applyNumberFormat="1" applyFont="1" applyFill="1" applyBorder="1"/>
    <xf numFmtId="167" fontId="51" fillId="9" borderId="0" xfId="167" applyFont="1" applyFill="1"/>
    <xf numFmtId="37" fontId="95" fillId="9" borderId="0" xfId="167" applyNumberFormat="1" applyFont="1" applyFill="1" applyAlignment="1" applyProtection="1">
      <alignment horizontal="center"/>
    </xf>
    <xf numFmtId="167" fontId="51" fillId="9" borderId="0" xfId="167" applyFont="1" applyFill="1" applyBorder="1"/>
    <xf numFmtId="167" fontId="95" fillId="9" borderId="86" xfId="167" applyFont="1" applyFill="1" applyBorder="1" applyAlignment="1">
      <alignment horizontal="centerContinuous"/>
    </xf>
    <xf numFmtId="5" fontId="95" fillId="9" borderId="86" xfId="167" applyNumberFormat="1" applyFont="1" applyFill="1" applyBorder="1" applyAlignment="1">
      <alignment horizontal="centerContinuous"/>
    </xf>
    <xf numFmtId="37" fontId="95" fillId="9" borderId="86" xfId="167" applyNumberFormat="1" applyFont="1" applyFill="1" applyBorder="1" applyAlignment="1" applyProtection="1">
      <alignment horizontal="centerContinuous"/>
    </xf>
    <xf numFmtId="167" fontId="95" fillId="9" borderId="0" xfId="167" applyFont="1" applyFill="1" applyAlignment="1">
      <alignment horizontal="center"/>
    </xf>
    <xf numFmtId="167" fontId="95" fillId="9" borderId="0" xfId="167" applyFont="1" applyFill="1" applyBorder="1" applyAlignment="1">
      <alignment horizontal="center"/>
    </xf>
    <xf numFmtId="5" fontId="95" fillId="9" borderId="154" xfId="167" applyNumberFormat="1" applyFont="1" applyFill="1" applyBorder="1" applyAlignment="1">
      <alignment horizontal="centerContinuous"/>
    </xf>
    <xf numFmtId="167" fontId="95" fillId="9" borderId="0" xfId="167" applyFont="1" applyFill="1" applyBorder="1" applyAlignment="1">
      <alignment horizontal="left"/>
    </xf>
    <xf numFmtId="37" fontId="95" fillId="9" borderId="86" xfId="167" quotePrefix="1" applyNumberFormat="1" applyFont="1" applyFill="1" applyBorder="1" applyAlignment="1" applyProtection="1">
      <alignment horizontal="center"/>
    </xf>
    <xf numFmtId="167" fontId="95" fillId="9" borderId="20" xfId="167" quotePrefix="1" applyFont="1" applyFill="1" applyBorder="1" applyAlignment="1">
      <alignment horizontal="center"/>
    </xf>
    <xf numFmtId="5" fontId="95" fillId="9" borderId="20" xfId="167" applyNumberFormat="1" applyFont="1" applyFill="1" applyBorder="1" applyAlignment="1">
      <alignment horizontal="center"/>
    </xf>
    <xf numFmtId="174" fontId="51" fillId="9" borderId="0" xfId="167" applyNumberFormat="1" applyFont="1" applyFill="1"/>
    <xf numFmtId="174" fontId="51" fillId="7" borderId="0" xfId="167" applyNumberFormat="1" applyFont="1" applyFill="1"/>
    <xf numFmtId="174" fontId="95" fillId="9" borderId="86" xfId="167" applyNumberFormat="1" applyFont="1" applyFill="1" applyBorder="1" applyAlignment="1">
      <alignment horizontal="centerContinuous"/>
    </xf>
    <xf numFmtId="174" fontId="95" fillId="7" borderId="86" xfId="167" applyNumberFormat="1" applyFont="1" applyFill="1" applyBorder="1" applyAlignment="1">
      <alignment horizontal="centerContinuous"/>
    </xf>
    <xf numFmtId="174" fontId="95" fillId="9" borderId="154" xfId="167" applyNumberFormat="1" applyFont="1" applyFill="1" applyBorder="1" applyAlignment="1">
      <alignment horizontal="centerContinuous"/>
    </xf>
    <xf numFmtId="174" fontId="95" fillId="7" borderId="154" xfId="167" applyNumberFormat="1" applyFont="1" applyFill="1" applyBorder="1" applyAlignment="1">
      <alignment horizontal="centerContinuous"/>
    </xf>
    <xf numFmtId="174" fontId="95" fillId="9" borderId="20" xfId="167" quotePrefix="1" applyNumberFormat="1" applyFont="1" applyFill="1" applyBorder="1" applyAlignment="1">
      <alignment horizontal="center"/>
    </xf>
    <xf numFmtId="174" fontId="95" fillId="9" borderId="0" xfId="167" applyNumberFormat="1" applyFont="1" applyFill="1" applyBorder="1" applyAlignment="1">
      <alignment horizontal="center"/>
    </xf>
    <xf numFmtId="174" fontId="95" fillId="7" borderId="20" xfId="167" quotePrefix="1" applyNumberFormat="1" applyFont="1" applyFill="1" applyBorder="1" applyAlignment="1">
      <alignment horizontal="center"/>
    </xf>
    <xf numFmtId="189" fontId="51" fillId="9" borderId="0" xfId="167" applyNumberFormat="1" applyFont="1" applyFill="1"/>
    <xf numFmtId="189" fontId="51" fillId="7" borderId="0" xfId="167" applyNumberFormat="1" applyFont="1" applyFill="1"/>
    <xf numFmtId="189" fontId="95" fillId="9" borderId="86" xfId="167" applyNumberFormat="1" applyFont="1" applyFill="1" applyBorder="1" applyAlignment="1">
      <alignment horizontal="centerContinuous"/>
    </xf>
    <xf numFmtId="189" fontId="95" fillId="7" borderId="86" xfId="167" applyNumberFormat="1" applyFont="1" applyFill="1" applyBorder="1" applyAlignment="1">
      <alignment horizontal="centerContinuous"/>
    </xf>
    <xf numFmtId="189" fontId="95" fillId="9" borderId="154" xfId="167" applyNumberFormat="1" applyFont="1" applyFill="1" applyBorder="1" applyAlignment="1">
      <alignment horizontal="centerContinuous"/>
    </xf>
    <xf numFmtId="189" fontId="51" fillId="7" borderId="154" xfId="167" applyNumberFormat="1" applyFont="1" applyFill="1" applyBorder="1" applyAlignment="1">
      <alignment horizontal="centerContinuous"/>
    </xf>
    <xf numFmtId="189" fontId="95" fillId="9" borderId="154" xfId="167" quotePrefix="1" applyNumberFormat="1" applyFont="1" applyFill="1" applyBorder="1" applyAlignment="1">
      <alignment horizontal="center"/>
    </xf>
    <xf numFmtId="189" fontId="95" fillId="9" borderId="0" xfId="167" applyNumberFormat="1" applyFont="1" applyFill="1" applyBorder="1" applyAlignment="1">
      <alignment horizontal="center"/>
    </xf>
    <xf numFmtId="189" fontId="95" fillId="9" borderId="20" xfId="167" quotePrefix="1" applyNumberFormat="1" applyFont="1" applyFill="1" applyBorder="1" applyAlignment="1">
      <alignment horizontal="center"/>
    </xf>
    <xf numFmtId="189" fontId="95" fillId="7" borderId="20" xfId="167" quotePrefix="1" applyNumberFormat="1" applyFont="1" applyFill="1" applyBorder="1" applyAlignment="1">
      <alignment horizontal="center"/>
    </xf>
    <xf numFmtId="7" fontId="38" fillId="0" borderId="0" xfId="248" applyNumberFormat="1" applyFont="1" applyFill="1" applyAlignment="1">
      <alignment horizontal="center"/>
    </xf>
    <xf numFmtId="7" fontId="38" fillId="0" borderId="0" xfId="248" applyNumberFormat="1" applyFont="1" applyFill="1" applyBorder="1" applyAlignment="1">
      <alignment horizontal="center"/>
    </xf>
    <xf numFmtId="167" fontId="19" fillId="0" borderId="0" xfId="17" applyFont="1" applyFill="1" applyAlignment="1">
      <alignment horizontal="center"/>
    </xf>
    <xf numFmtId="167" fontId="51" fillId="0" borderId="35" xfId="167" applyFont="1" applyBorder="1" applyAlignment="1">
      <alignment horizontal="center"/>
    </xf>
    <xf numFmtId="167" fontId="51" fillId="0" borderId="153" xfId="167" applyFont="1" applyBorder="1" applyAlignment="1">
      <alignment horizontal="center"/>
    </xf>
    <xf numFmtId="167" fontId="51" fillId="0" borderId="116" xfId="167" applyFont="1" applyBorder="1" applyAlignment="1">
      <alignment horizontal="center"/>
    </xf>
    <xf numFmtId="167" fontId="51" fillId="0" borderId="0" xfId="167" applyFont="1" applyAlignment="1">
      <alignment horizontal="center"/>
    </xf>
    <xf numFmtId="17" fontId="38" fillId="0" borderId="44" xfId="0" quotePrefix="1" applyNumberFormat="1" applyFont="1" applyBorder="1" applyAlignment="1">
      <alignment horizontal="center"/>
    </xf>
    <xf numFmtId="17" fontId="38" fillId="0" borderId="45" xfId="0" quotePrefix="1" applyNumberFormat="1" applyFont="1" applyBorder="1" applyAlignment="1">
      <alignment horizontal="center"/>
    </xf>
    <xf numFmtId="17" fontId="38" fillId="0" borderId="46" xfId="0" quotePrefix="1" applyNumberFormat="1" applyFont="1" applyBorder="1" applyAlignment="1">
      <alignment horizontal="center"/>
    </xf>
    <xf numFmtId="38" fontId="9" fillId="0" borderId="9" xfId="0" applyNumberFormat="1" applyFont="1" applyFill="1" applyBorder="1" applyAlignment="1" applyProtection="1">
      <alignment horizontal="center"/>
    </xf>
    <xf numFmtId="38" fontId="13" fillId="0" borderId="9" xfId="0" applyNumberFormat="1" applyFont="1" applyFill="1" applyBorder="1" applyAlignment="1" applyProtection="1">
      <alignment horizontal="center"/>
    </xf>
    <xf numFmtId="38" fontId="16" fillId="0" borderId="9" xfId="0" applyNumberFormat="1" applyFont="1" applyFill="1" applyBorder="1" applyAlignment="1"/>
  </cellXfs>
  <cellStyles count="253">
    <cellStyle name="20% - Accent1 2" xfId="224"/>
    <cellStyle name="20% - Accent2 2" xfId="225"/>
    <cellStyle name="20% - Accent3 2" xfId="226"/>
    <cellStyle name="20% - Accent4 2" xfId="227"/>
    <cellStyle name="20% - Accent5 2" xfId="228"/>
    <cellStyle name="20% - Accent6 2" xfId="229"/>
    <cellStyle name="40% - Accent1 2" xfId="230"/>
    <cellStyle name="40% - Accent2 2" xfId="231"/>
    <cellStyle name="40% - Accent3 2" xfId="232"/>
    <cellStyle name="40% - Accent4 2" xfId="233"/>
    <cellStyle name="40% - Accent5 2" xfId="234"/>
    <cellStyle name="40% - Accent6 2" xfId="235"/>
    <cellStyle name="Comma" xfId="1" builtinId="3"/>
    <cellStyle name="Comma 11" xfId="45"/>
    <cellStyle name="Comma 19" xfId="46"/>
    <cellStyle name="Comma 2" xfId="29"/>
    <cellStyle name="Comma 2 10" xfId="47"/>
    <cellStyle name="Comma 2 11" xfId="48"/>
    <cellStyle name="Comma 2 12" xfId="49"/>
    <cellStyle name="Comma 2 13" xfId="50"/>
    <cellStyle name="Comma 2 14" xfId="51"/>
    <cellStyle name="Comma 2 15" xfId="52"/>
    <cellStyle name="Comma 2 16" xfId="53"/>
    <cellStyle name="Comma 2 17" xfId="54"/>
    <cellStyle name="Comma 2 18" xfId="55"/>
    <cellStyle name="Comma 2 19" xfId="56"/>
    <cellStyle name="Comma 2 2" xfId="57"/>
    <cellStyle name="Comma 2 20" xfId="58"/>
    <cellStyle name="Comma 2 21" xfId="59"/>
    <cellStyle name="Comma 2 3" xfId="60"/>
    <cellStyle name="Comma 2 4" xfId="61"/>
    <cellStyle name="Comma 2 5" xfId="62"/>
    <cellStyle name="Comma 2 6" xfId="63"/>
    <cellStyle name="Comma 2 7" xfId="64"/>
    <cellStyle name="Comma 2 8" xfId="65"/>
    <cellStyle name="Comma 2 9" xfId="66"/>
    <cellStyle name="Comma 21" xfId="67"/>
    <cellStyle name="Comma 22" xfId="68"/>
    <cellStyle name="Comma 3" xfId="153"/>
    <cellStyle name="Comma 4" xfId="69"/>
    <cellStyle name="Comma 5" xfId="70"/>
    <cellStyle name="Comma 6" xfId="160"/>
    <cellStyle name="Comma 6 2" xfId="171"/>
    <cellStyle name="Comma 7" xfId="237"/>
    <cellStyle name="Comma 8" xfId="252"/>
    <cellStyle name="Currency" xfId="2" builtinId="4"/>
    <cellStyle name="Currency 2" xfId="30"/>
    <cellStyle name="Currency 2 10" xfId="71"/>
    <cellStyle name="Currency 2 11" xfId="72"/>
    <cellStyle name="Currency 2 12" xfId="73"/>
    <cellStyle name="Currency 2 13" xfId="74"/>
    <cellStyle name="Currency 2 14" xfId="75"/>
    <cellStyle name="Currency 2 15" xfId="76"/>
    <cellStyle name="Currency 2 16" xfId="77"/>
    <cellStyle name="Currency 2 17" xfId="78"/>
    <cellStyle name="Currency 2 18" xfId="79"/>
    <cellStyle name="Currency 2 19" xfId="80"/>
    <cellStyle name="Currency 2 2" xfId="81"/>
    <cellStyle name="Currency 2 20" xfId="82"/>
    <cellStyle name="Currency 2 21" xfId="83"/>
    <cellStyle name="Currency 2 3" xfId="84"/>
    <cellStyle name="Currency 2 4" xfId="85"/>
    <cellStyle name="Currency 2 5" xfId="86"/>
    <cellStyle name="Currency 2 6" xfId="87"/>
    <cellStyle name="Currency 2 7" xfId="88"/>
    <cellStyle name="Currency 2 8" xfId="89"/>
    <cellStyle name="Currency 2 9" xfId="90"/>
    <cellStyle name="Currency 3" xfId="156"/>
    <cellStyle name="Currency 4" xfId="172"/>
    <cellStyle name="Currency 5" xfId="173"/>
    <cellStyle name="Currency 6" xfId="239"/>
    <cellStyle name="Currency No Comma" xfId="174"/>
    <cellStyle name="General" xfId="3"/>
    <cellStyle name="MCP" xfId="175"/>
    <cellStyle name="nONE" xfId="4"/>
    <cellStyle name="noninput" xfId="176"/>
    <cellStyle name="Normal" xfId="0" builtinId="0"/>
    <cellStyle name="Normal 10" xfId="91"/>
    <cellStyle name="Normal 11" xfId="92"/>
    <cellStyle name="Normal 11 2" xfId="168"/>
    <cellStyle name="Normal 12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100"/>
    <cellStyle name="Normal 2" xfId="26"/>
    <cellStyle name="Normal 2 10" xfId="101"/>
    <cellStyle name="Normal 2 11" xfId="102"/>
    <cellStyle name="Normal 2 12" xfId="103"/>
    <cellStyle name="Normal 2 13" xfId="104"/>
    <cellStyle name="Normal 2 14" xfId="105"/>
    <cellStyle name="Normal 2 15" xfId="106"/>
    <cellStyle name="Normal 2 16" xfId="107"/>
    <cellStyle name="Normal 2 17" xfId="108"/>
    <cellStyle name="Normal 2 18" xfId="109"/>
    <cellStyle name="Normal 2 19" xfId="110"/>
    <cellStyle name="Normal 2 2" xfId="42"/>
    <cellStyle name="Normal 2 20" xfId="111"/>
    <cellStyle name="Normal 2 21" xfId="112"/>
    <cellStyle name="Normal 2 22" xfId="113"/>
    <cellStyle name="Normal 2 3" xfId="114"/>
    <cellStyle name="Normal 2 4" xfId="115"/>
    <cellStyle name="Normal 2 5" xfId="116"/>
    <cellStyle name="Normal 2 6" xfId="117"/>
    <cellStyle name="Normal 2 7" xfId="118"/>
    <cellStyle name="Normal 2 8" xfId="119"/>
    <cellStyle name="Normal 2 9" xfId="120"/>
    <cellStyle name="Normal 2_Book1" xfId="121"/>
    <cellStyle name="Normal 20" xfId="122"/>
    <cellStyle name="Normal 21" xfId="123"/>
    <cellStyle name="Normal 22" xfId="124"/>
    <cellStyle name="Normal 23" xfId="125"/>
    <cellStyle name="Normal 24" xfId="126"/>
    <cellStyle name="Normal 25" xfId="154"/>
    <cellStyle name="Normal 25 2" xfId="169"/>
    <cellStyle name="Normal 26" xfId="157"/>
    <cellStyle name="Normal 27" xfId="159"/>
    <cellStyle name="Normal 28" xfId="161"/>
    <cellStyle name="Normal 29" xfId="163"/>
    <cellStyle name="Normal 3" xfId="28"/>
    <cellStyle name="Normal 3 2" xfId="37"/>
    <cellStyle name="Normal 30" xfId="165"/>
    <cellStyle name="Normal 31" xfId="166"/>
    <cellStyle name="Normal 32" xfId="236"/>
    <cellStyle name="Normal 32 2" xfId="242"/>
    <cellStyle name="Normal 33" xfId="238"/>
    <cellStyle name="Normal 34" xfId="240"/>
    <cellStyle name="Normal 35" xfId="241"/>
    <cellStyle name="Normal 36" xfId="243"/>
    <cellStyle name="Normal 37" xfId="244"/>
    <cellStyle name="Normal 38" xfId="245"/>
    <cellStyle name="Normal 39" xfId="247"/>
    <cellStyle name="Normal 4" xfId="31"/>
    <cellStyle name="Normal 4 2" xfId="177"/>
    <cellStyle name="Normal 40" xfId="251"/>
    <cellStyle name="Normal 5" xfId="32"/>
    <cellStyle name="Normal 5 2" xfId="178"/>
    <cellStyle name="Normal 6" xfId="38"/>
    <cellStyle name="Normal 7" xfId="27"/>
    <cellStyle name="Normal 8" xfId="43"/>
    <cellStyle name="Normal 9" xfId="127"/>
    <cellStyle name="Normal_10" xfId="5"/>
    <cellStyle name="Normal_11" xfId="6"/>
    <cellStyle name="Normal_1202" xfId="7"/>
    <cellStyle name="Normal_1203" xfId="8"/>
    <cellStyle name="Normal_12A" xfId="9"/>
    <cellStyle name="Normal_12B" xfId="10"/>
    <cellStyle name="Normal_13ES2_BD" xfId="11"/>
    <cellStyle name="Normal_21" xfId="12"/>
    <cellStyle name="Normal_31" xfId="13"/>
    <cellStyle name="Normal_6" xfId="14"/>
    <cellStyle name="Normal_6A" xfId="15"/>
    <cellStyle name="Normal_8" xfId="16"/>
    <cellStyle name="Normal_Bill Comp Settlement with New DSM" xfId="248"/>
    <cellStyle name="Normal_Blocking 03-01" xfId="17"/>
    <cellStyle name="Normal_Blocking 09-00" xfId="18"/>
    <cellStyle name="Normal_Blocking 09-00 2" xfId="167"/>
    <cellStyle name="Normal_Blocking 09-00 3" xfId="40"/>
    <cellStyle name="Normal_Book4" xfId="19"/>
    <cellStyle name="Normal_EAST Blocking 901" xfId="20"/>
    <cellStyle name="Normal_forecast" xfId="246"/>
    <cellStyle name="Normal_Idaho Mar05" xfId="21"/>
    <cellStyle name="Normal_OR UE179 Blocking Stipulation FINAL IMPL JAN07" xfId="249"/>
    <cellStyle name="Normal_Query1" xfId="22"/>
    <cellStyle name="Normal_Rate Sch Temp Adj CY 2008 Sent 03202009" xfId="41"/>
    <cellStyle name="Normal_UT BD SUMMARY 9-05" xfId="23"/>
    <cellStyle name="Normal_Ut98 COS Study 5 Function" xfId="250"/>
    <cellStyle name="Note 2" xfId="179"/>
    <cellStyle name="Note 3" xfId="180"/>
    <cellStyle name="Password" xfId="181"/>
    <cellStyle name="Percent" xfId="24" builtinId="5"/>
    <cellStyle name="Percent 10" xfId="162"/>
    <cellStyle name="Percent 11" xfId="164"/>
    <cellStyle name="Percent 13" xfId="128"/>
    <cellStyle name="Percent 19" xfId="129"/>
    <cellStyle name="Percent 2" xfId="33"/>
    <cellStyle name="Percent 2 10" xfId="130"/>
    <cellStyle name="Percent 2 11" xfId="131"/>
    <cellStyle name="Percent 2 12" xfId="132"/>
    <cellStyle name="Percent 2 13" xfId="133"/>
    <cellStyle name="Percent 2 14" xfId="134"/>
    <cellStyle name="Percent 2 15" xfId="135"/>
    <cellStyle name="Percent 2 16" xfId="136"/>
    <cellStyle name="Percent 2 17" xfId="137"/>
    <cellStyle name="Percent 2 18" xfId="138"/>
    <cellStyle name="Percent 2 19" xfId="139"/>
    <cellStyle name="Percent 2 2" xfId="39"/>
    <cellStyle name="Percent 2 20" xfId="140"/>
    <cellStyle name="Percent 2 21" xfId="141"/>
    <cellStyle name="Percent 2 3" xfId="142"/>
    <cellStyle name="Percent 2 4" xfId="143"/>
    <cellStyle name="Percent 2 5" xfId="144"/>
    <cellStyle name="Percent 2 6" xfId="145"/>
    <cellStyle name="Percent 2 7" xfId="146"/>
    <cellStyle name="Percent 2 8" xfId="147"/>
    <cellStyle name="Percent 2 9" xfId="148"/>
    <cellStyle name="Percent 22" xfId="149"/>
    <cellStyle name="Percent 3" xfId="34"/>
    <cellStyle name="Percent 4" xfId="35"/>
    <cellStyle name="Percent 5" xfId="36"/>
    <cellStyle name="Percent 6" xfId="44"/>
    <cellStyle name="Percent 7" xfId="150"/>
    <cellStyle name="Percent 8" xfId="155"/>
    <cellStyle name="Percent 8 2" xfId="170"/>
    <cellStyle name="Percent 9" xfId="158"/>
    <cellStyle name="SAPBEXaggData" xfId="182"/>
    <cellStyle name="SAPBEXaggDataEmph" xfId="183"/>
    <cellStyle name="SAPBEXaggItem" xfId="184"/>
    <cellStyle name="SAPBEXaggItemX" xfId="185"/>
    <cellStyle name="SAPBEXchaText" xfId="151"/>
    <cellStyle name="SAPBEXexcBad7" xfId="186"/>
    <cellStyle name="SAPBEXexcBad8" xfId="187"/>
    <cellStyle name="SAPBEXexcBad9" xfId="188"/>
    <cellStyle name="SAPBEXexcCritical4" xfId="189"/>
    <cellStyle name="SAPBEXexcCritical5" xfId="190"/>
    <cellStyle name="SAPBEXexcCritical6" xfId="191"/>
    <cellStyle name="SAPBEXexcGood1" xfId="192"/>
    <cellStyle name="SAPBEXexcGood2" xfId="193"/>
    <cellStyle name="SAPBEXexcGood3" xfId="194"/>
    <cellStyle name="SAPBEXfilterDrill" xfId="195"/>
    <cellStyle name="SAPBEXfilterItem" xfId="196"/>
    <cellStyle name="SAPBEXfilterText" xfId="197"/>
    <cellStyle name="SAPBEXformats" xfId="198"/>
    <cellStyle name="SAPBEXheaderItem" xfId="199"/>
    <cellStyle name="SAPBEXheaderText" xfId="200"/>
    <cellStyle name="SAPBEXHLevel0" xfId="201"/>
    <cellStyle name="SAPBEXHLevel0X" xfId="202"/>
    <cellStyle name="SAPBEXHLevel1" xfId="203"/>
    <cellStyle name="SAPBEXHLevel1X" xfId="204"/>
    <cellStyle name="SAPBEXHLevel2" xfId="205"/>
    <cellStyle name="SAPBEXHLevel2X" xfId="206"/>
    <cellStyle name="SAPBEXHLevel3" xfId="207"/>
    <cellStyle name="SAPBEXHLevel3X" xfId="208"/>
    <cellStyle name="SAPBEXresData" xfId="209"/>
    <cellStyle name="SAPBEXresDataEmph" xfId="210"/>
    <cellStyle name="SAPBEXresItem" xfId="211"/>
    <cellStyle name="SAPBEXresItemX" xfId="212"/>
    <cellStyle name="SAPBEXstdData" xfId="213"/>
    <cellStyle name="SAPBEXstdDataEmph" xfId="214"/>
    <cellStyle name="SAPBEXstdItem" xfId="215"/>
    <cellStyle name="SAPBEXstdItemX" xfId="216"/>
    <cellStyle name="SAPBEXtitle" xfId="152"/>
    <cellStyle name="SAPBEXundefined" xfId="217"/>
    <cellStyle name="Style 27" xfId="218"/>
    <cellStyle name="Style 35" xfId="219"/>
    <cellStyle name="Style 36" xfId="220"/>
    <cellStyle name="TRANSMISSION RELIABILITY PORTION OF PROJECT" xfId="25"/>
    <cellStyle name="Unprot" xfId="221"/>
    <cellStyle name="Unprot$" xfId="222"/>
    <cellStyle name="Unprotect" xfId="223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0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externalLink" Target="externalLinks/externalLink1.xml"/><Relationship Id="rId95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5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5</xdr:col>
      <xdr:colOff>133350</xdr:colOff>
      <xdr:row>31</xdr:row>
      <xdr:rowOff>69850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8100"/>
          <a:ext cx="57277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PA&amp;D\DSMRecov\2001\RECO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PA&amp;D\CASES\Wy0902\EAST%20Blocking%209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B1\GROUPS\CASES\Wyoming98\EAST97%20B.xlw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2685"/>
  <sheetViews>
    <sheetView topLeftCell="A7" zoomScale="90" zoomScaleNormal="90" workbookViewId="0">
      <pane xSplit="2" ySplit="3" topLeftCell="AI2589" activePane="bottomRight" state="frozen"/>
      <selection activeCell="A7" sqref="A7"/>
      <selection pane="topRight" activeCell="C7" sqref="C7"/>
      <selection pane="bottomLeft" activeCell="A10" sqref="A10"/>
      <selection pane="bottomRight" activeCell="AB2611" sqref="AB2611"/>
    </sheetView>
  </sheetViews>
  <sheetFormatPr defaultColWidth="9" defaultRowHeight="15.75"/>
  <cols>
    <col min="1" max="1" width="33.125" style="1104" customWidth="1"/>
    <col min="2" max="2" width="1.75" style="1104" customWidth="1"/>
    <col min="3" max="4" width="14.875" style="1631" customWidth="1"/>
    <col min="5" max="5" width="1.75" style="1109" customWidth="1"/>
    <col min="6" max="6" width="8.125" style="1104" customWidth="1"/>
    <col min="7" max="7" width="1.75" style="1109" customWidth="1"/>
    <col min="8" max="9" width="14.875" style="1627" customWidth="1"/>
    <col min="10" max="10" width="1.75" style="1109" customWidth="1"/>
    <col min="11" max="11" width="8.125" style="1104" bestFit="1" customWidth="1"/>
    <col min="12" max="12" width="1.75" style="1109" customWidth="1"/>
    <col min="13" max="13" width="12.25" style="1104" bestFit="1" customWidth="1"/>
    <col min="14" max="14" width="1.75" style="1109" customWidth="1"/>
    <col min="15" max="15" width="15.25" style="1104" bestFit="1" customWidth="1"/>
    <col min="16" max="16" width="1.75" style="1109" customWidth="1"/>
    <col min="17" max="17" width="12.25" style="1104" customWidth="1"/>
    <col min="18" max="18" width="1.75" style="1109" customWidth="1"/>
    <col min="19" max="19" width="14.875" style="1628" customWidth="1"/>
    <col min="20" max="20" width="1.75" style="1628" customWidth="1"/>
    <col min="21" max="21" width="14.875" style="1628" customWidth="1"/>
    <col min="22" max="22" width="1.75" style="1628" customWidth="1"/>
    <col min="23" max="23" width="14.875" style="1628" customWidth="1"/>
    <col min="24" max="24" width="1.75" style="1628" customWidth="1"/>
    <col min="25" max="25" width="14.875" style="1627" customWidth="1"/>
    <col min="26" max="33" width="9" style="2114"/>
    <col min="34" max="39" width="9" style="2136"/>
    <col min="40" max="40" width="9" style="2137"/>
    <col min="41" max="41" width="9" style="2114"/>
    <col min="42" max="42" width="12.625" style="2127" bestFit="1" customWidth="1"/>
    <col min="43" max="43" width="9" style="2127"/>
    <col min="44" max="44" width="11.875" style="2127" bestFit="1" customWidth="1"/>
    <col min="45" max="45" width="9" style="2127"/>
    <col min="46" max="46" width="9.125" style="2127" bestFit="1" customWidth="1"/>
    <col min="47" max="47" width="9" style="2127"/>
    <col min="48" max="48" width="9.125" style="2128" bestFit="1" customWidth="1"/>
    <col min="49" max="16384" width="9" style="1104"/>
  </cols>
  <sheetData>
    <row r="1" spans="1:48" ht="18.75">
      <c r="A1" s="1879" t="s">
        <v>497</v>
      </c>
      <c r="B1" s="2055"/>
      <c r="C1" s="2056"/>
      <c r="D1" s="2056"/>
      <c r="E1" s="2057"/>
      <c r="F1" s="2055"/>
      <c r="G1" s="2057"/>
      <c r="H1" s="2058"/>
      <c r="I1" s="2058"/>
      <c r="J1" s="2057"/>
      <c r="K1" s="2055"/>
      <c r="L1" s="2057"/>
      <c r="M1" s="2055"/>
      <c r="N1" s="2057"/>
      <c r="O1" s="2055"/>
      <c r="P1" s="2057"/>
      <c r="Q1" s="2055"/>
      <c r="R1" s="2057"/>
      <c r="S1" s="2059"/>
      <c r="T1" s="2059"/>
      <c r="U1" s="2059"/>
      <c r="V1" s="2059"/>
      <c r="W1" s="2059"/>
      <c r="X1" s="2059"/>
      <c r="Y1" s="2058"/>
    </row>
    <row r="2" spans="1:48" ht="18.75">
      <c r="A2" s="1879" t="s">
        <v>570</v>
      </c>
      <c r="B2" s="2055"/>
      <c r="C2" s="2056"/>
      <c r="D2" s="2056"/>
      <c r="E2" s="2057"/>
      <c r="F2" s="2055"/>
      <c r="G2" s="2057"/>
      <c r="H2" s="2058"/>
      <c r="I2" s="2058"/>
      <c r="J2" s="2057"/>
      <c r="K2" s="2055"/>
      <c r="L2" s="2057"/>
      <c r="M2" s="2055"/>
      <c r="N2" s="2057"/>
      <c r="O2" s="2055"/>
      <c r="P2" s="2057"/>
      <c r="Q2" s="2055"/>
      <c r="R2" s="2057"/>
      <c r="S2" s="2059"/>
      <c r="T2" s="2059"/>
      <c r="U2" s="2059"/>
      <c r="V2" s="2059"/>
      <c r="W2" s="2059"/>
      <c r="X2" s="2059"/>
      <c r="Y2" s="2058"/>
    </row>
    <row r="3" spans="1:48" ht="18.75">
      <c r="A3" s="1879" t="s">
        <v>1578</v>
      </c>
      <c r="B3" s="2055"/>
      <c r="C3" s="2056"/>
      <c r="D3" s="2056"/>
      <c r="E3" s="2057"/>
      <c r="F3" s="2055"/>
      <c r="G3" s="2057"/>
      <c r="H3" s="2058"/>
      <c r="I3" s="2058"/>
      <c r="J3" s="2057"/>
      <c r="K3" s="2055"/>
      <c r="L3" s="2057"/>
      <c r="M3" s="2055"/>
      <c r="N3" s="2057"/>
      <c r="O3" s="2055"/>
      <c r="P3" s="2057"/>
      <c r="Q3" s="2055"/>
      <c r="R3" s="2057"/>
      <c r="S3" s="2059"/>
      <c r="T3" s="2059"/>
      <c r="U3" s="2059"/>
      <c r="V3" s="2059"/>
      <c r="W3" s="2059"/>
      <c r="X3" s="2059"/>
      <c r="Y3" s="2058"/>
    </row>
    <row r="4" spans="1:48" ht="18.75">
      <c r="A4" s="1879" t="s">
        <v>1579</v>
      </c>
      <c r="B4" s="2055"/>
      <c r="C4" s="2056"/>
      <c r="D4" s="2056"/>
      <c r="E4" s="2057"/>
      <c r="F4" s="2055"/>
      <c r="G4" s="2057"/>
      <c r="H4" s="2058"/>
      <c r="I4" s="2058"/>
      <c r="J4" s="2057"/>
      <c r="K4" s="2055"/>
      <c r="L4" s="2057"/>
      <c r="M4" s="2055"/>
      <c r="N4" s="2057"/>
      <c r="O4" s="2055"/>
      <c r="P4" s="2057"/>
      <c r="Q4" s="2055"/>
      <c r="R4" s="2057"/>
      <c r="S4" s="2059"/>
      <c r="T4" s="2059"/>
      <c r="U4" s="2059"/>
      <c r="V4" s="2059"/>
      <c r="W4" s="2059"/>
      <c r="X4" s="2059"/>
      <c r="Y4" s="2058"/>
    </row>
    <row r="5" spans="1:48">
      <c r="C5" s="1105"/>
      <c r="D5" s="1105"/>
    </row>
    <row r="6" spans="1:48">
      <c r="C6" s="1105"/>
      <c r="D6" s="1105"/>
    </row>
    <row r="7" spans="1:48">
      <c r="C7" s="2060"/>
      <c r="D7" s="2060"/>
      <c r="F7" s="2061" t="s">
        <v>200</v>
      </c>
      <c r="G7" s="2061"/>
      <c r="H7" s="2062"/>
      <c r="I7" s="2062"/>
      <c r="K7" s="2061" t="s">
        <v>2329</v>
      </c>
      <c r="L7" s="2061"/>
      <c r="M7" s="2061"/>
      <c r="N7" s="2061"/>
      <c r="O7" s="2061"/>
      <c r="P7" s="2061"/>
      <c r="Q7" s="2061"/>
      <c r="R7" s="2061"/>
      <c r="S7" s="2062"/>
      <c r="T7" s="2062"/>
      <c r="U7" s="2062"/>
      <c r="V7" s="2062"/>
      <c r="W7" s="2062"/>
      <c r="X7" s="2062"/>
      <c r="Y7" s="2062"/>
      <c r="Z7" s="2115"/>
      <c r="AA7" s="2115"/>
      <c r="AB7" s="2116"/>
      <c r="AC7" s="2117" t="s">
        <v>200</v>
      </c>
      <c r="AD7" s="2117"/>
      <c r="AE7" s="2118"/>
      <c r="AF7" s="2118"/>
      <c r="AG7" s="2116"/>
      <c r="AH7" s="2138" t="s">
        <v>2329</v>
      </c>
      <c r="AI7" s="2138"/>
      <c r="AJ7" s="2138"/>
      <c r="AK7" s="2138"/>
      <c r="AL7" s="2138"/>
      <c r="AM7" s="2138"/>
      <c r="AN7" s="2139"/>
      <c r="AO7" s="2117"/>
      <c r="AP7" s="2129"/>
      <c r="AQ7" s="2129"/>
      <c r="AR7" s="2129"/>
      <c r="AS7" s="2129"/>
      <c r="AT7" s="2129"/>
      <c r="AU7" s="2129"/>
      <c r="AV7" s="2130"/>
    </row>
    <row r="8" spans="1:48">
      <c r="C8" s="2063" t="s">
        <v>1365</v>
      </c>
      <c r="D8" s="2063"/>
      <c r="F8" s="2064"/>
      <c r="G8" s="2065"/>
      <c r="H8" s="2066" t="s">
        <v>135</v>
      </c>
      <c r="I8" s="2066"/>
      <c r="K8" s="2067" t="s">
        <v>99</v>
      </c>
      <c r="L8" s="2067"/>
      <c r="M8" s="2067"/>
      <c r="N8" s="2067"/>
      <c r="O8" s="2067"/>
      <c r="P8" s="2067"/>
      <c r="Q8" s="2068"/>
      <c r="R8" s="2069"/>
      <c r="S8" s="2066" t="s">
        <v>1932</v>
      </c>
      <c r="T8" s="2066"/>
      <c r="U8" s="2066"/>
      <c r="V8" s="2066"/>
      <c r="W8" s="2066"/>
      <c r="X8" s="2066"/>
      <c r="Y8" s="2066"/>
      <c r="Z8" s="2119" t="s">
        <v>1365</v>
      </c>
      <c r="AA8" s="2119"/>
      <c r="AB8" s="2116"/>
      <c r="AC8" s="2120"/>
      <c r="AD8" s="2121"/>
      <c r="AE8" s="2122" t="s">
        <v>135</v>
      </c>
      <c r="AF8" s="2122"/>
      <c r="AG8" s="2116"/>
      <c r="AH8" s="2140" t="s">
        <v>99</v>
      </c>
      <c r="AI8" s="2140"/>
      <c r="AJ8" s="2140"/>
      <c r="AK8" s="2140"/>
      <c r="AL8" s="2140"/>
      <c r="AM8" s="2140"/>
      <c r="AN8" s="2141"/>
      <c r="AO8" s="2123"/>
      <c r="AP8" s="2131" t="s">
        <v>1932</v>
      </c>
      <c r="AQ8" s="2131"/>
      <c r="AR8" s="2131"/>
      <c r="AS8" s="2131"/>
      <c r="AT8" s="2131"/>
      <c r="AU8" s="2131"/>
      <c r="AV8" s="2132"/>
    </row>
    <row r="9" spans="1:48">
      <c r="C9" s="2070" t="s">
        <v>1366</v>
      </c>
      <c r="D9" s="2070" t="s">
        <v>445</v>
      </c>
      <c r="F9" s="2071" t="s">
        <v>99</v>
      </c>
      <c r="G9" s="2065"/>
      <c r="H9" s="2072" t="s">
        <v>1366</v>
      </c>
      <c r="I9" s="2072" t="s">
        <v>445</v>
      </c>
      <c r="K9" s="2073" t="s">
        <v>1660</v>
      </c>
      <c r="L9" s="2065"/>
      <c r="M9" s="2071" t="s">
        <v>1661</v>
      </c>
      <c r="N9" s="2065"/>
      <c r="O9" s="2071" t="s">
        <v>1662</v>
      </c>
      <c r="P9" s="2065"/>
      <c r="Q9" s="2071" t="s">
        <v>93</v>
      </c>
      <c r="R9" s="2065"/>
      <c r="S9" s="2074" t="s">
        <v>1660</v>
      </c>
      <c r="T9" s="2075"/>
      <c r="U9" s="2074" t="s">
        <v>1661</v>
      </c>
      <c r="V9" s="2075"/>
      <c r="W9" s="2074" t="s">
        <v>1662</v>
      </c>
      <c r="X9" s="2075"/>
      <c r="Y9" s="2074" t="s">
        <v>93</v>
      </c>
      <c r="Z9" s="2124" t="s">
        <v>1366</v>
      </c>
      <c r="AA9" s="2124" t="s">
        <v>445</v>
      </c>
      <c r="AB9" s="2116"/>
      <c r="AC9" s="2125" t="s">
        <v>99</v>
      </c>
      <c r="AD9" s="2121"/>
      <c r="AE9" s="2126" t="s">
        <v>1366</v>
      </c>
      <c r="AF9" s="2126" t="s">
        <v>445</v>
      </c>
      <c r="AG9" s="2116"/>
      <c r="AH9" s="2142" t="s">
        <v>1660</v>
      </c>
      <c r="AI9" s="2143"/>
      <c r="AJ9" s="2144" t="s">
        <v>1661</v>
      </c>
      <c r="AK9" s="2143"/>
      <c r="AL9" s="2144" t="s">
        <v>1662</v>
      </c>
      <c r="AM9" s="2143"/>
      <c r="AN9" s="2145" t="s">
        <v>93</v>
      </c>
      <c r="AO9" s="2121"/>
      <c r="AP9" s="2133" t="s">
        <v>1660</v>
      </c>
      <c r="AQ9" s="2134"/>
      <c r="AR9" s="2133" t="s">
        <v>1661</v>
      </c>
      <c r="AS9" s="2134"/>
      <c r="AT9" s="2133" t="s">
        <v>1662</v>
      </c>
      <c r="AU9" s="2134"/>
      <c r="AV9" s="2135" t="s">
        <v>93</v>
      </c>
    </row>
    <row r="10" spans="1:48">
      <c r="A10" s="1115" t="s">
        <v>548</v>
      </c>
      <c r="C10" s="1105"/>
      <c r="D10" s="1105"/>
      <c r="Z10" s="2114">
        <f>C10-'Blocking-Step2'!C10</f>
        <v>0</v>
      </c>
      <c r="AA10" s="2114">
        <f>D10-'Blocking-Step2'!D10</f>
        <v>0</v>
      </c>
      <c r="AC10" s="2114">
        <f>F10-'Blocking-Step2'!F10</f>
        <v>0</v>
      </c>
      <c r="AE10" s="2114">
        <f>H10-'Blocking-Step2'!H10</f>
        <v>0</v>
      </c>
      <c r="AF10" s="2114">
        <f>I10-'Blocking-Step2'!I10</f>
        <v>0</v>
      </c>
      <c r="AH10" s="2136">
        <f>K10-'Blocking-Step2'!K10</f>
        <v>0</v>
      </c>
      <c r="AJ10" s="2136">
        <f>M10-'Blocking-Step2'!M10</f>
        <v>0</v>
      </c>
      <c r="AL10" s="2136">
        <f>O10-'Blocking-Step2'!O10</f>
        <v>0</v>
      </c>
      <c r="AN10" s="2137">
        <f>Q10-'Blocking-Step2'!Q10</f>
        <v>0</v>
      </c>
      <c r="AP10" s="2127">
        <f>S10-'Blocking-Step2'!S10</f>
        <v>0</v>
      </c>
      <c r="AR10" s="2127">
        <f>U10-'Blocking-Step2'!U10</f>
        <v>0</v>
      </c>
      <c r="AT10" s="2127">
        <f>W10-'Blocking-Step2'!W10</f>
        <v>0</v>
      </c>
      <c r="AV10" s="2128">
        <f>Y10-'Blocking-Step2'!Y10</f>
        <v>0</v>
      </c>
    </row>
    <row r="11" spans="1:48">
      <c r="A11" s="1116" t="s">
        <v>685</v>
      </c>
      <c r="C11" s="1105">
        <v>9213599.1333350316</v>
      </c>
      <c r="D11" s="1105">
        <v>9344849.0845141169</v>
      </c>
      <c r="F11" s="1907"/>
      <c r="G11" s="1110"/>
      <c r="H11" s="1146"/>
      <c r="I11" s="1146"/>
      <c r="K11" s="1907"/>
      <c r="L11" s="1110"/>
      <c r="M11" s="1907"/>
      <c r="N11" s="1110"/>
      <c r="O11" s="1907"/>
      <c r="P11" s="1110"/>
      <c r="Q11" s="1907"/>
      <c r="R11" s="1110"/>
      <c r="S11" s="1629"/>
      <c r="T11" s="1629"/>
      <c r="U11" s="1629"/>
      <c r="V11" s="1629"/>
      <c r="W11" s="1629"/>
      <c r="X11" s="1629"/>
      <c r="Y11" s="1146"/>
      <c r="Z11" s="2114">
        <f>C11-'Blocking-Step2'!C11</f>
        <v>0</v>
      </c>
      <c r="AA11" s="2114">
        <f>D11-'Blocking-Step2'!D11</f>
        <v>0</v>
      </c>
      <c r="AC11" s="2114">
        <f>F11-'Blocking-Step2'!F11</f>
        <v>0</v>
      </c>
      <c r="AE11" s="2114">
        <f>H11-'Blocking-Step2'!H11</f>
        <v>0</v>
      </c>
      <c r="AF11" s="2114">
        <f>I11-'Blocking-Step2'!I11</f>
        <v>0</v>
      </c>
      <c r="AH11" s="2136">
        <f>K11-'Blocking-Step2'!K11</f>
        <v>0</v>
      </c>
      <c r="AJ11" s="2136">
        <f>M11-'Blocking-Step2'!M11</f>
        <v>0</v>
      </c>
      <c r="AL11" s="2136">
        <f>O11-'Blocking-Step2'!O11</f>
        <v>0</v>
      </c>
      <c r="AN11" s="2137">
        <f>Q11-'Blocking-Step2'!Q11</f>
        <v>0</v>
      </c>
      <c r="AP11" s="2127">
        <f>S11-'Blocking-Step2'!S11</f>
        <v>0</v>
      </c>
      <c r="AR11" s="2127">
        <f>U11-'Blocking-Step2'!U11</f>
        <v>0</v>
      </c>
      <c r="AT11" s="2127">
        <f>W11-'Blocking-Step2'!W11</f>
        <v>0</v>
      </c>
      <c r="AV11" s="2128">
        <f>Y11-'Blocking-Step2'!Y11</f>
        <v>0</v>
      </c>
    </row>
    <row r="12" spans="1:48">
      <c r="A12" s="1116" t="s">
        <v>683</v>
      </c>
      <c r="C12" s="1105">
        <v>9198276.8000017013</v>
      </c>
      <c r="D12" s="1105">
        <v>9329308</v>
      </c>
      <c r="F12" s="1907">
        <v>6</v>
      </c>
      <c r="G12" s="1110"/>
      <c r="H12" s="1146">
        <v>55189661</v>
      </c>
      <c r="I12" s="1146">
        <v>55975848</v>
      </c>
      <c r="K12" s="1907"/>
      <c r="L12" s="1110"/>
      <c r="M12" s="1907"/>
      <c r="N12" s="1110"/>
      <c r="O12" s="1907"/>
      <c r="P12" s="1110"/>
      <c r="Q12" s="1907"/>
      <c r="R12" s="1110"/>
      <c r="S12" s="1629"/>
      <c r="T12" s="1629"/>
      <c r="U12" s="1629"/>
      <c r="V12" s="1629"/>
      <c r="W12" s="1629"/>
      <c r="X12" s="1629"/>
      <c r="Y12" s="1146"/>
      <c r="Z12" s="2114">
        <f>C12-'Blocking-Step2'!C12</f>
        <v>0</v>
      </c>
      <c r="AA12" s="2114">
        <f>D12-'Blocking-Step2'!D12</f>
        <v>0</v>
      </c>
      <c r="AC12" s="2114">
        <f>F12-'Blocking-Step2'!F12</f>
        <v>0</v>
      </c>
      <c r="AE12" s="2114">
        <f>H12-'Blocking-Step2'!H12</f>
        <v>0</v>
      </c>
      <c r="AF12" s="2114">
        <f>I12-'Blocking-Step2'!I12</f>
        <v>0</v>
      </c>
      <c r="AH12" s="2136">
        <f>K12-'Blocking-Step2'!K12</f>
        <v>0</v>
      </c>
      <c r="AJ12" s="2136">
        <f>M12-'Blocking-Step2'!M12</f>
        <v>0</v>
      </c>
      <c r="AL12" s="2136">
        <f>O12-'Blocking-Step2'!O12</f>
        <v>0</v>
      </c>
      <c r="AN12" s="2137">
        <f>Q12-'Blocking-Step2'!Q12</f>
        <v>0</v>
      </c>
      <c r="AP12" s="2127">
        <f>S12-'Blocking-Step2'!S12</f>
        <v>0</v>
      </c>
      <c r="AR12" s="2127">
        <f>U12-'Blocking-Step2'!U12</f>
        <v>0</v>
      </c>
      <c r="AT12" s="2127">
        <f>W12-'Blocking-Step2'!W12</f>
        <v>0</v>
      </c>
      <c r="AV12" s="2128">
        <f>Y12-'Blocking-Step2'!Y12</f>
        <v>0</v>
      </c>
    </row>
    <row r="13" spans="1:48">
      <c r="A13" s="1116" t="s">
        <v>1581</v>
      </c>
      <c r="C13" s="1105">
        <v>7040550.9333351729</v>
      </c>
      <c r="D13" s="1105">
        <v>7140845</v>
      </c>
      <c r="F13" s="1907"/>
      <c r="G13" s="1110"/>
      <c r="H13" s="1146"/>
      <c r="I13" s="1146"/>
      <c r="K13" s="1907">
        <v>10</v>
      </c>
      <c r="L13" s="1110"/>
      <c r="M13" s="1907"/>
      <c r="N13" s="1110"/>
      <c r="O13" s="1907"/>
      <c r="P13" s="1110"/>
      <c r="Q13" s="1907">
        <v>10</v>
      </c>
      <c r="R13" s="1110"/>
      <c r="S13" s="1146">
        <v>71408450</v>
      </c>
      <c r="T13" s="1629"/>
      <c r="U13" s="1146"/>
      <c r="V13" s="1629"/>
      <c r="W13" s="1146"/>
      <c r="X13" s="1629"/>
      <c r="Y13" s="1146">
        <v>71408450</v>
      </c>
      <c r="Z13" s="2114">
        <f>C13-'Blocking-Step2'!C13</f>
        <v>0</v>
      </c>
      <c r="AA13" s="2114">
        <f>D13-'Blocking-Step2'!D13</f>
        <v>0</v>
      </c>
      <c r="AC13" s="2114">
        <f>F13-'Blocking-Step2'!F13</f>
        <v>0</v>
      </c>
      <c r="AE13" s="2114">
        <f>H13-'Blocking-Step2'!H13</f>
        <v>0</v>
      </c>
      <c r="AF13" s="2114">
        <f>I13-'Blocking-Step2'!I13</f>
        <v>0</v>
      </c>
      <c r="AH13" s="2136">
        <f>K13-'Blocking-Step2'!K13</f>
        <v>0</v>
      </c>
      <c r="AJ13" s="2136">
        <f>M13-'Blocking-Step2'!M13</f>
        <v>0</v>
      </c>
      <c r="AL13" s="2136">
        <f>O13-'Blocking-Step2'!O13</f>
        <v>0</v>
      </c>
      <c r="AN13" s="2137">
        <f>Q13-'Blocking-Step2'!Q13</f>
        <v>0</v>
      </c>
      <c r="AP13" s="2127">
        <f>S13-'Blocking-Step2'!S13</f>
        <v>0</v>
      </c>
      <c r="AR13" s="2127">
        <f>U13-'Blocking-Step2'!U13</f>
        <v>0</v>
      </c>
      <c r="AT13" s="2127">
        <f>W13-'Blocking-Step2'!W13</f>
        <v>0</v>
      </c>
      <c r="AV13" s="2128">
        <f>Y13-'Blocking-Step2'!Y13</f>
        <v>0</v>
      </c>
    </row>
    <row r="14" spans="1:48">
      <c r="A14" s="1116" t="s">
        <v>1582</v>
      </c>
      <c r="C14" s="1105">
        <v>2157725.8666665284</v>
      </c>
      <c r="D14" s="1105">
        <v>2188463</v>
      </c>
      <c r="F14" s="1907"/>
      <c r="G14" s="1110"/>
      <c r="H14" s="1146"/>
      <c r="I14" s="1146"/>
      <c r="K14" s="1907">
        <v>6</v>
      </c>
      <c r="L14" s="1110"/>
      <c r="M14" s="1907"/>
      <c r="N14" s="1110"/>
      <c r="O14" s="1907"/>
      <c r="P14" s="1110"/>
      <c r="Q14" s="1907">
        <v>6</v>
      </c>
      <c r="R14" s="1110"/>
      <c r="S14" s="1146">
        <v>13130778</v>
      </c>
      <c r="T14" s="1629"/>
      <c r="U14" s="1146"/>
      <c r="V14" s="1629"/>
      <c r="W14" s="1146"/>
      <c r="X14" s="1629"/>
      <c r="Y14" s="1146">
        <v>13130778</v>
      </c>
      <c r="Z14" s="2114">
        <f>C14-'Blocking-Step2'!C14</f>
        <v>0</v>
      </c>
      <c r="AA14" s="2114">
        <f>D14-'Blocking-Step2'!D14</f>
        <v>0</v>
      </c>
      <c r="AC14" s="2114">
        <f>F14-'Blocking-Step2'!F14</f>
        <v>0</v>
      </c>
      <c r="AE14" s="2114">
        <f>H14-'Blocking-Step2'!H14</f>
        <v>0</v>
      </c>
      <c r="AF14" s="2114">
        <f>I14-'Blocking-Step2'!I14</f>
        <v>0</v>
      </c>
      <c r="AH14" s="2136">
        <f>K14-'Blocking-Step2'!K14</f>
        <v>0</v>
      </c>
      <c r="AJ14" s="2136">
        <f>M14-'Blocking-Step2'!M14</f>
        <v>0</v>
      </c>
      <c r="AL14" s="2136">
        <f>O14-'Blocking-Step2'!O14</f>
        <v>0</v>
      </c>
      <c r="AN14" s="2137">
        <f>Q14-'Blocking-Step2'!Q14</f>
        <v>0</v>
      </c>
      <c r="AP14" s="2127">
        <f>S14-'Blocking-Step2'!S14</f>
        <v>0</v>
      </c>
      <c r="AR14" s="2127">
        <f>U14-'Blocking-Step2'!U14</f>
        <v>0</v>
      </c>
      <c r="AT14" s="2127">
        <f>W14-'Blocking-Step2'!W14</f>
        <v>0</v>
      </c>
      <c r="AV14" s="2128">
        <f>Y14-'Blocking-Step2'!Y14</f>
        <v>0</v>
      </c>
    </row>
    <row r="15" spans="1:48">
      <c r="A15" s="1116" t="s">
        <v>684</v>
      </c>
      <c r="C15" s="1105">
        <v>15322.33333333333</v>
      </c>
      <c r="D15" s="1105">
        <v>15541.084514116868</v>
      </c>
      <c r="F15" s="1907">
        <v>12</v>
      </c>
      <c r="G15" s="1110"/>
      <c r="H15" s="1146">
        <v>183868</v>
      </c>
      <c r="I15" s="1146">
        <v>186493</v>
      </c>
      <c r="K15" s="1907"/>
      <c r="L15" s="1110"/>
      <c r="M15" s="1907"/>
      <c r="N15" s="1110"/>
      <c r="O15" s="1907"/>
      <c r="P15" s="1110"/>
      <c r="Q15" s="1907"/>
      <c r="R15" s="1110"/>
      <c r="S15" s="1629"/>
      <c r="T15" s="1629"/>
      <c r="U15" s="1629"/>
      <c r="V15" s="1629"/>
      <c r="W15" s="1629"/>
      <c r="X15" s="1629"/>
      <c r="Y15" s="1146"/>
      <c r="Z15" s="2114">
        <f>C15-'Blocking-Step2'!C15</f>
        <v>0</v>
      </c>
      <c r="AA15" s="2114">
        <f>D15-'Blocking-Step2'!D15</f>
        <v>0</v>
      </c>
      <c r="AC15" s="2114">
        <f>F15-'Blocking-Step2'!F15</f>
        <v>0</v>
      </c>
      <c r="AE15" s="2114">
        <f>H15-'Blocking-Step2'!H15</f>
        <v>0</v>
      </c>
      <c r="AF15" s="2114">
        <f>I15-'Blocking-Step2'!I15</f>
        <v>0</v>
      </c>
      <c r="AH15" s="2136">
        <f>K15-'Blocking-Step2'!K15</f>
        <v>0</v>
      </c>
      <c r="AJ15" s="2136">
        <f>M15-'Blocking-Step2'!M15</f>
        <v>0</v>
      </c>
      <c r="AL15" s="2136">
        <f>O15-'Blocking-Step2'!O15</f>
        <v>0</v>
      </c>
      <c r="AN15" s="2137">
        <f>Q15-'Blocking-Step2'!Q15</f>
        <v>0</v>
      </c>
      <c r="AP15" s="2127">
        <f>S15-'Blocking-Step2'!S15</f>
        <v>0</v>
      </c>
      <c r="AR15" s="2127">
        <f>U15-'Blocking-Step2'!U15</f>
        <v>0</v>
      </c>
      <c r="AT15" s="2127">
        <f>W15-'Blocking-Step2'!W15</f>
        <v>0</v>
      </c>
      <c r="AV15" s="2128">
        <f>Y15-'Blocking-Step2'!Y15</f>
        <v>0</v>
      </c>
    </row>
    <row r="16" spans="1:48">
      <c r="A16" s="1116" t="s">
        <v>1581</v>
      </c>
      <c r="C16" s="1105">
        <v>3278.3999999999996</v>
      </c>
      <c r="D16" s="1105">
        <v>3325.0845141168684</v>
      </c>
      <c r="F16" s="1907"/>
      <c r="G16" s="1110"/>
      <c r="H16" s="1146"/>
      <c r="I16" s="1146"/>
      <c r="K16" s="1907">
        <v>20</v>
      </c>
      <c r="L16" s="1110"/>
      <c r="M16" s="1907"/>
      <c r="N16" s="1110"/>
      <c r="O16" s="1907"/>
      <c r="P16" s="1110"/>
      <c r="Q16" s="1907">
        <v>20</v>
      </c>
      <c r="R16" s="1110"/>
      <c r="S16" s="1146">
        <v>66502</v>
      </c>
      <c r="T16" s="1629"/>
      <c r="U16" s="1146"/>
      <c r="V16" s="1629"/>
      <c r="W16" s="1146"/>
      <c r="X16" s="1629"/>
      <c r="Y16" s="1146">
        <v>66502</v>
      </c>
      <c r="Z16" s="2114">
        <f>C16-'Blocking-Step2'!C16</f>
        <v>0</v>
      </c>
      <c r="AA16" s="2114">
        <f>D16-'Blocking-Step2'!D16</f>
        <v>0</v>
      </c>
      <c r="AC16" s="2114">
        <f>F16-'Blocking-Step2'!F16</f>
        <v>0</v>
      </c>
      <c r="AE16" s="2114">
        <f>H16-'Blocking-Step2'!H16</f>
        <v>0</v>
      </c>
      <c r="AF16" s="2114">
        <f>I16-'Blocking-Step2'!I16</f>
        <v>0</v>
      </c>
      <c r="AH16" s="2136">
        <f>K16-'Blocking-Step2'!K16</f>
        <v>0</v>
      </c>
      <c r="AJ16" s="2136">
        <f>M16-'Blocking-Step2'!M16</f>
        <v>0</v>
      </c>
      <c r="AL16" s="2136">
        <f>O16-'Blocking-Step2'!O16</f>
        <v>0</v>
      </c>
      <c r="AN16" s="2137">
        <f>Q16-'Blocking-Step2'!Q16</f>
        <v>0</v>
      </c>
      <c r="AP16" s="2127">
        <f>S16-'Blocking-Step2'!S16</f>
        <v>0</v>
      </c>
      <c r="AR16" s="2127">
        <f>U16-'Blocking-Step2'!U16</f>
        <v>0</v>
      </c>
      <c r="AT16" s="2127">
        <f>W16-'Blocking-Step2'!W16</f>
        <v>0</v>
      </c>
      <c r="AV16" s="2128">
        <f>Y16-'Blocking-Step2'!Y16</f>
        <v>0</v>
      </c>
    </row>
    <row r="17" spans="1:48">
      <c r="A17" s="1116" t="s">
        <v>1582</v>
      </c>
      <c r="C17" s="1105">
        <v>12043.933333333331</v>
      </c>
      <c r="D17" s="1105">
        <v>12216</v>
      </c>
      <c r="F17" s="1907"/>
      <c r="G17" s="1110"/>
      <c r="H17" s="1146"/>
      <c r="I17" s="1146"/>
      <c r="K17" s="1907">
        <v>12</v>
      </c>
      <c r="L17" s="1110"/>
      <c r="M17" s="1907"/>
      <c r="N17" s="1110"/>
      <c r="O17" s="1907"/>
      <c r="P17" s="1110"/>
      <c r="Q17" s="1907">
        <v>12</v>
      </c>
      <c r="R17" s="1110"/>
      <c r="S17" s="1146">
        <v>146592</v>
      </c>
      <c r="T17" s="1629"/>
      <c r="U17" s="1146"/>
      <c r="V17" s="1629"/>
      <c r="W17" s="1146"/>
      <c r="X17" s="1629"/>
      <c r="Y17" s="1146">
        <v>146592</v>
      </c>
      <c r="Z17" s="2114">
        <f>C17-'Blocking-Step2'!C17</f>
        <v>0</v>
      </c>
      <c r="AA17" s="2114">
        <f>D17-'Blocking-Step2'!D17</f>
        <v>0</v>
      </c>
      <c r="AC17" s="2114">
        <f>F17-'Blocking-Step2'!F17</f>
        <v>0</v>
      </c>
      <c r="AE17" s="2114">
        <f>H17-'Blocking-Step2'!H17</f>
        <v>0</v>
      </c>
      <c r="AF17" s="2114">
        <f>I17-'Blocking-Step2'!I17</f>
        <v>0</v>
      </c>
      <c r="AH17" s="2136">
        <f>K17-'Blocking-Step2'!K17</f>
        <v>0</v>
      </c>
      <c r="AJ17" s="2136">
        <f>M17-'Blocking-Step2'!M17</f>
        <v>0</v>
      </c>
      <c r="AL17" s="2136">
        <f>O17-'Blocking-Step2'!O17</f>
        <v>0</v>
      </c>
      <c r="AN17" s="2137">
        <f>Q17-'Blocking-Step2'!Q17</f>
        <v>0</v>
      </c>
      <c r="AP17" s="2127">
        <f>S17-'Blocking-Step2'!S17</f>
        <v>0</v>
      </c>
      <c r="AR17" s="2127">
        <f>U17-'Blocking-Step2'!U17</f>
        <v>0</v>
      </c>
      <c r="AT17" s="2127">
        <f>W17-'Blocking-Step2'!W17</f>
        <v>0</v>
      </c>
      <c r="AV17" s="2128">
        <f>Y17-'Blocking-Step2'!Y17</f>
        <v>0</v>
      </c>
    </row>
    <row r="18" spans="1:48">
      <c r="A18" s="1116" t="s">
        <v>1236</v>
      </c>
      <c r="C18" s="1105">
        <v>0</v>
      </c>
      <c r="D18" s="1105">
        <v>0</v>
      </c>
      <c r="F18" s="1907">
        <v>2</v>
      </c>
      <c r="G18" s="1110"/>
      <c r="H18" s="1146">
        <v>0</v>
      </c>
      <c r="I18" s="1146">
        <v>0</v>
      </c>
      <c r="K18" s="1907">
        <v>2</v>
      </c>
      <c r="L18" s="1110"/>
      <c r="M18" s="1907"/>
      <c r="N18" s="1110"/>
      <c r="O18" s="1907"/>
      <c r="P18" s="1110"/>
      <c r="Q18" s="1907">
        <v>2</v>
      </c>
      <c r="R18" s="1110"/>
      <c r="S18" s="1146">
        <v>0</v>
      </c>
      <c r="T18" s="1629"/>
      <c r="U18" s="1146"/>
      <c r="V18" s="1629"/>
      <c r="W18" s="1146"/>
      <c r="X18" s="1629"/>
      <c r="Y18" s="1146">
        <v>0</v>
      </c>
      <c r="Z18" s="2114">
        <f>C18-'Blocking-Step2'!C18</f>
        <v>0</v>
      </c>
      <c r="AA18" s="2114">
        <f>D18-'Blocking-Step2'!D18</f>
        <v>0</v>
      </c>
      <c r="AC18" s="2114">
        <f>F18-'Blocking-Step2'!F18</f>
        <v>0</v>
      </c>
      <c r="AE18" s="2114">
        <f>H18-'Blocking-Step2'!H18</f>
        <v>0</v>
      </c>
      <c r="AF18" s="2114">
        <f>I18-'Blocking-Step2'!I18</f>
        <v>0</v>
      </c>
      <c r="AH18" s="2136">
        <f>K18-'Blocking-Step2'!K18</f>
        <v>0</v>
      </c>
      <c r="AJ18" s="2136">
        <f>M18-'Blocking-Step2'!M18</f>
        <v>0</v>
      </c>
      <c r="AL18" s="2136">
        <f>O18-'Blocking-Step2'!O18</f>
        <v>0</v>
      </c>
      <c r="AN18" s="2137">
        <f>Q18-'Blocking-Step2'!Q18</f>
        <v>0</v>
      </c>
      <c r="AP18" s="2127">
        <f>S18-'Blocking-Step2'!S18</f>
        <v>0</v>
      </c>
      <c r="AR18" s="2127">
        <f>U18-'Blocking-Step2'!U18</f>
        <v>0</v>
      </c>
      <c r="AT18" s="2127">
        <f>W18-'Blocking-Step2'!W18</f>
        <v>0</v>
      </c>
      <c r="AV18" s="2128">
        <f>Y18-'Blocking-Step2'!Y18</f>
        <v>0</v>
      </c>
    </row>
    <row r="19" spans="1:48">
      <c r="A19" s="1116" t="s">
        <v>1301</v>
      </c>
      <c r="C19" s="1105">
        <v>249.56681818181821</v>
      </c>
      <c r="D19" s="1105">
        <v>253</v>
      </c>
      <c r="F19" s="1907">
        <v>22</v>
      </c>
      <c r="G19" s="1110"/>
      <c r="H19" s="1146">
        <v>5490</v>
      </c>
      <c r="I19" s="1146">
        <v>5566</v>
      </c>
      <c r="K19" s="1907">
        <v>22</v>
      </c>
      <c r="L19" s="1110"/>
      <c r="M19" s="1907"/>
      <c r="N19" s="1110"/>
      <c r="O19" s="1907"/>
      <c r="P19" s="1110"/>
      <c r="Q19" s="1907">
        <v>22</v>
      </c>
      <c r="R19" s="1110"/>
      <c r="S19" s="1146">
        <v>5566</v>
      </c>
      <c r="T19" s="1629"/>
      <c r="U19" s="1146"/>
      <c r="V19" s="1629"/>
      <c r="W19" s="1146"/>
      <c r="X19" s="1629"/>
      <c r="Y19" s="1146">
        <v>5566</v>
      </c>
      <c r="Z19" s="2114">
        <f>C19-'Blocking-Step2'!C19</f>
        <v>0</v>
      </c>
      <c r="AA19" s="2114">
        <f>D19-'Blocking-Step2'!D19</f>
        <v>0</v>
      </c>
      <c r="AC19" s="2114">
        <f>F19-'Blocking-Step2'!F19</f>
        <v>0</v>
      </c>
      <c r="AE19" s="2114">
        <f>H19-'Blocking-Step2'!H19</f>
        <v>0</v>
      </c>
      <c r="AF19" s="2114">
        <f>I19-'Blocking-Step2'!I19</f>
        <v>0</v>
      </c>
      <c r="AH19" s="2136">
        <f>K19-'Blocking-Step2'!K19</f>
        <v>0</v>
      </c>
      <c r="AJ19" s="2136">
        <f>M19-'Blocking-Step2'!M19</f>
        <v>0</v>
      </c>
      <c r="AL19" s="2136">
        <f>O19-'Blocking-Step2'!O19</f>
        <v>0</v>
      </c>
      <c r="AN19" s="2137">
        <f>Q19-'Blocking-Step2'!Q19</f>
        <v>0</v>
      </c>
      <c r="AP19" s="2127">
        <f>S19-'Blocking-Step2'!S19</f>
        <v>0</v>
      </c>
      <c r="AR19" s="2127">
        <f>U19-'Blocking-Step2'!U19</f>
        <v>0</v>
      </c>
      <c r="AT19" s="2127">
        <f>W19-'Blocking-Step2'!W19</f>
        <v>0</v>
      </c>
      <c r="AV19" s="2128">
        <f>Y19-'Blocking-Step2'!Y19</f>
        <v>0</v>
      </c>
    </row>
    <row r="20" spans="1:48">
      <c r="A20" s="1116" t="s">
        <v>243</v>
      </c>
      <c r="C20" s="1105">
        <v>17041.058750000539</v>
      </c>
      <c r="D20" s="1105">
        <v>17284</v>
      </c>
      <c r="F20" s="1907">
        <v>8</v>
      </c>
      <c r="G20" s="1110"/>
      <c r="H20" s="1146">
        <v>136328</v>
      </c>
      <c r="I20" s="1146">
        <v>138272</v>
      </c>
      <c r="K20" s="1907"/>
      <c r="L20" s="1110"/>
      <c r="M20" s="1907"/>
      <c r="N20" s="1110"/>
      <c r="O20" s="1907"/>
      <c r="P20" s="1110"/>
      <c r="Q20" s="1907"/>
      <c r="R20" s="1110"/>
      <c r="S20" s="1629"/>
      <c r="T20" s="1629"/>
      <c r="U20" s="1629"/>
      <c r="V20" s="1629"/>
      <c r="W20" s="1629"/>
      <c r="X20" s="1629"/>
      <c r="Y20" s="1146"/>
      <c r="Z20" s="2114">
        <f>C20-'Blocking-Step2'!C20</f>
        <v>0</v>
      </c>
      <c r="AA20" s="2114">
        <f>D20-'Blocking-Step2'!D20</f>
        <v>0</v>
      </c>
      <c r="AC20" s="2114">
        <f>F20-'Blocking-Step2'!F20</f>
        <v>0</v>
      </c>
      <c r="AE20" s="2114">
        <f>H20-'Blocking-Step2'!H20</f>
        <v>0</v>
      </c>
      <c r="AF20" s="2114">
        <f>I20-'Blocking-Step2'!I20</f>
        <v>0</v>
      </c>
      <c r="AH20" s="2136">
        <f>K20-'Blocking-Step2'!K20</f>
        <v>0</v>
      </c>
      <c r="AJ20" s="2136">
        <f>M20-'Blocking-Step2'!M20</f>
        <v>0</v>
      </c>
      <c r="AL20" s="2136">
        <f>O20-'Blocking-Step2'!O20</f>
        <v>0</v>
      </c>
      <c r="AN20" s="2137">
        <f>Q20-'Blocking-Step2'!Q20</f>
        <v>0</v>
      </c>
      <c r="AP20" s="2127">
        <f>S20-'Blocking-Step2'!S20</f>
        <v>0</v>
      </c>
      <c r="AR20" s="2127">
        <f>U20-'Blocking-Step2'!U20</f>
        <v>0</v>
      </c>
      <c r="AT20" s="2127">
        <f>W20-'Blocking-Step2'!W20</f>
        <v>0</v>
      </c>
      <c r="AV20" s="2128">
        <f>Y20-'Blocking-Step2'!Y20</f>
        <v>0</v>
      </c>
    </row>
    <row r="21" spans="1:48">
      <c r="A21" s="1116" t="s">
        <v>1581</v>
      </c>
      <c r="C21" s="1105">
        <v>11907.49875000057</v>
      </c>
      <c r="D21" s="1105">
        <v>12077</v>
      </c>
      <c r="F21" s="1907"/>
      <c r="G21" s="1110"/>
      <c r="H21" s="1146"/>
      <c r="I21" s="1146"/>
      <c r="K21" s="1907"/>
      <c r="L21" s="1110"/>
      <c r="M21" s="1907"/>
      <c r="N21" s="1110"/>
      <c r="O21" s="1907"/>
      <c r="P21" s="1110"/>
      <c r="Q21" s="1907"/>
      <c r="R21" s="1110"/>
      <c r="S21" s="1629"/>
      <c r="T21" s="1629"/>
      <c r="U21" s="1629"/>
      <c r="V21" s="1629"/>
      <c r="W21" s="1629"/>
      <c r="X21" s="1629"/>
      <c r="Y21" s="1146"/>
      <c r="Z21" s="2114">
        <f>C21-'Blocking-Step2'!C21</f>
        <v>0</v>
      </c>
      <c r="AA21" s="2114">
        <f>D21-'Blocking-Step2'!D21</f>
        <v>0</v>
      </c>
      <c r="AC21" s="2114">
        <f>F21-'Blocking-Step2'!F21</f>
        <v>0</v>
      </c>
      <c r="AE21" s="2114">
        <f>H21-'Blocking-Step2'!H21</f>
        <v>0</v>
      </c>
      <c r="AF21" s="2114">
        <f>I21-'Blocking-Step2'!I21</f>
        <v>0</v>
      </c>
      <c r="AH21" s="2136">
        <f>K21-'Blocking-Step2'!K21</f>
        <v>0</v>
      </c>
      <c r="AJ21" s="2136">
        <f>M21-'Blocking-Step2'!M21</f>
        <v>0</v>
      </c>
      <c r="AL21" s="2136">
        <f>O21-'Blocking-Step2'!O21</f>
        <v>0</v>
      </c>
      <c r="AN21" s="2137">
        <f>Q21-'Blocking-Step2'!Q21</f>
        <v>0</v>
      </c>
      <c r="AP21" s="2127">
        <f>S21-'Blocking-Step2'!S21</f>
        <v>0</v>
      </c>
      <c r="AR21" s="2127">
        <f>U21-'Blocking-Step2'!U21</f>
        <v>0</v>
      </c>
      <c r="AT21" s="2127">
        <f>W21-'Blocking-Step2'!W21</f>
        <v>0</v>
      </c>
      <c r="AV21" s="2128">
        <f>Y21-'Blocking-Step2'!Y21</f>
        <v>0</v>
      </c>
    </row>
    <row r="22" spans="1:48">
      <c r="A22" s="1116" t="s">
        <v>1582</v>
      </c>
      <c r="C22" s="1105">
        <v>5133.5599999999695</v>
      </c>
      <c r="D22" s="1105">
        <v>5207</v>
      </c>
      <c r="F22" s="1907"/>
      <c r="G22" s="1110"/>
      <c r="H22" s="1146"/>
      <c r="I22" s="1146"/>
      <c r="K22" s="1907"/>
      <c r="L22" s="1110"/>
      <c r="M22" s="1907"/>
      <c r="N22" s="1110"/>
      <c r="O22" s="1907"/>
      <c r="P22" s="1110"/>
      <c r="Q22" s="1907"/>
      <c r="R22" s="1110"/>
      <c r="S22" s="1629"/>
      <c r="T22" s="1629"/>
      <c r="U22" s="1629"/>
      <c r="V22" s="1629"/>
      <c r="W22" s="1629"/>
      <c r="X22" s="1629"/>
      <c r="Y22" s="1146"/>
      <c r="Z22" s="2114">
        <f>C22-'Blocking-Step2'!C22</f>
        <v>0</v>
      </c>
      <c r="AA22" s="2114">
        <f>D22-'Blocking-Step2'!D22</f>
        <v>0</v>
      </c>
      <c r="AC22" s="2114">
        <f>F22-'Blocking-Step2'!F22</f>
        <v>0</v>
      </c>
      <c r="AE22" s="2114">
        <f>H22-'Blocking-Step2'!H22</f>
        <v>0</v>
      </c>
      <c r="AF22" s="2114">
        <f>I22-'Blocking-Step2'!I22</f>
        <v>0</v>
      </c>
      <c r="AH22" s="2136">
        <f>K22-'Blocking-Step2'!K22</f>
        <v>0</v>
      </c>
      <c r="AJ22" s="2136">
        <f>M22-'Blocking-Step2'!M22</f>
        <v>0</v>
      </c>
      <c r="AL22" s="2136">
        <f>O22-'Blocking-Step2'!O22</f>
        <v>0</v>
      </c>
      <c r="AN22" s="2137">
        <f>Q22-'Blocking-Step2'!Q22</f>
        <v>0</v>
      </c>
      <c r="AP22" s="2127">
        <f>S22-'Blocking-Step2'!S22</f>
        <v>0</v>
      </c>
      <c r="AR22" s="2127">
        <f>U22-'Blocking-Step2'!U22</f>
        <v>0</v>
      </c>
      <c r="AT22" s="2127">
        <f>W22-'Blocking-Step2'!W22</f>
        <v>0</v>
      </c>
      <c r="AV22" s="2128">
        <f>Y22-'Blocking-Step2'!Y22</f>
        <v>0</v>
      </c>
    </row>
    <row r="23" spans="1:48">
      <c r="A23" s="1116" t="s">
        <v>244</v>
      </c>
      <c r="C23" s="1105">
        <v>28.496875000000003</v>
      </c>
      <c r="D23" s="1105">
        <v>29</v>
      </c>
      <c r="F23" s="1907">
        <v>16</v>
      </c>
      <c r="G23" s="617"/>
      <c r="H23" s="1146">
        <v>456</v>
      </c>
      <c r="I23" s="1146">
        <v>464</v>
      </c>
      <c r="K23" s="1907"/>
      <c r="L23" s="617"/>
      <c r="M23" s="1907"/>
      <c r="N23" s="617"/>
      <c r="O23" s="1907"/>
      <c r="P23" s="617"/>
      <c r="Q23" s="1907"/>
      <c r="R23" s="617"/>
      <c r="S23" s="1114"/>
      <c r="T23" s="1114"/>
      <c r="U23" s="1114"/>
      <c r="V23" s="1114"/>
      <c r="W23" s="1114"/>
      <c r="X23" s="1114"/>
      <c r="Y23" s="1146"/>
      <c r="Z23" s="2114">
        <f>C23-'Blocking-Step2'!C23</f>
        <v>0</v>
      </c>
      <c r="AA23" s="2114">
        <f>D23-'Blocking-Step2'!D23</f>
        <v>0</v>
      </c>
      <c r="AC23" s="2114">
        <f>F23-'Blocking-Step2'!F23</f>
        <v>0</v>
      </c>
      <c r="AE23" s="2114">
        <f>H23-'Blocking-Step2'!H23</f>
        <v>0</v>
      </c>
      <c r="AF23" s="2114">
        <f>I23-'Blocking-Step2'!I23</f>
        <v>0</v>
      </c>
      <c r="AH23" s="2136">
        <f>K23-'Blocking-Step2'!K23</f>
        <v>0</v>
      </c>
      <c r="AJ23" s="2136">
        <f>M23-'Blocking-Step2'!M23</f>
        <v>0</v>
      </c>
      <c r="AL23" s="2136">
        <f>O23-'Blocking-Step2'!O23</f>
        <v>0</v>
      </c>
      <c r="AN23" s="2137">
        <f>Q23-'Blocking-Step2'!Q23</f>
        <v>0</v>
      </c>
      <c r="AP23" s="2127">
        <f>S23-'Blocking-Step2'!S23</f>
        <v>0</v>
      </c>
      <c r="AR23" s="2127">
        <f>U23-'Blocking-Step2'!U23</f>
        <v>0</v>
      </c>
      <c r="AT23" s="2127">
        <f>W23-'Blocking-Step2'!W23</f>
        <v>0</v>
      </c>
      <c r="AV23" s="2128">
        <f>Y23-'Blocking-Step2'!Y23</f>
        <v>0</v>
      </c>
    </row>
    <row r="24" spans="1:48">
      <c r="A24" s="1116" t="s">
        <v>1581</v>
      </c>
      <c r="C24" s="1105">
        <v>6.9375000000000036</v>
      </c>
      <c r="D24" s="1105">
        <v>7</v>
      </c>
      <c r="F24" s="1907"/>
      <c r="G24" s="1110"/>
      <c r="H24" s="1146"/>
      <c r="I24" s="1146"/>
      <c r="K24" s="1907"/>
      <c r="L24" s="1110"/>
      <c r="M24" s="1907"/>
      <c r="N24" s="1110"/>
      <c r="O24" s="1907"/>
      <c r="P24" s="1110"/>
      <c r="Q24" s="1907"/>
      <c r="R24" s="1110"/>
      <c r="S24" s="1629"/>
      <c r="T24" s="1629"/>
      <c r="U24" s="1629"/>
      <c r="V24" s="1629"/>
      <c r="W24" s="1629"/>
      <c r="X24" s="1629"/>
      <c r="Y24" s="1146"/>
      <c r="Z24" s="2114">
        <f>C24-'Blocking-Step2'!C24</f>
        <v>0</v>
      </c>
      <c r="AA24" s="2114">
        <f>D24-'Blocking-Step2'!D24</f>
        <v>0</v>
      </c>
      <c r="AC24" s="2114">
        <f>F24-'Blocking-Step2'!F24</f>
        <v>0</v>
      </c>
      <c r="AE24" s="2114">
        <f>H24-'Blocking-Step2'!H24</f>
        <v>0</v>
      </c>
      <c r="AF24" s="2114">
        <f>I24-'Blocking-Step2'!I24</f>
        <v>0</v>
      </c>
      <c r="AH24" s="2136">
        <f>K24-'Blocking-Step2'!K24</f>
        <v>0</v>
      </c>
      <c r="AJ24" s="2136">
        <f>M24-'Blocking-Step2'!M24</f>
        <v>0</v>
      </c>
      <c r="AL24" s="2136">
        <f>O24-'Blocking-Step2'!O24</f>
        <v>0</v>
      </c>
      <c r="AN24" s="2137">
        <f>Q24-'Blocking-Step2'!Q24</f>
        <v>0</v>
      </c>
      <c r="AP24" s="2127">
        <f>S24-'Blocking-Step2'!S24</f>
        <v>0</v>
      </c>
      <c r="AR24" s="2127">
        <f>U24-'Blocking-Step2'!U24</f>
        <v>0</v>
      </c>
      <c r="AT24" s="2127">
        <f>W24-'Blocking-Step2'!W24</f>
        <v>0</v>
      </c>
      <c r="AV24" s="2128">
        <f>Y24-'Blocking-Step2'!Y24</f>
        <v>0</v>
      </c>
    </row>
    <row r="25" spans="1:48">
      <c r="A25" s="1116" t="s">
        <v>1582</v>
      </c>
      <c r="C25" s="1105">
        <v>21.559374999999999</v>
      </c>
      <c r="D25" s="1105">
        <v>22</v>
      </c>
      <c r="F25" s="1907"/>
      <c r="G25" s="1110"/>
      <c r="H25" s="1146"/>
      <c r="I25" s="1146"/>
      <c r="K25" s="1907"/>
      <c r="L25" s="1110"/>
      <c r="M25" s="1907"/>
      <c r="N25" s="1110"/>
      <c r="O25" s="1907"/>
      <c r="P25" s="1110"/>
      <c r="Q25" s="1907"/>
      <c r="R25" s="1110"/>
      <c r="S25" s="1629"/>
      <c r="T25" s="1629"/>
      <c r="U25" s="1629"/>
      <c r="V25" s="1629"/>
      <c r="W25" s="1629"/>
      <c r="X25" s="1629"/>
      <c r="Y25" s="1146"/>
      <c r="Z25" s="2114">
        <f>C25-'Blocking-Step2'!C25</f>
        <v>0</v>
      </c>
      <c r="AA25" s="2114">
        <f>D25-'Blocking-Step2'!D25</f>
        <v>0</v>
      </c>
      <c r="AC25" s="2114">
        <f>F25-'Blocking-Step2'!F25</f>
        <v>0</v>
      </c>
      <c r="AE25" s="2114">
        <f>H25-'Blocking-Step2'!H25</f>
        <v>0</v>
      </c>
      <c r="AF25" s="2114">
        <f>I25-'Blocking-Step2'!I25</f>
        <v>0</v>
      </c>
      <c r="AH25" s="2136">
        <f>K25-'Blocking-Step2'!K25</f>
        <v>0</v>
      </c>
      <c r="AJ25" s="2136">
        <f>M25-'Blocking-Step2'!M25</f>
        <v>0</v>
      </c>
      <c r="AL25" s="2136">
        <f>O25-'Blocking-Step2'!O25</f>
        <v>0</v>
      </c>
      <c r="AN25" s="2137">
        <f>Q25-'Blocking-Step2'!Q25</f>
        <v>0</v>
      </c>
      <c r="AP25" s="2127">
        <f>S25-'Blocking-Step2'!S25</f>
        <v>0</v>
      </c>
      <c r="AR25" s="2127">
        <f>U25-'Blocking-Step2'!U25</f>
        <v>0</v>
      </c>
      <c r="AT25" s="2127">
        <f>W25-'Blocking-Step2'!W25</f>
        <v>0</v>
      </c>
      <c r="AV25" s="2128">
        <f>Y25-'Blocking-Step2'!Y25</f>
        <v>0</v>
      </c>
    </row>
    <row r="26" spans="1:48">
      <c r="A26" s="1116" t="s">
        <v>245</v>
      </c>
      <c r="C26" s="1105">
        <v>4.2413541666666674</v>
      </c>
      <c r="D26" s="1105">
        <v>4</v>
      </c>
      <c r="F26" s="1907">
        <v>96</v>
      </c>
      <c r="G26" s="617"/>
      <c r="H26" s="1146">
        <v>407</v>
      </c>
      <c r="I26" s="1146">
        <v>384</v>
      </c>
      <c r="K26" s="1907"/>
      <c r="L26" s="617"/>
      <c r="M26" s="1907"/>
      <c r="N26" s="617"/>
      <c r="O26" s="1907"/>
      <c r="P26" s="617"/>
      <c r="Q26" s="1907"/>
      <c r="R26" s="617"/>
      <c r="S26" s="1114"/>
      <c r="T26" s="1114"/>
      <c r="U26" s="1114"/>
      <c r="V26" s="1114"/>
      <c r="W26" s="1114"/>
      <c r="X26" s="1114"/>
      <c r="Y26" s="1146"/>
      <c r="Z26" s="2114">
        <f>C26-'Blocking-Step2'!C26</f>
        <v>0</v>
      </c>
      <c r="AA26" s="2114">
        <f>D26-'Blocking-Step2'!D26</f>
        <v>0</v>
      </c>
      <c r="AC26" s="2114">
        <f>F26-'Blocking-Step2'!F26</f>
        <v>0</v>
      </c>
      <c r="AE26" s="2114">
        <f>H26-'Blocking-Step2'!H26</f>
        <v>0</v>
      </c>
      <c r="AF26" s="2114">
        <f>I26-'Blocking-Step2'!I26</f>
        <v>0</v>
      </c>
      <c r="AH26" s="2136">
        <f>K26-'Blocking-Step2'!K26</f>
        <v>0</v>
      </c>
      <c r="AJ26" s="2136">
        <f>M26-'Blocking-Step2'!M26</f>
        <v>0</v>
      </c>
      <c r="AL26" s="2136">
        <f>O26-'Blocking-Step2'!O26</f>
        <v>0</v>
      </c>
      <c r="AN26" s="2137">
        <f>Q26-'Blocking-Step2'!Q26</f>
        <v>0</v>
      </c>
      <c r="AP26" s="2127">
        <f>S26-'Blocking-Step2'!S26</f>
        <v>0</v>
      </c>
      <c r="AR26" s="2127">
        <f>U26-'Blocking-Step2'!U26</f>
        <v>0</v>
      </c>
      <c r="AT26" s="2127">
        <f>W26-'Blocking-Step2'!W26</f>
        <v>0</v>
      </c>
      <c r="AV26" s="2128">
        <f>Y26-'Blocking-Step2'!Y26</f>
        <v>0</v>
      </c>
    </row>
    <row r="27" spans="1:48">
      <c r="A27" s="1116" t="s">
        <v>1532</v>
      </c>
      <c r="C27" s="1105">
        <v>0</v>
      </c>
      <c r="D27" s="1105">
        <v>0</v>
      </c>
      <c r="F27" s="1922"/>
      <c r="G27" s="1921"/>
      <c r="H27" s="1146"/>
      <c r="I27" s="1146"/>
      <c r="K27" s="1922"/>
      <c r="L27" s="1921"/>
      <c r="M27" s="1922"/>
      <c r="N27" s="1921"/>
      <c r="O27" s="1922">
        <v>4.3559999999999999</v>
      </c>
      <c r="P27" s="1921" t="s">
        <v>495</v>
      </c>
      <c r="Q27" s="1922">
        <v>4.3559999999999999</v>
      </c>
      <c r="R27" s="1921" t="s">
        <v>495</v>
      </c>
      <c r="S27" s="1146">
        <v>0</v>
      </c>
      <c r="T27" s="1656"/>
      <c r="U27" s="1146">
        <v>0</v>
      </c>
      <c r="V27" s="1656"/>
      <c r="W27" s="1146">
        <v>0</v>
      </c>
      <c r="X27" s="1648"/>
      <c r="Y27" s="1146">
        <v>0</v>
      </c>
      <c r="Z27" s="2114">
        <f>C27-'Blocking-Step2'!C27</f>
        <v>0</v>
      </c>
      <c r="AA27" s="2114">
        <f>D27-'Blocking-Step2'!D27</f>
        <v>0</v>
      </c>
      <c r="AC27" s="2114">
        <f>F27-'Blocking-Step2'!F27</f>
        <v>0</v>
      </c>
      <c r="AE27" s="2114">
        <f>H27-'Blocking-Step2'!H27</f>
        <v>0</v>
      </c>
      <c r="AF27" s="2114">
        <f>I27-'Blocking-Step2'!I27</f>
        <v>0</v>
      </c>
      <c r="AH27" s="2136">
        <f>K27-'Blocking-Step2'!K27</f>
        <v>0</v>
      </c>
      <c r="AJ27" s="2136">
        <f>M27-'Blocking-Step2'!M27</f>
        <v>0</v>
      </c>
      <c r="AL27" s="2136">
        <f>O27-'Blocking-Step2'!O27</f>
        <v>0</v>
      </c>
      <c r="AN27" s="2137">
        <f>Q27-'Blocking-Step2'!Q27</f>
        <v>0</v>
      </c>
      <c r="AP27" s="2127">
        <f>S27-'Blocking-Step2'!S27</f>
        <v>0</v>
      </c>
      <c r="AR27" s="2127">
        <f>U27-'Blocking-Step2'!U27</f>
        <v>0</v>
      </c>
      <c r="AT27" s="2127">
        <f>W27-'Blocking-Step2'!W27</f>
        <v>0</v>
      </c>
      <c r="AV27" s="2128">
        <f>Y27-'Blocking-Step2'!Y27</f>
        <v>0</v>
      </c>
    </row>
    <row r="28" spans="1:48">
      <c r="A28" s="1116" t="s">
        <v>1533</v>
      </c>
      <c r="C28" s="1105">
        <v>0</v>
      </c>
      <c r="D28" s="1105">
        <v>0</v>
      </c>
      <c r="F28" s="1922"/>
      <c r="G28" s="1921"/>
      <c r="H28" s="1146"/>
      <c r="I28" s="1146"/>
      <c r="K28" s="1922"/>
      <c r="L28" s="1921"/>
      <c r="M28" s="1922"/>
      <c r="N28" s="1921"/>
      <c r="O28" s="1922">
        <v>-1.6334</v>
      </c>
      <c r="P28" s="1921" t="s">
        <v>495</v>
      </c>
      <c r="Q28" s="1922">
        <v>-1.6334</v>
      </c>
      <c r="R28" s="1921" t="s">
        <v>495</v>
      </c>
      <c r="S28" s="1146">
        <v>0</v>
      </c>
      <c r="T28" s="1656"/>
      <c r="U28" s="1146">
        <v>0</v>
      </c>
      <c r="V28" s="1656"/>
      <c r="W28" s="1146">
        <v>0</v>
      </c>
      <c r="X28" s="1648"/>
      <c r="Y28" s="1146">
        <v>0</v>
      </c>
      <c r="Z28" s="2114">
        <f>C28-'Blocking-Step2'!C28</f>
        <v>0</v>
      </c>
      <c r="AA28" s="2114">
        <f>D28-'Blocking-Step2'!D28</f>
        <v>0</v>
      </c>
      <c r="AC28" s="2114">
        <f>F28-'Blocking-Step2'!F28</f>
        <v>0</v>
      </c>
      <c r="AE28" s="2114">
        <f>H28-'Blocking-Step2'!H28</f>
        <v>0</v>
      </c>
      <c r="AF28" s="2114">
        <f>I28-'Blocking-Step2'!I28</f>
        <v>0</v>
      </c>
      <c r="AH28" s="2136">
        <f>K28-'Blocking-Step2'!K28</f>
        <v>0</v>
      </c>
      <c r="AJ28" s="2136">
        <f>M28-'Blocking-Step2'!M28</f>
        <v>0</v>
      </c>
      <c r="AL28" s="2136">
        <f>O28-'Blocking-Step2'!O28</f>
        <v>0</v>
      </c>
      <c r="AN28" s="2137">
        <f>Q28-'Blocking-Step2'!Q28</f>
        <v>0</v>
      </c>
      <c r="AP28" s="2127">
        <f>S28-'Blocking-Step2'!S28</f>
        <v>0</v>
      </c>
      <c r="AR28" s="2127">
        <f>U28-'Blocking-Step2'!U28</f>
        <v>0</v>
      </c>
      <c r="AT28" s="2127">
        <f>W28-'Blocking-Step2'!W28</f>
        <v>0</v>
      </c>
      <c r="AV28" s="2128">
        <f>Y28-'Blocking-Step2'!Y28</f>
        <v>0</v>
      </c>
    </row>
    <row r="29" spans="1:48">
      <c r="A29" s="1116" t="s">
        <v>1534</v>
      </c>
      <c r="C29" s="1024">
        <v>1077210897.9091563</v>
      </c>
      <c r="D29" s="1105">
        <v>1080475944.5283775</v>
      </c>
      <c r="F29" s="1924"/>
      <c r="G29" s="1921"/>
      <c r="H29" s="1146"/>
      <c r="I29" s="1146"/>
      <c r="K29" s="1924">
        <v>2.7378999999999998</v>
      </c>
      <c r="L29" s="1921" t="s">
        <v>495</v>
      </c>
      <c r="M29" s="1924">
        <v>5.3996000000000004</v>
      </c>
      <c r="N29" s="1921" t="s">
        <v>495</v>
      </c>
      <c r="O29" s="1924">
        <v>1.3648728754966735</v>
      </c>
      <c r="P29" s="1921" t="s">
        <v>495</v>
      </c>
      <c r="Q29" s="1924">
        <v>9.5023728754966736</v>
      </c>
      <c r="R29" s="1921" t="s">
        <v>495</v>
      </c>
      <c r="S29" s="1146">
        <v>29582351</v>
      </c>
      <c r="T29" s="1656"/>
      <c r="U29" s="1146">
        <v>58341379</v>
      </c>
      <c r="V29" s="1656"/>
      <c r="W29" s="1146">
        <v>14747123</v>
      </c>
      <c r="X29" s="1648"/>
      <c r="Y29" s="1146">
        <v>102670853</v>
      </c>
      <c r="Z29" s="2114">
        <f>C29-'Blocking-Step2'!C29</f>
        <v>0</v>
      </c>
      <c r="AA29" s="2114">
        <f>D29-'Blocking-Step2'!D29</f>
        <v>0</v>
      </c>
      <c r="AC29" s="2114">
        <f>F29-'Blocking-Step2'!F29</f>
        <v>0</v>
      </c>
      <c r="AE29" s="2114">
        <f>H29-'Blocking-Step2'!H29</f>
        <v>0</v>
      </c>
      <c r="AF29" s="2114">
        <f>I29-'Blocking-Step2'!I29</f>
        <v>0</v>
      </c>
      <c r="AH29" s="2136">
        <f>K29-'Blocking-Step2'!K29</f>
        <v>-1.6915000000000004</v>
      </c>
      <c r="AJ29" s="2136">
        <f>M29-'Blocking-Step2'!M29</f>
        <v>1.6955000000000005</v>
      </c>
      <c r="AL29" s="2136">
        <f>O29-'Blocking-Step2'!O29</f>
        <v>2.8657465324455345E-4</v>
      </c>
      <c r="AN29" s="2137">
        <f>Q29-'Blocking-Step2'!Q29</f>
        <v>4.286574653244557E-3</v>
      </c>
      <c r="AP29" s="2127">
        <f>S29-'Blocking-Step2'!S29</f>
        <v>-18276250</v>
      </c>
      <c r="AR29" s="2127">
        <f>U29-'Blocking-Step2'!U29</f>
        <v>18319470</v>
      </c>
      <c r="AT29" s="2127">
        <f>W29-'Blocking-Step2'!W29</f>
        <v>3096</v>
      </c>
      <c r="AV29" s="2128">
        <f>Y29-'Blocking-Step2'!Y29</f>
        <v>46315</v>
      </c>
    </row>
    <row r="30" spans="1:48">
      <c r="A30" s="1116" t="s">
        <v>1535</v>
      </c>
      <c r="C30" s="1024">
        <v>957148336.15566492</v>
      </c>
      <c r="D30" s="1105">
        <v>960049471</v>
      </c>
      <c r="F30" s="1924"/>
      <c r="G30" s="1921"/>
      <c r="H30" s="1146"/>
      <c r="I30" s="1146"/>
      <c r="K30" s="1924">
        <v>2.7378999999999998</v>
      </c>
      <c r="L30" s="1921" t="s">
        <v>495</v>
      </c>
      <c r="M30" s="1924">
        <v>5.3996000000000004</v>
      </c>
      <c r="N30" s="1921" t="s">
        <v>495</v>
      </c>
      <c r="O30" s="1924">
        <v>4.0579728754966728</v>
      </c>
      <c r="P30" s="1921" t="s">
        <v>495</v>
      </c>
      <c r="Q30" s="1924">
        <v>12.195472875496673</v>
      </c>
      <c r="R30" s="1921" t="s">
        <v>495</v>
      </c>
      <c r="S30" s="1146">
        <v>26285194</v>
      </c>
      <c r="T30" s="1656"/>
      <c r="U30" s="1146">
        <v>51838831</v>
      </c>
      <c r="V30" s="1656"/>
      <c r="W30" s="1146">
        <v>38958547</v>
      </c>
      <c r="X30" s="1648"/>
      <c r="Y30" s="1146">
        <v>117082573</v>
      </c>
      <c r="Z30" s="2114">
        <f>C30-'Blocking-Step2'!C30</f>
        <v>0</v>
      </c>
      <c r="AA30" s="2114">
        <f>D30-'Blocking-Step2'!D30</f>
        <v>0</v>
      </c>
      <c r="AC30" s="2114">
        <f>F30-'Blocking-Step2'!F30</f>
        <v>0</v>
      </c>
      <c r="AE30" s="2114">
        <f>H30-'Blocking-Step2'!H30</f>
        <v>0</v>
      </c>
      <c r="AF30" s="2114">
        <f>I30-'Blocking-Step2'!I30</f>
        <v>0</v>
      </c>
      <c r="AH30" s="2136">
        <f>K30-'Blocking-Step2'!K30</f>
        <v>-1.6915000000000004</v>
      </c>
      <c r="AJ30" s="2136">
        <f>M30-'Blocking-Step2'!M30</f>
        <v>1.6955000000000005</v>
      </c>
      <c r="AL30" s="2136">
        <f>O30-'Blocking-Step2'!O30</f>
        <v>2.8657465324410936E-4</v>
      </c>
      <c r="AN30" s="2137">
        <f>Q30-'Blocking-Step2'!Q30</f>
        <v>4.286574653244557E-3</v>
      </c>
      <c r="AP30" s="2127">
        <f>S30-'Blocking-Step2'!S30</f>
        <v>-16239237</v>
      </c>
      <c r="AR30" s="2127">
        <f>U30-'Blocking-Step2'!U30</f>
        <v>16277639</v>
      </c>
      <c r="AT30" s="2127">
        <f>W30-'Blocking-Step2'!W30</f>
        <v>2751</v>
      </c>
      <c r="AV30" s="2128">
        <f>Y30-'Blocking-Step2'!Y30</f>
        <v>41153</v>
      </c>
    </row>
    <row r="31" spans="1:48">
      <c r="A31" s="1116" t="s">
        <v>1536</v>
      </c>
      <c r="C31" s="1024">
        <v>526195990.2398017</v>
      </c>
      <c r="D31" s="1105">
        <v>527790900</v>
      </c>
      <c r="F31" s="1924"/>
      <c r="G31" s="1921"/>
      <c r="H31" s="1146"/>
      <c r="I31" s="1146"/>
      <c r="K31" s="1924">
        <v>2.7378999999999998</v>
      </c>
      <c r="L31" s="1921" t="s">
        <v>495</v>
      </c>
      <c r="M31" s="1924">
        <v>5.3996000000000004</v>
      </c>
      <c r="N31" s="1921" t="s">
        <v>495</v>
      </c>
      <c r="O31" s="1924">
        <v>4.0579728754966728</v>
      </c>
      <c r="P31" s="1921" t="s">
        <v>495</v>
      </c>
      <c r="Q31" s="1924">
        <v>12.195472875496673</v>
      </c>
      <c r="R31" s="1921" t="s">
        <v>495</v>
      </c>
      <c r="S31" s="1146">
        <v>14450387</v>
      </c>
      <c r="T31" s="1656"/>
      <c r="U31" s="1146">
        <v>28498597</v>
      </c>
      <c r="V31" s="1656"/>
      <c r="W31" s="1146">
        <v>21417612</v>
      </c>
      <c r="X31" s="1648"/>
      <c r="Y31" s="1146">
        <v>64366596</v>
      </c>
      <c r="Z31" s="2114">
        <f>C31-'Blocking-Step2'!C31</f>
        <v>0</v>
      </c>
      <c r="AA31" s="2114">
        <f>D31-'Blocking-Step2'!D31</f>
        <v>0</v>
      </c>
      <c r="AC31" s="2114">
        <f>F31-'Blocking-Step2'!F31</f>
        <v>0</v>
      </c>
      <c r="AE31" s="2114">
        <f>H31-'Blocking-Step2'!H31</f>
        <v>0</v>
      </c>
      <c r="AF31" s="2114">
        <f>I31-'Blocking-Step2'!I31</f>
        <v>0</v>
      </c>
      <c r="AH31" s="2136">
        <f>K31-'Blocking-Step2'!K31</f>
        <v>-1.6915000000000004</v>
      </c>
      <c r="AJ31" s="2136">
        <f>M31-'Blocking-Step2'!M31</f>
        <v>1.6955000000000005</v>
      </c>
      <c r="AL31" s="2136">
        <f>O31-'Blocking-Step2'!O31</f>
        <v>2.8657465324410936E-4</v>
      </c>
      <c r="AN31" s="2137">
        <f>Q31-'Blocking-Step2'!Q31</f>
        <v>4.286574653244557E-3</v>
      </c>
      <c r="AP31" s="2127">
        <f>S31-'Blocking-Step2'!S31</f>
        <v>-8927583</v>
      </c>
      <c r="AR31" s="2127">
        <f>U31-'Blocking-Step2'!U31</f>
        <v>8948694</v>
      </c>
      <c r="AT31" s="2127">
        <f>W31-'Blocking-Step2'!W31</f>
        <v>1513</v>
      </c>
      <c r="AV31" s="2128">
        <f>Y31-'Blocking-Step2'!Y31</f>
        <v>22624</v>
      </c>
    </row>
    <row r="32" spans="1:48">
      <c r="A32" s="1116" t="s">
        <v>1537</v>
      </c>
      <c r="B32" s="1928"/>
      <c r="C32" s="1024">
        <v>2155017817.4209166</v>
      </c>
      <c r="D32" s="1105">
        <v>2051977461</v>
      </c>
      <c r="E32" s="804"/>
      <c r="F32" s="1927"/>
      <c r="G32" s="1921"/>
      <c r="H32" s="1146"/>
      <c r="I32" s="1146"/>
      <c r="J32" s="804"/>
      <c r="K32" s="1924">
        <v>2.7378999999999998</v>
      </c>
      <c r="L32" s="1921" t="s">
        <v>495</v>
      </c>
      <c r="M32" s="1924">
        <v>5.3996000000000004</v>
      </c>
      <c r="N32" s="1921" t="s">
        <v>495</v>
      </c>
      <c r="O32" s="1924">
        <v>0.27167953583799953</v>
      </c>
      <c r="P32" s="1921" t="s">
        <v>495</v>
      </c>
      <c r="Q32" s="1927">
        <v>8.4091795358379997</v>
      </c>
      <c r="R32" s="1921" t="s">
        <v>495</v>
      </c>
      <c r="S32" s="1146">
        <v>56181091</v>
      </c>
      <c r="T32" s="1656"/>
      <c r="U32" s="1146">
        <v>110798575</v>
      </c>
      <c r="V32" s="1656"/>
      <c r="W32" s="1146">
        <v>5574803</v>
      </c>
      <c r="X32" s="1648"/>
      <c r="Y32" s="1146">
        <v>172554469</v>
      </c>
      <c r="Z32" s="2114">
        <f>C32-'Blocking-Step2'!C32</f>
        <v>0</v>
      </c>
      <c r="AA32" s="2114">
        <f>D32-'Blocking-Step2'!D32</f>
        <v>0</v>
      </c>
      <c r="AC32" s="2114">
        <f>F32-'Blocking-Step2'!F32</f>
        <v>0</v>
      </c>
      <c r="AE32" s="2114">
        <f>H32-'Blocking-Step2'!H32</f>
        <v>0</v>
      </c>
      <c r="AF32" s="2114">
        <f>I32-'Blocking-Step2'!I32</f>
        <v>0</v>
      </c>
      <c r="AH32" s="2136">
        <f>K32-'Blocking-Step2'!K32</f>
        <v>-1.6915000000000004</v>
      </c>
      <c r="AJ32" s="2136">
        <f>M32-'Blocking-Step2'!M32</f>
        <v>1.6955000000000005</v>
      </c>
      <c r="AL32" s="2136">
        <f>O32-'Blocking-Step2'!O32</f>
        <v>-2.0657110300037473E-4</v>
      </c>
      <c r="AN32" s="2137">
        <f>Q32-'Blocking-Step2'!Q32</f>
        <v>3.7934288969996288E-3</v>
      </c>
      <c r="AP32" s="2127">
        <f>S32-'Blocking-Step2'!S32</f>
        <v>-34709199</v>
      </c>
      <c r="AR32" s="2127">
        <f>U32-'Blocking-Step2'!U32</f>
        <v>34791278</v>
      </c>
      <c r="AT32" s="2127">
        <f>W32-'Blocking-Step2'!W32</f>
        <v>-4239</v>
      </c>
      <c r="AV32" s="2128">
        <f>Y32-'Blocking-Step2'!Y32</f>
        <v>77841</v>
      </c>
    </row>
    <row r="33" spans="1:48">
      <c r="A33" s="1116" t="s">
        <v>1538</v>
      </c>
      <c r="B33" s="1928"/>
      <c r="C33" s="1024">
        <v>1755463780.2307222</v>
      </c>
      <c r="D33" s="1105">
        <v>1671527763</v>
      </c>
      <c r="E33" s="804"/>
      <c r="F33" s="1927"/>
      <c r="G33" s="1921"/>
      <c r="H33" s="1146"/>
      <c r="I33" s="1146"/>
      <c r="J33" s="804"/>
      <c r="K33" s="1924">
        <v>2.7378999999999998</v>
      </c>
      <c r="L33" s="1921" t="s">
        <v>495</v>
      </c>
      <c r="M33" s="1924">
        <v>5.3996000000000004</v>
      </c>
      <c r="N33" s="1921" t="s">
        <v>495</v>
      </c>
      <c r="O33" s="1924">
        <v>2.6549538721209993</v>
      </c>
      <c r="P33" s="1921" t="s">
        <v>495</v>
      </c>
      <c r="Q33" s="1927">
        <v>10.792453872120999</v>
      </c>
      <c r="R33" s="1921" t="s">
        <v>495</v>
      </c>
      <c r="S33" s="1146">
        <v>45764759</v>
      </c>
      <c r="T33" s="1656"/>
      <c r="U33" s="1146">
        <v>90255813</v>
      </c>
      <c r="V33" s="1656"/>
      <c r="W33" s="1146">
        <v>44378291</v>
      </c>
      <c r="X33" s="1648"/>
      <c r="Y33" s="1146">
        <v>180398863</v>
      </c>
      <c r="Z33" s="2114">
        <f>C33-'Blocking-Step2'!C33</f>
        <v>0</v>
      </c>
      <c r="AA33" s="2114">
        <f>D33-'Blocking-Step2'!D33</f>
        <v>0</v>
      </c>
      <c r="AC33" s="2114">
        <f>F33-'Blocking-Step2'!F33</f>
        <v>0</v>
      </c>
      <c r="AE33" s="2114">
        <f>H33-'Blocking-Step2'!H33</f>
        <v>0</v>
      </c>
      <c r="AF33" s="2114">
        <f>I33-'Blocking-Step2'!I33</f>
        <v>0</v>
      </c>
      <c r="AH33" s="2136">
        <f>K33-'Blocking-Step2'!K33</f>
        <v>-1.6915000000000004</v>
      </c>
      <c r="AJ33" s="2136">
        <f>M33-'Blocking-Step2'!M33</f>
        <v>1.6955000000000005</v>
      </c>
      <c r="AL33" s="2136">
        <f>O33-'Blocking-Step2'!O33</f>
        <v>-2.0657110300037473E-4</v>
      </c>
      <c r="AN33" s="2137">
        <f>Q33-'Blocking-Step2'!Q33</f>
        <v>3.7934288969996288E-3</v>
      </c>
      <c r="AP33" s="2127">
        <f>S33-'Blocking-Step2'!S33</f>
        <v>-28273892</v>
      </c>
      <c r="AR33" s="2127">
        <f>U33-'Blocking-Step2'!U33</f>
        <v>28340753</v>
      </c>
      <c r="AT33" s="2127">
        <f>W33-'Blocking-Step2'!W33</f>
        <v>-3453</v>
      </c>
      <c r="AV33" s="2128">
        <f>Y33-'Blocking-Step2'!Y33</f>
        <v>63408</v>
      </c>
    </row>
    <row r="34" spans="1:48">
      <c r="A34" s="1116" t="s">
        <v>188</v>
      </c>
      <c r="C34" s="1105">
        <v>0</v>
      </c>
      <c r="D34" s="1105">
        <v>0</v>
      </c>
      <c r="F34" s="1922">
        <v>4.3559999999999999</v>
      </c>
      <c r="G34" s="1921" t="s">
        <v>495</v>
      </c>
      <c r="H34" s="1146">
        <v>0</v>
      </c>
      <c r="I34" s="1146">
        <v>0</v>
      </c>
      <c r="K34" s="1922"/>
      <c r="L34" s="1921"/>
      <c r="M34" s="1922"/>
      <c r="N34" s="1921"/>
      <c r="O34" s="1922"/>
      <c r="P34" s="1921"/>
      <c r="Q34" s="1922"/>
      <c r="R34" s="1921"/>
      <c r="S34" s="1648"/>
      <c r="T34" s="1648"/>
      <c r="U34" s="1648"/>
      <c r="V34" s="1648"/>
      <c r="W34" s="1648"/>
      <c r="X34" s="1648"/>
      <c r="Y34" s="1146"/>
      <c r="Z34" s="2114">
        <f>C34-'Blocking-Step2'!C34</f>
        <v>0</v>
      </c>
      <c r="AA34" s="2114">
        <f>D34-'Blocking-Step2'!D34</f>
        <v>0</v>
      </c>
      <c r="AC34" s="2114">
        <f>F34-'Blocking-Step2'!F34</f>
        <v>0</v>
      </c>
      <c r="AE34" s="2114">
        <f>H34-'Blocking-Step2'!H34</f>
        <v>0</v>
      </c>
      <c r="AF34" s="2114">
        <f>I34-'Blocking-Step2'!I34</f>
        <v>0</v>
      </c>
      <c r="AH34" s="2136">
        <f>K34-'Blocking-Step2'!K34</f>
        <v>0</v>
      </c>
      <c r="AJ34" s="2136">
        <f>M34-'Blocking-Step2'!M34</f>
        <v>0</v>
      </c>
      <c r="AL34" s="2136">
        <f>O34-'Blocking-Step2'!O34</f>
        <v>0</v>
      </c>
      <c r="AN34" s="2137">
        <f>Q34-'Blocking-Step2'!Q34</f>
        <v>0</v>
      </c>
      <c r="AP34" s="2127">
        <f>S34-'Blocking-Step2'!S34</f>
        <v>0</v>
      </c>
      <c r="AR34" s="2127">
        <f>U34-'Blocking-Step2'!U34</f>
        <v>0</v>
      </c>
      <c r="AT34" s="2127">
        <f>W34-'Blocking-Step2'!W34</f>
        <v>0</v>
      </c>
      <c r="AV34" s="2128">
        <f>Y34-'Blocking-Step2'!Y34</f>
        <v>0</v>
      </c>
    </row>
    <row r="35" spans="1:48">
      <c r="A35" s="1116" t="s">
        <v>189</v>
      </c>
      <c r="C35" s="1105">
        <v>0</v>
      </c>
      <c r="D35" s="1105">
        <v>0</v>
      </c>
      <c r="F35" s="1922">
        <v>-1.6334</v>
      </c>
      <c r="G35" s="1921" t="s">
        <v>495</v>
      </c>
      <c r="H35" s="1146">
        <v>0</v>
      </c>
      <c r="I35" s="1146">
        <v>0</v>
      </c>
      <c r="K35" s="1922"/>
      <c r="L35" s="1921"/>
      <c r="M35" s="1922"/>
      <c r="N35" s="1921"/>
      <c r="O35" s="1922"/>
      <c r="P35" s="1921"/>
      <c r="Q35" s="1922"/>
      <c r="R35" s="1921"/>
      <c r="S35" s="1648"/>
      <c r="T35" s="1648"/>
      <c r="U35" s="1648"/>
      <c r="V35" s="1648"/>
      <c r="W35" s="1648"/>
      <c r="X35" s="1648"/>
      <c r="Y35" s="1146"/>
      <c r="Z35" s="2114">
        <f>C35-'Blocking-Step2'!C35</f>
        <v>0</v>
      </c>
      <c r="AA35" s="2114">
        <f>D35-'Blocking-Step2'!D35</f>
        <v>0</v>
      </c>
      <c r="AC35" s="2114">
        <f>F35-'Blocking-Step2'!F35</f>
        <v>0</v>
      </c>
      <c r="AE35" s="2114">
        <f>H35-'Blocking-Step2'!H35</f>
        <v>0</v>
      </c>
      <c r="AF35" s="2114">
        <f>I35-'Blocking-Step2'!I35</f>
        <v>0</v>
      </c>
      <c r="AH35" s="2136">
        <f>K35-'Blocking-Step2'!K35</f>
        <v>0</v>
      </c>
      <c r="AJ35" s="2136">
        <f>M35-'Blocking-Step2'!M35</f>
        <v>0</v>
      </c>
      <c r="AL35" s="2136">
        <f>O35-'Blocking-Step2'!O35</f>
        <v>0</v>
      </c>
      <c r="AN35" s="2137">
        <f>Q35-'Blocking-Step2'!Q35</f>
        <v>0</v>
      </c>
      <c r="AP35" s="2127">
        <f>S35-'Blocking-Step2'!S35</f>
        <v>0</v>
      </c>
      <c r="AR35" s="2127">
        <f>U35-'Blocking-Step2'!U35</f>
        <v>0</v>
      </c>
      <c r="AT35" s="2127">
        <f>W35-'Blocking-Step2'!W35</f>
        <v>0</v>
      </c>
      <c r="AV35" s="2128">
        <f>Y35-'Blocking-Step2'!Y35</f>
        <v>0</v>
      </c>
    </row>
    <row r="36" spans="1:48">
      <c r="A36" s="1116" t="s">
        <v>241</v>
      </c>
      <c r="C36" s="1024">
        <v>1356275357.1615026</v>
      </c>
      <c r="D36" s="1105">
        <v>1356162146.5283775</v>
      </c>
      <c r="F36" s="1924">
        <v>8.8498000000000001</v>
      </c>
      <c r="G36" s="1921" t="s">
        <v>495</v>
      </c>
      <c r="H36" s="1146">
        <v>120027657</v>
      </c>
      <c r="I36" s="1146">
        <v>120017638</v>
      </c>
      <c r="K36" s="1924"/>
      <c r="L36" s="1921"/>
      <c r="M36" s="1924"/>
      <c r="N36" s="1921"/>
      <c r="O36" s="1924"/>
      <c r="P36" s="1921"/>
      <c r="Q36" s="1924"/>
      <c r="R36" s="1921"/>
      <c r="S36" s="1648"/>
      <c r="T36" s="1648"/>
      <c r="U36" s="1648"/>
      <c r="V36" s="1648"/>
      <c r="W36" s="1648"/>
      <c r="X36" s="1648"/>
      <c r="Y36" s="1146"/>
      <c r="Z36" s="2114">
        <f>C36-'Blocking-Step2'!C36</f>
        <v>0</v>
      </c>
      <c r="AA36" s="2114">
        <f>D36-'Blocking-Step2'!D36</f>
        <v>0</v>
      </c>
      <c r="AC36" s="2114">
        <f>F36-'Blocking-Step2'!F36</f>
        <v>0</v>
      </c>
      <c r="AE36" s="2114">
        <f>H36-'Blocking-Step2'!H36</f>
        <v>0</v>
      </c>
      <c r="AF36" s="2114">
        <f>I36-'Blocking-Step2'!I36</f>
        <v>0</v>
      </c>
      <c r="AH36" s="2136">
        <f>K36-'Blocking-Step2'!K36</f>
        <v>0</v>
      </c>
      <c r="AJ36" s="2136">
        <f>M36-'Blocking-Step2'!M36</f>
        <v>0</v>
      </c>
      <c r="AL36" s="2136">
        <f>O36-'Blocking-Step2'!O36</f>
        <v>0</v>
      </c>
      <c r="AN36" s="2137">
        <f>Q36-'Blocking-Step2'!Q36</f>
        <v>0</v>
      </c>
      <c r="AP36" s="2127">
        <f>S36-'Blocking-Step2'!S36</f>
        <v>0</v>
      </c>
      <c r="AR36" s="2127">
        <f>U36-'Blocking-Step2'!U36</f>
        <v>0</v>
      </c>
      <c r="AT36" s="2127">
        <f>W36-'Blocking-Step2'!W36</f>
        <v>0</v>
      </c>
      <c r="AV36" s="2128">
        <f>Y36-'Blocking-Step2'!Y36</f>
        <v>0</v>
      </c>
    </row>
    <row r="37" spans="1:48">
      <c r="A37" s="1116" t="s">
        <v>242</v>
      </c>
      <c r="C37" s="1024">
        <v>1083544014.0003767</v>
      </c>
      <c r="D37" s="1105">
        <v>1083453568</v>
      </c>
      <c r="F37" s="1924">
        <v>11.542899999999999</v>
      </c>
      <c r="G37" s="1921" t="s">
        <v>495</v>
      </c>
      <c r="H37" s="1146">
        <v>125072402</v>
      </c>
      <c r="I37" s="1146">
        <v>125061962</v>
      </c>
      <c r="K37" s="1924"/>
      <c r="L37" s="1921"/>
      <c r="M37" s="1924"/>
      <c r="N37" s="1921"/>
      <c r="O37" s="1924"/>
      <c r="P37" s="1921"/>
      <c r="Q37" s="1924"/>
      <c r="R37" s="1921"/>
      <c r="S37" s="1648"/>
      <c r="T37" s="1648"/>
      <c r="U37" s="1648"/>
      <c r="V37" s="1648"/>
      <c r="W37" s="1648"/>
      <c r="X37" s="1648"/>
      <c r="Y37" s="1146"/>
      <c r="Z37" s="2114">
        <f>C37-'Blocking-Step2'!C37</f>
        <v>0</v>
      </c>
      <c r="AA37" s="2114">
        <f>D37-'Blocking-Step2'!D37</f>
        <v>0</v>
      </c>
      <c r="AC37" s="2114">
        <f>F37-'Blocking-Step2'!F37</f>
        <v>0</v>
      </c>
      <c r="AE37" s="2114">
        <f>H37-'Blocking-Step2'!H37</f>
        <v>0</v>
      </c>
      <c r="AF37" s="2114">
        <f>I37-'Blocking-Step2'!I37</f>
        <v>0</v>
      </c>
      <c r="AH37" s="2136">
        <f>K37-'Blocking-Step2'!K37</f>
        <v>0</v>
      </c>
      <c r="AJ37" s="2136">
        <f>M37-'Blocking-Step2'!M37</f>
        <v>0</v>
      </c>
      <c r="AL37" s="2136">
        <f>O37-'Blocking-Step2'!O37</f>
        <v>0</v>
      </c>
      <c r="AN37" s="2137">
        <f>Q37-'Blocking-Step2'!Q37</f>
        <v>0</v>
      </c>
      <c r="AP37" s="2127">
        <f>S37-'Blocking-Step2'!S37</f>
        <v>0</v>
      </c>
      <c r="AR37" s="2127">
        <f>U37-'Blocking-Step2'!U37</f>
        <v>0</v>
      </c>
      <c r="AT37" s="2127">
        <f>W37-'Blocking-Step2'!W37</f>
        <v>0</v>
      </c>
      <c r="AV37" s="2128">
        <f>Y37-'Blocking-Step2'!Y37</f>
        <v>0</v>
      </c>
    </row>
    <row r="38" spans="1:48">
      <c r="A38" s="1116" t="s">
        <v>94</v>
      </c>
      <c r="C38" s="1024">
        <v>560540846.03246832</v>
      </c>
      <c r="D38" s="1105">
        <v>560494056</v>
      </c>
      <c r="F38" s="1924">
        <v>14.450799999999999</v>
      </c>
      <c r="G38" s="1921" t="s">
        <v>495</v>
      </c>
      <c r="H38" s="1146">
        <v>81002637</v>
      </c>
      <c r="I38" s="1146">
        <v>80995875</v>
      </c>
      <c r="K38" s="1924"/>
      <c r="L38" s="1921"/>
      <c r="M38" s="1924"/>
      <c r="N38" s="1921"/>
      <c r="O38" s="1924"/>
      <c r="P38" s="1921"/>
      <c r="Q38" s="1924"/>
      <c r="R38" s="1921"/>
      <c r="S38" s="1648"/>
      <c r="T38" s="1648"/>
      <c r="U38" s="1648"/>
      <c r="V38" s="1648"/>
      <c r="W38" s="1648"/>
      <c r="X38" s="1648"/>
      <c r="Y38" s="1146"/>
      <c r="Z38" s="2114">
        <f>C38-'Blocking-Step2'!C38</f>
        <v>0</v>
      </c>
      <c r="AA38" s="2114">
        <f>D38-'Blocking-Step2'!D38</f>
        <v>0</v>
      </c>
      <c r="AC38" s="2114">
        <f>F38-'Blocking-Step2'!F38</f>
        <v>0</v>
      </c>
      <c r="AE38" s="2114">
        <f>H38-'Blocking-Step2'!H38</f>
        <v>0</v>
      </c>
      <c r="AF38" s="2114">
        <f>I38-'Blocking-Step2'!I38</f>
        <v>0</v>
      </c>
      <c r="AH38" s="2136">
        <f>K38-'Blocking-Step2'!K38</f>
        <v>0</v>
      </c>
      <c r="AJ38" s="2136">
        <f>M38-'Blocking-Step2'!M38</f>
        <v>0</v>
      </c>
      <c r="AL38" s="2136">
        <f>O38-'Blocking-Step2'!O38</f>
        <v>0</v>
      </c>
      <c r="AN38" s="2137">
        <f>Q38-'Blocking-Step2'!Q38</f>
        <v>0</v>
      </c>
      <c r="AP38" s="2127">
        <f>S38-'Blocking-Step2'!S38</f>
        <v>0</v>
      </c>
      <c r="AR38" s="2127">
        <f>U38-'Blocking-Step2'!U38</f>
        <v>0</v>
      </c>
      <c r="AT38" s="2127">
        <f>W38-'Blocking-Step2'!W38</f>
        <v>0</v>
      </c>
      <c r="AV38" s="2128">
        <f>Y38-'Blocking-Step2'!Y38</f>
        <v>0</v>
      </c>
    </row>
    <row r="39" spans="1:48">
      <c r="A39" s="1116" t="s">
        <v>1360</v>
      </c>
      <c r="B39" s="1928"/>
      <c r="C39" s="1024">
        <v>1873066959.0251269</v>
      </c>
      <c r="D39" s="1105">
        <v>1776482587</v>
      </c>
      <c r="E39" s="804"/>
      <c r="F39" s="1927">
        <v>8.8498000000000001</v>
      </c>
      <c r="G39" s="1921" t="s">
        <v>495</v>
      </c>
      <c r="H39" s="1146">
        <v>165762680</v>
      </c>
      <c r="I39" s="1146">
        <v>157215156</v>
      </c>
      <c r="J39" s="804"/>
      <c r="K39" s="1927"/>
      <c r="L39" s="1921"/>
      <c r="M39" s="1927"/>
      <c r="N39" s="1921"/>
      <c r="O39" s="1927"/>
      <c r="P39" s="1921"/>
      <c r="Q39" s="1927"/>
      <c r="R39" s="1921"/>
      <c r="S39" s="1648"/>
      <c r="T39" s="1648"/>
      <c r="U39" s="1648"/>
      <c r="V39" s="1648"/>
      <c r="W39" s="1648"/>
      <c r="X39" s="1648"/>
      <c r="Y39" s="1146"/>
      <c r="Z39" s="2114">
        <f>C39-'Blocking-Step2'!C39</f>
        <v>0</v>
      </c>
      <c r="AA39" s="2114">
        <f>D39-'Blocking-Step2'!D39</f>
        <v>0</v>
      </c>
      <c r="AC39" s="2114">
        <f>F39-'Blocking-Step2'!F39</f>
        <v>0</v>
      </c>
      <c r="AE39" s="2114">
        <f>H39-'Blocking-Step2'!H39</f>
        <v>0</v>
      </c>
      <c r="AF39" s="2114">
        <f>I39-'Blocking-Step2'!I39</f>
        <v>0</v>
      </c>
      <c r="AH39" s="2136">
        <f>K39-'Blocking-Step2'!K39</f>
        <v>0</v>
      </c>
      <c r="AJ39" s="2136">
        <f>M39-'Blocking-Step2'!M39</f>
        <v>0</v>
      </c>
      <c r="AL39" s="2136">
        <f>O39-'Blocking-Step2'!O39</f>
        <v>0</v>
      </c>
      <c r="AN39" s="2137">
        <f>Q39-'Blocking-Step2'!Q39</f>
        <v>0</v>
      </c>
      <c r="AP39" s="2127">
        <f>S39-'Blocking-Step2'!S39</f>
        <v>0</v>
      </c>
      <c r="AR39" s="2127">
        <f>U39-'Blocking-Step2'!U39</f>
        <v>0</v>
      </c>
      <c r="AT39" s="2127">
        <f>W39-'Blocking-Step2'!W39</f>
        <v>0</v>
      </c>
      <c r="AV39" s="2128">
        <f>Y39-'Blocking-Step2'!Y39</f>
        <v>0</v>
      </c>
    </row>
    <row r="40" spans="1:48">
      <c r="A40" s="1116" t="s">
        <v>1361</v>
      </c>
      <c r="B40" s="1928"/>
      <c r="C40" s="1024">
        <v>1597609645.7367871</v>
      </c>
      <c r="D40" s="1105">
        <v>1515229182</v>
      </c>
      <c r="E40" s="804"/>
      <c r="F40" s="1927">
        <v>10.7072</v>
      </c>
      <c r="G40" s="1921" t="s">
        <v>495</v>
      </c>
      <c r="H40" s="1146">
        <v>171059260</v>
      </c>
      <c r="I40" s="1146">
        <v>162238619</v>
      </c>
      <c r="J40" s="804"/>
      <c r="K40" s="1927"/>
      <c r="L40" s="1921"/>
      <c r="M40" s="1927"/>
      <c r="N40" s="1921"/>
      <c r="O40" s="1927"/>
      <c r="P40" s="1921"/>
      <c r="Q40" s="1927"/>
      <c r="R40" s="1921"/>
      <c r="S40" s="1648"/>
      <c r="T40" s="1648"/>
      <c r="U40" s="1648"/>
      <c r="V40" s="1648"/>
      <c r="W40" s="1648"/>
      <c r="X40" s="1648"/>
      <c r="Y40" s="1146"/>
      <c r="Z40" s="2114">
        <f>C40-'Blocking-Step2'!C40</f>
        <v>0</v>
      </c>
      <c r="AA40" s="2114">
        <f>D40-'Blocking-Step2'!D40</f>
        <v>0</v>
      </c>
      <c r="AC40" s="2114">
        <f>F40-'Blocking-Step2'!F40</f>
        <v>0</v>
      </c>
      <c r="AE40" s="2114">
        <f>H40-'Blocking-Step2'!H40</f>
        <v>0</v>
      </c>
      <c r="AF40" s="2114">
        <f>I40-'Blocking-Step2'!I40</f>
        <v>0</v>
      </c>
      <c r="AH40" s="2136">
        <f>K40-'Blocking-Step2'!K40</f>
        <v>0</v>
      </c>
      <c r="AJ40" s="2136">
        <f>M40-'Blocking-Step2'!M40</f>
        <v>0</v>
      </c>
      <c r="AL40" s="2136">
        <f>O40-'Blocking-Step2'!O40</f>
        <v>0</v>
      </c>
      <c r="AN40" s="2137">
        <f>Q40-'Blocking-Step2'!Q40</f>
        <v>0</v>
      </c>
      <c r="AP40" s="2127">
        <f>S40-'Blocking-Step2'!S40</f>
        <v>0</v>
      </c>
      <c r="AR40" s="2127">
        <f>U40-'Blocking-Step2'!U40</f>
        <v>0</v>
      </c>
      <c r="AT40" s="2127">
        <f>W40-'Blocking-Step2'!W40</f>
        <v>0</v>
      </c>
      <c r="AV40" s="2128">
        <f>Y40-'Blocking-Step2'!Y40</f>
        <v>0</v>
      </c>
    </row>
    <row r="41" spans="1:48">
      <c r="A41" s="1116" t="s">
        <v>1158</v>
      </c>
      <c r="B41" s="1928"/>
      <c r="C41" s="1024">
        <v>16316464</v>
      </c>
      <c r="D41" s="1105">
        <v>15864580</v>
      </c>
      <c r="E41" s="804"/>
      <c r="F41" s="1927">
        <v>11.7033</v>
      </c>
      <c r="G41" s="1929" t="s">
        <v>495</v>
      </c>
      <c r="H41" s="1146">
        <v>1909565</v>
      </c>
      <c r="I41" s="1146">
        <v>1856679</v>
      </c>
      <c r="J41" s="804"/>
      <c r="K41" s="1924">
        <v>2.7378999999999998</v>
      </c>
      <c r="L41" s="1921" t="s">
        <v>495</v>
      </c>
      <c r="M41" s="1924">
        <v>7.7249999999999996</v>
      </c>
      <c r="N41" s="1921" t="s">
        <v>495</v>
      </c>
      <c r="O41" s="1922">
        <v>0</v>
      </c>
      <c r="P41" s="1929"/>
      <c r="Q41" s="1927">
        <v>10.462899999999999</v>
      </c>
      <c r="R41" s="1929" t="s">
        <v>495</v>
      </c>
      <c r="S41" s="1146">
        <v>434356</v>
      </c>
      <c r="T41" s="1656"/>
      <c r="U41" s="1146">
        <v>1225539</v>
      </c>
      <c r="V41" s="1656"/>
      <c r="W41" s="1146">
        <v>0</v>
      </c>
      <c r="X41" s="1656"/>
      <c r="Y41" s="1146">
        <v>1659895</v>
      </c>
      <c r="Z41" s="2114">
        <f>C41-'Blocking-Step2'!C41</f>
        <v>0</v>
      </c>
      <c r="AA41" s="2114">
        <f>D41-'Blocking-Step2'!D41</f>
        <v>0</v>
      </c>
      <c r="AC41" s="2114">
        <f>F41-'Blocking-Step2'!F41</f>
        <v>0</v>
      </c>
      <c r="AE41" s="2114">
        <f>H41-'Blocking-Step2'!H41</f>
        <v>0</v>
      </c>
      <c r="AF41" s="2114">
        <f>I41-'Blocking-Step2'!I41</f>
        <v>0</v>
      </c>
      <c r="AH41" s="2136">
        <f>K41-'Blocking-Step2'!K41</f>
        <v>-1.6915000000000004</v>
      </c>
      <c r="AJ41" s="2136">
        <f>M41-'Blocking-Step2'!M41</f>
        <v>0</v>
      </c>
      <c r="AL41" s="2136">
        <f>O41-'Blocking-Step2'!O41</f>
        <v>0</v>
      </c>
      <c r="AN41" s="2137">
        <f>Q41-'Blocking-Step2'!Q41</f>
        <v>-1.6915000000000013</v>
      </c>
      <c r="AP41" s="2127">
        <f>S41-'Blocking-Step2'!S41</f>
        <v>-268350</v>
      </c>
      <c r="AR41" s="2127">
        <f>U41-'Blocking-Step2'!U41</f>
        <v>0</v>
      </c>
      <c r="AT41" s="2127">
        <f>W41-'Blocking-Step2'!W41</f>
        <v>0</v>
      </c>
      <c r="AV41" s="2128">
        <f>Y41-'Blocking-Step2'!Y41</f>
        <v>-268350</v>
      </c>
    </row>
    <row r="42" spans="1:48">
      <c r="A42" s="1116" t="s">
        <v>246</v>
      </c>
      <c r="C42" s="1940">
        <v>36991495</v>
      </c>
      <c r="D42" s="1940">
        <v>0</v>
      </c>
      <c r="H42" s="1147">
        <v>4301600</v>
      </c>
      <c r="I42" s="1147">
        <v>0</v>
      </c>
      <c r="Y42" s="1147"/>
      <c r="Z42" s="2114">
        <f>C42-'Blocking-Step2'!C42</f>
        <v>0</v>
      </c>
      <c r="AA42" s="2114">
        <f>D42-'Blocking-Step2'!D42</f>
        <v>0</v>
      </c>
      <c r="AC42" s="2114">
        <f>F42-'Blocking-Step2'!F42</f>
        <v>0</v>
      </c>
      <c r="AE42" s="2114">
        <f>H42-'Blocking-Step2'!H42</f>
        <v>0</v>
      </c>
      <c r="AF42" s="2114">
        <f>I42-'Blocking-Step2'!I42</f>
        <v>0</v>
      </c>
      <c r="AH42" s="2136">
        <f>K42-'Blocking-Step2'!K42</f>
        <v>0</v>
      </c>
      <c r="AJ42" s="2136">
        <f>M42-'Blocking-Step2'!M42</f>
        <v>0</v>
      </c>
      <c r="AL42" s="2136">
        <f>O42-'Blocking-Step2'!O42</f>
        <v>0</v>
      </c>
      <c r="AN42" s="2137">
        <f>Q42-'Blocking-Step2'!Q42</f>
        <v>0</v>
      </c>
      <c r="AP42" s="2127">
        <f>S42-'Blocking-Step2'!S42</f>
        <v>0</v>
      </c>
      <c r="AR42" s="2127">
        <f>U42-'Blocking-Step2'!U42</f>
        <v>0</v>
      </c>
      <c r="AT42" s="2127">
        <f>W42-'Blocking-Step2'!W42</f>
        <v>0</v>
      </c>
      <c r="AV42" s="2128">
        <f>Y42-'Blocking-Step2'!Y42</f>
        <v>0</v>
      </c>
    </row>
    <row r="43" spans="1:48">
      <c r="A43" s="1116" t="s">
        <v>1240</v>
      </c>
      <c r="C43" s="1024"/>
      <c r="D43" s="1024"/>
      <c r="F43" s="2076">
        <v>-3.9100000000000003E-2</v>
      </c>
      <c r="G43" s="617"/>
      <c r="H43" s="1146">
        <v>-25995017.259100001</v>
      </c>
      <c r="I43" s="1146">
        <v>-25312789.823900003</v>
      </c>
      <c r="K43" s="2076"/>
      <c r="L43" s="617"/>
      <c r="M43" s="2076"/>
      <c r="N43" s="617"/>
      <c r="O43" s="2077" t="s">
        <v>2323</v>
      </c>
      <c r="P43" s="617"/>
      <c r="Q43" s="2076">
        <v>-3.0800000000000001E-2</v>
      </c>
      <c r="R43" s="617"/>
      <c r="S43" s="1114"/>
      <c r="T43" s="1114"/>
      <c r="U43" s="1114"/>
      <c r="V43" s="1114"/>
      <c r="W43" s="1114"/>
      <c r="X43" s="1114"/>
      <c r="Y43" s="1146">
        <v>-19672984.069200002</v>
      </c>
      <c r="Z43" s="2114">
        <f>C43-'Blocking-Step2'!C43</f>
        <v>0</v>
      </c>
      <c r="AA43" s="2114">
        <f>D43-'Blocking-Step2'!D43</f>
        <v>0</v>
      </c>
      <c r="AC43" s="2114">
        <f>F43-'Blocking-Step2'!F43</f>
        <v>0</v>
      </c>
      <c r="AE43" s="2114">
        <f>H43-'Blocking-Step2'!H43</f>
        <v>0</v>
      </c>
      <c r="AF43" s="2114">
        <f>I43-'Blocking-Step2'!I43</f>
        <v>0</v>
      </c>
      <c r="AH43" s="2136">
        <f>K43-'Blocking-Step2'!K43</f>
        <v>0</v>
      </c>
      <c r="AJ43" s="2136">
        <f>M43-'Blocking-Step2'!M43</f>
        <v>0</v>
      </c>
      <c r="AL43" s="2136" t="e">
        <f>O43-'Blocking-Step2'!O43</f>
        <v>#VALUE!</v>
      </c>
      <c r="AN43" s="2137">
        <f>Q43-'Blocking-Step2'!Q43</f>
        <v>0</v>
      </c>
      <c r="AP43" s="2127">
        <f>S43-'Blocking-Step2'!S43</f>
        <v>0</v>
      </c>
      <c r="AR43" s="2127">
        <f>U43-'Blocking-Step2'!U43</f>
        <v>0</v>
      </c>
      <c r="AT43" s="2127">
        <f>W43-'Blocking-Step2'!W43</f>
        <v>0</v>
      </c>
      <c r="AV43" s="2128">
        <f>Y43-'Blocking-Step2'!Y43</f>
        <v>523.87719999998808</v>
      </c>
    </row>
    <row r="44" spans="1:48">
      <c r="A44" s="1116" t="s">
        <v>1317</v>
      </c>
      <c r="C44" s="1024">
        <v>-325220</v>
      </c>
      <c r="D44" s="1105">
        <v>-316213</v>
      </c>
      <c r="F44" s="2076"/>
      <c r="G44" s="617"/>
      <c r="H44" s="1146"/>
      <c r="I44" s="1146"/>
      <c r="K44" s="2076"/>
      <c r="L44" s="617"/>
      <c r="M44" s="2076"/>
      <c r="N44" s="617"/>
      <c r="O44" s="2077" t="s">
        <v>2324</v>
      </c>
      <c r="P44" s="617"/>
      <c r="Q44" s="2076">
        <v>-1.67E-2</v>
      </c>
      <c r="R44" s="617"/>
      <c r="S44" s="1114"/>
      <c r="T44" s="1114"/>
      <c r="U44" s="1114"/>
      <c r="V44" s="1114"/>
      <c r="W44" s="1114"/>
      <c r="X44" s="1114"/>
      <c r="Y44" s="1146">
        <v>-10666845.258299999</v>
      </c>
      <c r="Z44" s="2114">
        <f>C44-'Blocking-Step2'!C44</f>
        <v>0</v>
      </c>
      <c r="AA44" s="2114">
        <f>D44-'Blocking-Step2'!D44</f>
        <v>0</v>
      </c>
      <c r="AC44" s="2114">
        <f>F44-'Blocking-Step2'!F44</f>
        <v>0</v>
      </c>
      <c r="AE44" s="2114">
        <f>H44-'Blocking-Step2'!H44</f>
        <v>0</v>
      </c>
      <c r="AF44" s="2114">
        <f>I44-'Blocking-Step2'!I44</f>
        <v>0</v>
      </c>
      <c r="AH44" s="2136">
        <f>K44-'Blocking-Step2'!K44</f>
        <v>0</v>
      </c>
      <c r="AJ44" s="2136">
        <f>M44-'Blocking-Step2'!M44</f>
        <v>0</v>
      </c>
      <c r="AL44" s="2136" t="e">
        <f>O44-'Blocking-Step2'!O44</f>
        <v>#VALUE!</v>
      </c>
      <c r="AN44" s="2137">
        <f>Q44-'Blocking-Step2'!Q44</f>
        <v>0</v>
      </c>
      <c r="AP44" s="2127">
        <f>S44-'Blocking-Step2'!S44</f>
        <v>0</v>
      </c>
      <c r="AR44" s="2127">
        <f>U44-'Blocking-Step2'!U44</f>
        <v>0</v>
      </c>
      <c r="AT44" s="2127">
        <f>W44-'Blocking-Step2'!W44</f>
        <v>0</v>
      </c>
      <c r="AV44" s="2128">
        <f>Y44-'Blocking-Step2'!Y44</f>
        <v>284.05030000023544</v>
      </c>
    </row>
    <row r="45" spans="1:48" s="1109" customFormat="1" ht="16.5" thickBot="1">
      <c r="A45" s="1116" t="s">
        <v>247</v>
      </c>
      <c r="B45" s="1104"/>
      <c r="C45" s="1941">
        <v>6524019560.9562616</v>
      </c>
      <c r="D45" s="1941">
        <v>6307369906.5283775</v>
      </c>
      <c r="F45" s="2078"/>
      <c r="H45" s="1154">
        <v>698656993.74090004</v>
      </c>
      <c r="I45" s="1154">
        <v>678380166.17610002</v>
      </c>
      <c r="K45" s="2078"/>
      <c r="M45" s="2078"/>
      <c r="O45" s="2078"/>
      <c r="Q45" s="2078"/>
      <c r="S45" s="1154">
        <v>257457204.84210822</v>
      </c>
      <c r="T45" s="1154"/>
      <c r="U45" s="1154">
        <v>340960714.34357148</v>
      </c>
      <c r="V45" s="1154"/>
      <c r="W45" s="1154">
        <v>125073217.81432027</v>
      </c>
      <c r="X45" s="1628"/>
      <c r="Y45" s="1154">
        <v>723491137</v>
      </c>
      <c r="Z45" s="2114">
        <f>C45-'Blocking-Step2'!C45</f>
        <v>0</v>
      </c>
      <c r="AA45" s="2114">
        <f>D45-'Blocking-Step2'!D45</f>
        <v>0</v>
      </c>
      <c r="AB45" s="2114"/>
      <c r="AC45" s="2114">
        <f>F45-'Blocking-Step2'!F45</f>
        <v>0</v>
      </c>
      <c r="AD45" s="2114"/>
      <c r="AE45" s="2114">
        <f>H45-'Blocking-Step2'!H45</f>
        <v>0</v>
      </c>
      <c r="AF45" s="2114">
        <f>I45-'Blocking-Step2'!I45</f>
        <v>0</v>
      </c>
      <c r="AG45" s="2114"/>
      <c r="AH45" s="2136">
        <f>K45-'Blocking-Step2'!K45</f>
        <v>0</v>
      </c>
      <c r="AI45" s="2136"/>
      <c r="AJ45" s="2136">
        <f>M45-'Blocking-Step2'!M45</f>
        <v>0</v>
      </c>
      <c r="AK45" s="2136"/>
      <c r="AL45" s="2136">
        <f>O45-'Blocking-Step2'!O45</f>
        <v>0</v>
      </c>
      <c r="AM45" s="2136"/>
      <c r="AN45" s="2137">
        <f>Q45-'Blocking-Step2'!Q45</f>
        <v>0</v>
      </c>
      <c r="AO45" s="2114"/>
      <c r="AP45" s="2127">
        <f>S45-'Blocking-Step2'!S45</f>
        <v>-106693095.89749584</v>
      </c>
      <c r="AQ45" s="2127"/>
      <c r="AR45" s="2127">
        <f>U45-'Blocking-Step2'!U45</f>
        <v>106679027.32102424</v>
      </c>
      <c r="AS45" s="2127"/>
      <c r="AT45" s="2127">
        <f>W45-'Blocking-Step2'!W45</f>
        <v>-2940.4235284328461</v>
      </c>
      <c r="AU45" s="2127"/>
      <c r="AV45" s="2128">
        <f>Y45-'Blocking-Step2'!Y45</f>
        <v>-17009</v>
      </c>
    </row>
    <row r="46" spans="1:48" ht="16.5" thickTop="1">
      <c r="C46" s="1105"/>
      <c r="D46" s="1105"/>
      <c r="Z46" s="2114">
        <f>C46-'Blocking-Step2'!C46</f>
        <v>0</v>
      </c>
      <c r="AA46" s="2114">
        <f>D46-'Blocking-Step2'!D46</f>
        <v>0</v>
      </c>
      <c r="AC46" s="2114">
        <f>F46-'Blocking-Step2'!F46</f>
        <v>0</v>
      </c>
      <c r="AE46" s="2114">
        <f>H46-'Blocking-Step2'!H46</f>
        <v>0</v>
      </c>
      <c r="AF46" s="2114">
        <f>I46-'Blocking-Step2'!I46</f>
        <v>0</v>
      </c>
      <c r="AH46" s="2136">
        <f>K46-'Blocking-Step2'!K46</f>
        <v>0</v>
      </c>
      <c r="AJ46" s="2136">
        <f>M46-'Blocking-Step2'!M46</f>
        <v>0</v>
      </c>
      <c r="AL46" s="2136">
        <f>O46-'Blocking-Step2'!O46</f>
        <v>0</v>
      </c>
      <c r="AN46" s="2137">
        <f>Q46-'Blocking-Step2'!Q46</f>
        <v>0</v>
      </c>
      <c r="AP46" s="2127">
        <f>S46-'Blocking-Step2'!S46</f>
        <v>0</v>
      </c>
      <c r="AR46" s="2127">
        <f>U46-'Blocking-Step2'!U46</f>
        <v>0</v>
      </c>
      <c r="AT46" s="2127">
        <f>W46-'Blocking-Step2'!W46</f>
        <v>0</v>
      </c>
      <c r="AV46" s="2128">
        <f>Y46-'Blocking-Step2'!Y46</f>
        <v>0</v>
      </c>
    </row>
    <row r="47" spans="1:48">
      <c r="A47" s="1115" t="s">
        <v>932</v>
      </c>
      <c r="C47" s="1105"/>
      <c r="D47" s="1105"/>
      <c r="Z47" s="2114">
        <f>C47-'Blocking-Step2'!C47</f>
        <v>0</v>
      </c>
      <c r="AA47" s="2114">
        <f>D47-'Blocking-Step2'!D47</f>
        <v>0</v>
      </c>
      <c r="AC47" s="2114">
        <f>F47-'Blocking-Step2'!F47</f>
        <v>0</v>
      </c>
      <c r="AE47" s="2114">
        <f>H47-'Blocking-Step2'!H47</f>
        <v>0</v>
      </c>
      <c r="AF47" s="2114">
        <f>I47-'Blocking-Step2'!I47</f>
        <v>0</v>
      </c>
      <c r="AH47" s="2136">
        <f>K47-'Blocking-Step2'!K47</f>
        <v>0</v>
      </c>
      <c r="AJ47" s="2136">
        <f>M47-'Blocking-Step2'!M47</f>
        <v>0</v>
      </c>
      <c r="AL47" s="2136">
        <f>O47-'Blocking-Step2'!O47</f>
        <v>0</v>
      </c>
      <c r="AN47" s="2137">
        <f>Q47-'Blocking-Step2'!Q47</f>
        <v>0</v>
      </c>
      <c r="AP47" s="2127">
        <f>S47-'Blocking-Step2'!S47</f>
        <v>0</v>
      </c>
      <c r="AR47" s="2127">
        <f>U47-'Blocking-Step2'!U47</f>
        <v>0</v>
      </c>
      <c r="AT47" s="2127">
        <f>W47-'Blocking-Step2'!W47</f>
        <v>0</v>
      </c>
      <c r="AV47" s="2128">
        <f>Y47-'Blocking-Step2'!Y47</f>
        <v>0</v>
      </c>
    </row>
    <row r="48" spans="1:48">
      <c r="A48" s="1116" t="s">
        <v>685</v>
      </c>
      <c r="C48" s="1105">
        <v>4580.7333333333299</v>
      </c>
      <c r="D48" s="1105">
        <v>4350</v>
      </c>
      <c r="F48" s="1907"/>
      <c r="G48" s="1110"/>
      <c r="H48" s="1146"/>
      <c r="I48" s="1146"/>
      <c r="K48" s="1907"/>
      <c r="L48" s="1110"/>
      <c r="M48" s="1907"/>
      <c r="N48" s="1110"/>
      <c r="O48" s="1907"/>
      <c r="P48" s="1110"/>
      <c r="Q48" s="1907"/>
      <c r="R48" s="1110"/>
      <c r="S48" s="1629"/>
      <c r="T48" s="1629"/>
      <c r="U48" s="1629"/>
      <c r="V48" s="1629"/>
      <c r="W48" s="1629"/>
      <c r="X48" s="1629"/>
      <c r="Y48" s="1146"/>
      <c r="Z48" s="2114">
        <f>C48-'Blocking-Step2'!C48</f>
        <v>0</v>
      </c>
      <c r="AA48" s="2114">
        <f>D48-'Blocking-Step2'!D48</f>
        <v>0</v>
      </c>
      <c r="AC48" s="2114">
        <f>F48-'Blocking-Step2'!F48</f>
        <v>0</v>
      </c>
      <c r="AE48" s="2114">
        <f>H48-'Blocking-Step2'!H48</f>
        <v>0</v>
      </c>
      <c r="AF48" s="2114">
        <f>I48-'Blocking-Step2'!I48</f>
        <v>0</v>
      </c>
      <c r="AH48" s="2136">
        <f>K48-'Blocking-Step2'!K48</f>
        <v>0</v>
      </c>
      <c r="AJ48" s="2136">
        <f>M48-'Blocking-Step2'!M48</f>
        <v>0</v>
      </c>
      <c r="AL48" s="2136">
        <f>O48-'Blocking-Step2'!O48</f>
        <v>0</v>
      </c>
      <c r="AN48" s="2137">
        <f>Q48-'Blocking-Step2'!Q48</f>
        <v>0</v>
      </c>
      <c r="AP48" s="2127">
        <f>S48-'Blocking-Step2'!S48</f>
        <v>0</v>
      </c>
      <c r="AR48" s="2127">
        <f>U48-'Blocking-Step2'!U48</f>
        <v>0</v>
      </c>
      <c r="AT48" s="2127">
        <f>W48-'Blocking-Step2'!W48</f>
        <v>0</v>
      </c>
      <c r="AV48" s="2128">
        <f>Y48-'Blocking-Step2'!Y48</f>
        <v>0</v>
      </c>
    </row>
    <row r="49" spans="1:48">
      <c r="A49" s="1116" t="s">
        <v>683</v>
      </c>
      <c r="C49" s="1105">
        <v>4568.7333333333299</v>
      </c>
      <c r="D49" s="1105">
        <v>4339</v>
      </c>
      <c r="F49" s="1907">
        <v>6</v>
      </c>
      <c r="G49" s="1110"/>
      <c r="H49" s="1146">
        <v>27412</v>
      </c>
      <c r="I49" s="1146">
        <v>26034</v>
      </c>
      <c r="K49" s="1907"/>
      <c r="L49" s="1110"/>
      <c r="M49" s="1907"/>
      <c r="N49" s="1110"/>
      <c r="O49" s="1907"/>
      <c r="P49" s="1110"/>
      <c r="Q49" s="1907"/>
      <c r="R49" s="1110"/>
      <c r="S49" s="1629"/>
      <c r="T49" s="1629"/>
      <c r="U49" s="1629"/>
      <c r="V49" s="1629"/>
      <c r="W49" s="1629"/>
      <c r="X49" s="1629"/>
      <c r="Y49" s="1146"/>
      <c r="Z49" s="2114">
        <f>C49-'Blocking-Step2'!C49</f>
        <v>0</v>
      </c>
      <c r="AA49" s="2114">
        <f>D49-'Blocking-Step2'!D49</f>
        <v>0</v>
      </c>
      <c r="AC49" s="2114">
        <f>F49-'Blocking-Step2'!F49</f>
        <v>0</v>
      </c>
      <c r="AE49" s="2114">
        <f>H49-'Blocking-Step2'!H49</f>
        <v>0</v>
      </c>
      <c r="AF49" s="2114">
        <f>I49-'Blocking-Step2'!I49</f>
        <v>0</v>
      </c>
      <c r="AH49" s="2136">
        <f>K49-'Blocking-Step2'!K49</f>
        <v>0</v>
      </c>
      <c r="AJ49" s="2136">
        <f>M49-'Blocking-Step2'!M49</f>
        <v>0</v>
      </c>
      <c r="AL49" s="2136">
        <f>O49-'Blocking-Step2'!O49</f>
        <v>0</v>
      </c>
      <c r="AN49" s="2137">
        <f>Q49-'Blocking-Step2'!Q49</f>
        <v>0</v>
      </c>
      <c r="AP49" s="2127">
        <f>S49-'Blocking-Step2'!S49</f>
        <v>0</v>
      </c>
      <c r="AR49" s="2127">
        <f>U49-'Blocking-Step2'!U49</f>
        <v>0</v>
      </c>
      <c r="AT49" s="2127">
        <f>W49-'Blocking-Step2'!W49</f>
        <v>0</v>
      </c>
      <c r="AV49" s="2128">
        <f>Y49-'Blocking-Step2'!Y49</f>
        <v>0</v>
      </c>
    </row>
    <row r="50" spans="1:48">
      <c r="A50" s="1116" t="s">
        <v>1581</v>
      </c>
      <c r="C50" s="1105">
        <v>3549.7999999999956</v>
      </c>
      <c r="D50" s="1105">
        <v>3371</v>
      </c>
      <c r="F50" s="1907"/>
      <c r="G50" s="1110"/>
      <c r="H50" s="1146"/>
      <c r="I50" s="1146"/>
      <c r="K50" s="1907">
        <v>10</v>
      </c>
      <c r="L50" s="1110"/>
      <c r="M50" s="1907">
        <v>0</v>
      </c>
      <c r="N50" s="1110"/>
      <c r="O50" s="1907">
        <v>0</v>
      </c>
      <c r="P50" s="1110"/>
      <c r="Q50" s="1907">
        <v>10</v>
      </c>
      <c r="R50" s="1110"/>
      <c r="S50" s="1146">
        <v>33710</v>
      </c>
      <c r="T50" s="1629"/>
      <c r="U50" s="1146">
        <v>0</v>
      </c>
      <c r="V50" s="1629"/>
      <c r="W50" s="1146">
        <v>0</v>
      </c>
      <c r="X50" s="1629"/>
      <c r="Y50" s="1146">
        <v>33710</v>
      </c>
      <c r="Z50" s="2114">
        <f>C50-'Blocking-Step2'!C50</f>
        <v>0</v>
      </c>
      <c r="AA50" s="2114">
        <f>D50-'Blocking-Step2'!D50</f>
        <v>0</v>
      </c>
      <c r="AC50" s="2114">
        <f>F50-'Blocking-Step2'!F50</f>
        <v>0</v>
      </c>
      <c r="AE50" s="2114">
        <f>H50-'Blocking-Step2'!H50</f>
        <v>0</v>
      </c>
      <c r="AF50" s="2114">
        <f>I50-'Blocking-Step2'!I50</f>
        <v>0</v>
      </c>
      <c r="AH50" s="2136">
        <f>K50-'Blocking-Step2'!K50</f>
        <v>0</v>
      </c>
      <c r="AJ50" s="2136">
        <f>M50-'Blocking-Step2'!M50</f>
        <v>0</v>
      </c>
      <c r="AL50" s="2136">
        <f>O50-'Blocking-Step2'!O50</f>
        <v>0</v>
      </c>
      <c r="AN50" s="2137">
        <f>Q50-'Blocking-Step2'!Q50</f>
        <v>0</v>
      </c>
      <c r="AP50" s="2127">
        <f>S50-'Blocking-Step2'!S50</f>
        <v>0</v>
      </c>
      <c r="AR50" s="2127">
        <f>U50-'Blocking-Step2'!U50</f>
        <v>0</v>
      </c>
      <c r="AT50" s="2127">
        <f>W50-'Blocking-Step2'!W50</f>
        <v>0</v>
      </c>
      <c r="AV50" s="2128">
        <f>Y50-'Blocking-Step2'!Y50</f>
        <v>0</v>
      </c>
    </row>
    <row r="51" spans="1:48">
      <c r="A51" s="1116" t="s">
        <v>1582</v>
      </c>
      <c r="C51" s="1105">
        <v>1018.9333333333341</v>
      </c>
      <c r="D51" s="1105">
        <v>968</v>
      </c>
      <c r="F51" s="1907"/>
      <c r="G51" s="1110"/>
      <c r="H51" s="1146"/>
      <c r="I51" s="1146"/>
      <c r="K51" s="1907">
        <v>6</v>
      </c>
      <c r="L51" s="1110"/>
      <c r="M51" s="1907">
        <v>0</v>
      </c>
      <c r="N51" s="1110"/>
      <c r="O51" s="1907">
        <v>0</v>
      </c>
      <c r="P51" s="1110"/>
      <c r="Q51" s="1907">
        <v>6</v>
      </c>
      <c r="R51" s="1110"/>
      <c r="S51" s="1146">
        <v>5808</v>
      </c>
      <c r="T51" s="1629"/>
      <c r="U51" s="1146">
        <v>0</v>
      </c>
      <c r="V51" s="1629"/>
      <c r="W51" s="1146">
        <v>0</v>
      </c>
      <c r="X51" s="1629"/>
      <c r="Y51" s="1146">
        <v>5808</v>
      </c>
      <c r="Z51" s="2114">
        <f>C51-'Blocking-Step2'!C51</f>
        <v>0</v>
      </c>
      <c r="AA51" s="2114">
        <f>D51-'Blocking-Step2'!D51</f>
        <v>0</v>
      </c>
      <c r="AC51" s="2114">
        <f>F51-'Blocking-Step2'!F51</f>
        <v>0</v>
      </c>
      <c r="AE51" s="2114">
        <f>H51-'Blocking-Step2'!H51</f>
        <v>0</v>
      </c>
      <c r="AF51" s="2114">
        <f>I51-'Blocking-Step2'!I51</f>
        <v>0</v>
      </c>
      <c r="AH51" s="2136">
        <f>K51-'Blocking-Step2'!K51</f>
        <v>0</v>
      </c>
      <c r="AJ51" s="2136">
        <f>M51-'Blocking-Step2'!M51</f>
        <v>0</v>
      </c>
      <c r="AL51" s="2136">
        <f>O51-'Blocking-Step2'!O51</f>
        <v>0</v>
      </c>
      <c r="AN51" s="2137">
        <f>Q51-'Blocking-Step2'!Q51</f>
        <v>0</v>
      </c>
      <c r="AP51" s="2127">
        <f>S51-'Blocking-Step2'!S51</f>
        <v>0</v>
      </c>
      <c r="AR51" s="2127">
        <f>U51-'Blocking-Step2'!U51</f>
        <v>0</v>
      </c>
      <c r="AT51" s="2127">
        <f>W51-'Blocking-Step2'!W51</f>
        <v>0</v>
      </c>
      <c r="AV51" s="2128">
        <f>Y51-'Blocking-Step2'!Y51</f>
        <v>0</v>
      </c>
    </row>
    <row r="52" spans="1:48">
      <c r="A52" s="1116" t="s">
        <v>684</v>
      </c>
      <c r="C52" s="1105">
        <v>12</v>
      </c>
      <c r="D52" s="1105">
        <v>11</v>
      </c>
      <c r="F52" s="1907">
        <v>12</v>
      </c>
      <c r="G52" s="1110"/>
      <c r="H52" s="1146">
        <v>144</v>
      </c>
      <c r="I52" s="1146">
        <v>132</v>
      </c>
      <c r="K52" s="1907"/>
      <c r="L52" s="1110"/>
      <c r="M52" s="1907"/>
      <c r="N52" s="1110"/>
      <c r="O52" s="1907"/>
      <c r="P52" s="1110"/>
      <c r="Q52" s="1907"/>
      <c r="R52" s="1110"/>
      <c r="S52" s="1146"/>
      <c r="T52" s="1629"/>
      <c r="U52" s="1146"/>
      <c r="V52" s="1629"/>
      <c r="W52" s="1146"/>
      <c r="X52" s="1629"/>
      <c r="Y52" s="1146"/>
      <c r="Z52" s="2114">
        <f>C52-'Blocking-Step2'!C52</f>
        <v>0</v>
      </c>
      <c r="AA52" s="2114">
        <f>D52-'Blocking-Step2'!D52</f>
        <v>0</v>
      </c>
      <c r="AC52" s="2114">
        <f>F52-'Blocking-Step2'!F52</f>
        <v>0</v>
      </c>
      <c r="AE52" s="2114">
        <f>H52-'Blocking-Step2'!H52</f>
        <v>0</v>
      </c>
      <c r="AF52" s="2114">
        <f>I52-'Blocking-Step2'!I52</f>
        <v>0</v>
      </c>
      <c r="AH52" s="2136">
        <f>K52-'Blocking-Step2'!K52</f>
        <v>0</v>
      </c>
      <c r="AJ52" s="2136">
        <f>M52-'Blocking-Step2'!M52</f>
        <v>0</v>
      </c>
      <c r="AL52" s="2136">
        <f>O52-'Blocking-Step2'!O52</f>
        <v>0</v>
      </c>
      <c r="AN52" s="2137">
        <f>Q52-'Blocking-Step2'!Q52</f>
        <v>0</v>
      </c>
      <c r="AP52" s="2127">
        <f>S52-'Blocking-Step2'!S52</f>
        <v>0</v>
      </c>
      <c r="AR52" s="2127">
        <f>U52-'Blocking-Step2'!U52</f>
        <v>0</v>
      </c>
      <c r="AT52" s="2127">
        <f>W52-'Blocking-Step2'!W52</f>
        <v>0</v>
      </c>
      <c r="AV52" s="2128">
        <f>Y52-'Blocking-Step2'!Y52</f>
        <v>0</v>
      </c>
    </row>
    <row r="53" spans="1:48">
      <c r="A53" s="1116" t="s">
        <v>1581</v>
      </c>
      <c r="C53" s="1105">
        <v>12</v>
      </c>
      <c r="D53" s="1105">
        <v>11</v>
      </c>
      <c r="F53" s="1907"/>
      <c r="G53" s="1110"/>
      <c r="H53" s="1146"/>
      <c r="I53" s="1146"/>
      <c r="K53" s="1907">
        <v>20</v>
      </c>
      <c r="L53" s="1110"/>
      <c r="M53" s="1907">
        <v>0</v>
      </c>
      <c r="N53" s="1110"/>
      <c r="O53" s="1907">
        <v>0</v>
      </c>
      <c r="P53" s="1110"/>
      <c r="Q53" s="1907">
        <v>20</v>
      </c>
      <c r="R53" s="1110"/>
      <c r="S53" s="1146">
        <v>220</v>
      </c>
      <c r="T53" s="1629"/>
      <c r="U53" s="1146">
        <v>0</v>
      </c>
      <c r="V53" s="1629"/>
      <c r="W53" s="1146">
        <v>0</v>
      </c>
      <c r="X53" s="1629"/>
      <c r="Y53" s="1146">
        <v>220</v>
      </c>
      <c r="Z53" s="2114">
        <f>C53-'Blocking-Step2'!C53</f>
        <v>0</v>
      </c>
      <c r="AA53" s="2114">
        <f>D53-'Blocking-Step2'!D53</f>
        <v>0</v>
      </c>
      <c r="AC53" s="2114">
        <f>F53-'Blocking-Step2'!F53</f>
        <v>0</v>
      </c>
      <c r="AE53" s="2114">
        <f>H53-'Blocking-Step2'!H53</f>
        <v>0</v>
      </c>
      <c r="AF53" s="2114">
        <f>I53-'Blocking-Step2'!I53</f>
        <v>0</v>
      </c>
      <c r="AH53" s="2136">
        <f>K53-'Blocking-Step2'!K53</f>
        <v>0</v>
      </c>
      <c r="AJ53" s="2136">
        <f>M53-'Blocking-Step2'!M53</f>
        <v>0</v>
      </c>
      <c r="AL53" s="2136">
        <f>O53-'Blocking-Step2'!O53</f>
        <v>0</v>
      </c>
      <c r="AN53" s="2137">
        <f>Q53-'Blocking-Step2'!Q53</f>
        <v>0</v>
      </c>
      <c r="AP53" s="2127">
        <f>S53-'Blocking-Step2'!S53</f>
        <v>0</v>
      </c>
      <c r="AR53" s="2127">
        <f>U53-'Blocking-Step2'!U53</f>
        <v>0</v>
      </c>
      <c r="AT53" s="2127">
        <f>W53-'Blocking-Step2'!W53</f>
        <v>0</v>
      </c>
      <c r="AV53" s="2128">
        <f>Y53-'Blocking-Step2'!Y53</f>
        <v>0</v>
      </c>
    </row>
    <row r="54" spans="1:48">
      <c r="A54" s="1116" t="s">
        <v>1582</v>
      </c>
      <c r="C54" s="1105">
        <v>0</v>
      </c>
      <c r="D54" s="1105">
        <v>0</v>
      </c>
      <c r="F54" s="1907"/>
      <c r="G54" s="1110"/>
      <c r="H54" s="1146"/>
      <c r="I54" s="1146"/>
      <c r="K54" s="1907">
        <v>12</v>
      </c>
      <c r="L54" s="1110"/>
      <c r="M54" s="1907">
        <v>0</v>
      </c>
      <c r="N54" s="1110"/>
      <c r="O54" s="1907">
        <v>0</v>
      </c>
      <c r="P54" s="1110"/>
      <c r="Q54" s="1907">
        <v>12</v>
      </c>
      <c r="R54" s="1110"/>
      <c r="S54" s="1146">
        <v>0</v>
      </c>
      <c r="T54" s="1629"/>
      <c r="U54" s="1146">
        <v>0</v>
      </c>
      <c r="V54" s="1629"/>
      <c r="W54" s="1146">
        <v>0</v>
      </c>
      <c r="X54" s="1629"/>
      <c r="Y54" s="1146">
        <v>0</v>
      </c>
      <c r="Z54" s="2114">
        <f>C54-'Blocking-Step2'!C54</f>
        <v>0</v>
      </c>
      <c r="AA54" s="2114">
        <f>D54-'Blocking-Step2'!D54</f>
        <v>0</v>
      </c>
      <c r="AC54" s="2114">
        <f>F54-'Blocking-Step2'!F54</f>
        <v>0</v>
      </c>
      <c r="AE54" s="2114">
        <f>H54-'Blocking-Step2'!H54</f>
        <v>0</v>
      </c>
      <c r="AF54" s="2114">
        <f>I54-'Blocking-Step2'!I54</f>
        <v>0</v>
      </c>
      <c r="AH54" s="2136">
        <f>K54-'Blocking-Step2'!K54</f>
        <v>0</v>
      </c>
      <c r="AJ54" s="2136">
        <f>M54-'Blocking-Step2'!M54</f>
        <v>0</v>
      </c>
      <c r="AL54" s="2136">
        <f>O54-'Blocking-Step2'!O54</f>
        <v>0</v>
      </c>
      <c r="AN54" s="2137">
        <f>Q54-'Blocking-Step2'!Q54</f>
        <v>0</v>
      </c>
      <c r="AP54" s="2127">
        <f>S54-'Blocking-Step2'!S54</f>
        <v>0</v>
      </c>
      <c r="AR54" s="2127">
        <f>U54-'Blocking-Step2'!U54</f>
        <v>0</v>
      </c>
      <c r="AT54" s="2127">
        <f>W54-'Blocking-Step2'!W54</f>
        <v>0</v>
      </c>
      <c r="AV54" s="2128">
        <f>Y54-'Blocking-Step2'!Y54</f>
        <v>0</v>
      </c>
    </row>
    <row r="55" spans="1:48">
      <c r="A55" s="1116" t="s">
        <v>1236</v>
      </c>
      <c r="C55" s="1105">
        <v>0</v>
      </c>
      <c r="D55" s="1105">
        <v>0</v>
      </c>
      <c r="F55" s="1907">
        <v>2</v>
      </c>
      <c r="G55" s="1110"/>
      <c r="H55" s="1146">
        <v>0</v>
      </c>
      <c r="I55" s="1146">
        <v>0</v>
      </c>
      <c r="K55" s="1907">
        <v>2</v>
      </c>
      <c r="L55" s="1110"/>
      <c r="M55" s="1907">
        <v>0</v>
      </c>
      <c r="N55" s="1110"/>
      <c r="O55" s="1907">
        <v>0</v>
      </c>
      <c r="P55" s="1110"/>
      <c r="Q55" s="1907">
        <v>2</v>
      </c>
      <c r="R55" s="1110"/>
      <c r="S55" s="1146">
        <v>0</v>
      </c>
      <c r="T55" s="1629"/>
      <c r="U55" s="1146">
        <v>0</v>
      </c>
      <c r="V55" s="1629"/>
      <c r="W55" s="1146">
        <v>0</v>
      </c>
      <c r="X55" s="1629"/>
      <c r="Y55" s="1146">
        <v>0</v>
      </c>
      <c r="Z55" s="2114">
        <f>C55-'Blocking-Step2'!C55</f>
        <v>0</v>
      </c>
      <c r="AA55" s="2114">
        <f>D55-'Blocking-Step2'!D55</f>
        <v>0</v>
      </c>
      <c r="AC55" s="2114">
        <f>F55-'Blocking-Step2'!F55</f>
        <v>0</v>
      </c>
      <c r="AE55" s="2114">
        <f>H55-'Blocking-Step2'!H55</f>
        <v>0</v>
      </c>
      <c r="AF55" s="2114">
        <f>I55-'Blocking-Step2'!I55</f>
        <v>0</v>
      </c>
      <c r="AH55" s="2136">
        <f>K55-'Blocking-Step2'!K55</f>
        <v>0</v>
      </c>
      <c r="AJ55" s="2136">
        <f>M55-'Blocking-Step2'!M55</f>
        <v>0</v>
      </c>
      <c r="AL55" s="2136">
        <f>O55-'Blocking-Step2'!O55</f>
        <v>0</v>
      </c>
      <c r="AN55" s="2137">
        <f>Q55-'Blocking-Step2'!Q55</f>
        <v>0</v>
      </c>
      <c r="AP55" s="2127">
        <f>S55-'Blocking-Step2'!S55</f>
        <v>0</v>
      </c>
      <c r="AR55" s="2127">
        <f>U55-'Blocking-Step2'!U55</f>
        <v>0</v>
      </c>
      <c r="AT55" s="2127">
        <f>W55-'Blocking-Step2'!W55</f>
        <v>0</v>
      </c>
      <c r="AV55" s="2128">
        <f>Y55-'Blocking-Step2'!Y55</f>
        <v>0</v>
      </c>
    </row>
    <row r="56" spans="1:48">
      <c r="A56" s="1116" t="s">
        <v>1301</v>
      </c>
      <c r="C56" s="1105">
        <v>0</v>
      </c>
      <c r="D56" s="1105">
        <v>0</v>
      </c>
      <c r="F56" s="1907">
        <v>22</v>
      </c>
      <c r="G56" s="1110"/>
      <c r="H56" s="1146">
        <v>0</v>
      </c>
      <c r="I56" s="1146">
        <v>0</v>
      </c>
      <c r="K56" s="1907">
        <v>22</v>
      </c>
      <c r="L56" s="1110"/>
      <c r="M56" s="1907">
        <v>0</v>
      </c>
      <c r="N56" s="1110"/>
      <c r="O56" s="1907">
        <v>0</v>
      </c>
      <c r="P56" s="1110"/>
      <c r="Q56" s="1907">
        <v>22</v>
      </c>
      <c r="R56" s="1110"/>
      <c r="S56" s="1146">
        <v>0</v>
      </c>
      <c r="T56" s="1629"/>
      <c r="U56" s="1146">
        <v>0</v>
      </c>
      <c r="V56" s="1629"/>
      <c r="W56" s="1146">
        <v>0</v>
      </c>
      <c r="X56" s="1629"/>
      <c r="Y56" s="1146">
        <v>0</v>
      </c>
      <c r="Z56" s="2114">
        <f>C56-'Blocking-Step2'!C56</f>
        <v>0</v>
      </c>
      <c r="AA56" s="2114">
        <f>D56-'Blocking-Step2'!D56</f>
        <v>0</v>
      </c>
      <c r="AC56" s="2114">
        <f>F56-'Blocking-Step2'!F56</f>
        <v>0</v>
      </c>
      <c r="AE56" s="2114">
        <f>H56-'Blocking-Step2'!H56</f>
        <v>0</v>
      </c>
      <c r="AF56" s="2114">
        <f>I56-'Blocking-Step2'!I56</f>
        <v>0</v>
      </c>
      <c r="AH56" s="2136">
        <f>K56-'Blocking-Step2'!K56</f>
        <v>0</v>
      </c>
      <c r="AJ56" s="2136">
        <f>M56-'Blocking-Step2'!M56</f>
        <v>0</v>
      </c>
      <c r="AL56" s="2136">
        <f>O56-'Blocking-Step2'!O56</f>
        <v>0</v>
      </c>
      <c r="AN56" s="2137">
        <f>Q56-'Blocking-Step2'!Q56</f>
        <v>0</v>
      </c>
      <c r="AP56" s="2127">
        <f>S56-'Blocking-Step2'!S56</f>
        <v>0</v>
      </c>
      <c r="AR56" s="2127">
        <f>U56-'Blocking-Step2'!U56</f>
        <v>0</v>
      </c>
      <c r="AT56" s="2127">
        <f>W56-'Blocking-Step2'!W56</f>
        <v>0</v>
      </c>
      <c r="AV56" s="2128">
        <f>Y56-'Blocking-Step2'!Y56</f>
        <v>0</v>
      </c>
    </row>
    <row r="57" spans="1:48">
      <c r="A57" s="1116" t="s">
        <v>243</v>
      </c>
      <c r="C57" s="1105">
        <v>9.9312500000000004</v>
      </c>
      <c r="D57" s="1105">
        <v>9</v>
      </c>
      <c r="F57" s="1907">
        <v>8</v>
      </c>
      <c r="G57" s="1110"/>
      <c r="H57" s="1146">
        <v>79</v>
      </c>
      <c r="I57" s="1146">
        <v>72</v>
      </c>
      <c r="K57" s="1907"/>
      <c r="L57" s="1110"/>
      <c r="M57" s="1907"/>
      <c r="N57" s="1110"/>
      <c r="O57" s="1907"/>
      <c r="P57" s="1110"/>
      <c r="Q57" s="1907"/>
      <c r="R57" s="1110"/>
      <c r="S57" s="1146"/>
      <c r="T57" s="1629"/>
      <c r="U57" s="1146"/>
      <c r="V57" s="1629"/>
      <c r="W57" s="1146"/>
      <c r="X57" s="1629"/>
      <c r="Y57" s="1146"/>
      <c r="Z57" s="2114">
        <f>C57-'Blocking-Step2'!C57</f>
        <v>0</v>
      </c>
      <c r="AA57" s="2114">
        <f>D57-'Blocking-Step2'!D57</f>
        <v>0</v>
      </c>
      <c r="AC57" s="2114">
        <f>F57-'Blocking-Step2'!F57</f>
        <v>0</v>
      </c>
      <c r="AE57" s="2114">
        <f>H57-'Blocking-Step2'!H57</f>
        <v>0</v>
      </c>
      <c r="AF57" s="2114">
        <f>I57-'Blocking-Step2'!I57</f>
        <v>0</v>
      </c>
      <c r="AH57" s="2136">
        <f>K57-'Blocking-Step2'!K57</f>
        <v>0</v>
      </c>
      <c r="AJ57" s="2136">
        <f>M57-'Blocking-Step2'!M57</f>
        <v>0</v>
      </c>
      <c r="AL57" s="2136">
        <f>O57-'Blocking-Step2'!O57</f>
        <v>0</v>
      </c>
      <c r="AN57" s="2137">
        <f>Q57-'Blocking-Step2'!Q57</f>
        <v>0</v>
      </c>
      <c r="AP57" s="2127">
        <f>S57-'Blocking-Step2'!S57</f>
        <v>0</v>
      </c>
      <c r="AR57" s="2127">
        <f>U57-'Blocking-Step2'!U57</f>
        <v>0</v>
      </c>
      <c r="AT57" s="2127">
        <f>W57-'Blocking-Step2'!W57</f>
        <v>0</v>
      </c>
      <c r="AV57" s="2128">
        <f>Y57-'Blocking-Step2'!Y57</f>
        <v>0</v>
      </c>
    </row>
    <row r="58" spans="1:48">
      <c r="A58" s="1116" t="s">
        <v>1581</v>
      </c>
      <c r="C58" s="1105">
        <v>5.5075000000000003</v>
      </c>
      <c r="D58" s="1105">
        <v>5</v>
      </c>
      <c r="F58" s="1907"/>
      <c r="G58" s="1110"/>
      <c r="H58" s="1146"/>
      <c r="I58" s="1146"/>
      <c r="K58" s="1907"/>
      <c r="L58" s="1110"/>
      <c r="M58" s="1907"/>
      <c r="N58" s="1110"/>
      <c r="O58" s="1907"/>
      <c r="P58" s="1110"/>
      <c r="Q58" s="1907"/>
      <c r="R58" s="1110"/>
      <c r="S58" s="1146"/>
      <c r="T58" s="1629"/>
      <c r="U58" s="1146"/>
      <c r="V58" s="1629"/>
      <c r="W58" s="1146"/>
      <c r="X58" s="1629"/>
      <c r="Y58" s="1146"/>
      <c r="Z58" s="2114">
        <f>C58-'Blocking-Step2'!C58</f>
        <v>0</v>
      </c>
      <c r="AA58" s="2114">
        <f>D58-'Blocking-Step2'!D58</f>
        <v>0</v>
      </c>
      <c r="AC58" s="2114">
        <f>F58-'Blocking-Step2'!F58</f>
        <v>0</v>
      </c>
      <c r="AE58" s="2114">
        <f>H58-'Blocking-Step2'!H58</f>
        <v>0</v>
      </c>
      <c r="AF58" s="2114">
        <f>I58-'Blocking-Step2'!I58</f>
        <v>0</v>
      </c>
      <c r="AH58" s="2136">
        <f>K58-'Blocking-Step2'!K58</f>
        <v>0</v>
      </c>
      <c r="AJ58" s="2136">
        <f>M58-'Blocking-Step2'!M58</f>
        <v>0</v>
      </c>
      <c r="AL58" s="2136">
        <f>O58-'Blocking-Step2'!O58</f>
        <v>0</v>
      </c>
      <c r="AN58" s="2137">
        <f>Q58-'Blocking-Step2'!Q58</f>
        <v>0</v>
      </c>
      <c r="AP58" s="2127">
        <f>S58-'Blocking-Step2'!S58</f>
        <v>0</v>
      </c>
      <c r="AR58" s="2127">
        <f>U58-'Blocking-Step2'!U58</f>
        <v>0</v>
      </c>
      <c r="AT58" s="2127">
        <f>W58-'Blocking-Step2'!W58</f>
        <v>0</v>
      </c>
      <c r="AV58" s="2128">
        <f>Y58-'Blocking-Step2'!Y58</f>
        <v>0</v>
      </c>
    </row>
    <row r="59" spans="1:48">
      <c r="A59" s="1116" t="s">
        <v>1582</v>
      </c>
      <c r="C59" s="1105">
        <v>4.4237500000000001</v>
      </c>
      <c r="D59" s="1105">
        <v>4</v>
      </c>
      <c r="F59" s="1907"/>
      <c r="G59" s="1110"/>
      <c r="H59" s="1146"/>
      <c r="I59" s="1146"/>
      <c r="K59" s="1907"/>
      <c r="L59" s="1110"/>
      <c r="M59" s="1907"/>
      <c r="N59" s="1110"/>
      <c r="O59" s="1907"/>
      <c r="P59" s="1110"/>
      <c r="Q59" s="1907"/>
      <c r="R59" s="1110"/>
      <c r="S59" s="1146"/>
      <c r="T59" s="1629"/>
      <c r="U59" s="1146"/>
      <c r="V59" s="1629"/>
      <c r="W59" s="1146"/>
      <c r="X59" s="1629"/>
      <c r="Y59" s="1146"/>
      <c r="Z59" s="2114">
        <f>C59-'Blocking-Step2'!C59</f>
        <v>0</v>
      </c>
      <c r="AA59" s="2114">
        <f>D59-'Blocking-Step2'!D59</f>
        <v>0</v>
      </c>
      <c r="AC59" s="2114">
        <f>F59-'Blocking-Step2'!F59</f>
        <v>0</v>
      </c>
      <c r="AE59" s="2114">
        <f>H59-'Blocking-Step2'!H59</f>
        <v>0</v>
      </c>
      <c r="AF59" s="2114">
        <f>I59-'Blocking-Step2'!I59</f>
        <v>0</v>
      </c>
      <c r="AH59" s="2136">
        <f>K59-'Blocking-Step2'!K59</f>
        <v>0</v>
      </c>
      <c r="AJ59" s="2136">
        <f>M59-'Blocking-Step2'!M59</f>
        <v>0</v>
      </c>
      <c r="AL59" s="2136">
        <f>O59-'Blocking-Step2'!O59</f>
        <v>0</v>
      </c>
      <c r="AN59" s="2137">
        <f>Q59-'Blocking-Step2'!Q59</f>
        <v>0</v>
      </c>
      <c r="AP59" s="2127">
        <f>S59-'Blocking-Step2'!S59</f>
        <v>0</v>
      </c>
      <c r="AR59" s="2127">
        <f>U59-'Blocking-Step2'!U59</f>
        <v>0</v>
      </c>
      <c r="AT59" s="2127">
        <f>W59-'Blocking-Step2'!W59</f>
        <v>0</v>
      </c>
      <c r="AV59" s="2128">
        <f>Y59-'Blocking-Step2'!Y59</f>
        <v>0</v>
      </c>
    </row>
    <row r="60" spans="1:48" s="1109" customFormat="1">
      <c r="A60" s="1116" t="s">
        <v>244</v>
      </c>
      <c r="B60" s="1104"/>
      <c r="C60" s="1105">
        <v>0</v>
      </c>
      <c r="D60" s="1105">
        <v>0</v>
      </c>
      <c r="F60" s="1907">
        <v>16</v>
      </c>
      <c r="G60" s="1110"/>
      <c r="H60" s="1146">
        <v>0</v>
      </c>
      <c r="I60" s="1146">
        <v>0</v>
      </c>
      <c r="K60" s="1907"/>
      <c r="L60" s="1110"/>
      <c r="M60" s="1907"/>
      <c r="N60" s="1110"/>
      <c r="O60" s="1907"/>
      <c r="P60" s="1110"/>
      <c r="Q60" s="1907"/>
      <c r="R60" s="1110"/>
      <c r="S60" s="1146"/>
      <c r="T60" s="1629"/>
      <c r="U60" s="1146"/>
      <c r="V60" s="1629"/>
      <c r="W60" s="1146"/>
      <c r="X60" s="1629"/>
      <c r="Y60" s="1146"/>
      <c r="Z60" s="2114">
        <f>C60-'Blocking-Step2'!C60</f>
        <v>0</v>
      </c>
      <c r="AA60" s="2114">
        <f>D60-'Blocking-Step2'!D60</f>
        <v>0</v>
      </c>
      <c r="AB60" s="2114"/>
      <c r="AC60" s="2114">
        <f>F60-'Blocking-Step2'!F60</f>
        <v>0</v>
      </c>
      <c r="AD60" s="2114"/>
      <c r="AE60" s="2114">
        <f>H60-'Blocking-Step2'!H60</f>
        <v>0</v>
      </c>
      <c r="AF60" s="2114">
        <f>I60-'Blocking-Step2'!I60</f>
        <v>0</v>
      </c>
      <c r="AG60" s="2114"/>
      <c r="AH60" s="2136">
        <f>K60-'Blocking-Step2'!K60</f>
        <v>0</v>
      </c>
      <c r="AI60" s="2136"/>
      <c r="AJ60" s="2136">
        <f>M60-'Blocking-Step2'!M60</f>
        <v>0</v>
      </c>
      <c r="AK60" s="2136"/>
      <c r="AL60" s="2136">
        <f>O60-'Blocking-Step2'!O60</f>
        <v>0</v>
      </c>
      <c r="AM60" s="2136"/>
      <c r="AN60" s="2137">
        <f>Q60-'Blocking-Step2'!Q60</f>
        <v>0</v>
      </c>
      <c r="AO60" s="2114"/>
      <c r="AP60" s="2127">
        <f>S60-'Blocking-Step2'!S60</f>
        <v>0</v>
      </c>
      <c r="AQ60" s="2127"/>
      <c r="AR60" s="2127">
        <f>U60-'Blocking-Step2'!U60</f>
        <v>0</v>
      </c>
      <c r="AS60" s="2127"/>
      <c r="AT60" s="2127">
        <f>W60-'Blocking-Step2'!W60</f>
        <v>0</v>
      </c>
      <c r="AU60" s="2127"/>
      <c r="AV60" s="2128">
        <f>Y60-'Blocking-Step2'!Y60</f>
        <v>0</v>
      </c>
    </row>
    <row r="61" spans="1:48">
      <c r="A61" s="1116" t="s">
        <v>1581</v>
      </c>
      <c r="C61" s="1105">
        <v>0</v>
      </c>
      <c r="D61" s="1105">
        <v>0</v>
      </c>
      <c r="F61" s="1907"/>
      <c r="G61" s="1110"/>
      <c r="H61" s="1146"/>
      <c r="I61" s="1146"/>
      <c r="K61" s="1907"/>
      <c r="L61" s="1110"/>
      <c r="M61" s="1907"/>
      <c r="N61" s="1110"/>
      <c r="O61" s="1907"/>
      <c r="P61" s="1110"/>
      <c r="Q61" s="1907"/>
      <c r="R61" s="1110"/>
      <c r="S61" s="1146"/>
      <c r="T61" s="1629"/>
      <c r="U61" s="1146"/>
      <c r="V61" s="1629"/>
      <c r="W61" s="1146"/>
      <c r="X61" s="1629"/>
      <c r="Y61" s="1146"/>
      <c r="Z61" s="2114">
        <f>C61-'Blocking-Step2'!C61</f>
        <v>0</v>
      </c>
      <c r="AA61" s="2114">
        <f>D61-'Blocking-Step2'!D61</f>
        <v>0</v>
      </c>
      <c r="AC61" s="2114">
        <f>F61-'Blocking-Step2'!F61</f>
        <v>0</v>
      </c>
      <c r="AE61" s="2114">
        <f>H61-'Blocking-Step2'!H61</f>
        <v>0</v>
      </c>
      <c r="AF61" s="2114">
        <f>I61-'Blocking-Step2'!I61</f>
        <v>0</v>
      </c>
      <c r="AH61" s="2136">
        <f>K61-'Blocking-Step2'!K61</f>
        <v>0</v>
      </c>
      <c r="AJ61" s="2136">
        <f>M61-'Blocking-Step2'!M61</f>
        <v>0</v>
      </c>
      <c r="AL61" s="2136">
        <f>O61-'Blocking-Step2'!O61</f>
        <v>0</v>
      </c>
      <c r="AN61" s="2137">
        <f>Q61-'Blocking-Step2'!Q61</f>
        <v>0</v>
      </c>
      <c r="AP61" s="2127">
        <f>S61-'Blocking-Step2'!S61</f>
        <v>0</v>
      </c>
      <c r="AR61" s="2127">
        <f>U61-'Blocking-Step2'!U61</f>
        <v>0</v>
      </c>
      <c r="AT61" s="2127">
        <f>W61-'Blocking-Step2'!W61</f>
        <v>0</v>
      </c>
      <c r="AV61" s="2128">
        <f>Y61-'Blocking-Step2'!Y61</f>
        <v>0</v>
      </c>
    </row>
    <row r="62" spans="1:48">
      <c r="A62" s="1116" t="s">
        <v>1582</v>
      </c>
      <c r="C62" s="1105">
        <v>0</v>
      </c>
      <c r="D62" s="1105">
        <v>0</v>
      </c>
      <c r="F62" s="1907"/>
      <c r="G62" s="1110"/>
      <c r="H62" s="1146"/>
      <c r="I62" s="1146"/>
      <c r="K62" s="1907"/>
      <c r="L62" s="1110"/>
      <c r="M62" s="1907"/>
      <c r="N62" s="1110"/>
      <c r="O62" s="1907"/>
      <c r="P62" s="1110"/>
      <c r="Q62" s="1907"/>
      <c r="R62" s="1110"/>
      <c r="S62" s="1146"/>
      <c r="T62" s="1629"/>
      <c r="U62" s="1146"/>
      <c r="V62" s="1629"/>
      <c r="W62" s="1146"/>
      <c r="X62" s="1629"/>
      <c r="Y62" s="1146"/>
      <c r="Z62" s="2114">
        <f>C62-'Blocking-Step2'!C62</f>
        <v>0</v>
      </c>
      <c r="AA62" s="2114">
        <f>D62-'Blocking-Step2'!D62</f>
        <v>0</v>
      </c>
      <c r="AC62" s="2114">
        <f>F62-'Blocking-Step2'!F62</f>
        <v>0</v>
      </c>
      <c r="AE62" s="2114">
        <f>H62-'Blocking-Step2'!H62</f>
        <v>0</v>
      </c>
      <c r="AF62" s="2114">
        <f>I62-'Blocking-Step2'!I62</f>
        <v>0</v>
      </c>
      <c r="AH62" s="2136">
        <f>K62-'Blocking-Step2'!K62</f>
        <v>0</v>
      </c>
      <c r="AJ62" s="2136">
        <f>M62-'Blocking-Step2'!M62</f>
        <v>0</v>
      </c>
      <c r="AL62" s="2136">
        <f>O62-'Blocking-Step2'!O62</f>
        <v>0</v>
      </c>
      <c r="AN62" s="2137">
        <f>Q62-'Blocking-Step2'!Q62</f>
        <v>0</v>
      </c>
      <c r="AP62" s="2127">
        <f>S62-'Blocking-Step2'!S62</f>
        <v>0</v>
      </c>
      <c r="AR62" s="2127">
        <f>U62-'Blocking-Step2'!U62</f>
        <v>0</v>
      </c>
      <c r="AT62" s="2127">
        <f>W62-'Blocking-Step2'!W62</f>
        <v>0</v>
      </c>
      <c r="AV62" s="2128">
        <f>Y62-'Blocking-Step2'!Y62</f>
        <v>0</v>
      </c>
    </row>
    <row r="63" spans="1:48" s="1109" customFormat="1">
      <c r="A63" s="1116" t="s">
        <v>245</v>
      </c>
      <c r="B63" s="1104"/>
      <c r="C63" s="1105">
        <v>0</v>
      </c>
      <c r="D63" s="1105">
        <v>0</v>
      </c>
      <c r="F63" s="1907">
        <v>96</v>
      </c>
      <c r="G63" s="1110"/>
      <c r="H63" s="1146">
        <v>0</v>
      </c>
      <c r="I63" s="1146">
        <v>0</v>
      </c>
      <c r="K63" s="1907"/>
      <c r="L63" s="1110"/>
      <c r="M63" s="1907"/>
      <c r="N63" s="1110"/>
      <c r="O63" s="1907"/>
      <c r="P63" s="1110"/>
      <c r="Q63" s="1907"/>
      <c r="R63" s="1110"/>
      <c r="S63" s="1146"/>
      <c r="T63" s="1629"/>
      <c r="U63" s="1146"/>
      <c r="V63" s="1629"/>
      <c r="W63" s="1146"/>
      <c r="X63" s="1629"/>
      <c r="Y63" s="1146"/>
      <c r="Z63" s="2114">
        <f>C63-'Blocking-Step2'!C63</f>
        <v>0</v>
      </c>
      <c r="AA63" s="2114">
        <f>D63-'Blocking-Step2'!D63</f>
        <v>0</v>
      </c>
      <c r="AB63" s="2114"/>
      <c r="AC63" s="2114">
        <f>F63-'Blocking-Step2'!F63</f>
        <v>0</v>
      </c>
      <c r="AD63" s="2114"/>
      <c r="AE63" s="2114">
        <f>H63-'Blocking-Step2'!H63</f>
        <v>0</v>
      </c>
      <c r="AF63" s="2114">
        <f>I63-'Blocking-Step2'!I63</f>
        <v>0</v>
      </c>
      <c r="AG63" s="2114"/>
      <c r="AH63" s="2136">
        <f>K63-'Blocking-Step2'!K63</f>
        <v>0</v>
      </c>
      <c r="AI63" s="2136"/>
      <c r="AJ63" s="2136">
        <f>M63-'Blocking-Step2'!M63</f>
        <v>0</v>
      </c>
      <c r="AK63" s="2136"/>
      <c r="AL63" s="2136">
        <f>O63-'Blocking-Step2'!O63</f>
        <v>0</v>
      </c>
      <c r="AM63" s="2136"/>
      <c r="AN63" s="2137">
        <f>Q63-'Blocking-Step2'!Q63</f>
        <v>0</v>
      </c>
      <c r="AO63" s="2114"/>
      <c r="AP63" s="2127">
        <f>S63-'Blocking-Step2'!S63</f>
        <v>0</v>
      </c>
      <c r="AQ63" s="2127"/>
      <c r="AR63" s="2127">
        <f>U63-'Blocking-Step2'!U63</f>
        <v>0</v>
      </c>
      <c r="AS63" s="2127"/>
      <c r="AT63" s="2127">
        <f>W63-'Blocking-Step2'!W63</f>
        <v>0</v>
      </c>
      <c r="AU63" s="2127"/>
      <c r="AV63" s="2128">
        <f>Y63-'Blocking-Step2'!Y63</f>
        <v>0</v>
      </c>
    </row>
    <row r="64" spans="1:48">
      <c r="A64" s="1116" t="s">
        <v>1532</v>
      </c>
      <c r="C64" s="1105">
        <v>263196.06186238333</v>
      </c>
      <c r="D64" s="1105">
        <v>258230</v>
      </c>
      <c r="F64" s="1922"/>
      <c r="G64" s="1921"/>
      <c r="H64" s="1146"/>
      <c r="I64" s="1146"/>
      <c r="K64" s="1922">
        <v>0</v>
      </c>
      <c r="L64" s="1921" t="s">
        <v>495</v>
      </c>
      <c r="M64" s="1922">
        <v>0</v>
      </c>
      <c r="N64" s="1921" t="s">
        <v>495</v>
      </c>
      <c r="O64" s="1922">
        <v>4.3559999999999999</v>
      </c>
      <c r="P64" s="1921" t="s">
        <v>495</v>
      </c>
      <c r="Q64" s="1922">
        <v>4.3559999999999999</v>
      </c>
      <c r="R64" s="1921" t="s">
        <v>495</v>
      </c>
      <c r="S64" s="1146">
        <v>0</v>
      </c>
      <c r="T64" s="1656"/>
      <c r="U64" s="1146">
        <v>0</v>
      </c>
      <c r="V64" s="1656"/>
      <c r="W64" s="1146">
        <v>11248</v>
      </c>
      <c r="X64" s="1648"/>
      <c r="Y64" s="1146">
        <v>11248</v>
      </c>
      <c r="Z64" s="2114">
        <f>C64-'Blocking-Step2'!C64</f>
        <v>0</v>
      </c>
      <c r="AA64" s="2114">
        <f>D64-'Blocking-Step2'!D64</f>
        <v>0</v>
      </c>
      <c r="AC64" s="2114">
        <f>F64-'Blocking-Step2'!F64</f>
        <v>0</v>
      </c>
      <c r="AE64" s="2114">
        <f>H64-'Blocking-Step2'!H64</f>
        <v>0</v>
      </c>
      <c r="AF64" s="2114">
        <f>I64-'Blocking-Step2'!I64</f>
        <v>0</v>
      </c>
      <c r="AH64" s="2136">
        <f>K64-'Blocking-Step2'!K64</f>
        <v>0</v>
      </c>
      <c r="AJ64" s="2136">
        <f>M64-'Blocking-Step2'!M64</f>
        <v>0</v>
      </c>
      <c r="AL64" s="2136">
        <f>O64-'Blocking-Step2'!O64</f>
        <v>0</v>
      </c>
      <c r="AN64" s="2137">
        <f>Q64-'Blocking-Step2'!Q64</f>
        <v>0</v>
      </c>
      <c r="AP64" s="2127">
        <f>S64-'Blocking-Step2'!S64</f>
        <v>0</v>
      </c>
      <c r="AR64" s="2127">
        <f>U64-'Blocking-Step2'!U64</f>
        <v>0</v>
      </c>
      <c r="AT64" s="2127">
        <f>W64-'Blocking-Step2'!W64</f>
        <v>0</v>
      </c>
      <c r="AV64" s="2128">
        <f>Y64-'Blocking-Step2'!Y64</f>
        <v>0</v>
      </c>
    </row>
    <row r="65" spans="1:48">
      <c r="A65" s="1116" t="s">
        <v>1533</v>
      </c>
      <c r="C65" s="1105">
        <v>841159.57580179488</v>
      </c>
      <c r="D65" s="1105">
        <v>825288</v>
      </c>
      <c r="F65" s="1922"/>
      <c r="G65" s="1921"/>
      <c r="H65" s="1146"/>
      <c r="I65" s="1146"/>
      <c r="K65" s="1922">
        <v>0</v>
      </c>
      <c r="L65" s="1921" t="s">
        <v>495</v>
      </c>
      <c r="M65" s="1922">
        <v>0</v>
      </c>
      <c r="N65" s="1921" t="s">
        <v>495</v>
      </c>
      <c r="O65" s="1922">
        <v>-1.6334</v>
      </c>
      <c r="P65" s="1921" t="s">
        <v>495</v>
      </c>
      <c r="Q65" s="1922">
        <v>-1.6334</v>
      </c>
      <c r="R65" s="1921" t="s">
        <v>495</v>
      </c>
      <c r="S65" s="1146">
        <v>0</v>
      </c>
      <c r="T65" s="1656"/>
      <c r="U65" s="1146">
        <v>0</v>
      </c>
      <c r="V65" s="1656"/>
      <c r="W65" s="1146">
        <v>-13480</v>
      </c>
      <c r="X65" s="1648"/>
      <c r="Y65" s="1146">
        <v>-13480</v>
      </c>
      <c r="Z65" s="2114">
        <f>C65-'Blocking-Step2'!C65</f>
        <v>0</v>
      </c>
      <c r="AA65" s="2114">
        <f>D65-'Blocking-Step2'!D65</f>
        <v>0</v>
      </c>
      <c r="AC65" s="2114">
        <f>F65-'Blocking-Step2'!F65</f>
        <v>0</v>
      </c>
      <c r="AE65" s="2114">
        <f>H65-'Blocking-Step2'!H65</f>
        <v>0</v>
      </c>
      <c r="AF65" s="2114">
        <f>I65-'Blocking-Step2'!I65</f>
        <v>0</v>
      </c>
      <c r="AH65" s="2136">
        <f>K65-'Blocking-Step2'!K65</f>
        <v>0</v>
      </c>
      <c r="AJ65" s="2136">
        <f>M65-'Blocking-Step2'!M65</f>
        <v>0</v>
      </c>
      <c r="AL65" s="2136">
        <f>O65-'Blocking-Step2'!O65</f>
        <v>0</v>
      </c>
      <c r="AN65" s="2137">
        <f>Q65-'Blocking-Step2'!Q65</f>
        <v>0</v>
      </c>
      <c r="AP65" s="2127">
        <f>S65-'Blocking-Step2'!S65</f>
        <v>0</v>
      </c>
      <c r="AR65" s="2127">
        <f>U65-'Blocking-Step2'!U65</f>
        <v>0</v>
      </c>
      <c r="AT65" s="2127">
        <f>W65-'Blocking-Step2'!W65</f>
        <v>0</v>
      </c>
      <c r="AV65" s="2128">
        <f>Y65-'Blocking-Step2'!Y65</f>
        <v>0</v>
      </c>
    </row>
    <row r="66" spans="1:48">
      <c r="A66" s="1116" t="s">
        <v>1534</v>
      </c>
      <c r="C66" s="1024">
        <v>505496.57354245015</v>
      </c>
      <c r="D66" s="1105">
        <v>495959</v>
      </c>
      <c r="F66" s="1927"/>
      <c r="G66" s="1921"/>
      <c r="H66" s="1146"/>
      <c r="I66" s="1146"/>
      <c r="K66" s="1922">
        <v>2.7378999999999998</v>
      </c>
      <c r="L66" s="1921" t="s">
        <v>495</v>
      </c>
      <c r="M66" s="1922">
        <v>5.3996000000000004</v>
      </c>
      <c r="N66" s="1921" t="s">
        <v>495</v>
      </c>
      <c r="O66" s="1922">
        <v>1.3648728754966735</v>
      </c>
      <c r="P66" s="1921" t="s">
        <v>495</v>
      </c>
      <c r="Q66" s="1922">
        <v>9.5023728754966736</v>
      </c>
      <c r="R66" s="1921" t="s">
        <v>495</v>
      </c>
      <c r="S66" s="1146">
        <v>13579</v>
      </c>
      <c r="T66" s="1656"/>
      <c r="U66" s="1146">
        <v>26780</v>
      </c>
      <c r="V66" s="1656"/>
      <c r="W66" s="1146">
        <v>6769</v>
      </c>
      <c r="X66" s="1648"/>
      <c r="Y66" s="1146">
        <v>47128</v>
      </c>
      <c r="Z66" s="2114">
        <f>C66-'Blocking-Step2'!C66</f>
        <v>0</v>
      </c>
      <c r="AA66" s="2114">
        <f>D66-'Blocking-Step2'!D66</f>
        <v>0</v>
      </c>
      <c r="AC66" s="2114">
        <f>F66-'Blocking-Step2'!F66</f>
        <v>0</v>
      </c>
      <c r="AE66" s="2114">
        <f>H66-'Blocking-Step2'!H66</f>
        <v>0</v>
      </c>
      <c r="AF66" s="2114">
        <f>I66-'Blocking-Step2'!I66</f>
        <v>0</v>
      </c>
      <c r="AH66" s="2136">
        <f>K66-'Blocking-Step2'!K66</f>
        <v>-1.6915000000000004</v>
      </c>
      <c r="AJ66" s="2136">
        <f>M66-'Blocking-Step2'!M66</f>
        <v>1.6955000000000005</v>
      </c>
      <c r="AL66" s="2136">
        <f>O66-'Blocking-Step2'!O66</f>
        <v>2.8657465324455345E-4</v>
      </c>
      <c r="AN66" s="2137">
        <f>Q66-'Blocking-Step2'!Q66</f>
        <v>4.286574653244557E-3</v>
      </c>
      <c r="AP66" s="2127">
        <f>S66-'Blocking-Step2'!S66</f>
        <v>-8389</v>
      </c>
      <c r="AR66" s="2127">
        <f>U66-'Blocking-Step2'!U66</f>
        <v>8409</v>
      </c>
      <c r="AT66" s="2127">
        <f>W66-'Blocking-Step2'!W66</f>
        <v>1</v>
      </c>
      <c r="AV66" s="2128">
        <f>Y66-'Blocking-Step2'!Y66</f>
        <v>21</v>
      </c>
    </row>
    <row r="67" spans="1:48">
      <c r="A67" s="1116" t="s">
        <v>1535</v>
      </c>
      <c r="C67" s="1024">
        <v>415305.77282962773</v>
      </c>
      <c r="D67" s="1105">
        <v>407470</v>
      </c>
      <c r="F67" s="1927"/>
      <c r="G67" s="1921"/>
      <c r="H67" s="1146"/>
      <c r="I67" s="1146"/>
      <c r="K67" s="1922">
        <v>2.7378999999999998</v>
      </c>
      <c r="L67" s="1921" t="s">
        <v>495</v>
      </c>
      <c r="M67" s="1922">
        <v>5.3996000000000004</v>
      </c>
      <c r="N67" s="1921" t="s">
        <v>495</v>
      </c>
      <c r="O67" s="1922">
        <v>4.0579728754966728</v>
      </c>
      <c r="P67" s="1921" t="s">
        <v>495</v>
      </c>
      <c r="Q67" s="1922">
        <v>12.195472875496673</v>
      </c>
      <c r="R67" s="1921" t="s">
        <v>495</v>
      </c>
      <c r="S67" s="1146">
        <v>11156</v>
      </c>
      <c r="T67" s="1656"/>
      <c r="U67" s="1146">
        <v>22002</v>
      </c>
      <c r="V67" s="1656"/>
      <c r="W67" s="1146">
        <v>16535</v>
      </c>
      <c r="X67" s="1648"/>
      <c r="Y67" s="1146">
        <v>49693</v>
      </c>
      <c r="Z67" s="2114">
        <f>C67-'Blocking-Step2'!C67</f>
        <v>0</v>
      </c>
      <c r="AA67" s="2114">
        <f>D67-'Blocking-Step2'!D67</f>
        <v>0</v>
      </c>
      <c r="AC67" s="2114">
        <f>F67-'Blocking-Step2'!F67</f>
        <v>0</v>
      </c>
      <c r="AE67" s="2114">
        <f>H67-'Blocking-Step2'!H67</f>
        <v>0</v>
      </c>
      <c r="AF67" s="2114">
        <f>I67-'Blocking-Step2'!I67</f>
        <v>0</v>
      </c>
      <c r="AH67" s="2136">
        <f>K67-'Blocking-Step2'!K67</f>
        <v>-1.6915000000000004</v>
      </c>
      <c r="AJ67" s="2136">
        <f>M67-'Blocking-Step2'!M67</f>
        <v>1.6955000000000005</v>
      </c>
      <c r="AL67" s="2136">
        <f>O67-'Blocking-Step2'!O67</f>
        <v>2.8657465324410936E-4</v>
      </c>
      <c r="AN67" s="2137">
        <f>Q67-'Blocking-Step2'!Q67</f>
        <v>4.286574653244557E-3</v>
      </c>
      <c r="AP67" s="2127">
        <f>S67-'Blocking-Step2'!S67</f>
        <v>-6892</v>
      </c>
      <c r="AR67" s="2127">
        <f>U67-'Blocking-Step2'!U67</f>
        <v>6909</v>
      </c>
      <c r="AT67" s="2127">
        <f>W67-'Blocking-Step2'!W67</f>
        <v>1</v>
      </c>
      <c r="AV67" s="2128">
        <f>Y67-'Blocking-Step2'!Y67</f>
        <v>18</v>
      </c>
    </row>
    <row r="68" spans="1:48">
      <c r="A68" s="1116" t="s">
        <v>1536</v>
      </c>
      <c r="C68" s="1024">
        <v>190083.01295245861</v>
      </c>
      <c r="D68" s="1105">
        <v>186496</v>
      </c>
      <c r="F68" s="1927"/>
      <c r="G68" s="1921"/>
      <c r="H68" s="1146"/>
      <c r="I68" s="1146"/>
      <c r="K68" s="1922">
        <v>2.7378999999999998</v>
      </c>
      <c r="L68" s="1921" t="s">
        <v>495</v>
      </c>
      <c r="M68" s="1922">
        <v>5.3996000000000004</v>
      </c>
      <c r="N68" s="1921" t="s">
        <v>495</v>
      </c>
      <c r="O68" s="1922">
        <v>4.0579728754966728</v>
      </c>
      <c r="P68" s="1921" t="s">
        <v>495</v>
      </c>
      <c r="Q68" s="1922">
        <v>12.195472875496673</v>
      </c>
      <c r="R68" s="1921" t="s">
        <v>495</v>
      </c>
      <c r="S68" s="1146">
        <v>5106</v>
      </c>
      <c r="T68" s="1656"/>
      <c r="U68" s="1146">
        <v>10070</v>
      </c>
      <c r="V68" s="1656"/>
      <c r="W68" s="1146">
        <v>7568</v>
      </c>
      <c r="X68" s="1648"/>
      <c r="Y68" s="1146">
        <v>22744</v>
      </c>
      <c r="Z68" s="2114">
        <f>C68-'Blocking-Step2'!C68</f>
        <v>0</v>
      </c>
      <c r="AA68" s="2114">
        <f>D68-'Blocking-Step2'!D68</f>
        <v>0</v>
      </c>
      <c r="AC68" s="2114">
        <f>F68-'Blocking-Step2'!F68</f>
        <v>0</v>
      </c>
      <c r="AE68" s="2114">
        <f>H68-'Blocking-Step2'!H68</f>
        <v>0</v>
      </c>
      <c r="AF68" s="2114">
        <f>I68-'Blocking-Step2'!I68</f>
        <v>0</v>
      </c>
      <c r="AH68" s="2136">
        <f>K68-'Blocking-Step2'!K68</f>
        <v>-1.6915000000000004</v>
      </c>
      <c r="AJ68" s="2136">
        <f>M68-'Blocking-Step2'!M68</f>
        <v>1.6955000000000005</v>
      </c>
      <c r="AL68" s="2136">
        <f>O68-'Blocking-Step2'!O68</f>
        <v>2.8657465324410936E-4</v>
      </c>
      <c r="AN68" s="2137">
        <f>Q68-'Blocking-Step2'!Q68</f>
        <v>4.286574653244557E-3</v>
      </c>
      <c r="AP68" s="2127">
        <f>S68-'Blocking-Step2'!S68</f>
        <v>-3155</v>
      </c>
      <c r="AR68" s="2127">
        <f>U68-'Blocking-Step2'!U68</f>
        <v>3162</v>
      </c>
      <c r="AT68" s="2127">
        <f>W68-'Blocking-Step2'!W68</f>
        <v>1</v>
      </c>
      <c r="AV68" s="2128">
        <f>Y68-'Blocking-Step2'!Y68</f>
        <v>8</v>
      </c>
    </row>
    <row r="69" spans="1:48">
      <c r="A69" s="1116" t="s">
        <v>1537</v>
      </c>
      <c r="B69" s="1928"/>
      <c r="C69" s="1105">
        <v>1072308.8189568296</v>
      </c>
      <c r="D69" s="1105">
        <v>919695</v>
      </c>
      <c r="E69" s="804"/>
      <c r="F69" s="1927"/>
      <c r="G69" s="1921"/>
      <c r="H69" s="1146"/>
      <c r="I69" s="1146"/>
      <c r="J69" s="804"/>
      <c r="K69" s="1922">
        <v>2.7378999999999998</v>
      </c>
      <c r="L69" s="1921" t="s">
        <v>495</v>
      </c>
      <c r="M69" s="1922">
        <v>5.3996000000000004</v>
      </c>
      <c r="N69" s="1921" t="s">
        <v>495</v>
      </c>
      <c r="O69" s="1922">
        <v>0.27167953583799953</v>
      </c>
      <c r="P69" s="1921" t="s">
        <v>495</v>
      </c>
      <c r="Q69" s="1922">
        <v>8.4091795358379997</v>
      </c>
      <c r="R69" s="1921" t="s">
        <v>495</v>
      </c>
      <c r="S69" s="1146">
        <v>25180</v>
      </c>
      <c r="T69" s="1656"/>
      <c r="U69" s="1146">
        <v>49660</v>
      </c>
      <c r="V69" s="1656"/>
      <c r="W69" s="1146">
        <v>2499</v>
      </c>
      <c r="X69" s="1648"/>
      <c r="Y69" s="1146">
        <v>77339</v>
      </c>
      <c r="Z69" s="2114">
        <f>C69-'Blocking-Step2'!C69</f>
        <v>0</v>
      </c>
      <c r="AA69" s="2114">
        <f>D69-'Blocking-Step2'!D69</f>
        <v>0</v>
      </c>
      <c r="AC69" s="2114">
        <f>F69-'Blocking-Step2'!F69</f>
        <v>0</v>
      </c>
      <c r="AE69" s="2114">
        <f>H69-'Blocking-Step2'!H69</f>
        <v>0</v>
      </c>
      <c r="AF69" s="2114">
        <f>I69-'Blocking-Step2'!I69</f>
        <v>0</v>
      </c>
      <c r="AH69" s="2136">
        <f>K69-'Blocking-Step2'!K69</f>
        <v>-1.6915000000000004</v>
      </c>
      <c r="AJ69" s="2136">
        <f>M69-'Blocking-Step2'!M69</f>
        <v>1.6955000000000005</v>
      </c>
      <c r="AL69" s="2136">
        <f>O69-'Blocking-Step2'!O69</f>
        <v>-2.0657110300037473E-4</v>
      </c>
      <c r="AN69" s="2137">
        <f>Q69-'Blocking-Step2'!Q69</f>
        <v>3.7934288969996288E-3</v>
      </c>
      <c r="AP69" s="2127">
        <f>S69-'Blocking-Step2'!S69</f>
        <v>-15557</v>
      </c>
      <c r="AR69" s="2127">
        <f>U69-'Blocking-Step2'!U69</f>
        <v>15594</v>
      </c>
      <c r="AT69" s="2127">
        <f>W69-'Blocking-Step2'!W69</f>
        <v>-2</v>
      </c>
      <c r="AV69" s="2128">
        <f>Y69-'Blocking-Step2'!Y69</f>
        <v>35</v>
      </c>
    </row>
    <row r="70" spans="1:48">
      <c r="A70" s="1116" t="s">
        <v>1538</v>
      </c>
      <c r="B70" s="1928"/>
      <c r="C70" s="1105">
        <v>856284.82535598439</v>
      </c>
      <c r="D70" s="1105">
        <v>734416</v>
      </c>
      <c r="E70" s="804"/>
      <c r="F70" s="1927"/>
      <c r="G70" s="1921"/>
      <c r="H70" s="1146"/>
      <c r="I70" s="1146"/>
      <c r="J70" s="804"/>
      <c r="K70" s="1922">
        <v>2.7378999999999998</v>
      </c>
      <c r="L70" s="1921" t="s">
        <v>495</v>
      </c>
      <c r="M70" s="1922">
        <v>5.3996000000000004</v>
      </c>
      <c r="N70" s="1921" t="s">
        <v>495</v>
      </c>
      <c r="O70" s="1922">
        <v>2.6549538721209993</v>
      </c>
      <c r="P70" s="1921" t="s">
        <v>495</v>
      </c>
      <c r="Q70" s="1922">
        <v>10.792453872120999</v>
      </c>
      <c r="R70" s="1921" t="s">
        <v>495</v>
      </c>
      <c r="S70" s="1146">
        <v>20108</v>
      </c>
      <c r="T70" s="1656"/>
      <c r="U70" s="1146">
        <v>39656</v>
      </c>
      <c r="V70" s="1656"/>
      <c r="W70" s="1146">
        <v>19498</v>
      </c>
      <c r="X70" s="1648"/>
      <c r="Y70" s="1146">
        <v>79262</v>
      </c>
      <c r="Z70" s="2114">
        <f>C70-'Blocking-Step2'!C70</f>
        <v>0</v>
      </c>
      <c r="AA70" s="2114">
        <f>D70-'Blocking-Step2'!D70</f>
        <v>0</v>
      </c>
      <c r="AC70" s="2114">
        <f>F70-'Blocking-Step2'!F70</f>
        <v>0</v>
      </c>
      <c r="AE70" s="2114">
        <f>H70-'Blocking-Step2'!H70</f>
        <v>0</v>
      </c>
      <c r="AF70" s="2114">
        <f>I70-'Blocking-Step2'!I70</f>
        <v>0</v>
      </c>
      <c r="AH70" s="2136">
        <f>K70-'Blocking-Step2'!K70</f>
        <v>-1.6915000000000004</v>
      </c>
      <c r="AJ70" s="2136">
        <f>M70-'Blocking-Step2'!M70</f>
        <v>1.6955000000000005</v>
      </c>
      <c r="AL70" s="2136">
        <f>O70-'Blocking-Step2'!O70</f>
        <v>-2.0657110300037473E-4</v>
      </c>
      <c r="AN70" s="2137">
        <f>Q70-'Blocking-Step2'!Q70</f>
        <v>3.7934288969996288E-3</v>
      </c>
      <c r="AP70" s="2127">
        <f>S70-'Blocking-Step2'!S70</f>
        <v>-12422</v>
      </c>
      <c r="AR70" s="2127">
        <f>U70-'Blocking-Step2'!U70</f>
        <v>12452</v>
      </c>
      <c r="AT70" s="2127">
        <f>W70-'Blocking-Step2'!W70</f>
        <v>-2</v>
      </c>
      <c r="AV70" s="2128">
        <f>Y70-'Blocking-Step2'!Y70</f>
        <v>28</v>
      </c>
    </row>
    <row r="71" spans="1:48">
      <c r="A71" s="1116" t="s">
        <v>188</v>
      </c>
      <c r="C71" s="1105">
        <v>319777</v>
      </c>
      <c r="D71" s="1105">
        <v>302460</v>
      </c>
      <c r="F71" s="1922">
        <v>4.3559999999999999</v>
      </c>
      <c r="G71" s="1921" t="s">
        <v>495</v>
      </c>
      <c r="H71" s="1146">
        <v>13929</v>
      </c>
      <c r="I71" s="1146">
        <v>13175</v>
      </c>
      <c r="K71" s="1922"/>
      <c r="L71" s="1921"/>
      <c r="M71" s="1922"/>
      <c r="N71" s="1921"/>
      <c r="O71" s="1922"/>
      <c r="P71" s="1921"/>
      <c r="Q71" s="1922"/>
      <c r="R71" s="1921"/>
      <c r="S71" s="1146"/>
      <c r="T71" s="1648"/>
      <c r="U71" s="1146"/>
      <c r="V71" s="1648"/>
      <c r="W71" s="1146"/>
      <c r="X71" s="1648"/>
      <c r="Y71" s="1146"/>
      <c r="Z71" s="2114">
        <f>C71-'Blocking-Step2'!C71</f>
        <v>0</v>
      </c>
      <c r="AA71" s="2114">
        <f>D71-'Blocking-Step2'!D71</f>
        <v>0</v>
      </c>
      <c r="AC71" s="2114">
        <f>F71-'Blocking-Step2'!F71</f>
        <v>0</v>
      </c>
      <c r="AE71" s="2114">
        <f>H71-'Blocking-Step2'!H71</f>
        <v>0</v>
      </c>
      <c r="AF71" s="2114">
        <f>I71-'Blocking-Step2'!I71</f>
        <v>0</v>
      </c>
      <c r="AH71" s="2136">
        <f>K71-'Blocking-Step2'!K71</f>
        <v>0</v>
      </c>
      <c r="AJ71" s="2136">
        <f>M71-'Blocking-Step2'!M71</f>
        <v>0</v>
      </c>
      <c r="AL71" s="2136">
        <f>O71-'Blocking-Step2'!O71</f>
        <v>0</v>
      </c>
      <c r="AN71" s="2137">
        <f>Q71-'Blocking-Step2'!Q71</f>
        <v>0</v>
      </c>
      <c r="AP71" s="2127">
        <f>S71-'Blocking-Step2'!S71</f>
        <v>0</v>
      </c>
      <c r="AR71" s="2127">
        <f>U71-'Blocking-Step2'!U71</f>
        <v>0</v>
      </c>
      <c r="AT71" s="2127">
        <f>W71-'Blocking-Step2'!W71</f>
        <v>0</v>
      </c>
      <c r="AV71" s="2128">
        <f>Y71-'Blocking-Step2'!Y71</f>
        <v>0</v>
      </c>
    </row>
    <row r="72" spans="1:48">
      <c r="A72" s="1116" t="s">
        <v>189</v>
      </c>
      <c r="C72" s="1105">
        <v>1008879.7824872736</v>
      </c>
      <c r="D72" s="1105">
        <v>954246</v>
      </c>
      <c r="F72" s="1922">
        <v>-1.6334</v>
      </c>
      <c r="G72" s="1921" t="s">
        <v>495</v>
      </c>
      <c r="H72" s="1146">
        <v>-16479</v>
      </c>
      <c r="I72" s="1146">
        <v>-15587</v>
      </c>
      <c r="K72" s="1922"/>
      <c r="L72" s="1921"/>
      <c r="M72" s="1922"/>
      <c r="N72" s="1921"/>
      <c r="O72" s="1922"/>
      <c r="P72" s="1921"/>
      <c r="Q72" s="1922"/>
      <c r="R72" s="1921"/>
      <c r="S72" s="1146"/>
      <c r="T72" s="1648"/>
      <c r="U72" s="1146"/>
      <c r="V72" s="1648"/>
      <c r="W72" s="1146"/>
      <c r="X72" s="1648"/>
      <c r="Y72" s="1146"/>
      <c r="Z72" s="2114">
        <f>C72-'Blocking-Step2'!C72</f>
        <v>0</v>
      </c>
      <c r="AA72" s="2114">
        <f>D72-'Blocking-Step2'!D72</f>
        <v>0</v>
      </c>
      <c r="AC72" s="2114">
        <f>F72-'Blocking-Step2'!F72</f>
        <v>0</v>
      </c>
      <c r="AE72" s="2114">
        <f>H72-'Blocking-Step2'!H72</f>
        <v>0</v>
      </c>
      <c r="AF72" s="2114">
        <f>I72-'Blocking-Step2'!I72</f>
        <v>0</v>
      </c>
      <c r="AH72" s="2136">
        <f>K72-'Blocking-Step2'!K72</f>
        <v>0</v>
      </c>
      <c r="AJ72" s="2136">
        <f>M72-'Blocking-Step2'!M72</f>
        <v>0</v>
      </c>
      <c r="AL72" s="2136">
        <f>O72-'Blocking-Step2'!O72</f>
        <v>0</v>
      </c>
      <c r="AN72" s="2137">
        <f>Q72-'Blocking-Step2'!Q72</f>
        <v>0</v>
      </c>
      <c r="AP72" s="2127">
        <f>S72-'Blocking-Step2'!S72</f>
        <v>0</v>
      </c>
      <c r="AR72" s="2127">
        <f>U72-'Blocking-Step2'!U72</f>
        <v>0</v>
      </c>
      <c r="AT72" s="2127">
        <f>W72-'Blocking-Step2'!W72</f>
        <v>0</v>
      </c>
      <c r="AV72" s="2128">
        <f>Y72-'Blocking-Step2'!Y72</f>
        <v>0</v>
      </c>
    </row>
    <row r="73" spans="1:48">
      <c r="A73" s="1116" t="s">
        <v>241</v>
      </c>
      <c r="C73" s="1024">
        <v>652800</v>
      </c>
      <c r="D73" s="1105">
        <v>617449</v>
      </c>
      <c r="F73" s="1927">
        <v>8.8498000000000001</v>
      </c>
      <c r="G73" s="1921" t="s">
        <v>495</v>
      </c>
      <c r="H73" s="1146">
        <v>57771</v>
      </c>
      <c r="I73" s="1146">
        <v>54643</v>
      </c>
      <c r="K73" s="1927"/>
      <c r="L73" s="1921"/>
      <c r="M73" s="1927"/>
      <c r="N73" s="1921"/>
      <c r="O73" s="1927"/>
      <c r="P73" s="1921"/>
      <c r="Q73" s="1927"/>
      <c r="R73" s="1921"/>
      <c r="S73" s="1146"/>
      <c r="T73" s="1648"/>
      <c r="U73" s="1146"/>
      <c r="V73" s="1648"/>
      <c r="W73" s="1146"/>
      <c r="X73" s="1648"/>
      <c r="Y73" s="1146"/>
      <c r="Z73" s="2114">
        <f>C73-'Blocking-Step2'!C73</f>
        <v>0</v>
      </c>
      <c r="AA73" s="2114">
        <f>D73-'Blocking-Step2'!D73</f>
        <v>0</v>
      </c>
      <c r="AC73" s="2114">
        <f>F73-'Blocking-Step2'!F73</f>
        <v>0</v>
      </c>
      <c r="AE73" s="2114">
        <f>H73-'Blocking-Step2'!H73</f>
        <v>0</v>
      </c>
      <c r="AF73" s="2114">
        <f>I73-'Blocking-Step2'!I73</f>
        <v>0</v>
      </c>
      <c r="AH73" s="2136">
        <f>K73-'Blocking-Step2'!K73</f>
        <v>0</v>
      </c>
      <c r="AJ73" s="2136">
        <f>M73-'Blocking-Step2'!M73</f>
        <v>0</v>
      </c>
      <c r="AL73" s="2136">
        <f>O73-'Blocking-Step2'!O73</f>
        <v>0</v>
      </c>
      <c r="AN73" s="2137">
        <f>Q73-'Blocking-Step2'!Q73</f>
        <v>0</v>
      </c>
      <c r="AP73" s="2127">
        <f>S73-'Blocking-Step2'!S73</f>
        <v>0</v>
      </c>
      <c r="AR73" s="2127">
        <f>U73-'Blocking-Step2'!U73</f>
        <v>0</v>
      </c>
      <c r="AT73" s="2127">
        <f>W73-'Blocking-Step2'!W73</f>
        <v>0</v>
      </c>
      <c r="AV73" s="2128">
        <f>Y73-'Blocking-Step2'!Y73</f>
        <v>0</v>
      </c>
    </row>
    <row r="74" spans="1:48">
      <c r="A74" s="1116" t="s">
        <v>242</v>
      </c>
      <c r="C74" s="1024">
        <v>477029</v>
      </c>
      <c r="D74" s="1105">
        <v>451197</v>
      </c>
      <c r="F74" s="1927">
        <v>11.542899999999999</v>
      </c>
      <c r="G74" s="1921" t="s">
        <v>495</v>
      </c>
      <c r="H74" s="1146">
        <v>55063</v>
      </c>
      <c r="I74" s="1146">
        <v>52081</v>
      </c>
      <c r="K74" s="1927"/>
      <c r="L74" s="1921"/>
      <c r="M74" s="1927"/>
      <c r="N74" s="1921"/>
      <c r="O74" s="1927"/>
      <c r="P74" s="1921"/>
      <c r="Q74" s="1927"/>
      <c r="R74" s="1921"/>
      <c r="S74" s="1146"/>
      <c r="T74" s="1648"/>
      <c r="U74" s="1146"/>
      <c r="V74" s="1648"/>
      <c r="W74" s="1146"/>
      <c r="X74" s="1648"/>
      <c r="Y74" s="1146"/>
      <c r="Z74" s="2114">
        <f>C74-'Blocking-Step2'!C74</f>
        <v>0</v>
      </c>
      <c r="AA74" s="2114">
        <f>D74-'Blocking-Step2'!D74</f>
        <v>0</v>
      </c>
      <c r="AC74" s="2114">
        <f>F74-'Blocking-Step2'!F74</f>
        <v>0</v>
      </c>
      <c r="AE74" s="2114">
        <f>H74-'Blocking-Step2'!H74</f>
        <v>0</v>
      </c>
      <c r="AF74" s="2114">
        <f>I74-'Blocking-Step2'!I74</f>
        <v>0</v>
      </c>
      <c r="AH74" s="2136">
        <f>K74-'Blocking-Step2'!K74</f>
        <v>0</v>
      </c>
      <c r="AJ74" s="2136">
        <f>M74-'Blocking-Step2'!M74</f>
        <v>0</v>
      </c>
      <c r="AL74" s="2136">
        <f>O74-'Blocking-Step2'!O74</f>
        <v>0</v>
      </c>
      <c r="AN74" s="2137">
        <f>Q74-'Blocking-Step2'!Q74</f>
        <v>0</v>
      </c>
      <c r="AP74" s="2127">
        <f>S74-'Blocking-Step2'!S74</f>
        <v>0</v>
      </c>
      <c r="AR74" s="2127">
        <f>U74-'Blocking-Step2'!U74</f>
        <v>0</v>
      </c>
      <c r="AT74" s="2127">
        <f>W74-'Blocking-Step2'!W74</f>
        <v>0</v>
      </c>
      <c r="AV74" s="2128">
        <f>Y74-'Blocking-Step2'!Y74</f>
        <v>0</v>
      </c>
    </row>
    <row r="75" spans="1:48">
      <c r="A75" s="1116" t="s">
        <v>94</v>
      </c>
      <c r="C75" s="1024">
        <v>198835.78248727357</v>
      </c>
      <c r="D75" s="1105">
        <v>188068</v>
      </c>
      <c r="F75" s="1927">
        <v>14.450799999999999</v>
      </c>
      <c r="G75" s="1921" t="s">
        <v>495</v>
      </c>
      <c r="H75" s="1146">
        <v>28733</v>
      </c>
      <c r="I75" s="1146">
        <v>27177</v>
      </c>
      <c r="K75" s="1927"/>
      <c r="L75" s="1921"/>
      <c r="M75" s="1927"/>
      <c r="N75" s="1921"/>
      <c r="O75" s="1927"/>
      <c r="P75" s="1921"/>
      <c r="Q75" s="1927"/>
      <c r="R75" s="1921"/>
      <c r="S75" s="1146"/>
      <c r="T75" s="1648"/>
      <c r="U75" s="1146"/>
      <c r="V75" s="1648"/>
      <c r="W75" s="1146"/>
      <c r="X75" s="1648"/>
      <c r="Y75" s="1146"/>
      <c r="Z75" s="2114">
        <f>C75-'Blocking-Step2'!C75</f>
        <v>0</v>
      </c>
      <c r="AA75" s="2114">
        <f>D75-'Blocking-Step2'!D75</f>
        <v>0</v>
      </c>
      <c r="AC75" s="2114">
        <f>F75-'Blocking-Step2'!F75</f>
        <v>0</v>
      </c>
      <c r="AE75" s="2114">
        <f>H75-'Blocking-Step2'!H75</f>
        <v>0</v>
      </c>
      <c r="AF75" s="2114">
        <f>I75-'Blocking-Step2'!I75</f>
        <v>0</v>
      </c>
      <c r="AH75" s="2136">
        <f>K75-'Blocking-Step2'!K75</f>
        <v>0</v>
      </c>
      <c r="AJ75" s="2136">
        <f>M75-'Blocking-Step2'!M75</f>
        <v>0</v>
      </c>
      <c r="AL75" s="2136">
        <f>O75-'Blocking-Step2'!O75</f>
        <v>0</v>
      </c>
      <c r="AN75" s="2137">
        <f>Q75-'Blocking-Step2'!Q75</f>
        <v>0</v>
      </c>
      <c r="AP75" s="2127">
        <f>S75-'Blocking-Step2'!S75</f>
        <v>0</v>
      </c>
      <c r="AR75" s="2127">
        <f>U75-'Blocking-Step2'!U75</f>
        <v>0</v>
      </c>
      <c r="AT75" s="2127">
        <f>W75-'Blocking-Step2'!W75</f>
        <v>0</v>
      </c>
      <c r="AV75" s="2128">
        <f>Y75-'Blocking-Step2'!Y75</f>
        <v>0</v>
      </c>
    </row>
    <row r="76" spans="1:48">
      <c r="A76" s="1116" t="s">
        <v>1360</v>
      </c>
      <c r="B76" s="1928"/>
      <c r="C76" s="1105">
        <v>931922</v>
      </c>
      <c r="D76" s="1105">
        <v>810180</v>
      </c>
      <c r="E76" s="804"/>
      <c r="F76" s="1927">
        <v>8.8498000000000001</v>
      </c>
      <c r="G76" s="1921" t="s">
        <v>495</v>
      </c>
      <c r="H76" s="1146">
        <v>82473</v>
      </c>
      <c r="I76" s="1146">
        <v>71699</v>
      </c>
      <c r="J76" s="804"/>
      <c r="K76" s="1927"/>
      <c r="L76" s="1921"/>
      <c r="M76" s="1927"/>
      <c r="N76" s="1921"/>
      <c r="O76" s="1927"/>
      <c r="P76" s="1921"/>
      <c r="Q76" s="1927"/>
      <c r="R76" s="1921"/>
      <c r="S76" s="1146"/>
      <c r="T76" s="1648"/>
      <c r="U76" s="1146"/>
      <c r="V76" s="1648"/>
      <c r="W76" s="1146"/>
      <c r="X76" s="1648"/>
      <c r="Y76" s="1146"/>
      <c r="Z76" s="2114">
        <f>C76-'Blocking-Step2'!C76</f>
        <v>0</v>
      </c>
      <c r="AA76" s="2114">
        <f>D76-'Blocking-Step2'!D76</f>
        <v>0</v>
      </c>
      <c r="AC76" s="2114">
        <f>F76-'Blocking-Step2'!F76</f>
        <v>0</v>
      </c>
      <c r="AE76" s="2114">
        <f>H76-'Blocking-Step2'!H76</f>
        <v>0</v>
      </c>
      <c r="AF76" s="2114">
        <f>I76-'Blocking-Step2'!I76</f>
        <v>0</v>
      </c>
      <c r="AH76" s="2136">
        <f>K76-'Blocking-Step2'!K76</f>
        <v>0</v>
      </c>
      <c r="AJ76" s="2136">
        <f>M76-'Blocking-Step2'!M76</f>
        <v>0</v>
      </c>
      <c r="AL76" s="2136">
        <f>O76-'Blocking-Step2'!O76</f>
        <v>0</v>
      </c>
      <c r="AN76" s="2137">
        <f>Q76-'Blocking-Step2'!Q76</f>
        <v>0</v>
      </c>
      <c r="AP76" s="2127">
        <f>S76-'Blocking-Step2'!S76</f>
        <v>0</v>
      </c>
      <c r="AR76" s="2127">
        <f>U76-'Blocking-Step2'!U76</f>
        <v>0</v>
      </c>
      <c r="AT76" s="2127">
        <f>W76-'Blocking-Step2'!W76</f>
        <v>0</v>
      </c>
      <c r="AV76" s="2128">
        <f>Y76-'Blocking-Step2'!Y76</f>
        <v>0</v>
      </c>
    </row>
    <row r="77" spans="1:48">
      <c r="A77" s="1116" t="s">
        <v>1361</v>
      </c>
      <c r="B77" s="1928"/>
      <c r="C77" s="1105">
        <v>778892.22115007683</v>
      </c>
      <c r="D77" s="1105">
        <v>677142</v>
      </c>
      <c r="E77" s="804"/>
      <c r="F77" s="1927">
        <v>10.7072</v>
      </c>
      <c r="G77" s="1921" t="s">
        <v>495</v>
      </c>
      <c r="H77" s="1146">
        <v>83398</v>
      </c>
      <c r="I77" s="1146">
        <v>72503</v>
      </c>
      <c r="J77" s="804"/>
      <c r="K77" s="1927"/>
      <c r="L77" s="1921"/>
      <c r="M77" s="1927"/>
      <c r="N77" s="1921"/>
      <c r="O77" s="1927"/>
      <c r="P77" s="1921"/>
      <c r="Q77" s="1927"/>
      <c r="R77" s="1921"/>
      <c r="S77" s="1146"/>
      <c r="T77" s="1648"/>
      <c r="U77" s="1146"/>
      <c r="V77" s="1648"/>
      <c r="W77" s="1146"/>
      <c r="X77" s="1648"/>
      <c r="Y77" s="1146"/>
      <c r="Z77" s="2114">
        <f>C77-'Blocking-Step2'!C77</f>
        <v>0</v>
      </c>
      <c r="AA77" s="2114">
        <f>D77-'Blocking-Step2'!D77</f>
        <v>0</v>
      </c>
      <c r="AC77" s="2114">
        <f>F77-'Blocking-Step2'!F77</f>
        <v>0</v>
      </c>
      <c r="AE77" s="2114">
        <f>H77-'Blocking-Step2'!H77</f>
        <v>0</v>
      </c>
      <c r="AF77" s="2114">
        <f>I77-'Blocking-Step2'!I77</f>
        <v>0</v>
      </c>
      <c r="AH77" s="2136">
        <f>K77-'Blocking-Step2'!K77</f>
        <v>0</v>
      </c>
      <c r="AJ77" s="2136">
        <f>M77-'Blocking-Step2'!M77</f>
        <v>0</v>
      </c>
      <c r="AL77" s="2136">
        <f>O77-'Blocking-Step2'!O77</f>
        <v>0</v>
      </c>
      <c r="AN77" s="2137">
        <f>Q77-'Blocking-Step2'!Q77</f>
        <v>0</v>
      </c>
      <c r="AP77" s="2127">
        <f>S77-'Blocking-Step2'!S77</f>
        <v>0</v>
      </c>
      <c r="AR77" s="2127">
        <f>U77-'Blocking-Step2'!U77</f>
        <v>0</v>
      </c>
      <c r="AT77" s="2127">
        <f>W77-'Blocking-Step2'!W77</f>
        <v>0</v>
      </c>
      <c r="AV77" s="2128">
        <f>Y77-'Blocking-Step2'!Y77</f>
        <v>0</v>
      </c>
    </row>
    <row r="78" spans="1:48">
      <c r="A78" s="1116" t="s">
        <v>1158</v>
      </c>
      <c r="B78" s="1928"/>
      <c r="C78" s="1024">
        <v>0</v>
      </c>
      <c r="D78" s="1105">
        <v>0</v>
      </c>
      <c r="E78" s="804"/>
      <c r="F78" s="1927">
        <v>11.7033</v>
      </c>
      <c r="G78" s="1929" t="s">
        <v>495</v>
      </c>
      <c r="H78" s="1146">
        <v>0</v>
      </c>
      <c r="I78" s="1146">
        <v>0</v>
      </c>
      <c r="J78" s="804"/>
      <c r="K78" s="1927">
        <v>2.7378999999999998</v>
      </c>
      <c r="L78" s="1929" t="s">
        <v>495</v>
      </c>
      <c r="M78" s="1927">
        <v>7.7249999999999996</v>
      </c>
      <c r="N78" s="1929" t="s">
        <v>495</v>
      </c>
      <c r="O78" s="1927">
        <v>0</v>
      </c>
      <c r="P78" s="1929" t="s">
        <v>495</v>
      </c>
      <c r="Q78" s="1927">
        <v>10.462899999999999</v>
      </c>
      <c r="R78" s="1929" t="s">
        <v>495</v>
      </c>
      <c r="S78" s="1146">
        <v>0</v>
      </c>
      <c r="T78" s="1656"/>
      <c r="U78" s="1146">
        <v>0</v>
      </c>
      <c r="V78" s="1656"/>
      <c r="W78" s="1146">
        <v>0</v>
      </c>
      <c r="X78" s="1656"/>
      <c r="Y78" s="1146">
        <v>0</v>
      </c>
      <c r="Z78" s="2114">
        <f>C78-'Blocking-Step2'!C78</f>
        <v>0</v>
      </c>
      <c r="AA78" s="2114">
        <f>D78-'Blocking-Step2'!D78</f>
        <v>0</v>
      </c>
      <c r="AC78" s="2114">
        <f>F78-'Blocking-Step2'!F78</f>
        <v>0</v>
      </c>
      <c r="AE78" s="2114">
        <f>H78-'Blocking-Step2'!H78</f>
        <v>0</v>
      </c>
      <c r="AF78" s="2114">
        <f>I78-'Blocking-Step2'!I78</f>
        <v>0</v>
      </c>
      <c r="AH78" s="2136">
        <f>K78-'Blocking-Step2'!K78</f>
        <v>-1.6915000000000004</v>
      </c>
      <c r="AJ78" s="2136">
        <f>M78-'Blocking-Step2'!M78</f>
        <v>0</v>
      </c>
      <c r="AL78" s="2136">
        <f>O78-'Blocking-Step2'!O78</f>
        <v>0</v>
      </c>
      <c r="AN78" s="2137">
        <f>Q78-'Blocking-Step2'!Q78</f>
        <v>-1.6915000000000013</v>
      </c>
      <c r="AP78" s="2127">
        <f>S78-'Blocking-Step2'!S78</f>
        <v>0</v>
      </c>
      <c r="AR78" s="2127">
        <f>U78-'Blocking-Step2'!U78</f>
        <v>0</v>
      </c>
      <c r="AT78" s="2127">
        <f>W78-'Blocking-Step2'!W78</f>
        <v>0</v>
      </c>
      <c r="AV78" s="2128">
        <f>Y78-'Blocking-Step2'!Y78</f>
        <v>0</v>
      </c>
    </row>
    <row r="79" spans="1:48">
      <c r="A79" s="1116" t="s">
        <v>246</v>
      </c>
      <c r="C79" s="1940">
        <v>17487</v>
      </c>
      <c r="D79" s="1940">
        <v>0</v>
      </c>
      <c r="H79" s="1147">
        <v>2003</v>
      </c>
      <c r="I79" s="1147">
        <v>0</v>
      </c>
      <c r="Y79" s="1147">
        <v>0</v>
      </c>
      <c r="Z79" s="2114">
        <f>C79-'Blocking-Step2'!C79</f>
        <v>0</v>
      </c>
      <c r="AA79" s="2114">
        <f>D79-'Blocking-Step2'!D79</f>
        <v>0</v>
      </c>
      <c r="AC79" s="2114">
        <f>F79-'Blocking-Step2'!F79</f>
        <v>0</v>
      </c>
      <c r="AE79" s="2114">
        <f>H79-'Blocking-Step2'!H79</f>
        <v>0</v>
      </c>
      <c r="AF79" s="2114">
        <f>I79-'Blocking-Step2'!I79</f>
        <v>0</v>
      </c>
      <c r="AH79" s="2136">
        <f>K79-'Blocking-Step2'!K79</f>
        <v>0</v>
      </c>
      <c r="AJ79" s="2136">
        <f>M79-'Blocking-Step2'!M79</f>
        <v>0</v>
      </c>
      <c r="AL79" s="2136">
        <f>O79-'Blocking-Step2'!O79</f>
        <v>0</v>
      </c>
      <c r="AN79" s="2137">
        <f>Q79-'Blocking-Step2'!Q79</f>
        <v>0</v>
      </c>
      <c r="AP79" s="2127">
        <f>S79-'Blocking-Step2'!S79</f>
        <v>0</v>
      </c>
      <c r="AR79" s="2127">
        <f>U79-'Blocking-Step2'!U79</f>
        <v>0</v>
      </c>
      <c r="AT79" s="2127">
        <f>W79-'Blocking-Step2'!W79</f>
        <v>0</v>
      </c>
      <c r="AV79" s="2128">
        <f>Y79-'Blocking-Step2'!Y79</f>
        <v>0</v>
      </c>
    </row>
    <row r="80" spans="1:48">
      <c r="A80" s="1116" t="s">
        <v>1240</v>
      </c>
      <c r="C80" s="1024"/>
      <c r="D80" s="1024"/>
      <c r="F80" s="2076">
        <v>-3.9100000000000003E-2</v>
      </c>
      <c r="G80" s="617"/>
      <c r="H80" s="1146">
        <v>-12020.825800000001</v>
      </c>
      <c r="I80" s="1146">
        <v>-10873.827300000001</v>
      </c>
      <c r="K80" s="2076"/>
      <c r="L80" s="617"/>
      <c r="M80" s="2076"/>
      <c r="N80" s="617"/>
      <c r="O80" s="2077" t="s">
        <v>2323</v>
      </c>
      <c r="P80" s="617"/>
      <c r="Q80" s="2076">
        <v>-3.0800000000000001E-2</v>
      </c>
      <c r="R80" s="617"/>
      <c r="S80" s="1114"/>
      <c r="T80" s="1114"/>
      <c r="U80" s="1114"/>
      <c r="V80" s="1114"/>
      <c r="W80" s="1114"/>
      <c r="X80" s="1114"/>
      <c r="Y80" s="1146">
        <v>-8505.9128000000001</v>
      </c>
      <c r="Z80" s="2114">
        <f>C80-'Blocking-Step2'!C80</f>
        <v>0</v>
      </c>
      <c r="AA80" s="2114">
        <f>D80-'Blocking-Step2'!D80</f>
        <v>0</v>
      </c>
      <c r="AC80" s="2114">
        <f>F80-'Blocking-Step2'!F80</f>
        <v>0</v>
      </c>
      <c r="AE80" s="2114">
        <f>H80-'Blocking-Step2'!H80</f>
        <v>0</v>
      </c>
      <c r="AF80" s="2114">
        <f>I80-'Blocking-Step2'!I80</f>
        <v>0</v>
      </c>
      <c r="AH80" s="2136">
        <f>K80-'Blocking-Step2'!K80</f>
        <v>0</v>
      </c>
      <c r="AJ80" s="2136">
        <f>M80-'Blocking-Step2'!M80</f>
        <v>0</v>
      </c>
      <c r="AL80" s="2136" t="e">
        <f>O80-'Blocking-Step2'!O80</f>
        <v>#VALUE!</v>
      </c>
      <c r="AN80" s="2137">
        <f>Q80-'Blocking-Step2'!Q80</f>
        <v>0</v>
      </c>
      <c r="AP80" s="2127">
        <f>S80-'Blocking-Step2'!S80</f>
        <v>0</v>
      </c>
      <c r="AR80" s="2127">
        <f>U80-'Blocking-Step2'!U80</f>
        <v>0</v>
      </c>
      <c r="AT80" s="2127">
        <f>W80-'Blocking-Step2'!W80</f>
        <v>0</v>
      </c>
      <c r="AV80" s="2128">
        <f>Y80-'Blocking-Step2'!Y80</f>
        <v>-3.3879999999990105</v>
      </c>
    </row>
    <row r="81" spans="1:48">
      <c r="A81" s="1116" t="s">
        <v>1317</v>
      </c>
      <c r="C81" s="1024">
        <v>0</v>
      </c>
      <c r="D81" s="1105">
        <v>0</v>
      </c>
      <c r="F81" s="2076"/>
      <c r="G81" s="617"/>
      <c r="H81" s="1146"/>
      <c r="I81" s="1146"/>
      <c r="K81" s="2076"/>
      <c r="L81" s="617"/>
      <c r="M81" s="2076"/>
      <c r="N81" s="617"/>
      <c r="O81" s="2077" t="s">
        <v>2324</v>
      </c>
      <c r="P81" s="617"/>
      <c r="Q81" s="2076">
        <v>-1.67E-2</v>
      </c>
      <c r="R81" s="617"/>
      <c r="S81" s="1114"/>
      <c r="T81" s="1114"/>
      <c r="U81" s="1114"/>
      <c r="V81" s="1114"/>
      <c r="W81" s="1114"/>
      <c r="X81" s="1114"/>
      <c r="Y81" s="1146">
        <v>-4611.9722000000002</v>
      </c>
      <c r="Z81" s="2114">
        <f>C81-'Blocking-Step2'!C81</f>
        <v>0</v>
      </c>
      <c r="AA81" s="2114">
        <f>D81-'Blocking-Step2'!D81</f>
        <v>0</v>
      </c>
      <c r="AC81" s="2114">
        <f>F81-'Blocking-Step2'!F81</f>
        <v>0</v>
      </c>
      <c r="AE81" s="2114">
        <f>H81-'Blocking-Step2'!H81</f>
        <v>0</v>
      </c>
      <c r="AF81" s="2114">
        <f>I81-'Blocking-Step2'!I81</f>
        <v>0</v>
      </c>
      <c r="AH81" s="2136">
        <f>K81-'Blocking-Step2'!K81</f>
        <v>0</v>
      </c>
      <c r="AJ81" s="2136">
        <f>M81-'Blocking-Step2'!M81</f>
        <v>0</v>
      </c>
      <c r="AL81" s="2136" t="e">
        <f>O81-'Blocking-Step2'!O81</f>
        <v>#VALUE!</v>
      </c>
      <c r="AN81" s="2137">
        <f>Q81-'Blocking-Step2'!Q81</f>
        <v>0</v>
      </c>
      <c r="AP81" s="2127">
        <f>S81-'Blocking-Step2'!S81</f>
        <v>0</v>
      </c>
      <c r="AR81" s="2127">
        <f>U81-'Blocking-Step2'!U81</f>
        <v>0</v>
      </c>
      <c r="AT81" s="2127">
        <f>W81-'Blocking-Step2'!W81</f>
        <v>0</v>
      </c>
      <c r="AV81" s="2128">
        <f>Y81-'Blocking-Step2'!Y81</f>
        <v>-1.8370000000004438</v>
      </c>
    </row>
    <row r="82" spans="1:48" ht="16.5" thickBot="1">
      <c r="A82" s="1116" t="s">
        <v>247</v>
      </c>
      <c r="C82" s="1941">
        <v>3056966.0036373506</v>
      </c>
      <c r="D82" s="1941">
        <v>2744036</v>
      </c>
      <c r="F82" s="1145"/>
      <c r="H82" s="1149">
        <v>322505.17420000001</v>
      </c>
      <c r="I82" s="1149">
        <v>291055.1727</v>
      </c>
      <c r="K82" s="1145"/>
      <c r="M82" s="1145"/>
      <c r="O82" s="1145"/>
      <c r="Q82" s="1145"/>
      <c r="S82" s="1154">
        <v>114867</v>
      </c>
      <c r="U82" s="1154">
        <v>148168</v>
      </c>
      <c r="W82" s="1154">
        <v>50637</v>
      </c>
      <c r="Y82" s="1154">
        <v>313672</v>
      </c>
      <c r="Z82" s="2114">
        <f>C82-'Blocking-Step2'!C82</f>
        <v>0</v>
      </c>
      <c r="AA82" s="2114">
        <f>D82-'Blocking-Step2'!D82</f>
        <v>0</v>
      </c>
      <c r="AC82" s="2114">
        <f>F82-'Blocking-Step2'!F82</f>
        <v>0</v>
      </c>
      <c r="AE82" s="2114">
        <f>H82-'Blocking-Step2'!H82</f>
        <v>0</v>
      </c>
      <c r="AF82" s="2114">
        <f>I82-'Blocking-Step2'!I82</f>
        <v>0</v>
      </c>
      <c r="AH82" s="2136">
        <f>K82-'Blocking-Step2'!K82</f>
        <v>0</v>
      </c>
      <c r="AJ82" s="2136">
        <f>M82-'Blocking-Step2'!M82</f>
        <v>0</v>
      </c>
      <c r="AL82" s="2136">
        <f>O82-'Blocking-Step2'!O82</f>
        <v>0</v>
      </c>
      <c r="AN82" s="2137">
        <f>Q82-'Blocking-Step2'!Q82</f>
        <v>0</v>
      </c>
      <c r="AP82" s="2127">
        <f>S82-'Blocking-Step2'!S82</f>
        <v>-46415</v>
      </c>
      <c r="AR82" s="2127">
        <f>U82-'Blocking-Step2'!U82</f>
        <v>46526</v>
      </c>
      <c r="AT82" s="2127">
        <f>W82-'Blocking-Step2'!W82</f>
        <v>-1</v>
      </c>
      <c r="AV82" s="2128">
        <f>Y82-'Blocking-Step2'!Y82</f>
        <v>110</v>
      </c>
    </row>
    <row r="83" spans="1:48" ht="16.5" thickTop="1">
      <c r="C83" s="1105"/>
      <c r="D83" s="1105"/>
      <c r="Z83" s="2114">
        <f>C83-'Blocking-Step2'!C83</f>
        <v>0</v>
      </c>
      <c r="AA83" s="2114">
        <f>D83-'Blocking-Step2'!D83</f>
        <v>0</v>
      </c>
      <c r="AC83" s="2114">
        <f>F83-'Blocking-Step2'!F83</f>
        <v>0</v>
      </c>
      <c r="AE83" s="2114">
        <f>H83-'Blocking-Step2'!H83</f>
        <v>0</v>
      </c>
      <c r="AF83" s="2114">
        <f>I83-'Blocking-Step2'!I83</f>
        <v>0</v>
      </c>
      <c r="AH83" s="2136">
        <f>K83-'Blocking-Step2'!K83</f>
        <v>0</v>
      </c>
      <c r="AJ83" s="2136">
        <f>M83-'Blocking-Step2'!M83</f>
        <v>0</v>
      </c>
      <c r="AL83" s="2136">
        <f>O83-'Blocking-Step2'!O83</f>
        <v>0</v>
      </c>
      <c r="AN83" s="2137">
        <f>Q83-'Blocking-Step2'!Q83</f>
        <v>0</v>
      </c>
      <c r="AP83" s="2127">
        <f>S83-'Blocking-Step2'!S83</f>
        <v>0</v>
      </c>
      <c r="AR83" s="2127">
        <f>U83-'Blocking-Step2'!U83</f>
        <v>0</v>
      </c>
      <c r="AT83" s="2127">
        <f>W83-'Blocking-Step2'!W83</f>
        <v>0</v>
      </c>
      <c r="AV83" s="2128">
        <f>Y83-'Blocking-Step2'!Y83</f>
        <v>0</v>
      </c>
    </row>
    <row r="84" spans="1:48">
      <c r="A84" s="1115" t="s">
        <v>1159</v>
      </c>
      <c r="C84" s="1105"/>
      <c r="D84" s="1105"/>
      <c r="Z84" s="2114">
        <f>C84-'Blocking-Step2'!C84</f>
        <v>0</v>
      </c>
      <c r="AA84" s="2114">
        <f>D84-'Blocking-Step2'!D84</f>
        <v>0</v>
      </c>
      <c r="AC84" s="2114">
        <f>F84-'Blocking-Step2'!F84</f>
        <v>0</v>
      </c>
      <c r="AE84" s="2114">
        <f>H84-'Blocking-Step2'!H84</f>
        <v>0</v>
      </c>
      <c r="AF84" s="2114">
        <f>I84-'Blocking-Step2'!I84</f>
        <v>0</v>
      </c>
      <c r="AH84" s="2136">
        <f>K84-'Blocking-Step2'!K84</f>
        <v>0</v>
      </c>
      <c r="AJ84" s="2136">
        <f>M84-'Blocking-Step2'!M84</f>
        <v>0</v>
      </c>
      <c r="AL84" s="2136">
        <f>O84-'Blocking-Step2'!O84</f>
        <v>0</v>
      </c>
      <c r="AN84" s="2137">
        <f>Q84-'Blocking-Step2'!Q84</f>
        <v>0</v>
      </c>
      <c r="AP84" s="2127">
        <f>S84-'Blocking-Step2'!S84</f>
        <v>0</v>
      </c>
      <c r="AR84" s="2127">
        <f>U84-'Blocking-Step2'!U84</f>
        <v>0</v>
      </c>
      <c r="AT84" s="2127">
        <f>W84-'Blocking-Step2'!W84</f>
        <v>0</v>
      </c>
      <c r="AV84" s="2128">
        <f>Y84-'Blocking-Step2'!Y84</f>
        <v>0</v>
      </c>
    </row>
    <row r="85" spans="1:48">
      <c r="A85" s="1116" t="s">
        <v>685</v>
      </c>
      <c r="C85" s="1105">
        <v>3278.9666666666699</v>
      </c>
      <c r="D85" s="1105">
        <v>3114</v>
      </c>
      <c r="F85" s="1907"/>
      <c r="G85" s="1110"/>
      <c r="H85" s="1146"/>
      <c r="I85" s="1146"/>
      <c r="K85" s="1907"/>
      <c r="L85" s="1110"/>
      <c r="M85" s="1907"/>
      <c r="N85" s="1110"/>
      <c r="O85" s="1907"/>
      <c r="P85" s="1110"/>
      <c r="Q85" s="1907"/>
      <c r="R85" s="1110"/>
      <c r="S85" s="1629"/>
      <c r="T85" s="1629"/>
      <c r="U85" s="1629"/>
      <c r="V85" s="1629"/>
      <c r="W85" s="1629"/>
      <c r="X85" s="1629"/>
      <c r="Y85" s="1146"/>
      <c r="Z85" s="2114">
        <f>C85-'Blocking-Step2'!C85</f>
        <v>0</v>
      </c>
      <c r="AA85" s="2114">
        <f>D85-'Blocking-Step2'!D85</f>
        <v>0</v>
      </c>
      <c r="AC85" s="2114">
        <f>F85-'Blocking-Step2'!F85</f>
        <v>0</v>
      </c>
      <c r="AE85" s="2114">
        <f>H85-'Blocking-Step2'!H85</f>
        <v>0</v>
      </c>
      <c r="AF85" s="2114">
        <f>I85-'Blocking-Step2'!I85</f>
        <v>0</v>
      </c>
      <c r="AH85" s="2136">
        <f>K85-'Blocking-Step2'!K85</f>
        <v>0</v>
      </c>
      <c r="AJ85" s="2136">
        <f>M85-'Blocking-Step2'!M85</f>
        <v>0</v>
      </c>
      <c r="AL85" s="2136">
        <f>O85-'Blocking-Step2'!O85</f>
        <v>0</v>
      </c>
      <c r="AN85" s="2137">
        <f>Q85-'Blocking-Step2'!Q85</f>
        <v>0</v>
      </c>
      <c r="AP85" s="2127">
        <f>S85-'Blocking-Step2'!S85</f>
        <v>0</v>
      </c>
      <c r="AR85" s="2127">
        <f>U85-'Blocking-Step2'!U85</f>
        <v>0</v>
      </c>
      <c r="AT85" s="2127">
        <f>W85-'Blocking-Step2'!W85</f>
        <v>0</v>
      </c>
      <c r="AV85" s="2128">
        <f>Y85-'Blocking-Step2'!Y85</f>
        <v>0</v>
      </c>
    </row>
    <row r="86" spans="1:48">
      <c r="A86" s="1116" t="s">
        <v>683</v>
      </c>
      <c r="C86" s="1105">
        <v>3278.9666666666699</v>
      </c>
      <c r="D86" s="1105">
        <v>3114</v>
      </c>
      <c r="F86" s="1907">
        <v>6</v>
      </c>
      <c r="G86" s="1110"/>
      <c r="H86" s="1146">
        <v>19674</v>
      </c>
      <c r="I86" s="1146">
        <v>18684</v>
      </c>
      <c r="K86" s="1907"/>
      <c r="L86" s="1110"/>
      <c r="M86" s="1907"/>
      <c r="N86" s="1110"/>
      <c r="O86" s="1907"/>
      <c r="P86" s="1110"/>
      <c r="Q86" s="1907"/>
      <c r="R86" s="1110"/>
      <c r="S86" s="1629"/>
      <c r="T86" s="1629"/>
      <c r="U86" s="1629"/>
      <c r="V86" s="1629"/>
      <c r="W86" s="1629"/>
      <c r="X86" s="1629"/>
      <c r="Y86" s="1146"/>
      <c r="Z86" s="2114">
        <f>C86-'Blocking-Step2'!C86</f>
        <v>0</v>
      </c>
      <c r="AA86" s="2114">
        <f>D86-'Blocking-Step2'!D86</f>
        <v>0</v>
      </c>
      <c r="AC86" s="2114">
        <f>F86-'Blocking-Step2'!F86</f>
        <v>0</v>
      </c>
      <c r="AE86" s="2114">
        <f>H86-'Blocking-Step2'!H86</f>
        <v>0</v>
      </c>
      <c r="AF86" s="2114">
        <f>I86-'Blocking-Step2'!I86</f>
        <v>0</v>
      </c>
      <c r="AH86" s="2136">
        <f>K86-'Blocking-Step2'!K86</f>
        <v>0</v>
      </c>
      <c r="AJ86" s="2136">
        <f>M86-'Blocking-Step2'!M86</f>
        <v>0</v>
      </c>
      <c r="AL86" s="2136">
        <f>O86-'Blocking-Step2'!O86</f>
        <v>0</v>
      </c>
      <c r="AN86" s="2137">
        <f>Q86-'Blocking-Step2'!Q86</f>
        <v>0</v>
      </c>
      <c r="AP86" s="2127">
        <f>S86-'Blocking-Step2'!S86</f>
        <v>0</v>
      </c>
      <c r="AR86" s="2127">
        <f>U86-'Blocking-Step2'!U86</f>
        <v>0</v>
      </c>
      <c r="AT86" s="2127">
        <f>W86-'Blocking-Step2'!W86</f>
        <v>0</v>
      </c>
      <c r="AV86" s="2128">
        <f>Y86-'Blocking-Step2'!Y86</f>
        <v>0</v>
      </c>
    </row>
    <row r="87" spans="1:48">
      <c r="A87" s="1116" t="s">
        <v>1581</v>
      </c>
      <c r="C87" s="1105">
        <v>3077.9000000000033</v>
      </c>
      <c r="D87" s="1105">
        <v>2923</v>
      </c>
      <c r="F87" s="1907"/>
      <c r="G87" s="1110"/>
      <c r="H87" s="1146"/>
      <c r="I87" s="1146"/>
      <c r="K87" s="1907">
        <v>10</v>
      </c>
      <c r="L87" s="1110"/>
      <c r="M87" s="1907">
        <v>0</v>
      </c>
      <c r="N87" s="1110"/>
      <c r="O87" s="1907">
        <v>0</v>
      </c>
      <c r="P87" s="1110"/>
      <c r="Q87" s="1907">
        <v>10</v>
      </c>
      <c r="R87" s="1110"/>
      <c r="S87" s="1146">
        <v>29230</v>
      </c>
      <c r="T87" s="1629"/>
      <c r="U87" s="1146">
        <v>0</v>
      </c>
      <c r="V87" s="1629"/>
      <c r="W87" s="1146">
        <v>0</v>
      </c>
      <c r="X87" s="1629"/>
      <c r="Y87" s="1146">
        <v>29230</v>
      </c>
      <c r="Z87" s="2114">
        <f>C87-'Blocking-Step2'!C87</f>
        <v>0</v>
      </c>
      <c r="AA87" s="2114">
        <f>D87-'Blocking-Step2'!D87</f>
        <v>0</v>
      </c>
      <c r="AC87" s="2114">
        <f>F87-'Blocking-Step2'!F87</f>
        <v>0</v>
      </c>
      <c r="AE87" s="2114">
        <f>H87-'Blocking-Step2'!H87</f>
        <v>0</v>
      </c>
      <c r="AF87" s="2114">
        <f>I87-'Blocking-Step2'!I87</f>
        <v>0</v>
      </c>
      <c r="AH87" s="2136">
        <f>K87-'Blocking-Step2'!K87</f>
        <v>0</v>
      </c>
      <c r="AJ87" s="2136">
        <f>M87-'Blocking-Step2'!M87</f>
        <v>0</v>
      </c>
      <c r="AL87" s="2136">
        <f>O87-'Blocking-Step2'!O87</f>
        <v>0</v>
      </c>
      <c r="AN87" s="2137">
        <f>Q87-'Blocking-Step2'!Q87</f>
        <v>0</v>
      </c>
      <c r="AP87" s="2127">
        <f>S87-'Blocking-Step2'!S87</f>
        <v>0</v>
      </c>
      <c r="AR87" s="2127">
        <f>U87-'Blocking-Step2'!U87</f>
        <v>0</v>
      </c>
      <c r="AT87" s="2127">
        <f>W87-'Blocking-Step2'!W87</f>
        <v>0</v>
      </c>
      <c r="AV87" s="2128">
        <f>Y87-'Blocking-Step2'!Y87</f>
        <v>0</v>
      </c>
    </row>
    <row r="88" spans="1:48">
      <c r="A88" s="1116" t="s">
        <v>1582</v>
      </c>
      <c r="C88" s="1105">
        <v>201.06666666666672</v>
      </c>
      <c r="D88" s="1105">
        <v>191</v>
      </c>
      <c r="F88" s="1907"/>
      <c r="G88" s="1110"/>
      <c r="H88" s="1146"/>
      <c r="I88" s="1146"/>
      <c r="K88" s="1907">
        <v>6</v>
      </c>
      <c r="L88" s="1110"/>
      <c r="M88" s="1907">
        <v>0</v>
      </c>
      <c r="N88" s="1110"/>
      <c r="O88" s="1907">
        <v>0</v>
      </c>
      <c r="P88" s="1110"/>
      <c r="Q88" s="1907">
        <v>6</v>
      </c>
      <c r="R88" s="1110"/>
      <c r="S88" s="1146">
        <v>1146</v>
      </c>
      <c r="T88" s="1629"/>
      <c r="U88" s="1146">
        <v>0</v>
      </c>
      <c r="V88" s="1629"/>
      <c r="W88" s="1146">
        <v>0</v>
      </c>
      <c r="X88" s="1629"/>
      <c r="Y88" s="1146">
        <v>1146</v>
      </c>
      <c r="Z88" s="2114">
        <f>C88-'Blocking-Step2'!C88</f>
        <v>0</v>
      </c>
      <c r="AA88" s="2114">
        <f>D88-'Blocking-Step2'!D88</f>
        <v>0</v>
      </c>
      <c r="AC88" s="2114">
        <f>F88-'Blocking-Step2'!F88</f>
        <v>0</v>
      </c>
      <c r="AE88" s="2114">
        <f>H88-'Blocking-Step2'!H88</f>
        <v>0</v>
      </c>
      <c r="AF88" s="2114">
        <f>I88-'Blocking-Step2'!I88</f>
        <v>0</v>
      </c>
      <c r="AH88" s="2136">
        <f>K88-'Blocking-Step2'!K88</f>
        <v>0</v>
      </c>
      <c r="AJ88" s="2136">
        <f>M88-'Blocking-Step2'!M88</f>
        <v>0</v>
      </c>
      <c r="AL88" s="2136">
        <f>O88-'Blocking-Step2'!O88</f>
        <v>0</v>
      </c>
      <c r="AN88" s="2137">
        <f>Q88-'Blocking-Step2'!Q88</f>
        <v>0</v>
      </c>
      <c r="AP88" s="2127">
        <f>S88-'Blocking-Step2'!S88</f>
        <v>0</v>
      </c>
      <c r="AR88" s="2127">
        <f>U88-'Blocking-Step2'!U88</f>
        <v>0</v>
      </c>
      <c r="AT88" s="2127">
        <f>W88-'Blocking-Step2'!W88</f>
        <v>0</v>
      </c>
      <c r="AV88" s="2128">
        <f>Y88-'Blocking-Step2'!Y88</f>
        <v>0</v>
      </c>
    </row>
    <row r="89" spans="1:48">
      <c r="A89" s="1116" t="s">
        <v>684</v>
      </c>
      <c r="C89" s="1105">
        <v>0</v>
      </c>
      <c r="D89" s="1105">
        <v>0</v>
      </c>
      <c r="F89" s="1907">
        <v>12</v>
      </c>
      <c r="G89" s="1110"/>
      <c r="H89" s="1146">
        <v>0</v>
      </c>
      <c r="I89" s="1146">
        <v>0</v>
      </c>
      <c r="K89" s="1907"/>
      <c r="L89" s="1110"/>
      <c r="M89" s="1907"/>
      <c r="N89" s="1110"/>
      <c r="O89" s="1907"/>
      <c r="P89" s="1110"/>
      <c r="Q89" s="1907"/>
      <c r="R89" s="1110"/>
      <c r="S89" s="1146"/>
      <c r="T89" s="1629"/>
      <c r="U89" s="1146"/>
      <c r="V89" s="1629"/>
      <c r="W89" s="1146"/>
      <c r="X89" s="1629"/>
      <c r="Y89" s="1146"/>
      <c r="Z89" s="2114">
        <f>C89-'Blocking-Step2'!C89</f>
        <v>0</v>
      </c>
      <c r="AA89" s="2114">
        <f>D89-'Blocking-Step2'!D89</f>
        <v>0</v>
      </c>
      <c r="AC89" s="2114">
        <f>F89-'Blocking-Step2'!F89</f>
        <v>0</v>
      </c>
      <c r="AE89" s="2114">
        <f>H89-'Blocking-Step2'!H89</f>
        <v>0</v>
      </c>
      <c r="AF89" s="2114">
        <f>I89-'Blocking-Step2'!I89</f>
        <v>0</v>
      </c>
      <c r="AH89" s="2136">
        <f>K89-'Blocking-Step2'!K89</f>
        <v>0</v>
      </c>
      <c r="AJ89" s="2136">
        <f>M89-'Blocking-Step2'!M89</f>
        <v>0</v>
      </c>
      <c r="AL89" s="2136">
        <f>O89-'Blocking-Step2'!O89</f>
        <v>0</v>
      </c>
      <c r="AN89" s="2137">
        <f>Q89-'Blocking-Step2'!Q89</f>
        <v>0</v>
      </c>
      <c r="AP89" s="2127">
        <f>S89-'Blocking-Step2'!S89</f>
        <v>0</v>
      </c>
      <c r="AR89" s="2127">
        <f>U89-'Blocking-Step2'!U89</f>
        <v>0</v>
      </c>
      <c r="AT89" s="2127">
        <f>W89-'Blocking-Step2'!W89</f>
        <v>0</v>
      </c>
      <c r="AV89" s="2128">
        <f>Y89-'Blocking-Step2'!Y89</f>
        <v>0</v>
      </c>
    </row>
    <row r="90" spans="1:48">
      <c r="A90" s="1116" t="s">
        <v>1581</v>
      </c>
      <c r="C90" s="1105">
        <v>0</v>
      </c>
      <c r="D90" s="1105"/>
      <c r="F90" s="1907"/>
      <c r="G90" s="1110"/>
      <c r="H90" s="1146"/>
      <c r="I90" s="1146"/>
      <c r="K90" s="1907">
        <v>20</v>
      </c>
      <c r="L90" s="1110"/>
      <c r="M90" s="1907">
        <v>0</v>
      </c>
      <c r="N90" s="1110"/>
      <c r="O90" s="1907">
        <v>0</v>
      </c>
      <c r="P90" s="1110"/>
      <c r="Q90" s="1907">
        <v>20</v>
      </c>
      <c r="R90" s="1110"/>
      <c r="S90" s="1146">
        <v>0</v>
      </c>
      <c r="T90" s="1629"/>
      <c r="U90" s="1146">
        <v>0</v>
      </c>
      <c r="V90" s="1629"/>
      <c r="W90" s="1146">
        <v>0</v>
      </c>
      <c r="X90" s="1629"/>
      <c r="Y90" s="1146">
        <v>0</v>
      </c>
      <c r="Z90" s="2114">
        <f>C90-'Blocking-Step2'!C90</f>
        <v>0</v>
      </c>
      <c r="AA90" s="2114">
        <f>D90-'Blocking-Step2'!D90</f>
        <v>0</v>
      </c>
      <c r="AC90" s="2114">
        <f>F90-'Blocking-Step2'!F90</f>
        <v>0</v>
      </c>
      <c r="AE90" s="2114">
        <f>H90-'Blocking-Step2'!H90</f>
        <v>0</v>
      </c>
      <c r="AF90" s="2114">
        <f>I90-'Blocking-Step2'!I90</f>
        <v>0</v>
      </c>
      <c r="AH90" s="2136">
        <f>K90-'Blocking-Step2'!K90</f>
        <v>0</v>
      </c>
      <c r="AJ90" s="2136">
        <f>M90-'Blocking-Step2'!M90</f>
        <v>0</v>
      </c>
      <c r="AL90" s="2136">
        <f>O90-'Blocking-Step2'!O90</f>
        <v>0</v>
      </c>
      <c r="AN90" s="2137">
        <f>Q90-'Blocking-Step2'!Q90</f>
        <v>0</v>
      </c>
      <c r="AP90" s="2127">
        <f>S90-'Blocking-Step2'!S90</f>
        <v>0</v>
      </c>
      <c r="AR90" s="2127">
        <f>U90-'Blocking-Step2'!U90</f>
        <v>0</v>
      </c>
      <c r="AT90" s="2127">
        <f>W90-'Blocking-Step2'!W90</f>
        <v>0</v>
      </c>
      <c r="AV90" s="2128">
        <f>Y90-'Blocking-Step2'!Y90</f>
        <v>0</v>
      </c>
    </row>
    <row r="91" spans="1:48">
      <c r="A91" s="1116" t="s">
        <v>1582</v>
      </c>
      <c r="C91" s="1105">
        <v>0</v>
      </c>
      <c r="D91" s="1105"/>
      <c r="F91" s="1907"/>
      <c r="G91" s="1110"/>
      <c r="H91" s="1146"/>
      <c r="I91" s="1146"/>
      <c r="K91" s="1907">
        <v>12</v>
      </c>
      <c r="L91" s="1110"/>
      <c r="M91" s="1907">
        <v>0</v>
      </c>
      <c r="N91" s="1110"/>
      <c r="O91" s="1907">
        <v>0</v>
      </c>
      <c r="P91" s="1110"/>
      <c r="Q91" s="1907">
        <v>12</v>
      </c>
      <c r="R91" s="1110"/>
      <c r="S91" s="1146">
        <v>0</v>
      </c>
      <c r="T91" s="1629"/>
      <c r="U91" s="1146">
        <v>0</v>
      </c>
      <c r="V91" s="1629"/>
      <c r="W91" s="1146">
        <v>0</v>
      </c>
      <c r="X91" s="1629"/>
      <c r="Y91" s="1146">
        <v>0</v>
      </c>
      <c r="Z91" s="2114">
        <f>C91-'Blocking-Step2'!C91</f>
        <v>0</v>
      </c>
      <c r="AA91" s="2114">
        <f>D91-'Blocking-Step2'!D91</f>
        <v>0</v>
      </c>
      <c r="AC91" s="2114">
        <f>F91-'Blocking-Step2'!F91</f>
        <v>0</v>
      </c>
      <c r="AE91" s="2114">
        <f>H91-'Blocking-Step2'!H91</f>
        <v>0</v>
      </c>
      <c r="AF91" s="2114">
        <f>I91-'Blocking-Step2'!I91</f>
        <v>0</v>
      </c>
      <c r="AH91" s="2136">
        <f>K91-'Blocking-Step2'!K91</f>
        <v>0</v>
      </c>
      <c r="AJ91" s="2136">
        <f>M91-'Blocking-Step2'!M91</f>
        <v>0</v>
      </c>
      <c r="AL91" s="2136">
        <f>O91-'Blocking-Step2'!O91</f>
        <v>0</v>
      </c>
      <c r="AN91" s="2137">
        <f>Q91-'Blocking-Step2'!Q91</f>
        <v>0</v>
      </c>
      <c r="AP91" s="2127">
        <f>S91-'Blocking-Step2'!S91</f>
        <v>0</v>
      </c>
      <c r="AR91" s="2127">
        <f>U91-'Blocking-Step2'!U91</f>
        <v>0</v>
      </c>
      <c r="AT91" s="2127">
        <f>W91-'Blocking-Step2'!W91</f>
        <v>0</v>
      </c>
      <c r="AV91" s="2128">
        <f>Y91-'Blocking-Step2'!Y91</f>
        <v>0</v>
      </c>
    </row>
    <row r="92" spans="1:48">
      <c r="A92" s="1116" t="s">
        <v>1236</v>
      </c>
      <c r="C92" s="1105">
        <v>0</v>
      </c>
      <c r="D92" s="1105">
        <v>0</v>
      </c>
      <c r="F92" s="1907">
        <v>2</v>
      </c>
      <c r="G92" s="1110"/>
      <c r="H92" s="1146">
        <v>0</v>
      </c>
      <c r="I92" s="1146">
        <v>0</v>
      </c>
      <c r="K92" s="1907">
        <v>2</v>
      </c>
      <c r="L92" s="1110"/>
      <c r="M92" s="1907">
        <v>0</v>
      </c>
      <c r="N92" s="1110"/>
      <c r="O92" s="1907">
        <v>0</v>
      </c>
      <c r="P92" s="1110"/>
      <c r="Q92" s="1907">
        <v>2</v>
      </c>
      <c r="R92" s="1110"/>
      <c r="S92" s="1146">
        <v>0</v>
      </c>
      <c r="T92" s="1629"/>
      <c r="U92" s="1146">
        <v>0</v>
      </c>
      <c r="V92" s="1629"/>
      <c r="W92" s="1146">
        <v>0</v>
      </c>
      <c r="X92" s="1629"/>
      <c r="Y92" s="1146">
        <v>0</v>
      </c>
      <c r="Z92" s="2114">
        <f>C92-'Blocking-Step2'!C92</f>
        <v>0</v>
      </c>
      <c r="AA92" s="2114">
        <f>D92-'Blocking-Step2'!D92</f>
        <v>0</v>
      </c>
      <c r="AC92" s="2114">
        <f>F92-'Blocking-Step2'!F92</f>
        <v>0</v>
      </c>
      <c r="AE92" s="2114">
        <f>H92-'Blocking-Step2'!H92</f>
        <v>0</v>
      </c>
      <c r="AF92" s="2114">
        <f>I92-'Blocking-Step2'!I92</f>
        <v>0</v>
      </c>
      <c r="AH92" s="2136">
        <f>K92-'Blocking-Step2'!K92</f>
        <v>0</v>
      </c>
      <c r="AJ92" s="2136">
        <f>M92-'Blocking-Step2'!M92</f>
        <v>0</v>
      </c>
      <c r="AL92" s="2136">
        <f>O92-'Blocking-Step2'!O92</f>
        <v>0</v>
      </c>
      <c r="AN92" s="2137">
        <f>Q92-'Blocking-Step2'!Q92</f>
        <v>0</v>
      </c>
      <c r="AP92" s="2127">
        <f>S92-'Blocking-Step2'!S92</f>
        <v>0</v>
      </c>
      <c r="AR92" s="2127">
        <f>U92-'Blocking-Step2'!U92</f>
        <v>0</v>
      </c>
      <c r="AT92" s="2127">
        <f>W92-'Blocking-Step2'!W92</f>
        <v>0</v>
      </c>
      <c r="AV92" s="2128">
        <f>Y92-'Blocking-Step2'!Y92</f>
        <v>0</v>
      </c>
    </row>
    <row r="93" spans="1:48">
      <c r="A93" s="1116" t="s">
        <v>1301</v>
      </c>
      <c r="C93" s="1105">
        <v>0</v>
      </c>
      <c r="D93" s="1105">
        <v>0</v>
      </c>
      <c r="F93" s="1907">
        <v>22</v>
      </c>
      <c r="G93" s="1110"/>
      <c r="H93" s="1146">
        <v>0</v>
      </c>
      <c r="I93" s="1146">
        <v>0</v>
      </c>
      <c r="K93" s="1907">
        <v>22</v>
      </c>
      <c r="L93" s="1110"/>
      <c r="M93" s="1907">
        <v>0</v>
      </c>
      <c r="N93" s="1110"/>
      <c r="O93" s="1907">
        <v>0</v>
      </c>
      <c r="P93" s="1110"/>
      <c r="Q93" s="1907">
        <v>22</v>
      </c>
      <c r="R93" s="1110"/>
      <c r="S93" s="1146">
        <v>0</v>
      </c>
      <c r="T93" s="1629"/>
      <c r="U93" s="1146">
        <v>0</v>
      </c>
      <c r="V93" s="1629"/>
      <c r="W93" s="1146">
        <v>0</v>
      </c>
      <c r="X93" s="1629"/>
      <c r="Y93" s="1146">
        <v>0</v>
      </c>
      <c r="Z93" s="2114">
        <f>C93-'Blocking-Step2'!C93</f>
        <v>0</v>
      </c>
      <c r="AA93" s="2114">
        <f>D93-'Blocking-Step2'!D93</f>
        <v>0</v>
      </c>
      <c r="AC93" s="2114">
        <f>F93-'Blocking-Step2'!F93</f>
        <v>0</v>
      </c>
      <c r="AE93" s="2114">
        <f>H93-'Blocking-Step2'!H93</f>
        <v>0</v>
      </c>
      <c r="AF93" s="2114">
        <f>I93-'Blocking-Step2'!I93</f>
        <v>0</v>
      </c>
      <c r="AH93" s="2136">
        <f>K93-'Blocking-Step2'!K93</f>
        <v>0</v>
      </c>
      <c r="AJ93" s="2136">
        <f>M93-'Blocking-Step2'!M93</f>
        <v>0</v>
      </c>
      <c r="AL93" s="2136">
        <f>O93-'Blocking-Step2'!O93</f>
        <v>0</v>
      </c>
      <c r="AN93" s="2137">
        <f>Q93-'Blocking-Step2'!Q93</f>
        <v>0</v>
      </c>
      <c r="AP93" s="2127">
        <f>S93-'Blocking-Step2'!S93</f>
        <v>0</v>
      </c>
      <c r="AR93" s="2127">
        <f>U93-'Blocking-Step2'!U93</f>
        <v>0</v>
      </c>
      <c r="AT93" s="2127">
        <f>W93-'Blocking-Step2'!W93</f>
        <v>0</v>
      </c>
      <c r="AV93" s="2128">
        <f>Y93-'Blocking-Step2'!Y93</f>
        <v>0</v>
      </c>
    </row>
    <row r="94" spans="1:48">
      <c r="A94" s="1116" t="s">
        <v>243</v>
      </c>
      <c r="C94" s="1105">
        <v>0.1</v>
      </c>
      <c r="D94" s="1105">
        <v>0</v>
      </c>
      <c r="F94" s="1907">
        <v>8</v>
      </c>
      <c r="G94" s="1110"/>
      <c r="H94" s="1146">
        <v>1</v>
      </c>
      <c r="I94" s="1146">
        <v>0</v>
      </c>
      <c r="K94" s="1907"/>
      <c r="L94" s="1110"/>
      <c r="M94" s="1907"/>
      <c r="N94" s="1110"/>
      <c r="O94" s="1907"/>
      <c r="P94" s="1110"/>
      <c r="Q94" s="1907"/>
      <c r="R94" s="1110"/>
      <c r="S94" s="1146"/>
      <c r="T94" s="1629"/>
      <c r="U94" s="1146"/>
      <c r="V94" s="1629"/>
      <c r="W94" s="1146"/>
      <c r="X94" s="1629"/>
      <c r="Y94" s="1146"/>
      <c r="Z94" s="2114">
        <f>C94-'Blocking-Step2'!C94</f>
        <v>0</v>
      </c>
      <c r="AA94" s="2114">
        <f>D94-'Blocking-Step2'!D94</f>
        <v>0</v>
      </c>
      <c r="AC94" s="2114">
        <f>F94-'Blocking-Step2'!F94</f>
        <v>0</v>
      </c>
      <c r="AE94" s="2114">
        <f>H94-'Blocking-Step2'!H94</f>
        <v>0</v>
      </c>
      <c r="AF94" s="2114">
        <f>I94-'Blocking-Step2'!I94</f>
        <v>0</v>
      </c>
      <c r="AH94" s="2136">
        <f>K94-'Blocking-Step2'!K94</f>
        <v>0</v>
      </c>
      <c r="AJ94" s="2136">
        <f>M94-'Blocking-Step2'!M94</f>
        <v>0</v>
      </c>
      <c r="AL94" s="2136">
        <f>O94-'Blocking-Step2'!O94</f>
        <v>0</v>
      </c>
      <c r="AN94" s="2137">
        <f>Q94-'Blocking-Step2'!Q94</f>
        <v>0</v>
      </c>
      <c r="AP94" s="2127">
        <f>S94-'Blocking-Step2'!S94</f>
        <v>0</v>
      </c>
      <c r="AR94" s="2127">
        <f>U94-'Blocking-Step2'!U94</f>
        <v>0</v>
      </c>
      <c r="AT94" s="2127">
        <f>W94-'Blocking-Step2'!W94</f>
        <v>0</v>
      </c>
      <c r="AV94" s="2128">
        <f>Y94-'Blocking-Step2'!Y94</f>
        <v>0</v>
      </c>
    </row>
    <row r="95" spans="1:48">
      <c r="A95" s="1116" t="s">
        <v>1581</v>
      </c>
      <c r="C95" s="1105">
        <v>0.1</v>
      </c>
      <c r="D95" s="1105">
        <v>0</v>
      </c>
      <c r="F95" s="1907"/>
      <c r="G95" s="1110"/>
      <c r="H95" s="1146"/>
      <c r="I95" s="1146"/>
      <c r="K95" s="1907"/>
      <c r="L95" s="1110"/>
      <c r="M95" s="1907"/>
      <c r="N95" s="1110"/>
      <c r="O95" s="1907"/>
      <c r="P95" s="1110"/>
      <c r="Q95" s="1907"/>
      <c r="R95" s="1110"/>
      <c r="S95" s="1146"/>
      <c r="T95" s="1629"/>
      <c r="U95" s="1146"/>
      <c r="V95" s="1629"/>
      <c r="W95" s="1146"/>
      <c r="X95" s="1629"/>
      <c r="Y95" s="1146"/>
      <c r="Z95" s="2114">
        <f>C95-'Blocking-Step2'!C95</f>
        <v>0</v>
      </c>
      <c r="AA95" s="2114">
        <f>D95-'Blocking-Step2'!D95</f>
        <v>0</v>
      </c>
      <c r="AC95" s="2114">
        <f>F95-'Blocking-Step2'!F95</f>
        <v>0</v>
      </c>
      <c r="AE95" s="2114">
        <f>H95-'Blocking-Step2'!H95</f>
        <v>0</v>
      </c>
      <c r="AF95" s="2114">
        <f>I95-'Blocking-Step2'!I95</f>
        <v>0</v>
      </c>
      <c r="AH95" s="2136">
        <f>K95-'Blocking-Step2'!K95</f>
        <v>0</v>
      </c>
      <c r="AJ95" s="2136">
        <f>M95-'Blocking-Step2'!M95</f>
        <v>0</v>
      </c>
      <c r="AL95" s="2136">
        <f>O95-'Blocking-Step2'!O95</f>
        <v>0</v>
      </c>
      <c r="AN95" s="2137">
        <f>Q95-'Blocking-Step2'!Q95</f>
        <v>0</v>
      </c>
      <c r="AP95" s="2127">
        <f>S95-'Blocking-Step2'!S95</f>
        <v>0</v>
      </c>
      <c r="AR95" s="2127">
        <f>U95-'Blocking-Step2'!U95</f>
        <v>0</v>
      </c>
      <c r="AT95" s="2127">
        <f>W95-'Blocking-Step2'!W95</f>
        <v>0</v>
      </c>
      <c r="AV95" s="2128">
        <f>Y95-'Blocking-Step2'!Y95</f>
        <v>0</v>
      </c>
    </row>
    <row r="96" spans="1:48">
      <c r="A96" s="1116" t="s">
        <v>1582</v>
      </c>
      <c r="C96" s="1105">
        <v>0</v>
      </c>
      <c r="D96" s="1105">
        <v>0</v>
      </c>
      <c r="F96" s="1907"/>
      <c r="G96" s="1110"/>
      <c r="H96" s="1146"/>
      <c r="I96" s="1146"/>
      <c r="K96" s="1907"/>
      <c r="L96" s="1110"/>
      <c r="M96" s="1907"/>
      <c r="N96" s="1110"/>
      <c r="O96" s="1907"/>
      <c r="P96" s="1110"/>
      <c r="Q96" s="1907"/>
      <c r="R96" s="1110"/>
      <c r="S96" s="1146"/>
      <c r="T96" s="1629"/>
      <c r="U96" s="1146"/>
      <c r="V96" s="1629"/>
      <c r="W96" s="1146"/>
      <c r="X96" s="1629"/>
      <c r="Y96" s="1146"/>
      <c r="Z96" s="2114">
        <f>C96-'Blocking-Step2'!C96</f>
        <v>0</v>
      </c>
      <c r="AA96" s="2114">
        <f>D96-'Blocking-Step2'!D96</f>
        <v>0</v>
      </c>
      <c r="AC96" s="2114">
        <f>F96-'Blocking-Step2'!F96</f>
        <v>0</v>
      </c>
      <c r="AE96" s="2114">
        <f>H96-'Blocking-Step2'!H96</f>
        <v>0</v>
      </c>
      <c r="AF96" s="2114">
        <f>I96-'Blocking-Step2'!I96</f>
        <v>0</v>
      </c>
      <c r="AH96" s="2136">
        <f>K96-'Blocking-Step2'!K96</f>
        <v>0</v>
      </c>
      <c r="AJ96" s="2136">
        <f>M96-'Blocking-Step2'!M96</f>
        <v>0</v>
      </c>
      <c r="AL96" s="2136">
        <f>O96-'Blocking-Step2'!O96</f>
        <v>0</v>
      </c>
      <c r="AN96" s="2137">
        <f>Q96-'Blocking-Step2'!Q96</f>
        <v>0</v>
      </c>
      <c r="AP96" s="2127">
        <f>S96-'Blocking-Step2'!S96</f>
        <v>0</v>
      </c>
      <c r="AR96" s="2127">
        <f>U96-'Blocking-Step2'!U96</f>
        <v>0</v>
      </c>
      <c r="AT96" s="2127">
        <f>W96-'Blocking-Step2'!W96</f>
        <v>0</v>
      </c>
      <c r="AV96" s="2128">
        <f>Y96-'Blocking-Step2'!Y96</f>
        <v>0</v>
      </c>
    </row>
    <row r="97" spans="1:48" s="1109" customFormat="1">
      <c r="A97" s="1116" t="s">
        <v>244</v>
      </c>
      <c r="B97" s="1104"/>
      <c r="C97" s="1105">
        <v>0</v>
      </c>
      <c r="D97" s="1105">
        <v>0</v>
      </c>
      <c r="F97" s="1907">
        <v>16</v>
      </c>
      <c r="G97" s="1110"/>
      <c r="H97" s="1146">
        <v>0</v>
      </c>
      <c r="I97" s="1146">
        <v>0</v>
      </c>
      <c r="K97" s="1907"/>
      <c r="L97" s="1110"/>
      <c r="M97" s="1907"/>
      <c r="N97" s="1110"/>
      <c r="O97" s="1907"/>
      <c r="P97" s="1110"/>
      <c r="Q97" s="1907"/>
      <c r="R97" s="1110"/>
      <c r="S97" s="1146"/>
      <c r="T97" s="1629"/>
      <c r="U97" s="1146"/>
      <c r="V97" s="1629"/>
      <c r="W97" s="1146"/>
      <c r="X97" s="1629"/>
      <c r="Y97" s="1146"/>
      <c r="Z97" s="2114">
        <f>C97-'Blocking-Step2'!C97</f>
        <v>0</v>
      </c>
      <c r="AA97" s="2114">
        <f>D97-'Blocking-Step2'!D97</f>
        <v>0</v>
      </c>
      <c r="AB97" s="2114"/>
      <c r="AC97" s="2114">
        <f>F97-'Blocking-Step2'!F97</f>
        <v>0</v>
      </c>
      <c r="AD97" s="2114"/>
      <c r="AE97" s="2114">
        <f>H97-'Blocking-Step2'!H97</f>
        <v>0</v>
      </c>
      <c r="AF97" s="2114">
        <f>I97-'Blocking-Step2'!I97</f>
        <v>0</v>
      </c>
      <c r="AG97" s="2114"/>
      <c r="AH97" s="2136">
        <f>K97-'Blocking-Step2'!K97</f>
        <v>0</v>
      </c>
      <c r="AI97" s="2136"/>
      <c r="AJ97" s="2136">
        <f>M97-'Blocking-Step2'!M97</f>
        <v>0</v>
      </c>
      <c r="AK97" s="2136"/>
      <c r="AL97" s="2136">
        <f>O97-'Blocking-Step2'!O97</f>
        <v>0</v>
      </c>
      <c r="AM97" s="2136"/>
      <c r="AN97" s="2137">
        <f>Q97-'Blocking-Step2'!Q97</f>
        <v>0</v>
      </c>
      <c r="AO97" s="2114"/>
      <c r="AP97" s="2127">
        <f>S97-'Blocking-Step2'!S97</f>
        <v>0</v>
      </c>
      <c r="AQ97" s="2127"/>
      <c r="AR97" s="2127">
        <f>U97-'Blocking-Step2'!U97</f>
        <v>0</v>
      </c>
      <c r="AS97" s="2127"/>
      <c r="AT97" s="2127">
        <f>W97-'Blocking-Step2'!W97</f>
        <v>0</v>
      </c>
      <c r="AU97" s="2127"/>
      <c r="AV97" s="2128">
        <f>Y97-'Blocking-Step2'!Y97</f>
        <v>0</v>
      </c>
    </row>
    <row r="98" spans="1:48">
      <c r="A98" s="1116" t="s">
        <v>1581</v>
      </c>
      <c r="C98" s="1105">
        <v>0</v>
      </c>
      <c r="D98" s="1105"/>
      <c r="F98" s="1907"/>
      <c r="G98" s="1110"/>
      <c r="H98" s="1146"/>
      <c r="I98" s="1146"/>
      <c r="K98" s="1907"/>
      <c r="L98" s="1110"/>
      <c r="M98" s="1907"/>
      <c r="N98" s="1110"/>
      <c r="O98" s="1907"/>
      <c r="P98" s="1110"/>
      <c r="Q98" s="1907"/>
      <c r="R98" s="1110"/>
      <c r="S98" s="1146"/>
      <c r="T98" s="1629"/>
      <c r="U98" s="1146"/>
      <c r="V98" s="1629"/>
      <c r="W98" s="1146"/>
      <c r="X98" s="1629"/>
      <c r="Y98" s="1146"/>
      <c r="Z98" s="2114">
        <f>C98-'Blocking-Step2'!C98</f>
        <v>0</v>
      </c>
      <c r="AA98" s="2114">
        <f>D98-'Blocking-Step2'!D98</f>
        <v>0</v>
      </c>
      <c r="AC98" s="2114">
        <f>F98-'Blocking-Step2'!F98</f>
        <v>0</v>
      </c>
      <c r="AE98" s="2114">
        <f>H98-'Blocking-Step2'!H98</f>
        <v>0</v>
      </c>
      <c r="AF98" s="2114">
        <f>I98-'Blocking-Step2'!I98</f>
        <v>0</v>
      </c>
      <c r="AH98" s="2136">
        <f>K98-'Blocking-Step2'!K98</f>
        <v>0</v>
      </c>
      <c r="AJ98" s="2136">
        <f>M98-'Blocking-Step2'!M98</f>
        <v>0</v>
      </c>
      <c r="AL98" s="2136">
        <f>O98-'Blocking-Step2'!O98</f>
        <v>0</v>
      </c>
      <c r="AN98" s="2137">
        <f>Q98-'Blocking-Step2'!Q98</f>
        <v>0</v>
      </c>
      <c r="AP98" s="2127">
        <f>S98-'Blocking-Step2'!S98</f>
        <v>0</v>
      </c>
      <c r="AR98" s="2127">
        <f>U98-'Blocking-Step2'!U98</f>
        <v>0</v>
      </c>
      <c r="AT98" s="2127">
        <f>W98-'Blocking-Step2'!W98</f>
        <v>0</v>
      </c>
      <c r="AV98" s="2128">
        <f>Y98-'Blocking-Step2'!Y98</f>
        <v>0</v>
      </c>
    </row>
    <row r="99" spans="1:48">
      <c r="A99" s="1116" t="s">
        <v>1582</v>
      </c>
      <c r="C99" s="1105">
        <v>0</v>
      </c>
      <c r="D99" s="1105"/>
      <c r="F99" s="1907"/>
      <c r="G99" s="1110"/>
      <c r="H99" s="1146"/>
      <c r="I99" s="1146"/>
      <c r="K99" s="1907"/>
      <c r="L99" s="1110"/>
      <c r="M99" s="1907"/>
      <c r="N99" s="1110"/>
      <c r="O99" s="1907"/>
      <c r="P99" s="1110"/>
      <c r="Q99" s="1907"/>
      <c r="R99" s="1110"/>
      <c r="S99" s="1146"/>
      <c r="T99" s="1629"/>
      <c r="U99" s="1146"/>
      <c r="V99" s="1629"/>
      <c r="W99" s="1146"/>
      <c r="X99" s="1629"/>
      <c r="Y99" s="1146"/>
      <c r="Z99" s="2114">
        <f>C99-'Blocking-Step2'!C99</f>
        <v>0</v>
      </c>
      <c r="AA99" s="2114">
        <f>D99-'Blocking-Step2'!D99</f>
        <v>0</v>
      </c>
      <c r="AC99" s="2114">
        <f>F99-'Blocking-Step2'!F99</f>
        <v>0</v>
      </c>
      <c r="AE99" s="2114">
        <f>H99-'Blocking-Step2'!H99</f>
        <v>0</v>
      </c>
      <c r="AF99" s="2114">
        <f>I99-'Blocking-Step2'!I99</f>
        <v>0</v>
      </c>
      <c r="AH99" s="2136">
        <f>K99-'Blocking-Step2'!K99</f>
        <v>0</v>
      </c>
      <c r="AJ99" s="2136">
        <f>M99-'Blocking-Step2'!M99</f>
        <v>0</v>
      </c>
      <c r="AL99" s="2136">
        <f>O99-'Blocking-Step2'!O99</f>
        <v>0</v>
      </c>
      <c r="AN99" s="2137">
        <f>Q99-'Blocking-Step2'!Q99</f>
        <v>0</v>
      </c>
      <c r="AP99" s="2127">
        <f>S99-'Blocking-Step2'!S99</f>
        <v>0</v>
      </c>
      <c r="AR99" s="2127">
        <f>U99-'Blocking-Step2'!U99</f>
        <v>0</v>
      </c>
      <c r="AT99" s="2127">
        <f>W99-'Blocking-Step2'!W99</f>
        <v>0</v>
      </c>
      <c r="AV99" s="2128">
        <f>Y99-'Blocking-Step2'!Y99</f>
        <v>0</v>
      </c>
    </row>
    <row r="100" spans="1:48" s="1109" customFormat="1">
      <c r="A100" s="1116" t="s">
        <v>245</v>
      </c>
      <c r="B100" s="1104"/>
      <c r="C100" s="1105">
        <v>0</v>
      </c>
      <c r="D100" s="1105">
        <v>0</v>
      </c>
      <c r="F100" s="1907">
        <v>96</v>
      </c>
      <c r="G100" s="1110"/>
      <c r="H100" s="1146">
        <v>0</v>
      </c>
      <c r="I100" s="1146">
        <v>0</v>
      </c>
      <c r="K100" s="1907"/>
      <c r="L100" s="1110"/>
      <c r="M100" s="1907"/>
      <c r="N100" s="1110"/>
      <c r="O100" s="1907"/>
      <c r="P100" s="1110"/>
      <c r="Q100" s="1907"/>
      <c r="R100" s="1110"/>
      <c r="S100" s="1146"/>
      <c r="T100" s="1629"/>
      <c r="U100" s="1146"/>
      <c r="V100" s="1629"/>
      <c r="W100" s="1146"/>
      <c r="X100" s="1629"/>
      <c r="Y100" s="1146"/>
      <c r="Z100" s="2114">
        <f>C100-'Blocking-Step2'!C100</f>
        <v>0</v>
      </c>
      <c r="AA100" s="2114">
        <f>D100-'Blocking-Step2'!D100</f>
        <v>0</v>
      </c>
      <c r="AB100" s="2114"/>
      <c r="AC100" s="2114">
        <f>F100-'Blocking-Step2'!F100</f>
        <v>0</v>
      </c>
      <c r="AD100" s="2114"/>
      <c r="AE100" s="2114">
        <f>H100-'Blocking-Step2'!H100</f>
        <v>0</v>
      </c>
      <c r="AF100" s="2114">
        <f>I100-'Blocking-Step2'!I100</f>
        <v>0</v>
      </c>
      <c r="AG100" s="2114"/>
      <c r="AH100" s="2136">
        <f>K100-'Blocking-Step2'!K100</f>
        <v>0</v>
      </c>
      <c r="AI100" s="2136"/>
      <c r="AJ100" s="2136">
        <f>M100-'Blocking-Step2'!M100</f>
        <v>0</v>
      </c>
      <c r="AK100" s="2136"/>
      <c r="AL100" s="2136">
        <f>O100-'Blocking-Step2'!O100</f>
        <v>0</v>
      </c>
      <c r="AM100" s="2136"/>
      <c r="AN100" s="2137">
        <f>Q100-'Blocking-Step2'!Q100</f>
        <v>0</v>
      </c>
      <c r="AO100" s="2114"/>
      <c r="AP100" s="2127">
        <f>S100-'Blocking-Step2'!S100</f>
        <v>0</v>
      </c>
      <c r="AQ100" s="2127"/>
      <c r="AR100" s="2127">
        <f>U100-'Blocking-Step2'!U100</f>
        <v>0</v>
      </c>
      <c r="AS100" s="2127"/>
      <c r="AT100" s="2127">
        <f>W100-'Blocking-Step2'!W100</f>
        <v>0</v>
      </c>
      <c r="AU100" s="2127"/>
      <c r="AV100" s="2128">
        <f>Y100-'Blocking-Step2'!Y100</f>
        <v>0</v>
      </c>
    </row>
    <row r="101" spans="1:48">
      <c r="A101" s="1116" t="s">
        <v>1160</v>
      </c>
      <c r="C101" s="1105"/>
      <c r="D101" s="1105"/>
      <c r="F101" s="1907"/>
      <c r="G101" s="1110"/>
      <c r="H101" s="1146"/>
      <c r="I101" s="1146"/>
      <c r="K101" s="1907"/>
      <c r="L101" s="1110"/>
      <c r="M101" s="1907"/>
      <c r="N101" s="1110"/>
      <c r="O101" s="1907"/>
      <c r="P101" s="1110"/>
      <c r="Q101" s="1907"/>
      <c r="R101" s="1110"/>
      <c r="S101" s="1146"/>
      <c r="T101" s="1629"/>
      <c r="U101" s="1146"/>
      <c r="V101" s="1629"/>
      <c r="W101" s="1146"/>
      <c r="X101" s="1629"/>
      <c r="Y101" s="1146"/>
      <c r="Z101" s="2114">
        <f>C101-'Blocking-Step2'!C101</f>
        <v>0</v>
      </c>
      <c r="AA101" s="2114">
        <f>D101-'Blocking-Step2'!D101</f>
        <v>0</v>
      </c>
      <c r="AC101" s="2114">
        <f>F101-'Blocking-Step2'!F101</f>
        <v>0</v>
      </c>
      <c r="AE101" s="2114">
        <f>H101-'Blocking-Step2'!H101</f>
        <v>0</v>
      </c>
      <c r="AF101" s="2114">
        <f>I101-'Blocking-Step2'!I101</f>
        <v>0</v>
      </c>
      <c r="AH101" s="2136">
        <f>K101-'Blocking-Step2'!K101</f>
        <v>0</v>
      </c>
      <c r="AJ101" s="2136">
        <f>M101-'Blocking-Step2'!M101</f>
        <v>0</v>
      </c>
      <c r="AL101" s="2136">
        <f>O101-'Blocking-Step2'!O101</f>
        <v>0</v>
      </c>
      <c r="AN101" s="2137">
        <f>Q101-'Blocking-Step2'!Q101</f>
        <v>0</v>
      </c>
      <c r="AP101" s="2127">
        <f>S101-'Blocking-Step2'!S101</f>
        <v>0</v>
      </c>
      <c r="AR101" s="2127">
        <f>U101-'Blocking-Step2'!U101</f>
        <v>0</v>
      </c>
      <c r="AT101" s="2127">
        <f>W101-'Blocking-Step2'!W101</f>
        <v>0</v>
      </c>
      <c r="AV101" s="2128">
        <f>Y101-'Blocking-Step2'!Y101</f>
        <v>0</v>
      </c>
    </row>
    <row r="102" spans="1:48">
      <c r="A102" s="1116" t="s">
        <v>248</v>
      </c>
      <c r="C102" s="1105">
        <v>228976</v>
      </c>
      <c r="D102" s="1105">
        <v>206699.0452160826</v>
      </c>
      <c r="F102" s="1922">
        <v>22.275500000000001</v>
      </c>
      <c r="G102" s="1929" t="s">
        <v>495</v>
      </c>
      <c r="H102" s="1146">
        <v>51006</v>
      </c>
      <c r="I102" s="1146">
        <v>46043</v>
      </c>
      <c r="K102" s="1922">
        <v>2.7378999999999998</v>
      </c>
      <c r="L102" s="1921" t="s">
        <v>495</v>
      </c>
      <c r="M102" s="1922">
        <v>5.3996000000000004</v>
      </c>
      <c r="N102" s="1921" t="s">
        <v>495</v>
      </c>
      <c r="O102" s="1922">
        <v>13.857849178687001</v>
      </c>
      <c r="P102" s="1929" t="s">
        <v>495</v>
      </c>
      <c r="Q102" s="1922">
        <v>21.995349178687</v>
      </c>
      <c r="R102" s="1929" t="s">
        <v>495</v>
      </c>
      <c r="S102" s="1146">
        <v>5659</v>
      </c>
      <c r="T102" s="1656"/>
      <c r="U102" s="1146">
        <v>11161</v>
      </c>
      <c r="V102" s="1656"/>
      <c r="W102" s="1146">
        <v>28644</v>
      </c>
      <c r="X102" s="1656"/>
      <c r="Y102" s="1146">
        <v>45464</v>
      </c>
      <c r="Z102" s="2114">
        <f>C102-'Blocking-Step2'!C102</f>
        <v>0</v>
      </c>
      <c r="AA102" s="2114">
        <f>D102-'Blocking-Step2'!D102</f>
        <v>0</v>
      </c>
      <c r="AC102" s="2114">
        <f>F102-'Blocking-Step2'!F102</f>
        <v>0</v>
      </c>
      <c r="AE102" s="2114">
        <f>H102-'Blocking-Step2'!H102</f>
        <v>0</v>
      </c>
      <c r="AF102" s="2114">
        <f>I102-'Blocking-Step2'!I102</f>
        <v>0</v>
      </c>
      <c r="AH102" s="2136">
        <f>K102-'Blocking-Step2'!K102</f>
        <v>-1.6915000000000004</v>
      </c>
      <c r="AJ102" s="2136">
        <f>M102-'Blocking-Step2'!M102</f>
        <v>1.6955000000000005</v>
      </c>
      <c r="AL102" s="2136">
        <f>O102-'Blocking-Step2'!O102</f>
        <v>4.6854547910015754E-3</v>
      </c>
      <c r="AN102" s="2137">
        <f>Q102-'Blocking-Step2'!Q102</f>
        <v>8.6854547909993585E-3</v>
      </c>
      <c r="AP102" s="2127">
        <f>S102-'Blocking-Step2'!S102</f>
        <v>-3497</v>
      </c>
      <c r="AR102" s="2127">
        <f>U102-'Blocking-Step2'!U102</f>
        <v>3505</v>
      </c>
      <c r="AT102" s="2127">
        <f>W102-'Blocking-Step2'!W102</f>
        <v>10</v>
      </c>
      <c r="AV102" s="2128">
        <f>Y102-'Blocking-Step2'!Y102</f>
        <v>18</v>
      </c>
    </row>
    <row r="103" spans="1:48">
      <c r="A103" s="1116" t="s">
        <v>249</v>
      </c>
      <c r="C103" s="1105">
        <v>1067463</v>
      </c>
      <c r="D103" s="1105">
        <v>963611</v>
      </c>
      <c r="F103" s="1922">
        <v>6.7881</v>
      </c>
      <c r="G103" s="1929" t="s">
        <v>495</v>
      </c>
      <c r="H103" s="1146">
        <v>72460</v>
      </c>
      <c r="I103" s="1146">
        <v>65411</v>
      </c>
      <c r="K103" s="1922">
        <v>2.7378999999999998</v>
      </c>
      <c r="L103" s="1921" t="s">
        <v>495</v>
      </c>
      <c r="M103" s="1922">
        <v>3.9648285474999998</v>
      </c>
      <c r="N103" s="1921" t="s">
        <v>495</v>
      </c>
      <c r="O103" s="1922">
        <v>0</v>
      </c>
      <c r="P103" s="1929" t="s">
        <v>495</v>
      </c>
      <c r="Q103" s="1922">
        <v>6.7027285474999996</v>
      </c>
      <c r="R103" s="1929" t="s">
        <v>495</v>
      </c>
      <c r="S103" s="1146">
        <v>26383</v>
      </c>
      <c r="T103" s="1656"/>
      <c r="U103" s="1146">
        <v>38206</v>
      </c>
      <c r="V103" s="1656"/>
      <c r="W103" s="1146">
        <v>0</v>
      </c>
      <c r="X103" s="1656"/>
      <c r="Y103" s="1146">
        <v>64588</v>
      </c>
      <c r="Z103" s="2114">
        <f>C103-'Blocking-Step2'!C103</f>
        <v>0</v>
      </c>
      <c r="AA103" s="2114">
        <f>D103-'Blocking-Step2'!D103</f>
        <v>0</v>
      </c>
      <c r="AC103" s="2114">
        <f>F103-'Blocking-Step2'!F103</f>
        <v>0</v>
      </c>
      <c r="AE103" s="2114">
        <f>H103-'Blocking-Step2'!H103</f>
        <v>0</v>
      </c>
      <c r="AF103" s="2114">
        <f>I103-'Blocking-Step2'!I103</f>
        <v>0</v>
      </c>
      <c r="AH103" s="2136">
        <f>K103-'Blocking-Step2'!K103</f>
        <v>-1.6915000000000004</v>
      </c>
      <c r="AJ103" s="2136">
        <f>M103-'Blocking-Step2'!M103</f>
        <v>1.6941467525159997</v>
      </c>
      <c r="AL103" s="2136">
        <f>O103-'Blocking-Step2'!O103</f>
        <v>0</v>
      </c>
      <c r="AN103" s="2137">
        <f>Q103-'Blocking-Step2'!Q103</f>
        <v>2.6467525159992178E-3</v>
      </c>
      <c r="AP103" s="2127">
        <f>S103-'Blocking-Step2'!S103</f>
        <v>-16299</v>
      </c>
      <c r="AR103" s="2127">
        <f>U103-'Blocking-Step2'!U103</f>
        <v>16325</v>
      </c>
      <c r="AT103" s="2127">
        <f>W103-'Blocking-Step2'!W103</f>
        <v>0</v>
      </c>
      <c r="AV103" s="2128">
        <f>Y103-'Blocking-Step2'!Y103</f>
        <v>25</v>
      </c>
    </row>
    <row r="104" spans="1:48">
      <c r="A104" s="1116" t="s">
        <v>1161</v>
      </c>
      <c r="C104" s="1105"/>
      <c r="D104" s="1105"/>
      <c r="F104" s="1907"/>
      <c r="G104" s="1110"/>
      <c r="H104" s="1146"/>
      <c r="I104" s="1146"/>
      <c r="K104" s="1907"/>
      <c r="L104" s="1110"/>
      <c r="M104" s="1907"/>
      <c r="N104" s="1110"/>
      <c r="O104" s="1907"/>
      <c r="P104" s="1110"/>
      <c r="Q104" s="1907"/>
      <c r="R104" s="1110"/>
      <c r="S104" s="1146"/>
      <c r="T104" s="1629"/>
      <c r="U104" s="1146"/>
      <c r="V104" s="1629"/>
      <c r="W104" s="1146"/>
      <c r="X104" s="1629"/>
      <c r="Y104" s="1146"/>
      <c r="Z104" s="2114">
        <f>C104-'Blocking-Step2'!C104</f>
        <v>0</v>
      </c>
      <c r="AA104" s="2114">
        <f>D104-'Blocking-Step2'!D104</f>
        <v>0</v>
      </c>
      <c r="AC104" s="2114">
        <f>F104-'Blocking-Step2'!F104</f>
        <v>0</v>
      </c>
      <c r="AE104" s="2114">
        <f>H104-'Blocking-Step2'!H104</f>
        <v>0</v>
      </c>
      <c r="AF104" s="2114">
        <f>I104-'Blocking-Step2'!I104</f>
        <v>0</v>
      </c>
      <c r="AH104" s="2136">
        <f>K104-'Blocking-Step2'!K104</f>
        <v>0</v>
      </c>
      <c r="AJ104" s="2136">
        <f>M104-'Blocking-Step2'!M104</f>
        <v>0</v>
      </c>
      <c r="AL104" s="2136">
        <f>O104-'Blocking-Step2'!O104</f>
        <v>0</v>
      </c>
      <c r="AN104" s="2137">
        <f>Q104-'Blocking-Step2'!Q104</f>
        <v>0</v>
      </c>
      <c r="AP104" s="2127">
        <f>S104-'Blocking-Step2'!S104</f>
        <v>0</v>
      </c>
      <c r="AR104" s="2127">
        <f>U104-'Blocking-Step2'!U104</f>
        <v>0</v>
      </c>
      <c r="AT104" s="2127">
        <f>W104-'Blocking-Step2'!W104</f>
        <v>0</v>
      </c>
      <c r="AV104" s="2128">
        <f>Y104-'Blocking-Step2'!Y104</f>
        <v>0</v>
      </c>
    </row>
    <row r="105" spans="1:48">
      <c r="A105" s="1116" t="s">
        <v>248</v>
      </c>
      <c r="C105" s="1105">
        <v>384603</v>
      </c>
      <c r="D105" s="1105">
        <v>347186</v>
      </c>
      <c r="F105" s="1922">
        <v>34.375300000000003</v>
      </c>
      <c r="G105" s="1929" t="s">
        <v>495</v>
      </c>
      <c r="H105" s="1146">
        <v>132208</v>
      </c>
      <c r="I105" s="1146">
        <v>119346</v>
      </c>
      <c r="K105" s="1922">
        <v>2.7378999999999998</v>
      </c>
      <c r="L105" s="1921" t="s">
        <v>495</v>
      </c>
      <c r="M105" s="1922">
        <v>5.3996000000000004</v>
      </c>
      <c r="N105" s="1921" t="s">
        <v>495</v>
      </c>
      <c r="O105" s="1922">
        <v>25.805474416831</v>
      </c>
      <c r="P105" s="1929" t="s">
        <v>495</v>
      </c>
      <c r="Q105" s="1922">
        <v>33.942974416830999</v>
      </c>
      <c r="R105" s="1929" t="s">
        <v>495</v>
      </c>
      <c r="S105" s="1146">
        <v>9506</v>
      </c>
      <c r="T105" s="1656"/>
      <c r="U105" s="1146">
        <v>18747</v>
      </c>
      <c r="V105" s="1656"/>
      <c r="W105" s="1146">
        <v>89593</v>
      </c>
      <c r="X105" s="1656"/>
      <c r="Y105" s="1146">
        <v>117845</v>
      </c>
      <c r="Z105" s="2114">
        <f>C105-'Blocking-Step2'!C105</f>
        <v>0</v>
      </c>
      <c r="AA105" s="2114">
        <f>D105-'Blocking-Step2'!D105</f>
        <v>0</v>
      </c>
      <c r="AC105" s="2114">
        <f>F105-'Blocking-Step2'!F105</f>
        <v>0</v>
      </c>
      <c r="AE105" s="2114">
        <f>H105-'Blocking-Step2'!H105</f>
        <v>0</v>
      </c>
      <c r="AF105" s="2114">
        <f>I105-'Blocking-Step2'!I105</f>
        <v>0</v>
      </c>
      <c r="AH105" s="2136">
        <f>K105-'Blocking-Step2'!K105</f>
        <v>-1.6915000000000004</v>
      </c>
      <c r="AJ105" s="2136">
        <f>M105-'Blocking-Step2'!M105</f>
        <v>1.6955000000000005</v>
      </c>
      <c r="AL105" s="2136">
        <f>O105-'Blocking-Step2'!O105</f>
        <v>9.4032957319996058E-3</v>
      </c>
      <c r="AN105" s="2137">
        <f>Q105-'Blocking-Step2'!Q105</f>
        <v>1.3403295731997389E-2</v>
      </c>
      <c r="AP105" s="2127">
        <f>S105-'Blocking-Step2'!S105</f>
        <v>-5872</v>
      </c>
      <c r="AR105" s="2127">
        <f>U105-'Blocking-Step2'!U105</f>
        <v>5887</v>
      </c>
      <c r="AT105" s="2127">
        <f>W105-'Blocking-Step2'!W105</f>
        <v>33</v>
      </c>
      <c r="AV105" s="2128">
        <f>Y105-'Blocking-Step2'!Y105</f>
        <v>46</v>
      </c>
    </row>
    <row r="106" spans="1:48">
      <c r="A106" s="1116" t="s">
        <v>249</v>
      </c>
      <c r="C106" s="1105">
        <v>2360279</v>
      </c>
      <c r="D106" s="1105">
        <v>2130652</v>
      </c>
      <c r="F106" s="1922">
        <v>3.4003000000000001</v>
      </c>
      <c r="G106" s="1929" t="s">
        <v>495</v>
      </c>
      <c r="H106" s="1146">
        <v>80257</v>
      </c>
      <c r="I106" s="1146">
        <v>72449</v>
      </c>
      <c r="K106" s="1922">
        <v>2.7378999999999998</v>
      </c>
      <c r="L106" s="1921" t="s">
        <v>495</v>
      </c>
      <c r="M106" s="1922">
        <v>0.61963566978500006</v>
      </c>
      <c r="N106" s="1921" t="s">
        <v>495</v>
      </c>
      <c r="O106" s="1922">
        <v>0</v>
      </c>
      <c r="P106" s="1929" t="s">
        <v>495</v>
      </c>
      <c r="Q106" s="1922">
        <v>3.3575356697849998</v>
      </c>
      <c r="R106" s="1929" t="s">
        <v>495</v>
      </c>
      <c r="S106" s="1146">
        <v>58335</v>
      </c>
      <c r="T106" s="1656"/>
      <c r="U106" s="1146">
        <v>13202</v>
      </c>
      <c r="V106" s="1656"/>
      <c r="W106" s="1146">
        <v>0</v>
      </c>
      <c r="X106" s="1656"/>
      <c r="Y106" s="1146">
        <v>71537</v>
      </c>
      <c r="Z106" s="2114">
        <f>C106-'Blocking-Step2'!C106</f>
        <v>0</v>
      </c>
      <c r="AA106" s="2114">
        <f>D106-'Blocking-Step2'!D106</f>
        <v>0</v>
      </c>
      <c r="AC106" s="2114">
        <f>F106-'Blocking-Step2'!F106</f>
        <v>0</v>
      </c>
      <c r="AE106" s="2114">
        <f>H106-'Blocking-Step2'!H106</f>
        <v>0</v>
      </c>
      <c r="AF106" s="2114">
        <f>I106-'Blocking-Step2'!I106</f>
        <v>0</v>
      </c>
      <c r="AH106" s="2136">
        <f>K106-'Blocking-Step2'!K106</f>
        <v>-1.6915000000000004</v>
      </c>
      <c r="AJ106" s="2136">
        <f>M106-'Blocking-Step2'!M106</f>
        <v>1.6928258132000003</v>
      </c>
      <c r="AL106" s="2136">
        <f>O106-'Blocking-Step2'!O106</f>
        <v>0</v>
      </c>
      <c r="AN106" s="2137">
        <f>Q106-'Blocking-Step2'!Q106</f>
        <v>1.3258131999998035E-3</v>
      </c>
      <c r="AP106" s="2127">
        <f>S106-'Blocking-Step2'!S106</f>
        <v>-36040</v>
      </c>
      <c r="AR106" s="2127">
        <f>U106-'Blocking-Step2'!U106</f>
        <v>36068</v>
      </c>
      <c r="AT106" s="2127">
        <f>W106-'Blocking-Step2'!W106</f>
        <v>0</v>
      </c>
      <c r="AV106" s="2128">
        <f>Y106-'Blocking-Step2'!Y106</f>
        <v>28</v>
      </c>
    </row>
    <row r="107" spans="1:48">
      <c r="A107" s="1116" t="s">
        <v>1157</v>
      </c>
      <c r="B107" s="1928"/>
      <c r="C107" s="1024">
        <v>0</v>
      </c>
      <c r="D107" s="1105">
        <v>0</v>
      </c>
      <c r="E107" s="804"/>
      <c r="F107" s="1927">
        <v>11.7033</v>
      </c>
      <c r="G107" s="1929" t="s">
        <v>495</v>
      </c>
      <c r="H107" s="1146">
        <v>0</v>
      </c>
      <c r="I107" s="1146">
        <v>0</v>
      </c>
      <c r="J107" s="804"/>
      <c r="K107" s="1922">
        <v>2.7378999999999998</v>
      </c>
      <c r="L107" s="1921" t="s">
        <v>495</v>
      </c>
      <c r="M107" s="1922">
        <v>7.7249999999999996</v>
      </c>
      <c r="N107" s="1921" t="s">
        <v>495</v>
      </c>
      <c r="O107" s="1922">
        <v>0</v>
      </c>
      <c r="P107" s="1929" t="s">
        <v>495</v>
      </c>
      <c r="Q107" s="1927">
        <v>10.462899999999999</v>
      </c>
      <c r="R107" s="1929" t="s">
        <v>495</v>
      </c>
      <c r="S107" s="1146">
        <v>0</v>
      </c>
      <c r="T107" s="1656"/>
      <c r="U107" s="1146">
        <v>0</v>
      </c>
      <c r="V107" s="1656"/>
      <c r="W107" s="1146">
        <v>0</v>
      </c>
      <c r="X107" s="1656"/>
      <c r="Y107" s="1146">
        <v>0</v>
      </c>
      <c r="Z107" s="2114">
        <f>C107-'Blocking-Step2'!C107</f>
        <v>0</v>
      </c>
      <c r="AA107" s="2114">
        <f>D107-'Blocking-Step2'!D107</f>
        <v>0</v>
      </c>
      <c r="AC107" s="2114">
        <f>F107-'Blocking-Step2'!F107</f>
        <v>0</v>
      </c>
      <c r="AE107" s="2114">
        <f>H107-'Blocking-Step2'!H107</f>
        <v>0</v>
      </c>
      <c r="AF107" s="2114">
        <f>I107-'Blocking-Step2'!I107</f>
        <v>0</v>
      </c>
      <c r="AH107" s="2136">
        <f>K107-'Blocking-Step2'!K107</f>
        <v>-1.6915000000000004</v>
      </c>
      <c r="AJ107" s="2136">
        <f>M107-'Blocking-Step2'!M107</f>
        <v>0</v>
      </c>
      <c r="AL107" s="2136">
        <f>O107-'Blocking-Step2'!O107</f>
        <v>0</v>
      </c>
      <c r="AN107" s="2137">
        <f>Q107-'Blocking-Step2'!Q107</f>
        <v>-1.6915000000000013</v>
      </c>
      <c r="AP107" s="2127">
        <f>S107-'Blocking-Step2'!S107</f>
        <v>0</v>
      </c>
      <c r="AR107" s="2127">
        <f>U107-'Blocking-Step2'!U107</f>
        <v>0</v>
      </c>
      <c r="AT107" s="2127">
        <f>W107-'Blocking-Step2'!W107</f>
        <v>0</v>
      </c>
      <c r="AV107" s="2128">
        <f>Y107-'Blocking-Step2'!Y107</f>
        <v>0</v>
      </c>
    </row>
    <row r="108" spans="1:48">
      <c r="A108" s="1116" t="s">
        <v>246</v>
      </c>
      <c r="C108" s="1940">
        <v>22863</v>
      </c>
      <c r="D108" s="1940">
        <v>0</v>
      </c>
      <c r="H108" s="1147">
        <v>2105</v>
      </c>
      <c r="I108" s="1147">
        <v>0</v>
      </c>
      <c r="Y108" s="1147"/>
      <c r="Z108" s="2114">
        <f>C108-'Blocking-Step2'!C108</f>
        <v>0</v>
      </c>
      <c r="AA108" s="2114">
        <f>D108-'Blocking-Step2'!D108</f>
        <v>0</v>
      </c>
      <c r="AC108" s="2114">
        <f>F108-'Blocking-Step2'!F108</f>
        <v>0</v>
      </c>
      <c r="AE108" s="2114">
        <f>H108-'Blocking-Step2'!H108</f>
        <v>0</v>
      </c>
      <c r="AF108" s="2114">
        <f>I108-'Blocking-Step2'!I108</f>
        <v>0</v>
      </c>
      <c r="AH108" s="2136">
        <f>K108-'Blocking-Step2'!K108</f>
        <v>0</v>
      </c>
      <c r="AJ108" s="2136">
        <f>M108-'Blocking-Step2'!M108</f>
        <v>0</v>
      </c>
      <c r="AL108" s="2136">
        <f>O108-'Blocking-Step2'!O108</f>
        <v>0</v>
      </c>
      <c r="AN108" s="2137">
        <f>Q108-'Blocking-Step2'!Q108</f>
        <v>0</v>
      </c>
      <c r="AP108" s="2127">
        <f>S108-'Blocking-Step2'!S108</f>
        <v>0</v>
      </c>
      <c r="AR108" s="2127">
        <f>U108-'Blocking-Step2'!U108</f>
        <v>0</v>
      </c>
      <c r="AT108" s="2127">
        <f>W108-'Blocking-Step2'!W108</f>
        <v>0</v>
      </c>
      <c r="AV108" s="2128">
        <f>Y108-'Blocking-Step2'!Y108</f>
        <v>0</v>
      </c>
    </row>
    <row r="109" spans="1:48">
      <c r="A109" s="1116" t="s">
        <v>1240</v>
      </c>
      <c r="C109" s="1024"/>
      <c r="D109" s="1024"/>
      <c r="F109" s="2076">
        <v>-3.9100000000000003E-2</v>
      </c>
      <c r="G109" s="617"/>
      <c r="H109" s="1146">
        <v>-13134.902100000001</v>
      </c>
      <c r="I109" s="1146">
        <v>-11857.035900000001</v>
      </c>
      <c r="K109" s="2076"/>
      <c r="L109" s="617"/>
      <c r="M109" s="2076"/>
      <c r="N109" s="617"/>
      <c r="O109" s="2077" t="s">
        <v>2323</v>
      </c>
      <c r="P109" s="617"/>
      <c r="Q109" s="2076">
        <v>-3.0800000000000001E-2</v>
      </c>
      <c r="R109" s="617"/>
      <c r="S109" s="1114"/>
      <c r="T109" s="1114"/>
      <c r="U109" s="1114"/>
      <c r="V109" s="1114"/>
      <c r="W109" s="1114"/>
      <c r="X109" s="1114"/>
      <c r="Y109" s="1146">
        <v>-9222.5671999999995</v>
      </c>
      <c r="Z109" s="2114">
        <f>C109-'Blocking-Step2'!C109</f>
        <v>0</v>
      </c>
      <c r="AA109" s="2114">
        <f>D109-'Blocking-Step2'!D109</f>
        <v>0</v>
      </c>
      <c r="AC109" s="2114">
        <f>F109-'Blocking-Step2'!F109</f>
        <v>0</v>
      </c>
      <c r="AE109" s="2114">
        <f>H109-'Blocking-Step2'!H109</f>
        <v>0</v>
      </c>
      <c r="AF109" s="2114">
        <f>I109-'Blocking-Step2'!I109</f>
        <v>0</v>
      </c>
      <c r="AH109" s="2136">
        <f>K109-'Blocking-Step2'!K109</f>
        <v>0</v>
      </c>
      <c r="AJ109" s="2136">
        <f>M109-'Blocking-Step2'!M109</f>
        <v>0</v>
      </c>
      <c r="AL109" s="2136" t="e">
        <f>O109-'Blocking-Step2'!O109</f>
        <v>#VALUE!</v>
      </c>
      <c r="AN109" s="2137">
        <f>Q109-'Blocking-Step2'!Q109</f>
        <v>0</v>
      </c>
      <c r="AP109" s="2127">
        <f>S109-'Blocking-Step2'!S109</f>
        <v>0</v>
      </c>
      <c r="AR109" s="2127">
        <f>U109-'Blocking-Step2'!U109</f>
        <v>0</v>
      </c>
      <c r="AT109" s="2127">
        <f>W109-'Blocking-Step2'!W109</f>
        <v>0</v>
      </c>
      <c r="AV109" s="2128">
        <f>Y109-'Blocking-Step2'!Y109</f>
        <v>-3.6035999999985506</v>
      </c>
    </row>
    <row r="110" spans="1:48">
      <c r="A110" s="1116" t="s">
        <v>1317</v>
      </c>
      <c r="C110" s="1024">
        <v>0</v>
      </c>
      <c r="D110" s="1105">
        <v>0</v>
      </c>
      <c r="F110" s="2076"/>
      <c r="G110" s="617"/>
      <c r="H110" s="1146"/>
      <c r="I110" s="1146"/>
      <c r="K110" s="2076"/>
      <c r="L110" s="617"/>
      <c r="M110" s="2076"/>
      <c r="N110" s="617"/>
      <c r="O110" s="2077" t="s">
        <v>2324</v>
      </c>
      <c r="P110" s="617"/>
      <c r="Q110" s="2076">
        <v>-1.67E-2</v>
      </c>
      <c r="R110" s="617"/>
      <c r="S110" s="1114"/>
      <c r="T110" s="1114"/>
      <c r="U110" s="1114"/>
      <c r="V110" s="1114"/>
      <c r="W110" s="1114"/>
      <c r="X110" s="1114"/>
      <c r="Y110" s="1146">
        <v>-5000.5478000000003</v>
      </c>
      <c r="Z110" s="2114">
        <f>C110-'Blocking-Step2'!C110</f>
        <v>0</v>
      </c>
      <c r="AA110" s="2114">
        <f>D110-'Blocking-Step2'!D110</f>
        <v>0</v>
      </c>
      <c r="AC110" s="2114">
        <f>F110-'Blocking-Step2'!F110</f>
        <v>0</v>
      </c>
      <c r="AE110" s="2114">
        <f>H110-'Blocking-Step2'!H110</f>
        <v>0</v>
      </c>
      <c r="AF110" s="2114">
        <f>I110-'Blocking-Step2'!I110</f>
        <v>0</v>
      </c>
      <c r="AH110" s="2136">
        <f>K110-'Blocking-Step2'!K110</f>
        <v>0</v>
      </c>
      <c r="AJ110" s="2136">
        <f>M110-'Blocking-Step2'!M110</f>
        <v>0</v>
      </c>
      <c r="AL110" s="2136" t="e">
        <f>O110-'Blocking-Step2'!O110</f>
        <v>#VALUE!</v>
      </c>
      <c r="AN110" s="2137">
        <f>Q110-'Blocking-Step2'!Q110</f>
        <v>0</v>
      </c>
      <c r="AP110" s="2127">
        <f>S110-'Blocking-Step2'!S110</f>
        <v>0</v>
      </c>
      <c r="AR110" s="2127">
        <f>U110-'Blocking-Step2'!U110</f>
        <v>0</v>
      </c>
      <c r="AT110" s="2127">
        <f>W110-'Blocking-Step2'!W110</f>
        <v>0</v>
      </c>
      <c r="AV110" s="2128">
        <f>Y110-'Blocking-Step2'!Y110</f>
        <v>-1.9539000000004307</v>
      </c>
    </row>
    <row r="111" spans="1:48" ht="16.5" thickBot="1">
      <c r="A111" s="1116" t="s">
        <v>247</v>
      </c>
      <c r="C111" s="1941">
        <v>4064184</v>
      </c>
      <c r="D111" s="1941">
        <v>3648148.0452160826</v>
      </c>
      <c r="F111" s="1145"/>
      <c r="H111" s="1149">
        <v>344576.09789999999</v>
      </c>
      <c r="I111" s="1149">
        <v>310075.96409999998</v>
      </c>
      <c r="K111" s="1145"/>
      <c r="M111" s="1145"/>
      <c r="O111" s="1145"/>
      <c r="Q111" s="1145"/>
      <c r="S111" s="1154">
        <v>130259</v>
      </c>
      <c r="U111" s="1154">
        <v>81316</v>
      </c>
      <c r="W111" s="1154">
        <v>118237</v>
      </c>
      <c r="Y111" s="1154">
        <v>329810</v>
      </c>
      <c r="Z111" s="2114">
        <f>C111-'Blocking-Step2'!C111</f>
        <v>0</v>
      </c>
      <c r="AA111" s="2114">
        <f>D111-'Blocking-Step2'!D111</f>
        <v>0</v>
      </c>
      <c r="AC111" s="2114">
        <f>F111-'Blocking-Step2'!F111</f>
        <v>0</v>
      </c>
      <c r="AE111" s="2114">
        <f>H111-'Blocking-Step2'!H111</f>
        <v>0</v>
      </c>
      <c r="AF111" s="2114">
        <f>I111-'Blocking-Step2'!I111</f>
        <v>0</v>
      </c>
      <c r="AH111" s="2136">
        <f>K111-'Blocking-Step2'!K111</f>
        <v>0</v>
      </c>
      <c r="AJ111" s="2136">
        <f>M111-'Blocking-Step2'!M111</f>
        <v>0</v>
      </c>
      <c r="AL111" s="2136">
        <f>O111-'Blocking-Step2'!O111</f>
        <v>0</v>
      </c>
      <c r="AN111" s="2137">
        <f>Q111-'Blocking-Step2'!Q111</f>
        <v>0</v>
      </c>
      <c r="AP111" s="2127">
        <f>S111-'Blocking-Step2'!S111</f>
        <v>-61708</v>
      </c>
      <c r="AR111" s="2127">
        <f>U111-'Blocking-Step2'!U111</f>
        <v>61785</v>
      </c>
      <c r="AT111" s="2127">
        <f>W111-'Blocking-Step2'!W111</f>
        <v>43</v>
      </c>
      <c r="AV111" s="2128">
        <f>Y111-'Blocking-Step2'!Y111</f>
        <v>117</v>
      </c>
    </row>
    <row r="112" spans="1:48" ht="16.5" thickTop="1">
      <c r="C112" s="1105"/>
      <c r="D112" s="1105"/>
      <c r="Z112" s="2114">
        <f>C112-'Blocking-Step2'!C112</f>
        <v>0</v>
      </c>
      <c r="AA112" s="2114">
        <f>D112-'Blocking-Step2'!D112</f>
        <v>0</v>
      </c>
      <c r="AC112" s="2114">
        <f>F112-'Blocking-Step2'!F112</f>
        <v>0</v>
      </c>
      <c r="AE112" s="2114">
        <f>H112-'Blocking-Step2'!H112</f>
        <v>0</v>
      </c>
      <c r="AF112" s="2114">
        <f>I112-'Blocking-Step2'!I112</f>
        <v>0</v>
      </c>
      <c r="AH112" s="2136">
        <f>K112-'Blocking-Step2'!K112</f>
        <v>0</v>
      </c>
      <c r="AJ112" s="2136">
        <f>M112-'Blocking-Step2'!M112</f>
        <v>0</v>
      </c>
      <c r="AL112" s="2136">
        <f>O112-'Blocking-Step2'!O112</f>
        <v>0</v>
      </c>
      <c r="AN112" s="2137">
        <f>Q112-'Blocking-Step2'!Q112</f>
        <v>0</v>
      </c>
      <c r="AP112" s="2127">
        <f>S112-'Blocking-Step2'!S112</f>
        <v>0</v>
      </c>
      <c r="AR112" s="2127">
        <f>U112-'Blocking-Step2'!U112</f>
        <v>0</v>
      </c>
      <c r="AT112" s="2127">
        <f>W112-'Blocking-Step2'!W112</f>
        <v>0</v>
      </c>
      <c r="AV112" s="2128">
        <f>Y112-'Blocking-Step2'!Y112</f>
        <v>0</v>
      </c>
    </row>
    <row r="113" spans="1:48">
      <c r="A113" s="1115" t="s">
        <v>931</v>
      </c>
      <c r="C113" s="1105"/>
      <c r="D113" s="1105"/>
      <c r="Z113" s="2114">
        <f>C113-'Blocking-Step2'!C113</f>
        <v>0</v>
      </c>
      <c r="AA113" s="2114">
        <f>D113-'Blocking-Step2'!D113</f>
        <v>0</v>
      </c>
      <c r="AC113" s="2114">
        <f>F113-'Blocking-Step2'!F113</f>
        <v>0</v>
      </c>
      <c r="AE113" s="2114">
        <f>H113-'Blocking-Step2'!H113</f>
        <v>0</v>
      </c>
      <c r="AF113" s="2114">
        <f>I113-'Blocking-Step2'!I113</f>
        <v>0</v>
      </c>
      <c r="AH113" s="2136">
        <f>K113-'Blocking-Step2'!K113</f>
        <v>0</v>
      </c>
      <c r="AJ113" s="2136">
        <f>M113-'Blocking-Step2'!M113</f>
        <v>0</v>
      </c>
      <c r="AL113" s="2136">
        <f>O113-'Blocking-Step2'!O113</f>
        <v>0</v>
      </c>
      <c r="AN113" s="2137">
        <f>Q113-'Blocking-Step2'!Q113</f>
        <v>0</v>
      </c>
      <c r="AP113" s="2127">
        <f>S113-'Blocking-Step2'!S113</f>
        <v>0</v>
      </c>
      <c r="AR113" s="2127">
        <f>U113-'Blocking-Step2'!U113</f>
        <v>0</v>
      </c>
      <c r="AT113" s="2127">
        <f>W113-'Blocking-Step2'!W113</f>
        <v>0</v>
      </c>
      <c r="AV113" s="2128">
        <f>Y113-'Blocking-Step2'!Y113</f>
        <v>0</v>
      </c>
    </row>
    <row r="114" spans="1:48">
      <c r="A114" s="1116" t="s">
        <v>685</v>
      </c>
      <c r="C114" s="1105">
        <v>253674.66666666619</v>
      </c>
      <c r="D114" s="1105">
        <v>216323</v>
      </c>
      <c r="F114" s="1907"/>
      <c r="G114" s="1110"/>
      <c r="H114" s="1146"/>
      <c r="I114" s="1146"/>
      <c r="K114" s="1907"/>
      <c r="L114" s="1110"/>
      <c r="M114" s="1907"/>
      <c r="N114" s="1110"/>
      <c r="O114" s="1907"/>
      <c r="P114" s="1110"/>
      <c r="Q114" s="1907"/>
      <c r="R114" s="1110"/>
      <c r="S114" s="1629"/>
      <c r="T114" s="1629"/>
      <c r="U114" s="1629"/>
      <c r="V114" s="1629"/>
      <c r="W114" s="1629"/>
      <c r="X114" s="1629"/>
      <c r="Y114" s="1146"/>
      <c r="Z114" s="2114">
        <f>C114-'Blocking-Step2'!C114</f>
        <v>0</v>
      </c>
      <c r="AA114" s="2114">
        <f>D114-'Blocking-Step2'!D114</f>
        <v>0</v>
      </c>
      <c r="AC114" s="2114">
        <f>F114-'Blocking-Step2'!F114</f>
        <v>0</v>
      </c>
      <c r="AE114" s="2114">
        <f>H114-'Blocking-Step2'!H114</f>
        <v>0</v>
      </c>
      <c r="AF114" s="2114">
        <f>I114-'Blocking-Step2'!I114</f>
        <v>0</v>
      </c>
      <c r="AH114" s="2136">
        <f>K114-'Blocking-Step2'!K114</f>
        <v>0</v>
      </c>
      <c r="AJ114" s="2136">
        <f>M114-'Blocking-Step2'!M114</f>
        <v>0</v>
      </c>
      <c r="AL114" s="2136">
        <f>O114-'Blocking-Step2'!O114</f>
        <v>0</v>
      </c>
      <c r="AN114" s="2137">
        <f>Q114-'Blocking-Step2'!Q114</f>
        <v>0</v>
      </c>
      <c r="AP114" s="2127">
        <f>S114-'Blocking-Step2'!S114</f>
        <v>0</v>
      </c>
      <c r="AR114" s="2127">
        <f>U114-'Blocking-Step2'!U114</f>
        <v>0</v>
      </c>
      <c r="AT114" s="2127">
        <f>W114-'Blocking-Step2'!W114</f>
        <v>0</v>
      </c>
      <c r="AV114" s="2128">
        <f>Y114-'Blocking-Step2'!Y114</f>
        <v>0</v>
      </c>
    </row>
    <row r="115" spans="1:48">
      <c r="A115" s="1116" t="s">
        <v>683</v>
      </c>
      <c r="C115" s="1105">
        <v>253474.43333333288</v>
      </c>
      <c r="D115" s="1105">
        <v>216152</v>
      </c>
      <c r="F115" s="1907">
        <v>6</v>
      </c>
      <c r="G115" s="1110"/>
      <c r="H115" s="1146">
        <v>1520847</v>
      </c>
      <c r="I115" s="1146">
        <v>1296912</v>
      </c>
      <c r="K115" s="1907"/>
      <c r="L115" s="1110"/>
      <c r="M115" s="1907"/>
      <c r="N115" s="1110"/>
      <c r="O115" s="1907"/>
      <c r="P115" s="1110"/>
      <c r="Q115" s="1907"/>
      <c r="R115" s="1110"/>
      <c r="S115" s="1629"/>
      <c r="T115" s="1629"/>
      <c r="U115" s="1629"/>
      <c r="V115" s="1629"/>
      <c r="W115" s="1629"/>
      <c r="X115" s="1629"/>
      <c r="Y115" s="1146"/>
      <c r="Z115" s="2114">
        <f>C115-'Blocking-Step2'!C115</f>
        <v>0</v>
      </c>
      <c r="AA115" s="2114">
        <f>D115-'Blocking-Step2'!D115</f>
        <v>0</v>
      </c>
      <c r="AC115" s="2114">
        <f>F115-'Blocking-Step2'!F115</f>
        <v>0</v>
      </c>
      <c r="AE115" s="2114">
        <f>H115-'Blocking-Step2'!H115</f>
        <v>0</v>
      </c>
      <c r="AF115" s="2114">
        <f>I115-'Blocking-Step2'!I115</f>
        <v>0</v>
      </c>
      <c r="AH115" s="2136">
        <f>K115-'Blocking-Step2'!K115</f>
        <v>0</v>
      </c>
      <c r="AJ115" s="2136">
        <f>M115-'Blocking-Step2'!M115</f>
        <v>0</v>
      </c>
      <c r="AL115" s="2136">
        <f>O115-'Blocking-Step2'!O115</f>
        <v>0</v>
      </c>
      <c r="AN115" s="2137">
        <f>Q115-'Blocking-Step2'!Q115</f>
        <v>0</v>
      </c>
      <c r="AP115" s="2127">
        <f>S115-'Blocking-Step2'!S115</f>
        <v>0</v>
      </c>
      <c r="AR115" s="2127">
        <f>U115-'Blocking-Step2'!U115</f>
        <v>0</v>
      </c>
      <c r="AT115" s="2127">
        <f>W115-'Blocking-Step2'!W115</f>
        <v>0</v>
      </c>
      <c r="AV115" s="2128">
        <f>Y115-'Blocking-Step2'!Y115</f>
        <v>0</v>
      </c>
    </row>
    <row r="116" spans="1:48">
      <c r="A116" s="1116" t="s">
        <v>1581</v>
      </c>
      <c r="C116" s="1105">
        <v>132873.89999999944</v>
      </c>
      <c r="D116" s="1105">
        <v>113309</v>
      </c>
      <c r="F116" s="1907"/>
      <c r="G116" s="1110"/>
      <c r="H116" s="1146"/>
      <c r="I116" s="1146"/>
      <c r="K116" s="1907">
        <v>10</v>
      </c>
      <c r="L116" s="1110"/>
      <c r="M116" s="1907">
        <v>0</v>
      </c>
      <c r="N116" s="1110"/>
      <c r="O116" s="1907">
        <v>0</v>
      </c>
      <c r="P116" s="1110"/>
      <c r="Q116" s="1907">
        <v>10</v>
      </c>
      <c r="R116" s="1110"/>
      <c r="S116" s="1146">
        <v>1133090</v>
      </c>
      <c r="T116" s="1629"/>
      <c r="U116" s="1146">
        <v>0</v>
      </c>
      <c r="V116" s="1629"/>
      <c r="W116" s="1146">
        <v>0</v>
      </c>
      <c r="X116" s="1629"/>
      <c r="Y116" s="1146">
        <v>1133090</v>
      </c>
      <c r="Z116" s="2114">
        <f>C116-'Blocking-Step2'!C116</f>
        <v>0</v>
      </c>
      <c r="AA116" s="2114">
        <f>D116-'Blocking-Step2'!D116</f>
        <v>0</v>
      </c>
      <c r="AC116" s="2114">
        <f>F116-'Blocking-Step2'!F116</f>
        <v>0</v>
      </c>
      <c r="AE116" s="2114">
        <f>H116-'Blocking-Step2'!H116</f>
        <v>0</v>
      </c>
      <c r="AF116" s="2114">
        <f>I116-'Blocking-Step2'!I116</f>
        <v>0</v>
      </c>
      <c r="AH116" s="2136">
        <f>K116-'Blocking-Step2'!K116</f>
        <v>0</v>
      </c>
      <c r="AJ116" s="2136">
        <f>M116-'Blocking-Step2'!M116</f>
        <v>0</v>
      </c>
      <c r="AL116" s="2136">
        <f>O116-'Blocking-Step2'!O116</f>
        <v>0</v>
      </c>
      <c r="AN116" s="2137">
        <f>Q116-'Blocking-Step2'!Q116</f>
        <v>0</v>
      </c>
      <c r="AP116" s="2127">
        <f>S116-'Blocking-Step2'!S116</f>
        <v>0</v>
      </c>
      <c r="AR116" s="2127">
        <f>U116-'Blocking-Step2'!U116</f>
        <v>0</v>
      </c>
      <c r="AT116" s="2127">
        <f>W116-'Blocking-Step2'!W116</f>
        <v>0</v>
      </c>
      <c r="AV116" s="2128">
        <f>Y116-'Blocking-Step2'!Y116</f>
        <v>0</v>
      </c>
    </row>
    <row r="117" spans="1:48">
      <c r="A117" s="1116" t="s">
        <v>1582</v>
      </c>
      <c r="C117" s="1105">
        <v>120600.53333333343</v>
      </c>
      <c r="D117" s="1105">
        <v>102843</v>
      </c>
      <c r="F117" s="1907"/>
      <c r="G117" s="1110"/>
      <c r="H117" s="1146"/>
      <c r="I117" s="1146"/>
      <c r="K117" s="1907">
        <v>6</v>
      </c>
      <c r="L117" s="1110"/>
      <c r="M117" s="1907">
        <v>0</v>
      </c>
      <c r="N117" s="1110"/>
      <c r="O117" s="1907">
        <v>0</v>
      </c>
      <c r="P117" s="1110"/>
      <c r="Q117" s="1907">
        <v>6</v>
      </c>
      <c r="R117" s="1110"/>
      <c r="S117" s="1146">
        <v>617058</v>
      </c>
      <c r="T117" s="1629"/>
      <c r="U117" s="1146">
        <v>0</v>
      </c>
      <c r="V117" s="1629"/>
      <c r="W117" s="1146">
        <v>0</v>
      </c>
      <c r="X117" s="1629"/>
      <c r="Y117" s="1146">
        <v>617058</v>
      </c>
      <c r="Z117" s="2114">
        <f>C117-'Blocking-Step2'!C117</f>
        <v>0</v>
      </c>
      <c r="AA117" s="2114">
        <f>D117-'Blocking-Step2'!D117</f>
        <v>0</v>
      </c>
      <c r="AC117" s="2114">
        <f>F117-'Blocking-Step2'!F117</f>
        <v>0</v>
      </c>
      <c r="AE117" s="2114">
        <f>H117-'Blocking-Step2'!H117</f>
        <v>0</v>
      </c>
      <c r="AF117" s="2114">
        <f>I117-'Blocking-Step2'!I117</f>
        <v>0</v>
      </c>
      <c r="AH117" s="2136">
        <f>K117-'Blocking-Step2'!K117</f>
        <v>0</v>
      </c>
      <c r="AJ117" s="2136">
        <f>M117-'Blocking-Step2'!M117</f>
        <v>0</v>
      </c>
      <c r="AL117" s="2136">
        <f>O117-'Blocking-Step2'!O117</f>
        <v>0</v>
      </c>
      <c r="AN117" s="2137">
        <f>Q117-'Blocking-Step2'!Q117</f>
        <v>0</v>
      </c>
      <c r="AP117" s="2127">
        <f>S117-'Blocking-Step2'!S117</f>
        <v>0</v>
      </c>
      <c r="AR117" s="2127">
        <f>U117-'Blocking-Step2'!U117</f>
        <v>0</v>
      </c>
      <c r="AT117" s="2127">
        <f>W117-'Blocking-Step2'!W117</f>
        <v>0</v>
      </c>
      <c r="AV117" s="2128">
        <f>Y117-'Blocking-Step2'!Y117</f>
        <v>0</v>
      </c>
    </row>
    <row r="118" spans="1:48">
      <c r="A118" s="1116" t="s">
        <v>684</v>
      </c>
      <c r="C118" s="1105">
        <v>200.23333333333329</v>
      </c>
      <c r="D118" s="1105">
        <v>171</v>
      </c>
      <c r="F118" s="1907">
        <v>12</v>
      </c>
      <c r="G118" s="1110"/>
      <c r="H118" s="1146">
        <v>2403</v>
      </c>
      <c r="I118" s="1146">
        <v>2052</v>
      </c>
      <c r="K118" s="1907"/>
      <c r="L118" s="1110"/>
      <c r="M118" s="1907"/>
      <c r="N118" s="1110"/>
      <c r="O118" s="1907"/>
      <c r="P118" s="1110"/>
      <c r="Q118" s="1907"/>
      <c r="R118" s="1110"/>
      <c r="S118" s="1146"/>
      <c r="T118" s="1629"/>
      <c r="U118" s="1146"/>
      <c r="V118" s="1629"/>
      <c r="W118" s="1146"/>
      <c r="X118" s="1629"/>
      <c r="Y118" s="1146"/>
      <c r="Z118" s="2114">
        <f>C118-'Blocking-Step2'!C118</f>
        <v>0</v>
      </c>
      <c r="AA118" s="2114">
        <f>D118-'Blocking-Step2'!D118</f>
        <v>0</v>
      </c>
      <c r="AC118" s="2114">
        <f>F118-'Blocking-Step2'!F118</f>
        <v>0</v>
      </c>
      <c r="AE118" s="2114">
        <f>H118-'Blocking-Step2'!H118</f>
        <v>0</v>
      </c>
      <c r="AF118" s="2114">
        <f>I118-'Blocking-Step2'!I118</f>
        <v>0</v>
      </c>
      <c r="AH118" s="2136">
        <f>K118-'Blocking-Step2'!K118</f>
        <v>0</v>
      </c>
      <c r="AJ118" s="2136">
        <f>M118-'Blocking-Step2'!M118</f>
        <v>0</v>
      </c>
      <c r="AL118" s="2136">
        <f>O118-'Blocking-Step2'!O118</f>
        <v>0</v>
      </c>
      <c r="AN118" s="2137">
        <f>Q118-'Blocking-Step2'!Q118</f>
        <v>0</v>
      </c>
      <c r="AP118" s="2127">
        <f>S118-'Blocking-Step2'!S118</f>
        <v>0</v>
      </c>
      <c r="AR118" s="2127">
        <f>U118-'Blocking-Step2'!U118</f>
        <v>0</v>
      </c>
      <c r="AT118" s="2127">
        <f>W118-'Blocking-Step2'!W118</f>
        <v>0</v>
      </c>
      <c r="AV118" s="2128">
        <f>Y118-'Blocking-Step2'!Y118</f>
        <v>0</v>
      </c>
    </row>
    <row r="119" spans="1:48">
      <c r="A119" s="1116" t="s">
        <v>1581</v>
      </c>
      <c r="C119" s="1105">
        <v>31.833333333333286</v>
      </c>
      <c r="D119" s="1105">
        <v>27</v>
      </c>
      <c r="F119" s="1907"/>
      <c r="G119" s="1110"/>
      <c r="H119" s="1146"/>
      <c r="I119" s="1146"/>
      <c r="K119" s="1907">
        <v>20</v>
      </c>
      <c r="L119" s="1110"/>
      <c r="M119" s="1907">
        <v>0</v>
      </c>
      <c r="N119" s="1110"/>
      <c r="O119" s="1907">
        <v>0</v>
      </c>
      <c r="P119" s="1110"/>
      <c r="Q119" s="1907">
        <v>20</v>
      </c>
      <c r="R119" s="1110"/>
      <c r="S119" s="1146">
        <v>540</v>
      </c>
      <c r="T119" s="1629"/>
      <c r="U119" s="1146">
        <v>0</v>
      </c>
      <c r="V119" s="1629"/>
      <c r="W119" s="1146">
        <v>0</v>
      </c>
      <c r="X119" s="1629"/>
      <c r="Y119" s="1146">
        <v>540</v>
      </c>
      <c r="Z119" s="2114">
        <f>C119-'Blocking-Step2'!C119</f>
        <v>0</v>
      </c>
      <c r="AA119" s="2114">
        <f>D119-'Blocking-Step2'!D119</f>
        <v>0</v>
      </c>
      <c r="AC119" s="2114">
        <f>F119-'Blocking-Step2'!F119</f>
        <v>0</v>
      </c>
      <c r="AE119" s="2114">
        <f>H119-'Blocking-Step2'!H119</f>
        <v>0</v>
      </c>
      <c r="AF119" s="2114">
        <f>I119-'Blocking-Step2'!I119</f>
        <v>0</v>
      </c>
      <c r="AH119" s="2136">
        <f>K119-'Blocking-Step2'!K119</f>
        <v>0</v>
      </c>
      <c r="AJ119" s="2136">
        <f>M119-'Blocking-Step2'!M119</f>
        <v>0</v>
      </c>
      <c r="AL119" s="2136">
        <f>O119-'Blocking-Step2'!O119</f>
        <v>0</v>
      </c>
      <c r="AN119" s="2137">
        <f>Q119-'Blocking-Step2'!Q119</f>
        <v>0</v>
      </c>
      <c r="AP119" s="2127">
        <f>S119-'Blocking-Step2'!S119</f>
        <v>0</v>
      </c>
      <c r="AR119" s="2127">
        <f>U119-'Blocking-Step2'!U119</f>
        <v>0</v>
      </c>
      <c r="AT119" s="2127">
        <f>W119-'Blocking-Step2'!W119</f>
        <v>0</v>
      </c>
      <c r="AV119" s="2128">
        <f>Y119-'Blocking-Step2'!Y119</f>
        <v>0</v>
      </c>
    </row>
    <row r="120" spans="1:48">
      <c r="A120" s="1116" t="s">
        <v>1582</v>
      </c>
      <c r="C120" s="1105">
        <v>168.4</v>
      </c>
      <c r="D120" s="1105">
        <v>144</v>
      </c>
      <c r="F120" s="1907"/>
      <c r="G120" s="1110"/>
      <c r="H120" s="1146"/>
      <c r="I120" s="1146"/>
      <c r="K120" s="1907">
        <v>12</v>
      </c>
      <c r="L120" s="1110"/>
      <c r="M120" s="1907">
        <v>0</v>
      </c>
      <c r="N120" s="1110"/>
      <c r="O120" s="1907">
        <v>0</v>
      </c>
      <c r="P120" s="1110"/>
      <c r="Q120" s="1907">
        <v>12</v>
      </c>
      <c r="R120" s="1110"/>
      <c r="S120" s="1146">
        <v>1728</v>
      </c>
      <c r="T120" s="1629"/>
      <c r="U120" s="1146">
        <v>0</v>
      </c>
      <c r="V120" s="1629"/>
      <c r="W120" s="1146">
        <v>0</v>
      </c>
      <c r="X120" s="1629"/>
      <c r="Y120" s="1146">
        <v>1728</v>
      </c>
      <c r="Z120" s="2114">
        <f>C120-'Blocking-Step2'!C120</f>
        <v>0</v>
      </c>
      <c r="AA120" s="2114">
        <f>D120-'Blocking-Step2'!D120</f>
        <v>0</v>
      </c>
      <c r="AC120" s="2114">
        <f>F120-'Blocking-Step2'!F120</f>
        <v>0</v>
      </c>
      <c r="AE120" s="2114">
        <f>H120-'Blocking-Step2'!H120</f>
        <v>0</v>
      </c>
      <c r="AF120" s="2114">
        <f>I120-'Blocking-Step2'!I120</f>
        <v>0</v>
      </c>
      <c r="AH120" s="2136">
        <f>K120-'Blocking-Step2'!K120</f>
        <v>0</v>
      </c>
      <c r="AJ120" s="2136">
        <f>M120-'Blocking-Step2'!M120</f>
        <v>0</v>
      </c>
      <c r="AL120" s="2136">
        <f>O120-'Blocking-Step2'!O120</f>
        <v>0</v>
      </c>
      <c r="AN120" s="2137">
        <f>Q120-'Blocking-Step2'!Q120</f>
        <v>0</v>
      </c>
      <c r="AP120" s="2127">
        <f>S120-'Blocking-Step2'!S120</f>
        <v>0</v>
      </c>
      <c r="AR120" s="2127">
        <f>U120-'Blocking-Step2'!U120</f>
        <v>0</v>
      </c>
      <c r="AT120" s="2127">
        <f>W120-'Blocking-Step2'!W120</f>
        <v>0</v>
      </c>
      <c r="AV120" s="2128">
        <f>Y120-'Blocking-Step2'!Y120</f>
        <v>0</v>
      </c>
    </row>
    <row r="121" spans="1:48">
      <c r="A121" s="1116" t="s">
        <v>1236</v>
      </c>
      <c r="C121" s="1105">
        <v>0</v>
      </c>
      <c r="D121" s="1105">
        <v>0</v>
      </c>
      <c r="F121" s="1907">
        <v>2</v>
      </c>
      <c r="G121" s="1110"/>
      <c r="H121" s="1146">
        <v>0</v>
      </c>
      <c r="I121" s="1146">
        <v>0</v>
      </c>
      <c r="K121" s="1907">
        <v>2</v>
      </c>
      <c r="L121" s="1110"/>
      <c r="M121" s="1907">
        <v>0</v>
      </c>
      <c r="N121" s="1110"/>
      <c r="O121" s="1907">
        <v>0</v>
      </c>
      <c r="P121" s="1110"/>
      <c r="Q121" s="1907">
        <v>2</v>
      </c>
      <c r="R121" s="1110"/>
      <c r="S121" s="1146">
        <v>0</v>
      </c>
      <c r="T121" s="1629"/>
      <c r="U121" s="1146">
        <v>0</v>
      </c>
      <c r="V121" s="1629"/>
      <c r="W121" s="1146">
        <v>0</v>
      </c>
      <c r="X121" s="1629"/>
      <c r="Y121" s="1146">
        <v>0</v>
      </c>
      <c r="Z121" s="2114">
        <f>C121-'Blocking-Step2'!C121</f>
        <v>0</v>
      </c>
      <c r="AA121" s="2114">
        <f>D121-'Blocking-Step2'!D121</f>
        <v>0</v>
      </c>
      <c r="AC121" s="2114">
        <f>F121-'Blocking-Step2'!F121</f>
        <v>0</v>
      </c>
      <c r="AE121" s="2114">
        <f>H121-'Blocking-Step2'!H121</f>
        <v>0</v>
      </c>
      <c r="AF121" s="2114">
        <f>I121-'Blocking-Step2'!I121</f>
        <v>0</v>
      </c>
      <c r="AH121" s="2136">
        <f>K121-'Blocking-Step2'!K121</f>
        <v>0</v>
      </c>
      <c r="AJ121" s="2136">
        <f>M121-'Blocking-Step2'!M121</f>
        <v>0</v>
      </c>
      <c r="AL121" s="2136">
        <f>O121-'Blocking-Step2'!O121</f>
        <v>0</v>
      </c>
      <c r="AN121" s="2137">
        <f>Q121-'Blocking-Step2'!Q121</f>
        <v>0</v>
      </c>
      <c r="AP121" s="2127">
        <f>S121-'Blocking-Step2'!S121</f>
        <v>0</v>
      </c>
      <c r="AR121" s="2127">
        <f>U121-'Blocking-Step2'!U121</f>
        <v>0</v>
      </c>
      <c r="AT121" s="2127">
        <f>W121-'Blocking-Step2'!W121</f>
        <v>0</v>
      </c>
      <c r="AV121" s="2128">
        <f>Y121-'Blocking-Step2'!Y121</f>
        <v>0</v>
      </c>
    </row>
    <row r="122" spans="1:48">
      <c r="A122" s="1116" t="s">
        <v>1301</v>
      </c>
      <c r="C122" s="1105">
        <v>0</v>
      </c>
      <c r="D122" s="1105">
        <v>0</v>
      </c>
      <c r="F122" s="1907">
        <v>22</v>
      </c>
      <c r="G122" s="1110"/>
      <c r="H122" s="1146">
        <v>0</v>
      </c>
      <c r="I122" s="1146">
        <v>0</v>
      </c>
      <c r="K122" s="1907">
        <v>22</v>
      </c>
      <c r="L122" s="1110"/>
      <c r="M122" s="1907">
        <v>0</v>
      </c>
      <c r="N122" s="1110"/>
      <c r="O122" s="1907">
        <v>0</v>
      </c>
      <c r="P122" s="1110"/>
      <c r="Q122" s="1907">
        <v>22</v>
      </c>
      <c r="R122" s="1110"/>
      <c r="S122" s="1146">
        <v>0</v>
      </c>
      <c r="T122" s="1629"/>
      <c r="U122" s="1146">
        <v>0</v>
      </c>
      <c r="V122" s="1629"/>
      <c r="W122" s="1146">
        <v>0</v>
      </c>
      <c r="X122" s="1629"/>
      <c r="Y122" s="1146">
        <v>0</v>
      </c>
      <c r="Z122" s="2114">
        <f>C122-'Blocking-Step2'!C122</f>
        <v>0</v>
      </c>
      <c r="AA122" s="2114">
        <f>D122-'Blocking-Step2'!D122</f>
        <v>0</v>
      </c>
      <c r="AC122" s="2114">
        <f>F122-'Blocking-Step2'!F122</f>
        <v>0</v>
      </c>
      <c r="AE122" s="2114">
        <f>H122-'Blocking-Step2'!H122</f>
        <v>0</v>
      </c>
      <c r="AF122" s="2114">
        <f>I122-'Blocking-Step2'!I122</f>
        <v>0</v>
      </c>
      <c r="AH122" s="2136">
        <f>K122-'Blocking-Step2'!K122</f>
        <v>0</v>
      </c>
      <c r="AJ122" s="2136">
        <f>M122-'Blocking-Step2'!M122</f>
        <v>0</v>
      </c>
      <c r="AL122" s="2136">
        <f>O122-'Blocking-Step2'!O122</f>
        <v>0</v>
      </c>
      <c r="AN122" s="2137">
        <f>Q122-'Blocking-Step2'!Q122</f>
        <v>0</v>
      </c>
      <c r="AP122" s="2127">
        <f>S122-'Blocking-Step2'!S122</f>
        <v>0</v>
      </c>
      <c r="AR122" s="2127">
        <f>U122-'Blocking-Step2'!U122</f>
        <v>0</v>
      </c>
      <c r="AT122" s="2127">
        <f>W122-'Blocking-Step2'!W122</f>
        <v>0</v>
      </c>
      <c r="AV122" s="2128">
        <f>Y122-'Blocking-Step2'!Y122</f>
        <v>0</v>
      </c>
    </row>
    <row r="123" spans="1:48">
      <c r="A123" s="1116" t="s">
        <v>243</v>
      </c>
      <c r="C123" s="1105">
        <v>52.0625</v>
      </c>
      <c r="D123" s="1105">
        <v>44</v>
      </c>
      <c r="F123" s="1907">
        <v>8</v>
      </c>
      <c r="G123" s="1110"/>
      <c r="H123" s="1146">
        <v>417</v>
      </c>
      <c r="I123" s="1146">
        <v>352</v>
      </c>
      <c r="K123" s="1907"/>
      <c r="L123" s="1110"/>
      <c r="M123" s="1907"/>
      <c r="N123" s="1110"/>
      <c r="O123" s="1907"/>
      <c r="P123" s="1110"/>
      <c r="Q123" s="1907"/>
      <c r="R123" s="1110"/>
      <c r="S123" s="1146"/>
      <c r="T123" s="1629"/>
      <c r="U123" s="1146"/>
      <c r="V123" s="1629"/>
      <c r="W123" s="1146"/>
      <c r="X123" s="1629"/>
      <c r="Y123" s="1146"/>
      <c r="Z123" s="2114">
        <f>C123-'Blocking-Step2'!C123</f>
        <v>0</v>
      </c>
      <c r="AA123" s="2114">
        <f>D123-'Blocking-Step2'!D123</f>
        <v>0</v>
      </c>
      <c r="AC123" s="2114">
        <f>F123-'Blocking-Step2'!F123</f>
        <v>0</v>
      </c>
      <c r="AE123" s="2114">
        <f>H123-'Blocking-Step2'!H123</f>
        <v>0</v>
      </c>
      <c r="AF123" s="2114">
        <f>I123-'Blocking-Step2'!I123</f>
        <v>0</v>
      </c>
      <c r="AH123" s="2136">
        <f>K123-'Blocking-Step2'!K123</f>
        <v>0</v>
      </c>
      <c r="AJ123" s="2136">
        <f>M123-'Blocking-Step2'!M123</f>
        <v>0</v>
      </c>
      <c r="AL123" s="2136">
        <f>O123-'Blocking-Step2'!O123</f>
        <v>0</v>
      </c>
      <c r="AN123" s="2137">
        <f>Q123-'Blocking-Step2'!Q123</f>
        <v>0</v>
      </c>
      <c r="AP123" s="2127">
        <f>S123-'Blocking-Step2'!S123</f>
        <v>0</v>
      </c>
      <c r="AR123" s="2127">
        <f>U123-'Blocking-Step2'!U123</f>
        <v>0</v>
      </c>
      <c r="AT123" s="2127">
        <f>W123-'Blocking-Step2'!W123</f>
        <v>0</v>
      </c>
      <c r="AV123" s="2128">
        <f>Y123-'Blocking-Step2'!Y123</f>
        <v>0</v>
      </c>
    </row>
    <row r="124" spans="1:48">
      <c r="A124" s="1116" t="s">
        <v>1581</v>
      </c>
      <c r="C124" s="1105">
        <v>31.193750000000001</v>
      </c>
      <c r="D124" s="1105">
        <v>26</v>
      </c>
      <c r="F124" s="1907"/>
      <c r="G124" s="1110"/>
      <c r="H124" s="1146"/>
      <c r="I124" s="1146"/>
      <c r="K124" s="1907"/>
      <c r="L124" s="1110"/>
      <c r="M124" s="1907"/>
      <c r="N124" s="1110"/>
      <c r="O124" s="1907"/>
      <c r="P124" s="1110"/>
      <c r="Q124" s="1907"/>
      <c r="R124" s="1110"/>
      <c r="S124" s="1146"/>
      <c r="T124" s="1629"/>
      <c r="U124" s="1146"/>
      <c r="V124" s="1629"/>
      <c r="W124" s="1146"/>
      <c r="X124" s="1629"/>
      <c r="Y124" s="1146"/>
      <c r="Z124" s="2114">
        <f>C124-'Blocking-Step2'!C124</f>
        <v>0</v>
      </c>
      <c r="AA124" s="2114">
        <f>D124-'Blocking-Step2'!D124</f>
        <v>0</v>
      </c>
      <c r="AC124" s="2114">
        <f>F124-'Blocking-Step2'!F124</f>
        <v>0</v>
      </c>
      <c r="AE124" s="2114">
        <f>H124-'Blocking-Step2'!H124</f>
        <v>0</v>
      </c>
      <c r="AF124" s="2114">
        <f>I124-'Blocking-Step2'!I124</f>
        <v>0</v>
      </c>
      <c r="AH124" s="2136">
        <f>K124-'Blocking-Step2'!K124</f>
        <v>0</v>
      </c>
      <c r="AJ124" s="2136">
        <f>M124-'Blocking-Step2'!M124</f>
        <v>0</v>
      </c>
      <c r="AL124" s="2136">
        <f>O124-'Blocking-Step2'!O124</f>
        <v>0</v>
      </c>
      <c r="AN124" s="2137">
        <f>Q124-'Blocking-Step2'!Q124</f>
        <v>0</v>
      </c>
      <c r="AP124" s="2127">
        <f>S124-'Blocking-Step2'!S124</f>
        <v>0</v>
      </c>
      <c r="AR124" s="2127">
        <f>U124-'Blocking-Step2'!U124</f>
        <v>0</v>
      </c>
      <c r="AT124" s="2127">
        <f>W124-'Blocking-Step2'!W124</f>
        <v>0</v>
      </c>
      <c r="AV124" s="2128">
        <f>Y124-'Blocking-Step2'!Y124</f>
        <v>0</v>
      </c>
    </row>
    <row r="125" spans="1:48">
      <c r="A125" s="1116" t="s">
        <v>1582</v>
      </c>
      <c r="C125" s="1105">
        <v>20.868749999999999</v>
      </c>
      <c r="D125" s="1105">
        <v>18</v>
      </c>
      <c r="F125" s="1907"/>
      <c r="G125" s="1110"/>
      <c r="H125" s="1146"/>
      <c r="I125" s="1146"/>
      <c r="K125" s="1907"/>
      <c r="L125" s="1110"/>
      <c r="M125" s="1907"/>
      <c r="N125" s="1110"/>
      <c r="O125" s="1907"/>
      <c r="P125" s="1110"/>
      <c r="Q125" s="1907"/>
      <c r="R125" s="1110"/>
      <c r="S125" s="1146"/>
      <c r="T125" s="1629"/>
      <c r="U125" s="1146"/>
      <c r="V125" s="1629"/>
      <c r="W125" s="1146"/>
      <c r="X125" s="1629"/>
      <c r="Y125" s="1146"/>
      <c r="Z125" s="2114">
        <f>C125-'Blocking-Step2'!C125</f>
        <v>0</v>
      </c>
      <c r="AA125" s="2114">
        <f>D125-'Blocking-Step2'!D125</f>
        <v>0</v>
      </c>
      <c r="AC125" s="2114">
        <f>F125-'Blocking-Step2'!F125</f>
        <v>0</v>
      </c>
      <c r="AE125" s="2114">
        <f>H125-'Blocking-Step2'!H125</f>
        <v>0</v>
      </c>
      <c r="AF125" s="2114">
        <f>I125-'Blocking-Step2'!I125</f>
        <v>0</v>
      </c>
      <c r="AH125" s="2136">
        <f>K125-'Blocking-Step2'!K125</f>
        <v>0</v>
      </c>
      <c r="AJ125" s="2136">
        <f>M125-'Blocking-Step2'!M125</f>
        <v>0</v>
      </c>
      <c r="AL125" s="2136">
        <f>O125-'Blocking-Step2'!O125</f>
        <v>0</v>
      </c>
      <c r="AN125" s="2137">
        <f>Q125-'Blocking-Step2'!Q125</f>
        <v>0</v>
      </c>
      <c r="AP125" s="2127">
        <f>S125-'Blocking-Step2'!S125</f>
        <v>0</v>
      </c>
      <c r="AR125" s="2127">
        <f>U125-'Blocking-Step2'!U125</f>
        <v>0</v>
      </c>
      <c r="AT125" s="2127">
        <f>W125-'Blocking-Step2'!W125</f>
        <v>0</v>
      </c>
      <c r="AV125" s="2128">
        <f>Y125-'Blocking-Step2'!Y125</f>
        <v>0</v>
      </c>
    </row>
    <row r="126" spans="1:48">
      <c r="A126" s="1116" t="s">
        <v>244</v>
      </c>
      <c r="C126" s="1105">
        <v>0</v>
      </c>
      <c r="D126" s="1105">
        <v>0</v>
      </c>
      <c r="F126" s="1907">
        <v>16</v>
      </c>
      <c r="G126" s="1110"/>
      <c r="H126" s="1146">
        <v>0</v>
      </c>
      <c r="I126" s="1146">
        <v>0</v>
      </c>
      <c r="K126" s="1907"/>
      <c r="L126" s="1110"/>
      <c r="M126" s="1907"/>
      <c r="N126" s="1110"/>
      <c r="O126" s="1907"/>
      <c r="P126" s="1110"/>
      <c r="Q126" s="1907"/>
      <c r="R126" s="1110"/>
      <c r="S126" s="1146"/>
      <c r="T126" s="1629"/>
      <c r="U126" s="1146"/>
      <c r="V126" s="1629"/>
      <c r="W126" s="1146"/>
      <c r="X126" s="1629"/>
      <c r="Y126" s="1146"/>
      <c r="Z126" s="2114">
        <f>C126-'Blocking-Step2'!C126</f>
        <v>0</v>
      </c>
      <c r="AA126" s="2114">
        <f>D126-'Blocking-Step2'!D126</f>
        <v>0</v>
      </c>
      <c r="AC126" s="2114">
        <f>F126-'Blocking-Step2'!F126</f>
        <v>0</v>
      </c>
      <c r="AE126" s="2114">
        <f>H126-'Blocking-Step2'!H126</f>
        <v>0</v>
      </c>
      <c r="AF126" s="2114">
        <f>I126-'Blocking-Step2'!I126</f>
        <v>0</v>
      </c>
      <c r="AH126" s="2136">
        <f>K126-'Blocking-Step2'!K126</f>
        <v>0</v>
      </c>
      <c r="AJ126" s="2136">
        <f>M126-'Blocking-Step2'!M126</f>
        <v>0</v>
      </c>
      <c r="AL126" s="2136">
        <f>O126-'Blocking-Step2'!O126</f>
        <v>0</v>
      </c>
      <c r="AN126" s="2137">
        <f>Q126-'Blocking-Step2'!Q126</f>
        <v>0</v>
      </c>
      <c r="AP126" s="2127">
        <f>S126-'Blocking-Step2'!S126</f>
        <v>0</v>
      </c>
      <c r="AR126" s="2127">
        <f>U126-'Blocking-Step2'!U126</f>
        <v>0</v>
      </c>
      <c r="AT126" s="2127">
        <f>W126-'Blocking-Step2'!W126</f>
        <v>0</v>
      </c>
      <c r="AV126" s="2128">
        <f>Y126-'Blocking-Step2'!Y126</f>
        <v>0</v>
      </c>
    </row>
    <row r="127" spans="1:48">
      <c r="A127" s="1116" t="s">
        <v>1581</v>
      </c>
      <c r="C127" s="1105">
        <v>0</v>
      </c>
      <c r="D127" s="1105"/>
      <c r="F127" s="1907"/>
      <c r="G127" s="1110"/>
      <c r="H127" s="1146"/>
      <c r="I127" s="1146"/>
      <c r="K127" s="1907"/>
      <c r="L127" s="1110"/>
      <c r="M127" s="1907"/>
      <c r="N127" s="1110"/>
      <c r="O127" s="1907"/>
      <c r="P127" s="1110"/>
      <c r="Q127" s="1907"/>
      <c r="R127" s="1110"/>
      <c r="S127" s="1146"/>
      <c r="T127" s="1629"/>
      <c r="U127" s="1146"/>
      <c r="V127" s="1629"/>
      <c r="W127" s="1146"/>
      <c r="X127" s="1629"/>
      <c r="Y127" s="1146"/>
      <c r="Z127" s="2114">
        <f>C127-'Blocking-Step2'!C127</f>
        <v>0</v>
      </c>
      <c r="AA127" s="2114">
        <f>D127-'Blocking-Step2'!D127</f>
        <v>0</v>
      </c>
      <c r="AC127" s="2114">
        <f>F127-'Blocking-Step2'!F127</f>
        <v>0</v>
      </c>
      <c r="AE127" s="2114">
        <f>H127-'Blocking-Step2'!H127</f>
        <v>0</v>
      </c>
      <c r="AF127" s="2114">
        <f>I127-'Blocking-Step2'!I127</f>
        <v>0</v>
      </c>
      <c r="AH127" s="2136">
        <f>K127-'Blocking-Step2'!K127</f>
        <v>0</v>
      </c>
      <c r="AJ127" s="2136">
        <f>M127-'Blocking-Step2'!M127</f>
        <v>0</v>
      </c>
      <c r="AL127" s="2136">
        <f>O127-'Blocking-Step2'!O127</f>
        <v>0</v>
      </c>
      <c r="AN127" s="2137">
        <f>Q127-'Blocking-Step2'!Q127</f>
        <v>0</v>
      </c>
      <c r="AP127" s="2127">
        <f>S127-'Blocking-Step2'!S127</f>
        <v>0</v>
      </c>
      <c r="AR127" s="2127">
        <f>U127-'Blocking-Step2'!U127</f>
        <v>0</v>
      </c>
      <c r="AT127" s="2127">
        <f>W127-'Blocking-Step2'!W127</f>
        <v>0</v>
      </c>
      <c r="AV127" s="2128">
        <f>Y127-'Blocking-Step2'!Y127</f>
        <v>0</v>
      </c>
    </row>
    <row r="128" spans="1:48">
      <c r="A128" s="1116" t="s">
        <v>1582</v>
      </c>
      <c r="C128" s="1105">
        <v>0</v>
      </c>
      <c r="D128" s="1105"/>
      <c r="F128" s="1907"/>
      <c r="G128" s="1110"/>
      <c r="H128" s="1146"/>
      <c r="I128" s="1146"/>
      <c r="K128" s="1907"/>
      <c r="L128" s="1110"/>
      <c r="M128" s="1907"/>
      <c r="N128" s="1110"/>
      <c r="O128" s="1907"/>
      <c r="P128" s="1110"/>
      <c r="Q128" s="1907"/>
      <c r="R128" s="1110"/>
      <c r="S128" s="1146"/>
      <c r="T128" s="1629"/>
      <c r="U128" s="1146"/>
      <c r="V128" s="1629"/>
      <c r="W128" s="1146"/>
      <c r="X128" s="1629"/>
      <c r="Y128" s="1146"/>
      <c r="Z128" s="2114">
        <f>C128-'Blocking-Step2'!C128</f>
        <v>0</v>
      </c>
      <c r="AA128" s="2114">
        <f>D128-'Blocking-Step2'!D128</f>
        <v>0</v>
      </c>
      <c r="AC128" s="2114">
        <f>F128-'Blocking-Step2'!F128</f>
        <v>0</v>
      </c>
      <c r="AE128" s="2114">
        <f>H128-'Blocking-Step2'!H128</f>
        <v>0</v>
      </c>
      <c r="AF128" s="2114">
        <f>I128-'Blocking-Step2'!I128</f>
        <v>0</v>
      </c>
      <c r="AH128" s="2136">
        <f>K128-'Blocking-Step2'!K128</f>
        <v>0</v>
      </c>
      <c r="AJ128" s="2136">
        <f>M128-'Blocking-Step2'!M128</f>
        <v>0</v>
      </c>
      <c r="AL128" s="2136">
        <f>O128-'Blocking-Step2'!O128</f>
        <v>0</v>
      </c>
      <c r="AN128" s="2137">
        <f>Q128-'Blocking-Step2'!Q128</f>
        <v>0</v>
      </c>
      <c r="AP128" s="2127">
        <f>S128-'Blocking-Step2'!S128</f>
        <v>0</v>
      </c>
      <c r="AR128" s="2127">
        <f>U128-'Blocking-Step2'!U128</f>
        <v>0</v>
      </c>
      <c r="AT128" s="2127">
        <f>W128-'Blocking-Step2'!W128</f>
        <v>0</v>
      </c>
      <c r="AV128" s="2128">
        <f>Y128-'Blocking-Step2'!Y128</f>
        <v>0</v>
      </c>
    </row>
    <row r="129" spans="1:48">
      <c r="A129" s="1116" t="s">
        <v>245</v>
      </c>
      <c r="C129" s="1105">
        <v>0</v>
      </c>
      <c r="D129" s="1105">
        <v>0</v>
      </c>
      <c r="F129" s="1907">
        <v>96</v>
      </c>
      <c r="G129" s="1110"/>
      <c r="H129" s="1146">
        <v>0</v>
      </c>
      <c r="I129" s="1146">
        <v>0</v>
      </c>
      <c r="K129" s="1907"/>
      <c r="L129" s="1110"/>
      <c r="M129" s="1907"/>
      <c r="N129" s="1110"/>
      <c r="O129" s="1907"/>
      <c r="P129" s="1110"/>
      <c r="Q129" s="1907"/>
      <c r="R129" s="1110"/>
      <c r="S129" s="1146"/>
      <c r="T129" s="1629"/>
      <c r="U129" s="1146"/>
      <c r="V129" s="1629"/>
      <c r="W129" s="1146"/>
      <c r="X129" s="1629"/>
      <c r="Y129" s="1146"/>
      <c r="Z129" s="2114">
        <f>C129-'Blocking-Step2'!C129</f>
        <v>0</v>
      </c>
      <c r="AA129" s="2114">
        <f>D129-'Blocking-Step2'!D129</f>
        <v>0</v>
      </c>
      <c r="AC129" s="2114">
        <f>F129-'Blocking-Step2'!F129</f>
        <v>0</v>
      </c>
      <c r="AE129" s="2114">
        <f>H129-'Blocking-Step2'!H129</f>
        <v>0</v>
      </c>
      <c r="AF129" s="2114">
        <f>I129-'Blocking-Step2'!I129</f>
        <v>0</v>
      </c>
      <c r="AH129" s="2136">
        <f>K129-'Blocking-Step2'!K129</f>
        <v>0</v>
      </c>
      <c r="AJ129" s="2136">
        <f>M129-'Blocking-Step2'!M129</f>
        <v>0</v>
      </c>
      <c r="AL129" s="2136">
        <f>O129-'Blocking-Step2'!O129</f>
        <v>0</v>
      </c>
      <c r="AN129" s="2137">
        <f>Q129-'Blocking-Step2'!Q129</f>
        <v>0</v>
      </c>
      <c r="AP129" s="2127">
        <f>S129-'Blocking-Step2'!S129</f>
        <v>0</v>
      </c>
      <c r="AR129" s="2127">
        <f>U129-'Blocking-Step2'!U129</f>
        <v>0</v>
      </c>
      <c r="AT129" s="2127">
        <f>W129-'Blocking-Step2'!W129</f>
        <v>0</v>
      </c>
      <c r="AV129" s="2128">
        <f>Y129-'Blocking-Step2'!Y129</f>
        <v>0</v>
      </c>
    </row>
    <row r="130" spans="1:48">
      <c r="A130" s="1116" t="s">
        <v>1532</v>
      </c>
      <c r="C130" s="1105">
        <v>5837.0523614864096</v>
      </c>
      <c r="D130" s="1105">
        <v>5354</v>
      </c>
      <c r="F130" s="1922">
        <v>4.3559999999999999</v>
      </c>
      <c r="G130" s="1921" t="s">
        <v>495</v>
      </c>
      <c r="H130" s="1146"/>
      <c r="I130" s="1146"/>
      <c r="K130" s="1922">
        <v>0</v>
      </c>
      <c r="L130" s="1921" t="s">
        <v>495</v>
      </c>
      <c r="M130" s="1922">
        <v>0</v>
      </c>
      <c r="N130" s="1921" t="s">
        <v>495</v>
      </c>
      <c r="O130" s="1922">
        <v>4.3559999999999999</v>
      </c>
      <c r="P130" s="1921" t="s">
        <v>495</v>
      </c>
      <c r="Q130" s="1922">
        <v>4.3559999999999999</v>
      </c>
      <c r="R130" s="1921" t="s">
        <v>495</v>
      </c>
      <c r="S130" s="1146">
        <v>0</v>
      </c>
      <c r="T130" s="1656"/>
      <c r="U130" s="1146">
        <v>0</v>
      </c>
      <c r="V130" s="1656"/>
      <c r="W130" s="1146">
        <v>233</v>
      </c>
      <c r="X130" s="1648"/>
      <c r="Y130" s="1146">
        <v>233</v>
      </c>
      <c r="Z130" s="2114">
        <f>C130-'Blocking-Step2'!C130</f>
        <v>0</v>
      </c>
      <c r="AA130" s="2114">
        <f>D130-'Blocking-Step2'!D130</f>
        <v>0</v>
      </c>
      <c r="AC130" s="2114">
        <f>F130-'Blocking-Step2'!F130</f>
        <v>0</v>
      </c>
      <c r="AE130" s="2114">
        <f>H130-'Blocking-Step2'!H130</f>
        <v>0</v>
      </c>
      <c r="AF130" s="2114">
        <f>I130-'Blocking-Step2'!I130</f>
        <v>0</v>
      </c>
      <c r="AH130" s="2136">
        <f>K130-'Blocking-Step2'!K130</f>
        <v>0</v>
      </c>
      <c r="AJ130" s="2136">
        <f>M130-'Blocking-Step2'!M130</f>
        <v>0</v>
      </c>
      <c r="AL130" s="2136">
        <f>O130-'Blocking-Step2'!O130</f>
        <v>0</v>
      </c>
      <c r="AN130" s="2137">
        <f>Q130-'Blocking-Step2'!Q130</f>
        <v>0</v>
      </c>
      <c r="AP130" s="2127">
        <f>S130-'Blocking-Step2'!S130</f>
        <v>0</v>
      </c>
      <c r="AR130" s="2127">
        <f>U130-'Blocking-Step2'!U130</f>
        <v>0</v>
      </c>
      <c r="AT130" s="2127">
        <f>W130-'Blocking-Step2'!W130</f>
        <v>0</v>
      </c>
      <c r="AV130" s="2128">
        <f>Y130-'Blocking-Step2'!Y130</f>
        <v>0</v>
      </c>
    </row>
    <row r="131" spans="1:48">
      <c r="A131" s="1116" t="s">
        <v>1533</v>
      </c>
      <c r="C131" s="1105">
        <v>17041.938258663642</v>
      </c>
      <c r="D131" s="1105">
        <v>15633</v>
      </c>
      <c r="F131" s="1922">
        <v>-1.6334</v>
      </c>
      <c r="G131" s="1921" t="s">
        <v>495</v>
      </c>
      <c r="H131" s="1146"/>
      <c r="I131" s="1146"/>
      <c r="K131" s="1922">
        <v>0</v>
      </c>
      <c r="L131" s="1921" t="s">
        <v>495</v>
      </c>
      <c r="M131" s="1922">
        <v>0</v>
      </c>
      <c r="N131" s="1921" t="s">
        <v>495</v>
      </c>
      <c r="O131" s="1922">
        <v>-1.6334</v>
      </c>
      <c r="P131" s="1921" t="s">
        <v>495</v>
      </c>
      <c r="Q131" s="1922">
        <v>-1.6334</v>
      </c>
      <c r="R131" s="1921" t="s">
        <v>495</v>
      </c>
      <c r="S131" s="1146">
        <v>0</v>
      </c>
      <c r="T131" s="1656"/>
      <c r="U131" s="1146">
        <v>0</v>
      </c>
      <c r="V131" s="1656"/>
      <c r="W131" s="1146">
        <v>-255</v>
      </c>
      <c r="X131" s="1648"/>
      <c r="Y131" s="1146">
        <v>-255</v>
      </c>
      <c r="Z131" s="2114">
        <f>C131-'Blocking-Step2'!C131</f>
        <v>0</v>
      </c>
      <c r="AA131" s="2114">
        <f>D131-'Blocking-Step2'!D131</f>
        <v>0</v>
      </c>
      <c r="AC131" s="2114">
        <f>F131-'Blocking-Step2'!F131</f>
        <v>0</v>
      </c>
      <c r="AE131" s="2114">
        <f>H131-'Blocking-Step2'!H131</f>
        <v>0</v>
      </c>
      <c r="AF131" s="2114">
        <f>I131-'Blocking-Step2'!I131</f>
        <v>0</v>
      </c>
      <c r="AH131" s="2136">
        <f>K131-'Blocking-Step2'!K131</f>
        <v>0</v>
      </c>
      <c r="AJ131" s="2136">
        <f>M131-'Blocking-Step2'!M131</f>
        <v>0</v>
      </c>
      <c r="AL131" s="2136">
        <f>O131-'Blocking-Step2'!O131</f>
        <v>0</v>
      </c>
      <c r="AN131" s="2137">
        <f>Q131-'Blocking-Step2'!Q131</f>
        <v>0</v>
      </c>
      <c r="AP131" s="2127">
        <f>S131-'Blocking-Step2'!S131</f>
        <v>0</v>
      </c>
      <c r="AR131" s="2127">
        <f>U131-'Blocking-Step2'!U131</f>
        <v>0</v>
      </c>
      <c r="AT131" s="2127">
        <f>W131-'Blocking-Step2'!W131</f>
        <v>0</v>
      </c>
      <c r="AV131" s="2128">
        <f>Y131-'Blocking-Step2'!Y131</f>
        <v>0</v>
      </c>
    </row>
    <row r="132" spans="1:48">
      <c r="A132" s="1116" t="s">
        <v>1534</v>
      </c>
      <c r="C132" s="1024">
        <v>28763017.41983372</v>
      </c>
      <c r="D132" s="1105">
        <v>26384767.707057878</v>
      </c>
      <c r="F132" s="1927">
        <v>8.8498000000000001</v>
      </c>
      <c r="G132" s="1921" t="s">
        <v>495</v>
      </c>
      <c r="H132" s="1146"/>
      <c r="I132" s="1146"/>
      <c r="K132" s="1922">
        <v>2.7378999999999998</v>
      </c>
      <c r="L132" s="1921" t="s">
        <v>495</v>
      </c>
      <c r="M132" s="1922">
        <v>5.3996000000000004</v>
      </c>
      <c r="N132" s="1921" t="s">
        <v>495</v>
      </c>
      <c r="O132" s="1922">
        <v>1.3648728754966735</v>
      </c>
      <c r="P132" s="1921" t="s">
        <v>495</v>
      </c>
      <c r="Q132" s="1922">
        <v>9.5023728754966736</v>
      </c>
      <c r="R132" s="1921" t="s">
        <v>495</v>
      </c>
      <c r="S132" s="1146">
        <v>722389</v>
      </c>
      <c r="T132" s="1656"/>
      <c r="U132" s="1146">
        <v>1424672</v>
      </c>
      <c r="V132" s="1656"/>
      <c r="W132" s="1146">
        <v>360119</v>
      </c>
      <c r="X132" s="1648"/>
      <c r="Y132" s="1146">
        <v>2507179</v>
      </c>
      <c r="Z132" s="2114">
        <f>C132-'Blocking-Step2'!C132</f>
        <v>0</v>
      </c>
      <c r="AA132" s="2114">
        <f>D132-'Blocking-Step2'!D132</f>
        <v>0</v>
      </c>
      <c r="AC132" s="2114">
        <f>F132-'Blocking-Step2'!F132</f>
        <v>0</v>
      </c>
      <c r="AE132" s="2114">
        <f>H132-'Blocking-Step2'!H132</f>
        <v>0</v>
      </c>
      <c r="AF132" s="2114">
        <f>I132-'Blocking-Step2'!I132</f>
        <v>0</v>
      </c>
      <c r="AH132" s="2136">
        <f>K132-'Blocking-Step2'!K132</f>
        <v>-1.6915000000000004</v>
      </c>
      <c r="AJ132" s="2136">
        <f>M132-'Blocking-Step2'!M132</f>
        <v>1.6955000000000005</v>
      </c>
      <c r="AL132" s="2136">
        <f>O132-'Blocking-Step2'!O132</f>
        <v>2.8657465324455345E-4</v>
      </c>
      <c r="AN132" s="2137">
        <f>Q132-'Blocking-Step2'!Q132</f>
        <v>4.286574653244557E-3</v>
      </c>
      <c r="AP132" s="2127">
        <f>S132-'Blocking-Step2'!S132</f>
        <v>-446298</v>
      </c>
      <c r="AR132" s="2127">
        <f>U132-'Blocking-Step2'!U132</f>
        <v>447354</v>
      </c>
      <c r="AT132" s="2127">
        <f>W132-'Blocking-Step2'!W132</f>
        <v>76</v>
      </c>
      <c r="AV132" s="2128">
        <f>Y132-'Blocking-Step2'!Y132</f>
        <v>1131</v>
      </c>
    </row>
    <row r="133" spans="1:48">
      <c r="A133" s="1116" t="s">
        <v>1535</v>
      </c>
      <c r="C133" s="1024">
        <v>19367224.039969891</v>
      </c>
      <c r="D133" s="1105">
        <v>17765859</v>
      </c>
      <c r="F133" s="1927">
        <v>11.542899999999999</v>
      </c>
      <c r="G133" s="1921" t="s">
        <v>495</v>
      </c>
      <c r="H133" s="1146"/>
      <c r="I133" s="1146"/>
      <c r="K133" s="1922">
        <v>2.7378999999999998</v>
      </c>
      <c r="L133" s="1921" t="s">
        <v>495</v>
      </c>
      <c r="M133" s="1922">
        <v>5.3996000000000004</v>
      </c>
      <c r="N133" s="1921" t="s">
        <v>495</v>
      </c>
      <c r="O133" s="1922">
        <v>4.0579728754966728</v>
      </c>
      <c r="P133" s="1921" t="s">
        <v>495</v>
      </c>
      <c r="Q133" s="1922">
        <v>12.195472875496673</v>
      </c>
      <c r="R133" s="1921" t="s">
        <v>495</v>
      </c>
      <c r="S133" s="1146">
        <v>486411</v>
      </c>
      <c r="T133" s="1656"/>
      <c r="U133" s="1146">
        <v>959285</v>
      </c>
      <c r="V133" s="1656"/>
      <c r="W133" s="1146">
        <v>720934</v>
      </c>
      <c r="X133" s="1648"/>
      <c r="Y133" s="1146">
        <v>2166631</v>
      </c>
      <c r="Z133" s="2114">
        <f>C133-'Blocking-Step2'!C133</f>
        <v>0</v>
      </c>
      <c r="AA133" s="2114">
        <f>D133-'Blocking-Step2'!D133</f>
        <v>0</v>
      </c>
      <c r="AC133" s="2114">
        <f>F133-'Blocking-Step2'!F133</f>
        <v>0</v>
      </c>
      <c r="AE133" s="2114">
        <f>H133-'Blocking-Step2'!H133</f>
        <v>0</v>
      </c>
      <c r="AF133" s="2114">
        <f>I133-'Blocking-Step2'!I133</f>
        <v>0</v>
      </c>
      <c r="AH133" s="2136">
        <f>K133-'Blocking-Step2'!K133</f>
        <v>-1.6915000000000004</v>
      </c>
      <c r="AJ133" s="2136">
        <f>M133-'Blocking-Step2'!M133</f>
        <v>1.6955000000000005</v>
      </c>
      <c r="AL133" s="2136">
        <f>O133-'Blocking-Step2'!O133</f>
        <v>2.8657465324410936E-4</v>
      </c>
      <c r="AN133" s="2137">
        <f>Q133-'Blocking-Step2'!Q133</f>
        <v>4.286574653244557E-3</v>
      </c>
      <c r="AP133" s="2127">
        <f>S133-'Blocking-Step2'!S133</f>
        <v>-300510</v>
      </c>
      <c r="AR133" s="2127">
        <f>U133-'Blocking-Step2'!U133</f>
        <v>301220</v>
      </c>
      <c r="AT133" s="2127">
        <f>W133-'Blocking-Step2'!W133</f>
        <v>51</v>
      </c>
      <c r="AV133" s="2128">
        <f>Y133-'Blocking-Step2'!Y133</f>
        <v>762</v>
      </c>
    </row>
    <row r="134" spans="1:48">
      <c r="A134" s="1116" t="s">
        <v>1536</v>
      </c>
      <c r="C134" s="1024">
        <v>6179565.4760957351</v>
      </c>
      <c r="D134" s="1105">
        <v>5668613</v>
      </c>
      <c r="F134" s="1927">
        <v>14.450799999999999</v>
      </c>
      <c r="G134" s="1921" t="s">
        <v>495</v>
      </c>
      <c r="H134" s="1146"/>
      <c r="I134" s="1146"/>
      <c r="K134" s="1922">
        <v>2.7378999999999998</v>
      </c>
      <c r="L134" s="1921" t="s">
        <v>495</v>
      </c>
      <c r="M134" s="1922">
        <v>5.3996000000000004</v>
      </c>
      <c r="N134" s="1921" t="s">
        <v>495</v>
      </c>
      <c r="O134" s="1922">
        <v>4.0579728754966728</v>
      </c>
      <c r="P134" s="1921" t="s">
        <v>495</v>
      </c>
      <c r="Q134" s="1922">
        <v>12.195472875496673</v>
      </c>
      <c r="R134" s="1921" t="s">
        <v>495</v>
      </c>
      <c r="S134" s="1146">
        <v>155201</v>
      </c>
      <c r="T134" s="1656"/>
      <c r="U134" s="1146">
        <v>306082</v>
      </c>
      <c r="V134" s="1656"/>
      <c r="W134" s="1146">
        <v>230031</v>
      </c>
      <c r="X134" s="1648"/>
      <c r="Y134" s="1146">
        <v>691314</v>
      </c>
      <c r="Z134" s="2114">
        <f>C134-'Blocking-Step2'!C134</f>
        <v>0</v>
      </c>
      <c r="AA134" s="2114">
        <f>D134-'Blocking-Step2'!D134</f>
        <v>0</v>
      </c>
      <c r="AC134" s="2114">
        <f>F134-'Blocking-Step2'!F134</f>
        <v>0</v>
      </c>
      <c r="AE134" s="2114">
        <f>H134-'Blocking-Step2'!H134</f>
        <v>0</v>
      </c>
      <c r="AF134" s="2114">
        <f>I134-'Blocking-Step2'!I134</f>
        <v>0</v>
      </c>
      <c r="AH134" s="2136">
        <f>K134-'Blocking-Step2'!K134</f>
        <v>-1.6915000000000004</v>
      </c>
      <c r="AJ134" s="2136">
        <f>M134-'Blocking-Step2'!M134</f>
        <v>1.6955000000000005</v>
      </c>
      <c r="AL134" s="2136">
        <f>O134-'Blocking-Step2'!O134</f>
        <v>2.8657465324410936E-4</v>
      </c>
      <c r="AN134" s="2137">
        <f>Q134-'Blocking-Step2'!Q134</f>
        <v>4.286574653244557E-3</v>
      </c>
      <c r="AP134" s="2127">
        <f>S134-'Blocking-Step2'!S134</f>
        <v>-95885</v>
      </c>
      <c r="AR134" s="2127">
        <f>U134-'Blocking-Step2'!U134</f>
        <v>96111</v>
      </c>
      <c r="AT134" s="2127">
        <f>W134-'Blocking-Step2'!W134</f>
        <v>16</v>
      </c>
      <c r="AV134" s="2128">
        <f>Y134-'Blocking-Step2'!Y134</f>
        <v>243</v>
      </c>
    </row>
    <row r="135" spans="1:48">
      <c r="A135" s="1116" t="s">
        <v>1537</v>
      </c>
      <c r="B135" s="1928"/>
      <c r="C135" s="1024">
        <v>59180887.474665888</v>
      </c>
      <c r="D135" s="1105">
        <v>51185664</v>
      </c>
      <c r="E135" s="804"/>
      <c r="F135" s="1927">
        <v>8.8498000000000001</v>
      </c>
      <c r="G135" s="1921" t="s">
        <v>495</v>
      </c>
      <c r="H135" s="1146"/>
      <c r="I135" s="1146"/>
      <c r="J135" s="804"/>
      <c r="K135" s="1922">
        <v>2.7378999999999998</v>
      </c>
      <c r="L135" s="1921" t="s">
        <v>495</v>
      </c>
      <c r="M135" s="1922">
        <v>5.3996000000000004</v>
      </c>
      <c r="N135" s="1921" t="s">
        <v>495</v>
      </c>
      <c r="O135" s="1922">
        <v>0.27167953583799953</v>
      </c>
      <c r="P135" s="1921" t="s">
        <v>495</v>
      </c>
      <c r="Q135" s="1922">
        <v>8.4091795358379997</v>
      </c>
      <c r="R135" s="1921" t="s">
        <v>495</v>
      </c>
      <c r="S135" s="1146">
        <v>1401412</v>
      </c>
      <c r="T135" s="1656"/>
      <c r="U135" s="1146">
        <v>2763821</v>
      </c>
      <c r="V135" s="1656"/>
      <c r="W135" s="1146">
        <v>139061</v>
      </c>
      <c r="X135" s="1648"/>
      <c r="Y135" s="1146">
        <v>4304294</v>
      </c>
      <c r="Z135" s="2114">
        <f>C135-'Blocking-Step2'!C135</f>
        <v>0</v>
      </c>
      <c r="AA135" s="2114">
        <f>D135-'Blocking-Step2'!D135</f>
        <v>0</v>
      </c>
      <c r="AC135" s="2114">
        <f>F135-'Blocking-Step2'!F135</f>
        <v>0</v>
      </c>
      <c r="AE135" s="2114">
        <f>H135-'Blocking-Step2'!H135</f>
        <v>0</v>
      </c>
      <c r="AF135" s="2114">
        <f>I135-'Blocking-Step2'!I135</f>
        <v>0</v>
      </c>
      <c r="AH135" s="2136">
        <f>K135-'Blocking-Step2'!K135</f>
        <v>-1.6915000000000004</v>
      </c>
      <c r="AJ135" s="2136">
        <f>M135-'Blocking-Step2'!M135</f>
        <v>1.6955000000000005</v>
      </c>
      <c r="AL135" s="2136">
        <f>O135-'Blocking-Step2'!O135</f>
        <v>-2.0657110300037473E-4</v>
      </c>
      <c r="AN135" s="2137">
        <f>Q135-'Blocking-Step2'!Q135</f>
        <v>3.7934288969996288E-3</v>
      </c>
      <c r="AP135" s="2127">
        <f>S135-'Blocking-Step2'!S135</f>
        <v>-865806</v>
      </c>
      <c r="AR135" s="2127">
        <f>U135-'Blocking-Step2'!U135</f>
        <v>867853</v>
      </c>
      <c r="AT135" s="2127">
        <f>W135-'Blocking-Step2'!W135</f>
        <v>-106</v>
      </c>
      <c r="AV135" s="2128">
        <f>Y135-'Blocking-Step2'!Y135</f>
        <v>1941</v>
      </c>
    </row>
    <row r="136" spans="1:48">
      <c r="A136" s="1116" t="s">
        <v>1538</v>
      </c>
      <c r="B136" s="1928"/>
      <c r="C136" s="1024">
        <v>38135258.461581476</v>
      </c>
      <c r="D136" s="1105">
        <v>32983258</v>
      </c>
      <c r="E136" s="804"/>
      <c r="F136" s="1927">
        <v>10.7072</v>
      </c>
      <c r="G136" s="1921" t="s">
        <v>495</v>
      </c>
      <c r="H136" s="1146"/>
      <c r="I136" s="1146"/>
      <c r="J136" s="804"/>
      <c r="K136" s="1922">
        <v>2.7378999999999998</v>
      </c>
      <c r="L136" s="1921" t="s">
        <v>495</v>
      </c>
      <c r="M136" s="1922">
        <v>5.3996000000000004</v>
      </c>
      <c r="N136" s="1921" t="s">
        <v>495</v>
      </c>
      <c r="O136" s="1922">
        <v>2.6549538721209993</v>
      </c>
      <c r="P136" s="1921" t="s">
        <v>495</v>
      </c>
      <c r="Q136" s="1922">
        <v>10.792453872120999</v>
      </c>
      <c r="R136" s="1921" t="s">
        <v>495</v>
      </c>
      <c r="S136" s="1146">
        <v>903049</v>
      </c>
      <c r="T136" s="1656"/>
      <c r="U136" s="1146">
        <v>1780964</v>
      </c>
      <c r="V136" s="1656"/>
      <c r="W136" s="1146">
        <v>875690</v>
      </c>
      <c r="X136" s="1648"/>
      <c r="Y136" s="1146">
        <v>3559703</v>
      </c>
      <c r="Z136" s="2114">
        <f>C136-'Blocking-Step2'!C136</f>
        <v>0</v>
      </c>
      <c r="AA136" s="2114">
        <f>D136-'Blocking-Step2'!D136</f>
        <v>0</v>
      </c>
      <c r="AC136" s="2114">
        <f>F136-'Blocking-Step2'!F136</f>
        <v>0</v>
      </c>
      <c r="AE136" s="2114">
        <f>H136-'Blocking-Step2'!H136</f>
        <v>0</v>
      </c>
      <c r="AF136" s="2114">
        <f>I136-'Blocking-Step2'!I136</f>
        <v>0</v>
      </c>
      <c r="AH136" s="2136">
        <f>K136-'Blocking-Step2'!K136</f>
        <v>-1.6915000000000004</v>
      </c>
      <c r="AJ136" s="2136">
        <f>M136-'Blocking-Step2'!M136</f>
        <v>1.6955000000000005</v>
      </c>
      <c r="AL136" s="2136">
        <f>O136-'Blocking-Step2'!O136</f>
        <v>-2.0657110300037473E-4</v>
      </c>
      <c r="AN136" s="2137">
        <f>Q136-'Blocking-Step2'!Q136</f>
        <v>3.7934288969996288E-3</v>
      </c>
      <c r="AP136" s="2127">
        <f>S136-'Blocking-Step2'!S136</f>
        <v>-557911</v>
      </c>
      <c r="AR136" s="2127">
        <f>U136-'Blocking-Step2'!U136</f>
        <v>559231</v>
      </c>
      <c r="AT136" s="2127">
        <f>W136-'Blocking-Step2'!W136</f>
        <v>-68</v>
      </c>
      <c r="AV136" s="2128">
        <f>Y136-'Blocking-Step2'!Y136</f>
        <v>1251</v>
      </c>
    </row>
    <row r="137" spans="1:48">
      <c r="A137" s="1116" t="s">
        <v>188</v>
      </c>
      <c r="C137" s="1105">
        <v>7500</v>
      </c>
      <c r="D137" s="1105">
        <v>6768</v>
      </c>
      <c r="F137" s="1922">
        <v>4.3559999999999999</v>
      </c>
      <c r="G137" s="1921" t="s">
        <v>495</v>
      </c>
      <c r="H137" s="1146">
        <v>327</v>
      </c>
      <c r="I137" s="1146">
        <v>295</v>
      </c>
      <c r="K137" s="1922"/>
      <c r="L137" s="1921"/>
      <c r="M137" s="1922"/>
      <c r="N137" s="1921"/>
      <c r="O137" s="1922"/>
      <c r="P137" s="1921"/>
      <c r="Q137" s="1922"/>
      <c r="R137" s="1921"/>
      <c r="S137" s="1146"/>
      <c r="T137" s="1648"/>
      <c r="U137" s="1146"/>
      <c r="V137" s="1648"/>
      <c r="W137" s="1146"/>
      <c r="X137" s="1648"/>
      <c r="Y137" s="1146"/>
      <c r="Z137" s="2114">
        <f>C137-'Blocking-Step2'!C137</f>
        <v>0</v>
      </c>
      <c r="AA137" s="2114">
        <f>D137-'Blocking-Step2'!D137</f>
        <v>0</v>
      </c>
      <c r="AC137" s="2114">
        <f>F137-'Blocking-Step2'!F137</f>
        <v>0</v>
      </c>
      <c r="AE137" s="2114">
        <f>H137-'Blocking-Step2'!H137</f>
        <v>0</v>
      </c>
      <c r="AF137" s="2114">
        <f>I137-'Blocking-Step2'!I137</f>
        <v>0</v>
      </c>
      <c r="AH137" s="2136">
        <f>K137-'Blocking-Step2'!K137</f>
        <v>0</v>
      </c>
      <c r="AJ137" s="2136">
        <f>M137-'Blocking-Step2'!M137</f>
        <v>0</v>
      </c>
      <c r="AL137" s="2136">
        <f>O137-'Blocking-Step2'!O137</f>
        <v>0</v>
      </c>
      <c r="AN137" s="2137">
        <f>Q137-'Blocking-Step2'!Q137</f>
        <v>0</v>
      </c>
      <c r="AP137" s="2127">
        <f>S137-'Blocking-Step2'!S137</f>
        <v>0</v>
      </c>
      <c r="AR137" s="2127">
        <f>U137-'Blocking-Step2'!U137</f>
        <v>0</v>
      </c>
      <c r="AT137" s="2127">
        <f>W137-'Blocking-Step2'!W137</f>
        <v>0</v>
      </c>
      <c r="AV137" s="2128">
        <f>Y137-'Blocking-Step2'!Y137</f>
        <v>0</v>
      </c>
    </row>
    <row r="138" spans="1:48">
      <c r="A138" s="1116" t="s">
        <v>189</v>
      </c>
      <c r="C138" s="1105">
        <v>23518</v>
      </c>
      <c r="D138" s="1105">
        <v>21221</v>
      </c>
      <c r="F138" s="1922">
        <v>-1.6334</v>
      </c>
      <c r="G138" s="1921" t="s">
        <v>495</v>
      </c>
      <c r="H138" s="1146">
        <v>-384</v>
      </c>
      <c r="I138" s="1146">
        <v>-347</v>
      </c>
      <c r="K138" s="1922"/>
      <c r="L138" s="1921"/>
      <c r="M138" s="1922"/>
      <c r="N138" s="1921"/>
      <c r="O138" s="1922"/>
      <c r="P138" s="1921"/>
      <c r="Q138" s="1922"/>
      <c r="R138" s="1921"/>
      <c r="S138" s="1146"/>
      <c r="T138" s="1648"/>
      <c r="U138" s="1146"/>
      <c r="V138" s="1648"/>
      <c r="W138" s="1146"/>
      <c r="X138" s="1648"/>
      <c r="Y138" s="1146"/>
      <c r="Z138" s="2114">
        <f>C138-'Blocking-Step2'!C138</f>
        <v>0</v>
      </c>
      <c r="AA138" s="2114">
        <f>D138-'Blocking-Step2'!D138</f>
        <v>0</v>
      </c>
      <c r="AC138" s="2114">
        <f>F138-'Blocking-Step2'!F138</f>
        <v>0</v>
      </c>
      <c r="AE138" s="2114">
        <f>H138-'Blocking-Step2'!H138</f>
        <v>0</v>
      </c>
      <c r="AF138" s="2114">
        <f>I138-'Blocking-Step2'!I138</f>
        <v>0</v>
      </c>
      <c r="AH138" s="2136">
        <f>K138-'Blocking-Step2'!K138</f>
        <v>0</v>
      </c>
      <c r="AJ138" s="2136">
        <f>M138-'Blocking-Step2'!M138</f>
        <v>0</v>
      </c>
      <c r="AL138" s="2136">
        <f>O138-'Blocking-Step2'!O138</f>
        <v>0</v>
      </c>
      <c r="AN138" s="2137">
        <f>Q138-'Blocking-Step2'!Q138</f>
        <v>0</v>
      </c>
      <c r="AP138" s="2127">
        <f>S138-'Blocking-Step2'!S138</f>
        <v>0</v>
      </c>
      <c r="AR138" s="2127">
        <f>U138-'Blocking-Step2'!U138</f>
        <v>0</v>
      </c>
      <c r="AT138" s="2127">
        <f>W138-'Blocking-Step2'!W138</f>
        <v>0</v>
      </c>
      <c r="AV138" s="2128">
        <f>Y138-'Blocking-Step2'!Y138</f>
        <v>0</v>
      </c>
    </row>
    <row r="139" spans="1:48">
      <c r="A139" s="1116" t="s">
        <v>241</v>
      </c>
      <c r="C139" s="1024">
        <v>36997193</v>
      </c>
      <c r="D139" s="1105">
        <v>33384446.707057878</v>
      </c>
      <c r="F139" s="1927">
        <v>8.8498000000000001</v>
      </c>
      <c r="G139" s="1921" t="s">
        <v>495</v>
      </c>
      <c r="H139" s="1146">
        <v>3274178</v>
      </c>
      <c r="I139" s="1146">
        <v>2954457</v>
      </c>
      <c r="K139" s="1927"/>
      <c r="L139" s="1921"/>
      <c r="M139" s="1927"/>
      <c r="N139" s="1921"/>
      <c r="O139" s="1927"/>
      <c r="P139" s="1921"/>
      <c r="Q139" s="1927"/>
      <c r="R139" s="1921"/>
      <c r="S139" s="1146"/>
      <c r="T139" s="1648"/>
      <c r="U139" s="1146"/>
      <c r="V139" s="1648"/>
      <c r="W139" s="1146"/>
      <c r="X139" s="1648"/>
      <c r="Y139" s="1146"/>
      <c r="Z139" s="2114">
        <f>C139-'Blocking-Step2'!C139</f>
        <v>0</v>
      </c>
      <c r="AA139" s="2114">
        <f>D139-'Blocking-Step2'!D139</f>
        <v>0</v>
      </c>
      <c r="AC139" s="2114">
        <f>F139-'Blocking-Step2'!F139</f>
        <v>0</v>
      </c>
      <c r="AE139" s="2114">
        <f>H139-'Blocking-Step2'!H139</f>
        <v>0</v>
      </c>
      <c r="AF139" s="2114">
        <f>I139-'Blocking-Step2'!I139</f>
        <v>0</v>
      </c>
      <c r="AH139" s="2136">
        <f>K139-'Blocking-Step2'!K139</f>
        <v>0</v>
      </c>
      <c r="AJ139" s="2136">
        <f>M139-'Blocking-Step2'!M139</f>
        <v>0</v>
      </c>
      <c r="AL139" s="2136">
        <f>O139-'Blocking-Step2'!O139</f>
        <v>0</v>
      </c>
      <c r="AN139" s="2137">
        <f>Q139-'Blocking-Step2'!Q139</f>
        <v>0</v>
      </c>
      <c r="AP139" s="2127">
        <f>S139-'Blocking-Step2'!S139</f>
        <v>0</v>
      </c>
      <c r="AR139" s="2127">
        <f>U139-'Blocking-Step2'!U139</f>
        <v>0</v>
      </c>
      <c r="AT139" s="2127">
        <f>W139-'Blocking-Step2'!W139</f>
        <v>0</v>
      </c>
      <c r="AV139" s="2128">
        <f>Y139-'Blocking-Step2'!Y139</f>
        <v>0</v>
      </c>
    </row>
    <row r="140" spans="1:48">
      <c r="A140" s="1116" t="s">
        <v>242</v>
      </c>
      <c r="C140" s="1024">
        <v>22403580</v>
      </c>
      <c r="D140" s="1105">
        <v>20215888</v>
      </c>
      <c r="F140" s="1927">
        <v>11.542899999999999</v>
      </c>
      <c r="G140" s="1921" t="s">
        <v>495</v>
      </c>
      <c r="H140" s="1146">
        <v>2586023</v>
      </c>
      <c r="I140" s="1146">
        <v>2333500</v>
      </c>
      <c r="K140" s="1927"/>
      <c r="L140" s="1921"/>
      <c r="M140" s="1927"/>
      <c r="N140" s="1921"/>
      <c r="O140" s="1927"/>
      <c r="P140" s="1921"/>
      <c r="Q140" s="1927"/>
      <c r="R140" s="1921"/>
      <c r="S140" s="1146"/>
      <c r="T140" s="1648"/>
      <c r="U140" s="1146"/>
      <c r="V140" s="1648"/>
      <c r="W140" s="1146"/>
      <c r="X140" s="1648"/>
      <c r="Y140" s="1146"/>
      <c r="Z140" s="2114">
        <f>C140-'Blocking-Step2'!C140</f>
        <v>0</v>
      </c>
      <c r="AA140" s="2114">
        <f>D140-'Blocking-Step2'!D140</f>
        <v>0</v>
      </c>
      <c r="AC140" s="2114">
        <f>F140-'Blocking-Step2'!F140</f>
        <v>0</v>
      </c>
      <c r="AE140" s="2114">
        <f>H140-'Blocking-Step2'!H140</f>
        <v>0</v>
      </c>
      <c r="AF140" s="2114">
        <f>I140-'Blocking-Step2'!I140</f>
        <v>0</v>
      </c>
      <c r="AH140" s="2136">
        <f>K140-'Blocking-Step2'!K140</f>
        <v>0</v>
      </c>
      <c r="AJ140" s="2136">
        <f>M140-'Blocking-Step2'!M140</f>
        <v>0</v>
      </c>
      <c r="AL140" s="2136">
        <f>O140-'Blocking-Step2'!O140</f>
        <v>0</v>
      </c>
      <c r="AN140" s="2137">
        <f>Q140-'Blocking-Step2'!Q140</f>
        <v>0</v>
      </c>
      <c r="AP140" s="2127">
        <f>S140-'Blocking-Step2'!S140</f>
        <v>0</v>
      </c>
      <c r="AR140" s="2127">
        <f>U140-'Blocking-Step2'!U140</f>
        <v>0</v>
      </c>
      <c r="AT140" s="2127">
        <f>W140-'Blocking-Step2'!W140</f>
        <v>0</v>
      </c>
      <c r="AV140" s="2128">
        <f>Y140-'Blocking-Step2'!Y140</f>
        <v>0</v>
      </c>
    </row>
    <row r="141" spans="1:48">
      <c r="A141" s="1116" t="s">
        <v>94</v>
      </c>
      <c r="C141" s="1024">
        <v>6569711.578529302</v>
      </c>
      <c r="D141" s="1105">
        <v>5928185</v>
      </c>
      <c r="F141" s="1927">
        <v>14.450799999999999</v>
      </c>
      <c r="G141" s="1921" t="s">
        <v>495</v>
      </c>
      <c r="H141" s="1146">
        <v>949376</v>
      </c>
      <c r="I141" s="1146">
        <v>856670</v>
      </c>
      <c r="K141" s="1927"/>
      <c r="L141" s="1921"/>
      <c r="M141" s="1927"/>
      <c r="N141" s="1921"/>
      <c r="O141" s="1927"/>
      <c r="P141" s="1921"/>
      <c r="Q141" s="1927"/>
      <c r="R141" s="1921"/>
      <c r="S141" s="1146"/>
      <c r="T141" s="1648"/>
      <c r="U141" s="1146"/>
      <c r="V141" s="1648"/>
      <c r="W141" s="1146"/>
      <c r="X141" s="1648"/>
      <c r="Y141" s="1146"/>
      <c r="Z141" s="2114">
        <f>C141-'Blocking-Step2'!C141</f>
        <v>0</v>
      </c>
      <c r="AA141" s="2114">
        <f>D141-'Blocking-Step2'!D141</f>
        <v>0</v>
      </c>
      <c r="AC141" s="2114">
        <f>F141-'Blocking-Step2'!F141</f>
        <v>0</v>
      </c>
      <c r="AE141" s="2114">
        <f>H141-'Blocking-Step2'!H141</f>
        <v>0</v>
      </c>
      <c r="AF141" s="2114">
        <f>I141-'Blocking-Step2'!I141</f>
        <v>0</v>
      </c>
      <c r="AH141" s="2136">
        <f>K141-'Blocking-Step2'!K141</f>
        <v>0</v>
      </c>
      <c r="AJ141" s="2136">
        <f>M141-'Blocking-Step2'!M141</f>
        <v>0</v>
      </c>
      <c r="AL141" s="2136">
        <f>O141-'Blocking-Step2'!O141</f>
        <v>0</v>
      </c>
      <c r="AN141" s="2137">
        <f>Q141-'Blocking-Step2'!Q141</f>
        <v>0</v>
      </c>
      <c r="AP141" s="2127">
        <f>S141-'Blocking-Step2'!S141</f>
        <v>0</v>
      </c>
      <c r="AR141" s="2127">
        <f>U141-'Blocking-Step2'!U141</f>
        <v>0</v>
      </c>
      <c r="AT141" s="2127">
        <f>W141-'Blocking-Step2'!W141</f>
        <v>0</v>
      </c>
      <c r="AV141" s="2128">
        <f>Y141-'Blocking-Step2'!Y141</f>
        <v>0</v>
      </c>
    </row>
    <row r="142" spans="1:48">
      <c r="A142" s="1116" t="s">
        <v>1360</v>
      </c>
      <c r="B142" s="1928"/>
      <c r="C142" s="1024">
        <v>50947453</v>
      </c>
      <c r="D142" s="1105">
        <v>44288230</v>
      </c>
      <c r="E142" s="804"/>
      <c r="F142" s="1927">
        <v>8.8498000000000001</v>
      </c>
      <c r="G142" s="1921" t="s">
        <v>495</v>
      </c>
      <c r="H142" s="1146">
        <v>4508748</v>
      </c>
      <c r="I142" s="1146">
        <v>3919420</v>
      </c>
      <c r="J142" s="804"/>
      <c r="K142" s="1927"/>
      <c r="L142" s="1921"/>
      <c r="M142" s="1927"/>
      <c r="N142" s="1921"/>
      <c r="O142" s="1927"/>
      <c r="P142" s="1921"/>
      <c r="Q142" s="1927"/>
      <c r="R142" s="1921"/>
      <c r="S142" s="1146"/>
      <c r="T142" s="1648"/>
      <c r="U142" s="1146"/>
      <c r="V142" s="1648"/>
      <c r="W142" s="1146"/>
      <c r="X142" s="1648"/>
      <c r="Y142" s="1146"/>
      <c r="Z142" s="2114">
        <f>C142-'Blocking-Step2'!C142</f>
        <v>0</v>
      </c>
      <c r="AA142" s="2114">
        <f>D142-'Blocking-Step2'!D142</f>
        <v>0</v>
      </c>
      <c r="AC142" s="2114">
        <f>F142-'Blocking-Step2'!F142</f>
        <v>0</v>
      </c>
      <c r="AE142" s="2114">
        <f>H142-'Blocking-Step2'!H142</f>
        <v>0</v>
      </c>
      <c r="AF142" s="2114">
        <f>I142-'Blocking-Step2'!I142</f>
        <v>0</v>
      </c>
      <c r="AH142" s="2136">
        <f>K142-'Blocking-Step2'!K142</f>
        <v>0</v>
      </c>
      <c r="AJ142" s="2136">
        <f>M142-'Blocking-Step2'!M142</f>
        <v>0</v>
      </c>
      <c r="AL142" s="2136">
        <f>O142-'Blocking-Step2'!O142</f>
        <v>0</v>
      </c>
      <c r="AN142" s="2137">
        <f>Q142-'Blocking-Step2'!Q142</f>
        <v>0</v>
      </c>
      <c r="AP142" s="2127">
        <f>S142-'Blocking-Step2'!S142</f>
        <v>0</v>
      </c>
      <c r="AR142" s="2127">
        <f>U142-'Blocking-Step2'!U142</f>
        <v>0</v>
      </c>
      <c r="AT142" s="2127">
        <f>W142-'Blocking-Step2'!W142</f>
        <v>0</v>
      </c>
      <c r="AV142" s="2128">
        <f>Y142-'Blocking-Step2'!Y142</f>
        <v>0</v>
      </c>
    </row>
    <row r="143" spans="1:48">
      <c r="A143" s="1116" t="s">
        <v>1361</v>
      </c>
      <c r="B143" s="1928"/>
      <c r="C143" s="1024">
        <v>34708015.29361742</v>
      </c>
      <c r="D143" s="1105">
        <v>30171412</v>
      </c>
      <c r="E143" s="804"/>
      <c r="F143" s="1927">
        <v>10.7072</v>
      </c>
      <c r="G143" s="1921" t="s">
        <v>495</v>
      </c>
      <c r="H143" s="1146">
        <v>3716257</v>
      </c>
      <c r="I143" s="1146">
        <v>3230513</v>
      </c>
      <c r="J143" s="804"/>
      <c r="K143" s="1927"/>
      <c r="L143" s="1921"/>
      <c r="M143" s="1927"/>
      <c r="N143" s="1921"/>
      <c r="O143" s="1927"/>
      <c r="P143" s="1921"/>
      <c r="Q143" s="1927"/>
      <c r="R143" s="1921"/>
      <c r="S143" s="1146"/>
      <c r="T143" s="1648"/>
      <c r="U143" s="1146"/>
      <c r="V143" s="1648"/>
      <c r="W143" s="1146"/>
      <c r="X143" s="1648"/>
      <c r="Y143" s="1146"/>
      <c r="Z143" s="2114">
        <f>C143-'Blocking-Step2'!C143</f>
        <v>0</v>
      </c>
      <c r="AA143" s="2114">
        <f>D143-'Blocking-Step2'!D143</f>
        <v>0</v>
      </c>
      <c r="AC143" s="2114">
        <f>F143-'Blocking-Step2'!F143</f>
        <v>0</v>
      </c>
      <c r="AE143" s="2114">
        <f>H143-'Blocking-Step2'!H143</f>
        <v>0</v>
      </c>
      <c r="AF143" s="2114">
        <f>I143-'Blocking-Step2'!I143</f>
        <v>0</v>
      </c>
      <c r="AH143" s="2136">
        <f>K143-'Blocking-Step2'!K143</f>
        <v>0</v>
      </c>
      <c r="AJ143" s="2136">
        <f>M143-'Blocking-Step2'!M143</f>
        <v>0</v>
      </c>
      <c r="AL143" s="2136">
        <f>O143-'Blocking-Step2'!O143</f>
        <v>0</v>
      </c>
      <c r="AN143" s="2137">
        <f>Q143-'Blocking-Step2'!Q143</f>
        <v>0</v>
      </c>
      <c r="AP143" s="2127">
        <f>S143-'Blocking-Step2'!S143</f>
        <v>0</v>
      </c>
      <c r="AR143" s="2127">
        <f>U143-'Blocking-Step2'!U143</f>
        <v>0</v>
      </c>
      <c r="AT143" s="2127">
        <f>W143-'Blocking-Step2'!W143</f>
        <v>0</v>
      </c>
      <c r="AV143" s="2128">
        <f>Y143-'Blocking-Step2'!Y143</f>
        <v>0</v>
      </c>
    </row>
    <row r="144" spans="1:48">
      <c r="A144" s="1116" t="s">
        <v>1158</v>
      </c>
      <c r="B144" s="1928"/>
      <c r="C144" s="1024">
        <v>123079</v>
      </c>
      <c r="D144" s="1105">
        <v>108762</v>
      </c>
      <c r="E144" s="804"/>
      <c r="F144" s="1927">
        <v>11.7033</v>
      </c>
      <c r="G144" s="1929" t="s">
        <v>495</v>
      </c>
      <c r="H144" s="1146">
        <v>14404</v>
      </c>
      <c r="I144" s="1146">
        <v>12729</v>
      </c>
      <c r="J144" s="804"/>
      <c r="K144" s="1927">
        <v>2.7378999999999998</v>
      </c>
      <c r="L144" s="1929" t="s">
        <v>495</v>
      </c>
      <c r="M144" s="1927">
        <v>7.7249999999999996</v>
      </c>
      <c r="N144" s="1929" t="s">
        <v>495</v>
      </c>
      <c r="O144" s="1927">
        <v>0</v>
      </c>
      <c r="P144" s="1929" t="s">
        <v>495</v>
      </c>
      <c r="Q144" s="1927">
        <v>10.462899999999999</v>
      </c>
      <c r="R144" s="1929" t="s">
        <v>495</v>
      </c>
      <c r="S144" s="1146">
        <v>2978</v>
      </c>
      <c r="T144" s="1656"/>
      <c r="U144" s="1146">
        <v>8402</v>
      </c>
      <c r="V144" s="1656"/>
      <c r="W144" s="1146">
        <v>0</v>
      </c>
      <c r="X144" s="1656"/>
      <c r="Y144" s="1146">
        <v>11380</v>
      </c>
      <c r="Z144" s="2114">
        <f>C144-'Blocking-Step2'!C144</f>
        <v>0</v>
      </c>
      <c r="AA144" s="2114">
        <f>D144-'Blocking-Step2'!D144</f>
        <v>0</v>
      </c>
      <c r="AC144" s="2114">
        <f>F144-'Blocking-Step2'!F144</f>
        <v>0</v>
      </c>
      <c r="AE144" s="2114">
        <f>H144-'Blocking-Step2'!H144</f>
        <v>0</v>
      </c>
      <c r="AF144" s="2114">
        <f>I144-'Blocking-Step2'!I144</f>
        <v>0</v>
      </c>
      <c r="AH144" s="2136">
        <f>K144-'Blocking-Step2'!K144</f>
        <v>-1.6915000000000004</v>
      </c>
      <c r="AJ144" s="2136">
        <f>M144-'Blocking-Step2'!M144</f>
        <v>0</v>
      </c>
      <c r="AL144" s="2136">
        <f>O144-'Blocking-Step2'!O144</f>
        <v>0</v>
      </c>
      <c r="AN144" s="2137">
        <f>Q144-'Blocking-Step2'!Q144</f>
        <v>-1.6915000000000013</v>
      </c>
      <c r="AP144" s="2127">
        <f>S144-'Blocking-Step2'!S144</f>
        <v>-1840</v>
      </c>
      <c r="AR144" s="2127">
        <f>U144-'Blocking-Step2'!U144</f>
        <v>0</v>
      </c>
      <c r="AT144" s="2127">
        <f>W144-'Blocking-Step2'!W144</f>
        <v>0</v>
      </c>
      <c r="AV144" s="2128">
        <f>Y144-'Blocking-Step2'!Y144</f>
        <v>-1839</v>
      </c>
    </row>
    <row r="145" spans="1:48">
      <c r="A145" s="1116" t="s">
        <v>246</v>
      </c>
      <c r="C145" s="1940">
        <v>862476</v>
      </c>
      <c r="D145" s="1940">
        <v>0</v>
      </c>
      <c r="H145" s="1147">
        <v>98698</v>
      </c>
      <c r="I145" s="1147">
        <v>0</v>
      </c>
      <c r="Y145" s="1147">
        <v>0</v>
      </c>
      <c r="Z145" s="2114">
        <f>C145-'Blocking-Step2'!C145</f>
        <v>0</v>
      </c>
      <c r="AA145" s="2114">
        <f>D145-'Blocking-Step2'!D145</f>
        <v>0</v>
      </c>
      <c r="AC145" s="2114">
        <f>F145-'Blocking-Step2'!F145</f>
        <v>0</v>
      </c>
      <c r="AE145" s="2114">
        <f>H145-'Blocking-Step2'!H145</f>
        <v>0</v>
      </c>
      <c r="AF145" s="2114">
        <f>I145-'Blocking-Step2'!I145</f>
        <v>0</v>
      </c>
      <c r="AH145" s="2136">
        <f>K145-'Blocking-Step2'!K145</f>
        <v>0</v>
      </c>
      <c r="AJ145" s="2136">
        <f>M145-'Blocking-Step2'!M145</f>
        <v>0</v>
      </c>
      <c r="AL145" s="2136">
        <f>O145-'Blocking-Step2'!O145</f>
        <v>0</v>
      </c>
      <c r="AN145" s="2137">
        <f>Q145-'Blocking-Step2'!Q145</f>
        <v>0</v>
      </c>
      <c r="AP145" s="2127">
        <f>S145-'Blocking-Step2'!S145</f>
        <v>0</v>
      </c>
      <c r="AR145" s="2127">
        <f>U145-'Blocking-Step2'!U145</f>
        <v>0</v>
      </c>
      <c r="AT145" s="2127">
        <f>W145-'Blocking-Step2'!W145</f>
        <v>0</v>
      </c>
      <c r="AV145" s="2128">
        <f>Y145-'Blocking-Step2'!Y145</f>
        <v>0</v>
      </c>
    </row>
    <row r="146" spans="1:48">
      <c r="A146" s="1116" t="s">
        <v>1240</v>
      </c>
      <c r="C146" s="1024"/>
      <c r="D146" s="1024"/>
      <c r="F146" s="2076">
        <v>-3.9100000000000003E-2</v>
      </c>
      <c r="G146" s="617"/>
      <c r="H146" s="1146">
        <v>-588415.3526000001</v>
      </c>
      <c r="I146" s="1146">
        <v>-520314.99990000005</v>
      </c>
      <c r="K146" s="2076"/>
      <c r="L146" s="617"/>
      <c r="M146" s="2076"/>
      <c r="N146" s="617"/>
      <c r="O146" s="2076" t="s">
        <v>2323</v>
      </c>
      <c r="P146" s="617"/>
      <c r="Q146" s="2076">
        <v>-3.0800000000000001E-2</v>
      </c>
      <c r="R146" s="617"/>
      <c r="S146" s="1114"/>
      <c r="T146" s="1114"/>
      <c r="U146" s="1114"/>
      <c r="V146" s="1114"/>
      <c r="W146" s="1114"/>
      <c r="X146" s="1114"/>
      <c r="Y146" s="1146">
        <v>-407807.43080000003</v>
      </c>
      <c r="Z146" s="2114">
        <f>C146-'Blocking-Step2'!C146</f>
        <v>0</v>
      </c>
      <c r="AA146" s="2114">
        <f>D146-'Blocking-Step2'!D146</f>
        <v>0</v>
      </c>
      <c r="AC146" s="2114">
        <f>F146-'Blocking-Step2'!F146</f>
        <v>0</v>
      </c>
      <c r="AE146" s="2114">
        <f>H146-'Blocking-Step2'!H146</f>
        <v>0</v>
      </c>
      <c r="AF146" s="2114">
        <f>I146-'Blocking-Step2'!I146</f>
        <v>0</v>
      </c>
      <c r="AH146" s="2136">
        <f>K146-'Blocking-Step2'!K146</f>
        <v>0</v>
      </c>
      <c r="AJ146" s="2136">
        <f>M146-'Blocking-Step2'!M146</f>
        <v>0</v>
      </c>
      <c r="AL146" s="2136" t="e">
        <f>O146-'Blocking-Step2'!O146</f>
        <v>#VALUE!</v>
      </c>
      <c r="AN146" s="2137">
        <f>Q146-'Blocking-Step2'!Q146</f>
        <v>0</v>
      </c>
      <c r="AP146" s="2127">
        <f>S146-'Blocking-Step2'!S146</f>
        <v>0</v>
      </c>
      <c r="AR146" s="2127">
        <f>U146-'Blocking-Step2'!U146</f>
        <v>0</v>
      </c>
      <c r="AT146" s="2127">
        <f>W146-'Blocking-Step2'!W146</f>
        <v>0</v>
      </c>
      <c r="AV146" s="2128">
        <f>Y146-'Blocking-Step2'!Y146</f>
        <v>-107.46120000001974</v>
      </c>
    </row>
    <row r="147" spans="1:48">
      <c r="A147" s="1116" t="s">
        <v>1317</v>
      </c>
      <c r="C147" s="1024">
        <v>-4359</v>
      </c>
      <c r="D147" s="1105">
        <v>-3852</v>
      </c>
      <c r="F147" s="2076"/>
      <c r="G147" s="617"/>
      <c r="H147" s="1146"/>
      <c r="I147" s="1146"/>
      <c r="K147" s="2076"/>
      <c r="L147" s="617"/>
      <c r="M147" s="2076"/>
      <c r="N147" s="617"/>
      <c r="O147" s="2076" t="s">
        <v>2324</v>
      </c>
      <c r="P147" s="617"/>
      <c r="Q147" s="2076">
        <v>-1.67E-2</v>
      </c>
      <c r="R147" s="617"/>
      <c r="S147" s="1114"/>
      <c r="T147" s="1114"/>
      <c r="U147" s="1114"/>
      <c r="V147" s="1114"/>
      <c r="W147" s="1114"/>
      <c r="X147" s="1114"/>
      <c r="Y147" s="1146">
        <v>-221116.36669999998</v>
      </c>
      <c r="Z147" s="2114">
        <f>C147-'Blocking-Step2'!C147</f>
        <v>0</v>
      </c>
      <c r="AA147" s="2114">
        <f>D147-'Blocking-Step2'!D147</f>
        <v>0</v>
      </c>
      <c r="AC147" s="2114">
        <f>F147-'Blocking-Step2'!F147</f>
        <v>0</v>
      </c>
      <c r="AE147" s="2114">
        <f>H147-'Blocking-Step2'!H147</f>
        <v>0</v>
      </c>
      <c r="AF147" s="2114">
        <f>I147-'Blocking-Step2'!I147</f>
        <v>0</v>
      </c>
      <c r="AH147" s="2136">
        <f>K147-'Blocking-Step2'!K147</f>
        <v>0</v>
      </c>
      <c r="AJ147" s="2136">
        <f>M147-'Blocking-Step2'!M147</f>
        <v>0</v>
      </c>
      <c r="AL147" s="2136" t="e">
        <f>O147-'Blocking-Step2'!O147</f>
        <v>#VALUE!</v>
      </c>
      <c r="AN147" s="2137">
        <f>Q147-'Blocking-Step2'!Q147</f>
        <v>0</v>
      </c>
      <c r="AP147" s="2127">
        <f>S147-'Blocking-Step2'!S147</f>
        <v>0</v>
      </c>
      <c r="AR147" s="2127">
        <f>U147-'Blocking-Step2'!U147</f>
        <v>0</v>
      </c>
      <c r="AT147" s="2127">
        <f>W147-'Blocking-Step2'!W147</f>
        <v>0</v>
      </c>
      <c r="AV147" s="2128">
        <f>Y147-'Blocking-Step2'!Y147</f>
        <v>-58.266299999988405</v>
      </c>
    </row>
    <row r="148" spans="1:48" ht="16.5" thickBot="1">
      <c r="A148" s="1116" t="s">
        <v>247</v>
      </c>
      <c r="C148" s="1941">
        <v>152607148.87214673</v>
      </c>
      <c r="D148" s="1941">
        <v>134093071.70705788</v>
      </c>
      <c r="F148" s="2078"/>
      <c r="H148" s="1154">
        <v>16082878.647399999</v>
      </c>
      <c r="I148" s="1154">
        <v>14086238.0001</v>
      </c>
      <c r="K148" s="2078"/>
      <c r="M148" s="2078"/>
      <c r="O148" s="1145"/>
      <c r="Q148" s="1145"/>
      <c r="S148" s="1154">
        <v>5423856</v>
      </c>
      <c r="U148" s="1154">
        <v>7243226</v>
      </c>
      <c r="W148" s="1154">
        <v>2325813</v>
      </c>
      <c r="Y148" s="1154">
        <v>14992895</v>
      </c>
      <c r="Z148" s="2114">
        <f>C148-'Blocking-Step2'!C148</f>
        <v>0</v>
      </c>
      <c r="AA148" s="2114">
        <f>D148-'Blocking-Step2'!D148</f>
        <v>0</v>
      </c>
      <c r="AC148" s="2114">
        <f>F148-'Blocking-Step2'!F148</f>
        <v>0</v>
      </c>
      <c r="AE148" s="2114">
        <f>H148-'Blocking-Step2'!H148</f>
        <v>0</v>
      </c>
      <c r="AF148" s="2114">
        <f>I148-'Blocking-Step2'!I148</f>
        <v>0</v>
      </c>
      <c r="AH148" s="2136">
        <f>K148-'Blocking-Step2'!K148</f>
        <v>0</v>
      </c>
      <c r="AJ148" s="2136">
        <f>M148-'Blocking-Step2'!M148</f>
        <v>0</v>
      </c>
      <c r="AL148" s="2136">
        <f>O148-'Blocking-Step2'!O148</f>
        <v>0</v>
      </c>
      <c r="AN148" s="2137">
        <f>Q148-'Blocking-Step2'!Q148</f>
        <v>0</v>
      </c>
      <c r="AP148" s="2127">
        <f>S148-'Blocking-Step2'!S148</f>
        <v>-2268250</v>
      </c>
      <c r="AR148" s="2127">
        <f>U148-'Blocking-Step2'!U148</f>
        <v>2271769</v>
      </c>
      <c r="AT148" s="2127">
        <f>W148-'Blocking-Step2'!W148</f>
        <v>-31</v>
      </c>
      <c r="AV148" s="2128">
        <f>Y148-'Blocking-Step2'!Y148</f>
        <v>3489</v>
      </c>
    </row>
    <row r="149" spans="1:48" ht="16.5" thickTop="1">
      <c r="C149" s="1105"/>
      <c r="D149" s="1105"/>
      <c r="Z149" s="2114">
        <f>C149-'Blocking-Step2'!C149</f>
        <v>0</v>
      </c>
      <c r="AA149" s="2114">
        <f>D149-'Blocking-Step2'!D149</f>
        <v>0</v>
      </c>
      <c r="AC149" s="2114">
        <f>F149-'Blocking-Step2'!F149</f>
        <v>0</v>
      </c>
      <c r="AE149" s="2114">
        <f>H149-'Blocking-Step2'!H149</f>
        <v>0</v>
      </c>
      <c r="AF149" s="2114">
        <f>I149-'Blocking-Step2'!I149</f>
        <v>0</v>
      </c>
      <c r="AH149" s="2136">
        <f>K149-'Blocking-Step2'!K149</f>
        <v>0</v>
      </c>
      <c r="AJ149" s="2136">
        <f>M149-'Blocking-Step2'!M149</f>
        <v>0</v>
      </c>
      <c r="AL149" s="2136">
        <f>O149-'Blocking-Step2'!O149</f>
        <v>0</v>
      </c>
      <c r="AN149" s="2137">
        <f>Q149-'Blocking-Step2'!Q149</f>
        <v>0</v>
      </c>
      <c r="AP149" s="2127">
        <f>S149-'Blocking-Step2'!S149</f>
        <v>0</v>
      </c>
      <c r="AR149" s="2127">
        <f>U149-'Blocking-Step2'!U149</f>
        <v>0</v>
      </c>
      <c r="AT149" s="2127">
        <f>W149-'Blocking-Step2'!W149</f>
        <v>0</v>
      </c>
      <c r="AV149" s="2128">
        <f>Y149-'Blocking-Step2'!Y149</f>
        <v>0</v>
      </c>
    </row>
    <row r="150" spans="1:48">
      <c r="A150" s="1115" t="s">
        <v>970</v>
      </c>
      <c r="C150" s="1105"/>
      <c r="D150" s="1105"/>
      <c r="Z150" s="2114">
        <f>C150-'Blocking-Step2'!C150</f>
        <v>0</v>
      </c>
      <c r="AA150" s="2114">
        <f>D150-'Blocking-Step2'!D150</f>
        <v>0</v>
      </c>
      <c r="AC150" s="2114">
        <f>F150-'Blocking-Step2'!F150</f>
        <v>0</v>
      </c>
      <c r="AE150" s="2114">
        <f>H150-'Blocking-Step2'!H150</f>
        <v>0</v>
      </c>
      <c r="AF150" s="2114">
        <f>I150-'Blocking-Step2'!I150</f>
        <v>0</v>
      </c>
      <c r="AH150" s="2136">
        <f>K150-'Blocking-Step2'!K150</f>
        <v>0</v>
      </c>
      <c r="AJ150" s="2136">
        <f>M150-'Blocking-Step2'!M150</f>
        <v>0</v>
      </c>
      <c r="AL150" s="2136">
        <f>O150-'Blocking-Step2'!O150</f>
        <v>0</v>
      </c>
      <c r="AN150" s="2137">
        <f>Q150-'Blocking-Step2'!Q150</f>
        <v>0</v>
      </c>
      <c r="AP150" s="2127">
        <f>S150-'Blocking-Step2'!S150</f>
        <v>0</v>
      </c>
      <c r="AR150" s="2127">
        <f>U150-'Blocking-Step2'!U150</f>
        <v>0</v>
      </c>
      <c r="AT150" s="2127">
        <f>W150-'Blocking-Step2'!W150</f>
        <v>0</v>
      </c>
      <c r="AV150" s="2128">
        <f>Y150-'Blocking-Step2'!Y150</f>
        <v>0</v>
      </c>
    </row>
    <row r="151" spans="1:48">
      <c r="A151" s="1116" t="s">
        <v>685</v>
      </c>
      <c r="C151" s="1105">
        <v>358674.66666666663</v>
      </c>
      <c r="D151" s="1105">
        <v>418416</v>
      </c>
      <c r="F151" s="1907"/>
      <c r="G151" s="1110"/>
      <c r="H151" s="1146"/>
      <c r="I151" s="1146"/>
      <c r="K151" s="1907"/>
      <c r="L151" s="1110"/>
      <c r="M151" s="1907"/>
      <c r="N151" s="1110"/>
      <c r="O151" s="1907"/>
      <c r="P151" s="1110"/>
      <c r="Q151" s="1907"/>
      <c r="R151" s="1110"/>
      <c r="S151" s="1629"/>
      <c r="T151" s="1629"/>
      <c r="U151" s="1629"/>
      <c r="V151" s="1629"/>
      <c r="W151" s="1629"/>
      <c r="X151" s="1629"/>
      <c r="Y151" s="1146"/>
      <c r="Z151" s="2114">
        <f>C151-'Blocking-Step2'!C151</f>
        <v>0</v>
      </c>
      <c r="AA151" s="2114">
        <f>D151-'Blocking-Step2'!D151</f>
        <v>0</v>
      </c>
      <c r="AC151" s="2114">
        <f>F151-'Blocking-Step2'!F151</f>
        <v>0</v>
      </c>
      <c r="AE151" s="2114">
        <f>H151-'Blocking-Step2'!H151</f>
        <v>0</v>
      </c>
      <c r="AF151" s="2114">
        <f>I151-'Blocking-Step2'!I151</f>
        <v>0</v>
      </c>
      <c r="AH151" s="2136">
        <f>K151-'Blocking-Step2'!K151</f>
        <v>0</v>
      </c>
      <c r="AJ151" s="2136">
        <f>M151-'Blocking-Step2'!M151</f>
        <v>0</v>
      </c>
      <c r="AL151" s="2136">
        <f>O151-'Blocking-Step2'!O151</f>
        <v>0</v>
      </c>
      <c r="AN151" s="2137">
        <f>Q151-'Blocking-Step2'!Q151</f>
        <v>0</v>
      </c>
      <c r="AP151" s="2127">
        <f>S151-'Blocking-Step2'!S151</f>
        <v>0</v>
      </c>
      <c r="AR151" s="2127">
        <f>U151-'Blocking-Step2'!U151</f>
        <v>0</v>
      </c>
      <c r="AT151" s="2127">
        <f>W151-'Blocking-Step2'!W151</f>
        <v>0</v>
      </c>
      <c r="AV151" s="2128">
        <f>Y151-'Blocking-Step2'!Y151</f>
        <v>0</v>
      </c>
    </row>
    <row r="152" spans="1:48">
      <c r="A152" s="1116" t="s">
        <v>683</v>
      </c>
      <c r="C152" s="1105">
        <v>358350.66666666663</v>
      </c>
      <c r="D152" s="1105">
        <v>418038</v>
      </c>
      <c r="F152" s="1907">
        <v>6</v>
      </c>
      <c r="G152" s="1110"/>
      <c r="H152" s="1146">
        <v>2150104</v>
      </c>
      <c r="I152" s="1146">
        <v>2508228</v>
      </c>
      <c r="K152" s="1907"/>
      <c r="L152" s="1110"/>
      <c r="M152" s="1907"/>
      <c r="N152" s="1110"/>
      <c r="O152" s="1907"/>
      <c r="P152" s="1110"/>
      <c r="Q152" s="1907"/>
      <c r="R152" s="1110"/>
      <c r="S152" s="1629"/>
      <c r="T152" s="1629"/>
      <c r="U152" s="1629"/>
      <c r="V152" s="1629"/>
      <c r="W152" s="1629"/>
      <c r="X152" s="1629"/>
      <c r="Y152" s="1146"/>
      <c r="Z152" s="2114">
        <f>C152-'Blocking-Step2'!C152</f>
        <v>0</v>
      </c>
      <c r="AA152" s="2114">
        <f>D152-'Blocking-Step2'!D152</f>
        <v>0</v>
      </c>
      <c r="AC152" s="2114">
        <f>F152-'Blocking-Step2'!F152</f>
        <v>0</v>
      </c>
      <c r="AE152" s="2114">
        <f>H152-'Blocking-Step2'!H152</f>
        <v>0</v>
      </c>
      <c r="AF152" s="2114">
        <f>I152-'Blocking-Step2'!I152</f>
        <v>0</v>
      </c>
      <c r="AH152" s="2136">
        <f>K152-'Blocking-Step2'!K152</f>
        <v>0</v>
      </c>
      <c r="AJ152" s="2136">
        <f>M152-'Blocking-Step2'!M152</f>
        <v>0</v>
      </c>
      <c r="AL152" s="2136">
        <f>O152-'Blocking-Step2'!O152</f>
        <v>0</v>
      </c>
      <c r="AN152" s="2137">
        <f>Q152-'Blocking-Step2'!Q152</f>
        <v>0</v>
      </c>
      <c r="AP152" s="2127">
        <f>S152-'Blocking-Step2'!S152</f>
        <v>0</v>
      </c>
      <c r="AR152" s="2127">
        <f>U152-'Blocking-Step2'!U152</f>
        <v>0</v>
      </c>
      <c r="AT152" s="2127">
        <f>W152-'Blocking-Step2'!W152</f>
        <v>0</v>
      </c>
      <c r="AV152" s="2128">
        <f>Y152-'Blocking-Step2'!Y152</f>
        <v>0</v>
      </c>
    </row>
    <row r="153" spans="1:48">
      <c r="A153" s="1116" t="s">
        <v>1581</v>
      </c>
      <c r="C153" s="1105">
        <v>347723.76666666666</v>
      </c>
      <c r="D153" s="1105">
        <v>405641</v>
      </c>
      <c r="F153" s="1907"/>
      <c r="G153" s="1110"/>
      <c r="H153" s="1146"/>
      <c r="I153" s="1146"/>
      <c r="K153" s="1907">
        <v>10</v>
      </c>
      <c r="L153" s="1110"/>
      <c r="M153" s="1907">
        <v>0</v>
      </c>
      <c r="N153" s="1110"/>
      <c r="O153" s="1907">
        <v>0</v>
      </c>
      <c r="P153" s="1110"/>
      <c r="Q153" s="1907">
        <v>10</v>
      </c>
      <c r="R153" s="1110"/>
      <c r="S153" s="1146">
        <v>4056410</v>
      </c>
      <c r="T153" s="1629"/>
      <c r="U153" s="1146">
        <v>0</v>
      </c>
      <c r="V153" s="1629"/>
      <c r="W153" s="1146">
        <v>0</v>
      </c>
      <c r="X153" s="1629"/>
      <c r="Y153" s="1146">
        <v>4056410</v>
      </c>
      <c r="Z153" s="2114">
        <f>C153-'Blocking-Step2'!C153</f>
        <v>0</v>
      </c>
      <c r="AA153" s="2114">
        <f>D153-'Blocking-Step2'!D153</f>
        <v>0</v>
      </c>
      <c r="AC153" s="2114">
        <f>F153-'Blocking-Step2'!F153</f>
        <v>0</v>
      </c>
      <c r="AE153" s="2114">
        <f>H153-'Blocking-Step2'!H153</f>
        <v>0</v>
      </c>
      <c r="AF153" s="2114">
        <f>I153-'Blocking-Step2'!I153</f>
        <v>0</v>
      </c>
      <c r="AH153" s="2136">
        <f>K153-'Blocking-Step2'!K153</f>
        <v>0</v>
      </c>
      <c r="AJ153" s="2136">
        <f>M153-'Blocking-Step2'!M153</f>
        <v>0</v>
      </c>
      <c r="AL153" s="2136">
        <f>O153-'Blocking-Step2'!O153</f>
        <v>0</v>
      </c>
      <c r="AN153" s="2137">
        <f>Q153-'Blocking-Step2'!Q153</f>
        <v>0</v>
      </c>
      <c r="AP153" s="2127">
        <f>S153-'Blocking-Step2'!S153</f>
        <v>0</v>
      </c>
      <c r="AR153" s="2127">
        <f>U153-'Blocking-Step2'!U153</f>
        <v>0</v>
      </c>
      <c r="AT153" s="2127">
        <f>W153-'Blocking-Step2'!W153</f>
        <v>0</v>
      </c>
      <c r="AV153" s="2128">
        <f>Y153-'Blocking-Step2'!Y153</f>
        <v>0</v>
      </c>
    </row>
    <row r="154" spans="1:48">
      <c r="A154" s="1116" t="s">
        <v>1582</v>
      </c>
      <c r="C154" s="1105">
        <v>10626.899999999987</v>
      </c>
      <c r="D154" s="1105">
        <v>12397</v>
      </c>
      <c r="F154" s="1907"/>
      <c r="G154" s="1110"/>
      <c r="H154" s="1146"/>
      <c r="I154" s="1146"/>
      <c r="K154" s="1907">
        <v>6</v>
      </c>
      <c r="L154" s="1110"/>
      <c r="M154" s="1907">
        <v>0</v>
      </c>
      <c r="N154" s="1110"/>
      <c r="O154" s="1907">
        <v>0</v>
      </c>
      <c r="P154" s="1110"/>
      <c r="Q154" s="1907">
        <v>6</v>
      </c>
      <c r="R154" s="1110"/>
      <c r="S154" s="1146">
        <v>74382</v>
      </c>
      <c r="T154" s="1629"/>
      <c r="U154" s="1146">
        <v>0</v>
      </c>
      <c r="V154" s="1629"/>
      <c r="W154" s="1146">
        <v>0</v>
      </c>
      <c r="X154" s="1629"/>
      <c r="Y154" s="1146">
        <v>74382</v>
      </c>
      <c r="Z154" s="2114">
        <f>C154-'Blocking-Step2'!C154</f>
        <v>0</v>
      </c>
      <c r="AA154" s="2114">
        <f>D154-'Blocking-Step2'!D154</f>
        <v>0</v>
      </c>
      <c r="AC154" s="2114">
        <f>F154-'Blocking-Step2'!F154</f>
        <v>0</v>
      </c>
      <c r="AE154" s="2114">
        <f>H154-'Blocking-Step2'!H154</f>
        <v>0</v>
      </c>
      <c r="AF154" s="2114">
        <f>I154-'Blocking-Step2'!I154</f>
        <v>0</v>
      </c>
      <c r="AH154" s="2136">
        <f>K154-'Blocking-Step2'!K154</f>
        <v>0</v>
      </c>
      <c r="AJ154" s="2136">
        <f>M154-'Blocking-Step2'!M154</f>
        <v>0</v>
      </c>
      <c r="AL154" s="2136">
        <f>O154-'Blocking-Step2'!O154</f>
        <v>0</v>
      </c>
      <c r="AN154" s="2137">
        <f>Q154-'Blocking-Step2'!Q154</f>
        <v>0</v>
      </c>
      <c r="AP154" s="2127">
        <f>S154-'Blocking-Step2'!S154</f>
        <v>0</v>
      </c>
      <c r="AR154" s="2127">
        <f>U154-'Blocking-Step2'!U154</f>
        <v>0</v>
      </c>
      <c r="AT154" s="2127">
        <f>W154-'Blocking-Step2'!W154</f>
        <v>0</v>
      </c>
      <c r="AV154" s="2128">
        <f>Y154-'Blocking-Step2'!Y154</f>
        <v>0</v>
      </c>
    </row>
    <row r="155" spans="1:48">
      <c r="A155" s="1116" t="s">
        <v>684</v>
      </c>
      <c r="C155" s="1105">
        <v>324</v>
      </c>
      <c r="D155" s="1105">
        <v>378</v>
      </c>
      <c r="F155" s="1907">
        <v>12</v>
      </c>
      <c r="G155" s="1110"/>
      <c r="H155" s="1146">
        <v>3888</v>
      </c>
      <c r="I155" s="1146">
        <v>4536</v>
      </c>
      <c r="K155" s="1907"/>
      <c r="L155" s="1110"/>
      <c r="M155" s="1907"/>
      <c r="N155" s="1110"/>
      <c r="O155" s="1907"/>
      <c r="P155" s="1110"/>
      <c r="Q155" s="1907"/>
      <c r="R155" s="1110"/>
      <c r="S155" s="1146"/>
      <c r="T155" s="1629"/>
      <c r="U155" s="1146"/>
      <c r="V155" s="1629"/>
      <c r="W155" s="1146"/>
      <c r="X155" s="1629"/>
      <c r="Y155" s="1146"/>
      <c r="Z155" s="2114">
        <f>C155-'Blocking-Step2'!C155</f>
        <v>0</v>
      </c>
      <c r="AA155" s="2114">
        <f>D155-'Blocking-Step2'!D155</f>
        <v>0</v>
      </c>
      <c r="AC155" s="2114">
        <f>F155-'Blocking-Step2'!F155</f>
        <v>0</v>
      </c>
      <c r="AE155" s="2114">
        <f>H155-'Blocking-Step2'!H155</f>
        <v>0</v>
      </c>
      <c r="AF155" s="2114">
        <f>I155-'Blocking-Step2'!I155</f>
        <v>0</v>
      </c>
      <c r="AH155" s="2136">
        <f>K155-'Blocking-Step2'!K155</f>
        <v>0</v>
      </c>
      <c r="AJ155" s="2136">
        <f>M155-'Blocking-Step2'!M155</f>
        <v>0</v>
      </c>
      <c r="AL155" s="2136">
        <f>O155-'Blocking-Step2'!O155</f>
        <v>0</v>
      </c>
      <c r="AN155" s="2137">
        <f>Q155-'Blocking-Step2'!Q155</f>
        <v>0</v>
      </c>
      <c r="AP155" s="2127">
        <f>S155-'Blocking-Step2'!S155</f>
        <v>0</v>
      </c>
      <c r="AR155" s="2127">
        <f>U155-'Blocking-Step2'!U155</f>
        <v>0</v>
      </c>
      <c r="AT155" s="2127">
        <f>W155-'Blocking-Step2'!W155</f>
        <v>0</v>
      </c>
      <c r="AV155" s="2128">
        <f>Y155-'Blocking-Step2'!Y155</f>
        <v>0</v>
      </c>
    </row>
    <row r="156" spans="1:48">
      <c r="A156" s="1116" t="s">
        <v>1581</v>
      </c>
      <c r="C156" s="1105">
        <v>96</v>
      </c>
      <c r="D156" s="1105">
        <v>112</v>
      </c>
      <c r="F156" s="1907"/>
      <c r="G156" s="1110"/>
      <c r="H156" s="1146"/>
      <c r="I156" s="1146"/>
      <c r="K156" s="1907">
        <v>20</v>
      </c>
      <c r="L156" s="1110"/>
      <c r="M156" s="1907">
        <v>0</v>
      </c>
      <c r="N156" s="1110"/>
      <c r="O156" s="1907">
        <v>0</v>
      </c>
      <c r="P156" s="1110"/>
      <c r="Q156" s="1907">
        <v>20</v>
      </c>
      <c r="R156" s="1110"/>
      <c r="S156" s="1146">
        <v>2240</v>
      </c>
      <c r="T156" s="1629"/>
      <c r="U156" s="1146">
        <v>0</v>
      </c>
      <c r="V156" s="1629"/>
      <c r="W156" s="1146">
        <v>0</v>
      </c>
      <c r="X156" s="1629"/>
      <c r="Y156" s="1146">
        <v>2240</v>
      </c>
      <c r="Z156" s="2114">
        <f>C156-'Blocking-Step2'!C156</f>
        <v>0</v>
      </c>
      <c r="AA156" s="2114">
        <f>D156-'Blocking-Step2'!D156</f>
        <v>0</v>
      </c>
      <c r="AC156" s="2114">
        <f>F156-'Blocking-Step2'!F156</f>
        <v>0</v>
      </c>
      <c r="AE156" s="2114">
        <f>H156-'Blocking-Step2'!H156</f>
        <v>0</v>
      </c>
      <c r="AF156" s="2114">
        <f>I156-'Blocking-Step2'!I156</f>
        <v>0</v>
      </c>
      <c r="AH156" s="2136">
        <f>K156-'Blocking-Step2'!K156</f>
        <v>0</v>
      </c>
      <c r="AJ156" s="2136">
        <f>M156-'Blocking-Step2'!M156</f>
        <v>0</v>
      </c>
      <c r="AL156" s="2136">
        <f>O156-'Blocking-Step2'!O156</f>
        <v>0</v>
      </c>
      <c r="AN156" s="2137">
        <f>Q156-'Blocking-Step2'!Q156</f>
        <v>0</v>
      </c>
      <c r="AP156" s="2127">
        <f>S156-'Blocking-Step2'!S156</f>
        <v>0</v>
      </c>
      <c r="AR156" s="2127">
        <f>U156-'Blocking-Step2'!U156</f>
        <v>0</v>
      </c>
      <c r="AT156" s="2127">
        <f>W156-'Blocking-Step2'!W156</f>
        <v>0</v>
      </c>
      <c r="AV156" s="2128">
        <f>Y156-'Blocking-Step2'!Y156</f>
        <v>0</v>
      </c>
    </row>
    <row r="157" spans="1:48">
      <c r="A157" s="1116" t="s">
        <v>1582</v>
      </c>
      <c r="C157" s="1105">
        <v>228</v>
      </c>
      <c r="D157" s="1105">
        <v>266</v>
      </c>
      <c r="F157" s="1907"/>
      <c r="G157" s="1110"/>
      <c r="H157" s="1146"/>
      <c r="I157" s="1146"/>
      <c r="K157" s="1907">
        <v>12</v>
      </c>
      <c r="L157" s="1110"/>
      <c r="M157" s="1907">
        <v>0</v>
      </c>
      <c r="N157" s="1110"/>
      <c r="O157" s="1907">
        <v>0</v>
      </c>
      <c r="P157" s="1110"/>
      <c r="Q157" s="1907">
        <v>12</v>
      </c>
      <c r="R157" s="1110"/>
      <c r="S157" s="1146">
        <v>3192</v>
      </c>
      <c r="T157" s="1629"/>
      <c r="U157" s="1146">
        <v>0</v>
      </c>
      <c r="V157" s="1629"/>
      <c r="W157" s="1146">
        <v>0</v>
      </c>
      <c r="X157" s="1629"/>
      <c r="Y157" s="1146">
        <v>3192</v>
      </c>
      <c r="Z157" s="2114">
        <f>C157-'Blocking-Step2'!C157</f>
        <v>0</v>
      </c>
      <c r="AA157" s="2114">
        <f>D157-'Blocking-Step2'!D157</f>
        <v>0</v>
      </c>
      <c r="AC157" s="2114">
        <f>F157-'Blocking-Step2'!F157</f>
        <v>0</v>
      </c>
      <c r="AE157" s="2114">
        <f>H157-'Blocking-Step2'!H157</f>
        <v>0</v>
      </c>
      <c r="AF157" s="2114">
        <f>I157-'Blocking-Step2'!I157</f>
        <v>0</v>
      </c>
      <c r="AH157" s="2136">
        <f>K157-'Blocking-Step2'!K157</f>
        <v>0</v>
      </c>
      <c r="AJ157" s="2136">
        <f>M157-'Blocking-Step2'!M157</f>
        <v>0</v>
      </c>
      <c r="AL157" s="2136">
        <f>O157-'Blocking-Step2'!O157</f>
        <v>0</v>
      </c>
      <c r="AN157" s="2137">
        <f>Q157-'Blocking-Step2'!Q157</f>
        <v>0</v>
      </c>
      <c r="AP157" s="2127">
        <f>S157-'Blocking-Step2'!S157</f>
        <v>0</v>
      </c>
      <c r="AR157" s="2127">
        <f>U157-'Blocking-Step2'!U157</f>
        <v>0</v>
      </c>
      <c r="AT157" s="2127">
        <f>W157-'Blocking-Step2'!W157</f>
        <v>0</v>
      </c>
      <c r="AV157" s="2128">
        <f>Y157-'Blocking-Step2'!Y157</f>
        <v>0</v>
      </c>
    </row>
    <row r="158" spans="1:48">
      <c r="A158" s="1116" t="s">
        <v>1236</v>
      </c>
      <c r="C158" s="1105">
        <v>0</v>
      </c>
      <c r="D158" s="1105">
        <v>0</v>
      </c>
      <c r="F158" s="1907">
        <v>2</v>
      </c>
      <c r="G158" s="1110"/>
      <c r="H158" s="1146">
        <v>0</v>
      </c>
      <c r="I158" s="1146">
        <v>0</v>
      </c>
      <c r="K158" s="1907">
        <v>2</v>
      </c>
      <c r="L158" s="1110"/>
      <c r="M158" s="1907">
        <v>0</v>
      </c>
      <c r="N158" s="1110"/>
      <c r="O158" s="1907">
        <v>0</v>
      </c>
      <c r="P158" s="1110"/>
      <c r="Q158" s="1907">
        <v>2</v>
      </c>
      <c r="R158" s="1110"/>
      <c r="S158" s="1146">
        <v>0</v>
      </c>
      <c r="T158" s="1629"/>
      <c r="U158" s="1146">
        <v>0</v>
      </c>
      <c r="V158" s="1629"/>
      <c r="W158" s="1146">
        <v>0</v>
      </c>
      <c r="X158" s="1629"/>
      <c r="Y158" s="1146">
        <v>0</v>
      </c>
      <c r="Z158" s="2114">
        <f>C158-'Blocking-Step2'!C158</f>
        <v>0</v>
      </c>
      <c r="AA158" s="2114">
        <f>D158-'Blocking-Step2'!D158</f>
        <v>0</v>
      </c>
      <c r="AC158" s="2114">
        <f>F158-'Blocking-Step2'!F158</f>
        <v>0</v>
      </c>
      <c r="AE158" s="2114">
        <f>H158-'Blocking-Step2'!H158</f>
        <v>0</v>
      </c>
      <c r="AF158" s="2114">
        <f>I158-'Blocking-Step2'!I158</f>
        <v>0</v>
      </c>
      <c r="AH158" s="2136">
        <f>K158-'Blocking-Step2'!K158</f>
        <v>0</v>
      </c>
      <c r="AJ158" s="2136">
        <f>M158-'Blocking-Step2'!M158</f>
        <v>0</v>
      </c>
      <c r="AL158" s="2136">
        <f>O158-'Blocking-Step2'!O158</f>
        <v>0</v>
      </c>
      <c r="AN158" s="2137">
        <f>Q158-'Blocking-Step2'!Q158</f>
        <v>0</v>
      </c>
      <c r="AP158" s="2127">
        <f>S158-'Blocking-Step2'!S158</f>
        <v>0</v>
      </c>
      <c r="AR158" s="2127">
        <f>U158-'Blocking-Step2'!U158</f>
        <v>0</v>
      </c>
      <c r="AT158" s="2127">
        <f>W158-'Blocking-Step2'!W158</f>
        <v>0</v>
      </c>
      <c r="AV158" s="2128">
        <f>Y158-'Blocking-Step2'!Y158</f>
        <v>0</v>
      </c>
    </row>
    <row r="159" spans="1:48">
      <c r="A159" s="1116" t="s">
        <v>1301</v>
      </c>
      <c r="C159" s="1105">
        <v>12</v>
      </c>
      <c r="D159" s="1105">
        <v>14</v>
      </c>
      <c r="F159" s="1907">
        <v>22</v>
      </c>
      <c r="G159" s="1110"/>
      <c r="H159" s="1146">
        <v>264</v>
      </c>
      <c r="I159" s="1146">
        <v>308</v>
      </c>
      <c r="K159" s="1907">
        <v>22</v>
      </c>
      <c r="L159" s="1110"/>
      <c r="M159" s="1907">
        <v>0</v>
      </c>
      <c r="N159" s="1110"/>
      <c r="O159" s="1907">
        <v>0</v>
      </c>
      <c r="P159" s="1110"/>
      <c r="Q159" s="1907">
        <v>22</v>
      </c>
      <c r="R159" s="1110"/>
      <c r="S159" s="1146">
        <v>308</v>
      </c>
      <c r="T159" s="1629"/>
      <c r="U159" s="1146">
        <v>0</v>
      </c>
      <c r="V159" s="1629"/>
      <c r="W159" s="1146">
        <v>0</v>
      </c>
      <c r="X159" s="1629"/>
      <c r="Y159" s="1146">
        <v>308</v>
      </c>
      <c r="Z159" s="2114">
        <f>C159-'Blocking-Step2'!C159</f>
        <v>0</v>
      </c>
      <c r="AA159" s="2114">
        <f>D159-'Blocking-Step2'!D159</f>
        <v>0</v>
      </c>
      <c r="AC159" s="2114">
        <f>F159-'Blocking-Step2'!F159</f>
        <v>0</v>
      </c>
      <c r="AE159" s="2114">
        <f>H159-'Blocking-Step2'!H159</f>
        <v>0</v>
      </c>
      <c r="AF159" s="2114">
        <f>I159-'Blocking-Step2'!I159</f>
        <v>0</v>
      </c>
      <c r="AH159" s="2136">
        <f>K159-'Blocking-Step2'!K159</f>
        <v>0</v>
      </c>
      <c r="AJ159" s="2136">
        <f>M159-'Blocking-Step2'!M159</f>
        <v>0</v>
      </c>
      <c r="AL159" s="2136">
        <f>O159-'Blocking-Step2'!O159</f>
        <v>0</v>
      </c>
      <c r="AN159" s="2137">
        <f>Q159-'Blocking-Step2'!Q159</f>
        <v>0</v>
      </c>
      <c r="AP159" s="2127">
        <f>S159-'Blocking-Step2'!S159</f>
        <v>0</v>
      </c>
      <c r="AR159" s="2127">
        <f>U159-'Blocking-Step2'!U159</f>
        <v>0</v>
      </c>
      <c r="AT159" s="2127">
        <f>W159-'Blocking-Step2'!W159</f>
        <v>0</v>
      </c>
      <c r="AV159" s="2128">
        <f>Y159-'Blocking-Step2'!Y159</f>
        <v>0</v>
      </c>
    </row>
    <row r="160" spans="1:48">
      <c r="A160" s="1116" t="s">
        <v>243</v>
      </c>
      <c r="C160" s="1105">
        <v>41793.397499999999</v>
      </c>
      <c r="D160" s="1105">
        <v>48755</v>
      </c>
      <c r="F160" s="1907">
        <v>8</v>
      </c>
      <c r="G160" s="1110"/>
      <c r="H160" s="1146">
        <v>334347</v>
      </c>
      <c r="I160" s="1146">
        <v>390040</v>
      </c>
      <c r="K160" s="1907"/>
      <c r="L160" s="1110"/>
      <c r="M160" s="1907"/>
      <c r="N160" s="1110"/>
      <c r="O160" s="1907"/>
      <c r="P160" s="1110"/>
      <c r="Q160" s="1907"/>
      <c r="R160" s="1110"/>
      <c r="S160" s="1146"/>
      <c r="T160" s="1629"/>
      <c r="U160" s="1146"/>
      <c r="V160" s="1629"/>
      <c r="W160" s="1146"/>
      <c r="X160" s="1629"/>
      <c r="Y160" s="1146"/>
      <c r="Z160" s="2114">
        <f>C160-'Blocking-Step2'!C160</f>
        <v>0</v>
      </c>
      <c r="AA160" s="2114">
        <f>D160-'Blocking-Step2'!D160</f>
        <v>0</v>
      </c>
      <c r="AC160" s="2114">
        <f>F160-'Blocking-Step2'!F160</f>
        <v>0</v>
      </c>
      <c r="AE160" s="2114">
        <f>H160-'Blocking-Step2'!H160</f>
        <v>0</v>
      </c>
      <c r="AF160" s="2114">
        <f>I160-'Blocking-Step2'!I160</f>
        <v>0</v>
      </c>
      <c r="AH160" s="2136">
        <f>K160-'Blocking-Step2'!K160</f>
        <v>0</v>
      </c>
      <c r="AJ160" s="2136">
        <f>M160-'Blocking-Step2'!M160</f>
        <v>0</v>
      </c>
      <c r="AL160" s="2136">
        <f>O160-'Blocking-Step2'!O160</f>
        <v>0</v>
      </c>
      <c r="AN160" s="2137">
        <f>Q160-'Blocking-Step2'!Q160</f>
        <v>0</v>
      </c>
      <c r="AP160" s="2127">
        <f>S160-'Blocking-Step2'!S160</f>
        <v>0</v>
      </c>
      <c r="AR160" s="2127">
        <f>U160-'Blocking-Step2'!U160</f>
        <v>0</v>
      </c>
      <c r="AT160" s="2127">
        <f>W160-'Blocking-Step2'!W160</f>
        <v>0</v>
      </c>
      <c r="AV160" s="2128">
        <f>Y160-'Blocking-Step2'!Y160</f>
        <v>0</v>
      </c>
    </row>
    <row r="161" spans="1:48">
      <c r="A161" s="1116" t="s">
        <v>1581</v>
      </c>
      <c r="C161" s="1105">
        <v>41131.633750000001</v>
      </c>
      <c r="D161" s="1105">
        <v>47983</v>
      </c>
      <c r="F161" s="1907"/>
      <c r="G161" s="1110"/>
      <c r="H161" s="1146"/>
      <c r="I161" s="1146"/>
      <c r="K161" s="1907"/>
      <c r="L161" s="1110"/>
      <c r="M161" s="1907"/>
      <c r="N161" s="1110"/>
      <c r="O161" s="1907"/>
      <c r="P161" s="1110"/>
      <c r="Q161" s="1907"/>
      <c r="R161" s="1110"/>
      <c r="S161" s="1146"/>
      <c r="T161" s="1629"/>
      <c r="U161" s="1146"/>
      <c r="V161" s="1629"/>
      <c r="W161" s="1146"/>
      <c r="X161" s="1629"/>
      <c r="Y161" s="1146"/>
      <c r="Z161" s="2114">
        <f>C161-'Blocking-Step2'!C161</f>
        <v>0</v>
      </c>
      <c r="AA161" s="2114">
        <f>D161-'Blocking-Step2'!D161</f>
        <v>0</v>
      </c>
      <c r="AC161" s="2114">
        <f>F161-'Blocking-Step2'!F161</f>
        <v>0</v>
      </c>
      <c r="AE161" s="2114">
        <f>H161-'Blocking-Step2'!H161</f>
        <v>0</v>
      </c>
      <c r="AF161" s="2114">
        <f>I161-'Blocking-Step2'!I161</f>
        <v>0</v>
      </c>
      <c r="AH161" s="2136">
        <f>K161-'Blocking-Step2'!K161</f>
        <v>0</v>
      </c>
      <c r="AJ161" s="2136">
        <f>M161-'Blocking-Step2'!M161</f>
        <v>0</v>
      </c>
      <c r="AL161" s="2136">
        <f>O161-'Blocking-Step2'!O161</f>
        <v>0</v>
      </c>
      <c r="AN161" s="2137">
        <f>Q161-'Blocking-Step2'!Q161</f>
        <v>0</v>
      </c>
      <c r="AP161" s="2127">
        <f>S161-'Blocking-Step2'!S161</f>
        <v>0</v>
      </c>
      <c r="AR161" s="2127">
        <f>U161-'Blocking-Step2'!U161</f>
        <v>0</v>
      </c>
      <c r="AT161" s="2127">
        <f>W161-'Blocking-Step2'!W161</f>
        <v>0</v>
      </c>
      <c r="AV161" s="2128">
        <f>Y161-'Blocking-Step2'!Y161</f>
        <v>0</v>
      </c>
    </row>
    <row r="162" spans="1:48">
      <c r="A162" s="1116" t="s">
        <v>1582</v>
      </c>
      <c r="C162" s="1105">
        <v>661.76374999999996</v>
      </c>
      <c r="D162" s="1105">
        <v>772</v>
      </c>
      <c r="F162" s="1907"/>
      <c r="G162" s="1110"/>
      <c r="H162" s="1146"/>
      <c r="I162" s="1146"/>
      <c r="K162" s="1907"/>
      <c r="L162" s="1110"/>
      <c r="M162" s="1907"/>
      <c r="N162" s="1110"/>
      <c r="O162" s="1907"/>
      <c r="P162" s="1110"/>
      <c r="Q162" s="1907"/>
      <c r="R162" s="1110"/>
      <c r="S162" s="1146"/>
      <c r="T162" s="1629"/>
      <c r="U162" s="1146"/>
      <c r="V162" s="1629"/>
      <c r="W162" s="1146"/>
      <c r="X162" s="1629"/>
      <c r="Y162" s="1146"/>
      <c r="Z162" s="2114">
        <f>C162-'Blocking-Step2'!C162</f>
        <v>0</v>
      </c>
      <c r="AA162" s="2114">
        <f>D162-'Blocking-Step2'!D162</f>
        <v>0</v>
      </c>
      <c r="AC162" s="2114">
        <f>F162-'Blocking-Step2'!F162</f>
        <v>0</v>
      </c>
      <c r="AE162" s="2114">
        <f>H162-'Blocking-Step2'!H162</f>
        <v>0</v>
      </c>
      <c r="AF162" s="2114">
        <f>I162-'Blocking-Step2'!I162</f>
        <v>0</v>
      </c>
      <c r="AH162" s="2136">
        <f>K162-'Blocking-Step2'!K162</f>
        <v>0</v>
      </c>
      <c r="AJ162" s="2136">
        <f>M162-'Blocking-Step2'!M162</f>
        <v>0</v>
      </c>
      <c r="AL162" s="2136">
        <f>O162-'Blocking-Step2'!O162</f>
        <v>0</v>
      </c>
      <c r="AN162" s="2137">
        <f>Q162-'Blocking-Step2'!Q162</f>
        <v>0</v>
      </c>
      <c r="AP162" s="2127">
        <f>S162-'Blocking-Step2'!S162</f>
        <v>0</v>
      </c>
      <c r="AR162" s="2127">
        <f>U162-'Blocking-Step2'!U162</f>
        <v>0</v>
      </c>
      <c r="AT162" s="2127">
        <f>W162-'Blocking-Step2'!W162</f>
        <v>0</v>
      </c>
      <c r="AV162" s="2128">
        <f>Y162-'Blocking-Step2'!Y162</f>
        <v>0</v>
      </c>
    </row>
    <row r="163" spans="1:48" s="1109" customFormat="1">
      <c r="A163" s="1116" t="s">
        <v>244</v>
      </c>
      <c r="B163" s="1104"/>
      <c r="C163" s="1105">
        <v>9.7675000000000001</v>
      </c>
      <c r="D163" s="1105">
        <v>11</v>
      </c>
      <c r="F163" s="1907">
        <v>16</v>
      </c>
      <c r="G163" s="1110"/>
      <c r="H163" s="1146">
        <v>156</v>
      </c>
      <c r="I163" s="1146">
        <v>176</v>
      </c>
      <c r="K163" s="1907"/>
      <c r="L163" s="1110"/>
      <c r="M163" s="1907"/>
      <c r="N163" s="1110"/>
      <c r="O163" s="1907"/>
      <c r="P163" s="1110"/>
      <c r="Q163" s="1907"/>
      <c r="R163" s="1110"/>
      <c r="S163" s="1146"/>
      <c r="T163" s="1629"/>
      <c r="U163" s="1146"/>
      <c r="V163" s="1629"/>
      <c r="W163" s="1146"/>
      <c r="X163" s="1629"/>
      <c r="Y163" s="1146"/>
      <c r="Z163" s="2114">
        <f>C163-'Blocking-Step2'!C163</f>
        <v>0</v>
      </c>
      <c r="AA163" s="2114">
        <f>D163-'Blocking-Step2'!D163</f>
        <v>0</v>
      </c>
      <c r="AB163" s="2114"/>
      <c r="AC163" s="2114">
        <f>F163-'Blocking-Step2'!F163</f>
        <v>0</v>
      </c>
      <c r="AD163" s="2114"/>
      <c r="AE163" s="2114">
        <f>H163-'Blocking-Step2'!H163</f>
        <v>0</v>
      </c>
      <c r="AF163" s="2114">
        <f>I163-'Blocking-Step2'!I163</f>
        <v>0</v>
      </c>
      <c r="AG163" s="2114"/>
      <c r="AH163" s="2136">
        <f>K163-'Blocking-Step2'!K163</f>
        <v>0</v>
      </c>
      <c r="AI163" s="2136"/>
      <c r="AJ163" s="2136">
        <f>M163-'Blocking-Step2'!M163</f>
        <v>0</v>
      </c>
      <c r="AK163" s="2136"/>
      <c r="AL163" s="2136">
        <f>O163-'Blocking-Step2'!O163</f>
        <v>0</v>
      </c>
      <c r="AM163" s="2136"/>
      <c r="AN163" s="2137">
        <f>Q163-'Blocking-Step2'!Q163</f>
        <v>0</v>
      </c>
      <c r="AO163" s="2114"/>
      <c r="AP163" s="2127">
        <f>S163-'Blocking-Step2'!S163</f>
        <v>0</v>
      </c>
      <c r="AQ163" s="2127"/>
      <c r="AR163" s="2127">
        <f>U163-'Blocking-Step2'!U163</f>
        <v>0</v>
      </c>
      <c r="AS163" s="2127"/>
      <c r="AT163" s="2127">
        <f>W163-'Blocking-Step2'!W163</f>
        <v>0</v>
      </c>
      <c r="AU163" s="2127"/>
      <c r="AV163" s="2128">
        <f>Y163-'Blocking-Step2'!Y163</f>
        <v>0</v>
      </c>
    </row>
    <row r="164" spans="1:48">
      <c r="A164" s="1116" t="s">
        <v>1581</v>
      </c>
      <c r="C164" s="1105">
        <v>7.2675000000000001</v>
      </c>
      <c r="D164" s="1105">
        <v>8</v>
      </c>
      <c r="F164" s="1907"/>
      <c r="G164" s="1110"/>
      <c r="H164" s="1146"/>
      <c r="I164" s="1146"/>
      <c r="K164" s="1907"/>
      <c r="L164" s="1110"/>
      <c r="M164" s="1907"/>
      <c r="N164" s="1110"/>
      <c r="O164" s="1907"/>
      <c r="P164" s="1110"/>
      <c r="Q164" s="1907"/>
      <c r="R164" s="1110"/>
      <c r="S164" s="1146"/>
      <c r="T164" s="1629"/>
      <c r="U164" s="1146"/>
      <c r="V164" s="1629"/>
      <c r="W164" s="1146"/>
      <c r="X164" s="1629"/>
      <c r="Y164" s="1146"/>
      <c r="Z164" s="2114">
        <f>C164-'Blocking-Step2'!C164</f>
        <v>0</v>
      </c>
      <c r="AA164" s="2114">
        <f>D164-'Blocking-Step2'!D164</f>
        <v>0</v>
      </c>
      <c r="AC164" s="2114">
        <f>F164-'Blocking-Step2'!F164</f>
        <v>0</v>
      </c>
      <c r="AE164" s="2114">
        <f>H164-'Blocking-Step2'!H164</f>
        <v>0</v>
      </c>
      <c r="AF164" s="2114">
        <f>I164-'Blocking-Step2'!I164</f>
        <v>0</v>
      </c>
      <c r="AH164" s="2136">
        <f>K164-'Blocking-Step2'!K164</f>
        <v>0</v>
      </c>
      <c r="AJ164" s="2136">
        <f>M164-'Blocking-Step2'!M164</f>
        <v>0</v>
      </c>
      <c r="AL164" s="2136">
        <f>O164-'Blocking-Step2'!O164</f>
        <v>0</v>
      </c>
      <c r="AN164" s="2137">
        <f>Q164-'Blocking-Step2'!Q164</f>
        <v>0</v>
      </c>
      <c r="AP164" s="2127">
        <f>S164-'Blocking-Step2'!S164</f>
        <v>0</v>
      </c>
      <c r="AR164" s="2127">
        <f>U164-'Blocking-Step2'!U164</f>
        <v>0</v>
      </c>
      <c r="AT164" s="2127">
        <f>W164-'Blocking-Step2'!W164</f>
        <v>0</v>
      </c>
      <c r="AV164" s="2128">
        <f>Y164-'Blocking-Step2'!Y164</f>
        <v>0</v>
      </c>
    </row>
    <row r="165" spans="1:48">
      <c r="A165" s="1116" t="s">
        <v>1582</v>
      </c>
      <c r="C165" s="1105">
        <v>2.5</v>
      </c>
      <c r="D165" s="1105">
        <v>3</v>
      </c>
      <c r="F165" s="1907"/>
      <c r="G165" s="1110"/>
      <c r="H165" s="1146"/>
      <c r="I165" s="1146"/>
      <c r="K165" s="1907"/>
      <c r="L165" s="1110"/>
      <c r="M165" s="1907"/>
      <c r="N165" s="1110"/>
      <c r="O165" s="1907"/>
      <c r="P165" s="1110"/>
      <c r="Q165" s="1907"/>
      <c r="R165" s="1110"/>
      <c r="S165" s="1146"/>
      <c r="T165" s="1629"/>
      <c r="U165" s="1146"/>
      <c r="V165" s="1629"/>
      <c r="W165" s="1146"/>
      <c r="X165" s="1629"/>
      <c r="Y165" s="1146"/>
      <c r="Z165" s="2114">
        <f>C165-'Blocking-Step2'!C165</f>
        <v>0</v>
      </c>
      <c r="AA165" s="2114">
        <f>D165-'Blocking-Step2'!D165</f>
        <v>0</v>
      </c>
      <c r="AC165" s="2114">
        <f>F165-'Blocking-Step2'!F165</f>
        <v>0</v>
      </c>
      <c r="AE165" s="2114">
        <f>H165-'Blocking-Step2'!H165</f>
        <v>0</v>
      </c>
      <c r="AF165" s="2114">
        <f>I165-'Blocking-Step2'!I165</f>
        <v>0</v>
      </c>
      <c r="AH165" s="2136">
        <f>K165-'Blocking-Step2'!K165</f>
        <v>0</v>
      </c>
      <c r="AJ165" s="2136">
        <f>M165-'Blocking-Step2'!M165</f>
        <v>0</v>
      </c>
      <c r="AL165" s="2136">
        <f>O165-'Blocking-Step2'!O165</f>
        <v>0</v>
      </c>
      <c r="AN165" s="2137">
        <f>Q165-'Blocking-Step2'!Q165</f>
        <v>0</v>
      </c>
      <c r="AP165" s="2127">
        <f>S165-'Blocking-Step2'!S165</f>
        <v>0</v>
      </c>
      <c r="AR165" s="2127">
        <f>U165-'Blocking-Step2'!U165</f>
        <v>0</v>
      </c>
      <c r="AT165" s="2127">
        <f>W165-'Blocking-Step2'!W165</f>
        <v>0</v>
      </c>
      <c r="AV165" s="2128">
        <f>Y165-'Blocking-Step2'!Y165</f>
        <v>0</v>
      </c>
    </row>
    <row r="166" spans="1:48" s="1109" customFormat="1">
      <c r="A166" s="1116" t="s">
        <v>245</v>
      </c>
      <c r="B166" s="1104"/>
      <c r="C166" s="1105">
        <v>0</v>
      </c>
      <c r="D166" s="1105">
        <v>0</v>
      </c>
      <c r="F166" s="1907">
        <v>96</v>
      </c>
      <c r="G166" s="1110"/>
      <c r="H166" s="1146">
        <v>0</v>
      </c>
      <c r="I166" s="1146">
        <v>0</v>
      </c>
      <c r="K166" s="1907"/>
      <c r="L166" s="1110"/>
      <c r="M166" s="1907"/>
      <c r="N166" s="1110"/>
      <c r="O166" s="1907"/>
      <c r="P166" s="1110"/>
      <c r="Q166" s="1907"/>
      <c r="R166" s="1110"/>
      <c r="S166" s="1146"/>
      <c r="T166" s="1629"/>
      <c r="U166" s="1146"/>
      <c r="V166" s="1629"/>
      <c r="W166" s="1146"/>
      <c r="X166" s="1629"/>
      <c r="Y166" s="1146"/>
      <c r="Z166" s="2114">
        <f>C166-'Blocking-Step2'!C166</f>
        <v>0</v>
      </c>
      <c r="AA166" s="2114">
        <f>D166-'Blocking-Step2'!D166</f>
        <v>0</v>
      </c>
      <c r="AB166" s="2114"/>
      <c r="AC166" s="2114">
        <f>F166-'Blocking-Step2'!F166</f>
        <v>0</v>
      </c>
      <c r="AD166" s="2114"/>
      <c r="AE166" s="2114">
        <f>H166-'Blocking-Step2'!H166</f>
        <v>0</v>
      </c>
      <c r="AF166" s="2114">
        <f>I166-'Blocking-Step2'!I166</f>
        <v>0</v>
      </c>
      <c r="AG166" s="2114"/>
      <c r="AH166" s="2136">
        <f>K166-'Blocking-Step2'!K166</f>
        <v>0</v>
      </c>
      <c r="AI166" s="2136"/>
      <c r="AJ166" s="2136">
        <f>M166-'Blocking-Step2'!M166</f>
        <v>0</v>
      </c>
      <c r="AK166" s="2136"/>
      <c r="AL166" s="2136">
        <f>O166-'Blocking-Step2'!O166</f>
        <v>0</v>
      </c>
      <c r="AM166" s="2136"/>
      <c r="AN166" s="2137">
        <f>Q166-'Blocking-Step2'!Q166</f>
        <v>0</v>
      </c>
      <c r="AO166" s="2114"/>
      <c r="AP166" s="2127">
        <f>S166-'Blocking-Step2'!S166</f>
        <v>0</v>
      </c>
      <c r="AQ166" s="2127"/>
      <c r="AR166" s="2127">
        <f>U166-'Blocking-Step2'!U166</f>
        <v>0</v>
      </c>
      <c r="AS166" s="2127"/>
      <c r="AT166" s="2127">
        <f>W166-'Blocking-Step2'!W166</f>
        <v>0</v>
      </c>
      <c r="AU166" s="2127"/>
      <c r="AV166" s="2128">
        <f>Y166-'Blocking-Step2'!Y166</f>
        <v>0</v>
      </c>
    </row>
    <row r="167" spans="1:48">
      <c r="A167" s="1116" t="s">
        <v>1532</v>
      </c>
      <c r="C167" s="1105">
        <v>5306.0149714409508</v>
      </c>
      <c r="D167" s="1105">
        <v>7090</v>
      </c>
      <c r="F167" s="1922"/>
      <c r="G167" s="1921"/>
      <c r="H167" s="1146"/>
      <c r="I167" s="1146"/>
      <c r="K167" s="1922">
        <v>0</v>
      </c>
      <c r="L167" s="1921" t="s">
        <v>495</v>
      </c>
      <c r="M167" s="1922">
        <v>0</v>
      </c>
      <c r="N167" s="1921" t="s">
        <v>495</v>
      </c>
      <c r="O167" s="1922">
        <v>4.3559999999999999</v>
      </c>
      <c r="P167" s="1921" t="s">
        <v>495</v>
      </c>
      <c r="Q167" s="1922">
        <v>4.3559999999999999</v>
      </c>
      <c r="R167" s="1921" t="s">
        <v>495</v>
      </c>
      <c r="S167" s="1146">
        <v>0</v>
      </c>
      <c r="T167" s="1656"/>
      <c r="U167" s="1146">
        <v>0</v>
      </c>
      <c r="V167" s="1656"/>
      <c r="W167" s="1146">
        <v>309</v>
      </c>
      <c r="X167" s="1648"/>
      <c r="Y167" s="1146">
        <v>309</v>
      </c>
      <c r="Z167" s="2114">
        <f>C167-'Blocking-Step2'!C167</f>
        <v>0</v>
      </c>
      <c r="AA167" s="2114">
        <f>D167-'Blocking-Step2'!D167</f>
        <v>0</v>
      </c>
      <c r="AC167" s="2114">
        <f>F167-'Blocking-Step2'!F167</f>
        <v>0</v>
      </c>
      <c r="AE167" s="2114">
        <f>H167-'Blocking-Step2'!H167</f>
        <v>0</v>
      </c>
      <c r="AF167" s="2114">
        <f>I167-'Blocking-Step2'!I167</f>
        <v>0</v>
      </c>
      <c r="AH167" s="2136">
        <f>K167-'Blocking-Step2'!K167</f>
        <v>0</v>
      </c>
      <c r="AJ167" s="2136">
        <f>M167-'Blocking-Step2'!M167</f>
        <v>0</v>
      </c>
      <c r="AL167" s="2136">
        <f>O167-'Blocking-Step2'!O167</f>
        <v>0</v>
      </c>
      <c r="AN167" s="2137">
        <f>Q167-'Blocking-Step2'!Q167</f>
        <v>0</v>
      </c>
      <c r="AP167" s="2127">
        <f>S167-'Blocking-Step2'!S167</f>
        <v>0</v>
      </c>
      <c r="AR167" s="2127">
        <f>U167-'Blocking-Step2'!U167</f>
        <v>0</v>
      </c>
      <c r="AT167" s="2127">
        <f>W167-'Blocking-Step2'!W167</f>
        <v>0</v>
      </c>
      <c r="AV167" s="2128">
        <f>Y167-'Blocking-Step2'!Y167</f>
        <v>0</v>
      </c>
    </row>
    <row r="168" spans="1:48">
      <c r="A168" s="1116" t="s">
        <v>1533</v>
      </c>
      <c r="C168" s="1105">
        <v>33281.092966817378</v>
      </c>
      <c r="D168" s="1105">
        <v>44469</v>
      </c>
      <c r="F168" s="1922"/>
      <c r="G168" s="1921"/>
      <c r="H168" s="1146"/>
      <c r="I168" s="1146"/>
      <c r="K168" s="1922">
        <v>0</v>
      </c>
      <c r="L168" s="1921" t="s">
        <v>495</v>
      </c>
      <c r="M168" s="1922">
        <v>0</v>
      </c>
      <c r="N168" s="1921" t="s">
        <v>495</v>
      </c>
      <c r="O168" s="1922">
        <v>-1.6334</v>
      </c>
      <c r="P168" s="1921" t="s">
        <v>495</v>
      </c>
      <c r="Q168" s="1922">
        <v>-1.6334</v>
      </c>
      <c r="R168" s="1921" t="s">
        <v>495</v>
      </c>
      <c r="S168" s="1146">
        <v>0</v>
      </c>
      <c r="T168" s="1656"/>
      <c r="U168" s="1146">
        <v>0</v>
      </c>
      <c r="V168" s="1656"/>
      <c r="W168" s="1146">
        <v>-726</v>
      </c>
      <c r="X168" s="1648"/>
      <c r="Y168" s="1146">
        <v>-726</v>
      </c>
      <c r="Z168" s="2114">
        <f>C168-'Blocking-Step2'!C168</f>
        <v>0</v>
      </c>
      <c r="AA168" s="2114">
        <f>D168-'Blocking-Step2'!D168</f>
        <v>0</v>
      </c>
      <c r="AC168" s="2114">
        <f>F168-'Blocking-Step2'!F168</f>
        <v>0</v>
      </c>
      <c r="AE168" s="2114">
        <f>H168-'Blocking-Step2'!H168</f>
        <v>0</v>
      </c>
      <c r="AF168" s="2114">
        <f>I168-'Blocking-Step2'!I168</f>
        <v>0</v>
      </c>
      <c r="AH168" s="2136">
        <f>K168-'Blocking-Step2'!K168</f>
        <v>0</v>
      </c>
      <c r="AJ168" s="2136">
        <f>M168-'Blocking-Step2'!M168</f>
        <v>0</v>
      </c>
      <c r="AL168" s="2136">
        <f>O168-'Blocking-Step2'!O168</f>
        <v>0</v>
      </c>
      <c r="AN168" s="2137">
        <f>Q168-'Blocking-Step2'!Q168</f>
        <v>0</v>
      </c>
      <c r="AP168" s="2127">
        <f>S168-'Blocking-Step2'!S168</f>
        <v>0</v>
      </c>
      <c r="AR168" s="2127">
        <f>U168-'Blocking-Step2'!U168</f>
        <v>0</v>
      </c>
      <c r="AT168" s="2127">
        <f>W168-'Blocking-Step2'!W168</f>
        <v>0</v>
      </c>
      <c r="AV168" s="2128">
        <f>Y168-'Blocking-Step2'!Y168</f>
        <v>0</v>
      </c>
    </row>
    <row r="169" spans="1:48">
      <c r="A169" s="1116" t="s">
        <v>1534</v>
      </c>
      <c r="C169" s="1024">
        <v>16439716.09066999</v>
      </c>
      <c r="D169" s="1105">
        <v>21966173.894598663</v>
      </c>
      <c r="F169" s="1927"/>
      <c r="G169" s="1921"/>
      <c r="H169" s="1146"/>
      <c r="I169" s="1146"/>
      <c r="K169" s="1927">
        <v>2.7378999999999998</v>
      </c>
      <c r="L169" s="1921" t="s">
        <v>495</v>
      </c>
      <c r="M169" s="1927">
        <v>5.3996000000000004</v>
      </c>
      <c r="N169" s="1921" t="s">
        <v>495</v>
      </c>
      <c r="O169" s="1927">
        <v>1.3648728754966735</v>
      </c>
      <c r="P169" s="1921" t="s">
        <v>495</v>
      </c>
      <c r="Q169" s="1927">
        <v>9.5023728754966736</v>
      </c>
      <c r="R169" s="1921" t="s">
        <v>495</v>
      </c>
      <c r="S169" s="1146">
        <v>601412</v>
      </c>
      <c r="T169" s="1656"/>
      <c r="U169" s="1146">
        <v>1186086</v>
      </c>
      <c r="V169" s="1656"/>
      <c r="W169" s="1146">
        <v>299810</v>
      </c>
      <c r="X169" s="1648"/>
      <c r="Y169" s="1146">
        <v>2087308</v>
      </c>
      <c r="Z169" s="2114">
        <f>C169-'Blocking-Step2'!C169</f>
        <v>0</v>
      </c>
      <c r="AA169" s="2114">
        <f>D169-'Blocking-Step2'!D169</f>
        <v>0</v>
      </c>
      <c r="AC169" s="2114">
        <f>F169-'Blocking-Step2'!F169</f>
        <v>0</v>
      </c>
      <c r="AE169" s="2114">
        <f>H169-'Blocking-Step2'!H169</f>
        <v>0</v>
      </c>
      <c r="AF169" s="2114">
        <f>I169-'Blocking-Step2'!I169</f>
        <v>0</v>
      </c>
      <c r="AH169" s="2136">
        <f>K169-'Blocking-Step2'!K169</f>
        <v>-1.6915000000000004</v>
      </c>
      <c r="AJ169" s="2136">
        <f>M169-'Blocking-Step2'!M169</f>
        <v>1.6955000000000005</v>
      </c>
      <c r="AL169" s="2136">
        <f>O169-'Blocking-Step2'!O169</f>
        <v>2.8657465324455345E-4</v>
      </c>
      <c r="AN169" s="2137">
        <f>Q169-'Blocking-Step2'!Q169</f>
        <v>4.286574653244557E-3</v>
      </c>
      <c r="AP169" s="2127">
        <f>S169-'Blocking-Step2'!S169</f>
        <v>-371558</v>
      </c>
      <c r="AR169" s="2127">
        <f>U169-'Blocking-Step2'!U169</f>
        <v>372437</v>
      </c>
      <c r="AT169" s="2127">
        <f>W169-'Blocking-Step2'!W169</f>
        <v>63</v>
      </c>
      <c r="AV169" s="2128">
        <f>Y169-'Blocking-Step2'!Y169</f>
        <v>942</v>
      </c>
    </row>
    <row r="170" spans="1:48">
      <c r="A170" s="1116" t="s">
        <v>1535</v>
      </c>
      <c r="C170" s="1024">
        <v>10812418.378645124</v>
      </c>
      <c r="D170" s="1105">
        <v>14447176</v>
      </c>
      <c r="F170" s="1927"/>
      <c r="G170" s="1921"/>
      <c r="H170" s="1146"/>
      <c r="I170" s="1146"/>
      <c r="K170" s="1927">
        <v>2.7378999999999998</v>
      </c>
      <c r="L170" s="1921" t="s">
        <v>495</v>
      </c>
      <c r="M170" s="1927">
        <v>5.3996000000000004</v>
      </c>
      <c r="N170" s="1921" t="s">
        <v>495</v>
      </c>
      <c r="O170" s="1927">
        <v>4.0579728754966728</v>
      </c>
      <c r="P170" s="1921" t="s">
        <v>495</v>
      </c>
      <c r="Q170" s="1927">
        <v>12.195472875496673</v>
      </c>
      <c r="R170" s="1921" t="s">
        <v>495</v>
      </c>
      <c r="S170" s="1146">
        <v>395549</v>
      </c>
      <c r="T170" s="1656"/>
      <c r="U170" s="1146">
        <v>780090</v>
      </c>
      <c r="V170" s="1656"/>
      <c r="W170" s="1146">
        <v>586262</v>
      </c>
      <c r="X170" s="1648"/>
      <c r="Y170" s="1146">
        <v>1761901</v>
      </c>
      <c r="Z170" s="2114">
        <f>C170-'Blocking-Step2'!C170</f>
        <v>0</v>
      </c>
      <c r="AA170" s="2114">
        <f>D170-'Blocking-Step2'!D170</f>
        <v>0</v>
      </c>
      <c r="AC170" s="2114">
        <f>F170-'Blocking-Step2'!F170</f>
        <v>0</v>
      </c>
      <c r="AE170" s="2114">
        <f>H170-'Blocking-Step2'!H170</f>
        <v>0</v>
      </c>
      <c r="AF170" s="2114">
        <f>I170-'Blocking-Step2'!I170</f>
        <v>0</v>
      </c>
      <c r="AH170" s="2136">
        <f>K170-'Blocking-Step2'!K170</f>
        <v>-1.6915000000000004</v>
      </c>
      <c r="AJ170" s="2136">
        <f>M170-'Blocking-Step2'!M170</f>
        <v>1.6955000000000005</v>
      </c>
      <c r="AL170" s="2136">
        <f>O170-'Blocking-Step2'!O170</f>
        <v>2.8657465324410936E-4</v>
      </c>
      <c r="AN170" s="2137">
        <f>Q170-'Blocking-Step2'!Q170</f>
        <v>4.286574653244557E-3</v>
      </c>
      <c r="AP170" s="2127">
        <f>S170-'Blocking-Step2'!S170</f>
        <v>-244374</v>
      </c>
      <c r="AR170" s="2127">
        <f>U170-'Blocking-Step2'!U170</f>
        <v>244952</v>
      </c>
      <c r="AT170" s="2127">
        <f>W170-'Blocking-Step2'!W170</f>
        <v>41</v>
      </c>
      <c r="AV170" s="2128">
        <f>Y170-'Blocking-Step2'!Y170</f>
        <v>619</v>
      </c>
    </row>
    <row r="171" spans="1:48">
      <c r="A171" s="1116" t="s">
        <v>1536</v>
      </c>
      <c r="C171" s="1024">
        <v>5925108.1796947811</v>
      </c>
      <c r="D171" s="1105">
        <v>7916923</v>
      </c>
      <c r="F171" s="1927"/>
      <c r="G171" s="1921"/>
      <c r="H171" s="1146"/>
      <c r="I171" s="1146"/>
      <c r="K171" s="1927">
        <v>2.7378999999999998</v>
      </c>
      <c r="L171" s="1921" t="s">
        <v>495</v>
      </c>
      <c r="M171" s="1927">
        <v>5.3996000000000004</v>
      </c>
      <c r="N171" s="1921" t="s">
        <v>495</v>
      </c>
      <c r="O171" s="1927">
        <v>4.0579728754966728</v>
      </c>
      <c r="P171" s="1921" t="s">
        <v>495</v>
      </c>
      <c r="Q171" s="1927">
        <v>12.195472875496673</v>
      </c>
      <c r="R171" s="1921" t="s">
        <v>495</v>
      </c>
      <c r="S171" s="1146">
        <v>216757</v>
      </c>
      <c r="T171" s="1656"/>
      <c r="U171" s="1146">
        <v>427482</v>
      </c>
      <c r="V171" s="1656"/>
      <c r="W171" s="1146">
        <v>321267</v>
      </c>
      <c r="X171" s="1648"/>
      <c r="Y171" s="1146">
        <v>965506</v>
      </c>
      <c r="Z171" s="2114">
        <f>C171-'Blocking-Step2'!C171</f>
        <v>0</v>
      </c>
      <c r="AA171" s="2114">
        <f>D171-'Blocking-Step2'!D171</f>
        <v>0</v>
      </c>
      <c r="AC171" s="2114">
        <f>F171-'Blocking-Step2'!F171</f>
        <v>0</v>
      </c>
      <c r="AE171" s="2114">
        <f>H171-'Blocking-Step2'!H171</f>
        <v>0</v>
      </c>
      <c r="AF171" s="2114">
        <f>I171-'Blocking-Step2'!I171</f>
        <v>0</v>
      </c>
      <c r="AH171" s="2136">
        <f>K171-'Blocking-Step2'!K171</f>
        <v>-1.6915000000000004</v>
      </c>
      <c r="AJ171" s="2136">
        <f>M171-'Blocking-Step2'!M171</f>
        <v>1.6955000000000005</v>
      </c>
      <c r="AL171" s="2136">
        <f>O171-'Blocking-Step2'!O171</f>
        <v>2.8657465324410936E-4</v>
      </c>
      <c r="AN171" s="2137">
        <f>Q171-'Blocking-Step2'!Q171</f>
        <v>4.286574653244557E-3</v>
      </c>
      <c r="AP171" s="2127">
        <f>S171-'Blocking-Step2'!S171</f>
        <v>-133915</v>
      </c>
      <c r="AR171" s="2127">
        <f>U171-'Blocking-Step2'!U171</f>
        <v>134231</v>
      </c>
      <c r="AT171" s="2127">
        <f>W171-'Blocking-Step2'!W171</f>
        <v>23</v>
      </c>
      <c r="AV171" s="2128">
        <f>Y171-'Blocking-Step2'!Y171</f>
        <v>339</v>
      </c>
    </row>
    <row r="172" spans="1:48">
      <c r="A172" s="1116" t="s">
        <v>1537</v>
      </c>
      <c r="B172" s="1928"/>
      <c r="C172" s="1105">
        <v>42954251.743285455</v>
      </c>
      <c r="D172" s="1105">
        <v>50047131</v>
      </c>
      <c r="E172" s="804"/>
      <c r="F172" s="1927"/>
      <c r="G172" s="1921"/>
      <c r="H172" s="1146"/>
      <c r="I172" s="1146"/>
      <c r="J172" s="804"/>
      <c r="K172" s="1927">
        <v>2.7378999999999998</v>
      </c>
      <c r="L172" s="1921" t="s">
        <v>495</v>
      </c>
      <c r="M172" s="1927">
        <v>5.3996000000000004</v>
      </c>
      <c r="N172" s="1921" t="s">
        <v>495</v>
      </c>
      <c r="O172" s="1927">
        <v>0.27167953583799953</v>
      </c>
      <c r="P172" s="1921" t="s">
        <v>495</v>
      </c>
      <c r="Q172" s="1927">
        <v>8.4091795358379997</v>
      </c>
      <c r="R172" s="1921" t="s">
        <v>495</v>
      </c>
      <c r="S172" s="1146">
        <v>1370240</v>
      </c>
      <c r="T172" s="1656"/>
      <c r="U172" s="1146">
        <v>2702345</v>
      </c>
      <c r="V172" s="1656"/>
      <c r="W172" s="1146">
        <v>135968</v>
      </c>
      <c r="X172" s="1648"/>
      <c r="Y172" s="1146">
        <v>4208553</v>
      </c>
      <c r="Z172" s="2114">
        <f>C172-'Blocking-Step2'!C172</f>
        <v>0</v>
      </c>
      <c r="AA172" s="2114">
        <f>D172-'Blocking-Step2'!D172</f>
        <v>0</v>
      </c>
      <c r="AC172" s="2114">
        <f>F172-'Blocking-Step2'!F172</f>
        <v>0</v>
      </c>
      <c r="AE172" s="2114">
        <f>H172-'Blocking-Step2'!H172</f>
        <v>0</v>
      </c>
      <c r="AF172" s="2114">
        <f>I172-'Blocking-Step2'!I172</f>
        <v>0</v>
      </c>
      <c r="AH172" s="2136">
        <f>K172-'Blocking-Step2'!K172</f>
        <v>-1.6915000000000004</v>
      </c>
      <c r="AJ172" s="2136">
        <f>M172-'Blocking-Step2'!M172</f>
        <v>1.6955000000000005</v>
      </c>
      <c r="AL172" s="2136">
        <f>O172-'Blocking-Step2'!O172</f>
        <v>-2.0657110300037473E-4</v>
      </c>
      <c r="AN172" s="2137">
        <f>Q172-'Blocking-Step2'!Q172</f>
        <v>3.7934288969996288E-3</v>
      </c>
      <c r="AP172" s="2127">
        <f>S172-'Blocking-Step2'!S172</f>
        <v>-846548</v>
      </c>
      <c r="AR172" s="2127">
        <f>U172-'Blocking-Step2'!U172</f>
        <v>848549</v>
      </c>
      <c r="AT172" s="2127">
        <f>W172-'Blocking-Step2'!W172</f>
        <v>-103</v>
      </c>
      <c r="AV172" s="2128">
        <f>Y172-'Blocking-Step2'!Y172</f>
        <v>1898</v>
      </c>
    </row>
    <row r="173" spans="1:48">
      <c r="A173" s="1116" t="s">
        <v>1538</v>
      </c>
      <c r="B173" s="1928"/>
      <c r="C173" s="1105">
        <v>41160207.628910221</v>
      </c>
      <c r="D173" s="1105">
        <v>47956842</v>
      </c>
      <c r="E173" s="804"/>
      <c r="F173" s="1927"/>
      <c r="G173" s="1921"/>
      <c r="H173" s="1146"/>
      <c r="I173" s="1146"/>
      <c r="J173" s="804"/>
      <c r="K173" s="1927">
        <v>2.7378999999999998</v>
      </c>
      <c r="L173" s="1921" t="s">
        <v>495</v>
      </c>
      <c r="M173" s="1927">
        <v>5.3996000000000004</v>
      </c>
      <c r="N173" s="1921" t="s">
        <v>495</v>
      </c>
      <c r="O173" s="1927">
        <v>2.6549538721209993</v>
      </c>
      <c r="P173" s="1921" t="s">
        <v>495</v>
      </c>
      <c r="Q173" s="1927">
        <v>10.792453872120999</v>
      </c>
      <c r="R173" s="1921" t="s">
        <v>495</v>
      </c>
      <c r="S173" s="1146">
        <v>1313010</v>
      </c>
      <c r="T173" s="1656"/>
      <c r="U173" s="1146">
        <v>2589478</v>
      </c>
      <c r="V173" s="1656"/>
      <c r="W173" s="1146">
        <v>1273232</v>
      </c>
      <c r="X173" s="1648"/>
      <c r="Y173" s="1146">
        <v>5175720</v>
      </c>
      <c r="Z173" s="2114">
        <f>C173-'Blocking-Step2'!C173</f>
        <v>0</v>
      </c>
      <c r="AA173" s="2114">
        <f>D173-'Blocking-Step2'!D173</f>
        <v>0</v>
      </c>
      <c r="AC173" s="2114">
        <f>F173-'Blocking-Step2'!F173</f>
        <v>0</v>
      </c>
      <c r="AE173" s="2114">
        <f>H173-'Blocking-Step2'!H173</f>
        <v>0</v>
      </c>
      <c r="AF173" s="2114">
        <f>I173-'Blocking-Step2'!I173</f>
        <v>0</v>
      </c>
      <c r="AH173" s="2136">
        <f>K173-'Blocking-Step2'!K173</f>
        <v>-1.6915000000000004</v>
      </c>
      <c r="AJ173" s="2136">
        <f>M173-'Blocking-Step2'!M173</f>
        <v>1.6955000000000005</v>
      </c>
      <c r="AL173" s="2136">
        <f>O173-'Blocking-Step2'!O173</f>
        <v>-2.0657110300037473E-4</v>
      </c>
      <c r="AN173" s="2137">
        <f>Q173-'Blocking-Step2'!Q173</f>
        <v>3.7934288969996288E-3</v>
      </c>
      <c r="AP173" s="2127">
        <f>S173-'Blocking-Step2'!S173</f>
        <v>-811190</v>
      </c>
      <c r="AR173" s="2127">
        <f>U173-'Blocking-Step2'!U173</f>
        <v>813109</v>
      </c>
      <c r="AT173" s="2127">
        <f>W173-'Blocking-Step2'!W173</f>
        <v>-99</v>
      </c>
      <c r="AV173" s="2128">
        <f>Y173-'Blocking-Step2'!Y173</f>
        <v>1819</v>
      </c>
    </row>
    <row r="174" spans="1:48">
      <c r="A174" s="1116" t="s">
        <v>188</v>
      </c>
      <c r="C174" s="1105">
        <v>5872</v>
      </c>
      <c r="D174" s="1105">
        <v>7604</v>
      </c>
      <c r="F174" s="1922">
        <v>4.3559999999999999</v>
      </c>
      <c r="G174" s="1921" t="s">
        <v>495</v>
      </c>
      <c r="H174" s="1146">
        <v>256</v>
      </c>
      <c r="I174" s="1146">
        <v>331</v>
      </c>
      <c r="K174" s="1922"/>
      <c r="L174" s="1921"/>
      <c r="M174" s="1922"/>
      <c r="N174" s="1921"/>
      <c r="O174" s="1922"/>
      <c r="P174" s="1921"/>
      <c r="Q174" s="1922"/>
      <c r="R174" s="1921"/>
      <c r="S174" s="1146"/>
      <c r="T174" s="1648"/>
      <c r="U174" s="1146"/>
      <c r="V174" s="1648"/>
      <c r="W174" s="1146"/>
      <c r="X174" s="1648"/>
      <c r="Y174" s="1146"/>
      <c r="Z174" s="2114">
        <f>C174-'Blocking-Step2'!C174</f>
        <v>0</v>
      </c>
      <c r="AA174" s="2114">
        <f>D174-'Blocking-Step2'!D174</f>
        <v>0</v>
      </c>
      <c r="AC174" s="2114">
        <f>F174-'Blocking-Step2'!F174</f>
        <v>0</v>
      </c>
      <c r="AE174" s="2114">
        <f>H174-'Blocking-Step2'!H174</f>
        <v>0</v>
      </c>
      <c r="AF174" s="2114">
        <f>I174-'Blocking-Step2'!I174</f>
        <v>0</v>
      </c>
      <c r="AH174" s="2136">
        <f>K174-'Blocking-Step2'!K174</f>
        <v>0</v>
      </c>
      <c r="AJ174" s="2136">
        <f>M174-'Blocking-Step2'!M174</f>
        <v>0</v>
      </c>
      <c r="AL174" s="2136">
        <f>O174-'Blocking-Step2'!O174</f>
        <v>0</v>
      </c>
      <c r="AN174" s="2137">
        <f>Q174-'Blocking-Step2'!Q174</f>
        <v>0</v>
      </c>
      <c r="AP174" s="2127">
        <f>S174-'Blocking-Step2'!S174</f>
        <v>0</v>
      </c>
      <c r="AR174" s="2127">
        <f>U174-'Blocking-Step2'!U174</f>
        <v>0</v>
      </c>
      <c r="AT174" s="2127">
        <f>W174-'Blocking-Step2'!W174</f>
        <v>0</v>
      </c>
      <c r="AV174" s="2128">
        <f>Y174-'Blocking-Step2'!Y174</f>
        <v>0</v>
      </c>
    </row>
    <row r="175" spans="1:48">
      <c r="A175" s="1116" t="s">
        <v>189</v>
      </c>
      <c r="C175" s="1105">
        <v>40803</v>
      </c>
      <c r="D175" s="1105">
        <v>52839</v>
      </c>
      <c r="F175" s="1922">
        <v>-1.6334</v>
      </c>
      <c r="G175" s="1921" t="s">
        <v>495</v>
      </c>
      <c r="H175" s="1146">
        <v>-666</v>
      </c>
      <c r="I175" s="1146">
        <v>-863</v>
      </c>
      <c r="K175" s="1922"/>
      <c r="L175" s="1921"/>
      <c r="M175" s="1922"/>
      <c r="N175" s="1921"/>
      <c r="O175" s="1922"/>
      <c r="P175" s="1921"/>
      <c r="Q175" s="1922"/>
      <c r="R175" s="1921"/>
      <c r="S175" s="1146"/>
      <c r="T175" s="1648"/>
      <c r="U175" s="1146"/>
      <c r="V175" s="1648"/>
      <c r="W175" s="1146"/>
      <c r="X175" s="1648"/>
      <c r="Y175" s="1146"/>
      <c r="Z175" s="2114">
        <f>C175-'Blocking-Step2'!C175</f>
        <v>0</v>
      </c>
      <c r="AA175" s="2114">
        <f>D175-'Blocking-Step2'!D175</f>
        <v>0</v>
      </c>
      <c r="AC175" s="2114">
        <f>F175-'Blocking-Step2'!F175</f>
        <v>0</v>
      </c>
      <c r="AE175" s="2114">
        <f>H175-'Blocking-Step2'!H175</f>
        <v>0</v>
      </c>
      <c r="AF175" s="2114">
        <f>I175-'Blocking-Step2'!I175</f>
        <v>0</v>
      </c>
      <c r="AH175" s="2136">
        <f>K175-'Blocking-Step2'!K175</f>
        <v>0</v>
      </c>
      <c r="AJ175" s="2136">
        <f>M175-'Blocking-Step2'!M175</f>
        <v>0</v>
      </c>
      <c r="AL175" s="2136">
        <f>O175-'Blocking-Step2'!O175</f>
        <v>0</v>
      </c>
      <c r="AN175" s="2137">
        <f>Q175-'Blocking-Step2'!Q175</f>
        <v>0</v>
      </c>
      <c r="AP175" s="2127">
        <f>S175-'Blocking-Step2'!S175</f>
        <v>0</v>
      </c>
      <c r="AR175" s="2127">
        <f>U175-'Blocking-Step2'!U175</f>
        <v>0</v>
      </c>
      <c r="AT175" s="2127">
        <f>W175-'Blocking-Step2'!W175</f>
        <v>0</v>
      </c>
      <c r="AV175" s="2128">
        <f>Y175-'Blocking-Step2'!Y175</f>
        <v>0</v>
      </c>
    </row>
    <row r="176" spans="1:48">
      <c r="A176" s="1116" t="s">
        <v>241</v>
      </c>
      <c r="C176" s="1024">
        <v>18539579.763590723</v>
      </c>
      <c r="D176" s="1105">
        <v>24008563.894598663</v>
      </c>
      <c r="F176" s="1927">
        <v>8.8498000000000001</v>
      </c>
      <c r="G176" s="1921" t="s">
        <v>495</v>
      </c>
      <c r="H176" s="1146">
        <v>1640716</v>
      </c>
      <c r="I176" s="1146">
        <v>2124710</v>
      </c>
      <c r="K176" s="1927"/>
      <c r="L176" s="1921"/>
      <c r="M176" s="1927"/>
      <c r="N176" s="1921"/>
      <c r="O176" s="1927"/>
      <c r="P176" s="1921"/>
      <c r="Q176" s="1927"/>
      <c r="R176" s="1921"/>
      <c r="S176" s="1146"/>
      <c r="T176" s="1648"/>
      <c r="U176" s="1146"/>
      <c r="V176" s="1648"/>
      <c r="W176" s="1146"/>
      <c r="X176" s="1648"/>
      <c r="Y176" s="1146"/>
      <c r="Z176" s="2114">
        <f>C176-'Blocking-Step2'!C176</f>
        <v>0</v>
      </c>
      <c r="AA176" s="2114">
        <f>D176-'Blocking-Step2'!D176</f>
        <v>0</v>
      </c>
      <c r="AC176" s="2114">
        <f>F176-'Blocking-Step2'!F176</f>
        <v>0</v>
      </c>
      <c r="AE176" s="2114">
        <f>H176-'Blocking-Step2'!H176</f>
        <v>0</v>
      </c>
      <c r="AF176" s="2114">
        <f>I176-'Blocking-Step2'!I176</f>
        <v>0</v>
      </c>
      <c r="AH176" s="2136">
        <f>K176-'Blocking-Step2'!K176</f>
        <v>0</v>
      </c>
      <c r="AJ176" s="2136">
        <f>M176-'Blocking-Step2'!M176</f>
        <v>0</v>
      </c>
      <c r="AL176" s="2136">
        <f>O176-'Blocking-Step2'!O176</f>
        <v>0</v>
      </c>
      <c r="AN176" s="2137">
        <f>Q176-'Blocking-Step2'!Q176</f>
        <v>0</v>
      </c>
      <c r="AP176" s="2127">
        <f>S176-'Blocking-Step2'!S176</f>
        <v>0</v>
      </c>
      <c r="AR176" s="2127">
        <f>U176-'Blocking-Step2'!U176</f>
        <v>0</v>
      </c>
      <c r="AT176" s="2127">
        <f>W176-'Blocking-Step2'!W176</f>
        <v>0</v>
      </c>
      <c r="AV176" s="2128">
        <f>Y176-'Blocking-Step2'!Y176</f>
        <v>0</v>
      </c>
    </row>
    <row r="177" spans="1:48">
      <c r="A177" s="1116" t="s">
        <v>242</v>
      </c>
      <c r="C177" s="1024">
        <v>11711853.344823245</v>
      </c>
      <c r="D177" s="1105">
        <v>15166728</v>
      </c>
      <c r="F177" s="1927">
        <v>11.542899999999999</v>
      </c>
      <c r="G177" s="1921" t="s">
        <v>495</v>
      </c>
      <c r="H177" s="1146">
        <v>1351888</v>
      </c>
      <c r="I177" s="1146">
        <v>1750680</v>
      </c>
      <c r="K177" s="1927"/>
      <c r="L177" s="1921"/>
      <c r="M177" s="1927"/>
      <c r="N177" s="1921"/>
      <c r="O177" s="1927"/>
      <c r="P177" s="1921"/>
      <c r="Q177" s="1927"/>
      <c r="R177" s="1921"/>
      <c r="S177" s="1146"/>
      <c r="T177" s="1648"/>
      <c r="U177" s="1146"/>
      <c r="V177" s="1648"/>
      <c r="W177" s="1146"/>
      <c r="X177" s="1648"/>
      <c r="Y177" s="1146"/>
      <c r="Z177" s="2114">
        <f>C177-'Blocking-Step2'!C177</f>
        <v>0</v>
      </c>
      <c r="AA177" s="2114">
        <f>D177-'Blocking-Step2'!D177</f>
        <v>0</v>
      </c>
      <c r="AC177" s="2114">
        <f>F177-'Blocking-Step2'!F177</f>
        <v>0</v>
      </c>
      <c r="AE177" s="2114">
        <f>H177-'Blocking-Step2'!H177</f>
        <v>0</v>
      </c>
      <c r="AF177" s="2114">
        <f>I177-'Blocking-Step2'!I177</f>
        <v>0</v>
      </c>
      <c r="AH177" s="2136">
        <f>K177-'Blocking-Step2'!K177</f>
        <v>0</v>
      </c>
      <c r="AJ177" s="2136">
        <f>M177-'Blocking-Step2'!M177</f>
        <v>0</v>
      </c>
      <c r="AL177" s="2136">
        <f>O177-'Blocking-Step2'!O177</f>
        <v>0</v>
      </c>
      <c r="AN177" s="2137">
        <f>Q177-'Blocking-Step2'!Q177</f>
        <v>0</v>
      </c>
      <c r="AP177" s="2127">
        <f>S177-'Blocking-Step2'!S177</f>
        <v>0</v>
      </c>
      <c r="AR177" s="2127">
        <f>U177-'Blocking-Step2'!U177</f>
        <v>0</v>
      </c>
      <c r="AT177" s="2127">
        <f>W177-'Blocking-Step2'!W177</f>
        <v>0</v>
      </c>
      <c r="AV177" s="2128">
        <f>Y177-'Blocking-Step2'!Y177</f>
        <v>0</v>
      </c>
    </row>
    <row r="178" spans="1:48">
      <c r="A178" s="1116" t="s">
        <v>94</v>
      </c>
      <c r="C178" s="1024">
        <v>6443331.5536244791</v>
      </c>
      <c r="D178" s="1105">
        <v>8344047</v>
      </c>
      <c r="F178" s="1927">
        <v>14.450799999999999</v>
      </c>
      <c r="G178" s="1921" t="s">
        <v>495</v>
      </c>
      <c r="H178" s="1146">
        <v>931113</v>
      </c>
      <c r="I178" s="1146">
        <v>1205782</v>
      </c>
      <c r="K178" s="1927"/>
      <c r="L178" s="1921"/>
      <c r="M178" s="1927"/>
      <c r="N178" s="1921"/>
      <c r="O178" s="1927"/>
      <c r="P178" s="1921"/>
      <c r="Q178" s="1927"/>
      <c r="R178" s="1921"/>
      <c r="S178" s="1146"/>
      <c r="T178" s="1648"/>
      <c r="U178" s="1146"/>
      <c r="V178" s="1648"/>
      <c r="W178" s="1146"/>
      <c r="X178" s="1648"/>
      <c r="Y178" s="1146"/>
      <c r="Z178" s="2114">
        <f>C178-'Blocking-Step2'!C178</f>
        <v>0</v>
      </c>
      <c r="AA178" s="2114">
        <f>D178-'Blocking-Step2'!D178</f>
        <v>0</v>
      </c>
      <c r="AC178" s="2114">
        <f>F178-'Blocking-Step2'!F178</f>
        <v>0</v>
      </c>
      <c r="AE178" s="2114">
        <f>H178-'Blocking-Step2'!H178</f>
        <v>0</v>
      </c>
      <c r="AF178" s="2114">
        <f>I178-'Blocking-Step2'!I178</f>
        <v>0</v>
      </c>
      <c r="AH178" s="2136">
        <f>K178-'Blocking-Step2'!K178</f>
        <v>0</v>
      </c>
      <c r="AJ178" s="2136">
        <f>M178-'Blocking-Step2'!M178</f>
        <v>0</v>
      </c>
      <c r="AL178" s="2136">
        <f>O178-'Blocking-Step2'!O178</f>
        <v>0</v>
      </c>
      <c r="AN178" s="2137">
        <f>Q178-'Blocking-Step2'!Q178</f>
        <v>0</v>
      </c>
      <c r="AP178" s="2127">
        <f>S178-'Blocking-Step2'!S178</f>
        <v>0</v>
      </c>
      <c r="AR178" s="2127">
        <f>U178-'Blocking-Step2'!U178</f>
        <v>0</v>
      </c>
      <c r="AT178" s="2127">
        <f>W178-'Blocking-Step2'!W178</f>
        <v>0</v>
      </c>
      <c r="AV178" s="2128">
        <f>Y178-'Blocking-Step2'!Y178</f>
        <v>0</v>
      </c>
    </row>
    <row r="179" spans="1:48">
      <c r="A179" s="1116" t="s">
        <v>1360</v>
      </c>
      <c r="B179" s="1928"/>
      <c r="C179" s="1105">
        <v>40722859.346801311</v>
      </c>
      <c r="D179" s="1105">
        <v>47906710</v>
      </c>
      <c r="E179" s="804"/>
      <c r="F179" s="1927">
        <v>8.8498000000000001</v>
      </c>
      <c r="G179" s="1921" t="s">
        <v>495</v>
      </c>
      <c r="H179" s="1146">
        <v>3603892</v>
      </c>
      <c r="I179" s="1146">
        <v>4239648</v>
      </c>
      <c r="J179" s="804"/>
      <c r="K179" s="1927"/>
      <c r="L179" s="1921"/>
      <c r="M179" s="1927"/>
      <c r="N179" s="1921"/>
      <c r="O179" s="1927"/>
      <c r="P179" s="1921"/>
      <c r="Q179" s="1927"/>
      <c r="R179" s="1921"/>
      <c r="S179" s="1146"/>
      <c r="T179" s="1648"/>
      <c r="U179" s="1146"/>
      <c r="V179" s="1648"/>
      <c r="W179" s="1146"/>
      <c r="X179" s="1648"/>
      <c r="Y179" s="1146"/>
      <c r="Z179" s="2114">
        <f>C179-'Blocking-Step2'!C179</f>
        <v>0</v>
      </c>
      <c r="AA179" s="2114">
        <f>D179-'Blocking-Step2'!D179</f>
        <v>0</v>
      </c>
      <c r="AC179" s="2114">
        <f>F179-'Blocking-Step2'!F179</f>
        <v>0</v>
      </c>
      <c r="AE179" s="2114">
        <f>H179-'Blocking-Step2'!H179</f>
        <v>0</v>
      </c>
      <c r="AF179" s="2114">
        <f>I179-'Blocking-Step2'!I179</f>
        <v>0</v>
      </c>
      <c r="AH179" s="2136">
        <f>K179-'Blocking-Step2'!K179</f>
        <v>0</v>
      </c>
      <c r="AJ179" s="2136">
        <f>M179-'Blocking-Step2'!M179</f>
        <v>0</v>
      </c>
      <c r="AL179" s="2136">
        <f>O179-'Blocking-Step2'!O179</f>
        <v>0</v>
      </c>
      <c r="AN179" s="2137">
        <f>Q179-'Blocking-Step2'!Q179</f>
        <v>0</v>
      </c>
      <c r="AP179" s="2127">
        <f>S179-'Blocking-Step2'!S179</f>
        <v>0</v>
      </c>
      <c r="AR179" s="2127">
        <f>U179-'Blocking-Step2'!U179</f>
        <v>0</v>
      </c>
      <c r="AT179" s="2127">
        <f>W179-'Blocking-Step2'!W179</f>
        <v>0</v>
      </c>
      <c r="AV179" s="2128">
        <f>Y179-'Blocking-Step2'!Y179</f>
        <v>0</v>
      </c>
    </row>
    <row r="180" spans="1:48">
      <c r="A180" s="1116" t="s">
        <v>1361</v>
      </c>
      <c r="B180" s="1928"/>
      <c r="C180" s="1105">
        <v>39874078.012365803</v>
      </c>
      <c r="D180" s="1105">
        <v>46908197</v>
      </c>
      <c r="E180" s="804"/>
      <c r="F180" s="1927">
        <v>10.7072</v>
      </c>
      <c r="G180" s="1921" t="s">
        <v>495</v>
      </c>
      <c r="H180" s="1146">
        <v>4269397</v>
      </c>
      <c r="I180" s="1146">
        <v>5022554</v>
      </c>
      <c r="J180" s="804"/>
      <c r="K180" s="1927"/>
      <c r="L180" s="1921"/>
      <c r="M180" s="1927"/>
      <c r="N180" s="1921"/>
      <c r="O180" s="1927"/>
      <c r="P180" s="1921"/>
      <c r="Q180" s="1927"/>
      <c r="R180" s="1921"/>
      <c r="S180" s="1146"/>
      <c r="T180" s="1648"/>
      <c r="U180" s="1146"/>
      <c r="V180" s="1648"/>
      <c r="W180" s="1146"/>
      <c r="X180" s="1648"/>
      <c r="Y180" s="1146"/>
      <c r="Z180" s="2114">
        <f>C180-'Blocking-Step2'!C180</f>
        <v>0</v>
      </c>
      <c r="AA180" s="2114">
        <f>D180-'Blocking-Step2'!D180</f>
        <v>0</v>
      </c>
      <c r="AC180" s="2114">
        <f>F180-'Blocking-Step2'!F180</f>
        <v>0</v>
      </c>
      <c r="AE180" s="2114">
        <f>H180-'Blocking-Step2'!H180</f>
        <v>0</v>
      </c>
      <c r="AF180" s="2114">
        <f>I180-'Blocking-Step2'!I180</f>
        <v>0</v>
      </c>
      <c r="AH180" s="2136">
        <f>K180-'Blocking-Step2'!K180</f>
        <v>0</v>
      </c>
      <c r="AJ180" s="2136">
        <f>M180-'Blocking-Step2'!M180</f>
        <v>0</v>
      </c>
      <c r="AL180" s="2136">
        <f>O180-'Blocking-Step2'!O180</f>
        <v>0</v>
      </c>
      <c r="AN180" s="2137">
        <f>Q180-'Blocking-Step2'!Q180</f>
        <v>0</v>
      </c>
      <c r="AP180" s="2127">
        <f>S180-'Blocking-Step2'!S180</f>
        <v>0</v>
      </c>
      <c r="AR180" s="2127">
        <f>U180-'Blocking-Step2'!U180</f>
        <v>0</v>
      </c>
      <c r="AT180" s="2127">
        <f>W180-'Blocking-Step2'!W180</f>
        <v>0</v>
      </c>
      <c r="AV180" s="2128">
        <f>Y180-'Blocking-Step2'!Y180</f>
        <v>0</v>
      </c>
    </row>
    <row r="181" spans="1:48">
      <c r="A181" s="1116" t="s">
        <v>1158</v>
      </c>
      <c r="B181" s="1928"/>
      <c r="C181" s="1024">
        <v>0</v>
      </c>
      <c r="D181" s="1105">
        <v>0</v>
      </c>
      <c r="E181" s="804"/>
      <c r="F181" s="1927">
        <v>11.7033</v>
      </c>
      <c r="G181" s="1929" t="s">
        <v>495</v>
      </c>
      <c r="H181" s="1146">
        <v>0</v>
      </c>
      <c r="I181" s="1146">
        <v>0</v>
      </c>
      <c r="J181" s="804"/>
      <c r="K181" s="1927">
        <v>2.7378999999999998</v>
      </c>
      <c r="L181" s="1929" t="s">
        <v>495</v>
      </c>
      <c r="M181" s="1927">
        <v>7.7249999999999996</v>
      </c>
      <c r="N181" s="1929" t="s">
        <v>495</v>
      </c>
      <c r="O181" s="1927">
        <v>0</v>
      </c>
      <c r="P181" s="1929" t="s">
        <v>495</v>
      </c>
      <c r="Q181" s="1927">
        <v>10.462899999999999</v>
      </c>
      <c r="R181" s="1929" t="s">
        <v>495</v>
      </c>
      <c r="S181" s="1146">
        <v>0</v>
      </c>
      <c r="T181" s="1656"/>
      <c r="U181" s="1146">
        <v>0</v>
      </c>
      <c r="V181" s="1656"/>
      <c r="W181" s="1146">
        <v>0</v>
      </c>
      <c r="X181" s="1656"/>
      <c r="Y181" s="1146">
        <v>0</v>
      </c>
      <c r="Z181" s="2114">
        <f>C181-'Blocking-Step2'!C181</f>
        <v>0</v>
      </c>
      <c r="AA181" s="2114">
        <f>D181-'Blocking-Step2'!D181</f>
        <v>0</v>
      </c>
      <c r="AC181" s="2114">
        <f>F181-'Blocking-Step2'!F181</f>
        <v>0</v>
      </c>
      <c r="AE181" s="2114">
        <f>H181-'Blocking-Step2'!H181</f>
        <v>0</v>
      </c>
      <c r="AF181" s="2114">
        <f>I181-'Blocking-Step2'!I181</f>
        <v>0</v>
      </c>
      <c r="AH181" s="2136">
        <f>K181-'Blocking-Step2'!K181</f>
        <v>-1.6915000000000004</v>
      </c>
      <c r="AJ181" s="2136">
        <f>M181-'Blocking-Step2'!M181</f>
        <v>0</v>
      </c>
      <c r="AL181" s="2136">
        <f>O181-'Blocking-Step2'!O181</f>
        <v>0</v>
      </c>
      <c r="AN181" s="2137">
        <f>Q181-'Blocking-Step2'!Q181</f>
        <v>-1.6915000000000013</v>
      </c>
      <c r="AP181" s="2127">
        <f>S181-'Blocking-Step2'!S181</f>
        <v>0</v>
      </c>
      <c r="AR181" s="2127">
        <f>U181-'Blocking-Step2'!U181</f>
        <v>0</v>
      </c>
      <c r="AT181" s="2127">
        <f>W181-'Blocking-Step2'!W181</f>
        <v>0</v>
      </c>
      <c r="AV181" s="2128">
        <f>Y181-'Blocking-Step2'!Y181</f>
        <v>0</v>
      </c>
    </row>
    <row r="182" spans="1:48">
      <c r="A182" s="1116" t="s">
        <v>246</v>
      </c>
      <c r="C182" s="1940">
        <v>668834</v>
      </c>
      <c r="D182" s="1940">
        <v>0</v>
      </c>
      <c r="H182" s="1147">
        <v>85540</v>
      </c>
      <c r="I182" s="1147">
        <v>0</v>
      </c>
      <c r="Y182" s="1147">
        <v>0</v>
      </c>
      <c r="Z182" s="2114">
        <f>C182-'Blocking-Step2'!C182</f>
        <v>0</v>
      </c>
      <c r="AA182" s="2114">
        <f>D182-'Blocking-Step2'!D182</f>
        <v>0</v>
      </c>
      <c r="AC182" s="2114">
        <f>F182-'Blocking-Step2'!F182</f>
        <v>0</v>
      </c>
      <c r="AE182" s="2114">
        <f>H182-'Blocking-Step2'!H182</f>
        <v>0</v>
      </c>
      <c r="AF182" s="2114">
        <f>I182-'Blocking-Step2'!I182</f>
        <v>0</v>
      </c>
      <c r="AH182" s="2136">
        <f>K182-'Blocking-Step2'!K182</f>
        <v>0</v>
      </c>
      <c r="AJ182" s="2136">
        <f>M182-'Blocking-Step2'!M182</f>
        <v>0</v>
      </c>
      <c r="AL182" s="2136">
        <f>O182-'Blocking-Step2'!O182</f>
        <v>0</v>
      </c>
      <c r="AN182" s="2137">
        <f>Q182-'Blocking-Step2'!Q182</f>
        <v>0</v>
      </c>
      <c r="AP182" s="2127">
        <f>S182-'Blocking-Step2'!S182</f>
        <v>0</v>
      </c>
      <c r="AR182" s="2127">
        <f>U182-'Blocking-Step2'!U182</f>
        <v>0</v>
      </c>
      <c r="AT182" s="2127">
        <f>W182-'Blocking-Step2'!W182</f>
        <v>0</v>
      </c>
      <c r="AV182" s="2128">
        <f>Y182-'Blocking-Step2'!Y182</f>
        <v>0</v>
      </c>
    </row>
    <row r="183" spans="1:48">
      <c r="A183" s="1116" t="s">
        <v>1240</v>
      </c>
      <c r="C183" s="1024"/>
      <c r="D183" s="1024"/>
      <c r="F183" s="2076">
        <v>-3.9100000000000003E-2</v>
      </c>
      <c r="G183" s="617"/>
      <c r="H183" s="1146">
        <v>-461262.93460000004</v>
      </c>
      <c r="I183" s="1146">
        <v>-560825.92340000009</v>
      </c>
      <c r="K183" s="2076"/>
      <c r="L183" s="617"/>
      <c r="M183" s="2076"/>
      <c r="N183" s="617"/>
      <c r="O183" s="2076" t="s">
        <v>2323</v>
      </c>
      <c r="P183" s="617"/>
      <c r="Q183" s="2076">
        <v>-3.0800000000000001E-2</v>
      </c>
      <c r="R183" s="617"/>
      <c r="S183" s="1114"/>
      <c r="T183" s="1114"/>
      <c r="U183" s="1114"/>
      <c r="V183" s="1114"/>
      <c r="W183" s="1114"/>
      <c r="X183" s="1114"/>
      <c r="Y183" s="1146">
        <v>-437328.83040000004</v>
      </c>
      <c r="Z183" s="2114">
        <f>C183-'Blocking-Step2'!C183</f>
        <v>0</v>
      </c>
      <c r="AA183" s="2114">
        <f>D183-'Blocking-Step2'!D183</f>
        <v>0</v>
      </c>
      <c r="AC183" s="2114">
        <f>F183-'Blocking-Step2'!F183</f>
        <v>0</v>
      </c>
      <c r="AE183" s="2114">
        <f>H183-'Blocking-Step2'!H183</f>
        <v>0</v>
      </c>
      <c r="AF183" s="2114">
        <f>I183-'Blocking-Step2'!I183</f>
        <v>0</v>
      </c>
      <c r="AH183" s="2136">
        <f>K183-'Blocking-Step2'!K183</f>
        <v>0</v>
      </c>
      <c r="AJ183" s="2136">
        <f>M183-'Blocking-Step2'!M183</f>
        <v>0</v>
      </c>
      <c r="AL183" s="2136" t="e">
        <f>O183-'Blocking-Step2'!O183</f>
        <v>#VALUE!</v>
      </c>
      <c r="AN183" s="2137">
        <f>Q183-'Blocking-Step2'!Q183</f>
        <v>0</v>
      </c>
      <c r="AP183" s="2127">
        <f>S183-'Blocking-Step2'!S183</f>
        <v>0</v>
      </c>
      <c r="AR183" s="2127">
        <f>U183-'Blocking-Step2'!U183</f>
        <v>0</v>
      </c>
      <c r="AT183" s="2127">
        <f>W183-'Blocking-Step2'!W183</f>
        <v>0</v>
      </c>
      <c r="AV183" s="2128">
        <f>Y183-'Blocking-Step2'!Y183</f>
        <v>-173.00359999999637</v>
      </c>
    </row>
    <row r="184" spans="1:48">
      <c r="A184" s="1116" t="s">
        <v>1317</v>
      </c>
      <c r="C184" s="1024">
        <v>0</v>
      </c>
      <c r="D184" s="1105">
        <v>0</v>
      </c>
      <c r="F184" s="2076"/>
      <c r="G184" s="617"/>
      <c r="H184" s="1146"/>
      <c r="I184" s="1146"/>
      <c r="K184" s="2076"/>
      <c r="L184" s="617"/>
      <c r="M184" s="2076"/>
      <c r="N184" s="617"/>
      <c r="O184" s="2076" t="s">
        <v>2324</v>
      </c>
      <c r="P184" s="617"/>
      <c r="Q184" s="2076">
        <v>-1.67E-2</v>
      </c>
      <c r="R184" s="617"/>
      <c r="S184" s="1114"/>
      <c r="T184" s="1114"/>
      <c r="U184" s="1114"/>
      <c r="V184" s="1114"/>
      <c r="W184" s="1114"/>
      <c r="X184" s="1114"/>
      <c r="Y184" s="1146">
        <v>-237123.09959999999</v>
      </c>
      <c r="Z184" s="2114">
        <f>C184-'Blocking-Step2'!C184</f>
        <v>0</v>
      </c>
      <c r="AA184" s="2114">
        <f>D184-'Blocking-Step2'!D184</f>
        <v>0</v>
      </c>
      <c r="AC184" s="2114">
        <f>F184-'Blocking-Step2'!F184</f>
        <v>0</v>
      </c>
      <c r="AE184" s="2114">
        <f>H184-'Blocking-Step2'!H184</f>
        <v>0</v>
      </c>
      <c r="AF184" s="2114">
        <f>I184-'Blocking-Step2'!I184</f>
        <v>0</v>
      </c>
      <c r="AH184" s="2136">
        <f>K184-'Blocking-Step2'!K184</f>
        <v>0</v>
      </c>
      <c r="AJ184" s="2136">
        <f>M184-'Blocking-Step2'!M184</f>
        <v>0</v>
      </c>
      <c r="AL184" s="2136" t="e">
        <f>O184-'Blocking-Step2'!O184</f>
        <v>#VALUE!</v>
      </c>
      <c r="AN184" s="2137">
        <f>Q184-'Blocking-Step2'!Q184</f>
        <v>0</v>
      </c>
      <c r="AP184" s="2127">
        <f>S184-'Blocking-Step2'!S184</f>
        <v>0</v>
      </c>
      <c r="AR184" s="2127">
        <f>U184-'Blocking-Step2'!U184</f>
        <v>0</v>
      </c>
      <c r="AT184" s="2127">
        <f>W184-'Blocking-Step2'!W184</f>
        <v>0</v>
      </c>
      <c r="AV184" s="2128">
        <f>Y184-'Blocking-Step2'!Y184</f>
        <v>-93.803899999998976</v>
      </c>
    </row>
    <row r="185" spans="1:48" ht="16.5" thickBot="1">
      <c r="A185" s="1116" t="s">
        <v>247</v>
      </c>
      <c r="C185" s="1941">
        <v>117960536.02120556</v>
      </c>
      <c r="D185" s="1941">
        <v>142334245.89459866</v>
      </c>
      <c r="F185" s="1145"/>
      <c r="H185" s="1149">
        <v>13909632.065400001</v>
      </c>
      <c r="I185" s="1149">
        <v>16685304.0766</v>
      </c>
      <c r="K185" s="1145"/>
      <c r="M185" s="1145"/>
      <c r="O185" s="1145"/>
      <c r="Q185" s="1145"/>
      <c r="S185" s="1154">
        <v>8033500</v>
      </c>
      <c r="U185" s="1154">
        <v>7685481</v>
      </c>
      <c r="W185" s="1154">
        <v>2616122</v>
      </c>
      <c r="Y185" s="1154">
        <v>18335103</v>
      </c>
      <c r="Z185" s="2114">
        <f>C185-'Blocking-Step2'!C185</f>
        <v>0</v>
      </c>
      <c r="AA185" s="2114">
        <f>D185-'Blocking-Step2'!D185</f>
        <v>0</v>
      </c>
      <c r="AC185" s="2114">
        <f>F185-'Blocking-Step2'!F185</f>
        <v>0</v>
      </c>
      <c r="AE185" s="2114">
        <f>H185-'Blocking-Step2'!H185</f>
        <v>0</v>
      </c>
      <c r="AF185" s="2114">
        <f>I185-'Blocking-Step2'!I185</f>
        <v>0</v>
      </c>
      <c r="AH185" s="2136">
        <f>K185-'Blocking-Step2'!K185</f>
        <v>0</v>
      </c>
      <c r="AJ185" s="2136">
        <f>M185-'Blocking-Step2'!M185</f>
        <v>0</v>
      </c>
      <c r="AL185" s="2136">
        <f>O185-'Blocking-Step2'!O185</f>
        <v>0</v>
      </c>
      <c r="AN185" s="2137">
        <f>Q185-'Blocking-Step2'!Q185</f>
        <v>0</v>
      </c>
      <c r="AP185" s="2127">
        <f>S185-'Blocking-Step2'!S185</f>
        <v>-2407585</v>
      </c>
      <c r="AR185" s="2127">
        <f>U185-'Blocking-Step2'!U185</f>
        <v>2413278</v>
      </c>
      <c r="AT185" s="2127">
        <f>W185-'Blocking-Step2'!W185</f>
        <v>-75</v>
      </c>
      <c r="AV185" s="2128">
        <f>Y185-'Blocking-Step2'!Y185</f>
        <v>5617</v>
      </c>
    </row>
    <row r="186" spans="1:48" ht="16.5" thickTop="1">
      <c r="C186" s="1105"/>
      <c r="D186" s="1105"/>
      <c r="Z186" s="2114">
        <f>C186-'Blocking-Step2'!C186</f>
        <v>0</v>
      </c>
      <c r="AA186" s="2114">
        <f>D186-'Blocking-Step2'!D186</f>
        <v>0</v>
      </c>
      <c r="AC186" s="2114">
        <f>F186-'Blocking-Step2'!F186</f>
        <v>0</v>
      </c>
      <c r="AE186" s="2114">
        <f>H186-'Blocking-Step2'!H186</f>
        <v>0</v>
      </c>
      <c r="AF186" s="2114">
        <f>I186-'Blocking-Step2'!I186</f>
        <v>0</v>
      </c>
      <c r="AH186" s="2136">
        <f>K186-'Blocking-Step2'!K186</f>
        <v>0</v>
      </c>
      <c r="AJ186" s="2136">
        <f>M186-'Blocking-Step2'!M186</f>
        <v>0</v>
      </c>
      <c r="AL186" s="2136">
        <f>O186-'Blocking-Step2'!O186</f>
        <v>0</v>
      </c>
      <c r="AN186" s="2137">
        <f>Q186-'Blocking-Step2'!Q186</f>
        <v>0</v>
      </c>
      <c r="AP186" s="2127">
        <f>S186-'Blocking-Step2'!S186</f>
        <v>0</v>
      </c>
      <c r="AR186" s="2127">
        <f>U186-'Blocking-Step2'!U186</f>
        <v>0</v>
      </c>
      <c r="AT186" s="2127">
        <f>W186-'Blocking-Step2'!W186</f>
        <v>0</v>
      </c>
      <c r="AV186" s="2128">
        <f>Y186-'Blocking-Step2'!Y186</f>
        <v>0</v>
      </c>
    </row>
    <row r="187" spans="1:48">
      <c r="A187" s="1115" t="s">
        <v>1290</v>
      </c>
      <c r="C187" s="1105"/>
      <c r="D187" s="1105"/>
      <c r="Z187" s="2114">
        <f>C187-'Blocking-Step2'!C187</f>
        <v>0</v>
      </c>
      <c r="AA187" s="2114">
        <f>D187-'Blocking-Step2'!D187</f>
        <v>0</v>
      </c>
      <c r="AC187" s="2114">
        <f>F187-'Blocking-Step2'!F187</f>
        <v>0</v>
      </c>
      <c r="AE187" s="2114">
        <f>H187-'Blocking-Step2'!H187</f>
        <v>0</v>
      </c>
      <c r="AF187" s="2114">
        <f>I187-'Blocking-Step2'!I187</f>
        <v>0</v>
      </c>
      <c r="AH187" s="2136">
        <f>K187-'Blocking-Step2'!K187</f>
        <v>0</v>
      </c>
      <c r="AJ187" s="2136">
        <f>M187-'Blocking-Step2'!M187</f>
        <v>0</v>
      </c>
      <c r="AL187" s="2136">
        <f>O187-'Blocking-Step2'!O187</f>
        <v>0</v>
      </c>
      <c r="AN187" s="2137">
        <f>Q187-'Blocking-Step2'!Q187</f>
        <v>0</v>
      </c>
      <c r="AP187" s="2127">
        <f>S187-'Blocking-Step2'!S187</f>
        <v>0</v>
      </c>
      <c r="AR187" s="2127">
        <f>U187-'Blocking-Step2'!U187</f>
        <v>0</v>
      </c>
      <c r="AT187" s="2127">
        <f>W187-'Blocking-Step2'!W187</f>
        <v>0</v>
      </c>
      <c r="AV187" s="2128">
        <f>Y187-'Blocking-Step2'!Y187</f>
        <v>0</v>
      </c>
    </row>
    <row r="188" spans="1:48">
      <c r="A188" s="1116" t="s">
        <v>685</v>
      </c>
      <c r="C188" s="1105">
        <v>56694.066666666578</v>
      </c>
      <c r="D188" s="1105">
        <v>307354</v>
      </c>
      <c r="F188" s="1907"/>
      <c r="G188" s="1110"/>
      <c r="H188" s="1146"/>
      <c r="I188" s="1146"/>
      <c r="K188" s="1907"/>
      <c r="L188" s="1110"/>
      <c r="M188" s="1907"/>
      <c r="N188" s="1110"/>
      <c r="O188" s="1907"/>
      <c r="P188" s="1110"/>
      <c r="Q188" s="1907"/>
      <c r="R188" s="1110"/>
      <c r="S188" s="1629"/>
      <c r="T188" s="1629"/>
      <c r="U188" s="1629"/>
      <c r="V188" s="1629"/>
      <c r="W188" s="1629"/>
      <c r="X188" s="1629"/>
      <c r="Y188" s="1146"/>
      <c r="Z188" s="2114">
        <f>C188-'Blocking-Step2'!C188</f>
        <v>0</v>
      </c>
      <c r="AA188" s="2114">
        <f>D188-'Blocking-Step2'!D188</f>
        <v>0</v>
      </c>
      <c r="AC188" s="2114">
        <f>F188-'Blocking-Step2'!F188</f>
        <v>0</v>
      </c>
      <c r="AE188" s="2114">
        <f>H188-'Blocking-Step2'!H188</f>
        <v>0</v>
      </c>
      <c r="AF188" s="2114">
        <f>I188-'Blocking-Step2'!I188</f>
        <v>0</v>
      </c>
      <c r="AH188" s="2136">
        <f>K188-'Blocking-Step2'!K188</f>
        <v>0</v>
      </c>
      <c r="AJ188" s="2136">
        <f>M188-'Blocking-Step2'!M188</f>
        <v>0</v>
      </c>
      <c r="AL188" s="2136">
        <f>O188-'Blocking-Step2'!O188</f>
        <v>0</v>
      </c>
      <c r="AN188" s="2137">
        <f>Q188-'Blocking-Step2'!Q188</f>
        <v>0</v>
      </c>
      <c r="AP188" s="2127">
        <f>S188-'Blocking-Step2'!S188</f>
        <v>0</v>
      </c>
      <c r="AR188" s="2127">
        <f>U188-'Blocking-Step2'!U188</f>
        <v>0</v>
      </c>
      <c r="AT188" s="2127">
        <f>W188-'Blocking-Step2'!W188</f>
        <v>0</v>
      </c>
      <c r="AV188" s="2128">
        <f>Y188-'Blocking-Step2'!Y188</f>
        <v>0</v>
      </c>
    </row>
    <row r="189" spans="1:48">
      <c r="A189" s="1116" t="s">
        <v>683</v>
      </c>
      <c r="C189" s="1105">
        <v>56694.066666666578</v>
      </c>
      <c r="D189" s="1105">
        <v>307354</v>
      </c>
      <c r="F189" s="1907">
        <v>6</v>
      </c>
      <c r="G189" s="1110"/>
      <c r="H189" s="1146">
        <v>340164</v>
      </c>
      <c r="I189" s="1146">
        <v>1844124</v>
      </c>
      <c r="K189" s="1907"/>
      <c r="L189" s="1110"/>
      <c r="M189" s="1907"/>
      <c r="N189" s="1110"/>
      <c r="O189" s="1907"/>
      <c r="P189" s="1110"/>
      <c r="Q189" s="1907"/>
      <c r="R189" s="1110"/>
      <c r="S189" s="1629"/>
      <c r="T189" s="1629"/>
      <c r="U189" s="1629"/>
      <c r="V189" s="1629"/>
      <c r="W189" s="1629"/>
      <c r="X189" s="1629"/>
      <c r="Y189" s="1146"/>
      <c r="Z189" s="2114">
        <f>C189-'Blocking-Step2'!C189</f>
        <v>0</v>
      </c>
      <c r="AA189" s="2114">
        <f>D189-'Blocking-Step2'!D189</f>
        <v>0</v>
      </c>
      <c r="AC189" s="2114">
        <f>F189-'Blocking-Step2'!F189</f>
        <v>0</v>
      </c>
      <c r="AE189" s="2114">
        <f>H189-'Blocking-Step2'!H189</f>
        <v>0</v>
      </c>
      <c r="AF189" s="2114">
        <f>I189-'Blocking-Step2'!I189</f>
        <v>0</v>
      </c>
      <c r="AH189" s="2136">
        <f>K189-'Blocking-Step2'!K189</f>
        <v>0</v>
      </c>
      <c r="AJ189" s="2136">
        <f>M189-'Blocking-Step2'!M189</f>
        <v>0</v>
      </c>
      <c r="AL189" s="2136">
        <f>O189-'Blocking-Step2'!O189</f>
        <v>0</v>
      </c>
      <c r="AN189" s="2137">
        <f>Q189-'Blocking-Step2'!Q189</f>
        <v>0</v>
      </c>
      <c r="AP189" s="2127">
        <f>S189-'Blocking-Step2'!S189</f>
        <v>0</v>
      </c>
      <c r="AR189" s="2127">
        <f>U189-'Blocking-Step2'!U189</f>
        <v>0</v>
      </c>
      <c r="AT189" s="2127">
        <f>W189-'Blocking-Step2'!W189</f>
        <v>0</v>
      </c>
      <c r="AV189" s="2128">
        <f>Y189-'Blocking-Step2'!Y189</f>
        <v>0</v>
      </c>
    </row>
    <row r="190" spans="1:48">
      <c r="A190" s="1116" t="s">
        <v>1581</v>
      </c>
      <c r="C190" s="1105">
        <v>56003.233333333243</v>
      </c>
      <c r="D190" s="1105">
        <v>303609</v>
      </c>
      <c r="F190" s="1907"/>
      <c r="G190" s="1110"/>
      <c r="H190" s="1146"/>
      <c r="I190" s="1146"/>
      <c r="K190" s="1907">
        <v>10</v>
      </c>
      <c r="L190" s="1110"/>
      <c r="M190" s="1907">
        <v>0</v>
      </c>
      <c r="N190" s="1110"/>
      <c r="O190" s="1907">
        <v>0</v>
      </c>
      <c r="P190" s="1110"/>
      <c r="Q190" s="1907">
        <v>10</v>
      </c>
      <c r="R190" s="1110"/>
      <c r="S190" s="1146">
        <v>3036090</v>
      </c>
      <c r="T190" s="1629"/>
      <c r="U190" s="1146">
        <v>0</v>
      </c>
      <c r="V190" s="1629"/>
      <c r="W190" s="1146">
        <v>0</v>
      </c>
      <c r="X190" s="1629"/>
      <c r="Y190" s="1146">
        <v>3036090</v>
      </c>
      <c r="Z190" s="2114">
        <f>C190-'Blocking-Step2'!C190</f>
        <v>0</v>
      </c>
      <c r="AA190" s="2114">
        <f>D190-'Blocking-Step2'!D190</f>
        <v>0</v>
      </c>
      <c r="AC190" s="2114">
        <f>F190-'Blocking-Step2'!F190</f>
        <v>0</v>
      </c>
      <c r="AE190" s="2114">
        <f>H190-'Blocking-Step2'!H190</f>
        <v>0</v>
      </c>
      <c r="AF190" s="2114">
        <f>I190-'Blocking-Step2'!I190</f>
        <v>0</v>
      </c>
      <c r="AH190" s="2136">
        <f>K190-'Blocking-Step2'!K190</f>
        <v>0</v>
      </c>
      <c r="AJ190" s="2136">
        <f>M190-'Blocking-Step2'!M190</f>
        <v>0</v>
      </c>
      <c r="AL190" s="2136">
        <f>O190-'Blocking-Step2'!O190</f>
        <v>0</v>
      </c>
      <c r="AN190" s="2137">
        <f>Q190-'Blocking-Step2'!Q190</f>
        <v>0</v>
      </c>
      <c r="AP190" s="2127">
        <f>S190-'Blocking-Step2'!S190</f>
        <v>0</v>
      </c>
      <c r="AR190" s="2127">
        <f>U190-'Blocking-Step2'!U190</f>
        <v>0</v>
      </c>
      <c r="AT190" s="2127">
        <f>W190-'Blocking-Step2'!W190</f>
        <v>0</v>
      </c>
      <c r="AV190" s="2128">
        <f>Y190-'Blocking-Step2'!Y190</f>
        <v>0</v>
      </c>
    </row>
    <row r="191" spans="1:48">
      <c r="A191" s="1116" t="s">
        <v>1582</v>
      </c>
      <c r="C191" s="1105">
        <v>690.83333333333326</v>
      </c>
      <c r="D191" s="1105">
        <v>3745</v>
      </c>
      <c r="F191" s="1907"/>
      <c r="G191" s="1110"/>
      <c r="H191" s="1146"/>
      <c r="I191" s="1146"/>
      <c r="K191" s="1907">
        <v>6</v>
      </c>
      <c r="L191" s="1110"/>
      <c r="M191" s="1907">
        <v>0</v>
      </c>
      <c r="N191" s="1110"/>
      <c r="O191" s="1907">
        <v>0</v>
      </c>
      <c r="P191" s="1110"/>
      <c r="Q191" s="1907">
        <v>6</v>
      </c>
      <c r="R191" s="1110"/>
      <c r="S191" s="1146">
        <v>22470</v>
      </c>
      <c r="T191" s="1629"/>
      <c r="U191" s="1146">
        <v>0</v>
      </c>
      <c r="V191" s="1629"/>
      <c r="W191" s="1146">
        <v>0</v>
      </c>
      <c r="X191" s="1629"/>
      <c r="Y191" s="1146">
        <v>22470</v>
      </c>
      <c r="Z191" s="2114">
        <f>C191-'Blocking-Step2'!C191</f>
        <v>0</v>
      </c>
      <c r="AA191" s="2114">
        <f>D191-'Blocking-Step2'!D191</f>
        <v>0</v>
      </c>
      <c r="AC191" s="2114">
        <f>F191-'Blocking-Step2'!F191</f>
        <v>0</v>
      </c>
      <c r="AE191" s="2114">
        <f>H191-'Blocking-Step2'!H191</f>
        <v>0</v>
      </c>
      <c r="AF191" s="2114">
        <f>I191-'Blocking-Step2'!I191</f>
        <v>0</v>
      </c>
      <c r="AH191" s="2136">
        <f>K191-'Blocking-Step2'!K191</f>
        <v>0</v>
      </c>
      <c r="AJ191" s="2136">
        <f>M191-'Blocking-Step2'!M191</f>
        <v>0</v>
      </c>
      <c r="AL191" s="2136">
        <f>O191-'Blocking-Step2'!O191</f>
        <v>0</v>
      </c>
      <c r="AN191" s="2137">
        <f>Q191-'Blocking-Step2'!Q191</f>
        <v>0</v>
      </c>
      <c r="AP191" s="2127">
        <f>S191-'Blocking-Step2'!S191</f>
        <v>0</v>
      </c>
      <c r="AR191" s="2127">
        <f>U191-'Blocking-Step2'!U191</f>
        <v>0</v>
      </c>
      <c r="AT191" s="2127">
        <f>W191-'Blocking-Step2'!W191</f>
        <v>0</v>
      </c>
      <c r="AV191" s="2128">
        <f>Y191-'Blocking-Step2'!Y191</f>
        <v>0</v>
      </c>
    </row>
    <row r="192" spans="1:48">
      <c r="A192" s="1116" t="s">
        <v>684</v>
      </c>
      <c r="C192" s="1105">
        <v>0</v>
      </c>
      <c r="D192" s="1105">
        <v>0</v>
      </c>
      <c r="F192" s="1907">
        <v>12</v>
      </c>
      <c r="G192" s="1110"/>
      <c r="H192" s="1146">
        <v>0</v>
      </c>
      <c r="I192" s="1146">
        <v>0</v>
      </c>
      <c r="K192" s="1907"/>
      <c r="L192" s="1110"/>
      <c r="M192" s="1907"/>
      <c r="N192" s="1110"/>
      <c r="O192" s="1907"/>
      <c r="P192" s="1110"/>
      <c r="Q192" s="1907"/>
      <c r="R192" s="1110"/>
      <c r="S192" s="1146"/>
      <c r="T192" s="1629"/>
      <c r="U192" s="1146"/>
      <c r="V192" s="1629"/>
      <c r="W192" s="1146"/>
      <c r="X192" s="1629"/>
      <c r="Y192" s="1146"/>
      <c r="Z192" s="2114">
        <f>C192-'Blocking-Step2'!C192</f>
        <v>0</v>
      </c>
      <c r="AA192" s="2114">
        <f>D192-'Blocking-Step2'!D192</f>
        <v>0</v>
      </c>
      <c r="AC192" s="2114">
        <f>F192-'Blocking-Step2'!F192</f>
        <v>0</v>
      </c>
      <c r="AE192" s="2114">
        <f>H192-'Blocking-Step2'!H192</f>
        <v>0</v>
      </c>
      <c r="AF192" s="2114">
        <f>I192-'Blocking-Step2'!I192</f>
        <v>0</v>
      </c>
      <c r="AH192" s="2136">
        <f>K192-'Blocking-Step2'!K192</f>
        <v>0</v>
      </c>
      <c r="AJ192" s="2136">
        <f>M192-'Blocking-Step2'!M192</f>
        <v>0</v>
      </c>
      <c r="AL192" s="2136">
        <f>O192-'Blocking-Step2'!O192</f>
        <v>0</v>
      </c>
      <c r="AN192" s="2137">
        <f>Q192-'Blocking-Step2'!Q192</f>
        <v>0</v>
      </c>
      <c r="AP192" s="2127">
        <f>S192-'Blocking-Step2'!S192</f>
        <v>0</v>
      </c>
      <c r="AR192" s="2127">
        <f>U192-'Blocking-Step2'!U192</f>
        <v>0</v>
      </c>
      <c r="AT192" s="2127">
        <f>W192-'Blocking-Step2'!W192</f>
        <v>0</v>
      </c>
      <c r="AV192" s="2128">
        <f>Y192-'Blocking-Step2'!Y192</f>
        <v>0</v>
      </c>
    </row>
    <row r="193" spans="1:48">
      <c r="A193" s="1116" t="s">
        <v>1581</v>
      </c>
      <c r="C193" s="1105">
        <v>0</v>
      </c>
      <c r="D193" s="1105"/>
      <c r="F193" s="1907"/>
      <c r="G193" s="1110"/>
      <c r="H193" s="1146"/>
      <c r="I193" s="1146"/>
      <c r="K193" s="1907">
        <v>20</v>
      </c>
      <c r="L193" s="1110"/>
      <c r="M193" s="1907">
        <v>0</v>
      </c>
      <c r="N193" s="1110"/>
      <c r="O193" s="1907">
        <v>0</v>
      </c>
      <c r="P193" s="1110"/>
      <c r="Q193" s="1907">
        <v>20</v>
      </c>
      <c r="R193" s="1110"/>
      <c r="S193" s="1146">
        <v>0</v>
      </c>
      <c r="T193" s="1629"/>
      <c r="U193" s="1146">
        <v>0</v>
      </c>
      <c r="V193" s="1629"/>
      <c r="W193" s="1146">
        <v>0</v>
      </c>
      <c r="X193" s="1629"/>
      <c r="Y193" s="1146">
        <v>0</v>
      </c>
      <c r="Z193" s="2114">
        <f>C193-'Blocking-Step2'!C193</f>
        <v>0</v>
      </c>
      <c r="AA193" s="2114">
        <f>D193-'Blocking-Step2'!D193</f>
        <v>0</v>
      </c>
      <c r="AC193" s="2114">
        <f>F193-'Blocking-Step2'!F193</f>
        <v>0</v>
      </c>
      <c r="AE193" s="2114">
        <f>H193-'Blocking-Step2'!H193</f>
        <v>0</v>
      </c>
      <c r="AF193" s="2114">
        <f>I193-'Blocking-Step2'!I193</f>
        <v>0</v>
      </c>
      <c r="AH193" s="2136">
        <f>K193-'Blocking-Step2'!K193</f>
        <v>0</v>
      </c>
      <c r="AJ193" s="2136">
        <f>M193-'Blocking-Step2'!M193</f>
        <v>0</v>
      </c>
      <c r="AL193" s="2136">
        <f>O193-'Blocking-Step2'!O193</f>
        <v>0</v>
      </c>
      <c r="AN193" s="2137">
        <f>Q193-'Blocking-Step2'!Q193</f>
        <v>0</v>
      </c>
      <c r="AP193" s="2127">
        <f>S193-'Blocking-Step2'!S193</f>
        <v>0</v>
      </c>
      <c r="AR193" s="2127">
        <f>U193-'Blocking-Step2'!U193</f>
        <v>0</v>
      </c>
      <c r="AT193" s="2127">
        <f>W193-'Blocking-Step2'!W193</f>
        <v>0</v>
      </c>
      <c r="AV193" s="2128">
        <f>Y193-'Blocking-Step2'!Y193</f>
        <v>0</v>
      </c>
    </row>
    <row r="194" spans="1:48">
      <c r="A194" s="1116" t="s">
        <v>1582</v>
      </c>
      <c r="C194" s="1105">
        <v>0</v>
      </c>
      <c r="D194" s="1105"/>
      <c r="F194" s="1907"/>
      <c r="G194" s="1110"/>
      <c r="H194" s="1146"/>
      <c r="I194" s="1146"/>
      <c r="K194" s="1907">
        <v>12</v>
      </c>
      <c r="L194" s="1110"/>
      <c r="M194" s="1907">
        <v>0</v>
      </c>
      <c r="N194" s="1110"/>
      <c r="O194" s="1907">
        <v>0</v>
      </c>
      <c r="P194" s="1110"/>
      <c r="Q194" s="1907">
        <v>12</v>
      </c>
      <c r="R194" s="1110"/>
      <c r="S194" s="1146">
        <v>0</v>
      </c>
      <c r="T194" s="1629"/>
      <c r="U194" s="1146">
        <v>0</v>
      </c>
      <c r="V194" s="1629"/>
      <c r="W194" s="1146">
        <v>0</v>
      </c>
      <c r="X194" s="1629"/>
      <c r="Y194" s="1146">
        <v>0</v>
      </c>
      <c r="Z194" s="2114">
        <f>C194-'Blocking-Step2'!C194</f>
        <v>0</v>
      </c>
      <c r="AA194" s="2114">
        <f>D194-'Blocking-Step2'!D194</f>
        <v>0</v>
      </c>
      <c r="AC194" s="2114">
        <f>F194-'Blocking-Step2'!F194</f>
        <v>0</v>
      </c>
      <c r="AE194" s="2114">
        <f>H194-'Blocking-Step2'!H194</f>
        <v>0</v>
      </c>
      <c r="AF194" s="2114">
        <f>I194-'Blocking-Step2'!I194</f>
        <v>0</v>
      </c>
      <c r="AH194" s="2136">
        <f>K194-'Blocking-Step2'!K194</f>
        <v>0</v>
      </c>
      <c r="AJ194" s="2136">
        <f>M194-'Blocking-Step2'!M194</f>
        <v>0</v>
      </c>
      <c r="AL194" s="2136">
        <f>O194-'Blocking-Step2'!O194</f>
        <v>0</v>
      </c>
      <c r="AN194" s="2137">
        <f>Q194-'Blocking-Step2'!Q194</f>
        <v>0</v>
      </c>
      <c r="AP194" s="2127">
        <f>S194-'Blocking-Step2'!S194</f>
        <v>0</v>
      </c>
      <c r="AR194" s="2127">
        <f>U194-'Blocking-Step2'!U194</f>
        <v>0</v>
      </c>
      <c r="AT194" s="2127">
        <f>W194-'Blocking-Step2'!W194</f>
        <v>0</v>
      </c>
      <c r="AV194" s="2128">
        <f>Y194-'Blocking-Step2'!Y194</f>
        <v>0</v>
      </c>
    </row>
    <row r="195" spans="1:48">
      <c r="A195" s="1116" t="s">
        <v>1236</v>
      </c>
      <c r="C195" s="1105">
        <v>303.69499999999999</v>
      </c>
      <c r="D195" s="1105">
        <v>1646</v>
      </c>
      <c r="F195" s="1907">
        <v>2</v>
      </c>
      <c r="G195" s="1110"/>
      <c r="H195" s="1146">
        <v>607</v>
      </c>
      <c r="I195" s="1146">
        <v>3292</v>
      </c>
      <c r="K195" s="1907">
        <v>2</v>
      </c>
      <c r="L195" s="1110"/>
      <c r="M195" s="1907">
        <v>0</v>
      </c>
      <c r="N195" s="1110"/>
      <c r="O195" s="1907">
        <v>0</v>
      </c>
      <c r="P195" s="1110"/>
      <c r="Q195" s="1907">
        <v>2</v>
      </c>
      <c r="R195" s="1110"/>
      <c r="S195" s="1146">
        <v>3292</v>
      </c>
      <c r="T195" s="1629"/>
      <c r="U195" s="1146">
        <v>0</v>
      </c>
      <c r="V195" s="1629"/>
      <c r="W195" s="1146">
        <v>0</v>
      </c>
      <c r="X195" s="1629"/>
      <c r="Y195" s="1146">
        <v>3292</v>
      </c>
      <c r="Z195" s="2114">
        <f>C195-'Blocking-Step2'!C195</f>
        <v>0</v>
      </c>
      <c r="AA195" s="2114">
        <f>D195-'Blocking-Step2'!D195</f>
        <v>0</v>
      </c>
      <c r="AC195" s="2114">
        <f>F195-'Blocking-Step2'!F195</f>
        <v>0</v>
      </c>
      <c r="AE195" s="2114">
        <f>H195-'Blocking-Step2'!H195</f>
        <v>0</v>
      </c>
      <c r="AF195" s="2114">
        <f>I195-'Blocking-Step2'!I195</f>
        <v>0</v>
      </c>
      <c r="AH195" s="2136">
        <f>K195-'Blocking-Step2'!K195</f>
        <v>0</v>
      </c>
      <c r="AJ195" s="2136">
        <f>M195-'Blocking-Step2'!M195</f>
        <v>0</v>
      </c>
      <c r="AL195" s="2136">
        <f>O195-'Blocking-Step2'!O195</f>
        <v>0</v>
      </c>
      <c r="AN195" s="2137">
        <f>Q195-'Blocking-Step2'!Q195</f>
        <v>0</v>
      </c>
      <c r="AP195" s="2127">
        <f>S195-'Blocking-Step2'!S195</f>
        <v>0</v>
      </c>
      <c r="AR195" s="2127">
        <f>U195-'Blocking-Step2'!U195</f>
        <v>0</v>
      </c>
      <c r="AT195" s="2127">
        <f>W195-'Blocking-Step2'!W195</f>
        <v>0</v>
      </c>
      <c r="AV195" s="2128">
        <f>Y195-'Blocking-Step2'!Y195</f>
        <v>0</v>
      </c>
    </row>
    <row r="196" spans="1:48">
      <c r="A196" s="1116" t="s">
        <v>1301</v>
      </c>
      <c r="C196" s="1105">
        <v>0</v>
      </c>
      <c r="D196" s="1105">
        <v>0</v>
      </c>
      <c r="F196" s="1907">
        <v>22</v>
      </c>
      <c r="G196" s="1110"/>
      <c r="H196" s="1146">
        <v>0</v>
      </c>
      <c r="I196" s="1146">
        <v>0</v>
      </c>
      <c r="K196" s="1907">
        <v>22</v>
      </c>
      <c r="L196" s="1110"/>
      <c r="M196" s="1907">
        <v>0</v>
      </c>
      <c r="N196" s="1110"/>
      <c r="O196" s="1907">
        <v>0</v>
      </c>
      <c r="P196" s="1110"/>
      <c r="Q196" s="1907">
        <v>22</v>
      </c>
      <c r="R196" s="1110"/>
      <c r="S196" s="1146">
        <v>0</v>
      </c>
      <c r="T196" s="1629"/>
      <c r="U196" s="1146">
        <v>0</v>
      </c>
      <c r="V196" s="1629"/>
      <c r="W196" s="1146">
        <v>0</v>
      </c>
      <c r="X196" s="1629"/>
      <c r="Y196" s="1146">
        <v>0</v>
      </c>
      <c r="Z196" s="2114">
        <f>C196-'Blocking-Step2'!C196</f>
        <v>0</v>
      </c>
      <c r="AA196" s="2114">
        <f>D196-'Blocking-Step2'!D196</f>
        <v>0</v>
      </c>
      <c r="AC196" s="2114">
        <f>F196-'Blocking-Step2'!F196</f>
        <v>0</v>
      </c>
      <c r="AE196" s="2114">
        <f>H196-'Blocking-Step2'!H196</f>
        <v>0</v>
      </c>
      <c r="AF196" s="2114">
        <f>I196-'Blocking-Step2'!I196</f>
        <v>0</v>
      </c>
      <c r="AH196" s="2136">
        <f>K196-'Blocking-Step2'!K196</f>
        <v>0</v>
      </c>
      <c r="AJ196" s="2136">
        <f>M196-'Blocking-Step2'!M196</f>
        <v>0</v>
      </c>
      <c r="AL196" s="2136">
        <f>O196-'Blocking-Step2'!O196</f>
        <v>0</v>
      </c>
      <c r="AN196" s="2137">
        <f>Q196-'Blocking-Step2'!Q196</f>
        <v>0</v>
      </c>
      <c r="AP196" s="2127">
        <f>S196-'Blocking-Step2'!S196</f>
        <v>0</v>
      </c>
      <c r="AR196" s="2127">
        <f>U196-'Blocking-Step2'!U196</f>
        <v>0</v>
      </c>
      <c r="AT196" s="2127">
        <f>W196-'Blocking-Step2'!W196</f>
        <v>0</v>
      </c>
      <c r="AV196" s="2128">
        <f>Y196-'Blocking-Step2'!Y196</f>
        <v>0</v>
      </c>
    </row>
    <row r="197" spans="1:48">
      <c r="A197" s="1116" t="s">
        <v>243</v>
      </c>
      <c r="C197" s="1105">
        <v>13201.804999999977</v>
      </c>
      <c r="D197" s="1105">
        <v>71571</v>
      </c>
      <c r="F197" s="1907">
        <v>8</v>
      </c>
      <c r="G197" s="1110"/>
      <c r="H197" s="1146">
        <v>105614</v>
      </c>
      <c r="I197" s="1146">
        <v>572568</v>
      </c>
      <c r="K197" s="1907"/>
      <c r="L197" s="1110"/>
      <c r="M197" s="1907"/>
      <c r="N197" s="1110"/>
      <c r="O197" s="1907"/>
      <c r="P197" s="1110"/>
      <c r="Q197" s="1907"/>
      <c r="R197" s="1110"/>
      <c r="S197" s="1146"/>
      <c r="T197" s="1629"/>
      <c r="U197" s="1146"/>
      <c r="V197" s="1629"/>
      <c r="W197" s="1146"/>
      <c r="X197" s="1629"/>
      <c r="Y197" s="1146"/>
      <c r="Z197" s="2114">
        <f>C197-'Blocking-Step2'!C197</f>
        <v>0</v>
      </c>
      <c r="AA197" s="2114">
        <f>D197-'Blocking-Step2'!D197</f>
        <v>0</v>
      </c>
      <c r="AC197" s="2114">
        <f>F197-'Blocking-Step2'!F197</f>
        <v>0</v>
      </c>
      <c r="AE197" s="2114">
        <f>H197-'Blocking-Step2'!H197</f>
        <v>0</v>
      </c>
      <c r="AF197" s="2114">
        <f>I197-'Blocking-Step2'!I197</f>
        <v>0</v>
      </c>
      <c r="AH197" s="2136">
        <f>K197-'Blocking-Step2'!K197</f>
        <v>0</v>
      </c>
      <c r="AJ197" s="2136">
        <f>M197-'Blocking-Step2'!M197</f>
        <v>0</v>
      </c>
      <c r="AL197" s="2136">
        <f>O197-'Blocking-Step2'!O197</f>
        <v>0</v>
      </c>
      <c r="AN197" s="2137">
        <f>Q197-'Blocking-Step2'!Q197</f>
        <v>0</v>
      </c>
      <c r="AP197" s="2127">
        <f>S197-'Blocking-Step2'!S197</f>
        <v>0</v>
      </c>
      <c r="AR197" s="2127">
        <f>U197-'Blocking-Step2'!U197</f>
        <v>0</v>
      </c>
      <c r="AT197" s="2127">
        <f>W197-'Blocking-Step2'!W197</f>
        <v>0</v>
      </c>
      <c r="AV197" s="2128">
        <f>Y197-'Blocking-Step2'!Y197</f>
        <v>0</v>
      </c>
    </row>
    <row r="198" spans="1:48">
      <c r="A198" s="1116" t="s">
        <v>1581</v>
      </c>
      <c r="C198" s="1105">
        <v>13106.414999999977</v>
      </c>
      <c r="D198" s="1105">
        <v>71054</v>
      </c>
      <c r="F198" s="1907"/>
      <c r="G198" s="1110"/>
      <c r="H198" s="1146"/>
      <c r="I198" s="1146"/>
      <c r="K198" s="1907"/>
      <c r="L198" s="1110"/>
      <c r="M198" s="1907"/>
      <c r="N198" s="1110"/>
      <c r="O198" s="1907"/>
      <c r="P198" s="1110"/>
      <c r="Q198" s="1907"/>
      <c r="R198" s="1110"/>
      <c r="S198" s="1146"/>
      <c r="T198" s="1629"/>
      <c r="U198" s="1146"/>
      <c r="V198" s="1629"/>
      <c r="W198" s="1146"/>
      <c r="X198" s="1629"/>
      <c r="Y198" s="1146"/>
      <c r="Z198" s="2114">
        <f>C198-'Blocking-Step2'!C198</f>
        <v>0</v>
      </c>
      <c r="AA198" s="2114">
        <f>D198-'Blocking-Step2'!D198</f>
        <v>0</v>
      </c>
      <c r="AC198" s="2114">
        <f>F198-'Blocking-Step2'!F198</f>
        <v>0</v>
      </c>
      <c r="AE198" s="2114">
        <f>H198-'Blocking-Step2'!H198</f>
        <v>0</v>
      </c>
      <c r="AF198" s="2114">
        <f>I198-'Blocking-Step2'!I198</f>
        <v>0</v>
      </c>
      <c r="AH198" s="2136">
        <f>K198-'Blocking-Step2'!K198</f>
        <v>0</v>
      </c>
      <c r="AJ198" s="2136">
        <f>M198-'Blocking-Step2'!M198</f>
        <v>0</v>
      </c>
      <c r="AL198" s="2136">
        <f>O198-'Blocking-Step2'!O198</f>
        <v>0</v>
      </c>
      <c r="AN198" s="2137">
        <f>Q198-'Blocking-Step2'!Q198</f>
        <v>0</v>
      </c>
      <c r="AP198" s="2127">
        <f>S198-'Blocking-Step2'!S198</f>
        <v>0</v>
      </c>
      <c r="AR198" s="2127">
        <f>U198-'Blocking-Step2'!U198</f>
        <v>0</v>
      </c>
      <c r="AT198" s="2127">
        <f>W198-'Blocking-Step2'!W198</f>
        <v>0</v>
      </c>
      <c r="AV198" s="2128">
        <f>Y198-'Blocking-Step2'!Y198</f>
        <v>0</v>
      </c>
    </row>
    <row r="199" spans="1:48">
      <c r="A199" s="1116" t="s">
        <v>1582</v>
      </c>
      <c r="C199" s="1105">
        <v>95.39</v>
      </c>
      <c r="D199" s="1105">
        <v>517</v>
      </c>
      <c r="F199" s="1907"/>
      <c r="G199" s="1110"/>
      <c r="H199" s="1146"/>
      <c r="I199" s="1146"/>
      <c r="K199" s="1907"/>
      <c r="L199" s="1110"/>
      <c r="M199" s="1907"/>
      <c r="N199" s="1110"/>
      <c r="O199" s="1907"/>
      <c r="P199" s="1110"/>
      <c r="Q199" s="1907"/>
      <c r="R199" s="1110"/>
      <c r="S199" s="1146"/>
      <c r="T199" s="1629"/>
      <c r="U199" s="1146"/>
      <c r="V199" s="1629"/>
      <c r="W199" s="1146"/>
      <c r="X199" s="1629"/>
      <c r="Y199" s="1146"/>
      <c r="Z199" s="2114">
        <f>C199-'Blocking-Step2'!C199</f>
        <v>0</v>
      </c>
      <c r="AA199" s="2114">
        <f>D199-'Blocking-Step2'!D199</f>
        <v>0</v>
      </c>
      <c r="AC199" s="2114">
        <f>F199-'Blocking-Step2'!F199</f>
        <v>0</v>
      </c>
      <c r="AE199" s="2114">
        <f>H199-'Blocking-Step2'!H199</f>
        <v>0</v>
      </c>
      <c r="AF199" s="2114">
        <f>I199-'Blocking-Step2'!I199</f>
        <v>0</v>
      </c>
      <c r="AH199" s="2136">
        <f>K199-'Blocking-Step2'!K199</f>
        <v>0</v>
      </c>
      <c r="AJ199" s="2136">
        <f>M199-'Blocking-Step2'!M199</f>
        <v>0</v>
      </c>
      <c r="AL199" s="2136">
        <f>O199-'Blocking-Step2'!O199</f>
        <v>0</v>
      </c>
      <c r="AN199" s="2137">
        <f>Q199-'Blocking-Step2'!Q199</f>
        <v>0</v>
      </c>
      <c r="AP199" s="2127">
        <f>S199-'Blocking-Step2'!S199</f>
        <v>0</v>
      </c>
      <c r="AR199" s="2127">
        <f>U199-'Blocking-Step2'!U199</f>
        <v>0</v>
      </c>
      <c r="AT199" s="2127">
        <f>W199-'Blocking-Step2'!W199</f>
        <v>0</v>
      </c>
      <c r="AV199" s="2128">
        <f>Y199-'Blocking-Step2'!Y199</f>
        <v>0</v>
      </c>
    </row>
    <row r="200" spans="1:48" s="1109" customFormat="1">
      <c r="A200" s="1116" t="s">
        <v>244</v>
      </c>
      <c r="B200" s="1104"/>
      <c r="C200" s="1105">
        <v>0</v>
      </c>
      <c r="D200" s="1105">
        <v>0</v>
      </c>
      <c r="F200" s="1907">
        <v>16</v>
      </c>
      <c r="G200" s="1110"/>
      <c r="H200" s="1146">
        <v>0</v>
      </c>
      <c r="I200" s="1146">
        <v>0</v>
      </c>
      <c r="K200" s="1907"/>
      <c r="L200" s="1110"/>
      <c r="M200" s="1907"/>
      <c r="N200" s="1110"/>
      <c r="O200" s="1907"/>
      <c r="P200" s="1110"/>
      <c r="Q200" s="1907"/>
      <c r="R200" s="1110"/>
      <c r="S200" s="1146"/>
      <c r="T200" s="1629"/>
      <c r="U200" s="1146"/>
      <c r="V200" s="1629"/>
      <c r="W200" s="1146"/>
      <c r="X200" s="1629"/>
      <c r="Y200" s="1146"/>
      <c r="Z200" s="2114">
        <f>C200-'Blocking-Step2'!C200</f>
        <v>0</v>
      </c>
      <c r="AA200" s="2114">
        <f>D200-'Blocking-Step2'!D200</f>
        <v>0</v>
      </c>
      <c r="AB200" s="2114"/>
      <c r="AC200" s="2114">
        <f>F200-'Blocking-Step2'!F200</f>
        <v>0</v>
      </c>
      <c r="AD200" s="2114"/>
      <c r="AE200" s="2114">
        <f>H200-'Blocking-Step2'!H200</f>
        <v>0</v>
      </c>
      <c r="AF200" s="2114">
        <f>I200-'Blocking-Step2'!I200</f>
        <v>0</v>
      </c>
      <c r="AG200" s="2114"/>
      <c r="AH200" s="2136">
        <f>K200-'Blocking-Step2'!K200</f>
        <v>0</v>
      </c>
      <c r="AI200" s="2136"/>
      <c r="AJ200" s="2136">
        <f>M200-'Blocking-Step2'!M200</f>
        <v>0</v>
      </c>
      <c r="AK200" s="2136"/>
      <c r="AL200" s="2136">
        <f>O200-'Blocking-Step2'!O200</f>
        <v>0</v>
      </c>
      <c r="AM200" s="2136"/>
      <c r="AN200" s="2137">
        <f>Q200-'Blocking-Step2'!Q200</f>
        <v>0</v>
      </c>
      <c r="AO200" s="2114"/>
      <c r="AP200" s="2127">
        <f>S200-'Blocking-Step2'!S200</f>
        <v>0</v>
      </c>
      <c r="AQ200" s="2127"/>
      <c r="AR200" s="2127">
        <f>U200-'Blocking-Step2'!U200</f>
        <v>0</v>
      </c>
      <c r="AS200" s="2127"/>
      <c r="AT200" s="2127">
        <f>W200-'Blocking-Step2'!W200</f>
        <v>0</v>
      </c>
      <c r="AU200" s="2127"/>
      <c r="AV200" s="2128">
        <f>Y200-'Blocking-Step2'!Y200</f>
        <v>0</v>
      </c>
    </row>
    <row r="201" spans="1:48">
      <c r="A201" s="1116" t="s">
        <v>1581</v>
      </c>
      <c r="C201" s="1105">
        <v>0</v>
      </c>
      <c r="D201" s="1105"/>
      <c r="F201" s="1907"/>
      <c r="G201" s="1110"/>
      <c r="H201" s="1146"/>
      <c r="I201" s="1146"/>
      <c r="K201" s="1907"/>
      <c r="L201" s="1110"/>
      <c r="M201" s="1907"/>
      <c r="N201" s="1110"/>
      <c r="O201" s="1907"/>
      <c r="P201" s="1110"/>
      <c r="Q201" s="1907"/>
      <c r="R201" s="1110"/>
      <c r="S201" s="1146"/>
      <c r="T201" s="1629"/>
      <c r="U201" s="1146"/>
      <c r="V201" s="1629"/>
      <c r="W201" s="1146"/>
      <c r="X201" s="1629"/>
      <c r="Y201" s="1146"/>
      <c r="Z201" s="2114">
        <f>C201-'Blocking-Step2'!C201</f>
        <v>0</v>
      </c>
      <c r="AA201" s="2114">
        <f>D201-'Blocking-Step2'!D201</f>
        <v>0</v>
      </c>
      <c r="AC201" s="2114">
        <f>F201-'Blocking-Step2'!F201</f>
        <v>0</v>
      </c>
      <c r="AE201" s="2114">
        <f>H201-'Blocking-Step2'!H201</f>
        <v>0</v>
      </c>
      <c r="AF201" s="2114">
        <f>I201-'Blocking-Step2'!I201</f>
        <v>0</v>
      </c>
      <c r="AH201" s="2136">
        <f>K201-'Blocking-Step2'!K201</f>
        <v>0</v>
      </c>
      <c r="AJ201" s="2136">
        <f>M201-'Blocking-Step2'!M201</f>
        <v>0</v>
      </c>
      <c r="AL201" s="2136">
        <f>O201-'Blocking-Step2'!O201</f>
        <v>0</v>
      </c>
      <c r="AN201" s="2137">
        <f>Q201-'Blocking-Step2'!Q201</f>
        <v>0</v>
      </c>
      <c r="AP201" s="2127">
        <f>S201-'Blocking-Step2'!S201</f>
        <v>0</v>
      </c>
      <c r="AR201" s="2127">
        <f>U201-'Blocking-Step2'!U201</f>
        <v>0</v>
      </c>
      <c r="AT201" s="2127">
        <f>W201-'Blocking-Step2'!W201</f>
        <v>0</v>
      </c>
      <c r="AV201" s="2128">
        <f>Y201-'Blocking-Step2'!Y201</f>
        <v>0</v>
      </c>
    </row>
    <row r="202" spans="1:48">
      <c r="A202" s="1116" t="s">
        <v>1582</v>
      </c>
      <c r="C202" s="1105">
        <v>0</v>
      </c>
      <c r="D202" s="1105"/>
      <c r="F202" s="1907"/>
      <c r="G202" s="1110"/>
      <c r="H202" s="1146"/>
      <c r="I202" s="1146"/>
      <c r="K202" s="1907"/>
      <c r="L202" s="1110"/>
      <c r="M202" s="1907"/>
      <c r="N202" s="1110"/>
      <c r="O202" s="1907"/>
      <c r="P202" s="1110"/>
      <c r="Q202" s="1907"/>
      <c r="R202" s="1110"/>
      <c r="S202" s="1146"/>
      <c r="T202" s="1629"/>
      <c r="U202" s="1146"/>
      <c r="V202" s="1629"/>
      <c r="W202" s="1146"/>
      <c r="X202" s="1629"/>
      <c r="Y202" s="1146"/>
      <c r="Z202" s="2114">
        <f>C202-'Blocking-Step2'!C202</f>
        <v>0</v>
      </c>
      <c r="AA202" s="2114">
        <f>D202-'Blocking-Step2'!D202</f>
        <v>0</v>
      </c>
      <c r="AC202" s="2114">
        <f>F202-'Blocking-Step2'!F202</f>
        <v>0</v>
      </c>
      <c r="AE202" s="2114">
        <f>H202-'Blocking-Step2'!H202</f>
        <v>0</v>
      </c>
      <c r="AF202" s="2114">
        <f>I202-'Blocking-Step2'!I202</f>
        <v>0</v>
      </c>
      <c r="AH202" s="2136">
        <f>K202-'Blocking-Step2'!K202</f>
        <v>0</v>
      </c>
      <c r="AJ202" s="2136">
        <f>M202-'Blocking-Step2'!M202</f>
        <v>0</v>
      </c>
      <c r="AL202" s="2136">
        <f>O202-'Blocking-Step2'!O202</f>
        <v>0</v>
      </c>
      <c r="AN202" s="2137">
        <f>Q202-'Blocking-Step2'!Q202</f>
        <v>0</v>
      </c>
      <c r="AP202" s="2127">
        <f>S202-'Blocking-Step2'!S202</f>
        <v>0</v>
      </c>
      <c r="AR202" s="2127">
        <f>U202-'Blocking-Step2'!U202</f>
        <v>0</v>
      </c>
      <c r="AT202" s="2127">
        <f>W202-'Blocking-Step2'!W202</f>
        <v>0</v>
      </c>
      <c r="AV202" s="2128">
        <f>Y202-'Blocking-Step2'!Y202</f>
        <v>0</v>
      </c>
    </row>
    <row r="203" spans="1:48" s="1109" customFormat="1">
      <c r="A203" s="1116" t="s">
        <v>245</v>
      </c>
      <c r="B203" s="1104"/>
      <c r="C203" s="1105">
        <v>0</v>
      </c>
      <c r="D203" s="1105">
        <v>0</v>
      </c>
      <c r="F203" s="1907">
        <v>96</v>
      </c>
      <c r="G203" s="1110"/>
      <c r="H203" s="1146">
        <v>0</v>
      </c>
      <c r="I203" s="1146">
        <v>0</v>
      </c>
      <c r="K203" s="1907"/>
      <c r="L203" s="1110"/>
      <c r="M203" s="1907"/>
      <c r="N203" s="1110"/>
      <c r="O203" s="1907"/>
      <c r="P203" s="1110"/>
      <c r="Q203" s="1907"/>
      <c r="R203" s="1110"/>
      <c r="S203" s="1146"/>
      <c r="T203" s="1629"/>
      <c r="U203" s="1146"/>
      <c r="V203" s="1629"/>
      <c r="W203" s="1146"/>
      <c r="X203" s="1629"/>
      <c r="Y203" s="1146"/>
      <c r="Z203" s="2114">
        <f>C203-'Blocking-Step2'!C203</f>
        <v>0</v>
      </c>
      <c r="AA203" s="2114">
        <f>D203-'Blocking-Step2'!D203</f>
        <v>0</v>
      </c>
      <c r="AB203" s="2114"/>
      <c r="AC203" s="2114">
        <f>F203-'Blocking-Step2'!F203</f>
        <v>0</v>
      </c>
      <c r="AD203" s="2114"/>
      <c r="AE203" s="2114">
        <f>H203-'Blocking-Step2'!H203</f>
        <v>0</v>
      </c>
      <c r="AF203" s="2114">
        <f>I203-'Blocking-Step2'!I203</f>
        <v>0</v>
      </c>
      <c r="AG203" s="2114"/>
      <c r="AH203" s="2136">
        <f>K203-'Blocking-Step2'!K203</f>
        <v>0</v>
      </c>
      <c r="AI203" s="2136"/>
      <c r="AJ203" s="2136">
        <f>M203-'Blocking-Step2'!M203</f>
        <v>0</v>
      </c>
      <c r="AK203" s="2136"/>
      <c r="AL203" s="2136">
        <f>O203-'Blocking-Step2'!O203</f>
        <v>0</v>
      </c>
      <c r="AM203" s="2136"/>
      <c r="AN203" s="2137">
        <f>Q203-'Blocking-Step2'!Q203</f>
        <v>0</v>
      </c>
      <c r="AO203" s="2114"/>
      <c r="AP203" s="2127">
        <f>S203-'Blocking-Step2'!S203</f>
        <v>0</v>
      </c>
      <c r="AQ203" s="2127"/>
      <c r="AR203" s="2127">
        <f>U203-'Blocking-Step2'!U203</f>
        <v>0</v>
      </c>
      <c r="AS203" s="2127"/>
      <c r="AT203" s="2127">
        <f>W203-'Blocking-Step2'!W203</f>
        <v>0</v>
      </c>
      <c r="AU203" s="2127"/>
      <c r="AV203" s="2128">
        <f>Y203-'Blocking-Step2'!Y203</f>
        <v>0</v>
      </c>
    </row>
    <row r="204" spans="1:48">
      <c r="A204" s="1116" t="s">
        <v>1532</v>
      </c>
      <c r="C204" s="1105">
        <v>1101.0139275766016</v>
      </c>
      <c r="D204" s="1105">
        <v>5690</v>
      </c>
      <c r="F204" s="1922"/>
      <c r="G204" s="1921"/>
      <c r="H204" s="1146"/>
      <c r="I204" s="1146"/>
      <c r="K204" s="1922">
        <v>0</v>
      </c>
      <c r="L204" s="1921" t="s">
        <v>495</v>
      </c>
      <c r="M204" s="1922">
        <v>0</v>
      </c>
      <c r="N204" s="1921" t="s">
        <v>495</v>
      </c>
      <c r="O204" s="1922">
        <v>4.3559999999999999</v>
      </c>
      <c r="P204" s="1921" t="s">
        <v>495</v>
      </c>
      <c r="Q204" s="1922">
        <v>4.3559999999999999</v>
      </c>
      <c r="R204" s="1921" t="s">
        <v>495</v>
      </c>
      <c r="S204" s="1146">
        <v>0</v>
      </c>
      <c r="T204" s="1656"/>
      <c r="U204" s="1146">
        <v>0</v>
      </c>
      <c r="V204" s="1656"/>
      <c r="W204" s="1146">
        <v>248</v>
      </c>
      <c r="X204" s="1648"/>
      <c r="Y204" s="1146">
        <v>248</v>
      </c>
      <c r="Z204" s="2114">
        <f>C204-'Blocking-Step2'!C204</f>
        <v>0</v>
      </c>
      <c r="AA204" s="2114">
        <f>D204-'Blocking-Step2'!D204</f>
        <v>0</v>
      </c>
      <c r="AC204" s="2114">
        <f>F204-'Blocking-Step2'!F204</f>
        <v>0</v>
      </c>
      <c r="AE204" s="2114">
        <f>H204-'Blocking-Step2'!H204</f>
        <v>0</v>
      </c>
      <c r="AF204" s="2114">
        <f>I204-'Blocking-Step2'!I204</f>
        <v>0</v>
      </c>
      <c r="AH204" s="2136">
        <f>K204-'Blocking-Step2'!K204</f>
        <v>0</v>
      </c>
      <c r="AJ204" s="2136">
        <f>M204-'Blocking-Step2'!M204</f>
        <v>0</v>
      </c>
      <c r="AL204" s="2136">
        <f>O204-'Blocking-Step2'!O204</f>
        <v>0</v>
      </c>
      <c r="AN204" s="2137">
        <f>Q204-'Blocking-Step2'!Q204</f>
        <v>0</v>
      </c>
      <c r="AP204" s="2127">
        <f>S204-'Blocking-Step2'!S204</f>
        <v>0</v>
      </c>
      <c r="AR204" s="2127">
        <f>U204-'Blocking-Step2'!U204</f>
        <v>0</v>
      </c>
      <c r="AT204" s="2127">
        <f>W204-'Blocking-Step2'!W204</f>
        <v>0</v>
      </c>
      <c r="AV204" s="2128">
        <f>Y204-'Blocking-Step2'!Y204</f>
        <v>0</v>
      </c>
    </row>
    <row r="205" spans="1:48">
      <c r="A205" s="1116" t="s">
        <v>1533</v>
      </c>
      <c r="C205" s="1105">
        <v>6841.8412256267411</v>
      </c>
      <c r="D205" s="1105">
        <v>35358</v>
      </c>
      <c r="F205" s="1922"/>
      <c r="G205" s="1921"/>
      <c r="H205" s="1146"/>
      <c r="I205" s="1146"/>
      <c r="K205" s="1922">
        <v>0</v>
      </c>
      <c r="L205" s="1921" t="s">
        <v>495</v>
      </c>
      <c r="M205" s="1922">
        <v>0</v>
      </c>
      <c r="N205" s="1921" t="s">
        <v>495</v>
      </c>
      <c r="O205" s="1922">
        <v>-1.6334</v>
      </c>
      <c r="P205" s="1921" t="s">
        <v>495</v>
      </c>
      <c r="Q205" s="1922">
        <v>-1.6334</v>
      </c>
      <c r="R205" s="1921" t="s">
        <v>495</v>
      </c>
      <c r="S205" s="1146">
        <v>0</v>
      </c>
      <c r="T205" s="1656"/>
      <c r="U205" s="1146">
        <v>0</v>
      </c>
      <c r="V205" s="1656"/>
      <c r="W205" s="1146">
        <v>-578</v>
      </c>
      <c r="X205" s="1648"/>
      <c r="Y205" s="1146">
        <v>-578</v>
      </c>
      <c r="Z205" s="2114">
        <f>C205-'Blocking-Step2'!C205</f>
        <v>0</v>
      </c>
      <c r="AA205" s="2114">
        <f>D205-'Blocking-Step2'!D205</f>
        <v>0</v>
      </c>
      <c r="AC205" s="2114">
        <f>F205-'Blocking-Step2'!F205</f>
        <v>0</v>
      </c>
      <c r="AE205" s="2114">
        <f>H205-'Blocking-Step2'!H205</f>
        <v>0</v>
      </c>
      <c r="AF205" s="2114">
        <f>I205-'Blocking-Step2'!I205</f>
        <v>0</v>
      </c>
      <c r="AH205" s="2136">
        <f>K205-'Blocking-Step2'!K205</f>
        <v>0</v>
      </c>
      <c r="AJ205" s="2136">
        <f>M205-'Blocking-Step2'!M205</f>
        <v>0</v>
      </c>
      <c r="AL205" s="2136">
        <f>O205-'Blocking-Step2'!O205</f>
        <v>0</v>
      </c>
      <c r="AN205" s="2137">
        <f>Q205-'Blocking-Step2'!Q205</f>
        <v>0</v>
      </c>
      <c r="AP205" s="2127">
        <f>S205-'Blocking-Step2'!S205</f>
        <v>0</v>
      </c>
      <c r="AR205" s="2127">
        <f>U205-'Blocking-Step2'!U205</f>
        <v>0</v>
      </c>
      <c r="AT205" s="2127">
        <f>W205-'Blocking-Step2'!W205</f>
        <v>0</v>
      </c>
      <c r="AV205" s="2128">
        <f>Y205-'Blocking-Step2'!Y205</f>
        <v>0</v>
      </c>
    </row>
    <row r="206" spans="1:48">
      <c r="A206" s="1116" t="s">
        <v>1534</v>
      </c>
      <c r="C206" s="1024">
        <v>7489143.5454950463</v>
      </c>
      <c r="D206" s="1105">
        <v>38703048.189910412</v>
      </c>
      <c r="F206" s="1927"/>
      <c r="G206" s="1921"/>
      <c r="H206" s="1146"/>
      <c r="I206" s="1146"/>
      <c r="K206" s="1927">
        <v>2.7378999999999998</v>
      </c>
      <c r="L206" s="1921" t="s">
        <v>495</v>
      </c>
      <c r="M206" s="1927">
        <v>5.3996000000000004</v>
      </c>
      <c r="N206" s="1921" t="s">
        <v>495</v>
      </c>
      <c r="O206" s="1927">
        <v>1.3648728754966735</v>
      </c>
      <c r="P206" s="1921" t="s">
        <v>495</v>
      </c>
      <c r="Q206" s="1927">
        <v>9.5023728754966736</v>
      </c>
      <c r="R206" s="1921" t="s">
        <v>495</v>
      </c>
      <c r="S206" s="1146">
        <v>1059651</v>
      </c>
      <c r="T206" s="1656"/>
      <c r="U206" s="1146">
        <v>2089810</v>
      </c>
      <c r="V206" s="1656"/>
      <c r="W206" s="1146">
        <v>528247</v>
      </c>
      <c r="X206" s="1648"/>
      <c r="Y206" s="1146">
        <v>3677708</v>
      </c>
      <c r="Z206" s="2114">
        <f>C206-'Blocking-Step2'!C206</f>
        <v>0</v>
      </c>
      <c r="AA206" s="2114">
        <f>D206-'Blocking-Step2'!D206</f>
        <v>0</v>
      </c>
      <c r="AC206" s="2114">
        <f>F206-'Blocking-Step2'!F206</f>
        <v>0</v>
      </c>
      <c r="AE206" s="2114">
        <f>H206-'Blocking-Step2'!H206</f>
        <v>0</v>
      </c>
      <c r="AF206" s="2114">
        <f>I206-'Blocking-Step2'!I206</f>
        <v>0</v>
      </c>
      <c r="AH206" s="2136">
        <f>K206-'Blocking-Step2'!K206</f>
        <v>-1.6915000000000004</v>
      </c>
      <c r="AJ206" s="2136">
        <f>M206-'Blocking-Step2'!M206</f>
        <v>1.6955000000000005</v>
      </c>
      <c r="AL206" s="2136">
        <f>O206-'Blocking-Step2'!O206</f>
        <v>2.8657465324455345E-4</v>
      </c>
      <c r="AN206" s="2137">
        <f>Q206-'Blocking-Step2'!Q206</f>
        <v>4.286574653244557E-3</v>
      </c>
      <c r="AP206" s="2127">
        <f>S206-'Blocking-Step2'!S206</f>
        <v>-654662</v>
      </c>
      <c r="AR206" s="2127">
        <f>U206-'Blocking-Step2'!U206</f>
        <v>656210</v>
      </c>
      <c r="AT206" s="2127">
        <f>W206-'Blocking-Step2'!W206</f>
        <v>111</v>
      </c>
      <c r="AV206" s="2128">
        <f>Y206-'Blocking-Step2'!Y206</f>
        <v>1659</v>
      </c>
    </row>
    <row r="207" spans="1:48">
      <c r="A207" s="1116" t="s">
        <v>1535</v>
      </c>
      <c r="C207" s="1024">
        <v>5194029.4005090147</v>
      </c>
      <c r="D207" s="1105">
        <v>26842157</v>
      </c>
      <c r="F207" s="1927"/>
      <c r="G207" s="1921"/>
      <c r="H207" s="1146"/>
      <c r="I207" s="1146"/>
      <c r="K207" s="1927">
        <v>2.7378999999999998</v>
      </c>
      <c r="L207" s="1921" t="s">
        <v>495</v>
      </c>
      <c r="M207" s="1927">
        <v>5.3996000000000004</v>
      </c>
      <c r="N207" s="1921" t="s">
        <v>495</v>
      </c>
      <c r="O207" s="1927">
        <v>4.0579728754966728</v>
      </c>
      <c r="P207" s="1921" t="s">
        <v>495</v>
      </c>
      <c r="Q207" s="1927">
        <v>12.195472875496673</v>
      </c>
      <c r="R207" s="1921" t="s">
        <v>495</v>
      </c>
      <c r="S207" s="1146">
        <v>734911</v>
      </c>
      <c r="T207" s="1656"/>
      <c r="U207" s="1146">
        <v>1449369</v>
      </c>
      <c r="V207" s="1656"/>
      <c r="W207" s="1146">
        <v>1089247</v>
      </c>
      <c r="X207" s="1648"/>
      <c r="Y207" s="1146">
        <v>3273528</v>
      </c>
      <c r="Z207" s="2114">
        <f>C207-'Blocking-Step2'!C207</f>
        <v>0</v>
      </c>
      <c r="AA207" s="2114">
        <f>D207-'Blocking-Step2'!D207</f>
        <v>0</v>
      </c>
      <c r="AC207" s="2114">
        <f>F207-'Blocking-Step2'!F207</f>
        <v>0</v>
      </c>
      <c r="AE207" s="2114">
        <f>H207-'Blocking-Step2'!H207</f>
        <v>0</v>
      </c>
      <c r="AF207" s="2114">
        <f>I207-'Blocking-Step2'!I207</f>
        <v>0</v>
      </c>
      <c r="AH207" s="2136">
        <f>K207-'Blocking-Step2'!K207</f>
        <v>-1.6915000000000004</v>
      </c>
      <c r="AJ207" s="2136">
        <f>M207-'Blocking-Step2'!M207</f>
        <v>1.6955000000000005</v>
      </c>
      <c r="AL207" s="2136">
        <f>O207-'Blocking-Step2'!O207</f>
        <v>2.8657465324410936E-4</v>
      </c>
      <c r="AN207" s="2137">
        <f>Q207-'Blocking-Step2'!Q207</f>
        <v>4.286574653244557E-3</v>
      </c>
      <c r="AP207" s="2127">
        <f>S207-'Blocking-Step2'!S207</f>
        <v>-454036</v>
      </c>
      <c r="AR207" s="2127">
        <f>U207-'Blocking-Step2'!U207</f>
        <v>455109</v>
      </c>
      <c r="AT207" s="2127">
        <f>W207-'Blocking-Step2'!W207</f>
        <v>76</v>
      </c>
      <c r="AV207" s="2128">
        <f>Y207-'Blocking-Step2'!Y207</f>
        <v>1151</v>
      </c>
    </row>
    <row r="208" spans="1:48">
      <c r="A208" s="1116" t="s">
        <v>1536</v>
      </c>
      <c r="C208" s="1024">
        <v>1470728.1321477473</v>
      </c>
      <c r="D208" s="1105">
        <v>7600557</v>
      </c>
      <c r="F208" s="1927"/>
      <c r="G208" s="1921"/>
      <c r="H208" s="1146"/>
      <c r="I208" s="1146"/>
      <c r="K208" s="1927">
        <v>2.7378999999999998</v>
      </c>
      <c r="L208" s="1921" t="s">
        <v>495</v>
      </c>
      <c r="M208" s="1927">
        <v>5.3996000000000004</v>
      </c>
      <c r="N208" s="1921" t="s">
        <v>495</v>
      </c>
      <c r="O208" s="1927">
        <v>4.0579728754966728</v>
      </c>
      <c r="P208" s="1921" t="s">
        <v>495</v>
      </c>
      <c r="Q208" s="1927">
        <v>12.195472875496673</v>
      </c>
      <c r="R208" s="1921" t="s">
        <v>495</v>
      </c>
      <c r="S208" s="1146">
        <v>208096</v>
      </c>
      <c r="T208" s="1656"/>
      <c r="U208" s="1146">
        <v>410400</v>
      </c>
      <c r="V208" s="1656"/>
      <c r="W208" s="1146">
        <v>308429</v>
      </c>
      <c r="X208" s="1648"/>
      <c r="Y208" s="1146">
        <v>926924</v>
      </c>
      <c r="Z208" s="2114">
        <f>C208-'Blocking-Step2'!C208</f>
        <v>0</v>
      </c>
      <c r="AA208" s="2114">
        <f>D208-'Blocking-Step2'!D208</f>
        <v>0</v>
      </c>
      <c r="AC208" s="2114">
        <f>F208-'Blocking-Step2'!F208</f>
        <v>0</v>
      </c>
      <c r="AE208" s="2114">
        <f>H208-'Blocking-Step2'!H208</f>
        <v>0</v>
      </c>
      <c r="AF208" s="2114">
        <f>I208-'Blocking-Step2'!I208</f>
        <v>0</v>
      </c>
      <c r="AH208" s="2136">
        <f>K208-'Blocking-Step2'!K208</f>
        <v>-1.6915000000000004</v>
      </c>
      <c r="AJ208" s="2136">
        <f>M208-'Blocking-Step2'!M208</f>
        <v>1.6955000000000005</v>
      </c>
      <c r="AL208" s="2136">
        <f>O208-'Blocking-Step2'!O208</f>
        <v>2.8657465324410936E-4</v>
      </c>
      <c r="AN208" s="2137">
        <f>Q208-'Blocking-Step2'!Q208</f>
        <v>4.286574653244557E-3</v>
      </c>
      <c r="AP208" s="2127">
        <f>S208-'Blocking-Step2'!S208</f>
        <v>-128563</v>
      </c>
      <c r="AR208" s="2127">
        <f>U208-'Blocking-Step2'!U208</f>
        <v>128868</v>
      </c>
      <c r="AT208" s="2127">
        <f>W208-'Blocking-Step2'!W208</f>
        <v>22</v>
      </c>
      <c r="AV208" s="2128">
        <f>Y208-'Blocking-Step2'!Y208</f>
        <v>326</v>
      </c>
    </row>
    <row r="209" spans="1:48">
      <c r="A209" s="1116" t="s">
        <v>1537</v>
      </c>
      <c r="B209" s="1928"/>
      <c r="C209" s="1105">
        <v>12939891.563608348</v>
      </c>
      <c r="D209" s="1105">
        <v>68555364</v>
      </c>
      <c r="E209" s="804"/>
      <c r="F209" s="1927"/>
      <c r="G209" s="1921"/>
      <c r="H209" s="1146"/>
      <c r="I209" s="1146"/>
      <c r="J209" s="804"/>
      <c r="K209" s="1927">
        <v>2.7378999999999998</v>
      </c>
      <c r="L209" s="1921" t="s">
        <v>495</v>
      </c>
      <c r="M209" s="1927">
        <v>5.3996000000000004</v>
      </c>
      <c r="N209" s="1921" t="s">
        <v>495</v>
      </c>
      <c r="O209" s="1927">
        <v>0.27167953583799953</v>
      </c>
      <c r="P209" s="1921" t="s">
        <v>495</v>
      </c>
      <c r="Q209" s="1927">
        <v>8.4091795358379997</v>
      </c>
      <c r="R209" s="1921" t="s">
        <v>495</v>
      </c>
      <c r="S209" s="1146">
        <v>1876977</v>
      </c>
      <c r="T209" s="1656"/>
      <c r="U209" s="1146">
        <v>3701715</v>
      </c>
      <c r="V209" s="1656"/>
      <c r="W209" s="1146">
        <v>186251</v>
      </c>
      <c r="X209" s="1648"/>
      <c r="Y209" s="1146">
        <v>5764944</v>
      </c>
      <c r="Z209" s="2114">
        <f>C209-'Blocking-Step2'!C209</f>
        <v>0</v>
      </c>
      <c r="AA209" s="2114">
        <f>D209-'Blocking-Step2'!D209</f>
        <v>0</v>
      </c>
      <c r="AC209" s="2114">
        <f>F209-'Blocking-Step2'!F209</f>
        <v>0</v>
      </c>
      <c r="AE209" s="2114">
        <f>H209-'Blocking-Step2'!H209</f>
        <v>0</v>
      </c>
      <c r="AF209" s="2114">
        <f>I209-'Blocking-Step2'!I209</f>
        <v>0</v>
      </c>
      <c r="AH209" s="2136">
        <f>K209-'Blocking-Step2'!K209</f>
        <v>-1.6915000000000004</v>
      </c>
      <c r="AJ209" s="2136">
        <f>M209-'Blocking-Step2'!M209</f>
        <v>1.6955000000000005</v>
      </c>
      <c r="AL209" s="2136">
        <f>O209-'Blocking-Step2'!O209</f>
        <v>-2.0657110300037473E-4</v>
      </c>
      <c r="AN209" s="2137">
        <f>Q209-'Blocking-Step2'!Q209</f>
        <v>3.7934288969996288E-3</v>
      </c>
      <c r="AP209" s="2127">
        <f>S209-'Blocking-Step2'!S209</f>
        <v>-1159614</v>
      </c>
      <c r="AR209" s="2127">
        <f>U209-'Blocking-Step2'!U209</f>
        <v>1162356</v>
      </c>
      <c r="AT209" s="2127">
        <f>W209-'Blocking-Step2'!W209</f>
        <v>-142</v>
      </c>
      <c r="AV209" s="2128">
        <f>Y209-'Blocking-Step2'!Y209</f>
        <v>2601</v>
      </c>
    </row>
    <row r="210" spans="1:48">
      <c r="A210" s="1116" t="s">
        <v>1538</v>
      </c>
      <c r="B210" s="1928"/>
      <c r="C210" s="1105">
        <v>9646843.8093998432</v>
      </c>
      <c r="D210" s="1105">
        <v>51108843</v>
      </c>
      <c r="E210" s="804"/>
      <c r="F210" s="1927"/>
      <c r="G210" s="1921"/>
      <c r="H210" s="1146"/>
      <c r="I210" s="1146"/>
      <c r="J210" s="804"/>
      <c r="K210" s="1927">
        <v>2.7378999999999998</v>
      </c>
      <c r="L210" s="1921" t="s">
        <v>495</v>
      </c>
      <c r="M210" s="1927">
        <v>5.3996000000000004</v>
      </c>
      <c r="N210" s="1921" t="s">
        <v>495</v>
      </c>
      <c r="O210" s="1927">
        <v>2.6549538721209993</v>
      </c>
      <c r="P210" s="1921" t="s">
        <v>495</v>
      </c>
      <c r="Q210" s="1927">
        <v>10.792453872120999</v>
      </c>
      <c r="R210" s="1921" t="s">
        <v>495</v>
      </c>
      <c r="S210" s="1146">
        <v>1399309</v>
      </c>
      <c r="T210" s="1656"/>
      <c r="U210" s="1146">
        <v>2759673</v>
      </c>
      <c r="V210" s="1656"/>
      <c r="W210" s="1146">
        <v>1356916</v>
      </c>
      <c r="X210" s="1648"/>
      <c r="Y210" s="1146">
        <v>5515898</v>
      </c>
      <c r="Z210" s="2114">
        <f>C210-'Blocking-Step2'!C210</f>
        <v>0</v>
      </c>
      <c r="AA210" s="2114">
        <f>D210-'Blocking-Step2'!D210</f>
        <v>0</v>
      </c>
      <c r="AC210" s="2114">
        <f>F210-'Blocking-Step2'!F210</f>
        <v>0</v>
      </c>
      <c r="AE210" s="2114">
        <f>H210-'Blocking-Step2'!H210</f>
        <v>0</v>
      </c>
      <c r="AF210" s="2114">
        <f>I210-'Blocking-Step2'!I210</f>
        <v>0</v>
      </c>
      <c r="AH210" s="2136">
        <f>K210-'Blocking-Step2'!K210</f>
        <v>-1.6915000000000004</v>
      </c>
      <c r="AJ210" s="2136">
        <f>M210-'Blocking-Step2'!M210</f>
        <v>1.6955000000000005</v>
      </c>
      <c r="AL210" s="2136">
        <f>O210-'Blocking-Step2'!O210</f>
        <v>-2.0657110300037473E-4</v>
      </c>
      <c r="AN210" s="2137">
        <f>Q210-'Blocking-Step2'!Q210</f>
        <v>3.7934288969996288E-3</v>
      </c>
      <c r="AP210" s="2127">
        <f>S210-'Blocking-Step2'!S210</f>
        <v>-864506</v>
      </c>
      <c r="AR210" s="2127">
        <f>U210-'Blocking-Step2'!U210</f>
        <v>866550</v>
      </c>
      <c r="AT210" s="2127">
        <f>W210-'Blocking-Step2'!W210</f>
        <v>-106</v>
      </c>
      <c r="AV210" s="2128">
        <f>Y210-'Blocking-Step2'!Y210</f>
        <v>1938</v>
      </c>
    </row>
    <row r="211" spans="1:48">
      <c r="A211" s="1116" t="s">
        <v>188</v>
      </c>
      <c r="C211" s="1105">
        <v>1261</v>
      </c>
      <c r="D211" s="1105">
        <v>6621</v>
      </c>
      <c r="F211" s="1922">
        <v>4.3559999999999999</v>
      </c>
      <c r="G211" s="1921" t="s">
        <v>495</v>
      </c>
      <c r="H211" s="1146">
        <v>55</v>
      </c>
      <c r="I211" s="1146">
        <v>288</v>
      </c>
      <c r="K211" s="1922"/>
      <c r="L211" s="1921"/>
      <c r="M211" s="1922"/>
      <c r="N211" s="1921"/>
      <c r="O211" s="1922"/>
      <c r="P211" s="1921"/>
      <c r="Q211" s="1922"/>
      <c r="R211" s="1921"/>
      <c r="S211" s="1146"/>
      <c r="T211" s="1648"/>
      <c r="U211" s="1146"/>
      <c r="V211" s="1648"/>
      <c r="W211" s="1146"/>
      <c r="X211" s="1648"/>
      <c r="Y211" s="1146"/>
      <c r="Z211" s="2114">
        <f>C211-'Blocking-Step2'!C211</f>
        <v>0</v>
      </c>
      <c r="AA211" s="2114">
        <f>D211-'Blocking-Step2'!D211</f>
        <v>0</v>
      </c>
      <c r="AC211" s="2114">
        <f>F211-'Blocking-Step2'!F211</f>
        <v>0</v>
      </c>
      <c r="AE211" s="2114">
        <f>H211-'Blocking-Step2'!H211</f>
        <v>0</v>
      </c>
      <c r="AF211" s="2114">
        <f>I211-'Blocking-Step2'!I211</f>
        <v>0</v>
      </c>
      <c r="AH211" s="2136">
        <f>K211-'Blocking-Step2'!K211</f>
        <v>0</v>
      </c>
      <c r="AJ211" s="2136">
        <f>M211-'Blocking-Step2'!M211</f>
        <v>0</v>
      </c>
      <c r="AL211" s="2136">
        <f>O211-'Blocking-Step2'!O211</f>
        <v>0</v>
      </c>
      <c r="AN211" s="2137">
        <f>Q211-'Blocking-Step2'!Q211</f>
        <v>0</v>
      </c>
      <c r="AP211" s="2127">
        <f>S211-'Blocking-Step2'!S211</f>
        <v>0</v>
      </c>
      <c r="AR211" s="2127">
        <f>U211-'Blocking-Step2'!U211</f>
        <v>0</v>
      </c>
      <c r="AT211" s="2127">
        <f>W211-'Blocking-Step2'!W211</f>
        <v>0</v>
      </c>
      <c r="AV211" s="2128">
        <f>Y211-'Blocking-Step2'!Y211</f>
        <v>0</v>
      </c>
    </row>
    <row r="212" spans="1:48">
      <c r="A212" s="1116" t="s">
        <v>189</v>
      </c>
      <c r="C212" s="1105">
        <v>8120</v>
      </c>
      <c r="D212" s="1105">
        <v>42635</v>
      </c>
      <c r="F212" s="1922">
        <v>-1.6334</v>
      </c>
      <c r="G212" s="1921" t="s">
        <v>495</v>
      </c>
      <c r="H212" s="1146">
        <v>-133</v>
      </c>
      <c r="I212" s="1146">
        <v>-696</v>
      </c>
      <c r="K212" s="1922"/>
      <c r="L212" s="1921"/>
      <c r="M212" s="1922"/>
      <c r="N212" s="1921"/>
      <c r="O212" s="1922"/>
      <c r="P212" s="1921"/>
      <c r="Q212" s="1922"/>
      <c r="R212" s="1921"/>
      <c r="S212" s="1146"/>
      <c r="T212" s="1648"/>
      <c r="U212" s="1146"/>
      <c r="V212" s="1648"/>
      <c r="W212" s="1146"/>
      <c r="X212" s="1648"/>
      <c r="Y212" s="1146"/>
      <c r="Z212" s="2114">
        <f>C212-'Blocking-Step2'!C212</f>
        <v>0</v>
      </c>
      <c r="AA212" s="2114">
        <f>D212-'Blocking-Step2'!D212</f>
        <v>0</v>
      </c>
      <c r="AC212" s="2114">
        <f>F212-'Blocking-Step2'!F212</f>
        <v>0</v>
      </c>
      <c r="AE212" s="2114">
        <f>H212-'Blocking-Step2'!H212</f>
        <v>0</v>
      </c>
      <c r="AF212" s="2114">
        <f>I212-'Blocking-Step2'!I212</f>
        <v>0</v>
      </c>
      <c r="AH212" s="2136">
        <f>K212-'Blocking-Step2'!K212</f>
        <v>0</v>
      </c>
      <c r="AJ212" s="2136">
        <f>M212-'Blocking-Step2'!M212</f>
        <v>0</v>
      </c>
      <c r="AL212" s="2136">
        <f>O212-'Blocking-Step2'!O212</f>
        <v>0</v>
      </c>
      <c r="AN212" s="2137">
        <f>Q212-'Blocking-Step2'!Q212</f>
        <v>0</v>
      </c>
      <c r="AP212" s="2127">
        <f>S212-'Blocking-Step2'!S212</f>
        <v>0</v>
      </c>
      <c r="AR212" s="2127">
        <f>U212-'Blocking-Step2'!U212</f>
        <v>0</v>
      </c>
      <c r="AT212" s="2127">
        <f>W212-'Blocking-Step2'!W212</f>
        <v>0</v>
      </c>
      <c r="AV212" s="2128">
        <f>Y212-'Blocking-Step2'!Y212</f>
        <v>0</v>
      </c>
    </row>
    <row r="213" spans="1:48">
      <c r="A213" s="1116" t="s">
        <v>241</v>
      </c>
      <c r="C213" s="1024">
        <v>8940821.074906487</v>
      </c>
      <c r="D213" s="1105">
        <v>46944979.189910412</v>
      </c>
      <c r="F213" s="1927">
        <v>8.8498000000000001</v>
      </c>
      <c r="G213" s="1921" t="s">
        <v>495</v>
      </c>
      <c r="H213" s="1146">
        <v>791245</v>
      </c>
      <c r="I213" s="1146">
        <v>4154537</v>
      </c>
      <c r="K213" s="1927"/>
      <c r="L213" s="1921"/>
      <c r="M213" s="1927"/>
      <c r="N213" s="1921"/>
      <c r="O213" s="1927"/>
      <c r="P213" s="1921"/>
      <c r="Q213" s="1927"/>
      <c r="R213" s="1921"/>
      <c r="S213" s="1146"/>
      <c r="T213" s="1648"/>
      <c r="U213" s="1146"/>
      <c r="V213" s="1648"/>
      <c r="W213" s="1146"/>
      <c r="X213" s="1648"/>
      <c r="Y213" s="1146"/>
      <c r="Z213" s="2114">
        <f>C213-'Blocking-Step2'!C213</f>
        <v>0</v>
      </c>
      <c r="AA213" s="2114">
        <f>D213-'Blocking-Step2'!D213</f>
        <v>0</v>
      </c>
      <c r="AC213" s="2114">
        <f>F213-'Blocking-Step2'!F213</f>
        <v>0</v>
      </c>
      <c r="AE213" s="2114">
        <f>H213-'Blocking-Step2'!H213</f>
        <v>0</v>
      </c>
      <c r="AF213" s="2114">
        <f>I213-'Blocking-Step2'!I213</f>
        <v>0</v>
      </c>
      <c r="AH213" s="2136">
        <f>K213-'Blocking-Step2'!K213</f>
        <v>0</v>
      </c>
      <c r="AJ213" s="2136">
        <f>M213-'Blocking-Step2'!M213</f>
        <v>0</v>
      </c>
      <c r="AL213" s="2136">
        <f>O213-'Blocking-Step2'!O213</f>
        <v>0</v>
      </c>
      <c r="AN213" s="2137">
        <f>Q213-'Blocking-Step2'!Q213</f>
        <v>0</v>
      </c>
      <c r="AP213" s="2127">
        <f>S213-'Blocking-Step2'!S213</f>
        <v>0</v>
      </c>
      <c r="AR213" s="2127">
        <f>U213-'Blocking-Step2'!U213</f>
        <v>0</v>
      </c>
      <c r="AT213" s="2127">
        <f>W213-'Blocking-Step2'!W213</f>
        <v>0</v>
      </c>
      <c r="AV213" s="2128">
        <f>Y213-'Blocking-Step2'!Y213</f>
        <v>0</v>
      </c>
    </row>
    <row r="214" spans="1:48">
      <c r="A214" s="1116" t="s">
        <v>242</v>
      </c>
      <c r="C214" s="1024">
        <v>5582947.6547998888</v>
      </c>
      <c r="D214" s="1105">
        <v>29314016</v>
      </c>
      <c r="F214" s="1927">
        <v>11.542899999999999</v>
      </c>
      <c r="G214" s="1921" t="s">
        <v>495</v>
      </c>
      <c r="H214" s="1146">
        <v>644434</v>
      </c>
      <c r="I214" s="1146">
        <v>3383688</v>
      </c>
      <c r="K214" s="1927"/>
      <c r="L214" s="1921"/>
      <c r="M214" s="1927"/>
      <c r="N214" s="1921"/>
      <c r="O214" s="1927"/>
      <c r="P214" s="1921"/>
      <c r="Q214" s="1927"/>
      <c r="R214" s="1921"/>
      <c r="S214" s="1146"/>
      <c r="T214" s="1648"/>
      <c r="U214" s="1146"/>
      <c r="V214" s="1648"/>
      <c r="W214" s="1146"/>
      <c r="X214" s="1648"/>
      <c r="Y214" s="1146"/>
      <c r="Z214" s="2114">
        <f>C214-'Blocking-Step2'!C214</f>
        <v>0</v>
      </c>
      <c r="AA214" s="2114">
        <f>D214-'Blocking-Step2'!D214</f>
        <v>0</v>
      </c>
      <c r="AC214" s="2114">
        <f>F214-'Blocking-Step2'!F214</f>
        <v>0</v>
      </c>
      <c r="AE214" s="2114">
        <f>H214-'Blocking-Step2'!H214</f>
        <v>0</v>
      </c>
      <c r="AF214" s="2114">
        <f>I214-'Blocking-Step2'!I214</f>
        <v>0</v>
      </c>
      <c r="AH214" s="2136">
        <f>K214-'Blocking-Step2'!K214</f>
        <v>0</v>
      </c>
      <c r="AJ214" s="2136">
        <f>M214-'Blocking-Step2'!M214</f>
        <v>0</v>
      </c>
      <c r="AL214" s="2136">
        <f>O214-'Blocking-Step2'!O214</f>
        <v>0</v>
      </c>
      <c r="AN214" s="2137">
        <f>Q214-'Blocking-Step2'!Q214</f>
        <v>0</v>
      </c>
      <c r="AP214" s="2127">
        <f>S214-'Blocking-Step2'!S214</f>
        <v>0</v>
      </c>
      <c r="AR214" s="2127">
        <f>U214-'Blocking-Step2'!U214</f>
        <v>0</v>
      </c>
      <c r="AT214" s="2127">
        <f>W214-'Blocking-Step2'!W214</f>
        <v>0</v>
      </c>
      <c r="AV214" s="2128">
        <f>Y214-'Blocking-Step2'!Y214</f>
        <v>0</v>
      </c>
    </row>
    <row r="215" spans="1:48">
      <c r="A215" s="1116" t="s">
        <v>94</v>
      </c>
      <c r="C215" s="1024">
        <v>1581971.162817372</v>
      </c>
      <c r="D215" s="1105">
        <v>8306352</v>
      </c>
      <c r="F215" s="1927">
        <v>14.450799999999999</v>
      </c>
      <c r="G215" s="1921" t="s">
        <v>495</v>
      </c>
      <c r="H215" s="1146">
        <v>228607</v>
      </c>
      <c r="I215" s="1146">
        <v>1200334</v>
      </c>
      <c r="K215" s="1927"/>
      <c r="L215" s="1921"/>
      <c r="M215" s="1927"/>
      <c r="N215" s="1921"/>
      <c r="O215" s="1927"/>
      <c r="P215" s="1921"/>
      <c r="Q215" s="1927"/>
      <c r="R215" s="1921"/>
      <c r="S215" s="1146"/>
      <c r="T215" s="1648"/>
      <c r="U215" s="1146"/>
      <c r="V215" s="1648"/>
      <c r="W215" s="1146"/>
      <c r="X215" s="1648"/>
      <c r="Y215" s="1146"/>
      <c r="Z215" s="2114">
        <f>C215-'Blocking-Step2'!C215</f>
        <v>0</v>
      </c>
      <c r="AA215" s="2114">
        <f>D215-'Blocking-Step2'!D215</f>
        <v>0</v>
      </c>
      <c r="AC215" s="2114">
        <f>F215-'Blocking-Step2'!F215</f>
        <v>0</v>
      </c>
      <c r="AE215" s="2114">
        <f>H215-'Blocking-Step2'!H215</f>
        <v>0</v>
      </c>
      <c r="AF215" s="2114">
        <f>I215-'Blocking-Step2'!I215</f>
        <v>0</v>
      </c>
      <c r="AH215" s="2136">
        <f>K215-'Blocking-Step2'!K215</f>
        <v>0</v>
      </c>
      <c r="AJ215" s="2136">
        <f>M215-'Blocking-Step2'!M215</f>
        <v>0</v>
      </c>
      <c r="AL215" s="2136">
        <f>O215-'Blocking-Step2'!O215</f>
        <v>0</v>
      </c>
      <c r="AN215" s="2137">
        <f>Q215-'Blocking-Step2'!Q215</f>
        <v>0</v>
      </c>
      <c r="AP215" s="2127">
        <f>S215-'Blocking-Step2'!S215</f>
        <v>0</v>
      </c>
      <c r="AR215" s="2127">
        <f>U215-'Blocking-Step2'!U215</f>
        <v>0</v>
      </c>
      <c r="AT215" s="2127">
        <f>W215-'Blocking-Step2'!W215</f>
        <v>0</v>
      </c>
      <c r="AV215" s="2128">
        <f>Y215-'Blocking-Step2'!Y215</f>
        <v>0</v>
      </c>
    </row>
    <row r="216" spans="1:48">
      <c r="A216" s="1116" t="s">
        <v>1360</v>
      </c>
      <c r="B216" s="1928"/>
      <c r="C216" s="1105">
        <v>11556636.628071776</v>
      </c>
      <c r="D216" s="1105">
        <v>60622730</v>
      </c>
      <c r="E216" s="804"/>
      <c r="F216" s="1927">
        <v>8.8498000000000001</v>
      </c>
      <c r="G216" s="1921" t="s">
        <v>495</v>
      </c>
      <c r="H216" s="1146">
        <v>1022739</v>
      </c>
      <c r="I216" s="1146">
        <v>5364990</v>
      </c>
      <c r="J216" s="804"/>
      <c r="K216" s="1927"/>
      <c r="L216" s="1921"/>
      <c r="M216" s="1927"/>
      <c r="N216" s="1921"/>
      <c r="O216" s="1927"/>
      <c r="P216" s="1921"/>
      <c r="Q216" s="1927"/>
      <c r="R216" s="1921"/>
      <c r="S216" s="1146"/>
      <c r="T216" s="1648"/>
      <c r="U216" s="1146"/>
      <c r="V216" s="1648"/>
      <c r="W216" s="1146"/>
      <c r="X216" s="1648"/>
      <c r="Y216" s="1146"/>
      <c r="Z216" s="2114">
        <f>C216-'Blocking-Step2'!C216</f>
        <v>0</v>
      </c>
      <c r="AA216" s="2114">
        <f>D216-'Blocking-Step2'!D216</f>
        <v>0</v>
      </c>
      <c r="AC216" s="2114">
        <f>F216-'Blocking-Step2'!F216</f>
        <v>0</v>
      </c>
      <c r="AE216" s="2114">
        <f>H216-'Blocking-Step2'!H216</f>
        <v>0</v>
      </c>
      <c r="AF216" s="2114">
        <f>I216-'Blocking-Step2'!I216</f>
        <v>0</v>
      </c>
      <c r="AH216" s="2136">
        <f>K216-'Blocking-Step2'!K216</f>
        <v>0</v>
      </c>
      <c r="AJ216" s="2136">
        <f>M216-'Blocking-Step2'!M216</f>
        <v>0</v>
      </c>
      <c r="AL216" s="2136">
        <f>O216-'Blocking-Step2'!O216</f>
        <v>0</v>
      </c>
      <c r="AN216" s="2137">
        <f>Q216-'Blocking-Step2'!Q216</f>
        <v>0</v>
      </c>
      <c r="AP216" s="2127">
        <f>S216-'Blocking-Step2'!S216</f>
        <v>0</v>
      </c>
      <c r="AR216" s="2127">
        <f>U216-'Blocking-Step2'!U216</f>
        <v>0</v>
      </c>
      <c r="AT216" s="2127">
        <f>W216-'Blocking-Step2'!W216</f>
        <v>0</v>
      </c>
      <c r="AV216" s="2128">
        <f>Y216-'Blocking-Step2'!Y216</f>
        <v>0</v>
      </c>
    </row>
    <row r="217" spans="1:48">
      <c r="A217" s="1116" t="s">
        <v>1361</v>
      </c>
      <c r="B217" s="1928"/>
      <c r="C217" s="1105">
        <v>9078259.9305644762</v>
      </c>
      <c r="D217" s="1105">
        <v>47621892</v>
      </c>
      <c r="E217" s="804"/>
      <c r="F217" s="1927">
        <v>10.7072</v>
      </c>
      <c r="G217" s="1921" t="s">
        <v>495</v>
      </c>
      <c r="H217" s="1146">
        <v>972027</v>
      </c>
      <c r="I217" s="1146">
        <v>5098971</v>
      </c>
      <c r="J217" s="804"/>
      <c r="K217" s="1927"/>
      <c r="L217" s="1921"/>
      <c r="M217" s="1927"/>
      <c r="N217" s="1921"/>
      <c r="O217" s="1927"/>
      <c r="P217" s="1921"/>
      <c r="Q217" s="1927"/>
      <c r="R217" s="1921"/>
      <c r="S217" s="1146"/>
      <c r="T217" s="1648"/>
      <c r="U217" s="1146"/>
      <c r="V217" s="1648"/>
      <c r="W217" s="1146"/>
      <c r="X217" s="1648"/>
      <c r="Y217" s="1146"/>
      <c r="Z217" s="2114">
        <f>C217-'Blocking-Step2'!C217</f>
        <v>0</v>
      </c>
      <c r="AA217" s="2114">
        <f>D217-'Blocking-Step2'!D217</f>
        <v>0</v>
      </c>
      <c r="AC217" s="2114">
        <f>F217-'Blocking-Step2'!F217</f>
        <v>0</v>
      </c>
      <c r="AE217" s="2114">
        <f>H217-'Blocking-Step2'!H217</f>
        <v>0</v>
      </c>
      <c r="AF217" s="2114">
        <f>I217-'Blocking-Step2'!I217</f>
        <v>0</v>
      </c>
      <c r="AH217" s="2136">
        <f>K217-'Blocking-Step2'!K217</f>
        <v>0</v>
      </c>
      <c r="AJ217" s="2136">
        <f>M217-'Blocking-Step2'!M217</f>
        <v>0</v>
      </c>
      <c r="AL217" s="2136">
        <f>O217-'Blocking-Step2'!O217</f>
        <v>0</v>
      </c>
      <c r="AN217" s="2137">
        <f>Q217-'Blocking-Step2'!Q217</f>
        <v>0</v>
      </c>
      <c r="AP217" s="2127">
        <f>S217-'Blocking-Step2'!S217</f>
        <v>0</v>
      </c>
      <c r="AR217" s="2127">
        <f>U217-'Blocking-Step2'!U217</f>
        <v>0</v>
      </c>
      <c r="AT217" s="2127">
        <f>W217-'Blocking-Step2'!W217</f>
        <v>0</v>
      </c>
      <c r="AV217" s="2128">
        <f>Y217-'Blocking-Step2'!Y217</f>
        <v>0</v>
      </c>
    </row>
    <row r="218" spans="1:48">
      <c r="A218" s="1116" t="s">
        <v>1158</v>
      </c>
      <c r="B218" s="1928"/>
      <c r="C218" s="1024">
        <v>0</v>
      </c>
      <c r="D218" s="1105">
        <v>0</v>
      </c>
      <c r="E218" s="804"/>
      <c r="F218" s="1927">
        <v>11.7033</v>
      </c>
      <c r="G218" s="1929" t="s">
        <v>495</v>
      </c>
      <c r="H218" s="1146">
        <v>0</v>
      </c>
      <c r="I218" s="1146">
        <v>0</v>
      </c>
      <c r="J218" s="804"/>
      <c r="K218" s="1927">
        <v>2.7378999999999998</v>
      </c>
      <c r="L218" s="1921" t="s">
        <v>495</v>
      </c>
      <c r="M218" s="1927">
        <v>7.7249999999999996</v>
      </c>
      <c r="N218" s="1921" t="s">
        <v>495</v>
      </c>
      <c r="O218" s="1927">
        <v>0</v>
      </c>
      <c r="P218" s="1921" t="s">
        <v>495</v>
      </c>
      <c r="Q218" s="1927">
        <v>10.462899999999999</v>
      </c>
      <c r="R218" s="1921" t="s">
        <v>495</v>
      </c>
      <c r="S218" s="1146">
        <v>0</v>
      </c>
      <c r="T218" s="1656"/>
      <c r="U218" s="1146">
        <v>0</v>
      </c>
      <c r="V218" s="1656"/>
      <c r="W218" s="1146">
        <v>0</v>
      </c>
      <c r="X218" s="1656"/>
      <c r="Y218" s="1146">
        <v>0</v>
      </c>
      <c r="Z218" s="2114">
        <f>C218-'Blocking-Step2'!C218</f>
        <v>0</v>
      </c>
      <c r="AA218" s="2114">
        <f>D218-'Blocking-Step2'!D218</f>
        <v>0</v>
      </c>
      <c r="AC218" s="2114">
        <f>F218-'Blocking-Step2'!F218</f>
        <v>0</v>
      </c>
      <c r="AE218" s="2114">
        <f>H218-'Blocking-Step2'!H218</f>
        <v>0</v>
      </c>
      <c r="AF218" s="2114">
        <f>I218-'Blocking-Step2'!I218</f>
        <v>0</v>
      </c>
      <c r="AH218" s="2136">
        <f>K218-'Blocking-Step2'!K218</f>
        <v>-1.6915000000000004</v>
      </c>
      <c r="AJ218" s="2136">
        <f>M218-'Blocking-Step2'!M218</f>
        <v>0</v>
      </c>
      <c r="AL218" s="2136">
        <f>O218-'Blocking-Step2'!O218</f>
        <v>0</v>
      </c>
      <c r="AN218" s="2137">
        <f>Q218-'Blocking-Step2'!Q218</f>
        <v>-1.6915000000000013</v>
      </c>
      <c r="AP218" s="2127">
        <f>S218-'Blocking-Step2'!S218</f>
        <v>0</v>
      </c>
      <c r="AR218" s="2127">
        <f>U218-'Blocking-Step2'!U218</f>
        <v>0</v>
      </c>
      <c r="AT218" s="2127">
        <f>W218-'Blocking-Step2'!W218</f>
        <v>0</v>
      </c>
      <c r="AV218" s="2128">
        <f>Y218-'Blocking-Step2'!Y218</f>
        <v>0</v>
      </c>
    </row>
    <row r="219" spans="1:48">
      <c r="A219" s="1116" t="s">
        <v>246</v>
      </c>
      <c r="C219" s="1940">
        <v>209507</v>
      </c>
      <c r="D219" s="1940">
        <v>0</v>
      </c>
      <c r="H219" s="1147">
        <v>24549</v>
      </c>
      <c r="I219" s="1147">
        <v>0</v>
      </c>
      <c r="Y219" s="1147">
        <v>0</v>
      </c>
      <c r="Z219" s="2114">
        <f>C219-'Blocking-Step2'!C219</f>
        <v>0</v>
      </c>
      <c r="AA219" s="2114">
        <f>D219-'Blocking-Step2'!D219</f>
        <v>0</v>
      </c>
      <c r="AC219" s="2114">
        <f>F219-'Blocking-Step2'!F219</f>
        <v>0</v>
      </c>
      <c r="AE219" s="2114">
        <f>H219-'Blocking-Step2'!H219</f>
        <v>0</v>
      </c>
      <c r="AF219" s="2114">
        <f>I219-'Blocking-Step2'!I219</f>
        <v>0</v>
      </c>
      <c r="AH219" s="2136">
        <f>K219-'Blocking-Step2'!K219</f>
        <v>0</v>
      </c>
      <c r="AJ219" s="2136">
        <f>M219-'Blocking-Step2'!M219</f>
        <v>0</v>
      </c>
      <c r="AL219" s="2136">
        <f>O219-'Blocking-Step2'!O219</f>
        <v>0</v>
      </c>
      <c r="AN219" s="2137">
        <f>Q219-'Blocking-Step2'!Q219</f>
        <v>0</v>
      </c>
      <c r="AP219" s="2127">
        <f>S219-'Blocking-Step2'!S219</f>
        <v>0</v>
      </c>
      <c r="AR219" s="2127">
        <f>U219-'Blocking-Step2'!U219</f>
        <v>0</v>
      </c>
      <c r="AT219" s="2127">
        <f>W219-'Blocking-Step2'!W219</f>
        <v>0</v>
      </c>
      <c r="AV219" s="2128">
        <f>Y219-'Blocking-Step2'!Y219</f>
        <v>0</v>
      </c>
    </row>
    <row r="220" spans="1:48">
      <c r="A220" s="1116" t="s">
        <v>1240</v>
      </c>
      <c r="C220" s="1024"/>
      <c r="D220" s="1024"/>
      <c r="F220" s="2076">
        <v>-3.9100000000000003E-2</v>
      </c>
      <c r="G220" s="617"/>
      <c r="H220" s="1146">
        <v>-143068.9332</v>
      </c>
      <c r="I220" s="1146">
        <v>-750818.53200000001</v>
      </c>
      <c r="K220" s="2076"/>
      <c r="L220" s="617"/>
      <c r="M220" s="2076"/>
      <c r="N220" s="617"/>
      <c r="O220" s="2076" t="s">
        <v>2323</v>
      </c>
      <c r="P220" s="617"/>
      <c r="Q220" s="2076">
        <v>-3.0800000000000001E-2</v>
      </c>
      <c r="R220" s="617"/>
      <c r="S220" s="1114"/>
      <c r="T220" s="1114"/>
      <c r="U220" s="1114"/>
      <c r="V220" s="1114"/>
      <c r="W220" s="1114"/>
      <c r="X220" s="1114"/>
      <c r="Y220" s="1146">
        <v>-590097.26159999997</v>
      </c>
      <c r="Z220" s="2114">
        <f>C220-'Blocking-Step2'!C220</f>
        <v>0</v>
      </c>
      <c r="AA220" s="2114">
        <f>D220-'Blocking-Step2'!D220</f>
        <v>0</v>
      </c>
      <c r="AC220" s="2114">
        <f>F220-'Blocking-Step2'!F220</f>
        <v>0</v>
      </c>
      <c r="AE220" s="2114">
        <f>H220-'Blocking-Step2'!H220</f>
        <v>0</v>
      </c>
      <c r="AF220" s="2114">
        <f>I220-'Blocking-Step2'!I220</f>
        <v>0</v>
      </c>
      <c r="AH220" s="2136">
        <f>K220-'Blocking-Step2'!K220</f>
        <v>0</v>
      </c>
      <c r="AJ220" s="2136">
        <f>M220-'Blocking-Step2'!M220</f>
        <v>0</v>
      </c>
      <c r="AL220" s="2136" t="e">
        <f>O220-'Blocking-Step2'!O220</f>
        <v>#VALUE!</v>
      </c>
      <c r="AN220" s="2137">
        <f>Q220-'Blocking-Step2'!Q220</f>
        <v>0</v>
      </c>
      <c r="AP220" s="2127">
        <f>S220-'Blocking-Step2'!S220</f>
        <v>0</v>
      </c>
      <c r="AR220" s="2127">
        <f>U220-'Blocking-Step2'!U220</f>
        <v>0</v>
      </c>
      <c r="AT220" s="2127">
        <f>W220-'Blocking-Step2'!W220</f>
        <v>0</v>
      </c>
      <c r="AV220" s="2128">
        <f>Y220-'Blocking-Step2'!Y220</f>
        <v>-236.38999999989755</v>
      </c>
    </row>
    <row r="221" spans="1:48">
      <c r="A221" s="1116" t="s">
        <v>1317</v>
      </c>
      <c r="C221" s="1024">
        <v>0</v>
      </c>
      <c r="D221" s="1105">
        <v>0</v>
      </c>
      <c r="F221" s="2076"/>
      <c r="G221" s="617"/>
      <c r="H221" s="1146"/>
      <c r="I221" s="1146"/>
      <c r="K221" s="2076"/>
      <c r="L221" s="617"/>
      <c r="M221" s="2076"/>
      <c r="N221" s="617"/>
      <c r="O221" s="2076" t="s">
        <v>2324</v>
      </c>
      <c r="P221" s="617"/>
      <c r="Q221" s="2076">
        <v>-1.67E-2</v>
      </c>
      <c r="R221" s="617"/>
      <c r="S221" s="1114"/>
      <c r="T221" s="1114"/>
      <c r="U221" s="1114"/>
      <c r="V221" s="1114"/>
      <c r="W221" s="1114"/>
      <c r="X221" s="1114"/>
      <c r="Y221" s="1146">
        <v>-319955.3334</v>
      </c>
      <c r="Z221" s="2114">
        <f>C221-'Blocking-Step2'!C221</f>
        <v>0</v>
      </c>
      <c r="AA221" s="2114">
        <f>D221-'Blocking-Step2'!D221</f>
        <v>0</v>
      </c>
      <c r="AC221" s="2114">
        <f>F221-'Blocking-Step2'!F221</f>
        <v>0</v>
      </c>
      <c r="AE221" s="2114">
        <f>H221-'Blocking-Step2'!H221</f>
        <v>0</v>
      </c>
      <c r="AF221" s="2114">
        <f>I221-'Blocking-Step2'!I221</f>
        <v>0</v>
      </c>
      <c r="AH221" s="2136">
        <f>K221-'Blocking-Step2'!K221</f>
        <v>0</v>
      </c>
      <c r="AJ221" s="2136">
        <f>M221-'Blocking-Step2'!M221</f>
        <v>0</v>
      </c>
      <c r="AL221" s="2136" t="e">
        <f>O221-'Blocking-Step2'!O221</f>
        <v>#VALUE!</v>
      </c>
      <c r="AN221" s="2137">
        <f>Q221-'Blocking-Step2'!Q221</f>
        <v>0</v>
      </c>
      <c r="AP221" s="2127">
        <f>S221-'Blocking-Step2'!S221</f>
        <v>0</v>
      </c>
      <c r="AR221" s="2127">
        <f>U221-'Blocking-Step2'!U221</f>
        <v>0</v>
      </c>
      <c r="AT221" s="2127">
        <f>W221-'Blocking-Step2'!W221</f>
        <v>0</v>
      </c>
      <c r="AV221" s="2128">
        <f>Y221-'Blocking-Step2'!Y221</f>
        <v>-128.17249999998603</v>
      </c>
    </row>
    <row r="222" spans="1:48" ht="16.5" thickBot="1">
      <c r="A222" s="1116" t="s">
        <v>247</v>
      </c>
      <c r="C222" s="1941">
        <v>36950143.451159999</v>
      </c>
      <c r="D222" s="1941">
        <v>192809969.18991041</v>
      </c>
      <c r="F222" s="1145"/>
      <c r="H222" s="1149">
        <v>3986839.0668000001</v>
      </c>
      <c r="I222" s="1149">
        <v>20871277.467999998</v>
      </c>
      <c r="K222" s="1145"/>
      <c r="M222" s="1145"/>
      <c r="O222" s="1145"/>
      <c r="Q222" s="1145"/>
      <c r="S222" s="1154">
        <v>8340796</v>
      </c>
      <c r="U222" s="1154">
        <v>10410967</v>
      </c>
      <c r="W222" s="1154">
        <v>3468760</v>
      </c>
      <c r="Y222" s="1154">
        <v>22220524</v>
      </c>
      <c r="Z222" s="2114">
        <f>C222-'Blocking-Step2'!C222</f>
        <v>0</v>
      </c>
      <c r="AA222" s="2114">
        <f>D222-'Blocking-Step2'!D222</f>
        <v>0</v>
      </c>
      <c r="AC222" s="2114">
        <f>F222-'Blocking-Step2'!F222</f>
        <v>0</v>
      </c>
      <c r="AE222" s="2114">
        <f>H222-'Blocking-Step2'!H222</f>
        <v>0</v>
      </c>
      <c r="AF222" s="2114">
        <f>I222-'Blocking-Step2'!I222</f>
        <v>0</v>
      </c>
      <c r="AH222" s="2136">
        <f>K222-'Blocking-Step2'!K222</f>
        <v>0</v>
      </c>
      <c r="AJ222" s="2136">
        <f>M222-'Blocking-Step2'!M222</f>
        <v>0</v>
      </c>
      <c r="AL222" s="2136">
        <f>O222-'Blocking-Step2'!O222</f>
        <v>0</v>
      </c>
      <c r="AN222" s="2137">
        <f>Q222-'Blocking-Step2'!Q222</f>
        <v>0</v>
      </c>
      <c r="AP222" s="2127">
        <f>S222-'Blocking-Step2'!S222</f>
        <v>-3261381</v>
      </c>
      <c r="AR222" s="2127">
        <f>U222-'Blocking-Step2'!U222</f>
        <v>3269093</v>
      </c>
      <c r="AT222" s="2127">
        <f>W222-'Blocking-Step2'!W222</f>
        <v>-39</v>
      </c>
      <c r="AV222" s="2128">
        <f>Y222-'Blocking-Step2'!Y222</f>
        <v>7675</v>
      </c>
    </row>
    <row r="223" spans="1:48" ht="16.5" thickTop="1">
      <c r="C223" s="1105"/>
      <c r="D223" s="1105"/>
      <c r="Z223" s="2114">
        <f>C223-'Blocking-Step2'!C223</f>
        <v>0</v>
      </c>
      <c r="AA223" s="2114">
        <f>D223-'Blocking-Step2'!D223</f>
        <v>0</v>
      </c>
      <c r="AC223" s="2114">
        <f>F223-'Blocking-Step2'!F223</f>
        <v>0</v>
      </c>
      <c r="AE223" s="2114">
        <f>H223-'Blocking-Step2'!H223</f>
        <v>0</v>
      </c>
      <c r="AF223" s="2114">
        <f>I223-'Blocking-Step2'!I223</f>
        <v>0</v>
      </c>
      <c r="AH223" s="2136">
        <f>K223-'Blocking-Step2'!K223</f>
        <v>0</v>
      </c>
      <c r="AJ223" s="2136">
        <f>M223-'Blocking-Step2'!M223</f>
        <v>0</v>
      </c>
      <c r="AL223" s="2136">
        <f>O223-'Blocking-Step2'!O223</f>
        <v>0</v>
      </c>
      <c r="AN223" s="2137">
        <f>Q223-'Blocking-Step2'!Q223</f>
        <v>0</v>
      </c>
      <c r="AP223" s="2127">
        <f>S223-'Blocking-Step2'!S223</f>
        <v>0</v>
      </c>
      <c r="AR223" s="2127">
        <f>U223-'Blocking-Step2'!U223</f>
        <v>0</v>
      </c>
      <c r="AT223" s="2127">
        <f>W223-'Blocking-Step2'!W223</f>
        <v>0</v>
      </c>
      <c r="AV223" s="2128">
        <f>Y223-'Blocking-Step2'!Y223</f>
        <v>0</v>
      </c>
    </row>
    <row r="224" spans="1:48">
      <c r="A224" s="1115" t="s">
        <v>1914</v>
      </c>
      <c r="C224" s="1105"/>
      <c r="D224" s="1105"/>
      <c r="Z224" s="2114">
        <f>C224-'Blocking-Step2'!C224</f>
        <v>0</v>
      </c>
      <c r="AA224" s="2114">
        <f>D224-'Blocking-Step2'!D224</f>
        <v>0</v>
      </c>
      <c r="AC224" s="2114">
        <f>F224-'Blocking-Step2'!F224</f>
        <v>0</v>
      </c>
      <c r="AE224" s="2114">
        <f>H224-'Blocking-Step2'!H224</f>
        <v>0</v>
      </c>
      <c r="AF224" s="2114">
        <f>I224-'Blocking-Step2'!I224</f>
        <v>0</v>
      </c>
      <c r="AH224" s="2136">
        <f>K224-'Blocking-Step2'!K224</f>
        <v>0</v>
      </c>
      <c r="AJ224" s="2136">
        <f>M224-'Blocking-Step2'!M224</f>
        <v>0</v>
      </c>
      <c r="AL224" s="2136">
        <f>O224-'Blocking-Step2'!O224</f>
        <v>0</v>
      </c>
      <c r="AN224" s="2137">
        <f>Q224-'Blocking-Step2'!Q224</f>
        <v>0</v>
      </c>
      <c r="AP224" s="2127">
        <f>S224-'Blocking-Step2'!S224</f>
        <v>0</v>
      </c>
      <c r="AR224" s="2127">
        <f>U224-'Blocking-Step2'!U224</f>
        <v>0</v>
      </c>
      <c r="AT224" s="2127">
        <f>W224-'Blocking-Step2'!W224</f>
        <v>0</v>
      </c>
      <c r="AV224" s="2128">
        <f>Y224-'Blocking-Step2'!Y224</f>
        <v>0</v>
      </c>
    </row>
    <row r="225" spans="1:48">
      <c r="A225" s="1116" t="s">
        <v>240</v>
      </c>
      <c r="C225" s="1105">
        <v>16269.966666649996</v>
      </c>
      <c r="D225" s="1105">
        <v>16184.594130320329</v>
      </c>
      <c r="F225" s="1907"/>
      <c r="G225" s="1110"/>
      <c r="H225" s="1146"/>
      <c r="I225" s="1146"/>
      <c r="K225" s="1907">
        <v>54</v>
      </c>
      <c r="L225" s="1110"/>
      <c r="M225" s="1907">
        <v>0</v>
      </c>
      <c r="N225" s="1110"/>
      <c r="O225" s="1907">
        <v>0</v>
      </c>
      <c r="P225" s="1110"/>
      <c r="Q225" s="1907">
        <v>54</v>
      </c>
      <c r="R225" s="1110"/>
      <c r="S225" s="1146">
        <v>873968</v>
      </c>
      <c r="T225" s="1629"/>
      <c r="U225" s="1146">
        <v>0</v>
      </c>
      <c r="V225" s="1629"/>
      <c r="W225" s="1146">
        <v>0</v>
      </c>
      <c r="X225" s="1629"/>
      <c r="Y225" s="1146">
        <v>873968</v>
      </c>
      <c r="Z225" s="2114">
        <f>C225-'Blocking-Step2'!C225</f>
        <v>0</v>
      </c>
      <c r="AA225" s="2114">
        <f>D225-'Blocking-Step2'!D225</f>
        <v>0</v>
      </c>
      <c r="AC225" s="2114">
        <f>F225-'Blocking-Step2'!F225</f>
        <v>0</v>
      </c>
      <c r="AE225" s="2114">
        <f>H225-'Blocking-Step2'!H225</f>
        <v>0</v>
      </c>
      <c r="AF225" s="2114">
        <f>I225-'Blocking-Step2'!I225</f>
        <v>0</v>
      </c>
      <c r="AH225" s="2136">
        <f>K225-'Blocking-Step2'!K225</f>
        <v>0</v>
      </c>
      <c r="AJ225" s="2136">
        <f>M225-'Blocking-Step2'!M225</f>
        <v>0</v>
      </c>
      <c r="AL225" s="2136">
        <f>O225-'Blocking-Step2'!O225</f>
        <v>0</v>
      </c>
      <c r="AN225" s="2137">
        <f>Q225-'Blocking-Step2'!Q225</f>
        <v>0</v>
      </c>
      <c r="AP225" s="2127">
        <f>S225-'Blocking-Step2'!S225</f>
        <v>0</v>
      </c>
      <c r="AR225" s="2127">
        <f>U225-'Blocking-Step2'!U225</f>
        <v>0</v>
      </c>
      <c r="AT225" s="2127">
        <f>W225-'Blocking-Step2'!W225</f>
        <v>0</v>
      </c>
      <c r="AV225" s="2128">
        <f>Y225-'Blocking-Step2'!Y225</f>
        <v>0</v>
      </c>
    </row>
    <row r="226" spans="1:48">
      <c r="A226" s="1116" t="s">
        <v>1910</v>
      </c>
      <c r="C226" s="1105">
        <v>23610055.27722773</v>
      </c>
      <c r="D226" s="1105">
        <v>22837905.528605085</v>
      </c>
      <c r="E226" s="617"/>
      <c r="F226" s="1143"/>
      <c r="G226" s="1921"/>
      <c r="H226" s="1146"/>
      <c r="I226" s="1146"/>
      <c r="J226" s="617"/>
      <c r="K226" s="1143">
        <v>1.657</v>
      </c>
      <c r="L226" s="1921" t="s">
        <v>495</v>
      </c>
      <c r="M226" s="1143">
        <v>19.370528114911814</v>
      </c>
      <c r="N226" s="1921" t="s">
        <v>495</v>
      </c>
      <c r="O226" s="1143">
        <v>1.3496999999999999</v>
      </c>
      <c r="P226" s="1921" t="s">
        <v>495</v>
      </c>
      <c r="Q226" s="1143">
        <v>22.377228114911812</v>
      </c>
      <c r="R226" s="1921" t="s">
        <v>495</v>
      </c>
      <c r="S226" s="1146">
        <v>378424</v>
      </c>
      <c r="T226" s="1648"/>
      <c r="U226" s="1146">
        <v>4423823</v>
      </c>
      <c r="V226" s="1648"/>
      <c r="W226" s="1146">
        <v>308243</v>
      </c>
      <c r="X226" s="1648"/>
      <c r="Y226" s="1146">
        <v>5110490</v>
      </c>
      <c r="Z226" s="2114">
        <f>C226-'Blocking-Step2'!C226</f>
        <v>0</v>
      </c>
      <c r="AA226" s="2114">
        <f>D226-'Blocking-Step2'!D226</f>
        <v>0</v>
      </c>
      <c r="AC226" s="2114">
        <f>F226-'Blocking-Step2'!F226</f>
        <v>0</v>
      </c>
      <c r="AE226" s="2114">
        <f>H226-'Blocking-Step2'!H226</f>
        <v>0</v>
      </c>
      <c r="AF226" s="2114">
        <f>I226-'Blocking-Step2'!I226</f>
        <v>0</v>
      </c>
      <c r="AH226" s="2136">
        <f>K226-'Blocking-Step2'!K226</f>
        <v>-2.2955000000000001</v>
      </c>
      <c r="AJ226" s="2136">
        <f>M226-'Blocking-Step2'!M226</f>
        <v>2.2955000000000005</v>
      </c>
      <c r="AL226" s="2136">
        <f>O226-'Blocking-Step2'!O226</f>
        <v>0</v>
      </c>
      <c r="AN226" s="2137">
        <f>Q226-'Blocking-Step2'!Q226</f>
        <v>0</v>
      </c>
      <c r="AP226" s="2127">
        <f>S226-'Blocking-Step2'!S226</f>
        <v>-524244</v>
      </c>
      <c r="AR226" s="2127">
        <f>U226-'Blocking-Step2'!U226</f>
        <v>524244</v>
      </c>
      <c r="AT226" s="2127">
        <f>W226-'Blocking-Step2'!W226</f>
        <v>0</v>
      </c>
      <c r="AV226" s="2128">
        <f>Y226-'Blocking-Step2'!Y226</f>
        <v>0</v>
      </c>
    </row>
    <row r="227" spans="1:48">
      <c r="A227" s="1116" t="s">
        <v>1911</v>
      </c>
      <c r="C227" s="1105">
        <v>54335608.722772263</v>
      </c>
      <c r="D227" s="1105">
        <v>52553411.422486275</v>
      </c>
      <c r="E227" s="617"/>
      <c r="F227" s="1143"/>
      <c r="G227" s="1921"/>
      <c r="H227" s="1146"/>
      <c r="I227" s="1146"/>
      <c r="J227" s="617"/>
      <c r="K227" s="1143">
        <v>1.657</v>
      </c>
      <c r="L227" s="1921" t="s">
        <v>495</v>
      </c>
      <c r="M227" s="1143">
        <v>1.3803172825590004</v>
      </c>
      <c r="N227" s="1921" t="s">
        <v>495</v>
      </c>
      <c r="O227" s="1143">
        <v>1.3496999999999999</v>
      </c>
      <c r="P227" s="1921" t="s">
        <v>495</v>
      </c>
      <c r="Q227" s="1143">
        <v>4.3870172825590004</v>
      </c>
      <c r="R227" s="1921" t="s">
        <v>495</v>
      </c>
      <c r="S227" s="1146">
        <v>870810</v>
      </c>
      <c r="T227" s="1648"/>
      <c r="U227" s="1146">
        <v>725404</v>
      </c>
      <c r="V227" s="1648"/>
      <c r="W227" s="1146">
        <v>709313</v>
      </c>
      <c r="X227" s="1648"/>
      <c r="Y227" s="1146">
        <v>2305527</v>
      </c>
      <c r="Z227" s="2114">
        <f>C227-'Blocking-Step2'!C227</f>
        <v>0</v>
      </c>
      <c r="AA227" s="2114">
        <f>D227-'Blocking-Step2'!D227</f>
        <v>0</v>
      </c>
      <c r="AC227" s="2114">
        <f>F227-'Blocking-Step2'!F227</f>
        <v>0</v>
      </c>
      <c r="AE227" s="2114">
        <f>H227-'Blocking-Step2'!H227</f>
        <v>0</v>
      </c>
      <c r="AF227" s="2114">
        <f>I227-'Blocking-Step2'!I227</f>
        <v>0</v>
      </c>
      <c r="AH227" s="2136">
        <f>K227-'Blocking-Step2'!K227</f>
        <v>-2.2955000000000001</v>
      </c>
      <c r="AJ227" s="2136">
        <f>M227-'Blocking-Step2'!M227</f>
        <v>2.2955000000000001</v>
      </c>
      <c r="AL227" s="2136">
        <f>O227-'Blocking-Step2'!O227</f>
        <v>0</v>
      </c>
      <c r="AN227" s="2137">
        <f>Q227-'Blocking-Step2'!Q227</f>
        <v>0</v>
      </c>
      <c r="AP227" s="2127">
        <f>S227-'Blocking-Step2'!S227</f>
        <v>-1206364</v>
      </c>
      <c r="AR227" s="2127">
        <f>U227-'Blocking-Step2'!U227</f>
        <v>1206364</v>
      </c>
      <c r="AT227" s="2127">
        <f>W227-'Blocking-Step2'!W227</f>
        <v>0</v>
      </c>
      <c r="AV227" s="2128">
        <f>Y227-'Blocking-Step2'!Y227</f>
        <v>0</v>
      </c>
    </row>
    <row r="228" spans="1:48">
      <c r="A228" s="1116" t="s">
        <v>1912</v>
      </c>
      <c r="C228" s="1105">
        <v>41025677.646039605</v>
      </c>
      <c r="D228" s="1105">
        <v>39702141.256844603</v>
      </c>
      <c r="E228" s="617"/>
      <c r="F228" s="1143"/>
      <c r="G228" s="1921"/>
      <c r="H228" s="1146"/>
      <c r="I228" s="1146"/>
      <c r="J228" s="617"/>
      <c r="K228" s="1143">
        <v>1.657</v>
      </c>
      <c r="L228" s="1921" t="s">
        <v>495</v>
      </c>
      <c r="M228" s="1143">
        <v>16.951500000000003</v>
      </c>
      <c r="N228" s="1921" t="s">
        <v>495</v>
      </c>
      <c r="O228" s="1143">
        <v>1.1943999999999999</v>
      </c>
      <c r="P228" s="1921" t="s">
        <v>495</v>
      </c>
      <c r="Q228" s="1143">
        <v>19.802900000000001</v>
      </c>
      <c r="R228" s="1921" t="s">
        <v>495</v>
      </c>
      <c r="S228" s="1146">
        <v>657864</v>
      </c>
      <c r="T228" s="1648"/>
      <c r="U228" s="1146">
        <v>6730108</v>
      </c>
      <c r="V228" s="1648"/>
      <c r="W228" s="1146">
        <v>474202</v>
      </c>
      <c r="X228" s="1648"/>
      <c r="Y228" s="1146">
        <v>7862175</v>
      </c>
      <c r="Z228" s="2114">
        <f>C228-'Blocking-Step2'!C228</f>
        <v>0</v>
      </c>
      <c r="AA228" s="2114">
        <f>D228-'Blocking-Step2'!D228</f>
        <v>0</v>
      </c>
      <c r="AC228" s="2114">
        <f>F228-'Blocking-Step2'!F228</f>
        <v>0</v>
      </c>
      <c r="AE228" s="2114">
        <f>H228-'Blocking-Step2'!H228</f>
        <v>0</v>
      </c>
      <c r="AF228" s="2114">
        <f>I228-'Blocking-Step2'!I228</f>
        <v>0</v>
      </c>
      <c r="AH228" s="2136">
        <f>K228-'Blocking-Step2'!K228</f>
        <v>-2.2955000000000001</v>
      </c>
      <c r="AJ228" s="2136">
        <f>M228-'Blocking-Step2'!M228</f>
        <v>2.2955000000000023</v>
      </c>
      <c r="AL228" s="2136">
        <f>O228-'Blocking-Step2'!O228</f>
        <v>0</v>
      </c>
      <c r="AN228" s="2137">
        <f>Q228-'Blocking-Step2'!Q228</f>
        <v>0</v>
      </c>
      <c r="AP228" s="2127">
        <f>S228-'Blocking-Step2'!S228</f>
        <v>-911363</v>
      </c>
      <c r="AR228" s="2127">
        <f>U228-'Blocking-Step2'!U228</f>
        <v>911362</v>
      </c>
      <c r="AT228" s="2127">
        <f>W228-'Blocking-Step2'!W228</f>
        <v>0</v>
      </c>
      <c r="AV228" s="2128">
        <f>Y228-'Blocking-Step2'!Y228</f>
        <v>0</v>
      </c>
    </row>
    <row r="229" spans="1:48">
      <c r="A229" s="1116" t="s">
        <v>1913</v>
      </c>
      <c r="C229" s="1105">
        <v>96492343.853960425</v>
      </c>
      <c r="D229" s="1105">
        <v>93250801.351241559</v>
      </c>
      <c r="E229" s="617"/>
      <c r="F229" s="1143"/>
      <c r="G229" s="1921"/>
      <c r="H229" s="1146"/>
      <c r="I229" s="1146"/>
      <c r="J229" s="617"/>
      <c r="K229" s="1143">
        <v>1.657</v>
      </c>
      <c r="L229" s="1921" t="s">
        <v>495</v>
      </c>
      <c r="M229" s="1143">
        <v>1.0308999999999999</v>
      </c>
      <c r="N229" s="1921" t="s">
        <v>495</v>
      </c>
      <c r="O229" s="1143">
        <v>1.1943999999999999</v>
      </c>
      <c r="P229" s="1921" t="s">
        <v>495</v>
      </c>
      <c r="Q229" s="1143">
        <v>3.8822999999999999</v>
      </c>
      <c r="R229" s="1921" t="s">
        <v>495</v>
      </c>
      <c r="S229" s="1146">
        <v>1545166</v>
      </c>
      <c r="T229" s="1648"/>
      <c r="U229" s="1146">
        <v>961323</v>
      </c>
      <c r="V229" s="1648"/>
      <c r="W229" s="1146">
        <v>1113788</v>
      </c>
      <c r="X229" s="1648"/>
      <c r="Y229" s="1146">
        <v>3620276</v>
      </c>
      <c r="Z229" s="2114">
        <f>C229-'Blocking-Step2'!C229</f>
        <v>0</v>
      </c>
      <c r="AA229" s="2114">
        <f>D229-'Blocking-Step2'!D229</f>
        <v>0</v>
      </c>
      <c r="AC229" s="2114">
        <f>F229-'Blocking-Step2'!F229</f>
        <v>0</v>
      </c>
      <c r="AE229" s="2114">
        <f>H229-'Blocking-Step2'!H229</f>
        <v>0</v>
      </c>
      <c r="AF229" s="2114">
        <f>I229-'Blocking-Step2'!I229</f>
        <v>0</v>
      </c>
      <c r="AH229" s="2136">
        <f>K229-'Blocking-Step2'!K229</f>
        <v>-2.2955000000000001</v>
      </c>
      <c r="AJ229" s="2136">
        <f>M229-'Blocking-Step2'!M229</f>
        <v>2.2955000000000001</v>
      </c>
      <c r="AL229" s="2136">
        <f>O229-'Blocking-Step2'!O229</f>
        <v>0</v>
      </c>
      <c r="AN229" s="2137">
        <f>Q229-'Blocking-Step2'!Q229</f>
        <v>0</v>
      </c>
      <c r="AP229" s="2127">
        <f>S229-'Blocking-Step2'!S229</f>
        <v>-2140572</v>
      </c>
      <c r="AR229" s="2127">
        <f>U229-'Blocking-Step2'!U229</f>
        <v>2140573</v>
      </c>
      <c r="AT229" s="2127">
        <f>W229-'Blocking-Step2'!W229</f>
        <v>0</v>
      </c>
      <c r="AV229" s="2128">
        <f>Y229-'Blocking-Step2'!Y229</f>
        <v>0</v>
      </c>
    </row>
    <row r="230" spans="1:48">
      <c r="A230" s="1116" t="s">
        <v>1906</v>
      </c>
      <c r="C230" s="1105">
        <v>43287163.770088859</v>
      </c>
      <c r="D230" s="1105">
        <v>41868605.849641204</v>
      </c>
      <c r="E230" s="617"/>
      <c r="F230" s="1143"/>
      <c r="G230" s="1921"/>
      <c r="H230" s="1146"/>
      <c r="I230" s="1146"/>
      <c r="J230" s="617"/>
      <c r="K230" s="1143">
        <v>0</v>
      </c>
      <c r="L230" s="1921" t="s">
        <v>495</v>
      </c>
      <c r="M230" s="1143">
        <v>0</v>
      </c>
      <c r="N230" s="1921" t="s">
        <v>495</v>
      </c>
      <c r="O230" s="1143">
        <v>6</v>
      </c>
      <c r="P230" s="1921" t="s">
        <v>495</v>
      </c>
      <c r="Q230" s="1143">
        <v>6</v>
      </c>
      <c r="R230" s="1921" t="s">
        <v>495</v>
      </c>
      <c r="S230" s="1146">
        <v>0</v>
      </c>
      <c r="T230" s="1648"/>
      <c r="U230" s="1146">
        <v>0</v>
      </c>
      <c r="V230" s="1648"/>
      <c r="W230" s="1146">
        <v>2512116</v>
      </c>
      <c r="X230" s="1648"/>
      <c r="Y230" s="1146">
        <v>2512116</v>
      </c>
      <c r="Z230" s="2114">
        <f>C230-'Blocking-Step2'!C230</f>
        <v>0</v>
      </c>
      <c r="AA230" s="2114">
        <f>D230-'Blocking-Step2'!D230</f>
        <v>0</v>
      </c>
      <c r="AC230" s="2114">
        <f>F230-'Blocking-Step2'!F230</f>
        <v>0</v>
      </c>
      <c r="AE230" s="2114">
        <f>H230-'Blocking-Step2'!H230</f>
        <v>0</v>
      </c>
      <c r="AF230" s="2114">
        <f>I230-'Blocking-Step2'!I230</f>
        <v>0</v>
      </c>
      <c r="AH230" s="2136">
        <f>K230-'Blocking-Step2'!K230</f>
        <v>0</v>
      </c>
      <c r="AJ230" s="2136">
        <f>M230-'Blocking-Step2'!M230</f>
        <v>0</v>
      </c>
      <c r="AL230" s="2136">
        <f>O230-'Blocking-Step2'!O230</f>
        <v>0</v>
      </c>
      <c r="AN230" s="2137">
        <f>Q230-'Blocking-Step2'!Q230</f>
        <v>0</v>
      </c>
      <c r="AP230" s="2127">
        <f>S230-'Blocking-Step2'!S230</f>
        <v>0</v>
      </c>
      <c r="AR230" s="2127">
        <f>U230-'Blocking-Step2'!U230</f>
        <v>0</v>
      </c>
      <c r="AT230" s="2127">
        <f>W230-'Blocking-Step2'!W230</f>
        <v>0</v>
      </c>
      <c r="AV230" s="2128">
        <f>Y230-'Blocking-Step2'!Y230</f>
        <v>0</v>
      </c>
    </row>
    <row r="231" spans="1:48">
      <c r="A231" s="1116" t="s">
        <v>1907</v>
      </c>
      <c r="C231" s="1105">
        <v>34658500.229911141</v>
      </c>
      <c r="D231" s="1105">
        <v>33522711.101450153</v>
      </c>
      <c r="E231" s="617"/>
      <c r="F231" s="1143"/>
      <c r="G231" s="1921"/>
      <c r="H231" s="1146"/>
      <c r="I231" s="1146"/>
      <c r="J231" s="617"/>
      <c r="K231" s="1143">
        <v>0</v>
      </c>
      <c r="L231" s="1921" t="s">
        <v>495</v>
      </c>
      <c r="M231" s="1143">
        <v>0</v>
      </c>
      <c r="N231" s="1921" t="s">
        <v>495</v>
      </c>
      <c r="O231" s="1143">
        <v>-2.3358000000000008</v>
      </c>
      <c r="P231" s="1921" t="s">
        <v>495</v>
      </c>
      <c r="Q231" s="1143">
        <v>-2.3358000000000008</v>
      </c>
      <c r="R231" s="1921" t="s">
        <v>495</v>
      </c>
      <c r="S231" s="1146">
        <v>0</v>
      </c>
      <c r="T231" s="1648"/>
      <c r="U231" s="1146">
        <v>0</v>
      </c>
      <c r="V231" s="1648"/>
      <c r="W231" s="1146">
        <v>-783023</v>
      </c>
      <c r="X231" s="1648"/>
      <c r="Y231" s="1146">
        <v>-783023</v>
      </c>
      <c r="Z231" s="2114">
        <f>C231-'Blocking-Step2'!C231</f>
        <v>0</v>
      </c>
      <c r="AA231" s="2114">
        <f>D231-'Blocking-Step2'!D231</f>
        <v>0</v>
      </c>
      <c r="AC231" s="2114">
        <f>F231-'Blocking-Step2'!F231</f>
        <v>0</v>
      </c>
      <c r="AE231" s="2114">
        <f>H231-'Blocking-Step2'!H231</f>
        <v>0</v>
      </c>
      <c r="AF231" s="2114">
        <f>I231-'Blocking-Step2'!I231</f>
        <v>0</v>
      </c>
      <c r="AH231" s="2136">
        <f>K231-'Blocking-Step2'!K231</f>
        <v>0</v>
      </c>
      <c r="AJ231" s="2136">
        <f>M231-'Blocking-Step2'!M231</f>
        <v>0</v>
      </c>
      <c r="AL231" s="2136">
        <f>O231-'Blocking-Step2'!O231</f>
        <v>0</v>
      </c>
      <c r="AN231" s="2137">
        <f>Q231-'Blocking-Step2'!Q231</f>
        <v>0</v>
      </c>
      <c r="AP231" s="2127">
        <f>S231-'Blocking-Step2'!S231</f>
        <v>0</v>
      </c>
      <c r="AR231" s="2127">
        <f>U231-'Blocking-Step2'!U231</f>
        <v>0</v>
      </c>
      <c r="AT231" s="2127">
        <f>W231-'Blocking-Step2'!W231</f>
        <v>0</v>
      </c>
      <c r="AV231" s="2128">
        <f>Y231-'Blocking-Step2'!Y231</f>
        <v>0</v>
      </c>
    </row>
    <row r="232" spans="1:48">
      <c r="A232" s="1116" t="s">
        <v>1908</v>
      </c>
      <c r="C232" s="1105">
        <v>76370702.519246042</v>
      </c>
      <c r="D232" s="1105">
        <v>73835483.656813219</v>
      </c>
      <c r="E232" s="617"/>
      <c r="F232" s="1143"/>
      <c r="G232" s="1921"/>
      <c r="H232" s="1146"/>
      <c r="I232" s="1146"/>
      <c r="J232" s="617"/>
      <c r="K232" s="1143">
        <v>0</v>
      </c>
      <c r="L232" s="1921" t="s">
        <v>495</v>
      </c>
      <c r="M232" s="1143">
        <v>0</v>
      </c>
      <c r="N232" s="1921" t="s">
        <v>495</v>
      </c>
      <c r="O232" s="1143">
        <v>5.3097000000000003</v>
      </c>
      <c r="P232" s="1921" t="s">
        <v>495</v>
      </c>
      <c r="Q232" s="1143">
        <v>5.3097000000000003</v>
      </c>
      <c r="R232" s="1921" t="s">
        <v>495</v>
      </c>
      <c r="S232" s="1146">
        <v>0</v>
      </c>
      <c r="T232" s="1648"/>
      <c r="U232" s="1146">
        <v>0</v>
      </c>
      <c r="V232" s="1648"/>
      <c r="W232" s="1146">
        <v>3920443</v>
      </c>
      <c r="X232" s="1648"/>
      <c r="Y232" s="1146">
        <v>3920443</v>
      </c>
      <c r="Z232" s="2114">
        <f>C232-'Blocking-Step2'!C232</f>
        <v>0</v>
      </c>
      <c r="AA232" s="2114">
        <f>D232-'Blocking-Step2'!D232</f>
        <v>0</v>
      </c>
      <c r="AC232" s="2114">
        <f>F232-'Blocking-Step2'!F232</f>
        <v>0</v>
      </c>
      <c r="AE232" s="2114">
        <f>H232-'Blocking-Step2'!H232</f>
        <v>0</v>
      </c>
      <c r="AF232" s="2114">
        <f>I232-'Blocking-Step2'!I232</f>
        <v>0</v>
      </c>
      <c r="AH232" s="2136">
        <f>K232-'Blocking-Step2'!K232</f>
        <v>0</v>
      </c>
      <c r="AJ232" s="2136">
        <f>M232-'Blocking-Step2'!M232</f>
        <v>0</v>
      </c>
      <c r="AL232" s="2136">
        <f>O232-'Blocking-Step2'!O232</f>
        <v>0</v>
      </c>
      <c r="AN232" s="2137">
        <f>Q232-'Blocking-Step2'!Q232</f>
        <v>0</v>
      </c>
      <c r="AP232" s="2127">
        <f>S232-'Blocking-Step2'!S232</f>
        <v>0</v>
      </c>
      <c r="AR232" s="2127">
        <f>U232-'Blocking-Step2'!U232</f>
        <v>0</v>
      </c>
      <c r="AT232" s="2127">
        <f>W232-'Blocking-Step2'!W232</f>
        <v>0</v>
      </c>
      <c r="AV232" s="2128">
        <f>Y232-'Blocking-Step2'!Y232</f>
        <v>0</v>
      </c>
    </row>
    <row r="233" spans="1:48">
      <c r="A233" s="1116" t="s">
        <v>1909</v>
      </c>
      <c r="C233" s="1105">
        <v>61147318.980753943</v>
      </c>
      <c r="D233" s="1105">
        <v>59117458.951272905</v>
      </c>
      <c r="E233" s="617"/>
      <c r="F233" s="1143"/>
      <c r="G233" s="1921"/>
      <c r="H233" s="1146"/>
      <c r="I233" s="1146"/>
      <c r="J233" s="617"/>
      <c r="K233" s="1143">
        <v>0</v>
      </c>
      <c r="L233" s="1921" t="s">
        <v>495</v>
      </c>
      <c r="M233" s="1143">
        <v>0</v>
      </c>
      <c r="N233" s="1921" t="s">
        <v>495</v>
      </c>
      <c r="O233" s="1143">
        <v>-2.0670999999999999</v>
      </c>
      <c r="P233" s="1921" t="s">
        <v>495</v>
      </c>
      <c r="Q233" s="1143">
        <v>-2.0670999999999999</v>
      </c>
      <c r="R233" s="1921" t="s">
        <v>495</v>
      </c>
      <c r="S233" s="1146">
        <v>0</v>
      </c>
      <c r="T233" s="1648"/>
      <c r="U233" s="1146">
        <v>0</v>
      </c>
      <c r="V233" s="1648"/>
      <c r="W233" s="1146">
        <v>-1222017</v>
      </c>
      <c r="X233" s="1648"/>
      <c r="Y233" s="1146">
        <v>-1222017</v>
      </c>
      <c r="Z233" s="2114">
        <f>C233-'Blocking-Step2'!C233</f>
        <v>0</v>
      </c>
      <c r="AA233" s="2114">
        <f>D233-'Blocking-Step2'!D233</f>
        <v>0</v>
      </c>
      <c r="AC233" s="2114">
        <f>F233-'Blocking-Step2'!F233</f>
        <v>0</v>
      </c>
      <c r="AE233" s="2114">
        <f>H233-'Blocking-Step2'!H233</f>
        <v>0</v>
      </c>
      <c r="AF233" s="2114">
        <f>I233-'Blocking-Step2'!I233</f>
        <v>0</v>
      </c>
      <c r="AH233" s="2136">
        <f>K233-'Blocking-Step2'!K233</f>
        <v>0</v>
      </c>
      <c r="AJ233" s="2136">
        <f>M233-'Blocking-Step2'!M233</f>
        <v>0</v>
      </c>
      <c r="AL233" s="2136">
        <f>O233-'Blocking-Step2'!O233</f>
        <v>0</v>
      </c>
      <c r="AN233" s="2137">
        <f>Q233-'Blocking-Step2'!Q233</f>
        <v>0</v>
      </c>
      <c r="AP233" s="2127">
        <f>S233-'Blocking-Step2'!S233</f>
        <v>0</v>
      </c>
      <c r="AR233" s="2127">
        <f>U233-'Blocking-Step2'!U233</f>
        <v>0</v>
      </c>
      <c r="AT233" s="2127">
        <f>W233-'Blocking-Step2'!W233</f>
        <v>0</v>
      </c>
      <c r="AV233" s="2128">
        <f>Y233-'Blocking-Step2'!Y233</f>
        <v>0</v>
      </c>
    </row>
    <row r="234" spans="1:48">
      <c r="A234" s="1116" t="s">
        <v>261</v>
      </c>
      <c r="C234" s="1105">
        <v>57416.182291666664</v>
      </c>
      <c r="D234" s="1105">
        <v>56872.363899238364</v>
      </c>
      <c r="F234" s="1907"/>
      <c r="G234" s="1110"/>
      <c r="H234" s="1146"/>
      <c r="I234" s="1146"/>
      <c r="K234" s="1907">
        <v>-0.61</v>
      </c>
      <c r="L234" s="1110"/>
      <c r="M234" s="1907">
        <v>0</v>
      </c>
      <c r="N234" s="1110"/>
      <c r="O234" s="1907">
        <v>0</v>
      </c>
      <c r="P234" s="1110"/>
      <c r="Q234" s="1907">
        <v>-0.61</v>
      </c>
      <c r="R234" s="1110"/>
      <c r="S234" s="1146">
        <v>-34692</v>
      </c>
      <c r="T234" s="1629"/>
      <c r="U234" s="1146">
        <v>0</v>
      </c>
      <c r="V234" s="1629"/>
      <c r="W234" s="1146">
        <v>0</v>
      </c>
      <c r="X234" s="1629"/>
      <c r="Y234" s="1146">
        <v>-34692</v>
      </c>
      <c r="Z234" s="2114">
        <f>C234-'Blocking-Step2'!C234</f>
        <v>0</v>
      </c>
      <c r="AA234" s="2114">
        <f>D234-'Blocking-Step2'!D234</f>
        <v>0</v>
      </c>
      <c r="AC234" s="2114">
        <f>F234-'Blocking-Step2'!F234</f>
        <v>0</v>
      </c>
      <c r="AE234" s="2114">
        <f>H234-'Blocking-Step2'!H234</f>
        <v>0</v>
      </c>
      <c r="AF234" s="2114">
        <f>I234-'Blocking-Step2'!I234</f>
        <v>0</v>
      </c>
      <c r="AH234" s="2136">
        <f>K234-'Blocking-Step2'!K234</f>
        <v>0</v>
      </c>
      <c r="AJ234" s="2136">
        <f>M234-'Blocking-Step2'!M234</f>
        <v>0</v>
      </c>
      <c r="AL234" s="2136">
        <f>O234-'Blocking-Step2'!O234</f>
        <v>0</v>
      </c>
      <c r="AN234" s="2137">
        <f>Q234-'Blocking-Step2'!Q234</f>
        <v>0</v>
      </c>
      <c r="AP234" s="2127">
        <f>S234-'Blocking-Step2'!S234</f>
        <v>0</v>
      </c>
      <c r="AR234" s="2127">
        <f>U234-'Blocking-Step2'!U234</f>
        <v>0</v>
      </c>
      <c r="AT234" s="2127">
        <f>W234-'Blocking-Step2'!W234</f>
        <v>0</v>
      </c>
      <c r="AV234" s="2128">
        <f>Y234-'Blocking-Step2'!Y234</f>
        <v>0</v>
      </c>
    </row>
    <row r="235" spans="1:48">
      <c r="A235" s="1116" t="s">
        <v>1158</v>
      </c>
      <c r="C235" s="1105">
        <v>799646.5</v>
      </c>
      <c r="D235" s="1105">
        <v>758838.16754595097</v>
      </c>
      <c r="F235" s="1106"/>
      <c r="G235" s="1921"/>
      <c r="H235" s="1146"/>
      <c r="I235" s="1146"/>
      <c r="K235" s="1106">
        <v>0</v>
      </c>
      <c r="L235" s="1921" t="s">
        <v>495</v>
      </c>
      <c r="M235" s="1106">
        <v>7.125</v>
      </c>
      <c r="N235" s="1921" t="s">
        <v>495</v>
      </c>
      <c r="O235" s="1106">
        <v>0</v>
      </c>
      <c r="P235" s="1921" t="s">
        <v>495</v>
      </c>
      <c r="Q235" s="1106">
        <v>7.125</v>
      </c>
      <c r="R235" s="1921" t="s">
        <v>495</v>
      </c>
      <c r="S235" s="1146">
        <v>0</v>
      </c>
      <c r="T235" s="1648"/>
      <c r="U235" s="1146">
        <v>54067</v>
      </c>
      <c r="V235" s="1648"/>
      <c r="W235" s="1146">
        <v>0</v>
      </c>
      <c r="X235" s="1648"/>
      <c r="Y235" s="1146">
        <v>54067</v>
      </c>
      <c r="Z235" s="2114">
        <f>C235-'Blocking-Step2'!C235</f>
        <v>0</v>
      </c>
      <c r="AA235" s="2114">
        <f>D235-'Blocking-Step2'!D235</f>
        <v>0</v>
      </c>
      <c r="AC235" s="2114">
        <f>F235-'Blocking-Step2'!F235</f>
        <v>0</v>
      </c>
      <c r="AE235" s="2114">
        <f>H235-'Blocking-Step2'!H235</f>
        <v>0</v>
      </c>
      <c r="AF235" s="2114">
        <f>I235-'Blocking-Step2'!I235</f>
        <v>0</v>
      </c>
      <c r="AH235" s="2136">
        <f>K235-'Blocking-Step2'!K235</f>
        <v>0</v>
      </c>
      <c r="AJ235" s="2136">
        <f>M235-'Blocking-Step2'!M235</f>
        <v>0</v>
      </c>
      <c r="AL235" s="2136">
        <f>O235-'Blocking-Step2'!O235</f>
        <v>0</v>
      </c>
      <c r="AN235" s="2137">
        <f>Q235-'Blocking-Step2'!Q235</f>
        <v>0</v>
      </c>
      <c r="AP235" s="2127">
        <f>S235-'Blocking-Step2'!S235</f>
        <v>0</v>
      </c>
      <c r="AR235" s="2127">
        <f>U235-'Blocking-Step2'!U235</f>
        <v>0</v>
      </c>
      <c r="AT235" s="2127">
        <f>W235-'Blocking-Step2'!W235</f>
        <v>0</v>
      </c>
      <c r="AV235" s="2128">
        <f>Y235-'Blocking-Step2'!Y235</f>
        <v>0</v>
      </c>
    </row>
    <row r="236" spans="1:48">
      <c r="A236" s="1116" t="s">
        <v>1240</v>
      </c>
      <c r="C236" s="1024"/>
      <c r="D236" s="1024"/>
      <c r="F236" s="2076"/>
      <c r="G236" s="617"/>
      <c r="H236" s="1146"/>
      <c r="I236" s="1146"/>
      <c r="K236" s="2076"/>
      <c r="L236" s="617"/>
      <c r="M236" s="2076"/>
      <c r="N236" s="617"/>
      <c r="O236" s="2077" t="s">
        <v>2323</v>
      </c>
      <c r="P236" s="617"/>
      <c r="Q236" s="2076">
        <v>-3.0599999999999999E-2</v>
      </c>
      <c r="R236" s="617"/>
      <c r="S236" s="1114"/>
      <c r="T236" s="1114"/>
      <c r="U236" s="1114"/>
      <c r="V236" s="1114"/>
      <c r="W236" s="1114"/>
      <c r="X236" s="1114"/>
      <c r="Y236" s="1146">
        <v>-579947.571</v>
      </c>
      <c r="Z236" s="2114">
        <f>C236-'Blocking-Step2'!C236</f>
        <v>0</v>
      </c>
      <c r="AA236" s="2114">
        <f>D236-'Blocking-Step2'!D236</f>
        <v>0</v>
      </c>
      <c r="AC236" s="2114">
        <f>F236-'Blocking-Step2'!F236</f>
        <v>0</v>
      </c>
      <c r="AE236" s="2114">
        <f>H236-'Blocking-Step2'!H236</f>
        <v>0</v>
      </c>
      <c r="AF236" s="2114">
        <f>I236-'Blocking-Step2'!I236</f>
        <v>0</v>
      </c>
      <c r="AH236" s="2136">
        <f>K236-'Blocking-Step2'!K236</f>
        <v>0</v>
      </c>
      <c r="AJ236" s="2136">
        <f>M236-'Blocking-Step2'!M236</f>
        <v>0</v>
      </c>
      <c r="AL236" s="2136" t="e">
        <f>O236-'Blocking-Step2'!O236</f>
        <v>#VALUE!</v>
      </c>
      <c r="AN236" s="2137">
        <f>Q236-'Blocking-Step2'!Q236</f>
        <v>0</v>
      </c>
      <c r="AP236" s="2127">
        <f>S236-'Blocking-Step2'!S236</f>
        <v>0</v>
      </c>
      <c r="AR236" s="2127">
        <f>U236-'Blocking-Step2'!U236</f>
        <v>0</v>
      </c>
      <c r="AT236" s="2127">
        <f>W236-'Blocking-Step2'!W236</f>
        <v>0</v>
      </c>
      <c r="AV236" s="2128">
        <f>Y236-'Blocking-Step2'!Y236</f>
        <v>0</v>
      </c>
    </row>
    <row r="237" spans="1:48">
      <c r="A237" s="1116"/>
      <c r="C237" s="1024"/>
      <c r="D237" s="1024"/>
      <c r="F237" s="2076"/>
      <c r="G237" s="617"/>
      <c r="H237" s="1146"/>
      <c r="I237" s="1146"/>
      <c r="K237" s="2076"/>
      <c r="L237" s="617"/>
      <c r="M237" s="2076"/>
      <c r="N237" s="617"/>
      <c r="O237" s="2077" t="s">
        <v>2324</v>
      </c>
      <c r="P237" s="617"/>
      <c r="Q237" s="2076">
        <v>-1.66E-2</v>
      </c>
      <c r="R237" s="617"/>
      <c r="S237" s="1114"/>
      <c r="T237" s="1114"/>
      <c r="U237" s="1114"/>
      <c r="V237" s="1114"/>
      <c r="W237" s="1114"/>
      <c r="X237" s="1114"/>
      <c r="Y237" s="1146">
        <v>-314612.08100000001</v>
      </c>
      <c r="Z237" s="2114">
        <f>C237-'Blocking-Step2'!C237</f>
        <v>0</v>
      </c>
      <c r="AA237" s="2114">
        <f>D237-'Blocking-Step2'!D237</f>
        <v>0</v>
      </c>
      <c r="AC237" s="2114">
        <f>F237-'Blocking-Step2'!F237</f>
        <v>0</v>
      </c>
      <c r="AE237" s="2114">
        <f>H237-'Blocking-Step2'!H237</f>
        <v>0</v>
      </c>
      <c r="AF237" s="2114">
        <f>I237-'Blocking-Step2'!I237</f>
        <v>0</v>
      </c>
      <c r="AH237" s="2136">
        <f>K237-'Blocking-Step2'!K237</f>
        <v>0</v>
      </c>
      <c r="AJ237" s="2136">
        <f>M237-'Blocking-Step2'!M237</f>
        <v>0</v>
      </c>
      <c r="AL237" s="2136" t="e">
        <f>O237-'Blocking-Step2'!O237</f>
        <v>#VALUE!</v>
      </c>
      <c r="AN237" s="2137">
        <f>Q237-'Blocking-Step2'!Q237</f>
        <v>0</v>
      </c>
      <c r="AP237" s="2127">
        <f>S237-'Blocking-Step2'!S237</f>
        <v>0</v>
      </c>
      <c r="AR237" s="2127">
        <f>U237-'Blocking-Step2'!U237</f>
        <v>0</v>
      </c>
      <c r="AT237" s="2127">
        <f>W237-'Blocking-Step2'!W237</f>
        <v>0</v>
      </c>
      <c r="AV237" s="2128">
        <f>Y237-'Blocking-Step2'!Y237</f>
        <v>0</v>
      </c>
    </row>
    <row r="238" spans="1:48">
      <c r="A238" s="1116" t="s">
        <v>1923</v>
      </c>
      <c r="C238" s="1105">
        <v>216263332</v>
      </c>
      <c r="D238" s="1105">
        <v>209103097.7267234</v>
      </c>
      <c r="F238" s="1907"/>
      <c r="G238" s="1110"/>
      <c r="H238" s="1146"/>
      <c r="I238" s="1146"/>
      <c r="K238" s="1907"/>
      <c r="L238" s="1110"/>
      <c r="M238" s="1907"/>
      <c r="N238" s="1110"/>
      <c r="O238" s="1907"/>
      <c r="P238" s="1110"/>
      <c r="Q238" s="1907"/>
      <c r="R238" s="1110"/>
      <c r="S238" s="1146">
        <v>4291540</v>
      </c>
      <c r="T238" s="1629"/>
      <c r="U238" s="1146">
        <v>12894725</v>
      </c>
      <c r="V238" s="1629"/>
      <c r="W238" s="1146">
        <v>7033065</v>
      </c>
      <c r="X238" s="1629"/>
      <c r="Y238" s="1146">
        <v>24219330</v>
      </c>
      <c r="Z238" s="2114">
        <f>C238-'Blocking-Step2'!C238</f>
        <v>0</v>
      </c>
      <c r="AA238" s="2114">
        <f>D238-'Blocking-Step2'!D238</f>
        <v>0</v>
      </c>
      <c r="AC238" s="2114">
        <f>F238-'Blocking-Step2'!F238</f>
        <v>0</v>
      </c>
      <c r="AE238" s="2114">
        <f>H238-'Blocking-Step2'!H238</f>
        <v>0</v>
      </c>
      <c r="AF238" s="2114">
        <f>I238-'Blocking-Step2'!I238</f>
        <v>0</v>
      </c>
      <c r="AH238" s="2136">
        <f>K238-'Blocking-Step2'!K238</f>
        <v>0</v>
      </c>
      <c r="AJ238" s="2136">
        <f>M238-'Blocking-Step2'!M238</f>
        <v>0</v>
      </c>
      <c r="AL238" s="2136">
        <f>O238-'Blocking-Step2'!O238</f>
        <v>0</v>
      </c>
      <c r="AN238" s="2137">
        <f>Q238-'Blocking-Step2'!Q238</f>
        <v>0</v>
      </c>
      <c r="AP238" s="2127">
        <f>S238-'Blocking-Step2'!S238</f>
        <v>-4782543</v>
      </c>
      <c r="AR238" s="2127">
        <f>U238-'Blocking-Step2'!U238</f>
        <v>4782543</v>
      </c>
      <c r="AT238" s="2127">
        <f>W238-'Blocking-Step2'!W238</f>
        <v>0</v>
      </c>
      <c r="AV238" s="2128">
        <f>Y238-'Blocking-Step2'!Y238</f>
        <v>0</v>
      </c>
    </row>
    <row r="239" spans="1:48">
      <c r="A239" s="1116"/>
      <c r="C239" s="1105"/>
      <c r="D239" s="1105"/>
      <c r="F239" s="1907"/>
      <c r="G239" s="1110"/>
      <c r="H239" s="1146"/>
      <c r="I239" s="1146"/>
      <c r="K239" s="1907"/>
      <c r="L239" s="1110"/>
      <c r="M239" s="1907"/>
      <c r="N239" s="1110"/>
      <c r="O239" s="1907"/>
      <c r="P239" s="1110"/>
      <c r="Q239" s="1907"/>
      <c r="R239" s="1110"/>
      <c r="S239" s="1629"/>
      <c r="T239" s="1629"/>
      <c r="U239" s="1629"/>
      <c r="V239" s="1629"/>
      <c r="W239" s="1629"/>
      <c r="X239" s="1629"/>
      <c r="Y239" s="1146"/>
      <c r="Z239" s="2114">
        <f>C239-'Blocking-Step2'!C239</f>
        <v>0</v>
      </c>
      <c r="AA239" s="2114">
        <f>D239-'Blocking-Step2'!D239</f>
        <v>0</v>
      </c>
      <c r="AC239" s="2114">
        <f>F239-'Blocking-Step2'!F239</f>
        <v>0</v>
      </c>
      <c r="AE239" s="2114">
        <f>H239-'Blocking-Step2'!H239</f>
        <v>0</v>
      </c>
      <c r="AF239" s="2114">
        <f>I239-'Blocking-Step2'!I239</f>
        <v>0</v>
      </c>
      <c r="AH239" s="2136">
        <f>K239-'Blocking-Step2'!K239</f>
        <v>0</v>
      </c>
      <c r="AJ239" s="2136">
        <f>M239-'Blocking-Step2'!M239</f>
        <v>0</v>
      </c>
      <c r="AL239" s="2136">
        <f>O239-'Blocking-Step2'!O239</f>
        <v>0</v>
      </c>
      <c r="AN239" s="2137">
        <f>Q239-'Blocking-Step2'!Q239</f>
        <v>0</v>
      </c>
      <c r="AP239" s="2127">
        <f>S239-'Blocking-Step2'!S239</f>
        <v>0</v>
      </c>
      <c r="AR239" s="2127">
        <f>U239-'Blocking-Step2'!U239</f>
        <v>0</v>
      </c>
      <c r="AT239" s="2127">
        <f>W239-'Blocking-Step2'!W239</f>
        <v>0</v>
      </c>
      <c r="AV239" s="2128">
        <f>Y239-'Blocking-Step2'!Y239</f>
        <v>0</v>
      </c>
    </row>
    <row r="240" spans="1:48">
      <c r="A240" s="1116" t="s">
        <v>240</v>
      </c>
      <c r="C240" s="1105">
        <v>16269.966666649996</v>
      </c>
      <c r="D240" s="1105">
        <v>16184.594130320329</v>
      </c>
      <c r="F240" s="1907">
        <v>54</v>
      </c>
      <c r="G240" s="1110"/>
      <c r="H240" s="1146">
        <v>878578</v>
      </c>
      <c r="I240" s="1146">
        <v>873968</v>
      </c>
      <c r="K240" s="1907">
        <v>54</v>
      </c>
      <c r="L240" s="1110"/>
      <c r="M240" s="1907">
        <v>0</v>
      </c>
      <c r="N240" s="1110"/>
      <c r="O240" s="1907">
        <v>0</v>
      </c>
      <c r="P240" s="1110"/>
      <c r="Q240" s="1907">
        <v>54</v>
      </c>
      <c r="R240" s="1110"/>
      <c r="S240" s="1146">
        <v>873968</v>
      </c>
      <c r="T240" s="1629"/>
      <c r="U240" s="1146">
        <v>0</v>
      </c>
      <c r="V240" s="1629"/>
      <c r="W240" s="1146">
        <v>0</v>
      </c>
      <c r="X240" s="1629"/>
      <c r="Y240" s="1146">
        <v>873968</v>
      </c>
      <c r="Z240" s="2114">
        <f>C240-'Blocking-Step2'!C240</f>
        <v>0</v>
      </c>
      <c r="AA240" s="2114">
        <f>D240-'Blocking-Step2'!D240</f>
        <v>0</v>
      </c>
      <c r="AC240" s="2114">
        <f>F240-'Blocking-Step2'!F240</f>
        <v>0</v>
      </c>
      <c r="AE240" s="2114">
        <f>H240-'Blocking-Step2'!H240</f>
        <v>0</v>
      </c>
      <c r="AF240" s="2114">
        <f>I240-'Blocking-Step2'!I240</f>
        <v>0</v>
      </c>
      <c r="AH240" s="2136">
        <f>K240-'Blocking-Step2'!K240</f>
        <v>0</v>
      </c>
      <c r="AJ240" s="2136">
        <f>M240-'Blocking-Step2'!M240</f>
        <v>0</v>
      </c>
      <c r="AL240" s="2136">
        <f>O240-'Blocking-Step2'!O240</f>
        <v>0</v>
      </c>
      <c r="AN240" s="2137">
        <f>Q240-'Blocking-Step2'!Q240</f>
        <v>0</v>
      </c>
      <c r="AP240" s="2127">
        <f>S240-'Blocking-Step2'!S240</f>
        <v>0</v>
      </c>
      <c r="AR240" s="2127">
        <f>U240-'Blocking-Step2'!U240</f>
        <v>0</v>
      </c>
      <c r="AT240" s="2127">
        <f>W240-'Blocking-Step2'!W240</f>
        <v>0</v>
      </c>
      <c r="AV240" s="2128">
        <f>Y240-'Blocking-Step2'!Y240</f>
        <v>0</v>
      </c>
    </row>
    <row r="241" spans="1:48">
      <c r="A241" s="1116" t="s">
        <v>262</v>
      </c>
      <c r="C241" s="1105">
        <v>0</v>
      </c>
      <c r="D241" s="1105">
        <v>0</v>
      </c>
      <c r="F241" s="1907">
        <v>648</v>
      </c>
      <c r="G241" s="1110"/>
      <c r="H241" s="1146">
        <v>0</v>
      </c>
      <c r="I241" s="1146">
        <v>0</v>
      </c>
      <c r="K241" s="1907">
        <v>648</v>
      </c>
      <c r="L241" s="1110"/>
      <c r="M241" s="1907">
        <v>0</v>
      </c>
      <c r="N241" s="1110"/>
      <c r="O241" s="1907">
        <v>0</v>
      </c>
      <c r="P241" s="1110"/>
      <c r="Q241" s="1907">
        <v>648</v>
      </c>
      <c r="R241" s="1110"/>
      <c r="S241" s="1146">
        <v>0</v>
      </c>
      <c r="T241" s="1629"/>
      <c r="U241" s="1146">
        <v>0</v>
      </c>
      <c r="V241" s="1629"/>
      <c r="W241" s="1146">
        <v>0</v>
      </c>
      <c r="X241" s="1629"/>
      <c r="Y241" s="1146">
        <v>0</v>
      </c>
      <c r="Z241" s="2114">
        <f>C241-'Blocking-Step2'!C241</f>
        <v>0</v>
      </c>
      <c r="AA241" s="2114">
        <f>D241-'Blocking-Step2'!D241</f>
        <v>0</v>
      </c>
      <c r="AC241" s="2114">
        <f>F241-'Blocking-Step2'!F241</f>
        <v>0</v>
      </c>
      <c r="AE241" s="2114">
        <f>H241-'Blocking-Step2'!H241</f>
        <v>0</v>
      </c>
      <c r="AF241" s="2114">
        <f>I241-'Blocking-Step2'!I241</f>
        <v>0</v>
      </c>
      <c r="AH241" s="2136">
        <f>K241-'Blocking-Step2'!K241</f>
        <v>0</v>
      </c>
      <c r="AJ241" s="2136">
        <f>M241-'Blocking-Step2'!M241</f>
        <v>0</v>
      </c>
      <c r="AL241" s="2136">
        <f>O241-'Blocking-Step2'!O241</f>
        <v>0</v>
      </c>
      <c r="AN241" s="2137">
        <f>Q241-'Blocking-Step2'!Q241</f>
        <v>0</v>
      </c>
      <c r="AP241" s="2127">
        <f>S241-'Blocking-Step2'!S241</f>
        <v>0</v>
      </c>
      <c r="AR241" s="2127">
        <f>U241-'Blocking-Step2'!U241</f>
        <v>0</v>
      </c>
      <c r="AT241" s="2127">
        <f>W241-'Blocking-Step2'!W241</f>
        <v>0</v>
      </c>
      <c r="AV241" s="2128">
        <f>Y241-'Blocking-Step2'!Y241</f>
        <v>0</v>
      </c>
    </row>
    <row r="242" spans="1:48">
      <c r="A242" s="1116" t="s">
        <v>1298</v>
      </c>
      <c r="C242" s="1105">
        <v>0</v>
      </c>
      <c r="D242" s="1105">
        <v>0</v>
      </c>
      <c r="F242" s="1142">
        <v>54</v>
      </c>
      <c r="G242" s="617"/>
      <c r="H242" s="1146">
        <v>0</v>
      </c>
      <c r="I242" s="1146">
        <v>0</v>
      </c>
      <c r="K242" s="1142">
        <v>54</v>
      </c>
      <c r="L242" s="617"/>
      <c r="M242" s="1142">
        <v>0</v>
      </c>
      <c r="N242" s="617"/>
      <c r="O242" s="1142">
        <v>0</v>
      </c>
      <c r="P242" s="617"/>
      <c r="Q242" s="1142">
        <v>54</v>
      </c>
      <c r="R242" s="617"/>
      <c r="S242" s="1146">
        <v>0</v>
      </c>
      <c r="T242" s="1114"/>
      <c r="U242" s="1146">
        <v>0</v>
      </c>
      <c r="V242" s="1114"/>
      <c r="W242" s="1146">
        <v>0</v>
      </c>
      <c r="X242" s="1114"/>
      <c r="Y242" s="1146">
        <v>0</v>
      </c>
      <c r="Z242" s="2114">
        <f>C242-'Blocking-Step2'!C242</f>
        <v>0</v>
      </c>
      <c r="AA242" s="2114">
        <f>D242-'Blocking-Step2'!D242</f>
        <v>0</v>
      </c>
      <c r="AC242" s="2114">
        <f>F242-'Blocking-Step2'!F242</f>
        <v>0</v>
      </c>
      <c r="AE242" s="2114">
        <f>H242-'Blocking-Step2'!H242</f>
        <v>0</v>
      </c>
      <c r="AF242" s="2114">
        <f>I242-'Blocking-Step2'!I242</f>
        <v>0</v>
      </c>
      <c r="AH242" s="2136">
        <f>K242-'Blocking-Step2'!K242</f>
        <v>0</v>
      </c>
      <c r="AJ242" s="2136">
        <f>M242-'Blocking-Step2'!M242</f>
        <v>0</v>
      </c>
      <c r="AL242" s="2136">
        <f>O242-'Blocking-Step2'!O242</f>
        <v>0</v>
      </c>
      <c r="AN242" s="2137">
        <f>Q242-'Blocking-Step2'!Q242</f>
        <v>0</v>
      </c>
      <c r="AP242" s="2127">
        <f>S242-'Blocking-Step2'!S242</f>
        <v>0</v>
      </c>
      <c r="AR242" s="2127">
        <f>U242-'Blocking-Step2'!U242</f>
        <v>0</v>
      </c>
      <c r="AT242" s="2127">
        <f>W242-'Blocking-Step2'!W242</f>
        <v>0</v>
      </c>
      <c r="AV242" s="2128">
        <f>Y242-'Blocking-Step2'!Y242</f>
        <v>0</v>
      </c>
    </row>
    <row r="243" spans="1:48">
      <c r="A243" s="1116" t="s">
        <v>168</v>
      </c>
      <c r="C243" s="1105">
        <v>1324225.0309405944</v>
      </c>
      <c r="D243" s="1105">
        <v>1281154</v>
      </c>
      <c r="F243" s="1907">
        <v>4.04</v>
      </c>
      <c r="G243" s="1110"/>
      <c r="H243" s="1146">
        <v>5349869</v>
      </c>
      <c r="I243" s="1146">
        <v>5175862</v>
      </c>
      <c r="K243" s="1907">
        <v>4.03</v>
      </c>
      <c r="L243" s="1110"/>
      <c r="M243" s="1907">
        <v>0</v>
      </c>
      <c r="N243" s="1110"/>
      <c r="O243" s="1907">
        <v>0</v>
      </c>
      <c r="P243" s="1110"/>
      <c r="Q243" s="1907">
        <v>4.03</v>
      </c>
      <c r="R243" s="1110"/>
      <c r="S243" s="1146">
        <v>5163051</v>
      </c>
      <c r="T243" s="1629"/>
      <c r="U243" s="1146">
        <v>0</v>
      </c>
      <c r="V243" s="1629"/>
      <c r="W243" s="1146">
        <v>0</v>
      </c>
      <c r="X243" s="1629"/>
      <c r="Y243" s="1146">
        <v>5163051</v>
      </c>
      <c r="Z243" s="2114">
        <f>C243-'Blocking-Step2'!C243</f>
        <v>0</v>
      </c>
      <c r="AA243" s="2114">
        <f>D243-'Blocking-Step2'!D243</f>
        <v>0</v>
      </c>
      <c r="AC243" s="2114">
        <f>F243-'Blocking-Step2'!F243</f>
        <v>0</v>
      </c>
      <c r="AE243" s="2114">
        <f>H243-'Blocking-Step2'!H243</f>
        <v>0</v>
      </c>
      <c r="AF243" s="2114">
        <f>I243-'Blocking-Step2'!I243</f>
        <v>0</v>
      </c>
      <c r="AH243" s="2136">
        <f>K243-'Blocking-Step2'!K243</f>
        <v>0</v>
      </c>
      <c r="AJ243" s="2136">
        <f>M243-'Blocking-Step2'!M243</f>
        <v>0</v>
      </c>
      <c r="AL243" s="2136">
        <f>O243-'Blocking-Step2'!O243</f>
        <v>0</v>
      </c>
      <c r="AN243" s="2137">
        <f>Q243-'Blocking-Step2'!Q243</f>
        <v>0</v>
      </c>
      <c r="AP243" s="2127">
        <f>S243-'Blocking-Step2'!S243</f>
        <v>0</v>
      </c>
      <c r="AR243" s="2127">
        <f>U243-'Blocking-Step2'!U243</f>
        <v>0</v>
      </c>
      <c r="AT243" s="2127">
        <f>W243-'Blocking-Step2'!W243</f>
        <v>0</v>
      </c>
      <c r="AV243" s="2128">
        <f>Y243-'Blocking-Step2'!Y243</f>
        <v>0</v>
      </c>
    </row>
    <row r="244" spans="1:48">
      <c r="A244" s="1116" t="s">
        <v>1645</v>
      </c>
      <c r="C244" s="1105">
        <v>483511.58044554468</v>
      </c>
      <c r="D244" s="1105">
        <v>467710</v>
      </c>
      <c r="F244" s="1142"/>
      <c r="G244" s="617"/>
      <c r="H244" s="1146"/>
      <c r="I244" s="1146"/>
      <c r="K244" s="1142">
        <v>0.51</v>
      </c>
      <c r="L244" s="617"/>
      <c r="M244" s="1142">
        <v>12.89</v>
      </c>
      <c r="N244" s="617"/>
      <c r="O244" s="1142">
        <v>0</v>
      </c>
      <c r="P244" s="617"/>
      <c r="Q244" s="1142">
        <v>13.4</v>
      </c>
      <c r="R244" s="617"/>
      <c r="S244" s="1146">
        <v>238532</v>
      </c>
      <c r="T244" s="1114"/>
      <c r="U244" s="1146">
        <v>6028782</v>
      </c>
      <c r="V244" s="1114"/>
      <c r="W244" s="1146">
        <v>0</v>
      </c>
      <c r="X244" s="1114"/>
      <c r="Y244" s="1146">
        <v>6267314</v>
      </c>
      <c r="Z244" s="2114">
        <f>C244-'Blocking-Step2'!C244</f>
        <v>0</v>
      </c>
      <c r="AA244" s="2114">
        <f>D244-'Blocking-Step2'!D244</f>
        <v>0</v>
      </c>
      <c r="AC244" s="2114">
        <f>F244-'Blocking-Step2'!F244</f>
        <v>0</v>
      </c>
      <c r="AE244" s="2114">
        <f>H244-'Blocking-Step2'!H244</f>
        <v>0</v>
      </c>
      <c r="AF244" s="2114">
        <f>I244-'Blocking-Step2'!I244</f>
        <v>0</v>
      </c>
      <c r="AH244" s="2136">
        <f>K244-'Blocking-Step2'!K244</f>
        <v>-5.83</v>
      </c>
      <c r="AJ244" s="2136">
        <f>M244-'Blocking-Step2'!M244</f>
        <v>5.83</v>
      </c>
      <c r="AL244" s="2136">
        <f>O244-'Blocking-Step2'!O244</f>
        <v>0</v>
      </c>
      <c r="AN244" s="2137">
        <f>Q244-'Blocking-Step2'!Q244</f>
        <v>0</v>
      </c>
      <c r="AP244" s="2127">
        <f>S244-'Blocking-Step2'!S244</f>
        <v>-2726749</v>
      </c>
      <c r="AR244" s="2127">
        <f>U244-'Blocking-Step2'!U244</f>
        <v>2726749</v>
      </c>
      <c r="AT244" s="2127">
        <f>W244-'Blocking-Step2'!W244</f>
        <v>0</v>
      </c>
      <c r="AV244" s="2128">
        <f>Y244-'Blocking-Step2'!Y244</f>
        <v>0</v>
      </c>
    </row>
    <row r="245" spans="1:48">
      <c r="A245" s="1116" t="s">
        <v>1646</v>
      </c>
      <c r="C245" s="1105">
        <v>840713.45049504982</v>
      </c>
      <c r="D245" s="1105">
        <v>813444</v>
      </c>
      <c r="F245" s="1142"/>
      <c r="G245" s="617"/>
      <c r="H245" s="1146"/>
      <c r="I245" s="1146"/>
      <c r="K245" s="1142">
        <v>0.45</v>
      </c>
      <c r="L245" s="617"/>
      <c r="M245" s="1142">
        <v>11.41</v>
      </c>
      <c r="N245" s="617"/>
      <c r="O245" s="1142">
        <v>0</v>
      </c>
      <c r="P245" s="617"/>
      <c r="Q245" s="1142">
        <v>11.86</v>
      </c>
      <c r="R245" s="617"/>
      <c r="S245" s="1146">
        <v>366050</v>
      </c>
      <c r="T245" s="1114"/>
      <c r="U245" s="1146">
        <v>9281396</v>
      </c>
      <c r="V245" s="1114"/>
      <c r="W245" s="1146">
        <v>0</v>
      </c>
      <c r="X245" s="1114"/>
      <c r="Y245" s="1146">
        <v>9647446</v>
      </c>
      <c r="Z245" s="2114">
        <f>C245-'Blocking-Step2'!C245</f>
        <v>0</v>
      </c>
      <c r="AA245" s="2114">
        <f>D245-'Blocking-Step2'!D245</f>
        <v>0</v>
      </c>
      <c r="AC245" s="2114">
        <f>F245-'Blocking-Step2'!F245</f>
        <v>0</v>
      </c>
      <c r="AE245" s="2114">
        <f>H245-'Blocking-Step2'!H245</f>
        <v>0</v>
      </c>
      <c r="AF245" s="2114">
        <f>I245-'Blocking-Step2'!I245</f>
        <v>0</v>
      </c>
      <c r="AH245" s="2136">
        <f>K245-'Blocking-Step2'!K245</f>
        <v>-5.16</v>
      </c>
      <c r="AJ245" s="2136">
        <f>M245-'Blocking-Step2'!M245</f>
        <v>5.160000000000001</v>
      </c>
      <c r="AL245" s="2136">
        <f>O245-'Blocking-Step2'!O245</f>
        <v>0</v>
      </c>
      <c r="AN245" s="2137">
        <f>Q245-'Blocking-Step2'!Q245</f>
        <v>0</v>
      </c>
      <c r="AP245" s="2127">
        <f>S245-'Blocking-Step2'!S245</f>
        <v>-4197371</v>
      </c>
      <c r="AR245" s="2127">
        <f>U245-'Blocking-Step2'!U245</f>
        <v>4197371</v>
      </c>
      <c r="AT245" s="2127">
        <f>W245-'Blocking-Step2'!W245</f>
        <v>0</v>
      </c>
      <c r="AV245" s="2128">
        <f>Y245-'Blocking-Step2'!Y245</f>
        <v>0</v>
      </c>
    </row>
    <row r="246" spans="1:48">
      <c r="A246" s="1116" t="s">
        <v>1647</v>
      </c>
      <c r="C246" s="1105">
        <v>77945664</v>
      </c>
      <c r="D246" s="1105">
        <v>75391316.726723433</v>
      </c>
      <c r="F246" s="1106"/>
      <c r="G246" s="1921"/>
      <c r="H246" s="1146"/>
      <c r="I246" s="1146"/>
      <c r="K246" s="1106">
        <v>0</v>
      </c>
      <c r="L246" s="1921" t="s">
        <v>495</v>
      </c>
      <c r="M246" s="1106">
        <v>1.6192</v>
      </c>
      <c r="N246" s="1921" t="s">
        <v>495</v>
      </c>
      <c r="O246" s="1106">
        <v>2.305570240802</v>
      </c>
      <c r="P246" s="1921" t="s">
        <v>495</v>
      </c>
      <c r="Q246" s="1106">
        <v>3.9247702408020002</v>
      </c>
      <c r="R246" s="1921" t="s">
        <v>495</v>
      </c>
      <c r="S246" s="1146">
        <v>0</v>
      </c>
      <c r="T246" s="1648"/>
      <c r="U246" s="1146">
        <v>1220736</v>
      </c>
      <c r="V246" s="1648"/>
      <c r="W246" s="1146">
        <v>1738200</v>
      </c>
      <c r="X246" s="1648"/>
      <c r="Y246" s="1146">
        <v>2958936</v>
      </c>
      <c r="Z246" s="2114">
        <f>C246-'Blocking-Step2'!C246</f>
        <v>0</v>
      </c>
      <c r="AA246" s="2114">
        <f>D246-'Blocking-Step2'!D246</f>
        <v>0</v>
      </c>
      <c r="AC246" s="2114">
        <f>F246-'Blocking-Step2'!F246</f>
        <v>0</v>
      </c>
      <c r="AE246" s="2114">
        <f>H246-'Blocking-Step2'!H246</f>
        <v>0</v>
      </c>
      <c r="AF246" s="2114">
        <f>I246-'Blocking-Step2'!I246</f>
        <v>0</v>
      </c>
      <c r="AH246" s="2136">
        <f>K246-'Blocking-Step2'!K246</f>
        <v>0</v>
      </c>
      <c r="AJ246" s="2136">
        <f>M246-'Blocking-Step2'!M246</f>
        <v>0</v>
      </c>
      <c r="AL246" s="2136">
        <f>O246-'Blocking-Step2'!O246</f>
        <v>0</v>
      </c>
      <c r="AN246" s="2137">
        <f>Q246-'Blocking-Step2'!Q246</f>
        <v>0</v>
      </c>
      <c r="AP246" s="2127">
        <f>S246-'Blocking-Step2'!S246</f>
        <v>0</v>
      </c>
      <c r="AR246" s="2127">
        <f>U246-'Blocking-Step2'!U246</f>
        <v>0</v>
      </c>
      <c r="AT246" s="2127">
        <f>W246-'Blocking-Step2'!W246</f>
        <v>0</v>
      </c>
      <c r="AV246" s="2128">
        <f>Y246-'Blocking-Step2'!Y246</f>
        <v>0</v>
      </c>
    </row>
    <row r="247" spans="1:48">
      <c r="A247" s="1116" t="s">
        <v>1648</v>
      </c>
      <c r="C247" s="1105">
        <v>137518021.5</v>
      </c>
      <c r="D247" s="1105">
        <v>132952943</v>
      </c>
      <c r="F247" s="1106"/>
      <c r="G247" s="1921"/>
      <c r="H247" s="1146"/>
      <c r="I247" s="1146"/>
      <c r="K247" s="1106">
        <v>0</v>
      </c>
      <c r="L247" s="1921" t="s">
        <v>495</v>
      </c>
      <c r="M247" s="1106">
        <v>1.4329000000000001</v>
      </c>
      <c r="N247" s="1921" t="s">
        <v>495</v>
      </c>
      <c r="O247" s="1106">
        <v>2.0403480007099999</v>
      </c>
      <c r="P247" s="1921" t="s">
        <v>495</v>
      </c>
      <c r="Q247" s="1106">
        <v>3.4732480007099999</v>
      </c>
      <c r="R247" s="1921" t="s">
        <v>495</v>
      </c>
      <c r="S247" s="1146">
        <v>0</v>
      </c>
      <c r="T247" s="1648"/>
      <c r="U247" s="1146">
        <v>1905083</v>
      </c>
      <c r="V247" s="1648"/>
      <c r="W247" s="1146">
        <v>2712703</v>
      </c>
      <c r="X247" s="1648"/>
      <c r="Y247" s="1146">
        <v>4617785</v>
      </c>
      <c r="Z247" s="2114">
        <f>C247-'Blocking-Step2'!C247</f>
        <v>0</v>
      </c>
      <c r="AA247" s="2114">
        <f>D247-'Blocking-Step2'!D247</f>
        <v>0</v>
      </c>
      <c r="AC247" s="2114">
        <f>F247-'Blocking-Step2'!F247</f>
        <v>0</v>
      </c>
      <c r="AE247" s="2114">
        <f>H247-'Blocking-Step2'!H247</f>
        <v>0</v>
      </c>
      <c r="AF247" s="2114">
        <f>I247-'Blocking-Step2'!I247</f>
        <v>0</v>
      </c>
      <c r="AH247" s="2136">
        <f>K247-'Blocking-Step2'!K247</f>
        <v>0</v>
      </c>
      <c r="AJ247" s="2136">
        <f>M247-'Blocking-Step2'!M247</f>
        <v>0</v>
      </c>
      <c r="AL247" s="2136">
        <f>O247-'Blocking-Step2'!O247</f>
        <v>0</v>
      </c>
      <c r="AN247" s="2137">
        <f>Q247-'Blocking-Step2'!Q247</f>
        <v>0</v>
      </c>
      <c r="AP247" s="2127">
        <f>S247-'Blocking-Step2'!S247</f>
        <v>0</v>
      </c>
      <c r="AR247" s="2127">
        <f>U247-'Blocking-Step2'!U247</f>
        <v>0</v>
      </c>
      <c r="AT247" s="2127">
        <f>W247-'Blocking-Step2'!W247</f>
        <v>0</v>
      </c>
      <c r="AV247" s="2128">
        <f>Y247-'Blocking-Step2'!Y247</f>
        <v>0</v>
      </c>
    </row>
    <row r="248" spans="1:48">
      <c r="A248" s="1116" t="s">
        <v>196</v>
      </c>
      <c r="C248" s="1105">
        <v>584798.45553699986</v>
      </c>
      <c r="D248" s="1105">
        <v>563910</v>
      </c>
      <c r="F248" s="1907">
        <v>14.62</v>
      </c>
      <c r="G248" s="1110"/>
      <c r="H248" s="1146">
        <v>8549753</v>
      </c>
      <c r="I248" s="1146">
        <v>8244364</v>
      </c>
      <c r="K248" s="1907"/>
      <c r="L248" s="1110"/>
      <c r="M248" s="1907"/>
      <c r="N248" s="1110"/>
      <c r="O248" s="1907"/>
      <c r="P248" s="1110"/>
      <c r="Q248" s="1907"/>
      <c r="R248" s="1110"/>
      <c r="S248" s="1146"/>
      <c r="T248" s="1629"/>
      <c r="U248" s="1146"/>
      <c r="V248" s="1629"/>
      <c r="W248" s="1146"/>
      <c r="X248" s="1629"/>
      <c r="Y248" s="1146"/>
      <c r="Z248" s="2114">
        <f>C248-'Blocking-Step2'!C248</f>
        <v>0</v>
      </c>
      <c r="AA248" s="2114">
        <f>D248-'Blocking-Step2'!D248</f>
        <v>0</v>
      </c>
      <c r="AC248" s="2114">
        <f>F248-'Blocking-Step2'!F248</f>
        <v>0</v>
      </c>
      <c r="AE248" s="2114">
        <f>H248-'Blocking-Step2'!H248</f>
        <v>0</v>
      </c>
      <c r="AF248" s="2114">
        <f>I248-'Blocking-Step2'!I248</f>
        <v>0</v>
      </c>
      <c r="AH248" s="2136">
        <f>K248-'Blocking-Step2'!K248</f>
        <v>0</v>
      </c>
      <c r="AJ248" s="2136">
        <f>M248-'Blocking-Step2'!M248</f>
        <v>0</v>
      </c>
      <c r="AL248" s="2136">
        <f>O248-'Blocking-Step2'!O248</f>
        <v>0</v>
      </c>
      <c r="AN248" s="2137">
        <f>Q248-'Blocking-Step2'!Q248</f>
        <v>0</v>
      </c>
      <c r="AP248" s="2127">
        <f>S248-'Blocking-Step2'!S248</f>
        <v>0</v>
      </c>
      <c r="AR248" s="2127">
        <f>U248-'Blocking-Step2'!U248</f>
        <v>0</v>
      </c>
      <c r="AT248" s="2127">
        <f>W248-'Blocking-Step2'!W248</f>
        <v>0</v>
      </c>
      <c r="AV248" s="2128">
        <f>Y248-'Blocking-Step2'!Y248</f>
        <v>0</v>
      </c>
    </row>
    <row r="249" spans="1:48">
      <c r="A249" s="1116" t="s">
        <v>161</v>
      </c>
      <c r="C249" s="1105">
        <v>739426.57540359464</v>
      </c>
      <c r="D249" s="1105">
        <v>717244</v>
      </c>
      <c r="F249" s="1907">
        <v>10.91</v>
      </c>
      <c r="G249" s="1110"/>
      <c r="H249" s="1146">
        <v>8067144</v>
      </c>
      <c r="I249" s="1146">
        <v>7825132</v>
      </c>
      <c r="K249" s="1907"/>
      <c r="L249" s="1110"/>
      <c r="M249" s="1907"/>
      <c r="N249" s="1110"/>
      <c r="O249" s="1907"/>
      <c r="P249" s="1110"/>
      <c r="Q249" s="1907"/>
      <c r="R249" s="1110"/>
      <c r="S249" s="1146"/>
      <c r="T249" s="1629"/>
      <c r="U249" s="1146"/>
      <c r="V249" s="1629"/>
      <c r="W249" s="1146"/>
      <c r="X249" s="1629"/>
      <c r="Y249" s="1146"/>
      <c r="Z249" s="2114">
        <f>C249-'Blocking-Step2'!C249</f>
        <v>0</v>
      </c>
      <c r="AA249" s="2114">
        <f>D249-'Blocking-Step2'!D249</f>
        <v>0</v>
      </c>
      <c r="AC249" s="2114">
        <f>F249-'Blocking-Step2'!F249</f>
        <v>0</v>
      </c>
      <c r="AE249" s="2114">
        <f>H249-'Blocking-Step2'!H249</f>
        <v>0</v>
      </c>
      <c r="AF249" s="2114">
        <f>I249-'Blocking-Step2'!I249</f>
        <v>0</v>
      </c>
      <c r="AH249" s="2136">
        <f>K249-'Blocking-Step2'!K249</f>
        <v>0</v>
      </c>
      <c r="AJ249" s="2136">
        <f>M249-'Blocking-Step2'!M249</f>
        <v>0</v>
      </c>
      <c r="AL249" s="2136">
        <f>O249-'Blocking-Step2'!O249</f>
        <v>0</v>
      </c>
      <c r="AN249" s="2137">
        <f>Q249-'Blocking-Step2'!Q249</f>
        <v>0</v>
      </c>
      <c r="AP249" s="2127">
        <f>S249-'Blocking-Step2'!S249</f>
        <v>0</v>
      </c>
      <c r="AR249" s="2127">
        <f>U249-'Blocking-Step2'!U249</f>
        <v>0</v>
      </c>
      <c r="AT249" s="2127">
        <f>W249-'Blocking-Step2'!W249</f>
        <v>0</v>
      </c>
      <c r="AV249" s="2128">
        <f>Y249-'Blocking-Step2'!Y249</f>
        <v>0</v>
      </c>
    </row>
    <row r="250" spans="1:48">
      <c r="A250" s="1116" t="s">
        <v>261</v>
      </c>
      <c r="C250" s="1105">
        <v>57416.182291666664</v>
      </c>
      <c r="D250" s="1105">
        <v>56872.363899238364</v>
      </c>
      <c r="F250" s="1907">
        <v>-0.96</v>
      </c>
      <c r="G250" s="1110"/>
      <c r="H250" s="1146">
        <v>-55120</v>
      </c>
      <c r="I250" s="1146">
        <v>-54597</v>
      </c>
      <c r="K250" s="1907">
        <v>-0.96</v>
      </c>
      <c r="L250" s="1110"/>
      <c r="M250" s="1907">
        <v>0</v>
      </c>
      <c r="N250" s="1110"/>
      <c r="O250" s="1907">
        <v>0</v>
      </c>
      <c r="P250" s="1110"/>
      <c r="Q250" s="1907">
        <v>-0.96</v>
      </c>
      <c r="R250" s="1110"/>
      <c r="S250" s="1146">
        <v>-54597</v>
      </c>
      <c r="T250" s="1629"/>
      <c r="U250" s="1146">
        <v>0</v>
      </c>
      <c r="V250" s="1629"/>
      <c r="W250" s="1146">
        <v>0</v>
      </c>
      <c r="X250" s="1629"/>
      <c r="Y250" s="1146">
        <v>-54597</v>
      </c>
      <c r="Z250" s="2114">
        <f>C250-'Blocking-Step2'!C250</f>
        <v>0</v>
      </c>
      <c r="AA250" s="2114">
        <f>D250-'Blocking-Step2'!D250</f>
        <v>0</v>
      </c>
      <c r="AC250" s="2114">
        <f>F250-'Blocking-Step2'!F250</f>
        <v>0</v>
      </c>
      <c r="AE250" s="2114">
        <f>H250-'Blocking-Step2'!H250</f>
        <v>0</v>
      </c>
      <c r="AF250" s="2114">
        <f>I250-'Blocking-Step2'!I250</f>
        <v>0</v>
      </c>
      <c r="AH250" s="2136">
        <f>K250-'Blocking-Step2'!K250</f>
        <v>0</v>
      </c>
      <c r="AJ250" s="2136">
        <f>M250-'Blocking-Step2'!M250</f>
        <v>0</v>
      </c>
      <c r="AL250" s="2136">
        <f>O250-'Blocking-Step2'!O250</f>
        <v>0</v>
      </c>
      <c r="AN250" s="2137">
        <f>Q250-'Blocking-Step2'!Q250</f>
        <v>0</v>
      </c>
      <c r="AP250" s="2127">
        <f>S250-'Blocking-Step2'!S250</f>
        <v>0</v>
      </c>
      <c r="AR250" s="2127">
        <f>U250-'Blocking-Step2'!U250</f>
        <v>0</v>
      </c>
      <c r="AT250" s="2127">
        <f>W250-'Blocking-Step2'!W250</f>
        <v>0</v>
      </c>
      <c r="AV250" s="2128">
        <f>Y250-'Blocking-Step2'!Y250</f>
        <v>0</v>
      </c>
    </row>
    <row r="251" spans="1:48">
      <c r="A251" s="1116" t="s">
        <v>1362</v>
      </c>
      <c r="C251" s="1105">
        <v>93573337.543722346</v>
      </c>
      <c r="D251" s="1105">
        <v>90236925</v>
      </c>
      <c r="F251" s="1106">
        <v>3.8127</v>
      </c>
      <c r="G251" s="1921" t="s">
        <v>495</v>
      </c>
      <c r="H251" s="1146">
        <v>3567671</v>
      </c>
      <c r="I251" s="1146">
        <v>3440463</v>
      </c>
      <c r="K251" s="1106"/>
      <c r="L251" s="1921"/>
      <c r="M251" s="1106"/>
      <c r="N251" s="1921"/>
      <c r="O251" s="1106"/>
      <c r="P251" s="1921"/>
      <c r="Q251" s="1106"/>
      <c r="R251" s="1921"/>
      <c r="S251" s="1146"/>
      <c r="T251" s="1648"/>
      <c r="U251" s="1146"/>
      <c r="V251" s="1648"/>
      <c r="W251" s="1146"/>
      <c r="X251" s="1648"/>
      <c r="Y251" s="1146"/>
      <c r="Z251" s="2114">
        <f>C251-'Blocking-Step2'!C251</f>
        <v>0</v>
      </c>
      <c r="AA251" s="2114">
        <f>D251-'Blocking-Step2'!D251</f>
        <v>0</v>
      </c>
      <c r="AC251" s="2114">
        <f>F251-'Blocking-Step2'!F251</f>
        <v>0</v>
      </c>
      <c r="AE251" s="2114">
        <f>H251-'Blocking-Step2'!H251</f>
        <v>0</v>
      </c>
      <c r="AF251" s="2114">
        <f>I251-'Blocking-Step2'!I251</f>
        <v>0</v>
      </c>
      <c r="AH251" s="2136">
        <f>K251-'Blocking-Step2'!K251</f>
        <v>0</v>
      </c>
      <c r="AJ251" s="2136">
        <f>M251-'Blocking-Step2'!M251</f>
        <v>0</v>
      </c>
      <c r="AL251" s="2136">
        <f>O251-'Blocking-Step2'!O251</f>
        <v>0</v>
      </c>
      <c r="AN251" s="2137">
        <f>Q251-'Blocking-Step2'!Q251</f>
        <v>0</v>
      </c>
      <c r="AP251" s="2127">
        <f>S251-'Blocking-Step2'!S251</f>
        <v>0</v>
      </c>
      <c r="AR251" s="2127">
        <f>U251-'Blocking-Step2'!U251</f>
        <v>0</v>
      </c>
      <c r="AT251" s="2127">
        <f>W251-'Blocking-Step2'!W251</f>
        <v>0</v>
      </c>
      <c r="AV251" s="2128">
        <f>Y251-'Blocking-Step2'!Y251</f>
        <v>0</v>
      </c>
    </row>
    <row r="252" spans="1:48">
      <c r="A252" s="1116" t="s">
        <v>1363</v>
      </c>
      <c r="C252" s="1105">
        <v>121890347.95627764</v>
      </c>
      <c r="D252" s="1105">
        <v>118107334.72672343</v>
      </c>
      <c r="F252" s="1106">
        <v>3.5143</v>
      </c>
      <c r="G252" s="1921" t="s">
        <v>495</v>
      </c>
      <c r="H252" s="1146">
        <v>4283592</v>
      </c>
      <c r="I252" s="1146">
        <v>4150646</v>
      </c>
      <c r="K252" s="1106"/>
      <c r="L252" s="1921"/>
      <c r="M252" s="1106"/>
      <c r="N252" s="1921"/>
      <c r="O252" s="1106"/>
      <c r="P252" s="1921"/>
      <c r="Q252" s="1106"/>
      <c r="R252" s="1921"/>
      <c r="S252" s="1146"/>
      <c r="T252" s="1648"/>
      <c r="U252" s="1146"/>
      <c r="V252" s="1648"/>
      <c r="W252" s="1146"/>
      <c r="X252" s="1648"/>
      <c r="Y252" s="1146"/>
      <c r="Z252" s="2114">
        <f>C252-'Blocking-Step2'!C252</f>
        <v>0</v>
      </c>
      <c r="AA252" s="2114">
        <f>D252-'Blocking-Step2'!D252</f>
        <v>0</v>
      </c>
      <c r="AC252" s="2114">
        <f>F252-'Blocking-Step2'!F252</f>
        <v>0</v>
      </c>
      <c r="AE252" s="2114">
        <f>H252-'Blocking-Step2'!H252</f>
        <v>0</v>
      </c>
      <c r="AF252" s="2114">
        <f>I252-'Blocking-Step2'!I252</f>
        <v>0</v>
      </c>
      <c r="AH252" s="2136">
        <f>K252-'Blocking-Step2'!K252</f>
        <v>0</v>
      </c>
      <c r="AJ252" s="2136">
        <f>M252-'Blocking-Step2'!M252</f>
        <v>0</v>
      </c>
      <c r="AL252" s="2136">
        <f>O252-'Blocking-Step2'!O252</f>
        <v>0</v>
      </c>
      <c r="AN252" s="2137">
        <f>Q252-'Blocking-Step2'!Q252</f>
        <v>0</v>
      </c>
      <c r="AP252" s="2127">
        <f>S252-'Blocking-Step2'!S252</f>
        <v>0</v>
      </c>
      <c r="AR252" s="2127">
        <f>U252-'Blocking-Step2'!U252</f>
        <v>0</v>
      </c>
      <c r="AT252" s="2127">
        <f>W252-'Blocking-Step2'!W252</f>
        <v>0</v>
      </c>
      <c r="AV252" s="2128">
        <f>Y252-'Blocking-Step2'!Y252</f>
        <v>0</v>
      </c>
    </row>
    <row r="253" spans="1:48">
      <c r="A253" s="1116" t="s">
        <v>1158</v>
      </c>
      <c r="C253" s="1105">
        <v>799646.5</v>
      </c>
      <c r="D253" s="1105">
        <v>758838</v>
      </c>
      <c r="F253" s="1106">
        <v>7.125</v>
      </c>
      <c r="G253" s="1921" t="s">
        <v>495</v>
      </c>
      <c r="H253" s="1146">
        <v>56975</v>
      </c>
      <c r="I253" s="1146">
        <v>54067</v>
      </c>
      <c r="K253" s="1106">
        <v>0</v>
      </c>
      <c r="L253" s="1921" t="s">
        <v>495</v>
      </c>
      <c r="M253" s="1106">
        <v>7.125</v>
      </c>
      <c r="N253" s="1921" t="s">
        <v>495</v>
      </c>
      <c r="O253" s="1106">
        <v>0</v>
      </c>
      <c r="P253" s="1921" t="s">
        <v>495</v>
      </c>
      <c r="Q253" s="1106">
        <v>7.125</v>
      </c>
      <c r="R253" s="1921" t="s">
        <v>495</v>
      </c>
      <c r="S253" s="1146">
        <v>0</v>
      </c>
      <c r="T253" s="1648"/>
      <c r="U253" s="1146">
        <v>54067</v>
      </c>
      <c r="V253" s="1648"/>
      <c r="W253" s="1146">
        <v>0</v>
      </c>
      <c r="X253" s="1648"/>
      <c r="Y253" s="1146">
        <v>54067</v>
      </c>
      <c r="Z253" s="2114">
        <f>C253-'Blocking-Step2'!C253</f>
        <v>0</v>
      </c>
      <c r="AA253" s="2114">
        <f>D253-'Blocking-Step2'!D253</f>
        <v>0</v>
      </c>
      <c r="AC253" s="2114">
        <f>F253-'Blocking-Step2'!F253</f>
        <v>0</v>
      </c>
      <c r="AE253" s="2114">
        <f>H253-'Blocking-Step2'!H253</f>
        <v>0</v>
      </c>
      <c r="AF253" s="2114">
        <f>I253-'Blocking-Step2'!I253</f>
        <v>0</v>
      </c>
      <c r="AH253" s="2136">
        <f>K253-'Blocking-Step2'!K253</f>
        <v>0</v>
      </c>
      <c r="AJ253" s="2136">
        <f>M253-'Blocking-Step2'!M253</f>
        <v>0</v>
      </c>
      <c r="AL253" s="2136">
        <f>O253-'Blocking-Step2'!O253</f>
        <v>0</v>
      </c>
      <c r="AN253" s="2137">
        <f>Q253-'Blocking-Step2'!Q253</f>
        <v>0</v>
      </c>
      <c r="AP253" s="2127">
        <f>S253-'Blocking-Step2'!S253</f>
        <v>0</v>
      </c>
      <c r="AR253" s="2127">
        <f>U253-'Blocking-Step2'!U253</f>
        <v>0</v>
      </c>
      <c r="AT253" s="2127">
        <f>W253-'Blocking-Step2'!W253</f>
        <v>0</v>
      </c>
      <c r="AV253" s="2128">
        <f>Y253-'Blocking-Step2'!Y253</f>
        <v>0</v>
      </c>
    </row>
    <row r="254" spans="1:48">
      <c r="A254" s="1116" t="s">
        <v>246</v>
      </c>
      <c r="C254" s="1940">
        <v>0</v>
      </c>
      <c r="D254" s="1940">
        <v>0</v>
      </c>
      <c r="H254" s="1147">
        <v>0</v>
      </c>
      <c r="I254" s="1147">
        <v>0</v>
      </c>
      <c r="S254" s="1147"/>
      <c r="U254" s="1147"/>
      <c r="W254" s="1147"/>
      <c r="Y254" s="1147"/>
      <c r="Z254" s="2114">
        <f>C254-'Blocking-Step2'!C254</f>
        <v>0</v>
      </c>
      <c r="AA254" s="2114">
        <f>D254-'Blocking-Step2'!D254</f>
        <v>0</v>
      </c>
      <c r="AC254" s="2114">
        <f>F254-'Blocking-Step2'!F254</f>
        <v>0</v>
      </c>
      <c r="AE254" s="2114">
        <f>H254-'Blocking-Step2'!H254</f>
        <v>0</v>
      </c>
      <c r="AF254" s="2114">
        <f>I254-'Blocking-Step2'!I254</f>
        <v>0</v>
      </c>
      <c r="AH254" s="2136">
        <f>K254-'Blocking-Step2'!K254</f>
        <v>0</v>
      </c>
      <c r="AJ254" s="2136">
        <f>M254-'Blocking-Step2'!M254</f>
        <v>0</v>
      </c>
      <c r="AL254" s="2136">
        <f>O254-'Blocking-Step2'!O254</f>
        <v>0</v>
      </c>
      <c r="AN254" s="2137">
        <f>Q254-'Blocking-Step2'!Q254</f>
        <v>0</v>
      </c>
      <c r="AP254" s="2127">
        <f>S254-'Blocking-Step2'!S254</f>
        <v>0</v>
      </c>
      <c r="AR254" s="2127">
        <f>U254-'Blocking-Step2'!U254</f>
        <v>0</v>
      </c>
      <c r="AT254" s="2127">
        <f>W254-'Blocking-Step2'!W254</f>
        <v>0</v>
      </c>
      <c r="AV254" s="2128">
        <f>Y254-'Blocking-Step2'!Y254</f>
        <v>0</v>
      </c>
    </row>
    <row r="255" spans="1:48">
      <c r="A255" s="1116" t="s">
        <v>1240</v>
      </c>
      <c r="C255" s="1024"/>
      <c r="D255" s="1024"/>
      <c r="F255" s="2076">
        <v>-3.61E-2</v>
      </c>
      <c r="G255" s="617"/>
      <c r="H255" s="1146">
        <v>-885357.37349999999</v>
      </c>
      <c r="I255" s="1146">
        <v>-856099.65919999999</v>
      </c>
      <c r="K255" s="2076"/>
      <c r="L255" s="617"/>
      <c r="M255" s="2076"/>
      <c r="N255" s="617"/>
      <c r="O255" s="2077" t="s">
        <v>2323</v>
      </c>
      <c r="P255" s="617"/>
      <c r="Q255" s="2076">
        <v>-2.76E-2</v>
      </c>
      <c r="R255" s="617"/>
      <c r="S255" s="1146"/>
      <c r="T255" s="1114"/>
      <c r="U255" s="1146"/>
      <c r="V255" s="1114"/>
      <c r="W255" s="1146"/>
      <c r="X255" s="1114"/>
      <c r="Y255" s="1146">
        <v>-649857.12479999999</v>
      </c>
      <c r="Z255" s="2114">
        <f>C255-'Blocking-Step2'!C255</f>
        <v>0</v>
      </c>
      <c r="AA255" s="2114">
        <f>D255-'Blocking-Step2'!D255</f>
        <v>0</v>
      </c>
      <c r="AC255" s="2114">
        <f>F255-'Blocking-Step2'!F255</f>
        <v>0</v>
      </c>
      <c r="AE255" s="2114">
        <f>H255-'Blocking-Step2'!H255</f>
        <v>0</v>
      </c>
      <c r="AF255" s="2114">
        <f>I255-'Blocking-Step2'!I255</f>
        <v>0</v>
      </c>
      <c r="AH255" s="2136">
        <f>K255-'Blocking-Step2'!K255</f>
        <v>0</v>
      </c>
      <c r="AJ255" s="2136">
        <f>M255-'Blocking-Step2'!M255</f>
        <v>0</v>
      </c>
      <c r="AL255" s="2136" t="e">
        <f>O255-'Blocking-Step2'!O255</f>
        <v>#VALUE!</v>
      </c>
      <c r="AN255" s="2137">
        <f>Q255-'Blocking-Step2'!Q255</f>
        <v>0</v>
      </c>
      <c r="AP255" s="2127">
        <f>S255-'Blocking-Step2'!S255</f>
        <v>0</v>
      </c>
      <c r="AR255" s="2127">
        <f>U255-'Blocking-Step2'!U255</f>
        <v>0</v>
      </c>
      <c r="AT255" s="2127">
        <f>W255-'Blocking-Step2'!W255</f>
        <v>0</v>
      </c>
      <c r="AV255" s="2128">
        <f>Y255-'Blocking-Step2'!Y255</f>
        <v>0</v>
      </c>
    </row>
    <row r="256" spans="1:48">
      <c r="A256" s="1116"/>
      <c r="C256" s="1024"/>
      <c r="D256" s="1024"/>
      <c r="F256" s="2076"/>
      <c r="G256" s="617"/>
      <c r="H256" s="1146"/>
      <c r="I256" s="1146"/>
      <c r="K256" s="2076"/>
      <c r="L256" s="617"/>
      <c r="M256" s="2076"/>
      <c r="N256" s="617"/>
      <c r="O256" s="2077" t="s">
        <v>2324</v>
      </c>
      <c r="P256" s="617"/>
      <c r="Q256" s="2076">
        <v>-1.4999999999999999E-2</v>
      </c>
      <c r="R256" s="617"/>
      <c r="S256" s="1146"/>
      <c r="T256" s="1114"/>
      <c r="U256" s="1146"/>
      <c r="V256" s="1114"/>
      <c r="W256" s="1146"/>
      <c r="X256" s="1114"/>
      <c r="Y256" s="1146">
        <v>-353183.22</v>
      </c>
      <c r="Z256" s="2114">
        <f>C256-'Blocking-Step2'!C256</f>
        <v>0</v>
      </c>
      <c r="AA256" s="2114">
        <f>D256-'Blocking-Step2'!D256</f>
        <v>0</v>
      </c>
      <c r="AC256" s="2114">
        <f>F256-'Blocking-Step2'!F256</f>
        <v>0</v>
      </c>
      <c r="AE256" s="2114">
        <f>H256-'Blocking-Step2'!H256</f>
        <v>0</v>
      </c>
      <c r="AF256" s="2114">
        <f>I256-'Blocking-Step2'!I256</f>
        <v>0</v>
      </c>
      <c r="AH256" s="2136">
        <f>K256-'Blocking-Step2'!K256</f>
        <v>0</v>
      </c>
      <c r="AJ256" s="2136">
        <f>M256-'Blocking-Step2'!M256</f>
        <v>0</v>
      </c>
      <c r="AL256" s="2136" t="e">
        <f>O256-'Blocking-Step2'!O256</f>
        <v>#VALUE!</v>
      </c>
      <c r="AN256" s="2137">
        <f>Q256-'Blocking-Step2'!Q256</f>
        <v>0</v>
      </c>
      <c r="AP256" s="2127">
        <f>S256-'Blocking-Step2'!S256</f>
        <v>0</v>
      </c>
      <c r="AR256" s="2127">
        <f>U256-'Blocking-Step2'!U256</f>
        <v>0</v>
      </c>
      <c r="AT256" s="2127">
        <f>W256-'Blocking-Step2'!W256</f>
        <v>0</v>
      </c>
      <c r="AV256" s="2128">
        <f>Y256-'Blocking-Step2'!Y256</f>
        <v>0</v>
      </c>
    </row>
    <row r="257" spans="1:48" ht="16.5" thickBot="1">
      <c r="A257" s="1116" t="s">
        <v>1317</v>
      </c>
      <c r="C257" s="1105">
        <v>0</v>
      </c>
      <c r="D257" s="1105">
        <v>0</v>
      </c>
      <c r="F257" s="2076"/>
      <c r="G257" s="617"/>
      <c r="H257" s="1146"/>
      <c r="I257" s="1146"/>
      <c r="K257" s="2076"/>
      <c r="L257" s="617"/>
      <c r="M257" s="2076"/>
      <c r="N257" s="617"/>
      <c r="O257" s="1145"/>
      <c r="Q257" s="1145"/>
      <c r="S257" s="1149"/>
      <c r="U257" s="1149"/>
      <c r="W257" s="1149"/>
      <c r="Y257" s="1149"/>
      <c r="Z257" s="2114">
        <f>C257-'Blocking-Step2'!C257</f>
        <v>0</v>
      </c>
      <c r="AA257" s="2114">
        <f>D257-'Blocking-Step2'!D257</f>
        <v>0</v>
      </c>
      <c r="AC257" s="2114">
        <f>F257-'Blocking-Step2'!F257</f>
        <v>0</v>
      </c>
      <c r="AE257" s="2114">
        <f>H257-'Blocking-Step2'!H257</f>
        <v>0</v>
      </c>
      <c r="AF257" s="2114">
        <f>I257-'Blocking-Step2'!I257</f>
        <v>0</v>
      </c>
      <c r="AH257" s="2136">
        <f>K257-'Blocking-Step2'!K257</f>
        <v>0</v>
      </c>
      <c r="AJ257" s="2136">
        <f>M257-'Blocking-Step2'!M257</f>
        <v>0</v>
      </c>
      <c r="AL257" s="2136">
        <f>O257-'Blocking-Step2'!O257</f>
        <v>0</v>
      </c>
      <c r="AN257" s="2137">
        <f>Q257-'Blocking-Step2'!Q257</f>
        <v>0</v>
      </c>
      <c r="AP257" s="2127">
        <f>S257-'Blocking-Step2'!S257</f>
        <v>0</v>
      </c>
      <c r="AR257" s="2127">
        <f>U257-'Blocking-Step2'!U257</f>
        <v>0</v>
      </c>
      <c r="AT257" s="2127">
        <f>W257-'Blocking-Step2'!W257</f>
        <v>0</v>
      </c>
      <c r="AV257" s="2128">
        <f>Y257-'Blocking-Step2'!Y257</f>
        <v>0</v>
      </c>
    </row>
    <row r="258" spans="1:48" ht="17.25" thickTop="1" thickBot="1">
      <c r="A258" s="1116" t="s">
        <v>247</v>
      </c>
      <c r="C258" s="1138">
        <v>216263332</v>
      </c>
      <c r="D258" s="1138">
        <v>209103097.72672343</v>
      </c>
      <c r="F258" s="1145"/>
      <c r="H258" s="1149">
        <v>29813104.626499999</v>
      </c>
      <c r="I258" s="1149">
        <v>28853805.340799998</v>
      </c>
      <c r="K258" s="1145"/>
      <c r="M258" s="1145"/>
      <c r="O258" s="1145"/>
      <c r="Q258" s="1145"/>
      <c r="S258" s="1149">
        <v>6587004</v>
      </c>
      <c r="U258" s="1149">
        <v>18490064</v>
      </c>
      <c r="W258" s="1149">
        <v>4450903</v>
      </c>
      <c r="Y258" s="1149">
        <v>29527970</v>
      </c>
      <c r="Z258" s="2114">
        <f>C258-'Blocking-Step2'!C258</f>
        <v>0</v>
      </c>
      <c r="AA258" s="2114">
        <f>D258-'Blocking-Step2'!D258</f>
        <v>0</v>
      </c>
      <c r="AC258" s="2114">
        <f>F258-'Blocking-Step2'!F258</f>
        <v>0</v>
      </c>
      <c r="AE258" s="2114">
        <f>H258-'Blocking-Step2'!H258</f>
        <v>0</v>
      </c>
      <c r="AF258" s="2114">
        <f>I258-'Blocking-Step2'!I258</f>
        <v>0</v>
      </c>
      <c r="AH258" s="2136">
        <f>K258-'Blocking-Step2'!K258</f>
        <v>0</v>
      </c>
      <c r="AJ258" s="2136">
        <f>M258-'Blocking-Step2'!M258</f>
        <v>0</v>
      </c>
      <c r="AL258" s="2136">
        <f>O258-'Blocking-Step2'!O258</f>
        <v>0</v>
      </c>
      <c r="AN258" s="2137">
        <f>Q258-'Blocking-Step2'!Q258</f>
        <v>0</v>
      </c>
      <c r="AP258" s="2127">
        <f>S258-'Blocking-Step2'!S258</f>
        <v>-6924120</v>
      </c>
      <c r="AR258" s="2127">
        <f>U258-'Blocking-Step2'!U258</f>
        <v>6924120</v>
      </c>
      <c r="AT258" s="2127">
        <f>W258-'Blocking-Step2'!W258</f>
        <v>0</v>
      </c>
      <c r="AV258" s="2128">
        <f>Y258-'Blocking-Step2'!Y258</f>
        <v>0</v>
      </c>
    </row>
    <row r="259" spans="1:48" ht="16.5" hidden="1" thickTop="1">
      <c r="C259" s="1105"/>
      <c r="D259" s="1105"/>
      <c r="Z259" s="2114">
        <f>C259-'Blocking-Step2'!C259</f>
        <v>0</v>
      </c>
      <c r="AA259" s="2114">
        <f>D259-'Blocking-Step2'!D259</f>
        <v>0</v>
      </c>
      <c r="AC259" s="2114">
        <f>F259-'Blocking-Step2'!F259</f>
        <v>0</v>
      </c>
      <c r="AE259" s="2114">
        <f>H259-'Blocking-Step2'!H259</f>
        <v>0</v>
      </c>
      <c r="AF259" s="2114">
        <f>I259-'Blocking-Step2'!I259</f>
        <v>0</v>
      </c>
      <c r="AH259" s="2136">
        <f>K259-'Blocking-Step2'!K259</f>
        <v>0</v>
      </c>
      <c r="AJ259" s="2136">
        <f>M259-'Blocking-Step2'!M259</f>
        <v>0</v>
      </c>
      <c r="AL259" s="2136">
        <f>O259-'Blocking-Step2'!O259</f>
        <v>0</v>
      </c>
      <c r="AN259" s="2137">
        <f>Q259-'Blocking-Step2'!Q259</f>
        <v>0</v>
      </c>
      <c r="AP259" s="2127">
        <f>S259-'Blocking-Step2'!S259</f>
        <v>0</v>
      </c>
      <c r="AR259" s="2127">
        <f>U259-'Blocking-Step2'!U259</f>
        <v>0</v>
      </c>
      <c r="AT259" s="2127">
        <f>W259-'Blocking-Step2'!W259</f>
        <v>0</v>
      </c>
      <c r="AV259" s="2128">
        <f>Y259-'Blocking-Step2'!Y259</f>
        <v>0</v>
      </c>
    </row>
    <row r="260" spans="1:48" ht="16.5" hidden="1" thickTop="1">
      <c r="A260" s="1115" t="s">
        <v>1915</v>
      </c>
      <c r="C260" s="1105"/>
      <c r="D260" s="1105"/>
      <c r="Z260" s="2114">
        <f>C260-'Blocking-Step2'!C260</f>
        <v>0</v>
      </c>
      <c r="AA260" s="2114">
        <f>D260-'Blocking-Step2'!D260</f>
        <v>0</v>
      </c>
      <c r="AC260" s="2114">
        <f>F260-'Blocking-Step2'!F260</f>
        <v>0</v>
      </c>
      <c r="AE260" s="2114">
        <f>H260-'Blocking-Step2'!H260</f>
        <v>0</v>
      </c>
      <c r="AF260" s="2114">
        <f>I260-'Blocking-Step2'!I260</f>
        <v>0</v>
      </c>
      <c r="AH260" s="2136">
        <f>K260-'Blocking-Step2'!K260</f>
        <v>0</v>
      </c>
      <c r="AJ260" s="2136">
        <f>M260-'Blocking-Step2'!M260</f>
        <v>0</v>
      </c>
      <c r="AL260" s="2136">
        <f>O260-'Blocking-Step2'!O260</f>
        <v>0</v>
      </c>
      <c r="AN260" s="2137">
        <f>Q260-'Blocking-Step2'!Q260</f>
        <v>0</v>
      </c>
      <c r="AP260" s="2127">
        <f>S260-'Blocking-Step2'!S260</f>
        <v>0</v>
      </c>
      <c r="AR260" s="2127">
        <f>U260-'Blocking-Step2'!U260</f>
        <v>0</v>
      </c>
      <c r="AT260" s="2127">
        <f>W260-'Blocking-Step2'!W260</f>
        <v>0</v>
      </c>
      <c r="AV260" s="2128">
        <f>Y260-'Blocking-Step2'!Y260</f>
        <v>0</v>
      </c>
    </row>
    <row r="261" spans="1:48" ht="16.5" hidden="1" thickTop="1">
      <c r="A261" s="1116" t="s">
        <v>240</v>
      </c>
      <c r="C261" s="1105">
        <v>118.29999999999998</v>
      </c>
      <c r="D261" s="1105">
        <v>124.80319282544595</v>
      </c>
      <c r="F261" s="1907"/>
      <c r="G261" s="1110"/>
      <c r="H261" s="1146"/>
      <c r="I261" s="1146"/>
      <c r="K261" s="1907">
        <v>54</v>
      </c>
      <c r="L261" s="1110"/>
      <c r="M261" s="1907">
        <v>0</v>
      </c>
      <c r="N261" s="1110"/>
      <c r="O261" s="1907">
        <v>0</v>
      </c>
      <c r="P261" s="1110"/>
      <c r="Q261" s="1907">
        <v>54</v>
      </c>
      <c r="R261" s="1110"/>
      <c r="S261" s="1146">
        <v>6739</v>
      </c>
      <c r="T261" s="1629"/>
      <c r="U261" s="1146">
        <v>0</v>
      </c>
      <c r="V261" s="1629"/>
      <c r="W261" s="1146">
        <v>0</v>
      </c>
      <c r="X261" s="1629"/>
      <c r="Y261" s="1146">
        <v>6739</v>
      </c>
      <c r="Z261" s="2114">
        <f>C261-'Blocking-Step2'!C261</f>
        <v>0</v>
      </c>
      <c r="AA261" s="2114">
        <f>D261-'Blocking-Step2'!D261</f>
        <v>0</v>
      </c>
      <c r="AC261" s="2114">
        <f>F261-'Blocking-Step2'!F261</f>
        <v>0</v>
      </c>
      <c r="AE261" s="2114">
        <f>H261-'Blocking-Step2'!H261</f>
        <v>0</v>
      </c>
      <c r="AF261" s="2114">
        <f>I261-'Blocking-Step2'!I261</f>
        <v>0</v>
      </c>
      <c r="AH261" s="2136">
        <f>K261-'Blocking-Step2'!K261</f>
        <v>0</v>
      </c>
      <c r="AJ261" s="2136">
        <f>M261-'Blocking-Step2'!M261</f>
        <v>0</v>
      </c>
      <c r="AL261" s="2136">
        <f>O261-'Blocking-Step2'!O261</f>
        <v>0</v>
      </c>
      <c r="AN261" s="2137">
        <f>Q261-'Blocking-Step2'!Q261</f>
        <v>0</v>
      </c>
      <c r="AP261" s="2127">
        <f>S261-'Blocking-Step2'!S261</f>
        <v>0</v>
      </c>
      <c r="AR261" s="2127">
        <f>U261-'Blocking-Step2'!U261</f>
        <v>0</v>
      </c>
      <c r="AT261" s="2127">
        <f>W261-'Blocking-Step2'!W261</f>
        <v>0</v>
      </c>
      <c r="AV261" s="2128">
        <f>Y261-'Blocking-Step2'!Y261</f>
        <v>0</v>
      </c>
    </row>
    <row r="262" spans="1:48" ht="16.5" hidden="1" thickTop="1">
      <c r="A262" s="1116" t="s">
        <v>1910</v>
      </c>
      <c r="C262" s="1105">
        <v>70433.487623762368</v>
      </c>
      <c r="D262" s="1105">
        <v>84591.692737472054</v>
      </c>
      <c r="E262" s="617"/>
      <c r="F262" s="1143"/>
      <c r="G262" s="1921"/>
      <c r="H262" s="1146"/>
      <c r="I262" s="1146"/>
      <c r="J262" s="617"/>
      <c r="K262" s="1143">
        <v>1.657</v>
      </c>
      <c r="L262" s="1921" t="s">
        <v>495</v>
      </c>
      <c r="M262" s="1143">
        <v>19.370528114911814</v>
      </c>
      <c r="N262" s="1921" t="s">
        <v>495</v>
      </c>
      <c r="O262" s="1143">
        <v>1.3496999999999999</v>
      </c>
      <c r="P262" s="1921" t="s">
        <v>495</v>
      </c>
      <c r="Q262" s="1143">
        <v>22.377228114911812</v>
      </c>
      <c r="R262" s="1921" t="s">
        <v>495</v>
      </c>
      <c r="S262" s="1146">
        <v>1402</v>
      </c>
      <c r="T262" s="1648"/>
      <c r="U262" s="1146">
        <v>16386</v>
      </c>
      <c r="V262" s="1648"/>
      <c r="W262" s="1146">
        <v>1142</v>
      </c>
      <c r="X262" s="1648"/>
      <c r="Y262" s="1146">
        <v>18929</v>
      </c>
      <c r="Z262" s="2114">
        <f>C262-'Blocking-Step2'!C262</f>
        <v>0</v>
      </c>
      <c r="AA262" s="2114">
        <f>D262-'Blocking-Step2'!D262</f>
        <v>0</v>
      </c>
      <c r="AC262" s="2114">
        <f>F262-'Blocking-Step2'!F262</f>
        <v>0</v>
      </c>
      <c r="AE262" s="2114">
        <f>H262-'Blocking-Step2'!H262</f>
        <v>0</v>
      </c>
      <c r="AF262" s="2114">
        <f>I262-'Blocking-Step2'!I262</f>
        <v>0</v>
      </c>
      <c r="AH262" s="2136">
        <f>K262-'Blocking-Step2'!K262</f>
        <v>-2.2955000000000001</v>
      </c>
      <c r="AJ262" s="2136">
        <f>M262-'Blocking-Step2'!M262</f>
        <v>2.2955000000000005</v>
      </c>
      <c r="AL262" s="2136">
        <f>O262-'Blocking-Step2'!O262</f>
        <v>0</v>
      </c>
      <c r="AN262" s="2137">
        <f>Q262-'Blocking-Step2'!Q262</f>
        <v>0</v>
      </c>
      <c r="AP262" s="2127">
        <f>S262-'Blocking-Step2'!S262</f>
        <v>-1941</v>
      </c>
      <c r="AR262" s="2127">
        <f>U262-'Blocking-Step2'!U262</f>
        <v>1942</v>
      </c>
      <c r="AT262" s="2127">
        <f>W262-'Blocking-Step2'!W262</f>
        <v>0</v>
      </c>
      <c r="AV262" s="2128">
        <f>Y262-'Blocking-Step2'!Y262</f>
        <v>0</v>
      </c>
    </row>
    <row r="263" spans="1:48" ht="16.5" hidden="1" thickTop="1">
      <c r="A263" s="1116" t="s">
        <v>1911</v>
      </c>
      <c r="C263" s="1105">
        <v>165608.5123762376</v>
      </c>
      <c r="D263" s="1105">
        <v>198898.34887168405</v>
      </c>
      <c r="E263" s="617"/>
      <c r="F263" s="1143"/>
      <c r="G263" s="1921"/>
      <c r="H263" s="1146"/>
      <c r="I263" s="1146"/>
      <c r="J263" s="617"/>
      <c r="K263" s="1143">
        <v>1.657</v>
      </c>
      <c r="L263" s="1921" t="s">
        <v>495</v>
      </c>
      <c r="M263" s="1143">
        <v>1.3803172825590004</v>
      </c>
      <c r="N263" s="1921" t="s">
        <v>495</v>
      </c>
      <c r="O263" s="1143">
        <v>1.3496999999999999</v>
      </c>
      <c r="P263" s="1921" t="s">
        <v>495</v>
      </c>
      <c r="Q263" s="1143">
        <v>4.3870172825590004</v>
      </c>
      <c r="R263" s="1921" t="s">
        <v>495</v>
      </c>
      <c r="S263" s="1146">
        <v>3296</v>
      </c>
      <c r="T263" s="1648"/>
      <c r="U263" s="1146">
        <v>2745</v>
      </c>
      <c r="V263" s="1648"/>
      <c r="W263" s="1146">
        <v>2685</v>
      </c>
      <c r="X263" s="1648"/>
      <c r="Y263" s="1146">
        <v>8726</v>
      </c>
      <c r="Z263" s="2114">
        <f>C263-'Blocking-Step2'!C263</f>
        <v>0</v>
      </c>
      <c r="AA263" s="2114">
        <f>D263-'Blocking-Step2'!D263</f>
        <v>0</v>
      </c>
      <c r="AC263" s="2114">
        <f>F263-'Blocking-Step2'!F263</f>
        <v>0</v>
      </c>
      <c r="AE263" s="2114">
        <f>H263-'Blocking-Step2'!H263</f>
        <v>0</v>
      </c>
      <c r="AF263" s="2114">
        <f>I263-'Blocking-Step2'!I263</f>
        <v>0</v>
      </c>
      <c r="AH263" s="2136">
        <f>K263-'Blocking-Step2'!K263</f>
        <v>-2.2955000000000001</v>
      </c>
      <c r="AJ263" s="2136">
        <f>M263-'Blocking-Step2'!M263</f>
        <v>2.2955000000000001</v>
      </c>
      <c r="AL263" s="2136">
        <f>O263-'Blocking-Step2'!O263</f>
        <v>0</v>
      </c>
      <c r="AN263" s="2137">
        <f>Q263-'Blocking-Step2'!Q263</f>
        <v>0</v>
      </c>
      <c r="AP263" s="2127">
        <f>S263-'Blocking-Step2'!S263</f>
        <v>-4565</v>
      </c>
      <c r="AR263" s="2127">
        <f>U263-'Blocking-Step2'!U263</f>
        <v>4565</v>
      </c>
      <c r="AT263" s="2127">
        <f>W263-'Blocking-Step2'!W263</f>
        <v>0</v>
      </c>
      <c r="AV263" s="2128">
        <f>Y263-'Blocking-Step2'!Y263</f>
        <v>0</v>
      </c>
    </row>
    <row r="264" spans="1:48" ht="16.5" hidden="1" thickTop="1">
      <c r="A264" s="1116" t="s">
        <v>1912</v>
      </c>
      <c r="C264" s="1105">
        <v>120935.20792079209</v>
      </c>
      <c r="D264" s="1105">
        <v>145245.02895873319</v>
      </c>
      <c r="E264" s="617"/>
      <c r="F264" s="1143"/>
      <c r="G264" s="1921"/>
      <c r="H264" s="1146"/>
      <c r="I264" s="1146"/>
      <c r="J264" s="617"/>
      <c r="K264" s="1143">
        <v>1.657</v>
      </c>
      <c r="L264" s="1921" t="s">
        <v>495</v>
      </c>
      <c r="M264" s="1143">
        <v>16.951500000000003</v>
      </c>
      <c r="N264" s="1921" t="s">
        <v>495</v>
      </c>
      <c r="O264" s="1143">
        <v>1.1943999999999999</v>
      </c>
      <c r="P264" s="1921" t="s">
        <v>495</v>
      </c>
      <c r="Q264" s="1143">
        <v>19.802900000000001</v>
      </c>
      <c r="R264" s="1921" t="s">
        <v>495</v>
      </c>
      <c r="S264" s="1146">
        <v>2407</v>
      </c>
      <c r="T264" s="1648"/>
      <c r="U264" s="1146">
        <v>24621</v>
      </c>
      <c r="V264" s="1648"/>
      <c r="W264" s="1146">
        <v>1735</v>
      </c>
      <c r="X264" s="1648"/>
      <c r="Y264" s="1146">
        <v>28763</v>
      </c>
      <c r="Z264" s="2114">
        <f>C264-'Blocking-Step2'!C264</f>
        <v>0</v>
      </c>
      <c r="AA264" s="2114">
        <f>D264-'Blocking-Step2'!D264</f>
        <v>0</v>
      </c>
      <c r="AC264" s="2114">
        <f>F264-'Blocking-Step2'!F264</f>
        <v>0</v>
      </c>
      <c r="AE264" s="2114">
        <f>H264-'Blocking-Step2'!H264</f>
        <v>0</v>
      </c>
      <c r="AF264" s="2114">
        <f>I264-'Blocking-Step2'!I264</f>
        <v>0</v>
      </c>
      <c r="AH264" s="2136">
        <f>K264-'Blocking-Step2'!K264</f>
        <v>-2.2955000000000001</v>
      </c>
      <c r="AJ264" s="2136">
        <f>M264-'Blocking-Step2'!M264</f>
        <v>2.2955000000000023</v>
      </c>
      <c r="AL264" s="2136">
        <f>O264-'Blocking-Step2'!O264</f>
        <v>0</v>
      </c>
      <c r="AN264" s="2137">
        <f>Q264-'Blocking-Step2'!Q264</f>
        <v>0</v>
      </c>
      <c r="AP264" s="2127">
        <f>S264-'Blocking-Step2'!S264</f>
        <v>-3334</v>
      </c>
      <c r="AR264" s="2127">
        <f>U264-'Blocking-Step2'!U264</f>
        <v>3334</v>
      </c>
      <c r="AT264" s="2127">
        <f>W264-'Blocking-Step2'!W264</f>
        <v>0</v>
      </c>
      <c r="AV264" s="2128">
        <f>Y264-'Blocking-Step2'!Y264</f>
        <v>0</v>
      </c>
    </row>
    <row r="265" spans="1:48" ht="16.5" hidden="1" thickTop="1">
      <c r="A265" s="1116" t="s">
        <v>1913</v>
      </c>
      <c r="C265" s="1105">
        <v>224349.79207920792</v>
      </c>
      <c r="D265" s="1105">
        <v>269447.52159166668</v>
      </c>
      <c r="E265" s="617"/>
      <c r="F265" s="1143"/>
      <c r="G265" s="1921"/>
      <c r="H265" s="1146"/>
      <c r="I265" s="1146"/>
      <c r="J265" s="617"/>
      <c r="K265" s="1143">
        <v>1.657</v>
      </c>
      <c r="L265" s="1921" t="s">
        <v>495</v>
      </c>
      <c r="M265" s="1143">
        <v>1.0308999999999999</v>
      </c>
      <c r="N265" s="1921" t="s">
        <v>495</v>
      </c>
      <c r="O265" s="1143">
        <v>1.1943999999999999</v>
      </c>
      <c r="P265" s="1921" t="s">
        <v>495</v>
      </c>
      <c r="Q265" s="1143">
        <v>3.8822999999999999</v>
      </c>
      <c r="R265" s="1921" t="s">
        <v>495</v>
      </c>
      <c r="S265" s="1146">
        <v>4465</v>
      </c>
      <c r="T265" s="1648"/>
      <c r="U265" s="1146">
        <v>2778</v>
      </c>
      <c r="V265" s="1648"/>
      <c r="W265" s="1146">
        <v>3218</v>
      </c>
      <c r="X265" s="1648"/>
      <c r="Y265" s="1146">
        <v>10461</v>
      </c>
      <c r="Z265" s="2114">
        <f>C265-'Blocking-Step2'!C265</f>
        <v>0</v>
      </c>
      <c r="AA265" s="2114">
        <f>D265-'Blocking-Step2'!D265</f>
        <v>0</v>
      </c>
      <c r="AC265" s="2114">
        <f>F265-'Blocking-Step2'!F265</f>
        <v>0</v>
      </c>
      <c r="AE265" s="2114">
        <f>H265-'Blocking-Step2'!H265</f>
        <v>0</v>
      </c>
      <c r="AF265" s="2114">
        <f>I265-'Blocking-Step2'!I265</f>
        <v>0</v>
      </c>
      <c r="AH265" s="2136">
        <f>K265-'Blocking-Step2'!K265</f>
        <v>-2.2955000000000001</v>
      </c>
      <c r="AJ265" s="2136">
        <f>M265-'Blocking-Step2'!M265</f>
        <v>2.2955000000000001</v>
      </c>
      <c r="AL265" s="2136">
        <f>O265-'Blocking-Step2'!O265</f>
        <v>0</v>
      </c>
      <c r="AN265" s="2137">
        <f>Q265-'Blocking-Step2'!Q265</f>
        <v>0</v>
      </c>
      <c r="AP265" s="2127">
        <f>S265-'Blocking-Step2'!S265</f>
        <v>-6185</v>
      </c>
      <c r="AR265" s="2127">
        <f>U265-'Blocking-Step2'!U265</f>
        <v>6185</v>
      </c>
      <c r="AT265" s="2127">
        <f>W265-'Blocking-Step2'!W265</f>
        <v>0</v>
      </c>
      <c r="AV265" s="2128">
        <f>Y265-'Blocking-Step2'!Y265</f>
        <v>0</v>
      </c>
    </row>
    <row r="266" spans="1:48" ht="16.5" hidden="1" thickTop="1">
      <c r="A266" s="1116" t="s">
        <v>1906</v>
      </c>
      <c r="C266" s="1105">
        <v>131086.04361391169</v>
      </c>
      <c r="D266" s="1105">
        <v>157436.33742506622</v>
      </c>
      <c r="E266" s="617"/>
      <c r="F266" s="1143"/>
      <c r="G266" s="1921"/>
      <c r="H266" s="1146"/>
      <c r="I266" s="1146"/>
      <c r="J266" s="617"/>
      <c r="K266" s="1143">
        <v>0</v>
      </c>
      <c r="L266" s="1921" t="s">
        <v>495</v>
      </c>
      <c r="M266" s="1143">
        <v>0</v>
      </c>
      <c r="N266" s="1921" t="s">
        <v>495</v>
      </c>
      <c r="O266" s="1143">
        <v>6</v>
      </c>
      <c r="P266" s="1921" t="s">
        <v>495</v>
      </c>
      <c r="Q266" s="1143">
        <v>6</v>
      </c>
      <c r="R266" s="1921" t="s">
        <v>495</v>
      </c>
      <c r="S266" s="1146">
        <v>0</v>
      </c>
      <c r="T266" s="1648"/>
      <c r="U266" s="1146">
        <v>0</v>
      </c>
      <c r="V266" s="1648"/>
      <c r="W266" s="1146">
        <v>9446</v>
      </c>
      <c r="X266" s="1648"/>
      <c r="Y266" s="1146">
        <v>9446</v>
      </c>
      <c r="Z266" s="2114">
        <f>C266-'Blocking-Step2'!C266</f>
        <v>0</v>
      </c>
      <c r="AA266" s="2114">
        <f>D266-'Blocking-Step2'!D266</f>
        <v>0</v>
      </c>
      <c r="AC266" s="2114">
        <f>F266-'Blocking-Step2'!F266</f>
        <v>0</v>
      </c>
      <c r="AE266" s="2114">
        <f>H266-'Blocking-Step2'!H266</f>
        <v>0</v>
      </c>
      <c r="AF266" s="2114">
        <f>I266-'Blocking-Step2'!I266</f>
        <v>0</v>
      </c>
      <c r="AH266" s="2136">
        <f>K266-'Blocking-Step2'!K266</f>
        <v>0</v>
      </c>
      <c r="AJ266" s="2136">
        <f>M266-'Blocking-Step2'!M266</f>
        <v>0</v>
      </c>
      <c r="AL266" s="2136">
        <f>O266-'Blocking-Step2'!O266</f>
        <v>0</v>
      </c>
      <c r="AN266" s="2137">
        <f>Q266-'Blocking-Step2'!Q266</f>
        <v>0</v>
      </c>
      <c r="AP266" s="2127">
        <f>S266-'Blocking-Step2'!S266</f>
        <v>0</v>
      </c>
      <c r="AR266" s="2127">
        <f>U266-'Blocking-Step2'!U266</f>
        <v>0</v>
      </c>
      <c r="AT266" s="2127">
        <f>W266-'Blocking-Step2'!W266</f>
        <v>0</v>
      </c>
      <c r="AV266" s="2128">
        <f>Y266-'Blocking-Step2'!Y266</f>
        <v>0</v>
      </c>
    </row>
    <row r="267" spans="1:48" ht="16.5" hidden="1" thickTop="1">
      <c r="A267" s="1116" t="s">
        <v>1907</v>
      </c>
      <c r="C267" s="1105">
        <v>104955.95638608832</v>
      </c>
      <c r="D267" s="1105">
        <v>126053.70418408993</v>
      </c>
      <c r="E267" s="617"/>
      <c r="F267" s="1143"/>
      <c r="G267" s="1921"/>
      <c r="H267" s="1146"/>
      <c r="I267" s="1146"/>
      <c r="J267" s="617"/>
      <c r="K267" s="1143">
        <v>0</v>
      </c>
      <c r="L267" s="1921" t="s">
        <v>495</v>
      </c>
      <c r="M267" s="1143">
        <v>0</v>
      </c>
      <c r="N267" s="1921" t="s">
        <v>495</v>
      </c>
      <c r="O267" s="1143">
        <v>-2.3358000000000008</v>
      </c>
      <c r="P267" s="1921" t="s">
        <v>495</v>
      </c>
      <c r="Q267" s="1143">
        <v>-2.3358000000000008</v>
      </c>
      <c r="R267" s="1921" t="s">
        <v>495</v>
      </c>
      <c r="S267" s="1146">
        <v>0</v>
      </c>
      <c r="T267" s="1648"/>
      <c r="U267" s="1146">
        <v>0</v>
      </c>
      <c r="V267" s="1648"/>
      <c r="W267" s="1146">
        <v>-2944</v>
      </c>
      <c r="X267" s="1648"/>
      <c r="Y267" s="1146">
        <v>-2944</v>
      </c>
      <c r="Z267" s="2114">
        <f>C267-'Blocking-Step2'!C267</f>
        <v>0</v>
      </c>
      <c r="AA267" s="2114">
        <f>D267-'Blocking-Step2'!D267</f>
        <v>0</v>
      </c>
      <c r="AC267" s="2114">
        <f>F267-'Blocking-Step2'!F267</f>
        <v>0</v>
      </c>
      <c r="AE267" s="2114">
        <f>H267-'Blocking-Step2'!H267</f>
        <v>0</v>
      </c>
      <c r="AF267" s="2114">
        <f>I267-'Blocking-Step2'!I267</f>
        <v>0</v>
      </c>
      <c r="AH267" s="2136">
        <f>K267-'Blocking-Step2'!K267</f>
        <v>0</v>
      </c>
      <c r="AJ267" s="2136">
        <f>M267-'Blocking-Step2'!M267</f>
        <v>0</v>
      </c>
      <c r="AL267" s="2136">
        <f>O267-'Blocking-Step2'!O267</f>
        <v>0</v>
      </c>
      <c r="AN267" s="2137">
        <f>Q267-'Blocking-Step2'!Q267</f>
        <v>0</v>
      </c>
      <c r="AP267" s="2127">
        <f>S267-'Blocking-Step2'!S267</f>
        <v>0</v>
      </c>
      <c r="AR267" s="2127">
        <f>U267-'Blocking-Step2'!U267</f>
        <v>0</v>
      </c>
      <c r="AT267" s="2127">
        <f>W267-'Blocking-Step2'!W267</f>
        <v>0</v>
      </c>
      <c r="AV267" s="2128">
        <f>Y267-'Blocking-Step2'!Y267</f>
        <v>0</v>
      </c>
    </row>
    <row r="268" spans="1:48" ht="16.5" hidden="1" thickTop="1">
      <c r="A268" s="1116" t="s">
        <v>1908</v>
      </c>
      <c r="C268" s="1105">
        <v>191754.1986986617</v>
      </c>
      <c r="D268" s="1105">
        <v>230299.71686315996</v>
      </c>
      <c r="E268" s="617"/>
      <c r="F268" s="1143"/>
      <c r="G268" s="1921"/>
      <c r="H268" s="1146"/>
      <c r="I268" s="1146"/>
      <c r="J268" s="617"/>
      <c r="K268" s="1143">
        <v>0</v>
      </c>
      <c r="L268" s="1921" t="s">
        <v>495</v>
      </c>
      <c r="M268" s="1143">
        <v>0</v>
      </c>
      <c r="N268" s="1921" t="s">
        <v>495</v>
      </c>
      <c r="O268" s="1143">
        <v>5.3097000000000003</v>
      </c>
      <c r="P268" s="1921" t="s">
        <v>495</v>
      </c>
      <c r="Q268" s="1143">
        <v>5.3097000000000003</v>
      </c>
      <c r="R268" s="1921" t="s">
        <v>495</v>
      </c>
      <c r="S268" s="1146">
        <v>0</v>
      </c>
      <c r="T268" s="1648"/>
      <c r="U268" s="1146">
        <v>0</v>
      </c>
      <c r="V268" s="1648"/>
      <c r="W268" s="1146">
        <v>12228</v>
      </c>
      <c r="X268" s="1648"/>
      <c r="Y268" s="1146">
        <v>12228</v>
      </c>
      <c r="Z268" s="2114">
        <f>C268-'Blocking-Step2'!C268</f>
        <v>0</v>
      </c>
      <c r="AA268" s="2114">
        <f>D268-'Blocking-Step2'!D268</f>
        <v>0</v>
      </c>
      <c r="AC268" s="2114">
        <f>F268-'Blocking-Step2'!F268</f>
        <v>0</v>
      </c>
      <c r="AE268" s="2114">
        <f>H268-'Blocking-Step2'!H268</f>
        <v>0</v>
      </c>
      <c r="AF268" s="2114">
        <f>I268-'Blocking-Step2'!I268</f>
        <v>0</v>
      </c>
      <c r="AH268" s="2136">
        <f>K268-'Blocking-Step2'!K268</f>
        <v>0</v>
      </c>
      <c r="AJ268" s="2136">
        <f>M268-'Blocking-Step2'!M268</f>
        <v>0</v>
      </c>
      <c r="AL268" s="2136">
        <f>O268-'Blocking-Step2'!O268</f>
        <v>0</v>
      </c>
      <c r="AN268" s="2137">
        <f>Q268-'Blocking-Step2'!Q268</f>
        <v>0</v>
      </c>
      <c r="AP268" s="2127">
        <f>S268-'Blocking-Step2'!S268</f>
        <v>0</v>
      </c>
      <c r="AR268" s="2127">
        <f>U268-'Blocking-Step2'!U268</f>
        <v>0</v>
      </c>
      <c r="AT268" s="2127">
        <f>W268-'Blocking-Step2'!W268</f>
        <v>0</v>
      </c>
      <c r="AV268" s="2128">
        <f>Y268-'Blocking-Step2'!Y268</f>
        <v>0</v>
      </c>
    </row>
    <row r="269" spans="1:48" ht="16.5" hidden="1" thickTop="1">
      <c r="A269" s="1116" t="s">
        <v>1909</v>
      </c>
      <c r="C269" s="1105">
        <v>153530.8013013383</v>
      </c>
      <c r="D269" s="1105">
        <v>184392.83368723991</v>
      </c>
      <c r="E269" s="617"/>
      <c r="F269" s="1143"/>
      <c r="G269" s="1921"/>
      <c r="H269" s="1146"/>
      <c r="I269" s="1146"/>
      <c r="J269" s="617"/>
      <c r="K269" s="1143">
        <v>0</v>
      </c>
      <c r="L269" s="1921" t="s">
        <v>495</v>
      </c>
      <c r="M269" s="1143">
        <v>0</v>
      </c>
      <c r="N269" s="1921" t="s">
        <v>495</v>
      </c>
      <c r="O269" s="1143">
        <v>-2.0670999999999999</v>
      </c>
      <c r="P269" s="1921" t="s">
        <v>495</v>
      </c>
      <c r="Q269" s="1143">
        <v>-2.0670999999999999</v>
      </c>
      <c r="R269" s="1921" t="s">
        <v>495</v>
      </c>
      <c r="S269" s="1146">
        <v>0</v>
      </c>
      <c r="T269" s="1648"/>
      <c r="U269" s="1146">
        <v>0</v>
      </c>
      <c r="V269" s="1648"/>
      <c r="W269" s="1146">
        <v>-3812</v>
      </c>
      <c r="X269" s="1648"/>
      <c r="Y269" s="1146">
        <v>-3812</v>
      </c>
      <c r="Z269" s="2114">
        <f>C269-'Blocking-Step2'!C269</f>
        <v>0</v>
      </c>
      <c r="AA269" s="2114">
        <f>D269-'Blocking-Step2'!D269</f>
        <v>0</v>
      </c>
      <c r="AC269" s="2114">
        <f>F269-'Blocking-Step2'!F269</f>
        <v>0</v>
      </c>
      <c r="AE269" s="2114">
        <f>H269-'Blocking-Step2'!H269</f>
        <v>0</v>
      </c>
      <c r="AF269" s="2114">
        <f>I269-'Blocking-Step2'!I269</f>
        <v>0</v>
      </c>
      <c r="AH269" s="2136">
        <f>K269-'Blocking-Step2'!K269</f>
        <v>0</v>
      </c>
      <c r="AJ269" s="2136">
        <f>M269-'Blocking-Step2'!M269</f>
        <v>0</v>
      </c>
      <c r="AL269" s="2136">
        <f>O269-'Blocking-Step2'!O269</f>
        <v>0</v>
      </c>
      <c r="AN269" s="2137">
        <f>Q269-'Blocking-Step2'!Q269</f>
        <v>0</v>
      </c>
      <c r="AP269" s="2127">
        <f>S269-'Blocking-Step2'!S269</f>
        <v>0</v>
      </c>
      <c r="AR269" s="2127">
        <f>U269-'Blocking-Step2'!U269</f>
        <v>0</v>
      </c>
      <c r="AT269" s="2127">
        <f>W269-'Blocking-Step2'!W269</f>
        <v>0</v>
      </c>
      <c r="AV269" s="2128">
        <f>Y269-'Blocking-Step2'!Y269</f>
        <v>0</v>
      </c>
    </row>
    <row r="270" spans="1:48" ht="16.5" hidden="1" thickTop="1">
      <c r="A270" s="1116" t="s">
        <v>261</v>
      </c>
      <c r="C270" s="1105">
        <v>0</v>
      </c>
      <c r="D270" s="1105">
        <v>0</v>
      </c>
      <c r="F270" s="1907"/>
      <c r="G270" s="1110"/>
      <c r="H270" s="1146"/>
      <c r="I270" s="1146"/>
      <c r="K270" s="1907">
        <v>-0.61</v>
      </c>
      <c r="L270" s="1110"/>
      <c r="M270" s="1907">
        <v>0</v>
      </c>
      <c r="N270" s="1110"/>
      <c r="O270" s="1907">
        <v>0</v>
      </c>
      <c r="P270" s="1110"/>
      <c r="Q270" s="1907">
        <v>-0.61</v>
      </c>
      <c r="R270" s="1110"/>
      <c r="S270" s="1146">
        <v>0</v>
      </c>
      <c r="T270" s="1629"/>
      <c r="U270" s="1146">
        <v>0</v>
      </c>
      <c r="V270" s="1629"/>
      <c r="W270" s="1146">
        <v>0</v>
      </c>
      <c r="X270" s="1629"/>
      <c r="Y270" s="1146">
        <v>0</v>
      </c>
      <c r="Z270" s="2114">
        <f>C270-'Blocking-Step2'!C270</f>
        <v>0</v>
      </c>
      <c r="AA270" s="2114">
        <f>D270-'Blocking-Step2'!D270</f>
        <v>0</v>
      </c>
      <c r="AC270" s="2114">
        <f>F270-'Blocking-Step2'!F270</f>
        <v>0</v>
      </c>
      <c r="AE270" s="2114">
        <f>H270-'Blocking-Step2'!H270</f>
        <v>0</v>
      </c>
      <c r="AF270" s="2114">
        <f>I270-'Blocking-Step2'!I270</f>
        <v>0</v>
      </c>
      <c r="AH270" s="2136">
        <f>K270-'Blocking-Step2'!K270</f>
        <v>0</v>
      </c>
      <c r="AJ270" s="2136">
        <f>M270-'Blocking-Step2'!M270</f>
        <v>0</v>
      </c>
      <c r="AL270" s="2136">
        <f>O270-'Blocking-Step2'!O270</f>
        <v>0</v>
      </c>
      <c r="AN270" s="2137">
        <f>Q270-'Blocking-Step2'!Q270</f>
        <v>0</v>
      </c>
      <c r="AP270" s="2127">
        <f>S270-'Blocking-Step2'!S270</f>
        <v>0</v>
      </c>
      <c r="AR270" s="2127">
        <f>U270-'Blocking-Step2'!U270</f>
        <v>0</v>
      </c>
      <c r="AT270" s="2127">
        <f>W270-'Blocking-Step2'!W270</f>
        <v>0</v>
      </c>
      <c r="AV270" s="2128">
        <f>Y270-'Blocking-Step2'!Y270</f>
        <v>0</v>
      </c>
    </row>
    <row r="271" spans="1:48" ht="16.5" hidden="1" thickTop="1">
      <c r="A271" s="1116" t="s">
        <v>1158</v>
      </c>
      <c r="C271" s="1105">
        <v>0</v>
      </c>
      <c r="D271" s="1105">
        <v>0</v>
      </c>
      <c r="F271" s="1106"/>
      <c r="G271" s="1921"/>
      <c r="H271" s="1146"/>
      <c r="I271" s="1146"/>
      <c r="K271" s="1106">
        <v>0</v>
      </c>
      <c r="L271" s="1921" t="s">
        <v>495</v>
      </c>
      <c r="M271" s="1106">
        <v>7.125</v>
      </c>
      <c r="N271" s="1921" t="s">
        <v>495</v>
      </c>
      <c r="O271" s="1106">
        <v>0</v>
      </c>
      <c r="P271" s="1921" t="s">
        <v>495</v>
      </c>
      <c r="Q271" s="1106">
        <v>7.125</v>
      </c>
      <c r="R271" s="1921" t="s">
        <v>495</v>
      </c>
      <c r="S271" s="1146">
        <v>0</v>
      </c>
      <c r="T271" s="1648"/>
      <c r="U271" s="1146">
        <v>0</v>
      </c>
      <c r="V271" s="1648"/>
      <c r="W271" s="1146">
        <v>0</v>
      </c>
      <c r="X271" s="1648"/>
      <c r="Y271" s="1146">
        <v>0</v>
      </c>
      <c r="Z271" s="2114">
        <f>C271-'Blocking-Step2'!C271</f>
        <v>0</v>
      </c>
      <c r="AA271" s="2114">
        <f>D271-'Blocking-Step2'!D271</f>
        <v>0</v>
      </c>
      <c r="AC271" s="2114">
        <f>F271-'Blocking-Step2'!F271</f>
        <v>0</v>
      </c>
      <c r="AE271" s="2114">
        <f>H271-'Blocking-Step2'!H271</f>
        <v>0</v>
      </c>
      <c r="AF271" s="2114">
        <f>I271-'Blocking-Step2'!I271</f>
        <v>0</v>
      </c>
      <c r="AH271" s="2136">
        <f>K271-'Blocking-Step2'!K271</f>
        <v>0</v>
      </c>
      <c r="AJ271" s="2136">
        <f>M271-'Blocking-Step2'!M271</f>
        <v>0</v>
      </c>
      <c r="AL271" s="2136">
        <f>O271-'Blocking-Step2'!O271</f>
        <v>0</v>
      </c>
      <c r="AN271" s="2137">
        <f>Q271-'Blocking-Step2'!Q271</f>
        <v>0</v>
      </c>
      <c r="AP271" s="2127">
        <f>S271-'Blocking-Step2'!S271</f>
        <v>0</v>
      </c>
      <c r="AR271" s="2127">
        <f>U271-'Blocking-Step2'!U271</f>
        <v>0</v>
      </c>
      <c r="AT271" s="2127">
        <f>W271-'Blocking-Step2'!W271</f>
        <v>0</v>
      </c>
      <c r="AV271" s="2128">
        <f>Y271-'Blocking-Step2'!Y271</f>
        <v>0</v>
      </c>
    </row>
    <row r="272" spans="1:48" ht="16.5" hidden="1" thickTop="1">
      <c r="A272" s="1116" t="s">
        <v>1240</v>
      </c>
      <c r="C272" s="1024"/>
      <c r="D272" s="1024"/>
      <c r="F272" s="2076"/>
      <c r="G272" s="617"/>
      <c r="H272" s="1146"/>
      <c r="I272" s="1146"/>
      <c r="K272" s="2076"/>
      <c r="L272" s="617"/>
      <c r="M272" s="2076"/>
      <c r="N272" s="617"/>
      <c r="O272" s="2077" t="s">
        <v>2323</v>
      </c>
      <c r="P272" s="617"/>
      <c r="Q272" s="2076">
        <v>-3.0599999999999999E-2</v>
      </c>
      <c r="R272" s="617"/>
      <c r="S272" s="1114"/>
      <c r="T272" s="1114"/>
      <c r="U272" s="1114"/>
      <c r="V272" s="1114"/>
      <c r="W272" s="1114"/>
      <c r="X272" s="1114"/>
      <c r="Y272" s="1146">
        <v>-2046.4974</v>
      </c>
      <c r="Z272" s="2114">
        <f>C272-'Blocking-Step2'!C272</f>
        <v>0</v>
      </c>
      <c r="AA272" s="2114">
        <f>D272-'Blocking-Step2'!D272</f>
        <v>0</v>
      </c>
      <c r="AC272" s="2114">
        <f>F272-'Blocking-Step2'!F272</f>
        <v>0</v>
      </c>
      <c r="AE272" s="2114">
        <f>H272-'Blocking-Step2'!H272</f>
        <v>0</v>
      </c>
      <c r="AF272" s="2114">
        <f>I272-'Blocking-Step2'!I272</f>
        <v>0</v>
      </c>
      <c r="AH272" s="2136">
        <f>K272-'Blocking-Step2'!K272</f>
        <v>0</v>
      </c>
      <c r="AJ272" s="2136">
        <f>M272-'Blocking-Step2'!M272</f>
        <v>0</v>
      </c>
      <c r="AL272" s="2136" t="e">
        <f>O272-'Blocking-Step2'!O272</f>
        <v>#VALUE!</v>
      </c>
      <c r="AN272" s="2137">
        <f>Q272-'Blocking-Step2'!Q272</f>
        <v>0</v>
      </c>
      <c r="AP272" s="2127">
        <f>S272-'Blocking-Step2'!S272</f>
        <v>0</v>
      </c>
      <c r="AR272" s="2127">
        <f>U272-'Blocking-Step2'!U272</f>
        <v>0</v>
      </c>
      <c r="AT272" s="2127">
        <f>W272-'Blocking-Step2'!W272</f>
        <v>0</v>
      </c>
      <c r="AV272" s="2128">
        <f>Y272-'Blocking-Step2'!Y272</f>
        <v>0</v>
      </c>
    </row>
    <row r="273" spans="1:48" ht="16.5" hidden="1" thickTop="1">
      <c r="A273" s="1116"/>
      <c r="C273" s="1024"/>
      <c r="D273" s="1024"/>
      <c r="F273" s="2076"/>
      <c r="G273" s="617"/>
      <c r="H273" s="1146"/>
      <c r="I273" s="1146"/>
      <c r="K273" s="2076"/>
      <c r="L273" s="617"/>
      <c r="M273" s="2076"/>
      <c r="N273" s="617"/>
      <c r="O273" s="2077" t="s">
        <v>2324</v>
      </c>
      <c r="P273" s="617"/>
      <c r="Q273" s="2076">
        <v>-1.66E-2</v>
      </c>
      <c r="R273" s="617"/>
      <c r="S273" s="1114"/>
      <c r="T273" s="1114"/>
      <c r="U273" s="1114"/>
      <c r="V273" s="1114"/>
      <c r="W273" s="1114"/>
      <c r="X273" s="1114"/>
      <c r="Y273" s="1146">
        <v>-1110.1913999999999</v>
      </c>
      <c r="Z273" s="2114">
        <f>C273-'Blocking-Step2'!C273</f>
        <v>0</v>
      </c>
      <c r="AA273" s="2114">
        <f>D273-'Blocking-Step2'!D273</f>
        <v>0</v>
      </c>
      <c r="AC273" s="2114">
        <f>F273-'Blocking-Step2'!F273</f>
        <v>0</v>
      </c>
      <c r="AE273" s="2114">
        <f>H273-'Blocking-Step2'!H273</f>
        <v>0</v>
      </c>
      <c r="AF273" s="2114">
        <f>I273-'Blocking-Step2'!I273</f>
        <v>0</v>
      </c>
      <c r="AH273" s="2136">
        <f>K273-'Blocking-Step2'!K273</f>
        <v>0</v>
      </c>
      <c r="AJ273" s="2136">
        <f>M273-'Blocking-Step2'!M273</f>
        <v>0</v>
      </c>
      <c r="AL273" s="2136" t="e">
        <f>O273-'Blocking-Step2'!O273</f>
        <v>#VALUE!</v>
      </c>
      <c r="AN273" s="2137">
        <f>Q273-'Blocking-Step2'!Q273</f>
        <v>0</v>
      </c>
      <c r="AP273" s="2127">
        <f>S273-'Blocking-Step2'!S273</f>
        <v>0</v>
      </c>
      <c r="AR273" s="2127">
        <f>U273-'Blocking-Step2'!U273</f>
        <v>0</v>
      </c>
      <c r="AT273" s="2127">
        <f>W273-'Blocking-Step2'!W273</f>
        <v>0</v>
      </c>
      <c r="AV273" s="2128">
        <f>Y273-'Blocking-Step2'!Y273</f>
        <v>0</v>
      </c>
    </row>
    <row r="274" spans="1:48" ht="16.5" hidden="1" thickTop="1">
      <c r="A274" s="1116" t="s">
        <v>1923</v>
      </c>
      <c r="C274" s="1105">
        <v>581327</v>
      </c>
      <c r="D274" s="1105">
        <v>698182.59215955599</v>
      </c>
      <c r="F274" s="1907"/>
      <c r="G274" s="1110"/>
      <c r="H274" s="1146"/>
      <c r="I274" s="1146"/>
      <c r="K274" s="1907"/>
      <c r="L274" s="1110"/>
      <c r="M274" s="1907"/>
      <c r="N274" s="1110"/>
      <c r="O274" s="1907"/>
      <c r="P274" s="1110"/>
      <c r="Q274" s="1907"/>
      <c r="R274" s="1110"/>
      <c r="S274" s="1146">
        <v>18309</v>
      </c>
      <c r="T274" s="1629"/>
      <c r="U274" s="1146">
        <v>46530</v>
      </c>
      <c r="V274" s="1629"/>
      <c r="W274" s="1146">
        <v>23698</v>
      </c>
      <c r="X274" s="1629"/>
      <c r="Y274" s="1146">
        <v>88536</v>
      </c>
      <c r="Z274" s="2114">
        <f>C274-'Blocking-Step2'!C274</f>
        <v>0</v>
      </c>
      <c r="AA274" s="2114">
        <f>D274-'Blocking-Step2'!D274</f>
        <v>0</v>
      </c>
      <c r="AC274" s="2114">
        <f>F274-'Blocking-Step2'!F274</f>
        <v>0</v>
      </c>
      <c r="AE274" s="2114">
        <f>H274-'Blocking-Step2'!H274</f>
        <v>0</v>
      </c>
      <c r="AF274" s="2114">
        <f>I274-'Blocking-Step2'!I274</f>
        <v>0</v>
      </c>
      <c r="AH274" s="2136">
        <f>K274-'Blocking-Step2'!K274</f>
        <v>0</v>
      </c>
      <c r="AJ274" s="2136">
        <f>M274-'Blocking-Step2'!M274</f>
        <v>0</v>
      </c>
      <c r="AL274" s="2136">
        <f>O274-'Blocking-Step2'!O274</f>
        <v>0</v>
      </c>
      <c r="AN274" s="2137">
        <f>Q274-'Blocking-Step2'!Q274</f>
        <v>0</v>
      </c>
      <c r="AP274" s="2127">
        <f>S274-'Blocking-Step2'!S274</f>
        <v>-16025</v>
      </c>
      <c r="AR274" s="2127">
        <f>U274-'Blocking-Step2'!U274</f>
        <v>16026</v>
      </c>
      <c r="AT274" s="2127">
        <f>W274-'Blocking-Step2'!W274</f>
        <v>0</v>
      </c>
      <c r="AV274" s="2128">
        <f>Y274-'Blocking-Step2'!Y274</f>
        <v>0</v>
      </c>
    </row>
    <row r="275" spans="1:48" ht="16.5" hidden="1" thickTop="1">
      <c r="A275" s="1116"/>
      <c r="C275" s="1105"/>
      <c r="D275" s="1105"/>
      <c r="F275" s="1907"/>
      <c r="G275" s="1110"/>
      <c r="H275" s="1146"/>
      <c r="I275" s="1146"/>
      <c r="K275" s="1907"/>
      <c r="L275" s="1110"/>
      <c r="M275" s="1907"/>
      <c r="N275" s="1110"/>
      <c r="O275" s="1907"/>
      <c r="P275" s="1110"/>
      <c r="Q275" s="1907"/>
      <c r="R275" s="1110"/>
      <c r="S275" s="1629"/>
      <c r="T275" s="1629"/>
      <c r="U275" s="1629"/>
      <c r="V275" s="1629"/>
      <c r="W275" s="1629"/>
      <c r="X275" s="1629"/>
      <c r="Y275" s="1146"/>
      <c r="Z275" s="2114">
        <f>C275-'Blocking-Step2'!C275</f>
        <v>0</v>
      </c>
      <c r="AA275" s="2114">
        <f>D275-'Blocking-Step2'!D275</f>
        <v>0</v>
      </c>
      <c r="AC275" s="2114">
        <f>F275-'Blocking-Step2'!F275</f>
        <v>0</v>
      </c>
      <c r="AE275" s="2114">
        <f>H275-'Blocking-Step2'!H275</f>
        <v>0</v>
      </c>
      <c r="AF275" s="2114">
        <f>I275-'Blocking-Step2'!I275</f>
        <v>0</v>
      </c>
      <c r="AH275" s="2136">
        <f>K275-'Blocking-Step2'!K275</f>
        <v>0</v>
      </c>
      <c r="AJ275" s="2136">
        <f>M275-'Blocking-Step2'!M275</f>
        <v>0</v>
      </c>
      <c r="AL275" s="2136">
        <f>O275-'Blocking-Step2'!O275</f>
        <v>0</v>
      </c>
      <c r="AN275" s="2137">
        <f>Q275-'Blocking-Step2'!Q275</f>
        <v>0</v>
      </c>
      <c r="AP275" s="2127">
        <f>S275-'Blocking-Step2'!S275</f>
        <v>0</v>
      </c>
      <c r="AR275" s="2127">
        <f>U275-'Blocking-Step2'!U275</f>
        <v>0</v>
      </c>
      <c r="AT275" s="2127">
        <f>W275-'Blocking-Step2'!W275</f>
        <v>0</v>
      </c>
      <c r="AV275" s="2128">
        <f>Y275-'Blocking-Step2'!Y275</f>
        <v>0</v>
      </c>
    </row>
    <row r="276" spans="1:48" ht="16.5" hidden="1" thickTop="1">
      <c r="A276" s="1116" t="s">
        <v>240</v>
      </c>
      <c r="C276" s="1105">
        <v>118.29999999999998</v>
      </c>
      <c r="D276" s="1105">
        <v>124.80319282544595</v>
      </c>
      <c r="F276" s="1142">
        <v>54</v>
      </c>
      <c r="G276" s="617"/>
      <c r="H276" s="1146">
        <v>6388</v>
      </c>
      <c r="I276" s="1146">
        <v>6739</v>
      </c>
      <c r="K276" s="1142">
        <v>54</v>
      </c>
      <c r="L276" s="617"/>
      <c r="M276" s="1142">
        <v>0</v>
      </c>
      <c r="N276" s="617"/>
      <c r="O276" s="1142">
        <v>0</v>
      </c>
      <c r="P276" s="617"/>
      <c r="Q276" s="1142">
        <v>54</v>
      </c>
      <c r="R276" s="617"/>
      <c r="S276" s="1146">
        <v>6739</v>
      </c>
      <c r="T276" s="1629"/>
      <c r="U276" s="1146">
        <v>0</v>
      </c>
      <c r="V276" s="1629"/>
      <c r="W276" s="1146">
        <v>0</v>
      </c>
      <c r="X276" s="1629"/>
      <c r="Y276" s="1146">
        <v>6739</v>
      </c>
      <c r="Z276" s="2114">
        <f>C276-'Blocking-Step2'!C276</f>
        <v>0</v>
      </c>
      <c r="AA276" s="2114">
        <f>D276-'Blocking-Step2'!D276</f>
        <v>0</v>
      </c>
      <c r="AC276" s="2114">
        <f>F276-'Blocking-Step2'!F276</f>
        <v>0</v>
      </c>
      <c r="AE276" s="2114">
        <f>H276-'Blocking-Step2'!H276</f>
        <v>0</v>
      </c>
      <c r="AF276" s="2114">
        <f>I276-'Blocking-Step2'!I276</f>
        <v>0</v>
      </c>
      <c r="AH276" s="2136">
        <f>K276-'Blocking-Step2'!K276</f>
        <v>0</v>
      </c>
      <c r="AJ276" s="2136">
        <f>M276-'Blocking-Step2'!M276</f>
        <v>0</v>
      </c>
      <c r="AL276" s="2136">
        <f>O276-'Blocking-Step2'!O276</f>
        <v>0</v>
      </c>
      <c r="AN276" s="2137">
        <f>Q276-'Blocking-Step2'!Q276</f>
        <v>0</v>
      </c>
      <c r="AP276" s="2127">
        <f>S276-'Blocking-Step2'!S276</f>
        <v>0</v>
      </c>
      <c r="AR276" s="2127">
        <f>U276-'Blocking-Step2'!U276</f>
        <v>0</v>
      </c>
      <c r="AT276" s="2127">
        <f>W276-'Blocking-Step2'!W276</f>
        <v>0</v>
      </c>
      <c r="AV276" s="2128">
        <f>Y276-'Blocking-Step2'!Y276</f>
        <v>0</v>
      </c>
    </row>
    <row r="277" spans="1:48" ht="16.5" hidden="1" thickTop="1">
      <c r="A277" s="1116" t="s">
        <v>262</v>
      </c>
      <c r="C277" s="1024">
        <v>0</v>
      </c>
      <c r="D277" s="1105">
        <v>0</v>
      </c>
      <c r="F277" s="1142">
        <v>648</v>
      </c>
      <c r="G277" s="617"/>
      <c r="H277" s="1146">
        <v>0</v>
      </c>
      <c r="I277" s="1146">
        <v>0</v>
      </c>
      <c r="K277" s="1142">
        <v>648</v>
      </c>
      <c r="L277" s="617"/>
      <c r="M277" s="1142">
        <v>0</v>
      </c>
      <c r="N277" s="617"/>
      <c r="O277" s="1142">
        <v>0</v>
      </c>
      <c r="P277" s="617"/>
      <c r="Q277" s="1142">
        <v>648</v>
      </c>
      <c r="R277" s="617"/>
      <c r="S277" s="1146">
        <v>0</v>
      </c>
      <c r="T277" s="1629"/>
      <c r="U277" s="1146">
        <v>0</v>
      </c>
      <c r="V277" s="1629"/>
      <c r="W277" s="1146">
        <v>0</v>
      </c>
      <c r="X277" s="1629"/>
      <c r="Y277" s="1146">
        <v>0</v>
      </c>
      <c r="Z277" s="2114">
        <f>C277-'Blocking-Step2'!C277</f>
        <v>0</v>
      </c>
      <c r="AA277" s="2114">
        <f>D277-'Blocking-Step2'!D277</f>
        <v>0</v>
      </c>
      <c r="AC277" s="2114">
        <f>F277-'Blocking-Step2'!F277</f>
        <v>0</v>
      </c>
      <c r="AE277" s="2114">
        <f>H277-'Blocking-Step2'!H277</f>
        <v>0</v>
      </c>
      <c r="AF277" s="2114">
        <f>I277-'Blocking-Step2'!I277</f>
        <v>0</v>
      </c>
      <c r="AH277" s="2136">
        <f>K277-'Blocking-Step2'!K277</f>
        <v>0</v>
      </c>
      <c r="AJ277" s="2136">
        <f>M277-'Blocking-Step2'!M277</f>
        <v>0</v>
      </c>
      <c r="AL277" s="2136">
        <f>O277-'Blocking-Step2'!O277</f>
        <v>0</v>
      </c>
      <c r="AN277" s="2137">
        <f>Q277-'Blocking-Step2'!Q277</f>
        <v>0</v>
      </c>
      <c r="AP277" s="2127">
        <f>S277-'Blocking-Step2'!S277</f>
        <v>0</v>
      </c>
      <c r="AR277" s="2127">
        <f>U277-'Blocking-Step2'!U277</f>
        <v>0</v>
      </c>
      <c r="AT277" s="2127">
        <f>W277-'Blocking-Step2'!W277</f>
        <v>0</v>
      </c>
      <c r="AV277" s="2128">
        <f>Y277-'Blocking-Step2'!Y277</f>
        <v>0</v>
      </c>
    </row>
    <row r="278" spans="1:48" ht="16.5" hidden="1" thickTop="1">
      <c r="A278" s="1116" t="s">
        <v>1298</v>
      </c>
      <c r="C278" s="1105">
        <v>0</v>
      </c>
      <c r="D278" s="1105">
        <v>0</v>
      </c>
      <c r="F278" s="1142">
        <v>54</v>
      </c>
      <c r="G278" s="617"/>
      <c r="H278" s="1146">
        <v>0</v>
      </c>
      <c r="I278" s="1146">
        <v>0</v>
      </c>
      <c r="K278" s="1142">
        <v>54</v>
      </c>
      <c r="L278" s="617"/>
      <c r="M278" s="1142">
        <v>0</v>
      </c>
      <c r="N278" s="617"/>
      <c r="O278" s="1142">
        <v>0</v>
      </c>
      <c r="P278" s="617"/>
      <c r="Q278" s="1142">
        <v>54</v>
      </c>
      <c r="R278" s="617"/>
      <c r="S278" s="1146">
        <v>0</v>
      </c>
      <c r="T278" s="1114"/>
      <c r="U278" s="1146">
        <v>0</v>
      </c>
      <c r="V278" s="1114"/>
      <c r="W278" s="1146">
        <v>0</v>
      </c>
      <c r="X278" s="1114"/>
      <c r="Y278" s="1146">
        <v>0</v>
      </c>
      <c r="Z278" s="2114">
        <f>C278-'Blocking-Step2'!C278</f>
        <v>0</v>
      </c>
      <c r="AA278" s="2114">
        <f>D278-'Blocking-Step2'!D278</f>
        <v>0</v>
      </c>
      <c r="AC278" s="2114">
        <f>F278-'Blocking-Step2'!F278</f>
        <v>0</v>
      </c>
      <c r="AE278" s="2114">
        <f>H278-'Blocking-Step2'!H278</f>
        <v>0</v>
      </c>
      <c r="AF278" s="2114">
        <f>I278-'Blocking-Step2'!I278</f>
        <v>0</v>
      </c>
      <c r="AH278" s="2136">
        <f>K278-'Blocking-Step2'!K278</f>
        <v>0</v>
      </c>
      <c r="AJ278" s="2136">
        <f>M278-'Blocking-Step2'!M278</f>
        <v>0</v>
      </c>
      <c r="AL278" s="2136">
        <f>O278-'Blocking-Step2'!O278</f>
        <v>0</v>
      </c>
      <c r="AN278" s="2137">
        <f>Q278-'Blocking-Step2'!Q278</f>
        <v>0</v>
      </c>
      <c r="AP278" s="2127">
        <f>S278-'Blocking-Step2'!S278</f>
        <v>0</v>
      </c>
      <c r="AR278" s="2127">
        <f>U278-'Blocking-Step2'!U278</f>
        <v>0</v>
      </c>
      <c r="AT278" s="2127">
        <f>W278-'Blocking-Step2'!W278</f>
        <v>0</v>
      </c>
      <c r="AV278" s="2128">
        <f>Y278-'Blocking-Step2'!Y278</f>
        <v>0</v>
      </c>
    </row>
    <row r="279" spans="1:48" ht="16.5" hidden="1" thickTop="1">
      <c r="A279" s="1116" t="s">
        <v>168</v>
      </c>
      <c r="C279" s="1105">
        <v>3964.2846534653472</v>
      </c>
      <c r="D279" s="1105">
        <v>4761</v>
      </c>
      <c r="F279" s="1142">
        <v>4.04</v>
      </c>
      <c r="G279" s="617"/>
      <c r="H279" s="1146">
        <v>16016</v>
      </c>
      <c r="I279" s="1146">
        <v>19234</v>
      </c>
      <c r="K279" s="1142">
        <v>4.03</v>
      </c>
      <c r="L279" s="617"/>
      <c r="M279" s="1142">
        <v>0</v>
      </c>
      <c r="N279" s="617"/>
      <c r="O279" s="1142">
        <v>0</v>
      </c>
      <c r="P279" s="617"/>
      <c r="Q279" s="1142">
        <v>4.03</v>
      </c>
      <c r="R279" s="617"/>
      <c r="S279" s="1146">
        <v>19187</v>
      </c>
      <c r="T279" s="1629"/>
      <c r="U279" s="1146">
        <v>0</v>
      </c>
      <c r="V279" s="1629"/>
      <c r="W279" s="1146">
        <v>0</v>
      </c>
      <c r="X279" s="1629"/>
      <c r="Y279" s="1146">
        <v>19187</v>
      </c>
      <c r="Z279" s="2114">
        <f>C279-'Blocking-Step2'!C279</f>
        <v>0</v>
      </c>
      <c r="AA279" s="2114">
        <f>D279-'Blocking-Step2'!D279</f>
        <v>0</v>
      </c>
      <c r="AC279" s="2114">
        <f>F279-'Blocking-Step2'!F279</f>
        <v>0</v>
      </c>
      <c r="AE279" s="2114">
        <f>H279-'Blocking-Step2'!H279</f>
        <v>0</v>
      </c>
      <c r="AF279" s="2114">
        <f>I279-'Blocking-Step2'!I279</f>
        <v>0</v>
      </c>
      <c r="AH279" s="2136">
        <f>K279-'Blocking-Step2'!K279</f>
        <v>0</v>
      </c>
      <c r="AJ279" s="2136">
        <f>M279-'Blocking-Step2'!M279</f>
        <v>0</v>
      </c>
      <c r="AL279" s="2136">
        <f>O279-'Blocking-Step2'!O279</f>
        <v>0</v>
      </c>
      <c r="AN279" s="2137">
        <f>Q279-'Blocking-Step2'!Q279</f>
        <v>0</v>
      </c>
      <c r="AP279" s="2127">
        <f>S279-'Blocking-Step2'!S279</f>
        <v>0</v>
      </c>
      <c r="AR279" s="2127">
        <f>U279-'Blocking-Step2'!U279</f>
        <v>0</v>
      </c>
      <c r="AT279" s="2127">
        <f>W279-'Blocking-Step2'!W279</f>
        <v>0</v>
      </c>
      <c r="AV279" s="2128">
        <f>Y279-'Blocking-Step2'!Y279</f>
        <v>0</v>
      </c>
    </row>
    <row r="280" spans="1:48" ht="16.5" hidden="1" thickTop="1">
      <c r="A280" s="1116" t="s">
        <v>1645</v>
      </c>
      <c r="C280" s="1105">
        <v>1503.5334158415844</v>
      </c>
      <c r="D280" s="1105">
        <v>1806</v>
      </c>
      <c r="F280" s="1142"/>
      <c r="G280" s="617"/>
      <c r="H280" s="1146"/>
      <c r="I280" s="1146"/>
      <c r="K280" s="1142">
        <v>0.51</v>
      </c>
      <c r="L280" s="617"/>
      <c r="M280" s="1142">
        <v>12.89</v>
      </c>
      <c r="N280" s="617"/>
      <c r="O280" s="1142">
        <v>0</v>
      </c>
      <c r="P280" s="617"/>
      <c r="Q280" s="1142">
        <v>13.4</v>
      </c>
      <c r="R280" s="617"/>
      <c r="S280" s="1146">
        <v>921</v>
      </c>
      <c r="T280" s="1114"/>
      <c r="U280" s="1146">
        <v>23279</v>
      </c>
      <c r="V280" s="1114"/>
      <c r="W280" s="1146">
        <v>0</v>
      </c>
      <c r="X280" s="1114"/>
      <c r="Y280" s="1146">
        <v>24200</v>
      </c>
      <c r="Z280" s="2114">
        <f>C280-'Blocking-Step2'!C280</f>
        <v>0</v>
      </c>
      <c r="AA280" s="2114">
        <f>D280-'Blocking-Step2'!D280</f>
        <v>0</v>
      </c>
      <c r="AC280" s="2114">
        <f>F280-'Blocking-Step2'!F280</f>
        <v>0</v>
      </c>
      <c r="AE280" s="2114">
        <f>H280-'Blocking-Step2'!H280</f>
        <v>0</v>
      </c>
      <c r="AF280" s="2114">
        <f>I280-'Blocking-Step2'!I280</f>
        <v>0</v>
      </c>
      <c r="AH280" s="2136">
        <f>K280-'Blocking-Step2'!K280</f>
        <v>-5.83</v>
      </c>
      <c r="AJ280" s="2136">
        <f>M280-'Blocking-Step2'!M280</f>
        <v>5.83</v>
      </c>
      <c r="AL280" s="2136">
        <f>O280-'Blocking-Step2'!O280</f>
        <v>0</v>
      </c>
      <c r="AN280" s="2137">
        <f>Q280-'Blocking-Step2'!Q280</f>
        <v>0</v>
      </c>
      <c r="AP280" s="2127">
        <f>S280-'Blocking-Step2'!S280</f>
        <v>-10529</v>
      </c>
      <c r="AR280" s="2127">
        <f>U280-'Blocking-Step2'!U280</f>
        <v>10529</v>
      </c>
      <c r="AT280" s="2127">
        <f>W280-'Blocking-Step2'!W280</f>
        <v>0</v>
      </c>
      <c r="AV280" s="2128">
        <f>Y280-'Blocking-Step2'!Y280</f>
        <v>0</v>
      </c>
    </row>
    <row r="281" spans="1:48" ht="16.5" hidden="1" thickTop="1">
      <c r="A281" s="1116" t="s">
        <v>1646</v>
      </c>
      <c r="C281" s="1105">
        <v>2460.7512376237623</v>
      </c>
      <c r="D281" s="1105">
        <v>2955</v>
      </c>
      <c r="F281" s="1142"/>
      <c r="G281" s="617"/>
      <c r="H281" s="1146"/>
      <c r="I281" s="1146"/>
      <c r="K281" s="1142">
        <v>0.45</v>
      </c>
      <c r="L281" s="617"/>
      <c r="M281" s="1142">
        <v>11.41</v>
      </c>
      <c r="N281" s="617"/>
      <c r="O281" s="1142">
        <v>0</v>
      </c>
      <c r="P281" s="617"/>
      <c r="Q281" s="1142">
        <v>11.86</v>
      </c>
      <c r="R281" s="617"/>
      <c r="S281" s="1146">
        <v>1330</v>
      </c>
      <c r="T281" s="1114"/>
      <c r="U281" s="1146">
        <v>33717</v>
      </c>
      <c r="V281" s="1114"/>
      <c r="W281" s="1146">
        <v>0</v>
      </c>
      <c r="X281" s="1114"/>
      <c r="Y281" s="1146">
        <v>35046</v>
      </c>
      <c r="Z281" s="2114">
        <f>C281-'Blocking-Step2'!C281</f>
        <v>0</v>
      </c>
      <c r="AA281" s="2114">
        <f>D281-'Blocking-Step2'!D281</f>
        <v>0</v>
      </c>
      <c r="AC281" s="2114">
        <f>F281-'Blocking-Step2'!F281</f>
        <v>0</v>
      </c>
      <c r="AE281" s="2114">
        <f>H281-'Blocking-Step2'!H281</f>
        <v>0</v>
      </c>
      <c r="AF281" s="2114">
        <f>I281-'Blocking-Step2'!I281</f>
        <v>0</v>
      </c>
      <c r="AH281" s="2136">
        <f>K281-'Blocking-Step2'!K281</f>
        <v>-5.16</v>
      </c>
      <c r="AJ281" s="2136">
        <f>M281-'Blocking-Step2'!M281</f>
        <v>5.160000000000001</v>
      </c>
      <c r="AL281" s="2136">
        <f>O281-'Blocking-Step2'!O281</f>
        <v>0</v>
      </c>
      <c r="AN281" s="2137">
        <f>Q281-'Blocking-Step2'!Q281</f>
        <v>0</v>
      </c>
      <c r="AP281" s="2127">
        <f>S281-'Blocking-Step2'!S281</f>
        <v>-15248</v>
      </c>
      <c r="AR281" s="2127">
        <f>U281-'Blocking-Step2'!U281</f>
        <v>15248</v>
      </c>
      <c r="AT281" s="2127">
        <f>W281-'Blocking-Step2'!W281</f>
        <v>0</v>
      </c>
      <c r="AV281" s="2128">
        <f>Y281-'Blocking-Step2'!Y281</f>
        <v>0</v>
      </c>
    </row>
    <row r="282" spans="1:48" ht="16.5" hidden="1" thickTop="1">
      <c r="A282" s="1116" t="s">
        <v>1647</v>
      </c>
      <c r="C282" s="1105">
        <v>236042</v>
      </c>
      <c r="D282" s="1105">
        <v>283489.59215955599</v>
      </c>
      <c r="F282" s="1106"/>
      <c r="G282" s="1921"/>
      <c r="H282" s="1146"/>
      <c r="I282" s="1146"/>
      <c r="K282" s="1106">
        <v>0</v>
      </c>
      <c r="L282" s="1921" t="s">
        <v>495</v>
      </c>
      <c r="M282" s="1106">
        <v>1.6192</v>
      </c>
      <c r="N282" s="1921" t="s">
        <v>495</v>
      </c>
      <c r="O282" s="1106">
        <v>2.305570240802</v>
      </c>
      <c r="P282" s="1921" t="s">
        <v>495</v>
      </c>
      <c r="Q282" s="1106">
        <v>3.9247702408020002</v>
      </c>
      <c r="R282" s="1921" t="s">
        <v>495</v>
      </c>
      <c r="S282" s="1146">
        <v>0</v>
      </c>
      <c r="T282" s="1648"/>
      <c r="U282" s="1146">
        <v>4590</v>
      </c>
      <c r="V282" s="1648"/>
      <c r="W282" s="1146">
        <v>6536</v>
      </c>
      <c r="X282" s="1648"/>
      <c r="Y282" s="1146">
        <v>11126</v>
      </c>
      <c r="Z282" s="2114">
        <f>C282-'Blocking-Step2'!C282</f>
        <v>0</v>
      </c>
      <c r="AA282" s="2114">
        <f>D282-'Blocking-Step2'!D282</f>
        <v>0</v>
      </c>
      <c r="AC282" s="2114">
        <f>F282-'Blocking-Step2'!F282</f>
        <v>0</v>
      </c>
      <c r="AE282" s="2114">
        <f>H282-'Blocking-Step2'!H282</f>
        <v>0</v>
      </c>
      <c r="AF282" s="2114">
        <f>I282-'Blocking-Step2'!I282</f>
        <v>0</v>
      </c>
      <c r="AH282" s="2136">
        <f>K282-'Blocking-Step2'!K282</f>
        <v>0</v>
      </c>
      <c r="AJ282" s="2136">
        <f>M282-'Blocking-Step2'!M282</f>
        <v>0</v>
      </c>
      <c r="AL282" s="2136">
        <f>O282-'Blocking-Step2'!O282</f>
        <v>0</v>
      </c>
      <c r="AN282" s="2137">
        <f>Q282-'Blocking-Step2'!Q282</f>
        <v>0</v>
      </c>
      <c r="AP282" s="2127">
        <f>S282-'Blocking-Step2'!S282</f>
        <v>0</v>
      </c>
      <c r="AR282" s="2127">
        <f>U282-'Blocking-Step2'!U282</f>
        <v>0</v>
      </c>
      <c r="AT282" s="2127">
        <f>W282-'Blocking-Step2'!W282</f>
        <v>0</v>
      </c>
      <c r="AV282" s="2128">
        <f>Y282-'Blocking-Step2'!Y282</f>
        <v>0</v>
      </c>
    </row>
    <row r="283" spans="1:48" ht="16.5" hidden="1" thickTop="1">
      <c r="A283" s="1116" t="s">
        <v>1648</v>
      </c>
      <c r="C283" s="1105">
        <v>345285</v>
      </c>
      <c r="D283" s="1105">
        <v>414693</v>
      </c>
      <c r="F283" s="1106"/>
      <c r="G283" s="1921"/>
      <c r="H283" s="1146"/>
      <c r="I283" s="1146"/>
      <c r="K283" s="1106">
        <v>0</v>
      </c>
      <c r="L283" s="1921" t="s">
        <v>495</v>
      </c>
      <c r="M283" s="1106">
        <v>1.4329000000000001</v>
      </c>
      <c r="N283" s="1921" t="s">
        <v>495</v>
      </c>
      <c r="O283" s="1106">
        <v>2.0403480007099999</v>
      </c>
      <c r="P283" s="1921" t="s">
        <v>495</v>
      </c>
      <c r="Q283" s="1106">
        <v>3.4732480007099999</v>
      </c>
      <c r="R283" s="1921" t="s">
        <v>495</v>
      </c>
      <c r="S283" s="1146">
        <v>0</v>
      </c>
      <c r="T283" s="1648"/>
      <c r="U283" s="1146">
        <v>5942</v>
      </c>
      <c r="V283" s="1648"/>
      <c r="W283" s="1146">
        <v>8461</v>
      </c>
      <c r="X283" s="1648"/>
      <c r="Y283" s="1146">
        <v>14403</v>
      </c>
      <c r="Z283" s="2114">
        <f>C283-'Blocking-Step2'!C283</f>
        <v>0</v>
      </c>
      <c r="AA283" s="2114">
        <f>D283-'Blocking-Step2'!D283</f>
        <v>0</v>
      </c>
      <c r="AC283" s="2114">
        <f>F283-'Blocking-Step2'!F283</f>
        <v>0</v>
      </c>
      <c r="AE283" s="2114">
        <f>H283-'Blocking-Step2'!H283</f>
        <v>0</v>
      </c>
      <c r="AF283" s="2114">
        <f>I283-'Blocking-Step2'!I283</f>
        <v>0</v>
      </c>
      <c r="AH283" s="2136">
        <f>K283-'Blocking-Step2'!K283</f>
        <v>0</v>
      </c>
      <c r="AJ283" s="2136">
        <f>M283-'Blocking-Step2'!M283</f>
        <v>0</v>
      </c>
      <c r="AL283" s="2136">
        <f>O283-'Blocking-Step2'!O283</f>
        <v>0</v>
      </c>
      <c r="AN283" s="2137">
        <f>Q283-'Blocking-Step2'!Q283</f>
        <v>0</v>
      </c>
      <c r="AP283" s="2127">
        <f>S283-'Blocking-Step2'!S283</f>
        <v>0</v>
      </c>
      <c r="AR283" s="2127">
        <f>U283-'Blocking-Step2'!U283</f>
        <v>0</v>
      </c>
      <c r="AT283" s="2127">
        <f>W283-'Blocking-Step2'!W283</f>
        <v>0</v>
      </c>
      <c r="AV283" s="2128">
        <f>Y283-'Blocking-Step2'!Y283</f>
        <v>0</v>
      </c>
    </row>
    <row r="284" spans="1:48" ht="16.5" hidden="1" thickTop="1">
      <c r="A284" s="1116" t="s">
        <v>196</v>
      </c>
      <c r="C284" s="1105">
        <v>1658.2225477373308</v>
      </c>
      <c r="D284" s="1105">
        <v>1992</v>
      </c>
      <c r="F284" s="1142">
        <v>14.62</v>
      </c>
      <c r="G284" s="617"/>
      <c r="H284" s="1146">
        <v>24243</v>
      </c>
      <c r="I284" s="1146">
        <v>29123</v>
      </c>
      <c r="K284" s="1142"/>
      <c r="L284" s="617"/>
      <c r="M284" s="1142"/>
      <c r="N284" s="617"/>
      <c r="O284" s="1142"/>
      <c r="P284" s="617"/>
      <c r="Q284" s="1142"/>
      <c r="R284" s="617"/>
      <c r="S284" s="1146"/>
      <c r="T284" s="1629"/>
      <c r="U284" s="1146"/>
      <c r="V284" s="1629"/>
      <c r="W284" s="1146"/>
      <c r="X284" s="1629"/>
      <c r="Y284" s="1146"/>
      <c r="Z284" s="2114">
        <f>C284-'Blocking-Step2'!C284</f>
        <v>0</v>
      </c>
      <c r="AA284" s="2114">
        <f>D284-'Blocking-Step2'!D284</f>
        <v>0</v>
      </c>
      <c r="AC284" s="2114">
        <f>F284-'Blocking-Step2'!F284</f>
        <v>0</v>
      </c>
      <c r="AE284" s="2114">
        <f>H284-'Blocking-Step2'!H284</f>
        <v>0</v>
      </c>
      <c r="AF284" s="2114">
        <f>I284-'Blocking-Step2'!I284</f>
        <v>0</v>
      </c>
      <c r="AH284" s="2136">
        <f>K284-'Blocking-Step2'!K284</f>
        <v>0</v>
      </c>
      <c r="AJ284" s="2136">
        <f>M284-'Blocking-Step2'!M284</f>
        <v>0</v>
      </c>
      <c r="AL284" s="2136">
        <f>O284-'Blocking-Step2'!O284</f>
        <v>0</v>
      </c>
      <c r="AN284" s="2137">
        <f>Q284-'Blocking-Step2'!Q284</f>
        <v>0</v>
      </c>
      <c r="AP284" s="2127">
        <f>S284-'Blocking-Step2'!S284</f>
        <v>0</v>
      </c>
      <c r="AR284" s="2127">
        <f>U284-'Blocking-Step2'!U284</f>
        <v>0</v>
      </c>
      <c r="AT284" s="2127">
        <f>W284-'Blocking-Step2'!W284</f>
        <v>0</v>
      </c>
      <c r="AV284" s="2128">
        <f>Y284-'Blocking-Step2'!Y284</f>
        <v>0</v>
      </c>
    </row>
    <row r="285" spans="1:48" ht="16.5" hidden="1" thickTop="1">
      <c r="A285" s="1116" t="s">
        <v>161</v>
      </c>
      <c r="C285" s="1105">
        <v>2306.0621057280159</v>
      </c>
      <c r="D285" s="1105">
        <v>2770</v>
      </c>
      <c r="F285" s="1142">
        <v>10.91</v>
      </c>
      <c r="G285" s="617"/>
      <c r="H285" s="1146">
        <v>25159</v>
      </c>
      <c r="I285" s="1146">
        <v>30221</v>
      </c>
      <c r="K285" s="1142"/>
      <c r="L285" s="617"/>
      <c r="M285" s="1142"/>
      <c r="N285" s="617"/>
      <c r="O285" s="1142"/>
      <c r="P285" s="617"/>
      <c r="Q285" s="1142"/>
      <c r="R285" s="617"/>
      <c r="S285" s="1146"/>
      <c r="T285" s="1629"/>
      <c r="U285" s="1146"/>
      <c r="V285" s="1629"/>
      <c r="W285" s="1146"/>
      <c r="X285" s="1629"/>
      <c r="Y285" s="1146"/>
      <c r="Z285" s="2114">
        <f>C285-'Blocking-Step2'!C285</f>
        <v>0</v>
      </c>
      <c r="AA285" s="2114">
        <f>D285-'Blocking-Step2'!D285</f>
        <v>0</v>
      </c>
      <c r="AC285" s="2114">
        <f>F285-'Blocking-Step2'!F285</f>
        <v>0</v>
      </c>
      <c r="AE285" s="2114">
        <f>H285-'Blocking-Step2'!H285</f>
        <v>0</v>
      </c>
      <c r="AF285" s="2114">
        <f>I285-'Blocking-Step2'!I285</f>
        <v>0</v>
      </c>
      <c r="AH285" s="2136">
        <f>K285-'Blocking-Step2'!K285</f>
        <v>0</v>
      </c>
      <c r="AJ285" s="2136">
        <f>M285-'Blocking-Step2'!M285</f>
        <v>0</v>
      </c>
      <c r="AL285" s="2136">
        <f>O285-'Blocking-Step2'!O285</f>
        <v>0</v>
      </c>
      <c r="AN285" s="2137">
        <f>Q285-'Blocking-Step2'!Q285</f>
        <v>0</v>
      </c>
      <c r="AP285" s="2127">
        <f>S285-'Blocking-Step2'!S285</f>
        <v>0</v>
      </c>
      <c r="AR285" s="2127">
        <f>U285-'Blocking-Step2'!U285</f>
        <v>0</v>
      </c>
      <c r="AT285" s="2127">
        <f>W285-'Blocking-Step2'!W285</f>
        <v>0</v>
      </c>
      <c r="AV285" s="2128">
        <f>Y285-'Blocking-Step2'!Y285</f>
        <v>0</v>
      </c>
    </row>
    <row r="286" spans="1:48" ht="16.5" hidden="1" thickTop="1">
      <c r="A286" s="1116" t="s">
        <v>261</v>
      </c>
      <c r="C286" s="1105">
        <v>0</v>
      </c>
      <c r="D286" s="1105">
        <v>0</v>
      </c>
      <c r="F286" s="1142">
        <v>-0.96</v>
      </c>
      <c r="G286" s="617"/>
      <c r="H286" s="1146">
        <v>0</v>
      </c>
      <c r="I286" s="1146">
        <v>0</v>
      </c>
      <c r="K286" s="1142">
        <v>-0.96</v>
      </c>
      <c r="L286" s="617"/>
      <c r="M286" s="1142">
        <v>0</v>
      </c>
      <c r="N286" s="617"/>
      <c r="O286" s="1142">
        <v>0</v>
      </c>
      <c r="P286" s="617"/>
      <c r="Q286" s="1142">
        <v>-0.96</v>
      </c>
      <c r="R286" s="617"/>
      <c r="S286" s="1146">
        <v>0</v>
      </c>
      <c r="T286" s="1629"/>
      <c r="U286" s="1146">
        <v>0</v>
      </c>
      <c r="V286" s="1629"/>
      <c r="W286" s="1146">
        <v>0</v>
      </c>
      <c r="X286" s="1629"/>
      <c r="Y286" s="1146">
        <v>0</v>
      </c>
      <c r="Z286" s="2114">
        <f>C286-'Blocking-Step2'!C286</f>
        <v>0</v>
      </c>
      <c r="AA286" s="2114">
        <f>D286-'Blocking-Step2'!D286</f>
        <v>0</v>
      </c>
      <c r="AC286" s="2114">
        <f>F286-'Blocking-Step2'!F286</f>
        <v>0</v>
      </c>
      <c r="AE286" s="2114">
        <f>H286-'Blocking-Step2'!H286</f>
        <v>0</v>
      </c>
      <c r="AF286" s="2114">
        <f>I286-'Blocking-Step2'!I286</f>
        <v>0</v>
      </c>
      <c r="AH286" s="2136">
        <f>K286-'Blocking-Step2'!K286</f>
        <v>0</v>
      </c>
      <c r="AJ286" s="2136">
        <f>M286-'Blocking-Step2'!M286</f>
        <v>0</v>
      </c>
      <c r="AL286" s="2136">
        <f>O286-'Blocking-Step2'!O286</f>
        <v>0</v>
      </c>
      <c r="AN286" s="2137">
        <f>Q286-'Blocking-Step2'!Q286</f>
        <v>0</v>
      </c>
      <c r="AP286" s="2127">
        <f>S286-'Blocking-Step2'!S286</f>
        <v>0</v>
      </c>
      <c r="AR286" s="2127">
        <f>U286-'Blocking-Step2'!U286</f>
        <v>0</v>
      </c>
      <c r="AT286" s="2127">
        <f>W286-'Blocking-Step2'!W286</f>
        <v>0</v>
      </c>
      <c r="AV286" s="2128">
        <f>Y286-'Blocking-Step2'!Y286</f>
        <v>0</v>
      </c>
    </row>
    <row r="287" spans="1:48" ht="16.5" hidden="1" thickTop="1">
      <c r="A287" s="1116" t="s">
        <v>1362</v>
      </c>
      <c r="C287" s="1105">
        <v>234805.04955330916</v>
      </c>
      <c r="D287" s="1105">
        <v>282004</v>
      </c>
      <c r="F287" s="1106">
        <v>3.8127</v>
      </c>
      <c r="G287" s="1921" t="s">
        <v>495</v>
      </c>
      <c r="H287" s="1146">
        <v>8952</v>
      </c>
      <c r="I287" s="1146">
        <v>10752</v>
      </c>
      <c r="K287" s="1106"/>
      <c r="L287" s="1921"/>
      <c r="M287" s="1106"/>
      <c r="N287" s="1921"/>
      <c r="O287" s="1106"/>
      <c r="P287" s="1921"/>
      <c r="Q287" s="1106"/>
      <c r="R287" s="1921"/>
      <c r="S287" s="1146"/>
      <c r="T287" s="1648"/>
      <c r="U287" s="1146"/>
      <c r="V287" s="1648"/>
      <c r="W287" s="1146"/>
      <c r="X287" s="1648"/>
      <c r="Y287" s="1146"/>
      <c r="Z287" s="2114">
        <f>C287-'Blocking-Step2'!C287</f>
        <v>0</v>
      </c>
      <c r="AA287" s="2114">
        <f>D287-'Blocking-Step2'!D287</f>
        <v>0</v>
      </c>
      <c r="AC287" s="2114">
        <f>F287-'Blocking-Step2'!F287</f>
        <v>0</v>
      </c>
      <c r="AE287" s="2114">
        <f>H287-'Blocking-Step2'!H287</f>
        <v>0</v>
      </c>
      <c r="AF287" s="2114">
        <f>I287-'Blocking-Step2'!I287</f>
        <v>0</v>
      </c>
      <c r="AH287" s="2136">
        <f>K287-'Blocking-Step2'!K287</f>
        <v>0</v>
      </c>
      <c r="AJ287" s="2136">
        <f>M287-'Blocking-Step2'!M287</f>
        <v>0</v>
      </c>
      <c r="AL287" s="2136">
        <f>O287-'Blocking-Step2'!O287</f>
        <v>0</v>
      </c>
      <c r="AN287" s="2137">
        <f>Q287-'Blocking-Step2'!Q287</f>
        <v>0</v>
      </c>
      <c r="AP287" s="2127">
        <f>S287-'Blocking-Step2'!S287</f>
        <v>0</v>
      </c>
      <c r="AR287" s="2127">
        <f>U287-'Blocking-Step2'!U287</f>
        <v>0</v>
      </c>
      <c r="AT287" s="2127">
        <f>W287-'Blocking-Step2'!W287</f>
        <v>0</v>
      </c>
      <c r="AV287" s="2128">
        <f>Y287-'Blocking-Step2'!Y287</f>
        <v>0</v>
      </c>
    </row>
    <row r="288" spans="1:48" ht="16.5" hidden="1" thickTop="1">
      <c r="A288" s="1116" t="s">
        <v>1363</v>
      </c>
      <c r="C288" s="1105">
        <v>346521.95044669084</v>
      </c>
      <c r="D288" s="1105">
        <v>416178.59215955599</v>
      </c>
      <c r="F288" s="1106">
        <v>3.5143</v>
      </c>
      <c r="G288" s="1921" t="s">
        <v>495</v>
      </c>
      <c r="H288" s="1146">
        <v>12178</v>
      </c>
      <c r="I288" s="1146">
        <v>14626</v>
      </c>
      <c r="K288" s="1106"/>
      <c r="L288" s="1921"/>
      <c r="M288" s="1106"/>
      <c r="N288" s="1921"/>
      <c r="O288" s="1106"/>
      <c r="P288" s="1921"/>
      <c r="Q288" s="1106"/>
      <c r="R288" s="1921"/>
      <c r="S288" s="1146"/>
      <c r="T288" s="1648"/>
      <c r="U288" s="1146"/>
      <c r="V288" s="1648"/>
      <c r="W288" s="1146"/>
      <c r="X288" s="1648"/>
      <c r="Y288" s="1146"/>
      <c r="Z288" s="2114">
        <f>C288-'Blocking-Step2'!C288</f>
        <v>0</v>
      </c>
      <c r="AA288" s="2114">
        <f>D288-'Blocking-Step2'!D288</f>
        <v>0</v>
      </c>
      <c r="AC288" s="2114">
        <f>F288-'Blocking-Step2'!F288</f>
        <v>0</v>
      </c>
      <c r="AE288" s="2114">
        <f>H288-'Blocking-Step2'!H288</f>
        <v>0</v>
      </c>
      <c r="AF288" s="2114">
        <f>I288-'Blocking-Step2'!I288</f>
        <v>0</v>
      </c>
      <c r="AH288" s="2136">
        <f>K288-'Blocking-Step2'!K288</f>
        <v>0</v>
      </c>
      <c r="AJ288" s="2136">
        <f>M288-'Blocking-Step2'!M288</f>
        <v>0</v>
      </c>
      <c r="AL288" s="2136">
        <f>O288-'Blocking-Step2'!O288</f>
        <v>0</v>
      </c>
      <c r="AN288" s="2137">
        <f>Q288-'Blocking-Step2'!Q288</f>
        <v>0</v>
      </c>
      <c r="AP288" s="2127">
        <f>S288-'Blocking-Step2'!S288</f>
        <v>0</v>
      </c>
      <c r="AR288" s="2127">
        <f>U288-'Blocking-Step2'!U288</f>
        <v>0</v>
      </c>
      <c r="AT288" s="2127">
        <f>W288-'Blocking-Step2'!W288</f>
        <v>0</v>
      </c>
      <c r="AV288" s="2128">
        <f>Y288-'Blocking-Step2'!Y288</f>
        <v>0</v>
      </c>
    </row>
    <row r="289" spans="1:48" ht="16.5" hidden="1" thickTop="1">
      <c r="A289" s="1116" t="s">
        <v>1158</v>
      </c>
      <c r="C289" s="1105">
        <v>0</v>
      </c>
      <c r="D289" s="1105">
        <v>0</v>
      </c>
      <c r="F289" s="1106">
        <v>7.125</v>
      </c>
      <c r="G289" s="1921" t="s">
        <v>495</v>
      </c>
      <c r="H289" s="1146">
        <v>0</v>
      </c>
      <c r="I289" s="1146">
        <v>0</v>
      </c>
      <c r="K289" s="1106">
        <v>0</v>
      </c>
      <c r="L289" s="1921" t="s">
        <v>495</v>
      </c>
      <c r="M289" s="1106">
        <v>7.125</v>
      </c>
      <c r="N289" s="1921" t="s">
        <v>495</v>
      </c>
      <c r="O289" s="1106">
        <v>0</v>
      </c>
      <c r="P289" s="1921" t="s">
        <v>495</v>
      </c>
      <c r="Q289" s="1106">
        <v>7.125</v>
      </c>
      <c r="R289" s="1921" t="s">
        <v>495</v>
      </c>
      <c r="S289" s="1146">
        <v>0</v>
      </c>
      <c r="T289" s="1648"/>
      <c r="U289" s="1146">
        <v>0</v>
      </c>
      <c r="V289" s="1648"/>
      <c r="W289" s="1146">
        <v>0</v>
      </c>
      <c r="X289" s="1648"/>
      <c r="Y289" s="1146">
        <v>0</v>
      </c>
      <c r="Z289" s="2114">
        <f>C289-'Blocking-Step2'!C289</f>
        <v>0</v>
      </c>
      <c r="AA289" s="2114">
        <f>D289-'Blocking-Step2'!D289</f>
        <v>0</v>
      </c>
      <c r="AC289" s="2114">
        <f>F289-'Blocking-Step2'!F289</f>
        <v>0</v>
      </c>
      <c r="AE289" s="2114">
        <f>H289-'Blocking-Step2'!H289</f>
        <v>0</v>
      </c>
      <c r="AF289" s="2114">
        <f>I289-'Blocking-Step2'!I289</f>
        <v>0</v>
      </c>
      <c r="AH289" s="2136">
        <f>K289-'Blocking-Step2'!K289</f>
        <v>0</v>
      </c>
      <c r="AJ289" s="2136">
        <f>M289-'Blocking-Step2'!M289</f>
        <v>0</v>
      </c>
      <c r="AL289" s="2136">
        <f>O289-'Blocking-Step2'!O289</f>
        <v>0</v>
      </c>
      <c r="AN289" s="2137">
        <f>Q289-'Blocking-Step2'!Q289</f>
        <v>0</v>
      </c>
      <c r="AP289" s="2127">
        <f>S289-'Blocking-Step2'!S289</f>
        <v>0</v>
      </c>
      <c r="AR289" s="2127">
        <f>U289-'Blocking-Step2'!U289</f>
        <v>0</v>
      </c>
      <c r="AT289" s="2127">
        <f>W289-'Blocking-Step2'!W289</f>
        <v>0</v>
      </c>
      <c r="AV289" s="2128">
        <f>Y289-'Blocking-Step2'!Y289</f>
        <v>0</v>
      </c>
    </row>
    <row r="290" spans="1:48" ht="16.5" hidden="1" thickTop="1">
      <c r="A290" s="1116" t="s">
        <v>246</v>
      </c>
      <c r="C290" s="1940">
        <v>0</v>
      </c>
      <c r="D290" s="1940">
        <v>0</v>
      </c>
      <c r="H290" s="1147">
        <v>0</v>
      </c>
      <c r="I290" s="1147">
        <v>0</v>
      </c>
      <c r="S290" s="1147"/>
      <c r="U290" s="1147"/>
      <c r="W290" s="1147"/>
      <c r="Y290" s="1147"/>
      <c r="Z290" s="2114">
        <f>C290-'Blocking-Step2'!C290</f>
        <v>0</v>
      </c>
      <c r="AA290" s="2114">
        <f>D290-'Blocking-Step2'!D290</f>
        <v>0</v>
      </c>
      <c r="AC290" s="2114">
        <f>F290-'Blocking-Step2'!F290</f>
        <v>0</v>
      </c>
      <c r="AE290" s="2114">
        <f>H290-'Blocking-Step2'!H290</f>
        <v>0</v>
      </c>
      <c r="AF290" s="2114">
        <f>I290-'Blocking-Step2'!I290</f>
        <v>0</v>
      </c>
      <c r="AH290" s="2136">
        <f>K290-'Blocking-Step2'!K290</f>
        <v>0</v>
      </c>
      <c r="AJ290" s="2136">
        <f>M290-'Blocking-Step2'!M290</f>
        <v>0</v>
      </c>
      <c r="AL290" s="2136">
        <f>O290-'Blocking-Step2'!O290</f>
        <v>0</v>
      </c>
      <c r="AN290" s="2137">
        <f>Q290-'Blocking-Step2'!Q290</f>
        <v>0</v>
      </c>
      <c r="AP290" s="2127">
        <f>S290-'Blocking-Step2'!S290</f>
        <v>0</v>
      </c>
      <c r="AR290" s="2127">
        <f>U290-'Blocking-Step2'!U290</f>
        <v>0</v>
      </c>
      <c r="AT290" s="2127">
        <f>W290-'Blocking-Step2'!W290</f>
        <v>0</v>
      </c>
      <c r="AV290" s="2128">
        <f>Y290-'Blocking-Step2'!Y290</f>
        <v>0</v>
      </c>
    </row>
    <row r="291" spans="1:48" ht="16.5" hidden="1" thickTop="1">
      <c r="A291" s="1116" t="s">
        <v>1240</v>
      </c>
      <c r="C291" s="1024"/>
      <c r="D291" s="1024"/>
      <c r="F291" s="2076">
        <v>-3.61E-2</v>
      </c>
      <c r="G291" s="617"/>
      <c r="H291" s="1146">
        <v>-2546.2051999999999</v>
      </c>
      <c r="I291" s="1146">
        <v>-3058.4641999999999</v>
      </c>
      <c r="K291" s="2076">
        <v>0</v>
      </c>
      <c r="L291" s="617"/>
      <c r="M291" s="2076">
        <v>0</v>
      </c>
      <c r="N291" s="617"/>
      <c r="O291" s="2077" t="s">
        <v>2323</v>
      </c>
      <c r="P291" s="617"/>
      <c r="Q291" s="2076">
        <v>-2.76E-2</v>
      </c>
      <c r="R291" s="617"/>
      <c r="S291" s="1146"/>
      <c r="T291" s="1114"/>
      <c r="U291" s="1146"/>
      <c r="V291" s="1114"/>
      <c r="W291" s="1146"/>
      <c r="X291" s="1114"/>
      <c r="Y291" s="1146">
        <v>-2339.79</v>
      </c>
      <c r="Z291" s="2114">
        <f>C291-'Blocking-Step2'!C291</f>
        <v>0</v>
      </c>
      <c r="AA291" s="2114">
        <f>D291-'Blocking-Step2'!D291</f>
        <v>0</v>
      </c>
      <c r="AC291" s="2114">
        <f>F291-'Blocking-Step2'!F291</f>
        <v>0</v>
      </c>
      <c r="AE291" s="2114">
        <f>H291-'Blocking-Step2'!H291</f>
        <v>0</v>
      </c>
      <c r="AF291" s="2114">
        <f>I291-'Blocking-Step2'!I291</f>
        <v>0</v>
      </c>
      <c r="AH291" s="2136">
        <f>K291-'Blocking-Step2'!K291</f>
        <v>0</v>
      </c>
      <c r="AJ291" s="2136">
        <f>M291-'Blocking-Step2'!M291</f>
        <v>0</v>
      </c>
      <c r="AL291" s="2136" t="e">
        <f>O291-'Blocking-Step2'!O291</f>
        <v>#VALUE!</v>
      </c>
      <c r="AN291" s="2137">
        <f>Q291-'Blocking-Step2'!Q291</f>
        <v>0</v>
      </c>
      <c r="AP291" s="2127">
        <f>S291-'Blocking-Step2'!S291</f>
        <v>0</v>
      </c>
      <c r="AR291" s="2127">
        <f>U291-'Blocking-Step2'!U291</f>
        <v>0</v>
      </c>
      <c r="AT291" s="2127">
        <f>W291-'Blocking-Step2'!W291</f>
        <v>0</v>
      </c>
      <c r="AV291" s="2128">
        <f>Y291-'Blocking-Step2'!Y291</f>
        <v>0</v>
      </c>
    </row>
    <row r="292" spans="1:48" ht="16.5" hidden="1" thickTop="1">
      <c r="A292" s="1116"/>
      <c r="C292" s="1024"/>
      <c r="D292" s="1024"/>
      <c r="F292" s="2076"/>
      <c r="G292" s="617"/>
      <c r="H292" s="1146"/>
      <c r="I292" s="1146"/>
      <c r="K292" s="2076"/>
      <c r="L292" s="617"/>
      <c r="M292" s="2076"/>
      <c r="N292" s="617"/>
      <c r="O292" s="2077" t="s">
        <v>2324</v>
      </c>
      <c r="P292" s="617"/>
      <c r="Q292" s="2076">
        <v>-1.4999999999999999E-2</v>
      </c>
      <c r="R292" s="617"/>
      <c r="S292" s="1146"/>
      <c r="T292" s="1114"/>
      <c r="U292" s="1146"/>
      <c r="V292" s="1114"/>
      <c r="W292" s="1146"/>
      <c r="X292" s="1114"/>
      <c r="Y292" s="1146">
        <v>-1271.625</v>
      </c>
      <c r="Z292" s="2114">
        <f>C292-'Blocking-Step2'!C292</f>
        <v>0</v>
      </c>
      <c r="AA292" s="2114">
        <f>D292-'Blocking-Step2'!D292</f>
        <v>0</v>
      </c>
      <c r="AC292" s="2114">
        <f>F292-'Blocking-Step2'!F292</f>
        <v>0</v>
      </c>
      <c r="AE292" s="2114">
        <f>H292-'Blocking-Step2'!H292</f>
        <v>0</v>
      </c>
      <c r="AF292" s="2114">
        <f>I292-'Blocking-Step2'!I292</f>
        <v>0</v>
      </c>
      <c r="AH292" s="2136">
        <f>K292-'Blocking-Step2'!K292</f>
        <v>0</v>
      </c>
      <c r="AJ292" s="2136">
        <f>M292-'Blocking-Step2'!M292</f>
        <v>0</v>
      </c>
      <c r="AL292" s="2136" t="e">
        <f>O292-'Blocking-Step2'!O292</f>
        <v>#VALUE!</v>
      </c>
      <c r="AN292" s="2137">
        <f>Q292-'Blocking-Step2'!Q292</f>
        <v>0</v>
      </c>
      <c r="AP292" s="2127">
        <f>S292-'Blocking-Step2'!S292</f>
        <v>0</v>
      </c>
      <c r="AR292" s="2127">
        <f>U292-'Blocking-Step2'!U292</f>
        <v>0</v>
      </c>
      <c r="AT292" s="2127">
        <f>W292-'Blocking-Step2'!W292</f>
        <v>0</v>
      </c>
      <c r="AV292" s="2128">
        <f>Y292-'Blocking-Step2'!Y292</f>
        <v>0</v>
      </c>
    </row>
    <row r="293" spans="1:48" ht="17.25" hidden="1" thickTop="1" thickBot="1">
      <c r="A293" s="1116" t="s">
        <v>1317</v>
      </c>
      <c r="C293" s="1024">
        <v>0</v>
      </c>
      <c r="D293" s="1105">
        <v>0</v>
      </c>
      <c r="F293" s="2076"/>
      <c r="G293" s="617"/>
      <c r="H293" s="1146"/>
      <c r="I293" s="1146"/>
      <c r="K293" s="2076"/>
      <c r="L293" s="617"/>
      <c r="M293" s="2076"/>
      <c r="N293" s="617"/>
      <c r="O293" s="1145"/>
      <c r="Q293" s="1145"/>
      <c r="S293" s="1149"/>
      <c r="U293" s="1149"/>
      <c r="W293" s="1149"/>
      <c r="Y293" s="1149"/>
      <c r="Z293" s="2114">
        <f>C293-'Blocking-Step2'!C293</f>
        <v>0</v>
      </c>
      <c r="AA293" s="2114">
        <f>D293-'Blocking-Step2'!D293</f>
        <v>0</v>
      </c>
      <c r="AC293" s="2114">
        <f>F293-'Blocking-Step2'!F293</f>
        <v>0</v>
      </c>
      <c r="AE293" s="2114">
        <f>H293-'Blocking-Step2'!H293</f>
        <v>0</v>
      </c>
      <c r="AF293" s="2114">
        <f>I293-'Blocking-Step2'!I293</f>
        <v>0</v>
      </c>
      <c r="AH293" s="2136">
        <f>K293-'Blocking-Step2'!K293</f>
        <v>0</v>
      </c>
      <c r="AJ293" s="2136">
        <f>M293-'Blocking-Step2'!M293</f>
        <v>0</v>
      </c>
      <c r="AL293" s="2136">
        <f>O293-'Blocking-Step2'!O293</f>
        <v>0</v>
      </c>
      <c r="AN293" s="2137">
        <f>Q293-'Blocking-Step2'!Q293</f>
        <v>0</v>
      </c>
      <c r="AP293" s="2127">
        <f>S293-'Blocking-Step2'!S293</f>
        <v>0</v>
      </c>
      <c r="AR293" s="2127">
        <f>U293-'Blocking-Step2'!U293</f>
        <v>0</v>
      </c>
      <c r="AT293" s="2127">
        <f>W293-'Blocking-Step2'!W293</f>
        <v>0</v>
      </c>
      <c r="AV293" s="2128">
        <f>Y293-'Blocking-Step2'!Y293</f>
        <v>0</v>
      </c>
    </row>
    <row r="294" spans="1:48" ht="17.25" hidden="1" thickTop="1" thickBot="1">
      <c r="A294" s="1116" t="s">
        <v>247</v>
      </c>
      <c r="C294" s="1138">
        <v>581327</v>
      </c>
      <c r="D294" s="1138">
        <v>698182.59215955599</v>
      </c>
      <c r="F294" s="1145"/>
      <c r="H294" s="1149">
        <v>90389.794800000003</v>
      </c>
      <c r="I294" s="1149">
        <v>107636.5358</v>
      </c>
      <c r="K294" s="1145"/>
      <c r="M294" s="1145"/>
      <c r="O294" s="1145"/>
      <c r="Q294" s="1145"/>
      <c r="S294" s="1149">
        <v>28177</v>
      </c>
      <c r="U294" s="1149">
        <v>67528</v>
      </c>
      <c r="W294" s="1149">
        <v>14997</v>
      </c>
      <c r="Y294" s="1149">
        <v>110701</v>
      </c>
      <c r="Z294" s="2114">
        <f>C294-'Blocking-Step2'!C294</f>
        <v>0</v>
      </c>
      <c r="AA294" s="2114">
        <f>D294-'Blocking-Step2'!D294</f>
        <v>0</v>
      </c>
      <c r="AC294" s="2114">
        <f>F294-'Blocking-Step2'!F294</f>
        <v>0</v>
      </c>
      <c r="AE294" s="2114">
        <f>H294-'Blocking-Step2'!H294</f>
        <v>0</v>
      </c>
      <c r="AF294" s="2114">
        <f>I294-'Blocking-Step2'!I294</f>
        <v>0</v>
      </c>
      <c r="AH294" s="2136">
        <f>K294-'Blocking-Step2'!K294</f>
        <v>0</v>
      </c>
      <c r="AJ294" s="2136">
        <f>M294-'Blocking-Step2'!M294</f>
        <v>0</v>
      </c>
      <c r="AL294" s="2136">
        <f>O294-'Blocking-Step2'!O294</f>
        <v>0</v>
      </c>
      <c r="AN294" s="2137">
        <f>Q294-'Blocking-Step2'!Q294</f>
        <v>0</v>
      </c>
      <c r="AP294" s="2127">
        <f>S294-'Blocking-Step2'!S294</f>
        <v>-25777</v>
      </c>
      <c r="AR294" s="2127">
        <f>U294-'Blocking-Step2'!U294</f>
        <v>25777</v>
      </c>
      <c r="AT294" s="2127">
        <f>W294-'Blocking-Step2'!W294</f>
        <v>0</v>
      </c>
      <c r="AV294" s="2128">
        <f>Y294-'Blocking-Step2'!Y294</f>
        <v>0</v>
      </c>
    </row>
    <row r="295" spans="1:48" ht="16.5" hidden="1" thickTop="1">
      <c r="Z295" s="2114">
        <f>C295-'Blocking-Step2'!C295</f>
        <v>0</v>
      </c>
      <c r="AA295" s="2114">
        <f>D295-'Blocking-Step2'!D295</f>
        <v>0</v>
      </c>
      <c r="AC295" s="2114">
        <f>F295-'Blocking-Step2'!F295</f>
        <v>0</v>
      </c>
      <c r="AE295" s="2114">
        <f>H295-'Blocking-Step2'!H295</f>
        <v>0</v>
      </c>
      <c r="AF295" s="2114">
        <f>I295-'Blocking-Step2'!I295</f>
        <v>0</v>
      </c>
      <c r="AH295" s="2136">
        <f>K295-'Blocking-Step2'!K295</f>
        <v>0</v>
      </c>
      <c r="AJ295" s="2136">
        <f>M295-'Blocking-Step2'!M295</f>
        <v>0</v>
      </c>
      <c r="AL295" s="2136">
        <f>O295-'Blocking-Step2'!O295</f>
        <v>0</v>
      </c>
      <c r="AN295" s="2137">
        <f>Q295-'Blocking-Step2'!Q295</f>
        <v>0</v>
      </c>
      <c r="AP295" s="2127">
        <f>S295-'Blocking-Step2'!S295</f>
        <v>0</v>
      </c>
      <c r="AR295" s="2127">
        <f>U295-'Blocking-Step2'!U295</f>
        <v>0</v>
      </c>
      <c r="AT295" s="2127">
        <f>W295-'Blocking-Step2'!W295</f>
        <v>0</v>
      </c>
      <c r="AV295" s="2128">
        <f>Y295-'Blocking-Step2'!Y295</f>
        <v>0</v>
      </c>
    </row>
    <row r="296" spans="1:48" ht="16.5" hidden="1" thickTop="1">
      <c r="A296" s="1115" t="s">
        <v>1916</v>
      </c>
      <c r="C296" s="1105"/>
      <c r="D296" s="1105"/>
      <c r="Z296" s="2114">
        <f>C296-'Blocking-Step2'!C296</f>
        <v>0</v>
      </c>
      <c r="AA296" s="2114">
        <f>D296-'Blocking-Step2'!D296</f>
        <v>0</v>
      </c>
      <c r="AC296" s="2114">
        <f>F296-'Blocking-Step2'!F296</f>
        <v>0</v>
      </c>
      <c r="AE296" s="2114">
        <f>H296-'Blocking-Step2'!H296</f>
        <v>0</v>
      </c>
      <c r="AF296" s="2114">
        <f>I296-'Blocking-Step2'!I296</f>
        <v>0</v>
      </c>
      <c r="AH296" s="2136">
        <f>K296-'Blocking-Step2'!K296</f>
        <v>0</v>
      </c>
      <c r="AJ296" s="2136">
        <f>M296-'Blocking-Step2'!M296</f>
        <v>0</v>
      </c>
      <c r="AL296" s="2136">
        <f>O296-'Blocking-Step2'!O296</f>
        <v>0</v>
      </c>
      <c r="AN296" s="2137">
        <f>Q296-'Blocking-Step2'!Q296</f>
        <v>0</v>
      </c>
      <c r="AP296" s="2127">
        <f>S296-'Blocking-Step2'!S296</f>
        <v>0</v>
      </c>
      <c r="AR296" s="2127">
        <f>U296-'Blocking-Step2'!U296</f>
        <v>0</v>
      </c>
      <c r="AT296" s="2127">
        <f>W296-'Blocking-Step2'!W296</f>
        <v>0</v>
      </c>
      <c r="AV296" s="2128">
        <f>Y296-'Blocking-Step2'!Y296</f>
        <v>0</v>
      </c>
    </row>
    <row r="297" spans="1:48" ht="16.5" hidden="1" thickTop="1">
      <c r="A297" s="1116" t="s">
        <v>240</v>
      </c>
      <c r="C297" s="1105">
        <v>14061.016666649997</v>
      </c>
      <c r="D297" s="1105">
        <v>13951.476908881947</v>
      </c>
      <c r="F297" s="1907"/>
      <c r="G297" s="1110"/>
      <c r="H297" s="1146"/>
      <c r="I297" s="1146"/>
      <c r="K297" s="1907">
        <v>54</v>
      </c>
      <c r="L297" s="1110"/>
      <c r="M297" s="1907">
        <v>0</v>
      </c>
      <c r="N297" s="1110"/>
      <c r="O297" s="1907">
        <v>0</v>
      </c>
      <c r="P297" s="1110"/>
      <c r="Q297" s="1907">
        <v>54</v>
      </c>
      <c r="R297" s="1110"/>
      <c r="S297" s="1146">
        <v>753380</v>
      </c>
      <c r="T297" s="1629"/>
      <c r="U297" s="1146">
        <v>0</v>
      </c>
      <c r="V297" s="1629"/>
      <c r="W297" s="1146">
        <v>0</v>
      </c>
      <c r="X297" s="1629"/>
      <c r="Y297" s="1146">
        <v>753380</v>
      </c>
      <c r="Z297" s="2114">
        <f>C297-'Blocking-Step2'!C297</f>
        <v>0</v>
      </c>
      <c r="AA297" s="2114">
        <f>D297-'Blocking-Step2'!D297</f>
        <v>0</v>
      </c>
      <c r="AC297" s="2114">
        <f>F297-'Blocking-Step2'!F297</f>
        <v>0</v>
      </c>
      <c r="AE297" s="2114">
        <f>H297-'Blocking-Step2'!H297</f>
        <v>0</v>
      </c>
      <c r="AF297" s="2114">
        <f>I297-'Blocking-Step2'!I297</f>
        <v>0</v>
      </c>
      <c r="AH297" s="2136">
        <f>K297-'Blocking-Step2'!K297</f>
        <v>0</v>
      </c>
      <c r="AJ297" s="2136">
        <f>M297-'Blocking-Step2'!M297</f>
        <v>0</v>
      </c>
      <c r="AL297" s="2136">
        <f>O297-'Blocking-Step2'!O297</f>
        <v>0</v>
      </c>
      <c r="AN297" s="2137">
        <f>Q297-'Blocking-Step2'!Q297</f>
        <v>0</v>
      </c>
      <c r="AP297" s="2127">
        <f>S297-'Blocking-Step2'!S297</f>
        <v>0</v>
      </c>
      <c r="AR297" s="2127">
        <f>U297-'Blocking-Step2'!U297</f>
        <v>0</v>
      </c>
      <c r="AT297" s="2127">
        <f>W297-'Blocking-Step2'!W297</f>
        <v>0</v>
      </c>
      <c r="AV297" s="2128">
        <f>Y297-'Blocking-Step2'!Y297</f>
        <v>0</v>
      </c>
    </row>
    <row r="298" spans="1:48" ht="16.5" hidden="1" thickTop="1">
      <c r="A298" s="1116" t="s">
        <v>1910</v>
      </c>
      <c r="C298" s="1105">
        <v>19353983.668316837</v>
      </c>
      <c r="D298" s="1105">
        <v>18365329.916608788</v>
      </c>
      <c r="E298" s="617"/>
      <c r="F298" s="1143"/>
      <c r="G298" s="1921"/>
      <c r="H298" s="1146"/>
      <c r="I298" s="1146"/>
      <c r="J298" s="617"/>
      <c r="K298" s="1143">
        <v>1.657</v>
      </c>
      <c r="L298" s="1921" t="s">
        <v>495</v>
      </c>
      <c r="M298" s="1143">
        <v>19.370528114911814</v>
      </c>
      <c r="N298" s="1921" t="s">
        <v>495</v>
      </c>
      <c r="O298" s="1143">
        <v>1.3496999999999999</v>
      </c>
      <c r="P298" s="1921" t="s">
        <v>495</v>
      </c>
      <c r="Q298" s="1143">
        <v>22.377228114911812</v>
      </c>
      <c r="R298" s="1921" t="s">
        <v>495</v>
      </c>
      <c r="S298" s="1146">
        <v>304314</v>
      </c>
      <c r="T298" s="1648"/>
      <c r="U298" s="1146">
        <v>3557461</v>
      </c>
      <c r="V298" s="1648"/>
      <c r="W298" s="1146">
        <v>247877</v>
      </c>
      <c r="X298" s="1648"/>
      <c r="Y298" s="1146">
        <v>4109652</v>
      </c>
      <c r="Z298" s="2114">
        <f>C298-'Blocking-Step2'!C298</f>
        <v>0</v>
      </c>
      <c r="AA298" s="2114">
        <f>D298-'Blocking-Step2'!D298</f>
        <v>0</v>
      </c>
      <c r="AC298" s="2114">
        <f>F298-'Blocking-Step2'!F298</f>
        <v>0</v>
      </c>
      <c r="AE298" s="2114">
        <f>H298-'Blocking-Step2'!H298</f>
        <v>0</v>
      </c>
      <c r="AF298" s="2114">
        <f>I298-'Blocking-Step2'!I298</f>
        <v>0</v>
      </c>
      <c r="AH298" s="2136">
        <f>K298-'Blocking-Step2'!K298</f>
        <v>-2.2955000000000001</v>
      </c>
      <c r="AJ298" s="2136">
        <f>M298-'Blocking-Step2'!M298</f>
        <v>2.2955000000000005</v>
      </c>
      <c r="AL298" s="2136">
        <f>O298-'Blocking-Step2'!O298</f>
        <v>0</v>
      </c>
      <c r="AN298" s="2137">
        <f>Q298-'Blocking-Step2'!Q298</f>
        <v>0</v>
      </c>
      <c r="AP298" s="2127">
        <f>S298-'Blocking-Step2'!S298</f>
        <v>-421576</v>
      </c>
      <c r="AR298" s="2127">
        <f>U298-'Blocking-Step2'!U298</f>
        <v>421576</v>
      </c>
      <c r="AT298" s="2127">
        <f>W298-'Blocking-Step2'!W298</f>
        <v>0</v>
      </c>
      <c r="AV298" s="2128">
        <f>Y298-'Blocking-Step2'!Y298</f>
        <v>0</v>
      </c>
    </row>
    <row r="299" spans="1:48" ht="16.5" hidden="1" thickTop="1">
      <c r="A299" s="1116" t="s">
        <v>1911</v>
      </c>
      <c r="C299" s="1105">
        <v>44598391.331683159</v>
      </c>
      <c r="D299" s="1105">
        <v>42320185.063358508</v>
      </c>
      <c r="E299" s="617"/>
      <c r="F299" s="1143"/>
      <c r="G299" s="1921"/>
      <c r="H299" s="1146"/>
      <c r="I299" s="1146"/>
      <c r="J299" s="617"/>
      <c r="K299" s="1143">
        <v>1.657</v>
      </c>
      <c r="L299" s="1921" t="s">
        <v>495</v>
      </c>
      <c r="M299" s="1143">
        <v>1.3803172825590004</v>
      </c>
      <c r="N299" s="1921" t="s">
        <v>495</v>
      </c>
      <c r="O299" s="1143">
        <v>1.3496999999999999</v>
      </c>
      <c r="P299" s="1921" t="s">
        <v>495</v>
      </c>
      <c r="Q299" s="1143">
        <v>4.3870172825590004</v>
      </c>
      <c r="R299" s="1921" t="s">
        <v>495</v>
      </c>
      <c r="S299" s="1146">
        <v>701245</v>
      </c>
      <c r="T299" s="1648"/>
      <c r="U299" s="1146">
        <v>584153</v>
      </c>
      <c r="V299" s="1648"/>
      <c r="W299" s="1146">
        <v>571196</v>
      </c>
      <c r="X299" s="1648"/>
      <c r="Y299" s="1146">
        <v>1856594</v>
      </c>
      <c r="Z299" s="2114">
        <f>C299-'Blocking-Step2'!C299</f>
        <v>0</v>
      </c>
      <c r="AA299" s="2114">
        <f>D299-'Blocking-Step2'!D299</f>
        <v>0</v>
      </c>
      <c r="AC299" s="2114">
        <f>F299-'Blocking-Step2'!F299</f>
        <v>0</v>
      </c>
      <c r="AE299" s="2114">
        <f>H299-'Blocking-Step2'!H299</f>
        <v>0</v>
      </c>
      <c r="AF299" s="2114">
        <f>I299-'Blocking-Step2'!I299</f>
        <v>0</v>
      </c>
      <c r="AH299" s="2136">
        <f>K299-'Blocking-Step2'!K299</f>
        <v>-2.2955000000000001</v>
      </c>
      <c r="AJ299" s="2136">
        <f>M299-'Blocking-Step2'!M299</f>
        <v>2.2955000000000001</v>
      </c>
      <c r="AL299" s="2136">
        <f>O299-'Blocking-Step2'!O299</f>
        <v>0</v>
      </c>
      <c r="AN299" s="2137">
        <f>Q299-'Blocking-Step2'!Q299</f>
        <v>0</v>
      </c>
      <c r="AP299" s="2127">
        <f>S299-'Blocking-Step2'!S299</f>
        <v>-971460</v>
      </c>
      <c r="AR299" s="2127">
        <f>U299-'Blocking-Step2'!U299</f>
        <v>971460</v>
      </c>
      <c r="AT299" s="2127">
        <f>W299-'Blocking-Step2'!W299</f>
        <v>0</v>
      </c>
      <c r="AV299" s="2128">
        <f>Y299-'Blocking-Step2'!Y299</f>
        <v>0</v>
      </c>
    </row>
    <row r="300" spans="1:48" ht="16.5" hidden="1" thickTop="1">
      <c r="A300" s="1116" t="s">
        <v>1912</v>
      </c>
      <c r="C300" s="1105">
        <v>33445107.804455444</v>
      </c>
      <c r="D300" s="1105">
        <v>31736641.378430471</v>
      </c>
      <c r="E300" s="617"/>
      <c r="F300" s="1143"/>
      <c r="G300" s="1921"/>
      <c r="H300" s="1146"/>
      <c r="I300" s="1146"/>
      <c r="J300" s="617"/>
      <c r="K300" s="1143">
        <v>1.657</v>
      </c>
      <c r="L300" s="1921" t="s">
        <v>495</v>
      </c>
      <c r="M300" s="1143">
        <v>16.951500000000003</v>
      </c>
      <c r="N300" s="1921" t="s">
        <v>495</v>
      </c>
      <c r="O300" s="1143">
        <v>1.1943999999999999</v>
      </c>
      <c r="P300" s="1921" t="s">
        <v>495</v>
      </c>
      <c r="Q300" s="1143">
        <v>19.802900000000001</v>
      </c>
      <c r="R300" s="1921" t="s">
        <v>495</v>
      </c>
      <c r="S300" s="1146">
        <v>525876</v>
      </c>
      <c r="T300" s="1648"/>
      <c r="U300" s="1146">
        <v>5379837</v>
      </c>
      <c r="V300" s="1648"/>
      <c r="W300" s="1146">
        <v>379062</v>
      </c>
      <c r="X300" s="1648"/>
      <c r="Y300" s="1146">
        <v>6284775</v>
      </c>
      <c r="Z300" s="2114">
        <f>C300-'Blocking-Step2'!C300</f>
        <v>0</v>
      </c>
      <c r="AA300" s="2114">
        <f>D300-'Blocking-Step2'!D300</f>
        <v>0</v>
      </c>
      <c r="AC300" s="2114">
        <f>F300-'Blocking-Step2'!F300</f>
        <v>0</v>
      </c>
      <c r="AE300" s="2114">
        <f>H300-'Blocking-Step2'!H300</f>
        <v>0</v>
      </c>
      <c r="AF300" s="2114">
        <f>I300-'Blocking-Step2'!I300</f>
        <v>0</v>
      </c>
      <c r="AH300" s="2136">
        <f>K300-'Blocking-Step2'!K300</f>
        <v>-2.2955000000000001</v>
      </c>
      <c r="AJ300" s="2136">
        <f>M300-'Blocking-Step2'!M300</f>
        <v>2.2955000000000023</v>
      </c>
      <c r="AL300" s="2136">
        <f>O300-'Blocking-Step2'!O300</f>
        <v>0</v>
      </c>
      <c r="AN300" s="2137">
        <f>Q300-'Blocking-Step2'!Q300</f>
        <v>0</v>
      </c>
      <c r="AP300" s="2127">
        <f>S300-'Blocking-Step2'!S300</f>
        <v>-728515</v>
      </c>
      <c r="AR300" s="2127">
        <f>U300-'Blocking-Step2'!U300</f>
        <v>728515</v>
      </c>
      <c r="AT300" s="2127">
        <f>W300-'Blocking-Step2'!W300</f>
        <v>0</v>
      </c>
      <c r="AV300" s="2128">
        <f>Y300-'Blocking-Step2'!Y300</f>
        <v>0</v>
      </c>
    </row>
    <row r="301" spans="1:48" ht="16.5" hidden="1" thickTop="1">
      <c r="A301" s="1116" t="s">
        <v>1913</v>
      </c>
      <c r="C301" s="1105">
        <v>79863876.695544586</v>
      </c>
      <c r="D301" s="1105">
        <v>75784214.19948411</v>
      </c>
      <c r="E301" s="617"/>
      <c r="F301" s="1143"/>
      <c r="G301" s="1921"/>
      <c r="H301" s="1146"/>
      <c r="I301" s="1146"/>
      <c r="J301" s="617"/>
      <c r="K301" s="1143">
        <v>1.657</v>
      </c>
      <c r="L301" s="1921" t="s">
        <v>495</v>
      </c>
      <c r="M301" s="1143">
        <v>1.0308999999999999</v>
      </c>
      <c r="N301" s="1921" t="s">
        <v>495</v>
      </c>
      <c r="O301" s="1143">
        <v>1.1943999999999999</v>
      </c>
      <c r="P301" s="1921" t="s">
        <v>495</v>
      </c>
      <c r="Q301" s="1143">
        <v>3.8822999999999999</v>
      </c>
      <c r="R301" s="1921" t="s">
        <v>495</v>
      </c>
      <c r="S301" s="1146">
        <v>1255744</v>
      </c>
      <c r="T301" s="1648"/>
      <c r="U301" s="1146">
        <v>781259</v>
      </c>
      <c r="V301" s="1648"/>
      <c r="W301" s="1146">
        <v>905167</v>
      </c>
      <c r="X301" s="1648"/>
      <c r="Y301" s="1146">
        <v>2942171</v>
      </c>
      <c r="Z301" s="2114">
        <f>C301-'Blocking-Step2'!C301</f>
        <v>0</v>
      </c>
      <c r="AA301" s="2114">
        <f>D301-'Blocking-Step2'!D301</f>
        <v>0</v>
      </c>
      <c r="AC301" s="2114">
        <f>F301-'Blocking-Step2'!F301</f>
        <v>0</v>
      </c>
      <c r="AE301" s="2114">
        <f>H301-'Blocking-Step2'!H301</f>
        <v>0</v>
      </c>
      <c r="AF301" s="2114">
        <f>I301-'Blocking-Step2'!I301</f>
        <v>0</v>
      </c>
      <c r="AH301" s="2136">
        <f>K301-'Blocking-Step2'!K301</f>
        <v>-2.2955000000000001</v>
      </c>
      <c r="AJ301" s="2136">
        <f>M301-'Blocking-Step2'!M301</f>
        <v>2.2955000000000001</v>
      </c>
      <c r="AL301" s="2136">
        <f>O301-'Blocking-Step2'!O301</f>
        <v>0</v>
      </c>
      <c r="AN301" s="2137">
        <f>Q301-'Blocking-Step2'!Q301</f>
        <v>0</v>
      </c>
      <c r="AP301" s="2127">
        <f>S301-'Blocking-Step2'!S301</f>
        <v>-1739627</v>
      </c>
      <c r="AR301" s="2127">
        <f>U301-'Blocking-Step2'!U301</f>
        <v>1739626</v>
      </c>
      <c r="AT301" s="2127">
        <f>W301-'Blocking-Step2'!W301</f>
        <v>0</v>
      </c>
      <c r="AV301" s="2128">
        <f>Y301-'Blocking-Step2'!Y301</f>
        <v>0</v>
      </c>
    </row>
    <row r="302" spans="1:48" ht="16.5" hidden="1" thickTop="1">
      <c r="A302" s="1116" t="s">
        <v>1906</v>
      </c>
      <c r="C302" s="1105">
        <v>35515983.674359836</v>
      </c>
      <c r="D302" s="1105">
        <v>33701731.316446617</v>
      </c>
      <c r="E302" s="617"/>
      <c r="F302" s="1143"/>
      <c r="G302" s="1921"/>
      <c r="H302" s="1146"/>
      <c r="I302" s="1146"/>
      <c r="J302" s="617"/>
      <c r="K302" s="1143">
        <v>0</v>
      </c>
      <c r="L302" s="1921" t="s">
        <v>495</v>
      </c>
      <c r="M302" s="1143">
        <v>0</v>
      </c>
      <c r="N302" s="1921" t="s">
        <v>495</v>
      </c>
      <c r="O302" s="1143">
        <v>6</v>
      </c>
      <c r="P302" s="1921" t="s">
        <v>495</v>
      </c>
      <c r="Q302" s="1143">
        <v>6</v>
      </c>
      <c r="R302" s="1921" t="s">
        <v>495</v>
      </c>
      <c r="S302" s="1146">
        <v>0</v>
      </c>
      <c r="T302" s="1648"/>
      <c r="U302" s="1146">
        <v>0</v>
      </c>
      <c r="V302" s="1648"/>
      <c r="W302" s="1146">
        <v>2022104</v>
      </c>
      <c r="X302" s="1648"/>
      <c r="Y302" s="1146">
        <v>2022104</v>
      </c>
      <c r="Z302" s="2114">
        <f>C302-'Blocking-Step2'!C302</f>
        <v>0</v>
      </c>
      <c r="AA302" s="2114">
        <f>D302-'Blocking-Step2'!D302</f>
        <v>0</v>
      </c>
      <c r="AC302" s="2114">
        <f>F302-'Blocking-Step2'!F302</f>
        <v>0</v>
      </c>
      <c r="AE302" s="2114">
        <f>H302-'Blocking-Step2'!H302</f>
        <v>0</v>
      </c>
      <c r="AF302" s="2114">
        <f>I302-'Blocking-Step2'!I302</f>
        <v>0</v>
      </c>
      <c r="AH302" s="2136">
        <f>K302-'Blocking-Step2'!K302</f>
        <v>0</v>
      </c>
      <c r="AJ302" s="2136">
        <f>M302-'Blocking-Step2'!M302</f>
        <v>0</v>
      </c>
      <c r="AL302" s="2136">
        <f>O302-'Blocking-Step2'!O302</f>
        <v>0</v>
      </c>
      <c r="AN302" s="2137">
        <f>Q302-'Blocking-Step2'!Q302</f>
        <v>0</v>
      </c>
      <c r="AP302" s="2127">
        <f>S302-'Blocking-Step2'!S302</f>
        <v>0</v>
      </c>
      <c r="AR302" s="2127">
        <f>U302-'Blocking-Step2'!U302</f>
        <v>0</v>
      </c>
      <c r="AT302" s="2127">
        <f>W302-'Blocking-Step2'!W302</f>
        <v>0</v>
      </c>
      <c r="AV302" s="2128">
        <f>Y302-'Blocking-Step2'!Y302</f>
        <v>0</v>
      </c>
    </row>
    <row r="303" spans="1:48" ht="16.5" hidden="1" thickTop="1">
      <c r="A303" s="1116" t="s">
        <v>1907</v>
      </c>
      <c r="C303" s="1105">
        <v>28436391.325640164</v>
      </c>
      <c r="D303" s="1105">
        <v>26983783.663520679</v>
      </c>
      <c r="E303" s="617"/>
      <c r="F303" s="1143"/>
      <c r="G303" s="1921"/>
      <c r="H303" s="1146"/>
      <c r="I303" s="1146"/>
      <c r="J303" s="617"/>
      <c r="K303" s="1143">
        <v>0</v>
      </c>
      <c r="L303" s="1921" t="s">
        <v>495</v>
      </c>
      <c r="M303" s="1143">
        <v>0</v>
      </c>
      <c r="N303" s="1921" t="s">
        <v>495</v>
      </c>
      <c r="O303" s="1143">
        <v>-2.3358000000000008</v>
      </c>
      <c r="P303" s="1921" t="s">
        <v>495</v>
      </c>
      <c r="Q303" s="1143">
        <v>-2.3358000000000008</v>
      </c>
      <c r="R303" s="1921" t="s">
        <v>495</v>
      </c>
      <c r="S303" s="1146">
        <v>0</v>
      </c>
      <c r="T303" s="1648"/>
      <c r="U303" s="1146">
        <v>0</v>
      </c>
      <c r="V303" s="1648"/>
      <c r="W303" s="1146">
        <v>-630287</v>
      </c>
      <c r="X303" s="1648"/>
      <c r="Y303" s="1146">
        <v>-630287</v>
      </c>
      <c r="Z303" s="2114">
        <f>C303-'Blocking-Step2'!C303</f>
        <v>0</v>
      </c>
      <c r="AA303" s="2114">
        <f>D303-'Blocking-Step2'!D303</f>
        <v>0</v>
      </c>
      <c r="AC303" s="2114">
        <f>F303-'Blocking-Step2'!F303</f>
        <v>0</v>
      </c>
      <c r="AE303" s="2114">
        <f>H303-'Blocking-Step2'!H303</f>
        <v>0</v>
      </c>
      <c r="AF303" s="2114">
        <f>I303-'Blocking-Step2'!I303</f>
        <v>0</v>
      </c>
      <c r="AH303" s="2136">
        <f>K303-'Blocking-Step2'!K303</f>
        <v>0</v>
      </c>
      <c r="AJ303" s="2136">
        <f>M303-'Blocking-Step2'!M303</f>
        <v>0</v>
      </c>
      <c r="AL303" s="2136">
        <f>O303-'Blocking-Step2'!O303</f>
        <v>0</v>
      </c>
      <c r="AN303" s="2137">
        <f>Q303-'Blocking-Step2'!Q303</f>
        <v>0</v>
      </c>
      <c r="AP303" s="2127">
        <f>S303-'Blocking-Step2'!S303</f>
        <v>0</v>
      </c>
      <c r="AR303" s="2127">
        <f>U303-'Blocking-Step2'!U303</f>
        <v>0</v>
      </c>
      <c r="AT303" s="2127">
        <f>W303-'Blocking-Step2'!W303</f>
        <v>0</v>
      </c>
      <c r="AV303" s="2128">
        <f>Y303-'Blocking-Step2'!Y303</f>
        <v>0</v>
      </c>
    </row>
    <row r="304" spans="1:48" ht="16.5" hidden="1" thickTop="1">
      <c r="A304" s="1116" t="s">
        <v>1908</v>
      </c>
      <c r="C304" s="1105">
        <v>62926201.625198364</v>
      </c>
      <c r="D304" s="1105">
        <v>59711761.312358119</v>
      </c>
      <c r="E304" s="617"/>
      <c r="F304" s="1143"/>
      <c r="G304" s="1921"/>
      <c r="H304" s="1146"/>
      <c r="I304" s="1146"/>
      <c r="J304" s="617"/>
      <c r="K304" s="1143">
        <v>0</v>
      </c>
      <c r="L304" s="1921" t="s">
        <v>495</v>
      </c>
      <c r="M304" s="1143">
        <v>0</v>
      </c>
      <c r="N304" s="1921" t="s">
        <v>495</v>
      </c>
      <c r="O304" s="1143">
        <v>5.3097000000000003</v>
      </c>
      <c r="P304" s="1921" t="s">
        <v>495</v>
      </c>
      <c r="Q304" s="1143">
        <v>5.3097000000000003</v>
      </c>
      <c r="R304" s="1921" t="s">
        <v>495</v>
      </c>
      <c r="S304" s="1146">
        <v>0</v>
      </c>
      <c r="T304" s="1648"/>
      <c r="U304" s="1146">
        <v>0</v>
      </c>
      <c r="V304" s="1648"/>
      <c r="W304" s="1146">
        <v>3170515</v>
      </c>
      <c r="X304" s="1648"/>
      <c r="Y304" s="1146">
        <v>3170515</v>
      </c>
      <c r="Z304" s="2114">
        <f>C304-'Blocking-Step2'!C304</f>
        <v>0</v>
      </c>
      <c r="AA304" s="2114">
        <f>D304-'Blocking-Step2'!D304</f>
        <v>0</v>
      </c>
      <c r="AC304" s="2114">
        <f>F304-'Blocking-Step2'!F304</f>
        <v>0</v>
      </c>
      <c r="AE304" s="2114">
        <f>H304-'Blocking-Step2'!H304</f>
        <v>0</v>
      </c>
      <c r="AF304" s="2114">
        <f>I304-'Blocking-Step2'!I304</f>
        <v>0</v>
      </c>
      <c r="AH304" s="2136">
        <f>K304-'Blocking-Step2'!K304</f>
        <v>0</v>
      </c>
      <c r="AJ304" s="2136">
        <f>M304-'Blocking-Step2'!M304</f>
        <v>0</v>
      </c>
      <c r="AL304" s="2136">
        <f>O304-'Blocking-Step2'!O304</f>
        <v>0</v>
      </c>
      <c r="AN304" s="2137">
        <f>Q304-'Blocking-Step2'!Q304</f>
        <v>0</v>
      </c>
      <c r="AP304" s="2127">
        <f>S304-'Blocking-Step2'!S304</f>
        <v>0</v>
      </c>
      <c r="AR304" s="2127">
        <f>U304-'Blocking-Step2'!U304</f>
        <v>0</v>
      </c>
      <c r="AT304" s="2127">
        <f>W304-'Blocking-Step2'!W304</f>
        <v>0</v>
      </c>
      <c r="AV304" s="2128">
        <f>Y304-'Blocking-Step2'!Y304</f>
        <v>0</v>
      </c>
    </row>
    <row r="305" spans="1:48" ht="16.5" hidden="1" thickTop="1">
      <c r="A305" s="1116" t="s">
        <v>1909</v>
      </c>
      <c r="C305" s="1105">
        <v>50382782.874801628</v>
      </c>
      <c r="D305" s="1105">
        <v>47809094.265556425</v>
      </c>
      <c r="E305" s="617"/>
      <c r="F305" s="1143"/>
      <c r="G305" s="1921"/>
      <c r="H305" s="1146"/>
      <c r="I305" s="1146"/>
      <c r="J305" s="617"/>
      <c r="K305" s="1143">
        <v>0</v>
      </c>
      <c r="L305" s="1921" t="s">
        <v>495</v>
      </c>
      <c r="M305" s="1143">
        <v>0</v>
      </c>
      <c r="N305" s="1921" t="s">
        <v>495</v>
      </c>
      <c r="O305" s="1143">
        <v>-2.0670999999999999</v>
      </c>
      <c r="P305" s="1921" t="s">
        <v>495</v>
      </c>
      <c r="Q305" s="1143">
        <v>-2.0670999999999999</v>
      </c>
      <c r="R305" s="1921" t="s">
        <v>495</v>
      </c>
      <c r="S305" s="1146">
        <v>0</v>
      </c>
      <c r="T305" s="1648"/>
      <c r="U305" s="1146">
        <v>0</v>
      </c>
      <c r="V305" s="1648"/>
      <c r="W305" s="1146">
        <v>-988262</v>
      </c>
      <c r="X305" s="1648"/>
      <c r="Y305" s="1146">
        <v>-988262</v>
      </c>
      <c r="Z305" s="2114">
        <f>C305-'Blocking-Step2'!C305</f>
        <v>0</v>
      </c>
      <c r="AA305" s="2114">
        <f>D305-'Blocking-Step2'!D305</f>
        <v>0</v>
      </c>
      <c r="AC305" s="2114">
        <f>F305-'Blocking-Step2'!F305</f>
        <v>0</v>
      </c>
      <c r="AE305" s="2114">
        <f>H305-'Blocking-Step2'!H305</f>
        <v>0</v>
      </c>
      <c r="AF305" s="2114">
        <f>I305-'Blocking-Step2'!I305</f>
        <v>0</v>
      </c>
      <c r="AH305" s="2136">
        <f>K305-'Blocking-Step2'!K305</f>
        <v>0</v>
      </c>
      <c r="AJ305" s="2136">
        <f>M305-'Blocking-Step2'!M305</f>
        <v>0</v>
      </c>
      <c r="AL305" s="2136">
        <f>O305-'Blocking-Step2'!O305</f>
        <v>0</v>
      </c>
      <c r="AN305" s="2137">
        <f>Q305-'Blocking-Step2'!Q305</f>
        <v>0</v>
      </c>
      <c r="AP305" s="2127">
        <f>S305-'Blocking-Step2'!S305</f>
        <v>0</v>
      </c>
      <c r="AR305" s="2127">
        <f>U305-'Blocking-Step2'!U305</f>
        <v>0</v>
      </c>
      <c r="AT305" s="2127">
        <f>W305-'Blocking-Step2'!W305</f>
        <v>0</v>
      </c>
      <c r="AV305" s="2128">
        <f>Y305-'Blocking-Step2'!Y305</f>
        <v>0</v>
      </c>
    </row>
    <row r="306" spans="1:48" ht="16.5" hidden="1" thickTop="1">
      <c r="A306" s="1116" t="s">
        <v>261</v>
      </c>
      <c r="C306" s="1105">
        <v>33386.598958333328</v>
      </c>
      <c r="D306" s="1105">
        <v>31681.121322172912</v>
      </c>
      <c r="F306" s="1907"/>
      <c r="G306" s="1110"/>
      <c r="H306" s="1146"/>
      <c r="I306" s="1146"/>
      <c r="K306" s="1907">
        <v>-0.61</v>
      </c>
      <c r="L306" s="1110"/>
      <c r="M306" s="1907">
        <v>0</v>
      </c>
      <c r="N306" s="1110"/>
      <c r="O306" s="1907">
        <v>0</v>
      </c>
      <c r="P306" s="1110"/>
      <c r="Q306" s="1907">
        <v>-0.61</v>
      </c>
      <c r="R306" s="1110"/>
      <c r="S306" s="1146">
        <v>-19325</v>
      </c>
      <c r="T306" s="1629"/>
      <c r="U306" s="1146">
        <v>0</v>
      </c>
      <c r="V306" s="1629"/>
      <c r="W306" s="1146">
        <v>0</v>
      </c>
      <c r="X306" s="1629"/>
      <c r="Y306" s="1146">
        <v>-19325</v>
      </c>
      <c r="Z306" s="2114">
        <f>C306-'Blocking-Step2'!C306</f>
        <v>0</v>
      </c>
      <c r="AA306" s="2114">
        <f>D306-'Blocking-Step2'!D306</f>
        <v>0</v>
      </c>
      <c r="AC306" s="2114">
        <f>F306-'Blocking-Step2'!F306</f>
        <v>0</v>
      </c>
      <c r="AE306" s="2114">
        <f>H306-'Blocking-Step2'!H306</f>
        <v>0</v>
      </c>
      <c r="AF306" s="2114">
        <f>I306-'Blocking-Step2'!I306</f>
        <v>0</v>
      </c>
      <c r="AH306" s="2136">
        <f>K306-'Blocking-Step2'!K306</f>
        <v>0</v>
      </c>
      <c r="AJ306" s="2136">
        <f>M306-'Blocking-Step2'!M306</f>
        <v>0</v>
      </c>
      <c r="AL306" s="2136">
        <f>O306-'Blocking-Step2'!O306</f>
        <v>0</v>
      </c>
      <c r="AN306" s="2137">
        <f>Q306-'Blocking-Step2'!Q306</f>
        <v>0</v>
      </c>
      <c r="AP306" s="2127">
        <f>S306-'Blocking-Step2'!S306</f>
        <v>0</v>
      </c>
      <c r="AR306" s="2127">
        <f>U306-'Blocking-Step2'!U306</f>
        <v>0</v>
      </c>
      <c r="AT306" s="2127">
        <f>W306-'Blocking-Step2'!W306</f>
        <v>0</v>
      </c>
      <c r="AV306" s="2128">
        <f>Y306-'Blocking-Step2'!Y306</f>
        <v>0</v>
      </c>
    </row>
    <row r="307" spans="1:48" ht="16.5" hidden="1" thickTop="1">
      <c r="A307" s="1116" t="s">
        <v>1158</v>
      </c>
      <c r="C307" s="1105">
        <v>799246.5</v>
      </c>
      <c r="D307" s="1105">
        <v>758418.83039428061</v>
      </c>
      <c r="F307" s="1106"/>
      <c r="G307" s="1921"/>
      <c r="H307" s="1146"/>
      <c r="I307" s="1146"/>
      <c r="K307" s="1106">
        <v>0</v>
      </c>
      <c r="L307" s="1921" t="s">
        <v>495</v>
      </c>
      <c r="M307" s="1106">
        <v>7.125</v>
      </c>
      <c r="N307" s="1921" t="s">
        <v>495</v>
      </c>
      <c r="O307" s="1106">
        <v>0</v>
      </c>
      <c r="P307" s="1921" t="s">
        <v>495</v>
      </c>
      <c r="Q307" s="1106">
        <v>7.125</v>
      </c>
      <c r="R307" s="1921" t="s">
        <v>495</v>
      </c>
      <c r="S307" s="1146">
        <v>0</v>
      </c>
      <c r="T307" s="1648"/>
      <c r="U307" s="1146">
        <v>54037</v>
      </c>
      <c r="V307" s="1648"/>
      <c r="W307" s="1146">
        <v>0</v>
      </c>
      <c r="X307" s="1648"/>
      <c r="Y307" s="1146">
        <v>54037</v>
      </c>
      <c r="Z307" s="2114">
        <f>C307-'Blocking-Step2'!C307</f>
        <v>0</v>
      </c>
      <c r="AA307" s="2114">
        <f>D307-'Blocking-Step2'!D307</f>
        <v>0</v>
      </c>
      <c r="AC307" s="2114">
        <f>F307-'Blocking-Step2'!F307</f>
        <v>0</v>
      </c>
      <c r="AE307" s="2114">
        <f>H307-'Blocking-Step2'!H307</f>
        <v>0</v>
      </c>
      <c r="AF307" s="2114">
        <f>I307-'Blocking-Step2'!I307</f>
        <v>0</v>
      </c>
      <c r="AH307" s="2136">
        <f>K307-'Blocking-Step2'!K307</f>
        <v>0</v>
      </c>
      <c r="AJ307" s="2136">
        <f>M307-'Blocking-Step2'!M307</f>
        <v>0</v>
      </c>
      <c r="AL307" s="2136">
        <f>O307-'Blocking-Step2'!O307</f>
        <v>0</v>
      </c>
      <c r="AN307" s="2137">
        <f>Q307-'Blocking-Step2'!Q307</f>
        <v>0</v>
      </c>
      <c r="AP307" s="2127">
        <f>S307-'Blocking-Step2'!S307</f>
        <v>0</v>
      </c>
      <c r="AR307" s="2127">
        <f>U307-'Blocking-Step2'!U307</f>
        <v>0</v>
      </c>
      <c r="AT307" s="2127">
        <f>W307-'Blocking-Step2'!W307</f>
        <v>0</v>
      </c>
      <c r="AV307" s="2128">
        <f>Y307-'Blocking-Step2'!Y307</f>
        <v>0</v>
      </c>
    </row>
    <row r="308" spans="1:48" ht="16.5" hidden="1" thickTop="1">
      <c r="A308" s="1116" t="s">
        <v>1240</v>
      </c>
      <c r="C308" s="1024"/>
      <c r="D308" s="1024"/>
      <c r="F308" s="2076"/>
      <c r="G308" s="617"/>
      <c r="H308" s="1146"/>
      <c r="I308" s="1146"/>
      <c r="K308" s="2076"/>
      <c r="L308" s="617"/>
      <c r="M308" s="2076"/>
      <c r="N308" s="617"/>
      <c r="O308" s="2077" t="s">
        <v>2323</v>
      </c>
      <c r="P308" s="617"/>
      <c r="Q308" s="2076">
        <v>-3.0599999999999999E-2</v>
      </c>
      <c r="R308" s="617"/>
      <c r="S308" s="1114"/>
      <c r="T308" s="1114"/>
      <c r="U308" s="1114"/>
      <c r="V308" s="1114"/>
      <c r="W308" s="1114"/>
      <c r="X308" s="1114"/>
      <c r="Y308" s="1146">
        <v>-466565.20739999996</v>
      </c>
      <c r="Z308" s="2114">
        <f>C308-'Blocking-Step2'!C308</f>
        <v>0</v>
      </c>
      <c r="AA308" s="2114">
        <f>D308-'Blocking-Step2'!D308</f>
        <v>0</v>
      </c>
      <c r="AC308" s="2114">
        <f>F308-'Blocking-Step2'!F308</f>
        <v>0</v>
      </c>
      <c r="AE308" s="2114">
        <f>H308-'Blocking-Step2'!H308</f>
        <v>0</v>
      </c>
      <c r="AF308" s="2114">
        <f>I308-'Blocking-Step2'!I308</f>
        <v>0</v>
      </c>
      <c r="AH308" s="2136">
        <f>K308-'Blocking-Step2'!K308</f>
        <v>0</v>
      </c>
      <c r="AJ308" s="2136">
        <f>M308-'Blocking-Step2'!M308</f>
        <v>0</v>
      </c>
      <c r="AL308" s="2136" t="e">
        <f>O308-'Blocking-Step2'!O308</f>
        <v>#VALUE!</v>
      </c>
      <c r="AN308" s="2137">
        <f>Q308-'Blocking-Step2'!Q308</f>
        <v>0</v>
      </c>
      <c r="AP308" s="2127">
        <f>S308-'Blocking-Step2'!S308</f>
        <v>0</v>
      </c>
      <c r="AR308" s="2127">
        <f>U308-'Blocking-Step2'!U308</f>
        <v>0</v>
      </c>
      <c r="AT308" s="2127">
        <f>W308-'Blocking-Step2'!W308</f>
        <v>0</v>
      </c>
      <c r="AV308" s="2128">
        <f>Y308-'Blocking-Step2'!Y308</f>
        <v>0</v>
      </c>
    </row>
    <row r="309" spans="1:48" ht="16.5" hidden="1" thickTop="1">
      <c r="A309" s="1116"/>
      <c r="C309" s="1024"/>
      <c r="D309" s="1024"/>
      <c r="F309" s="2076"/>
      <c r="G309" s="617"/>
      <c r="H309" s="1146"/>
      <c r="I309" s="1146"/>
      <c r="K309" s="2076"/>
      <c r="L309" s="617"/>
      <c r="M309" s="2076"/>
      <c r="N309" s="617"/>
      <c r="O309" s="2077" t="s">
        <v>2324</v>
      </c>
      <c r="P309" s="617"/>
      <c r="Q309" s="2076">
        <v>-1.66E-2</v>
      </c>
      <c r="R309" s="617"/>
      <c r="S309" s="1114"/>
      <c r="T309" s="1114"/>
      <c r="U309" s="1114"/>
      <c r="V309" s="1114"/>
      <c r="W309" s="1114"/>
      <c r="X309" s="1114"/>
      <c r="Y309" s="1146">
        <v>-253104.00140000001</v>
      </c>
      <c r="Z309" s="2114">
        <f>C309-'Blocking-Step2'!C309</f>
        <v>0</v>
      </c>
      <c r="AA309" s="2114">
        <f>D309-'Blocking-Step2'!D309</f>
        <v>0</v>
      </c>
      <c r="AC309" s="2114">
        <f>F309-'Blocking-Step2'!F309</f>
        <v>0</v>
      </c>
      <c r="AE309" s="2114">
        <f>H309-'Blocking-Step2'!H309</f>
        <v>0</v>
      </c>
      <c r="AF309" s="2114">
        <f>I309-'Blocking-Step2'!I309</f>
        <v>0</v>
      </c>
      <c r="AH309" s="2136">
        <f>K309-'Blocking-Step2'!K309</f>
        <v>0</v>
      </c>
      <c r="AJ309" s="2136">
        <f>M309-'Blocking-Step2'!M309</f>
        <v>0</v>
      </c>
      <c r="AL309" s="2136" t="e">
        <f>O309-'Blocking-Step2'!O309</f>
        <v>#VALUE!</v>
      </c>
      <c r="AN309" s="2137">
        <f>Q309-'Blocking-Step2'!Q309</f>
        <v>0</v>
      </c>
      <c r="AP309" s="2127">
        <f>S309-'Blocking-Step2'!S309</f>
        <v>0</v>
      </c>
      <c r="AR309" s="2127">
        <f>U309-'Blocking-Step2'!U309</f>
        <v>0</v>
      </c>
      <c r="AT309" s="2127">
        <f>W309-'Blocking-Step2'!W309</f>
        <v>0</v>
      </c>
      <c r="AV309" s="2128">
        <f>Y309-'Blocking-Step2'!Y309</f>
        <v>0</v>
      </c>
    </row>
    <row r="310" spans="1:48" ht="16.5" hidden="1" thickTop="1">
      <c r="A310" s="1116" t="s">
        <v>1923</v>
      </c>
      <c r="C310" s="1105">
        <v>178060606</v>
      </c>
      <c r="D310" s="1105">
        <v>168964789.38827613</v>
      </c>
      <c r="F310" s="1907"/>
      <c r="G310" s="1110"/>
      <c r="H310" s="1146"/>
      <c r="I310" s="1146"/>
      <c r="K310" s="1907"/>
      <c r="L310" s="1110"/>
      <c r="M310" s="1907"/>
      <c r="N310" s="1110"/>
      <c r="O310" s="1907"/>
      <c r="P310" s="1110"/>
      <c r="Q310" s="1907"/>
      <c r="R310" s="1110"/>
      <c r="S310" s="1146">
        <v>3521234</v>
      </c>
      <c r="T310" s="1629"/>
      <c r="U310" s="1146">
        <v>10356747</v>
      </c>
      <c r="V310" s="1629"/>
      <c r="W310" s="1146">
        <v>5677372</v>
      </c>
      <c r="X310" s="1629"/>
      <c r="Y310" s="1146">
        <v>19555354</v>
      </c>
      <c r="Z310" s="2114">
        <f>C310-'Blocking-Step2'!C310</f>
        <v>0</v>
      </c>
      <c r="AA310" s="2114">
        <f>D310-'Blocking-Step2'!D310</f>
        <v>0</v>
      </c>
      <c r="AC310" s="2114">
        <f>F310-'Blocking-Step2'!F310</f>
        <v>0</v>
      </c>
      <c r="AE310" s="2114">
        <f>H310-'Blocking-Step2'!H310</f>
        <v>0</v>
      </c>
      <c r="AF310" s="2114">
        <f>I310-'Blocking-Step2'!I310</f>
        <v>0</v>
      </c>
      <c r="AH310" s="2136">
        <f>K310-'Blocking-Step2'!K310</f>
        <v>0</v>
      </c>
      <c r="AJ310" s="2136">
        <f>M310-'Blocking-Step2'!M310</f>
        <v>0</v>
      </c>
      <c r="AL310" s="2136">
        <f>O310-'Blocking-Step2'!O310</f>
        <v>0</v>
      </c>
      <c r="AN310" s="2137">
        <f>Q310-'Blocking-Step2'!Q310</f>
        <v>0</v>
      </c>
      <c r="AP310" s="2127">
        <f>S310-'Blocking-Step2'!S310</f>
        <v>-3861178</v>
      </c>
      <c r="AR310" s="2127">
        <f>U310-'Blocking-Step2'!U310</f>
        <v>3861177</v>
      </c>
      <c r="AT310" s="2127">
        <f>W310-'Blocking-Step2'!W310</f>
        <v>0</v>
      </c>
      <c r="AV310" s="2128">
        <f>Y310-'Blocking-Step2'!Y310</f>
        <v>0</v>
      </c>
    </row>
    <row r="311" spans="1:48" ht="16.5" hidden="1" thickTop="1">
      <c r="A311" s="1116"/>
      <c r="C311" s="1105"/>
      <c r="D311" s="1105"/>
      <c r="F311" s="1907"/>
      <c r="G311" s="1110"/>
      <c r="H311" s="1146"/>
      <c r="I311" s="1146"/>
      <c r="K311" s="1907"/>
      <c r="L311" s="1110"/>
      <c r="M311" s="1907"/>
      <c r="N311" s="1110"/>
      <c r="O311" s="1907"/>
      <c r="P311" s="1110"/>
      <c r="Q311" s="1907"/>
      <c r="R311" s="1110"/>
      <c r="S311" s="1629"/>
      <c r="T311" s="1629"/>
      <c r="U311" s="1629"/>
      <c r="V311" s="1629"/>
      <c r="W311" s="1629"/>
      <c r="X311" s="1629"/>
      <c r="Y311" s="1146"/>
      <c r="Z311" s="2114">
        <f>C311-'Blocking-Step2'!C311</f>
        <v>0</v>
      </c>
      <c r="AA311" s="2114">
        <f>D311-'Blocking-Step2'!D311</f>
        <v>0</v>
      </c>
      <c r="AC311" s="2114">
        <f>F311-'Blocking-Step2'!F311</f>
        <v>0</v>
      </c>
      <c r="AE311" s="2114">
        <f>H311-'Blocking-Step2'!H311</f>
        <v>0</v>
      </c>
      <c r="AF311" s="2114">
        <f>I311-'Blocking-Step2'!I311</f>
        <v>0</v>
      </c>
      <c r="AH311" s="2136">
        <f>K311-'Blocking-Step2'!K311</f>
        <v>0</v>
      </c>
      <c r="AJ311" s="2136">
        <f>M311-'Blocking-Step2'!M311</f>
        <v>0</v>
      </c>
      <c r="AL311" s="2136">
        <f>O311-'Blocking-Step2'!O311</f>
        <v>0</v>
      </c>
      <c r="AN311" s="2137">
        <f>Q311-'Blocking-Step2'!Q311</f>
        <v>0</v>
      </c>
      <c r="AP311" s="2127">
        <f>S311-'Blocking-Step2'!S311</f>
        <v>0</v>
      </c>
      <c r="AR311" s="2127">
        <f>U311-'Blocking-Step2'!U311</f>
        <v>0</v>
      </c>
      <c r="AT311" s="2127">
        <f>W311-'Blocking-Step2'!W311</f>
        <v>0</v>
      </c>
      <c r="AV311" s="2128">
        <f>Y311-'Blocking-Step2'!Y311</f>
        <v>0</v>
      </c>
    </row>
    <row r="312" spans="1:48" ht="16.5" hidden="1" thickTop="1">
      <c r="A312" s="1116" t="s">
        <v>240</v>
      </c>
      <c r="C312" s="1105">
        <v>14061.016666649997</v>
      </c>
      <c r="D312" s="1105">
        <v>13951.476908881947</v>
      </c>
      <c r="F312" s="1142">
        <v>54</v>
      </c>
      <c r="G312" s="617"/>
      <c r="H312" s="1146">
        <v>759295</v>
      </c>
      <c r="I312" s="1146">
        <v>753380</v>
      </c>
      <c r="K312" s="1142">
        <v>54</v>
      </c>
      <c r="L312" s="617"/>
      <c r="M312" s="1142">
        <v>0</v>
      </c>
      <c r="N312" s="617"/>
      <c r="O312" s="1142">
        <v>0</v>
      </c>
      <c r="P312" s="617"/>
      <c r="Q312" s="1142">
        <v>54</v>
      </c>
      <c r="R312" s="617"/>
      <c r="S312" s="1146">
        <v>753380</v>
      </c>
      <c r="T312" s="1629"/>
      <c r="U312" s="1146">
        <v>0</v>
      </c>
      <c r="V312" s="1629"/>
      <c r="W312" s="1146">
        <v>0</v>
      </c>
      <c r="X312" s="1629"/>
      <c r="Y312" s="1146">
        <v>753380</v>
      </c>
      <c r="Z312" s="2114">
        <f>C312-'Blocking-Step2'!C312</f>
        <v>0</v>
      </c>
      <c r="AA312" s="2114">
        <f>D312-'Blocking-Step2'!D312</f>
        <v>0</v>
      </c>
      <c r="AC312" s="2114">
        <f>F312-'Blocking-Step2'!F312</f>
        <v>0</v>
      </c>
      <c r="AE312" s="2114">
        <f>H312-'Blocking-Step2'!H312</f>
        <v>0</v>
      </c>
      <c r="AF312" s="2114">
        <f>I312-'Blocking-Step2'!I312</f>
        <v>0</v>
      </c>
      <c r="AH312" s="2136">
        <f>K312-'Blocking-Step2'!K312</f>
        <v>0</v>
      </c>
      <c r="AJ312" s="2136">
        <f>M312-'Blocking-Step2'!M312</f>
        <v>0</v>
      </c>
      <c r="AL312" s="2136">
        <f>O312-'Blocking-Step2'!O312</f>
        <v>0</v>
      </c>
      <c r="AN312" s="2137">
        <f>Q312-'Blocking-Step2'!Q312</f>
        <v>0</v>
      </c>
      <c r="AP312" s="2127">
        <f>S312-'Blocking-Step2'!S312</f>
        <v>0</v>
      </c>
      <c r="AR312" s="2127">
        <f>U312-'Blocking-Step2'!U312</f>
        <v>0</v>
      </c>
      <c r="AT312" s="2127">
        <f>W312-'Blocking-Step2'!W312</f>
        <v>0</v>
      </c>
      <c r="AV312" s="2128">
        <f>Y312-'Blocking-Step2'!Y312</f>
        <v>0</v>
      </c>
    </row>
    <row r="313" spans="1:48" ht="16.5" hidden="1" thickTop="1">
      <c r="A313" s="1116" t="s">
        <v>262</v>
      </c>
      <c r="C313" s="1024">
        <v>0</v>
      </c>
      <c r="D313" s="1105">
        <v>0</v>
      </c>
      <c r="F313" s="1142">
        <v>648</v>
      </c>
      <c r="G313" s="617"/>
      <c r="H313" s="1146">
        <v>0</v>
      </c>
      <c r="I313" s="1146">
        <v>0</v>
      </c>
      <c r="K313" s="1142">
        <v>648</v>
      </c>
      <c r="L313" s="617"/>
      <c r="M313" s="1142">
        <v>0</v>
      </c>
      <c r="N313" s="617"/>
      <c r="O313" s="1142">
        <v>0</v>
      </c>
      <c r="P313" s="617"/>
      <c r="Q313" s="1142">
        <v>648</v>
      </c>
      <c r="R313" s="617"/>
      <c r="S313" s="1146">
        <v>0</v>
      </c>
      <c r="T313" s="1629"/>
      <c r="U313" s="1146">
        <v>0</v>
      </c>
      <c r="V313" s="1629"/>
      <c r="W313" s="1146">
        <v>0</v>
      </c>
      <c r="X313" s="1629"/>
      <c r="Y313" s="1146">
        <v>0</v>
      </c>
      <c r="Z313" s="2114">
        <f>C313-'Blocking-Step2'!C313</f>
        <v>0</v>
      </c>
      <c r="AA313" s="2114">
        <f>D313-'Blocking-Step2'!D313</f>
        <v>0</v>
      </c>
      <c r="AC313" s="2114">
        <f>F313-'Blocking-Step2'!F313</f>
        <v>0</v>
      </c>
      <c r="AE313" s="2114">
        <f>H313-'Blocking-Step2'!H313</f>
        <v>0</v>
      </c>
      <c r="AF313" s="2114">
        <f>I313-'Blocking-Step2'!I313</f>
        <v>0</v>
      </c>
      <c r="AH313" s="2136">
        <f>K313-'Blocking-Step2'!K313</f>
        <v>0</v>
      </c>
      <c r="AJ313" s="2136">
        <f>M313-'Blocking-Step2'!M313</f>
        <v>0</v>
      </c>
      <c r="AL313" s="2136">
        <f>O313-'Blocking-Step2'!O313</f>
        <v>0</v>
      </c>
      <c r="AN313" s="2137">
        <f>Q313-'Blocking-Step2'!Q313</f>
        <v>0</v>
      </c>
      <c r="AP313" s="2127">
        <f>S313-'Blocking-Step2'!S313</f>
        <v>0</v>
      </c>
      <c r="AR313" s="2127">
        <f>U313-'Blocking-Step2'!U313</f>
        <v>0</v>
      </c>
      <c r="AT313" s="2127">
        <f>W313-'Blocking-Step2'!W313</f>
        <v>0</v>
      </c>
      <c r="AV313" s="2128">
        <f>Y313-'Blocking-Step2'!Y313</f>
        <v>0</v>
      </c>
    </row>
    <row r="314" spans="1:48" ht="16.5" hidden="1" thickTop="1">
      <c r="A314" s="1116" t="s">
        <v>1298</v>
      </c>
      <c r="C314" s="1105">
        <v>0</v>
      </c>
      <c r="D314" s="1105">
        <v>0</v>
      </c>
      <c r="F314" s="1142">
        <v>54</v>
      </c>
      <c r="G314" s="617"/>
      <c r="H314" s="1146">
        <v>0</v>
      </c>
      <c r="I314" s="1146">
        <v>0</v>
      </c>
      <c r="K314" s="1142">
        <v>54</v>
      </c>
      <c r="L314" s="617"/>
      <c r="M314" s="1142">
        <v>0</v>
      </c>
      <c r="N314" s="617"/>
      <c r="O314" s="1142">
        <v>0</v>
      </c>
      <c r="P314" s="617"/>
      <c r="Q314" s="1142">
        <v>54</v>
      </c>
      <c r="R314" s="617"/>
      <c r="S314" s="1146">
        <v>0</v>
      </c>
      <c r="T314" s="1114"/>
      <c r="U314" s="1146">
        <v>0</v>
      </c>
      <c r="V314" s="1114"/>
      <c r="W314" s="1146">
        <v>0</v>
      </c>
      <c r="X314" s="1114"/>
      <c r="Y314" s="1146">
        <v>0</v>
      </c>
      <c r="Z314" s="2114">
        <f>C314-'Blocking-Step2'!C314</f>
        <v>0</v>
      </c>
      <c r="AA314" s="2114">
        <f>D314-'Blocking-Step2'!D314</f>
        <v>0</v>
      </c>
      <c r="AC314" s="2114">
        <f>F314-'Blocking-Step2'!F314</f>
        <v>0</v>
      </c>
      <c r="AE314" s="2114">
        <f>H314-'Blocking-Step2'!H314</f>
        <v>0</v>
      </c>
      <c r="AF314" s="2114">
        <f>I314-'Blocking-Step2'!I314</f>
        <v>0</v>
      </c>
      <c r="AH314" s="2136">
        <f>K314-'Blocking-Step2'!K314</f>
        <v>0</v>
      </c>
      <c r="AJ314" s="2136">
        <f>M314-'Blocking-Step2'!M314</f>
        <v>0</v>
      </c>
      <c r="AL314" s="2136">
        <f>O314-'Blocking-Step2'!O314</f>
        <v>0</v>
      </c>
      <c r="AN314" s="2137">
        <f>Q314-'Blocking-Step2'!Q314</f>
        <v>0</v>
      </c>
      <c r="AP314" s="2127">
        <f>S314-'Blocking-Step2'!S314</f>
        <v>0</v>
      </c>
      <c r="AR314" s="2127">
        <f>U314-'Blocking-Step2'!U314</f>
        <v>0</v>
      </c>
      <c r="AT314" s="2127">
        <f>W314-'Blocking-Step2'!W314</f>
        <v>0</v>
      </c>
      <c r="AV314" s="2128">
        <f>Y314-'Blocking-Step2'!Y314</f>
        <v>0</v>
      </c>
    </row>
    <row r="315" spans="1:48" ht="16.5" hidden="1" thickTop="1">
      <c r="A315" s="1116" t="s">
        <v>168</v>
      </c>
      <c r="C315" s="1105">
        <v>1083158.4146039609</v>
      </c>
      <c r="D315" s="1105">
        <v>1027828</v>
      </c>
      <c r="F315" s="1142">
        <v>4.04</v>
      </c>
      <c r="G315" s="617"/>
      <c r="H315" s="1146">
        <v>4375960</v>
      </c>
      <c r="I315" s="1146">
        <v>4152425</v>
      </c>
      <c r="K315" s="1142">
        <v>4.03</v>
      </c>
      <c r="L315" s="617"/>
      <c r="M315" s="1142">
        <v>0</v>
      </c>
      <c r="N315" s="617"/>
      <c r="O315" s="1142">
        <v>0</v>
      </c>
      <c r="P315" s="617"/>
      <c r="Q315" s="1142">
        <v>4.03</v>
      </c>
      <c r="R315" s="617"/>
      <c r="S315" s="1146">
        <v>4142147</v>
      </c>
      <c r="T315" s="1629"/>
      <c r="U315" s="1146">
        <v>0</v>
      </c>
      <c r="V315" s="1629"/>
      <c r="W315" s="1146">
        <v>0</v>
      </c>
      <c r="X315" s="1629"/>
      <c r="Y315" s="1146">
        <v>4142147</v>
      </c>
      <c r="Z315" s="2114">
        <f>C315-'Blocking-Step2'!C315</f>
        <v>0</v>
      </c>
      <c r="AA315" s="2114">
        <f>D315-'Blocking-Step2'!D315</f>
        <v>0</v>
      </c>
      <c r="AC315" s="2114">
        <f>F315-'Blocking-Step2'!F315</f>
        <v>0</v>
      </c>
      <c r="AE315" s="2114">
        <f>H315-'Blocking-Step2'!H315</f>
        <v>0</v>
      </c>
      <c r="AF315" s="2114">
        <f>I315-'Blocking-Step2'!I315</f>
        <v>0</v>
      </c>
      <c r="AH315" s="2136">
        <f>K315-'Blocking-Step2'!K315</f>
        <v>0</v>
      </c>
      <c r="AJ315" s="2136">
        <f>M315-'Blocking-Step2'!M315</f>
        <v>0</v>
      </c>
      <c r="AL315" s="2136">
        <f>O315-'Blocking-Step2'!O315</f>
        <v>0</v>
      </c>
      <c r="AN315" s="2137">
        <f>Q315-'Blocking-Step2'!Q315</f>
        <v>0</v>
      </c>
      <c r="AP315" s="2127">
        <f>S315-'Blocking-Step2'!S315</f>
        <v>0</v>
      </c>
      <c r="AR315" s="2127">
        <f>U315-'Blocking-Step2'!U315</f>
        <v>0</v>
      </c>
      <c r="AT315" s="2127">
        <f>W315-'Blocking-Step2'!W315</f>
        <v>0</v>
      </c>
      <c r="AV315" s="2128">
        <f>Y315-'Blocking-Step2'!Y315</f>
        <v>0</v>
      </c>
    </row>
    <row r="316" spans="1:48" ht="16.5" hidden="1" thickTop="1">
      <c r="A316" s="1116" t="s">
        <v>1645</v>
      </c>
      <c r="C316" s="1105">
        <v>396337.73143564368</v>
      </c>
      <c r="D316" s="1105">
        <v>376092</v>
      </c>
      <c r="F316" s="1142"/>
      <c r="G316" s="617"/>
      <c r="H316" s="1146"/>
      <c r="I316" s="1146"/>
      <c r="K316" s="1142">
        <v>0.51</v>
      </c>
      <c r="L316" s="617"/>
      <c r="M316" s="1142">
        <v>12.89</v>
      </c>
      <c r="N316" s="617"/>
      <c r="O316" s="1142">
        <v>0</v>
      </c>
      <c r="P316" s="617"/>
      <c r="Q316" s="1142">
        <v>13.4</v>
      </c>
      <c r="R316" s="617"/>
      <c r="S316" s="1146">
        <v>191807</v>
      </c>
      <c r="T316" s="1114"/>
      <c r="U316" s="1146">
        <v>4847826</v>
      </c>
      <c r="V316" s="1114"/>
      <c r="W316" s="1146">
        <v>0</v>
      </c>
      <c r="X316" s="1114"/>
      <c r="Y316" s="1146">
        <v>5039633</v>
      </c>
      <c r="Z316" s="2114">
        <f>C316-'Blocking-Step2'!C316</f>
        <v>0</v>
      </c>
      <c r="AA316" s="2114">
        <f>D316-'Blocking-Step2'!D316</f>
        <v>0</v>
      </c>
      <c r="AC316" s="2114">
        <f>F316-'Blocking-Step2'!F316</f>
        <v>0</v>
      </c>
      <c r="AE316" s="2114">
        <f>H316-'Blocking-Step2'!H316</f>
        <v>0</v>
      </c>
      <c r="AF316" s="2114">
        <f>I316-'Blocking-Step2'!I316</f>
        <v>0</v>
      </c>
      <c r="AH316" s="2136">
        <f>K316-'Blocking-Step2'!K316</f>
        <v>-5.83</v>
      </c>
      <c r="AJ316" s="2136">
        <f>M316-'Blocking-Step2'!M316</f>
        <v>5.83</v>
      </c>
      <c r="AL316" s="2136">
        <f>O316-'Blocking-Step2'!O316</f>
        <v>0</v>
      </c>
      <c r="AN316" s="2137">
        <f>Q316-'Blocking-Step2'!Q316</f>
        <v>0</v>
      </c>
      <c r="AP316" s="2127">
        <f>S316-'Blocking-Step2'!S316</f>
        <v>-2192616</v>
      </c>
      <c r="AR316" s="2127">
        <f>U316-'Blocking-Step2'!U316</f>
        <v>2192616</v>
      </c>
      <c r="AT316" s="2127">
        <f>W316-'Blocking-Step2'!W316</f>
        <v>0</v>
      </c>
      <c r="AV316" s="2128">
        <f>Y316-'Blocking-Step2'!Y316</f>
        <v>0</v>
      </c>
    </row>
    <row r="317" spans="1:48" ht="16.5" hidden="1" thickTop="1">
      <c r="A317" s="1116" t="s">
        <v>1646</v>
      </c>
      <c r="C317" s="1105">
        <v>686820.68316831719</v>
      </c>
      <c r="D317" s="1105">
        <v>651736</v>
      </c>
      <c r="F317" s="1142"/>
      <c r="G317" s="617"/>
      <c r="H317" s="1146"/>
      <c r="I317" s="1146"/>
      <c r="K317" s="1142">
        <v>0.45</v>
      </c>
      <c r="L317" s="617"/>
      <c r="M317" s="1142">
        <v>11.41</v>
      </c>
      <c r="N317" s="617"/>
      <c r="O317" s="1142">
        <v>0</v>
      </c>
      <c r="P317" s="617"/>
      <c r="Q317" s="1142">
        <v>11.86</v>
      </c>
      <c r="R317" s="617"/>
      <c r="S317" s="1146">
        <v>293281</v>
      </c>
      <c r="T317" s="1114"/>
      <c r="U317" s="1146">
        <v>7436308</v>
      </c>
      <c r="V317" s="1114"/>
      <c r="W317" s="1146">
        <v>0</v>
      </c>
      <c r="X317" s="1114"/>
      <c r="Y317" s="1146">
        <v>7729589</v>
      </c>
      <c r="Z317" s="2114">
        <f>C317-'Blocking-Step2'!C317</f>
        <v>0</v>
      </c>
      <c r="AA317" s="2114">
        <f>D317-'Blocking-Step2'!D317</f>
        <v>0</v>
      </c>
      <c r="AC317" s="2114">
        <f>F317-'Blocking-Step2'!F317</f>
        <v>0</v>
      </c>
      <c r="AE317" s="2114">
        <f>H317-'Blocking-Step2'!H317</f>
        <v>0</v>
      </c>
      <c r="AF317" s="2114">
        <f>I317-'Blocking-Step2'!I317</f>
        <v>0</v>
      </c>
      <c r="AH317" s="2136">
        <f>K317-'Blocking-Step2'!K317</f>
        <v>-5.16</v>
      </c>
      <c r="AJ317" s="2136">
        <f>M317-'Blocking-Step2'!M317</f>
        <v>5.160000000000001</v>
      </c>
      <c r="AL317" s="2136">
        <f>O317-'Blocking-Step2'!O317</f>
        <v>0</v>
      </c>
      <c r="AN317" s="2137">
        <f>Q317-'Blocking-Step2'!Q317</f>
        <v>0</v>
      </c>
      <c r="AP317" s="2127">
        <f>S317-'Blocking-Step2'!S317</f>
        <v>-3362958</v>
      </c>
      <c r="AR317" s="2127">
        <f>U317-'Blocking-Step2'!U317</f>
        <v>3362958</v>
      </c>
      <c r="AT317" s="2127">
        <f>W317-'Blocking-Step2'!W317</f>
        <v>0</v>
      </c>
      <c r="AV317" s="2128">
        <f>Y317-'Blocking-Step2'!Y317</f>
        <v>0</v>
      </c>
    </row>
    <row r="318" spans="1:48" ht="16.5" hidden="1" thickTop="1">
      <c r="A318" s="1116" t="s">
        <v>1647</v>
      </c>
      <c r="C318" s="1105">
        <v>63952375</v>
      </c>
      <c r="D318" s="1105">
        <v>60685514.38827613</v>
      </c>
      <c r="F318" s="1106"/>
      <c r="G318" s="1921"/>
      <c r="H318" s="1146"/>
      <c r="I318" s="1146"/>
      <c r="K318" s="1106">
        <v>0</v>
      </c>
      <c r="L318" s="1921" t="s">
        <v>495</v>
      </c>
      <c r="M318" s="1106">
        <v>1.6192</v>
      </c>
      <c r="N318" s="1921" t="s">
        <v>495</v>
      </c>
      <c r="O318" s="1106">
        <v>2.305570240802</v>
      </c>
      <c r="P318" s="1921" t="s">
        <v>495</v>
      </c>
      <c r="Q318" s="1106">
        <v>3.9247702408020002</v>
      </c>
      <c r="R318" s="1921" t="s">
        <v>495</v>
      </c>
      <c r="S318" s="1146">
        <v>0</v>
      </c>
      <c r="T318" s="1648"/>
      <c r="U318" s="1146">
        <v>982620</v>
      </c>
      <c r="V318" s="1648"/>
      <c r="W318" s="1146">
        <v>1399147</v>
      </c>
      <c r="X318" s="1648"/>
      <c r="Y318" s="1146">
        <v>2381767</v>
      </c>
      <c r="Z318" s="2114">
        <f>C318-'Blocking-Step2'!C318</f>
        <v>0</v>
      </c>
      <c r="AA318" s="2114">
        <f>D318-'Blocking-Step2'!D318</f>
        <v>0</v>
      </c>
      <c r="AC318" s="2114">
        <f>F318-'Blocking-Step2'!F318</f>
        <v>0</v>
      </c>
      <c r="AE318" s="2114">
        <f>H318-'Blocking-Step2'!H318</f>
        <v>0</v>
      </c>
      <c r="AF318" s="2114">
        <f>I318-'Blocking-Step2'!I318</f>
        <v>0</v>
      </c>
      <c r="AH318" s="2136">
        <f>K318-'Blocking-Step2'!K318</f>
        <v>0</v>
      </c>
      <c r="AJ318" s="2136">
        <f>M318-'Blocking-Step2'!M318</f>
        <v>0</v>
      </c>
      <c r="AL318" s="2136">
        <f>O318-'Blocking-Step2'!O318</f>
        <v>0</v>
      </c>
      <c r="AN318" s="2137">
        <f>Q318-'Blocking-Step2'!Q318</f>
        <v>0</v>
      </c>
      <c r="AP318" s="2127">
        <f>S318-'Blocking-Step2'!S318</f>
        <v>0</v>
      </c>
      <c r="AR318" s="2127">
        <f>U318-'Blocking-Step2'!U318</f>
        <v>0</v>
      </c>
      <c r="AT318" s="2127">
        <f>W318-'Blocking-Step2'!W318</f>
        <v>0</v>
      </c>
      <c r="AV318" s="2128">
        <f>Y318-'Blocking-Step2'!Y318</f>
        <v>0</v>
      </c>
    </row>
    <row r="319" spans="1:48" ht="16.5" hidden="1" thickTop="1">
      <c r="A319" s="1116" t="s">
        <v>1648</v>
      </c>
      <c r="C319" s="1105">
        <v>113308984.5</v>
      </c>
      <c r="D319" s="1105">
        <v>107520856</v>
      </c>
      <c r="F319" s="1106"/>
      <c r="G319" s="1921"/>
      <c r="H319" s="1146"/>
      <c r="I319" s="1146"/>
      <c r="K319" s="1106">
        <v>0</v>
      </c>
      <c r="L319" s="1921" t="s">
        <v>495</v>
      </c>
      <c r="M319" s="1106">
        <v>1.4329000000000001</v>
      </c>
      <c r="N319" s="1921" t="s">
        <v>495</v>
      </c>
      <c r="O319" s="1106">
        <v>2.0403480007099999</v>
      </c>
      <c r="P319" s="1921" t="s">
        <v>495</v>
      </c>
      <c r="Q319" s="1106">
        <v>3.4732480007099999</v>
      </c>
      <c r="R319" s="1921" t="s">
        <v>495</v>
      </c>
      <c r="S319" s="1146">
        <v>0</v>
      </c>
      <c r="T319" s="1648"/>
      <c r="U319" s="1146">
        <v>1540666</v>
      </c>
      <c r="V319" s="1648"/>
      <c r="W319" s="1146">
        <v>2193800</v>
      </c>
      <c r="X319" s="1648"/>
      <c r="Y319" s="1146">
        <v>3734466</v>
      </c>
      <c r="Z319" s="2114">
        <f>C319-'Blocking-Step2'!C319</f>
        <v>0</v>
      </c>
      <c r="AA319" s="2114">
        <f>D319-'Blocking-Step2'!D319</f>
        <v>0</v>
      </c>
      <c r="AC319" s="2114">
        <f>F319-'Blocking-Step2'!F319</f>
        <v>0</v>
      </c>
      <c r="AE319" s="2114">
        <f>H319-'Blocking-Step2'!H319</f>
        <v>0</v>
      </c>
      <c r="AF319" s="2114">
        <f>I319-'Blocking-Step2'!I319</f>
        <v>0</v>
      </c>
      <c r="AH319" s="2136">
        <f>K319-'Blocking-Step2'!K319</f>
        <v>0</v>
      </c>
      <c r="AJ319" s="2136">
        <f>M319-'Blocking-Step2'!M319</f>
        <v>0</v>
      </c>
      <c r="AL319" s="2136">
        <f>O319-'Blocking-Step2'!O319</f>
        <v>0</v>
      </c>
      <c r="AN319" s="2137">
        <f>Q319-'Blocking-Step2'!Q319</f>
        <v>0</v>
      </c>
      <c r="AP319" s="2127">
        <f>S319-'Blocking-Step2'!S319</f>
        <v>0</v>
      </c>
      <c r="AR319" s="2127">
        <f>U319-'Blocking-Step2'!U319</f>
        <v>0</v>
      </c>
      <c r="AT319" s="2127">
        <f>W319-'Blocking-Step2'!W319</f>
        <v>0</v>
      </c>
      <c r="AV319" s="2128">
        <f>Y319-'Blocking-Step2'!Y319</f>
        <v>0</v>
      </c>
    </row>
    <row r="320" spans="1:48" ht="16.5" hidden="1" thickTop="1">
      <c r="A320" s="1116" t="s">
        <v>196</v>
      </c>
      <c r="C320" s="1105">
        <v>496983.98864179431</v>
      </c>
      <c r="D320" s="1105">
        <v>471597</v>
      </c>
      <c r="F320" s="1142">
        <v>14.62</v>
      </c>
      <c r="G320" s="617"/>
      <c r="H320" s="1146">
        <v>7265906</v>
      </c>
      <c r="I320" s="1146">
        <v>6894748</v>
      </c>
      <c r="K320" s="1142"/>
      <c r="L320" s="617"/>
      <c r="M320" s="1142"/>
      <c r="N320" s="617"/>
      <c r="O320" s="1142"/>
      <c r="P320" s="617"/>
      <c r="Q320" s="1142"/>
      <c r="R320" s="617"/>
      <c r="S320" s="1146"/>
      <c r="T320" s="1629"/>
      <c r="U320" s="1146"/>
      <c r="V320" s="1629"/>
      <c r="W320" s="1146"/>
      <c r="X320" s="1629"/>
      <c r="Y320" s="1146"/>
      <c r="Z320" s="2114">
        <f>C320-'Blocking-Step2'!C320</f>
        <v>0</v>
      </c>
      <c r="AA320" s="2114">
        <f>D320-'Blocking-Step2'!D320</f>
        <v>0</v>
      </c>
      <c r="AC320" s="2114">
        <f>F320-'Blocking-Step2'!F320</f>
        <v>0</v>
      </c>
      <c r="AE320" s="2114">
        <f>H320-'Blocking-Step2'!H320</f>
        <v>0</v>
      </c>
      <c r="AF320" s="2114">
        <f>I320-'Blocking-Step2'!I320</f>
        <v>0</v>
      </c>
      <c r="AH320" s="2136">
        <f>K320-'Blocking-Step2'!K320</f>
        <v>0</v>
      </c>
      <c r="AJ320" s="2136">
        <f>M320-'Blocking-Step2'!M320</f>
        <v>0</v>
      </c>
      <c r="AL320" s="2136">
        <f>O320-'Blocking-Step2'!O320</f>
        <v>0</v>
      </c>
      <c r="AN320" s="2137">
        <f>Q320-'Blocking-Step2'!Q320</f>
        <v>0</v>
      </c>
      <c r="AP320" s="2127">
        <f>S320-'Blocking-Step2'!S320</f>
        <v>0</v>
      </c>
      <c r="AR320" s="2127">
        <f>U320-'Blocking-Step2'!U320</f>
        <v>0</v>
      </c>
      <c r="AT320" s="2127">
        <f>W320-'Blocking-Step2'!W320</f>
        <v>0</v>
      </c>
      <c r="AV320" s="2128">
        <f>Y320-'Blocking-Step2'!Y320</f>
        <v>0</v>
      </c>
    </row>
    <row r="321" spans="1:48" ht="16.5" hidden="1" thickTop="1">
      <c r="A321" s="1116" t="s">
        <v>161</v>
      </c>
      <c r="C321" s="1105">
        <v>586174.42596216663</v>
      </c>
      <c r="D321" s="1105">
        <v>556231</v>
      </c>
      <c r="F321" s="1142">
        <v>10.91</v>
      </c>
      <c r="G321" s="617"/>
      <c r="H321" s="1146">
        <v>6395163</v>
      </c>
      <c r="I321" s="1146">
        <v>6068480</v>
      </c>
      <c r="K321" s="1142"/>
      <c r="L321" s="617"/>
      <c r="M321" s="1142"/>
      <c r="N321" s="617"/>
      <c r="O321" s="1142"/>
      <c r="P321" s="617"/>
      <c r="Q321" s="1142"/>
      <c r="R321" s="617"/>
      <c r="S321" s="1146"/>
      <c r="T321" s="1629"/>
      <c r="U321" s="1146"/>
      <c r="V321" s="1629"/>
      <c r="W321" s="1146"/>
      <c r="X321" s="1629"/>
      <c r="Y321" s="1146"/>
      <c r="Z321" s="2114">
        <f>C321-'Blocking-Step2'!C321</f>
        <v>0</v>
      </c>
      <c r="AA321" s="2114">
        <f>D321-'Blocking-Step2'!D321</f>
        <v>0</v>
      </c>
      <c r="AC321" s="2114">
        <f>F321-'Blocking-Step2'!F321</f>
        <v>0</v>
      </c>
      <c r="AE321" s="2114">
        <f>H321-'Blocking-Step2'!H321</f>
        <v>0</v>
      </c>
      <c r="AF321" s="2114">
        <f>I321-'Blocking-Step2'!I321</f>
        <v>0</v>
      </c>
      <c r="AH321" s="2136">
        <f>K321-'Blocking-Step2'!K321</f>
        <v>0</v>
      </c>
      <c r="AJ321" s="2136">
        <f>M321-'Blocking-Step2'!M321</f>
        <v>0</v>
      </c>
      <c r="AL321" s="2136">
        <f>O321-'Blocking-Step2'!O321</f>
        <v>0</v>
      </c>
      <c r="AN321" s="2137">
        <f>Q321-'Blocking-Step2'!Q321</f>
        <v>0</v>
      </c>
      <c r="AP321" s="2127">
        <f>S321-'Blocking-Step2'!S321</f>
        <v>0</v>
      </c>
      <c r="AR321" s="2127">
        <f>U321-'Blocking-Step2'!U321</f>
        <v>0</v>
      </c>
      <c r="AT321" s="2127">
        <f>W321-'Blocking-Step2'!W321</f>
        <v>0</v>
      </c>
      <c r="AV321" s="2128">
        <f>Y321-'Blocking-Step2'!Y321</f>
        <v>0</v>
      </c>
    </row>
    <row r="322" spans="1:48" ht="16.5" hidden="1" thickTop="1">
      <c r="A322" s="1116" t="s">
        <v>261</v>
      </c>
      <c r="C322" s="1105">
        <v>33386.598958333328</v>
      </c>
      <c r="D322" s="1105">
        <v>31681.121322172912</v>
      </c>
      <c r="F322" s="1142">
        <v>-0.96</v>
      </c>
      <c r="G322" s="617"/>
      <c r="H322" s="1146">
        <v>-32051</v>
      </c>
      <c r="I322" s="1146">
        <v>-30414</v>
      </c>
      <c r="K322" s="1142">
        <v>-0.96</v>
      </c>
      <c r="L322" s="617"/>
      <c r="M322" s="1142">
        <v>0</v>
      </c>
      <c r="N322" s="617"/>
      <c r="O322" s="1142">
        <v>0</v>
      </c>
      <c r="P322" s="617"/>
      <c r="Q322" s="1142">
        <v>-0.96</v>
      </c>
      <c r="R322" s="617"/>
      <c r="S322" s="1146">
        <v>-30414</v>
      </c>
      <c r="T322" s="1629"/>
      <c r="U322" s="1146">
        <v>0</v>
      </c>
      <c r="V322" s="1629"/>
      <c r="W322" s="1146">
        <v>0</v>
      </c>
      <c r="X322" s="1629"/>
      <c r="Y322" s="1146">
        <v>-30414</v>
      </c>
      <c r="Z322" s="2114">
        <f>C322-'Blocking-Step2'!C322</f>
        <v>0</v>
      </c>
      <c r="AA322" s="2114">
        <f>D322-'Blocking-Step2'!D322</f>
        <v>0</v>
      </c>
      <c r="AC322" s="2114">
        <f>F322-'Blocking-Step2'!F322</f>
        <v>0</v>
      </c>
      <c r="AE322" s="2114">
        <f>H322-'Blocking-Step2'!H322</f>
        <v>0</v>
      </c>
      <c r="AF322" s="2114">
        <f>I322-'Blocking-Step2'!I322</f>
        <v>0</v>
      </c>
      <c r="AH322" s="2136">
        <f>K322-'Blocking-Step2'!K322</f>
        <v>0</v>
      </c>
      <c r="AJ322" s="2136">
        <f>M322-'Blocking-Step2'!M322</f>
        <v>0</v>
      </c>
      <c r="AL322" s="2136">
        <f>O322-'Blocking-Step2'!O322</f>
        <v>0</v>
      </c>
      <c r="AN322" s="2137">
        <f>Q322-'Blocking-Step2'!Q322</f>
        <v>0</v>
      </c>
      <c r="AP322" s="2127">
        <f>S322-'Blocking-Step2'!S322</f>
        <v>0</v>
      </c>
      <c r="AR322" s="2127">
        <f>U322-'Blocking-Step2'!U322</f>
        <v>0</v>
      </c>
      <c r="AT322" s="2127">
        <f>W322-'Blocking-Step2'!W322</f>
        <v>0</v>
      </c>
      <c r="AV322" s="2128">
        <f>Y322-'Blocking-Step2'!Y322</f>
        <v>0</v>
      </c>
    </row>
    <row r="323" spans="1:48" ht="16.5" hidden="1" thickTop="1">
      <c r="A323" s="1116" t="s">
        <v>1362</v>
      </c>
      <c r="C323" s="1105">
        <v>79414824.790631607</v>
      </c>
      <c r="D323" s="1105">
        <v>75358101</v>
      </c>
      <c r="F323" s="1106">
        <v>3.8127</v>
      </c>
      <c r="G323" s="1921" t="s">
        <v>495</v>
      </c>
      <c r="H323" s="1146">
        <v>3027849</v>
      </c>
      <c r="I323" s="1146">
        <v>2873178</v>
      </c>
      <c r="K323" s="1106"/>
      <c r="L323" s="1921"/>
      <c r="M323" s="1106"/>
      <c r="N323" s="1921"/>
      <c r="O323" s="1106"/>
      <c r="P323" s="1921"/>
      <c r="Q323" s="1106"/>
      <c r="R323" s="1921"/>
      <c r="S323" s="1146"/>
      <c r="T323" s="1648"/>
      <c r="U323" s="1146"/>
      <c r="V323" s="1648"/>
      <c r="W323" s="1146"/>
      <c r="X323" s="1648"/>
      <c r="Y323" s="1146"/>
      <c r="Z323" s="2114">
        <f>C323-'Blocking-Step2'!C323</f>
        <v>0</v>
      </c>
      <c r="AA323" s="2114">
        <f>D323-'Blocking-Step2'!D323</f>
        <v>0</v>
      </c>
      <c r="AC323" s="2114">
        <f>F323-'Blocking-Step2'!F323</f>
        <v>0</v>
      </c>
      <c r="AE323" s="2114">
        <f>H323-'Blocking-Step2'!H323</f>
        <v>0</v>
      </c>
      <c r="AF323" s="2114">
        <f>I323-'Blocking-Step2'!I323</f>
        <v>0</v>
      </c>
      <c r="AH323" s="2136">
        <f>K323-'Blocking-Step2'!K323</f>
        <v>0</v>
      </c>
      <c r="AJ323" s="2136">
        <f>M323-'Blocking-Step2'!M323</f>
        <v>0</v>
      </c>
      <c r="AL323" s="2136">
        <f>O323-'Blocking-Step2'!O323</f>
        <v>0</v>
      </c>
      <c r="AN323" s="2137">
        <f>Q323-'Blocking-Step2'!Q323</f>
        <v>0</v>
      </c>
      <c r="AP323" s="2127">
        <f>S323-'Blocking-Step2'!S323</f>
        <v>0</v>
      </c>
      <c r="AR323" s="2127">
        <f>U323-'Blocking-Step2'!U323</f>
        <v>0</v>
      </c>
      <c r="AT323" s="2127">
        <f>W323-'Blocking-Step2'!W323</f>
        <v>0</v>
      </c>
      <c r="AV323" s="2128">
        <f>Y323-'Blocking-Step2'!Y323</f>
        <v>0</v>
      </c>
    </row>
    <row r="324" spans="1:48" ht="16.5" hidden="1" thickTop="1">
      <c r="A324" s="1116" t="s">
        <v>1363</v>
      </c>
      <c r="C324" s="1105">
        <v>97846534.709368393</v>
      </c>
      <c r="D324" s="1105">
        <v>92848269.38827613</v>
      </c>
      <c r="F324" s="1106">
        <v>3.5143</v>
      </c>
      <c r="G324" s="1921" t="s">
        <v>495</v>
      </c>
      <c r="H324" s="1146">
        <v>3438621</v>
      </c>
      <c r="I324" s="1146">
        <v>3262967</v>
      </c>
      <c r="K324" s="1106"/>
      <c r="L324" s="1921"/>
      <c r="M324" s="1106"/>
      <c r="N324" s="1921"/>
      <c r="O324" s="1106"/>
      <c r="P324" s="1921"/>
      <c r="Q324" s="1106"/>
      <c r="R324" s="1921"/>
      <c r="S324" s="1146"/>
      <c r="T324" s="1648"/>
      <c r="U324" s="1146"/>
      <c r="V324" s="1648"/>
      <c r="W324" s="1146"/>
      <c r="X324" s="1648"/>
      <c r="Y324" s="1146"/>
      <c r="Z324" s="2114">
        <f>C324-'Blocking-Step2'!C324</f>
        <v>0</v>
      </c>
      <c r="AA324" s="2114">
        <f>D324-'Blocking-Step2'!D324</f>
        <v>0</v>
      </c>
      <c r="AC324" s="2114">
        <f>F324-'Blocking-Step2'!F324</f>
        <v>0</v>
      </c>
      <c r="AE324" s="2114">
        <f>H324-'Blocking-Step2'!H324</f>
        <v>0</v>
      </c>
      <c r="AF324" s="2114">
        <f>I324-'Blocking-Step2'!I324</f>
        <v>0</v>
      </c>
      <c r="AH324" s="2136">
        <f>K324-'Blocking-Step2'!K324</f>
        <v>0</v>
      </c>
      <c r="AJ324" s="2136">
        <f>M324-'Blocking-Step2'!M324</f>
        <v>0</v>
      </c>
      <c r="AL324" s="2136">
        <f>O324-'Blocking-Step2'!O324</f>
        <v>0</v>
      </c>
      <c r="AN324" s="2137">
        <f>Q324-'Blocking-Step2'!Q324</f>
        <v>0</v>
      </c>
      <c r="AP324" s="2127">
        <f>S324-'Blocking-Step2'!S324</f>
        <v>0</v>
      </c>
      <c r="AR324" s="2127">
        <f>U324-'Blocking-Step2'!U324</f>
        <v>0</v>
      </c>
      <c r="AT324" s="2127">
        <f>W324-'Blocking-Step2'!W324</f>
        <v>0</v>
      </c>
      <c r="AV324" s="2128">
        <f>Y324-'Blocking-Step2'!Y324</f>
        <v>0</v>
      </c>
    </row>
    <row r="325" spans="1:48" ht="16.5" hidden="1" thickTop="1">
      <c r="A325" s="1116" t="s">
        <v>1158</v>
      </c>
      <c r="C325" s="1105">
        <v>799246.5</v>
      </c>
      <c r="D325" s="1105">
        <v>758419</v>
      </c>
      <c r="F325" s="1106">
        <v>7.125</v>
      </c>
      <c r="G325" s="1921" t="s">
        <v>495</v>
      </c>
      <c r="H325" s="1146">
        <v>56946</v>
      </c>
      <c r="I325" s="1146">
        <v>54037</v>
      </c>
      <c r="K325" s="1106">
        <v>0</v>
      </c>
      <c r="L325" s="1921" t="s">
        <v>495</v>
      </c>
      <c r="M325" s="1106">
        <v>7.125</v>
      </c>
      <c r="N325" s="1921" t="s">
        <v>495</v>
      </c>
      <c r="O325" s="1106">
        <v>0</v>
      </c>
      <c r="P325" s="1921" t="s">
        <v>495</v>
      </c>
      <c r="Q325" s="1106">
        <v>7.125</v>
      </c>
      <c r="R325" s="1921" t="s">
        <v>495</v>
      </c>
      <c r="S325" s="1146">
        <v>0</v>
      </c>
      <c r="T325" s="1648"/>
      <c r="U325" s="1146">
        <v>54037</v>
      </c>
      <c r="V325" s="1648"/>
      <c r="W325" s="1146">
        <v>0</v>
      </c>
      <c r="X325" s="1648"/>
      <c r="Y325" s="1146">
        <v>54037</v>
      </c>
      <c r="Z325" s="2114">
        <f>C325-'Blocking-Step2'!C325</f>
        <v>0</v>
      </c>
      <c r="AA325" s="2114">
        <f>D325-'Blocking-Step2'!D325</f>
        <v>0</v>
      </c>
      <c r="AC325" s="2114">
        <f>F325-'Blocking-Step2'!F325</f>
        <v>0</v>
      </c>
      <c r="AE325" s="2114">
        <f>H325-'Blocking-Step2'!H325</f>
        <v>0</v>
      </c>
      <c r="AF325" s="2114">
        <f>I325-'Blocking-Step2'!I325</f>
        <v>0</v>
      </c>
      <c r="AH325" s="2136">
        <f>K325-'Blocking-Step2'!K325</f>
        <v>0</v>
      </c>
      <c r="AJ325" s="2136">
        <f>M325-'Blocking-Step2'!M325</f>
        <v>0</v>
      </c>
      <c r="AL325" s="2136">
        <f>O325-'Blocking-Step2'!O325</f>
        <v>0</v>
      </c>
      <c r="AN325" s="2137">
        <f>Q325-'Blocking-Step2'!Q325</f>
        <v>0</v>
      </c>
      <c r="AP325" s="2127">
        <f>S325-'Blocking-Step2'!S325</f>
        <v>0</v>
      </c>
      <c r="AR325" s="2127">
        <f>U325-'Blocking-Step2'!U325</f>
        <v>0</v>
      </c>
      <c r="AT325" s="2127">
        <f>W325-'Blocking-Step2'!W325</f>
        <v>0</v>
      </c>
      <c r="AV325" s="2128">
        <f>Y325-'Blocking-Step2'!Y325</f>
        <v>0</v>
      </c>
    </row>
    <row r="326" spans="1:48" ht="16.5" hidden="1" thickTop="1">
      <c r="A326" s="1116" t="s">
        <v>246</v>
      </c>
      <c r="C326" s="1940">
        <v>0</v>
      </c>
      <c r="D326" s="1940">
        <v>0</v>
      </c>
      <c r="H326" s="1147">
        <v>0</v>
      </c>
      <c r="I326" s="1147">
        <v>0</v>
      </c>
      <c r="S326" s="1147"/>
      <c r="U326" s="1147"/>
      <c r="W326" s="1147"/>
      <c r="Y326" s="1147"/>
      <c r="Z326" s="2114">
        <f>C326-'Blocking-Step2'!C326</f>
        <v>0</v>
      </c>
      <c r="AA326" s="2114">
        <f>D326-'Blocking-Step2'!D326</f>
        <v>0</v>
      </c>
      <c r="AC326" s="2114">
        <f>F326-'Blocking-Step2'!F326</f>
        <v>0</v>
      </c>
      <c r="AE326" s="2114">
        <f>H326-'Blocking-Step2'!H326</f>
        <v>0</v>
      </c>
      <c r="AF326" s="2114">
        <f>I326-'Blocking-Step2'!I326</f>
        <v>0</v>
      </c>
      <c r="AH326" s="2136">
        <f>K326-'Blocking-Step2'!K326</f>
        <v>0</v>
      </c>
      <c r="AJ326" s="2136">
        <f>M326-'Blocking-Step2'!M326</f>
        <v>0</v>
      </c>
      <c r="AL326" s="2136">
        <f>O326-'Blocking-Step2'!O326</f>
        <v>0</v>
      </c>
      <c r="AN326" s="2137">
        <f>Q326-'Blocking-Step2'!Q326</f>
        <v>0</v>
      </c>
      <c r="AP326" s="2127">
        <f>S326-'Blocking-Step2'!S326</f>
        <v>0</v>
      </c>
      <c r="AR326" s="2127">
        <f>U326-'Blocking-Step2'!U326</f>
        <v>0</v>
      </c>
      <c r="AT326" s="2127">
        <f>W326-'Blocking-Step2'!W326</f>
        <v>0</v>
      </c>
      <c r="AV326" s="2128">
        <f>Y326-'Blocking-Step2'!Y326</f>
        <v>0</v>
      </c>
    </row>
    <row r="327" spans="1:48" ht="16.5" hidden="1" thickTop="1">
      <c r="A327" s="1116" t="s">
        <v>1240</v>
      </c>
      <c r="C327" s="1024"/>
      <c r="D327" s="1024"/>
      <c r="F327" s="2076">
        <v>-3.61E-2</v>
      </c>
      <c r="G327" s="617"/>
      <c r="H327" s="1146">
        <v>-728659.90850000002</v>
      </c>
      <c r="I327" s="1146">
        <v>-691438.10100000002</v>
      </c>
      <c r="K327" s="2076"/>
      <c r="L327" s="617"/>
      <c r="M327" s="2076"/>
      <c r="N327" s="617"/>
      <c r="O327" s="2077" t="s">
        <v>2323</v>
      </c>
      <c r="P327" s="617"/>
      <c r="Q327" s="2076">
        <v>-2.76E-2</v>
      </c>
      <c r="R327" s="617"/>
      <c r="S327" s="1146"/>
      <c r="T327" s="1114"/>
      <c r="U327" s="1146"/>
      <c r="V327" s="1114"/>
      <c r="W327" s="1146"/>
      <c r="X327" s="1114"/>
      <c r="Y327" s="1146">
        <v>-522729.9792</v>
      </c>
      <c r="Z327" s="2114">
        <f>C327-'Blocking-Step2'!C327</f>
        <v>0</v>
      </c>
      <c r="AA327" s="2114">
        <f>D327-'Blocking-Step2'!D327</f>
        <v>0</v>
      </c>
      <c r="AC327" s="2114">
        <f>F327-'Blocking-Step2'!F327</f>
        <v>0</v>
      </c>
      <c r="AE327" s="2114">
        <f>H327-'Blocking-Step2'!H327</f>
        <v>0</v>
      </c>
      <c r="AF327" s="2114">
        <f>I327-'Blocking-Step2'!I327</f>
        <v>0</v>
      </c>
      <c r="AH327" s="2136">
        <f>K327-'Blocking-Step2'!K327</f>
        <v>0</v>
      </c>
      <c r="AJ327" s="2136">
        <f>M327-'Blocking-Step2'!M327</f>
        <v>0</v>
      </c>
      <c r="AL327" s="2136" t="e">
        <f>O327-'Blocking-Step2'!O327</f>
        <v>#VALUE!</v>
      </c>
      <c r="AN327" s="2137">
        <f>Q327-'Blocking-Step2'!Q327</f>
        <v>0</v>
      </c>
      <c r="AP327" s="2127">
        <f>S327-'Blocking-Step2'!S327</f>
        <v>0</v>
      </c>
      <c r="AR327" s="2127">
        <f>U327-'Blocking-Step2'!U327</f>
        <v>0</v>
      </c>
      <c r="AT327" s="2127">
        <f>W327-'Blocking-Step2'!W327</f>
        <v>0</v>
      </c>
      <c r="AV327" s="2128">
        <f>Y327-'Blocking-Step2'!Y327</f>
        <v>0</v>
      </c>
    </row>
    <row r="328" spans="1:48" ht="16.5" hidden="1" thickTop="1">
      <c r="A328" s="1116"/>
      <c r="C328" s="1024"/>
      <c r="D328" s="1024"/>
      <c r="F328" s="2076"/>
      <c r="G328" s="617"/>
      <c r="H328" s="1146"/>
      <c r="I328" s="1146"/>
      <c r="K328" s="2076"/>
      <c r="L328" s="617"/>
      <c r="M328" s="2076"/>
      <c r="N328" s="617"/>
      <c r="O328" s="2077" t="s">
        <v>2324</v>
      </c>
      <c r="P328" s="617"/>
      <c r="Q328" s="2076">
        <v>-1.4999999999999999E-2</v>
      </c>
      <c r="R328" s="617"/>
      <c r="S328" s="1146"/>
      <c r="T328" s="1114"/>
      <c r="U328" s="1146"/>
      <c r="V328" s="1114"/>
      <c r="W328" s="1146"/>
      <c r="X328" s="1114"/>
      <c r="Y328" s="1146">
        <v>-284092.38</v>
      </c>
      <c r="Z328" s="2114">
        <f>C328-'Blocking-Step2'!C328</f>
        <v>0</v>
      </c>
      <c r="AA328" s="2114">
        <f>D328-'Blocking-Step2'!D328</f>
        <v>0</v>
      </c>
      <c r="AC328" s="2114">
        <f>F328-'Blocking-Step2'!F328</f>
        <v>0</v>
      </c>
      <c r="AE328" s="2114">
        <f>H328-'Blocking-Step2'!H328</f>
        <v>0</v>
      </c>
      <c r="AF328" s="2114">
        <f>I328-'Blocking-Step2'!I328</f>
        <v>0</v>
      </c>
      <c r="AH328" s="2136">
        <f>K328-'Blocking-Step2'!K328</f>
        <v>0</v>
      </c>
      <c r="AJ328" s="2136">
        <f>M328-'Blocking-Step2'!M328</f>
        <v>0</v>
      </c>
      <c r="AL328" s="2136" t="e">
        <f>O328-'Blocking-Step2'!O328</f>
        <v>#VALUE!</v>
      </c>
      <c r="AN328" s="2137">
        <f>Q328-'Blocking-Step2'!Q328</f>
        <v>0</v>
      </c>
      <c r="AP328" s="2127">
        <f>S328-'Blocking-Step2'!S328</f>
        <v>0</v>
      </c>
      <c r="AR328" s="2127">
        <f>U328-'Blocking-Step2'!U328</f>
        <v>0</v>
      </c>
      <c r="AT328" s="2127">
        <f>W328-'Blocking-Step2'!W328</f>
        <v>0</v>
      </c>
      <c r="AV328" s="2128">
        <f>Y328-'Blocking-Step2'!Y328</f>
        <v>0</v>
      </c>
    </row>
    <row r="329" spans="1:48" ht="17.25" hidden="1" thickTop="1" thickBot="1">
      <c r="A329" s="1116" t="s">
        <v>1317</v>
      </c>
      <c r="C329" s="1024">
        <v>0</v>
      </c>
      <c r="D329" s="1105">
        <v>0</v>
      </c>
      <c r="F329" s="2076"/>
      <c r="G329" s="617"/>
      <c r="H329" s="1146"/>
      <c r="I329" s="1146"/>
      <c r="K329" s="2076"/>
      <c r="L329" s="617"/>
      <c r="M329" s="2076"/>
      <c r="N329" s="617"/>
      <c r="O329" s="1145"/>
      <c r="Q329" s="1145"/>
      <c r="S329" s="1149"/>
      <c r="U329" s="1149"/>
      <c r="W329" s="1149"/>
      <c r="Y329" s="1149"/>
      <c r="Z329" s="2114">
        <f>C329-'Blocking-Step2'!C329</f>
        <v>0</v>
      </c>
      <c r="AA329" s="2114">
        <f>D329-'Blocking-Step2'!D329</f>
        <v>0</v>
      </c>
      <c r="AC329" s="2114">
        <f>F329-'Blocking-Step2'!F329</f>
        <v>0</v>
      </c>
      <c r="AE329" s="2114">
        <f>H329-'Blocking-Step2'!H329</f>
        <v>0</v>
      </c>
      <c r="AF329" s="2114">
        <f>I329-'Blocking-Step2'!I329</f>
        <v>0</v>
      </c>
      <c r="AH329" s="2136">
        <f>K329-'Blocking-Step2'!K329</f>
        <v>0</v>
      </c>
      <c r="AJ329" s="2136">
        <f>M329-'Blocking-Step2'!M329</f>
        <v>0</v>
      </c>
      <c r="AL329" s="2136">
        <f>O329-'Blocking-Step2'!O329</f>
        <v>0</v>
      </c>
      <c r="AN329" s="2137">
        <f>Q329-'Blocking-Step2'!Q329</f>
        <v>0</v>
      </c>
      <c r="AP329" s="2127">
        <f>S329-'Blocking-Step2'!S329</f>
        <v>0</v>
      </c>
      <c r="AR329" s="2127">
        <f>U329-'Blocking-Step2'!U329</f>
        <v>0</v>
      </c>
      <c r="AT329" s="2127">
        <f>W329-'Blocking-Step2'!W329</f>
        <v>0</v>
      </c>
      <c r="AV329" s="2128">
        <f>Y329-'Blocking-Step2'!Y329</f>
        <v>0</v>
      </c>
    </row>
    <row r="330" spans="1:48" ht="17.25" hidden="1" thickTop="1" thickBot="1">
      <c r="A330" s="1116" t="s">
        <v>247</v>
      </c>
      <c r="C330" s="1138">
        <v>178060606</v>
      </c>
      <c r="D330" s="1138">
        <v>168964789.38827613</v>
      </c>
      <c r="F330" s="1145"/>
      <c r="H330" s="1149">
        <v>24559029.091499999</v>
      </c>
      <c r="I330" s="1149">
        <v>23337362.899</v>
      </c>
      <c r="K330" s="1145"/>
      <c r="M330" s="1145"/>
      <c r="O330" s="1145"/>
      <c r="Q330" s="1145"/>
      <c r="S330" s="1149">
        <v>5350201</v>
      </c>
      <c r="U330" s="1149">
        <v>14861457</v>
      </c>
      <c r="W330" s="1149">
        <v>3592947</v>
      </c>
      <c r="Y330" s="1149">
        <v>23804605</v>
      </c>
      <c r="Z330" s="2114">
        <f>C330-'Blocking-Step2'!C330</f>
        <v>0</v>
      </c>
      <c r="AA330" s="2114">
        <f>D330-'Blocking-Step2'!D330</f>
        <v>0</v>
      </c>
      <c r="AC330" s="2114">
        <f>F330-'Blocking-Step2'!F330</f>
        <v>0</v>
      </c>
      <c r="AE330" s="2114">
        <f>H330-'Blocking-Step2'!H330</f>
        <v>0</v>
      </c>
      <c r="AF330" s="2114">
        <f>I330-'Blocking-Step2'!I330</f>
        <v>0</v>
      </c>
      <c r="AH330" s="2136">
        <f>K330-'Blocking-Step2'!K330</f>
        <v>0</v>
      </c>
      <c r="AJ330" s="2136">
        <f>M330-'Blocking-Step2'!M330</f>
        <v>0</v>
      </c>
      <c r="AL330" s="2136">
        <f>O330-'Blocking-Step2'!O330</f>
        <v>0</v>
      </c>
      <c r="AN330" s="2137">
        <f>Q330-'Blocking-Step2'!Q330</f>
        <v>0</v>
      </c>
      <c r="AP330" s="2127">
        <f>S330-'Blocking-Step2'!S330</f>
        <v>-5555574</v>
      </c>
      <c r="AR330" s="2127">
        <f>U330-'Blocking-Step2'!U330</f>
        <v>5555574</v>
      </c>
      <c r="AT330" s="2127">
        <f>W330-'Blocking-Step2'!W330</f>
        <v>0</v>
      </c>
      <c r="AV330" s="2128">
        <f>Y330-'Blocking-Step2'!Y330</f>
        <v>0</v>
      </c>
    </row>
    <row r="331" spans="1:48" ht="16.5" hidden="1" thickTop="1">
      <c r="Z331" s="2114">
        <f>C331-'Blocking-Step2'!C331</f>
        <v>0</v>
      </c>
      <c r="AA331" s="2114">
        <f>D331-'Blocking-Step2'!D331</f>
        <v>0</v>
      </c>
      <c r="AC331" s="2114">
        <f>F331-'Blocking-Step2'!F331</f>
        <v>0</v>
      </c>
      <c r="AE331" s="2114">
        <f>H331-'Blocking-Step2'!H331</f>
        <v>0</v>
      </c>
      <c r="AF331" s="2114">
        <f>I331-'Blocking-Step2'!I331</f>
        <v>0</v>
      </c>
      <c r="AH331" s="2136">
        <f>K331-'Blocking-Step2'!K331</f>
        <v>0</v>
      </c>
      <c r="AJ331" s="2136">
        <f>M331-'Blocking-Step2'!M331</f>
        <v>0</v>
      </c>
      <c r="AL331" s="2136">
        <f>O331-'Blocking-Step2'!O331</f>
        <v>0</v>
      </c>
      <c r="AN331" s="2137">
        <f>Q331-'Blocking-Step2'!Q331</f>
        <v>0</v>
      </c>
      <c r="AP331" s="2127">
        <f>S331-'Blocking-Step2'!S331</f>
        <v>0</v>
      </c>
      <c r="AR331" s="2127">
        <f>U331-'Blocking-Step2'!U331</f>
        <v>0</v>
      </c>
      <c r="AT331" s="2127">
        <f>W331-'Blocking-Step2'!W331</f>
        <v>0</v>
      </c>
      <c r="AV331" s="2128">
        <f>Y331-'Blocking-Step2'!Y331</f>
        <v>0</v>
      </c>
    </row>
    <row r="332" spans="1:48" ht="16.5" hidden="1" thickTop="1">
      <c r="A332" s="1115" t="s">
        <v>1917</v>
      </c>
      <c r="C332" s="1105"/>
      <c r="D332" s="1105"/>
      <c r="Z332" s="2114">
        <f>C332-'Blocking-Step2'!C332</f>
        <v>0</v>
      </c>
      <c r="AA332" s="2114">
        <f>D332-'Blocking-Step2'!D332</f>
        <v>0</v>
      </c>
      <c r="AC332" s="2114">
        <f>F332-'Blocking-Step2'!F332</f>
        <v>0</v>
      </c>
      <c r="AE332" s="2114">
        <f>H332-'Blocking-Step2'!H332</f>
        <v>0</v>
      </c>
      <c r="AF332" s="2114">
        <f>I332-'Blocking-Step2'!I332</f>
        <v>0</v>
      </c>
      <c r="AH332" s="2136">
        <f>K332-'Blocking-Step2'!K332</f>
        <v>0</v>
      </c>
      <c r="AJ332" s="2136">
        <f>M332-'Blocking-Step2'!M332</f>
        <v>0</v>
      </c>
      <c r="AL332" s="2136">
        <f>O332-'Blocking-Step2'!O332</f>
        <v>0</v>
      </c>
      <c r="AN332" s="2137">
        <f>Q332-'Blocking-Step2'!Q332</f>
        <v>0</v>
      </c>
      <c r="AP332" s="2127">
        <f>S332-'Blocking-Step2'!S332</f>
        <v>0</v>
      </c>
      <c r="AR332" s="2127">
        <f>U332-'Blocking-Step2'!U332</f>
        <v>0</v>
      </c>
      <c r="AT332" s="2127">
        <f>W332-'Blocking-Step2'!W332</f>
        <v>0</v>
      </c>
      <c r="AV332" s="2128">
        <f>Y332-'Blocking-Step2'!Y332</f>
        <v>0</v>
      </c>
    </row>
    <row r="333" spans="1:48" ht="16.5" hidden="1" thickTop="1">
      <c r="A333" s="1116" t="s">
        <v>240</v>
      </c>
      <c r="C333" s="1105">
        <v>2090.65</v>
      </c>
      <c r="D333" s="1105">
        <v>2108.3140286129374</v>
      </c>
      <c r="F333" s="1907"/>
      <c r="G333" s="1110"/>
      <c r="H333" s="1146"/>
      <c r="I333" s="1146"/>
      <c r="K333" s="1907">
        <v>54</v>
      </c>
      <c r="L333" s="1110"/>
      <c r="M333" s="1907">
        <v>0</v>
      </c>
      <c r="N333" s="1110"/>
      <c r="O333" s="1907">
        <v>0</v>
      </c>
      <c r="P333" s="1110"/>
      <c r="Q333" s="1907">
        <v>54</v>
      </c>
      <c r="R333" s="1110"/>
      <c r="S333" s="1146">
        <v>113849</v>
      </c>
      <c r="T333" s="1629"/>
      <c r="U333" s="1146">
        <v>0</v>
      </c>
      <c r="V333" s="1629"/>
      <c r="W333" s="1146">
        <v>0</v>
      </c>
      <c r="X333" s="1629"/>
      <c r="Y333" s="1146">
        <v>113849</v>
      </c>
      <c r="Z333" s="2114">
        <f>C333-'Blocking-Step2'!C333</f>
        <v>0</v>
      </c>
      <c r="AA333" s="2114">
        <f>D333-'Blocking-Step2'!D333</f>
        <v>0</v>
      </c>
      <c r="AC333" s="2114">
        <f>F333-'Blocking-Step2'!F333</f>
        <v>0</v>
      </c>
      <c r="AE333" s="2114">
        <f>H333-'Blocking-Step2'!H333</f>
        <v>0</v>
      </c>
      <c r="AF333" s="2114">
        <f>I333-'Blocking-Step2'!I333</f>
        <v>0</v>
      </c>
      <c r="AH333" s="2136">
        <f>K333-'Blocking-Step2'!K333</f>
        <v>0</v>
      </c>
      <c r="AJ333" s="2136">
        <f>M333-'Blocking-Step2'!M333</f>
        <v>0</v>
      </c>
      <c r="AL333" s="2136">
        <f>O333-'Blocking-Step2'!O333</f>
        <v>0</v>
      </c>
      <c r="AN333" s="2137">
        <f>Q333-'Blocking-Step2'!Q333</f>
        <v>0</v>
      </c>
      <c r="AP333" s="2127">
        <f>S333-'Blocking-Step2'!S333</f>
        <v>0</v>
      </c>
      <c r="AR333" s="2127">
        <f>U333-'Blocking-Step2'!U333</f>
        <v>0</v>
      </c>
      <c r="AT333" s="2127">
        <f>W333-'Blocking-Step2'!W333</f>
        <v>0</v>
      </c>
      <c r="AV333" s="2128">
        <f>Y333-'Blocking-Step2'!Y333</f>
        <v>0</v>
      </c>
    </row>
    <row r="334" spans="1:48" ht="16.5" hidden="1" thickTop="1">
      <c r="A334" s="1116" t="s">
        <v>1910</v>
      </c>
      <c r="C334" s="1105">
        <v>4185638.1212871289</v>
      </c>
      <c r="D334" s="1105">
        <v>4387983.9192588255</v>
      </c>
      <c r="E334" s="617"/>
      <c r="F334" s="1143"/>
      <c r="G334" s="1921"/>
      <c r="H334" s="1146"/>
      <c r="I334" s="1146"/>
      <c r="J334" s="617"/>
      <c r="K334" s="1143">
        <v>1.657</v>
      </c>
      <c r="L334" s="1921" t="s">
        <v>495</v>
      </c>
      <c r="M334" s="1143">
        <v>19.370528114911814</v>
      </c>
      <c r="N334" s="1921" t="s">
        <v>495</v>
      </c>
      <c r="O334" s="1143">
        <v>1.3496999999999999</v>
      </c>
      <c r="P334" s="1921" t="s">
        <v>495</v>
      </c>
      <c r="Q334" s="1143">
        <v>22.377228114911812</v>
      </c>
      <c r="R334" s="1921" t="s">
        <v>495</v>
      </c>
      <c r="S334" s="1146">
        <v>72709</v>
      </c>
      <c r="T334" s="1648"/>
      <c r="U334" s="1146">
        <v>849976</v>
      </c>
      <c r="V334" s="1648"/>
      <c r="W334" s="1146">
        <v>59225</v>
      </c>
      <c r="X334" s="1648"/>
      <c r="Y334" s="1146">
        <v>981909</v>
      </c>
      <c r="Z334" s="2114">
        <f>C334-'Blocking-Step2'!C334</f>
        <v>0</v>
      </c>
      <c r="AA334" s="2114">
        <f>D334-'Blocking-Step2'!D334</f>
        <v>0</v>
      </c>
      <c r="AC334" s="2114">
        <f>F334-'Blocking-Step2'!F334</f>
        <v>0</v>
      </c>
      <c r="AE334" s="2114">
        <f>H334-'Blocking-Step2'!H334</f>
        <v>0</v>
      </c>
      <c r="AF334" s="2114">
        <f>I334-'Blocking-Step2'!I334</f>
        <v>0</v>
      </c>
      <c r="AH334" s="2136">
        <f>K334-'Blocking-Step2'!K334</f>
        <v>-2.2955000000000001</v>
      </c>
      <c r="AJ334" s="2136">
        <f>M334-'Blocking-Step2'!M334</f>
        <v>2.2955000000000005</v>
      </c>
      <c r="AL334" s="2136">
        <f>O334-'Blocking-Step2'!O334</f>
        <v>0</v>
      </c>
      <c r="AN334" s="2137">
        <f>Q334-'Blocking-Step2'!Q334</f>
        <v>0</v>
      </c>
      <c r="AP334" s="2127">
        <f>S334-'Blocking-Step2'!S334</f>
        <v>-100726</v>
      </c>
      <c r="AR334" s="2127">
        <f>U334-'Blocking-Step2'!U334</f>
        <v>100727</v>
      </c>
      <c r="AT334" s="2127">
        <f>W334-'Blocking-Step2'!W334</f>
        <v>0</v>
      </c>
      <c r="AV334" s="2128">
        <f>Y334-'Blocking-Step2'!Y334</f>
        <v>0</v>
      </c>
    </row>
    <row r="335" spans="1:48" ht="16.5" hidden="1" thickTop="1">
      <c r="A335" s="1116" t="s">
        <v>1911</v>
      </c>
      <c r="C335" s="1105">
        <v>9571608.8787128702</v>
      </c>
      <c r="D335" s="1105">
        <v>10034328.01025608</v>
      </c>
      <c r="E335" s="617"/>
      <c r="F335" s="1143"/>
      <c r="G335" s="1921"/>
      <c r="H335" s="1146"/>
      <c r="I335" s="1146"/>
      <c r="J335" s="617"/>
      <c r="K335" s="1143">
        <v>1.657</v>
      </c>
      <c r="L335" s="1921" t="s">
        <v>495</v>
      </c>
      <c r="M335" s="1143">
        <v>1.3803172825590004</v>
      </c>
      <c r="N335" s="1921" t="s">
        <v>495</v>
      </c>
      <c r="O335" s="1143">
        <v>1.3496999999999999</v>
      </c>
      <c r="P335" s="1921" t="s">
        <v>495</v>
      </c>
      <c r="Q335" s="1143">
        <v>4.3870172825590004</v>
      </c>
      <c r="R335" s="1921" t="s">
        <v>495</v>
      </c>
      <c r="S335" s="1146">
        <v>166269</v>
      </c>
      <c r="T335" s="1648"/>
      <c r="U335" s="1146">
        <v>138506</v>
      </c>
      <c r="V335" s="1648"/>
      <c r="W335" s="1146">
        <v>135433</v>
      </c>
      <c r="X335" s="1648"/>
      <c r="Y335" s="1146">
        <v>440208</v>
      </c>
      <c r="Z335" s="2114">
        <f>C335-'Blocking-Step2'!C335</f>
        <v>0</v>
      </c>
      <c r="AA335" s="2114">
        <f>D335-'Blocking-Step2'!D335</f>
        <v>0</v>
      </c>
      <c r="AC335" s="2114">
        <f>F335-'Blocking-Step2'!F335</f>
        <v>0</v>
      </c>
      <c r="AE335" s="2114">
        <f>H335-'Blocking-Step2'!H335</f>
        <v>0</v>
      </c>
      <c r="AF335" s="2114">
        <f>I335-'Blocking-Step2'!I335</f>
        <v>0</v>
      </c>
      <c r="AH335" s="2136">
        <f>K335-'Blocking-Step2'!K335</f>
        <v>-2.2955000000000001</v>
      </c>
      <c r="AJ335" s="2136">
        <f>M335-'Blocking-Step2'!M335</f>
        <v>2.2955000000000001</v>
      </c>
      <c r="AL335" s="2136">
        <f>O335-'Blocking-Step2'!O335</f>
        <v>0</v>
      </c>
      <c r="AN335" s="2137">
        <f>Q335-'Blocking-Step2'!Q335</f>
        <v>0</v>
      </c>
      <c r="AP335" s="2127">
        <f>S335-'Blocking-Step2'!S335</f>
        <v>-230338</v>
      </c>
      <c r="AR335" s="2127">
        <f>U335-'Blocking-Step2'!U335</f>
        <v>230338</v>
      </c>
      <c r="AT335" s="2127">
        <f>W335-'Blocking-Step2'!W335</f>
        <v>0</v>
      </c>
      <c r="AV335" s="2128">
        <f>Y335-'Blocking-Step2'!Y335</f>
        <v>0</v>
      </c>
    </row>
    <row r="336" spans="1:48" ht="16.5" hidden="1" thickTop="1">
      <c r="A336" s="1116" t="s">
        <v>1912</v>
      </c>
      <c r="C336" s="1105">
        <v>7459634.6336633675</v>
      </c>
      <c r="D336" s="1105">
        <v>7820254.8494553976</v>
      </c>
      <c r="E336" s="617"/>
      <c r="F336" s="1143"/>
      <c r="G336" s="1921"/>
      <c r="H336" s="1146"/>
      <c r="I336" s="1146"/>
      <c r="J336" s="617"/>
      <c r="K336" s="1143">
        <v>1.657</v>
      </c>
      <c r="L336" s="1921" t="s">
        <v>495</v>
      </c>
      <c r="M336" s="1143">
        <v>16.951500000000003</v>
      </c>
      <c r="N336" s="1921" t="s">
        <v>495</v>
      </c>
      <c r="O336" s="1143">
        <v>1.1943999999999999</v>
      </c>
      <c r="P336" s="1921" t="s">
        <v>495</v>
      </c>
      <c r="Q336" s="1143">
        <v>19.802900000000001</v>
      </c>
      <c r="R336" s="1921" t="s">
        <v>495</v>
      </c>
      <c r="S336" s="1146">
        <v>129582</v>
      </c>
      <c r="T336" s="1648"/>
      <c r="U336" s="1146">
        <v>1325651</v>
      </c>
      <c r="V336" s="1648"/>
      <c r="W336" s="1146">
        <v>93405</v>
      </c>
      <c r="X336" s="1648"/>
      <c r="Y336" s="1146">
        <v>1548637</v>
      </c>
      <c r="Z336" s="2114">
        <f>C336-'Blocking-Step2'!C336</f>
        <v>0</v>
      </c>
      <c r="AA336" s="2114">
        <f>D336-'Blocking-Step2'!D336</f>
        <v>0</v>
      </c>
      <c r="AC336" s="2114">
        <f>F336-'Blocking-Step2'!F336</f>
        <v>0</v>
      </c>
      <c r="AE336" s="2114">
        <f>H336-'Blocking-Step2'!H336</f>
        <v>0</v>
      </c>
      <c r="AF336" s="2114">
        <f>I336-'Blocking-Step2'!I336</f>
        <v>0</v>
      </c>
      <c r="AH336" s="2136">
        <f>K336-'Blocking-Step2'!K336</f>
        <v>-2.2955000000000001</v>
      </c>
      <c r="AJ336" s="2136">
        <f>M336-'Blocking-Step2'!M336</f>
        <v>2.2955000000000023</v>
      </c>
      <c r="AL336" s="2136">
        <f>O336-'Blocking-Step2'!O336</f>
        <v>0</v>
      </c>
      <c r="AN336" s="2137">
        <f>Q336-'Blocking-Step2'!Q336</f>
        <v>0</v>
      </c>
      <c r="AP336" s="2127">
        <f>S336-'Blocking-Step2'!S336</f>
        <v>-179514</v>
      </c>
      <c r="AR336" s="2127">
        <f>U336-'Blocking-Step2'!U336</f>
        <v>179514</v>
      </c>
      <c r="AT336" s="2127">
        <f>W336-'Blocking-Step2'!W336</f>
        <v>0</v>
      </c>
      <c r="AV336" s="2128">
        <f>Y336-'Blocking-Step2'!Y336</f>
        <v>0</v>
      </c>
    </row>
    <row r="337" spans="1:48" ht="16.5" hidden="1" thickTop="1">
      <c r="A337" s="1116" t="s">
        <v>1913</v>
      </c>
      <c r="C337" s="1105">
        <v>16404117.366336634</v>
      </c>
      <c r="D337" s="1105">
        <v>17197139.630165793</v>
      </c>
      <c r="E337" s="617"/>
      <c r="F337" s="1143"/>
      <c r="G337" s="1921"/>
      <c r="H337" s="1146"/>
      <c r="I337" s="1146"/>
      <c r="J337" s="617"/>
      <c r="K337" s="1143">
        <v>1.657</v>
      </c>
      <c r="L337" s="1921" t="s">
        <v>495</v>
      </c>
      <c r="M337" s="1143">
        <v>1.0308999999999999</v>
      </c>
      <c r="N337" s="1921" t="s">
        <v>495</v>
      </c>
      <c r="O337" s="1143">
        <v>1.1943999999999999</v>
      </c>
      <c r="P337" s="1921" t="s">
        <v>495</v>
      </c>
      <c r="Q337" s="1143">
        <v>3.8822999999999999</v>
      </c>
      <c r="R337" s="1921" t="s">
        <v>495</v>
      </c>
      <c r="S337" s="1146">
        <v>284957</v>
      </c>
      <c r="T337" s="1648"/>
      <c r="U337" s="1146">
        <v>177285</v>
      </c>
      <c r="V337" s="1648"/>
      <c r="W337" s="1146">
        <v>205403</v>
      </c>
      <c r="X337" s="1648"/>
      <c r="Y337" s="1146">
        <v>667645</v>
      </c>
      <c r="Z337" s="2114">
        <f>C337-'Blocking-Step2'!C337</f>
        <v>0</v>
      </c>
      <c r="AA337" s="2114">
        <f>D337-'Blocking-Step2'!D337</f>
        <v>0</v>
      </c>
      <c r="AC337" s="2114">
        <f>F337-'Blocking-Step2'!F337</f>
        <v>0</v>
      </c>
      <c r="AE337" s="2114">
        <f>H337-'Blocking-Step2'!H337</f>
        <v>0</v>
      </c>
      <c r="AF337" s="2114">
        <f>I337-'Blocking-Step2'!I337</f>
        <v>0</v>
      </c>
      <c r="AH337" s="2136">
        <f>K337-'Blocking-Step2'!K337</f>
        <v>-2.2955000000000001</v>
      </c>
      <c r="AJ337" s="2136">
        <f>M337-'Blocking-Step2'!M337</f>
        <v>2.2955000000000001</v>
      </c>
      <c r="AL337" s="2136">
        <f>O337-'Blocking-Step2'!O337</f>
        <v>0</v>
      </c>
      <c r="AN337" s="2137">
        <f>Q337-'Blocking-Step2'!Q337</f>
        <v>0</v>
      </c>
      <c r="AP337" s="2127">
        <f>S337-'Blocking-Step2'!S337</f>
        <v>-394760</v>
      </c>
      <c r="AR337" s="2127">
        <f>U337-'Blocking-Step2'!U337</f>
        <v>394760</v>
      </c>
      <c r="AT337" s="2127">
        <f>W337-'Blocking-Step2'!W337</f>
        <v>0</v>
      </c>
      <c r="AV337" s="2128">
        <f>Y337-'Blocking-Step2'!Y337</f>
        <v>0</v>
      </c>
    </row>
    <row r="338" spans="1:48" ht="16.5" hidden="1" thickTop="1">
      <c r="A338" s="1116" t="s">
        <v>1906</v>
      </c>
      <c r="C338" s="1105">
        <v>7640094.0521151097</v>
      </c>
      <c r="D338" s="1105">
        <v>8009438.1957695177</v>
      </c>
      <c r="E338" s="617"/>
      <c r="F338" s="1143"/>
      <c r="G338" s="1921"/>
      <c r="H338" s="1146"/>
      <c r="I338" s="1146"/>
      <c r="J338" s="617"/>
      <c r="K338" s="1143">
        <v>0</v>
      </c>
      <c r="L338" s="1921" t="s">
        <v>495</v>
      </c>
      <c r="M338" s="1143">
        <v>0</v>
      </c>
      <c r="N338" s="1921" t="s">
        <v>495</v>
      </c>
      <c r="O338" s="1143">
        <v>6</v>
      </c>
      <c r="P338" s="1921" t="s">
        <v>495</v>
      </c>
      <c r="Q338" s="1143">
        <v>6</v>
      </c>
      <c r="R338" s="1921" t="s">
        <v>495</v>
      </c>
      <c r="S338" s="1146">
        <v>0</v>
      </c>
      <c r="T338" s="1648"/>
      <c r="U338" s="1146">
        <v>0</v>
      </c>
      <c r="V338" s="1648"/>
      <c r="W338" s="1146">
        <v>480566</v>
      </c>
      <c r="X338" s="1648"/>
      <c r="Y338" s="1146">
        <v>480566</v>
      </c>
      <c r="Z338" s="2114">
        <f>C338-'Blocking-Step2'!C338</f>
        <v>0</v>
      </c>
      <c r="AA338" s="2114">
        <f>D338-'Blocking-Step2'!D338</f>
        <v>0</v>
      </c>
      <c r="AC338" s="2114">
        <f>F338-'Blocking-Step2'!F338</f>
        <v>0</v>
      </c>
      <c r="AE338" s="2114">
        <f>H338-'Blocking-Step2'!H338</f>
        <v>0</v>
      </c>
      <c r="AF338" s="2114">
        <f>I338-'Blocking-Step2'!I338</f>
        <v>0</v>
      </c>
      <c r="AH338" s="2136">
        <f>K338-'Blocking-Step2'!K338</f>
        <v>0</v>
      </c>
      <c r="AJ338" s="2136">
        <f>M338-'Blocking-Step2'!M338</f>
        <v>0</v>
      </c>
      <c r="AL338" s="2136">
        <f>O338-'Blocking-Step2'!O338</f>
        <v>0</v>
      </c>
      <c r="AN338" s="2137">
        <f>Q338-'Blocking-Step2'!Q338</f>
        <v>0</v>
      </c>
      <c r="AP338" s="2127">
        <f>S338-'Blocking-Step2'!S338</f>
        <v>0</v>
      </c>
      <c r="AR338" s="2127">
        <f>U338-'Blocking-Step2'!U338</f>
        <v>0</v>
      </c>
      <c r="AT338" s="2127">
        <f>W338-'Blocking-Step2'!W338</f>
        <v>0</v>
      </c>
      <c r="AV338" s="2128">
        <f>Y338-'Blocking-Step2'!Y338</f>
        <v>0</v>
      </c>
    </row>
    <row r="339" spans="1:48" ht="16.5" hidden="1" thickTop="1">
      <c r="A339" s="1116" t="s">
        <v>1907</v>
      </c>
      <c r="C339" s="1105">
        <v>6117152.9478848893</v>
      </c>
      <c r="D339" s="1105">
        <v>6412873.733745385</v>
      </c>
      <c r="E339" s="617"/>
      <c r="F339" s="1143"/>
      <c r="G339" s="1921"/>
      <c r="H339" s="1146"/>
      <c r="I339" s="1146"/>
      <c r="J339" s="617"/>
      <c r="K339" s="1143">
        <v>0</v>
      </c>
      <c r="L339" s="1921" t="s">
        <v>495</v>
      </c>
      <c r="M339" s="1143">
        <v>0</v>
      </c>
      <c r="N339" s="1921" t="s">
        <v>495</v>
      </c>
      <c r="O339" s="1143">
        <v>-2.3358000000000008</v>
      </c>
      <c r="P339" s="1921" t="s">
        <v>495</v>
      </c>
      <c r="Q339" s="1143">
        <v>-2.3358000000000008</v>
      </c>
      <c r="R339" s="1921" t="s">
        <v>495</v>
      </c>
      <c r="S339" s="1146">
        <v>0</v>
      </c>
      <c r="T339" s="1648"/>
      <c r="U339" s="1146">
        <v>0</v>
      </c>
      <c r="V339" s="1648"/>
      <c r="W339" s="1146">
        <v>-149792</v>
      </c>
      <c r="X339" s="1648"/>
      <c r="Y339" s="1146">
        <v>-149792</v>
      </c>
      <c r="Z339" s="2114">
        <f>C339-'Blocking-Step2'!C339</f>
        <v>0</v>
      </c>
      <c r="AA339" s="2114">
        <f>D339-'Blocking-Step2'!D339</f>
        <v>0</v>
      </c>
      <c r="AC339" s="2114">
        <f>F339-'Blocking-Step2'!F339</f>
        <v>0</v>
      </c>
      <c r="AE339" s="2114">
        <f>H339-'Blocking-Step2'!H339</f>
        <v>0</v>
      </c>
      <c r="AF339" s="2114">
        <f>I339-'Blocking-Step2'!I339</f>
        <v>0</v>
      </c>
      <c r="AH339" s="2136">
        <f>K339-'Blocking-Step2'!K339</f>
        <v>0</v>
      </c>
      <c r="AJ339" s="2136">
        <f>M339-'Blocking-Step2'!M339</f>
        <v>0</v>
      </c>
      <c r="AL339" s="2136">
        <f>O339-'Blocking-Step2'!O339</f>
        <v>0</v>
      </c>
      <c r="AN339" s="2137">
        <f>Q339-'Blocking-Step2'!Q339</f>
        <v>0</v>
      </c>
      <c r="AP339" s="2127">
        <f>S339-'Blocking-Step2'!S339</f>
        <v>0</v>
      </c>
      <c r="AR339" s="2127">
        <f>U339-'Blocking-Step2'!U339</f>
        <v>0</v>
      </c>
      <c r="AT339" s="2127">
        <f>W339-'Blocking-Step2'!W339</f>
        <v>0</v>
      </c>
      <c r="AV339" s="2128">
        <f>Y339-'Blocking-Step2'!Y339</f>
        <v>0</v>
      </c>
    </row>
    <row r="340" spans="1:48" ht="16.5" hidden="1" thickTop="1">
      <c r="A340" s="1116" t="s">
        <v>1908</v>
      </c>
      <c r="C340" s="1105">
        <v>13252746.69534901</v>
      </c>
      <c r="D340" s="1105">
        <v>13893422.627591934</v>
      </c>
      <c r="E340" s="617"/>
      <c r="F340" s="1143"/>
      <c r="G340" s="1921"/>
      <c r="H340" s="1146"/>
      <c r="I340" s="1146"/>
      <c r="J340" s="617"/>
      <c r="K340" s="1143">
        <v>0</v>
      </c>
      <c r="L340" s="1921" t="s">
        <v>495</v>
      </c>
      <c r="M340" s="1143">
        <v>0</v>
      </c>
      <c r="N340" s="1921" t="s">
        <v>495</v>
      </c>
      <c r="O340" s="1143">
        <v>5.3097000000000003</v>
      </c>
      <c r="P340" s="1921" t="s">
        <v>495</v>
      </c>
      <c r="Q340" s="1143">
        <v>5.3097000000000003</v>
      </c>
      <c r="R340" s="1921" t="s">
        <v>495</v>
      </c>
      <c r="S340" s="1146">
        <v>0</v>
      </c>
      <c r="T340" s="1648"/>
      <c r="U340" s="1146">
        <v>0</v>
      </c>
      <c r="V340" s="1648"/>
      <c r="W340" s="1146">
        <v>737699</v>
      </c>
      <c r="X340" s="1648"/>
      <c r="Y340" s="1146">
        <v>737699</v>
      </c>
      <c r="Z340" s="2114">
        <f>C340-'Blocking-Step2'!C340</f>
        <v>0</v>
      </c>
      <c r="AA340" s="2114">
        <f>D340-'Blocking-Step2'!D340</f>
        <v>0</v>
      </c>
      <c r="AC340" s="2114">
        <f>F340-'Blocking-Step2'!F340</f>
        <v>0</v>
      </c>
      <c r="AE340" s="2114">
        <f>H340-'Blocking-Step2'!H340</f>
        <v>0</v>
      </c>
      <c r="AF340" s="2114">
        <f>I340-'Blocking-Step2'!I340</f>
        <v>0</v>
      </c>
      <c r="AH340" s="2136">
        <f>K340-'Blocking-Step2'!K340</f>
        <v>0</v>
      </c>
      <c r="AJ340" s="2136">
        <f>M340-'Blocking-Step2'!M340</f>
        <v>0</v>
      </c>
      <c r="AL340" s="2136">
        <f>O340-'Blocking-Step2'!O340</f>
        <v>0</v>
      </c>
      <c r="AN340" s="2137">
        <f>Q340-'Blocking-Step2'!Q340</f>
        <v>0</v>
      </c>
      <c r="AP340" s="2127">
        <f>S340-'Blocking-Step2'!S340</f>
        <v>0</v>
      </c>
      <c r="AR340" s="2127">
        <f>U340-'Blocking-Step2'!U340</f>
        <v>0</v>
      </c>
      <c r="AT340" s="2127">
        <f>W340-'Blocking-Step2'!W340</f>
        <v>0</v>
      </c>
      <c r="AV340" s="2128">
        <f>Y340-'Blocking-Step2'!Y340</f>
        <v>0</v>
      </c>
    </row>
    <row r="341" spans="1:48" ht="16.5" hidden="1" thickTop="1">
      <c r="A341" s="1116" t="s">
        <v>1909</v>
      </c>
      <c r="C341" s="1105">
        <v>10611005.304650979</v>
      </c>
      <c r="D341" s="1105">
        <v>11123971.852029243</v>
      </c>
      <c r="E341" s="617"/>
      <c r="F341" s="1143"/>
      <c r="G341" s="1921"/>
      <c r="H341" s="1146"/>
      <c r="I341" s="1146"/>
      <c r="J341" s="617"/>
      <c r="K341" s="1143">
        <v>0</v>
      </c>
      <c r="L341" s="1921" t="s">
        <v>495</v>
      </c>
      <c r="M341" s="1143">
        <v>0</v>
      </c>
      <c r="N341" s="1921" t="s">
        <v>495</v>
      </c>
      <c r="O341" s="1143">
        <v>-2.0670999999999999</v>
      </c>
      <c r="P341" s="1921" t="s">
        <v>495</v>
      </c>
      <c r="Q341" s="1143">
        <v>-2.0670999999999999</v>
      </c>
      <c r="R341" s="1921" t="s">
        <v>495</v>
      </c>
      <c r="S341" s="1146">
        <v>0</v>
      </c>
      <c r="T341" s="1648"/>
      <c r="U341" s="1146">
        <v>0</v>
      </c>
      <c r="V341" s="1648"/>
      <c r="W341" s="1146">
        <v>-229944</v>
      </c>
      <c r="X341" s="1648"/>
      <c r="Y341" s="1146">
        <v>-229944</v>
      </c>
      <c r="Z341" s="2114">
        <f>C341-'Blocking-Step2'!C341</f>
        <v>0</v>
      </c>
      <c r="AA341" s="2114">
        <f>D341-'Blocking-Step2'!D341</f>
        <v>0</v>
      </c>
      <c r="AC341" s="2114">
        <f>F341-'Blocking-Step2'!F341</f>
        <v>0</v>
      </c>
      <c r="AE341" s="2114">
        <f>H341-'Blocking-Step2'!H341</f>
        <v>0</v>
      </c>
      <c r="AF341" s="2114">
        <f>I341-'Blocking-Step2'!I341</f>
        <v>0</v>
      </c>
      <c r="AH341" s="2136">
        <f>K341-'Blocking-Step2'!K341</f>
        <v>0</v>
      </c>
      <c r="AJ341" s="2136">
        <f>M341-'Blocking-Step2'!M341</f>
        <v>0</v>
      </c>
      <c r="AL341" s="2136">
        <f>O341-'Blocking-Step2'!O341</f>
        <v>0</v>
      </c>
      <c r="AN341" s="2137">
        <f>Q341-'Blocking-Step2'!Q341</f>
        <v>0</v>
      </c>
      <c r="AP341" s="2127">
        <f>S341-'Blocking-Step2'!S341</f>
        <v>0</v>
      </c>
      <c r="AR341" s="2127">
        <f>U341-'Blocking-Step2'!U341</f>
        <v>0</v>
      </c>
      <c r="AT341" s="2127">
        <f>W341-'Blocking-Step2'!W341</f>
        <v>0</v>
      </c>
      <c r="AV341" s="2128">
        <f>Y341-'Blocking-Step2'!Y341</f>
        <v>0</v>
      </c>
    </row>
    <row r="342" spans="1:48" ht="16.5" hidden="1" thickTop="1">
      <c r="A342" s="1116" t="s">
        <v>261</v>
      </c>
      <c r="C342" s="1105">
        <v>24029.583333333336</v>
      </c>
      <c r="D342" s="1105">
        <v>25191.242577065448</v>
      </c>
      <c r="F342" s="1907"/>
      <c r="G342" s="1110"/>
      <c r="H342" s="1146"/>
      <c r="I342" s="1146"/>
      <c r="K342" s="1907">
        <v>-0.61</v>
      </c>
      <c r="L342" s="1110"/>
      <c r="M342" s="1907">
        <v>0</v>
      </c>
      <c r="N342" s="1110"/>
      <c r="O342" s="1907">
        <v>0</v>
      </c>
      <c r="P342" s="1110"/>
      <c r="Q342" s="1907">
        <v>-0.61</v>
      </c>
      <c r="R342" s="1110"/>
      <c r="S342" s="1146">
        <v>-15367</v>
      </c>
      <c r="T342" s="1629"/>
      <c r="U342" s="1146">
        <v>0</v>
      </c>
      <c r="V342" s="1629"/>
      <c r="W342" s="1146">
        <v>0</v>
      </c>
      <c r="X342" s="1629"/>
      <c r="Y342" s="1146">
        <v>-15367</v>
      </c>
      <c r="Z342" s="2114">
        <f>C342-'Blocking-Step2'!C342</f>
        <v>0</v>
      </c>
      <c r="AA342" s="2114">
        <f>D342-'Blocking-Step2'!D342</f>
        <v>0</v>
      </c>
      <c r="AC342" s="2114">
        <f>F342-'Blocking-Step2'!F342</f>
        <v>0</v>
      </c>
      <c r="AE342" s="2114">
        <f>H342-'Blocking-Step2'!H342</f>
        <v>0</v>
      </c>
      <c r="AF342" s="2114">
        <f>I342-'Blocking-Step2'!I342</f>
        <v>0</v>
      </c>
      <c r="AH342" s="2136">
        <f>K342-'Blocking-Step2'!K342</f>
        <v>0</v>
      </c>
      <c r="AJ342" s="2136">
        <f>M342-'Blocking-Step2'!M342</f>
        <v>0</v>
      </c>
      <c r="AL342" s="2136">
        <f>O342-'Blocking-Step2'!O342</f>
        <v>0</v>
      </c>
      <c r="AN342" s="2137">
        <f>Q342-'Blocking-Step2'!Q342</f>
        <v>0</v>
      </c>
      <c r="AP342" s="2127">
        <f>S342-'Blocking-Step2'!S342</f>
        <v>0</v>
      </c>
      <c r="AR342" s="2127">
        <f>U342-'Blocking-Step2'!U342</f>
        <v>0</v>
      </c>
      <c r="AT342" s="2127">
        <f>W342-'Blocking-Step2'!W342</f>
        <v>0</v>
      </c>
      <c r="AV342" s="2128">
        <f>Y342-'Blocking-Step2'!Y342</f>
        <v>0</v>
      </c>
    </row>
    <row r="343" spans="1:48" ht="16.5" hidden="1" thickTop="1">
      <c r="A343" s="1116" t="s">
        <v>1158</v>
      </c>
      <c r="C343" s="1105">
        <v>400</v>
      </c>
      <c r="D343" s="1105">
        <v>419.33715167038594</v>
      </c>
      <c r="F343" s="1106"/>
      <c r="G343" s="1921"/>
      <c r="H343" s="1146"/>
      <c r="I343" s="1146"/>
      <c r="K343" s="1106">
        <v>0</v>
      </c>
      <c r="L343" s="1921" t="s">
        <v>495</v>
      </c>
      <c r="M343" s="1106">
        <v>7.125</v>
      </c>
      <c r="N343" s="1921" t="s">
        <v>495</v>
      </c>
      <c r="O343" s="1106">
        <v>0</v>
      </c>
      <c r="P343" s="1921" t="s">
        <v>495</v>
      </c>
      <c r="Q343" s="1106">
        <v>7.125</v>
      </c>
      <c r="R343" s="1921" t="s">
        <v>495</v>
      </c>
      <c r="S343" s="1146">
        <v>0</v>
      </c>
      <c r="T343" s="1648"/>
      <c r="U343" s="1146">
        <v>30</v>
      </c>
      <c r="V343" s="1648"/>
      <c r="W343" s="1146">
        <v>0</v>
      </c>
      <c r="X343" s="1648"/>
      <c r="Y343" s="1146">
        <v>30</v>
      </c>
      <c r="Z343" s="2114">
        <f>C343-'Blocking-Step2'!C343</f>
        <v>0</v>
      </c>
      <c r="AA343" s="2114">
        <f>D343-'Blocking-Step2'!D343</f>
        <v>0</v>
      </c>
      <c r="AC343" s="2114">
        <f>F343-'Blocking-Step2'!F343</f>
        <v>0</v>
      </c>
      <c r="AE343" s="2114">
        <f>H343-'Blocking-Step2'!H343</f>
        <v>0</v>
      </c>
      <c r="AF343" s="2114">
        <f>I343-'Blocking-Step2'!I343</f>
        <v>0</v>
      </c>
      <c r="AH343" s="2136">
        <f>K343-'Blocking-Step2'!K343</f>
        <v>0</v>
      </c>
      <c r="AJ343" s="2136">
        <f>M343-'Blocking-Step2'!M343</f>
        <v>0</v>
      </c>
      <c r="AL343" s="2136">
        <f>O343-'Blocking-Step2'!O343</f>
        <v>0</v>
      </c>
      <c r="AN343" s="2137">
        <f>Q343-'Blocking-Step2'!Q343</f>
        <v>0</v>
      </c>
      <c r="AP343" s="2127">
        <f>S343-'Blocking-Step2'!S343</f>
        <v>0</v>
      </c>
      <c r="AR343" s="2127">
        <f>U343-'Blocking-Step2'!U343</f>
        <v>0</v>
      </c>
      <c r="AT343" s="2127">
        <f>W343-'Blocking-Step2'!W343</f>
        <v>0</v>
      </c>
      <c r="AV343" s="2128">
        <f>Y343-'Blocking-Step2'!Y343</f>
        <v>0</v>
      </c>
    </row>
    <row r="344" spans="1:48" ht="16.5" hidden="1" thickTop="1">
      <c r="A344" s="1116" t="s">
        <v>1240</v>
      </c>
      <c r="C344" s="1024"/>
      <c r="D344" s="1024"/>
      <c r="F344" s="2076"/>
      <c r="G344" s="617"/>
      <c r="H344" s="1146"/>
      <c r="I344" s="1146"/>
      <c r="K344" s="2076"/>
      <c r="L344" s="617"/>
      <c r="M344" s="2076"/>
      <c r="N344" s="617"/>
      <c r="O344" s="2077" t="s">
        <v>2323</v>
      </c>
      <c r="P344" s="617"/>
      <c r="Q344" s="2076">
        <v>-3.0599999999999999E-2</v>
      </c>
      <c r="R344" s="617"/>
      <c r="S344" s="1114"/>
      <c r="T344" s="1114"/>
      <c r="U344" s="1114"/>
      <c r="V344" s="1114"/>
      <c r="W344" s="1114"/>
      <c r="X344" s="1114"/>
      <c r="Y344" s="1146">
        <v>-111335.9274</v>
      </c>
      <c r="Z344" s="2114">
        <f>C344-'Blocking-Step2'!C344</f>
        <v>0</v>
      </c>
      <c r="AA344" s="2114">
        <f>D344-'Blocking-Step2'!D344</f>
        <v>0</v>
      </c>
      <c r="AC344" s="2114">
        <f>F344-'Blocking-Step2'!F344</f>
        <v>0</v>
      </c>
      <c r="AE344" s="2114">
        <f>H344-'Blocking-Step2'!H344</f>
        <v>0</v>
      </c>
      <c r="AF344" s="2114">
        <f>I344-'Blocking-Step2'!I344</f>
        <v>0</v>
      </c>
      <c r="AH344" s="2136">
        <f>K344-'Blocking-Step2'!K344</f>
        <v>0</v>
      </c>
      <c r="AJ344" s="2136">
        <f>M344-'Blocking-Step2'!M344</f>
        <v>0</v>
      </c>
      <c r="AL344" s="2136" t="e">
        <f>O344-'Blocking-Step2'!O344</f>
        <v>#VALUE!</v>
      </c>
      <c r="AN344" s="2137">
        <f>Q344-'Blocking-Step2'!Q344</f>
        <v>0</v>
      </c>
      <c r="AP344" s="2127">
        <f>S344-'Blocking-Step2'!S344</f>
        <v>0</v>
      </c>
      <c r="AR344" s="2127">
        <f>U344-'Blocking-Step2'!U344</f>
        <v>0</v>
      </c>
      <c r="AT344" s="2127">
        <f>W344-'Blocking-Step2'!W344</f>
        <v>0</v>
      </c>
      <c r="AV344" s="2128">
        <f>Y344-'Blocking-Step2'!Y344</f>
        <v>0</v>
      </c>
    </row>
    <row r="345" spans="1:48" ht="16.5" hidden="1" thickTop="1">
      <c r="A345" s="1116"/>
      <c r="C345" s="1024"/>
      <c r="D345" s="1024"/>
      <c r="F345" s="2076"/>
      <c r="G345" s="617"/>
      <c r="H345" s="1146"/>
      <c r="I345" s="1146"/>
      <c r="K345" s="2076"/>
      <c r="L345" s="617"/>
      <c r="M345" s="2076"/>
      <c r="N345" s="617"/>
      <c r="O345" s="2077" t="s">
        <v>2324</v>
      </c>
      <c r="P345" s="617"/>
      <c r="Q345" s="2076">
        <v>-1.66E-2</v>
      </c>
      <c r="R345" s="617"/>
      <c r="S345" s="1114"/>
      <c r="T345" s="1114"/>
      <c r="U345" s="1114"/>
      <c r="V345" s="1114"/>
      <c r="W345" s="1114"/>
      <c r="X345" s="1114"/>
      <c r="Y345" s="1146">
        <v>-60397.921399999999</v>
      </c>
      <c r="Z345" s="2114">
        <f>C345-'Blocking-Step2'!C345</f>
        <v>0</v>
      </c>
      <c r="AA345" s="2114">
        <f>D345-'Blocking-Step2'!D345</f>
        <v>0</v>
      </c>
      <c r="AC345" s="2114">
        <f>F345-'Blocking-Step2'!F345</f>
        <v>0</v>
      </c>
      <c r="AE345" s="2114">
        <f>H345-'Blocking-Step2'!H345</f>
        <v>0</v>
      </c>
      <c r="AF345" s="2114">
        <f>I345-'Blocking-Step2'!I345</f>
        <v>0</v>
      </c>
      <c r="AH345" s="2136">
        <f>K345-'Blocking-Step2'!K345</f>
        <v>0</v>
      </c>
      <c r="AJ345" s="2136">
        <f>M345-'Blocking-Step2'!M345</f>
        <v>0</v>
      </c>
      <c r="AL345" s="2136" t="e">
        <f>O345-'Blocking-Step2'!O345</f>
        <v>#VALUE!</v>
      </c>
      <c r="AN345" s="2137">
        <f>Q345-'Blocking-Step2'!Q345</f>
        <v>0</v>
      </c>
      <c r="AP345" s="2127">
        <f>S345-'Blocking-Step2'!S345</f>
        <v>0</v>
      </c>
      <c r="AR345" s="2127">
        <f>U345-'Blocking-Step2'!U345</f>
        <v>0</v>
      </c>
      <c r="AT345" s="2127">
        <f>W345-'Blocking-Step2'!W345</f>
        <v>0</v>
      </c>
      <c r="AV345" s="2128">
        <f>Y345-'Blocking-Step2'!Y345</f>
        <v>0</v>
      </c>
    </row>
    <row r="346" spans="1:48" ht="16.5" hidden="1" thickTop="1">
      <c r="A346" s="1116" t="s">
        <v>1923</v>
      </c>
      <c r="C346" s="1105">
        <v>37621398.999999985</v>
      </c>
      <c r="D346" s="1105">
        <v>39440125.746287748</v>
      </c>
      <c r="F346" s="1907"/>
      <c r="G346" s="1110"/>
      <c r="H346" s="1146"/>
      <c r="I346" s="1146"/>
      <c r="K346" s="1907"/>
      <c r="L346" s="1110"/>
      <c r="M346" s="1907"/>
      <c r="N346" s="1110"/>
      <c r="O346" s="1907"/>
      <c r="P346" s="1110"/>
      <c r="Q346" s="1907"/>
      <c r="R346" s="1110"/>
      <c r="S346" s="1146">
        <v>751999</v>
      </c>
      <c r="T346" s="1629"/>
      <c r="U346" s="1146">
        <v>2491448</v>
      </c>
      <c r="V346" s="1629"/>
      <c r="W346" s="1146">
        <v>1331995</v>
      </c>
      <c r="X346" s="1629"/>
      <c r="Y346" s="1146">
        <v>4575440</v>
      </c>
      <c r="Z346" s="2114">
        <f>C346-'Blocking-Step2'!C346</f>
        <v>0</v>
      </c>
      <c r="AA346" s="2114">
        <f>D346-'Blocking-Step2'!D346</f>
        <v>0</v>
      </c>
      <c r="AC346" s="2114">
        <f>F346-'Blocking-Step2'!F346</f>
        <v>0</v>
      </c>
      <c r="AE346" s="2114">
        <f>H346-'Blocking-Step2'!H346</f>
        <v>0</v>
      </c>
      <c r="AF346" s="2114">
        <f>I346-'Blocking-Step2'!I346</f>
        <v>0</v>
      </c>
      <c r="AH346" s="2136">
        <f>K346-'Blocking-Step2'!K346</f>
        <v>0</v>
      </c>
      <c r="AJ346" s="2136">
        <f>M346-'Blocking-Step2'!M346</f>
        <v>0</v>
      </c>
      <c r="AL346" s="2136">
        <f>O346-'Blocking-Step2'!O346</f>
        <v>0</v>
      </c>
      <c r="AN346" s="2137">
        <f>Q346-'Blocking-Step2'!Q346</f>
        <v>0</v>
      </c>
      <c r="AP346" s="2127">
        <f>S346-'Blocking-Step2'!S346</f>
        <v>-905338</v>
      </c>
      <c r="AR346" s="2127">
        <f>U346-'Blocking-Step2'!U346</f>
        <v>905339</v>
      </c>
      <c r="AT346" s="2127">
        <f>W346-'Blocking-Step2'!W346</f>
        <v>0</v>
      </c>
      <c r="AV346" s="2128">
        <f>Y346-'Blocking-Step2'!Y346</f>
        <v>0</v>
      </c>
    </row>
    <row r="347" spans="1:48" ht="16.5" hidden="1" thickTop="1">
      <c r="A347" s="1116"/>
      <c r="C347" s="1105"/>
      <c r="D347" s="1105"/>
      <c r="F347" s="1907"/>
      <c r="G347" s="1110"/>
      <c r="H347" s="1146"/>
      <c r="I347" s="1146"/>
      <c r="K347" s="1907"/>
      <c r="L347" s="1110"/>
      <c r="M347" s="1907"/>
      <c r="N347" s="1110"/>
      <c r="O347" s="1907"/>
      <c r="P347" s="1110"/>
      <c r="Q347" s="1907"/>
      <c r="R347" s="1110"/>
      <c r="S347" s="1629"/>
      <c r="T347" s="1629"/>
      <c r="U347" s="1629"/>
      <c r="V347" s="1629"/>
      <c r="W347" s="1629"/>
      <c r="X347" s="1629"/>
      <c r="Y347" s="1146"/>
      <c r="Z347" s="2114">
        <f>C347-'Blocking-Step2'!C347</f>
        <v>0</v>
      </c>
      <c r="AA347" s="2114">
        <f>D347-'Blocking-Step2'!D347</f>
        <v>0</v>
      </c>
      <c r="AC347" s="2114">
        <f>F347-'Blocking-Step2'!F347</f>
        <v>0</v>
      </c>
      <c r="AE347" s="2114">
        <f>H347-'Blocking-Step2'!H347</f>
        <v>0</v>
      </c>
      <c r="AF347" s="2114">
        <f>I347-'Blocking-Step2'!I347</f>
        <v>0</v>
      </c>
      <c r="AH347" s="2136">
        <f>K347-'Blocking-Step2'!K347</f>
        <v>0</v>
      </c>
      <c r="AJ347" s="2136">
        <f>M347-'Blocking-Step2'!M347</f>
        <v>0</v>
      </c>
      <c r="AL347" s="2136">
        <f>O347-'Blocking-Step2'!O347</f>
        <v>0</v>
      </c>
      <c r="AN347" s="2137">
        <f>Q347-'Blocking-Step2'!Q347</f>
        <v>0</v>
      </c>
      <c r="AP347" s="2127">
        <f>S347-'Blocking-Step2'!S347</f>
        <v>0</v>
      </c>
      <c r="AR347" s="2127">
        <f>U347-'Blocking-Step2'!U347</f>
        <v>0</v>
      </c>
      <c r="AT347" s="2127">
        <f>W347-'Blocking-Step2'!W347</f>
        <v>0</v>
      </c>
      <c r="AV347" s="2128">
        <f>Y347-'Blocking-Step2'!Y347</f>
        <v>0</v>
      </c>
    </row>
    <row r="348" spans="1:48" ht="16.5" hidden="1" thickTop="1">
      <c r="A348" s="1116" t="s">
        <v>240</v>
      </c>
      <c r="C348" s="1105">
        <v>2090.65</v>
      </c>
      <c r="D348" s="1105">
        <v>2108.3140286129374</v>
      </c>
      <c r="F348" s="1142">
        <v>54</v>
      </c>
      <c r="G348" s="617"/>
      <c r="H348" s="1146">
        <v>112895</v>
      </c>
      <c r="I348" s="1146">
        <v>113849</v>
      </c>
      <c r="K348" s="1142">
        <v>54</v>
      </c>
      <c r="L348" s="617"/>
      <c r="M348" s="1142">
        <v>0</v>
      </c>
      <c r="N348" s="617"/>
      <c r="O348" s="1142">
        <v>0</v>
      </c>
      <c r="P348" s="617"/>
      <c r="Q348" s="1142">
        <v>54</v>
      </c>
      <c r="R348" s="617"/>
      <c r="S348" s="1146">
        <v>113849</v>
      </c>
      <c r="T348" s="1629"/>
      <c r="U348" s="1146">
        <v>0</v>
      </c>
      <c r="V348" s="1629"/>
      <c r="W348" s="1146">
        <v>0</v>
      </c>
      <c r="X348" s="1629"/>
      <c r="Y348" s="1146">
        <v>113849</v>
      </c>
      <c r="Z348" s="2114">
        <f>C348-'Blocking-Step2'!C348</f>
        <v>0</v>
      </c>
      <c r="AA348" s="2114">
        <f>D348-'Blocking-Step2'!D348</f>
        <v>0</v>
      </c>
      <c r="AC348" s="2114">
        <f>F348-'Blocking-Step2'!F348</f>
        <v>0</v>
      </c>
      <c r="AE348" s="2114">
        <f>H348-'Blocking-Step2'!H348</f>
        <v>0</v>
      </c>
      <c r="AF348" s="2114">
        <f>I348-'Blocking-Step2'!I348</f>
        <v>0</v>
      </c>
      <c r="AH348" s="2136">
        <f>K348-'Blocking-Step2'!K348</f>
        <v>0</v>
      </c>
      <c r="AJ348" s="2136">
        <f>M348-'Blocking-Step2'!M348</f>
        <v>0</v>
      </c>
      <c r="AL348" s="2136">
        <f>O348-'Blocking-Step2'!O348</f>
        <v>0</v>
      </c>
      <c r="AN348" s="2137">
        <f>Q348-'Blocking-Step2'!Q348</f>
        <v>0</v>
      </c>
      <c r="AP348" s="2127">
        <f>S348-'Blocking-Step2'!S348</f>
        <v>0</v>
      </c>
      <c r="AR348" s="2127">
        <f>U348-'Blocking-Step2'!U348</f>
        <v>0</v>
      </c>
      <c r="AT348" s="2127">
        <f>W348-'Blocking-Step2'!W348</f>
        <v>0</v>
      </c>
      <c r="AV348" s="2128">
        <f>Y348-'Blocking-Step2'!Y348</f>
        <v>0</v>
      </c>
    </row>
    <row r="349" spans="1:48" ht="16.5" hidden="1" thickTop="1">
      <c r="A349" s="1116" t="s">
        <v>262</v>
      </c>
      <c r="C349" s="1024">
        <v>0</v>
      </c>
      <c r="D349" s="1105">
        <v>0</v>
      </c>
      <c r="F349" s="1142">
        <v>648</v>
      </c>
      <c r="G349" s="617"/>
      <c r="H349" s="1146">
        <v>0</v>
      </c>
      <c r="I349" s="1146">
        <v>0</v>
      </c>
      <c r="K349" s="1142">
        <v>648</v>
      </c>
      <c r="L349" s="617"/>
      <c r="M349" s="1142">
        <v>0</v>
      </c>
      <c r="N349" s="617"/>
      <c r="O349" s="1142">
        <v>0</v>
      </c>
      <c r="P349" s="617"/>
      <c r="Q349" s="1142">
        <v>648</v>
      </c>
      <c r="R349" s="617"/>
      <c r="S349" s="1146">
        <v>0</v>
      </c>
      <c r="T349" s="1629"/>
      <c r="U349" s="1146">
        <v>0</v>
      </c>
      <c r="V349" s="1629"/>
      <c r="W349" s="1146">
        <v>0</v>
      </c>
      <c r="X349" s="1629"/>
      <c r="Y349" s="1146">
        <v>0</v>
      </c>
      <c r="Z349" s="2114">
        <f>C349-'Blocking-Step2'!C349</f>
        <v>0</v>
      </c>
      <c r="AA349" s="2114">
        <f>D349-'Blocking-Step2'!D349</f>
        <v>0</v>
      </c>
      <c r="AC349" s="2114">
        <f>F349-'Blocking-Step2'!F349</f>
        <v>0</v>
      </c>
      <c r="AE349" s="2114">
        <f>H349-'Blocking-Step2'!H349</f>
        <v>0</v>
      </c>
      <c r="AF349" s="2114">
        <f>I349-'Blocking-Step2'!I349</f>
        <v>0</v>
      </c>
      <c r="AH349" s="2136">
        <f>K349-'Blocking-Step2'!K349</f>
        <v>0</v>
      </c>
      <c r="AJ349" s="2136">
        <f>M349-'Blocking-Step2'!M349</f>
        <v>0</v>
      </c>
      <c r="AL349" s="2136">
        <f>O349-'Blocking-Step2'!O349</f>
        <v>0</v>
      </c>
      <c r="AN349" s="2137">
        <f>Q349-'Blocking-Step2'!Q349</f>
        <v>0</v>
      </c>
      <c r="AP349" s="2127">
        <f>S349-'Blocking-Step2'!S349</f>
        <v>0</v>
      </c>
      <c r="AR349" s="2127">
        <f>U349-'Blocking-Step2'!U349</f>
        <v>0</v>
      </c>
      <c r="AT349" s="2127">
        <f>W349-'Blocking-Step2'!W349</f>
        <v>0</v>
      </c>
      <c r="AV349" s="2128">
        <f>Y349-'Blocking-Step2'!Y349</f>
        <v>0</v>
      </c>
    </row>
    <row r="350" spans="1:48" ht="16.5" hidden="1" thickTop="1">
      <c r="A350" s="1116" t="s">
        <v>1298</v>
      </c>
      <c r="C350" s="1105">
        <v>0</v>
      </c>
      <c r="D350" s="1105">
        <v>0</v>
      </c>
      <c r="F350" s="1142">
        <v>54</v>
      </c>
      <c r="G350" s="617"/>
      <c r="H350" s="1146">
        <v>0</v>
      </c>
      <c r="I350" s="1146">
        <v>0</v>
      </c>
      <c r="K350" s="1142">
        <v>54</v>
      </c>
      <c r="L350" s="617"/>
      <c r="M350" s="1142">
        <v>0</v>
      </c>
      <c r="N350" s="617"/>
      <c r="O350" s="1142">
        <v>0</v>
      </c>
      <c r="P350" s="617"/>
      <c r="Q350" s="1142">
        <v>54</v>
      </c>
      <c r="R350" s="617"/>
      <c r="S350" s="1146">
        <v>0</v>
      </c>
      <c r="T350" s="1114"/>
      <c r="U350" s="1146">
        <v>0</v>
      </c>
      <c r="V350" s="1114"/>
      <c r="W350" s="1146">
        <v>0</v>
      </c>
      <c r="X350" s="1114"/>
      <c r="Y350" s="1146">
        <v>0</v>
      </c>
      <c r="Z350" s="2114">
        <f>C350-'Blocking-Step2'!C350</f>
        <v>0</v>
      </c>
      <c r="AA350" s="2114">
        <f>D350-'Blocking-Step2'!D350</f>
        <v>0</v>
      </c>
      <c r="AC350" s="2114">
        <f>F350-'Blocking-Step2'!F350</f>
        <v>0</v>
      </c>
      <c r="AE350" s="2114">
        <f>H350-'Blocking-Step2'!H350</f>
        <v>0</v>
      </c>
      <c r="AF350" s="2114">
        <f>I350-'Blocking-Step2'!I350</f>
        <v>0</v>
      </c>
      <c r="AH350" s="2136">
        <f>K350-'Blocking-Step2'!K350</f>
        <v>0</v>
      </c>
      <c r="AJ350" s="2136">
        <f>M350-'Blocking-Step2'!M350</f>
        <v>0</v>
      </c>
      <c r="AL350" s="2136">
        <f>O350-'Blocking-Step2'!O350</f>
        <v>0</v>
      </c>
      <c r="AN350" s="2137">
        <f>Q350-'Blocking-Step2'!Q350</f>
        <v>0</v>
      </c>
      <c r="AP350" s="2127">
        <f>S350-'Blocking-Step2'!S350</f>
        <v>0</v>
      </c>
      <c r="AR350" s="2127">
        <f>U350-'Blocking-Step2'!U350</f>
        <v>0</v>
      </c>
      <c r="AT350" s="2127">
        <f>W350-'Blocking-Step2'!W350</f>
        <v>0</v>
      </c>
      <c r="AV350" s="2128">
        <f>Y350-'Blocking-Step2'!Y350</f>
        <v>0</v>
      </c>
    </row>
    <row r="351" spans="1:48" ht="16.5" hidden="1" thickTop="1">
      <c r="A351" s="1116" t="s">
        <v>168</v>
      </c>
      <c r="C351" s="1105">
        <v>237102.33168316825</v>
      </c>
      <c r="D351" s="1105">
        <v>248565</v>
      </c>
      <c r="F351" s="1142">
        <v>4.04</v>
      </c>
      <c r="G351" s="617"/>
      <c r="H351" s="1146">
        <v>957893</v>
      </c>
      <c r="I351" s="1146">
        <v>1004203</v>
      </c>
      <c r="K351" s="1142">
        <v>4.03</v>
      </c>
      <c r="L351" s="617"/>
      <c r="M351" s="1142">
        <v>0</v>
      </c>
      <c r="N351" s="617"/>
      <c r="O351" s="1142">
        <v>0</v>
      </c>
      <c r="P351" s="617"/>
      <c r="Q351" s="1142">
        <v>4.03</v>
      </c>
      <c r="R351" s="617"/>
      <c r="S351" s="1146">
        <v>1001717</v>
      </c>
      <c r="T351" s="1629"/>
      <c r="U351" s="1146">
        <v>0</v>
      </c>
      <c r="V351" s="1629"/>
      <c r="W351" s="1146">
        <v>0</v>
      </c>
      <c r="X351" s="1629"/>
      <c r="Y351" s="1146">
        <v>1001717</v>
      </c>
      <c r="Z351" s="2114">
        <f>C351-'Blocking-Step2'!C351</f>
        <v>0</v>
      </c>
      <c r="AA351" s="2114">
        <f>D351-'Blocking-Step2'!D351</f>
        <v>0</v>
      </c>
      <c r="AC351" s="2114">
        <f>F351-'Blocking-Step2'!F351</f>
        <v>0</v>
      </c>
      <c r="AE351" s="2114">
        <f>H351-'Blocking-Step2'!H351</f>
        <v>0</v>
      </c>
      <c r="AF351" s="2114">
        <f>I351-'Blocking-Step2'!I351</f>
        <v>0</v>
      </c>
      <c r="AH351" s="2136">
        <f>K351-'Blocking-Step2'!K351</f>
        <v>0</v>
      </c>
      <c r="AJ351" s="2136">
        <f>M351-'Blocking-Step2'!M351</f>
        <v>0</v>
      </c>
      <c r="AL351" s="2136">
        <f>O351-'Blocking-Step2'!O351</f>
        <v>0</v>
      </c>
      <c r="AN351" s="2137">
        <f>Q351-'Blocking-Step2'!Q351</f>
        <v>0</v>
      </c>
      <c r="AP351" s="2127">
        <f>S351-'Blocking-Step2'!S351</f>
        <v>0</v>
      </c>
      <c r="AR351" s="2127">
        <f>U351-'Blocking-Step2'!U351</f>
        <v>0</v>
      </c>
      <c r="AT351" s="2127">
        <f>W351-'Blocking-Step2'!W351</f>
        <v>0</v>
      </c>
      <c r="AV351" s="2128">
        <f>Y351-'Blocking-Step2'!Y351</f>
        <v>0</v>
      </c>
    </row>
    <row r="352" spans="1:48" ht="16.5" hidden="1" thickTop="1">
      <c r="A352" s="1116" t="s">
        <v>1645</v>
      </c>
      <c r="C352" s="1105">
        <v>85670.315594059415</v>
      </c>
      <c r="D352" s="1105">
        <v>89812</v>
      </c>
      <c r="F352" s="1142"/>
      <c r="G352" s="617"/>
      <c r="H352" s="1146"/>
      <c r="I352" s="1146"/>
      <c r="K352" s="1142">
        <v>0.51</v>
      </c>
      <c r="L352" s="617"/>
      <c r="M352" s="1142">
        <v>12.89</v>
      </c>
      <c r="N352" s="617"/>
      <c r="O352" s="1142">
        <v>0</v>
      </c>
      <c r="P352" s="617"/>
      <c r="Q352" s="1142">
        <v>13.4</v>
      </c>
      <c r="R352" s="617"/>
      <c r="S352" s="1146">
        <v>45804</v>
      </c>
      <c r="T352" s="1114"/>
      <c r="U352" s="1146">
        <v>1157677</v>
      </c>
      <c r="V352" s="1114"/>
      <c r="W352" s="1146">
        <v>0</v>
      </c>
      <c r="X352" s="1114"/>
      <c r="Y352" s="1146">
        <v>1203481</v>
      </c>
      <c r="Z352" s="2114">
        <f>C352-'Blocking-Step2'!C352</f>
        <v>0</v>
      </c>
      <c r="AA352" s="2114">
        <f>D352-'Blocking-Step2'!D352</f>
        <v>0</v>
      </c>
      <c r="AC352" s="2114">
        <f>F352-'Blocking-Step2'!F352</f>
        <v>0</v>
      </c>
      <c r="AE352" s="2114">
        <f>H352-'Blocking-Step2'!H352</f>
        <v>0</v>
      </c>
      <c r="AF352" s="2114">
        <f>I352-'Blocking-Step2'!I352</f>
        <v>0</v>
      </c>
      <c r="AH352" s="2136">
        <f>K352-'Blocking-Step2'!K352</f>
        <v>-5.83</v>
      </c>
      <c r="AJ352" s="2136">
        <f>M352-'Blocking-Step2'!M352</f>
        <v>5.83</v>
      </c>
      <c r="AL352" s="2136">
        <f>O352-'Blocking-Step2'!O352</f>
        <v>0</v>
      </c>
      <c r="AN352" s="2137">
        <f>Q352-'Blocking-Step2'!Q352</f>
        <v>0</v>
      </c>
      <c r="AP352" s="2127">
        <f>S352-'Blocking-Step2'!S352</f>
        <v>-523604</v>
      </c>
      <c r="AR352" s="2127">
        <f>U352-'Blocking-Step2'!U352</f>
        <v>523604</v>
      </c>
      <c r="AT352" s="2127">
        <f>W352-'Blocking-Step2'!W352</f>
        <v>0</v>
      </c>
      <c r="AV352" s="2128">
        <f>Y352-'Blocking-Step2'!Y352</f>
        <v>0</v>
      </c>
    </row>
    <row r="353" spans="1:48" ht="16.5" hidden="1" thickTop="1">
      <c r="A353" s="1116" t="s">
        <v>1646</v>
      </c>
      <c r="C353" s="1105">
        <v>151432.01608910886</v>
      </c>
      <c r="D353" s="1105">
        <v>158753</v>
      </c>
      <c r="F353" s="1142"/>
      <c r="G353" s="617"/>
      <c r="H353" s="1146"/>
      <c r="I353" s="1146"/>
      <c r="K353" s="1142">
        <v>0.45</v>
      </c>
      <c r="L353" s="617"/>
      <c r="M353" s="1142">
        <v>11.41</v>
      </c>
      <c r="N353" s="617"/>
      <c r="O353" s="1142">
        <v>0</v>
      </c>
      <c r="P353" s="617"/>
      <c r="Q353" s="1142">
        <v>11.86</v>
      </c>
      <c r="R353" s="617"/>
      <c r="S353" s="1146">
        <v>71439</v>
      </c>
      <c r="T353" s="1114"/>
      <c r="U353" s="1146">
        <v>1811372</v>
      </c>
      <c r="V353" s="1114"/>
      <c r="W353" s="1146">
        <v>0</v>
      </c>
      <c r="X353" s="1114"/>
      <c r="Y353" s="1146">
        <v>1882811</v>
      </c>
      <c r="Z353" s="2114">
        <f>C353-'Blocking-Step2'!C353</f>
        <v>0</v>
      </c>
      <c r="AA353" s="2114">
        <f>D353-'Blocking-Step2'!D353</f>
        <v>0</v>
      </c>
      <c r="AC353" s="2114">
        <f>F353-'Blocking-Step2'!F353</f>
        <v>0</v>
      </c>
      <c r="AE353" s="2114">
        <f>H353-'Blocking-Step2'!H353</f>
        <v>0</v>
      </c>
      <c r="AF353" s="2114">
        <f>I353-'Blocking-Step2'!I353</f>
        <v>0</v>
      </c>
      <c r="AH353" s="2136">
        <f>K353-'Blocking-Step2'!K353</f>
        <v>-5.16</v>
      </c>
      <c r="AJ353" s="2136">
        <f>M353-'Blocking-Step2'!M353</f>
        <v>5.160000000000001</v>
      </c>
      <c r="AL353" s="2136">
        <f>O353-'Blocking-Step2'!O353</f>
        <v>0</v>
      </c>
      <c r="AN353" s="2137">
        <f>Q353-'Blocking-Step2'!Q353</f>
        <v>0</v>
      </c>
      <c r="AP353" s="2127">
        <f>S353-'Blocking-Step2'!S353</f>
        <v>-819165</v>
      </c>
      <c r="AR353" s="2127">
        <f>U353-'Blocking-Step2'!U353</f>
        <v>819166</v>
      </c>
      <c r="AT353" s="2127">
        <f>W353-'Blocking-Step2'!W353</f>
        <v>0</v>
      </c>
      <c r="AV353" s="2128">
        <f>Y353-'Blocking-Step2'!Y353</f>
        <v>0</v>
      </c>
    </row>
    <row r="354" spans="1:48" ht="16.5" hidden="1" thickTop="1">
      <c r="A354" s="1116" t="s">
        <v>1647</v>
      </c>
      <c r="C354" s="1105">
        <v>13757247</v>
      </c>
      <c r="D354" s="1105">
        <v>14422312.746287748</v>
      </c>
      <c r="F354" s="1106"/>
      <c r="G354" s="1921"/>
      <c r="H354" s="1146"/>
      <c r="I354" s="1146"/>
      <c r="K354" s="1106">
        <v>0</v>
      </c>
      <c r="L354" s="1921" t="s">
        <v>495</v>
      </c>
      <c r="M354" s="1106">
        <v>1.6192</v>
      </c>
      <c r="N354" s="1921" t="s">
        <v>495</v>
      </c>
      <c r="O354" s="1106">
        <v>2.305570240802</v>
      </c>
      <c r="P354" s="1921" t="s">
        <v>495</v>
      </c>
      <c r="Q354" s="1106">
        <v>3.9247702408020002</v>
      </c>
      <c r="R354" s="1921" t="s">
        <v>495</v>
      </c>
      <c r="S354" s="1146">
        <v>0</v>
      </c>
      <c r="T354" s="1648"/>
      <c r="U354" s="1146">
        <v>233526</v>
      </c>
      <c r="V354" s="1648"/>
      <c r="W354" s="1146">
        <v>332517</v>
      </c>
      <c r="X354" s="1648"/>
      <c r="Y354" s="1146">
        <v>566043</v>
      </c>
      <c r="Z354" s="2114">
        <f>C354-'Blocking-Step2'!C354</f>
        <v>0</v>
      </c>
      <c r="AA354" s="2114">
        <f>D354-'Blocking-Step2'!D354</f>
        <v>0</v>
      </c>
      <c r="AC354" s="2114">
        <f>F354-'Blocking-Step2'!F354</f>
        <v>0</v>
      </c>
      <c r="AE354" s="2114">
        <f>H354-'Blocking-Step2'!H354</f>
        <v>0</v>
      </c>
      <c r="AF354" s="2114">
        <f>I354-'Blocking-Step2'!I354</f>
        <v>0</v>
      </c>
      <c r="AH354" s="2136">
        <f>K354-'Blocking-Step2'!K354</f>
        <v>0</v>
      </c>
      <c r="AJ354" s="2136">
        <f>M354-'Blocking-Step2'!M354</f>
        <v>0</v>
      </c>
      <c r="AL354" s="2136">
        <f>O354-'Blocking-Step2'!O354</f>
        <v>0</v>
      </c>
      <c r="AN354" s="2137">
        <f>Q354-'Blocking-Step2'!Q354</f>
        <v>0</v>
      </c>
      <c r="AP354" s="2127">
        <f>S354-'Blocking-Step2'!S354</f>
        <v>0</v>
      </c>
      <c r="AR354" s="2127">
        <f>U354-'Blocking-Step2'!U354</f>
        <v>0</v>
      </c>
      <c r="AT354" s="2127">
        <f>W354-'Blocking-Step2'!W354</f>
        <v>0</v>
      </c>
      <c r="AV354" s="2128">
        <f>Y354-'Blocking-Step2'!Y354</f>
        <v>0</v>
      </c>
    </row>
    <row r="355" spans="1:48" ht="16.5" hidden="1" thickTop="1">
      <c r="A355" s="1116" t="s">
        <v>1648</v>
      </c>
      <c r="C355" s="1105">
        <v>23863752</v>
      </c>
      <c r="D355" s="1105">
        <v>25017394</v>
      </c>
      <c r="F355" s="1106"/>
      <c r="G355" s="1921"/>
      <c r="H355" s="1146"/>
      <c r="I355" s="1146"/>
      <c r="K355" s="1106">
        <v>0</v>
      </c>
      <c r="L355" s="1921" t="s">
        <v>495</v>
      </c>
      <c r="M355" s="1106">
        <v>1.4329000000000001</v>
      </c>
      <c r="N355" s="1921" t="s">
        <v>495</v>
      </c>
      <c r="O355" s="1106">
        <v>2.0403480007099999</v>
      </c>
      <c r="P355" s="1921" t="s">
        <v>495</v>
      </c>
      <c r="Q355" s="1106">
        <v>3.4732480007099999</v>
      </c>
      <c r="R355" s="1921" t="s">
        <v>495</v>
      </c>
      <c r="S355" s="1146">
        <v>0</v>
      </c>
      <c r="T355" s="1648"/>
      <c r="U355" s="1146">
        <v>358474</v>
      </c>
      <c r="V355" s="1648"/>
      <c r="W355" s="1146">
        <v>510442</v>
      </c>
      <c r="X355" s="1648"/>
      <c r="Y355" s="1146">
        <v>868916</v>
      </c>
      <c r="Z355" s="2114">
        <f>C355-'Blocking-Step2'!C355</f>
        <v>0</v>
      </c>
      <c r="AA355" s="2114">
        <f>D355-'Blocking-Step2'!D355</f>
        <v>0</v>
      </c>
      <c r="AC355" s="2114">
        <f>F355-'Blocking-Step2'!F355</f>
        <v>0</v>
      </c>
      <c r="AE355" s="2114">
        <f>H355-'Blocking-Step2'!H355</f>
        <v>0</v>
      </c>
      <c r="AF355" s="2114">
        <f>I355-'Blocking-Step2'!I355</f>
        <v>0</v>
      </c>
      <c r="AH355" s="2136">
        <f>K355-'Blocking-Step2'!K355</f>
        <v>0</v>
      </c>
      <c r="AJ355" s="2136">
        <f>M355-'Blocking-Step2'!M355</f>
        <v>0</v>
      </c>
      <c r="AL355" s="2136">
        <f>O355-'Blocking-Step2'!O355</f>
        <v>0</v>
      </c>
      <c r="AN355" s="2137">
        <f>Q355-'Blocking-Step2'!Q355</f>
        <v>0</v>
      </c>
      <c r="AP355" s="2127">
        <f>S355-'Blocking-Step2'!S355</f>
        <v>0</v>
      </c>
      <c r="AR355" s="2127">
        <f>U355-'Blocking-Step2'!U355</f>
        <v>0</v>
      </c>
      <c r="AT355" s="2127">
        <f>W355-'Blocking-Step2'!W355</f>
        <v>0</v>
      </c>
      <c r="AV355" s="2128">
        <f>Y355-'Blocking-Step2'!Y355</f>
        <v>0</v>
      </c>
    </row>
    <row r="356" spans="1:48" ht="16.5" hidden="1" thickTop="1">
      <c r="A356" s="1116" t="s">
        <v>196</v>
      </c>
      <c r="C356" s="1105">
        <v>86156.244347468222</v>
      </c>
      <c r="D356" s="1105">
        <v>90321</v>
      </c>
      <c r="F356" s="1142">
        <v>14.62</v>
      </c>
      <c r="G356" s="617"/>
      <c r="H356" s="1146">
        <v>1259604</v>
      </c>
      <c r="I356" s="1146">
        <v>1320493</v>
      </c>
      <c r="K356" s="1142"/>
      <c r="L356" s="617"/>
      <c r="M356" s="1142"/>
      <c r="N356" s="617"/>
      <c r="O356" s="1142"/>
      <c r="P356" s="617"/>
      <c r="Q356" s="1142"/>
      <c r="R356" s="617"/>
      <c r="S356" s="1146"/>
      <c r="T356" s="1629"/>
      <c r="U356" s="1146"/>
      <c r="V356" s="1629"/>
      <c r="W356" s="1146"/>
      <c r="X356" s="1629"/>
      <c r="Y356" s="1146"/>
      <c r="Z356" s="2114">
        <f>C356-'Blocking-Step2'!C356</f>
        <v>0</v>
      </c>
      <c r="AA356" s="2114">
        <f>D356-'Blocking-Step2'!D356</f>
        <v>0</v>
      </c>
      <c r="AC356" s="2114">
        <f>F356-'Blocking-Step2'!F356</f>
        <v>0</v>
      </c>
      <c r="AE356" s="2114">
        <f>H356-'Blocking-Step2'!H356</f>
        <v>0</v>
      </c>
      <c r="AF356" s="2114">
        <f>I356-'Blocking-Step2'!I356</f>
        <v>0</v>
      </c>
      <c r="AH356" s="2136">
        <f>K356-'Blocking-Step2'!K356</f>
        <v>0</v>
      </c>
      <c r="AJ356" s="2136">
        <f>M356-'Blocking-Step2'!M356</f>
        <v>0</v>
      </c>
      <c r="AL356" s="2136">
        <f>O356-'Blocking-Step2'!O356</f>
        <v>0</v>
      </c>
      <c r="AN356" s="2137">
        <f>Q356-'Blocking-Step2'!Q356</f>
        <v>0</v>
      </c>
      <c r="AP356" s="2127">
        <f>S356-'Blocking-Step2'!S356</f>
        <v>0</v>
      </c>
      <c r="AR356" s="2127">
        <f>U356-'Blocking-Step2'!U356</f>
        <v>0</v>
      </c>
      <c r="AT356" s="2127">
        <f>W356-'Blocking-Step2'!W356</f>
        <v>0</v>
      </c>
      <c r="AV356" s="2128">
        <f>Y356-'Blocking-Step2'!Y356</f>
        <v>0</v>
      </c>
    </row>
    <row r="357" spans="1:48" ht="16.5" hidden="1" thickTop="1">
      <c r="A357" s="1116" t="s">
        <v>161</v>
      </c>
      <c r="C357" s="1105">
        <v>150946.08733570005</v>
      </c>
      <c r="D357" s="1105">
        <v>158243</v>
      </c>
      <c r="F357" s="1142">
        <v>10.91</v>
      </c>
      <c r="G357" s="617"/>
      <c r="H357" s="1146">
        <v>1646822</v>
      </c>
      <c r="I357" s="1146">
        <v>1726431</v>
      </c>
      <c r="K357" s="1142"/>
      <c r="L357" s="617"/>
      <c r="M357" s="1142"/>
      <c r="N357" s="617"/>
      <c r="O357" s="1142"/>
      <c r="P357" s="617"/>
      <c r="Q357" s="1142"/>
      <c r="R357" s="617"/>
      <c r="S357" s="1146"/>
      <c r="T357" s="1629"/>
      <c r="U357" s="1146"/>
      <c r="V357" s="1629"/>
      <c r="W357" s="1146"/>
      <c r="X357" s="1629"/>
      <c r="Y357" s="1146"/>
      <c r="Z357" s="2114">
        <f>C357-'Blocking-Step2'!C357</f>
        <v>0</v>
      </c>
      <c r="AA357" s="2114">
        <f>D357-'Blocking-Step2'!D357</f>
        <v>0</v>
      </c>
      <c r="AC357" s="2114">
        <f>F357-'Blocking-Step2'!F357</f>
        <v>0</v>
      </c>
      <c r="AE357" s="2114">
        <f>H357-'Blocking-Step2'!H357</f>
        <v>0</v>
      </c>
      <c r="AF357" s="2114">
        <f>I357-'Blocking-Step2'!I357</f>
        <v>0</v>
      </c>
      <c r="AH357" s="2136">
        <f>K357-'Blocking-Step2'!K357</f>
        <v>0</v>
      </c>
      <c r="AJ357" s="2136">
        <f>M357-'Blocking-Step2'!M357</f>
        <v>0</v>
      </c>
      <c r="AL357" s="2136">
        <f>O357-'Blocking-Step2'!O357</f>
        <v>0</v>
      </c>
      <c r="AN357" s="2137">
        <f>Q357-'Blocking-Step2'!Q357</f>
        <v>0</v>
      </c>
      <c r="AP357" s="2127">
        <f>S357-'Blocking-Step2'!S357</f>
        <v>0</v>
      </c>
      <c r="AR357" s="2127">
        <f>U357-'Blocking-Step2'!U357</f>
        <v>0</v>
      </c>
      <c r="AT357" s="2127">
        <f>W357-'Blocking-Step2'!W357</f>
        <v>0</v>
      </c>
      <c r="AV357" s="2128">
        <f>Y357-'Blocking-Step2'!Y357</f>
        <v>0</v>
      </c>
    </row>
    <row r="358" spans="1:48" ht="16.5" hidden="1" thickTop="1">
      <c r="A358" s="1116" t="s">
        <v>261</v>
      </c>
      <c r="C358" s="1105">
        <v>24029.583333333336</v>
      </c>
      <c r="D358" s="1105">
        <v>25191.242577065448</v>
      </c>
      <c r="F358" s="1142">
        <v>-0.96</v>
      </c>
      <c r="G358" s="617"/>
      <c r="H358" s="1146">
        <v>-23068</v>
      </c>
      <c r="I358" s="1146">
        <v>-24184</v>
      </c>
      <c r="K358" s="1142">
        <v>-0.96</v>
      </c>
      <c r="L358" s="617"/>
      <c r="M358" s="1142">
        <v>0</v>
      </c>
      <c r="N358" s="617"/>
      <c r="O358" s="1142">
        <v>0</v>
      </c>
      <c r="P358" s="617"/>
      <c r="Q358" s="1142">
        <v>-0.96</v>
      </c>
      <c r="R358" s="617"/>
      <c r="S358" s="1146">
        <v>-24184</v>
      </c>
      <c r="T358" s="1629"/>
      <c r="U358" s="1146">
        <v>0</v>
      </c>
      <c r="V358" s="1629"/>
      <c r="W358" s="1146">
        <v>0</v>
      </c>
      <c r="X358" s="1629"/>
      <c r="Y358" s="1146">
        <v>-24184</v>
      </c>
      <c r="Z358" s="2114">
        <f>C358-'Blocking-Step2'!C358</f>
        <v>0</v>
      </c>
      <c r="AA358" s="2114">
        <f>D358-'Blocking-Step2'!D358</f>
        <v>0</v>
      </c>
      <c r="AC358" s="2114">
        <f>F358-'Blocking-Step2'!F358</f>
        <v>0</v>
      </c>
      <c r="AE358" s="2114">
        <f>H358-'Blocking-Step2'!H358</f>
        <v>0</v>
      </c>
      <c r="AF358" s="2114">
        <f>I358-'Blocking-Step2'!I358</f>
        <v>0</v>
      </c>
      <c r="AH358" s="2136">
        <f>K358-'Blocking-Step2'!K358</f>
        <v>0</v>
      </c>
      <c r="AJ358" s="2136">
        <f>M358-'Blocking-Step2'!M358</f>
        <v>0</v>
      </c>
      <c r="AL358" s="2136">
        <f>O358-'Blocking-Step2'!O358</f>
        <v>0</v>
      </c>
      <c r="AN358" s="2137">
        <f>Q358-'Blocking-Step2'!Q358</f>
        <v>0</v>
      </c>
      <c r="AP358" s="2127">
        <f>S358-'Blocking-Step2'!S358</f>
        <v>0</v>
      </c>
      <c r="AR358" s="2127">
        <f>U358-'Blocking-Step2'!U358</f>
        <v>0</v>
      </c>
      <c r="AT358" s="2127">
        <f>W358-'Blocking-Step2'!W358</f>
        <v>0</v>
      </c>
      <c r="AV358" s="2128">
        <f>Y358-'Blocking-Step2'!Y358</f>
        <v>0</v>
      </c>
    </row>
    <row r="359" spans="1:48" ht="16.5" hidden="1" thickTop="1">
      <c r="A359" s="1116" t="s">
        <v>1362</v>
      </c>
      <c r="C359" s="1105">
        <v>13923707.70353744</v>
      </c>
      <c r="D359" s="1105">
        <v>14596820</v>
      </c>
      <c r="F359" s="1106">
        <v>3.8127</v>
      </c>
      <c r="G359" s="1921" t="s">
        <v>495</v>
      </c>
      <c r="H359" s="1146">
        <v>530869</v>
      </c>
      <c r="I359" s="1146">
        <v>556533</v>
      </c>
      <c r="K359" s="1106"/>
      <c r="L359" s="1921"/>
      <c r="M359" s="1106"/>
      <c r="N359" s="1921"/>
      <c r="O359" s="1106"/>
      <c r="P359" s="1921"/>
      <c r="Q359" s="1106"/>
      <c r="R359" s="1921"/>
      <c r="S359" s="1146"/>
      <c r="T359" s="1648"/>
      <c r="U359" s="1146"/>
      <c r="V359" s="1648"/>
      <c r="W359" s="1146"/>
      <c r="X359" s="1648"/>
      <c r="Y359" s="1146"/>
      <c r="Z359" s="2114">
        <f>C359-'Blocking-Step2'!C359</f>
        <v>0</v>
      </c>
      <c r="AA359" s="2114">
        <f>D359-'Blocking-Step2'!D359</f>
        <v>0</v>
      </c>
      <c r="AC359" s="2114">
        <f>F359-'Blocking-Step2'!F359</f>
        <v>0</v>
      </c>
      <c r="AE359" s="2114">
        <f>H359-'Blocking-Step2'!H359</f>
        <v>0</v>
      </c>
      <c r="AF359" s="2114">
        <f>I359-'Blocking-Step2'!I359</f>
        <v>0</v>
      </c>
      <c r="AH359" s="2136">
        <f>K359-'Blocking-Step2'!K359</f>
        <v>0</v>
      </c>
      <c r="AJ359" s="2136">
        <f>M359-'Blocking-Step2'!M359</f>
        <v>0</v>
      </c>
      <c r="AL359" s="2136">
        <f>O359-'Blocking-Step2'!O359</f>
        <v>0</v>
      </c>
      <c r="AN359" s="2137">
        <f>Q359-'Blocking-Step2'!Q359</f>
        <v>0</v>
      </c>
      <c r="AP359" s="2127">
        <f>S359-'Blocking-Step2'!S359</f>
        <v>0</v>
      </c>
      <c r="AR359" s="2127">
        <f>U359-'Blocking-Step2'!U359</f>
        <v>0</v>
      </c>
      <c r="AT359" s="2127">
        <f>W359-'Blocking-Step2'!W359</f>
        <v>0</v>
      </c>
      <c r="AV359" s="2128">
        <f>Y359-'Blocking-Step2'!Y359</f>
        <v>0</v>
      </c>
    </row>
    <row r="360" spans="1:48" ht="16.5" hidden="1" thickTop="1">
      <c r="A360" s="1116" t="s">
        <v>1363</v>
      </c>
      <c r="C360" s="1105">
        <v>23697291.296462558</v>
      </c>
      <c r="D360" s="1105">
        <v>24842886.746287748</v>
      </c>
      <c r="F360" s="1106">
        <v>3.5143</v>
      </c>
      <c r="G360" s="1921" t="s">
        <v>495</v>
      </c>
      <c r="H360" s="1146">
        <v>832794</v>
      </c>
      <c r="I360" s="1146">
        <v>873054</v>
      </c>
      <c r="K360" s="1106"/>
      <c r="L360" s="1921"/>
      <c r="M360" s="1106"/>
      <c r="N360" s="1921"/>
      <c r="O360" s="1106"/>
      <c r="P360" s="1921"/>
      <c r="Q360" s="1106"/>
      <c r="R360" s="1921"/>
      <c r="S360" s="1146"/>
      <c r="T360" s="1648"/>
      <c r="U360" s="1146"/>
      <c r="V360" s="1648"/>
      <c r="W360" s="1146"/>
      <c r="X360" s="1648"/>
      <c r="Y360" s="1146"/>
      <c r="Z360" s="2114">
        <f>C360-'Blocking-Step2'!C360</f>
        <v>0</v>
      </c>
      <c r="AA360" s="2114">
        <f>D360-'Blocking-Step2'!D360</f>
        <v>0</v>
      </c>
      <c r="AC360" s="2114">
        <f>F360-'Blocking-Step2'!F360</f>
        <v>0</v>
      </c>
      <c r="AE360" s="2114">
        <f>H360-'Blocking-Step2'!H360</f>
        <v>0</v>
      </c>
      <c r="AF360" s="2114">
        <f>I360-'Blocking-Step2'!I360</f>
        <v>0</v>
      </c>
      <c r="AH360" s="2136">
        <f>K360-'Blocking-Step2'!K360</f>
        <v>0</v>
      </c>
      <c r="AJ360" s="2136">
        <f>M360-'Blocking-Step2'!M360</f>
        <v>0</v>
      </c>
      <c r="AL360" s="2136">
        <f>O360-'Blocking-Step2'!O360</f>
        <v>0</v>
      </c>
      <c r="AN360" s="2137">
        <f>Q360-'Blocking-Step2'!Q360</f>
        <v>0</v>
      </c>
      <c r="AP360" s="2127">
        <f>S360-'Blocking-Step2'!S360</f>
        <v>0</v>
      </c>
      <c r="AR360" s="2127">
        <f>U360-'Blocking-Step2'!U360</f>
        <v>0</v>
      </c>
      <c r="AT360" s="2127">
        <f>W360-'Blocking-Step2'!W360</f>
        <v>0</v>
      </c>
      <c r="AV360" s="2128">
        <f>Y360-'Blocking-Step2'!Y360</f>
        <v>0</v>
      </c>
    </row>
    <row r="361" spans="1:48" ht="16.5" hidden="1" thickTop="1">
      <c r="A361" s="1116" t="s">
        <v>1158</v>
      </c>
      <c r="C361" s="1105">
        <v>400</v>
      </c>
      <c r="D361" s="1105">
        <v>419</v>
      </c>
      <c r="F361" s="1106">
        <v>7.125</v>
      </c>
      <c r="G361" s="1921" t="s">
        <v>495</v>
      </c>
      <c r="H361" s="1146">
        <v>29</v>
      </c>
      <c r="I361" s="1146">
        <v>30</v>
      </c>
      <c r="K361" s="1106">
        <v>0</v>
      </c>
      <c r="L361" s="1921" t="s">
        <v>495</v>
      </c>
      <c r="M361" s="1106">
        <v>7.125</v>
      </c>
      <c r="N361" s="1921" t="s">
        <v>495</v>
      </c>
      <c r="O361" s="1106">
        <v>0</v>
      </c>
      <c r="P361" s="1921" t="s">
        <v>495</v>
      </c>
      <c r="Q361" s="1106">
        <v>7.125</v>
      </c>
      <c r="R361" s="1921" t="s">
        <v>495</v>
      </c>
      <c r="S361" s="1146">
        <v>0</v>
      </c>
      <c r="T361" s="1648"/>
      <c r="U361" s="1146">
        <v>30</v>
      </c>
      <c r="V361" s="1648"/>
      <c r="W361" s="1146">
        <v>0</v>
      </c>
      <c r="X361" s="1648"/>
      <c r="Y361" s="1146">
        <v>30</v>
      </c>
      <c r="Z361" s="2114">
        <f>C361-'Blocking-Step2'!C361</f>
        <v>0</v>
      </c>
      <c r="AA361" s="2114">
        <f>D361-'Blocking-Step2'!D361</f>
        <v>0</v>
      </c>
      <c r="AC361" s="2114">
        <f>F361-'Blocking-Step2'!F361</f>
        <v>0</v>
      </c>
      <c r="AE361" s="2114">
        <f>H361-'Blocking-Step2'!H361</f>
        <v>0</v>
      </c>
      <c r="AF361" s="2114">
        <f>I361-'Blocking-Step2'!I361</f>
        <v>0</v>
      </c>
      <c r="AH361" s="2136">
        <f>K361-'Blocking-Step2'!K361</f>
        <v>0</v>
      </c>
      <c r="AJ361" s="2136">
        <f>M361-'Blocking-Step2'!M361</f>
        <v>0</v>
      </c>
      <c r="AL361" s="2136">
        <f>O361-'Blocking-Step2'!O361</f>
        <v>0</v>
      </c>
      <c r="AN361" s="2137">
        <f>Q361-'Blocking-Step2'!Q361</f>
        <v>0</v>
      </c>
      <c r="AP361" s="2127">
        <f>S361-'Blocking-Step2'!S361</f>
        <v>0</v>
      </c>
      <c r="AR361" s="2127">
        <f>U361-'Blocking-Step2'!U361</f>
        <v>0</v>
      </c>
      <c r="AT361" s="2127">
        <f>W361-'Blocking-Step2'!W361</f>
        <v>0</v>
      </c>
      <c r="AV361" s="2128">
        <f>Y361-'Blocking-Step2'!Y361</f>
        <v>0</v>
      </c>
    </row>
    <row r="362" spans="1:48" ht="16.5" hidden="1" thickTop="1">
      <c r="A362" s="1116" t="s">
        <v>246</v>
      </c>
      <c r="C362" s="1940">
        <v>0</v>
      </c>
      <c r="D362" s="1940">
        <v>0</v>
      </c>
      <c r="H362" s="1147">
        <v>0</v>
      </c>
      <c r="I362" s="1147">
        <v>0</v>
      </c>
      <c r="S362" s="1147"/>
      <c r="U362" s="1147"/>
      <c r="W362" s="1147"/>
      <c r="Y362" s="1147"/>
      <c r="Z362" s="2114">
        <f>C362-'Blocking-Step2'!C362</f>
        <v>0</v>
      </c>
      <c r="AA362" s="2114">
        <f>D362-'Blocking-Step2'!D362</f>
        <v>0</v>
      </c>
      <c r="AC362" s="2114">
        <f>F362-'Blocking-Step2'!F362</f>
        <v>0</v>
      </c>
      <c r="AE362" s="2114">
        <f>H362-'Blocking-Step2'!H362</f>
        <v>0</v>
      </c>
      <c r="AF362" s="2114">
        <f>I362-'Blocking-Step2'!I362</f>
        <v>0</v>
      </c>
      <c r="AH362" s="2136">
        <f>K362-'Blocking-Step2'!K362</f>
        <v>0</v>
      </c>
      <c r="AJ362" s="2136">
        <f>M362-'Blocking-Step2'!M362</f>
        <v>0</v>
      </c>
      <c r="AL362" s="2136">
        <f>O362-'Blocking-Step2'!O362</f>
        <v>0</v>
      </c>
      <c r="AN362" s="2137">
        <f>Q362-'Blocking-Step2'!Q362</f>
        <v>0</v>
      </c>
      <c r="AP362" s="2127">
        <f>S362-'Blocking-Step2'!S362</f>
        <v>0</v>
      </c>
      <c r="AR362" s="2127">
        <f>U362-'Blocking-Step2'!U362</f>
        <v>0</v>
      </c>
      <c r="AT362" s="2127">
        <f>W362-'Blocking-Step2'!W362</f>
        <v>0</v>
      </c>
      <c r="AV362" s="2128">
        <f>Y362-'Blocking-Step2'!Y362</f>
        <v>0</v>
      </c>
    </row>
    <row r="363" spans="1:48" ht="16.5" hidden="1" thickTop="1">
      <c r="A363" s="1116" t="s">
        <v>1240</v>
      </c>
      <c r="C363" s="1024"/>
      <c r="D363" s="1024"/>
      <c r="F363" s="2076">
        <v>-3.61E-2</v>
      </c>
      <c r="G363" s="617"/>
      <c r="H363" s="1146">
        <v>-154151.2598</v>
      </c>
      <c r="I363" s="1146">
        <v>-161603.13010000001</v>
      </c>
      <c r="K363" s="2076"/>
      <c r="L363" s="617"/>
      <c r="M363" s="2076"/>
      <c r="N363" s="617"/>
      <c r="O363" s="2077" t="s">
        <v>2323</v>
      </c>
      <c r="P363" s="617"/>
      <c r="Q363" s="2076">
        <v>-2.76E-2</v>
      </c>
      <c r="R363" s="617"/>
      <c r="S363" s="1146"/>
      <c r="T363" s="1114"/>
      <c r="U363" s="1146"/>
      <c r="V363" s="1114"/>
      <c r="W363" s="1146"/>
      <c r="X363" s="1114"/>
      <c r="Y363" s="1146">
        <v>-124787.3556</v>
      </c>
      <c r="Z363" s="2114">
        <f>C363-'Blocking-Step2'!C363</f>
        <v>0</v>
      </c>
      <c r="AA363" s="2114">
        <f>D363-'Blocking-Step2'!D363</f>
        <v>0</v>
      </c>
      <c r="AC363" s="2114">
        <f>F363-'Blocking-Step2'!F363</f>
        <v>0</v>
      </c>
      <c r="AE363" s="2114">
        <f>H363-'Blocking-Step2'!H363</f>
        <v>0</v>
      </c>
      <c r="AF363" s="2114">
        <f>I363-'Blocking-Step2'!I363</f>
        <v>0</v>
      </c>
      <c r="AH363" s="2136">
        <f>K363-'Blocking-Step2'!K363</f>
        <v>0</v>
      </c>
      <c r="AJ363" s="2136">
        <f>M363-'Blocking-Step2'!M363</f>
        <v>0</v>
      </c>
      <c r="AL363" s="2136" t="e">
        <f>O363-'Blocking-Step2'!O363</f>
        <v>#VALUE!</v>
      </c>
      <c r="AN363" s="2137">
        <f>Q363-'Blocking-Step2'!Q363</f>
        <v>0</v>
      </c>
      <c r="AP363" s="2127">
        <f>S363-'Blocking-Step2'!S363</f>
        <v>0</v>
      </c>
      <c r="AR363" s="2127">
        <f>U363-'Blocking-Step2'!U363</f>
        <v>0</v>
      </c>
      <c r="AT363" s="2127">
        <f>W363-'Blocking-Step2'!W363</f>
        <v>0</v>
      </c>
      <c r="AV363" s="2128">
        <f>Y363-'Blocking-Step2'!Y363</f>
        <v>0</v>
      </c>
    </row>
    <row r="364" spans="1:48" ht="16.5" hidden="1" thickTop="1">
      <c r="A364" s="1116"/>
      <c r="C364" s="1024"/>
      <c r="D364" s="1024"/>
      <c r="F364" s="2076"/>
      <c r="G364" s="617"/>
      <c r="H364" s="1146"/>
      <c r="I364" s="1146"/>
      <c r="K364" s="2076"/>
      <c r="L364" s="617"/>
      <c r="M364" s="2076"/>
      <c r="N364" s="617"/>
      <c r="O364" s="2077" t="s">
        <v>2324</v>
      </c>
      <c r="P364" s="617"/>
      <c r="Q364" s="2076">
        <v>-1.4999999999999999E-2</v>
      </c>
      <c r="R364" s="617"/>
      <c r="S364" s="1146"/>
      <c r="T364" s="1114"/>
      <c r="U364" s="1146"/>
      <c r="V364" s="1114"/>
      <c r="W364" s="1146"/>
      <c r="X364" s="1114"/>
      <c r="Y364" s="1146">
        <v>-67819.214999999997</v>
      </c>
      <c r="Z364" s="2114">
        <f>C364-'Blocking-Step2'!C364</f>
        <v>0</v>
      </c>
      <c r="AA364" s="2114">
        <f>D364-'Blocking-Step2'!D364</f>
        <v>0</v>
      </c>
      <c r="AC364" s="2114">
        <f>F364-'Blocking-Step2'!F364</f>
        <v>0</v>
      </c>
      <c r="AE364" s="2114">
        <f>H364-'Blocking-Step2'!H364</f>
        <v>0</v>
      </c>
      <c r="AF364" s="2114">
        <f>I364-'Blocking-Step2'!I364</f>
        <v>0</v>
      </c>
      <c r="AH364" s="2136">
        <f>K364-'Blocking-Step2'!K364</f>
        <v>0</v>
      </c>
      <c r="AJ364" s="2136">
        <f>M364-'Blocking-Step2'!M364</f>
        <v>0</v>
      </c>
      <c r="AL364" s="2136" t="e">
        <f>O364-'Blocking-Step2'!O364</f>
        <v>#VALUE!</v>
      </c>
      <c r="AN364" s="2137">
        <f>Q364-'Blocking-Step2'!Q364</f>
        <v>0</v>
      </c>
      <c r="AP364" s="2127">
        <f>S364-'Blocking-Step2'!S364</f>
        <v>0</v>
      </c>
      <c r="AR364" s="2127">
        <f>U364-'Blocking-Step2'!U364</f>
        <v>0</v>
      </c>
      <c r="AT364" s="2127">
        <f>W364-'Blocking-Step2'!W364</f>
        <v>0</v>
      </c>
      <c r="AV364" s="2128">
        <f>Y364-'Blocking-Step2'!Y364</f>
        <v>0</v>
      </c>
    </row>
    <row r="365" spans="1:48" ht="17.25" hidden="1" thickTop="1" thickBot="1">
      <c r="A365" s="1116" t="s">
        <v>1317</v>
      </c>
      <c r="C365" s="1024">
        <v>0</v>
      </c>
      <c r="D365" s="1105">
        <v>0</v>
      </c>
      <c r="F365" s="2076"/>
      <c r="G365" s="617"/>
      <c r="H365" s="1146"/>
      <c r="I365" s="1146"/>
      <c r="K365" s="2076"/>
      <c r="L365" s="617"/>
      <c r="M365" s="2076"/>
      <c r="N365" s="617"/>
      <c r="O365" s="1145"/>
      <c r="Q365" s="1145"/>
      <c r="S365" s="1149"/>
      <c r="U365" s="1149"/>
      <c r="W365" s="1149"/>
      <c r="Y365" s="1149"/>
      <c r="Z365" s="2114">
        <f>C365-'Blocking-Step2'!C365</f>
        <v>0</v>
      </c>
      <c r="AA365" s="2114">
        <f>D365-'Blocking-Step2'!D365</f>
        <v>0</v>
      </c>
      <c r="AC365" s="2114">
        <f>F365-'Blocking-Step2'!F365</f>
        <v>0</v>
      </c>
      <c r="AE365" s="2114">
        <f>H365-'Blocking-Step2'!H365</f>
        <v>0</v>
      </c>
      <c r="AF365" s="2114">
        <f>I365-'Blocking-Step2'!I365</f>
        <v>0</v>
      </c>
      <c r="AH365" s="2136">
        <f>K365-'Blocking-Step2'!K365</f>
        <v>0</v>
      </c>
      <c r="AJ365" s="2136">
        <f>M365-'Blocking-Step2'!M365</f>
        <v>0</v>
      </c>
      <c r="AL365" s="2136">
        <f>O365-'Blocking-Step2'!O365</f>
        <v>0</v>
      </c>
      <c r="AN365" s="2137">
        <f>Q365-'Blocking-Step2'!Q365</f>
        <v>0</v>
      </c>
      <c r="AP365" s="2127">
        <f>S365-'Blocking-Step2'!S365</f>
        <v>0</v>
      </c>
      <c r="AR365" s="2127">
        <f>U365-'Blocking-Step2'!U365</f>
        <v>0</v>
      </c>
      <c r="AT365" s="2127">
        <f>W365-'Blocking-Step2'!W365</f>
        <v>0</v>
      </c>
      <c r="AV365" s="2128">
        <f>Y365-'Blocking-Step2'!Y365</f>
        <v>0</v>
      </c>
    </row>
    <row r="366" spans="1:48" ht="17.25" hidden="1" thickTop="1" thickBot="1">
      <c r="A366" s="1116" t="s">
        <v>247</v>
      </c>
      <c r="C366" s="1138">
        <v>37621399</v>
      </c>
      <c r="D366" s="1138">
        <v>39440125.746287748</v>
      </c>
      <c r="F366" s="1145"/>
      <c r="H366" s="1149">
        <v>5163686.7401999999</v>
      </c>
      <c r="I366" s="1149">
        <v>5408805.8699000003</v>
      </c>
      <c r="K366" s="1145"/>
      <c r="M366" s="1145"/>
      <c r="O366" s="1145"/>
      <c r="Q366" s="1145"/>
      <c r="S366" s="1149">
        <v>1208625</v>
      </c>
      <c r="U366" s="1149">
        <v>3561079</v>
      </c>
      <c r="W366" s="1149">
        <v>842959</v>
      </c>
      <c r="Y366" s="1149">
        <v>5612663</v>
      </c>
      <c r="Z366" s="2114">
        <f>C366-'Blocking-Step2'!C366</f>
        <v>0</v>
      </c>
      <c r="AA366" s="2114">
        <f>D366-'Blocking-Step2'!D366</f>
        <v>0</v>
      </c>
      <c r="AC366" s="2114">
        <f>F366-'Blocking-Step2'!F366</f>
        <v>0</v>
      </c>
      <c r="AE366" s="2114">
        <f>H366-'Blocking-Step2'!H366</f>
        <v>0</v>
      </c>
      <c r="AF366" s="2114">
        <f>I366-'Blocking-Step2'!I366</f>
        <v>0</v>
      </c>
      <c r="AH366" s="2136">
        <f>K366-'Blocking-Step2'!K366</f>
        <v>0</v>
      </c>
      <c r="AJ366" s="2136">
        <f>M366-'Blocking-Step2'!M366</f>
        <v>0</v>
      </c>
      <c r="AL366" s="2136">
        <f>O366-'Blocking-Step2'!O366</f>
        <v>0</v>
      </c>
      <c r="AN366" s="2137">
        <f>Q366-'Blocking-Step2'!Q366</f>
        <v>0</v>
      </c>
      <c r="AP366" s="2127">
        <f>S366-'Blocking-Step2'!S366</f>
        <v>-1342769</v>
      </c>
      <c r="AR366" s="2127">
        <f>U366-'Blocking-Step2'!U366</f>
        <v>1342770</v>
      </c>
      <c r="AT366" s="2127">
        <f>W366-'Blocking-Step2'!W366</f>
        <v>0</v>
      </c>
      <c r="AV366" s="2128">
        <f>Y366-'Blocking-Step2'!Y366</f>
        <v>0</v>
      </c>
    </row>
    <row r="367" spans="1:48" ht="16.5" thickTop="1">
      <c r="C367" s="1105"/>
      <c r="D367" s="1105"/>
      <c r="Z367" s="2114">
        <f>C367-'Blocking-Step2'!C367</f>
        <v>0</v>
      </c>
      <c r="AA367" s="2114">
        <f>D367-'Blocking-Step2'!D367</f>
        <v>0</v>
      </c>
      <c r="AC367" s="2114">
        <f>F367-'Blocking-Step2'!F367</f>
        <v>0</v>
      </c>
      <c r="AE367" s="2114">
        <f>H367-'Blocking-Step2'!H367</f>
        <v>0</v>
      </c>
      <c r="AF367" s="2114">
        <f>I367-'Blocking-Step2'!I367</f>
        <v>0</v>
      </c>
      <c r="AH367" s="2136">
        <f>K367-'Blocking-Step2'!K367</f>
        <v>0</v>
      </c>
      <c r="AJ367" s="2136">
        <f>M367-'Blocking-Step2'!M367</f>
        <v>0</v>
      </c>
      <c r="AL367" s="2136">
        <f>O367-'Blocking-Step2'!O367</f>
        <v>0</v>
      </c>
      <c r="AN367" s="2137">
        <f>Q367-'Blocking-Step2'!Q367</f>
        <v>0</v>
      </c>
      <c r="AP367" s="2127">
        <f>S367-'Blocking-Step2'!S367</f>
        <v>0</v>
      </c>
      <c r="AR367" s="2127">
        <f>U367-'Blocking-Step2'!U367</f>
        <v>0</v>
      </c>
      <c r="AT367" s="2127">
        <f>W367-'Blocking-Step2'!W367</f>
        <v>0</v>
      </c>
      <c r="AV367" s="2128">
        <f>Y367-'Blocking-Step2'!Y367</f>
        <v>0</v>
      </c>
    </row>
    <row r="368" spans="1:48">
      <c r="A368" s="1115" t="s">
        <v>1918</v>
      </c>
      <c r="C368" s="1105"/>
      <c r="D368" s="1105"/>
      <c r="Z368" s="2114">
        <f>C368-'Blocking-Step2'!C368</f>
        <v>0</v>
      </c>
      <c r="AA368" s="2114">
        <f>D368-'Blocking-Step2'!D368</f>
        <v>0</v>
      </c>
      <c r="AC368" s="2114">
        <f>F368-'Blocking-Step2'!F368</f>
        <v>0</v>
      </c>
      <c r="AE368" s="2114">
        <f>H368-'Blocking-Step2'!H368</f>
        <v>0</v>
      </c>
      <c r="AF368" s="2114">
        <f>I368-'Blocking-Step2'!I368</f>
        <v>0</v>
      </c>
      <c r="AH368" s="2136">
        <f>K368-'Blocking-Step2'!K368</f>
        <v>0</v>
      </c>
      <c r="AJ368" s="2136">
        <f>M368-'Blocking-Step2'!M368</f>
        <v>0</v>
      </c>
      <c r="AL368" s="2136">
        <f>O368-'Blocking-Step2'!O368</f>
        <v>0</v>
      </c>
      <c r="AN368" s="2137">
        <f>Q368-'Blocking-Step2'!Q368</f>
        <v>0</v>
      </c>
      <c r="AP368" s="2127">
        <f>S368-'Blocking-Step2'!S368</f>
        <v>0</v>
      </c>
      <c r="AR368" s="2127">
        <f>U368-'Blocking-Step2'!U368</f>
        <v>0</v>
      </c>
      <c r="AT368" s="2127">
        <f>W368-'Blocking-Step2'!W368</f>
        <v>0</v>
      </c>
      <c r="AV368" s="2128">
        <f>Y368-'Blocking-Step2'!Y368</f>
        <v>0</v>
      </c>
    </row>
    <row r="369" spans="1:48">
      <c r="A369" s="1116" t="s">
        <v>240</v>
      </c>
      <c r="C369" s="1105">
        <v>461.81666666666666</v>
      </c>
      <c r="D369" s="1105">
        <v>601.96638791828354</v>
      </c>
      <c r="F369" s="1907"/>
      <c r="G369" s="1110"/>
      <c r="H369" s="1146"/>
      <c r="I369" s="1146"/>
      <c r="K369" s="1907">
        <v>54</v>
      </c>
      <c r="L369" s="1110"/>
      <c r="M369" s="1907">
        <v>0</v>
      </c>
      <c r="N369" s="1110"/>
      <c r="O369" s="1907">
        <v>0</v>
      </c>
      <c r="P369" s="1110"/>
      <c r="Q369" s="1907">
        <v>54</v>
      </c>
      <c r="R369" s="1110"/>
      <c r="S369" s="1146">
        <v>32506</v>
      </c>
      <c r="T369" s="1629"/>
      <c r="U369" s="1146">
        <v>0</v>
      </c>
      <c r="V369" s="1629"/>
      <c r="W369" s="1146">
        <v>0</v>
      </c>
      <c r="X369" s="1629"/>
      <c r="Y369" s="1146">
        <v>32506</v>
      </c>
      <c r="Z369" s="2114">
        <f>C369-'Blocking-Step2'!C369</f>
        <v>0</v>
      </c>
      <c r="AA369" s="2114">
        <f>D369-'Blocking-Step2'!D369</f>
        <v>0</v>
      </c>
      <c r="AC369" s="2114">
        <f>F369-'Blocking-Step2'!F369</f>
        <v>0</v>
      </c>
      <c r="AE369" s="2114">
        <f>H369-'Blocking-Step2'!H369</f>
        <v>0</v>
      </c>
      <c r="AF369" s="2114">
        <f>I369-'Blocking-Step2'!I369</f>
        <v>0</v>
      </c>
      <c r="AH369" s="2136">
        <f>K369-'Blocking-Step2'!K369</f>
        <v>0</v>
      </c>
      <c r="AJ369" s="2136">
        <f>M369-'Blocking-Step2'!M369</f>
        <v>0</v>
      </c>
      <c r="AL369" s="2136">
        <f>O369-'Blocking-Step2'!O369</f>
        <v>0</v>
      </c>
      <c r="AN369" s="2137">
        <f>Q369-'Blocking-Step2'!Q369</f>
        <v>0</v>
      </c>
      <c r="AP369" s="2127">
        <f>S369-'Blocking-Step2'!S369</f>
        <v>0</v>
      </c>
      <c r="AR369" s="2127">
        <f>U369-'Blocking-Step2'!U369</f>
        <v>0</v>
      </c>
      <c r="AT369" s="2127">
        <f>W369-'Blocking-Step2'!W369</f>
        <v>0</v>
      </c>
      <c r="AV369" s="2128">
        <f>Y369-'Blocking-Step2'!Y369</f>
        <v>0</v>
      </c>
    </row>
    <row r="370" spans="1:48">
      <c r="A370" s="1116" t="s">
        <v>1910</v>
      </c>
      <c r="C370" s="1105">
        <v>494309</v>
      </c>
      <c r="D370" s="1105">
        <v>617625.15581650264</v>
      </c>
      <c r="E370" s="617"/>
      <c r="F370" s="1143"/>
      <c r="G370" s="1921"/>
      <c r="H370" s="1146"/>
      <c r="I370" s="1146"/>
      <c r="J370" s="617"/>
      <c r="K370" s="1143">
        <v>1.657</v>
      </c>
      <c r="L370" s="1921" t="s">
        <v>495</v>
      </c>
      <c r="M370" s="1143">
        <v>19.370528114911814</v>
      </c>
      <c r="N370" s="1921" t="s">
        <v>495</v>
      </c>
      <c r="O370" s="1143">
        <v>1.3496999999999999</v>
      </c>
      <c r="P370" s="1921" t="s">
        <v>495</v>
      </c>
      <c r="Q370" s="1143">
        <v>22.377228114911812</v>
      </c>
      <c r="R370" s="1921" t="s">
        <v>495</v>
      </c>
      <c r="S370" s="1146">
        <v>10234</v>
      </c>
      <c r="T370" s="1648"/>
      <c r="U370" s="1146">
        <v>119637</v>
      </c>
      <c r="V370" s="1648"/>
      <c r="W370" s="1146">
        <v>8336</v>
      </c>
      <c r="X370" s="1648"/>
      <c r="Y370" s="1146">
        <v>138207</v>
      </c>
      <c r="Z370" s="2114">
        <f>C370-'Blocking-Step2'!C370</f>
        <v>0</v>
      </c>
      <c r="AA370" s="2114">
        <f>D370-'Blocking-Step2'!D370</f>
        <v>0</v>
      </c>
      <c r="AC370" s="2114">
        <f>F370-'Blocking-Step2'!F370</f>
        <v>0</v>
      </c>
      <c r="AE370" s="2114">
        <f>H370-'Blocking-Step2'!H370</f>
        <v>0</v>
      </c>
      <c r="AF370" s="2114">
        <f>I370-'Blocking-Step2'!I370</f>
        <v>0</v>
      </c>
      <c r="AH370" s="2136">
        <f>K370-'Blocking-Step2'!K370</f>
        <v>-2.2955000000000001</v>
      </c>
      <c r="AJ370" s="2136">
        <f>M370-'Blocking-Step2'!M370</f>
        <v>2.2955000000000005</v>
      </c>
      <c r="AL370" s="2136">
        <f>O370-'Blocking-Step2'!O370</f>
        <v>0</v>
      </c>
      <c r="AN370" s="2137">
        <f>Q370-'Blocking-Step2'!Q370</f>
        <v>0</v>
      </c>
      <c r="AP370" s="2127">
        <f>S370-'Blocking-Step2'!S370</f>
        <v>-14178</v>
      </c>
      <c r="AR370" s="2127">
        <f>U370-'Blocking-Step2'!U370</f>
        <v>14177</v>
      </c>
      <c r="AT370" s="2127">
        <f>W370-'Blocking-Step2'!W370</f>
        <v>0</v>
      </c>
      <c r="AV370" s="2128">
        <f>Y370-'Blocking-Step2'!Y370</f>
        <v>0</v>
      </c>
    </row>
    <row r="371" spans="1:48">
      <c r="A371" s="1116" t="s">
        <v>1911</v>
      </c>
      <c r="C371" s="1105">
        <v>1183199</v>
      </c>
      <c r="D371" s="1105">
        <v>1470157.0589540326</v>
      </c>
      <c r="E371" s="617"/>
      <c r="F371" s="1143"/>
      <c r="G371" s="1921"/>
      <c r="H371" s="1146"/>
      <c r="I371" s="1146"/>
      <c r="J371" s="617"/>
      <c r="K371" s="1143">
        <v>1.657</v>
      </c>
      <c r="L371" s="1921" t="s">
        <v>495</v>
      </c>
      <c r="M371" s="1143">
        <v>1.3803172825590004</v>
      </c>
      <c r="N371" s="1921" t="s">
        <v>495</v>
      </c>
      <c r="O371" s="1143">
        <v>1.3496999999999999</v>
      </c>
      <c r="P371" s="1921" t="s">
        <v>495</v>
      </c>
      <c r="Q371" s="1143">
        <v>4.3870172825590004</v>
      </c>
      <c r="R371" s="1921" t="s">
        <v>495</v>
      </c>
      <c r="S371" s="1146">
        <v>24361</v>
      </c>
      <c r="T371" s="1648"/>
      <c r="U371" s="1146">
        <v>20293</v>
      </c>
      <c r="V371" s="1648"/>
      <c r="W371" s="1146">
        <v>19843</v>
      </c>
      <c r="X371" s="1648"/>
      <c r="Y371" s="1146">
        <v>64496</v>
      </c>
      <c r="Z371" s="2114">
        <f>C371-'Blocking-Step2'!C371</f>
        <v>0</v>
      </c>
      <c r="AA371" s="2114">
        <f>D371-'Blocking-Step2'!D371</f>
        <v>0</v>
      </c>
      <c r="AC371" s="2114">
        <f>F371-'Blocking-Step2'!F371</f>
        <v>0</v>
      </c>
      <c r="AE371" s="2114">
        <f>H371-'Blocking-Step2'!H371</f>
        <v>0</v>
      </c>
      <c r="AF371" s="2114">
        <f>I371-'Blocking-Step2'!I371</f>
        <v>0</v>
      </c>
      <c r="AH371" s="2136">
        <f>K371-'Blocking-Step2'!K371</f>
        <v>-2.2955000000000001</v>
      </c>
      <c r="AJ371" s="2136">
        <f>M371-'Blocking-Step2'!M371</f>
        <v>2.2955000000000001</v>
      </c>
      <c r="AL371" s="2136">
        <f>O371-'Blocking-Step2'!O371</f>
        <v>0</v>
      </c>
      <c r="AN371" s="2137">
        <f>Q371-'Blocking-Step2'!Q371</f>
        <v>0</v>
      </c>
      <c r="AP371" s="2127">
        <f>S371-'Blocking-Step2'!S371</f>
        <v>-33747</v>
      </c>
      <c r="AR371" s="2127">
        <f>U371-'Blocking-Step2'!U371</f>
        <v>33748</v>
      </c>
      <c r="AT371" s="2127">
        <f>W371-'Blocking-Step2'!W371</f>
        <v>0</v>
      </c>
      <c r="AV371" s="2128">
        <f>Y371-'Blocking-Step2'!Y371</f>
        <v>0</v>
      </c>
    </row>
    <row r="372" spans="1:48">
      <c r="A372" s="1116" t="s">
        <v>1912</v>
      </c>
      <c r="C372" s="1105">
        <v>856682.5</v>
      </c>
      <c r="D372" s="1105">
        <v>1069622.9798240834</v>
      </c>
      <c r="E372" s="617"/>
      <c r="F372" s="1143"/>
      <c r="G372" s="1921"/>
      <c r="H372" s="1146"/>
      <c r="I372" s="1146"/>
      <c r="J372" s="617"/>
      <c r="K372" s="1143">
        <v>1.657</v>
      </c>
      <c r="L372" s="1921" t="s">
        <v>495</v>
      </c>
      <c r="M372" s="1143">
        <v>16.951500000000003</v>
      </c>
      <c r="N372" s="1921" t="s">
        <v>495</v>
      </c>
      <c r="O372" s="1143">
        <v>1.1943999999999999</v>
      </c>
      <c r="P372" s="1921" t="s">
        <v>495</v>
      </c>
      <c r="Q372" s="1143">
        <v>19.802900000000001</v>
      </c>
      <c r="R372" s="1921" t="s">
        <v>495</v>
      </c>
      <c r="S372" s="1146">
        <v>17724</v>
      </c>
      <c r="T372" s="1648"/>
      <c r="U372" s="1146">
        <v>181317</v>
      </c>
      <c r="V372" s="1648"/>
      <c r="W372" s="1146">
        <v>12776</v>
      </c>
      <c r="X372" s="1648"/>
      <c r="Y372" s="1146">
        <v>211816</v>
      </c>
      <c r="Z372" s="2114">
        <f>C372-'Blocking-Step2'!C372</f>
        <v>0</v>
      </c>
      <c r="AA372" s="2114">
        <f>D372-'Blocking-Step2'!D372</f>
        <v>0</v>
      </c>
      <c r="AC372" s="2114">
        <f>F372-'Blocking-Step2'!F372</f>
        <v>0</v>
      </c>
      <c r="AE372" s="2114">
        <f>H372-'Blocking-Step2'!H372</f>
        <v>0</v>
      </c>
      <c r="AF372" s="2114">
        <f>I372-'Blocking-Step2'!I372</f>
        <v>0</v>
      </c>
      <c r="AH372" s="2136">
        <f>K372-'Blocking-Step2'!K372</f>
        <v>-2.2955000000000001</v>
      </c>
      <c r="AJ372" s="2136">
        <f>M372-'Blocking-Step2'!M372</f>
        <v>2.2955000000000023</v>
      </c>
      <c r="AL372" s="2136">
        <f>O372-'Blocking-Step2'!O372</f>
        <v>0</v>
      </c>
      <c r="AN372" s="2137">
        <f>Q372-'Blocking-Step2'!Q372</f>
        <v>0</v>
      </c>
      <c r="AP372" s="2127">
        <f>S372-'Blocking-Step2'!S372</f>
        <v>-24553</v>
      </c>
      <c r="AR372" s="2127">
        <f>U372-'Blocking-Step2'!U372</f>
        <v>24553</v>
      </c>
      <c r="AT372" s="2127">
        <f>W372-'Blocking-Step2'!W372</f>
        <v>0</v>
      </c>
      <c r="AV372" s="2128">
        <f>Y372-'Blocking-Step2'!Y372</f>
        <v>0</v>
      </c>
    </row>
    <row r="373" spans="1:48">
      <c r="A373" s="1116" t="s">
        <v>1913</v>
      </c>
      <c r="C373" s="1105">
        <v>2262394.5</v>
      </c>
      <c r="D373" s="1105">
        <v>2803065.8686222499</v>
      </c>
      <c r="E373" s="617"/>
      <c r="F373" s="1143"/>
      <c r="G373" s="1921"/>
      <c r="H373" s="1146"/>
      <c r="I373" s="1146"/>
      <c r="J373" s="617"/>
      <c r="K373" s="1143">
        <v>1.657</v>
      </c>
      <c r="L373" s="1921" t="s">
        <v>495</v>
      </c>
      <c r="M373" s="1143">
        <v>1.0308999999999999</v>
      </c>
      <c r="N373" s="1921" t="s">
        <v>495</v>
      </c>
      <c r="O373" s="1143">
        <v>1.1943999999999999</v>
      </c>
      <c r="P373" s="1921" t="s">
        <v>495</v>
      </c>
      <c r="Q373" s="1143">
        <v>3.8822999999999999</v>
      </c>
      <c r="R373" s="1921" t="s">
        <v>495</v>
      </c>
      <c r="S373" s="1146">
        <v>46447</v>
      </c>
      <c r="T373" s="1648"/>
      <c r="U373" s="1146">
        <v>28897</v>
      </c>
      <c r="V373" s="1648"/>
      <c r="W373" s="1146">
        <v>33480</v>
      </c>
      <c r="X373" s="1648"/>
      <c r="Y373" s="1146">
        <v>108823</v>
      </c>
      <c r="Z373" s="2114">
        <f>C373-'Blocking-Step2'!C373</f>
        <v>0</v>
      </c>
      <c r="AA373" s="2114">
        <f>D373-'Blocking-Step2'!D373</f>
        <v>0</v>
      </c>
      <c r="AC373" s="2114">
        <f>F373-'Blocking-Step2'!F373</f>
        <v>0</v>
      </c>
      <c r="AE373" s="2114">
        <f>H373-'Blocking-Step2'!H373</f>
        <v>0</v>
      </c>
      <c r="AF373" s="2114">
        <f>I373-'Blocking-Step2'!I373</f>
        <v>0</v>
      </c>
      <c r="AH373" s="2136">
        <f>K373-'Blocking-Step2'!K373</f>
        <v>-2.2955000000000001</v>
      </c>
      <c r="AJ373" s="2136">
        <f>M373-'Blocking-Step2'!M373</f>
        <v>2.2955000000000001</v>
      </c>
      <c r="AL373" s="2136">
        <f>O373-'Blocking-Step2'!O373</f>
        <v>0</v>
      </c>
      <c r="AN373" s="2137">
        <f>Q373-'Blocking-Step2'!Q373</f>
        <v>0</v>
      </c>
      <c r="AP373" s="2127">
        <f>S373-'Blocking-Step2'!S373</f>
        <v>-64344</v>
      </c>
      <c r="AR373" s="2127">
        <f>U373-'Blocking-Step2'!U373</f>
        <v>64345</v>
      </c>
      <c r="AT373" s="2127">
        <f>W373-'Blocking-Step2'!W373</f>
        <v>0</v>
      </c>
      <c r="AV373" s="2128">
        <f>Y373-'Blocking-Step2'!Y373</f>
        <v>0</v>
      </c>
    </row>
    <row r="374" spans="1:48">
      <c r="A374" s="1116" t="s">
        <v>1906</v>
      </c>
      <c r="C374" s="1105">
        <v>931604.91289976228</v>
      </c>
      <c r="D374" s="1105">
        <v>1159450.9047616925</v>
      </c>
      <c r="E374" s="617"/>
      <c r="F374" s="1143"/>
      <c r="G374" s="1921"/>
      <c r="H374" s="1146"/>
      <c r="I374" s="1146"/>
      <c r="J374" s="617"/>
      <c r="K374" s="1143">
        <v>0</v>
      </c>
      <c r="L374" s="1921" t="s">
        <v>495</v>
      </c>
      <c r="M374" s="1143">
        <v>0</v>
      </c>
      <c r="N374" s="1921" t="s">
        <v>495</v>
      </c>
      <c r="O374" s="1143">
        <v>6</v>
      </c>
      <c r="P374" s="1921" t="s">
        <v>495</v>
      </c>
      <c r="Q374" s="1143">
        <v>6</v>
      </c>
      <c r="R374" s="1921" t="s">
        <v>495</v>
      </c>
      <c r="S374" s="1146">
        <v>0</v>
      </c>
      <c r="T374" s="1648"/>
      <c r="U374" s="1146">
        <v>0</v>
      </c>
      <c r="V374" s="1648"/>
      <c r="W374" s="1146">
        <v>69567</v>
      </c>
      <c r="X374" s="1648"/>
      <c r="Y374" s="1146">
        <v>69567</v>
      </c>
      <c r="Z374" s="2114">
        <f>C374-'Blocking-Step2'!C374</f>
        <v>0</v>
      </c>
      <c r="AA374" s="2114">
        <f>D374-'Blocking-Step2'!D374</f>
        <v>0</v>
      </c>
      <c r="AC374" s="2114">
        <f>F374-'Blocking-Step2'!F374</f>
        <v>0</v>
      </c>
      <c r="AE374" s="2114">
        <f>H374-'Blocking-Step2'!H374</f>
        <v>0</v>
      </c>
      <c r="AF374" s="2114">
        <f>I374-'Blocking-Step2'!I374</f>
        <v>0</v>
      </c>
      <c r="AH374" s="2136">
        <f>K374-'Blocking-Step2'!K374</f>
        <v>0</v>
      </c>
      <c r="AJ374" s="2136">
        <f>M374-'Blocking-Step2'!M374</f>
        <v>0</v>
      </c>
      <c r="AL374" s="2136">
        <f>O374-'Blocking-Step2'!O374</f>
        <v>0</v>
      </c>
      <c r="AN374" s="2137">
        <f>Q374-'Blocking-Step2'!Q374</f>
        <v>0</v>
      </c>
      <c r="AP374" s="2127">
        <f>S374-'Blocking-Step2'!S374</f>
        <v>0</v>
      </c>
      <c r="AR374" s="2127">
        <f>U374-'Blocking-Step2'!U374</f>
        <v>0</v>
      </c>
      <c r="AT374" s="2127">
        <f>W374-'Blocking-Step2'!W374</f>
        <v>0</v>
      </c>
      <c r="AV374" s="2128">
        <f>Y374-'Blocking-Step2'!Y374</f>
        <v>0</v>
      </c>
    </row>
    <row r="375" spans="1:48">
      <c r="A375" s="1116" t="s">
        <v>1907</v>
      </c>
      <c r="C375" s="1105">
        <v>745903.08710023749</v>
      </c>
      <c r="D375" s="1105">
        <v>928331.31000884238</v>
      </c>
      <c r="E375" s="617"/>
      <c r="F375" s="1143"/>
      <c r="G375" s="1921"/>
      <c r="H375" s="1146"/>
      <c r="I375" s="1146"/>
      <c r="J375" s="617"/>
      <c r="K375" s="1143">
        <v>0</v>
      </c>
      <c r="L375" s="1921" t="s">
        <v>495</v>
      </c>
      <c r="M375" s="1143">
        <v>0</v>
      </c>
      <c r="N375" s="1921" t="s">
        <v>495</v>
      </c>
      <c r="O375" s="1143">
        <v>-2.3358000000000008</v>
      </c>
      <c r="P375" s="1921" t="s">
        <v>495</v>
      </c>
      <c r="Q375" s="1143">
        <v>-2.3358000000000008</v>
      </c>
      <c r="R375" s="1921" t="s">
        <v>495</v>
      </c>
      <c r="S375" s="1146">
        <v>0</v>
      </c>
      <c r="T375" s="1648"/>
      <c r="U375" s="1146">
        <v>0</v>
      </c>
      <c r="V375" s="1648"/>
      <c r="W375" s="1146">
        <v>-21684</v>
      </c>
      <c r="X375" s="1648"/>
      <c r="Y375" s="1146">
        <v>-21684</v>
      </c>
      <c r="Z375" s="2114">
        <f>C375-'Blocking-Step2'!C375</f>
        <v>0</v>
      </c>
      <c r="AA375" s="2114">
        <f>D375-'Blocking-Step2'!D375</f>
        <v>0</v>
      </c>
      <c r="AC375" s="2114">
        <f>F375-'Blocking-Step2'!F375</f>
        <v>0</v>
      </c>
      <c r="AE375" s="2114">
        <f>H375-'Blocking-Step2'!H375</f>
        <v>0</v>
      </c>
      <c r="AF375" s="2114">
        <f>I375-'Blocking-Step2'!I375</f>
        <v>0</v>
      </c>
      <c r="AH375" s="2136">
        <f>K375-'Blocking-Step2'!K375</f>
        <v>0</v>
      </c>
      <c r="AJ375" s="2136">
        <f>M375-'Blocking-Step2'!M375</f>
        <v>0</v>
      </c>
      <c r="AL375" s="2136">
        <f>O375-'Blocking-Step2'!O375</f>
        <v>0</v>
      </c>
      <c r="AN375" s="2137">
        <f>Q375-'Blocking-Step2'!Q375</f>
        <v>0</v>
      </c>
      <c r="AP375" s="2127">
        <f>S375-'Blocking-Step2'!S375</f>
        <v>0</v>
      </c>
      <c r="AR375" s="2127">
        <f>U375-'Blocking-Step2'!U375</f>
        <v>0</v>
      </c>
      <c r="AT375" s="2127">
        <f>W375-'Blocking-Step2'!W375</f>
        <v>0</v>
      </c>
      <c r="AV375" s="2128">
        <f>Y375-'Blocking-Step2'!Y375</f>
        <v>0</v>
      </c>
    </row>
    <row r="376" spans="1:48">
      <c r="A376" s="1116" t="s">
        <v>1908</v>
      </c>
      <c r="C376" s="1105">
        <v>1732180.983287503</v>
      </c>
      <c r="D376" s="1105">
        <v>2150699.7029788997</v>
      </c>
      <c r="E376" s="617"/>
      <c r="F376" s="1143"/>
      <c r="G376" s="1921"/>
      <c r="H376" s="1146"/>
      <c r="I376" s="1146"/>
      <c r="J376" s="617"/>
      <c r="K376" s="1143">
        <v>0</v>
      </c>
      <c r="L376" s="1921" t="s">
        <v>495</v>
      </c>
      <c r="M376" s="1143">
        <v>0</v>
      </c>
      <c r="N376" s="1921" t="s">
        <v>495</v>
      </c>
      <c r="O376" s="1143">
        <v>5.3097000000000003</v>
      </c>
      <c r="P376" s="1921" t="s">
        <v>495</v>
      </c>
      <c r="Q376" s="1143">
        <v>5.3097000000000003</v>
      </c>
      <c r="R376" s="1921" t="s">
        <v>495</v>
      </c>
      <c r="S376" s="1146">
        <v>0</v>
      </c>
      <c r="T376" s="1648"/>
      <c r="U376" s="1146">
        <v>0</v>
      </c>
      <c r="V376" s="1648"/>
      <c r="W376" s="1146">
        <v>114196</v>
      </c>
      <c r="X376" s="1648"/>
      <c r="Y376" s="1146">
        <v>114196</v>
      </c>
      <c r="Z376" s="2114">
        <f>C376-'Blocking-Step2'!C376</f>
        <v>0</v>
      </c>
      <c r="AA376" s="2114">
        <f>D376-'Blocking-Step2'!D376</f>
        <v>0</v>
      </c>
      <c r="AC376" s="2114">
        <f>F376-'Blocking-Step2'!F376</f>
        <v>0</v>
      </c>
      <c r="AE376" s="2114">
        <f>H376-'Blocking-Step2'!H376</f>
        <v>0</v>
      </c>
      <c r="AF376" s="2114">
        <f>I376-'Blocking-Step2'!I376</f>
        <v>0</v>
      </c>
      <c r="AH376" s="2136">
        <f>K376-'Blocking-Step2'!K376</f>
        <v>0</v>
      </c>
      <c r="AJ376" s="2136">
        <f>M376-'Blocking-Step2'!M376</f>
        <v>0</v>
      </c>
      <c r="AL376" s="2136">
        <f>O376-'Blocking-Step2'!O376</f>
        <v>0</v>
      </c>
      <c r="AN376" s="2137">
        <f>Q376-'Blocking-Step2'!Q376</f>
        <v>0</v>
      </c>
      <c r="AP376" s="2127">
        <f>S376-'Blocking-Step2'!S376</f>
        <v>0</v>
      </c>
      <c r="AR376" s="2127">
        <f>U376-'Blocking-Step2'!U376</f>
        <v>0</v>
      </c>
      <c r="AT376" s="2127">
        <f>W376-'Blocking-Step2'!W376</f>
        <v>0</v>
      </c>
      <c r="AV376" s="2128">
        <f>Y376-'Blocking-Step2'!Y376</f>
        <v>0</v>
      </c>
    </row>
    <row r="377" spans="1:48">
      <c r="A377" s="1116" t="s">
        <v>1909</v>
      </c>
      <c r="C377" s="1105">
        <v>1386896.0167124968</v>
      </c>
      <c r="D377" s="1105">
        <v>1721989.1454674334</v>
      </c>
      <c r="E377" s="617"/>
      <c r="F377" s="1143"/>
      <c r="G377" s="1921"/>
      <c r="H377" s="1146"/>
      <c r="I377" s="1146"/>
      <c r="J377" s="617"/>
      <c r="K377" s="1143">
        <v>0</v>
      </c>
      <c r="L377" s="1921" t="s">
        <v>495</v>
      </c>
      <c r="M377" s="1143">
        <v>0</v>
      </c>
      <c r="N377" s="1921" t="s">
        <v>495</v>
      </c>
      <c r="O377" s="1143">
        <v>-2.0670999999999999</v>
      </c>
      <c r="P377" s="1921" t="s">
        <v>495</v>
      </c>
      <c r="Q377" s="1143">
        <v>-2.0670999999999999</v>
      </c>
      <c r="R377" s="1921" t="s">
        <v>495</v>
      </c>
      <c r="S377" s="1146">
        <v>0</v>
      </c>
      <c r="T377" s="1648"/>
      <c r="U377" s="1146">
        <v>0</v>
      </c>
      <c r="V377" s="1648"/>
      <c r="W377" s="1146">
        <v>-35595</v>
      </c>
      <c r="X377" s="1648"/>
      <c r="Y377" s="1146">
        <v>-35595</v>
      </c>
      <c r="Z377" s="2114">
        <f>C377-'Blocking-Step2'!C377</f>
        <v>0</v>
      </c>
      <c r="AA377" s="2114">
        <f>D377-'Blocking-Step2'!D377</f>
        <v>0</v>
      </c>
      <c r="AC377" s="2114">
        <f>F377-'Blocking-Step2'!F377</f>
        <v>0</v>
      </c>
      <c r="AE377" s="2114">
        <f>H377-'Blocking-Step2'!H377</f>
        <v>0</v>
      </c>
      <c r="AF377" s="2114">
        <f>I377-'Blocking-Step2'!I377</f>
        <v>0</v>
      </c>
      <c r="AH377" s="2136">
        <f>K377-'Blocking-Step2'!K377</f>
        <v>0</v>
      </c>
      <c r="AJ377" s="2136">
        <f>M377-'Blocking-Step2'!M377</f>
        <v>0</v>
      </c>
      <c r="AL377" s="2136">
        <f>O377-'Blocking-Step2'!O377</f>
        <v>0</v>
      </c>
      <c r="AN377" s="2137">
        <f>Q377-'Blocking-Step2'!Q377</f>
        <v>0</v>
      </c>
      <c r="AP377" s="2127">
        <f>S377-'Blocking-Step2'!S377</f>
        <v>0</v>
      </c>
      <c r="AR377" s="2127">
        <f>U377-'Blocking-Step2'!U377</f>
        <v>0</v>
      </c>
      <c r="AT377" s="2127">
        <f>W377-'Blocking-Step2'!W377</f>
        <v>0</v>
      </c>
      <c r="AV377" s="2128">
        <f>Y377-'Blocking-Step2'!Y377</f>
        <v>0</v>
      </c>
    </row>
    <row r="378" spans="1:48">
      <c r="A378" s="1116" t="s">
        <v>261</v>
      </c>
      <c r="C378" s="1105">
        <v>0</v>
      </c>
      <c r="D378" s="1105">
        <v>0</v>
      </c>
      <c r="F378" s="1907"/>
      <c r="G378" s="1110"/>
      <c r="H378" s="1146"/>
      <c r="I378" s="1146"/>
      <c r="K378" s="1907">
        <v>-0.61</v>
      </c>
      <c r="L378" s="1110"/>
      <c r="M378" s="1907">
        <v>0</v>
      </c>
      <c r="N378" s="1110"/>
      <c r="O378" s="1907">
        <v>0</v>
      </c>
      <c r="P378" s="1110"/>
      <c r="Q378" s="1907">
        <v>-0.61</v>
      </c>
      <c r="R378" s="1110"/>
      <c r="S378" s="1146">
        <v>0</v>
      </c>
      <c r="T378" s="1629"/>
      <c r="U378" s="1146">
        <v>0</v>
      </c>
      <c r="V378" s="1629"/>
      <c r="W378" s="1146">
        <v>0</v>
      </c>
      <c r="X378" s="1629"/>
      <c r="Y378" s="1146">
        <v>0</v>
      </c>
      <c r="Z378" s="2114">
        <f>C378-'Blocking-Step2'!C378</f>
        <v>0</v>
      </c>
      <c r="AA378" s="2114">
        <f>D378-'Blocking-Step2'!D378</f>
        <v>0</v>
      </c>
      <c r="AC378" s="2114">
        <f>F378-'Blocking-Step2'!F378</f>
        <v>0</v>
      </c>
      <c r="AE378" s="2114">
        <f>H378-'Blocking-Step2'!H378</f>
        <v>0</v>
      </c>
      <c r="AF378" s="2114">
        <f>I378-'Blocking-Step2'!I378</f>
        <v>0</v>
      </c>
      <c r="AH378" s="2136">
        <f>K378-'Blocking-Step2'!K378</f>
        <v>0</v>
      </c>
      <c r="AJ378" s="2136">
        <f>M378-'Blocking-Step2'!M378</f>
        <v>0</v>
      </c>
      <c r="AL378" s="2136">
        <f>O378-'Blocking-Step2'!O378</f>
        <v>0</v>
      </c>
      <c r="AN378" s="2137">
        <f>Q378-'Blocking-Step2'!Q378</f>
        <v>0</v>
      </c>
      <c r="AP378" s="2127">
        <f>S378-'Blocking-Step2'!S378</f>
        <v>0</v>
      </c>
      <c r="AR378" s="2127">
        <f>U378-'Blocking-Step2'!U378</f>
        <v>0</v>
      </c>
      <c r="AT378" s="2127">
        <f>W378-'Blocking-Step2'!W378</f>
        <v>0</v>
      </c>
      <c r="AV378" s="2128">
        <f>Y378-'Blocking-Step2'!Y378</f>
        <v>0</v>
      </c>
    </row>
    <row r="379" spans="1:48">
      <c r="A379" s="1116" t="s">
        <v>1158</v>
      </c>
      <c r="C379" s="1105">
        <v>0</v>
      </c>
      <c r="D379" s="1105">
        <v>0</v>
      </c>
      <c r="F379" s="1106"/>
      <c r="G379" s="1921"/>
      <c r="H379" s="1146"/>
      <c r="I379" s="1146"/>
      <c r="K379" s="1106">
        <v>0</v>
      </c>
      <c r="L379" s="1921" t="s">
        <v>495</v>
      </c>
      <c r="M379" s="1106">
        <v>7.125</v>
      </c>
      <c r="N379" s="1921" t="s">
        <v>495</v>
      </c>
      <c r="O379" s="1106">
        <v>0</v>
      </c>
      <c r="P379" s="1921" t="s">
        <v>495</v>
      </c>
      <c r="Q379" s="1106">
        <v>7.125</v>
      </c>
      <c r="R379" s="1921" t="s">
        <v>495</v>
      </c>
      <c r="S379" s="1146">
        <v>0</v>
      </c>
      <c r="T379" s="1648"/>
      <c r="U379" s="1146">
        <v>0</v>
      </c>
      <c r="V379" s="1648"/>
      <c r="W379" s="1146">
        <v>0</v>
      </c>
      <c r="X379" s="1648"/>
      <c r="Y379" s="1146">
        <v>0</v>
      </c>
      <c r="Z379" s="2114">
        <f>C379-'Blocking-Step2'!C379</f>
        <v>0</v>
      </c>
      <c r="AA379" s="2114">
        <f>D379-'Blocking-Step2'!D379</f>
        <v>0</v>
      </c>
      <c r="AC379" s="2114">
        <f>F379-'Blocking-Step2'!F379</f>
        <v>0</v>
      </c>
      <c r="AE379" s="2114">
        <f>H379-'Blocking-Step2'!H379</f>
        <v>0</v>
      </c>
      <c r="AF379" s="2114">
        <f>I379-'Blocking-Step2'!I379</f>
        <v>0</v>
      </c>
      <c r="AH379" s="2136">
        <f>K379-'Blocking-Step2'!K379</f>
        <v>0</v>
      </c>
      <c r="AJ379" s="2136">
        <f>M379-'Blocking-Step2'!M379</f>
        <v>0</v>
      </c>
      <c r="AL379" s="2136">
        <f>O379-'Blocking-Step2'!O379</f>
        <v>0</v>
      </c>
      <c r="AN379" s="2137">
        <f>Q379-'Blocking-Step2'!Q379</f>
        <v>0</v>
      </c>
      <c r="AP379" s="2127">
        <f>S379-'Blocking-Step2'!S379</f>
        <v>0</v>
      </c>
      <c r="AR379" s="2127">
        <f>U379-'Blocking-Step2'!U379</f>
        <v>0</v>
      </c>
      <c r="AT379" s="2127">
        <f>W379-'Blocking-Step2'!W379</f>
        <v>0</v>
      </c>
      <c r="AV379" s="2128">
        <f>Y379-'Blocking-Step2'!Y379</f>
        <v>0</v>
      </c>
    </row>
    <row r="380" spans="1:48">
      <c r="A380" s="1116" t="s">
        <v>1240</v>
      </c>
      <c r="C380" s="1024"/>
      <c r="D380" s="1024"/>
      <c r="F380" s="2076"/>
      <c r="G380" s="617"/>
      <c r="H380" s="1146"/>
      <c r="I380" s="1146"/>
      <c r="K380" s="2076"/>
      <c r="L380" s="617"/>
      <c r="M380" s="2076"/>
      <c r="N380" s="617"/>
      <c r="O380" s="2077" t="s">
        <v>2323</v>
      </c>
      <c r="P380" s="617"/>
      <c r="Q380" s="2076">
        <v>-3.0599999999999999E-2</v>
      </c>
      <c r="R380" s="617"/>
      <c r="S380" s="1114"/>
      <c r="T380" s="1114"/>
      <c r="U380" s="1114"/>
      <c r="V380" s="1114"/>
      <c r="W380" s="1114"/>
      <c r="X380" s="1114"/>
      <c r="Y380" s="1146">
        <v>-16014.2652</v>
      </c>
      <c r="Z380" s="2114">
        <f>C380-'Blocking-Step2'!C380</f>
        <v>0</v>
      </c>
      <c r="AA380" s="2114">
        <f>D380-'Blocking-Step2'!D380</f>
        <v>0</v>
      </c>
      <c r="AC380" s="2114">
        <f>F380-'Blocking-Step2'!F380</f>
        <v>0</v>
      </c>
      <c r="AE380" s="2114">
        <f>H380-'Blocking-Step2'!H380</f>
        <v>0</v>
      </c>
      <c r="AF380" s="2114">
        <f>I380-'Blocking-Step2'!I380</f>
        <v>0</v>
      </c>
      <c r="AH380" s="2136">
        <f>K380-'Blocking-Step2'!K380</f>
        <v>0</v>
      </c>
      <c r="AJ380" s="2136">
        <f>M380-'Blocking-Step2'!M380</f>
        <v>0</v>
      </c>
      <c r="AL380" s="2136" t="e">
        <f>O380-'Blocking-Step2'!O380</f>
        <v>#VALUE!</v>
      </c>
      <c r="AN380" s="2137">
        <f>Q380-'Blocking-Step2'!Q380</f>
        <v>0</v>
      </c>
      <c r="AP380" s="2127">
        <f>S380-'Blocking-Step2'!S380</f>
        <v>0</v>
      </c>
      <c r="AR380" s="2127">
        <f>U380-'Blocking-Step2'!U380</f>
        <v>0</v>
      </c>
      <c r="AT380" s="2127">
        <f>W380-'Blocking-Step2'!W380</f>
        <v>0</v>
      </c>
      <c r="AV380" s="2128">
        <f>Y380-'Blocking-Step2'!Y380</f>
        <v>0</v>
      </c>
    </row>
    <row r="381" spans="1:48">
      <c r="A381" s="1116"/>
      <c r="C381" s="1024"/>
      <c r="D381" s="1024"/>
      <c r="F381" s="2076"/>
      <c r="G381" s="617"/>
      <c r="H381" s="1146"/>
      <c r="I381" s="1146"/>
      <c r="K381" s="2076"/>
      <c r="L381" s="617"/>
      <c r="M381" s="2076"/>
      <c r="N381" s="617"/>
      <c r="O381" s="2077" t="s">
        <v>2324</v>
      </c>
      <c r="P381" s="617"/>
      <c r="Q381" s="2076">
        <v>-1.66E-2</v>
      </c>
      <c r="R381" s="617"/>
      <c r="S381" s="1114"/>
      <c r="T381" s="1114"/>
      <c r="U381" s="1114"/>
      <c r="V381" s="1114"/>
      <c r="W381" s="1114"/>
      <c r="X381" s="1114"/>
      <c r="Y381" s="1146">
        <v>-8687.4771999999994</v>
      </c>
      <c r="Z381" s="2114">
        <f>C381-'Blocking-Step2'!C381</f>
        <v>0</v>
      </c>
      <c r="AA381" s="2114">
        <f>D381-'Blocking-Step2'!D381</f>
        <v>0</v>
      </c>
      <c r="AC381" s="2114">
        <f>F381-'Blocking-Step2'!F381</f>
        <v>0</v>
      </c>
      <c r="AE381" s="2114">
        <f>H381-'Blocking-Step2'!H381</f>
        <v>0</v>
      </c>
      <c r="AF381" s="2114">
        <f>I381-'Blocking-Step2'!I381</f>
        <v>0</v>
      </c>
      <c r="AH381" s="2136">
        <f>K381-'Blocking-Step2'!K381</f>
        <v>0</v>
      </c>
      <c r="AJ381" s="2136">
        <f>M381-'Blocking-Step2'!M381</f>
        <v>0</v>
      </c>
      <c r="AL381" s="2136" t="e">
        <f>O381-'Blocking-Step2'!O381</f>
        <v>#VALUE!</v>
      </c>
      <c r="AN381" s="2137">
        <f>Q381-'Blocking-Step2'!Q381</f>
        <v>0</v>
      </c>
      <c r="AP381" s="2127">
        <f>S381-'Blocking-Step2'!S381</f>
        <v>0</v>
      </c>
      <c r="AR381" s="2127">
        <f>U381-'Blocking-Step2'!U381</f>
        <v>0</v>
      </c>
      <c r="AT381" s="2127">
        <f>W381-'Blocking-Step2'!W381</f>
        <v>0</v>
      </c>
      <c r="AV381" s="2128">
        <f>Y381-'Blocking-Step2'!Y381</f>
        <v>0</v>
      </c>
    </row>
    <row r="382" spans="1:48">
      <c r="A382" s="1116" t="s">
        <v>1923</v>
      </c>
      <c r="C382" s="1105">
        <v>4796585</v>
      </c>
      <c r="D382" s="1105">
        <v>5960471.0632168679</v>
      </c>
      <c r="F382" s="1907"/>
      <c r="G382" s="1110"/>
      <c r="H382" s="1146"/>
      <c r="I382" s="1146"/>
      <c r="K382" s="1907"/>
      <c r="L382" s="1110"/>
      <c r="M382" s="1907"/>
      <c r="N382" s="1110"/>
      <c r="O382" s="1907"/>
      <c r="P382" s="1110"/>
      <c r="Q382" s="1907"/>
      <c r="R382" s="1110"/>
      <c r="S382" s="1146">
        <v>131272</v>
      </c>
      <c r="T382" s="1629"/>
      <c r="U382" s="1146">
        <v>350144</v>
      </c>
      <c r="V382" s="1629"/>
      <c r="W382" s="1146">
        <v>200919</v>
      </c>
      <c r="X382" s="1629"/>
      <c r="Y382" s="1146">
        <v>682332</v>
      </c>
      <c r="Z382" s="2114">
        <f>C382-'Blocking-Step2'!C382</f>
        <v>0</v>
      </c>
      <c r="AA382" s="2114">
        <f>D382-'Blocking-Step2'!D382</f>
        <v>0</v>
      </c>
      <c r="AC382" s="2114">
        <f>F382-'Blocking-Step2'!F382</f>
        <v>0</v>
      </c>
      <c r="AE382" s="2114">
        <f>H382-'Blocking-Step2'!H382</f>
        <v>0</v>
      </c>
      <c r="AF382" s="2114">
        <f>I382-'Blocking-Step2'!I382</f>
        <v>0</v>
      </c>
      <c r="AH382" s="2136">
        <f>K382-'Blocking-Step2'!K382</f>
        <v>0</v>
      </c>
      <c r="AJ382" s="2136">
        <f>M382-'Blocking-Step2'!M382</f>
        <v>0</v>
      </c>
      <c r="AL382" s="2136">
        <f>O382-'Blocking-Step2'!O382</f>
        <v>0</v>
      </c>
      <c r="AN382" s="2137">
        <f>Q382-'Blocking-Step2'!Q382</f>
        <v>0</v>
      </c>
      <c r="AP382" s="2127">
        <f>S382-'Blocking-Step2'!S382</f>
        <v>-136822</v>
      </c>
      <c r="AR382" s="2127">
        <f>U382-'Blocking-Step2'!U382</f>
        <v>136823</v>
      </c>
      <c r="AT382" s="2127">
        <f>W382-'Blocking-Step2'!W382</f>
        <v>0</v>
      </c>
      <c r="AV382" s="2128">
        <f>Y382-'Blocking-Step2'!Y382</f>
        <v>0</v>
      </c>
    </row>
    <row r="383" spans="1:48">
      <c r="A383" s="1116"/>
      <c r="C383" s="1105"/>
      <c r="D383" s="1105"/>
      <c r="F383" s="1907"/>
      <c r="G383" s="1110"/>
      <c r="H383" s="1146"/>
      <c r="I383" s="1146"/>
      <c r="K383" s="1907"/>
      <c r="L383" s="1110"/>
      <c r="M383" s="1907"/>
      <c r="N383" s="1110"/>
      <c r="O383" s="1907"/>
      <c r="P383" s="1110"/>
      <c r="Q383" s="1907"/>
      <c r="R383" s="1110"/>
      <c r="S383" s="1629"/>
      <c r="T383" s="1629"/>
      <c r="U383" s="1629"/>
      <c r="V383" s="1629"/>
      <c r="W383" s="1629"/>
      <c r="X383" s="1629"/>
      <c r="Y383" s="1146"/>
      <c r="Z383" s="2114">
        <f>C383-'Blocking-Step2'!C383</f>
        <v>0</v>
      </c>
      <c r="AA383" s="2114">
        <f>D383-'Blocking-Step2'!D383</f>
        <v>0</v>
      </c>
      <c r="AC383" s="2114">
        <f>F383-'Blocking-Step2'!F383</f>
        <v>0</v>
      </c>
      <c r="AE383" s="2114">
        <f>H383-'Blocking-Step2'!H383</f>
        <v>0</v>
      </c>
      <c r="AF383" s="2114">
        <f>I383-'Blocking-Step2'!I383</f>
        <v>0</v>
      </c>
      <c r="AH383" s="2136">
        <f>K383-'Blocking-Step2'!K383</f>
        <v>0</v>
      </c>
      <c r="AJ383" s="2136">
        <f>M383-'Blocking-Step2'!M383</f>
        <v>0</v>
      </c>
      <c r="AL383" s="2136">
        <f>O383-'Blocking-Step2'!O383</f>
        <v>0</v>
      </c>
      <c r="AN383" s="2137">
        <f>Q383-'Blocking-Step2'!Q383</f>
        <v>0</v>
      </c>
      <c r="AP383" s="2127">
        <f>S383-'Blocking-Step2'!S383</f>
        <v>0</v>
      </c>
      <c r="AR383" s="2127">
        <f>U383-'Blocking-Step2'!U383</f>
        <v>0</v>
      </c>
      <c r="AT383" s="2127">
        <f>W383-'Blocking-Step2'!W383</f>
        <v>0</v>
      </c>
      <c r="AV383" s="2128">
        <f>Y383-'Blocking-Step2'!Y383</f>
        <v>0</v>
      </c>
    </row>
    <row r="384" spans="1:48">
      <c r="A384" s="1116" t="s">
        <v>240</v>
      </c>
      <c r="C384" s="1105">
        <v>461.81666666666666</v>
      </c>
      <c r="D384" s="1105">
        <v>601.96638791828354</v>
      </c>
      <c r="F384" s="1907">
        <v>54</v>
      </c>
      <c r="G384" s="1110"/>
      <c r="H384" s="1146">
        <v>24938</v>
      </c>
      <c r="I384" s="1146">
        <v>32506</v>
      </c>
      <c r="K384" s="1907">
        <v>54</v>
      </c>
      <c r="L384" s="1110"/>
      <c r="M384" s="1907">
        <v>0</v>
      </c>
      <c r="N384" s="1110"/>
      <c r="O384" s="1907">
        <v>0</v>
      </c>
      <c r="P384" s="1110"/>
      <c r="Q384" s="1907">
        <v>54</v>
      </c>
      <c r="R384" s="1110"/>
      <c r="S384" s="1146">
        <v>32506</v>
      </c>
      <c r="T384" s="1629"/>
      <c r="U384" s="1146">
        <v>0</v>
      </c>
      <c r="V384" s="1629"/>
      <c r="W384" s="1146">
        <v>0</v>
      </c>
      <c r="X384" s="1629"/>
      <c r="Y384" s="1146">
        <v>32506</v>
      </c>
      <c r="Z384" s="2114">
        <f>C384-'Blocking-Step2'!C384</f>
        <v>0</v>
      </c>
      <c r="AA384" s="2114">
        <f>D384-'Blocking-Step2'!D384</f>
        <v>0</v>
      </c>
      <c r="AC384" s="2114">
        <f>F384-'Blocking-Step2'!F384</f>
        <v>0</v>
      </c>
      <c r="AE384" s="2114">
        <f>H384-'Blocking-Step2'!H384</f>
        <v>0</v>
      </c>
      <c r="AF384" s="2114">
        <f>I384-'Blocking-Step2'!I384</f>
        <v>0</v>
      </c>
      <c r="AH384" s="2136">
        <f>K384-'Blocking-Step2'!K384</f>
        <v>0</v>
      </c>
      <c r="AJ384" s="2136">
        <f>M384-'Blocking-Step2'!M384</f>
        <v>0</v>
      </c>
      <c r="AL384" s="2136">
        <f>O384-'Blocking-Step2'!O384</f>
        <v>0</v>
      </c>
      <c r="AN384" s="2137">
        <f>Q384-'Blocking-Step2'!Q384</f>
        <v>0</v>
      </c>
      <c r="AP384" s="2127">
        <f>S384-'Blocking-Step2'!S384</f>
        <v>0</v>
      </c>
      <c r="AR384" s="2127">
        <f>U384-'Blocking-Step2'!U384</f>
        <v>0</v>
      </c>
      <c r="AT384" s="2127">
        <f>W384-'Blocking-Step2'!W384</f>
        <v>0</v>
      </c>
      <c r="AV384" s="2128">
        <f>Y384-'Blocking-Step2'!Y384</f>
        <v>0</v>
      </c>
    </row>
    <row r="385" spans="1:48">
      <c r="A385" s="1116" t="s">
        <v>262</v>
      </c>
      <c r="C385" s="1105">
        <v>0</v>
      </c>
      <c r="D385" s="1105">
        <v>0</v>
      </c>
      <c r="F385" s="1907">
        <v>648</v>
      </c>
      <c r="G385" s="1110"/>
      <c r="H385" s="1146">
        <v>0</v>
      </c>
      <c r="I385" s="1146">
        <v>0</v>
      </c>
      <c r="K385" s="1907">
        <v>648</v>
      </c>
      <c r="L385" s="1110"/>
      <c r="M385" s="1907">
        <v>0</v>
      </c>
      <c r="N385" s="1110"/>
      <c r="O385" s="1907">
        <v>0</v>
      </c>
      <c r="P385" s="1110"/>
      <c r="Q385" s="1907">
        <v>648</v>
      </c>
      <c r="R385" s="1110"/>
      <c r="S385" s="1146">
        <v>0</v>
      </c>
      <c r="T385" s="1629"/>
      <c r="U385" s="1146">
        <v>0</v>
      </c>
      <c r="V385" s="1629"/>
      <c r="W385" s="1146">
        <v>0</v>
      </c>
      <c r="X385" s="1629"/>
      <c r="Y385" s="1146">
        <v>0</v>
      </c>
      <c r="Z385" s="2114">
        <f>C385-'Blocking-Step2'!C385</f>
        <v>0</v>
      </c>
      <c r="AA385" s="2114">
        <f>D385-'Blocking-Step2'!D385</f>
        <v>0</v>
      </c>
      <c r="AC385" s="2114">
        <f>F385-'Blocking-Step2'!F385</f>
        <v>0</v>
      </c>
      <c r="AE385" s="2114">
        <f>H385-'Blocking-Step2'!H385</f>
        <v>0</v>
      </c>
      <c r="AF385" s="2114">
        <f>I385-'Blocking-Step2'!I385</f>
        <v>0</v>
      </c>
      <c r="AH385" s="2136">
        <f>K385-'Blocking-Step2'!K385</f>
        <v>0</v>
      </c>
      <c r="AJ385" s="2136">
        <f>M385-'Blocking-Step2'!M385</f>
        <v>0</v>
      </c>
      <c r="AL385" s="2136">
        <f>O385-'Blocking-Step2'!O385</f>
        <v>0</v>
      </c>
      <c r="AN385" s="2137">
        <f>Q385-'Blocking-Step2'!Q385</f>
        <v>0</v>
      </c>
      <c r="AP385" s="2127">
        <f>S385-'Blocking-Step2'!S385</f>
        <v>0</v>
      </c>
      <c r="AR385" s="2127">
        <f>U385-'Blocking-Step2'!U385</f>
        <v>0</v>
      </c>
      <c r="AT385" s="2127">
        <f>W385-'Blocking-Step2'!W385</f>
        <v>0</v>
      </c>
      <c r="AV385" s="2128">
        <f>Y385-'Blocking-Step2'!Y385</f>
        <v>0</v>
      </c>
    </row>
    <row r="386" spans="1:48">
      <c r="A386" s="1116" t="s">
        <v>1298</v>
      </c>
      <c r="C386" s="1105">
        <v>0</v>
      </c>
      <c r="D386" s="1105">
        <v>0</v>
      </c>
      <c r="F386" s="1142">
        <v>54</v>
      </c>
      <c r="G386" s="617"/>
      <c r="H386" s="1146">
        <v>0</v>
      </c>
      <c r="I386" s="1146">
        <v>0</v>
      </c>
      <c r="K386" s="1142">
        <v>54</v>
      </c>
      <c r="L386" s="617"/>
      <c r="M386" s="1142">
        <v>0</v>
      </c>
      <c r="N386" s="617"/>
      <c r="O386" s="1142">
        <v>0</v>
      </c>
      <c r="P386" s="617"/>
      <c r="Q386" s="1142">
        <v>54</v>
      </c>
      <c r="R386" s="617"/>
      <c r="S386" s="1146">
        <v>0</v>
      </c>
      <c r="T386" s="1114"/>
      <c r="U386" s="1146">
        <v>0</v>
      </c>
      <c r="V386" s="1114"/>
      <c r="W386" s="1146">
        <v>0</v>
      </c>
      <c r="X386" s="1114"/>
      <c r="Y386" s="1146">
        <v>0</v>
      </c>
      <c r="Z386" s="2114">
        <f>C386-'Blocking-Step2'!C386</f>
        <v>0</v>
      </c>
      <c r="AA386" s="2114">
        <f>D386-'Blocking-Step2'!D386</f>
        <v>0</v>
      </c>
      <c r="AC386" s="2114">
        <f>F386-'Blocking-Step2'!F386</f>
        <v>0</v>
      </c>
      <c r="AE386" s="2114">
        <f>H386-'Blocking-Step2'!H386</f>
        <v>0</v>
      </c>
      <c r="AF386" s="2114">
        <f>I386-'Blocking-Step2'!I386</f>
        <v>0</v>
      </c>
      <c r="AH386" s="2136">
        <f>K386-'Blocking-Step2'!K386</f>
        <v>0</v>
      </c>
      <c r="AJ386" s="2136">
        <f>M386-'Blocking-Step2'!M386</f>
        <v>0</v>
      </c>
      <c r="AL386" s="2136">
        <f>O386-'Blocking-Step2'!O386</f>
        <v>0</v>
      </c>
      <c r="AN386" s="2137">
        <f>Q386-'Blocking-Step2'!Q386</f>
        <v>0</v>
      </c>
      <c r="AP386" s="2127">
        <f>S386-'Blocking-Step2'!S386</f>
        <v>0</v>
      </c>
      <c r="AR386" s="2127">
        <f>U386-'Blocking-Step2'!U386</f>
        <v>0</v>
      </c>
      <c r="AT386" s="2127">
        <f>W386-'Blocking-Step2'!W386</f>
        <v>0</v>
      </c>
      <c r="AV386" s="2128">
        <f>Y386-'Blocking-Step2'!Y386</f>
        <v>0</v>
      </c>
    </row>
    <row r="387" spans="1:48">
      <c r="A387" s="1116" t="s">
        <v>168</v>
      </c>
      <c r="C387" s="1105">
        <v>32595.66707920792</v>
      </c>
      <c r="D387" s="1105">
        <v>42952</v>
      </c>
      <c r="F387" s="1907">
        <v>4.04</v>
      </c>
      <c r="G387" s="1110"/>
      <c r="H387" s="1146">
        <v>131686</v>
      </c>
      <c r="I387" s="1146">
        <v>173526</v>
      </c>
      <c r="K387" s="1907">
        <v>4.03</v>
      </c>
      <c r="L387" s="1110"/>
      <c r="M387" s="1907">
        <v>0</v>
      </c>
      <c r="N387" s="1110"/>
      <c r="O387" s="1907">
        <v>0</v>
      </c>
      <c r="P387" s="1110"/>
      <c r="Q387" s="1907">
        <v>4.03</v>
      </c>
      <c r="R387" s="1110"/>
      <c r="S387" s="1146">
        <v>173097</v>
      </c>
      <c r="T387" s="1629"/>
      <c r="U387" s="1146">
        <v>0</v>
      </c>
      <c r="V387" s="1629"/>
      <c r="W387" s="1146">
        <v>0</v>
      </c>
      <c r="X387" s="1629"/>
      <c r="Y387" s="1146">
        <v>173097</v>
      </c>
      <c r="Z387" s="2114">
        <f>C387-'Blocking-Step2'!C387</f>
        <v>0</v>
      </c>
      <c r="AA387" s="2114">
        <f>D387-'Blocking-Step2'!D387</f>
        <v>0</v>
      </c>
      <c r="AC387" s="2114">
        <f>F387-'Blocking-Step2'!F387</f>
        <v>0</v>
      </c>
      <c r="AE387" s="2114">
        <f>H387-'Blocking-Step2'!H387</f>
        <v>0</v>
      </c>
      <c r="AF387" s="2114">
        <f>I387-'Blocking-Step2'!I387</f>
        <v>0</v>
      </c>
      <c r="AH387" s="2136">
        <f>K387-'Blocking-Step2'!K387</f>
        <v>0</v>
      </c>
      <c r="AJ387" s="2136">
        <f>M387-'Blocking-Step2'!M387</f>
        <v>0</v>
      </c>
      <c r="AL387" s="2136">
        <f>O387-'Blocking-Step2'!O387</f>
        <v>0</v>
      </c>
      <c r="AN387" s="2137">
        <f>Q387-'Blocking-Step2'!Q387</f>
        <v>0</v>
      </c>
      <c r="AP387" s="2127">
        <f>S387-'Blocking-Step2'!S387</f>
        <v>0</v>
      </c>
      <c r="AR387" s="2127">
        <f>U387-'Blocking-Step2'!U387</f>
        <v>0</v>
      </c>
      <c r="AT387" s="2127">
        <f>W387-'Blocking-Step2'!W387</f>
        <v>0</v>
      </c>
      <c r="AV387" s="2128">
        <f>Y387-'Blocking-Step2'!Y387</f>
        <v>0</v>
      </c>
    </row>
    <row r="388" spans="1:48">
      <c r="A388" s="1116" t="s">
        <v>1645</v>
      </c>
      <c r="C388" s="1105">
        <v>12234</v>
      </c>
      <c r="D388" s="1105">
        <v>16126</v>
      </c>
      <c r="F388" s="1142"/>
      <c r="G388" s="617"/>
      <c r="H388" s="1146"/>
      <c r="I388" s="1146"/>
      <c r="K388" s="1142">
        <v>0.51</v>
      </c>
      <c r="L388" s="617"/>
      <c r="M388" s="1142">
        <v>12.89</v>
      </c>
      <c r="N388" s="617"/>
      <c r="O388" s="1142">
        <v>0</v>
      </c>
      <c r="P388" s="617"/>
      <c r="Q388" s="1142">
        <v>13.4</v>
      </c>
      <c r="R388" s="617"/>
      <c r="S388" s="1146">
        <v>8224</v>
      </c>
      <c r="T388" s="1114"/>
      <c r="U388" s="1146">
        <v>207864</v>
      </c>
      <c r="V388" s="1114"/>
      <c r="W388" s="1146">
        <v>0</v>
      </c>
      <c r="X388" s="1114"/>
      <c r="Y388" s="1146">
        <v>216088</v>
      </c>
      <c r="Z388" s="2114">
        <f>C388-'Blocking-Step2'!C388</f>
        <v>0</v>
      </c>
      <c r="AA388" s="2114">
        <f>D388-'Blocking-Step2'!D388</f>
        <v>0</v>
      </c>
      <c r="AC388" s="2114">
        <f>F388-'Blocking-Step2'!F388</f>
        <v>0</v>
      </c>
      <c r="AE388" s="2114">
        <f>H388-'Blocking-Step2'!H388</f>
        <v>0</v>
      </c>
      <c r="AF388" s="2114">
        <f>I388-'Blocking-Step2'!I388</f>
        <v>0</v>
      </c>
      <c r="AH388" s="2136">
        <f>K388-'Blocking-Step2'!K388</f>
        <v>-5.83</v>
      </c>
      <c r="AJ388" s="2136">
        <f>M388-'Blocking-Step2'!M388</f>
        <v>5.83</v>
      </c>
      <c r="AL388" s="2136">
        <f>O388-'Blocking-Step2'!O388</f>
        <v>0</v>
      </c>
      <c r="AN388" s="2137">
        <f>Q388-'Blocking-Step2'!Q388</f>
        <v>0</v>
      </c>
      <c r="AP388" s="2127">
        <f>S388-'Blocking-Step2'!S388</f>
        <v>-94015</v>
      </c>
      <c r="AR388" s="2127">
        <f>U388-'Blocking-Step2'!U388</f>
        <v>94014</v>
      </c>
      <c r="AT388" s="2127">
        <f>W388-'Blocking-Step2'!W388</f>
        <v>0</v>
      </c>
      <c r="AV388" s="2128">
        <f>Y388-'Blocking-Step2'!Y388</f>
        <v>0</v>
      </c>
    </row>
    <row r="389" spans="1:48">
      <c r="A389" s="1116" t="s">
        <v>1646</v>
      </c>
      <c r="C389" s="1105">
        <v>20361.66707920792</v>
      </c>
      <c r="D389" s="1105">
        <v>26826</v>
      </c>
      <c r="F389" s="1142"/>
      <c r="G389" s="617"/>
      <c r="H389" s="1146"/>
      <c r="I389" s="1146"/>
      <c r="K389" s="1142">
        <v>0.45</v>
      </c>
      <c r="L389" s="617"/>
      <c r="M389" s="1142">
        <v>11.41</v>
      </c>
      <c r="N389" s="617"/>
      <c r="O389" s="1142">
        <v>0</v>
      </c>
      <c r="P389" s="617"/>
      <c r="Q389" s="1142">
        <v>11.86</v>
      </c>
      <c r="R389" s="617"/>
      <c r="S389" s="1146">
        <v>12072</v>
      </c>
      <c r="T389" s="1114"/>
      <c r="U389" s="1146">
        <v>306085</v>
      </c>
      <c r="V389" s="1114"/>
      <c r="W389" s="1146">
        <v>0</v>
      </c>
      <c r="X389" s="1114"/>
      <c r="Y389" s="1146">
        <v>318156</v>
      </c>
      <c r="Z389" s="2114">
        <f>C389-'Blocking-Step2'!C389</f>
        <v>0</v>
      </c>
      <c r="AA389" s="2114">
        <f>D389-'Blocking-Step2'!D389</f>
        <v>0</v>
      </c>
      <c r="AC389" s="2114">
        <f>F389-'Blocking-Step2'!F389</f>
        <v>0</v>
      </c>
      <c r="AE389" s="2114">
        <f>H389-'Blocking-Step2'!H389</f>
        <v>0</v>
      </c>
      <c r="AF389" s="2114">
        <f>I389-'Blocking-Step2'!I389</f>
        <v>0</v>
      </c>
      <c r="AH389" s="2136">
        <f>K389-'Blocking-Step2'!K389</f>
        <v>-5.16</v>
      </c>
      <c r="AJ389" s="2136">
        <f>M389-'Blocking-Step2'!M389</f>
        <v>5.160000000000001</v>
      </c>
      <c r="AL389" s="2136">
        <f>O389-'Blocking-Step2'!O389</f>
        <v>0</v>
      </c>
      <c r="AN389" s="2137">
        <f>Q389-'Blocking-Step2'!Q389</f>
        <v>0</v>
      </c>
      <c r="AP389" s="2127">
        <f>S389-'Blocking-Step2'!S389</f>
        <v>-138422</v>
      </c>
      <c r="AR389" s="2127">
        <f>U389-'Blocking-Step2'!U389</f>
        <v>138422</v>
      </c>
      <c r="AT389" s="2127">
        <f>W389-'Blocking-Step2'!W389</f>
        <v>0</v>
      </c>
      <c r="AV389" s="2128">
        <f>Y389-'Blocking-Step2'!Y389</f>
        <v>0</v>
      </c>
    </row>
    <row r="390" spans="1:48">
      <c r="A390" s="1116" t="s">
        <v>1647</v>
      </c>
      <c r="C390" s="1105">
        <v>1677508</v>
      </c>
      <c r="D390" s="1105">
        <v>2218023.3846987919</v>
      </c>
      <c r="F390" s="1106"/>
      <c r="G390" s="1921"/>
      <c r="H390" s="1146"/>
      <c r="I390" s="1146"/>
      <c r="K390" s="1106">
        <v>0</v>
      </c>
      <c r="L390" s="1921" t="s">
        <v>495</v>
      </c>
      <c r="M390" s="1106">
        <v>1.6192</v>
      </c>
      <c r="N390" s="1921" t="s">
        <v>495</v>
      </c>
      <c r="O390" s="1106">
        <v>2.305570240802</v>
      </c>
      <c r="P390" s="1921" t="s">
        <v>495</v>
      </c>
      <c r="Q390" s="1106">
        <v>3.9247702408020002</v>
      </c>
      <c r="R390" s="1921" t="s">
        <v>495</v>
      </c>
      <c r="S390" s="1146">
        <v>0</v>
      </c>
      <c r="T390" s="1648"/>
      <c r="U390" s="1146">
        <v>35914</v>
      </c>
      <c r="V390" s="1648"/>
      <c r="W390" s="1146">
        <v>51138</v>
      </c>
      <c r="X390" s="1648"/>
      <c r="Y390" s="1146">
        <v>87052</v>
      </c>
      <c r="Z390" s="2114">
        <f>C390-'Blocking-Step2'!C390</f>
        <v>0</v>
      </c>
      <c r="AA390" s="2114">
        <f>D390-'Blocking-Step2'!D390</f>
        <v>0</v>
      </c>
      <c r="AC390" s="2114">
        <f>F390-'Blocking-Step2'!F390</f>
        <v>0</v>
      </c>
      <c r="AE390" s="2114">
        <f>H390-'Blocking-Step2'!H390</f>
        <v>0</v>
      </c>
      <c r="AF390" s="2114">
        <f>I390-'Blocking-Step2'!I390</f>
        <v>0</v>
      </c>
      <c r="AH390" s="2136">
        <f>K390-'Blocking-Step2'!K390</f>
        <v>0</v>
      </c>
      <c r="AJ390" s="2136">
        <f>M390-'Blocking-Step2'!M390</f>
        <v>0</v>
      </c>
      <c r="AL390" s="2136">
        <f>O390-'Blocking-Step2'!O390</f>
        <v>0</v>
      </c>
      <c r="AN390" s="2137">
        <f>Q390-'Blocking-Step2'!Q390</f>
        <v>0</v>
      </c>
      <c r="AP390" s="2127">
        <f>S390-'Blocking-Step2'!S390</f>
        <v>0</v>
      </c>
      <c r="AR390" s="2127">
        <f>U390-'Blocking-Step2'!U390</f>
        <v>0</v>
      </c>
      <c r="AT390" s="2127">
        <f>W390-'Blocking-Step2'!W390</f>
        <v>0</v>
      </c>
      <c r="AV390" s="2128">
        <f>Y390-'Blocking-Step2'!Y390</f>
        <v>0</v>
      </c>
    </row>
    <row r="391" spans="1:48">
      <c r="A391" s="1116" t="s">
        <v>1648</v>
      </c>
      <c r="C391" s="1105">
        <v>3119077</v>
      </c>
      <c r="D391" s="1105">
        <v>4105852</v>
      </c>
      <c r="F391" s="1106"/>
      <c r="G391" s="1921"/>
      <c r="H391" s="1146"/>
      <c r="I391" s="1146"/>
      <c r="K391" s="1106">
        <v>0</v>
      </c>
      <c r="L391" s="1921" t="s">
        <v>495</v>
      </c>
      <c r="M391" s="1106">
        <v>1.4329000000000001</v>
      </c>
      <c r="N391" s="1921" t="s">
        <v>495</v>
      </c>
      <c r="O391" s="1106">
        <v>2.0403480007099999</v>
      </c>
      <c r="P391" s="1921" t="s">
        <v>495</v>
      </c>
      <c r="Q391" s="1106">
        <v>3.4732480007099999</v>
      </c>
      <c r="R391" s="1921" t="s">
        <v>495</v>
      </c>
      <c r="S391" s="1146">
        <v>0</v>
      </c>
      <c r="T391" s="1648"/>
      <c r="U391" s="1146">
        <v>58833</v>
      </c>
      <c r="V391" s="1648"/>
      <c r="W391" s="1146">
        <v>83774</v>
      </c>
      <c r="X391" s="1648"/>
      <c r="Y391" s="1146">
        <v>142606</v>
      </c>
      <c r="Z391" s="2114">
        <f>C391-'Blocking-Step2'!C391</f>
        <v>0</v>
      </c>
      <c r="AA391" s="2114">
        <f>D391-'Blocking-Step2'!D391</f>
        <v>0</v>
      </c>
      <c r="AC391" s="2114">
        <f>F391-'Blocking-Step2'!F391</f>
        <v>0</v>
      </c>
      <c r="AE391" s="2114">
        <f>H391-'Blocking-Step2'!H391</f>
        <v>0</v>
      </c>
      <c r="AF391" s="2114">
        <f>I391-'Blocking-Step2'!I391</f>
        <v>0</v>
      </c>
      <c r="AH391" s="2136">
        <f>K391-'Blocking-Step2'!K391</f>
        <v>0</v>
      </c>
      <c r="AJ391" s="2136">
        <f>M391-'Blocking-Step2'!M391</f>
        <v>0</v>
      </c>
      <c r="AL391" s="2136">
        <f>O391-'Blocking-Step2'!O391</f>
        <v>0</v>
      </c>
      <c r="AN391" s="2137">
        <f>Q391-'Blocking-Step2'!Q391</f>
        <v>0</v>
      </c>
      <c r="AP391" s="2127">
        <f>S391-'Blocking-Step2'!S391</f>
        <v>0</v>
      </c>
      <c r="AR391" s="2127">
        <f>U391-'Blocking-Step2'!U391</f>
        <v>0</v>
      </c>
      <c r="AT391" s="2127">
        <f>W391-'Blocking-Step2'!W391</f>
        <v>0</v>
      </c>
      <c r="AV391" s="2128">
        <f>Y391-'Blocking-Step2'!Y391</f>
        <v>0</v>
      </c>
    </row>
    <row r="392" spans="1:48">
      <c r="A392" s="1116" t="s">
        <v>196</v>
      </c>
      <c r="C392" s="1105">
        <v>12671.059772427265</v>
      </c>
      <c r="D392" s="1105">
        <v>16699</v>
      </c>
      <c r="F392" s="1907">
        <v>14.62</v>
      </c>
      <c r="G392" s="1110"/>
      <c r="H392" s="1146">
        <v>185251</v>
      </c>
      <c r="I392" s="1146">
        <v>244139</v>
      </c>
      <c r="K392" s="1907"/>
      <c r="L392" s="1110"/>
      <c r="M392" s="1907"/>
      <c r="N392" s="1110"/>
      <c r="O392" s="1907"/>
      <c r="P392" s="1110"/>
      <c r="Q392" s="1907"/>
      <c r="R392" s="1110"/>
      <c r="S392" s="1146"/>
      <c r="T392" s="1629"/>
      <c r="U392" s="1146"/>
      <c r="V392" s="1629"/>
      <c r="W392" s="1146"/>
      <c r="X392" s="1629"/>
      <c r="Y392" s="1146"/>
      <c r="Z392" s="2114">
        <f>C392-'Blocking-Step2'!C392</f>
        <v>0</v>
      </c>
      <c r="AA392" s="2114">
        <f>D392-'Blocking-Step2'!D392</f>
        <v>0</v>
      </c>
      <c r="AC392" s="2114">
        <f>F392-'Blocking-Step2'!F392</f>
        <v>0</v>
      </c>
      <c r="AE392" s="2114">
        <f>H392-'Blocking-Step2'!H392</f>
        <v>0</v>
      </c>
      <c r="AF392" s="2114">
        <f>I392-'Blocking-Step2'!I392</f>
        <v>0</v>
      </c>
      <c r="AH392" s="2136">
        <f>K392-'Blocking-Step2'!K392</f>
        <v>0</v>
      </c>
      <c r="AJ392" s="2136">
        <f>M392-'Blocking-Step2'!M392</f>
        <v>0</v>
      </c>
      <c r="AL392" s="2136">
        <f>O392-'Blocking-Step2'!O392</f>
        <v>0</v>
      </c>
      <c r="AN392" s="2137">
        <f>Q392-'Blocking-Step2'!Q392</f>
        <v>0</v>
      </c>
      <c r="AP392" s="2127">
        <f>S392-'Blocking-Step2'!S392</f>
        <v>0</v>
      </c>
      <c r="AR392" s="2127">
        <f>U392-'Blocking-Step2'!U392</f>
        <v>0</v>
      </c>
      <c r="AT392" s="2127">
        <f>W392-'Blocking-Step2'!W392</f>
        <v>0</v>
      </c>
      <c r="AV392" s="2128">
        <f>Y392-'Blocking-Step2'!Y392</f>
        <v>0</v>
      </c>
    </row>
    <row r="393" spans="1:48">
      <c r="A393" s="1116" t="s">
        <v>161</v>
      </c>
      <c r="C393" s="1105">
        <v>19924.607306780654</v>
      </c>
      <c r="D393" s="1105">
        <v>26252</v>
      </c>
      <c r="F393" s="1907">
        <v>10.91</v>
      </c>
      <c r="G393" s="1110"/>
      <c r="H393" s="1146">
        <v>217377</v>
      </c>
      <c r="I393" s="1146">
        <v>286409</v>
      </c>
      <c r="K393" s="1907"/>
      <c r="L393" s="1110"/>
      <c r="M393" s="1907"/>
      <c r="N393" s="1110"/>
      <c r="O393" s="1907"/>
      <c r="P393" s="1110"/>
      <c r="Q393" s="1907"/>
      <c r="R393" s="1110"/>
      <c r="S393" s="1146"/>
      <c r="T393" s="1629"/>
      <c r="U393" s="1146"/>
      <c r="V393" s="1629"/>
      <c r="W393" s="1146"/>
      <c r="X393" s="1629"/>
      <c r="Y393" s="1146"/>
      <c r="Z393" s="2114">
        <f>C393-'Blocking-Step2'!C393</f>
        <v>0</v>
      </c>
      <c r="AA393" s="2114">
        <f>D393-'Blocking-Step2'!D393</f>
        <v>0</v>
      </c>
      <c r="AC393" s="2114">
        <f>F393-'Blocking-Step2'!F393</f>
        <v>0</v>
      </c>
      <c r="AE393" s="2114">
        <f>H393-'Blocking-Step2'!H393</f>
        <v>0</v>
      </c>
      <c r="AF393" s="2114">
        <f>I393-'Blocking-Step2'!I393</f>
        <v>0</v>
      </c>
      <c r="AH393" s="2136">
        <f>K393-'Blocking-Step2'!K393</f>
        <v>0</v>
      </c>
      <c r="AJ393" s="2136">
        <f>M393-'Blocking-Step2'!M393</f>
        <v>0</v>
      </c>
      <c r="AL393" s="2136">
        <f>O393-'Blocking-Step2'!O393</f>
        <v>0</v>
      </c>
      <c r="AN393" s="2137">
        <f>Q393-'Blocking-Step2'!Q393</f>
        <v>0</v>
      </c>
      <c r="AP393" s="2127">
        <f>S393-'Blocking-Step2'!S393</f>
        <v>0</v>
      </c>
      <c r="AR393" s="2127">
        <f>U393-'Blocking-Step2'!U393</f>
        <v>0</v>
      </c>
      <c r="AT393" s="2127">
        <f>W393-'Blocking-Step2'!W393</f>
        <v>0</v>
      </c>
      <c r="AV393" s="2128">
        <f>Y393-'Blocking-Step2'!Y393</f>
        <v>0</v>
      </c>
    </row>
    <row r="394" spans="1:48">
      <c r="A394" s="1116" t="s">
        <v>261</v>
      </c>
      <c r="C394" s="1105">
        <v>0</v>
      </c>
      <c r="D394" s="1105">
        <v>0</v>
      </c>
      <c r="F394" s="1907">
        <v>-0.96</v>
      </c>
      <c r="G394" s="1110"/>
      <c r="H394" s="1146">
        <v>0</v>
      </c>
      <c r="I394" s="1146">
        <v>0</v>
      </c>
      <c r="K394" s="1907">
        <v>-0.96</v>
      </c>
      <c r="L394" s="1110"/>
      <c r="M394" s="1907">
        <v>0</v>
      </c>
      <c r="N394" s="1110"/>
      <c r="O394" s="1907">
        <v>0</v>
      </c>
      <c r="P394" s="1110"/>
      <c r="Q394" s="1907">
        <v>-0.96</v>
      </c>
      <c r="R394" s="1110"/>
      <c r="S394" s="1146">
        <v>0</v>
      </c>
      <c r="T394" s="1629"/>
      <c r="U394" s="1146">
        <v>0</v>
      </c>
      <c r="V394" s="1629"/>
      <c r="W394" s="1146">
        <v>0</v>
      </c>
      <c r="X394" s="1629"/>
      <c r="Y394" s="1146">
        <v>0</v>
      </c>
      <c r="Z394" s="2114">
        <f>C394-'Blocking-Step2'!C394</f>
        <v>0</v>
      </c>
      <c r="AA394" s="2114">
        <f>D394-'Blocking-Step2'!D394</f>
        <v>0</v>
      </c>
      <c r="AC394" s="2114">
        <f>F394-'Blocking-Step2'!F394</f>
        <v>0</v>
      </c>
      <c r="AE394" s="2114">
        <f>H394-'Blocking-Step2'!H394</f>
        <v>0</v>
      </c>
      <c r="AF394" s="2114">
        <f>I394-'Blocking-Step2'!I394</f>
        <v>0</v>
      </c>
      <c r="AH394" s="2136">
        <f>K394-'Blocking-Step2'!K394</f>
        <v>0</v>
      </c>
      <c r="AJ394" s="2136">
        <f>M394-'Blocking-Step2'!M394</f>
        <v>0</v>
      </c>
      <c r="AL394" s="2136">
        <f>O394-'Blocking-Step2'!O394</f>
        <v>0</v>
      </c>
      <c r="AN394" s="2137">
        <f>Q394-'Blocking-Step2'!Q394</f>
        <v>0</v>
      </c>
      <c r="AP394" s="2127">
        <f>S394-'Blocking-Step2'!S394</f>
        <v>0</v>
      </c>
      <c r="AR394" s="2127">
        <f>U394-'Blocking-Step2'!U394</f>
        <v>0</v>
      </c>
      <c r="AT394" s="2127">
        <f>W394-'Blocking-Step2'!W394</f>
        <v>0</v>
      </c>
      <c r="AV394" s="2128">
        <f>Y394-'Blocking-Step2'!Y394</f>
        <v>0</v>
      </c>
    </row>
    <row r="395" spans="1:48">
      <c r="A395" s="1116" t="s">
        <v>1362</v>
      </c>
      <c r="C395" s="1105">
        <v>1998470.3955894609</v>
      </c>
      <c r="D395" s="1105">
        <v>2644149</v>
      </c>
      <c r="F395" s="1106">
        <v>3.8127</v>
      </c>
      <c r="G395" s="1921" t="s">
        <v>495</v>
      </c>
      <c r="H395" s="1146">
        <v>76196</v>
      </c>
      <c r="I395" s="1146">
        <v>100813</v>
      </c>
      <c r="K395" s="1106"/>
      <c r="L395" s="1921"/>
      <c r="M395" s="1106"/>
      <c r="N395" s="1921"/>
      <c r="O395" s="1106"/>
      <c r="P395" s="1921"/>
      <c r="Q395" s="1106"/>
      <c r="R395" s="1921"/>
      <c r="S395" s="1648"/>
      <c r="T395" s="1648"/>
      <c r="U395" s="1648"/>
      <c r="V395" s="1648"/>
      <c r="W395" s="1648"/>
      <c r="X395" s="1648"/>
      <c r="Y395" s="1146"/>
      <c r="Z395" s="2114">
        <f>C395-'Blocking-Step2'!C395</f>
        <v>0</v>
      </c>
      <c r="AA395" s="2114">
        <f>D395-'Blocking-Step2'!D395</f>
        <v>0</v>
      </c>
      <c r="AC395" s="2114">
        <f>F395-'Blocking-Step2'!F395</f>
        <v>0</v>
      </c>
      <c r="AE395" s="2114">
        <f>H395-'Blocking-Step2'!H395</f>
        <v>0</v>
      </c>
      <c r="AF395" s="2114">
        <f>I395-'Blocking-Step2'!I395</f>
        <v>0</v>
      </c>
      <c r="AH395" s="2136">
        <f>K395-'Blocking-Step2'!K395</f>
        <v>0</v>
      </c>
      <c r="AJ395" s="2136">
        <f>M395-'Blocking-Step2'!M395</f>
        <v>0</v>
      </c>
      <c r="AL395" s="2136">
        <f>O395-'Blocking-Step2'!O395</f>
        <v>0</v>
      </c>
      <c r="AN395" s="2137">
        <f>Q395-'Blocking-Step2'!Q395</f>
        <v>0</v>
      </c>
      <c r="AP395" s="2127">
        <f>S395-'Blocking-Step2'!S395</f>
        <v>0</v>
      </c>
      <c r="AR395" s="2127">
        <f>U395-'Blocking-Step2'!U395</f>
        <v>0</v>
      </c>
      <c r="AT395" s="2127">
        <f>W395-'Blocking-Step2'!W395</f>
        <v>0</v>
      </c>
      <c r="AV395" s="2128">
        <f>Y395-'Blocking-Step2'!Y395</f>
        <v>0</v>
      </c>
    </row>
    <row r="396" spans="1:48">
      <c r="A396" s="1116" t="s">
        <v>1363</v>
      </c>
      <c r="C396" s="1105">
        <v>2798114.6044105394</v>
      </c>
      <c r="D396" s="1105">
        <v>3679726.3846987919</v>
      </c>
      <c r="F396" s="1106">
        <v>3.5143</v>
      </c>
      <c r="G396" s="1921" t="s">
        <v>495</v>
      </c>
      <c r="H396" s="1146">
        <v>98334</v>
      </c>
      <c r="I396" s="1146">
        <v>129317</v>
      </c>
      <c r="K396" s="1106"/>
      <c r="L396" s="1921"/>
      <c r="M396" s="1106"/>
      <c r="N396" s="1921"/>
      <c r="O396" s="1106"/>
      <c r="P396" s="1921"/>
      <c r="Q396" s="1106"/>
      <c r="R396" s="1921"/>
      <c r="S396" s="1648"/>
      <c r="T396" s="1648"/>
      <c r="U396" s="1648"/>
      <c r="V396" s="1648"/>
      <c r="W396" s="1648"/>
      <c r="X396" s="1648"/>
      <c r="Y396" s="1146"/>
      <c r="Z396" s="2114">
        <f>C396-'Blocking-Step2'!C396</f>
        <v>0</v>
      </c>
      <c r="AA396" s="2114">
        <f>D396-'Blocking-Step2'!D396</f>
        <v>0</v>
      </c>
      <c r="AC396" s="2114">
        <f>F396-'Blocking-Step2'!F396</f>
        <v>0</v>
      </c>
      <c r="AE396" s="2114">
        <f>H396-'Blocking-Step2'!H396</f>
        <v>0</v>
      </c>
      <c r="AF396" s="2114">
        <f>I396-'Blocking-Step2'!I396</f>
        <v>0</v>
      </c>
      <c r="AH396" s="2136">
        <f>K396-'Blocking-Step2'!K396</f>
        <v>0</v>
      </c>
      <c r="AJ396" s="2136">
        <f>M396-'Blocking-Step2'!M396</f>
        <v>0</v>
      </c>
      <c r="AL396" s="2136">
        <f>O396-'Blocking-Step2'!O396</f>
        <v>0</v>
      </c>
      <c r="AN396" s="2137">
        <f>Q396-'Blocking-Step2'!Q396</f>
        <v>0</v>
      </c>
      <c r="AP396" s="2127">
        <f>S396-'Blocking-Step2'!S396</f>
        <v>0</v>
      </c>
      <c r="AR396" s="2127">
        <f>U396-'Blocking-Step2'!U396</f>
        <v>0</v>
      </c>
      <c r="AT396" s="2127">
        <f>W396-'Blocking-Step2'!W396</f>
        <v>0</v>
      </c>
      <c r="AV396" s="2128">
        <f>Y396-'Blocking-Step2'!Y396</f>
        <v>0</v>
      </c>
    </row>
    <row r="397" spans="1:48">
      <c r="A397" s="1116" t="s">
        <v>246</v>
      </c>
      <c r="C397" s="1940">
        <v>0</v>
      </c>
      <c r="D397" s="1940">
        <v>0</v>
      </c>
      <c r="H397" s="1147">
        <v>0</v>
      </c>
      <c r="I397" s="1147">
        <v>0</v>
      </c>
      <c r="Y397" s="1147"/>
      <c r="Z397" s="2114">
        <f>C397-'Blocking-Step2'!C397</f>
        <v>0</v>
      </c>
      <c r="AA397" s="2114">
        <f>D397-'Blocking-Step2'!D397</f>
        <v>0</v>
      </c>
      <c r="AC397" s="2114">
        <f>F397-'Blocking-Step2'!F397</f>
        <v>0</v>
      </c>
      <c r="AE397" s="2114">
        <f>H397-'Blocking-Step2'!H397</f>
        <v>0</v>
      </c>
      <c r="AF397" s="2114">
        <f>I397-'Blocking-Step2'!I397</f>
        <v>0</v>
      </c>
      <c r="AH397" s="2136">
        <f>K397-'Blocking-Step2'!K397</f>
        <v>0</v>
      </c>
      <c r="AJ397" s="2136">
        <f>M397-'Blocking-Step2'!M397</f>
        <v>0</v>
      </c>
      <c r="AL397" s="2136">
        <f>O397-'Blocking-Step2'!O397</f>
        <v>0</v>
      </c>
      <c r="AN397" s="2137">
        <f>Q397-'Blocking-Step2'!Q397</f>
        <v>0</v>
      </c>
      <c r="AP397" s="2127">
        <f>S397-'Blocking-Step2'!S397</f>
        <v>0</v>
      </c>
      <c r="AR397" s="2127">
        <f>U397-'Blocking-Step2'!U397</f>
        <v>0</v>
      </c>
      <c r="AT397" s="2127">
        <f>W397-'Blocking-Step2'!W397</f>
        <v>0</v>
      </c>
      <c r="AV397" s="2128">
        <f>Y397-'Blocking-Step2'!Y397</f>
        <v>0</v>
      </c>
    </row>
    <row r="398" spans="1:48">
      <c r="A398" s="1116" t="s">
        <v>1240</v>
      </c>
      <c r="C398" s="1024"/>
      <c r="D398" s="1024"/>
      <c r="F398" s="2076">
        <v>-3.61E-2</v>
      </c>
      <c r="G398" s="617"/>
      <c r="H398" s="1146">
        <v>-20835.4038</v>
      </c>
      <c r="I398" s="1146">
        <v>-27460.4758</v>
      </c>
      <c r="K398" s="2076"/>
      <c r="L398" s="617"/>
      <c r="M398" s="2076"/>
      <c r="N398" s="617"/>
      <c r="O398" s="2077" t="s">
        <v>2323</v>
      </c>
      <c r="P398" s="617"/>
      <c r="Q398" s="2076">
        <v>-2.76E-2</v>
      </c>
      <c r="R398" s="617"/>
      <c r="S398" s="1114"/>
      <c r="T398" s="1114"/>
      <c r="U398" s="1114"/>
      <c r="V398" s="1114"/>
      <c r="W398" s="1114"/>
      <c r="X398" s="1114"/>
      <c r="Y398" s="1146">
        <v>-21083.695199999998</v>
      </c>
      <c r="Z398" s="2114">
        <f>C398-'Blocking-Step2'!C398</f>
        <v>0</v>
      </c>
      <c r="AA398" s="2114">
        <f>D398-'Blocking-Step2'!D398</f>
        <v>0</v>
      </c>
      <c r="AC398" s="2114">
        <f>F398-'Blocking-Step2'!F398</f>
        <v>0</v>
      </c>
      <c r="AE398" s="2114">
        <f>H398-'Blocking-Step2'!H398</f>
        <v>0</v>
      </c>
      <c r="AF398" s="2114">
        <f>I398-'Blocking-Step2'!I398</f>
        <v>0</v>
      </c>
      <c r="AH398" s="2136">
        <f>K398-'Blocking-Step2'!K398</f>
        <v>0</v>
      </c>
      <c r="AJ398" s="2136">
        <f>M398-'Blocking-Step2'!M398</f>
        <v>0</v>
      </c>
      <c r="AL398" s="2136" t="e">
        <f>O398-'Blocking-Step2'!O398</f>
        <v>#VALUE!</v>
      </c>
      <c r="AN398" s="2137">
        <f>Q398-'Blocking-Step2'!Q398</f>
        <v>0</v>
      </c>
      <c r="AP398" s="2127">
        <f>S398-'Blocking-Step2'!S398</f>
        <v>0</v>
      </c>
      <c r="AR398" s="2127">
        <f>U398-'Blocking-Step2'!U398</f>
        <v>0</v>
      </c>
      <c r="AT398" s="2127">
        <f>W398-'Blocking-Step2'!W398</f>
        <v>0</v>
      </c>
      <c r="AV398" s="2128">
        <f>Y398-'Blocking-Step2'!Y398</f>
        <v>0</v>
      </c>
    </row>
    <row r="399" spans="1:48">
      <c r="A399" s="1116"/>
      <c r="C399" s="1024"/>
      <c r="D399" s="1024"/>
      <c r="F399" s="2076"/>
      <c r="G399" s="617"/>
      <c r="H399" s="1146"/>
      <c r="I399" s="1146"/>
      <c r="K399" s="2076"/>
      <c r="L399" s="617"/>
      <c r="M399" s="2076"/>
      <c r="N399" s="617"/>
      <c r="O399" s="2077" t="s">
        <v>2324</v>
      </c>
      <c r="P399" s="617"/>
      <c r="Q399" s="2076">
        <v>-1.4999999999999999E-2</v>
      </c>
      <c r="R399" s="617"/>
      <c r="S399" s="1114"/>
      <c r="T399" s="1114"/>
      <c r="U399" s="1114"/>
      <c r="V399" s="1114"/>
      <c r="W399" s="1114"/>
      <c r="X399" s="1114"/>
      <c r="Y399" s="1146">
        <v>-11458.529999999999</v>
      </c>
      <c r="Z399" s="2114">
        <f>C399-'Blocking-Step2'!C399</f>
        <v>0</v>
      </c>
      <c r="AA399" s="2114">
        <f>D399-'Blocking-Step2'!D399</f>
        <v>0</v>
      </c>
      <c r="AC399" s="2114">
        <f>F399-'Blocking-Step2'!F399</f>
        <v>0</v>
      </c>
      <c r="AE399" s="2114">
        <f>H399-'Blocking-Step2'!H399</f>
        <v>0</v>
      </c>
      <c r="AF399" s="2114">
        <f>I399-'Blocking-Step2'!I399</f>
        <v>0</v>
      </c>
      <c r="AH399" s="2136">
        <f>K399-'Blocking-Step2'!K399</f>
        <v>0</v>
      </c>
      <c r="AJ399" s="2136">
        <f>M399-'Blocking-Step2'!M399</f>
        <v>0</v>
      </c>
      <c r="AL399" s="2136" t="e">
        <f>O399-'Blocking-Step2'!O399</f>
        <v>#VALUE!</v>
      </c>
      <c r="AN399" s="2137">
        <f>Q399-'Blocking-Step2'!Q399</f>
        <v>0</v>
      </c>
      <c r="AP399" s="2127">
        <f>S399-'Blocking-Step2'!S399</f>
        <v>0</v>
      </c>
      <c r="AR399" s="2127">
        <f>U399-'Blocking-Step2'!U399</f>
        <v>0</v>
      </c>
      <c r="AT399" s="2127">
        <f>W399-'Blocking-Step2'!W399</f>
        <v>0</v>
      </c>
      <c r="AV399" s="2128">
        <f>Y399-'Blocking-Step2'!Y399</f>
        <v>0</v>
      </c>
    </row>
    <row r="400" spans="1:48" ht="16.5" thickBot="1">
      <c r="A400" s="1116" t="s">
        <v>247</v>
      </c>
      <c r="C400" s="1138">
        <v>4796585</v>
      </c>
      <c r="D400" s="1138">
        <v>6323875.3846987914</v>
      </c>
      <c r="F400" s="1145"/>
      <c r="H400" s="1149">
        <v>712946.59620000003</v>
      </c>
      <c r="I400" s="1149">
        <v>939249.52419999999</v>
      </c>
      <c r="K400" s="1145"/>
      <c r="M400" s="1145"/>
      <c r="O400" s="1145"/>
      <c r="Q400" s="1145"/>
      <c r="S400" s="1149">
        <v>225899</v>
      </c>
      <c r="U400" s="1149">
        <v>608696</v>
      </c>
      <c r="W400" s="1149">
        <v>134912</v>
      </c>
      <c r="Y400" s="1149">
        <v>969505</v>
      </c>
      <c r="Z400" s="2114">
        <f>C400-'Blocking-Step2'!C400</f>
        <v>0</v>
      </c>
      <c r="AA400" s="2114">
        <f>D400-'Blocking-Step2'!D400</f>
        <v>0</v>
      </c>
      <c r="AC400" s="2114">
        <f>F400-'Blocking-Step2'!F400</f>
        <v>0</v>
      </c>
      <c r="AE400" s="2114">
        <f>H400-'Blocking-Step2'!H400</f>
        <v>0</v>
      </c>
      <c r="AF400" s="2114">
        <f>I400-'Blocking-Step2'!I400</f>
        <v>0</v>
      </c>
      <c r="AH400" s="2136">
        <f>K400-'Blocking-Step2'!K400</f>
        <v>0</v>
      </c>
      <c r="AJ400" s="2136">
        <f>M400-'Blocking-Step2'!M400</f>
        <v>0</v>
      </c>
      <c r="AL400" s="2136">
        <f>O400-'Blocking-Step2'!O400</f>
        <v>0</v>
      </c>
      <c r="AN400" s="2137">
        <f>Q400-'Blocking-Step2'!Q400</f>
        <v>0</v>
      </c>
      <c r="AP400" s="2127">
        <f>S400-'Blocking-Step2'!S400</f>
        <v>-232437</v>
      </c>
      <c r="AR400" s="2127">
        <f>U400-'Blocking-Step2'!U400</f>
        <v>232436</v>
      </c>
      <c r="AT400" s="2127">
        <f>W400-'Blocking-Step2'!W400</f>
        <v>0</v>
      </c>
      <c r="AV400" s="2128">
        <f>Y400-'Blocking-Step2'!Y400</f>
        <v>0</v>
      </c>
    </row>
    <row r="401" spans="1:48" ht="16.5" hidden="1" thickTop="1">
      <c r="C401" s="1105"/>
      <c r="D401" s="1105"/>
      <c r="Z401" s="2114">
        <f>C401-'Blocking-Step2'!C401</f>
        <v>0</v>
      </c>
      <c r="AA401" s="2114">
        <f>D401-'Blocking-Step2'!D401</f>
        <v>0</v>
      </c>
      <c r="AC401" s="2114">
        <f>F401-'Blocking-Step2'!F401</f>
        <v>0</v>
      </c>
      <c r="AE401" s="2114">
        <f>H401-'Blocking-Step2'!H401</f>
        <v>0</v>
      </c>
      <c r="AF401" s="2114">
        <f>I401-'Blocking-Step2'!I401</f>
        <v>0</v>
      </c>
      <c r="AH401" s="2136">
        <f>K401-'Blocking-Step2'!K401</f>
        <v>0</v>
      </c>
      <c r="AJ401" s="2136">
        <f>M401-'Blocking-Step2'!M401</f>
        <v>0</v>
      </c>
      <c r="AL401" s="2136">
        <f>O401-'Blocking-Step2'!O401</f>
        <v>0</v>
      </c>
      <c r="AN401" s="2137">
        <f>Q401-'Blocking-Step2'!Q401</f>
        <v>0</v>
      </c>
      <c r="AP401" s="2127">
        <f>S401-'Blocking-Step2'!S401</f>
        <v>0</v>
      </c>
      <c r="AR401" s="2127">
        <f>U401-'Blocking-Step2'!U401</f>
        <v>0</v>
      </c>
      <c r="AT401" s="2127">
        <f>W401-'Blocking-Step2'!W401</f>
        <v>0</v>
      </c>
      <c r="AV401" s="2128">
        <f>Y401-'Blocking-Step2'!Y401</f>
        <v>0</v>
      </c>
    </row>
    <row r="402" spans="1:48" ht="16.5" hidden="1" thickTop="1">
      <c r="A402" s="1115" t="s">
        <v>1919</v>
      </c>
      <c r="C402" s="1105"/>
      <c r="D402" s="1105"/>
      <c r="Z402" s="2114">
        <f>C402-'Blocking-Step2'!C402</f>
        <v>0</v>
      </c>
      <c r="AA402" s="2114">
        <f>D402-'Blocking-Step2'!D402</f>
        <v>0</v>
      </c>
      <c r="AC402" s="2114">
        <f>F402-'Blocking-Step2'!F402</f>
        <v>0</v>
      </c>
      <c r="AE402" s="2114">
        <f>H402-'Blocking-Step2'!H402</f>
        <v>0</v>
      </c>
      <c r="AF402" s="2114">
        <f>I402-'Blocking-Step2'!I402</f>
        <v>0</v>
      </c>
      <c r="AH402" s="2136">
        <f>K402-'Blocking-Step2'!K402</f>
        <v>0</v>
      </c>
      <c r="AJ402" s="2136">
        <f>M402-'Blocking-Step2'!M402</f>
        <v>0</v>
      </c>
      <c r="AL402" s="2136">
        <f>O402-'Blocking-Step2'!O402</f>
        <v>0</v>
      </c>
      <c r="AN402" s="2137">
        <f>Q402-'Blocking-Step2'!Q402</f>
        <v>0</v>
      </c>
      <c r="AP402" s="2127">
        <f>S402-'Blocking-Step2'!S402</f>
        <v>0</v>
      </c>
      <c r="AR402" s="2127">
        <f>U402-'Blocking-Step2'!U402</f>
        <v>0</v>
      </c>
      <c r="AT402" s="2127">
        <f>W402-'Blocking-Step2'!W402</f>
        <v>0</v>
      </c>
      <c r="AV402" s="2128">
        <f>Y402-'Blocking-Step2'!Y402</f>
        <v>0</v>
      </c>
    </row>
    <row r="403" spans="1:48" ht="16.5" hidden="1" thickTop="1">
      <c r="A403" s="1116" t="s">
        <v>240</v>
      </c>
      <c r="C403" s="1105">
        <v>37.433333333333337</v>
      </c>
      <c r="D403" s="1105">
        <v>48.191644746146238</v>
      </c>
      <c r="F403" s="1907"/>
      <c r="G403" s="1110"/>
      <c r="H403" s="1146"/>
      <c r="I403" s="1146"/>
      <c r="K403" s="1907">
        <v>54</v>
      </c>
      <c r="L403" s="1110"/>
      <c r="M403" s="1907">
        <v>0</v>
      </c>
      <c r="N403" s="1110"/>
      <c r="O403" s="1907">
        <v>0</v>
      </c>
      <c r="P403" s="1110"/>
      <c r="Q403" s="1907">
        <v>54</v>
      </c>
      <c r="R403" s="1110"/>
      <c r="S403" s="1146">
        <v>2602</v>
      </c>
      <c r="T403" s="1629"/>
      <c r="U403" s="1146">
        <v>0</v>
      </c>
      <c r="V403" s="1629"/>
      <c r="W403" s="1146">
        <v>0</v>
      </c>
      <c r="X403" s="1629"/>
      <c r="Y403" s="1146">
        <v>2602</v>
      </c>
      <c r="Z403" s="2114">
        <f>C403-'Blocking-Step2'!C403</f>
        <v>0</v>
      </c>
      <c r="AA403" s="2114">
        <f>D403-'Blocking-Step2'!D403</f>
        <v>0</v>
      </c>
      <c r="AC403" s="2114">
        <f>F403-'Blocking-Step2'!F403</f>
        <v>0</v>
      </c>
      <c r="AE403" s="2114">
        <f>H403-'Blocking-Step2'!H403</f>
        <v>0</v>
      </c>
      <c r="AF403" s="2114">
        <f>I403-'Blocking-Step2'!I403</f>
        <v>0</v>
      </c>
      <c r="AH403" s="2136">
        <f>K403-'Blocking-Step2'!K403</f>
        <v>0</v>
      </c>
      <c r="AJ403" s="2136">
        <f>M403-'Blocking-Step2'!M403</f>
        <v>0</v>
      </c>
      <c r="AL403" s="2136">
        <f>O403-'Blocking-Step2'!O403</f>
        <v>0</v>
      </c>
      <c r="AN403" s="2137">
        <f>Q403-'Blocking-Step2'!Q403</f>
        <v>0</v>
      </c>
      <c r="AP403" s="2127">
        <f>S403-'Blocking-Step2'!S403</f>
        <v>0</v>
      </c>
      <c r="AR403" s="2127">
        <f>U403-'Blocking-Step2'!U403</f>
        <v>0</v>
      </c>
      <c r="AT403" s="2127">
        <f>W403-'Blocking-Step2'!W403</f>
        <v>0</v>
      </c>
      <c r="AV403" s="2128">
        <f>Y403-'Blocking-Step2'!Y403</f>
        <v>0</v>
      </c>
    </row>
    <row r="404" spans="1:48" ht="16.5" hidden="1" thickTop="1">
      <c r="A404" s="1116" t="s">
        <v>1910</v>
      </c>
      <c r="C404" s="1105">
        <v>9275</v>
      </c>
      <c r="D404" s="1105">
        <v>11186.801542080006</v>
      </c>
      <c r="E404" s="617"/>
      <c r="F404" s="1143"/>
      <c r="G404" s="1921"/>
      <c r="H404" s="1146"/>
      <c r="I404" s="1146"/>
      <c r="J404" s="617"/>
      <c r="K404" s="1143">
        <v>1.657</v>
      </c>
      <c r="L404" s="1921" t="s">
        <v>495</v>
      </c>
      <c r="M404" s="1143">
        <v>19.370528114911814</v>
      </c>
      <c r="N404" s="1921" t="s">
        <v>495</v>
      </c>
      <c r="O404" s="1143">
        <v>1.3496999999999999</v>
      </c>
      <c r="P404" s="1921" t="s">
        <v>495</v>
      </c>
      <c r="Q404" s="1143">
        <v>22.377228114911812</v>
      </c>
      <c r="R404" s="1921" t="s">
        <v>495</v>
      </c>
      <c r="S404" s="1146">
        <v>185</v>
      </c>
      <c r="T404" s="1648"/>
      <c r="U404" s="1146">
        <v>2167</v>
      </c>
      <c r="V404" s="1648"/>
      <c r="W404" s="1146">
        <v>151</v>
      </c>
      <c r="X404" s="1648"/>
      <c r="Y404" s="1146">
        <v>2503</v>
      </c>
      <c r="Z404" s="2114">
        <f>C404-'Blocking-Step2'!C404</f>
        <v>0</v>
      </c>
      <c r="AA404" s="2114">
        <f>D404-'Blocking-Step2'!D404</f>
        <v>0</v>
      </c>
      <c r="AC404" s="2114">
        <f>F404-'Blocking-Step2'!F404</f>
        <v>0</v>
      </c>
      <c r="AE404" s="2114">
        <f>H404-'Blocking-Step2'!H404</f>
        <v>0</v>
      </c>
      <c r="AF404" s="2114">
        <f>I404-'Blocking-Step2'!I404</f>
        <v>0</v>
      </c>
      <c r="AH404" s="2136">
        <f>K404-'Blocking-Step2'!K404</f>
        <v>-2.2955000000000001</v>
      </c>
      <c r="AJ404" s="2136">
        <f>M404-'Blocking-Step2'!M404</f>
        <v>2.2955000000000005</v>
      </c>
      <c r="AL404" s="2136">
        <f>O404-'Blocking-Step2'!O404</f>
        <v>0</v>
      </c>
      <c r="AN404" s="2137">
        <f>Q404-'Blocking-Step2'!Q404</f>
        <v>0</v>
      </c>
      <c r="AP404" s="2127">
        <f>S404-'Blocking-Step2'!S404</f>
        <v>-257</v>
      </c>
      <c r="AR404" s="2127">
        <f>U404-'Blocking-Step2'!U404</f>
        <v>257</v>
      </c>
      <c r="AT404" s="2127">
        <f>W404-'Blocking-Step2'!W404</f>
        <v>0</v>
      </c>
      <c r="AV404" s="2128">
        <f>Y404-'Blocking-Step2'!Y404</f>
        <v>0</v>
      </c>
    </row>
    <row r="405" spans="1:48" ht="16.5" hidden="1" thickTop="1">
      <c r="A405" s="1116" t="s">
        <v>1911</v>
      </c>
      <c r="C405" s="1105">
        <v>25125</v>
      </c>
      <c r="D405" s="1105">
        <v>30303.869406443147</v>
      </c>
      <c r="E405" s="617"/>
      <c r="F405" s="1143"/>
      <c r="G405" s="1921"/>
      <c r="H405" s="1146"/>
      <c r="I405" s="1146"/>
      <c r="J405" s="617"/>
      <c r="K405" s="1143">
        <v>1.657</v>
      </c>
      <c r="L405" s="1921" t="s">
        <v>495</v>
      </c>
      <c r="M405" s="1143">
        <v>1.3803172825590004</v>
      </c>
      <c r="N405" s="1921" t="s">
        <v>495</v>
      </c>
      <c r="O405" s="1143">
        <v>1.3496999999999999</v>
      </c>
      <c r="P405" s="1921" t="s">
        <v>495</v>
      </c>
      <c r="Q405" s="1143">
        <v>4.3870172825590004</v>
      </c>
      <c r="R405" s="1921" t="s">
        <v>495</v>
      </c>
      <c r="S405" s="1146">
        <v>502</v>
      </c>
      <c r="T405" s="1648"/>
      <c r="U405" s="1146">
        <v>418</v>
      </c>
      <c r="V405" s="1648"/>
      <c r="W405" s="1146">
        <v>409</v>
      </c>
      <c r="X405" s="1648"/>
      <c r="Y405" s="1146">
        <v>1329</v>
      </c>
      <c r="Z405" s="2114">
        <f>C405-'Blocking-Step2'!C405</f>
        <v>0</v>
      </c>
      <c r="AA405" s="2114">
        <f>D405-'Blocking-Step2'!D405</f>
        <v>0</v>
      </c>
      <c r="AC405" s="2114">
        <f>F405-'Blocking-Step2'!F405</f>
        <v>0</v>
      </c>
      <c r="AE405" s="2114">
        <f>H405-'Blocking-Step2'!H405</f>
        <v>0</v>
      </c>
      <c r="AF405" s="2114">
        <f>I405-'Blocking-Step2'!I405</f>
        <v>0</v>
      </c>
      <c r="AH405" s="2136">
        <f>K405-'Blocking-Step2'!K405</f>
        <v>-2.2955000000000001</v>
      </c>
      <c r="AJ405" s="2136">
        <f>M405-'Blocking-Step2'!M405</f>
        <v>2.2955000000000001</v>
      </c>
      <c r="AL405" s="2136">
        <f>O405-'Blocking-Step2'!O405</f>
        <v>0</v>
      </c>
      <c r="AN405" s="2137">
        <f>Q405-'Blocking-Step2'!Q405</f>
        <v>0</v>
      </c>
      <c r="AP405" s="2127">
        <f>S405-'Blocking-Step2'!S405</f>
        <v>-696</v>
      </c>
      <c r="AR405" s="2127">
        <f>U405-'Blocking-Step2'!U405</f>
        <v>695</v>
      </c>
      <c r="AT405" s="2127">
        <f>W405-'Blocking-Step2'!W405</f>
        <v>0</v>
      </c>
      <c r="AV405" s="2128">
        <f>Y405-'Blocking-Step2'!Y405</f>
        <v>0</v>
      </c>
    </row>
    <row r="406" spans="1:48" ht="16.5" hidden="1" thickTop="1">
      <c r="A406" s="1116" t="s">
        <v>1912</v>
      </c>
      <c r="C406" s="1105">
        <v>35390</v>
      </c>
      <c r="D406" s="1105">
        <v>42684.733862448673</v>
      </c>
      <c r="E406" s="617"/>
      <c r="F406" s="1143"/>
      <c r="G406" s="1921"/>
      <c r="H406" s="1146"/>
      <c r="I406" s="1146"/>
      <c r="J406" s="617"/>
      <c r="K406" s="1143">
        <v>1.657</v>
      </c>
      <c r="L406" s="1921" t="s">
        <v>495</v>
      </c>
      <c r="M406" s="1143">
        <v>16.951500000000003</v>
      </c>
      <c r="N406" s="1921" t="s">
        <v>495</v>
      </c>
      <c r="O406" s="1143">
        <v>1.1943999999999999</v>
      </c>
      <c r="P406" s="1921" t="s">
        <v>495</v>
      </c>
      <c r="Q406" s="1143">
        <v>19.802900000000001</v>
      </c>
      <c r="R406" s="1921" t="s">
        <v>495</v>
      </c>
      <c r="S406" s="1146">
        <v>707</v>
      </c>
      <c r="T406" s="1648"/>
      <c r="U406" s="1146">
        <v>7236</v>
      </c>
      <c r="V406" s="1648"/>
      <c r="W406" s="1146">
        <v>510</v>
      </c>
      <c r="X406" s="1648"/>
      <c r="Y406" s="1146">
        <v>8453</v>
      </c>
      <c r="Z406" s="2114">
        <f>C406-'Blocking-Step2'!C406</f>
        <v>0</v>
      </c>
      <c r="AA406" s="2114">
        <f>D406-'Blocking-Step2'!D406</f>
        <v>0</v>
      </c>
      <c r="AC406" s="2114">
        <f>F406-'Blocking-Step2'!F406</f>
        <v>0</v>
      </c>
      <c r="AE406" s="2114">
        <f>H406-'Blocking-Step2'!H406</f>
        <v>0</v>
      </c>
      <c r="AF406" s="2114">
        <f>I406-'Blocking-Step2'!I406</f>
        <v>0</v>
      </c>
      <c r="AH406" s="2136">
        <f>K406-'Blocking-Step2'!K406</f>
        <v>-2.2955000000000001</v>
      </c>
      <c r="AJ406" s="2136">
        <f>M406-'Blocking-Step2'!M406</f>
        <v>2.2955000000000023</v>
      </c>
      <c r="AL406" s="2136">
        <f>O406-'Blocking-Step2'!O406</f>
        <v>0</v>
      </c>
      <c r="AN406" s="2137">
        <f>Q406-'Blocking-Step2'!Q406</f>
        <v>0</v>
      </c>
      <c r="AP406" s="2127">
        <f>S406-'Blocking-Step2'!S406</f>
        <v>-980</v>
      </c>
      <c r="AR406" s="2127">
        <f>U406-'Blocking-Step2'!U406</f>
        <v>980</v>
      </c>
      <c r="AT406" s="2127">
        <f>W406-'Blocking-Step2'!W406</f>
        <v>0</v>
      </c>
      <c r="AV406" s="2128">
        <f>Y406-'Blocking-Step2'!Y406</f>
        <v>0</v>
      </c>
    </row>
    <row r="407" spans="1:48" ht="16.5" hidden="1" thickTop="1">
      <c r="A407" s="1116" t="s">
        <v>1913</v>
      </c>
      <c r="C407" s="1105">
        <v>145099.5</v>
      </c>
      <c r="D407" s="1105">
        <v>175008.01189811731</v>
      </c>
      <c r="E407" s="617"/>
      <c r="F407" s="1143"/>
      <c r="G407" s="1921"/>
      <c r="H407" s="1146"/>
      <c r="I407" s="1146"/>
      <c r="J407" s="617"/>
      <c r="K407" s="1143">
        <v>1.657</v>
      </c>
      <c r="L407" s="1921" t="s">
        <v>495</v>
      </c>
      <c r="M407" s="1143">
        <v>1.0308999999999999</v>
      </c>
      <c r="N407" s="1921" t="s">
        <v>495</v>
      </c>
      <c r="O407" s="1143">
        <v>1.1943999999999999</v>
      </c>
      <c r="P407" s="1921" t="s">
        <v>495</v>
      </c>
      <c r="Q407" s="1143">
        <v>3.8822999999999999</v>
      </c>
      <c r="R407" s="1921" t="s">
        <v>495</v>
      </c>
      <c r="S407" s="1146">
        <v>2900</v>
      </c>
      <c r="T407" s="1648"/>
      <c r="U407" s="1146">
        <v>1804</v>
      </c>
      <c r="V407" s="1648"/>
      <c r="W407" s="1146">
        <v>2090</v>
      </c>
      <c r="X407" s="1648"/>
      <c r="Y407" s="1146">
        <v>6794</v>
      </c>
      <c r="Z407" s="2114">
        <f>C407-'Blocking-Step2'!C407</f>
        <v>0</v>
      </c>
      <c r="AA407" s="2114">
        <f>D407-'Blocking-Step2'!D407</f>
        <v>0</v>
      </c>
      <c r="AC407" s="2114">
        <f>F407-'Blocking-Step2'!F407</f>
        <v>0</v>
      </c>
      <c r="AE407" s="2114">
        <f>H407-'Blocking-Step2'!H407</f>
        <v>0</v>
      </c>
      <c r="AF407" s="2114">
        <f>I407-'Blocking-Step2'!I407</f>
        <v>0</v>
      </c>
      <c r="AH407" s="2136">
        <f>K407-'Blocking-Step2'!K407</f>
        <v>-2.2955000000000001</v>
      </c>
      <c r="AJ407" s="2136">
        <f>M407-'Blocking-Step2'!M407</f>
        <v>2.2955000000000001</v>
      </c>
      <c r="AL407" s="2136">
        <f>O407-'Blocking-Step2'!O407</f>
        <v>0</v>
      </c>
      <c r="AN407" s="2137">
        <f>Q407-'Blocking-Step2'!Q407</f>
        <v>0</v>
      </c>
      <c r="AP407" s="2127">
        <f>S407-'Blocking-Step2'!S407</f>
        <v>-4017</v>
      </c>
      <c r="AR407" s="2127">
        <f>U407-'Blocking-Step2'!U407</f>
        <v>4017</v>
      </c>
      <c r="AT407" s="2127">
        <f>W407-'Blocking-Step2'!W407</f>
        <v>0</v>
      </c>
      <c r="AV407" s="2128">
        <f>Y407-'Blocking-Step2'!Y407</f>
        <v>0</v>
      </c>
    </row>
    <row r="408" spans="1:48" ht="16.5" hidden="1" thickTop="1">
      <c r="A408" s="1116" t="s">
        <v>1906</v>
      </c>
      <c r="C408" s="1105">
        <v>19104.057330130072</v>
      </c>
      <c r="D408" s="1105">
        <v>23041.865013550829</v>
      </c>
      <c r="E408" s="617"/>
      <c r="F408" s="1143"/>
      <c r="G408" s="1921"/>
      <c r="H408" s="1146"/>
      <c r="I408" s="1146"/>
      <c r="J408" s="617"/>
      <c r="K408" s="1143">
        <v>0</v>
      </c>
      <c r="L408" s="1921" t="s">
        <v>495</v>
      </c>
      <c r="M408" s="1143">
        <v>0</v>
      </c>
      <c r="N408" s="1921" t="s">
        <v>495</v>
      </c>
      <c r="O408" s="1143">
        <v>6</v>
      </c>
      <c r="P408" s="1921" t="s">
        <v>495</v>
      </c>
      <c r="Q408" s="1143">
        <v>6</v>
      </c>
      <c r="R408" s="1921" t="s">
        <v>495</v>
      </c>
      <c r="S408" s="1146">
        <v>0</v>
      </c>
      <c r="T408" s="1648"/>
      <c r="U408" s="1146">
        <v>0</v>
      </c>
      <c r="V408" s="1648"/>
      <c r="W408" s="1146">
        <v>1383</v>
      </c>
      <c r="X408" s="1648"/>
      <c r="Y408" s="1146">
        <v>1383</v>
      </c>
      <c r="Z408" s="2114">
        <f>C408-'Blocking-Step2'!C408</f>
        <v>0</v>
      </c>
      <c r="AA408" s="2114">
        <f>D408-'Blocking-Step2'!D408</f>
        <v>0</v>
      </c>
      <c r="AC408" s="2114">
        <f>F408-'Blocking-Step2'!F408</f>
        <v>0</v>
      </c>
      <c r="AE408" s="2114">
        <f>H408-'Blocking-Step2'!H408</f>
        <v>0</v>
      </c>
      <c r="AF408" s="2114">
        <f>I408-'Blocking-Step2'!I408</f>
        <v>0</v>
      </c>
      <c r="AH408" s="2136">
        <f>K408-'Blocking-Step2'!K408</f>
        <v>0</v>
      </c>
      <c r="AJ408" s="2136">
        <f>M408-'Blocking-Step2'!M408</f>
        <v>0</v>
      </c>
      <c r="AL408" s="2136">
        <f>O408-'Blocking-Step2'!O408</f>
        <v>0</v>
      </c>
      <c r="AN408" s="2137">
        <f>Q408-'Blocking-Step2'!Q408</f>
        <v>0</v>
      </c>
      <c r="AP408" s="2127">
        <f>S408-'Blocking-Step2'!S408</f>
        <v>0</v>
      </c>
      <c r="AR408" s="2127">
        <f>U408-'Blocking-Step2'!U408</f>
        <v>0</v>
      </c>
      <c r="AT408" s="2127">
        <f>W408-'Blocking-Step2'!W408</f>
        <v>0</v>
      </c>
      <c r="AV408" s="2128">
        <f>Y408-'Blocking-Step2'!Y408</f>
        <v>0</v>
      </c>
    </row>
    <row r="409" spans="1:48" ht="16.5" hidden="1" thickTop="1">
      <c r="A409" s="1116" t="s">
        <v>1907</v>
      </c>
      <c r="C409" s="1105">
        <v>15295.942669869928</v>
      </c>
      <c r="D409" s="1105">
        <v>18448.805934972323</v>
      </c>
      <c r="E409" s="617"/>
      <c r="F409" s="1143"/>
      <c r="G409" s="1921"/>
      <c r="H409" s="1146"/>
      <c r="I409" s="1146"/>
      <c r="J409" s="617"/>
      <c r="K409" s="1143">
        <v>0</v>
      </c>
      <c r="L409" s="1921" t="s">
        <v>495</v>
      </c>
      <c r="M409" s="1143">
        <v>0</v>
      </c>
      <c r="N409" s="1921" t="s">
        <v>495</v>
      </c>
      <c r="O409" s="1143">
        <v>-2.3358000000000008</v>
      </c>
      <c r="P409" s="1921" t="s">
        <v>495</v>
      </c>
      <c r="Q409" s="1143">
        <v>-2.3358000000000008</v>
      </c>
      <c r="R409" s="1921" t="s">
        <v>495</v>
      </c>
      <c r="S409" s="1146">
        <v>0</v>
      </c>
      <c r="T409" s="1648"/>
      <c r="U409" s="1146">
        <v>0</v>
      </c>
      <c r="V409" s="1648"/>
      <c r="W409" s="1146">
        <v>-431</v>
      </c>
      <c r="X409" s="1648"/>
      <c r="Y409" s="1146">
        <v>-431</v>
      </c>
      <c r="Z409" s="2114">
        <f>C409-'Blocking-Step2'!C409</f>
        <v>0</v>
      </c>
      <c r="AA409" s="2114">
        <f>D409-'Blocking-Step2'!D409</f>
        <v>0</v>
      </c>
      <c r="AC409" s="2114">
        <f>F409-'Blocking-Step2'!F409</f>
        <v>0</v>
      </c>
      <c r="AE409" s="2114">
        <f>H409-'Blocking-Step2'!H409</f>
        <v>0</v>
      </c>
      <c r="AF409" s="2114">
        <f>I409-'Blocking-Step2'!I409</f>
        <v>0</v>
      </c>
      <c r="AH409" s="2136">
        <f>K409-'Blocking-Step2'!K409</f>
        <v>0</v>
      </c>
      <c r="AJ409" s="2136">
        <f>M409-'Blocking-Step2'!M409</f>
        <v>0</v>
      </c>
      <c r="AL409" s="2136">
        <f>O409-'Blocking-Step2'!O409</f>
        <v>0</v>
      </c>
      <c r="AN409" s="2137">
        <f>Q409-'Blocking-Step2'!Q409</f>
        <v>0</v>
      </c>
      <c r="AP409" s="2127">
        <f>S409-'Blocking-Step2'!S409</f>
        <v>0</v>
      </c>
      <c r="AR409" s="2127">
        <f>U409-'Blocking-Step2'!U409</f>
        <v>0</v>
      </c>
      <c r="AT409" s="2127">
        <f>W409-'Blocking-Step2'!W409</f>
        <v>0</v>
      </c>
      <c r="AV409" s="2128">
        <f>Y409-'Blocking-Step2'!Y409</f>
        <v>0</v>
      </c>
    </row>
    <row r="410" spans="1:48" ht="16.5" hidden="1" thickTop="1">
      <c r="A410" s="1116" t="s">
        <v>1908</v>
      </c>
      <c r="C410" s="1105">
        <v>100234.93475251488</v>
      </c>
      <c r="D410" s="1105">
        <v>120895.77602800241</v>
      </c>
      <c r="E410" s="617"/>
      <c r="F410" s="1143"/>
      <c r="G410" s="1921"/>
      <c r="H410" s="1146"/>
      <c r="I410" s="1146"/>
      <c r="J410" s="617"/>
      <c r="K410" s="1143">
        <v>0</v>
      </c>
      <c r="L410" s="1921" t="s">
        <v>495</v>
      </c>
      <c r="M410" s="1143">
        <v>0</v>
      </c>
      <c r="N410" s="1921" t="s">
        <v>495</v>
      </c>
      <c r="O410" s="1143">
        <v>5.3097000000000003</v>
      </c>
      <c r="P410" s="1921" t="s">
        <v>495</v>
      </c>
      <c r="Q410" s="1143">
        <v>5.3097000000000003</v>
      </c>
      <c r="R410" s="1921" t="s">
        <v>495</v>
      </c>
      <c r="S410" s="1146">
        <v>0</v>
      </c>
      <c r="T410" s="1648"/>
      <c r="U410" s="1146">
        <v>0</v>
      </c>
      <c r="V410" s="1648"/>
      <c r="W410" s="1146">
        <v>6419</v>
      </c>
      <c r="X410" s="1648"/>
      <c r="Y410" s="1146">
        <v>6419</v>
      </c>
      <c r="Z410" s="2114">
        <f>C410-'Blocking-Step2'!C410</f>
        <v>0</v>
      </c>
      <c r="AA410" s="2114">
        <f>D410-'Blocking-Step2'!D410</f>
        <v>0</v>
      </c>
      <c r="AC410" s="2114">
        <f>F410-'Blocking-Step2'!F410</f>
        <v>0</v>
      </c>
      <c r="AE410" s="2114">
        <f>H410-'Blocking-Step2'!H410</f>
        <v>0</v>
      </c>
      <c r="AF410" s="2114">
        <f>I410-'Blocking-Step2'!I410</f>
        <v>0</v>
      </c>
      <c r="AH410" s="2136">
        <f>K410-'Blocking-Step2'!K410</f>
        <v>0</v>
      </c>
      <c r="AJ410" s="2136">
        <f>M410-'Blocking-Step2'!M410</f>
        <v>0</v>
      </c>
      <c r="AL410" s="2136">
        <f>O410-'Blocking-Step2'!O410</f>
        <v>0</v>
      </c>
      <c r="AN410" s="2137">
        <f>Q410-'Blocking-Step2'!Q410</f>
        <v>0</v>
      </c>
      <c r="AP410" s="2127">
        <f>S410-'Blocking-Step2'!S410</f>
        <v>0</v>
      </c>
      <c r="AR410" s="2127">
        <f>U410-'Blocking-Step2'!U410</f>
        <v>0</v>
      </c>
      <c r="AT410" s="2127">
        <f>W410-'Blocking-Step2'!W410</f>
        <v>0</v>
      </c>
      <c r="AV410" s="2128">
        <f>Y410-'Blocking-Step2'!Y410</f>
        <v>0</v>
      </c>
    </row>
    <row r="411" spans="1:48" ht="16.5" hidden="1" thickTop="1">
      <c r="A411" s="1116" t="s">
        <v>1909</v>
      </c>
      <c r="C411" s="1105">
        <v>80254.565247485123</v>
      </c>
      <c r="D411" s="1105">
        <v>96796.969732563564</v>
      </c>
      <c r="E411" s="617"/>
      <c r="F411" s="1143"/>
      <c r="G411" s="1921"/>
      <c r="H411" s="1146"/>
      <c r="I411" s="1146"/>
      <c r="J411" s="617"/>
      <c r="K411" s="1143">
        <v>0</v>
      </c>
      <c r="L411" s="1921" t="s">
        <v>495</v>
      </c>
      <c r="M411" s="1143">
        <v>0</v>
      </c>
      <c r="N411" s="1921" t="s">
        <v>495</v>
      </c>
      <c r="O411" s="1143">
        <v>-2.0670999999999999</v>
      </c>
      <c r="P411" s="1921" t="s">
        <v>495</v>
      </c>
      <c r="Q411" s="1143">
        <v>-2.0670999999999999</v>
      </c>
      <c r="R411" s="1921" t="s">
        <v>495</v>
      </c>
      <c r="S411" s="1146">
        <v>0</v>
      </c>
      <c r="T411" s="1648"/>
      <c r="U411" s="1146">
        <v>0</v>
      </c>
      <c r="V411" s="1648"/>
      <c r="W411" s="1146">
        <v>-2001</v>
      </c>
      <c r="X411" s="1648"/>
      <c r="Y411" s="1146">
        <v>-2001</v>
      </c>
      <c r="Z411" s="2114">
        <f>C411-'Blocking-Step2'!C411</f>
        <v>0</v>
      </c>
      <c r="AA411" s="2114">
        <f>D411-'Blocking-Step2'!D411</f>
        <v>0</v>
      </c>
      <c r="AC411" s="2114">
        <f>F411-'Blocking-Step2'!F411</f>
        <v>0</v>
      </c>
      <c r="AE411" s="2114">
        <f>H411-'Blocking-Step2'!H411</f>
        <v>0</v>
      </c>
      <c r="AF411" s="2114">
        <f>I411-'Blocking-Step2'!I411</f>
        <v>0</v>
      </c>
      <c r="AH411" s="2136">
        <f>K411-'Blocking-Step2'!K411</f>
        <v>0</v>
      </c>
      <c r="AJ411" s="2136">
        <f>M411-'Blocking-Step2'!M411</f>
        <v>0</v>
      </c>
      <c r="AL411" s="2136">
        <f>O411-'Blocking-Step2'!O411</f>
        <v>0</v>
      </c>
      <c r="AN411" s="2137">
        <f>Q411-'Blocking-Step2'!Q411</f>
        <v>0</v>
      </c>
      <c r="AP411" s="2127">
        <f>S411-'Blocking-Step2'!S411</f>
        <v>0</v>
      </c>
      <c r="AR411" s="2127">
        <f>U411-'Blocking-Step2'!U411</f>
        <v>0</v>
      </c>
      <c r="AT411" s="2127">
        <f>W411-'Blocking-Step2'!W411</f>
        <v>0</v>
      </c>
      <c r="AV411" s="2128">
        <f>Y411-'Blocking-Step2'!Y411</f>
        <v>0</v>
      </c>
    </row>
    <row r="412" spans="1:48" ht="16.5" hidden="1" thickTop="1">
      <c r="A412" s="1116" t="s">
        <v>261</v>
      </c>
      <c r="C412" s="1105">
        <v>0</v>
      </c>
      <c r="D412" s="1105">
        <v>0</v>
      </c>
      <c r="F412" s="1907"/>
      <c r="G412" s="1110"/>
      <c r="H412" s="1146"/>
      <c r="I412" s="1146"/>
      <c r="K412" s="1907">
        <v>-0.61</v>
      </c>
      <c r="L412" s="1110"/>
      <c r="M412" s="1907">
        <v>0</v>
      </c>
      <c r="N412" s="1110"/>
      <c r="O412" s="1907">
        <v>0</v>
      </c>
      <c r="P412" s="1110"/>
      <c r="Q412" s="1907">
        <v>-0.61</v>
      </c>
      <c r="R412" s="1110"/>
      <c r="S412" s="1146">
        <v>0</v>
      </c>
      <c r="T412" s="1629"/>
      <c r="U412" s="1146">
        <v>0</v>
      </c>
      <c r="V412" s="1629"/>
      <c r="W412" s="1146">
        <v>0</v>
      </c>
      <c r="X412" s="1629"/>
      <c r="Y412" s="1146">
        <v>0</v>
      </c>
      <c r="Z412" s="2114">
        <f>C412-'Blocking-Step2'!C412</f>
        <v>0</v>
      </c>
      <c r="AA412" s="2114">
        <f>D412-'Blocking-Step2'!D412</f>
        <v>0</v>
      </c>
      <c r="AC412" s="2114">
        <f>F412-'Blocking-Step2'!F412</f>
        <v>0</v>
      </c>
      <c r="AE412" s="2114">
        <f>H412-'Blocking-Step2'!H412</f>
        <v>0</v>
      </c>
      <c r="AF412" s="2114">
        <f>I412-'Blocking-Step2'!I412</f>
        <v>0</v>
      </c>
      <c r="AH412" s="2136">
        <f>K412-'Blocking-Step2'!K412</f>
        <v>0</v>
      </c>
      <c r="AJ412" s="2136">
        <f>M412-'Blocking-Step2'!M412</f>
        <v>0</v>
      </c>
      <c r="AL412" s="2136">
        <f>O412-'Blocking-Step2'!O412</f>
        <v>0</v>
      </c>
      <c r="AN412" s="2137">
        <f>Q412-'Blocking-Step2'!Q412</f>
        <v>0</v>
      </c>
      <c r="AP412" s="2127">
        <f>S412-'Blocking-Step2'!S412</f>
        <v>0</v>
      </c>
      <c r="AR412" s="2127">
        <f>U412-'Blocking-Step2'!U412</f>
        <v>0</v>
      </c>
      <c r="AT412" s="2127">
        <f>W412-'Blocking-Step2'!W412</f>
        <v>0</v>
      </c>
      <c r="AV412" s="2128">
        <f>Y412-'Blocking-Step2'!Y412</f>
        <v>0</v>
      </c>
    </row>
    <row r="413" spans="1:48" ht="16.5" hidden="1" thickTop="1">
      <c r="A413" s="1116" t="s">
        <v>1158</v>
      </c>
      <c r="C413" s="1105">
        <v>0</v>
      </c>
      <c r="D413" s="1105">
        <v>0</v>
      </c>
      <c r="F413" s="1106"/>
      <c r="G413" s="1921"/>
      <c r="H413" s="1146"/>
      <c r="I413" s="1146"/>
      <c r="K413" s="1106">
        <v>0</v>
      </c>
      <c r="L413" s="1921" t="s">
        <v>495</v>
      </c>
      <c r="M413" s="1106">
        <v>7.125</v>
      </c>
      <c r="N413" s="1921" t="s">
        <v>495</v>
      </c>
      <c r="O413" s="1106">
        <v>0</v>
      </c>
      <c r="P413" s="1921" t="s">
        <v>495</v>
      </c>
      <c r="Q413" s="1106">
        <v>7.125</v>
      </c>
      <c r="R413" s="1921" t="s">
        <v>495</v>
      </c>
      <c r="S413" s="1146">
        <v>0</v>
      </c>
      <c r="T413" s="1648"/>
      <c r="U413" s="1146">
        <v>0</v>
      </c>
      <c r="V413" s="1648"/>
      <c r="W413" s="1146">
        <v>0</v>
      </c>
      <c r="X413" s="1648"/>
      <c r="Y413" s="1146">
        <v>0</v>
      </c>
      <c r="Z413" s="2114">
        <f>C413-'Blocking-Step2'!C413</f>
        <v>0</v>
      </c>
      <c r="AA413" s="2114">
        <f>D413-'Blocking-Step2'!D413</f>
        <v>0</v>
      </c>
      <c r="AC413" s="2114">
        <f>F413-'Blocking-Step2'!F413</f>
        <v>0</v>
      </c>
      <c r="AE413" s="2114">
        <f>H413-'Blocking-Step2'!H413</f>
        <v>0</v>
      </c>
      <c r="AF413" s="2114">
        <f>I413-'Blocking-Step2'!I413</f>
        <v>0</v>
      </c>
      <c r="AH413" s="2136">
        <f>K413-'Blocking-Step2'!K413</f>
        <v>0</v>
      </c>
      <c r="AJ413" s="2136">
        <f>M413-'Blocking-Step2'!M413</f>
        <v>0</v>
      </c>
      <c r="AL413" s="2136">
        <f>O413-'Blocking-Step2'!O413</f>
        <v>0</v>
      </c>
      <c r="AN413" s="2137">
        <f>Q413-'Blocking-Step2'!Q413</f>
        <v>0</v>
      </c>
      <c r="AP413" s="2127">
        <f>S413-'Blocking-Step2'!S413</f>
        <v>0</v>
      </c>
      <c r="AR413" s="2127">
        <f>U413-'Blocking-Step2'!U413</f>
        <v>0</v>
      </c>
      <c r="AT413" s="2127">
        <f>W413-'Blocking-Step2'!W413</f>
        <v>0</v>
      </c>
      <c r="AV413" s="2128">
        <f>Y413-'Blocking-Step2'!Y413</f>
        <v>0</v>
      </c>
    </row>
    <row r="414" spans="1:48" ht="16.5" hidden="1" thickTop="1">
      <c r="A414" s="1116" t="s">
        <v>1240</v>
      </c>
      <c r="C414" s="1024"/>
      <c r="D414" s="1024"/>
      <c r="F414" s="2076"/>
      <c r="G414" s="617"/>
      <c r="H414" s="1146"/>
      <c r="I414" s="1146"/>
      <c r="K414" s="2076"/>
      <c r="L414" s="617"/>
      <c r="M414" s="2076"/>
      <c r="N414" s="617"/>
      <c r="O414" s="2077" t="s">
        <v>2323</v>
      </c>
      <c r="P414" s="617"/>
      <c r="Q414" s="2076">
        <v>-3.0599999999999999E-2</v>
      </c>
      <c r="R414" s="617"/>
      <c r="S414" s="1114"/>
      <c r="T414" s="1114"/>
      <c r="U414" s="1114"/>
      <c r="V414" s="1114"/>
      <c r="W414" s="1114"/>
      <c r="X414" s="1114"/>
      <c r="Y414" s="1146">
        <v>-583.81740000000002</v>
      </c>
      <c r="Z414" s="2114">
        <f>C414-'Blocking-Step2'!C414</f>
        <v>0</v>
      </c>
      <c r="AA414" s="2114">
        <f>D414-'Blocking-Step2'!D414</f>
        <v>0</v>
      </c>
      <c r="AC414" s="2114">
        <f>F414-'Blocking-Step2'!F414</f>
        <v>0</v>
      </c>
      <c r="AE414" s="2114">
        <f>H414-'Blocking-Step2'!H414</f>
        <v>0</v>
      </c>
      <c r="AF414" s="2114">
        <f>I414-'Blocking-Step2'!I414</f>
        <v>0</v>
      </c>
      <c r="AH414" s="2136">
        <f>K414-'Blocking-Step2'!K414</f>
        <v>0</v>
      </c>
      <c r="AJ414" s="2136">
        <f>M414-'Blocking-Step2'!M414</f>
        <v>0</v>
      </c>
      <c r="AL414" s="2136" t="e">
        <f>O414-'Blocking-Step2'!O414</f>
        <v>#VALUE!</v>
      </c>
      <c r="AN414" s="2137">
        <f>Q414-'Blocking-Step2'!Q414</f>
        <v>0</v>
      </c>
      <c r="AP414" s="2127">
        <f>S414-'Blocking-Step2'!S414</f>
        <v>0</v>
      </c>
      <c r="AR414" s="2127">
        <f>U414-'Blocking-Step2'!U414</f>
        <v>0</v>
      </c>
      <c r="AT414" s="2127">
        <f>W414-'Blocking-Step2'!W414</f>
        <v>0</v>
      </c>
      <c r="AV414" s="2128">
        <f>Y414-'Blocking-Step2'!Y414</f>
        <v>0</v>
      </c>
    </row>
    <row r="415" spans="1:48" ht="16.5" hidden="1" thickTop="1">
      <c r="A415" s="1116"/>
      <c r="C415" s="1024"/>
      <c r="D415" s="1024"/>
      <c r="F415" s="2076"/>
      <c r="G415" s="617"/>
      <c r="H415" s="1146"/>
      <c r="I415" s="1146"/>
      <c r="K415" s="2076"/>
      <c r="L415" s="617"/>
      <c r="M415" s="2076"/>
      <c r="N415" s="617"/>
      <c r="O415" s="2077" t="s">
        <v>2324</v>
      </c>
      <c r="P415" s="617"/>
      <c r="Q415" s="2076">
        <v>-1.66E-2</v>
      </c>
      <c r="R415" s="617"/>
      <c r="S415" s="1114"/>
      <c r="T415" s="1114"/>
      <c r="U415" s="1114"/>
      <c r="V415" s="1114"/>
      <c r="W415" s="1114"/>
      <c r="X415" s="1114"/>
      <c r="Y415" s="1146">
        <v>-316.71140000000003</v>
      </c>
      <c r="Z415" s="2114">
        <f>C415-'Blocking-Step2'!C415</f>
        <v>0</v>
      </c>
      <c r="AA415" s="2114">
        <f>D415-'Blocking-Step2'!D415</f>
        <v>0</v>
      </c>
      <c r="AC415" s="2114">
        <f>F415-'Blocking-Step2'!F415</f>
        <v>0</v>
      </c>
      <c r="AE415" s="2114">
        <f>H415-'Blocking-Step2'!H415</f>
        <v>0</v>
      </c>
      <c r="AF415" s="2114">
        <f>I415-'Blocking-Step2'!I415</f>
        <v>0</v>
      </c>
      <c r="AH415" s="2136">
        <f>K415-'Blocking-Step2'!K415</f>
        <v>0</v>
      </c>
      <c r="AJ415" s="2136">
        <f>M415-'Blocking-Step2'!M415</f>
        <v>0</v>
      </c>
      <c r="AL415" s="2136" t="e">
        <f>O415-'Blocking-Step2'!O415</f>
        <v>#VALUE!</v>
      </c>
      <c r="AN415" s="2137">
        <f>Q415-'Blocking-Step2'!Q415</f>
        <v>0</v>
      </c>
      <c r="AP415" s="2127">
        <f>S415-'Blocking-Step2'!S415</f>
        <v>0</v>
      </c>
      <c r="AR415" s="2127">
        <f>U415-'Blocking-Step2'!U415</f>
        <v>0</v>
      </c>
      <c r="AT415" s="2127">
        <f>W415-'Blocking-Step2'!W415</f>
        <v>0</v>
      </c>
      <c r="AV415" s="2128">
        <f>Y415-'Blocking-Step2'!Y415</f>
        <v>0</v>
      </c>
    </row>
    <row r="416" spans="1:48" ht="16.5" hidden="1" thickTop="1">
      <c r="A416" s="1116" t="s">
        <v>1923</v>
      </c>
      <c r="C416" s="1105">
        <v>214889.5</v>
      </c>
      <c r="D416" s="1105">
        <v>259183.41670908913</v>
      </c>
      <c r="F416" s="1907"/>
      <c r="G416" s="1110"/>
      <c r="H416" s="1146"/>
      <c r="I416" s="1146"/>
      <c r="K416" s="1907"/>
      <c r="L416" s="1110"/>
      <c r="M416" s="1907"/>
      <c r="N416" s="1110"/>
      <c r="O416" s="1907"/>
      <c r="P416" s="1110"/>
      <c r="Q416" s="1907"/>
      <c r="R416" s="1110"/>
      <c r="S416" s="1146">
        <v>6896</v>
      </c>
      <c r="T416" s="1629"/>
      <c r="U416" s="1146">
        <v>11625</v>
      </c>
      <c r="V416" s="1629"/>
      <c r="W416" s="1146">
        <v>8530</v>
      </c>
      <c r="X416" s="1629"/>
      <c r="Y416" s="1146">
        <v>27051</v>
      </c>
      <c r="Z416" s="2114">
        <f>C416-'Blocking-Step2'!C416</f>
        <v>0</v>
      </c>
      <c r="AA416" s="2114">
        <f>D416-'Blocking-Step2'!D416</f>
        <v>0</v>
      </c>
      <c r="AC416" s="2114">
        <f>F416-'Blocking-Step2'!F416</f>
        <v>0</v>
      </c>
      <c r="AE416" s="2114">
        <f>H416-'Blocking-Step2'!H416</f>
        <v>0</v>
      </c>
      <c r="AF416" s="2114">
        <f>I416-'Blocking-Step2'!I416</f>
        <v>0</v>
      </c>
      <c r="AH416" s="2136">
        <f>K416-'Blocking-Step2'!K416</f>
        <v>0</v>
      </c>
      <c r="AJ416" s="2136">
        <f>M416-'Blocking-Step2'!M416</f>
        <v>0</v>
      </c>
      <c r="AL416" s="2136">
        <f>O416-'Blocking-Step2'!O416</f>
        <v>0</v>
      </c>
      <c r="AN416" s="2137">
        <f>Q416-'Blocking-Step2'!Q416</f>
        <v>0</v>
      </c>
      <c r="AP416" s="2127">
        <f>S416-'Blocking-Step2'!S416</f>
        <v>-5950</v>
      </c>
      <c r="AR416" s="2127">
        <f>U416-'Blocking-Step2'!U416</f>
        <v>5949</v>
      </c>
      <c r="AT416" s="2127">
        <f>W416-'Blocking-Step2'!W416</f>
        <v>0</v>
      </c>
      <c r="AV416" s="2128">
        <f>Y416-'Blocking-Step2'!Y416</f>
        <v>0</v>
      </c>
    </row>
    <row r="417" spans="1:48" ht="16.5" hidden="1" thickTop="1">
      <c r="A417" s="1116"/>
      <c r="C417" s="1105"/>
      <c r="D417" s="1105"/>
      <c r="F417" s="1907"/>
      <c r="G417" s="1110"/>
      <c r="H417" s="1146"/>
      <c r="I417" s="1146"/>
      <c r="K417" s="1907"/>
      <c r="L417" s="1110"/>
      <c r="M417" s="1907"/>
      <c r="N417" s="1110"/>
      <c r="O417" s="1907"/>
      <c r="P417" s="1110"/>
      <c r="Q417" s="1907"/>
      <c r="R417" s="1110"/>
      <c r="S417" s="1629"/>
      <c r="T417" s="1629"/>
      <c r="U417" s="1629"/>
      <c r="V417" s="1629"/>
      <c r="W417" s="1629"/>
      <c r="X417" s="1629"/>
      <c r="Y417" s="1146"/>
      <c r="Z417" s="2114">
        <f>C417-'Blocking-Step2'!C417</f>
        <v>0</v>
      </c>
      <c r="AA417" s="2114">
        <f>D417-'Blocking-Step2'!D417</f>
        <v>0</v>
      </c>
      <c r="AC417" s="2114">
        <f>F417-'Blocking-Step2'!F417</f>
        <v>0</v>
      </c>
      <c r="AE417" s="2114">
        <f>H417-'Blocking-Step2'!H417</f>
        <v>0</v>
      </c>
      <c r="AF417" s="2114">
        <f>I417-'Blocking-Step2'!I417</f>
        <v>0</v>
      </c>
      <c r="AH417" s="2136">
        <f>K417-'Blocking-Step2'!K417</f>
        <v>0</v>
      </c>
      <c r="AJ417" s="2136">
        <f>M417-'Blocking-Step2'!M417</f>
        <v>0</v>
      </c>
      <c r="AL417" s="2136">
        <f>O417-'Blocking-Step2'!O417</f>
        <v>0</v>
      </c>
      <c r="AN417" s="2137">
        <f>Q417-'Blocking-Step2'!Q417</f>
        <v>0</v>
      </c>
      <c r="AP417" s="2127">
        <f>S417-'Blocking-Step2'!S417</f>
        <v>0</v>
      </c>
      <c r="AR417" s="2127">
        <f>U417-'Blocking-Step2'!U417</f>
        <v>0</v>
      </c>
      <c r="AT417" s="2127">
        <f>W417-'Blocking-Step2'!W417</f>
        <v>0</v>
      </c>
      <c r="AV417" s="2128">
        <f>Y417-'Blocking-Step2'!Y417</f>
        <v>0</v>
      </c>
    </row>
    <row r="418" spans="1:48" ht="16.5" hidden="1" thickTop="1">
      <c r="A418" s="1116" t="s">
        <v>240</v>
      </c>
      <c r="C418" s="1105">
        <v>37.433333333333337</v>
      </c>
      <c r="D418" s="1105">
        <v>48.191644746146238</v>
      </c>
      <c r="F418" s="1142">
        <v>54</v>
      </c>
      <c r="G418" s="617"/>
      <c r="H418" s="1146">
        <v>2021</v>
      </c>
      <c r="I418" s="1146">
        <v>2602</v>
      </c>
      <c r="K418" s="1142">
        <v>54</v>
      </c>
      <c r="L418" s="617"/>
      <c r="M418" s="1142">
        <v>0</v>
      </c>
      <c r="N418" s="617"/>
      <c r="O418" s="1142">
        <v>0</v>
      </c>
      <c r="P418" s="617"/>
      <c r="Q418" s="1142">
        <v>54</v>
      </c>
      <c r="R418" s="617"/>
      <c r="S418" s="1146">
        <v>2602</v>
      </c>
      <c r="T418" s="1629"/>
      <c r="U418" s="1146">
        <v>0</v>
      </c>
      <c r="V418" s="1629"/>
      <c r="W418" s="1146">
        <v>0</v>
      </c>
      <c r="X418" s="1629"/>
      <c r="Y418" s="1146">
        <v>2602</v>
      </c>
      <c r="Z418" s="2114">
        <f>C418-'Blocking-Step2'!C418</f>
        <v>0</v>
      </c>
      <c r="AA418" s="2114">
        <f>D418-'Blocking-Step2'!D418</f>
        <v>0</v>
      </c>
      <c r="AC418" s="2114">
        <f>F418-'Blocking-Step2'!F418</f>
        <v>0</v>
      </c>
      <c r="AE418" s="2114">
        <f>H418-'Blocking-Step2'!H418</f>
        <v>0</v>
      </c>
      <c r="AF418" s="2114">
        <f>I418-'Blocking-Step2'!I418</f>
        <v>0</v>
      </c>
      <c r="AH418" s="2136">
        <f>K418-'Blocking-Step2'!K418</f>
        <v>0</v>
      </c>
      <c r="AJ418" s="2136">
        <f>M418-'Blocking-Step2'!M418</f>
        <v>0</v>
      </c>
      <c r="AL418" s="2136">
        <f>O418-'Blocking-Step2'!O418</f>
        <v>0</v>
      </c>
      <c r="AN418" s="2137">
        <f>Q418-'Blocking-Step2'!Q418</f>
        <v>0</v>
      </c>
      <c r="AP418" s="2127">
        <f>S418-'Blocking-Step2'!S418</f>
        <v>0</v>
      </c>
      <c r="AR418" s="2127">
        <f>U418-'Blocking-Step2'!U418</f>
        <v>0</v>
      </c>
      <c r="AT418" s="2127">
        <f>W418-'Blocking-Step2'!W418</f>
        <v>0</v>
      </c>
      <c r="AV418" s="2128">
        <f>Y418-'Blocking-Step2'!Y418</f>
        <v>0</v>
      </c>
    </row>
    <row r="419" spans="1:48" ht="16.5" hidden="1" thickTop="1">
      <c r="A419" s="1116" t="s">
        <v>262</v>
      </c>
      <c r="C419" s="1024">
        <v>0</v>
      </c>
      <c r="D419" s="1105">
        <v>0</v>
      </c>
      <c r="F419" s="1142">
        <v>648</v>
      </c>
      <c r="G419" s="617"/>
      <c r="H419" s="1146">
        <v>0</v>
      </c>
      <c r="I419" s="1146">
        <v>0</v>
      </c>
      <c r="K419" s="1142">
        <v>648</v>
      </c>
      <c r="L419" s="617"/>
      <c r="M419" s="1142">
        <v>0</v>
      </c>
      <c r="N419" s="617"/>
      <c r="O419" s="1142">
        <v>0</v>
      </c>
      <c r="P419" s="617"/>
      <c r="Q419" s="1142">
        <v>648</v>
      </c>
      <c r="R419" s="617"/>
      <c r="S419" s="1146">
        <v>0</v>
      </c>
      <c r="T419" s="1629"/>
      <c r="U419" s="1146">
        <v>0</v>
      </c>
      <c r="V419" s="1629"/>
      <c r="W419" s="1146">
        <v>0</v>
      </c>
      <c r="X419" s="1629"/>
      <c r="Y419" s="1146">
        <v>0</v>
      </c>
      <c r="Z419" s="2114">
        <f>C419-'Blocking-Step2'!C419</f>
        <v>0</v>
      </c>
      <c r="AA419" s="2114">
        <f>D419-'Blocking-Step2'!D419</f>
        <v>0</v>
      </c>
      <c r="AC419" s="2114">
        <f>F419-'Blocking-Step2'!F419</f>
        <v>0</v>
      </c>
      <c r="AE419" s="2114">
        <f>H419-'Blocking-Step2'!H419</f>
        <v>0</v>
      </c>
      <c r="AF419" s="2114">
        <f>I419-'Blocking-Step2'!I419</f>
        <v>0</v>
      </c>
      <c r="AH419" s="2136">
        <f>K419-'Blocking-Step2'!K419</f>
        <v>0</v>
      </c>
      <c r="AJ419" s="2136">
        <f>M419-'Blocking-Step2'!M419</f>
        <v>0</v>
      </c>
      <c r="AL419" s="2136">
        <f>O419-'Blocking-Step2'!O419</f>
        <v>0</v>
      </c>
      <c r="AN419" s="2137">
        <f>Q419-'Blocking-Step2'!Q419</f>
        <v>0</v>
      </c>
      <c r="AP419" s="2127">
        <f>S419-'Blocking-Step2'!S419</f>
        <v>0</v>
      </c>
      <c r="AR419" s="2127">
        <f>U419-'Blocking-Step2'!U419</f>
        <v>0</v>
      </c>
      <c r="AT419" s="2127">
        <f>W419-'Blocking-Step2'!W419</f>
        <v>0</v>
      </c>
      <c r="AV419" s="2128">
        <f>Y419-'Blocking-Step2'!Y419</f>
        <v>0</v>
      </c>
    </row>
    <row r="420" spans="1:48" ht="16.5" hidden="1" thickTop="1">
      <c r="A420" s="1116" t="s">
        <v>1298</v>
      </c>
      <c r="C420" s="1105">
        <v>0</v>
      </c>
      <c r="D420" s="1105">
        <v>0</v>
      </c>
      <c r="F420" s="1142">
        <v>54</v>
      </c>
      <c r="G420" s="617"/>
      <c r="H420" s="1146">
        <v>0</v>
      </c>
      <c r="I420" s="1146">
        <v>0</v>
      </c>
      <c r="K420" s="1142">
        <v>54</v>
      </c>
      <c r="L420" s="617"/>
      <c r="M420" s="1142">
        <v>0</v>
      </c>
      <c r="N420" s="617"/>
      <c r="O420" s="1142">
        <v>0</v>
      </c>
      <c r="P420" s="617"/>
      <c r="Q420" s="1142">
        <v>54</v>
      </c>
      <c r="R420" s="617"/>
      <c r="S420" s="1146">
        <v>0</v>
      </c>
      <c r="T420" s="1114"/>
      <c r="U420" s="1146">
        <v>0</v>
      </c>
      <c r="V420" s="1114"/>
      <c r="W420" s="1146">
        <v>0</v>
      </c>
      <c r="X420" s="1114"/>
      <c r="Y420" s="1146">
        <v>0</v>
      </c>
      <c r="Z420" s="2114">
        <f>C420-'Blocking-Step2'!C420</f>
        <v>0</v>
      </c>
      <c r="AA420" s="2114">
        <f>D420-'Blocking-Step2'!D420</f>
        <v>0</v>
      </c>
      <c r="AC420" s="2114">
        <f>F420-'Blocking-Step2'!F420</f>
        <v>0</v>
      </c>
      <c r="AE420" s="2114">
        <f>H420-'Blocking-Step2'!H420</f>
        <v>0</v>
      </c>
      <c r="AF420" s="2114">
        <f>I420-'Blocking-Step2'!I420</f>
        <v>0</v>
      </c>
      <c r="AH420" s="2136">
        <f>K420-'Blocking-Step2'!K420</f>
        <v>0</v>
      </c>
      <c r="AJ420" s="2136">
        <f>M420-'Blocking-Step2'!M420</f>
        <v>0</v>
      </c>
      <c r="AL420" s="2136">
        <f>O420-'Blocking-Step2'!O420</f>
        <v>0</v>
      </c>
      <c r="AN420" s="2137">
        <f>Q420-'Blocking-Step2'!Q420</f>
        <v>0</v>
      </c>
      <c r="AP420" s="2127">
        <f>S420-'Blocking-Step2'!S420</f>
        <v>0</v>
      </c>
      <c r="AR420" s="2127">
        <f>U420-'Blocking-Step2'!U420</f>
        <v>0</v>
      </c>
      <c r="AT420" s="2127">
        <f>W420-'Blocking-Step2'!W420</f>
        <v>0</v>
      </c>
      <c r="AV420" s="2128">
        <f>Y420-'Blocking-Step2'!Y420</f>
        <v>0</v>
      </c>
    </row>
    <row r="421" spans="1:48" ht="16.5" hidden="1" thickTop="1">
      <c r="A421" s="1116" t="s">
        <v>168</v>
      </c>
      <c r="C421" s="1105">
        <v>1329.6670792079208</v>
      </c>
      <c r="D421" s="1105">
        <v>1604</v>
      </c>
      <c r="F421" s="1142">
        <v>4.04</v>
      </c>
      <c r="G421" s="617"/>
      <c r="H421" s="1146">
        <v>5372</v>
      </c>
      <c r="I421" s="1146">
        <v>6480</v>
      </c>
      <c r="K421" s="1142">
        <v>4.03</v>
      </c>
      <c r="L421" s="617"/>
      <c r="M421" s="1142">
        <v>0</v>
      </c>
      <c r="N421" s="617"/>
      <c r="O421" s="1142">
        <v>0</v>
      </c>
      <c r="P421" s="617"/>
      <c r="Q421" s="1142">
        <v>4.03</v>
      </c>
      <c r="R421" s="617"/>
      <c r="S421" s="1146">
        <v>6464</v>
      </c>
      <c r="T421" s="1629"/>
      <c r="U421" s="1146">
        <v>0</v>
      </c>
      <c r="V421" s="1629"/>
      <c r="W421" s="1146">
        <v>0</v>
      </c>
      <c r="X421" s="1629"/>
      <c r="Y421" s="1146">
        <v>6464</v>
      </c>
      <c r="Z421" s="2114">
        <f>C421-'Blocking-Step2'!C421</f>
        <v>0</v>
      </c>
      <c r="AA421" s="2114">
        <f>D421-'Blocking-Step2'!D421</f>
        <v>0</v>
      </c>
      <c r="AC421" s="2114">
        <f>F421-'Blocking-Step2'!F421</f>
        <v>0</v>
      </c>
      <c r="AE421" s="2114">
        <f>H421-'Blocking-Step2'!H421</f>
        <v>0</v>
      </c>
      <c r="AF421" s="2114">
        <f>I421-'Blocking-Step2'!I421</f>
        <v>0</v>
      </c>
      <c r="AH421" s="2136">
        <f>K421-'Blocking-Step2'!K421</f>
        <v>0</v>
      </c>
      <c r="AJ421" s="2136">
        <f>M421-'Blocking-Step2'!M421</f>
        <v>0</v>
      </c>
      <c r="AL421" s="2136">
        <f>O421-'Blocking-Step2'!O421</f>
        <v>0</v>
      </c>
      <c r="AN421" s="2137">
        <f>Q421-'Blocking-Step2'!Q421</f>
        <v>0</v>
      </c>
      <c r="AP421" s="2127">
        <f>S421-'Blocking-Step2'!S421</f>
        <v>0</v>
      </c>
      <c r="AR421" s="2127">
        <f>U421-'Blocking-Step2'!U421</f>
        <v>0</v>
      </c>
      <c r="AT421" s="2127">
        <f>W421-'Blocking-Step2'!W421</f>
        <v>0</v>
      </c>
      <c r="AV421" s="2128">
        <f>Y421-'Blocking-Step2'!Y421</f>
        <v>0</v>
      </c>
    </row>
    <row r="422" spans="1:48" ht="16.5" hidden="1" thickTop="1">
      <c r="A422" s="1116" t="s">
        <v>1645</v>
      </c>
      <c r="C422" s="1105">
        <v>371</v>
      </c>
      <c r="D422" s="1105">
        <v>447</v>
      </c>
      <c r="F422" s="1142"/>
      <c r="G422" s="617"/>
      <c r="H422" s="1146"/>
      <c r="I422" s="1146"/>
      <c r="K422" s="1142">
        <v>0.51</v>
      </c>
      <c r="L422" s="617"/>
      <c r="M422" s="1142">
        <v>12.89</v>
      </c>
      <c r="N422" s="617"/>
      <c r="O422" s="1142">
        <v>0</v>
      </c>
      <c r="P422" s="617"/>
      <c r="Q422" s="1142">
        <v>13.4</v>
      </c>
      <c r="R422" s="617"/>
      <c r="S422" s="1146">
        <v>228</v>
      </c>
      <c r="T422" s="1114"/>
      <c r="U422" s="1146">
        <v>5762</v>
      </c>
      <c r="V422" s="1114"/>
      <c r="W422" s="1146">
        <v>0</v>
      </c>
      <c r="X422" s="1114"/>
      <c r="Y422" s="1146">
        <v>5990</v>
      </c>
      <c r="Z422" s="2114">
        <f>C422-'Blocking-Step2'!C422</f>
        <v>0</v>
      </c>
      <c r="AA422" s="2114">
        <f>D422-'Blocking-Step2'!D422</f>
        <v>0</v>
      </c>
      <c r="AC422" s="2114">
        <f>F422-'Blocking-Step2'!F422</f>
        <v>0</v>
      </c>
      <c r="AE422" s="2114">
        <f>H422-'Blocking-Step2'!H422</f>
        <v>0</v>
      </c>
      <c r="AF422" s="2114">
        <f>I422-'Blocking-Step2'!I422</f>
        <v>0</v>
      </c>
      <c r="AH422" s="2136">
        <f>K422-'Blocking-Step2'!K422</f>
        <v>-5.83</v>
      </c>
      <c r="AJ422" s="2136">
        <f>M422-'Blocking-Step2'!M422</f>
        <v>5.83</v>
      </c>
      <c r="AL422" s="2136">
        <f>O422-'Blocking-Step2'!O422</f>
        <v>0</v>
      </c>
      <c r="AN422" s="2137">
        <f>Q422-'Blocking-Step2'!Q422</f>
        <v>0</v>
      </c>
      <c r="AP422" s="2127">
        <f>S422-'Blocking-Step2'!S422</f>
        <v>-2606</v>
      </c>
      <c r="AR422" s="2127">
        <f>U422-'Blocking-Step2'!U422</f>
        <v>2606</v>
      </c>
      <c r="AT422" s="2127">
        <f>W422-'Blocking-Step2'!W422</f>
        <v>0</v>
      </c>
      <c r="AV422" s="2128">
        <f>Y422-'Blocking-Step2'!Y422</f>
        <v>0</v>
      </c>
    </row>
    <row r="423" spans="1:48" ht="16.5" hidden="1" thickTop="1">
      <c r="A423" s="1116" t="s">
        <v>1646</v>
      </c>
      <c r="C423" s="1105">
        <v>958.66707920792078</v>
      </c>
      <c r="D423" s="1105">
        <v>1156</v>
      </c>
      <c r="F423" s="1142"/>
      <c r="G423" s="617"/>
      <c r="H423" s="1146"/>
      <c r="I423" s="1146"/>
      <c r="K423" s="1142">
        <v>0.45</v>
      </c>
      <c r="L423" s="617"/>
      <c r="M423" s="1142">
        <v>11.41</v>
      </c>
      <c r="N423" s="617"/>
      <c r="O423" s="1142">
        <v>0</v>
      </c>
      <c r="P423" s="617"/>
      <c r="Q423" s="1142">
        <v>11.86</v>
      </c>
      <c r="R423" s="617"/>
      <c r="S423" s="1146">
        <v>520</v>
      </c>
      <c r="T423" s="1114"/>
      <c r="U423" s="1146">
        <v>13190</v>
      </c>
      <c r="V423" s="1114"/>
      <c r="W423" s="1146">
        <v>0</v>
      </c>
      <c r="X423" s="1114"/>
      <c r="Y423" s="1146">
        <v>13710</v>
      </c>
      <c r="Z423" s="2114">
        <f>C423-'Blocking-Step2'!C423</f>
        <v>0</v>
      </c>
      <c r="AA423" s="2114">
        <f>D423-'Blocking-Step2'!D423</f>
        <v>0</v>
      </c>
      <c r="AC423" s="2114">
        <f>F423-'Blocking-Step2'!F423</f>
        <v>0</v>
      </c>
      <c r="AE423" s="2114">
        <f>H423-'Blocking-Step2'!H423</f>
        <v>0</v>
      </c>
      <c r="AF423" s="2114">
        <f>I423-'Blocking-Step2'!I423</f>
        <v>0</v>
      </c>
      <c r="AH423" s="2136">
        <f>K423-'Blocking-Step2'!K423</f>
        <v>-5.16</v>
      </c>
      <c r="AJ423" s="2136">
        <f>M423-'Blocking-Step2'!M423</f>
        <v>5.160000000000001</v>
      </c>
      <c r="AL423" s="2136">
        <f>O423-'Blocking-Step2'!O423</f>
        <v>0</v>
      </c>
      <c r="AN423" s="2137">
        <f>Q423-'Blocking-Step2'!Q423</f>
        <v>0</v>
      </c>
      <c r="AP423" s="2127">
        <f>S423-'Blocking-Step2'!S423</f>
        <v>-5965</v>
      </c>
      <c r="AR423" s="2127">
        <f>U423-'Blocking-Step2'!U423</f>
        <v>5965</v>
      </c>
      <c r="AT423" s="2127">
        <f>W423-'Blocking-Step2'!W423</f>
        <v>0</v>
      </c>
      <c r="AV423" s="2128">
        <f>Y423-'Blocking-Step2'!Y423</f>
        <v>0</v>
      </c>
    </row>
    <row r="424" spans="1:48" ht="16.5" hidden="1" thickTop="1">
      <c r="A424" s="1116" t="s">
        <v>1647</v>
      </c>
      <c r="C424" s="1105">
        <v>34400</v>
      </c>
      <c r="D424" s="1105">
        <v>41490.416709089128</v>
      </c>
      <c r="F424" s="1106"/>
      <c r="G424" s="1921"/>
      <c r="H424" s="1146"/>
      <c r="I424" s="1146"/>
      <c r="K424" s="1106">
        <v>0</v>
      </c>
      <c r="L424" s="1921" t="s">
        <v>495</v>
      </c>
      <c r="M424" s="1106">
        <v>1.6192</v>
      </c>
      <c r="N424" s="1921" t="s">
        <v>495</v>
      </c>
      <c r="O424" s="1106">
        <v>2.305570240802</v>
      </c>
      <c r="P424" s="1921" t="s">
        <v>495</v>
      </c>
      <c r="Q424" s="1106">
        <v>3.9247702408020002</v>
      </c>
      <c r="R424" s="1921" t="s">
        <v>495</v>
      </c>
      <c r="S424" s="1146">
        <v>0</v>
      </c>
      <c r="T424" s="1648"/>
      <c r="U424" s="1146">
        <v>672</v>
      </c>
      <c r="V424" s="1648"/>
      <c r="W424" s="1146">
        <v>957</v>
      </c>
      <c r="X424" s="1648"/>
      <c r="Y424" s="1146">
        <v>1628</v>
      </c>
      <c r="Z424" s="2114">
        <f>C424-'Blocking-Step2'!C424</f>
        <v>0</v>
      </c>
      <c r="AA424" s="2114">
        <f>D424-'Blocking-Step2'!D424</f>
        <v>0</v>
      </c>
      <c r="AC424" s="2114">
        <f>F424-'Blocking-Step2'!F424</f>
        <v>0</v>
      </c>
      <c r="AE424" s="2114">
        <f>H424-'Blocking-Step2'!H424</f>
        <v>0</v>
      </c>
      <c r="AF424" s="2114">
        <f>I424-'Blocking-Step2'!I424</f>
        <v>0</v>
      </c>
      <c r="AH424" s="2136">
        <f>K424-'Blocking-Step2'!K424</f>
        <v>0</v>
      </c>
      <c r="AJ424" s="2136">
        <f>M424-'Blocking-Step2'!M424</f>
        <v>0</v>
      </c>
      <c r="AL424" s="2136">
        <f>O424-'Blocking-Step2'!O424</f>
        <v>0</v>
      </c>
      <c r="AN424" s="2137">
        <f>Q424-'Blocking-Step2'!Q424</f>
        <v>0</v>
      </c>
      <c r="AP424" s="2127">
        <f>S424-'Blocking-Step2'!S424</f>
        <v>0</v>
      </c>
      <c r="AR424" s="2127">
        <f>U424-'Blocking-Step2'!U424</f>
        <v>0</v>
      </c>
      <c r="AT424" s="2127">
        <f>W424-'Blocking-Step2'!W424</f>
        <v>0</v>
      </c>
      <c r="AV424" s="2128">
        <f>Y424-'Blocking-Step2'!Y424</f>
        <v>0</v>
      </c>
    </row>
    <row r="425" spans="1:48" ht="16.5" hidden="1" thickTop="1">
      <c r="A425" s="1116" t="s">
        <v>1648</v>
      </c>
      <c r="C425" s="1105">
        <v>180489.5</v>
      </c>
      <c r="D425" s="1105">
        <v>217693</v>
      </c>
      <c r="F425" s="1106"/>
      <c r="G425" s="1921"/>
      <c r="H425" s="1146"/>
      <c r="I425" s="1146"/>
      <c r="K425" s="1106">
        <v>0</v>
      </c>
      <c r="L425" s="1921" t="s">
        <v>495</v>
      </c>
      <c r="M425" s="1106">
        <v>1.4329000000000001</v>
      </c>
      <c r="N425" s="1921" t="s">
        <v>495</v>
      </c>
      <c r="O425" s="1106">
        <v>2.0403480007099999</v>
      </c>
      <c r="P425" s="1921" t="s">
        <v>495</v>
      </c>
      <c r="Q425" s="1106">
        <v>3.4732480007099999</v>
      </c>
      <c r="R425" s="1921" t="s">
        <v>495</v>
      </c>
      <c r="S425" s="1146">
        <v>0</v>
      </c>
      <c r="T425" s="1648"/>
      <c r="U425" s="1146">
        <v>3119</v>
      </c>
      <c r="V425" s="1648"/>
      <c r="W425" s="1146">
        <v>4442</v>
      </c>
      <c r="X425" s="1648"/>
      <c r="Y425" s="1146">
        <v>7561</v>
      </c>
      <c r="Z425" s="2114">
        <f>C425-'Blocking-Step2'!C425</f>
        <v>0</v>
      </c>
      <c r="AA425" s="2114">
        <f>D425-'Blocking-Step2'!D425</f>
        <v>0</v>
      </c>
      <c r="AC425" s="2114">
        <f>F425-'Blocking-Step2'!F425</f>
        <v>0</v>
      </c>
      <c r="AE425" s="2114">
        <f>H425-'Blocking-Step2'!H425</f>
        <v>0</v>
      </c>
      <c r="AF425" s="2114">
        <f>I425-'Blocking-Step2'!I425</f>
        <v>0</v>
      </c>
      <c r="AH425" s="2136">
        <f>K425-'Blocking-Step2'!K425</f>
        <v>0</v>
      </c>
      <c r="AJ425" s="2136">
        <f>M425-'Blocking-Step2'!M425</f>
        <v>0</v>
      </c>
      <c r="AL425" s="2136">
        <f>O425-'Blocking-Step2'!O425</f>
        <v>0</v>
      </c>
      <c r="AN425" s="2137">
        <f>Q425-'Blocking-Step2'!Q425</f>
        <v>0</v>
      </c>
      <c r="AP425" s="2127">
        <f>S425-'Blocking-Step2'!S425</f>
        <v>0</v>
      </c>
      <c r="AR425" s="2127">
        <f>U425-'Blocking-Step2'!U425</f>
        <v>0</v>
      </c>
      <c r="AT425" s="2127">
        <f>W425-'Blocking-Step2'!W425</f>
        <v>0</v>
      </c>
      <c r="AV425" s="2128">
        <f>Y425-'Blocking-Step2'!Y425</f>
        <v>0</v>
      </c>
    </row>
    <row r="426" spans="1:48" ht="16.5" hidden="1" thickTop="1">
      <c r="A426" s="1116" t="s">
        <v>196</v>
      </c>
      <c r="C426" s="1105">
        <v>493.69099513980711</v>
      </c>
      <c r="D426" s="1105">
        <v>595</v>
      </c>
      <c r="F426" s="1142">
        <v>14.62</v>
      </c>
      <c r="G426" s="617"/>
      <c r="H426" s="1146">
        <v>7218</v>
      </c>
      <c r="I426" s="1146">
        <v>8699</v>
      </c>
      <c r="K426" s="1142"/>
      <c r="L426" s="617"/>
      <c r="M426" s="1142"/>
      <c r="N426" s="617"/>
      <c r="O426" s="1142"/>
      <c r="P426" s="617"/>
      <c r="Q426" s="1142"/>
      <c r="R426" s="617"/>
      <c r="S426" s="1146"/>
      <c r="T426" s="1629"/>
      <c r="U426" s="1146"/>
      <c r="V426" s="1629"/>
      <c r="W426" s="1146"/>
      <c r="X426" s="1629"/>
      <c r="Y426" s="1146"/>
      <c r="Z426" s="2114">
        <f>C426-'Blocking-Step2'!C426</f>
        <v>0</v>
      </c>
      <c r="AA426" s="2114">
        <f>D426-'Blocking-Step2'!D426</f>
        <v>0</v>
      </c>
      <c r="AC426" s="2114">
        <f>F426-'Blocking-Step2'!F426</f>
        <v>0</v>
      </c>
      <c r="AE426" s="2114">
        <f>H426-'Blocking-Step2'!H426</f>
        <v>0</v>
      </c>
      <c r="AF426" s="2114">
        <f>I426-'Blocking-Step2'!I426</f>
        <v>0</v>
      </c>
      <c r="AH426" s="2136">
        <f>K426-'Blocking-Step2'!K426</f>
        <v>0</v>
      </c>
      <c r="AJ426" s="2136">
        <f>M426-'Blocking-Step2'!M426</f>
        <v>0</v>
      </c>
      <c r="AL426" s="2136">
        <f>O426-'Blocking-Step2'!O426</f>
        <v>0</v>
      </c>
      <c r="AN426" s="2137">
        <f>Q426-'Blocking-Step2'!Q426</f>
        <v>0</v>
      </c>
      <c r="AP426" s="2127">
        <f>S426-'Blocking-Step2'!S426</f>
        <v>0</v>
      </c>
      <c r="AR426" s="2127">
        <f>U426-'Blocking-Step2'!U426</f>
        <v>0</v>
      </c>
      <c r="AT426" s="2127">
        <f>W426-'Blocking-Step2'!W426</f>
        <v>0</v>
      </c>
      <c r="AV426" s="2128">
        <f>Y426-'Blocking-Step2'!Y426</f>
        <v>0</v>
      </c>
    </row>
    <row r="427" spans="1:48" ht="16.5" hidden="1" thickTop="1">
      <c r="A427" s="1116" t="s">
        <v>161</v>
      </c>
      <c r="C427" s="1105">
        <v>835.97608406811366</v>
      </c>
      <c r="D427" s="1105">
        <v>1008</v>
      </c>
      <c r="F427" s="1142">
        <v>10.91</v>
      </c>
      <c r="G427" s="617"/>
      <c r="H427" s="1146">
        <v>9120</v>
      </c>
      <c r="I427" s="1146">
        <v>10997</v>
      </c>
      <c r="K427" s="1142"/>
      <c r="L427" s="617"/>
      <c r="M427" s="1142"/>
      <c r="N427" s="617"/>
      <c r="O427" s="1142"/>
      <c r="P427" s="617"/>
      <c r="Q427" s="1142"/>
      <c r="R427" s="617"/>
      <c r="S427" s="1146"/>
      <c r="T427" s="1629"/>
      <c r="U427" s="1146"/>
      <c r="V427" s="1629"/>
      <c r="W427" s="1146"/>
      <c r="X427" s="1629"/>
      <c r="Y427" s="1146"/>
      <c r="Z427" s="2114">
        <f>C427-'Blocking-Step2'!C427</f>
        <v>0</v>
      </c>
      <c r="AA427" s="2114">
        <f>D427-'Blocking-Step2'!D427</f>
        <v>0</v>
      </c>
      <c r="AC427" s="2114">
        <f>F427-'Blocking-Step2'!F427</f>
        <v>0</v>
      </c>
      <c r="AE427" s="2114">
        <f>H427-'Blocking-Step2'!H427</f>
        <v>0</v>
      </c>
      <c r="AF427" s="2114">
        <f>I427-'Blocking-Step2'!I427</f>
        <v>0</v>
      </c>
      <c r="AH427" s="2136">
        <f>K427-'Blocking-Step2'!K427</f>
        <v>0</v>
      </c>
      <c r="AJ427" s="2136">
        <f>M427-'Blocking-Step2'!M427</f>
        <v>0</v>
      </c>
      <c r="AL427" s="2136">
        <f>O427-'Blocking-Step2'!O427</f>
        <v>0</v>
      </c>
      <c r="AN427" s="2137">
        <f>Q427-'Blocking-Step2'!Q427</f>
        <v>0</v>
      </c>
      <c r="AP427" s="2127">
        <f>S427-'Blocking-Step2'!S427</f>
        <v>0</v>
      </c>
      <c r="AR427" s="2127">
        <f>U427-'Blocking-Step2'!U427</f>
        <v>0</v>
      </c>
      <c r="AT427" s="2127">
        <f>W427-'Blocking-Step2'!W427</f>
        <v>0</v>
      </c>
      <c r="AV427" s="2128">
        <f>Y427-'Blocking-Step2'!Y427</f>
        <v>0</v>
      </c>
    </row>
    <row r="428" spans="1:48" ht="16.5" hidden="1" thickTop="1">
      <c r="A428" s="1116" t="s">
        <v>261</v>
      </c>
      <c r="C428" s="1105">
        <v>0</v>
      </c>
      <c r="D428" s="1105">
        <v>0</v>
      </c>
      <c r="F428" s="1142">
        <v>-0.96</v>
      </c>
      <c r="G428" s="617"/>
      <c r="H428" s="1146">
        <v>0</v>
      </c>
      <c r="I428" s="1146">
        <v>0</v>
      </c>
      <c r="K428" s="1142">
        <v>-0.96</v>
      </c>
      <c r="L428" s="617"/>
      <c r="M428" s="1142">
        <v>0</v>
      </c>
      <c r="N428" s="617"/>
      <c r="O428" s="1142">
        <v>0</v>
      </c>
      <c r="P428" s="617"/>
      <c r="Q428" s="1142">
        <v>-0.96</v>
      </c>
      <c r="R428" s="617"/>
      <c r="S428" s="1146">
        <v>0</v>
      </c>
      <c r="T428" s="1629"/>
      <c r="U428" s="1146">
        <v>0</v>
      </c>
      <c r="V428" s="1629"/>
      <c r="W428" s="1146">
        <v>0</v>
      </c>
      <c r="X428" s="1629"/>
      <c r="Y428" s="1146">
        <v>0</v>
      </c>
      <c r="Z428" s="2114">
        <f>C428-'Blocking-Step2'!C428</f>
        <v>0</v>
      </c>
      <c r="AA428" s="2114">
        <f>D428-'Blocking-Step2'!D428</f>
        <v>0</v>
      </c>
      <c r="AC428" s="2114">
        <f>F428-'Blocking-Step2'!F428</f>
        <v>0</v>
      </c>
      <c r="AE428" s="2114">
        <f>H428-'Blocking-Step2'!H428</f>
        <v>0</v>
      </c>
      <c r="AF428" s="2114">
        <f>I428-'Blocking-Step2'!I428</f>
        <v>0</v>
      </c>
      <c r="AH428" s="2136">
        <f>K428-'Blocking-Step2'!K428</f>
        <v>0</v>
      </c>
      <c r="AJ428" s="2136">
        <f>M428-'Blocking-Step2'!M428</f>
        <v>0</v>
      </c>
      <c r="AL428" s="2136">
        <f>O428-'Blocking-Step2'!O428</f>
        <v>0</v>
      </c>
      <c r="AN428" s="2137">
        <f>Q428-'Blocking-Step2'!Q428</f>
        <v>0</v>
      </c>
      <c r="AP428" s="2127">
        <f>S428-'Blocking-Step2'!S428</f>
        <v>0</v>
      </c>
      <c r="AR428" s="2127">
        <f>U428-'Blocking-Step2'!U428</f>
        <v>0</v>
      </c>
      <c r="AT428" s="2127">
        <f>W428-'Blocking-Step2'!W428</f>
        <v>0</v>
      </c>
      <c r="AV428" s="2128">
        <f>Y428-'Blocking-Step2'!Y428</f>
        <v>0</v>
      </c>
    </row>
    <row r="429" spans="1:48" ht="16.5" hidden="1" thickTop="1">
      <c r="A429" s="1116" t="s">
        <v>1362</v>
      </c>
      <c r="C429" s="1105">
        <v>96272.600187557677</v>
      </c>
      <c r="D429" s="1105">
        <v>116117</v>
      </c>
      <c r="F429" s="1106">
        <v>3.8127</v>
      </c>
      <c r="G429" s="1921" t="s">
        <v>495</v>
      </c>
      <c r="H429" s="1146">
        <v>3671</v>
      </c>
      <c r="I429" s="1146">
        <v>4427</v>
      </c>
      <c r="K429" s="1106"/>
      <c r="L429" s="1921"/>
      <c r="M429" s="1106"/>
      <c r="N429" s="1921"/>
      <c r="O429" s="1106"/>
      <c r="P429" s="1921"/>
      <c r="Q429" s="1106"/>
      <c r="R429" s="1921"/>
      <c r="S429" s="1648"/>
      <c r="T429" s="1648"/>
      <c r="U429" s="1648"/>
      <c r="V429" s="1648"/>
      <c r="W429" s="1648"/>
      <c r="X429" s="1648"/>
      <c r="Y429" s="1146"/>
      <c r="Z429" s="2114">
        <f>C429-'Blocking-Step2'!C429</f>
        <v>0</v>
      </c>
      <c r="AA429" s="2114">
        <f>D429-'Blocking-Step2'!D429</f>
        <v>0</v>
      </c>
      <c r="AC429" s="2114">
        <f>F429-'Blocking-Step2'!F429</f>
        <v>0</v>
      </c>
      <c r="AE429" s="2114">
        <f>H429-'Blocking-Step2'!H429</f>
        <v>0</v>
      </c>
      <c r="AF429" s="2114">
        <f>I429-'Blocking-Step2'!I429</f>
        <v>0</v>
      </c>
      <c r="AH429" s="2136">
        <f>K429-'Blocking-Step2'!K429</f>
        <v>0</v>
      </c>
      <c r="AJ429" s="2136">
        <f>M429-'Blocking-Step2'!M429</f>
        <v>0</v>
      </c>
      <c r="AL429" s="2136">
        <f>O429-'Blocking-Step2'!O429</f>
        <v>0</v>
      </c>
      <c r="AN429" s="2137">
        <f>Q429-'Blocking-Step2'!Q429</f>
        <v>0</v>
      </c>
      <c r="AP429" s="2127">
        <f>S429-'Blocking-Step2'!S429</f>
        <v>0</v>
      </c>
      <c r="AR429" s="2127">
        <f>U429-'Blocking-Step2'!U429</f>
        <v>0</v>
      </c>
      <c r="AT429" s="2127">
        <f>W429-'Blocking-Step2'!W429</f>
        <v>0</v>
      </c>
      <c r="AV429" s="2128">
        <f>Y429-'Blocking-Step2'!Y429</f>
        <v>0</v>
      </c>
    </row>
    <row r="430" spans="1:48" ht="16.5" hidden="1" thickTop="1">
      <c r="A430" s="1116" t="s">
        <v>1363</v>
      </c>
      <c r="C430" s="1105">
        <v>118616.89981244232</v>
      </c>
      <c r="D430" s="1105">
        <v>143066.41670908913</v>
      </c>
      <c r="F430" s="1106">
        <v>3.5143</v>
      </c>
      <c r="G430" s="1921" t="s">
        <v>495</v>
      </c>
      <c r="H430" s="1146">
        <v>4169</v>
      </c>
      <c r="I430" s="1146">
        <v>5028</v>
      </c>
      <c r="K430" s="1106"/>
      <c r="L430" s="1921"/>
      <c r="M430" s="1106"/>
      <c r="N430" s="1921"/>
      <c r="O430" s="1106"/>
      <c r="P430" s="1921"/>
      <c r="Q430" s="1106"/>
      <c r="R430" s="1921"/>
      <c r="S430" s="1648"/>
      <c r="T430" s="1648"/>
      <c r="U430" s="1648"/>
      <c r="V430" s="1648"/>
      <c r="W430" s="1648"/>
      <c r="X430" s="1648"/>
      <c r="Y430" s="1146"/>
      <c r="Z430" s="2114">
        <f>C430-'Blocking-Step2'!C430</f>
        <v>0</v>
      </c>
      <c r="AA430" s="2114">
        <f>D430-'Blocking-Step2'!D430</f>
        <v>0</v>
      </c>
      <c r="AC430" s="2114">
        <f>F430-'Blocking-Step2'!F430</f>
        <v>0</v>
      </c>
      <c r="AE430" s="2114">
        <f>H430-'Blocking-Step2'!H430</f>
        <v>0</v>
      </c>
      <c r="AF430" s="2114">
        <f>I430-'Blocking-Step2'!I430</f>
        <v>0</v>
      </c>
      <c r="AH430" s="2136">
        <f>K430-'Blocking-Step2'!K430</f>
        <v>0</v>
      </c>
      <c r="AJ430" s="2136">
        <f>M430-'Blocking-Step2'!M430</f>
        <v>0</v>
      </c>
      <c r="AL430" s="2136">
        <f>O430-'Blocking-Step2'!O430</f>
        <v>0</v>
      </c>
      <c r="AN430" s="2137">
        <f>Q430-'Blocking-Step2'!Q430</f>
        <v>0</v>
      </c>
      <c r="AP430" s="2127">
        <f>S430-'Blocking-Step2'!S430</f>
        <v>0</v>
      </c>
      <c r="AR430" s="2127">
        <f>U430-'Blocking-Step2'!U430</f>
        <v>0</v>
      </c>
      <c r="AT430" s="2127">
        <f>W430-'Blocking-Step2'!W430</f>
        <v>0</v>
      </c>
      <c r="AV430" s="2128">
        <f>Y430-'Blocking-Step2'!Y430</f>
        <v>0</v>
      </c>
    </row>
    <row r="431" spans="1:48" ht="16.5" hidden="1" thickTop="1">
      <c r="A431" s="1116" t="s">
        <v>246</v>
      </c>
      <c r="C431" s="1940">
        <v>0</v>
      </c>
      <c r="D431" s="1940">
        <v>0</v>
      </c>
      <c r="H431" s="1147">
        <v>0</v>
      </c>
      <c r="I431" s="1147">
        <v>0</v>
      </c>
      <c r="Y431" s="1147"/>
      <c r="Z431" s="2114">
        <f>C431-'Blocking-Step2'!C431</f>
        <v>0</v>
      </c>
      <c r="AA431" s="2114">
        <f>D431-'Blocking-Step2'!D431</f>
        <v>0</v>
      </c>
      <c r="AC431" s="2114">
        <f>F431-'Blocking-Step2'!F431</f>
        <v>0</v>
      </c>
      <c r="AE431" s="2114">
        <f>H431-'Blocking-Step2'!H431</f>
        <v>0</v>
      </c>
      <c r="AF431" s="2114">
        <f>I431-'Blocking-Step2'!I431</f>
        <v>0</v>
      </c>
      <c r="AH431" s="2136">
        <f>K431-'Blocking-Step2'!K431</f>
        <v>0</v>
      </c>
      <c r="AJ431" s="2136">
        <f>M431-'Blocking-Step2'!M431</f>
        <v>0</v>
      </c>
      <c r="AL431" s="2136">
        <f>O431-'Blocking-Step2'!O431</f>
        <v>0</v>
      </c>
      <c r="AN431" s="2137">
        <f>Q431-'Blocking-Step2'!Q431</f>
        <v>0</v>
      </c>
      <c r="AP431" s="2127">
        <f>S431-'Blocking-Step2'!S431</f>
        <v>0</v>
      </c>
      <c r="AR431" s="2127">
        <f>U431-'Blocking-Step2'!U431</f>
        <v>0</v>
      </c>
      <c r="AT431" s="2127">
        <f>W431-'Blocking-Step2'!W431</f>
        <v>0</v>
      </c>
      <c r="AV431" s="2128">
        <f>Y431-'Blocking-Step2'!Y431</f>
        <v>0</v>
      </c>
    </row>
    <row r="432" spans="1:48" ht="16.5" hidden="1" thickTop="1">
      <c r="A432" s="1116" t="s">
        <v>1240</v>
      </c>
      <c r="C432" s="1024"/>
      <c r="D432" s="1024"/>
      <c r="F432" s="2076">
        <v>-3.61E-2</v>
      </c>
      <c r="G432" s="617"/>
      <c r="H432" s="1146">
        <v>-872.82579999999996</v>
      </c>
      <c r="I432" s="1146">
        <v>-1052.3511000000001</v>
      </c>
      <c r="K432" s="2076"/>
      <c r="L432" s="617"/>
      <c r="M432" s="2076"/>
      <c r="N432" s="617"/>
      <c r="O432" s="2077" t="s">
        <v>2323</v>
      </c>
      <c r="P432" s="617"/>
      <c r="Q432" s="2076">
        <v>-2.76E-2</v>
      </c>
      <c r="R432" s="617"/>
      <c r="S432" s="1114"/>
      <c r="T432" s="1114"/>
      <c r="U432" s="1114"/>
      <c r="V432" s="1114"/>
      <c r="W432" s="1114"/>
      <c r="X432" s="1114"/>
      <c r="Y432" s="1146">
        <v>-797.33640000000003</v>
      </c>
      <c r="Z432" s="2114">
        <f>C432-'Blocking-Step2'!C432</f>
        <v>0</v>
      </c>
      <c r="AA432" s="2114">
        <f>D432-'Blocking-Step2'!D432</f>
        <v>0</v>
      </c>
      <c r="AC432" s="2114">
        <f>F432-'Blocking-Step2'!F432</f>
        <v>0</v>
      </c>
      <c r="AE432" s="2114">
        <f>H432-'Blocking-Step2'!H432</f>
        <v>0</v>
      </c>
      <c r="AF432" s="2114">
        <f>I432-'Blocking-Step2'!I432</f>
        <v>0</v>
      </c>
      <c r="AH432" s="2136">
        <f>K432-'Blocking-Step2'!K432</f>
        <v>0</v>
      </c>
      <c r="AJ432" s="2136">
        <f>M432-'Blocking-Step2'!M432</f>
        <v>0</v>
      </c>
      <c r="AL432" s="2136" t="e">
        <f>O432-'Blocking-Step2'!O432</f>
        <v>#VALUE!</v>
      </c>
      <c r="AN432" s="2137">
        <f>Q432-'Blocking-Step2'!Q432</f>
        <v>0</v>
      </c>
      <c r="AP432" s="2127">
        <f>S432-'Blocking-Step2'!S432</f>
        <v>0</v>
      </c>
      <c r="AR432" s="2127">
        <f>U432-'Blocking-Step2'!U432</f>
        <v>0</v>
      </c>
      <c r="AT432" s="2127">
        <f>W432-'Blocking-Step2'!W432</f>
        <v>0</v>
      </c>
      <c r="AV432" s="2128">
        <f>Y432-'Blocking-Step2'!Y432</f>
        <v>0</v>
      </c>
    </row>
    <row r="433" spans="1:48" ht="16.5" hidden="1" thickTop="1">
      <c r="A433" s="1116"/>
      <c r="C433" s="1024"/>
      <c r="D433" s="1024"/>
      <c r="F433" s="2076"/>
      <c r="G433" s="617"/>
      <c r="H433" s="1146"/>
      <c r="I433" s="1146"/>
      <c r="K433" s="2076"/>
      <c r="L433" s="617"/>
      <c r="M433" s="2076"/>
      <c r="N433" s="617"/>
      <c r="O433" s="2077" t="s">
        <v>2324</v>
      </c>
      <c r="P433" s="617"/>
      <c r="Q433" s="2076">
        <v>-1.4999999999999999E-2</v>
      </c>
      <c r="R433" s="617"/>
      <c r="S433" s="1114"/>
      <c r="T433" s="1114"/>
      <c r="U433" s="1114"/>
      <c r="V433" s="1114"/>
      <c r="W433" s="1114"/>
      <c r="X433" s="1114"/>
      <c r="Y433" s="1146">
        <v>-433.33499999999998</v>
      </c>
      <c r="Z433" s="2114">
        <f>C433-'Blocking-Step2'!C433</f>
        <v>0</v>
      </c>
      <c r="AA433" s="2114">
        <f>D433-'Blocking-Step2'!D433</f>
        <v>0</v>
      </c>
      <c r="AC433" s="2114">
        <f>F433-'Blocking-Step2'!F433</f>
        <v>0</v>
      </c>
      <c r="AE433" s="2114">
        <f>H433-'Blocking-Step2'!H433</f>
        <v>0</v>
      </c>
      <c r="AF433" s="2114">
        <f>I433-'Blocking-Step2'!I433</f>
        <v>0</v>
      </c>
      <c r="AH433" s="2136">
        <f>K433-'Blocking-Step2'!K433</f>
        <v>0</v>
      </c>
      <c r="AJ433" s="2136">
        <f>M433-'Blocking-Step2'!M433</f>
        <v>0</v>
      </c>
      <c r="AL433" s="2136" t="e">
        <f>O433-'Blocking-Step2'!O433</f>
        <v>#VALUE!</v>
      </c>
      <c r="AN433" s="2137">
        <f>Q433-'Blocking-Step2'!Q433</f>
        <v>0</v>
      </c>
      <c r="AP433" s="2127">
        <f>S433-'Blocking-Step2'!S433</f>
        <v>0</v>
      </c>
      <c r="AR433" s="2127">
        <f>U433-'Blocking-Step2'!U433</f>
        <v>0</v>
      </c>
      <c r="AT433" s="2127">
        <f>W433-'Blocking-Step2'!W433</f>
        <v>0</v>
      </c>
      <c r="AV433" s="2128">
        <f>Y433-'Blocking-Step2'!Y433</f>
        <v>0</v>
      </c>
    </row>
    <row r="434" spans="1:48" ht="17.25" hidden="1" thickTop="1" thickBot="1">
      <c r="A434" s="1116" t="s">
        <v>247</v>
      </c>
      <c r="C434" s="1138">
        <v>214889.5</v>
      </c>
      <c r="D434" s="1138">
        <v>259183.41670908913</v>
      </c>
      <c r="F434" s="1145"/>
      <c r="H434" s="1149">
        <v>30698.174200000001</v>
      </c>
      <c r="I434" s="1149">
        <v>37180.6489</v>
      </c>
      <c r="K434" s="1145"/>
      <c r="M434" s="1145"/>
      <c r="O434" s="1145"/>
      <c r="Q434" s="1145"/>
      <c r="S434" s="1149">
        <v>9814</v>
      </c>
      <c r="U434" s="1149">
        <v>22743</v>
      </c>
      <c r="W434" s="1149">
        <v>5399</v>
      </c>
      <c r="Y434" s="1149">
        <v>37955</v>
      </c>
      <c r="Z434" s="2114">
        <f>C434-'Blocking-Step2'!C434</f>
        <v>0</v>
      </c>
      <c r="AA434" s="2114">
        <f>D434-'Blocking-Step2'!D434</f>
        <v>0</v>
      </c>
      <c r="AC434" s="2114">
        <f>F434-'Blocking-Step2'!F434</f>
        <v>0</v>
      </c>
      <c r="AE434" s="2114">
        <f>H434-'Blocking-Step2'!H434</f>
        <v>0</v>
      </c>
      <c r="AF434" s="2114">
        <f>I434-'Blocking-Step2'!I434</f>
        <v>0</v>
      </c>
      <c r="AH434" s="2136">
        <f>K434-'Blocking-Step2'!K434</f>
        <v>0</v>
      </c>
      <c r="AJ434" s="2136">
        <f>M434-'Blocking-Step2'!M434</f>
        <v>0</v>
      </c>
      <c r="AL434" s="2136">
        <f>O434-'Blocking-Step2'!O434</f>
        <v>0</v>
      </c>
      <c r="AN434" s="2137">
        <f>Q434-'Blocking-Step2'!Q434</f>
        <v>0</v>
      </c>
      <c r="AP434" s="2127">
        <f>S434-'Blocking-Step2'!S434</f>
        <v>-8571</v>
      </c>
      <c r="AR434" s="2127">
        <f>U434-'Blocking-Step2'!U434</f>
        <v>8571</v>
      </c>
      <c r="AT434" s="2127">
        <f>W434-'Blocking-Step2'!W434</f>
        <v>0</v>
      </c>
      <c r="AV434" s="2128">
        <f>Y434-'Blocking-Step2'!Y434</f>
        <v>0</v>
      </c>
    </row>
    <row r="435" spans="1:48" ht="16.5" hidden="1" thickTop="1">
      <c r="Z435" s="2114">
        <f>C435-'Blocking-Step2'!C435</f>
        <v>0</v>
      </c>
      <c r="AA435" s="2114">
        <f>D435-'Blocking-Step2'!D435</f>
        <v>0</v>
      </c>
      <c r="AC435" s="2114">
        <f>F435-'Blocking-Step2'!F435</f>
        <v>0</v>
      </c>
      <c r="AE435" s="2114">
        <f>H435-'Blocking-Step2'!H435</f>
        <v>0</v>
      </c>
      <c r="AF435" s="2114">
        <f>I435-'Blocking-Step2'!I435</f>
        <v>0</v>
      </c>
      <c r="AH435" s="2136">
        <f>K435-'Blocking-Step2'!K435</f>
        <v>0</v>
      </c>
      <c r="AJ435" s="2136">
        <f>M435-'Blocking-Step2'!M435</f>
        <v>0</v>
      </c>
      <c r="AL435" s="2136">
        <f>O435-'Blocking-Step2'!O435</f>
        <v>0</v>
      </c>
      <c r="AN435" s="2137">
        <f>Q435-'Blocking-Step2'!Q435</f>
        <v>0</v>
      </c>
      <c r="AP435" s="2127">
        <f>S435-'Blocking-Step2'!S435</f>
        <v>0</v>
      </c>
      <c r="AR435" s="2127">
        <f>U435-'Blocking-Step2'!U435</f>
        <v>0</v>
      </c>
      <c r="AT435" s="2127">
        <f>W435-'Blocking-Step2'!W435</f>
        <v>0</v>
      </c>
      <c r="AV435" s="2128">
        <f>Y435-'Blocking-Step2'!Y435</f>
        <v>0</v>
      </c>
    </row>
    <row r="436" spans="1:48" ht="16.5" hidden="1" thickTop="1">
      <c r="A436" s="1115" t="s">
        <v>1920</v>
      </c>
      <c r="C436" s="1105"/>
      <c r="D436" s="1105"/>
      <c r="Z436" s="2114">
        <f>C436-'Blocking-Step2'!C436</f>
        <v>0</v>
      </c>
      <c r="AA436" s="2114">
        <f>D436-'Blocking-Step2'!D436</f>
        <v>0</v>
      </c>
      <c r="AC436" s="2114">
        <f>F436-'Blocking-Step2'!F436</f>
        <v>0</v>
      </c>
      <c r="AE436" s="2114">
        <f>H436-'Blocking-Step2'!H436</f>
        <v>0</v>
      </c>
      <c r="AF436" s="2114">
        <f>I436-'Blocking-Step2'!I436</f>
        <v>0</v>
      </c>
      <c r="AH436" s="2136">
        <f>K436-'Blocking-Step2'!K436</f>
        <v>0</v>
      </c>
      <c r="AJ436" s="2136">
        <f>M436-'Blocking-Step2'!M436</f>
        <v>0</v>
      </c>
      <c r="AL436" s="2136">
        <f>O436-'Blocking-Step2'!O436</f>
        <v>0</v>
      </c>
      <c r="AN436" s="2137">
        <f>Q436-'Blocking-Step2'!Q436</f>
        <v>0</v>
      </c>
      <c r="AP436" s="2127">
        <f>S436-'Blocking-Step2'!S436</f>
        <v>0</v>
      </c>
      <c r="AR436" s="2127">
        <f>U436-'Blocking-Step2'!U436</f>
        <v>0</v>
      </c>
      <c r="AT436" s="2127">
        <f>W436-'Blocking-Step2'!W436</f>
        <v>0</v>
      </c>
      <c r="AV436" s="2128">
        <f>Y436-'Blocking-Step2'!Y436</f>
        <v>0</v>
      </c>
    </row>
    <row r="437" spans="1:48" ht="16.5" hidden="1" thickTop="1">
      <c r="A437" s="1116" t="s">
        <v>240</v>
      </c>
      <c r="C437" s="1105">
        <v>412.38333333333333</v>
      </c>
      <c r="D437" s="1105">
        <v>520.77474317213728</v>
      </c>
      <c r="F437" s="1907"/>
      <c r="G437" s="1110"/>
      <c r="H437" s="1146"/>
      <c r="I437" s="1146"/>
      <c r="K437" s="1907">
        <v>54</v>
      </c>
      <c r="L437" s="1110"/>
      <c r="M437" s="1907">
        <v>0</v>
      </c>
      <c r="N437" s="1110"/>
      <c r="O437" s="1907">
        <v>0</v>
      </c>
      <c r="P437" s="1110"/>
      <c r="Q437" s="1907">
        <v>54</v>
      </c>
      <c r="R437" s="1110"/>
      <c r="S437" s="1146">
        <v>28122</v>
      </c>
      <c r="T437" s="1629"/>
      <c r="U437" s="1146">
        <v>0</v>
      </c>
      <c r="V437" s="1629"/>
      <c r="W437" s="1146">
        <v>0</v>
      </c>
      <c r="X437" s="1629"/>
      <c r="Y437" s="1146">
        <v>28122</v>
      </c>
      <c r="Z437" s="2114">
        <f>C437-'Blocking-Step2'!C437</f>
        <v>0</v>
      </c>
      <c r="AA437" s="2114">
        <f>D437-'Blocking-Step2'!D437</f>
        <v>0</v>
      </c>
      <c r="AC437" s="2114">
        <f>F437-'Blocking-Step2'!F437</f>
        <v>0</v>
      </c>
      <c r="AE437" s="2114">
        <f>H437-'Blocking-Step2'!H437</f>
        <v>0</v>
      </c>
      <c r="AF437" s="2114">
        <f>I437-'Blocking-Step2'!I437</f>
        <v>0</v>
      </c>
      <c r="AH437" s="2136">
        <f>K437-'Blocking-Step2'!K437</f>
        <v>0</v>
      </c>
      <c r="AJ437" s="2136">
        <f>M437-'Blocking-Step2'!M437</f>
        <v>0</v>
      </c>
      <c r="AL437" s="2136">
        <f>O437-'Blocking-Step2'!O437</f>
        <v>0</v>
      </c>
      <c r="AN437" s="2137">
        <f>Q437-'Blocking-Step2'!Q437</f>
        <v>0</v>
      </c>
      <c r="AP437" s="2127">
        <f>S437-'Blocking-Step2'!S437</f>
        <v>0</v>
      </c>
      <c r="AR437" s="2127">
        <f>U437-'Blocking-Step2'!U437</f>
        <v>0</v>
      </c>
      <c r="AT437" s="2127">
        <f>W437-'Blocking-Step2'!W437</f>
        <v>0</v>
      </c>
      <c r="AV437" s="2128">
        <f>Y437-'Blocking-Step2'!Y437</f>
        <v>0</v>
      </c>
    </row>
    <row r="438" spans="1:48" ht="16.5" hidden="1" thickTop="1">
      <c r="A438" s="1116" t="s">
        <v>1910</v>
      </c>
      <c r="C438" s="1105">
        <v>471759</v>
      </c>
      <c r="D438" s="1105">
        <v>568999.92546524224</v>
      </c>
      <c r="E438" s="617"/>
      <c r="F438" s="1143"/>
      <c r="G438" s="1921"/>
      <c r="H438" s="1146"/>
      <c r="I438" s="1146"/>
      <c r="J438" s="617"/>
      <c r="K438" s="1143">
        <v>1.657</v>
      </c>
      <c r="L438" s="1921" t="s">
        <v>495</v>
      </c>
      <c r="M438" s="1143">
        <v>19.370528114911814</v>
      </c>
      <c r="N438" s="1921" t="s">
        <v>495</v>
      </c>
      <c r="O438" s="1143">
        <v>1.3496999999999999</v>
      </c>
      <c r="P438" s="1921" t="s">
        <v>495</v>
      </c>
      <c r="Q438" s="1143">
        <v>22.377228114911812</v>
      </c>
      <c r="R438" s="1921" t="s">
        <v>495</v>
      </c>
      <c r="S438" s="1146">
        <v>9428</v>
      </c>
      <c r="T438" s="1648"/>
      <c r="U438" s="1146">
        <v>110218</v>
      </c>
      <c r="V438" s="1648"/>
      <c r="W438" s="1146">
        <v>7680</v>
      </c>
      <c r="X438" s="1648"/>
      <c r="Y438" s="1146">
        <v>127326</v>
      </c>
      <c r="Z438" s="2114">
        <f>C438-'Blocking-Step2'!C438</f>
        <v>0</v>
      </c>
      <c r="AA438" s="2114">
        <f>D438-'Blocking-Step2'!D438</f>
        <v>0</v>
      </c>
      <c r="AC438" s="2114">
        <f>F438-'Blocking-Step2'!F438</f>
        <v>0</v>
      </c>
      <c r="AE438" s="2114">
        <f>H438-'Blocking-Step2'!H438</f>
        <v>0</v>
      </c>
      <c r="AF438" s="2114">
        <f>I438-'Blocking-Step2'!I438</f>
        <v>0</v>
      </c>
      <c r="AH438" s="2136">
        <f>K438-'Blocking-Step2'!K438</f>
        <v>-2.2955000000000001</v>
      </c>
      <c r="AJ438" s="2136">
        <f>M438-'Blocking-Step2'!M438</f>
        <v>2.2955000000000005</v>
      </c>
      <c r="AL438" s="2136">
        <f>O438-'Blocking-Step2'!O438</f>
        <v>0</v>
      </c>
      <c r="AN438" s="2137">
        <f>Q438-'Blocking-Step2'!Q438</f>
        <v>0</v>
      </c>
      <c r="AP438" s="2127">
        <f>S438-'Blocking-Step2'!S438</f>
        <v>-13062</v>
      </c>
      <c r="AR438" s="2127">
        <f>U438-'Blocking-Step2'!U438</f>
        <v>13061</v>
      </c>
      <c r="AT438" s="2127">
        <f>W438-'Blocking-Step2'!W438</f>
        <v>0</v>
      </c>
      <c r="AV438" s="2128">
        <f>Y438-'Blocking-Step2'!Y438</f>
        <v>0</v>
      </c>
    </row>
    <row r="439" spans="1:48" ht="16.5" hidden="1" thickTop="1">
      <c r="A439" s="1116" t="s">
        <v>1911</v>
      </c>
      <c r="C439" s="1105">
        <v>1131389</v>
      </c>
      <c r="D439" s="1105">
        <v>1364595.6021447284</v>
      </c>
      <c r="E439" s="617"/>
      <c r="F439" s="1143"/>
      <c r="G439" s="1921"/>
      <c r="H439" s="1146"/>
      <c r="I439" s="1146"/>
      <c r="J439" s="617"/>
      <c r="K439" s="1143">
        <v>1.657</v>
      </c>
      <c r="L439" s="1921" t="s">
        <v>495</v>
      </c>
      <c r="M439" s="1143">
        <v>1.3803172825590004</v>
      </c>
      <c r="N439" s="1921" t="s">
        <v>495</v>
      </c>
      <c r="O439" s="1143">
        <v>1.3496999999999999</v>
      </c>
      <c r="P439" s="1921" t="s">
        <v>495</v>
      </c>
      <c r="Q439" s="1143">
        <v>4.3870172825590004</v>
      </c>
      <c r="R439" s="1921" t="s">
        <v>495</v>
      </c>
      <c r="S439" s="1146">
        <v>22611</v>
      </c>
      <c r="T439" s="1648"/>
      <c r="U439" s="1146">
        <v>18836</v>
      </c>
      <c r="V439" s="1648"/>
      <c r="W439" s="1146">
        <v>18418</v>
      </c>
      <c r="X439" s="1648"/>
      <c r="Y439" s="1146">
        <v>59865</v>
      </c>
      <c r="Z439" s="2114">
        <f>C439-'Blocking-Step2'!C439</f>
        <v>0</v>
      </c>
      <c r="AA439" s="2114">
        <f>D439-'Blocking-Step2'!D439</f>
        <v>0</v>
      </c>
      <c r="AC439" s="2114">
        <f>F439-'Blocking-Step2'!F439</f>
        <v>0</v>
      </c>
      <c r="AE439" s="2114">
        <f>H439-'Blocking-Step2'!H439</f>
        <v>0</v>
      </c>
      <c r="AF439" s="2114">
        <f>I439-'Blocking-Step2'!I439</f>
        <v>0</v>
      </c>
      <c r="AH439" s="2136">
        <f>K439-'Blocking-Step2'!K439</f>
        <v>-2.2955000000000001</v>
      </c>
      <c r="AJ439" s="2136">
        <f>M439-'Blocking-Step2'!M439</f>
        <v>2.2955000000000001</v>
      </c>
      <c r="AL439" s="2136">
        <f>O439-'Blocking-Step2'!O439</f>
        <v>0</v>
      </c>
      <c r="AN439" s="2137">
        <f>Q439-'Blocking-Step2'!Q439</f>
        <v>0</v>
      </c>
      <c r="AP439" s="2127">
        <f>S439-'Blocking-Step2'!S439</f>
        <v>-31325</v>
      </c>
      <c r="AR439" s="2127">
        <f>U439-'Blocking-Step2'!U439</f>
        <v>31325</v>
      </c>
      <c r="AT439" s="2127">
        <f>W439-'Blocking-Step2'!W439</f>
        <v>0</v>
      </c>
      <c r="AV439" s="2128">
        <f>Y439-'Blocking-Step2'!Y439</f>
        <v>0</v>
      </c>
    </row>
    <row r="440" spans="1:48" ht="16.5" hidden="1" thickTop="1">
      <c r="A440" s="1116" t="s">
        <v>1912</v>
      </c>
      <c r="C440" s="1105">
        <v>798767.5</v>
      </c>
      <c r="D440" s="1105">
        <v>963412.77636262984</v>
      </c>
      <c r="E440" s="617"/>
      <c r="F440" s="1143"/>
      <c r="G440" s="1921"/>
      <c r="H440" s="1146"/>
      <c r="I440" s="1146"/>
      <c r="J440" s="617"/>
      <c r="K440" s="1143">
        <v>1.657</v>
      </c>
      <c r="L440" s="1921" t="s">
        <v>495</v>
      </c>
      <c r="M440" s="1143">
        <v>16.951500000000003</v>
      </c>
      <c r="N440" s="1921" t="s">
        <v>495</v>
      </c>
      <c r="O440" s="1143">
        <v>1.1943999999999999</v>
      </c>
      <c r="P440" s="1921" t="s">
        <v>495</v>
      </c>
      <c r="Q440" s="1143">
        <v>19.802900000000001</v>
      </c>
      <c r="R440" s="1921" t="s">
        <v>495</v>
      </c>
      <c r="S440" s="1146">
        <v>15964</v>
      </c>
      <c r="T440" s="1648"/>
      <c r="U440" s="1146">
        <v>163313</v>
      </c>
      <c r="V440" s="1648"/>
      <c r="W440" s="1146">
        <v>11507</v>
      </c>
      <c r="X440" s="1648"/>
      <c r="Y440" s="1146">
        <v>190784</v>
      </c>
      <c r="Z440" s="2114">
        <f>C440-'Blocking-Step2'!C440</f>
        <v>0</v>
      </c>
      <c r="AA440" s="2114">
        <f>D440-'Blocking-Step2'!D440</f>
        <v>0</v>
      </c>
      <c r="AC440" s="2114">
        <f>F440-'Blocking-Step2'!F440</f>
        <v>0</v>
      </c>
      <c r="AE440" s="2114">
        <f>H440-'Blocking-Step2'!H440</f>
        <v>0</v>
      </c>
      <c r="AF440" s="2114">
        <f>I440-'Blocking-Step2'!I440</f>
        <v>0</v>
      </c>
      <c r="AH440" s="2136">
        <f>K440-'Blocking-Step2'!K440</f>
        <v>-2.2955000000000001</v>
      </c>
      <c r="AJ440" s="2136">
        <f>M440-'Blocking-Step2'!M440</f>
        <v>2.2955000000000023</v>
      </c>
      <c r="AL440" s="2136">
        <f>O440-'Blocking-Step2'!O440</f>
        <v>0</v>
      </c>
      <c r="AN440" s="2137">
        <f>Q440-'Blocking-Step2'!Q440</f>
        <v>0</v>
      </c>
      <c r="AP440" s="2127">
        <f>S440-'Blocking-Step2'!S440</f>
        <v>-22115</v>
      </c>
      <c r="AR440" s="2127">
        <f>U440-'Blocking-Step2'!U440</f>
        <v>22115</v>
      </c>
      <c r="AT440" s="2127">
        <f>W440-'Blocking-Step2'!W440</f>
        <v>0</v>
      </c>
      <c r="AV440" s="2128">
        <f>Y440-'Blocking-Step2'!Y440</f>
        <v>0</v>
      </c>
    </row>
    <row r="441" spans="1:48" ht="16.5" hidden="1" thickTop="1">
      <c r="A441" s="1116" t="s">
        <v>1913</v>
      </c>
      <c r="C441" s="1105">
        <v>2071239.9999999998</v>
      </c>
      <c r="D441" s="1105">
        <v>2498172.5957970666</v>
      </c>
      <c r="E441" s="617"/>
      <c r="F441" s="1143"/>
      <c r="G441" s="1921"/>
      <c r="H441" s="1146"/>
      <c r="I441" s="1146"/>
      <c r="J441" s="617"/>
      <c r="K441" s="1143">
        <v>1.657</v>
      </c>
      <c r="L441" s="1921" t="s">
        <v>495</v>
      </c>
      <c r="M441" s="1143">
        <v>1.0308999999999999</v>
      </c>
      <c r="N441" s="1921" t="s">
        <v>495</v>
      </c>
      <c r="O441" s="1143">
        <v>1.1943999999999999</v>
      </c>
      <c r="P441" s="1921" t="s">
        <v>495</v>
      </c>
      <c r="Q441" s="1143">
        <v>3.8822999999999999</v>
      </c>
      <c r="R441" s="1921" t="s">
        <v>495</v>
      </c>
      <c r="S441" s="1146">
        <v>41395</v>
      </c>
      <c r="T441" s="1648"/>
      <c r="U441" s="1146">
        <v>25754</v>
      </c>
      <c r="V441" s="1648"/>
      <c r="W441" s="1146">
        <v>29838</v>
      </c>
      <c r="X441" s="1648"/>
      <c r="Y441" s="1146">
        <v>96987</v>
      </c>
      <c r="Z441" s="2114">
        <f>C441-'Blocking-Step2'!C441</f>
        <v>0</v>
      </c>
      <c r="AA441" s="2114">
        <f>D441-'Blocking-Step2'!D441</f>
        <v>0</v>
      </c>
      <c r="AC441" s="2114">
        <f>F441-'Blocking-Step2'!F441</f>
        <v>0</v>
      </c>
      <c r="AE441" s="2114">
        <f>H441-'Blocking-Step2'!H441</f>
        <v>0</v>
      </c>
      <c r="AF441" s="2114">
        <f>I441-'Blocking-Step2'!I441</f>
        <v>0</v>
      </c>
      <c r="AH441" s="2136">
        <f>K441-'Blocking-Step2'!K441</f>
        <v>-2.2955000000000001</v>
      </c>
      <c r="AJ441" s="2136">
        <f>M441-'Blocking-Step2'!M441</f>
        <v>2.2955000000000001</v>
      </c>
      <c r="AL441" s="2136">
        <f>O441-'Blocking-Step2'!O441</f>
        <v>0</v>
      </c>
      <c r="AN441" s="2137">
        <f>Q441-'Blocking-Step2'!Q441</f>
        <v>0</v>
      </c>
      <c r="AP441" s="2127">
        <f>S441-'Blocking-Step2'!S441</f>
        <v>-57345</v>
      </c>
      <c r="AR441" s="2127">
        <f>U441-'Blocking-Step2'!U441</f>
        <v>57346</v>
      </c>
      <c r="AT441" s="2127">
        <f>W441-'Blocking-Step2'!W441</f>
        <v>0</v>
      </c>
      <c r="AV441" s="2128">
        <f>Y441-'Blocking-Step2'!Y441</f>
        <v>0</v>
      </c>
    </row>
    <row r="442" spans="1:48" ht="16.5" hidden="1" thickTop="1">
      <c r="A442" s="1116" t="s">
        <v>1906</v>
      </c>
      <c r="C442" s="1105">
        <v>890309.04943846958</v>
      </c>
      <c r="D442" s="1105">
        <v>1073823.2503704643</v>
      </c>
      <c r="E442" s="617"/>
      <c r="F442" s="1143"/>
      <c r="G442" s="1921"/>
      <c r="H442" s="1146"/>
      <c r="I442" s="1146"/>
      <c r="J442" s="617"/>
      <c r="K442" s="1143">
        <v>0</v>
      </c>
      <c r="L442" s="1921" t="s">
        <v>495</v>
      </c>
      <c r="M442" s="1143">
        <v>0</v>
      </c>
      <c r="N442" s="1921" t="s">
        <v>495</v>
      </c>
      <c r="O442" s="1143">
        <v>6</v>
      </c>
      <c r="P442" s="1921" t="s">
        <v>495</v>
      </c>
      <c r="Q442" s="1143">
        <v>6</v>
      </c>
      <c r="R442" s="1921" t="s">
        <v>495</v>
      </c>
      <c r="S442" s="1146">
        <v>0</v>
      </c>
      <c r="T442" s="1648"/>
      <c r="U442" s="1146">
        <v>0</v>
      </c>
      <c r="V442" s="1648"/>
      <c r="W442" s="1146">
        <v>64429</v>
      </c>
      <c r="X442" s="1648"/>
      <c r="Y442" s="1146">
        <v>64429</v>
      </c>
      <c r="Z442" s="2114">
        <f>C442-'Blocking-Step2'!C442</f>
        <v>0</v>
      </c>
      <c r="AA442" s="2114">
        <f>D442-'Blocking-Step2'!D442</f>
        <v>0</v>
      </c>
      <c r="AC442" s="2114">
        <f>F442-'Blocking-Step2'!F442</f>
        <v>0</v>
      </c>
      <c r="AE442" s="2114">
        <f>H442-'Blocking-Step2'!H442</f>
        <v>0</v>
      </c>
      <c r="AF442" s="2114">
        <f>I442-'Blocking-Step2'!I442</f>
        <v>0</v>
      </c>
      <c r="AH442" s="2136">
        <f>K442-'Blocking-Step2'!K442</f>
        <v>0</v>
      </c>
      <c r="AJ442" s="2136">
        <f>M442-'Blocking-Step2'!M442</f>
        <v>0</v>
      </c>
      <c r="AL442" s="2136">
        <f>O442-'Blocking-Step2'!O442</f>
        <v>0</v>
      </c>
      <c r="AN442" s="2137">
        <f>Q442-'Blocking-Step2'!Q442</f>
        <v>0</v>
      </c>
      <c r="AP442" s="2127">
        <f>S442-'Blocking-Step2'!S442</f>
        <v>0</v>
      </c>
      <c r="AR442" s="2127">
        <f>U442-'Blocking-Step2'!U442</f>
        <v>0</v>
      </c>
      <c r="AT442" s="2127">
        <f>W442-'Blocking-Step2'!W442</f>
        <v>0</v>
      </c>
      <c r="AV442" s="2128">
        <f>Y442-'Blocking-Step2'!Y442</f>
        <v>0</v>
      </c>
    </row>
    <row r="443" spans="1:48" ht="16.5" hidden="1" thickTop="1">
      <c r="A443" s="1116" t="s">
        <v>1907</v>
      </c>
      <c r="C443" s="1105">
        <v>712838.95056153019</v>
      </c>
      <c r="D443" s="1105">
        <v>859772.27723950613</v>
      </c>
      <c r="E443" s="617"/>
      <c r="F443" s="1143"/>
      <c r="G443" s="1921"/>
      <c r="H443" s="1146"/>
      <c r="I443" s="1146"/>
      <c r="J443" s="617"/>
      <c r="K443" s="1143">
        <v>0</v>
      </c>
      <c r="L443" s="1921" t="s">
        <v>495</v>
      </c>
      <c r="M443" s="1143">
        <v>0</v>
      </c>
      <c r="N443" s="1921" t="s">
        <v>495</v>
      </c>
      <c r="O443" s="1143">
        <v>-2.3358000000000008</v>
      </c>
      <c r="P443" s="1921" t="s">
        <v>495</v>
      </c>
      <c r="Q443" s="1143">
        <v>-2.3358000000000008</v>
      </c>
      <c r="R443" s="1921" t="s">
        <v>495</v>
      </c>
      <c r="S443" s="1146">
        <v>0</v>
      </c>
      <c r="T443" s="1648"/>
      <c r="U443" s="1146">
        <v>0</v>
      </c>
      <c r="V443" s="1648"/>
      <c r="W443" s="1146">
        <v>-20083</v>
      </c>
      <c r="X443" s="1648"/>
      <c r="Y443" s="1146">
        <v>-20083</v>
      </c>
      <c r="Z443" s="2114">
        <f>C443-'Blocking-Step2'!C443</f>
        <v>0</v>
      </c>
      <c r="AA443" s="2114">
        <f>D443-'Blocking-Step2'!D443</f>
        <v>0</v>
      </c>
      <c r="AC443" s="2114">
        <f>F443-'Blocking-Step2'!F443</f>
        <v>0</v>
      </c>
      <c r="AE443" s="2114">
        <f>H443-'Blocking-Step2'!H443</f>
        <v>0</v>
      </c>
      <c r="AF443" s="2114">
        <f>I443-'Blocking-Step2'!I443</f>
        <v>0</v>
      </c>
      <c r="AH443" s="2136">
        <f>K443-'Blocking-Step2'!K443</f>
        <v>0</v>
      </c>
      <c r="AJ443" s="2136">
        <f>M443-'Blocking-Step2'!M443</f>
        <v>0</v>
      </c>
      <c r="AL443" s="2136">
        <f>O443-'Blocking-Step2'!O443</f>
        <v>0</v>
      </c>
      <c r="AN443" s="2137">
        <f>Q443-'Blocking-Step2'!Q443</f>
        <v>0</v>
      </c>
      <c r="AP443" s="2127">
        <f>S443-'Blocking-Step2'!S443</f>
        <v>0</v>
      </c>
      <c r="AR443" s="2127">
        <f>U443-'Blocking-Step2'!U443</f>
        <v>0</v>
      </c>
      <c r="AT443" s="2127">
        <f>W443-'Blocking-Step2'!W443</f>
        <v>0</v>
      </c>
      <c r="AV443" s="2128">
        <f>Y443-'Blocking-Step2'!Y443</f>
        <v>0</v>
      </c>
    </row>
    <row r="444" spans="1:48" ht="16.5" hidden="1" thickTop="1">
      <c r="A444" s="1116" t="s">
        <v>1908</v>
      </c>
      <c r="C444" s="1105">
        <v>1593860.1109855603</v>
      </c>
      <c r="D444" s="1105">
        <v>1922393.1803162347</v>
      </c>
      <c r="E444" s="617"/>
      <c r="F444" s="1143"/>
      <c r="G444" s="1921"/>
      <c r="H444" s="1146"/>
      <c r="I444" s="1146"/>
      <c r="J444" s="617"/>
      <c r="K444" s="1143">
        <v>0</v>
      </c>
      <c r="L444" s="1921" t="s">
        <v>495</v>
      </c>
      <c r="M444" s="1143">
        <v>0</v>
      </c>
      <c r="N444" s="1921" t="s">
        <v>495</v>
      </c>
      <c r="O444" s="1143">
        <v>5.3097000000000003</v>
      </c>
      <c r="P444" s="1921" t="s">
        <v>495</v>
      </c>
      <c r="Q444" s="1143">
        <v>5.3097000000000003</v>
      </c>
      <c r="R444" s="1921" t="s">
        <v>495</v>
      </c>
      <c r="S444" s="1146">
        <v>0</v>
      </c>
      <c r="T444" s="1648"/>
      <c r="U444" s="1146">
        <v>0</v>
      </c>
      <c r="V444" s="1648"/>
      <c r="W444" s="1146">
        <v>102073</v>
      </c>
      <c r="X444" s="1648"/>
      <c r="Y444" s="1146">
        <v>102073</v>
      </c>
      <c r="Z444" s="2114">
        <f>C444-'Blocking-Step2'!C444</f>
        <v>0</v>
      </c>
      <c r="AA444" s="2114">
        <f>D444-'Blocking-Step2'!D444</f>
        <v>0</v>
      </c>
      <c r="AC444" s="2114">
        <f>F444-'Blocking-Step2'!F444</f>
        <v>0</v>
      </c>
      <c r="AE444" s="2114">
        <f>H444-'Blocking-Step2'!H444</f>
        <v>0</v>
      </c>
      <c r="AF444" s="2114">
        <f>I444-'Blocking-Step2'!I444</f>
        <v>0</v>
      </c>
      <c r="AH444" s="2136">
        <f>K444-'Blocking-Step2'!K444</f>
        <v>0</v>
      </c>
      <c r="AJ444" s="2136">
        <f>M444-'Blocking-Step2'!M444</f>
        <v>0</v>
      </c>
      <c r="AL444" s="2136">
        <f>O444-'Blocking-Step2'!O444</f>
        <v>0</v>
      </c>
      <c r="AN444" s="2137">
        <f>Q444-'Blocking-Step2'!Q444</f>
        <v>0</v>
      </c>
      <c r="AP444" s="2127">
        <f>S444-'Blocking-Step2'!S444</f>
        <v>0</v>
      </c>
      <c r="AR444" s="2127">
        <f>U444-'Blocking-Step2'!U444</f>
        <v>0</v>
      </c>
      <c r="AT444" s="2127">
        <f>W444-'Blocking-Step2'!W444</f>
        <v>0</v>
      </c>
      <c r="AV444" s="2128">
        <f>Y444-'Blocking-Step2'!Y444</f>
        <v>0</v>
      </c>
    </row>
    <row r="445" spans="1:48" ht="16.5" hidden="1" thickTop="1">
      <c r="A445" s="1116" t="s">
        <v>1909</v>
      </c>
      <c r="C445" s="1105">
        <v>1276147.3890144394</v>
      </c>
      <c r="D445" s="1105">
        <v>1539192.1918434615</v>
      </c>
      <c r="E445" s="617"/>
      <c r="F445" s="1143"/>
      <c r="G445" s="1921"/>
      <c r="H445" s="1146"/>
      <c r="I445" s="1146"/>
      <c r="J445" s="617"/>
      <c r="K445" s="1143">
        <v>0</v>
      </c>
      <c r="L445" s="1921" t="s">
        <v>495</v>
      </c>
      <c r="M445" s="1143">
        <v>0</v>
      </c>
      <c r="N445" s="1921" t="s">
        <v>495</v>
      </c>
      <c r="O445" s="1143">
        <v>-2.0670999999999999</v>
      </c>
      <c r="P445" s="1921" t="s">
        <v>495</v>
      </c>
      <c r="Q445" s="1143">
        <v>-2.0670999999999999</v>
      </c>
      <c r="R445" s="1921" t="s">
        <v>495</v>
      </c>
      <c r="S445" s="1146">
        <v>0</v>
      </c>
      <c r="T445" s="1648"/>
      <c r="U445" s="1146">
        <v>0</v>
      </c>
      <c r="V445" s="1648"/>
      <c r="W445" s="1146">
        <v>-31817</v>
      </c>
      <c r="X445" s="1648"/>
      <c r="Y445" s="1146">
        <v>-31817</v>
      </c>
      <c r="Z445" s="2114">
        <f>C445-'Blocking-Step2'!C445</f>
        <v>0</v>
      </c>
      <c r="AA445" s="2114">
        <f>D445-'Blocking-Step2'!D445</f>
        <v>0</v>
      </c>
      <c r="AC445" s="2114">
        <f>F445-'Blocking-Step2'!F445</f>
        <v>0</v>
      </c>
      <c r="AE445" s="2114">
        <f>H445-'Blocking-Step2'!H445</f>
        <v>0</v>
      </c>
      <c r="AF445" s="2114">
        <f>I445-'Blocking-Step2'!I445</f>
        <v>0</v>
      </c>
      <c r="AH445" s="2136">
        <f>K445-'Blocking-Step2'!K445</f>
        <v>0</v>
      </c>
      <c r="AJ445" s="2136">
        <f>M445-'Blocking-Step2'!M445</f>
        <v>0</v>
      </c>
      <c r="AL445" s="2136">
        <f>O445-'Blocking-Step2'!O445</f>
        <v>0</v>
      </c>
      <c r="AN445" s="2137">
        <f>Q445-'Blocking-Step2'!Q445</f>
        <v>0</v>
      </c>
      <c r="AP445" s="2127">
        <f>S445-'Blocking-Step2'!S445</f>
        <v>0</v>
      </c>
      <c r="AR445" s="2127">
        <f>U445-'Blocking-Step2'!U445</f>
        <v>0</v>
      </c>
      <c r="AT445" s="2127">
        <f>W445-'Blocking-Step2'!W445</f>
        <v>0</v>
      </c>
      <c r="AV445" s="2128">
        <f>Y445-'Blocking-Step2'!Y445</f>
        <v>0</v>
      </c>
    </row>
    <row r="446" spans="1:48" ht="16.5" hidden="1" thickTop="1">
      <c r="A446" s="1116" t="s">
        <v>261</v>
      </c>
      <c r="C446" s="1105">
        <v>0</v>
      </c>
      <c r="D446" s="1105">
        <v>0</v>
      </c>
      <c r="F446" s="1907"/>
      <c r="G446" s="1110"/>
      <c r="H446" s="1146"/>
      <c r="I446" s="1146"/>
      <c r="K446" s="1907">
        <v>-0.61</v>
      </c>
      <c r="L446" s="1110"/>
      <c r="M446" s="1907">
        <v>0</v>
      </c>
      <c r="N446" s="1110"/>
      <c r="O446" s="1907">
        <v>0</v>
      </c>
      <c r="P446" s="1110"/>
      <c r="Q446" s="1907">
        <v>-0.61</v>
      </c>
      <c r="R446" s="1110"/>
      <c r="S446" s="1146">
        <v>0</v>
      </c>
      <c r="T446" s="1629"/>
      <c r="U446" s="1146">
        <v>0</v>
      </c>
      <c r="V446" s="1629"/>
      <c r="W446" s="1146">
        <v>0</v>
      </c>
      <c r="X446" s="1629"/>
      <c r="Y446" s="1146">
        <v>0</v>
      </c>
      <c r="Z446" s="2114">
        <f>C446-'Blocking-Step2'!C446</f>
        <v>0</v>
      </c>
      <c r="AA446" s="2114">
        <f>D446-'Blocking-Step2'!D446</f>
        <v>0</v>
      </c>
      <c r="AC446" s="2114">
        <f>F446-'Blocking-Step2'!F446</f>
        <v>0</v>
      </c>
      <c r="AE446" s="2114">
        <f>H446-'Blocking-Step2'!H446</f>
        <v>0</v>
      </c>
      <c r="AF446" s="2114">
        <f>I446-'Blocking-Step2'!I446</f>
        <v>0</v>
      </c>
      <c r="AH446" s="2136">
        <f>K446-'Blocking-Step2'!K446</f>
        <v>0</v>
      </c>
      <c r="AJ446" s="2136">
        <f>M446-'Blocking-Step2'!M446</f>
        <v>0</v>
      </c>
      <c r="AL446" s="2136">
        <f>O446-'Blocking-Step2'!O446</f>
        <v>0</v>
      </c>
      <c r="AN446" s="2137">
        <f>Q446-'Blocking-Step2'!Q446</f>
        <v>0</v>
      </c>
      <c r="AP446" s="2127">
        <f>S446-'Blocking-Step2'!S446</f>
        <v>0</v>
      </c>
      <c r="AR446" s="2127">
        <f>U446-'Blocking-Step2'!U446</f>
        <v>0</v>
      </c>
      <c r="AT446" s="2127">
        <f>W446-'Blocking-Step2'!W446</f>
        <v>0</v>
      </c>
      <c r="AV446" s="2128">
        <f>Y446-'Blocking-Step2'!Y446</f>
        <v>0</v>
      </c>
    </row>
    <row r="447" spans="1:48" ht="16.5" hidden="1" thickTop="1">
      <c r="A447" s="1116" t="s">
        <v>1158</v>
      </c>
      <c r="C447" s="1105">
        <v>0</v>
      </c>
      <c r="D447" s="1105">
        <v>0</v>
      </c>
      <c r="F447" s="1106"/>
      <c r="G447" s="1921"/>
      <c r="H447" s="1146"/>
      <c r="I447" s="1146"/>
      <c r="K447" s="1106">
        <v>0</v>
      </c>
      <c r="L447" s="1921" t="s">
        <v>495</v>
      </c>
      <c r="M447" s="1106">
        <v>7.125</v>
      </c>
      <c r="N447" s="1921" t="s">
        <v>495</v>
      </c>
      <c r="O447" s="1106">
        <v>0</v>
      </c>
      <c r="P447" s="1921" t="s">
        <v>495</v>
      </c>
      <c r="Q447" s="1106">
        <v>7.125</v>
      </c>
      <c r="R447" s="1921" t="s">
        <v>495</v>
      </c>
      <c r="S447" s="1146">
        <v>0</v>
      </c>
      <c r="T447" s="1648"/>
      <c r="U447" s="1146">
        <v>0</v>
      </c>
      <c r="V447" s="1648"/>
      <c r="W447" s="1146">
        <v>0</v>
      </c>
      <c r="X447" s="1648"/>
      <c r="Y447" s="1146">
        <v>0</v>
      </c>
      <c r="Z447" s="2114">
        <f>C447-'Blocking-Step2'!C447</f>
        <v>0</v>
      </c>
      <c r="AA447" s="2114">
        <f>D447-'Blocking-Step2'!D447</f>
        <v>0</v>
      </c>
      <c r="AC447" s="2114">
        <f>F447-'Blocking-Step2'!F447</f>
        <v>0</v>
      </c>
      <c r="AE447" s="2114">
        <f>H447-'Blocking-Step2'!H447</f>
        <v>0</v>
      </c>
      <c r="AF447" s="2114">
        <f>I447-'Blocking-Step2'!I447</f>
        <v>0</v>
      </c>
      <c r="AH447" s="2136">
        <f>K447-'Blocking-Step2'!K447</f>
        <v>0</v>
      </c>
      <c r="AJ447" s="2136">
        <f>M447-'Blocking-Step2'!M447</f>
        <v>0</v>
      </c>
      <c r="AL447" s="2136">
        <f>O447-'Blocking-Step2'!O447</f>
        <v>0</v>
      </c>
      <c r="AN447" s="2137">
        <f>Q447-'Blocking-Step2'!Q447</f>
        <v>0</v>
      </c>
      <c r="AP447" s="2127">
        <f>S447-'Blocking-Step2'!S447</f>
        <v>0</v>
      </c>
      <c r="AR447" s="2127">
        <f>U447-'Blocking-Step2'!U447</f>
        <v>0</v>
      </c>
      <c r="AT447" s="2127">
        <f>W447-'Blocking-Step2'!W447</f>
        <v>0</v>
      </c>
      <c r="AV447" s="2128">
        <f>Y447-'Blocking-Step2'!Y447</f>
        <v>0</v>
      </c>
    </row>
    <row r="448" spans="1:48" ht="16.5" hidden="1" thickTop="1">
      <c r="A448" s="1116" t="s">
        <v>1240</v>
      </c>
      <c r="C448" s="1024"/>
      <c r="D448" s="1024"/>
      <c r="F448" s="2076"/>
      <c r="G448" s="617"/>
      <c r="H448" s="1146"/>
      <c r="I448" s="1146"/>
      <c r="K448" s="2076"/>
      <c r="L448" s="617"/>
      <c r="M448" s="2076"/>
      <c r="N448" s="617"/>
      <c r="O448" s="2077" t="s">
        <v>2323</v>
      </c>
      <c r="P448" s="617"/>
      <c r="Q448" s="2076">
        <v>-3.0599999999999999E-2</v>
      </c>
      <c r="R448" s="617"/>
      <c r="S448" s="1114"/>
      <c r="T448" s="1114"/>
      <c r="U448" s="1114"/>
      <c r="V448" s="1114"/>
      <c r="W448" s="1114"/>
      <c r="X448" s="1114"/>
      <c r="Y448" s="1146">
        <v>-14533.8372</v>
      </c>
      <c r="Z448" s="2114">
        <f>C448-'Blocking-Step2'!C448</f>
        <v>0</v>
      </c>
      <c r="AA448" s="2114">
        <f>D448-'Blocking-Step2'!D448</f>
        <v>0</v>
      </c>
      <c r="AC448" s="2114">
        <f>F448-'Blocking-Step2'!F448</f>
        <v>0</v>
      </c>
      <c r="AE448" s="2114">
        <f>H448-'Blocking-Step2'!H448</f>
        <v>0</v>
      </c>
      <c r="AF448" s="2114">
        <f>I448-'Blocking-Step2'!I448</f>
        <v>0</v>
      </c>
      <c r="AH448" s="2136">
        <f>K448-'Blocking-Step2'!K448</f>
        <v>0</v>
      </c>
      <c r="AJ448" s="2136">
        <f>M448-'Blocking-Step2'!M448</f>
        <v>0</v>
      </c>
      <c r="AL448" s="2136" t="e">
        <f>O448-'Blocking-Step2'!O448</f>
        <v>#VALUE!</v>
      </c>
      <c r="AN448" s="2137">
        <f>Q448-'Blocking-Step2'!Q448</f>
        <v>0</v>
      </c>
      <c r="AP448" s="2127">
        <f>S448-'Blocking-Step2'!S448</f>
        <v>0</v>
      </c>
      <c r="AR448" s="2127">
        <f>U448-'Blocking-Step2'!U448</f>
        <v>0</v>
      </c>
      <c r="AT448" s="2127">
        <f>W448-'Blocking-Step2'!W448</f>
        <v>0</v>
      </c>
      <c r="AV448" s="2128">
        <f>Y448-'Blocking-Step2'!Y448</f>
        <v>0</v>
      </c>
    </row>
    <row r="449" spans="1:48" ht="16.5" hidden="1" thickTop="1">
      <c r="A449" s="1116"/>
      <c r="C449" s="1024"/>
      <c r="D449" s="1024"/>
      <c r="F449" s="2076"/>
      <c r="G449" s="617"/>
      <c r="H449" s="1146"/>
      <c r="I449" s="1146"/>
      <c r="K449" s="2076"/>
      <c r="L449" s="617"/>
      <c r="M449" s="2076"/>
      <c r="N449" s="617"/>
      <c r="O449" s="2077" t="s">
        <v>2324</v>
      </c>
      <c r="P449" s="617"/>
      <c r="Q449" s="2076">
        <v>-1.66E-2</v>
      </c>
      <c r="R449" s="617"/>
      <c r="S449" s="1114"/>
      <c r="T449" s="1114"/>
      <c r="U449" s="1114"/>
      <c r="V449" s="1114"/>
      <c r="W449" s="1114"/>
      <c r="X449" s="1114"/>
      <c r="Y449" s="1146">
        <v>-7884.3692000000001</v>
      </c>
      <c r="Z449" s="2114">
        <f>C449-'Blocking-Step2'!C449</f>
        <v>0</v>
      </c>
      <c r="AA449" s="2114">
        <f>D449-'Blocking-Step2'!D449</f>
        <v>0</v>
      </c>
      <c r="AC449" s="2114">
        <f>F449-'Blocking-Step2'!F449</f>
        <v>0</v>
      </c>
      <c r="AE449" s="2114">
        <f>H449-'Blocking-Step2'!H449</f>
        <v>0</v>
      </c>
      <c r="AF449" s="2114">
        <f>I449-'Blocking-Step2'!I449</f>
        <v>0</v>
      </c>
      <c r="AH449" s="2136">
        <f>K449-'Blocking-Step2'!K449</f>
        <v>0</v>
      </c>
      <c r="AJ449" s="2136">
        <f>M449-'Blocking-Step2'!M449</f>
        <v>0</v>
      </c>
      <c r="AL449" s="2136" t="e">
        <f>O449-'Blocking-Step2'!O449</f>
        <v>#VALUE!</v>
      </c>
      <c r="AN449" s="2137">
        <f>Q449-'Blocking-Step2'!Q449</f>
        <v>0</v>
      </c>
      <c r="AP449" s="2127">
        <f>S449-'Blocking-Step2'!S449</f>
        <v>0</v>
      </c>
      <c r="AR449" s="2127">
        <f>U449-'Blocking-Step2'!U449</f>
        <v>0</v>
      </c>
      <c r="AT449" s="2127">
        <f>W449-'Blocking-Step2'!W449</f>
        <v>0</v>
      </c>
      <c r="AV449" s="2128">
        <f>Y449-'Blocking-Step2'!Y449</f>
        <v>0</v>
      </c>
    </row>
    <row r="450" spans="1:48" ht="16.5" hidden="1" thickTop="1">
      <c r="A450" s="1116" t="s">
        <v>1923</v>
      </c>
      <c r="C450" s="1105">
        <v>4473155.5</v>
      </c>
      <c r="D450" s="1105">
        <v>5758585.2212515902</v>
      </c>
      <c r="F450" s="1907"/>
      <c r="G450" s="1110"/>
      <c r="H450" s="1146"/>
      <c r="I450" s="1146"/>
      <c r="K450" s="1907"/>
      <c r="L450" s="1110"/>
      <c r="M450" s="1907"/>
      <c r="N450" s="1110"/>
      <c r="O450" s="1907"/>
      <c r="P450" s="1110"/>
      <c r="Q450" s="1907"/>
      <c r="R450" s="1110"/>
      <c r="S450" s="1146">
        <v>117520</v>
      </c>
      <c r="T450" s="1629"/>
      <c r="U450" s="1146">
        <v>318121</v>
      </c>
      <c r="V450" s="1629"/>
      <c r="W450" s="1146">
        <v>182045</v>
      </c>
      <c r="X450" s="1629"/>
      <c r="Y450" s="1146">
        <v>617686</v>
      </c>
      <c r="Z450" s="2114">
        <f>C450-'Blocking-Step2'!C450</f>
        <v>0</v>
      </c>
      <c r="AA450" s="2114">
        <f>D450-'Blocking-Step2'!D450</f>
        <v>0</v>
      </c>
      <c r="AC450" s="2114">
        <f>F450-'Blocking-Step2'!F450</f>
        <v>0</v>
      </c>
      <c r="AE450" s="2114">
        <f>H450-'Blocking-Step2'!H450</f>
        <v>0</v>
      </c>
      <c r="AF450" s="2114">
        <f>I450-'Blocking-Step2'!I450</f>
        <v>0</v>
      </c>
      <c r="AH450" s="2136">
        <f>K450-'Blocking-Step2'!K450</f>
        <v>0</v>
      </c>
      <c r="AJ450" s="2136">
        <f>M450-'Blocking-Step2'!M450</f>
        <v>0</v>
      </c>
      <c r="AL450" s="2136">
        <f>O450-'Blocking-Step2'!O450</f>
        <v>0</v>
      </c>
      <c r="AN450" s="2137">
        <f>Q450-'Blocking-Step2'!Q450</f>
        <v>0</v>
      </c>
      <c r="AP450" s="2127">
        <f>S450-'Blocking-Step2'!S450</f>
        <v>-123847</v>
      </c>
      <c r="AR450" s="2127">
        <f>U450-'Blocking-Step2'!U450</f>
        <v>123847</v>
      </c>
      <c r="AT450" s="2127">
        <f>W450-'Blocking-Step2'!W450</f>
        <v>0</v>
      </c>
      <c r="AV450" s="2128">
        <f>Y450-'Blocking-Step2'!Y450</f>
        <v>0</v>
      </c>
    </row>
    <row r="451" spans="1:48" ht="16.5" hidden="1" thickTop="1">
      <c r="A451" s="1116"/>
      <c r="C451" s="1105"/>
      <c r="D451" s="1105"/>
      <c r="F451" s="1907"/>
      <c r="G451" s="1110"/>
      <c r="H451" s="1146"/>
      <c r="I451" s="1146"/>
      <c r="K451" s="1907"/>
      <c r="L451" s="1110"/>
      <c r="M451" s="1907"/>
      <c r="N451" s="1110"/>
      <c r="O451" s="1907"/>
      <c r="P451" s="1110"/>
      <c r="Q451" s="1907"/>
      <c r="R451" s="1110"/>
      <c r="S451" s="1629"/>
      <c r="T451" s="1629"/>
      <c r="U451" s="1629"/>
      <c r="V451" s="1629"/>
      <c r="W451" s="1629"/>
      <c r="X451" s="1629"/>
      <c r="Y451" s="1146"/>
      <c r="Z451" s="2114">
        <f>C451-'Blocking-Step2'!C451</f>
        <v>0</v>
      </c>
      <c r="AA451" s="2114">
        <f>D451-'Blocking-Step2'!D451</f>
        <v>0</v>
      </c>
      <c r="AC451" s="2114">
        <f>F451-'Blocking-Step2'!F451</f>
        <v>0</v>
      </c>
      <c r="AE451" s="2114">
        <f>H451-'Blocking-Step2'!H451</f>
        <v>0</v>
      </c>
      <c r="AF451" s="2114">
        <f>I451-'Blocking-Step2'!I451</f>
        <v>0</v>
      </c>
      <c r="AH451" s="2136">
        <f>K451-'Blocking-Step2'!K451</f>
        <v>0</v>
      </c>
      <c r="AJ451" s="2136">
        <f>M451-'Blocking-Step2'!M451</f>
        <v>0</v>
      </c>
      <c r="AL451" s="2136">
        <f>O451-'Blocking-Step2'!O451</f>
        <v>0</v>
      </c>
      <c r="AN451" s="2137">
        <f>Q451-'Blocking-Step2'!Q451</f>
        <v>0</v>
      </c>
      <c r="AP451" s="2127">
        <f>S451-'Blocking-Step2'!S451</f>
        <v>0</v>
      </c>
      <c r="AR451" s="2127">
        <f>U451-'Blocking-Step2'!U451</f>
        <v>0</v>
      </c>
      <c r="AT451" s="2127">
        <f>W451-'Blocking-Step2'!W451</f>
        <v>0</v>
      </c>
      <c r="AV451" s="2128">
        <f>Y451-'Blocking-Step2'!Y451</f>
        <v>0</v>
      </c>
    </row>
    <row r="452" spans="1:48" ht="16.5" hidden="1" thickTop="1">
      <c r="A452" s="1116" t="s">
        <v>240</v>
      </c>
      <c r="C452" s="1105">
        <v>412.38333333333333</v>
      </c>
      <c r="D452" s="1105">
        <v>520.77474317213728</v>
      </c>
      <c r="F452" s="1142">
        <v>54</v>
      </c>
      <c r="G452" s="617"/>
      <c r="H452" s="1146">
        <v>22269</v>
      </c>
      <c r="I452" s="1146">
        <v>28122</v>
      </c>
      <c r="K452" s="1142">
        <v>54</v>
      </c>
      <c r="L452" s="617"/>
      <c r="M452" s="1142">
        <v>0</v>
      </c>
      <c r="N452" s="617"/>
      <c r="O452" s="1142">
        <v>0</v>
      </c>
      <c r="P452" s="617"/>
      <c r="Q452" s="1142">
        <v>54</v>
      </c>
      <c r="R452" s="617"/>
      <c r="S452" s="1146">
        <v>28122</v>
      </c>
      <c r="T452" s="1629"/>
      <c r="U452" s="1146">
        <v>0</v>
      </c>
      <c r="V452" s="1629"/>
      <c r="W452" s="1146">
        <v>0</v>
      </c>
      <c r="X452" s="1629"/>
      <c r="Y452" s="1146">
        <v>28122</v>
      </c>
      <c r="Z452" s="2114">
        <f>C452-'Blocking-Step2'!C452</f>
        <v>0</v>
      </c>
      <c r="AA452" s="2114">
        <f>D452-'Blocking-Step2'!D452</f>
        <v>0</v>
      </c>
      <c r="AC452" s="2114">
        <f>F452-'Blocking-Step2'!F452</f>
        <v>0</v>
      </c>
      <c r="AE452" s="2114">
        <f>H452-'Blocking-Step2'!H452</f>
        <v>0</v>
      </c>
      <c r="AF452" s="2114">
        <f>I452-'Blocking-Step2'!I452</f>
        <v>0</v>
      </c>
      <c r="AH452" s="2136">
        <f>K452-'Blocking-Step2'!K452</f>
        <v>0</v>
      </c>
      <c r="AJ452" s="2136">
        <f>M452-'Blocking-Step2'!M452</f>
        <v>0</v>
      </c>
      <c r="AL452" s="2136">
        <f>O452-'Blocking-Step2'!O452</f>
        <v>0</v>
      </c>
      <c r="AN452" s="2137">
        <f>Q452-'Blocking-Step2'!Q452</f>
        <v>0</v>
      </c>
      <c r="AP452" s="2127">
        <f>S452-'Blocking-Step2'!S452</f>
        <v>0</v>
      </c>
      <c r="AR452" s="2127">
        <f>U452-'Blocking-Step2'!U452</f>
        <v>0</v>
      </c>
      <c r="AT452" s="2127">
        <f>W452-'Blocking-Step2'!W452</f>
        <v>0</v>
      </c>
      <c r="AV452" s="2128">
        <f>Y452-'Blocking-Step2'!Y452</f>
        <v>0</v>
      </c>
    </row>
    <row r="453" spans="1:48" ht="16.5" hidden="1" thickTop="1">
      <c r="A453" s="1116" t="s">
        <v>262</v>
      </c>
      <c r="C453" s="1024">
        <v>0</v>
      </c>
      <c r="D453" s="1105">
        <v>0</v>
      </c>
      <c r="F453" s="1142">
        <v>648</v>
      </c>
      <c r="G453" s="617"/>
      <c r="H453" s="1146">
        <v>0</v>
      </c>
      <c r="I453" s="1146">
        <v>0</v>
      </c>
      <c r="K453" s="1142">
        <v>648</v>
      </c>
      <c r="L453" s="617"/>
      <c r="M453" s="1142">
        <v>0</v>
      </c>
      <c r="N453" s="617"/>
      <c r="O453" s="1142">
        <v>0</v>
      </c>
      <c r="P453" s="617"/>
      <c r="Q453" s="1142">
        <v>648</v>
      </c>
      <c r="R453" s="617"/>
      <c r="S453" s="1146">
        <v>0</v>
      </c>
      <c r="T453" s="1629"/>
      <c r="U453" s="1146">
        <v>0</v>
      </c>
      <c r="V453" s="1629"/>
      <c r="W453" s="1146">
        <v>0</v>
      </c>
      <c r="X453" s="1629"/>
      <c r="Y453" s="1146">
        <v>0</v>
      </c>
      <c r="Z453" s="2114">
        <f>C453-'Blocking-Step2'!C453</f>
        <v>0</v>
      </c>
      <c r="AA453" s="2114">
        <f>D453-'Blocking-Step2'!D453</f>
        <v>0</v>
      </c>
      <c r="AC453" s="2114">
        <f>F453-'Blocking-Step2'!F453</f>
        <v>0</v>
      </c>
      <c r="AE453" s="2114">
        <f>H453-'Blocking-Step2'!H453</f>
        <v>0</v>
      </c>
      <c r="AF453" s="2114">
        <f>I453-'Blocking-Step2'!I453</f>
        <v>0</v>
      </c>
      <c r="AH453" s="2136">
        <f>K453-'Blocking-Step2'!K453</f>
        <v>0</v>
      </c>
      <c r="AJ453" s="2136">
        <f>M453-'Blocking-Step2'!M453</f>
        <v>0</v>
      </c>
      <c r="AL453" s="2136">
        <f>O453-'Blocking-Step2'!O453</f>
        <v>0</v>
      </c>
      <c r="AN453" s="2137">
        <f>Q453-'Blocking-Step2'!Q453</f>
        <v>0</v>
      </c>
      <c r="AP453" s="2127">
        <f>S453-'Blocking-Step2'!S453</f>
        <v>0</v>
      </c>
      <c r="AR453" s="2127">
        <f>U453-'Blocking-Step2'!U453</f>
        <v>0</v>
      </c>
      <c r="AT453" s="2127">
        <f>W453-'Blocking-Step2'!W453</f>
        <v>0</v>
      </c>
      <c r="AV453" s="2128">
        <f>Y453-'Blocking-Step2'!Y453</f>
        <v>0</v>
      </c>
    </row>
    <row r="454" spans="1:48" ht="16.5" hidden="1" thickTop="1">
      <c r="A454" s="1116" t="s">
        <v>1298</v>
      </c>
      <c r="C454" s="1105">
        <v>0</v>
      </c>
      <c r="D454" s="1105">
        <v>0</v>
      </c>
      <c r="F454" s="1142">
        <v>54</v>
      </c>
      <c r="G454" s="617"/>
      <c r="H454" s="1146">
        <v>0</v>
      </c>
      <c r="I454" s="1146">
        <v>0</v>
      </c>
      <c r="K454" s="1142">
        <v>54</v>
      </c>
      <c r="L454" s="617"/>
      <c r="M454" s="1142">
        <v>0</v>
      </c>
      <c r="N454" s="617"/>
      <c r="O454" s="1142">
        <v>0</v>
      </c>
      <c r="P454" s="617"/>
      <c r="Q454" s="1142">
        <v>54</v>
      </c>
      <c r="R454" s="617"/>
      <c r="S454" s="1146">
        <v>0</v>
      </c>
      <c r="T454" s="1114"/>
      <c r="U454" s="1146">
        <v>0</v>
      </c>
      <c r="V454" s="1114"/>
      <c r="W454" s="1146">
        <v>0</v>
      </c>
      <c r="X454" s="1114"/>
      <c r="Y454" s="1146">
        <v>0</v>
      </c>
      <c r="Z454" s="2114">
        <f>C454-'Blocking-Step2'!C454</f>
        <v>0</v>
      </c>
      <c r="AA454" s="2114">
        <f>D454-'Blocking-Step2'!D454</f>
        <v>0</v>
      </c>
      <c r="AC454" s="2114">
        <f>F454-'Blocking-Step2'!F454</f>
        <v>0</v>
      </c>
      <c r="AE454" s="2114">
        <f>H454-'Blocking-Step2'!H454</f>
        <v>0</v>
      </c>
      <c r="AF454" s="2114">
        <f>I454-'Blocking-Step2'!I454</f>
        <v>0</v>
      </c>
      <c r="AH454" s="2136">
        <f>K454-'Blocking-Step2'!K454</f>
        <v>0</v>
      </c>
      <c r="AJ454" s="2136">
        <f>M454-'Blocking-Step2'!M454</f>
        <v>0</v>
      </c>
      <c r="AL454" s="2136">
        <f>O454-'Blocking-Step2'!O454</f>
        <v>0</v>
      </c>
      <c r="AN454" s="2137">
        <f>Q454-'Blocking-Step2'!Q454</f>
        <v>0</v>
      </c>
      <c r="AP454" s="2127">
        <f>S454-'Blocking-Step2'!S454</f>
        <v>0</v>
      </c>
      <c r="AR454" s="2127">
        <f>U454-'Blocking-Step2'!U454</f>
        <v>0</v>
      </c>
      <c r="AT454" s="2127">
        <f>W454-'Blocking-Step2'!W454</f>
        <v>0</v>
      </c>
      <c r="AV454" s="2128">
        <f>Y454-'Blocking-Step2'!Y454</f>
        <v>0</v>
      </c>
    </row>
    <row r="455" spans="1:48" ht="16.5" hidden="1" thickTop="1">
      <c r="A455" s="1116" t="s">
        <v>168</v>
      </c>
      <c r="C455" s="1105">
        <v>30550</v>
      </c>
      <c r="D455" s="1105">
        <v>39329</v>
      </c>
      <c r="F455" s="1142">
        <v>4.04</v>
      </c>
      <c r="G455" s="617"/>
      <c r="H455" s="1146">
        <v>123422</v>
      </c>
      <c r="I455" s="1146">
        <v>158889</v>
      </c>
      <c r="K455" s="1142">
        <v>4.03</v>
      </c>
      <c r="L455" s="617"/>
      <c r="M455" s="1142">
        <v>0</v>
      </c>
      <c r="N455" s="617"/>
      <c r="O455" s="1142">
        <v>0</v>
      </c>
      <c r="P455" s="617"/>
      <c r="Q455" s="1142">
        <v>4.03</v>
      </c>
      <c r="R455" s="617"/>
      <c r="S455" s="1146">
        <v>158496</v>
      </c>
      <c r="T455" s="1629"/>
      <c r="U455" s="1146">
        <v>0</v>
      </c>
      <c r="V455" s="1629"/>
      <c r="W455" s="1146">
        <v>0</v>
      </c>
      <c r="X455" s="1629"/>
      <c r="Y455" s="1146">
        <v>158496</v>
      </c>
      <c r="Z455" s="2114">
        <f>C455-'Blocking-Step2'!C455</f>
        <v>0</v>
      </c>
      <c r="AA455" s="2114">
        <f>D455-'Blocking-Step2'!D455</f>
        <v>0</v>
      </c>
      <c r="AC455" s="2114">
        <f>F455-'Blocking-Step2'!F455</f>
        <v>0</v>
      </c>
      <c r="AE455" s="2114">
        <f>H455-'Blocking-Step2'!H455</f>
        <v>0</v>
      </c>
      <c r="AF455" s="2114">
        <f>I455-'Blocking-Step2'!I455</f>
        <v>0</v>
      </c>
      <c r="AH455" s="2136">
        <f>K455-'Blocking-Step2'!K455</f>
        <v>0</v>
      </c>
      <c r="AJ455" s="2136">
        <f>M455-'Blocking-Step2'!M455</f>
        <v>0</v>
      </c>
      <c r="AL455" s="2136">
        <f>O455-'Blocking-Step2'!O455</f>
        <v>0</v>
      </c>
      <c r="AN455" s="2137">
        <f>Q455-'Blocking-Step2'!Q455</f>
        <v>0</v>
      </c>
      <c r="AP455" s="2127">
        <f>S455-'Blocking-Step2'!S455</f>
        <v>0</v>
      </c>
      <c r="AR455" s="2127">
        <f>U455-'Blocking-Step2'!U455</f>
        <v>0</v>
      </c>
      <c r="AT455" s="2127">
        <f>W455-'Blocking-Step2'!W455</f>
        <v>0</v>
      </c>
      <c r="AV455" s="2128">
        <f>Y455-'Blocking-Step2'!Y455</f>
        <v>0</v>
      </c>
    </row>
    <row r="456" spans="1:48" ht="16.5" hidden="1" thickTop="1">
      <c r="A456" s="1116" t="s">
        <v>1645</v>
      </c>
      <c r="C456" s="1105">
        <v>11597.5</v>
      </c>
      <c r="D456" s="1105">
        <v>14930</v>
      </c>
      <c r="F456" s="1142"/>
      <c r="G456" s="617"/>
      <c r="H456" s="1146"/>
      <c r="I456" s="1146"/>
      <c r="K456" s="1142">
        <v>0.51</v>
      </c>
      <c r="L456" s="617"/>
      <c r="M456" s="1142">
        <v>12.89</v>
      </c>
      <c r="N456" s="617"/>
      <c r="O456" s="1142">
        <v>0</v>
      </c>
      <c r="P456" s="617"/>
      <c r="Q456" s="1142">
        <v>13.4</v>
      </c>
      <c r="R456" s="617"/>
      <c r="S456" s="1146">
        <v>7614</v>
      </c>
      <c r="T456" s="1114"/>
      <c r="U456" s="1146">
        <v>192448</v>
      </c>
      <c r="V456" s="1114"/>
      <c r="W456" s="1146">
        <v>0</v>
      </c>
      <c r="X456" s="1114"/>
      <c r="Y456" s="1146">
        <v>200062</v>
      </c>
      <c r="Z456" s="2114">
        <f>C456-'Blocking-Step2'!C456</f>
        <v>0</v>
      </c>
      <c r="AA456" s="2114">
        <f>D456-'Blocking-Step2'!D456</f>
        <v>0</v>
      </c>
      <c r="AC456" s="2114">
        <f>F456-'Blocking-Step2'!F456</f>
        <v>0</v>
      </c>
      <c r="AE456" s="2114">
        <f>H456-'Blocking-Step2'!H456</f>
        <v>0</v>
      </c>
      <c r="AF456" s="2114">
        <f>I456-'Blocking-Step2'!I456</f>
        <v>0</v>
      </c>
      <c r="AH456" s="2136">
        <f>K456-'Blocking-Step2'!K456</f>
        <v>-5.83</v>
      </c>
      <c r="AJ456" s="2136">
        <f>M456-'Blocking-Step2'!M456</f>
        <v>5.83</v>
      </c>
      <c r="AL456" s="2136">
        <f>O456-'Blocking-Step2'!O456</f>
        <v>0</v>
      </c>
      <c r="AN456" s="2137">
        <f>Q456-'Blocking-Step2'!Q456</f>
        <v>0</v>
      </c>
      <c r="AP456" s="2127">
        <f>S456-'Blocking-Step2'!S456</f>
        <v>-87042</v>
      </c>
      <c r="AR456" s="2127">
        <f>U456-'Blocking-Step2'!U456</f>
        <v>87042</v>
      </c>
      <c r="AT456" s="2127">
        <f>W456-'Blocking-Step2'!W456</f>
        <v>0</v>
      </c>
      <c r="AV456" s="2128">
        <f>Y456-'Blocking-Step2'!Y456</f>
        <v>0</v>
      </c>
    </row>
    <row r="457" spans="1:48" ht="16.5" hidden="1" thickTop="1">
      <c r="A457" s="1116" t="s">
        <v>1646</v>
      </c>
      <c r="C457" s="1105">
        <v>18952.5</v>
      </c>
      <c r="D457" s="1105">
        <v>24399</v>
      </c>
      <c r="F457" s="1142"/>
      <c r="G457" s="617"/>
      <c r="H457" s="1146"/>
      <c r="I457" s="1146"/>
      <c r="K457" s="1142">
        <v>0.45</v>
      </c>
      <c r="L457" s="617"/>
      <c r="M457" s="1142">
        <v>11.41</v>
      </c>
      <c r="N457" s="617"/>
      <c r="O457" s="1142">
        <v>0</v>
      </c>
      <c r="P457" s="617"/>
      <c r="Q457" s="1142">
        <v>11.86</v>
      </c>
      <c r="R457" s="617"/>
      <c r="S457" s="1146">
        <v>10980</v>
      </c>
      <c r="T457" s="1114"/>
      <c r="U457" s="1146">
        <v>278393</v>
      </c>
      <c r="V457" s="1114"/>
      <c r="W457" s="1146">
        <v>0</v>
      </c>
      <c r="X457" s="1114"/>
      <c r="Y457" s="1146">
        <v>289372</v>
      </c>
      <c r="Z457" s="2114">
        <f>C457-'Blocking-Step2'!C457</f>
        <v>0</v>
      </c>
      <c r="AA457" s="2114">
        <f>D457-'Blocking-Step2'!D457</f>
        <v>0</v>
      </c>
      <c r="AC457" s="2114">
        <f>F457-'Blocking-Step2'!F457</f>
        <v>0</v>
      </c>
      <c r="AE457" s="2114">
        <f>H457-'Blocking-Step2'!H457</f>
        <v>0</v>
      </c>
      <c r="AF457" s="2114">
        <f>I457-'Blocking-Step2'!I457</f>
        <v>0</v>
      </c>
      <c r="AH457" s="2136">
        <f>K457-'Blocking-Step2'!K457</f>
        <v>-5.16</v>
      </c>
      <c r="AJ457" s="2136">
        <f>M457-'Blocking-Step2'!M457</f>
        <v>5.160000000000001</v>
      </c>
      <c r="AL457" s="2136">
        <f>O457-'Blocking-Step2'!O457</f>
        <v>0</v>
      </c>
      <c r="AN457" s="2137">
        <f>Q457-'Blocking-Step2'!Q457</f>
        <v>0</v>
      </c>
      <c r="AP457" s="2127">
        <f>S457-'Blocking-Step2'!S457</f>
        <v>-125898</v>
      </c>
      <c r="AR457" s="2127">
        <f>U457-'Blocking-Step2'!U457</f>
        <v>125899</v>
      </c>
      <c r="AT457" s="2127">
        <f>W457-'Blocking-Step2'!W457</f>
        <v>0</v>
      </c>
      <c r="AV457" s="2128">
        <f>Y457-'Blocking-Step2'!Y457</f>
        <v>0</v>
      </c>
    </row>
    <row r="458" spans="1:48" ht="16.5" hidden="1" thickTop="1">
      <c r="A458" s="1116" t="s">
        <v>1647</v>
      </c>
      <c r="C458" s="1105">
        <v>1603148</v>
      </c>
      <c r="D458" s="1105">
        <v>2063837.2212515902</v>
      </c>
      <c r="F458" s="1106"/>
      <c r="G458" s="1921"/>
      <c r="H458" s="1146"/>
      <c r="I458" s="1146"/>
      <c r="K458" s="1106">
        <v>0</v>
      </c>
      <c r="L458" s="1921" t="s">
        <v>495</v>
      </c>
      <c r="M458" s="1106">
        <v>1.6192</v>
      </c>
      <c r="N458" s="1921" t="s">
        <v>495</v>
      </c>
      <c r="O458" s="1106">
        <v>2.305570240802</v>
      </c>
      <c r="P458" s="1921" t="s">
        <v>495</v>
      </c>
      <c r="Q458" s="1106">
        <v>3.9247702408020002</v>
      </c>
      <c r="R458" s="1921" t="s">
        <v>495</v>
      </c>
      <c r="S458" s="1146">
        <v>0</v>
      </c>
      <c r="T458" s="1648"/>
      <c r="U458" s="1146">
        <v>33418</v>
      </c>
      <c r="V458" s="1648"/>
      <c r="W458" s="1146">
        <v>47583</v>
      </c>
      <c r="X458" s="1648"/>
      <c r="Y458" s="1146">
        <v>81001</v>
      </c>
      <c r="Z458" s="2114">
        <f>C458-'Blocking-Step2'!C458</f>
        <v>0</v>
      </c>
      <c r="AA458" s="2114">
        <f>D458-'Blocking-Step2'!D458</f>
        <v>0</v>
      </c>
      <c r="AC458" s="2114">
        <f>F458-'Blocking-Step2'!F458</f>
        <v>0</v>
      </c>
      <c r="AE458" s="2114">
        <f>H458-'Blocking-Step2'!H458</f>
        <v>0</v>
      </c>
      <c r="AF458" s="2114">
        <f>I458-'Blocking-Step2'!I458</f>
        <v>0</v>
      </c>
      <c r="AH458" s="2136">
        <f>K458-'Blocking-Step2'!K458</f>
        <v>0</v>
      </c>
      <c r="AJ458" s="2136">
        <f>M458-'Blocking-Step2'!M458</f>
        <v>0</v>
      </c>
      <c r="AL458" s="2136">
        <f>O458-'Blocking-Step2'!O458</f>
        <v>0</v>
      </c>
      <c r="AN458" s="2137">
        <f>Q458-'Blocking-Step2'!Q458</f>
        <v>0</v>
      </c>
      <c r="AP458" s="2127">
        <f>S458-'Blocking-Step2'!S458</f>
        <v>0</v>
      </c>
      <c r="AR458" s="2127">
        <f>U458-'Blocking-Step2'!U458</f>
        <v>0</v>
      </c>
      <c r="AT458" s="2127">
        <f>W458-'Blocking-Step2'!W458</f>
        <v>0</v>
      </c>
      <c r="AV458" s="2128">
        <f>Y458-'Blocking-Step2'!Y458</f>
        <v>0</v>
      </c>
    </row>
    <row r="459" spans="1:48" ht="16.5" hidden="1" thickTop="1">
      <c r="A459" s="1116" t="s">
        <v>1648</v>
      </c>
      <c r="C459" s="1105">
        <v>2870007.5</v>
      </c>
      <c r="D459" s="1105">
        <v>3694748</v>
      </c>
      <c r="F459" s="1106"/>
      <c r="G459" s="1921"/>
      <c r="H459" s="1146"/>
      <c r="I459" s="1146"/>
      <c r="K459" s="1106">
        <v>0</v>
      </c>
      <c r="L459" s="1921" t="s">
        <v>495</v>
      </c>
      <c r="M459" s="1106">
        <v>1.4329000000000001</v>
      </c>
      <c r="N459" s="1921" t="s">
        <v>495</v>
      </c>
      <c r="O459" s="1106">
        <v>2.0403480007099999</v>
      </c>
      <c r="P459" s="1921" t="s">
        <v>495</v>
      </c>
      <c r="Q459" s="1106">
        <v>3.4732480007099999</v>
      </c>
      <c r="R459" s="1921" t="s">
        <v>495</v>
      </c>
      <c r="S459" s="1146">
        <v>0</v>
      </c>
      <c r="T459" s="1648"/>
      <c r="U459" s="1146">
        <v>52942</v>
      </c>
      <c r="V459" s="1648"/>
      <c r="W459" s="1146">
        <v>75386</v>
      </c>
      <c r="X459" s="1648"/>
      <c r="Y459" s="1146">
        <v>128328</v>
      </c>
      <c r="Z459" s="2114">
        <f>C459-'Blocking-Step2'!C459</f>
        <v>0</v>
      </c>
      <c r="AA459" s="2114">
        <f>D459-'Blocking-Step2'!D459</f>
        <v>0</v>
      </c>
      <c r="AC459" s="2114">
        <f>F459-'Blocking-Step2'!F459</f>
        <v>0</v>
      </c>
      <c r="AE459" s="2114">
        <f>H459-'Blocking-Step2'!H459</f>
        <v>0</v>
      </c>
      <c r="AF459" s="2114">
        <f>I459-'Blocking-Step2'!I459</f>
        <v>0</v>
      </c>
      <c r="AH459" s="2136">
        <f>K459-'Blocking-Step2'!K459</f>
        <v>0</v>
      </c>
      <c r="AJ459" s="2136">
        <f>M459-'Blocking-Step2'!M459</f>
        <v>0</v>
      </c>
      <c r="AL459" s="2136">
        <f>O459-'Blocking-Step2'!O459</f>
        <v>0</v>
      </c>
      <c r="AN459" s="2137">
        <f>Q459-'Blocking-Step2'!Q459</f>
        <v>0</v>
      </c>
      <c r="AP459" s="2127">
        <f>S459-'Blocking-Step2'!S459</f>
        <v>0</v>
      </c>
      <c r="AR459" s="2127">
        <f>U459-'Blocking-Step2'!U459</f>
        <v>0</v>
      </c>
      <c r="AT459" s="2127">
        <f>W459-'Blocking-Step2'!W459</f>
        <v>0</v>
      </c>
      <c r="AV459" s="2128">
        <f>Y459-'Blocking-Step2'!Y459</f>
        <v>0</v>
      </c>
    </row>
    <row r="460" spans="1:48" ht="16.5" hidden="1" thickTop="1">
      <c r="A460" s="1116" t="s">
        <v>196</v>
      </c>
      <c r="C460" s="1105">
        <v>11898.50368279063</v>
      </c>
      <c r="D460" s="1105">
        <v>15318</v>
      </c>
      <c r="F460" s="1142">
        <v>14.62</v>
      </c>
      <c r="G460" s="617"/>
      <c r="H460" s="1146">
        <v>173956</v>
      </c>
      <c r="I460" s="1146">
        <v>223949</v>
      </c>
      <c r="K460" s="1142"/>
      <c r="L460" s="617"/>
      <c r="M460" s="1142"/>
      <c r="N460" s="617"/>
      <c r="O460" s="1142"/>
      <c r="P460" s="617"/>
      <c r="Q460" s="1142"/>
      <c r="R460" s="617"/>
      <c r="S460" s="1146"/>
      <c r="T460" s="1629"/>
      <c r="U460" s="1146"/>
      <c r="V460" s="1629"/>
      <c r="W460" s="1146"/>
      <c r="X460" s="1629"/>
      <c r="Y460" s="1146"/>
      <c r="Z460" s="2114">
        <f>C460-'Blocking-Step2'!C460</f>
        <v>0</v>
      </c>
      <c r="AA460" s="2114">
        <f>D460-'Blocking-Step2'!D460</f>
        <v>0</v>
      </c>
      <c r="AC460" s="2114">
        <f>F460-'Blocking-Step2'!F460</f>
        <v>0</v>
      </c>
      <c r="AE460" s="2114">
        <f>H460-'Blocking-Step2'!H460</f>
        <v>0</v>
      </c>
      <c r="AF460" s="2114">
        <f>I460-'Blocking-Step2'!I460</f>
        <v>0</v>
      </c>
      <c r="AH460" s="2136">
        <f>K460-'Blocking-Step2'!K460</f>
        <v>0</v>
      </c>
      <c r="AJ460" s="2136">
        <f>M460-'Blocking-Step2'!M460</f>
        <v>0</v>
      </c>
      <c r="AL460" s="2136">
        <f>O460-'Blocking-Step2'!O460</f>
        <v>0</v>
      </c>
      <c r="AN460" s="2137">
        <f>Q460-'Blocking-Step2'!Q460</f>
        <v>0</v>
      </c>
      <c r="AP460" s="2127">
        <f>S460-'Blocking-Step2'!S460</f>
        <v>0</v>
      </c>
      <c r="AR460" s="2127">
        <f>U460-'Blocking-Step2'!U460</f>
        <v>0</v>
      </c>
      <c r="AT460" s="2127">
        <f>W460-'Blocking-Step2'!W460</f>
        <v>0</v>
      </c>
      <c r="AV460" s="2128">
        <f>Y460-'Blocking-Step2'!Y460</f>
        <v>0</v>
      </c>
    </row>
    <row r="461" spans="1:48" ht="16.5" hidden="1" thickTop="1">
      <c r="A461" s="1116" t="s">
        <v>161</v>
      </c>
      <c r="C461" s="1105">
        <v>18651.49631720937</v>
      </c>
      <c r="D461" s="1105">
        <v>24011</v>
      </c>
      <c r="F461" s="1142">
        <v>10.91</v>
      </c>
      <c r="G461" s="617"/>
      <c r="H461" s="1146">
        <v>203488</v>
      </c>
      <c r="I461" s="1146">
        <v>261960</v>
      </c>
      <c r="K461" s="1142"/>
      <c r="L461" s="617"/>
      <c r="M461" s="1142"/>
      <c r="N461" s="617"/>
      <c r="O461" s="1142"/>
      <c r="P461" s="617"/>
      <c r="Q461" s="1142"/>
      <c r="R461" s="617"/>
      <c r="S461" s="1146"/>
      <c r="T461" s="1629"/>
      <c r="U461" s="1146"/>
      <c r="V461" s="1629"/>
      <c r="W461" s="1146"/>
      <c r="X461" s="1629"/>
      <c r="Y461" s="1146"/>
      <c r="Z461" s="2114">
        <f>C461-'Blocking-Step2'!C461</f>
        <v>0</v>
      </c>
      <c r="AA461" s="2114">
        <f>D461-'Blocking-Step2'!D461</f>
        <v>0</v>
      </c>
      <c r="AC461" s="2114">
        <f>F461-'Blocking-Step2'!F461</f>
        <v>0</v>
      </c>
      <c r="AE461" s="2114">
        <f>H461-'Blocking-Step2'!H461</f>
        <v>0</v>
      </c>
      <c r="AF461" s="2114">
        <f>I461-'Blocking-Step2'!I461</f>
        <v>0</v>
      </c>
      <c r="AH461" s="2136">
        <f>K461-'Blocking-Step2'!K461</f>
        <v>0</v>
      </c>
      <c r="AJ461" s="2136">
        <f>M461-'Blocking-Step2'!M461</f>
        <v>0</v>
      </c>
      <c r="AL461" s="2136">
        <f>O461-'Blocking-Step2'!O461</f>
        <v>0</v>
      </c>
      <c r="AN461" s="2137">
        <f>Q461-'Blocking-Step2'!Q461</f>
        <v>0</v>
      </c>
      <c r="AP461" s="2127">
        <f>S461-'Blocking-Step2'!S461</f>
        <v>0</v>
      </c>
      <c r="AR461" s="2127">
        <f>U461-'Blocking-Step2'!U461</f>
        <v>0</v>
      </c>
      <c r="AT461" s="2127">
        <f>W461-'Blocking-Step2'!W461</f>
        <v>0</v>
      </c>
      <c r="AV461" s="2128">
        <f>Y461-'Blocking-Step2'!Y461</f>
        <v>0</v>
      </c>
    </row>
    <row r="462" spans="1:48" ht="16.5" hidden="1" thickTop="1">
      <c r="A462" s="1116" t="s">
        <v>261</v>
      </c>
      <c r="C462" s="1105">
        <v>0</v>
      </c>
      <c r="D462" s="1105">
        <v>0</v>
      </c>
      <c r="F462" s="1142">
        <v>-0.96</v>
      </c>
      <c r="G462" s="617"/>
      <c r="H462" s="1146">
        <v>0</v>
      </c>
      <c r="I462" s="1146">
        <v>0</v>
      </c>
      <c r="K462" s="1142">
        <v>-0.96</v>
      </c>
      <c r="L462" s="617"/>
      <c r="M462" s="1142">
        <v>0</v>
      </c>
      <c r="N462" s="617"/>
      <c r="O462" s="1142">
        <v>0</v>
      </c>
      <c r="P462" s="617"/>
      <c r="Q462" s="1142">
        <v>-0.96</v>
      </c>
      <c r="R462" s="617"/>
      <c r="S462" s="1146">
        <v>0</v>
      </c>
      <c r="T462" s="1629"/>
      <c r="U462" s="1146">
        <v>0</v>
      </c>
      <c r="V462" s="1629"/>
      <c r="W462" s="1146">
        <v>0</v>
      </c>
      <c r="X462" s="1629"/>
      <c r="Y462" s="1146">
        <v>0</v>
      </c>
      <c r="Z462" s="2114">
        <f>C462-'Blocking-Step2'!C462</f>
        <v>0</v>
      </c>
      <c r="AA462" s="2114">
        <f>D462-'Blocking-Step2'!D462</f>
        <v>0</v>
      </c>
      <c r="AC462" s="2114">
        <f>F462-'Blocking-Step2'!F462</f>
        <v>0</v>
      </c>
      <c r="AE462" s="2114">
        <f>H462-'Blocking-Step2'!H462</f>
        <v>0</v>
      </c>
      <c r="AF462" s="2114">
        <f>I462-'Blocking-Step2'!I462</f>
        <v>0</v>
      </c>
      <c r="AH462" s="2136">
        <f>K462-'Blocking-Step2'!K462</f>
        <v>0</v>
      </c>
      <c r="AJ462" s="2136">
        <f>M462-'Blocking-Step2'!M462</f>
        <v>0</v>
      </c>
      <c r="AL462" s="2136">
        <f>O462-'Blocking-Step2'!O462</f>
        <v>0</v>
      </c>
      <c r="AN462" s="2137">
        <f>Q462-'Blocking-Step2'!Q462</f>
        <v>0</v>
      </c>
      <c r="AP462" s="2127">
        <f>S462-'Blocking-Step2'!S462</f>
        <v>0</v>
      </c>
      <c r="AR462" s="2127">
        <f>U462-'Blocking-Step2'!U462</f>
        <v>0</v>
      </c>
      <c r="AT462" s="2127">
        <f>W462-'Blocking-Step2'!W462</f>
        <v>0</v>
      </c>
      <c r="AV462" s="2128">
        <f>Y462-'Blocking-Step2'!Y462</f>
        <v>0</v>
      </c>
    </row>
    <row r="463" spans="1:48" ht="16.5" hidden="1" thickTop="1">
      <c r="A463" s="1116" t="s">
        <v>1362</v>
      </c>
      <c r="C463" s="1105">
        <v>1850523.9064960799</v>
      </c>
      <c r="D463" s="1105">
        <v>2382300</v>
      </c>
      <c r="F463" s="1106">
        <v>3.8127</v>
      </c>
      <c r="G463" s="1921" t="s">
        <v>495</v>
      </c>
      <c r="H463" s="1146">
        <v>70555</v>
      </c>
      <c r="I463" s="1146">
        <v>90830</v>
      </c>
      <c r="K463" s="1106"/>
      <c r="L463" s="1921"/>
      <c r="M463" s="1106"/>
      <c r="N463" s="1921"/>
      <c r="O463" s="1106"/>
      <c r="P463" s="1921"/>
      <c r="Q463" s="1106"/>
      <c r="R463" s="1921"/>
      <c r="S463" s="1648"/>
      <c r="T463" s="1648"/>
      <c r="U463" s="1648"/>
      <c r="V463" s="1648"/>
      <c r="W463" s="1648"/>
      <c r="X463" s="1648"/>
      <c r="Y463" s="1146"/>
      <c r="Z463" s="2114">
        <f>C463-'Blocking-Step2'!C463</f>
        <v>0</v>
      </c>
      <c r="AA463" s="2114">
        <f>D463-'Blocking-Step2'!D463</f>
        <v>0</v>
      </c>
      <c r="AC463" s="2114">
        <f>F463-'Blocking-Step2'!F463</f>
        <v>0</v>
      </c>
      <c r="AE463" s="2114">
        <f>H463-'Blocking-Step2'!H463</f>
        <v>0</v>
      </c>
      <c r="AF463" s="2114">
        <f>I463-'Blocking-Step2'!I463</f>
        <v>0</v>
      </c>
      <c r="AH463" s="2136">
        <f>K463-'Blocking-Step2'!K463</f>
        <v>0</v>
      </c>
      <c r="AJ463" s="2136">
        <f>M463-'Blocking-Step2'!M463</f>
        <v>0</v>
      </c>
      <c r="AL463" s="2136">
        <f>O463-'Blocking-Step2'!O463</f>
        <v>0</v>
      </c>
      <c r="AN463" s="2137">
        <f>Q463-'Blocking-Step2'!Q463</f>
        <v>0</v>
      </c>
      <c r="AP463" s="2127">
        <f>S463-'Blocking-Step2'!S463</f>
        <v>0</v>
      </c>
      <c r="AR463" s="2127">
        <f>U463-'Blocking-Step2'!U463</f>
        <v>0</v>
      </c>
      <c r="AT463" s="2127">
        <f>W463-'Blocking-Step2'!W463</f>
        <v>0</v>
      </c>
      <c r="AV463" s="2128">
        <f>Y463-'Blocking-Step2'!Y463</f>
        <v>0</v>
      </c>
    </row>
    <row r="464" spans="1:48" ht="16.5" hidden="1" thickTop="1">
      <c r="A464" s="1116" t="s">
        <v>1363</v>
      </c>
      <c r="C464" s="1105">
        <v>2622631.5935039204</v>
      </c>
      <c r="D464" s="1105">
        <v>3376285.2212515902</v>
      </c>
      <c r="F464" s="1106">
        <v>3.5143</v>
      </c>
      <c r="G464" s="1921" t="s">
        <v>495</v>
      </c>
      <c r="H464" s="1146">
        <v>92167</v>
      </c>
      <c r="I464" s="1146">
        <v>118653</v>
      </c>
      <c r="K464" s="1106"/>
      <c r="L464" s="1921"/>
      <c r="M464" s="1106"/>
      <c r="N464" s="1921"/>
      <c r="O464" s="1106"/>
      <c r="P464" s="1921"/>
      <c r="Q464" s="1106"/>
      <c r="R464" s="1921"/>
      <c r="S464" s="1648"/>
      <c r="T464" s="1648"/>
      <c r="U464" s="1648"/>
      <c r="V464" s="1648"/>
      <c r="W464" s="1648"/>
      <c r="X464" s="1648"/>
      <c r="Y464" s="1146"/>
      <c r="Z464" s="2114">
        <f>C464-'Blocking-Step2'!C464</f>
        <v>0</v>
      </c>
      <c r="AA464" s="2114">
        <f>D464-'Blocking-Step2'!D464</f>
        <v>0</v>
      </c>
      <c r="AC464" s="2114">
        <f>F464-'Blocking-Step2'!F464</f>
        <v>0</v>
      </c>
      <c r="AE464" s="2114">
        <f>H464-'Blocking-Step2'!H464</f>
        <v>0</v>
      </c>
      <c r="AF464" s="2114">
        <f>I464-'Blocking-Step2'!I464</f>
        <v>0</v>
      </c>
      <c r="AH464" s="2136">
        <f>K464-'Blocking-Step2'!K464</f>
        <v>0</v>
      </c>
      <c r="AJ464" s="2136">
        <f>M464-'Blocking-Step2'!M464</f>
        <v>0</v>
      </c>
      <c r="AL464" s="2136">
        <f>O464-'Blocking-Step2'!O464</f>
        <v>0</v>
      </c>
      <c r="AN464" s="2137">
        <f>Q464-'Blocking-Step2'!Q464</f>
        <v>0</v>
      </c>
      <c r="AP464" s="2127">
        <f>S464-'Blocking-Step2'!S464</f>
        <v>0</v>
      </c>
      <c r="AR464" s="2127">
        <f>U464-'Blocking-Step2'!U464</f>
        <v>0</v>
      </c>
      <c r="AT464" s="2127">
        <f>W464-'Blocking-Step2'!W464</f>
        <v>0</v>
      </c>
      <c r="AV464" s="2128">
        <f>Y464-'Blocking-Step2'!Y464</f>
        <v>0</v>
      </c>
    </row>
    <row r="465" spans="1:48" ht="16.5" hidden="1" thickTop="1">
      <c r="A465" s="1116" t="s">
        <v>246</v>
      </c>
      <c r="C465" s="1940">
        <v>0</v>
      </c>
      <c r="D465" s="1940">
        <v>0</v>
      </c>
      <c r="H465" s="1147">
        <v>0</v>
      </c>
      <c r="I465" s="1147">
        <v>0</v>
      </c>
      <c r="Y465" s="1147"/>
      <c r="Z465" s="2114">
        <f>C465-'Blocking-Step2'!C465</f>
        <v>0</v>
      </c>
      <c r="AA465" s="2114">
        <f>D465-'Blocking-Step2'!D465</f>
        <v>0</v>
      </c>
      <c r="AC465" s="2114">
        <f>F465-'Blocking-Step2'!F465</f>
        <v>0</v>
      </c>
      <c r="AE465" s="2114">
        <f>H465-'Blocking-Step2'!H465</f>
        <v>0</v>
      </c>
      <c r="AF465" s="2114">
        <f>I465-'Blocking-Step2'!I465</f>
        <v>0</v>
      </c>
      <c r="AH465" s="2136">
        <f>K465-'Blocking-Step2'!K465</f>
        <v>0</v>
      </c>
      <c r="AJ465" s="2136">
        <f>M465-'Blocking-Step2'!M465</f>
        <v>0</v>
      </c>
      <c r="AL465" s="2136">
        <f>O465-'Blocking-Step2'!O465</f>
        <v>0</v>
      </c>
      <c r="AN465" s="2137">
        <f>Q465-'Blocking-Step2'!Q465</f>
        <v>0</v>
      </c>
      <c r="AP465" s="2127">
        <f>S465-'Blocking-Step2'!S465</f>
        <v>0</v>
      </c>
      <c r="AR465" s="2127">
        <f>U465-'Blocking-Step2'!U465</f>
        <v>0</v>
      </c>
      <c r="AT465" s="2127">
        <f>W465-'Blocking-Step2'!W465</f>
        <v>0</v>
      </c>
      <c r="AV465" s="2128">
        <f>Y465-'Blocking-Step2'!Y465</f>
        <v>0</v>
      </c>
    </row>
    <row r="466" spans="1:48" ht="16.5" hidden="1" thickTop="1">
      <c r="A466" s="1116" t="s">
        <v>1240</v>
      </c>
      <c r="C466" s="1024"/>
      <c r="D466" s="1024"/>
      <c r="F466" s="2076">
        <v>-3.61E-2</v>
      </c>
      <c r="G466" s="617"/>
      <c r="H466" s="1146">
        <v>-19499.992600000001</v>
      </c>
      <c r="I466" s="1146">
        <v>-25103.6512</v>
      </c>
      <c r="K466" s="2076"/>
      <c r="L466" s="617"/>
      <c r="M466" s="2076"/>
      <c r="N466" s="617"/>
      <c r="O466" s="2077" t="s">
        <v>2323</v>
      </c>
      <c r="P466" s="617"/>
      <c r="Q466" s="2076">
        <v>-2.76E-2</v>
      </c>
      <c r="R466" s="617"/>
      <c r="S466" s="1114"/>
      <c r="T466" s="1114"/>
      <c r="U466" s="1114"/>
      <c r="V466" s="1114"/>
      <c r="W466" s="1114"/>
      <c r="X466" s="1114"/>
      <c r="Y466" s="1146">
        <v>-19285.858799999998</v>
      </c>
      <c r="Z466" s="2114">
        <f>C466-'Blocking-Step2'!C466</f>
        <v>0</v>
      </c>
      <c r="AA466" s="2114">
        <f>D466-'Blocking-Step2'!D466</f>
        <v>0</v>
      </c>
      <c r="AC466" s="2114">
        <f>F466-'Blocking-Step2'!F466</f>
        <v>0</v>
      </c>
      <c r="AE466" s="2114">
        <f>H466-'Blocking-Step2'!H466</f>
        <v>0</v>
      </c>
      <c r="AF466" s="2114">
        <f>I466-'Blocking-Step2'!I466</f>
        <v>0</v>
      </c>
      <c r="AH466" s="2136">
        <f>K466-'Blocking-Step2'!K466</f>
        <v>0</v>
      </c>
      <c r="AJ466" s="2136">
        <f>M466-'Blocking-Step2'!M466</f>
        <v>0</v>
      </c>
      <c r="AL466" s="2136" t="e">
        <f>O466-'Blocking-Step2'!O466</f>
        <v>#VALUE!</v>
      </c>
      <c r="AN466" s="2137">
        <f>Q466-'Blocking-Step2'!Q466</f>
        <v>0</v>
      </c>
      <c r="AP466" s="2127">
        <f>S466-'Blocking-Step2'!S466</f>
        <v>0</v>
      </c>
      <c r="AR466" s="2127">
        <f>U466-'Blocking-Step2'!U466</f>
        <v>0</v>
      </c>
      <c r="AT466" s="2127">
        <f>W466-'Blocking-Step2'!W466</f>
        <v>0</v>
      </c>
      <c r="AV466" s="2128">
        <f>Y466-'Blocking-Step2'!Y466</f>
        <v>0</v>
      </c>
    </row>
    <row r="467" spans="1:48" ht="16.5" hidden="1" thickTop="1">
      <c r="A467" s="1116"/>
      <c r="C467" s="1024"/>
      <c r="D467" s="1024"/>
      <c r="F467" s="2076"/>
      <c r="G467" s="617"/>
      <c r="H467" s="1146"/>
      <c r="I467" s="1146"/>
      <c r="K467" s="2076"/>
      <c r="L467" s="617"/>
      <c r="M467" s="2076"/>
      <c r="N467" s="617"/>
      <c r="O467" s="2077" t="s">
        <v>2324</v>
      </c>
      <c r="P467" s="617"/>
      <c r="Q467" s="2076">
        <v>-1.4999999999999999E-2</v>
      </c>
      <c r="R467" s="617"/>
      <c r="S467" s="1114"/>
      <c r="T467" s="1114"/>
      <c r="U467" s="1114"/>
      <c r="V467" s="1114"/>
      <c r="W467" s="1114"/>
      <c r="X467" s="1114"/>
      <c r="Y467" s="1146">
        <v>-10481.445</v>
      </c>
      <c r="Z467" s="2114">
        <f>C467-'Blocking-Step2'!C467</f>
        <v>0</v>
      </c>
      <c r="AA467" s="2114">
        <f>D467-'Blocking-Step2'!D467</f>
        <v>0</v>
      </c>
      <c r="AC467" s="2114">
        <f>F467-'Blocking-Step2'!F467</f>
        <v>0</v>
      </c>
      <c r="AE467" s="2114">
        <f>H467-'Blocking-Step2'!H467</f>
        <v>0</v>
      </c>
      <c r="AF467" s="2114">
        <f>I467-'Blocking-Step2'!I467</f>
        <v>0</v>
      </c>
      <c r="AH467" s="2136">
        <f>K467-'Blocking-Step2'!K467</f>
        <v>0</v>
      </c>
      <c r="AJ467" s="2136">
        <f>M467-'Blocking-Step2'!M467</f>
        <v>0</v>
      </c>
      <c r="AL467" s="2136" t="e">
        <f>O467-'Blocking-Step2'!O467</f>
        <v>#VALUE!</v>
      </c>
      <c r="AN467" s="2137">
        <f>Q467-'Blocking-Step2'!Q467</f>
        <v>0</v>
      </c>
      <c r="AP467" s="2127">
        <f>S467-'Blocking-Step2'!S467</f>
        <v>0</v>
      </c>
      <c r="AR467" s="2127">
        <f>U467-'Blocking-Step2'!U467</f>
        <v>0</v>
      </c>
      <c r="AT467" s="2127">
        <f>W467-'Blocking-Step2'!W467</f>
        <v>0</v>
      </c>
      <c r="AV467" s="2128">
        <f>Y467-'Blocking-Step2'!Y467</f>
        <v>0</v>
      </c>
    </row>
    <row r="468" spans="1:48" ht="17.25" hidden="1" thickTop="1" thickBot="1">
      <c r="A468" s="1116" t="s">
        <v>247</v>
      </c>
      <c r="C468" s="1138">
        <v>4473155.5</v>
      </c>
      <c r="D468" s="1138">
        <v>5758585.2212515902</v>
      </c>
      <c r="F468" s="1145"/>
      <c r="H468" s="1149">
        <v>666357.0074</v>
      </c>
      <c r="I468" s="1149">
        <v>857299.34880000004</v>
      </c>
      <c r="K468" s="1145"/>
      <c r="M468" s="1145"/>
      <c r="O468" s="1145"/>
      <c r="Q468" s="1145"/>
      <c r="S468" s="1149">
        <v>205212</v>
      </c>
      <c r="U468" s="1149">
        <v>557201</v>
      </c>
      <c r="W468" s="1149">
        <v>122969</v>
      </c>
      <c r="Y468" s="1149">
        <v>885381</v>
      </c>
      <c r="Z468" s="2114">
        <f>C468-'Blocking-Step2'!C468</f>
        <v>0</v>
      </c>
      <c r="AA468" s="2114">
        <f>D468-'Blocking-Step2'!D468</f>
        <v>0</v>
      </c>
      <c r="AC468" s="2114">
        <f>F468-'Blocking-Step2'!F468</f>
        <v>0</v>
      </c>
      <c r="AE468" s="2114">
        <f>H468-'Blocking-Step2'!H468</f>
        <v>0</v>
      </c>
      <c r="AF468" s="2114">
        <f>I468-'Blocking-Step2'!I468</f>
        <v>0</v>
      </c>
      <c r="AH468" s="2136">
        <f>K468-'Blocking-Step2'!K468</f>
        <v>0</v>
      </c>
      <c r="AJ468" s="2136">
        <f>M468-'Blocking-Step2'!M468</f>
        <v>0</v>
      </c>
      <c r="AL468" s="2136">
        <f>O468-'Blocking-Step2'!O468</f>
        <v>0</v>
      </c>
      <c r="AN468" s="2137">
        <f>Q468-'Blocking-Step2'!Q468</f>
        <v>0</v>
      </c>
      <c r="AP468" s="2127">
        <f>S468-'Blocking-Step2'!S468</f>
        <v>-212940</v>
      </c>
      <c r="AR468" s="2127">
        <f>U468-'Blocking-Step2'!U468</f>
        <v>212941</v>
      </c>
      <c r="AT468" s="2127">
        <f>W468-'Blocking-Step2'!W468</f>
        <v>0</v>
      </c>
      <c r="AV468" s="2128">
        <f>Y468-'Blocking-Step2'!Y468</f>
        <v>0</v>
      </c>
    </row>
    <row r="469" spans="1:48" ht="16.5" hidden="1" thickTop="1">
      <c r="Z469" s="2114">
        <f>C469-'Blocking-Step2'!C469</f>
        <v>0</v>
      </c>
      <c r="AA469" s="2114">
        <f>D469-'Blocking-Step2'!D469</f>
        <v>0</v>
      </c>
      <c r="AC469" s="2114">
        <f>F469-'Blocking-Step2'!F469</f>
        <v>0</v>
      </c>
      <c r="AE469" s="2114">
        <f>H469-'Blocking-Step2'!H469</f>
        <v>0</v>
      </c>
      <c r="AF469" s="2114">
        <f>I469-'Blocking-Step2'!I469</f>
        <v>0</v>
      </c>
      <c r="AH469" s="2136">
        <f>K469-'Blocking-Step2'!K469</f>
        <v>0</v>
      </c>
      <c r="AJ469" s="2136">
        <f>M469-'Blocking-Step2'!M469</f>
        <v>0</v>
      </c>
      <c r="AL469" s="2136">
        <f>O469-'Blocking-Step2'!O469</f>
        <v>0</v>
      </c>
      <c r="AN469" s="2137">
        <f>Q469-'Blocking-Step2'!Q469</f>
        <v>0</v>
      </c>
      <c r="AP469" s="2127">
        <f>S469-'Blocking-Step2'!S469</f>
        <v>0</v>
      </c>
      <c r="AR469" s="2127">
        <f>U469-'Blocking-Step2'!U469</f>
        <v>0</v>
      </c>
      <c r="AT469" s="2127">
        <f>W469-'Blocking-Step2'!W469</f>
        <v>0</v>
      </c>
      <c r="AV469" s="2128">
        <f>Y469-'Blocking-Step2'!Y469</f>
        <v>0</v>
      </c>
    </row>
    <row r="470" spans="1:48" ht="16.5" hidden="1" thickTop="1">
      <c r="A470" s="1115" t="s">
        <v>1921</v>
      </c>
      <c r="C470" s="1105"/>
      <c r="D470" s="1105"/>
      <c r="Z470" s="2114">
        <f>C470-'Blocking-Step2'!C470</f>
        <v>0</v>
      </c>
      <c r="AA470" s="2114">
        <f>D470-'Blocking-Step2'!D470</f>
        <v>0</v>
      </c>
      <c r="AC470" s="2114">
        <f>F470-'Blocking-Step2'!F470</f>
        <v>0</v>
      </c>
      <c r="AE470" s="2114">
        <f>H470-'Blocking-Step2'!H470</f>
        <v>0</v>
      </c>
      <c r="AF470" s="2114">
        <f>I470-'Blocking-Step2'!I470</f>
        <v>0</v>
      </c>
      <c r="AH470" s="2136">
        <f>K470-'Blocking-Step2'!K470</f>
        <v>0</v>
      </c>
      <c r="AJ470" s="2136">
        <f>M470-'Blocking-Step2'!M470</f>
        <v>0</v>
      </c>
      <c r="AL470" s="2136">
        <f>O470-'Blocking-Step2'!O470</f>
        <v>0</v>
      </c>
      <c r="AN470" s="2137">
        <f>Q470-'Blocking-Step2'!Q470</f>
        <v>0</v>
      </c>
      <c r="AP470" s="2127">
        <f>S470-'Blocking-Step2'!S470</f>
        <v>0</v>
      </c>
      <c r="AR470" s="2127">
        <f>U470-'Blocking-Step2'!U470</f>
        <v>0</v>
      </c>
      <c r="AT470" s="2127">
        <f>W470-'Blocking-Step2'!W470</f>
        <v>0</v>
      </c>
      <c r="AV470" s="2128">
        <f>Y470-'Blocking-Step2'!Y470</f>
        <v>0</v>
      </c>
    </row>
    <row r="471" spans="1:48" ht="16.5" hidden="1" thickTop="1">
      <c r="A471" s="1116" t="s">
        <v>240</v>
      </c>
      <c r="C471" s="1105">
        <v>12</v>
      </c>
      <c r="D471" s="1105">
        <v>33</v>
      </c>
      <c r="F471" s="1907"/>
      <c r="G471" s="1110"/>
      <c r="H471" s="1146"/>
      <c r="I471" s="1146"/>
      <c r="K471" s="1907">
        <v>54</v>
      </c>
      <c r="L471" s="1110"/>
      <c r="M471" s="1907">
        <v>0</v>
      </c>
      <c r="N471" s="1110"/>
      <c r="O471" s="1907">
        <v>0</v>
      </c>
      <c r="P471" s="1110"/>
      <c r="Q471" s="1907">
        <v>54</v>
      </c>
      <c r="R471" s="1110"/>
      <c r="S471" s="1146">
        <v>1782</v>
      </c>
      <c r="T471" s="1629"/>
      <c r="U471" s="1146">
        <v>0</v>
      </c>
      <c r="V471" s="1629"/>
      <c r="W471" s="1146">
        <v>0</v>
      </c>
      <c r="X471" s="1629"/>
      <c r="Y471" s="1146">
        <v>1782</v>
      </c>
      <c r="Z471" s="2114">
        <f>C471-'Blocking-Step2'!C471</f>
        <v>0</v>
      </c>
      <c r="AA471" s="2114">
        <f>D471-'Blocking-Step2'!D471</f>
        <v>0</v>
      </c>
      <c r="AC471" s="2114">
        <f>F471-'Blocking-Step2'!F471</f>
        <v>0</v>
      </c>
      <c r="AE471" s="2114">
        <f>H471-'Blocking-Step2'!H471</f>
        <v>0</v>
      </c>
      <c r="AF471" s="2114">
        <f>I471-'Blocking-Step2'!I471</f>
        <v>0</v>
      </c>
      <c r="AH471" s="2136">
        <f>K471-'Blocking-Step2'!K471</f>
        <v>0</v>
      </c>
      <c r="AJ471" s="2136">
        <f>M471-'Blocking-Step2'!M471</f>
        <v>0</v>
      </c>
      <c r="AL471" s="2136">
        <f>O471-'Blocking-Step2'!O471</f>
        <v>0</v>
      </c>
      <c r="AN471" s="2137">
        <f>Q471-'Blocking-Step2'!Q471</f>
        <v>0</v>
      </c>
      <c r="AP471" s="2127">
        <f>S471-'Blocking-Step2'!S471</f>
        <v>0</v>
      </c>
      <c r="AR471" s="2127">
        <f>U471-'Blocking-Step2'!U471</f>
        <v>0</v>
      </c>
      <c r="AT471" s="2127">
        <f>W471-'Blocking-Step2'!W471</f>
        <v>0</v>
      </c>
      <c r="AV471" s="2128">
        <f>Y471-'Blocking-Step2'!Y471</f>
        <v>0</v>
      </c>
    </row>
    <row r="472" spans="1:48" ht="16.5" hidden="1" thickTop="1">
      <c r="A472" s="1116" t="s">
        <v>1910</v>
      </c>
      <c r="C472" s="1105">
        <v>13275</v>
      </c>
      <c r="D472" s="1105">
        <v>37438.428809180441</v>
      </c>
      <c r="E472" s="617"/>
      <c r="F472" s="1143"/>
      <c r="G472" s="1921"/>
      <c r="H472" s="1146"/>
      <c r="I472" s="1146"/>
      <c r="J472" s="617"/>
      <c r="K472" s="1143">
        <v>1.657</v>
      </c>
      <c r="L472" s="1921" t="s">
        <v>495</v>
      </c>
      <c r="M472" s="1143">
        <v>19.370528114911814</v>
      </c>
      <c r="N472" s="1921" t="s">
        <v>495</v>
      </c>
      <c r="O472" s="1143">
        <v>1.3496999999999999</v>
      </c>
      <c r="P472" s="1921" t="s">
        <v>495</v>
      </c>
      <c r="Q472" s="1143">
        <v>22.377228114911812</v>
      </c>
      <c r="R472" s="1921" t="s">
        <v>495</v>
      </c>
      <c r="S472" s="1146">
        <v>620</v>
      </c>
      <c r="T472" s="1648"/>
      <c r="U472" s="1146">
        <v>7252</v>
      </c>
      <c r="V472" s="1648"/>
      <c r="W472" s="1146">
        <v>505</v>
      </c>
      <c r="X472" s="1648"/>
      <c r="Y472" s="1146">
        <v>8378</v>
      </c>
      <c r="Z472" s="2114">
        <f>C472-'Blocking-Step2'!C472</f>
        <v>0</v>
      </c>
      <c r="AA472" s="2114">
        <f>D472-'Blocking-Step2'!D472</f>
        <v>0</v>
      </c>
      <c r="AC472" s="2114">
        <f>F472-'Blocking-Step2'!F472</f>
        <v>0</v>
      </c>
      <c r="AE472" s="2114">
        <f>H472-'Blocking-Step2'!H472</f>
        <v>0</v>
      </c>
      <c r="AF472" s="2114">
        <f>I472-'Blocking-Step2'!I472</f>
        <v>0</v>
      </c>
      <c r="AH472" s="2136">
        <f>K472-'Blocking-Step2'!K472</f>
        <v>-2.2955000000000001</v>
      </c>
      <c r="AJ472" s="2136">
        <f>M472-'Blocking-Step2'!M472</f>
        <v>2.2955000000000005</v>
      </c>
      <c r="AL472" s="2136">
        <f>O472-'Blocking-Step2'!O472</f>
        <v>0</v>
      </c>
      <c r="AN472" s="2137">
        <f>Q472-'Blocking-Step2'!Q472</f>
        <v>0</v>
      </c>
      <c r="AP472" s="2127">
        <f>S472-'Blocking-Step2'!S472</f>
        <v>-860</v>
      </c>
      <c r="AR472" s="2127">
        <f>U472-'Blocking-Step2'!U472</f>
        <v>859</v>
      </c>
      <c r="AT472" s="2127">
        <f>W472-'Blocking-Step2'!W472</f>
        <v>0</v>
      </c>
      <c r="AV472" s="2128">
        <f>Y472-'Blocking-Step2'!Y472</f>
        <v>0</v>
      </c>
    </row>
    <row r="473" spans="1:48" ht="16.5" hidden="1" thickTop="1">
      <c r="A473" s="1116" t="s">
        <v>1911</v>
      </c>
      <c r="C473" s="1105">
        <v>26685</v>
      </c>
      <c r="D473" s="1105">
        <v>75257.587402861027</v>
      </c>
      <c r="E473" s="617"/>
      <c r="F473" s="1143"/>
      <c r="G473" s="1921"/>
      <c r="H473" s="1146"/>
      <c r="I473" s="1146"/>
      <c r="J473" s="617"/>
      <c r="K473" s="1143">
        <v>1.657</v>
      </c>
      <c r="L473" s="1921" t="s">
        <v>495</v>
      </c>
      <c r="M473" s="1143">
        <v>1.3803172825590004</v>
      </c>
      <c r="N473" s="1921" t="s">
        <v>495</v>
      </c>
      <c r="O473" s="1143">
        <v>1.3496999999999999</v>
      </c>
      <c r="P473" s="1921" t="s">
        <v>495</v>
      </c>
      <c r="Q473" s="1143">
        <v>4.3870172825590004</v>
      </c>
      <c r="R473" s="1921" t="s">
        <v>495</v>
      </c>
      <c r="S473" s="1146">
        <v>1247</v>
      </c>
      <c r="T473" s="1648"/>
      <c r="U473" s="1146">
        <v>1039</v>
      </c>
      <c r="V473" s="1648"/>
      <c r="W473" s="1146">
        <v>1016</v>
      </c>
      <c r="X473" s="1648"/>
      <c r="Y473" s="1146">
        <v>3302</v>
      </c>
      <c r="Z473" s="2114">
        <f>C473-'Blocking-Step2'!C473</f>
        <v>0</v>
      </c>
      <c r="AA473" s="2114">
        <f>D473-'Blocking-Step2'!D473</f>
        <v>0</v>
      </c>
      <c r="AC473" s="2114">
        <f>F473-'Blocking-Step2'!F473</f>
        <v>0</v>
      </c>
      <c r="AE473" s="2114">
        <f>H473-'Blocking-Step2'!H473</f>
        <v>0</v>
      </c>
      <c r="AF473" s="2114">
        <f>I473-'Blocking-Step2'!I473</f>
        <v>0</v>
      </c>
      <c r="AH473" s="2136">
        <f>K473-'Blocking-Step2'!K473</f>
        <v>-2.2955000000000001</v>
      </c>
      <c r="AJ473" s="2136">
        <f>M473-'Blocking-Step2'!M473</f>
        <v>2.2955000000000001</v>
      </c>
      <c r="AL473" s="2136">
        <f>O473-'Blocking-Step2'!O473</f>
        <v>0</v>
      </c>
      <c r="AN473" s="2137">
        <f>Q473-'Blocking-Step2'!Q473</f>
        <v>0</v>
      </c>
      <c r="AP473" s="2127">
        <f>S473-'Blocking-Step2'!S473</f>
        <v>-1728</v>
      </c>
      <c r="AR473" s="2127">
        <f>U473-'Blocking-Step2'!U473</f>
        <v>1728</v>
      </c>
      <c r="AT473" s="2127">
        <f>W473-'Blocking-Step2'!W473</f>
        <v>0</v>
      </c>
      <c r="AV473" s="2128">
        <f>Y473-'Blocking-Step2'!Y473</f>
        <v>0</v>
      </c>
    </row>
    <row r="474" spans="1:48" ht="16.5" hidden="1" thickTop="1">
      <c r="A474" s="1116" t="s">
        <v>1912</v>
      </c>
      <c r="C474" s="1105">
        <v>22525</v>
      </c>
      <c r="D474" s="1105">
        <v>63525.469599004857</v>
      </c>
      <c r="E474" s="617"/>
      <c r="F474" s="1143"/>
      <c r="G474" s="1921"/>
      <c r="H474" s="1146"/>
      <c r="I474" s="1146"/>
      <c r="J474" s="617"/>
      <c r="K474" s="1143">
        <v>1.657</v>
      </c>
      <c r="L474" s="1921" t="s">
        <v>495</v>
      </c>
      <c r="M474" s="1143">
        <v>16.951500000000003</v>
      </c>
      <c r="N474" s="1921" t="s">
        <v>495</v>
      </c>
      <c r="O474" s="1143">
        <v>1.1943999999999999</v>
      </c>
      <c r="P474" s="1921" t="s">
        <v>495</v>
      </c>
      <c r="Q474" s="1143">
        <v>19.802900000000001</v>
      </c>
      <c r="R474" s="1921" t="s">
        <v>495</v>
      </c>
      <c r="S474" s="1146">
        <v>1053</v>
      </c>
      <c r="T474" s="1648"/>
      <c r="U474" s="1146">
        <v>10769</v>
      </c>
      <c r="V474" s="1648"/>
      <c r="W474" s="1146">
        <v>759</v>
      </c>
      <c r="X474" s="1648"/>
      <c r="Y474" s="1146">
        <v>12580</v>
      </c>
      <c r="Z474" s="2114">
        <f>C474-'Blocking-Step2'!C474</f>
        <v>0</v>
      </c>
      <c r="AA474" s="2114">
        <f>D474-'Blocking-Step2'!D474</f>
        <v>0</v>
      </c>
      <c r="AC474" s="2114">
        <f>F474-'Blocking-Step2'!F474</f>
        <v>0</v>
      </c>
      <c r="AE474" s="2114">
        <f>H474-'Blocking-Step2'!H474</f>
        <v>0</v>
      </c>
      <c r="AF474" s="2114">
        <f>I474-'Blocking-Step2'!I474</f>
        <v>0</v>
      </c>
      <c r="AH474" s="2136">
        <f>K474-'Blocking-Step2'!K474</f>
        <v>-2.2955000000000001</v>
      </c>
      <c r="AJ474" s="2136">
        <f>M474-'Blocking-Step2'!M474</f>
        <v>2.2955000000000023</v>
      </c>
      <c r="AL474" s="2136">
        <f>O474-'Blocking-Step2'!O474</f>
        <v>0</v>
      </c>
      <c r="AN474" s="2137">
        <f>Q474-'Blocking-Step2'!Q474</f>
        <v>0</v>
      </c>
      <c r="AP474" s="2127">
        <f>S474-'Blocking-Step2'!S474</f>
        <v>-1458</v>
      </c>
      <c r="AR474" s="2127">
        <f>U474-'Blocking-Step2'!U474</f>
        <v>1459</v>
      </c>
      <c r="AT474" s="2127">
        <f>W474-'Blocking-Step2'!W474</f>
        <v>0</v>
      </c>
      <c r="AV474" s="2128">
        <f>Y474-'Blocking-Step2'!Y474</f>
        <v>0</v>
      </c>
    </row>
    <row r="475" spans="1:48" ht="16.5" hidden="1" thickTop="1">
      <c r="A475" s="1116" t="s">
        <v>1913</v>
      </c>
      <c r="C475" s="1105">
        <v>46055</v>
      </c>
      <c r="D475" s="1105">
        <v>129885.26092706631</v>
      </c>
      <c r="E475" s="617"/>
      <c r="F475" s="1143"/>
      <c r="G475" s="1921"/>
      <c r="H475" s="1146"/>
      <c r="I475" s="1146"/>
      <c r="J475" s="617"/>
      <c r="K475" s="1143">
        <v>1.657</v>
      </c>
      <c r="L475" s="1921" t="s">
        <v>495</v>
      </c>
      <c r="M475" s="1143">
        <v>1.0308999999999999</v>
      </c>
      <c r="N475" s="1921" t="s">
        <v>495</v>
      </c>
      <c r="O475" s="1143">
        <v>1.1943999999999999</v>
      </c>
      <c r="P475" s="1921" t="s">
        <v>495</v>
      </c>
      <c r="Q475" s="1143">
        <v>3.8822999999999999</v>
      </c>
      <c r="R475" s="1921" t="s">
        <v>495</v>
      </c>
      <c r="S475" s="1146">
        <v>2152</v>
      </c>
      <c r="T475" s="1648"/>
      <c r="U475" s="1146">
        <v>1339</v>
      </c>
      <c r="V475" s="1648"/>
      <c r="W475" s="1146">
        <v>1551</v>
      </c>
      <c r="X475" s="1648"/>
      <c r="Y475" s="1146">
        <v>5043</v>
      </c>
      <c r="Z475" s="2114">
        <f>C475-'Blocking-Step2'!C475</f>
        <v>0</v>
      </c>
      <c r="AA475" s="2114">
        <f>D475-'Blocking-Step2'!D475</f>
        <v>0</v>
      </c>
      <c r="AC475" s="2114">
        <f>F475-'Blocking-Step2'!F475</f>
        <v>0</v>
      </c>
      <c r="AE475" s="2114">
        <f>H475-'Blocking-Step2'!H475</f>
        <v>0</v>
      </c>
      <c r="AF475" s="2114">
        <f>I475-'Blocking-Step2'!I475</f>
        <v>0</v>
      </c>
      <c r="AH475" s="2136">
        <f>K475-'Blocking-Step2'!K475</f>
        <v>-2.2955000000000001</v>
      </c>
      <c r="AJ475" s="2136">
        <f>M475-'Blocking-Step2'!M475</f>
        <v>2.2955000000000001</v>
      </c>
      <c r="AL475" s="2136">
        <f>O475-'Blocking-Step2'!O475</f>
        <v>0</v>
      </c>
      <c r="AN475" s="2137">
        <f>Q475-'Blocking-Step2'!Q475</f>
        <v>0</v>
      </c>
      <c r="AP475" s="2127">
        <f>S475-'Blocking-Step2'!S475</f>
        <v>-2982</v>
      </c>
      <c r="AR475" s="2127">
        <f>U475-'Blocking-Step2'!U475</f>
        <v>2982</v>
      </c>
      <c r="AT475" s="2127">
        <f>W475-'Blocking-Step2'!W475</f>
        <v>0</v>
      </c>
      <c r="AV475" s="2128">
        <f>Y475-'Blocking-Step2'!Y475</f>
        <v>0</v>
      </c>
    </row>
    <row r="476" spans="1:48" ht="16.5" hidden="1" thickTop="1">
      <c r="A476" s="1116" t="s">
        <v>1906</v>
      </c>
      <c r="C476" s="1105">
        <v>22191.806131162721</v>
      </c>
      <c r="D476" s="1105">
        <v>62585.789377677567</v>
      </c>
      <c r="E476" s="617"/>
      <c r="F476" s="1143"/>
      <c r="G476" s="1921"/>
      <c r="H476" s="1146"/>
      <c r="I476" s="1146"/>
      <c r="J476" s="617"/>
      <c r="K476" s="1143">
        <v>0</v>
      </c>
      <c r="L476" s="1921" t="s">
        <v>495</v>
      </c>
      <c r="M476" s="1143">
        <v>0</v>
      </c>
      <c r="N476" s="1921" t="s">
        <v>495</v>
      </c>
      <c r="O476" s="1143">
        <v>6</v>
      </c>
      <c r="P476" s="1921" t="s">
        <v>495</v>
      </c>
      <c r="Q476" s="1143">
        <v>6</v>
      </c>
      <c r="R476" s="1921" t="s">
        <v>495</v>
      </c>
      <c r="S476" s="1146">
        <v>0</v>
      </c>
      <c r="T476" s="1648"/>
      <c r="U476" s="1146">
        <v>0</v>
      </c>
      <c r="V476" s="1648"/>
      <c r="W476" s="1146">
        <v>3755</v>
      </c>
      <c r="X476" s="1648"/>
      <c r="Y476" s="1146">
        <v>3755</v>
      </c>
      <c r="Z476" s="2114">
        <f>C476-'Blocking-Step2'!C476</f>
        <v>0</v>
      </c>
      <c r="AA476" s="2114">
        <f>D476-'Blocking-Step2'!D476</f>
        <v>0</v>
      </c>
      <c r="AC476" s="2114">
        <f>F476-'Blocking-Step2'!F476</f>
        <v>0</v>
      </c>
      <c r="AE476" s="2114">
        <f>H476-'Blocking-Step2'!H476</f>
        <v>0</v>
      </c>
      <c r="AF476" s="2114">
        <f>I476-'Blocking-Step2'!I476</f>
        <v>0</v>
      </c>
      <c r="AH476" s="2136">
        <f>K476-'Blocking-Step2'!K476</f>
        <v>0</v>
      </c>
      <c r="AJ476" s="2136">
        <f>M476-'Blocking-Step2'!M476</f>
        <v>0</v>
      </c>
      <c r="AL476" s="2136">
        <f>O476-'Blocking-Step2'!O476</f>
        <v>0</v>
      </c>
      <c r="AN476" s="2137">
        <f>Q476-'Blocking-Step2'!Q476</f>
        <v>0</v>
      </c>
      <c r="AP476" s="2127">
        <f>S476-'Blocking-Step2'!S476</f>
        <v>0</v>
      </c>
      <c r="AR476" s="2127">
        <f>U476-'Blocking-Step2'!U476</f>
        <v>0</v>
      </c>
      <c r="AT476" s="2127">
        <f>W476-'Blocking-Step2'!W476</f>
        <v>0</v>
      </c>
      <c r="AV476" s="2128">
        <f>Y476-'Blocking-Step2'!Y476</f>
        <v>0</v>
      </c>
    </row>
    <row r="477" spans="1:48" ht="16.5" hidden="1" thickTop="1">
      <c r="A477" s="1116" t="s">
        <v>1907</v>
      </c>
      <c r="C477" s="1105">
        <v>17768.193868837279</v>
      </c>
      <c r="D477" s="1105">
        <v>50110.226834363915</v>
      </c>
      <c r="E477" s="617"/>
      <c r="F477" s="1143"/>
      <c r="G477" s="1921"/>
      <c r="H477" s="1146"/>
      <c r="I477" s="1146"/>
      <c r="J477" s="617"/>
      <c r="K477" s="1143">
        <v>0</v>
      </c>
      <c r="L477" s="1921" t="s">
        <v>495</v>
      </c>
      <c r="M477" s="1143">
        <v>0</v>
      </c>
      <c r="N477" s="1921" t="s">
        <v>495</v>
      </c>
      <c r="O477" s="1143">
        <v>-2.3358000000000008</v>
      </c>
      <c r="P477" s="1921" t="s">
        <v>495</v>
      </c>
      <c r="Q477" s="1143">
        <v>-2.3358000000000008</v>
      </c>
      <c r="R477" s="1921" t="s">
        <v>495</v>
      </c>
      <c r="S477" s="1146">
        <v>0</v>
      </c>
      <c r="T477" s="1648"/>
      <c r="U477" s="1146">
        <v>0</v>
      </c>
      <c r="V477" s="1648"/>
      <c r="W477" s="1146">
        <v>-1170</v>
      </c>
      <c r="X477" s="1648"/>
      <c r="Y477" s="1146">
        <v>-1170</v>
      </c>
      <c r="Z477" s="2114">
        <f>C477-'Blocking-Step2'!C477</f>
        <v>0</v>
      </c>
      <c r="AA477" s="2114">
        <f>D477-'Blocking-Step2'!D477</f>
        <v>0</v>
      </c>
      <c r="AC477" s="2114">
        <f>F477-'Blocking-Step2'!F477</f>
        <v>0</v>
      </c>
      <c r="AE477" s="2114">
        <f>H477-'Blocking-Step2'!H477</f>
        <v>0</v>
      </c>
      <c r="AF477" s="2114">
        <f>I477-'Blocking-Step2'!I477</f>
        <v>0</v>
      </c>
      <c r="AH477" s="2136">
        <f>K477-'Blocking-Step2'!K477</f>
        <v>0</v>
      </c>
      <c r="AJ477" s="2136">
        <f>M477-'Blocking-Step2'!M477</f>
        <v>0</v>
      </c>
      <c r="AL477" s="2136">
        <f>O477-'Blocking-Step2'!O477</f>
        <v>0</v>
      </c>
      <c r="AN477" s="2137">
        <f>Q477-'Blocking-Step2'!Q477</f>
        <v>0</v>
      </c>
      <c r="AP477" s="2127">
        <f>S477-'Blocking-Step2'!S477</f>
        <v>0</v>
      </c>
      <c r="AR477" s="2127">
        <f>U477-'Blocking-Step2'!U477</f>
        <v>0</v>
      </c>
      <c r="AT477" s="2127">
        <f>W477-'Blocking-Step2'!W477</f>
        <v>0</v>
      </c>
      <c r="AV477" s="2128">
        <f>Y477-'Blocking-Step2'!Y477</f>
        <v>0</v>
      </c>
    </row>
    <row r="478" spans="1:48" ht="16.5" hidden="1" thickTop="1">
      <c r="A478" s="1116" t="s">
        <v>1908</v>
      </c>
      <c r="C478" s="1105">
        <v>38085.937549427908</v>
      </c>
      <c r="D478" s="1105">
        <v>107410.74663466282</v>
      </c>
      <c r="E478" s="617"/>
      <c r="F478" s="1143"/>
      <c r="G478" s="1921"/>
      <c r="H478" s="1146"/>
      <c r="I478" s="1146"/>
      <c r="J478" s="617"/>
      <c r="K478" s="1143">
        <v>0</v>
      </c>
      <c r="L478" s="1921" t="s">
        <v>495</v>
      </c>
      <c r="M478" s="1143">
        <v>0</v>
      </c>
      <c r="N478" s="1921" t="s">
        <v>495</v>
      </c>
      <c r="O478" s="1143">
        <v>5.3097000000000003</v>
      </c>
      <c r="P478" s="1921" t="s">
        <v>495</v>
      </c>
      <c r="Q478" s="1143">
        <v>5.3097000000000003</v>
      </c>
      <c r="R478" s="1921" t="s">
        <v>495</v>
      </c>
      <c r="S478" s="1146">
        <v>0</v>
      </c>
      <c r="T478" s="1648"/>
      <c r="U478" s="1146">
        <v>0</v>
      </c>
      <c r="V478" s="1648"/>
      <c r="W478" s="1146">
        <v>5703</v>
      </c>
      <c r="X478" s="1648"/>
      <c r="Y478" s="1146">
        <v>5703</v>
      </c>
      <c r="Z478" s="2114">
        <f>C478-'Blocking-Step2'!C478</f>
        <v>0</v>
      </c>
      <c r="AA478" s="2114">
        <f>D478-'Blocking-Step2'!D478</f>
        <v>0</v>
      </c>
      <c r="AC478" s="2114">
        <f>F478-'Blocking-Step2'!F478</f>
        <v>0</v>
      </c>
      <c r="AE478" s="2114">
        <f>H478-'Blocking-Step2'!H478</f>
        <v>0</v>
      </c>
      <c r="AF478" s="2114">
        <f>I478-'Blocking-Step2'!I478</f>
        <v>0</v>
      </c>
      <c r="AH478" s="2136">
        <f>K478-'Blocking-Step2'!K478</f>
        <v>0</v>
      </c>
      <c r="AJ478" s="2136">
        <f>M478-'Blocking-Step2'!M478</f>
        <v>0</v>
      </c>
      <c r="AL478" s="2136">
        <f>O478-'Blocking-Step2'!O478</f>
        <v>0</v>
      </c>
      <c r="AN478" s="2137">
        <f>Q478-'Blocking-Step2'!Q478</f>
        <v>0</v>
      </c>
      <c r="AP478" s="2127">
        <f>S478-'Blocking-Step2'!S478</f>
        <v>0</v>
      </c>
      <c r="AR478" s="2127">
        <f>U478-'Blocking-Step2'!U478</f>
        <v>0</v>
      </c>
      <c r="AT478" s="2127">
        <f>W478-'Blocking-Step2'!W478</f>
        <v>0</v>
      </c>
      <c r="AV478" s="2128">
        <f>Y478-'Blocking-Step2'!Y478</f>
        <v>0</v>
      </c>
    </row>
    <row r="479" spans="1:48" ht="16.5" hidden="1" thickTop="1">
      <c r="A479" s="1116" t="s">
        <v>1909</v>
      </c>
      <c r="C479" s="1105">
        <v>30494.062450572088</v>
      </c>
      <c r="D479" s="1105">
        <v>85999.983891408338</v>
      </c>
      <c r="E479" s="617"/>
      <c r="F479" s="1143"/>
      <c r="G479" s="1921"/>
      <c r="H479" s="1146"/>
      <c r="I479" s="1146"/>
      <c r="J479" s="617"/>
      <c r="K479" s="1143">
        <v>0</v>
      </c>
      <c r="L479" s="1921" t="s">
        <v>495</v>
      </c>
      <c r="M479" s="1143">
        <v>0</v>
      </c>
      <c r="N479" s="1921" t="s">
        <v>495</v>
      </c>
      <c r="O479" s="1143">
        <v>-2.0670999999999999</v>
      </c>
      <c r="P479" s="1921" t="s">
        <v>495</v>
      </c>
      <c r="Q479" s="1143">
        <v>-2.0670999999999999</v>
      </c>
      <c r="R479" s="1921" t="s">
        <v>495</v>
      </c>
      <c r="S479" s="1146">
        <v>0</v>
      </c>
      <c r="T479" s="1648"/>
      <c r="U479" s="1146">
        <v>0</v>
      </c>
      <c r="V479" s="1648"/>
      <c r="W479" s="1146">
        <v>-1778</v>
      </c>
      <c r="X479" s="1648"/>
      <c r="Y479" s="1146">
        <v>-1778</v>
      </c>
      <c r="Z479" s="2114">
        <f>C479-'Blocking-Step2'!C479</f>
        <v>0</v>
      </c>
      <c r="AA479" s="2114">
        <f>D479-'Blocking-Step2'!D479</f>
        <v>0</v>
      </c>
      <c r="AC479" s="2114">
        <f>F479-'Blocking-Step2'!F479</f>
        <v>0</v>
      </c>
      <c r="AE479" s="2114">
        <f>H479-'Blocking-Step2'!H479</f>
        <v>0</v>
      </c>
      <c r="AF479" s="2114">
        <f>I479-'Blocking-Step2'!I479</f>
        <v>0</v>
      </c>
      <c r="AH479" s="2136">
        <f>K479-'Blocking-Step2'!K479</f>
        <v>0</v>
      </c>
      <c r="AJ479" s="2136">
        <f>M479-'Blocking-Step2'!M479</f>
        <v>0</v>
      </c>
      <c r="AL479" s="2136">
        <f>O479-'Blocking-Step2'!O479</f>
        <v>0</v>
      </c>
      <c r="AN479" s="2137">
        <f>Q479-'Blocking-Step2'!Q479</f>
        <v>0</v>
      </c>
      <c r="AP479" s="2127">
        <f>S479-'Blocking-Step2'!S479</f>
        <v>0</v>
      </c>
      <c r="AR479" s="2127">
        <f>U479-'Blocking-Step2'!U479</f>
        <v>0</v>
      </c>
      <c r="AT479" s="2127">
        <f>W479-'Blocking-Step2'!W479</f>
        <v>0</v>
      </c>
      <c r="AV479" s="2128">
        <f>Y479-'Blocking-Step2'!Y479</f>
        <v>0</v>
      </c>
    </row>
    <row r="480" spans="1:48" ht="16.5" hidden="1" thickTop="1">
      <c r="A480" s="1116" t="s">
        <v>261</v>
      </c>
      <c r="C480" s="1105">
        <v>0</v>
      </c>
      <c r="D480" s="1105">
        <v>0</v>
      </c>
      <c r="F480" s="1907"/>
      <c r="G480" s="1110"/>
      <c r="H480" s="1146"/>
      <c r="I480" s="1146"/>
      <c r="K480" s="1907">
        <v>-0.61</v>
      </c>
      <c r="L480" s="1110"/>
      <c r="M480" s="1907">
        <v>0</v>
      </c>
      <c r="N480" s="1110"/>
      <c r="O480" s="1907">
        <v>0</v>
      </c>
      <c r="P480" s="1110"/>
      <c r="Q480" s="1907">
        <v>-0.61</v>
      </c>
      <c r="R480" s="1110"/>
      <c r="S480" s="1146">
        <v>0</v>
      </c>
      <c r="T480" s="1629"/>
      <c r="U480" s="1146">
        <v>0</v>
      </c>
      <c r="V480" s="1629"/>
      <c r="W480" s="1146">
        <v>0</v>
      </c>
      <c r="X480" s="1629"/>
      <c r="Y480" s="1146">
        <v>0</v>
      </c>
      <c r="Z480" s="2114">
        <f>C480-'Blocking-Step2'!C480</f>
        <v>0</v>
      </c>
      <c r="AA480" s="2114">
        <f>D480-'Blocking-Step2'!D480</f>
        <v>0</v>
      </c>
      <c r="AC480" s="2114">
        <f>F480-'Blocking-Step2'!F480</f>
        <v>0</v>
      </c>
      <c r="AE480" s="2114">
        <f>H480-'Blocking-Step2'!H480</f>
        <v>0</v>
      </c>
      <c r="AF480" s="2114">
        <f>I480-'Blocking-Step2'!I480</f>
        <v>0</v>
      </c>
      <c r="AH480" s="2136">
        <f>K480-'Blocking-Step2'!K480</f>
        <v>0</v>
      </c>
      <c r="AJ480" s="2136">
        <f>M480-'Blocking-Step2'!M480</f>
        <v>0</v>
      </c>
      <c r="AL480" s="2136">
        <f>O480-'Blocking-Step2'!O480</f>
        <v>0</v>
      </c>
      <c r="AN480" s="2137">
        <f>Q480-'Blocking-Step2'!Q480</f>
        <v>0</v>
      </c>
      <c r="AP480" s="2127">
        <f>S480-'Blocking-Step2'!S480</f>
        <v>0</v>
      </c>
      <c r="AR480" s="2127">
        <f>U480-'Blocking-Step2'!U480</f>
        <v>0</v>
      </c>
      <c r="AT480" s="2127">
        <f>W480-'Blocking-Step2'!W480</f>
        <v>0</v>
      </c>
      <c r="AV480" s="2128">
        <f>Y480-'Blocking-Step2'!Y480</f>
        <v>0</v>
      </c>
    </row>
    <row r="481" spans="1:48" ht="16.5" hidden="1" thickTop="1">
      <c r="A481" s="1116" t="s">
        <v>1158</v>
      </c>
      <c r="C481" s="1105">
        <v>0</v>
      </c>
      <c r="D481" s="1105">
        <v>0</v>
      </c>
      <c r="F481" s="1106"/>
      <c r="G481" s="1921"/>
      <c r="H481" s="1146"/>
      <c r="I481" s="1146"/>
      <c r="K481" s="1106">
        <v>0</v>
      </c>
      <c r="L481" s="1921" t="s">
        <v>495</v>
      </c>
      <c r="M481" s="1106">
        <v>7.125</v>
      </c>
      <c r="N481" s="1921" t="s">
        <v>495</v>
      </c>
      <c r="O481" s="1106">
        <v>0</v>
      </c>
      <c r="P481" s="1921" t="s">
        <v>495</v>
      </c>
      <c r="Q481" s="1106">
        <v>7.125</v>
      </c>
      <c r="R481" s="1921" t="s">
        <v>495</v>
      </c>
      <c r="S481" s="1146">
        <v>0</v>
      </c>
      <c r="T481" s="1648"/>
      <c r="U481" s="1146">
        <v>0</v>
      </c>
      <c r="V481" s="1648"/>
      <c r="W481" s="1146">
        <v>0</v>
      </c>
      <c r="X481" s="1648"/>
      <c r="Y481" s="1146">
        <v>0</v>
      </c>
      <c r="Z481" s="2114">
        <f>C481-'Blocking-Step2'!C481</f>
        <v>0</v>
      </c>
      <c r="AA481" s="2114">
        <f>D481-'Blocking-Step2'!D481</f>
        <v>0</v>
      </c>
      <c r="AC481" s="2114">
        <f>F481-'Blocking-Step2'!F481</f>
        <v>0</v>
      </c>
      <c r="AE481" s="2114">
        <f>H481-'Blocking-Step2'!H481</f>
        <v>0</v>
      </c>
      <c r="AF481" s="2114">
        <f>I481-'Blocking-Step2'!I481</f>
        <v>0</v>
      </c>
      <c r="AH481" s="2136">
        <f>K481-'Blocking-Step2'!K481</f>
        <v>0</v>
      </c>
      <c r="AJ481" s="2136">
        <f>M481-'Blocking-Step2'!M481</f>
        <v>0</v>
      </c>
      <c r="AL481" s="2136">
        <f>O481-'Blocking-Step2'!O481</f>
        <v>0</v>
      </c>
      <c r="AN481" s="2137">
        <f>Q481-'Blocking-Step2'!Q481</f>
        <v>0</v>
      </c>
      <c r="AP481" s="2127">
        <f>S481-'Blocking-Step2'!S481</f>
        <v>0</v>
      </c>
      <c r="AR481" s="2127">
        <f>U481-'Blocking-Step2'!U481</f>
        <v>0</v>
      </c>
      <c r="AT481" s="2127">
        <f>W481-'Blocking-Step2'!W481</f>
        <v>0</v>
      </c>
      <c r="AV481" s="2128">
        <f>Y481-'Blocking-Step2'!Y481</f>
        <v>0</v>
      </c>
    </row>
    <row r="482" spans="1:48" ht="16.5" hidden="1" thickTop="1">
      <c r="A482" s="1116" t="s">
        <v>1240</v>
      </c>
      <c r="C482" s="1024"/>
      <c r="D482" s="1024"/>
      <c r="F482" s="2076"/>
      <c r="G482" s="617"/>
      <c r="H482" s="1146"/>
      <c r="I482" s="1146"/>
      <c r="K482" s="2076"/>
      <c r="L482" s="617"/>
      <c r="M482" s="2076"/>
      <c r="N482" s="617"/>
      <c r="O482" s="2077" t="s">
        <v>2323</v>
      </c>
      <c r="P482" s="617"/>
      <c r="Q482" s="2076">
        <v>-3.0599999999999999E-2</v>
      </c>
      <c r="R482" s="617"/>
      <c r="S482" s="1114"/>
      <c r="T482" s="1114"/>
      <c r="U482" s="1114"/>
      <c r="V482" s="1114"/>
      <c r="W482" s="1114"/>
      <c r="X482" s="1114"/>
      <c r="Y482" s="1146">
        <v>-896.67179999999996</v>
      </c>
      <c r="Z482" s="2114">
        <f>C482-'Blocking-Step2'!C482</f>
        <v>0</v>
      </c>
      <c r="AA482" s="2114">
        <f>D482-'Blocking-Step2'!D482</f>
        <v>0</v>
      </c>
      <c r="AC482" s="2114">
        <f>F482-'Blocking-Step2'!F482</f>
        <v>0</v>
      </c>
      <c r="AE482" s="2114">
        <f>H482-'Blocking-Step2'!H482</f>
        <v>0</v>
      </c>
      <c r="AF482" s="2114">
        <f>I482-'Blocking-Step2'!I482</f>
        <v>0</v>
      </c>
      <c r="AH482" s="2136">
        <f>K482-'Blocking-Step2'!K482</f>
        <v>0</v>
      </c>
      <c r="AJ482" s="2136">
        <f>M482-'Blocking-Step2'!M482</f>
        <v>0</v>
      </c>
      <c r="AL482" s="2136" t="e">
        <f>O482-'Blocking-Step2'!O482</f>
        <v>#VALUE!</v>
      </c>
      <c r="AN482" s="2137">
        <f>Q482-'Blocking-Step2'!Q482</f>
        <v>0</v>
      </c>
      <c r="AP482" s="2127">
        <f>S482-'Blocking-Step2'!S482</f>
        <v>0</v>
      </c>
      <c r="AR482" s="2127">
        <f>U482-'Blocking-Step2'!U482</f>
        <v>0</v>
      </c>
      <c r="AT482" s="2127">
        <f>W482-'Blocking-Step2'!W482</f>
        <v>0</v>
      </c>
      <c r="AV482" s="2128">
        <f>Y482-'Blocking-Step2'!Y482</f>
        <v>0</v>
      </c>
    </row>
    <row r="483" spans="1:48" ht="16.5" hidden="1" thickTop="1">
      <c r="A483" s="1116"/>
      <c r="C483" s="1024"/>
      <c r="D483" s="1024"/>
      <c r="F483" s="2076"/>
      <c r="G483" s="617"/>
      <c r="H483" s="1146"/>
      <c r="I483" s="1146"/>
      <c r="K483" s="2076"/>
      <c r="L483" s="617"/>
      <c r="M483" s="2076"/>
      <c r="N483" s="617"/>
      <c r="O483" s="2077" t="s">
        <v>2324</v>
      </c>
      <c r="P483" s="617"/>
      <c r="Q483" s="2076">
        <v>-1.66E-2</v>
      </c>
      <c r="R483" s="617"/>
      <c r="S483" s="1114"/>
      <c r="T483" s="1114"/>
      <c r="U483" s="1114"/>
      <c r="V483" s="1114"/>
      <c r="W483" s="1114"/>
      <c r="X483" s="1114"/>
      <c r="Y483" s="1146">
        <v>-486.4298</v>
      </c>
      <c r="Z483" s="2114">
        <f>C483-'Blocking-Step2'!C483</f>
        <v>0</v>
      </c>
      <c r="AA483" s="2114">
        <f>D483-'Blocking-Step2'!D483</f>
        <v>0</v>
      </c>
      <c r="AC483" s="2114">
        <f>F483-'Blocking-Step2'!F483</f>
        <v>0</v>
      </c>
      <c r="AE483" s="2114">
        <f>H483-'Blocking-Step2'!H483</f>
        <v>0</v>
      </c>
      <c r="AF483" s="2114">
        <f>I483-'Blocking-Step2'!I483</f>
        <v>0</v>
      </c>
      <c r="AH483" s="2136">
        <f>K483-'Blocking-Step2'!K483</f>
        <v>0</v>
      </c>
      <c r="AJ483" s="2136">
        <f>M483-'Blocking-Step2'!M483</f>
        <v>0</v>
      </c>
      <c r="AL483" s="2136" t="e">
        <f>O483-'Blocking-Step2'!O483</f>
        <v>#VALUE!</v>
      </c>
      <c r="AN483" s="2137">
        <f>Q483-'Blocking-Step2'!Q483</f>
        <v>0</v>
      </c>
      <c r="AP483" s="2127">
        <f>S483-'Blocking-Step2'!S483</f>
        <v>0</v>
      </c>
      <c r="AR483" s="2127">
        <f>U483-'Blocking-Step2'!U483</f>
        <v>0</v>
      </c>
      <c r="AT483" s="2127">
        <f>W483-'Blocking-Step2'!W483</f>
        <v>0</v>
      </c>
      <c r="AV483" s="2128">
        <f>Y483-'Blocking-Step2'!Y483</f>
        <v>0</v>
      </c>
    </row>
    <row r="484" spans="1:48" ht="16.5" hidden="1" thickTop="1">
      <c r="A484" s="1116" t="s">
        <v>1923</v>
      </c>
      <c r="C484" s="1105">
        <v>108540</v>
      </c>
      <c r="D484" s="1105">
        <v>306106.74673811265</v>
      </c>
      <c r="F484" s="1907"/>
      <c r="G484" s="1110"/>
      <c r="H484" s="1146"/>
      <c r="I484" s="1146"/>
      <c r="K484" s="1907"/>
      <c r="L484" s="1110"/>
      <c r="M484" s="1907"/>
      <c r="N484" s="1110"/>
      <c r="O484" s="1907"/>
      <c r="P484" s="1110"/>
      <c r="Q484" s="1907"/>
      <c r="R484" s="1110"/>
      <c r="S484" s="1146">
        <v>6854</v>
      </c>
      <c r="T484" s="1629"/>
      <c r="U484" s="1146">
        <v>20399</v>
      </c>
      <c r="V484" s="1629"/>
      <c r="W484" s="1146">
        <v>10341</v>
      </c>
      <c r="X484" s="1629"/>
      <c r="Y484" s="1146">
        <v>37595</v>
      </c>
      <c r="Z484" s="2114">
        <f>C484-'Blocking-Step2'!C484</f>
        <v>0</v>
      </c>
      <c r="AA484" s="2114">
        <f>D484-'Blocking-Step2'!D484</f>
        <v>0</v>
      </c>
      <c r="AC484" s="2114">
        <f>F484-'Blocking-Step2'!F484</f>
        <v>0</v>
      </c>
      <c r="AE484" s="2114">
        <f>H484-'Blocking-Step2'!H484</f>
        <v>0</v>
      </c>
      <c r="AF484" s="2114">
        <f>I484-'Blocking-Step2'!I484</f>
        <v>0</v>
      </c>
      <c r="AH484" s="2136">
        <f>K484-'Blocking-Step2'!K484</f>
        <v>0</v>
      </c>
      <c r="AJ484" s="2136">
        <f>M484-'Blocking-Step2'!M484</f>
        <v>0</v>
      </c>
      <c r="AL484" s="2136">
        <f>O484-'Blocking-Step2'!O484</f>
        <v>0</v>
      </c>
      <c r="AN484" s="2137">
        <f>Q484-'Blocking-Step2'!Q484</f>
        <v>0</v>
      </c>
      <c r="AP484" s="2127">
        <f>S484-'Blocking-Step2'!S484</f>
        <v>-7028</v>
      </c>
      <c r="AR484" s="2127">
        <f>U484-'Blocking-Step2'!U484</f>
        <v>7028</v>
      </c>
      <c r="AT484" s="2127">
        <f>W484-'Blocking-Step2'!W484</f>
        <v>0</v>
      </c>
      <c r="AV484" s="2128">
        <f>Y484-'Blocking-Step2'!Y484</f>
        <v>0</v>
      </c>
    </row>
    <row r="485" spans="1:48" ht="16.5" hidden="1" thickTop="1">
      <c r="A485" s="1116"/>
      <c r="C485" s="1105"/>
      <c r="D485" s="1105"/>
      <c r="F485" s="1907"/>
      <c r="G485" s="1110"/>
      <c r="H485" s="1146"/>
      <c r="I485" s="1146"/>
      <c r="K485" s="1907"/>
      <c r="L485" s="1110"/>
      <c r="M485" s="1907"/>
      <c r="N485" s="1110"/>
      <c r="O485" s="1907"/>
      <c r="P485" s="1110"/>
      <c r="Q485" s="1907"/>
      <c r="R485" s="1110"/>
      <c r="S485" s="1629"/>
      <c r="T485" s="1629"/>
      <c r="U485" s="1629"/>
      <c r="V485" s="1629"/>
      <c r="W485" s="1629"/>
      <c r="X485" s="1629"/>
      <c r="Y485" s="1146"/>
      <c r="Z485" s="2114">
        <f>C485-'Blocking-Step2'!C485</f>
        <v>0</v>
      </c>
      <c r="AA485" s="2114">
        <f>D485-'Blocking-Step2'!D485</f>
        <v>0</v>
      </c>
      <c r="AC485" s="2114">
        <f>F485-'Blocking-Step2'!F485</f>
        <v>0</v>
      </c>
      <c r="AE485" s="2114">
        <f>H485-'Blocking-Step2'!H485</f>
        <v>0</v>
      </c>
      <c r="AF485" s="2114">
        <f>I485-'Blocking-Step2'!I485</f>
        <v>0</v>
      </c>
      <c r="AH485" s="2136">
        <f>K485-'Blocking-Step2'!K485</f>
        <v>0</v>
      </c>
      <c r="AJ485" s="2136">
        <f>M485-'Blocking-Step2'!M485</f>
        <v>0</v>
      </c>
      <c r="AL485" s="2136">
        <f>O485-'Blocking-Step2'!O485</f>
        <v>0</v>
      </c>
      <c r="AN485" s="2137">
        <f>Q485-'Blocking-Step2'!Q485</f>
        <v>0</v>
      </c>
      <c r="AP485" s="2127">
        <f>S485-'Blocking-Step2'!S485</f>
        <v>0</v>
      </c>
      <c r="AR485" s="2127">
        <f>U485-'Blocking-Step2'!U485</f>
        <v>0</v>
      </c>
      <c r="AT485" s="2127">
        <f>W485-'Blocking-Step2'!W485</f>
        <v>0</v>
      </c>
      <c r="AV485" s="2128">
        <f>Y485-'Blocking-Step2'!Y485</f>
        <v>0</v>
      </c>
    </row>
    <row r="486" spans="1:48" ht="16.5" hidden="1" thickTop="1">
      <c r="A486" s="1116" t="s">
        <v>240</v>
      </c>
      <c r="C486" s="1105">
        <v>12</v>
      </c>
      <c r="D486" s="1105">
        <v>33</v>
      </c>
      <c r="F486" s="1142">
        <v>54</v>
      </c>
      <c r="G486" s="617"/>
      <c r="H486" s="1146">
        <v>648</v>
      </c>
      <c r="I486" s="1146">
        <v>1782</v>
      </c>
      <c r="K486" s="1142">
        <v>54</v>
      </c>
      <c r="L486" s="617"/>
      <c r="M486" s="1142">
        <v>0</v>
      </c>
      <c r="N486" s="617"/>
      <c r="O486" s="1142">
        <v>0</v>
      </c>
      <c r="P486" s="617"/>
      <c r="Q486" s="1142">
        <v>54</v>
      </c>
      <c r="R486" s="617"/>
      <c r="S486" s="1146">
        <v>1782</v>
      </c>
      <c r="T486" s="1629"/>
      <c r="U486" s="1146">
        <v>0</v>
      </c>
      <c r="V486" s="1629"/>
      <c r="W486" s="1146">
        <v>0</v>
      </c>
      <c r="X486" s="1629"/>
      <c r="Y486" s="1146">
        <v>1782</v>
      </c>
      <c r="Z486" s="2114">
        <f>C486-'Blocking-Step2'!C486</f>
        <v>0</v>
      </c>
      <c r="AA486" s="2114">
        <f>D486-'Blocking-Step2'!D486</f>
        <v>0</v>
      </c>
      <c r="AC486" s="2114">
        <f>F486-'Blocking-Step2'!F486</f>
        <v>0</v>
      </c>
      <c r="AE486" s="2114">
        <f>H486-'Blocking-Step2'!H486</f>
        <v>0</v>
      </c>
      <c r="AF486" s="2114">
        <f>I486-'Blocking-Step2'!I486</f>
        <v>0</v>
      </c>
      <c r="AH486" s="2136">
        <f>K486-'Blocking-Step2'!K486</f>
        <v>0</v>
      </c>
      <c r="AJ486" s="2136">
        <f>M486-'Blocking-Step2'!M486</f>
        <v>0</v>
      </c>
      <c r="AL486" s="2136">
        <f>O486-'Blocking-Step2'!O486</f>
        <v>0</v>
      </c>
      <c r="AN486" s="2137">
        <f>Q486-'Blocking-Step2'!Q486</f>
        <v>0</v>
      </c>
      <c r="AP486" s="2127">
        <f>S486-'Blocking-Step2'!S486</f>
        <v>0</v>
      </c>
      <c r="AR486" s="2127">
        <f>U486-'Blocking-Step2'!U486</f>
        <v>0</v>
      </c>
      <c r="AT486" s="2127">
        <f>W486-'Blocking-Step2'!W486</f>
        <v>0</v>
      </c>
      <c r="AV486" s="2128">
        <f>Y486-'Blocking-Step2'!Y486</f>
        <v>0</v>
      </c>
    </row>
    <row r="487" spans="1:48" ht="16.5" hidden="1" thickTop="1">
      <c r="A487" s="1116" t="s">
        <v>262</v>
      </c>
      <c r="C487" s="1024">
        <v>0</v>
      </c>
      <c r="D487" s="1105">
        <v>0</v>
      </c>
      <c r="F487" s="1142">
        <v>648</v>
      </c>
      <c r="G487" s="617"/>
      <c r="H487" s="1146">
        <v>0</v>
      </c>
      <c r="I487" s="1146">
        <v>0</v>
      </c>
      <c r="K487" s="1142">
        <v>648</v>
      </c>
      <c r="L487" s="617"/>
      <c r="M487" s="1142">
        <v>0</v>
      </c>
      <c r="N487" s="617"/>
      <c r="O487" s="1142">
        <v>0</v>
      </c>
      <c r="P487" s="617"/>
      <c r="Q487" s="1142">
        <v>648</v>
      </c>
      <c r="R487" s="617"/>
      <c r="S487" s="1146">
        <v>0</v>
      </c>
      <c r="T487" s="1629"/>
      <c r="U487" s="1146">
        <v>0</v>
      </c>
      <c r="V487" s="1629"/>
      <c r="W487" s="1146">
        <v>0</v>
      </c>
      <c r="X487" s="1629"/>
      <c r="Y487" s="1146">
        <v>0</v>
      </c>
      <c r="Z487" s="2114">
        <f>C487-'Blocking-Step2'!C487</f>
        <v>0</v>
      </c>
      <c r="AA487" s="2114">
        <f>D487-'Blocking-Step2'!D487</f>
        <v>0</v>
      </c>
      <c r="AC487" s="2114">
        <f>F487-'Blocking-Step2'!F487</f>
        <v>0</v>
      </c>
      <c r="AE487" s="2114">
        <f>H487-'Blocking-Step2'!H487</f>
        <v>0</v>
      </c>
      <c r="AF487" s="2114">
        <f>I487-'Blocking-Step2'!I487</f>
        <v>0</v>
      </c>
      <c r="AH487" s="2136">
        <f>K487-'Blocking-Step2'!K487</f>
        <v>0</v>
      </c>
      <c r="AJ487" s="2136">
        <f>M487-'Blocking-Step2'!M487</f>
        <v>0</v>
      </c>
      <c r="AL487" s="2136">
        <f>O487-'Blocking-Step2'!O487</f>
        <v>0</v>
      </c>
      <c r="AN487" s="2137">
        <f>Q487-'Blocking-Step2'!Q487</f>
        <v>0</v>
      </c>
      <c r="AP487" s="2127">
        <f>S487-'Blocking-Step2'!S487</f>
        <v>0</v>
      </c>
      <c r="AR487" s="2127">
        <f>U487-'Blocking-Step2'!U487</f>
        <v>0</v>
      </c>
      <c r="AT487" s="2127">
        <f>W487-'Blocking-Step2'!W487</f>
        <v>0</v>
      </c>
      <c r="AV487" s="2128">
        <f>Y487-'Blocking-Step2'!Y487</f>
        <v>0</v>
      </c>
    </row>
    <row r="488" spans="1:48" ht="16.5" hidden="1" thickTop="1">
      <c r="A488" s="1116" t="s">
        <v>1298</v>
      </c>
      <c r="C488" s="1105">
        <v>0</v>
      </c>
      <c r="D488" s="1105">
        <v>0</v>
      </c>
      <c r="F488" s="1142">
        <v>54</v>
      </c>
      <c r="G488" s="617"/>
      <c r="H488" s="1146">
        <v>0</v>
      </c>
      <c r="I488" s="1146">
        <v>0</v>
      </c>
      <c r="K488" s="1142">
        <v>54</v>
      </c>
      <c r="L488" s="617"/>
      <c r="M488" s="1142">
        <v>0</v>
      </c>
      <c r="N488" s="617"/>
      <c r="O488" s="1142">
        <v>0</v>
      </c>
      <c r="P488" s="617"/>
      <c r="Q488" s="1142">
        <v>54</v>
      </c>
      <c r="R488" s="617"/>
      <c r="S488" s="1146">
        <v>0</v>
      </c>
      <c r="T488" s="1114"/>
      <c r="U488" s="1146">
        <v>0</v>
      </c>
      <c r="V488" s="1114"/>
      <c r="W488" s="1146">
        <v>0</v>
      </c>
      <c r="X488" s="1114"/>
      <c r="Y488" s="1146">
        <v>0</v>
      </c>
      <c r="Z488" s="2114">
        <f>C488-'Blocking-Step2'!C488</f>
        <v>0</v>
      </c>
      <c r="AA488" s="2114">
        <f>D488-'Blocking-Step2'!D488</f>
        <v>0</v>
      </c>
      <c r="AC488" s="2114">
        <f>F488-'Blocking-Step2'!F488</f>
        <v>0</v>
      </c>
      <c r="AE488" s="2114">
        <f>H488-'Blocking-Step2'!H488</f>
        <v>0</v>
      </c>
      <c r="AF488" s="2114">
        <f>I488-'Blocking-Step2'!I488</f>
        <v>0</v>
      </c>
      <c r="AH488" s="2136">
        <f>K488-'Blocking-Step2'!K488</f>
        <v>0</v>
      </c>
      <c r="AJ488" s="2136">
        <f>M488-'Blocking-Step2'!M488</f>
        <v>0</v>
      </c>
      <c r="AL488" s="2136">
        <f>O488-'Blocking-Step2'!O488</f>
        <v>0</v>
      </c>
      <c r="AN488" s="2137">
        <f>Q488-'Blocking-Step2'!Q488</f>
        <v>0</v>
      </c>
      <c r="AP488" s="2127">
        <f>S488-'Blocking-Step2'!S488</f>
        <v>0</v>
      </c>
      <c r="AR488" s="2127">
        <f>U488-'Blocking-Step2'!U488</f>
        <v>0</v>
      </c>
      <c r="AT488" s="2127">
        <f>W488-'Blocking-Step2'!W488</f>
        <v>0</v>
      </c>
      <c r="AV488" s="2128">
        <f>Y488-'Blocking-Step2'!Y488</f>
        <v>0</v>
      </c>
    </row>
    <row r="489" spans="1:48" ht="16.5" hidden="1" thickTop="1">
      <c r="A489" s="1116" t="s">
        <v>168</v>
      </c>
      <c r="C489" s="1105">
        <v>716</v>
      </c>
      <c r="D489" s="1105">
        <v>2019</v>
      </c>
      <c r="F489" s="1142">
        <v>4.04</v>
      </c>
      <c r="G489" s="617"/>
      <c r="H489" s="1146">
        <v>2893</v>
      </c>
      <c r="I489" s="1146">
        <v>8157</v>
      </c>
      <c r="K489" s="1142">
        <v>4.03</v>
      </c>
      <c r="L489" s="617"/>
      <c r="M489" s="1142">
        <v>0</v>
      </c>
      <c r="N489" s="617"/>
      <c r="O489" s="1142">
        <v>0</v>
      </c>
      <c r="P489" s="617"/>
      <c r="Q489" s="1142">
        <v>4.03</v>
      </c>
      <c r="R489" s="617"/>
      <c r="S489" s="1146">
        <v>8137</v>
      </c>
      <c r="T489" s="1629"/>
      <c r="U489" s="1146">
        <v>0</v>
      </c>
      <c r="V489" s="1629"/>
      <c r="W489" s="1146">
        <v>0</v>
      </c>
      <c r="X489" s="1629"/>
      <c r="Y489" s="1146">
        <v>8137</v>
      </c>
      <c r="Z489" s="2114">
        <f>C489-'Blocking-Step2'!C489</f>
        <v>0</v>
      </c>
      <c r="AA489" s="2114">
        <f>D489-'Blocking-Step2'!D489</f>
        <v>0</v>
      </c>
      <c r="AC489" s="2114">
        <f>F489-'Blocking-Step2'!F489</f>
        <v>0</v>
      </c>
      <c r="AE489" s="2114">
        <f>H489-'Blocking-Step2'!H489</f>
        <v>0</v>
      </c>
      <c r="AF489" s="2114">
        <f>I489-'Blocking-Step2'!I489</f>
        <v>0</v>
      </c>
      <c r="AH489" s="2136">
        <f>K489-'Blocking-Step2'!K489</f>
        <v>0</v>
      </c>
      <c r="AJ489" s="2136">
        <f>M489-'Blocking-Step2'!M489</f>
        <v>0</v>
      </c>
      <c r="AL489" s="2136">
        <f>O489-'Blocking-Step2'!O489</f>
        <v>0</v>
      </c>
      <c r="AN489" s="2137">
        <f>Q489-'Blocking-Step2'!Q489</f>
        <v>0</v>
      </c>
      <c r="AP489" s="2127">
        <f>S489-'Blocking-Step2'!S489</f>
        <v>0</v>
      </c>
      <c r="AR489" s="2127">
        <f>U489-'Blocking-Step2'!U489</f>
        <v>0</v>
      </c>
      <c r="AT489" s="2127">
        <f>W489-'Blocking-Step2'!W489</f>
        <v>0</v>
      </c>
      <c r="AV489" s="2128">
        <f>Y489-'Blocking-Step2'!Y489</f>
        <v>0</v>
      </c>
    </row>
    <row r="490" spans="1:48" ht="16.5" hidden="1" thickTop="1">
      <c r="A490" s="1116" t="s">
        <v>1645</v>
      </c>
      <c r="C490" s="1105">
        <v>265.5</v>
      </c>
      <c r="D490" s="1105">
        <v>749</v>
      </c>
      <c r="F490" s="1142"/>
      <c r="G490" s="617"/>
      <c r="H490" s="1146"/>
      <c r="I490" s="1146"/>
      <c r="K490" s="1142">
        <v>0.51</v>
      </c>
      <c r="L490" s="617"/>
      <c r="M490" s="1142">
        <v>12.89</v>
      </c>
      <c r="N490" s="617"/>
      <c r="O490" s="1142">
        <v>0</v>
      </c>
      <c r="P490" s="617"/>
      <c r="Q490" s="1142">
        <v>13.4</v>
      </c>
      <c r="R490" s="617"/>
      <c r="S490" s="1146">
        <v>382</v>
      </c>
      <c r="T490" s="1114"/>
      <c r="U490" s="1146">
        <v>9655</v>
      </c>
      <c r="V490" s="1114"/>
      <c r="W490" s="1146">
        <v>0</v>
      </c>
      <c r="X490" s="1114"/>
      <c r="Y490" s="1146">
        <v>10037</v>
      </c>
      <c r="Z490" s="2114">
        <f>C490-'Blocking-Step2'!C490</f>
        <v>0</v>
      </c>
      <c r="AA490" s="2114">
        <f>D490-'Blocking-Step2'!D490</f>
        <v>0</v>
      </c>
      <c r="AC490" s="2114">
        <f>F490-'Blocking-Step2'!F490</f>
        <v>0</v>
      </c>
      <c r="AE490" s="2114">
        <f>H490-'Blocking-Step2'!H490</f>
        <v>0</v>
      </c>
      <c r="AF490" s="2114">
        <f>I490-'Blocking-Step2'!I490</f>
        <v>0</v>
      </c>
      <c r="AH490" s="2136">
        <f>K490-'Blocking-Step2'!K490</f>
        <v>-5.83</v>
      </c>
      <c r="AJ490" s="2136">
        <f>M490-'Blocking-Step2'!M490</f>
        <v>5.83</v>
      </c>
      <c r="AL490" s="2136">
        <f>O490-'Blocking-Step2'!O490</f>
        <v>0</v>
      </c>
      <c r="AN490" s="2137">
        <f>Q490-'Blocking-Step2'!Q490</f>
        <v>0</v>
      </c>
      <c r="AP490" s="2127">
        <f>S490-'Blocking-Step2'!S490</f>
        <v>-4367</v>
      </c>
      <c r="AR490" s="2127">
        <f>U490-'Blocking-Step2'!U490</f>
        <v>4367</v>
      </c>
      <c r="AT490" s="2127">
        <f>W490-'Blocking-Step2'!W490</f>
        <v>0</v>
      </c>
      <c r="AV490" s="2128">
        <f>Y490-'Blocking-Step2'!Y490</f>
        <v>0</v>
      </c>
    </row>
    <row r="491" spans="1:48" ht="16.5" hidden="1" thickTop="1">
      <c r="A491" s="1116" t="s">
        <v>1646</v>
      </c>
      <c r="C491" s="1105">
        <v>450.5</v>
      </c>
      <c r="D491" s="1105">
        <v>1271</v>
      </c>
      <c r="F491" s="1142"/>
      <c r="G491" s="617"/>
      <c r="H491" s="1146"/>
      <c r="I491" s="1146"/>
      <c r="K491" s="1142">
        <v>0.45</v>
      </c>
      <c r="L491" s="617"/>
      <c r="M491" s="1142">
        <v>11.41</v>
      </c>
      <c r="N491" s="617"/>
      <c r="O491" s="1142">
        <v>0</v>
      </c>
      <c r="P491" s="617"/>
      <c r="Q491" s="1142">
        <v>11.86</v>
      </c>
      <c r="R491" s="617"/>
      <c r="S491" s="1146">
        <v>572</v>
      </c>
      <c r="T491" s="1114"/>
      <c r="U491" s="1146">
        <v>14502</v>
      </c>
      <c r="V491" s="1114"/>
      <c r="W491" s="1146">
        <v>0</v>
      </c>
      <c r="X491" s="1114"/>
      <c r="Y491" s="1146">
        <v>15074</v>
      </c>
      <c r="Z491" s="2114">
        <f>C491-'Blocking-Step2'!C491</f>
        <v>0</v>
      </c>
      <c r="AA491" s="2114">
        <f>D491-'Blocking-Step2'!D491</f>
        <v>0</v>
      </c>
      <c r="AC491" s="2114">
        <f>F491-'Blocking-Step2'!F491</f>
        <v>0</v>
      </c>
      <c r="AE491" s="2114">
        <f>H491-'Blocking-Step2'!H491</f>
        <v>0</v>
      </c>
      <c r="AF491" s="2114">
        <f>I491-'Blocking-Step2'!I491</f>
        <v>0</v>
      </c>
      <c r="AH491" s="2136">
        <f>K491-'Blocking-Step2'!K491</f>
        <v>-5.16</v>
      </c>
      <c r="AJ491" s="2136">
        <f>M491-'Blocking-Step2'!M491</f>
        <v>5.160000000000001</v>
      </c>
      <c r="AL491" s="2136">
        <f>O491-'Blocking-Step2'!O491</f>
        <v>0</v>
      </c>
      <c r="AN491" s="2137">
        <f>Q491-'Blocking-Step2'!Q491</f>
        <v>0</v>
      </c>
      <c r="AP491" s="2127">
        <f>S491-'Blocking-Step2'!S491</f>
        <v>-6558</v>
      </c>
      <c r="AR491" s="2127">
        <f>U491-'Blocking-Step2'!U491</f>
        <v>6558</v>
      </c>
      <c r="AT491" s="2127">
        <f>W491-'Blocking-Step2'!W491</f>
        <v>0</v>
      </c>
      <c r="AV491" s="2128">
        <f>Y491-'Blocking-Step2'!Y491</f>
        <v>0</v>
      </c>
    </row>
    <row r="492" spans="1:48" ht="16.5" hidden="1" thickTop="1">
      <c r="A492" s="1116" t="s">
        <v>1647</v>
      </c>
      <c r="C492" s="1105">
        <v>39960</v>
      </c>
      <c r="D492" s="1105">
        <v>112695.74673811265</v>
      </c>
      <c r="F492" s="1106"/>
      <c r="G492" s="1921"/>
      <c r="H492" s="1146"/>
      <c r="I492" s="1146"/>
      <c r="K492" s="1106">
        <v>0</v>
      </c>
      <c r="L492" s="1921" t="s">
        <v>495</v>
      </c>
      <c r="M492" s="1106">
        <v>1.6192</v>
      </c>
      <c r="N492" s="1921" t="s">
        <v>495</v>
      </c>
      <c r="O492" s="1106">
        <v>2.305570240802</v>
      </c>
      <c r="P492" s="1921" t="s">
        <v>495</v>
      </c>
      <c r="Q492" s="1106">
        <v>3.9247702408020002</v>
      </c>
      <c r="R492" s="1921" t="s">
        <v>495</v>
      </c>
      <c r="S492" s="1146">
        <v>0</v>
      </c>
      <c r="T492" s="1648"/>
      <c r="U492" s="1146">
        <v>1825</v>
      </c>
      <c r="V492" s="1648"/>
      <c r="W492" s="1146">
        <v>2598</v>
      </c>
      <c r="X492" s="1648"/>
      <c r="Y492" s="1146">
        <v>4423</v>
      </c>
      <c r="Z492" s="2114">
        <f>C492-'Blocking-Step2'!C492</f>
        <v>0</v>
      </c>
      <c r="AA492" s="2114">
        <f>D492-'Blocking-Step2'!D492</f>
        <v>0</v>
      </c>
      <c r="AC492" s="2114">
        <f>F492-'Blocking-Step2'!F492</f>
        <v>0</v>
      </c>
      <c r="AE492" s="2114">
        <f>H492-'Blocking-Step2'!H492</f>
        <v>0</v>
      </c>
      <c r="AF492" s="2114">
        <f>I492-'Blocking-Step2'!I492</f>
        <v>0</v>
      </c>
      <c r="AH492" s="2136">
        <f>K492-'Blocking-Step2'!K492</f>
        <v>0</v>
      </c>
      <c r="AJ492" s="2136">
        <f>M492-'Blocking-Step2'!M492</f>
        <v>0</v>
      </c>
      <c r="AL492" s="2136">
        <f>O492-'Blocking-Step2'!O492</f>
        <v>0</v>
      </c>
      <c r="AN492" s="2137">
        <f>Q492-'Blocking-Step2'!Q492</f>
        <v>0</v>
      </c>
      <c r="AP492" s="2127">
        <f>S492-'Blocking-Step2'!S492</f>
        <v>0</v>
      </c>
      <c r="AR492" s="2127">
        <f>U492-'Blocking-Step2'!U492</f>
        <v>0</v>
      </c>
      <c r="AT492" s="2127">
        <f>W492-'Blocking-Step2'!W492</f>
        <v>0</v>
      </c>
      <c r="AV492" s="2128">
        <f>Y492-'Blocking-Step2'!Y492</f>
        <v>0</v>
      </c>
    </row>
    <row r="493" spans="1:48" ht="16.5" hidden="1" thickTop="1">
      <c r="A493" s="1116" t="s">
        <v>1648</v>
      </c>
      <c r="C493" s="1105">
        <v>68580</v>
      </c>
      <c r="D493" s="1105">
        <v>193411</v>
      </c>
      <c r="F493" s="1106"/>
      <c r="G493" s="1921"/>
      <c r="H493" s="1146"/>
      <c r="I493" s="1146"/>
      <c r="K493" s="1106">
        <v>0</v>
      </c>
      <c r="L493" s="1921" t="s">
        <v>495</v>
      </c>
      <c r="M493" s="1106">
        <v>1.4329000000000001</v>
      </c>
      <c r="N493" s="1921" t="s">
        <v>495</v>
      </c>
      <c r="O493" s="1106">
        <v>2.0403480007099999</v>
      </c>
      <c r="P493" s="1921" t="s">
        <v>495</v>
      </c>
      <c r="Q493" s="1106">
        <v>3.4732480007099999</v>
      </c>
      <c r="R493" s="1921" t="s">
        <v>495</v>
      </c>
      <c r="S493" s="1146">
        <v>0</v>
      </c>
      <c r="T493" s="1648"/>
      <c r="U493" s="1146">
        <v>2771</v>
      </c>
      <c r="V493" s="1648"/>
      <c r="W493" s="1146">
        <v>3946</v>
      </c>
      <c r="X493" s="1648"/>
      <c r="Y493" s="1146">
        <v>6718</v>
      </c>
      <c r="Z493" s="2114">
        <f>C493-'Blocking-Step2'!C493</f>
        <v>0</v>
      </c>
      <c r="AA493" s="2114">
        <f>D493-'Blocking-Step2'!D493</f>
        <v>0</v>
      </c>
      <c r="AC493" s="2114">
        <f>F493-'Blocking-Step2'!F493</f>
        <v>0</v>
      </c>
      <c r="AE493" s="2114">
        <f>H493-'Blocking-Step2'!H493</f>
        <v>0</v>
      </c>
      <c r="AF493" s="2114">
        <f>I493-'Blocking-Step2'!I493</f>
        <v>0</v>
      </c>
      <c r="AH493" s="2136">
        <f>K493-'Blocking-Step2'!K493</f>
        <v>0</v>
      </c>
      <c r="AJ493" s="2136">
        <f>M493-'Blocking-Step2'!M493</f>
        <v>0</v>
      </c>
      <c r="AL493" s="2136">
        <f>O493-'Blocking-Step2'!O493</f>
        <v>0</v>
      </c>
      <c r="AN493" s="2137">
        <f>Q493-'Blocking-Step2'!Q493</f>
        <v>0</v>
      </c>
      <c r="AP493" s="2127">
        <f>S493-'Blocking-Step2'!S493</f>
        <v>0</v>
      </c>
      <c r="AR493" s="2127">
        <f>U493-'Blocking-Step2'!U493</f>
        <v>0</v>
      </c>
      <c r="AT493" s="2127">
        <f>W493-'Blocking-Step2'!W493</f>
        <v>0</v>
      </c>
      <c r="AV493" s="2128">
        <f>Y493-'Blocking-Step2'!Y493</f>
        <v>0</v>
      </c>
    </row>
    <row r="494" spans="1:48" ht="16.5" hidden="1" thickTop="1">
      <c r="A494" s="1116" t="s">
        <v>196</v>
      </c>
      <c r="C494" s="1105">
        <v>278.86509449682785</v>
      </c>
      <c r="D494" s="1105">
        <v>786</v>
      </c>
      <c r="F494" s="1142">
        <v>14.62</v>
      </c>
      <c r="G494" s="617"/>
      <c r="H494" s="1146">
        <v>4077</v>
      </c>
      <c r="I494" s="1146">
        <v>11491</v>
      </c>
      <c r="K494" s="1142"/>
      <c r="L494" s="617"/>
      <c r="M494" s="1142"/>
      <c r="N494" s="617"/>
      <c r="O494" s="1142"/>
      <c r="P494" s="617"/>
      <c r="Q494" s="1142"/>
      <c r="R494" s="617"/>
      <c r="S494" s="1146"/>
      <c r="T494" s="1629"/>
      <c r="U494" s="1146"/>
      <c r="V494" s="1629"/>
      <c r="W494" s="1146"/>
      <c r="X494" s="1629"/>
      <c r="Y494" s="1146"/>
      <c r="Z494" s="2114">
        <f>C494-'Blocking-Step2'!C494</f>
        <v>0</v>
      </c>
      <c r="AA494" s="2114">
        <f>D494-'Blocking-Step2'!D494</f>
        <v>0</v>
      </c>
      <c r="AC494" s="2114">
        <f>F494-'Blocking-Step2'!F494</f>
        <v>0</v>
      </c>
      <c r="AE494" s="2114">
        <f>H494-'Blocking-Step2'!H494</f>
        <v>0</v>
      </c>
      <c r="AF494" s="2114">
        <f>I494-'Blocking-Step2'!I494</f>
        <v>0</v>
      </c>
      <c r="AH494" s="2136">
        <f>K494-'Blocking-Step2'!K494</f>
        <v>0</v>
      </c>
      <c r="AJ494" s="2136">
        <f>M494-'Blocking-Step2'!M494</f>
        <v>0</v>
      </c>
      <c r="AL494" s="2136">
        <f>O494-'Blocking-Step2'!O494</f>
        <v>0</v>
      </c>
      <c r="AN494" s="2137">
        <f>Q494-'Blocking-Step2'!Q494</f>
        <v>0</v>
      </c>
      <c r="AP494" s="2127">
        <f>S494-'Blocking-Step2'!S494</f>
        <v>0</v>
      </c>
      <c r="AR494" s="2127">
        <f>U494-'Blocking-Step2'!U494</f>
        <v>0</v>
      </c>
      <c r="AT494" s="2127">
        <f>W494-'Blocking-Step2'!W494</f>
        <v>0</v>
      </c>
      <c r="AV494" s="2128">
        <f>Y494-'Blocking-Step2'!Y494</f>
        <v>0</v>
      </c>
    </row>
    <row r="495" spans="1:48" ht="16.5" hidden="1" thickTop="1">
      <c r="A495" s="1116" t="s">
        <v>161</v>
      </c>
      <c r="C495" s="1105">
        <v>437.13490550317215</v>
      </c>
      <c r="D495" s="1105">
        <v>1233</v>
      </c>
      <c r="F495" s="1142">
        <v>10.91</v>
      </c>
      <c r="G495" s="617"/>
      <c r="H495" s="1146">
        <v>4769</v>
      </c>
      <c r="I495" s="1146">
        <v>13452</v>
      </c>
      <c r="K495" s="1142"/>
      <c r="L495" s="617"/>
      <c r="M495" s="1142"/>
      <c r="N495" s="617"/>
      <c r="O495" s="1142"/>
      <c r="P495" s="617"/>
      <c r="Q495" s="1142"/>
      <c r="R495" s="617"/>
      <c r="S495" s="1146"/>
      <c r="T495" s="1629"/>
      <c r="U495" s="1146"/>
      <c r="V495" s="1629"/>
      <c r="W495" s="1146"/>
      <c r="X495" s="1629"/>
      <c r="Y495" s="1146"/>
      <c r="Z495" s="2114">
        <f>C495-'Blocking-Step2'!C495</f>
        <v>0</v>
      </c>
      <c r="AA495" s="2114">
        <f>D495-'Blocking-Step2'!D495</f>
        <v>0</v>
      </c>
      <c r="AC495" s="2114">
        <f>F495-'Blocking-Step2'!F495</f>
        <v>0</v>
      </c>
      <c r="AE495" s="2114">
        <f>H495-'Blocking-Step2'!H495</f>
        <v>0</v>
      </c>
      <c r="AF495" s="2114">
        <f>I495-'Blocking-Step2'!I495</f>
        <v>0</v>
      </c>
      <c r="AH495" s="2136">
        <f>K495-'Blocking-Step2'!K495</f>
        <v>0</v>
      </c>
      <c r="AJ495" s="2136">
        <f>M495-'Blocking-Step2'!M495</f>
        <v>0</v>
      </c>
      <c r="AL495" s="2136">
        <f>O495-'Blocking-Step2'!O495</f>
        <v>0</v>
      </c>
      <c r="AN495" s="2137">
        <f>Q495-'Blocking-Step2'!Q495</f>
        <v>0</v>
      </c>
      <c r="AP495" s="2127">
        <f>S495-'Blocking-Step2'!S495</f>
        <v>0</v>
      </c>
      <c r="AR495" s="2127">
        <f>U495-'Blocking-Step2'!U495</f>
        <v>0</v>
      </c>
      <c r="AT495" s="2127">
        <f>W495-'Blocking-Step2'!W495</f>
        <v>0</v>
      </c>
      <c r="AV495" s="2128">
        <f>Y495-'Blocking-Step2'!Y495</f>
        <v>0</v>
      </c>
    </row>
    <row r="496" spans="1:48" ht="16.5" hidden="1" thickTop="1">
      <c r="A496" s="1116" t="s">
        <v>261</v>
      </c>
      <c r="C496" s="1105">
        <v>0</v>
      </c>
      <c r="D496" s="1105">
        <v>0</v>
      </c>
      <c r="F496" s="1142">
        <v>-0.96</v>
      </c>
      <c r="G496" s="617"/>
      <c r="H496" s="1146">
        <v>0</v>
      </c>
      <c r="I496" s="1146">
        <v>0</v>
      </c>
      <c r="K496" s="1142">
        <v>-0.96</v>
      </c>
      <c r="L496" s="617"/>
      <c r="M496" s="1142">
        <v>0</v>
      </c>
      <c r="N496" s="617"/>
      <c r="O496" s="1142">
        <v>0</v>
      </c>
      <c r="P496" s="617"/>
      <c r="Q496" s="1142">
        <v>-0.96</v>
      </c>
      <c r="R496" s="617"/>
      <c r="S496" s="1146">
        <v>0</v>
      </c>
      <c r="T496" s="1629"/>
      <c r="U496" s="1146">
        <v>0</v>
      </c>
      <c r="V496" s="1629"/>
      <c r="W496" s="1146">
        <v>0</v>
      </c>
      <c r="X496" s="1629"/>
      <c r="Y496" s="1146">
        <v>0</v>
      </c>
      <c r="Z496" s="2114">
        <f>C496-'Blocking-Step2'!C496</f>
        <v>0</v>
      </c>
      <c r="AA496" s="2114">
        <f>D496-'Blocking-Step2'!D496</f>
        <v>0</v>
      </c>
      <c r="AC496" s="2114">
        <f>F496-'Blocking-Step2'!F496</f>
        <v>0</v>
      </c>
      <c r="AE496" s="2114">
        <f>H496-'Blocking-Step2'!H496</f>
        <v>0</v>
      </c>
      <c r="AF496" s="2114">
        <f>I496-'Blocking-Step2'!I496</f>
        <v>0</v>
      </c>
      <c r="AH496" s="2136">
        <f>K496-'Blocking-Step2'!K496</f>
        <v>0</v>
      </c>
      <c r="AJ496" s="2136">
        <f>M496-'Blocking-Step2'!M496</f>
        <v>0</v>
      </c>
      <c r="AL496" s="2136">
        <f>O496-'Blocking-Step2'!O496</f>
        <v>0</v>
      </c>
      <c r="AN496" s="2137">
        <f>Q496-'Blocking-Step2'!Q496</f>
        <v>0</v>
      </c>
      <c r="AP496" s="2127">
        <f>S496-'Blocking-Step2'!S496</f>
        <v>0</v>
      </c>
      <c r="AR496" s="2127">
        <f>U496-'Blocking-Step2'!U496</f>
        <v>0</v>
      </c>
      <c r="AT496" s="2127">
        <f>W496-'Blocking-Step2'!W496</f>
        <v>0</v>
      </c>
      <c r="AV496" s="2128">
        <f>Y496-'Blocking-Step2'!Y496</f>
        <v>0</v>
      </c>
    </row>
    <row r="497" spans="1:48" ht="16.5" hidden="1" thickTop="1">
      <c r="A497" s="1116" t="s">
        <v>1362</v>
      </c>
      <c r="C497" s="1105">
        <v>51673.888905823311</v>
      </c>
      <c r="D497" s="1105">
        <v>145732</v>
      </c>
      <c r="F497" s="1106">
        <v>3.8127</v>
      </c>
      <c r="G497" s="1921" t="s">
        <v>495</v>
      </c>
      <c r="H497" s="1146">
        <v>1970</v>
      </c>
      <c r="I497" s="1146">
        <v>5556</v>
      </c>
      <c r="K497" s="1106"/>
      <c r="L497" s="1921"/>
      <c r="M497" s="1106"/>
      <c r="N497" s="1921"/>
      <c r="O497" s="1106"/>
      <c r="P497" s="1921"/>
      <c r="Q497" s="1106"/>
      <c r="R497" s="1921"/>
      <c r="S497" s="1648"/>
      <c r="T497" s="1648"/>
      <c r="U497" s="1648"/>
      <c r="V497" s="1648"/>
      <c r="W497" s="1648"/>
      <c r="X497" s="1648"/>
      <c r="Y497" s="1146"/>
      <c r="Z497" s="2114">
        <f>C497-'Blocking-Step2'!C497</f>
        <v>0</v>
      </c>
      <c r="AA497" s="2114">
        <f>D497-'Blocking-Step2'!D497</f>
        <v>0</v>
      </c>
      <c r="AC497" s="2114">
        <f>F497-'Blocking-Step2'!F497</f>
        <v>0</v>
      </c>
      <c r="AE497" s="2114">
        <f>H497-'Blocking-Step2'!H497</f>
        <v>0</v>
      </c>
      <c r="AF497" s="2114">
        <f>I497-'Blocking-Step2'!I497</f>
        <v>0</v>
      </c>
      <c r="AH497" s="2136">
        <f>K497-'Blocking-Step2'!K497</f>
        <v>0</v>
      </c>
      <c r="AJ497" s="2136">
        <f>M497-'Blocking-Step2'!M497</f>
        <v>0</v>
      </c>
      <c r="AL497" s="2136">
        <f>O497-'Blocking-Step2'!O497</f>
        <v>0</v>
      </c>
      <c r="AN497" s="2137">
        <f>Q497-'Blocking-Step2'!Q497</f>
        <v>0</v>
      </c>
      <c r="AP497" s="2127">
        <f>S497-'Blocking-Step2'!S497</f>
        <v>0</v>
      </c>
      <c r="AR497" s="2127">
        <f>U497-'Blocking-Step2'!U497</f>
        <v>0</v>
      </c>
      <c r="AT497" s="2127">
        <f>W497-'Blocking-Step2'!W497</f>
        <v>0</v>
      </c>
      <c r="AV497" s="2128">
        <f>Y497-'Blocking-Step2'!Y497</f>
        <v>0</v>
      </c>
    </row>
    <row r="498" spans="1:48" ht="16.5" hidden="1" thickTop="1">
      <c r="A498" s="1116" t="s">
        <v>1363</v>
      </c>
      <c r="C498" s="1105">
        <v>56866.111094176689</v>
      </c>
      <c r="D498" s="1105">
        <v>160374.74673811265</v>
      </c>
      <c r="F498" s="1106">
        <v>3.5143</v>
      </c>
      <c r="G498" s="1921" t="s">
        <v>495</v>
      </c>
      <c r="H498" s="1146">
        <v>1998</v>
      </c>
      <c r="I498" s="1146">
        <v>5636</v>
      </c>
      <c r="K498" s="1106"/>
      <c r="L498" s="1921"/>
      <c r="M498" s="1106"/>
      <c r="N498" s="1921"/>
      <c r="O498" s="1106"/>
      <c r="P498" s="1921"/>
      <c r="Q498" s="1106"/>
      <c r="R498" s="1921"/>
      <c r="S498" s="1648"/>
      <c r="T498" s="1648"/>
      <c r="U498" s="1648"/>
      <c r="V498" s="1648"/>
      <c r="W498" s="1648"/>
      <c r="X498" s="1648"/>
      <c r="Y498" s="1146"/>
      <c r="Z498" s="2114">
        <f>C498-'Blocking-Step2'!C498</f>
        <v>0</v>
      </c>
      <c r="AA498" s="2114">
        <f>D498-'Blocking-Step2'!D498</f>
        <v>0</v>
      </c>
      <c r="AC498" s="2114">
        <f>F498-'Blocking-Step2'!F498</f>
        <v>0</v>
      </c>
      <c r="AE498" s="2114">
        <f>H498-'Blocking-Step2'!H498</f>
        <v>0</v>
      </c>
      <c r="AF498" s="2114">
        <f>I498-'Blocking-Step2'!I498</f>
        <v>0</v>
      </c>
      <c r="AH498" s="2136">
        <f>K498-'Blocking-Step2'!K498</f>
        <v>0</v>
      </c>
      <c r="AJ498" s="2136">
        <f>M498-'Blocking-Step2'!M498</f>
        <v>0</v>
      </c>
      <c r="AL498" s="2136">
        <f>O498-'Blocking-Step2'!O498</f>
        <v>0</v>
      </c>
      <c r="AN498" s="2137">
        <f>Q498-'Blocking-Step2'!Q498</f>
        <v>0</v>
      </c>
      <c r="AP498" s="2127">
        <f>S498-'Blocking-Step2'!S498</f>
        <v>0</v>
      </c>
      <c r="AR498" s="2127">
        <f>U498-'Blocking-Step2'!U498</f>
        <v>0</v>
      </c>
      <c r="AT498" s="2127">
        <f>W498-'Blocking-Step2'!W498</f>
        <v>0</v>
      </c>
      <c r="AV498" s="2128">
        <f>Y498-'Blocking-Step2'!Y498</f>
        <v>0</v>
      </c>
    </row>
    <row r="499" spans="1:48" ht="16.5" hidden="1" thickTop="1">
      <c r="A499" s="1116" t="s">
        <v>246</v>
      </c>
      <c r="C499" s="1940">
        <v>0</v>
      </c>
      <c r="D499" s="1940">
        <v>0</v>
      </c>
      <c r="H499" s="1147">
        <v>0</v>
      </c>
      <c r="I499" s="1147">
        <v>0</v>
      </c>
      <c r="Y499" s="1147"/>
      <c r="Z499" s="2114">
        <f>C499-'Blocking-Step2'!C499</f>
        <v>0</v>
      </c>
      <c r="AA499" s="2114">
        <f>D499-'Blocking-Step2'!D499</f>
        <v>0</v>
      </c>
      <c r="AC499" s="2114">
        <f>F499-'Blocking-Step2'!F499</f>
        <v>0</v>
      </c>
      <c r="AE499" s="2114">
        <f>H499-'Blocking-Step2'!H499</f>
        <v>0</v>
      </c>
      <c r="AF499" s="2114">
        <f>I499-'Blocking-Step2'!I499</f>
        <v>0</v>
      </c>
      <c r="AH499" s="2136">
        <f>K499-'Blocking-Step2'!K499</f>
        <v>0</v>
      </c>
      <c r="AJ499" s="2136">
        <f>M499-'Blocking-Step2'!M499</f>
        <v>0</v>
      </c>
      <c r="AL499" s="2136">
        <f>O499-'Blocking-Step2'!O499</f>
        <v>0</v>
      </c>
      <c r="AN499" s="2137">
        <f>Q499-'Blocking-Step2'!Q499</f>
        <v>0</v>
      </c>
      <c r="AP499" s="2127">
        <f>S499-'Blocking-Step2'!S499</f>
        <v>0</v>
      </c>
      <c r="AR499" s="2127">
        <f>U499-'Blocking-Step2'!U499</f>
        <v>0</v>
      </c>
      <c r="AT499" s="2127">
        <f>W499-'Blocking-Step2'!W499</f>
        <v>0</v>
      </c>
      <c r="AV499" s="2128">
        <f>Y499-'Blocking-Step2'!Y499</f>
        <v>0</v>
      </c>
    </row>
    <row r="500" spans="1:48" ht="16.5" hidden="1" thickTop="1">
      <c r="A500" s="1116" t="s">
        <v>1240</v>
      </c>
      <c r="C500" s="1024"/>
      <c r="D500" s="1024"/>
      <c r="F500" s="2076">
        <v>-3.61E-2</v>
      </c>
      <c r="G500" s="617"/>
      <c r="H500" s="1146">
        <v>-462.58539999999999</v>
      </c>
      <c r="I500" s="1146">
        <v>-1304.4735000000001</v>
      </c>
      <c r="K500" s="2076"/>
      <c r="L500" s="617"/>
      <c r="M500" s="2076"/>
      <c r="N500" s="617"/>
      <c r="O500" s="2077" t="s">
        <v>2323</v>
      </c>
      <c r="P500" s="617"/>
      <c r="Q500" s="2076">
        <v>-2.76E-2</v>
      </c>
      <c r="R500" s="617"/>
      <c r="S500" s="1114"/>
      <c r="T500" s="1114"/>
      <c r="U500" s="1114"/>
      <c r="V500" s="1114"/>
      <c r="W500" s="1114"/>
      <c r="X500" s="1114"/>
      <c r="Y500" s="1146">
        <v>-1000.5552</v>
      </c>
      <c r="Z500" s="2114">
        <f>C500-'Blocking-Step2'!C500</f>
        <v>0</v>
      </c>
      <c r="AA500" s="2114">
        <f>D500-'Blocking-Step2'!D500</f>
        <v>0</v>
      </c>
      <c r="AC500" s="2114">
        <f>F500-'Blocking-Step2'!F500</f>
        <v>0</v>
      </c>
      <c r="AE500" s="2114">
        <f>H500-'Blocking-Step2'!H500</f>
        <v>0</v>
      </c>
      <c r="AF500" s="2114">
        <f>I500-'Blocking-Step2'!I500</f>
        <v>0</v>
      </c>
      <c r="AH500" s="2136">
        <f>K500-'Blocking-Step2'!K500</f>
        <v>0</v>
      </c>
      <c r="AJ500" s="2136">
        <f>M500-'Blocking-Step2'!M500</f>
        <v>0</v>
      </c>
      <c r="AL500" s="2136" t="e">
        <f>O500-'Blocking-Step2'!O500</f>
        <v>#VALUE!</v>
      </c>
      <c r="AN500" s="2137">
        <f>Q500-'Blocking-Step2'!Q500</f>
        <v>0</v>
      </c>
      <c r="AP500" s="2127">
        <f>S500-'Blocking-Step2'!S500</f>
        <v>0</v>
      </c>
      <c r="AR500" s="2127">
        <f>U500-'Blocking-Step2'!U500</f>
        <v>0</v>
      </c>
      <c r="AT500" s="2127">
        <f>W500-'Blocking-Step2'!W500</f>
        <v>0</v>
      </c>
      <c r="AV500" s="2128">
        <f>Y500-'Blocking-Step2'!Y500</f>
        <v>0</v>
      </c>
    </row>
    <row r="501" spans="1:48" ht="16.5" hidden="1" thickTop="1">
      <c r="A501" s="1116"/>
      <c r="C501" s="1024"/>
      <c r="D501" s="1024"/>
      <c r="F501" s="2076"/>
      <c r="G501" s="617"/>
      <c r="H501" s="1146"/>
      <c r="I501" s="1146"/>
      <c r="K501" s="2076"/>
      <c r="L501" s="617"/>
      <c r="M501" s="2076"/>
      <c r="N501" s="617"/>
      <c r="O501" s="2077" t="s">
        <v>2324</v>
      </c>
      <c r="P501" s="617"/>
      <c r="Q501" s="2076">
        <v>-1.4999999999999999E-2</v>
      </c>
      <c r="R501" s="617"/>
      <c r="S501" s="1114"/>
      <c r="T501" s="1114"/>
      <c r="U501" s="1114"/>
      <c r="V501" s="1114"/>
      <c r="W501" s="1114"/>
      <c r="X501" s="1114"/>
      <c r="Y501" s="1146">
        <v>-543.78</v>
      </c>
      <c r="Z501" s="2114">
        <f>C501-'Blocking-Step2'!C501</f>
        <v>0</v>
      </c>
      <c r="AA501" s="2114">
        <f>D501-'Blocking-Step2'!D501</f>
        <v>0</v>
      </c>
      <c r="AC501" s="2114">
        <f>F501-'Blocking-Step2'!F501</f>
        <v>0</v>
      </c>
      <c r="AE501" s="2114">
        <f>H501-'Blocking-Step2'!H501</f>
        <v>0</v>
      </c>
      <c r="AF501" s="2114">
        <f>I501-'Blocking-Step2'!I501</f>
        <v>0</v>
      </c>
      <c r="AH501" s="2136">
        <f>K501-'Blocking-Step2'!K501</f>
        <v>0</v>
      </c>
      <c r="AJ501" s="2136">
        <f>M501-'Blocking-Step2'!M501</f>
        <v>0</v>
      </c>
      <c r="AL501" s="2136" t="e">
        <f>O501-'Blocking-Step2'!O501</f>
        <v>#VALUE!</v>
      </c>
      <c r="AN501" s="2137">
        <f>Q501-'Blocking-Step2'!Q501</f>
        <v>0</v>
      </c>
      <c r="AP501" s="2127">
        <f>S501-'Blocking-Step2'!S501</f>
        <v>0</v>
      </c>
      <c r="AR501" s="2127">
        <f>U501-'Blocking-Step2'!U501</f>
        <v>0</v>
      </c>
      <c r="AT501" s="2127">
        <f>W501-'Blocking-Step2'!W501</f>
        <v>0</v>
      </c>
      <c r="AV501" s="2128">
        <f>Y501-'Blocking-Step2'!Y501</f>
        <v>0</v>
      </c>
    </row>
    <row r="502" spans="1:48" ht="17.25" hidden="1" thickTop="1" thickBot="1">
      <c r="A502" s="1116" t="s">
        <v>247</v>
      </c>
      <c r="C502" s="1138">
        <v>108540</v>
      </c>
      <c r="D502" s="1138">
        <v>306106.74673811265</v>
      </c>
      <c r="F502" s="1145"/>
      <c r="H502" s="1149">
        <v>15892.4146</v>
      </c>
      <c r="I502" s="1149">
        <v>44769.5265</v>
      </c>
      <c r="K502" s="1145"/>
      <c r="M502" s="1145"/>
      <c r="O502" s="1145"/>
      <c r="Q502" s="1145"/>
      <c r="S502" s="1149">
        <v>10873</v>
      </c>
      <c r="U502" s="1149">
        <v>28753</v>
      </c>
      <c r="W502" s="1149">
        <v>6544</v>
      </c>
      <c r="Y502" s="1149">
        <v>46171</v>
      </c>
      <c r="Z502" s="2114">
        <f>C502-'Blocking-Step2'!C502</f>
        <v>0</v>
      </c>
      <c r="AA502" s="2114">
        <f>D502-'Blocking-Step2'!D502</f>
        <v>0</v>
      </c>
      <c r="AC502" s="2114">
        <f>F502-'Blocking-Step2'!F502</f>
        <v>0</v>
      </c>
      <c r="AE502" s="2114">
        <f>H502-'Blocking-Step2'!H502</f>
        <v>0</v>
      </c>
      <c r="AF502" s="2114">
        <f>I502-'Blocking-Step2'!I502</f>
        <v>0</v>
      </c>
      <c r="AH502" s="2136">
        <f>K502-'Blocking-Step2'!K502</f>
        <v>0</v>
      </c>
      <c r="AJ502" s="2136">
        <f>M502-'Blocking-Step2'!M502</f>
        <v>0</v>
      </c>
      <c r="AL502" s="2136">
        <f>O502-'Blocking-Step2'!O502</f>
        <v>0</v>
      </c>
      <c r="AN502" s="2137">
        <f>Q502-'Blocking-Step2'!Q502</f>
        <v>0</v>
      </c>
      <c r="AP502" s="2127">
        <f>S502-'Blocking-Step2'!S502</f>
        <v>-10925</v>
      </c>
      <c r="AR502" s="2127">
        <f>U502-'Blocking-Step2'!U502</f>
        <v>10925</v>
      </c>
      <c r="AT502" s="2127">
        <f>W502-'Blocking-Step2'!W502</f>
        <v>0</v>
      </c>
      <c r="AV502" s="2128">
        <f>Y502-'Blocking-Step2'!Y502</f>
        <v>0</v>
      </c>
    </row>
    <row r="503" spans="1:48" ht="16.5" thickTop="1">
      <c r="C503" s="1105"/>
      <c r="D503" s="1105"/>
      <c r="Z503" s="2114">
        <f>C503-'Blocking-Step2'!C503</f>
        <v>0</v>
      </c>
      <c r="AA503" s="2114">
        <f>D503-'Blocking-Step2'!D503</f>
        <v>0</v>
      </c>
      <c r="AC503" s="2114">
        <f>F503-'Blocking-Step2'!F503</f>
        <v>0</v>
      </c>
      <c r="AE503" s="2114">
        <f>H503-'Blocking-Step2'!H503</f>
        <v>0</v>
      </c>
      <c r="AF503" s="2114">
        <f>I503-'Blocking-Step2'!I503</f>
        <v>0</v>
      </c>
      <c r="AH503" s="2136">
        <f>K503-'Blocking-Step2'!K503</f>
        <v>0</v>
      </c>
      <c r="AJ503" s="2136">
        <f>M503-'Blocking-Step2'!M503</f>
        <v>0</v>
      </c>
      <c r="AL503" s="2136">
        <f>O503-'Blocking-Step2'!O503</f>
        <v>0</v>
      </c>
      <c r="AN503" s="2137">
        <f>Q503-'Blocking-Step2'!Q503</f>
        <v>0</v>
      </c>
      <c r="AP503" s="2127">
        <f>S503-'Blocking-Step2'!S503</f>
        <v>0</v>
      </c>
      <c r="AR503" s="2127">
        <f>U503-'Blocking-Step2'!U503</f>
        <v>0</v>
      </c>
      <c r="AT503" s="2127">
        <f>W503-'Blocking-Step2'!W503</f>
        <v>0</v>
      </c>
      <c r="AV503" s="2128">
        <f>Y503-'Blocking-Step2'!Y503</f>
        <v>0</v>
      </c>
    </row>
    <row r="504" spans="1:48">
      <c r="A504" s="1115" t="s">
        <v>1922</v>
      </c>
      <c r="C504" s="1105"/>
      <c r="D504" s="1105"/>
      <c r="Z504" s="2114">
        <f>C504-'Blocking-Step2'!C504</f>
        <v>0</v>
      </c>
      <c r="AA504" s="2114">
        <f>D504-'Blocking-Step2'!D504</f>
        <v>0</v>
      </c>
      <c r="AC504" s="2114">
        <f>F504-'Blocking-Step2'!F504</f>
        <v>0</v>
      </c>
      <c r="AE504" s="2114">
        <f>H504-'Blocking-Step2'!H504</f>
        <v>0</v>
      </c>
      <c r="AF504" s="2114">
        <f>I504-'Blocking-Step2'!I504</f>
        <v>0</v>
      </c>
      <c r="AH504" s="2136">
        <f>K504-'Blocking-Step2'!K504</f>
        <v>0</v>
      </c>
      <c r="AJ504" s="2136">
        <f>M504-'Blocking-Step2'!M504</f>
        <v>0</v>
      </c>
      <c r="AL504" s="2136">
        <f>O504-'Blocking-Step2'!O504</f>
        <v>0</v>
      </c>
      <c r="AN504" s="2137">
        <f>Q504-'Blocking-Step2'!Q504</f>
        <v>0</v>
      </c>
      <c r="AP504" s="2127">
        <f>S504-'Blocking-Step2'!S504</f>
        <v>0</v>
      </c>
      <c r="AR504" s="2127">
        <f>U504-'Blocking-Step2'!U504</f>
        <v>0</v>
      </c>
      <c r="AT504" s="2127">
        <f>W504-'Blocking-Step2'!W504</f>
        <v>0</v>
      </c>
      <c r="AV504" s="2128">
        <f>Y504-'Blocking-Step2'!Y504</f>
        <v>0</v>
      </c>
    </row>
    <row r="505" spans="1:48">
      <c r="A505" s="1116" t="s">
        <v>240</v>
      </c>
      <c r="C505" s="1105">
        <v>55.716666666666669</v>
      </c>
      <c r="D505" s="1105">
        <v>157.84953632148375</v>
      </c>
      <c r="F505" s="1907"/>
      <c r="G505" s="1110"/>
      <c r="H505" s="1146"/>
      <c r="I505" s="1146"/>
      <c r="K505" s="1907">
        <v>54</v>
      </c>
      <c r="L505" s="1110"/>
      <c r="M505" s="1907">
        <v>0</v>
      </c>
      <c r="N505" s="1110"/>
      <c r="O505" s="1907">
        <v>0</v>
      </c>
      <c r="P505" s="1110"/>
      <c r="Q505" s="1907">
        <v>54</v>
      </c>
      <c r="R505" s="1110"/>
      <c r="S505" s="1146">
        <v>8524</v>
      </c>
      <c r="T505" s="1629"/>
      <c r="U505" s="1146">
        <v>0</v>
      </c>
      <c r="V505" s="1629"/>
      <c r="W505" s="1146">
        <v>0</v>
      </c>
      <c r="X505" s="1629"/>
      <c r="Y505" s="1146">
        <v>8524</v>
      </c>
      <c r="Z505" s="2114">
        <f>C505-'Blocking-Step2'!C505</f>
        <v>0</v>
      </c>
      <c r="AA505" s="2114">
        <f>D505-'Blocking-Step2'!D505</f>
        <v>0</v>
      </c>
      <c r="AC505" s="2114">
        <f>F505-'Blocking-Step2'!F505</f>
        <v>0</v>
      </c>
      <c r="AE505" s="2114">
        <f>H505-'Blocking-Step2'!H505</f>
        <v>0</v>
      </c>
      <c r="AF505" s="2114">
        <f>I505-'Blocking-Step2'!I505</f>
        <v>0</v>
      </c>
      <c r="AH505" s="2136">
        <f>K505-'Blocking-Step2'!K505</f>
        <v>0</v>
      </c>
      <c r="AJ505" s="2136">
        <f>M505-'Blocking-Step2'!M505</f>
        <v>0</v>
      </c>
      <c r="AL505" s="2136">
        <f>O505-'Blocking-Step2'!O505</f>
        <v>0</v>
      </c>
      <c r="AN505" s="2137">
        <f>Q505-'Blocking-Step2'!Q505</f>
        <v>0</v>
      </c>
      <c r="AP505" s="2127">
        <f>S505-'Blocking-Step2'!S505</f>
        <v>0</v>
      </c>
      <c r="AR505" s="2127">
        <f>U505-'Blocking-Step2'!U505</f>
        <v>0</v>
      </c>
      <c r="AT505" s="2127">
        <f>W505-'Blocking-Step2'!W505</f>
        <v>0</v>
      </c>
      <c r="AV505" s="2128">
        <f>Y505-'Blocking-Step2'!Y505</f>
        <v>0</v>
      </c>
    </row>
    <row r="506" spans="1:48">
      <c r="A506" s="1116" t="s">
        <v>1910</v>
      </c>
      <c r="C506" s="1105">
        <v>111994.63366336633</v>
      </c>
      <c r="D506" s="1105">
        <v>446919.92134186177</v>
      </c>
      <c r="E506" s="617"/>
      <c r="F506" s="1143"/>
      <c r="G506" s="1921"/>
      <c r="H506" s="1146"/>
      <c r="I506" s="1146"/>
      <c r="J506" s="617"/>
      <c r="K506" s="1143">
        <v>1.657</v>
      </c>
      <c r="L506" s="1921" t="s">
        <v>495</v>
      </c>
      <c r="M506" s="1143">
        <v>19.370528114911814</v>
      </c>
      <c r="N506" s="1921" t="s">
        <v>495</v>
      </c>
      <c r="O506" s="1143">
        <v>1.3496999999999999</v>
      </c>
      <c r="P506" s="1921" t="s">
        <v>495</v>
      </c>
      <c r="Q506" s="1143">
        <v>22.377228114911812</v>
      </c>
      <c r="R506" s="1921" t="s">
        <v>495</v>
      </c>
      <c r="S506" s="1146">
        <v>7405</v>
      </c>
      <c r="T506" s="1648"/>
      <c r="U506" s="1146">
        <v>86571</v>
      </c>
      <c r="V506" s="1648"/>
      <c r="W506" s="1146">
        <v>6032</v>
      </c>
      <c r="X506" s="1648"/>
      <c r="Y506" s="1146">
        <v>100008</v>
      </c>
      <c r="Z506" s="2114">
        <f>C506-'Blocking-Step2'!C506</f>
        <v>0</v>
      </c>
      <c r="AA506" s="2114">
        <f>D506-'Blocking-Step2'!D506</f>
        <v>0</v>
      </c>
      <c r="AC506" s="2114">
        <f>F506-'Blocking-Step2'!F506</f>
        <v>0</v>
      </c>
      <c r="AE506" s="2114">
        <f>H506-'Blocking-Step2'!H506</f>
        <v>0</v>
      </c>
      <c r="AF506" s="2114">
        <f>I506-'Blocking-Step2'!I506</f>
        <v>0</v>
      </c>
      <c r="AH506" s="2136">
        <f>K506-'Blocking-Step2'!K506</f>
        <v>-2.2955000000000001</v>
      </c>
      <c r="AJ506" s="2136">
        <f>M506-'Blocking-Step2'!M506</f>
        <v>2.2955000000000005</v>
      </c>
      <c r="AL506" s="2136">
        <f>O506-'Blocking-Step2'!O506</f>
        <v>0</v>
      </c>
      <c r="AN506" s="2137">
        <f>Q506-'Blocking-Step2'!Q506</f>
        <v>0</v>
      </c>
      <c r="AP506" s="2127">
        <f>S506-'Blocking-Step2'!S506</f>
        <v>-10260</v>
      </c>
      <c r="AR506" s="2127">
        <f>U506-'Blocking-Step2'!U506</f>
        <v>10259</v>
      </c>
      <c r="AT506" s="2127">
        <f>W506-'Blocking-Step2'!W506</f>
        <v>0</v>
      </c>
      <c r="AV506" s="2128">
        <f>Y506-'Blocking-Step2'!Y506</f>
        <v>0</v>
      </c>
    </row>
    <row r="507" spans="1:48">
      <c r="A507" s="1116" t="s">
        <v>1911</v>
      </c>
      <c r="C507" s="1105">
        <v>266833.36633663368</v>
      </c>
      <c r="D507" s="1105">
        <v>1064811.2609841989</v>
      </c>
      <c r="E507" s="617"/>
      <c r="F507" s="1143"/>
      <c r="G507" s="1921"/>
      <c r="H507" s="1146"/>
      <c r="I507" s="1146"/>
      <c r="J507" s="617"/>
      <c r="K507" s="1143">
        <v>1.657</v>
      </c>
      <c r="L507" s="1921" t="s">
        <v>495</v>
      </c>
      <c r="M507" s="1143">
        <v>1.3803172825590004</v>
      </c>
      <c r="N507" s="1921" t="s">
        <v>495</v>
      </c>
      <c r="O507" s="1143">
        <v>1.3496999999999999</v>
      </c>
      <c r="P507" s="1921" t="s">
        <v>495</v>
      </c>
      <c r="Q507" s="1143">
        <v>4.3870172825590004</v>
      </c>
      <c r="R507" s="1921" t="s">
        <v>495</v>
      </c>
      <c r="S507" s="1146">
        <v>17644</v>
      </c>
      <c r="T507" s="1648"/>
      <c r="U507" s="1146">
        <v>14698</v>
      </c>
      <c r="V507" s="1648"/>
      <c r="W507" s="1146">
        <v>14372</v>
      </c>
      <c r="X507" s="1648"/>
      <c r="Y507" s="1146">
        <v>46713</v>
      </c>
      <c r="Z507" s="2114">
        <f>C507-'Blocking-Step2'!C507</f>
        <v>0</v>
      </c>
      <c r="AA507" s="2114">
        <f>D507-'Blocking-Step2'!D507</f>
        <v>0</v>
      </c>
      <c r="AC507" s="2114">
        <f>F507-'Blocking-Step2'!F507</f>
        <v>0</v>
      </c>
      <c r="AE507" s="2114">
        <f>H507-'Blocking-Step2'!H507</f>
        <v>0</v>
      </c>
      <c r="AF507" s="2114">
        <f>I507-'Blocking-Step2'!I507</f>
        <v>0</v>
      </c>
      <c r="AH507" s="2136">
        <f>K507-'Blocking-Step2'!K507</f>
        <v>-2.2955000000000001</v>
      </c>
      <c r="AJ507" s="2136">
        <f>M507-'Blocking-Step2'!M507</f>
        <v>2.2955000000000001</v>
      </c>
      <c r="AL507" s="2136">
        <f>O507-'Blocking-Step2'!O507</f>
        <v>0</v>
      </c>
      <c r="AN507" s="2137">
        <f>Q507-'Blocking-Step2'!Q507</f>
        <v>0</v>
      </c>
      <c r="AP507" s="2127">
        <f>S507-'Blocking-Step2'!S507</f>
        <v>-24443</v>
      </c>
      <c r="AR507" s="2127">
        <f>U507-'Blocking-Step2'!U507</f>
        <v>24443</v>
      </c>
      <c r="AT507" s="2127">
        <f>W507-'Blocking-Step2'!W507</f>
        <v>0</v>
      </c>
      <c r="AV507" s="2128">
        <f>Y507-'Blocking-Step2'!Y507</f>
        <v>0</v>
      </c>
    </row>
    <row r="508" spans="1:48">
      <c r="A508" s="1116" t="s">
        <v>1912</v>
      </c>
      <c r="C508" s="1105">
        <v>151504.07425742573</v>
      </c>
      <c r="D508" s="1105">
        <v>604584.22636234248</v>
      </c>
      <c r="E508" s="617"/>
      <c r="F508" s="1143"/>
      <c r="G508" s="1921"/>
      <c r="H508" s="1146"/>
      <c r="I508" s="1146"/>
      <c r="J508" s="617"/>
      <c r="K508" s="1143">
        <v>1.657</v>
      </c>
      <c r="L508" s="1921" t="s">
        <v>495</v>
      </c>
      <c r="M508" s="1143">
        <v>16.951500000000003</v>
      </c>
      <c r="N508" s="1921" t="s">
        <v>495</v>
      </c>
      <c r="O508" s="1143">
        <v>1.1943999999999999</v>
      </c>
      <c r="P508" s="1921" t="s">
        <v>495</v>
      </c>
      <c r="Q508" s="1143">
        <v>19.802900000000001</v>
      </c>
      <c r="R508" s="1921" t="s">
        <v>495</v>
      </c>
      <c r="S508" s="1146">
        <v>10018</v>
      </c>
      <c r="T508" s="1648"/>
      <c r="U508" s="1146">
        <v>102486</v>
      </c>
      <c r="V508" s="1648"/>
      <c r="W508" s="1146">
        <v>7221</v>
      </c>
      <c r="X508" s="1648"/>
      <c r="Y508" s="1146">
        <v>119725</v>
      </c>
      <c r="Z508" s="2114">
        <f>C508-'Blocking-Step2'!C508</f>
        <v>0</v>
      </c>
      <c r="AA508" s="2114">
        <f>D508-'Blocking-Step2'!D508</f>
        <v>0</v>
      </c>
      <c r="AC508" s="2114">
        <f>F508-'Blocking-Step2'!F508</f>
        <v>0</v>
      </c>
      <c r="AE508" s="2114">
        <f>H508-'Blocking-Step2'!H508</f>
        <v>0</v>
      </c>
      <c r="AF508" s="2114">
        <f>I508-'Blocking-Step2'!I508</f>
        <v>0</v>
      </c>
      <c r="AH508" s="2136">
        <f>K508-'Blocking-Step2'!K508</f>
        <v>-2.2955000000000001</v>
      </c>
      <c r="AJ508" s="2136">
        <f>M508-'Blocking-Step2'!M508</f>
        <v>2.2955000000000023</v>
      </c>
      <c r="AL508" s="2136">
        <f>O508-'Blocking-Step2'!O508</f>
        <v>0</v>
      </c>
      <c r="AN508" s="2137">
        <f>Q508-'Blocking-Step2'!Q508</f>
        <v>0</v>
      </c>
      <c r="AP508" s="2127">
        <f>S508-'Blocking-Step2'!S508</f>
        <v>-13878</v>
      </c>
      <c r="AR508" s="2127">
        <f>U508-'Blocking-Step2'!U508</f>
        <v>13878</v>
      </c>
      <c r="AT508" s="2127">
        <f>W508-'Blocking-Step2'!W508</f>
        <v>0</v>
      </c>
      <c r="AV508" s="2128">
        <f>Y508-'Blocking-Step2'!Y508</f>
        <v>0</v>
      </c>
    </row>
    <row r="509" spans="1:48">
      <c r="A509" s="1116" t="s">
        <v>1913</v>
      </c>
      <c r="C509" s="1105">
        <v>460068.42574257427</v>
      </c>
      <c r="D509" s="1105">
        <v>1835924.9717515896</v>
      </c>
      <c r="E509" s="617"/>
      <c r="F509" s="1143"/>
      <c r="G509" s="1921"/>
      <c r="H509" s="1146"/>
      <c r="I509" s="1146"/>
      <c r="J509" s="617"/>
      <c r="K509" s="1143">
        <v>1.657</v>
      </c>
      <c r="L509" s="1921" t="s">
        <v>495</v>
      </c>
      <c r="M509" s="1143">
        <v>1.0308999999999999</v>
      </c>
      <c r="N509" s="1921" t="s">
        <v>495</v>
      </c>
      <c r="O509" s="1143">
        <v>1.1943999999999999</v>
      </c>
      <c r="P509" s="1921" t="s">
        <v>495</v>
      </c>
      <c r="Q509" s="1143">
        <v>3.8822999999999999</v>
      </c>
      <c r="R509" s="1921" t="s">
        <v>495</v>
      </c>
      <c r="S509" s="1146">
        <v>30421</v>
      </c>
      <c r="T509" s="1648"/>
      <c r="U509" s="1146">
        <v>18927</v>
      </c>
      <c r="V509" s="1648"/>
      <c r="W509" s="1146">
        <v>21928</v>
      </c>
      <c r="X509" s="1648"/>
      <c r="Y509" s="1146">
        <v>71276</v>
      </c>
      <c r="Z509" s="2114">
        <f>C509-'Blocking-Step2'!C509</f>
        <v>0</v>
      </c>
      <c r="AA509" s="2114">
        <f>D509-'Blocking-Step2'!D509</f>
        <v>0</v>
      </c>
      <c r="AC509" s="2114">
        <f>F509-'Blocking-Step2'!F509</f>
        <v>0</v>
      </c>
      <c r="AE509" s="2114">
        <f>H509-'Blocking-Step2'!H509</f>
        <v>0</v>
      </c>
      <c r="AF509" s="2114">
        <f>I509-'Blocking-Step2'!I509</f>
        <v>0</v>
      </c>
      <c r="AH509" s="2136">
        <f>K509-'Blocking-Step2'!K509</f>
        <v>-2.2955000000000001</v>
      </c>
      <c r="AJ509" s="2136">
        <f>M509-'Blocking-Step2'!M509</f>
        <v>2.2955000000000001</v>
      </c>
      <c r="AL509" s="2136">
        <f>O509-'Blocking-Step2'!O509</f>
        <v>0</v>
      </c>
      <c r="AN509" s="2137">
        <f>Q509-'Blocking-Step2'!Q509</f>
        <v>0</v>
      </c>
      <c r="AP509" s="2127">
        <f>S509-'Blocking-Step2'!S509</f>
        <v>-42144</v>
      </c>
      <c r="AR509" s="2127">
        <f>U509-'Blocking-Step2'!U509</f>
        <v>42144</v>
      </c>
      <c r="AT509" s="2127">
        <f>W509-'Blocking-Step2'!W509</f>
        <v>0</v>
      </c>
      <c r="AV509" s="2128">
        <f>Y509-'Blocking-Step2'!Y509</f>
        <v>0</v>
      </c>
    </row>
    <row r="510" spans="1:48">
      <c r="A510" s="1116" t="s">
        <v>1906</v>
      </c>
      <c r="C510" s="1105">
        <v>210382.32064704984</v>
      </c>
      <c r="D510" s="1105">
        <v>839540.67368902243</v>
      </c>
      <c r="E510" s="617"/>
      <c r="F510" s="1143"/>
      <c r="G510" s="1921"/>
      <c r="H510" s="1146"/>
      <c r="I510" s="1146"/>
      <c r="J510" s="617"/>
      <c r="K510" s="1143">
        <v>0</v>
      </c>
      <c r="L510" s="1921" t="s">
        <v>495</v>
      </c>
      <c r="M510" s="1143">
        <v>0</v>
      </c>
      <c r="N510" s="1921" t="s">
        <v>495</v>
      </c>
      <c r="O510" s="1143">
        <v>6</v>
      </c>
      <c r="P510" s="1921" t="s">
        <v>495</v>
      </c>
      <c r="Q510" s="1143">
        <v>6</v>
      </c>
      <c r="R510" s="1921" t="s">
        <v>495</v>
      </c>
      <c r="S510" s="1146">
        <v>0</v>
      </c>
      <c r="T510" s="1648"/>
      <c r="U510" s="1146">
        <v>0</v>
      </c>
      <c r="V510" s="1648"/>
      <c r="W510" s="1146">
        <v>50372</v>
      </c>
      <c r="X510" s="1648"/>
      <c r="Y510" s="1146">
        <v>50372</v>
      </c>
      <c r="Z510" s="2114">
        <f>C510-'Blocking-Step2'!C510</f>
        <v>0</v>
      </c>
      <c r="AA510" s="2114">
        <f>D510-'Blocking-Step2'!D510</f>
        <v>0</v>
      </c>
      <c r="AC510" s="2114">
        <f>F510-'Blocking-Step2'!F510</f>
        <v>0</v>
      </c>
      <c r="AE510" s="2114">
        <f>H510-'Blocking-Step2'!H510</f>
        <v>0</v>
      </c>
      <c r="AF510" s="2114">
        <f>I510-'Blocking-Step2'!I510</f>
        <v>0</v>
      </c>
      <c r="AH510" s="2136">
        <f>K510-'Blocking-Step2'!K510</f>
        <v>0</v>
      </c>
      <c r="AJ510" s="2136">
        <f>M510-'Blocking-Step2'!M510</f>
        <v>0</v>
      </c>
      <c r="AL510" s="2136">
        <f>O510-'Blocking-Step2'!O510</f>
        <v>0</v>
      </c>
      <c r="AN510" s="2137">
        <f>Q510-'Blocking-Step2'!Q510</f>
        <v>0</v>
      </c>
      <c r="AP510" s="2127">
        <f>S510-'Blocking-Step2'!S510</f>
        <v>0</v>
      </c>
      <c r="AR510" s="2127">
        <f>U510-'Blocking-Step2'!U510</f>
        <v>0</v>
      </c>
      <c r="AT510" s="2127">
        <f>W510-'Blocking-Step2'!W510</f>
        <v>0</v>
      </c>
      <c r="AV510" s="2128">
        <f>Y510-'Blocking-Step2'!Y510</f>
        <v>0</v>
      </c>
    </row>
    <row r="511" spans="1:48">
      <c r="A511" s="1116" t="s">
        <v>1907</v>
      </c>
      <c r="C511" s="1105">
        <v>168445.67935295016</v>
      </c>
      <c r="D511" s="1105">
        <v>672190.50863703794</v>
      </c>
      <c r="E511" s="617"/>
      <c r="F511" s="1143"/>
      <c r="G511" s="1921"/>
      <c r="H511" s="1146"/>
      <c r="I511" s="1146"/>
      <c r="J511" s="617"/>
      <c r="K511" s="1143">
        <v>0</v>
      </c>
      <c r="L511" s="1921" t="s">
        <v>495</v>
      </c>
      <c r="M511" s="1143">
        <v>0</v>
      </c>
      <c r="N511" s="1921" t="s">
        <v>495</v>
      </c>
      <c r="O511" s="1143">
        <v>-2.3358000000000008</v>
      </c>
      <c r="P511" s="1921" t="s">
        <v>495</v>
      </c>
      <c r="Q511" s="1143">
        <v>-2.3358000000000008</v>
      </c>
      <c r="R511" s="1921" t="s">
        <v>495</v>
      </c>
      <c r="S511" s="1146">
        <v>0</v>
      </c>
      <c r="T511" s="1648"/>
      <c r="U511" s="1146">
        <v>0</v>
      </c>
      <c r="V511" s="1648"/>
      <c r="W511" s="1146">
        <v>-15701</v>
      </c>
      <c r="X511" s="1648"/>
      <c r="Y511" s="1146">
        <v>-15701</v>
      </c>
      <c r="Z511" s="2114">
        <f>C511-'Blocking-Step2'!C511</f>
        <v>0</v>
      </c>
      <c r="AA511" s="2114">
        <f>D511-'Blocking-Step2'!D511</f>
        <v>0</v>
      </c>
      <c r="AC511" s="2114">
        <f>F511-'Blocking-Step2'!F511</f>
        <v>0</v>
      </c>
      <c r="AE511" s="2114">
        <f>H511-'Blocking-Step2'!H511</f>
        <v>0</v>
      </c>
      <c r="AF511" s="2114">
        <f>I511-'Blocking-Step2'!I511</f>
        <v>0</v>
      </c>
      <c r="AH511" s="2136">
        <f>K511-'Blocking-Step2'!K511</f>
        <v>0</v>
      </c>
      <c r="AJ511" s="2136">
        <f>M511-'Blocking-Step2'!M511</f>
        <v>0</v>
      </c>
      <c r="AL511" s="2136">
        <f>O511-'Blocking-Step2'!O511</f>
        <v>0</v>
      </c>
      <c r="AN511" s="2137">
        <f>Q511-'Blocking-Step2'!Q511</f>
        <v>0</v>
      </c>
      <c r="AP511" s="2127">
        <f>S511-'Blocking-Step2'!S511</f>
        <v>0</v>
      </c>
      <c r="AR511" s="2127">
        <f>U511-'Blocking-Step2'!U511</f>
        <v>0</v>
      </c>
      <c r="AT511" s="2127">
        <f>W511-'Blocking-Step2'!W511</f>
        <v>0</v>
      </c>
      <c r="AV511" s="2128">
        <f>Y511-'Blocking-Step2'!Y511</f>
        <v>0</v>
      </c>
    </row>
    <row r="512" spans="1:48">
      <c r="A512" s="1116" t="s">
        <v>1908</v>
      </c>
      <c r="C512" s="1105">
        <v>339637.09597473755</v>
      </c>
      <c r="D512" s="1105">
        <v>1355338.0126592533</v>
      </c>
      <c r="E512" s="617"/>
      <c r="F512" s="1143"/>
      <c r="G512" s="1921"/>
      <c r="H512" s="1146"/>
      <c r="I512" s="1146"/>
      <c r="J512" s="617"/>
      <c r="K512" s="1143">
        <v>0</v>
      </c>
      <c r="L512" s="1921" t="s">
        <v>495</v>
      </c>
      <c r="M512" s="1143">
        <v>0</v>
      </c>
      <c r="N512" s="1921" t="s">
        <v>495</v>
      </c>
      <c r="O512" s="1143">
        <v>5.3097000000000003</v>
      </c>
      <c r="P512" s="1921" t="s">
        <v>495</v>
      </c>
      <c r="Q512" s="1143">
        <v>5.3097000000000003</v>
      </c>
      <c r="R512" s="1921" t="s">
        <v>495</v>
      </c>
      <c r="S512" s="1146">
        <v>0</v>
      </c>
      <c r="T512" s="1648"/>
      <c r="U512" s="1146">
        <v>0</v>
      </c>
      <c r="V512" s="1648"/>
      <c r="W512" s="1146">
        <v>71964</v>
      </c>
      <c r="X512" s="1648"/>
      <c r="Y512" s="1146">
        <v>71964</v>
      </c>
      <c r="Z512" s="2114">
        <f>C512-'Blocking-Step2'!C512</f>
        <v>0</v>
      </c>
      <c r="AA512" s="2114">
        <f>D512-'Blocking-Step2'!D512</f>
        <v>0</v>
      </c>
      <c r="AC512" s="2114">
        <f>F512-'Blocking-Step2'!F512</f>
        <v>0</v>
      </c>
      <c r="AE512" s="2114">
        <f>H512-'Blocking-Step2'!H512</f>
        <v>0</v>
      </c>
      <c r="AF512" s="2114">
        <f>I512-'Blocking-Step2'!I512</f>
        <v>0</v>
      </c>
      <c r="AH512" s="2136">
        <f>K512-'Blocking-Step2'!K512</f>
        <v>0</v>
      </c>
      <c r="AJ512" s="2136">
        <f>M512-'Blocking-Step2'!M512</f>
        <v>0</v>
      </c>
      <c r="AL512" s="2136">
        <f>O512-'Blocking-Step2'!O512</f>
        <v>0</v>
      </c>
      <c r="AN512" s="2137">
        <f>Q512-'Blocking-Step2'!Q512</f>
        <v>0</v>
      </c>
      <c r="AP512" s="2127">
        <f>S512-'Blocking-Step2'!S512</f>
        <v>0</v>
      </c>
      <c r="AR512" s="2127">
        <f>U512-'Blocking-Step2'!U512</f>
        <v>0</v>
      </c>
      <c r="AT512" s="2127">
        <f>W512-'Blocking-Step2'!W512</f>
        <v>0</v>
      </c>
      <c r="AV512" s="2128">
        <f>Y512-'Blocking-Step2'!Y512</f>
        <v>0</v>
      </c>
    </row>
    <row r="513" spans="1:48">
      <c r="A513" s="1116" t="s">
        <v>1909</v>
      </c>
      <c r="C513" s="1105">
        <v>271935.40402526245</v>
      </c>
      <c r="D513" s="1105">
        <v>1085171.1854546787</v>
      </c>
      <c r="E513" s="617"/>
      <c r="F513" s="1143"/>
      <c r="G513" s="1921"/>
      <c r="H513" s="1146"/>
      <c r="I513" s="1146"/>
      <c r="J513" s="617"/>
      <c r="K513" s="1143">
        <v>0</v>
      </c>
      <c r="L513" s="1921" t="s">
        <v>495</v>
      </c>
      <c r="M513" s="1143">
        <v>0</v>
      </c>
      <c r="N513" s="1921" t="s">
        <v>495</v>
      </c>
      <c r="O513" s="1143">
        <v>-2.0670999999999999</v>
      </c>
      <c r="P513" s="1921" t="s">
        <v>495</v>
      </c>
      <c r="Q513" s="1143">
        <v>-2.0670999999999999</v>
      </c>
      <c r="R513" s="1921" t="s">
        <v>495</v>
      </c>
      <c r="S513" s="1146">
        <v>0</v>
      </c>
      <c r="T513" s="1648"/>
      <c r="U513" s="1146">
        <v>0</v>
      </c>
      <c r="V513" s="1648"/>
      <c r="W513" s="1146">
        <v>-22432</v>
      </c>
      <c r="X513" s="1648"/>
      <c r="Y513" s="1146">
        <v>-22432</v>
      </c>
      <c r="Z513" s="2114">
        <f>C513-'Blocking-Step2'!C513</f>
        <v>0</v>
      </c>
      <c r="AA513" s="2114">
        <f>D513-'Blocking-Step2'!D513</f>
        <v>0</v>
      </c>
      <c r="AC513" s="2114">
        <f>F513-'Blocking-Step2'!F513</f>
        <v>0</v>
      </c>
      <c r="AE513" s="2114">
        <f>H513-'Blocking-Step2'!H513</f>
        <v>0</v>
      </c>
      <c r="AF513" s="2114">
        <f>I513-'Blocking-Step2'!I513</f>
        <v>0</v>
      </c>
      <c r="AH513" s="2136">
        <f>K513-'Blocking-Step2'!K513</f>
        <v>0</v>
      </c>
      <c r="AJ513" s="2136">
        <f>M513-'Blocking-Step2'!M513</f>
        <v>0</v>
      </c>
      <c r="AL513" s="2136">
        <f>O513-'Blocking-Step2'!O513</f>
        <v>0</v>
      </c>
      <c r="AN513" s="2137">
        <f>Q513-'Blocking-Step2'!Q513</f>
        <v>0</v>
      </c>
      <c r="AP513" s="2127">
        <f>S513-'Blocking-Step2'!S513</f>
        <v>0</v>
      </c>
      <c r="AR513" s="2127">
        <f>U513-'Blocking-Step2'!U513</f>
        <v>0</v>
      </c>
      <c r="AT513" s="2127">
        <f>W513-'Blocking-Step2'!W513</f>
        <v>0</v>
      </c>
      <c r="AV513" s="2128">
        <f>Y513-'Blocking-Step2'!Y513</f>
        <v>0</v>
      </c>
    </row>
    <row r="514" spans="1:48">
      <c r="A514" s="1116" t="s">
        <v>261</v>
      </c>
      <c r="C514" s="1105">
        <v>0</v>
      </c>
      <c r="D514" s="1105">
        <v>0</v>
      </c>
      <c r="F514" s="1907"/>
      <c r="G514" s="1110"/>
      <c r="H514" s="1146"/>
      <c r="I514" s="1146"/>
      <c r="K514" s="1907">
        <v>-0.61</v>
      </c>
      <c r="L514" s="1110"/>
      <c r="M514" s="1907">
        <v>0</v>
      </c>
      <c r="N514" s="1110"/>
      <c r="O514" s="1907">
        <v>0</v>
      </c>
      <c r="P514" s="1110"/>
      <c r="Q514" s="1907">
        <v>-0.61</v>
      </c>
      <c r="R514" s="1110"/>
      <c r="S514" s="1146">
        <v>0</v>
      </c>
      <c r="T514" s="1629"/>
      <c r="U514" s="1146">
        <v>0</v>
      </c>
      <c r="V514" s="1629"/>
      <c r="W514" s="1146">
        <v>0</v>
      </c>
      <c r="X514" s="1629"/>
      <c r="Y514" s="1146">
        <v>0</v>
      </c>
      <c r="Z514" s="2114">
        <f>C514-'Blocking-Step2'!C514</f>
        <v>0</v>
      </c>
      <c r="AA514" s="2114">
        <f>D514-'Blocking-Step2'!D514</f>
        <v>0</v>
      </c>
      <c r="AC514" s="2114">
        <f>F514-'Blocking-Step2'!F514</f>
        <v>0</v>
      </c>
      <c r="AE514" s="2114">
        <f>H514-'Blocking-Step2'!H514</f>
        <v>0</v>
      </c>
      <c r="AF514" s="2114">
        <f>I514-'Blocking-Step2'!I514</f>
        <v>0</v>
      </c>
      <c r="AH514" s="2136">
        <f>K514-'Blocking-Step2'!K514</f>
        <v>0</v>
      </c>
      <c r="AJ514" s="2136">
        <f>M514-'Blocking-Step2'!M514</f>
        <v>0</v>
      </c>
      <c r="AL514" s="2136">
        <f>O514-'Blocking-Step2'!O514</f>
        <v>0</v>
      </c>
      <c r="AN514" s="2137">
        <f>Q514-'Blocking-Step2'!Q514</f>
        <v>0</v>
      </c>
      <c r="AP514" s="2127">
        <f>S514-'Blocking-Step2'!S514</f>
        <v>0</v>
      </c>
      <c r="AR514" s="2127">
        <f>U514-'Blocking-Step2'!U514</f>
        <v>0</v>
      </c>
      <c r="AT514" s="2127">
        <f>W514-'Blocking-Step2'!W514</f>
        <v>0</v>
      </c>
      <c r="AV514" s="2128">
        <f>Y514-'Blocking-Step2'!Y514</f>
        <v>0</v>
      </c>
    </row>
    <row r="515" spans="1:48">
      <c r="A515" s="1116" t="s">
        <v>1158</v>
      </c>
      <c r="C515" s="1105">
        <v>0</v>
      </c>
      <c r="D515" s="1105">
        <v>0</v>
      </c>
      <c r="F515" s="1106"/>
      <c r="G515" s="1921"/>
      <c r="H515" s="1146"/>
      <c r="I515" s="1146"/>
      <c r="K515" s="1106">
        <v>0</v>
      </c>
      <c r="L515" s="1921" t="s">
        <v>495</v>
      </c>
      <c r="M515" s="1106">
        <v>7.125</v>
      </c>
      <c r="N515" s="1921" t="s">
        <v>495</v>
      </c>
      <c r="O515" s="1106">
        <v>0</v>
      </c>
      <c r="P515" s="1921" t="s">
        <v>495</v>
      </c>
      <c r="Q515" s="1106">
        <v>7.125</v>
      </c>
      <c r="R515" s="1921" t="s">
        <v>495</v>
      </c>
      <c r="S515" s="1146">
        <v>0</v>
      </c>
      <c r="T515" s="1648"/>
      <c r="U515" s="1146">
        <v>0</v>
      </c>
      <c r="V515" s="1648"/>
      <c r="W515" s="1146">
        <v>0</v>
      </c>
      <c r="X515" s="1648"/>
      <c r="Y515" s="1146">
        <v>0</v>
      </c>
      <c r="Z515" s="2114">
        <f>C515-'Blocking-Step2'!C515</f>
        <v>0</v>
      </c>
      <c r="AA515" s="2114">
        <f>D515-'Blocking-Step2'!D515</f>
        <v>0</v>
      </c>
      <c r="AC515" s="2114">
        <f>F515-'Blocking-Step2'!F515</f>
        <v>0</v>
      </c>
      <c r="AE515" s="2114">
        <f>H515-'Blocking-Step2'!H515</f>
        <v>0</v>
      </c>
      <c r="AF515" s="2114">
        <f>I515-'Blocking-Step2'!I515</f>
        <v>0</v>
      </c>
      <c r="AH515" s="2136">
        <f>K515-'Blocking-Step2'!K515</f>
        <v>0</v>
      </c>
      <c r="AJ515" s="2136">
        <f>M515-'Blocking-Step2'!M515</f>
        <v>0</v>
      </c>
      <c r="AL515" s="2136">
        <f>O515-'Blocking-Step2'!O515</f>
        <v>0</v>
      </c>
      <c r="AN515" s="2137">
        <f>Q515-'Blocking-Step2'!Q515</f>
        <v>0</v>
      </c>
      <c r="AP515" s="2127">
        <f>S515-'Blocking-Step2'!S515</f>
        <v>0</v>
      </c>
      <c r="AR515" s="2127">
        <f>U515-'Blocking-Step2'!U515</f>
        <v>0</v>
      </c>
      <c r="AT515" s="2127">
        <f>W515-'Blocking-Step2'!W515</f>
        <v>0</v>
      </c>
      <c r="AV515" s="2128">
        <f>Y515-'Blocking-Step2'!Y515</f>
        <v>0</v>
      </c>
    </row>
    <row r="516" spans="1:48">
      <c r="A516" s="1116" t="s">
        <v>1240</v>
      </c>
      <c r="C516" s="1024"/>
      <c r="D516" s="1024"/>
      <c r="F516" s="2076"/>
      <c r="G516" s="617"/>
      <c r="H516" s="1146"/>
      <c r="I516" s="1146"/>
      <c r="K516" s="2076"/>
      <c r="L516" s="617"/>
      <c r="M516" s="2076"/>
      <c r="N516" s="617"/>
      <c r="O516" s="2077" t="s">
        <v>2323</v>
      </c>
      <c r="P516" s="617"/>
      <c r="Q516" s="2076">
        <v>-3.0599999999999999E-2</v>
      </c>
      <c r="R516" s="617"/>
      <c r="S516" s="1114"/>
      <c r="T516" s="1114"/>
      <c r="U516" s="1114"/>
      <c r="V516" s="1114"/>
      <c r="W516" s="1114"/>
      <c r="X516" s="1114"/>
      <c r="Y516" s="1146">
        <v>-10334.2932</v>
      </c>
      <c r="Z516" s="2114">
        <f>C516-'Blocking-Step2'!C516</f>
        <v>0</v>
      </c>
      <c r="AA516" s="2114">
        <f>D516-'Blocking-Step2'!D516</f>
        <v>0</v>
      </c>
      <c r="AC516" s="2114">
        <f>F516-'Blocking-Step2'!F516</f>
        <v>0</v>
      </c>
      <c r="AE516" s="2114">
        <f>H516-'Blocking-Step2'!H516</f>
        <v>0</v>
      </c>
      <c r="AF516" s="2114">
        <f>I516-'Blocking-Step2'!I516</f>
        <v>0</v>
      </c>
      <c r="AH516" s="2136">
        <f>K516-'Blocking-Step2'!K516</f>
        <v>0</v>
      </c>
      <c r="AJ516" s="2136">
        <f>M516-'Blocking-Step2'!M516</f>
        <v>0</v>
      </c>
      <c r="AL516" s="2136" t="e">
        <f>O516-'Blocking-Step2'!O516</f>
        <v>#VALUE!</v>
      </c>
      <c r="AN516" s="2137">
        <f>Q516-'Blocking-Step2'!Q516</f>
        <v>0</v>
      </c>
      <c r="AP516" s="2127">
        <f>S516-'Blocking-Step2'!S516</f>
        <v>0</v>
      </c>
      <c r="AR516" s="2127">
        <f>U516-'Blocking-Step2'!U516</f>
        <v>0</v>
      </c>
      <c r="AT516" s="2127">
        <f>W516-'Blocking-Step2'!W516</f>
        <v>0</v>
      </c>
      <c r="AV516" s="2128">
        <f>Y516-'Blocking-Step2'!Y516</f>
        <v>0</v>
      </c>
    </row>
    <row r="517" spans="1:48">
      <c r="A517" s="1116"/>
      <c r="C517" s="1024"/>
      <c r="D517" s="1024"/>
      <c r="F517" s="2076"/>
      <c r="G517" s="617"/>
      <c r="H517" s="1146"/>
      <c r="I517" s="1146"/>
      <c r="K517" s="2076"/>
      <c r="L517" s="617"/>
      <c r="M517" s="2076"/>
      <c r="N517" s="617"/>
      <c r="O517" s="2077" t="s">
        <v>2324</v>
      </c>
      <c r="P517" s="617"/>
      <c r="Q517" s="2076">
        <v>-1.66E-2</v>
      </c>
      <c r="R517" s="617"/>
      <c r="S517" s="1114"/>
      <c r="T517" s="1114"/>
      <c r="U517" s="1114"/>
      <c r="V517" s="1114"/>
      <c r="W517" s="1114"/>
      <c r="X517" s="1114"/>
      <c r="Y517" s="1146">
        <v>-5606.1851999999999</v>
      </c>
      <c r="Z517" s="2114">
        <f>C517-'Blocking-Step2'!C517</f>
        <v>0</v>
      </c>
      <c r="AA517" s="2114">
        <f>D517-'Blocking-Step2'!D517</f>
        <v>0</v>
      </c>
      <c r="AC517" s="2114">
        <f>F517-'Blocking-Step2'!F517</f>
        <v>0</v>
      </c>
      <c r="AE517" s="2114">
        <f>H517-'Blocking-Step2'!H517</f>
        <v>0</v>
      </c>
      <c r="AF517" s="2114">
        <f>I517-'Blocking-Step2'!I517</f>
        <v>0</v>
      </c>
      <c r="AH517" s="2136">
        <f>K517-'Blocking-Step2'!K517</f>
        <v>0</v>
      </c>
      <c r="AJ517" s="2136">
        <f>M517-'Blocking-Step2'!M517</f>
        <v>0</v>
      </c>
      <c r="AL517" s="2136" t="e">
        <f>O517-'Blocking-Step2'!O517</f>
        <v>#VALUE!</v>
      </c>
      <c r="AN517" s="2137">
        <f>Q517-'Blocking-Step2'!Q517</f>
        <v>0</v>
      </c>
      <c r="AP517" s="2127">
        <f>S517-'Blocking-Step2'!S517</f>
        <v>0</v>
      </c>
      <c r="AR517" s="2127">
        <f>U517-'Blocking-Step2'!U517</f>
        <v>0</v>
      </c>
      <c r="AT517" s="2127">
        <f>W517-'Blocking-Step2'!W517</f>
        <v>0</v>
      </c>
      <c r="AV517" s="2128">
        <f>Y517-'Blocking-Step2'!Y517</f>
        <v>0</v>
      </c>
    </row>
    <row r="518" spans="1:48">
      <c r="A518" s="1116" t="s">
        <v>1923</v>
      </c>
      <c r="C518" s="1105">
        <v>990400.5</v>
      </c>
      <c r="D518" s="1105">
        <v>3952240.3804399925</v>
      </c>
      <c r="F518" s="1907"/>
      <c r="G518" s="1110"/>
      <c r="H518" s="1146"/>
      <c r="I518" s="1146"/>
      <c r="K518" s="1907"/>
      <c r="L518" s="1110"/>
      <c r="M518" s="1907"/>
      <c r="N518" s="1110"/>
      <c r="O518" s="1907"/>
      <c r="P518" s="1110"/>
      <c r="Q518" s="1907"/>
      <c r="R518" s="1110"/>
      <c r="S518" s="1146">
        <v>74012</v>
      </c>
      <c r="T518" s="1629"/>
      <c r="U518" s="1146">
        <v>222682</v>
      </c>
      <c r="V518" s="1629"/>
      <c r="W518" s="1146">
        <v>133756</v>
      </c>
      <c r="X518" s="1629"/>
      <c r="Y518" s="1146">
        <v>430449</v>
      </c>
      <c r="Z518" s="2114">
        <f>C518-'Blocking-Step2'!C518</f>
        <v>0</v>
      </c>
      <c r="AA518" s="2114">
        <f>D518-'Blocking-Step2'!D518</f>
        <v>0</v>
      </c>
      <c r="AC518" s="2114">
        <f>F518-'Blocking-Step2'!F518</f>
        <v>0</v>
      </c>
      <c r="AE518" s="2114">
        <f>H518-'Blocking-Step2'!H518</f>
        <v>0</v>
      </c>
      <c r="AF518" s="2114">
        <f>I518-'Blocking-Step2'!I518</f>
        <v>0</v>
      </c>
      <c r="AH518" s="2136">
        <f>K518-'Blocking-Step2'!K518</f>
        <v>0</v>
      </c>
      <c r="AJ518" s="2136">
        <f>M518-'Blocking-Step2'!M518</f>
        <v>0</v>
      </c>
      <c r="AL518" s="2136">
        <f>O518-'Blocking-Step2'!O518</f>
        <v>0</v>
      </c>
      <c r="AN518" s="2137">
        <f>Q518-'Blocking-Step2'!Q518</f>
        <v>0</v>
      </c>
      <c r="AP518" s="2127">
        <f>S518-'Blocking-Step2'!S518</f>
        <v>-90725</v>
      </c>
      <c r="AR518" s="2127">
        <f>U518-'Blocking-Step2'!U518</f>
        <v>90724</v>
      </c>
      <c r="AT518" s="2127">
        <f>W518-'Blocking-Step2'!W518</f>
        <v>0</v>
      </c>
      <c r="AV518" s="2128">
        <f>Y518-'Blocking-Step2'!Y518</f>
        <v>0</v>
      </c>
    </row>
    <row r="519" spans="1:48">
      <c r="A519" s="1116"/>
      <c r="C519" s="1105"/>
      <c r="D519" s="1105"/>
      <c r="F519" s="1907"/>
      <c r="G519" s="1110"/>
      <c r="H519" s="1146"/>
      <c r="I519" s="1146"/>
      <c r="K519" s="1907"/>
      <c r="L519" s="1110"/>
      <c r="M519" s="1907"/>
      <c r="N519" s="1110"/>
      <c r="O519" s="1907"/>
      <c r="P519" s="1110"/>
      <c r="Q519" s="1907"/>
      <c r="R519" s="1110"/>
      <c r="S519" s="1629"/>
      <c r="T519" s="1629"/>
      <c r="U519" s="1629"/>
      <c r="V519" s="1629"/>
      <c r="W519" s="1629"/>
      <c r="X519" s="1629"/>
      <c r="Y519" s="1146"/>
      <c r="Z519" s="2114">
        <f>C519-'Blocking-Step2'!C519</f>
        <v>0</v>
      </c>
      <c r="AA519" s="2114">
        <f>D519-'Blocking-Step2'!D519</f>
        <v>0</v>
      </c>
      <c r="AC519" s="2114">
        <f>F519-'Blocking-Step2'!F519</f>
        <v>0</v>
      </c>
      <c r="AE519" s="2114">
        <f>H519-'Blocking-Step2'!H519</f>
        <v>0</v>
      </c>
      <c r="AF519" s="2114">
        <f>I519-'Blocking-Step2'!I519</f>
        <v>0</v>
      </c>
      <c r="AH519" s="2136">
        <f>K519-'Blocking-Step2'!K519</f>
        <v>0</v>
      </c>
      <c r="AJ519" s="2136">
        <f>M519-'Blocking-Step2'!M519</f>
        <v>0</v>
      </c>
      <c r="AL519" s="2136">
        <f>O519-'Blocking-Step2'!O519</f>
        <v>0</v>
      </c>
      <c r="AN519" s="2137">
        <f>Q519-'Blocking-Step2'!Q519</f>
        <v>0</v>
      </c>
      <c r="AP519" s="2127">
        <f>S519-'Blocking-Step2'!S519</f>
        <v>0</v>
      </c>
      <c r="AR519" s="2127">
        <f>U519-'Blocking-Step2'!U519</f>
        <v>0</v>
      </c>
      <c r="AT519" s="2127">
        <f>W519-'Blocking-Step2'!W519</f>
        <v>0</v>
      </c>
      <c r="AV519" s="2128">
        <f>Y519-'Blocking-Step2'!Y519</f>
        <v>0</v>
      </c>
    </row>
    <row r="520" spans="1:48">
      <c r="A520" s="1116" t="s">
        <v>240</v>
      </c>
      <c r="C520" s="1105">
        <v>55.716666666666669</v>
      </c>
      <c r="D520" s="1105">
        <v>157.84953632148375</v>
      </c>
      <c r="F520" s="1142">
        <v>54</v>
      </c>
      <c r="G520" s="617"/>
      <c r="H520" s="1146">
        <v>3009</v>
      </c>
      <c r="I520" s="1146">
        <v>8524</v>
      </c>
      <c r="K520" s="1142">
        <v>54</v>
      </c>
      <c r="L520" s="617"/>
      <c r="M520" s="1142">
        <v>0</v>
      </c>
      <c r="N520" s="617"/>
      <c r="O520" s="1142">
        <v>0</v>
      </c>
      <c r="P520" s="617"/>
      <c r="Q520" s="1142">
        <v>54</v>
      </c>
      <c r="R520" s="617"/>
      <c r="S520" s="1146">
        <v>8524</v>
      </c>
      <c r="T520" s="1629"/>
      <c r="U520" s="1146">
        <v>0</v>
      </c>
      <c r="V520" s="1629"/>
      <c r="W520" s="1146">
        <v>0</v>
      </c>
      <c r="X520" s="1629"/>
      <c r="Y520" s="1146">
        <v>8524</v>
      </c>
      <c r="Z520" s="2114">
        <f>C520-'Blocking-Step2'!C520</f>
        <v>0</v>
      </c>
      <c r="AA520" s="2114">
        <f>D520-'Blocking-Step2'!D520</f>
        <v>0</v>
      </c>
      <c r="AC520" s="2114">
        <f>F520-'Blocking-Step2'!F520</f>
        <v>0</v>
      </c>
      <c r="AE520" s="2114">
        <f>H520-'Blocking-Step2'!H520</f>
        <v>0</v>
      </c>
      <c r="AF520" s="2114">
        <f>I520-'Blocking-Step2'!I520</f>
        <v>0</v>
      </c>
      <c r="AH520" s="2136">
        <f>K520-'Blocking-Step2'!K520</f>
        <v>0</v>
      </c>
      <c r="AJ520" s="2136">
        <f>M520-'Blocking-Step2'!M520</f>
        <v>0</v>
      </c>
      <c r="AL520" s="2136">
        <f>O520-'Blocking-Step2'!O520</f>
        <v>0</v>
      </c>
      <c r="AN520" s="2137">
        <f>Q520-'Blocking-Step2'!Q520</f>
        <v>0</v>
      </c>
      <c r="AP520" s="2127">
        <f>S520-'Blocking-Step2'!S520</f>
        <v>0</v>
      </c>
      <c r="AR520" s="2127">
        <f>U520-'Blocking-Step2'!U520</f>
        <v>0</v>
      </c>
      <c r="AT520" s="2127">
        <f>W520-'Blocking-Step2'!W520</f>
        <v>0</v>
      </c>
      <c r="AV520" s="2128">
        <f>Y520-'Blocking-Step2'!Y520</f>
        <v>0</v>
      </c>
    </row>
    <row r="521" spans="1:48">
      <c r="A521" s="1116" t="s">
        <v>262</v>
      </c>
      <c r="C521" s="1024">
        <v>0</v>
      </c>
      <c r="D521" s="1105">
        <v>0</v>
      </c>
      <c r="F521" s="1142">
        <v>648</v>
      </c>
      <c r="G521" s="617"/>
      <c r="H521" s="1146">
        <v>0</v>
      </c>
      <c r="I521" s="1146">
        <v>0</v>
      </c>
      <c r="K521" s="1142">
        <v>648</v>
      </c>
      <c r="L521" s="617"/>
      <c r="M521" s="1142">
        <v>0</v>
      </c>
      <c r="N521" s="617"/>
      <c r="O521" s="1142">
        <v>0</v>
      </c>
      <c r="P521" s="617"/>
      <c r="Q521" s="1142">
        <v>648</v>
      </c>
      <c r="R521" s="617"/>
      <c r="S521" s="1146">
        <v>0</v>
      </c>
      <c r="T521" s="1629"/>
      <c r="U521" s="1146">
        <v>0</v>
      </c>
      <c r="V521" s="1629"/>
      <c r="W521" s="1146">
        <v>0</v>
      </c>
      <c r="X521" s="1629"/>
      <c r="Y521" s="1146">
        <v>0</v>
      </c>
      <c r="Z521" s="2114">
        <f>C521-'Blocking-Step2'!C521</f>
        <v>0</v>
      </c>
      <c r="AA521" s="2114">
        <f>D521-'Blocking-Step2'!D521</f>
        <v>0</v>
      </c>
      <c r="AC521" s="2114">
        <f>F521-'Blocking-Step2'!F521</f>
        <v>0</v>
      </c>
      <c r="AE521" s="2114">
        <f>H521-'Blocking-Step2'!H521</f>
        <v>0</v>
      </c>
      <c r="AF521" s="2114">
        <f>I521-'Blocking-Step2'!I521</f>
        <v>0</v>
      </c>
      <c r="AH521" s="2136">
        <f>K521-'Blocking-Step2'!K521</f>
        <v>0</v>
      </c>
      <c r="AJ521" s="2136">
        <f>M521-'Blocking-Step2'!M521</f>
        <v>0</v>
      </c>
      <c r="AL521" s="2136">
        <f>O521-'Blocking-Step2'!O521</f>
        <v>0</v>
      </c>
      <c r="AN521" s="2137">
        <f>Q521-'Blocking-Step2'!Q521</f>
        <v>0</v>
      </c>
      <c r="AP521" s="2127">
        <f>S521-'Blocking-Step2'!S521</f>
        <v>0</v>
      </c>
      <c r="AR521" s="2127">
        <f>U521-'Blocking-Step2'!U521</f>
        <v>0</v>
      </c>
      <c r="AT521" s="2127">
        <f>W521-'Blocking-Step2'!W521</f>
        <v>0</v>
      </c>
      <c r="AV521" s="2128">
        <f>Y521-'Blocking-Step2'!Y521</f>
        <v>0</v>
      </c>
    </row>
    <row r="522" spans="1:48">
      <c r="A522" s="1116" t="s">
        <v>1236</v>
      </c>
      <c r="C522" s="1105">
        <v>0</v>
      </c>
      <c r="D522" s="1105">
        <v>0</v>
      </c>
      <c r="F522" s="1142">
        <v>54</v>
      </c>
      <c r="G522" s="617"/>
      <c r="H522" s="1146">
        <v>0</v>
      </c>
      <c r="I522" s="1146">
        <v>0</v>
      </c>
      <c r="K522" s="1142">
        <v>54</v>
      </c>
      <c r="L522" s="617"/>
      <c r="M522" s="1142">
        <v>0</v>
      </c>
      <c r="N522" s="617"/>
      <c r="O522" s="1142">
        <v>0</v>
      </c>
      <c r="P522" s="617"/>
      <c r="Q522" s="1142">
        <v>54</v>
      </c>
      <c r="R522" s="617"/>
      <c r="S522" s="1146">
        <v>0</v>
      </c>
      <c r="T522" s="1114"/>
      <c r="U522" s="1146">
        <v>0</v>
      </c>
      <c r="V522" s="1114"/>
      <c r="W522" s="1146">
        <v>0</v>
      </c>
      <c r="X522" s="1114"/>
      <c r="Y522" s="1146">
        <v>0</v>
      </c>
      <c r="Z522" s="2114">
        <f>C522-'Blocking-Step2'!C522</f>
        <v>0</v>
      </c>
      <c r="AA522" s="2114">
        <f>D522-'Blocking-Step2'!D522</f>
        <v>0</v>
      </c>
      <c r="AC522" s="2114">
        <f>F522-'Blocking-Step2'!F522</f>
        <v>0</v>
      </c>
      <c r="AE522" s="2114">
        <f>H522-'Blocking-Step2'!H522</f>
        <v>0</v>
      </c>
      <c r="AF522" s="2114">
        <f>I522-'Blocking-Step2'!I522</f>
        <v>0</v>
      </c>
      <c r="AH522" s="2136">
        <f>K522-'Blocking-Step2'!K522</f>
        <v>0</v>
      </c>
      <c r="AJ522" s="2136">
        <f>M522-'Blocking-Step2'!M522</f>
        <v>0</v>
      </c>
      <c r="AL522" s="2136">
        <f>O522-'Blocking-Step2'!O522</f>
        <v>0</v>
      </c>
      <c r="AN522" s="2137">
        <f>Q522-'Blocking-Step2'!Q522</f>
        <v>0</v>
      </c>
      <c r="AP522" s="2127">
        <f>S522-'Blocking-Step2'!S522</f>
        <v>0</v>
      </c>
      <c r="AR522" s="2127">
        <f>U522-'Blocking-Step2'!U522</f>
        <v>0</v>
      </c>
      <c r="AT522" s="2127">
        <f>W522-'Blocking-Step2'!W522</f>
        <v>0</v>
      </c>
      <c r="AV522" s="2128">
        <f>Y522-'Blocking-Step2'!Y522</f>
        <v>0</v>
      </c>
    </row>
    <row r="523" spans="1:48">
      <c r="A523" s="1116" t="s">
        <v>168</v>
      </c>
      <c r="C523" s="1105">
        <v>5287.6844059405939</v>
      </c>
      <c r="D523" s="1105">
        <v>21101</v>
      </c>
      <c r="F523" s="1142">
        <v>4.04</v>
      </c>
      <c r="G523" s="617"/>
      <c r="H523" s="1146">
        <v>21362</v>
      </c>
      <c r="I523" s="1146">
        <v>85248</v>
      </c>
      <c r="K523" s="1142">
        <v>4.03</v>
      </c>
      <c r="L523" s="617"/>
      <c r="M523" s="1142">
        <v>0</v>
      </c>
      <c r="N523" s="617"/>
      <c r="O523" s="1142">
        <v>0</v>
      </c>
      <c r="P523" s="617"/>
      <c r="Q523" s="1142">
        <v>4.03</v>
      </c>
      <c r="R523" s="617"/>
      <c r="S523" s="1146">
        <v>85037</v>
      </c>
      <c r="T523" s="1629"/>
      <c r="U523" s="1146">
        <v>0</v>
      </c>
      <c r="V523" s="1629"/>
      <c r="W523" s="1146">
        <v>0</v>
      </c>
      <c r="X523" s="1629"/>
      <c r="Y523" s="1146">
        <v>85037</v>
      </c>
      <c r="Z523" s="2114">
        <f>C523-'Blocking-Step2'!C523</f>
        <v>0</v>
      </c>
      <c r="AA523" s="2114">
        <f>D523-'Blocking-Step2'!D523</f>
        <v>0</v>
      </c>
      <c r="AC523" s="2114">
        <f>F523-'Blocking-Step2'!F523</f>
        <v>0</v>
      </c>
      <c r="AE523" s="2114">
        <f>H523-'Blocking-Step2'!H523</f>
        <v>0</v>
      </c>
      <c r="AF523" s="2114">
        <f>I523-'Blocking-Step2'!I523</f>
        <v>0</v>
      </c>
      <c r="AH523" s="2136">
        <f>K523-'Blocking-Step2'!K523</f>
        <v>0</v>
      </c>
      <c r="AJ523" s="2136">
        <f>M523-'Blocking-Step2'!M523</f>
        <v>0</v>
      </c>
      <c r="AL523" s="2136">
        <f>O523-'Blocking-Step2'!O523</f>
        <v>0</v>
      </c>
      <c r="AN523" s="2137">
        <f>Q523-'Blocking-Step2'!Q523</f>
        <v>0</v>
      </c>
      <c r="AP523" s="2127">
        <f>S523-'Blocking-Step2'!S523</f>
        <v>0</v>
      </c>
      <c r="AR523" s="2127">
        <f>U523-'Blocking-Step2'!U523</f>
        <v>0</v>
      </c>
      <c r="AT523" s="2127">
        <f>W523-'Blocking-Step2'!W523</f>
        <v>0</v>
      </c>
      <c r="AV523" s="2128">
        <f>Y523-'Blocking-Step2'!Y523</f>
        <v>0</v>
      </c>
    </row>
    <row r="524" spans="1:48">
      <c r="A524" s="1116" t="s">
        <v>1645</v>
      </c>
      <c r="C524" s="1105">
        <v>2252.7326732673264</v>
      </c>
      <c r="D524" s="1105">
        <v>8990</v>
      </c>
      <c r="F524" s="1142"/>
      <c r="G524" s="617"/>
      <c r="H524" s="1146"/>
      <c r="I524" s="1146"/>
      <c r="K524" s="1142">
        <v>0.51</v>
      </c>
      <c r="L524" s="617"/>
      <c r="M524" s="1142">
        <v>12.89</v>
      </c>
      <c r="N524" s="617"/>
      <c r="O524" s="1142">
        <v>0</v>
      </c>
      <c r="P524" s="617"/>
      <c r="Q524" s="1142">
        <v>13.4</v>
      </c>
      <c r="R524" s="617"/>
      <c r="S524" s="1146">
        <v>4585</v>
      </c>
      <c r="T524" s="1114"/>
      <c r="U524" s="1146">
        <v>115881</v>
      </c>
      <c r="V524" s="1114"/>
      <c r="W524" s="1146">
        <v>0</v>
      </c>
      <c r="X524" s="1114"/>
      <c r="Y524" s="1146">
        <v>120466</v>
      </c>
      <c r="Z524" s="2114">
        <f>C524-'Blocking-Step2'!C524</f>
        <v>0</v>
      </c>
      <c r="AA524" s="2114">
        <f>D524-'Blocking-Step2'!D524</f>
        <v>0</v>
      </c>
      <c r="AC524" s="2114">
        <f>F524-'Blocking-Step2'!F524</f>
        <v>0</v>
      </c>
      <c r="AE524" s="2114">
        <f>H524-'Blocking-Step2'!H524</f>
        <v>0</v>
      </c>
      <c r="AF524" s="2114">
        <f>I524-'Blocking-Step2'!I524</f>
        <v>0</v>
      </c>
      <c r="AH524" s="2136">
        <f>K524-'Blocking-Step2'!K524</f>
        <v>-5.83</v>
      </c>
      <c r="AJ524" s="2136">
        <f>M524-'Blocking-Step2'!M524</f>
        <v>5.83</v>
      </c>
      <c r="AL524" s="2136">
        <f>O524-'Blocking-Step2'!O524</f>
        <v>0</v>
      </c>
      <c r="AN524" s="2137">
        <f>Q524-'Blocking-Step2'!Q524</f>
        <v>0</v>
      </c>
      <c r="AP524" s="2127">
        <f>S524-'Blocking-Step2'!S524</f>
        <v>-52412</v>
      </c>
      <c r="AR524" s="2127">
        <f>U524-'Blocking-Step2'!U524</f>
        <v>52412</v>
      </c>
      <c r="AT524" s="2127">
        <f>W524-'Blocking-Step2'!W524</f>
        <v>0</v>
      </c>
      <c r="AV524" s="2128">
        <f>Y524-'Blocking-Step2'!Y524</f>
        <v>0</v>
      </c>
    </row>
    <row r="525" spans="1:48">
      <c r="A525" s="1116" t="s">
        <v>1646</v>
      </c>
      <c r="C525" s="1105">
        <v>3034.9517326732675</v>
      </c>
      <c r="D525" s="1105">
        <v>12111</v>
      </c>
      <c r="F525" s="1142"/>
      <c r="G525" s="617"/>
      <c r="H525" s="1146"/>
      <c r="I525" s="1146"/>
      <c r="K525" s="1142">
        <v>0.45</v>
      </c>
      <c r="L525" s="617"/>
      <c r="M525" s="1142">
        <v>11.41</v>
      </c>
      <c r="N525" s="617"/>
      <c r="O525" s="1142">
        <v>0</v>
      </c>
      <c r="P525" s="617"/>
      <c r="Q525" s="1142">
        <v>11.86</v>
      </c>
      <c r="R525" s="617"/>
      <c r="S525" s="1146">
        <v>5450</v>
      </c>
      <c r="T525" s="1114"/>
      <c r="U525" s="1146">
        <v>138187</v>
      </c>
      <c r="V525" s="1114"/>
      <c r="W525" s="1146">
        <v>0</v>
      </c>
      <c r="X525" s="1114"/>
      <c r="Y525" s="1146">
        <v>143636</v>
      </c>
      <c r="Z525" s="2114">
        <f>C525-'Blocking-Step2'!C525</f>
        <v>0</v>
      </c>
      <c r="AA525" s="2114">
        <f>D525-'Blocking-Step2'!D525</f>
        <v>0</v>
      </c>
      <c r="AC525" s="2114">
        <f>F525-'Blocking-Step2'!F525</f>
        <v>0</v>
      </c>
      <c r="AE525" s="2114">
        <f>H525-'Blocking-Step2'!H525</f>
        <v>0</v>
      </c>
      <c r="AF525" s="2114">
        <f>I525-'Blocking-Step2'!I525</f>
        <v>0</v>
      </c>
      <c r="AH525" s="2136">
        <f>K525-'Blocking-Step2'!K525</f>
        <v>-5.16</v>
      </c>
      <c r="AJ525" s="2136">
        <f>M525-'Blocking-Step2'!M525</f>
        <v>5.160000000000001</v>
      </c>
      <c r="AL525" s="2136">
        <f>O525-'Blocking-Step2'!O525</f>
        <v>0</v>
      </c>
      <c r="AN525" s="2137">
        <f>Q525-'Blocking-Step2'!Q525</f>
        <v>0</v>
      </c>
      <c r="AP525" s="2127">
        <f>S525-'Blocking-Step2'!S525</f>
        <v>-62493</v>
      </c>
      <c r="AR525" s="2127">
        <f>U525-'Blocking-Step2'!U525</f>
        <v>62493</v>
      </c>
      <c r="AT525" s="2127">
        <f>W525-'Blocking-Step2'!W525</f>
        <v>0</v>
      </c>
      <c r="AV525" s="2128">
        <f>Y525-'Blocking-Step2'!Y525</f>
        <v>0</v>
      </c>
    </row>
    <row r="526" spans="1:48">
      <c r="A526" s="1116" t="s">
        <v>1647</v>
      </c>
      <c r="C526" s="1105">
        <v>378828</v>
      </c>
      <c r="D526" s="1105">
        <v>1511731.3804399925</v>
      </c>
      <c r="F526" s="1106"/>
      <c r="G526" s="1921"/>
      <c r="H526" s="1146"/>
      <c r="I526" s="1146"/>
      <c r="K526" s="1106">
        <v>0</v>
      </c>
      <c r="L526" s="1921" t="s">
        <v>495</v>
      </c>
      <c r="M526" s="1106">
        <v>1.6192</v>
      </c>
      <c r="N526" s="1921" t="s">
        <v>495</v>
      </c>
      <c r="O526" s="1106">
        <v>2.305570240802</v>
      </c>
      <c r="P526" s="1921" t="s">
        <v>495</v>
      </c>
      <c r="Q526" s="1106">
        <v>3.9247702408020002</v>
      </c>
      <c r="R526" s="1921" t="s">
        <v>495</v>
      </c>
      <c r="S526" s="1146">
        <v>0</v>
      </c>
      <c r="T526" s="1648"/>
      <c r="U526" s="1146">
        <v>24478</v>
      </c>
      <c r="V526" s="1648"/>
      <c r="W526" s="1146">
        <v>34854</v>
      </c>
      <c r="X526" s="1648"/>
      <c r="Y526" s="1146">
        <v>59332</v>
      </c>
      <c r="Z526" s="2114">
        <f>C526-'Blocking-Step2'!C526</f>
        <v>0</v>
      </c>
      <c r="AA526" s="2114">
        <f>D526-'Blocking-Step2'!D526</f>
        <v>0</v>
      </c>
      <c r="AC526" s="2114">
        <f>F526-'Blocking-Step2'!F526</f>
        <v>0</v>
      </c>
      <c r="AE526" s="2114">
        <f>H526-'Blocking-Step2'!H526</f>
        <v>0</v>
      </c>
      <c r="AF526" s="2114">
        <f>I526-'Blocking-Step2'!I526</f>
        <v>0</v>
      </c>
      <c r="AH526" s="2136">
        <f>K526-'Blocking-Step2'!K526</f>
        <v>0</v>
      </c>
      <c r="AJ526" s="2136">
        <f>M526-'Blocking-Step2'!M526</f>
        <v>0</v>
      </c>
      <c r="AL526" s="2136">
        <f>O526-'Blocking-Step2'!O526</f>
        <v>0</v>
      </c>
      <c r="AN526" s="2137">
        <f>Q526-'Blocking-Step2'!Q526</f>
        <v>0</v>
      </c>
      <c r="AP526" s="2127">
        <f>S526-'Blocking-Step2'!S526</f>
        <v>0</v>
      </c>
      <c r="AR526" s="2127">
        <f>U526-'Blocking-Step2'!U526</f>
        <v>0</v>
      </c>
      <c r="AT526" s="2127">
        <f>W526-'Blocking-Step2'!W526</f>
        <v>0</v>
      </c>
      <c r="AV526" s="2128">
        <f>Y526-'Blocking-Step2'!Y526</f>
        <v>0</v>
      </c>
    </row>
    <row r="527" spans="1:48">
      <c r="A527" s="1116" t="s">
        <v>1648</v>
      </c>
      <c r="C527" s="1105">
        <v>611572.5</v>
      </c>
      <c r="D527" s="1105">
        <v>2440509</v>
      </c>
      <c r="F527" s="1106"/>
      <c r="G527" s="1921"/>
      <c r="H527" s="1146"/>
      <c r="I527" s="1146"/>
      <c r="K527" s="1106">
        <v>0</v>
      </c>
      <c r="L527" s="1921" t="s">
        <v>495</v>
      </c>
      <c r="M527" s="1106">
        <v>1.4329000000000001</v>
      </c>
      <c r="N527" s="1921" t="s">
        <v>495</v>
      </c>
      <c r="O527" s="1106">
        <v>2.0403480007099999</v>
      </c>
      <c r="P527" s="1921" t="s">
        <v>495</v>
      </c>
      <c r="Q527" s="1106">
        <v>3.4732480007099999</v>
      </c>
      <c r="R527" s="1921" t="s">
        <v>495</v>
      </c>
      <c r="S527" s="1146">
        <v>0</v>
      </c>
      <c r="T527" s="1648"/>
      <c r="U527" s="1146">
        <v>34970</v>
      </c>
      <c r="V527" s="1648"/>
      <c r="W527" s="1146">
        <v>49795</v>
      </c>
      <c r="X527" s="1648"/>
      <c r="Y527" s="1146">
        <v>84765</v>
      </c>
      <c r="Z527" s="2114">
        <f>C527-'Blocking-Step2'!C527</f>
        <v>0</v>
      </c>
      <c r="AA527" s="2114">
        <f>D527-'Blocking-Step2'!D527</f>
        <v>0</v>
      </c>
      <c r="AC527" s="2114">
        <f>F527-'Blocking-Step2'!F527</f>
        <v>0</v>
      </c>
      <c r="AE527" s="2114">
        <f>H527-'Blocking-Step2'!H527</f>
        <v>0</v>
      </c>
      <c r="AF527" s="2114">
        <f>I527-'Blocking-Step2'!I527</f>
        <v>0</v>
      </c>
      <c r="AH527" s="2136">
        <f>K527-'Blocking-Step2'!K527</f>
        <v>0</v>
      </c>
      <c r="AJ527" s="2136">
        <f>M527-'Blocking-Step2'!M527</f>
        <v>0</v>
      </c>
      <c r="AL527" s="2136">
        <f>O527-'Blocking-Step2'!O527</f>
        <v>0</v>
      </c>
      <c r="AN527" s="2137">
        <f>Q527-'Blocking-Step2'!Q527</f>
        <v>0</v>
      </c>
      <c r="AP527" s="2127">
        <f>S527-'Blocking-Step2'!S527</f>
        <v>0</v>
      </c>
      <c r="AR527" s="2127">
        <f>U527-'Blocking-Step2'!U527</f>
        <v>0</v>
      </c>
      <c r="AT527" s="2127">
        <f>W527-'Blocking-Step2'!W527</f>
        <v>0</v>
      </c>
      <c r="AV527" s="2128">
        <f>Y527-'Blocking-Step2'!Y527</f>
        <v>0</v>
      </c>
    </row>
    <row r="528" spans="1:48">
      <c r="A528" s="1116" t="s">
        <v>196</v>
      </c>
      <c r="C528" s="1105">
        <v>2627.3123887994552</v>
      </c>
      <c r="D528" s="1105">
        <v>10484</v>
      </c>
      <c r="F528" s="1142">
        <v>14.62</v>
      </c>
      <c r="G528" s="617"/>
      <c r="H528" s="1146">
        <v>38411</v>
      </c>
      <c r="I528" s="1146">
        <v>153276</v>
      </c>
      <c r="K528" s="1142"/>
      <c r="L528" s="617"/>
      <c r="M528" s="1142"/>
      <c r="N528" s="617"/>
      <c r="O528" s="1142"/>
      <c r="P528" s="617"/>
      <c r="Q528" s="1142"/>
      <c r="R528" s="617"/>
      <c r="S528" s="1146"/>
      <c r="T528" s="1629"/>
      <c r="U528" s="1146"/>
      <c r="V528" s="1629"/>
      <c r="W528" s="1146"/>
      <c r="X528" s="1629"/>
      <c r="Y528" s="1146"/>
      <c r="Z528" s="2114">
        <f>C528-'Blocking-Step2'!C528</f>
        <v>0</v>
      </c>
      <c r="AA528" s="2114">
        <f>D528-'Blocking-Step2'!D528</f>
        <v>0</v>
      </c>
      <c r="AC528" s="2114">
        <f>F528-'Blocking-Step2'!F528</f>
        <v>0</v>
      </c>
      <c r="AE528" s="2114">
        <f>H528-'Blocking-Step2'!H528</f>
        <v>0</v>
      </c>
      <c r="AF528" s="2114">
        <f>I528-'Blocking-Step2'!I528</f>
        <v>0</v>
      </c>
      <c r="AH528" s="2136">
        <f>K528-'Blocking-Step2'!K528</f>
        <v>0</v>
      </c>
      <c r="AJ528" s="2136">
        <f>M528-'Blocking-Step2'!M528</f>
        <v>0</v>
      </c>
      <c r="AL528" s="2136">
        <f>O528-'Blocking-Step2'!O528</f>
        <v>0</v>
      </c>
      <c r="AN528" s="2137">
        <f>Q528-'Blocking-Step2'!Q528</f>
        <v>0</v>
      </c>
      <c r="AP528" s="2127">
        <f>S528-'Blocking-Step2'!S528</f>
        <v>0</v>
      </c>
      <c r="AR528" s="2127">
        <f>U528-'Blocking-Step2'!U528</f>
        <v>0</v>
      </c>
      <c r="AT528" s="2127">
        <f>W528-'Blocking-Step2'!W528</f>
        <v>0</v>
      </c>
      <c r="AV528" s="2128">
        <f>Y528-'Blocking-Step2'!Y528</f>
        <v>0</v>
      </c>
    </row>
    <row r="529" spans="1:48">
      <c r="A529" s="1116" t="s">
        <v>161</v>
      </c>
      <c r="C529" s="1105">
        <v>2660.3720171411387</v>
      </c>
      <c r="D529" s="1105">
        <v>10616</v>
      </c>
      <c r="F529" s="1142">
        <v>10.91</v>
      </c>
      <c r="G529" s="617"/>
      <c r="H529" s="1146">
        <v>29025</v>
      </c>
      <c r="I529" s="1146">
        <v>115821</v>
      </c>
      <c r="K529" s="1142"/>
      <c r="L529" s="617"/>
      <c r="M529" s="1142"/>
      <c r="N529" s="617"/>
      <c r="O529" s="1142"/>
      <c r="P529" s="617"/>
      <c r="Q529" s="1142"/>
      <c r="R529" s="617"/>
      <c r="S529" s="1146"/>
      <c r="T529" s="1629"/>
      <c r="U529" s="1146"/>
      <c r="V529" s="1629"/>
      <c r="W529" s="1146"/>
      <c r="X529" s="1629"/>
      <c r="Y529" s="1146"/>
      <c r="Z529" s="2114">
        <f>C529-'Blocking-Step2'!C529</f>
        <v>0</v>
      </c>
      <c r="AA529" s="2114">
        <f>D529-'Blocking-Step2'!D529</f>
        <v>0</v>
      </c>
      <c r="AC529" s="2114">
        <f>F529-'Blocking-Step2'!F529</f>
        <v>0</v>
      </c>
      <c r="AE529" s="2114">
        <f>H529-'Blocking-Step2'!H529</f>
        <v>0</v>
      </c>
      <c r="AF529" s="2114">
        <f>I529-'Blocking-Step2'!I529</f>
        <v>0</v>
      </c>
      <c r="AH529" s="2136">
        <f>K529-'Blocking-Step2'!K529</f>
        <v>0</v>
      </c>
      <c r="AJ529" s="2136">
        <f>M529-'Blocking-Step2'!M529</f>
        <v>0</v>
      </c>
      <c r="AL529" s="2136">
        <f>O529-'Blocking-Step2'!O529</f>
        <v>0</v>
      </c>
      <c r="AN529" s="2137">
        <f>Q529-'Blocking-Step2'!Q529</f>
        <v>0</v>
      </c>
      <c r="AP529" s="2127">
        <f>S529-'Blocking-Step2'!S529</f>
        <v>0</v>
      </c>
      <c r="AR529" s="2127">
        <f>U529-'Blocking-Step2'!U529</f>
        <v>0</v>
      </c>
      <c r="AT529" s="2127">
        <f>W529-'Blocking-Step2'!W529</f>
        <v>0</v>
      </c>
      <c r="AV529" s="2128">
        <f>Y529-'Blocking-Step2'!Y529</f>
        <v>0</v>
      </c>
    </row>
    <row r="530" spans="1:48">
      <c r="A530" s="1116" t="s">
        <v>261</v>
      </c>
      <c r="C530" s="1105">
        <v>0</v>
      </c>
      <c r="D530" s="1105">
        <v>0</v>
      </c>
      <c r="F530" s="1142">
        <v>-0.96</v>
      </c>
      <c r="G530" s="617"/>
      <c r="H530" s="1146">
        <v>0</v>
      </c>
      <c r="I530" s="1146">
        <v>0</v>
      </c>
      <c r="K530" s="1142">
        <v>-0.96</v>
      </c>
      <c r="L530" s="617"/>
      <c r="M530" s="1142">
        <v>0</v>
      </c>
      <c r="N530" s="617"/>
      <c r="O530" s="1142">
        <v>0</v>
      </c>
      <c r="P530" s="617"/>
      <c r="Q530" s="1142">
        <v>-0.96</v>
      </c>
      <c r="R530" s="617"/>
      <c r="S530" s="1146">
        <v>0</v>
      </c>
      <c r="T530" s="1629"/>
      <c r="U530" s="1146">
        <v>0</v>
      </c>
      <c r="V530" s="1629"/>
      <c r="W530" s="1146">
        <v>0</v>
      </c>
      <c r="X530" s="1629"/>
      <c r="Y530" s="1146">
        <v>0</v>
      </c>
      <c r="Z530" s="2114">
        <f>C530-'Blocking-Step2'!C530</f>
        <v>0</v>
      </c>
      <c r="AA530" s="2114">
        <f>D530-'Blocking-Step2'!D530</f>
        <v>0</v>
      </c>
      <c r="AC530" s="2114">
        <f>F530-'Blocking-Step2'!F530</f>
        <v>0</v>
      </c>
      <c r="AE530" s="2114">
        <f>H530-'Blocking-Step2'!H530</f>
        <v>0</v>
      </c>
      <c r="AF530" s="2114">
        <f>I530-'Blocking-Step2'!I530</f>
        <v>0</v>
      </c>
      <c r="AH530" s="2136">
        <f>K530-'Blocking-Step2'!K530</f>
        <v>0</v>
      </c>
      <c r="AJ530" s="2136">
        <f>M530-'Blocking-Step2'!M530</f>
        <v>0</v>
      </c>
      <c r="AL530" s="2136">
        <f>O530-'Blocking-Step2'!O530</f>
        <v>0</v>
      </c>
      <c r="AN530" s="2137">
        <f>Q530-'Blocking-Step2'!Q530</f>
        <v>0</v>
      </c>
      <c r="AP530" s="2127">
        <f>S530-'Blocking-Step2'!S530</f>
        <v>0</v>
      </c>
      <c r="AR530" s="2127">
        <f>U530-'Blocking-Step2'!U530</f>
        <v>0</v>
      </c>
      <c r="AT530" s="2127">
        <f>W530-'Blocking-Step2'!W530</f>
        <v>0</v>
      </c>
      <c r="AV530" s="2128">
        <f>Y530-'Blocking-Step2'!Y530</f>
        <v>0</v>
      </c>
    </row>
    <row r="531" spans="1:48">
      <c r="A531" s="1116" t="s">
        <v>1362</v>
      </c>
      <c r="C531" s="1105">
        <v>466945.20143776794</v>
      </c>
      <c r="D531" s="1105">
        <v>1863367</v>
      </c>
      <c r="F531" s="1106">
        <v>3.8127</v>
      </c>
      <c r="G531" s="1921" t="s">
        <v>495</v>
      </c>
      <c r="H531" s="1146">
        <v>17803</v>
      </c>
      <c r="I531" s="1146">
        <v>71045</v>
      </c>
      <c r="K531" s="1106"/>
      <c r="L531" s="1921"/>
      <c r="M531" s="1106"/>
      <c r="N531" s="1921"/>
      <c r="O531" s="1106"/>
      <c r="P531" s="1921"/>
      <c r="Q531" s="1106"/>
      <c r="R531" s="1921"/>
      <c r="S531" s="1648"/>
      <c r="T531" s="1648"/>
      <c r="U531" s="1648"/>
      <c r="V531" s="1648"/>
      <c r="W531" s="1648"/>
      <c r="X531" s="1648"/>
      <c r="Y531" s="1146"/>
      <c r="Z531" s="2114">
        <f>C531-'Blocking-Step2'!C531</f>
        <v>0</v>
      </c>
      <c r="AA531" s="2114">
        <f>D531-'Blocking-Step2'!D531</f>
        <v>0</v>
      </c>
      <c r="AC531" s="2114">
        <f>F531-'Blocking-Step2'!F531</f>
        <v>0</v>
      </c>
      <c r="AE531" s="2114">
        <f>H531-'Blocking-Step2'!H531</f>
        <v>0</v>
      </c>
      <c r="AF531" s="2114">
        <f>I531-'Blocking-Step2'!I531</f>
        <v>0</v>
      </c>
      <c r="AH531" s="2136">
        <f>K531-'Blocking-Step2'!K531</f>
        <v>0</v>
      </c>
      <c r="AJ531" s="2136">
        <f>M531-'Blocking-Step2'!M531</f>
        <v>0</v>
      </c>
      <c r="AL531" s="2136">
        <f>O531-'Blocking-Step2'!O531</f>
        <v>0</v>
      </c>
      <c r="AN531" s="2137">
        <f>Q531-'Blocking-Step2'!Q531</f>
        <v>0</v>
      </c>
      <c r="AP531" s="2127">
        <f>S531-'Blocking-Step2'!S531</f>
        <v>0</v>
      </c>
      <c r="AR531" s="2127">
        <f>U531-'Blocking-Step2'!U531</f>
        <v>0</v>
      </c>
      <c r="AT531" s="2127">
        <f>W531-'Blocking-Step2'!W531</f>
        <v>0</v>
      </c>
      <c r="AV531" s="2128">
        <f>Y531-'Blocking-Step2'!Y531</f>
        <v>0</v>
      </c>
    </row>
    <row r="532" spans="1:48">
      <c r="A532" s="1116" t="s">
        <v>1363</v>
      </c>
      <c r="C532" s="1105">
        <v>523455.29856223206</v>
      </c>
      <c r="D532" s="1105">
        <v>2088873.3804399925</v>
      </c>
      <c r="F532" s="1106">
        <v>3.5143</v>
      </c>
      <c r="G532" s="1921" t="s">
        <v>495</v>
      </c>
      <c r="H532" s="1146">
        <v>18396</v>
      </c>
      <c r="I532" s="1146">
        <v>73409</v>
      </c>
      <c r="K532" s="1106"/>
      <c r="L532" s="1921"/>
      <c r="M532" s="1106"/>
      <c r="N532" s="1921"/>
      <c r="O532" s="1106"/>
      <c r="P532" s="1921"/>
      <c r="Q532" s="1106"/>
      <c r="R532" s="1921"/>
      <c r="S532" s="1648"/>
      <c r="T532" s="1648"/>
      <c r="U532" s="1648"/>
      <c r="V532" s="1648"/>
      <c r="W532" s="1648"/>
      <c r="X532" s="1648"/>
      <c r="Y532" s="1146"/>
      <c r="Z532" s="2114">
        <f>C532-'Blocking-Step2'!C532</f>
        <v>0</v>
      </c>
      <c r="AA532" s="2114">
        <f>D532-'Blocking-Step2'!D532</f>
        <v>0</v>
      </c>
      <c r="AC532" s="2114">
        <f>F532-'Blocking-Step2'!F532</f>
        <v>0</v>
      </c>
      <c r="AE532" s="2114">
        <f>H532-'Blocking-Step2'!H532</f>
        <v>0</v>
      </c>
      <c r="AF532" s="2114">
        <f>I532-'Blocking-Step2'!I532</f>
        <v>0</v>
      </c>
      <c r="AH532" s="2136">
        <f>K532-'Blocking-Step2'!K532</f>
        <v>0</v>
      </c>
      <c r="AJ532" s="2136">
        <f>M532-'Blocking-Step2'!M532</f>
        <v>0</v>
      </c>
      <c r="AL532" s="2136">
        <f>O532-'Blocking-Step2'!O532</f>
        <v>0</v>
      </c>
      <c r="AN532" s="2137">
        <f>Q532-'Blocking-Step2'!Q532</f>
        <v>0</v>
      </c>
      <c r="AP532" s="2127">
        <f>S532-'Blocking-Step2'!S532</f>
        <v>0</v>
      </c>
      <c r="AR532" s="2127">
        <f>U532-'Blocking-Step2'!U532</f>
        <v>0</v>
      </c>
      <c r="AT532" s="2127">
        <f>W532-'Blocking-Step2'!W532</f>
        <v>0</v>
      </c>
      <c r="AV532" s="2128">
        <f>Y532-'Blocking-Step2'!Y532</f>
        <v>0</v>
      </c>
    </row>
    <row r="533" spans="1:48">
      <c r="A533" s="1116" t="s">
        <v>246</v>
      </c>
      <c r="C533" s="1940">
        <v>0</v>
      </c>
      <c r="D533" s="1940">
        <v>0</v>
      </c>
      <c r="H533" s="1147">
        <v>0</v>
      </c>
      <c r="I533" s="1147">
        <v>0</v>
      </c>
      <c r="Y533" s="1147"/>
      <c r="Z533" s="2114">
        <f>C533-'Blocking-Step2'!C533</f>
        <v>0</v>
      </c>
      <c r="AA533" s="2114">
        <f>D533-'Blocking-Step2'!D533</f>
        <v>0</v>
      </c>
      <c r="AC533" s="2114">
        <f>F533-'Blocking-Step2'!F533</f>
        <v>0</v>
      </c>
      <c r="AE533" s="2114">
        <f>H533-'Blocking-Step2'!H533</f>
        <v>0</v>
      </c>
      <c r="AF533" s="2114">
        <f>I533-'Blocking-Step2'!I533</f>
        <v>0</v>
      </c>
      <c r="AH533" s="2136">
        <f>K533-'Blocking-Step2'!K533</f>
        <v>0</v>
      </c>
      <c r="AJ533" s="2136">
        <f>M533-'Blocking-Step2'!M533</f>
        <v>0</v>
      </c>
      <c r="AL533" s="2136">
        <f>O533-'Blocking-Step2'!O533</f>
        <v>0</v>
      </c>
      <c r="AN533" s="2137">
        <f>Q533-'Blocking-Step2'!Q533</f>
        <v>0</v>
      </c>
      <c r="AP533" s="2127">
        <f>S533-'Blocking-Step2'!S533</f>
        <v>0</v>
      </c>
      <c r="AR533" s="2127">
        <f>U533-'Blocking-Step2'!U533</f>
        <v>0</v>
      </c>
      <c r="AT533" s="2127">
        <f>W533-'Blocking-Step2'!W533</f>
        <v>0</v>
      </c>
      <c r="AV533" s="2128">
        <f>Y533-'Blocking-Step2'!Y533</f>
        <v>0</v>
      </c>
    </row>
    <row r="534" spans="1:48">
      <c r="A534" s="1116" t="s">
        <v>1240</v>
      </c>
      <c r="C534" s="1024"/>
      <c r="D534" s="1024"/>
      <c r="F534" s="2076">
        <v>-3.61E-2</v>
      </c>
      <c r="G534" s="617"/>
      <c r="H534" s="1146">
        <v>-3741.2235000000001</v>
      </c>
      <c r="I534" s="1146">
        <v>-14929.1911</v>
      </c>
      <c r="K534" s="2076"/>
      <c r="L534" s="617"/>
      <c r="M534" s="2076"/>
      <c r="N534" s="617"/>
      <c r="O534" s="2077" t="s">
        <v>2323</v>
      </c>
      <c r="P534" s="617"/>
      <c r="Q534" s="2076">
        <v>-2.76E-2</v>
      </c>
      <c r="R534" s="617"/>
      <c r="S534" s="1114"/>
      <c r="T534" s="1114"/>
      <c r="U534" s="1114"/>
      <c r="V534" s="1114"/>
      <c r="W534" s="1114"/>
      <c r="X534" s="1114"/>
      <c r="Y534" s="1146">
        <v>-11266.2924</v>
      </c>
      <c r="Z534" s="2114">
        <f>C534-'Blocking-Step2'!C534</f>
        <v>0</v>
      </c>
      <c r="AA534" s="2114">
        <f>D534-'Blocking-Step2'!D534</f>
        <v>0</v>
      </c>
      <c r="AC534" s="2114">
        <f>F534-'Blocking-Step2'!F534</f>
        <v>0</v>
      </c>
      <c r="AE534" s="2114">
        <f>H534-'Blocking-Step2'!H534</f>
        <v>0</v>
      </c>
      <c r="AF534" s="2114">
        <f>I534-'Blocking-Step2'!I534</f>
        <v>0</v>
      </c>
      <c r="AH534" s="2136">
        <f>K534-'Blocking-Step2'!K534</f>
        <v>0</v>
      </c>
      <c r="AJ534" s="2136">
        <f>M534-'Blocking-Step2'!M534</f>
        <v>0</v>
      </c>
      <c r="AL534" s="2136" t="e">
        <f>O534-'Blocking-Step2'!O534</f>
        <v>#VALUE!</v>
      </c>
      <c r="AN534" s="2137">
        <f>Q534-'Blocking-Step2'!Q534</f>
        <v>0</v>
      </c>
      <c r="AP534" s="2127">
        <f>S534-'Blocking-Step2'!S534</f>
        <v>0</v>
      </c>
      <c r="AR534" s="2127">
        <f>U534-'Blocking-Step2'!U534</f>
        <v>0</v>
      </c>
      <c r="AT534" s="2127">
        <f>W534-'Blocking-Step2'!W534</f>
        <v>0</v>
      </c>
      <c r="AV534" s="2128">
        <f>Y534-'Blocking-Step2'!Y534</f>
        <v>0</v>
      </c>
    </row>
    <row r="535" spans="1:48">
      <c r="A535" s="1116"/>
      <c r="C535" s="1024"/>
      <c r="D535" s="1024"/>
      <c r="F535" s="2076"/>
      <c r="G535" s="617"/>
      <c r="H535" s="1146"/>
      <c r="I535" s="1146"/>
      <c r="K535" s="2076"/>
      <c r="L535" s="617"/>
      <c r="M535" s="2076"/>
      <c r="N535" s="617"/>
      <c r="O535" s="2077" t="s">
        <v>2324</v>
      </c>
      <c r="P535" s="617"/>
      <c r="Q535" s="2076">
        <v>-1.4999999999999999E-2</v>
      </c>
      <c r="R535" s="617"/>
      <c r="S535" s="1114"/>
      <c r="T535" s="1114"/>
      <c r="U535" s="1114"/>
      <c r="V535" s="1114"/>
      <c r="W535" s="1114"/>
      <c r="X535" s="1114"/>
      <c r="Y535" s="1146">
        <v>-6122.9849999999997</v>
      </c>
      <c r="Z535" s="2114">
        <f>C535-'Blocking-Step2'!C535</f>
        <v>0</v>
      </c>
      <c r="AA535" s="2114">
        <f>D535-'Blocking-Step2'!D535</f>
        <v>0</v>
      </c>
      <c r="AC535" s="2114">
        <f>F535-'Blocking-Step2'!F535</f>
        <v>0</v>
      </c>
      <c r="AE535" s="2114">
        <f>H535-'Blocking-Step2'!H535</f>
        <v>0</v>
      </c>
      <c r="AF535" s="2114">
        <f>I535-'Blocking-Step2'!I535</f>
        <v>0</v>
      </c>
      <c r="AH535" s="2136">
        <f>K535-'Blocking-Step2'!K535</f>
        <v>0</v>
      </c>
      <c r="AJ535" s="2136">
        <f>M535-'Blocking-Step2'!M535</f>
        <v>0</v>
      </c>
      <c r="AL535" s="2136" t="e">
        <f>O535-'Blocking-Step2'!O535</f>
        <v>#VALUE!</v>
      </c>
      <c r="AN535" s="2137">
        <f>Q535-'Blocking-Step2'!Q535</f>
        <v>0</v>
      </c>
      <c r="AP535" s="2127">
        <f>S535-'Blocking-Step2'!S535</f>
        <v>0</v>
      </c>
      <c r="AR535" s="2127">
        <f>U535-'Blocking-Step2'!U535</f>
        <v>0</v>
      </c>
      <c r="AT535" s="2127">
        <f>W535-'Blocking-Step2'!W535</f>
        <v>0</v>
      </c>
      <c r="AV535" s="2128">
        <f>Y535-'Blocking-Step2'!Y535</f>
        <v>0</v>
      </c>
    </row>
    <row r="536" spans="1:48" ht="16.5" thickBot="1">
      <c r="A536" s="1116" t="s">
        <v>247</v>
      </c>
      <c r="C536" s="1138">
        <v>990400.5</v>
      </c>
      <c r="D536" s="1138">
        <v>3952240.3804399925</v>
      </c>
      <c r="F536" s="1145"/>
      <c r="H536" s="1149">
        <v>124264.77650000001</v>
      </c>
      <c r="I536" s="1149">
        <v>492393.8089</v>
      </c>
      <c r="K536" s="1145"/>
      <c r="M536" s="1145"/>
      <c r="O536" s="1145"/>
      <c r="Q536" s="1145"/>
      <c r="S536" s="1149">
        <v>103596</v>
      </c>
      <c r="U536" s="1149">
        <v>313516</v>
      </c>
      <c r="W536" s="1149">
        <v>84649</v>
      </c>
      <c r="Y536" s="1149">
        <v>501760</v>
      </c>
      <c r="Z536" s="2114">
        <f>C536-'Blocking-Step2'!C536</f>
        <v>0</v>
      </c>
      <c r="AA536" s="2114">
        <f>D536-'Blocking-Step2'!D536</f>
        <v>0</v>
      </c>
      <c r="AC536" s="2114">
        <f>F536-'Blocking-Step2'!F536</f>
        <v>0</v>
      </c>
      <c r="AE536" s="2114">
        <f>H536-'Blocking-Step2'!H536</f>
        <v>0</v>
      </c>
      <c r="AF536" s="2114">
        <f>I536-'Blocking-Step2'!I536</f>
        <v>0</v>
      </c>
      <c r="AH536" s="2136">
        <f>K536-'Blocking-Step2'!K536</f>
        <v>0</v>
      </c>
      <c r="AJ536" s="2136">
        <f>M536-'Blocking-Step2'!M536</f>
        <v>0</v>
      </c>
      <c r="AL536" s="2136">
        <f>O536-'Blocking-Step2'!O536</f>
        <v>0</v>
      </c>
      <c r="AN536" s="2137">
        <f>Q536-'Blocking-Step2'!Q536</f>
        <v>0</v>
      </c>
      <c r="AP536" s="2127">
        <f>S536-'Blocking-Step2'!S536</f>
        <v>-114905</v>
      </c>
      <c r="AR536" s="2127">
        <f>U536-'Blocking-Step2'!U536</f>
        <v>114905</v>
      </c>
      <c r="AT536" s="2127">
        <f>W536-'Blocking-Step2'!W536</f>
        <v>0</v>
      </c>
      <c r="AV536" s="2128">
        <f>Y536-'Blocking-Step2'!Y536</f>
        <v>0</v>
      </c>
    </row>
    <row r="537" spans="1:48">
      <c r="Z537" s="2114">
        <f>C537-'Blocking-Step2'!C537</f>
        <v>0</v>
      </c>
      <c r="AA537" s="2114">
        <f>D537-'Blocking-Step2'!D537</f>
        <v>0</v>
      </c>
      <c r="AC537" s="2114">
        <f>F537-'Blocking-Step2'!F537</f>
        <v>0</v>
      </c>
      <c r="AE537" s="2114">
        <f>H537-'Blocking-Step2'!H537</f>
        <v>0</v>
      </c>
      <c r="AF537" s="2114">
        <f>I537-'Blocking-Step2'!I537</f>
        <v>0</v>
      </c>
      <c r="AH537" s="2136">
        <f>K537-'Blocking-Step2'!K537</f>
        <v>0</v>
      </c>
      <c r="AJ537" s="2136">
        <f>M537-'Blocking-Step2'!M537</f>
        <v>0</v>
      </c>
      <c r="AL537" s="2136">
        <f>O537-'Blocking-Step2'!O537</f>
        <v>0</v>
      </c>
      <c r="AN537" s="2137">
        <f>Q537-'Blocking-Step2'!Q537</f>
        <v>0</v>
      </c>
      <c r="AP537" s="2127">
        <f>S537-'Blocking-Step2'!S537</f>
        <v>0</v>
      </c>
      <c r="AR537" s="2127">
        <f>U537-'Blocking-Step2'!U537</f>
        <v>0</v>
      </c>
      <c r="AT537" s="2127">
        <f>W537-'Blocking-Step2'!W537</f>
        <v>0</v>
      </c>
      <c r="AV537" s="2128">
        <f>Y537-'Blocking-Step2'!Y537</f>
        <v>0</v>
      </c>
    </row>
    <row r="538" spans="1:48">
      <c r="A538" s="1115" t="s">
        <v>1925</v>
      </c>
      <c r="C538" s="1105"/>
      <c r="D538" s="1105"/>
      <c r="E538" s="617"/>
      <c r="J538" s="617"/>
      <c r="Z538" s="2114">
        <f>C538-'Blocking-Step2'!C538</f>
        <v>0</v>
      </c>
      <c r="AA538" s="2114">
        <f>D538-'Blocking-Step2'!D538</f>
        <v>0</v>
      </c>
      <c r="AC538" s="2114">
        <f>F538-'Blocking-Step2'!F538</f>
        <v>0</v>
      </c>
      <c r="AE538" s="2114">
        <f>H538-'Blocking-Step2'!H538</f>
        <v>0</v>
      </c>
      <c r="AF538" s="2114">
        <f>I538-'Blocking-Step2'!I538</f>
        <v>0</v>
      </c>
      <c r="AH538" s="2136">
        <f>K538-'Blocking-Step2'!K538</f>
        <v>0</v>
      </c>
      <c r="AJ538" s="2136">
        <f>M538-'Blocking-Step2'!M538</f>
        <v>0</v>
      </c>
      <c r="AL538" s="2136">
        <f>O538-'Blocking-Step2'!O538</f>
        <v>0</v>
      </c>
      <c r="AN538" s="2137">
        <f>Q538-'Blocking-Step2'!Q538</f>
        <v>0</v>
      </c>
      <c r="AP538" s="2127">
        <f>S538-'Blocking-Step2'!S538</f>
        <v>0</v>
      </c>
      <c r="AR538" s="2127">
        <f>U538-'Blocking-Step2'!U538</f>
        <v>0</v>
      </c>
      <c r="AT538" s="2127">
        <f>W538-'Blocking-Step2'!W538</f>
        <v>0</v>
      </c>
      <c r="AV538" s="2128">
        <f>Y538-'Blocking-Step2'!Y538</f>
        <v>0</v>
      </c>
    </row>
    <row r="539" spans="1:48">
      <c r="A539" s="1116" t="s">
        <v>240</v>
      </c>
      <c r="C539" s="1105">
        <v>63</v>
      </c>
      <c r="D539" s="1105">
        <v>69.151622418879057</v>
      </c>
      <c r="F539" s="1907"/>
      <c r="G539" s="1110"/>
      <c r="H539" s="1146"/>
      <c r="I539" s="1146"/>
      <c r="K539" s="1907">
        <v>54</v>
      </c>
      <c r="L539" s="1110"/>
      <c r="M539" s="1907">
        <v>0</v>
      </c>
      <c r="N539" s="1110"/>
      <c r="O539" s="1907">
        <v>0</v>
      </c>
      <c r="P539" s="1110"/>
      <c r="Q539" s="1907">
        <v>54</v>
      </c>
      <c r="R539" s="1110"/>
      <c r="S539" s="1146">
        <v>3734</v>
      </c>
      <c r="T539" s="1629"/>
      <c r="U539" s="1146">
        <v>0</v>
      </c>
      <c r="V539" s="1629"/>
      <c r="W539" s="1146">
        <v>0</v>
      </c>
      <c r="X539" s="1629"/>
      <c r="Y539" s="1146">
        <v>3734</v>
      </c>
      <c r="Z539" s="2114">
        <f>C539-'Blocking-Step2'!C539</f>
        <v>0</v>
      </c>
      <c r="AA539" s="2114">
        <f>D539-'Blocking-Step2'!D539</f>
        <v>0</v>
      </c>
      <c r="AC539" s="2114">
        <f>F539-'Blocking-Step2'!F539</f>
        <v>0</v>
      </c>
      <c r="AE539" s="2114">
        <f>H539-'Blocking-Step2'!H539</f>
        <v>0</v>
      </c>
      <c r="AF539" s="2114">
        <f>I539-'Blocking-Step2'!I539</f>
        <v>0</v>
      </c>
      <c r="AH539" s="2136">
        <f>K539-'Blocking-Step2'!K539</f>
        <v>0</v>
      </c>
      <c r="AJ539" s="2136">
        <f>M539-'Blocking-Step2'!M539</f>
        <v>0</v>
      </c>
      <c r="AL539" s="2136">
        <f>O539-'Blocking-Step2'!O539</f>
        <v>0</v>
      </c>
      <c r="AN539" s="2137">
        <f>Q539-'Blocking-Step2'!Q539</f>
        <v>0</v>
      </c>
      <c r="AP539" s="2127">
        <f>S539-'Blocking-Step2'!S539</f>
        <v>0</v>
      </c>
      <c r="AR539" s="2127">
        <f>U539-'Blocking-Step2'!U539</f>
        <v>0</v>
      </c>
      <c r="AT539" s="2127">
        <f>W539-'Blocking-Step2'!W539</f>
        <v>0</v>
      </c>
      <c r="AV539" s="2128">
        <f>Y539-'Blocking-Step2'!Y539</f>
        <v>0</v>
      </c>
    </row>
    <row r="540" spans="1:48">
      <c r="A540" s="1116" t="s">
        <v>1910</v>
      </c>
      <c r="C540" s="1105">
        <v>22414.5</v>
      </c>
      <c r="D540" s="1105">
        <v>23181.405554894285</v>
      </c>
      <c r="E540" s="617"/>
      <c r="F540" s="1143"/>
      <c r="G540" s="1921"/>
      <c r="H540" s="1146"/>
      <c r="I540" s="1146"/>
      <c r="J540" s="617"/>
      <c r="K540" s="1143">
        <v>1.657</v>
      </c>
      <c r="L540" s="1921" t="s">
        <v>495</v>
      </c>
      <c r="M540" s="1143">
        <v>19.370528114911814</v>
      </c>
      <c r="N540" s="1921" t="s">
        <v>495</v>
      </c>
      <c r="O540" s="1143">
        <v>1.3496999999999999</v>
      </c>
      <c r="P540" s="1921" t="s">
        <v>495</v>
      </c>
      <c r="Q540" s="1143">
        <v>22.377228114911812</v>
      </c>
      <c r="R540" s="1921" t="s">
        <v>495</v>
      </c>
      <c r="S540" s="1146">
        <v>384</v>
      </c>
      <c r="T540" s="1648"/>
      <c r="U540" s="1146">
        <v>4490</v>
      </c>
      <c r="V540" s="1648"/>
      <c r="W540" s="1146">
        <v>313</v>
      </c>
      <c r="X540" s="1648"/>
      <c r="Y540" s="1146">
        <v>5187</v>
      </c>
      <c r="Z540" s="2114">
        <f>C540-'Blocking-Step2'!C540</f>
        <v>0</v>
      </c>
      <c r="AA540" s="2114">
        <f>D540-'Blocking-Step2'!D540</f>
        <v>0</v>
      </c>
      <c r="AC540" s="2114">
        <f>F540-'Blocking-Step2'!F540</f>
        <v>0</v>
      </c>
      <c r="AE540" s="2114">
        <f>H540-'Blocking-Step2'!H540</f>
        <v>0</v>
      </c>
      <c r="AF540" s="2114">
        <f>I540-'Blocking-Step2'!I540</f>
        <v>0</v>
      </c>
      <c r="AH540" s="2136">
        <f>K540-'Blocking-Step2'!K540</f>
        <v>-2.2955000000000001</v>
      </c>
      <c r="AJ540" s="2136">
        <f>M540-'Blocking-Step2'!M540</f>
        <v>2.2955000000000005</v>
      </c>
      <c r="AL540" s="2136">
        <f>O540-'Blocking-Step2'!O540</f>
        <v>0</v>
      </c>
      <c r="AN540" s="2137">
        <f>Q540-'Blocking-Step2'!Q540</f>
        <v>0</v>
      </c>
      <c r="AP540" s="2127">
        <f>S540-'Blocking-Step2'!S540</f>
        <v>-532</v>
      </c>
      <c r="AR540" s="2127">
        <f>U540-'Blocking-Step2'!U540</f>
        <v>532</v>
      </c>
      <c r="AT540" s="2127">
        <f>W540-'Blocking-Step2'!W540</f>
        <v>0</v>
      </c>
      <c r="AV540" s="2128">
        <f>Y540-'Blocking-Step2'!Y540</f>
        <v>0</v>
      </c>
    </row>
    <row r="541" spans="1:48">
      <c r="A541" s="1116" t="s">
        <v>1911</v>
      </c>
      <c r="C541" s="1105">
        <v>29653.5</v>
      </c>
      <c r="D541" s="1105">
        <v>32182.25158153542</v>
      </c>
      <c r="E541" s="617"/>
      <c r="F541" s="1143"/>
      <c r="G541" s="1921"/>
      <c r="H541" s="1146"/>
      <c r="I541" s="1146"/>
      <c r="J541" s="617"/>
      <c r="K541" s="1143">
        <v>1.657</v>
      </c>
      <c r="L541" s="1921" t="s">
        <v>495</v>
      </c>
      <c r="M541" s="1143">
        <v>1.3803172825590004</v>
      </c>
      <c r="N541" s="1921" t="s">
        <v>495</v>
      </c>
      <c r="O541" s="1143">
        <v>1.3496999999999999</v>
      </c>
      <c r="P541" s="1921" t="s">
        <v>495</v>
      </c>
      <c r="Q541" s="1143">
        <v>4.3870172825590004</v>
      </c>
      <c r="R541" s="1921" t="s">
        <v>495</v>
      </c>
      <c r="S541" s="1146">
        <v>533</v>
      </c>
      <c r="T541" s="1648"/>
      <c r="U541" s="1146">
        <v>444</v>
      </c>
      <c r="V541" s="1648"/>
      <c r="W541" s="1146">
        <v>434</v>
      </c>
      <c r="X541" s="1648"/>
      <c r="Y541" s="1146">
        <v>1412</v>
      </c>
      <c r="Z541" s="2114">
        <f>C541-'Blocking-Step2'!C541</f>
        <v>0</v>
      </c>
      <c r="AA541" s="2114">
        <f>D541-'Blocking-Step2'!D541</f>
        <v>0</v>
      </c>
      <c r="AC541" s="2114">
        <f>F541-'Blocking-Step2'!F541</f>
        <v>0</v>
      </c>
      <c r="AE541" s="2114">
        <f>H541-'Blocking-Step2'!H541</f>
        <v>0</v>
      </c>
      <c r="AF541" s="2114">
        <f>I541-'Blocking-Step2'!I541</f>
        <v>0</v>
      </c>
      <c r="AH541" s="2136">
        <f>K541-'Blocking-Step2'!K541</f>
        <v>-2.2955000000000001</v>
      </c>
      <c r="AJ541" s="2136">
        <f>M541-'Blocking-Step2'!M541</f>
        <v>2.2955000000000001</v>
      </c>
      <c r="AL541" s="2136">
        <f>O541-'Blocking-Step2'!O541</f>
        <v>0</v>
      </c>
      <c r="AN541" s="2137">
        <f>Q541-'Blocking-Step2'!Q541</f>
        <v>0</v>
      </c>
      <c r="AP541" s="2127">
        <f>S541-'Blocking-Step2'!S541</f>
        <v>-739</v>
      </c>
      <c r="AR541" s="2127">
        <f>U541-'Blocking-Step2'!U541</f>
        <v>739</v>
      </c>
      <c r="AT541" s="2127">
        <f>W541-'Blocking-Step2'!W541</f>
        <v>0</v>
      </c>
      <c r="AV541" s="2128">
        <f>Y541-'Blocking-Step2'!Y541</f>
        <v>0</v>
      </c>
    </row>
    <row r="542" spans="1:48">
      <c r="A542" s="1116" t="s">
        <v>1912</v>
      </c>
      <c r="C542" s="1105">
        <v>49842</v>
      </c>
      <c r="D542" s="1105">
        <v>59234.229549653035</v>
      </c>
      <c r="E542" s="617"/>
      <c r="F542" s="1143"/>
      <c r="G542" s="1921"/>
      <c r="H542" s="1146"/>
      <c r="I542" s="1146"/>
      <c r="J542" s="617"/>
      <c r="K542" s="1143">
        <v>1.657</v>
      </c>
      <c r="L542" s="1921" t="s">
        <v>495</v>
      </c>
      <c r="M542" s="1143">
        <v>16.951500000000003</v>
      </c>
      <c r="N542" s="1921" t="s">
        <v>495</v>
      </c>
      <c r="O542" s="1143">
        <v>1.1943999999999999</v>
      </c>
      <c r="P542" s="1921" t="s">
        <v>495</v>
      </c>
      <c r="Q542" s="1143">
        <v>19.802900000000001</v>
      </c>
      <c r="R542" s="1921" t="s">
        <v>495</v>
      </c>
      <c r="S542" s="1146">
        <v>982</v>
      </c>
      <c r="T542" s="1648"/>
      <c r="U542" s="1146">
        <v>10041</v>
      </c>
      <c r="V542" s="1648"/>
      <c r="W542" s="1146">
        <v>707</v>
      </c>
      <c r="X542" s="1648"/>
      <c r="Y542" s="1146">
        <v>11730</v>
      </c>
      <c r="Z542" s="2114">
        <f>C542-'Blocking-Step2'!C542</f>
        <v>0</v>
      </c>
      <c r="AA542" s="2114">
        <f>D542-'Blocking-Step2'!D542</f>
        <v>0</v>
      </c>
      <c r="AC542" s="2114">
        <f>F542-'Blocking-Step2'!F542</f>
        <v>0</v>
      </c>
      <c r="AE542" s="2114">
        <f>H542-'Blocking-Step2'!H542</f>
        <v>0</v>
      </c>
      <c r="AF542" s="2114">
        <f>I542-'Blocking-Step2'!I542</f>
        <v>0</v>
      </c>
      <c r="AH542" s="2136">
        <f>K542-'Blocking-Step2'!K542</f>
        <v>-2.2955000000000001</v>
      </c>
      <c r="AJ542" s="2136">
        <f>M542-'Blocking-Step2'!M542</f>
        <v>2.2955000000000023</v>
      </c>
      <c r="AL542" s="2136">
        <f>O542-'Blocking-Step2'!O542</f>
        <v>0</v>
      </c>
      <c r="AN542" s="2137">
        <f>Q542-'Blocking-Step2'!Q542</f>
        <v>0</v>
      </c>
      <c r="AP542" s="2127">
        <f>S542-'Blocking-Step2'!S542</f>
        <v>-1359</v>
      </c>
      <c r="AR542" s="2127">
        <f>U542-'Blocking-Step2'!U542</f>
        <v>1360</v>
      </c>
      <c r="AT542" s="2127">
        <f>W542-'Blocking-Step2'!W542</f>
        <v>0</v>
      </c>
      <c r="AV542" s="2128">
        <f>Y542-'Blocking-Step2'!Y542</f>
        <v>0</v>
      </c>
    </row>
    <row r="543" spans="1:48">
      <c r="A543" s="1116" t="s">
        <v>1913</v>
      </c>
      <c r="C543" s="1105">
        <v>25704.5</v>
      </c>
      <c r="D543" s="1105">
        <v>26202.396718020587</v>
      </c>
      <c r="E543" s="617"/>
      <c r="F543" s="1143"/>
      <c r="G543" s="1921"/>
      <c r="H543" s="1146"/>
      <c r="I543" s="1146"/>
      <c r="J543" s="617"/>
      <c r="K543" s="1143">
        <v>1.657</v>
      </c>
      <c r="L543" s="1921" t="s">
        <v>495</v>
      </c>
      <c r="M543" s="1143">
        <v>1.0308999999999999</v>
      </c>
      <c r="N543" s="1921" t="s">
        <v>495</v>
      </c>
      <c r="O543" s="1143">
        <v>1.1943999999999999</v>
      </c>
      <c r="P543" s="1921" t="s">
        <v>495</v>
      </c>
      <c r="Q543" s="1143">
        <v>3.8822999999999999</v>
      </c>
      <c r="R543" s="1921" t="s">
        <v>495</v>
      </c>
      <c r="S543" s="1146">
        <v>434</v>
      </c>
      <c r="T543" s="1648"/>
      <c r="U543" s="1146">
        <v>270</v>
      </c>
      <c r="V543" s="1648"/>
      <c r="W543" s="1146">
        <v>313</v>
      </c>
      <c r="X543" s="1648"/>
      <c r="Y543" s="1146">
        <v>1017</v>
      </c>
      <c r="Z543" s="2114">
        <f>C543-'Blocking-Step2'!C543</f>
        <v>0</v>
      </c>
      <c r="AA543" s="2114">
        <f>D543-'Blocking-Step2'!D543</f>
        <v>0</v>
      </c>
      <c r="AC543" s="2114">
        <f>F543-'Blocking-Step2'!F543</f>
        <v>0</v>
      </c>
      <c r="AE543" s="2114">
        <f>H543-'Blocking-Step2'!H543</f>
        <v>0</v>
      </c>
      <c r="AF543" s="2114">
        <f>I543-'Blocking-Step2'!I543</f>
        <v>0</v>
      </c>
      <c r="AH543" s="2136">
        <f>K543-'Blocking-Step2'!K543</f>
        <v>-2.2955000000000001</v>
      </c>
      <c r="AJ543" s="2136">
        <f>M543-'Blocking-Step2'!M543</f>
        <v>2.2955000000000001</v>
      </c>
      <c r="AL543" s="2136">
        <f>O543-'Blocking-Step2'!O543</f>
        <v>0</v>
      </c>
      <c r="AN543" s="2137">
        <f>Q543-'Blocking-Step2'!Q543</f>
        <v>0</v>
      </c>
      <c r="AP543" s="2127">
        <f>S543-'Blocking-Step2'!S543</f>
        <v>-602</v>
      </c>
      <c r="AR543" s="2127">
        <f>U543-'Blocking-Step2'!U543</f>
        <v>601</v>
      </c>
      <c r="AT543" s="2127">
        <f>W543-'Blocking-Step2'!W543</f>
        <v>0</v>
      </c>
      <c r="AV543" s="2128">
        <f>Y543-'Blocking-Step2'!Y543</f>
        <v>0</v>
      </c>
    </row>
    <row r="544" spans="1:48">
      <c r="A544" s="1116" t="s">
        <v>1906</v>
      </c>
      <c r="C544" s="1105">
        <v>28915.990030965484</v>
      </c>
      <c r="D544" s="1105">
        <v>30746.234881977271</v>
      </c>
      <c r="E544" s="617"/>
      <c r="F544" s="1143"/>
      <c r="G544" s="1921"/>
      <c r="H544" s="1146"/>
      <c r="I544" s="1146"/>
      <c r="J544" s="617"/>
      <c r="K544" s="1143">
        <v>0</v>
      </c>
      <c r="L544" s="1921" t="s">
        <v>495</v>
      </c>
      <c r="M544" s="1143">
        <v>0</v>
      </c>
      <c r="N544" s="1921" t="s">
        <v>495</v>
      </c>
      <c r="O544" s="1143">
        <v>6</v>
      </c>
      <c r="P544" s="1921" t="s">
        <v>495</v>
      </c>
      <c r="Q544" s="1143">
        <v>6</v>
      </c>
      <c r="R544" s="1921" t="s">
        <v>495</v>
      </c>
      <c r="S544" s="1146">
        <v>0</v>
      </c>
      <c r="T544" s="1648"/>
      <c r="U544" s="1146">
        <v>0</v>
      </c>
      <c r="V544" s="1648"/>
      <c r="W544" s="1146">
        <v>1845</v>
      </c>
      <c r="X544" s="1648"/>
      <c r="Y544" s="1146">
        <v>1845</v>
      </c>
      <c r="Z544" s="2114">
        <f>C544-'Blocking-Step2'!C544</f>
        <v>0</v>
      </c>
      <c r="AA544" s="2114">
        <f>D544-'Blocking-Step2'!D544</f>
        <v>0</v>
      </c>
      <c r="AC544" s="2114">
        <f>F544-'Blocking-Step2'!F544</f>
        <v>0</v>
      </c>
      <c r="AE544" s="2114">
        <f>H544-'Blocking-Step2'!H544</f>
        <v>0</v>
      </c>
      <c r="AF544" s="2114">
        <f>I544-'Blocking-Step2'!I544</f>
        <v>0</v>
      </c>
      <c r="AH544" s="2136">
        <f>K544-'Blocking-Step2'!K544</f>
        <v>0</v>
      </c>
      <c r="AJ544" s="2136">
        <f>M544-'Blocking-Step2'!M544</f>
        <v>0</v>
      </c>
      <c r="AL544" s="2136">
        <f>O544-'Blocking-Step2'!O544</f>
        <v>0</v>
      </c>
      <c r="AN544" s="2137">
        <f>Q544-'Blocking-Step2'!Q544</f>
        <v>0</v>
      </c>
      <c r="AP544" s="2127">
        <f>S544-'Blocking-Step2'!S544</f>
        <v>0</v>
      </c>
      <c r="AR544" s="2127">
        <f>U544-'Blocking-Step2'!U544</f>
        <v>0</v>
      </c>
      <c r="AT544" s="2127">
        <f>W544-'Blocking-Step2'!W544</f>
        <v>0</v>
      </c>
      <c r="AV544" s="2128">
        <f>Y544-'Blocking-Step2'!Y544</f>
        <v>0</v>
      </c>
    </row>
    <row r="545" spans="1:48">
      <c r="A545" s="1116" t="s">
        <v>1907</v>
      </c>
      <c r="C545" s="1105">
        <v>23152.009969034516</v>
      </c>
      <c r="D545" s="1105">
        <v>24617.422254452438</v>
      </c>
      <c r="E545" s="617"/>
      <c r="F545" s="1143"/>
      <c r="G545" s="1921"/>
      <c r="H545" s="1146"/>
      <c r="I545" s="1146"/>
      <c r="J545" s="617"/>
      <c r="K545" s="1143">
        <v>0</v>
      </c>
      <c r="L545" s="1921" t="s">
        <v>495</v>
      </c>
      <c r="M545" s="1143">
        <v>0</v>
      </c>
      <c r="N545" s="1921" t="s">
        <v>495</v>
      </c>
      <c r="O545" s="1143">
        <v>-2.3358000000000008</v>
      </c>
      <c r="P545" s="1921" t="s">
        <v>495</v>
      </c>
      <c r="Q545" s="1143">
        <v>-2.3358000000000008</v>
      </c>
      <c r="R545" s="1921" t="s">
        <v>495</v>
      </c>
      <c r="S545" s="1146">
        <v>0</v>
      </c>
      <c r="T545" s="1648"/>
      <c r="U545" s="1146">
        <v>0</v>
      </c>
      <c r="V545" s="1648"/>
      <c r="W545" s="1146">
        <v>-575</v>
      </c>
      <c r="X545" s="1648"/>
      <c r="Y545" s="1146">
        <v>-575</v>
      </c>
      <c r="Z545" s="2114">
        <f>C545-'Blocking-Step2'!C545</f>
        <v>0</v>
      </c>
      <c r="AA545" s="2114">
        <f>D545-'Blocking-Step2'!D545</f>
        <v>0</v>
      </c>
      <c r="AC545" s="2114">
        <f>F545-'Blocking-Step2'!F545</f>
        <v>0</v>
      </c>
      <c r="AE545" s="2114">
        <f>H545-'Blocking-Step2'!H545</f>
        <v>0</v>
      </c>
      <c r="AF545" s="2114">
        <f>I545-'Blocking-Step2'!I545</f>
        <v>0</v>
      </c>
      <c r="AH545" s="2136">
        <f>K545-'Blocking-Step2'!K545</f>
        <v>0</v>
      </c>
      <c r="AJ545" s="2136">
        <f>M545-'Blocking-Step2'!M545</f>
        <v>0</v>
      </c>
      <c r="AL545" s="2136">
        <f>O545-'Blocking-Step2'!O545</f>
        <v>0</v>
      </c>
      <c r="AN545" s="2137">
        <f>Q545-'Blocking-Step2'!Q545</f>
        <v>0</v>
      </c>
      <c r="AP545" s="2127">
        <f>S545-'Blocking-Step2'!S545</f>
        <v>0</v>
      </c>
      <c r="AR545" s="2127">
        <f>U545-'Blocking-Step2'!U545</f>
        <v>0</v>
      </c>
      <c r="AT545" s="2127">
        <f>W545-'Blocking-Step2'!W545</f>
        <v>0</v>
      </c>
      <c r="AV545" s="2128">
        <f>Y545-'Blocking-Step2'!Y545</f>
        <v>0</v>
      </c>
    </row>
    <row r="546" spans="1:48">
      <c r="A546" s="1116" t="s">
        <v>1908</v>
      </c>
      <c r="C546" s="1105">
        <v>41954.78683403114</v>
      </c>
      <c r="D546" s="1105">
        <v>47447.273439259698</v>
      </c>
      <c r="E546" s="617"/>
      <c r="F546" s="1143"/>
      <c r="G546" s="1921"/>
      <c r="H546" s="1146"/>
      <c r="I546" s="1146"/>
      <c r="J546" s="617"/>
      <c r="K546" s="1143">
        <v>0</v>
      </c>
      <c r="L546" s="1921" t="s">
        <v>495</v>
      </c>
      <c r="M546" s="1143">
        <v>0</v>
      </c>
      <c r="N546" s="1921" t="s">
        <v>495</v>
      </c>
      <c r="O546" s="1143">
        <v>5.3097000000000003</v>
      </c>
      <c r="P546" s="1921" t="s">
        <v>495</v>
      </c>
      <c r="Q546" s="1143">
        <v>5.3097000000000003</v>
      </c>
      <c r="R546" s="1921" t="s">
        <v>495</v>
      </c>
      <c r="S546" s="1146">
        <v>0</v>
      </c>
      <c r="T546" s="1648"/>
      <c r="U546" s="1146">
        <v>0</v>
      </c>
      <c r="V546" s="1648"/>
      <c r="W546" s="1146">
        <v>2519</v>
      </c>
      <c r="X546" s="1648"/>
      <c r="Y546" s="1146">
        <v>2519</v>
      </c>
      <c r="Z546" s="2114">
        <f>C546-'Blocking-Step2'!C546</f>
        <v>0</v>
      </c>
      <c r="AA546" s="2114">
        <f>D546-'Blocking-Step2'!D546</f>
        <v>0</v>
      </c>
      <c r="AC546" s="2114">
        <f>F546-'Blocking-Step2'!F546</f>
        <v>0</v>
      </c>
      <c r="AE546" s="2114">
        <f>H546-'Blocking-Step2'!H546</f>
        <v>0</v>
      </c>
      <c r="AF546" s="2114">
        <f>I546-'Blocking-Step2'!I546</f>
        <v>0</v>
      </c>
      <c r="AH546" s="2136">
        <f>K546-'Blocking-Step2'!K546</f>
        <v>0</v>
      </c>
      <c r="AJ546" s="2136">
        <f>M546-'Blocking-Step2'!M546</f>
        <v>0</v>
      </c>
      <c r="AL546" s="2136">
        <f>O546-'Blocking-Step2'!O546</f>
        <v>0</v>
      </c>
      <c r="AN546" s="2137">
        <f>Q546-'Blocking-Step2'!Q546</f>
        <v>0</v>
      </c>
      <c r="AP546" s="2127">
        <f>S546-'Blocking-Step2'!S546</f>
        <v>0</v>
      </c>
      <c r="AR546" s="2127">
        <f>U546-'Blocking-Step2'!U546</f>
        <v>0</v>
      </c>
      <c r="AT546" s="2127">
        <f>W546-'Blocking-Step2'!W546</f>
        <v>0</v>
      </c>
      <c r="AV546" s="2128">
        <f>Y546-'Blocking-Step2'!Y546</f>
        <v>0</v>
      </c>
    </row>
    <row r="547" spans="1:48">
      <c r="A547" s="1116" t="s">
        <v>1909</v>
      </c>
      <c r="C547" s="1105">
        <v>33591.713165968853</v>
      </c>
      <c r="D547" s="1105">
        <v>37989.352828413917</v>
      </c>
      <c r="E547" s="617"/>
      <c r="F547" s="1143"/>
      <c r="G547" s="1921"/>
      <c r="H547" s="1146"/>
      <c r="I547" s="1146"/>
      <c r="J547" s="617"/>
      <c r="K547" s="1143">
        <v>0</v>
      </c>
      <c r="L547" s="1921" t="s">
        <v>495</v>
      </c>
      <c r="M547" s="1143">
        <v>0</v>
      </c>
      <c r="N547" s="1921" t="s">
        <v>495</v>
      </c>
      <c r="O547" s="1143">
        <v>-2.0670999999999999</v>
      </c>
      <c r="P547" s="1921" t="s">
        <v>495</v>
      </c>
      <c r="Q547" s="1143">
        <v>-2.0670999999999999</v>
      </c>
      <c r="R547" s="1921" t="s">
        <v>495</v>
      </c>
      <c r="S547" s="1146">
        <v>0</v>
      </c>
      <c r="T547" s="1648"/>
      <c r="U547" s="1146">
        <v>0</v>
      </c>
      <c r="V547" s="1648"/>
      <c r="W547" s="1146">
        <v>-785</v>
      </c>
      <c r="X547" s="1648"/>
      <c r="Y547" s="1146">
        <v>-785</v>
      </c>
      <c r="Z547" s="2114">
        <f>C547-'Blocking-Step2'!C547</f>
        <v>0</v>
      </c>
      <c r="AA547" s="2114">
        <f>D547-'Blocking-Step2'!D547</f>
        <v>0</v>
      </c>
      <c r="AC547" s="2114">
        <f>F547-'Blocking-Step2'!F547</f>
        <v>0</v>
      </c>
      <c r="AE547" s="2114">
        <f>H547-'Blocking-Step2'!H547</f>
        <v>0</v>
      </c>
      <c r="AF547" s="2114">
        <f>I547-'Blocking-Step2'!I547</f>
        <v>0</v>
      </c>
      <c r="AH547" s="2136">
        <f>K547-'Blocking-Step2'!K547</f>
        <v>0</v>
      </c>
      <c r="AJ547" s="2136">
        <f>M547-'Blocking-Step2'!M547</f>
        <v>0</v>
      </c>
      <c r="AL547" s="2136">
        <f>O547-'Blocking-Step2'!O547</f>
        <v>0</v>
      </c>
      <c r="AN547" s="2137">
        <f>Q547-'Blocking-Step2'!Q547</f>
        <v>0</v>
      </c>
      <c r="AP547" s="2127">
        <f>S547-'Blocking-Step2'!S547</f>
        <v>0</v>
      </c>
      <c r="AR547" s="2127">
        <f>U547-'Blocking-Step2'!U547</f>
        <v>0</v>
      </c>
      <c r="AT547" s="2127">
        <f>W547-'Blocking-Step2'!W547</f>
        <v>0</v>
      </c>
      <c r="AV547" s="2128">
        <f>Y547-'Blocking-Step2'!Y547</f>
        <v>0</v>
      </c>
    </row>
    <row r="548" spans="1:48">
      <c r="A548" s="1116" t="s">
        <v>261</v>
      </c>
      <c r="C548" s="1105">
        <v>0</v>
      </c>
      <c r="D548" s="1105">
        <v>0</v>
      </c>
      <c r="F548" s="1907"/>
      <c r="G548" s="1110"/>
      <c r="H548" s="1146"/>
      <c r="I548" s="1146"/>
      <c r="K548" s="1907">
        <v>-0.61</v>
      </c>
      <c r="L548" s="1110"/>
      <c r="M548" s="1907">
        <v>0</v>
      </c>
      <c r="N548" s="1110"/>
      <c r="O548" s="1907">
        <v>0</v>
      </c>
      <c r="P548" s="1110"/>
      <c r="Q548" s="1907">
        <v>-0.61</v>
      </c>
      <c r="R548" s="1110"/>
      <c r="S548" s="1146">
        <v>0</v>
      </c>
      <c r="T548" s="1629"/>
      <c r="U548" s="1146">
        <v>0</v>
      </c>
      <c r="V548" s="1629"/>
      <c r="W548" s="1146">
        <v>0</v>
      </c>
      <c r="X548" s="1629"/>
      <c r="Y548" s="1146">
        <v>0</v>
      </c>
      <c r="Z548" s="2114">
        <f>C548-'Blocking-Step2'!C548</f>
        <v>0</v>
      </c>
      <c r="AA548" s="2114">
        <f>D548-'Blocking-Step2'!D548</f>
        <v>0</v>
      </c>
      <c r="AC548" s="2114">
        <f>F548-'Blocking-Step2'!F548</f>
        <v>0</v>
      </c>
      <c r="AE548" s="2114">
        <f>H548-'Blocking-Step2'!H548</f>
        <v>0</v>
      </c>
      <c r="AF548" s="2114">
        <f>I548-'Blocking-Step2'!I548</f>
        <v>0</v>
      </c>
      <c r="AH548" s="2136">
        <f>K548-'Blocking-Step2'!K548</f>
        <v>0</v>
      </c>
      <c r="AJ548" s="2136">
        <f>M548-'Blocking-Step2'!M548</f>
        <v>0</v>
      </c>
      <c r="AL548" s="2136">
        <f>O548-'Blocking-Step2'!O548</f>
        <v>0</v>
      </c>
      <c r="AN548" s="2137">
        <f>Q548-'Blocking-Step2'!Q548</f>
        <v>0</v>
      </c>
      <c r="AP548" s="2127">
        <f>S548-'Blocking-Step2'!S548</f>
        <v>0</v>
      </c>
      <c r="AR548" s="2127">
        <f>U548-'Blocking-Step2'!U548</f>
        <v>0</v>
      </c>
      <c r="AT548" s="2127">
        <f>W548-'Blocking-Step2'!W548</f>
        <v>0</v>
      </c>
      <c r="AV548" s="2128">
        <f>Y548-'Blocking-Step2'!Y548</f>
        <v>0</v>
      </c>
    </row>
    <row r="549" spans="1:48">
      <c r="A549" s="1116" t="s">
        <v>1158</v>
      </c>
      <c r="C549" s="1105">
        <v>0</v>
      </c>
      <c r="D549" s="1105">
        <v>0</v>
      </c>
      <c r="F549" s="1106"/>
      <c r="G549" s="1921"/>
      <c r="H549" s="1146"/>
      <c r="I549" s="1146"/>
      <c r="K549" s="1106">
        <v>0</v>
      </c>
      <c r="L549" s="1921" t="s">
        <v>495</v>
      </c>
      <c r="M549" s="1106">
        <v>7.125</v>
      </c>
      <c r="N549" s="1921" t="s">
        <v>495</v>
      </c>
      <c r="O549" s="1106">
        <v>0</v>
      </c>
      <c r="P549" s="1921" t="s">
        <v>495</v>
      </c>
      <c r="Q549" s="1106">
        <v>7.125</v>
      </c>
      <c r="R549" s="1921" t="s">
        <v>495</v>
      </c>
      <c r="S549" s="1146">
        <v>0</v>
      </c>
      <c r="T549" s="1648"/>
      <c r="U549" s="1146">
        <v>0</v>
      </c>
      <c r="V549" s="1648"/>
      <c r="W549" s="1146">
        <v>0</v>
      </c>
      <c r="X549" s="1648"/>
      <c r="Y549" s="1146">
        <v>0</v>
      </c>
      <c r="Z549" s="2114">
        <f>C549-'Blocking-Step2'!C549</f>
        <v>0</v>
      </c>
      <c r="AA549" s="2114">
        <f>D549-'Blocking-Step2'!D549</f>
        <v>0</v>
      </c>
      <c r="AC549" s="2114">
        <f>F549-'Blocking-Step2'!F549</f>
        <v>0</v>
      </c>
      <c r="AE549" s="2114">
        <f>H549-'Blocking-Step2'!H549</f>
        <v>0</v>
      </c>
      <c r="AF549" s="2114">
        <f>I549-'Blocking-Step2'!I549</f>
        <v>0</v>
      </c>
      <c r="AH549" s="2136">
        <f>K549-'Blocking-Step2'!K549</f>
        <v>0</v>
      </c>
      <c r="AJ549" s="2136">
        <f>M549-'Blocking-Step2'!M549</f>
        <v>0</v>
      </c>
      <c r="AL549" s="2136">
        <f>O549-'Blocking-Step2'!O549</f>
        <v>0</v>
      </c>
      <c r="AN549" s="2137">
        <f>Q549-'Blocking-Step2'!Q549</f>
        <v>0</v>
      </c>
      <c r="AP549" s="2127">
        <f>S549-'Blocking-Step2'!S549</f>
        <v>0</v>
      </c>
      <c r="AR549" s="2127">
        <f>U549-'Blocking-Step2'!U549</f>
        <v>0</v>
      </c>
      <c r="AT549" s="2127">
        <f>W549-'Blocking-Step2'!W549</f>
        <v>0</v>
      </c>
      <c r="AV549" s="2128">
        <f>Y549-'Blocking-Step2'!Y549</f>
        <v>0</v>
      </c>
    </row>
    <row r="550" spans="1:48">
      <c r="A550" s="1116" t="s">
        <v>1240</v>
      </c>
      <c r="C550" s="1024"/>
      <c r="D550" s="1024"/>
      <c r="F550" s="2076"/>
      <c r="G550" s="617"/>
      <c r="H550" s="1146"/>
      <c r="I550" s="1146"/>
      <c r="K550" s="2076"/>
      <c r="L550" s="617"/>
      <c r="M550" s="2076"/>
      <c r="N550" s="617"/>
      <c r="O550" s="2077" t="s">
        <v>2323</v>
      </c>
      <c r="P550" s="617"/>
      <c r="Q550" s="2076">
        <v>-3.0599999999999999E-2</v>
      </c>
      <c r="R550" s="617"/>
      <c r="S550" s="1114"/>
      <c r="T550" s="1114"/>
      <c r="U550" s="1114"/>
      <c r="V550" s="1114"/>
      <c r="W550" s="1114"/>
      <c r="X550" s="1114"/>
      <c r="Y550" s="1146">
        <v>-591.98759999999993</v>
      </c>
      <c r="Z550" s="2114">
        <f>C550-'Blocking-Step2'!C550</f>
        <v>0</v>
      </c>
      <c r="AA550" s="2114">
        <f>D550-'Blocking-Step2'!D550</f>
        <v>0</v>
      </c>
      <c r="AC550" s="2114">
        <f>F550-'Blocking-Step2'!F550</f>
        <v>0</v>
      </c>
      <c r="AE550" s="2114">
        <f>H550-'Blocking-Step2'!H550</f>
        <v>0</v>
      </c>
      <c r="AF550" s="2114">
        <f>I550-'Blocking-Step2'!I550</f>
        <v>0</v>
      </c>
      <c r="AH550" s="2136">
        <f>K550-'Blocking-Step2'!K550</f>
        <v>0</v>
      </c>
      <c r="AJ550" s="2136">
        <f>M550-'Blocking-Step2'!M550</f>
        <v>0</v>
      </c>
      <c r="AL550" s="2136" t="e">
        <f>O550-'Blocking-Step2'!O550</f>
        <v>#VALUE!</v>
      </c>
      <c r="AN550" s="2137">
        <f>Q550-'Blocking-Step2'!Q550</f>
        <v>0</v>
      </c>
      <c r="AP550" s="2127">
        <f>S550-'Blocking-Step2'!S550</f>
        <v>0</v>
      </c>
      <c r="AR550" s="2127">
        <f>U550-'Blocking-Step2'!U550</f>
        <v>0</v>
      </c>
      <c r="AT550" s="2127">
        <f>W550-'Blocking-Step2'!W550</f>
        <v>0</v>
      </c>
      <c r="AV550" s="2128">
        <f>Y550-'Blocking-Step2'!Y550</f>
        <v>0</v>
      </c>
    </row>
    <row r="551" spans="1:48">
      <c r="A551" s="1116"/>
      <c r="C551" s="1024"/>
      <c r="D551" s="1024"/>
      <c r="F551" s="2076"/>
      <c r="G551" s="617"/>
      <c r="H551" s="1146"/>
      <c r="I551" s="1146"/>
      <c r="K551" s="2076"/>
      <c r="L551" s="617"/>
      <c r="M551" s="2076"/>
      <c r="N551" s="617"/>
      <c r="O551" s="2077" t="s">
        <v>2324</v>
      </c>
      <c r="P551" s="617"/>
      <c r="Q551" s="2076">
        <v>-1.66E-2</v>
      </c>
      <c r="R551" s="617"/>
      <c r="S551" s="1114"/>
      <c r="T551" s="1114"/>
      <c r="U551" s="1114"/>
      <c r="V551" s="1114"/>
      <c r="W551" s="1114"/>
      <c r="X551" s="1114"/>
      <c r="Y551" s="1146">
        <v>-321.14359999999999</v>
      </c>
      <c r="Z551" s="2114">
        <f>C551-'Blocking-Step2'!C551</f>
        <v>0</v>
      </c>
      <c r="AA551" s="2114">
        <f>D551-'Blocking-Step2'!D551</f>
        <v>0</v>
      </c>
      <c r="AC551" s="2114">
        <f>F551-'Blocking-Step2'!F551</f>
        <v>0</v>
      </c>
      <c r="AE551" s="2114">
        <f>H551-'Blocking-Step2'!H551</f>
        <v>0</v>
      </c>
      <c r="AF551" s="2114">
        <f>I551-'Blocking-Step2'!I551</f>
        <v>0</v>
      </c>
      <c r="AH551" s="2136">
        <f>K551-'Blocking-Step2'!K551</f>
        <v>0</v>
      </c>
      <c r="AJ551" s="2136">
        <f>M551-'Blocking-Step2'!M551</f>
        <v>0</v>
      </c>
      <c r="AL551" s="2136" t="e">
        <f>O551-'Blocking-Step2'!O551</f>
        <v>#VALUE!</v>
      </c>
      <c r="AN551" s="2137">
        <f>Q551-'Blocking-Step2'!Q551</f>
        <v>0</v>
      </c>
      <c r="AP551" s="2127">
        <f>S551-'Blocking-Step2'!S551</f>
        <v>0</v>
      </c>
      <c r="AR551" s="2127">
        <f>U551-'Blocking-Step2'!U551</f>
        <v>0</v>
      </c>
      <c r="AT551" s="2127">
        <f>W551-'Blocking-Step2'!W551</f>
        <v>0</v>
      </c>
      <c r="AV551" s="2128">
        <f>Y551-'Blocking-Step2'!Y551</f>
        <v>0</v>
      </c>
    </row>
    <row r="552" spans="1:48">
      <c r="A552" s="1116" t="s">
        <v>1923</v>
      </c>
      <c r="C552" s="1105">
        <v>127614.5</v>
      </c>
      <c r="D552" s="1105">
        <v>140800.28340410333</v>
      </c>
      <c r="F552" s="1907"/>
      <c r="G552" s="1110"/>
      <c r="H552" s="1146"/>
      <c r="I552" s="1146"/>
      <c r="K552" s="1907"/>
      <c r="L552" s="1110"/>
      <c r="M552" s="1907"/>
      <c r="N552" s="1110"/>
      <c r="O552" s="1907"/>
      <c r="P552" s="1110"/>
      <c r="Q552" s="1907"/>
      <c r="R552" s="1110"/>
      <c r="S552" s="1146">
        <v>6067</v>
      </c>
      <c r="T552" s="1629"/>
      <c r="U552" s="1146">
        <v>15245</v>
      </c>
      <c r="V552" s="1629"/>
      <c r="W552" s="1146">
        <v>4771</v>
      </c>
      <c r="X552" s="1629"/>
      <c r="Y552" s="1146">
        <v>26084</v>
      </c>
      <c r="Z552" s="2114">
        <f>C552-'Blocking-Step2'!C552</f>
        <v>0</v>
      </c>
      <c r="AA552" s="2114">
        <f>D552-'Blocking-Step2'!D552</f>
        <v>0</v>
      </c>
      <c r="AC552" s="2114">
        <f>F552-'Blocking-Step2'!F552</f>
        <v>0</v>
      </c>
      <c r="AE552" s="2114">
        <f>H552-'Blocking-Step2'!H552</f>
        <v>0</v>
      </c>
      <c r="AF552" s="2114">
        <f>I552-'Blocking-Step2'!I552</f>
        <v>0</v>
      </c>
      <c r="AH552" s="2136">
        <f>K552-'Blocking-Step2'!K552</f>
        <v>0</v>
      </c>
      <c r="AJ552" s="2136">
        <f>M552-'Blocking-Step2'!M552</f>
        <v>0</v>
      </c>
      <c r="AL552" s="2136">
        <f>O552-'Blocking-Step2'!O552</f>
        <v>0</v>
      </c>
      <c r="AN552" s="2137">
        <f>Q552-'Blocking-Step2'!Q552</f>
        <v>0</v>
      </c>
      <c r="AP552" s="2127">
        <f>S552-'Blocking-Step2'!S552</f>
        <v>-3232</v>
      </c>
      <c r="AR552" s="2127">
        <f>U552-'Blocking-Step2'!U552</f>
        <v>3232</v>
      </c>
      <c r="AT552" s="2127">
        <f>W552-'Blocking-Step2'!W552</f>
        <v>0</v>
      </c>
      <c r="AV552" s="2128">
        <f>Y552-'Blocking-Step2'!Y552</f>
        <v>0</v>
      </c>
    </row>
    <row r="553" spans="1:48">
      <c r="A553" s="1116"/>
      <c r="C553" s="1105"/>
      <c r="D553" s="1105"/>
      <c r="F553" s="1907"/>
      <c r="G553" s="1110"/>
      <c r="H553" s="1146"/>
      <c r="I553" s="1146"/>
      <c r="K553" s="1907"/>
      <c r="L553" s="1110"/>
      <c r="M553" s="1907"/>
      <c r="N553" s="1110"/>
      <c r="O553" s="1907"/>
      <c r="P553" s="1110"/>
      <c r="Q553" s="1907"/>
      <c r="R553" s="1110"/>
      <c r="S553" s="1629"/>
      <c r="T553" s="1629"/>
      <c r="U553" s="1629"/>
      <c r="V553" s="1629"/>
      <c r="W553" s="1629"/>
      <c r="X553" s="1629"/>
      <c r="Y553" s="1146"/>
      <c r="Z553" s="2114">
        <f>C553-'Blocking-Step2'!C553</f>
        <v>0</v>
      </c>
      <c r="AA553" s="2114">
        <f>D553-'Blocking-Step2'!D553</f>
        <v>0</v>
      </c>
      <c r="AC553" s="2114">
        <f>F553-'Blocking-Step2'!F553</f>
        <v>0</v>
      </c>
      <c r="AE553" s="2114">
        <f>H553-'Blocking-Step2'!H553</f>
        <v>0</v>
      </c>
      <c r="AF553" s="2114">
        <f>I553-'Blocking-Step2'!I553</f>
        <v>0</v>
      </c>
      <c r="AH553" s="2136">
        <f>K553-'Blocking-Step2'!K553</f>
        <v>0</v>
      </c>
      <c r="AJ553" s="2136">
        <f>M553-'Blocking-Step2'!M553</f>
        <v>0</v>
      </c>
      <c r="AL553" s="2136">
        <f>O553-'Blocking-Step2'!O553</f>
        <v>0</v>
      </c>
      <c r="AN553" s="2137">
        <f>Q553-'Blocking-Step2'!Q553</f>
        <v>0</v>
      </c>
      <c r="AP553" s="2127">
        <f>S553-'Blocking-Step2'!S553</f>
        <v>0</v>
      </c>
      <c r="AR553" s="2127">
        <f>U553-'Blocking-Step2'!U553</f>
        <v>0</v>
      </c>
      <c r="AT553" s="2127">
        <f>W553-'Blocking-Step2'!W553</f>
        <v>0</v>
      </c>
      <c r="AV553" s="2128">
        <f>Y553-'Blocking-Step2'!Y553</f>
        <v>0</v>
      </c>
    </row>
    <row r="554" spans="1:48">
      <c r="A554" s="1116" t="s">
        <v>240</v>
      </c>
      <c r="C554" s="1105">
        <v>63</v>
      </c>
      <c r="D554" s="1105">
        <v>69.151622418879057</v>
      </c>
      <c r="F554" s="1907">
        <v>54</v>
      </c>
      <c r="G554" s="1110"/>
      <c r="H554" s="1146">
        <v>3402</v>
      </c>
      <c r="I554" s="1146">
        <v>3734</v>
      </c>
      <c r="K554" s="1907">
        <v>54</v>
      </c>
      <c r="L554" s="1110"/>
      <c r="M554" s="1907">
        <v>0</v>
      </c>
      <c r="N554" s="1110"/>
      <c r="O554" s="1907">
        <v>0</v>
      </c>
      <c r="P554" s="1110"/>
      <c r="Q554" s="1907">
        <v>54</v>
      </c>
      <c r="R554" s="1110"/>
      <c r="S554" s="1146">
        <v>3734</v>
      </c>
      <c r="T554" s="1629"/>
      <c r="U554" s="1146">
        <v>0</v>
      </c>
      <c r="V554" s="1629"/>
      <c r="W554" s="1146">
        <v>0</v>
      </c>
      <c r="X554" s="1629"/>
      <c r="Y554" s="1146">
        <v>3734</v>
      </c>
      <c r="Z554" s="2114">
        <f>C554-'Blocking-Step2'!C554</f>
        <v>0</v>
      </c>
      <c r="AA554" s="2114">
        <f>D554-'Blocking-Step2'!D554</f>
        <v>0</v>
      </c>
      <c r="AC554" s="2114">
        <f>F554-'Blocking-Step2'!F554</f>
        <v>0</v>
      </c>
      <c r="AE554" s="2114">
        <f>H554-'Blocking-Step2'!H554</f>
        <v>0</v>
      </c>
      <c r="AF554" s="2114">
        <f>I554-'Blocking-Step2'!I554</f>
        <v>0</v>
      </c>
      <c r="AH554" s="2136">
        <f>K554-'Blocking-Step2'!K554</f>
        <v>0</v>
      </c>
      <c r="AJ554" s="2136">
        <f>M554-'Blocking-Step2'!M554</f>
        <v>0</v>
      </c>
      <c r="AL554" s="2136">
        <f>O554-'Blocking-Step2'!O554</f>
        <v>0</v>
      </c>
      <c r="AN554" s="2137">
        <f>Q554-'Blocking-Step2'!Q554</f>
        <v>0</v>
      </c>
      <c r="AP554" s="2127">
        <f>S554-'Blocking-Step2'!S554</f>
        <v>0</v>
      </c>
      <c r="AR554" s="2127">
        <f>U554-'Blocking-Step2'!U554</f>
        <v>0</v>
      </c>
      <c r="AT554" s="2127">
        <f>W554-'Blocking-Step2'!W554</f>
        <v>0</v>
      </c>
      <c r="AV554" s="2128">
        <f>Y554-'Blocking-Step2'!Y554</f>
        <v>0</v>
      </c>
    </row>
    <row r="555" spans="1:48">
      <c r="A555" s="1116" t="s">
        <v>262</v>
      </c>
      <c r="C555" s="1105">
        <v>0</v>
      </c>
      <c r="D555" s="1105">
        <v>0</v>
      </c>
      <c r="E555" s="617"/>
      <c r="F555" s="1907">
        <v>648</v>
      </c>
      <c r="G555" s="1110"/>
      <c r="H555" s="1146">
        <v>0</v>
      </c>
      <c r="I555" s="1146">
        <v>0</v>
      </c>
      <c r="J555" s="617"/>
      <c r="K555" s="1907">
        <v>648</v>
      </c>
      <c r="L555" s="1110"/>
      <c r="M555" s="1907">
        <v>0</v>
      </c>
      <c r="N555" s="1110"/>
      <c r="O555" s="1907">
        <v>0</v>
      </c>
      <c r="P555" s="1110"/>
      <c r="Q555" s="1907">
        <v>648</v>
      </c>
      <c r="R555" s="1110"/>
      <c r="S555" s="1146">
        <v>0</v>
      </c>
      <c r="T555" s="1114"/>
      <c r="U555" s="1146">
        <v>0</v>
      </c>
      <c r="V555" s="1114"/>
      <c r="W555" s="1146">
        <v>0</v>
      </c>
      <c r="X555" s="1114"/>
      <c r="Y555" s="1146">
        <v>0</v>
      </c>
      <c r="Z555" s="2114">
        <f>C555-'Blocking-Step2'!C555</f>
        <v>0</v>
      </c>
      <c r="AA555" s="2114">
        <f>D555-'Blocking-Step2'!D555</f>
        <v>0</v>
      </c>
      <c r="AC555" s="2114">
        <f>F555-'Blocking-Step2'!F555</f>
        <v>0</v>
      </c>
      <c r="AE555" s="2114">
        <f>H555-'Blocking-Step2'!H555</f>
        <v>0</v>
      </c>
      <c r="AF555" s="2114">
        <f>I555-'Blocking-Step2'!I555</f>
        <v>0</v>
      </c>
      <c r="AH555" s="2136">
        <f>K555-'Blocking-Step2'!K555</f>
        <v>0</v>
      </c>
      <c r="AJ555" s="2136">
        <f>M555-'Blocking-Step2'!M555</f>
        <v>0</v>
      </c>
      <c r="AL555" s="2136">
        <f>O555-'Blocking-Step2'!O555</f>
        <v>0</v>
      </c>
      <c r="AN555" s="2137">
        <f>Q555-'Blocking-Step2'!Q555</f>
        <v>0</v>
      </c>
      <c r="AP555" s="2127">
        <f>S555-'Blocking-Step2'!S555</f>
        <v>0</v>
      </c>
      <c r="AR555" s="2127">
        <f>U555-'Blocking-Step2'!U555</f>
        <v>0</v>
      </c>
      <c r="AT555" s="2127">
        <f>W555-'Blocking-Step2'!W555</f>
        <v>0</v>
      </c>
      <c r="AV555" s="2128">
        <f>Y555-'Blocking-Step2'!Y555</f>
        <v>0</v>
      </c>
    </row>
    <row r="556" spans="1:48">
      <c r="A556" s="1116" t="s">
        <v>168</v>
      </c>
      <c r="C556" s="1105">
        <v>2545.5</v>
      </c>
      <c r="D556" s="1105">
        <v>2794</v>
      </c>
      <c r="F556" s="1907">
        <v>4.04</v>
      </c>
      <c r="G556" s="1110"/>
      <c r="H556" s="1146">
        <v>10284</v>
      </c>
      <c r="I556" s="1146">
        <v>11288</v>
      </c>
      <c r="K556" s="1907">
        <v>4.03</v>
      </c>
      <c r="L556" s="1110"/>
      <c r="M556" s="1907">
        <v>0</v>
      </c>
      <c r="N556" s="1110"/>
      <c r="O556" s="1907">
        <v>0</v>
      </c>
      <c r="P556" s="1110"/>
      <c r="Q556" s="1907">
        <v>4.03</v>
      </c>
      <c r="R556" s="1110"/>
      <c r="S556" s="1146">
        <v>11260</v>
      </c>
      <c r="T556" s="1629"/>
      <c r="U556" s="1146">
        <v>0</v>
      </c>
      <c r="V556" s="1629"/>
      <c r="W556" s="1146">
        <v>0</v>
      </c>
      <c r="X556" s="1629"/>
      <c r="Y556" s="1146">
        <v>11260</v>
      </c>
      <c r="Z556" s="2114">
        <f>C556-'Blocking-Step2'!C556</f>
        <v>0</v>
      </c>
      <c r="AA556" s="2114">
        <f>D556-'Blocking-Step2'!D556</f>
        <v>0</v>
      </c>
      <c r="AC556" s="2114">
        <f>F556-'Blocking-Step2'!F556</f>
        <v>0</v>
      </c>
      <c r="AE556" s="2114">
        <f>H556-'Blocking-Step2'!H556</f>
        <v>0</v>
      </c>
      <c r="AF556" s="2114">
        <f>I556-'Blocking-Step2'!I556</f>
        <v>0</v>
      </c>
      <c r="AH556" s="2136">
        <f>K556-'Blocking-Step2'!K556</f>
        <v>0</v>
      </c>
      <c r="AJ556" s="2136">
        <f>M556-'Blocking-Step2'!M556</f>
        <v>0</v>
      </c>
      <c r="AL556" s="2136">
        <f>O556-'Blocking-Step2'!O556</f>
        <v>0</v>
      </c>
      <c r="AN556" s="2137">
        <f>Q556-'Blocking-Step2'!Q556</f>
        <v>0</v>
      </c>
      <c r="AP556" s="2127">
        <f>S556-'Blocking-Step2'!S556</f>
        <v>0</v>
      </c>
      <c r="AR556" s="2127">
        <f>U556-'Blocking-Step2'!U556</f>
        <v>0</v>
      </c>
      <c r="AT556" s="2127">
        <f>W556-'Blocking-Step2'!W556</f>
        <v>0</v>
      </c>
      <c r="AV556" s="2128">
        <f>Y556-'Blocking-Step2'!Y556</f>
        <v>0</v>
      </c>
    </row>
    <row r="557" spans="1:48">
      <c r="A557" s="1116" t="s">
        <v>1649</v>
      </c>
      <c r="C557" s="1105">
        <v>813.5</v>
      </c>
      <c r="D557" s="1105">
        <v>832</v>
      </c>
      <c r="F557" s="1142"/>
      <c r="G557" s="617"/>
      <c r="H557" s="1146"/>
      <c r="I557" s="1146"/>
      <c r="K557" s="1142">
        <v>0.51</v>
      </c>
      <c r="L557" s="617"/>
      <c r="M557" s="1142">
        <v>12.89</v>
      </c>
      <c r="N557" s="617"/>
      <c r="O557" s="1142">
        <v>0</v>
      </c>
      <c r="P557" s="617"/>
      <c r="Q557" s="1142">
        <v>13.4</v>
      </c>
      <c r="R557" s="617"/>
      <c r="S557" s="1146">
        <v>424</v>
      </c>
      <c r="T557" s="1114"/>
      <c r="U557" s="1146">
        <v>10724</v>
      </c>
      <c r="V557" s="1114"/>
      <c r="W557" s="1146">
        <v>0</v>
      </c>
      <c r="X557" s="1114"/>
      <c r="Y557" s="1146">
        <v>11149</v>
      </c>
      <c r="Z557" s="2114">
        <f>C557-'Blocking-Step2'!C557</f>
        <v>0</v>
      </c>
      <c r="AA557" s="2114">
        <f>D557-'Blocking-Step2'!D557</f>
        <v>0</v>
      </c>
      <c r="AC557" s="2114">
        <f>F557-'Blocking-Step2'!F557</f>
        <v>0</v>
      </c>
      <c r="AE557" s="2114">
        <f>H557-'Blocking-Step2'!H557</f>
        <v>0</v>
      </c>
      <c r="AF557" s="2114">
        <f>I557-'Blocking-Step2'!I557</f>
        <v>0</v>
      </c>
      <c r="AH557" s="2136">
        <f>K557-'Blocking-Step2'!K557</f>
        <v>-5.83</v>
      </c>
      <c r="AJ557" s="2136">
        <f>M557-'Blocking-Step2'!M557</f>
        <v>5.83</v>
      </c>
      <c r="AL557" s="2136">
        <f>O557-'Blocking-Step2'!O557</f>
        <v>0</v>
      </c>
      <c r="AN557" s="2137">
        <f>Q557-'Blocking-Step2'!Q557</f>
        <v>0</v>
      </c>
      <c r="AP557" s="2127">
        <f>S557-'Blocking-Step2'!S557</f>
        <v>-4851</v>
      </c>
      <c r="AR557" s="2127">
        <f>U557-'Blocking-Step2'!U557</f>
        <v>4850</v>
      </c>
      <c r="AT557" s="2127">
        <f>W557-'Blocking-Step2'!W557</f>
        <v>0</v>
      </c>
      <c r="AV557" s="2128">
        <f>Y557-'Blocking-Step2'!Y557</f>
        <v>0</v>
      </c>
    </row>
    <row r="558" spans="1:48">
      <c r="A558" s="1116" t="s">
        <v>1650</v>
      </c>
      <c r="C558" s="1105">
        <v>1732</v>
      </c>
      <c r="D558" s="1105">
        <v>1962</v>
      </c>
      <c r="F558" s="1142"/>
      <c r="G558" s="617"/>
      <c r="H558" s="1146"/>
      <c r="I558" s="1146"/>
      <c r="K558" s="1142">
        <v>0.45</v>
      </c>
      <c r="L558" s="617"/>
      <c r="M558" s="1142">
        <v>11.41</v>
      </c>
      <c r="N558" s="617"/>
      <c r="O558" s="1142">
        <v>0</v>
      </c>
      <c r="P558" s="617"/>
      <c r="Q558" s="1142">
        <v>11.86</v>
      </c>
      <c r="R558" s="617"/>
      <c r="S558" s="1146">
        <v>883</v>
      </c>
      <c r="T558" s="1114"/>
      <c r="U558" s="1146">
        <v>22386</v>
      </c>
      <c r="V558" s="1114"/>
      <c r="W558" s="1146">
        <v>0</v>
      </c>
      <c r="X558" s="1114"/>
      <c r="Y558" s="1146">
        <v>23269</v>
      </c>
      <c r="Z558" s="2114">
        <f>C558-'Blocking-Step2'!C558</f>
        <v>0</v>
      </c>
      <c r="AA558" s="2114">
        <f>D558-'Blocking-Step2'!D558</f>
        <v>0</v>
      </c>
      <c r="AC558" s="2114">
        <f>F558-'Blocking-Step2'!F558</f>
        <v>0</v>
      </c>
      <c r="AE558" s="2114">
        <f>H558-'Blocking-Step2'!H558</f>
        <v>0</v>
      </c>
      <c r="AF558" s="2114">
        <f>I558-'Blocking-Step2'!I558</f>
        <v>0</v>
      </c>
      <c r="AH558" s="2136">
        <f>K558-'Blocking-Step2'!K558</f>
        <v>-5.16</v>
      </c>
      <c r="AJ558" s="2136">
        <f>M558-'Blocking-Step2'!M558</f>
        <v>5.160000000000001</v>
      </c>
      <c r="AL558" s="2136">
        <f>O558-'Blocking-Step2'!O558</f>
        <v>0</v>
      </c>
      <c r="AN558" s="2137">
        <f>Q558-'Blocking-Step2'!Q558</f>
        <v>0</v>
      </c>
      <c r="AP558" s="2127">
        <f>S558-'Blocking-Step2'!S558</f>
        <v>-10124</v>
      </c>
      <c r="AR558" s="2127">
        <f>U558-'Blocking-Step2'!U558</f>
        <v>10123</v>
      </c>
      <c r="AT558" s="2127">
        <f>W558-'Blocking-Step2'!W558</f>
        <v>0</v>
      </c>
      <c r="AV558" s="2128">
        <f>Y558-'Blocking-Step2'!Y558</f>
        <v>0</v>
      </c>
    </row>
    <row r="559" spans="1:48">
      <c r="A559" s="1116" t="s">
        <v>1647</v>
      </c>
      <c r="C559" s="1105">
        <v>52068</v>
      </c>
      <c r="D559" s="1105">
        <v>55363.283404103327</v>
      </c>
      <c r="F559" s="1106"/>
      <c r="G559" s="1921"/>
      <c r="H559" s="1146"/>
      <c r="I559" s="1146"/>
      <c r="K559" s="1106">
        <v>0</v>
      </c>
      <c r="L559" s="1921" t="s">
        <v>495</v>
      </c>
      <c r="M559" s="1106">
        <v>1.6192</v>
      </c>
      <c r="N559" s="1921" t="s">
        <v>495</v>
      </c>
      <c r="O559" s="1106">
        <v>2.305570240802</v>
      </c>
      <c r="P559" s="1921" t="s">
        <v>495</v>
      </c>
      <c r="Q559" s="1106">
        <v>3.9247702408020002</v>
      </c>
      <c r="R559" s="1921" t="s">
        <v>495</v>
      </c>
      <c r="S559" s="1146">
        <v>0</v>
      </c>
      <c r="T559" s="1648"/>
      <c r="U559" s="1146">
        <v>896</v>
      </c>
      <c r="V559" s="1648"/>
      <c r="W559" s="1146">
        <v>1276</v>
      </c>
      <c r="X559" s="1648"/>
      <c r="Y559" s="1146">
        <v>2173</v>
      </c>
      <c r="Z559" s="2114">
        <f>C559-'Blocking-Step2'!C559</f>
        <v>0</v>
      </c>
      <c r="AA559" s="2114">
        <f>D559-'Blocking-Step2'!D559</f>
        <v>0</v>
      </c>
      <c r="AC559" s="2114">
        <f>F559-'Blocking-Step2'!F559</f>
        <v>0</v>
      </c>
      <c r="AE559" s="2114">
        <f>H559-'Blocking-Step2'!H559</f>
        <v>0</v>
      </c>
      <c r="AF559" s="2114">
        <f>I559-'Blocking-Step2'!I559</f>
        <v>0</v>
      </c>
      <c r="AH559" s="2136">
        <f>K559-'Blocking-Step2'!K559</f>
        <v>0</v>
      </c>
      <c r="AJ559" s="2136">
        <f>M559-'Blocking-Step2'!M559</f>
        <v>0</v>
      </c>
      <c r="AL559" s="2136">
        <f>O559-'Blocking-Step2'!O559</f>
        <v>0</v>
      </c>
      <c r="AN559" s="2137">
        <f>Q559-'Blocking-Step2'!Q559</f>
        <v>0</v>
      </c>
      <c r="AP559" s="2127">
        <f>S559-'Blocking-Step2'!S559</f>
        <v>0</v>
      </c>
      <c r="AR559" s="2127">
        <f>U559-'Blocking-Step2'!U559</f>
        <v>0</v>
      </c>
      <c r="AT559" s="2127">
        <f>W559-'Blocking-Step2'!W559</f>
        <v>0</v>
      </c>
      <c r="AV559" s="2128">
        <f>Y559-'Blocking-Step2'!Y559</f>
        <v>0</v>
      </c>
    </row>
    <row r="560" spans="1:48">
      <c r="A560" s="1116" t="s">
        <v>1648</v>
      </c>
      <c r="C560" s="1105">
        <v>75546.5</v>
      </c>
      <c r="D560" s="1105">
        <v>85437</v>
      </c>
      <c r="F560" s="1106"/>
      <c r="G560" s="1921"/>
      <c r="H560" s="1146"/>
      <c r="I560" s="1146"/>
      <c r="K560" s="1106">
        <v>0</v>
      </c>
      <c r="L560" s="1921" t="s">
        <v>495</v>
      </c>
      <c r="M560" s="1106">
        <v>1.4329000000000001</v>
      </c>
      <c r="N560" s="1921" t="s">
        <v>495</v>
      </c>
      <c r="O560" s="1106">
        <v>2.0403480007099999</v>
      </c>
      <c r="P560" s="1921" t="s">
        <v>495</v>
      </c>
      <c r="Q560" s="1106">
        <v>3.4732480007099999</v>
      </c>
      <c r="R560" s="1921" t="s">
        <v>495</v>
      </c>
      <c r="S560" s="1146">
        <v>0</v>
      </c>
      <c r="T560" s="1648"/>
      <c r="U560" s="1146">
        <v>1224</v>
      </c>
      <c r="V560" s="1648"/>
      <c r="W560" s="1146">
        <v>1743</v>
      </c>
      <c r="X560" s="1648"/>
      <c r="Y560" s="1146">
        <v>2967</v>
      </c>
      <c r="Z560" s="2114">
        <f>C560-'Blocking-Step2'!C560</f>
        <v>0</v>
      </c>
      <c r="AA560" s="2114">
        <f>D560-'Blocking-Step2'!D560</f>
        <v>0</v>
      </c>
      <c r="AC560" s="2114">
        <f>F560-'Blocking-Step2'!F560</f>
        <v>0</v>
      </c>
      <c r="AE560" s="2114">
        <f>H560-'Blocking-Step2'!H560</f>
        <v>0</v>
      </c>
      <c r="AF560" s="2114">
        <f>I560-'Blocking-Step2'!I560</f>
        <v>0</v>
      </c>
      <c r="AH560" s="2136">
        <f>K560-'Blocking-Step2'!K560</f>
        <v>0</v>
      </c>
      <c r="AJ560" s="2136">
        <f>M560-'Blocking-Step2'!M560</f>
        <v>0</v>
      </c>
      <c r="AL560" s="2136">
        <f>O560-'Blocking-Step2'!O560</f>
        <v>0</v>
      </c>
      <c r="AN560" s="2137">
        <f>Q560-'Blocking-Step2'!Q560</f>
        <v>0</v>
      </c>
      <c r="AP560" s="2127">
        <f>S560-'Blocking-Step2'!S560</f>
        <v>0</v>
      </c>
      <c r="AR560" s="2127">
        <f>U560-'Blocking-Step2'!U560</f>
        <v>0</v>
      </c>
      <c r="AT560" s="2127">
        <f>W560-'Blocking-Step2'!W560</f>
        <v>0</v>
      </c>
      <c r="AV560" s="2128">
        <f>Y560-'Blocking-Step2'!Y560</f>
        <v>0</v>
      </c>
    </row>
    <row r="561" spans="1:48">
      <c r="A561" s="1116" t="s">
        <v>158</v>
      </c>
      <c r="C561" s="1105">
        <v>1160.9530573023851</v>
      </c>
      <c r="D561" s="1105">
        <v>1206</v>
      </c>
      <c r="F561" s="1907">
        <v>14.62</v>
      </c>
      <c r="G561" s="1110"/>
      <c r="H561" s="1146">
        <v>16973</v>
      </c>
      <c r="I561" s="1146">
        <v>17632</v>
      </c>
      <c r="K561" s="1907"/>
      <c r="L561" s="1110"/>
      <c r="M561" s="1907"/>
      <c r="N561" s="1110"/>
      <c r="O561" s="1907"/>
      <c r="P561" s="1110"/>
      <c r="Q561" s="1907"/>
      <c r="R561" s="1110"/>
      <c r="S561" s="1146"/>
      <c r="T561" s="1629"/>
      <c r="U561" s="1146"/>
      <c r="V561" s="1629"/>
      <c r="W561" s="1146"/>
      <c r="X561" s="1629"/>
      <c r="Y561" s="1146"/>
      <c r="Z561" s="2114">
        <f>C561-'Blocking-Step2'!C561</f>
        <v>0</v>
      </c>
      <c r="AA561" s="2114">
        <f>D561-'Blocking-Step2'!D561</f>
        <v>0</v>
      </c>
      <c r="AC561" s="2114">
        <f>F561-'Blocking-Step2'!F561</f>
        <v>0</v>
      </c>
      <c r="AE561" s="2114">
        <f>H561-'Blocking-Step2'!H561</f>
        <v>0</v>
      </c>
      <c r="AF561" s="2114">
        <f>I561-'Blocking-Step2'!I561</f>
        <v>0</v>
      </c>
      <c r="AH561" s="2136">
        <f>K561-'Blocking-Step2'!K561</f>
        <v>0</v>
      </c>
      <c r="AJ561" s="2136">
        <f>M561-'Blocking-Step2'!M561</f>
        <v>0</v>
      </c>
      <c r="AL561" s="2136">
        <f>O561-'Blocking-Step2'!O561</f>
        <v>0</v>
      </c>
      <c r="AN561" s="2137">
        <f>Q561-'Blocking-Step2'!Q561</f>
        <v>0</v>
      </c>
      <c r="AP561" s="2127">
        <f>S561-'Blocking-Step2'!S561</f>
        <v>0</v>
      </c>
      <c r="AR561" s="2127">
        <f>U561-'Blocking-Step2'!U561</f>
        <v>0</v>
      </c>
      <c r="AT561" s="2127">
        <f>W561-'Blocking-Step2'!W561</f>
        <v>0</v>
      </c>
      <c r="AV561" s="2128">
        <f>Y561-'Blocking-Step2'!Y561</f>
        <v>0</v>
      </c>
    </row>
    <row r="562" spans="1:48">
      <c r="A562" s="1116" t="s">
        <v>165</v>
      </c>
      <c r="C562" s="1105">
        <v>1384.5469426976149</v>
      </c>
      <c r="D562" s="1105">
        <v>1588</v>
      </c>
      <c r="F562" s="1907">
        <v>10.91</v>
      </c>
      <c r="G562" s="1110"/>
      <c r="H562" s="1146">
        <v>15105</v>
      </c>
      <c r="I562" s="1146">
        <v>17325</v>
      </c>
      <c r="K562" s="1907"/>
      <c r="L562" s="1110"/>
      <c r="M562" s="1907"/>
      <c r="N562" s="1110"/>
      <c r="O562" s="1907"/>
      <c r="P562" s="1110"/>
      <c r="Q562" s="1907"/>
      <c r="R562" s="1110"/>
      <c r="S562" s="1146"/>
      <c r="T562" s="1629"/>
      <c r="U562" s="1146"/>
      <c r="V562" s="1629"/>
      <c r="W562" s="1146"/>
      <c r="X562" s="1629"/>
      <c r="Y562" s="1146"/>
      <c r="Z562" s="2114">
        <f>C562-'Blocking-Step2'!C562</f>
        <v>0</v>
      </c>
      <c r="AA562" s="2114">
        <f>D562-'Blocking-Step2'!D562</f>
        <v>0</v>
      </c>
      <c r="AC562" s="2114">
        <f>F562-'Blocking-Step2'!F562</f>
        <v>0</v>
      </c>
      <c r="AE562" s="2114">
        <f>H562-'Blocking-Step2'!H562</f>
        <v>0</v>
      </c>
      <c r="AF562" s="2114">
        <f>I562-'Blocking-Step2'!I562</f>
        <v>0</v>
      </c>
      <c r="AH562" s="2136">
        <f>K562-'Blocking-Step2'!K562</f>
        <v>0</v>
      </c>
      <c r="AJ562" s="2136">
        <f>M562-'Blocking-Step2'!M562</f>
        <v>0</v>
      </c>
      <c r="AL562" s="2136">
        <f>O562-'Blocking-Step2'!O562</f>
        <v>0</v>
      </c>
      <c r="AN562" s="2137">
        <f>Q562-'Blocking-Step2'!Q562</f>
        <v>0</v>
      </c>
      <c r="AP562" s="2127">
        <f>S562-'Blocking-Step2'!S562</f>
        <v>0</v>
      </c>
      <c r="AR562" s="2127">
        <f>U562-'Blocking-Step2'!U562</f>
        <v>0</v>
      </c>
      <c r="AT562" s="2127">
        <f>W562-'Blocking-Step2'!W562</f>
        <v>0</v>
      </c>
      <c r="AV562" s="2128">
        <f>Y562-'Blocking-Step2'!Y562</f>
        <v>0</v>
      </c>
    </row>
    <row r="563" spans="1:48">
      <c r="A563" s="1116" t="s">
        <v>261</v>
      </c>
      <c r="C563" s="1105">
        <v>0</v>
      </c>
      <c r="D563" s="1105">
        <v>0</v>
      </c>
      <c r="F563" s="1907">
        <v>-0.96</v>
      </c>
      <c r="G563" s="1110"/>
      <c r="H563" s="1146">
        <v>0</v>
      </c>
      <c r="I563" s="1146">
        <v>0</v>
      </c>
      <c r="K563" s="1907">
        <v>-0.96</v>
      </c>
      <c r="L563" s="1110"/>
      <c r="M563" s="1907">
        <v>0</v>
      </c>
      <c r="N563" s="1110"/>
      <c r="O563" s="1907">
        <v>0</v>
      </c>
      <c r="P563" s="1110"/>
      <c r="Q563" s="1907">
        <v>-0.96</v>
      </c>
      <c r="R563" s="1110"/>
      <c r="S563" s="1146">
        <v>0</v>
      </c>
      <c r="T563" s="1629"/>
      <c r="U563" s="1146">
        <v>0</v>
      </c>
      <c r="V563" s="1629"/>
      <c r="W563" s="1146">
        <v>0</v>
      </c>
      <c r="X563" s="1629"/>
      <c r="Y563" s="1146">
        <v>0</v>
      </c>
      <c r="Z563" s="2114">
        <f>C563-'Blocking-Step2'!C563</f>
        <v>0</v>
      </c>
      <c r="AA563" s="2114">
        <f>D563-'Blocking-Step2'!D563</f>
        <v>0</v>
      </c>
      <c r="AC563" s="2114">
        <f>F563-'Blocking-Step2'!F563</f>
        <v>0</v>
      </c>
      <c r="AE563" s="2114">
        <f>H563-'Blocking-Step2'!H563</f>
        <v>0</v>
      </c>
      <c r="AF563" s="2114">
        <f>I563-'Blocking-Step2'!I563</f>
        <v>0</v>
      </c>
      <c r="AH563" s="2136">
        <f>K563-'Blocking-Step2'!K563</f>
        <v>0</v>
      </c>
      <c r="AJ563" s="2136">
        <f>M563-'Blocking-Step2'!M563</f>
        <v>0</v>
      </c>
      <c r="AL563" s="2136">
        <f>O563-'Blocking-Step2'!O563</f>
        <v>0</v>
      </c>
      <c r="AN563" s="2137">
        <f>Q563-'Blocking-Step2'!Q563</f>
        <v>0</v>
      </c>
      <c r="AP563" s="2127">
        <f>S563-'Blocking-Step2'!S563</f>
        <v>0</v>
      </c>
      <c r="AR563" s="2127">
        <f>U563-'Blocking-Step2'!U563</f>
        <v>0</v>
      </c>
      <c r="AT563" s="2127">
        <f>W563-'Blocking-Step2'!W563</f>
        <v>0</v>
      </c>
      <c r="AV563" s="2128">
        <f>Y563-'Blocking-Step2'!Y563</f>
        <v>0</v>
      </c>
    </row>
    <row r="564" spans="1:48">
      <c r="A564" s="1116" t="s">
        <v>1362</v>
      </c>
      <c r="C564" s="1105">
        <v>56207.204457290034</v>
      </c>
      <c r="D564" s="1105">
        <v>59699</v>
      </c>
      <c r="F564" s="1106">
        <v>3.8127</v>
      </c>
      <c r="G564" s="1921" t="s">
        <v>495</v>
      </c>
      <c r="H564" s="1146">
        <v>2143</v>
      </c>
      <c r="I564" s="1146">
        <v>2276</v>
      </c>
      <c r="K564" s="1106"/>
      <c r="L564" s="1921"/>
      <c r="M564" s="1106"/>
      <c r="N564" s="1921"/>
      <c r="O564" s="1106"/>
      <c r="P564" s="1921"/>
      <c r="Q564" s="1106"/>
      <c r="R564" s="1921"/>
      <c r="S564" s="1648"/>
      <c r="T564" s="1648"/>
      <c r="U564" s="1648"/>
      <c r="V564" s="1648"/>
      <c r="W564" s="1648"/>
      <c r="X564" s="1648"/>
      <c r="Y564" s="1146"/>
      <c r="Z564" s="2114">
        <f>C564-'Blocking-Step2'!C564</f>
        <v>0</v>
      </c>
      <c r="AA564" s="2114">
        <f>D564-'Blocking-Step2'!D564</f>
        <v>0</v>
      </c>
      <c r="AC564" s="2114">
        <f>F564-'Blocking-Step2'!F564</f>
        <v>0</v>
      </c>
      <c r="AE564" s="2114">
        <f>H564-'Blocking-Step2'!H564</f>
        <v>0</v>
      </c>
      <c r="AF564" s="2114">
        <f>I564-'Blocking-Step2'!I564</f>
        <v>0</v>
      </c>
      <c r="AH564" s="2136">
        <f>K564-'Blocking-Step2'!K564</f>
        <v>0</v>
      </c>
      <c r="AJ564" s="2136">
        <f>M564-'Blocking-Step2'!M564</f>
        <v>0</v>
      </c>
      <c r="AL564" s="2136">
        <f>O564-'Blocking-Step2'!O564</f>
        <v>0</v>
      </c>
      <c r="AN564" s="2137">
        <f>Q564-'Blocking-Step2'!Q564</f>
        <v>0</v>
      </c>
      <c r="AP564" s="2127">
        <f>S564-'Blocking-Step2'!S564</f>
        <v>0</v>
      </c>
      <c r="AR564" s="2127">
        <f>U564-'Blocking-Step2'!U564</f>
        <v>0</v>
      </c>
      <c r="AT564" s="2127">
        <f>W564-'Blocking-Step2'!W564</f>
        <v>0</v>
      </c>
      <c r="AV564" s="2128">
        <f>Y564-'Blocking-Step2'!Y564</f>
        <v>0</v>
      </c>
    </row>
    <row r="565" spans="1:48">
      <c r="A565" s="1116" t="s">
        <v>1363</v>
      </c>
      <c r="C565" s="1105">
        <v>71407.295542709966</v>
      </c>
      <c r="D565" s="1105">
        <v>81101.283404103335</v>
      </c>
      <c r="F565" s="1106">
        <v>3.5143</v>
      </c>
      <c r="G565" s="1921" t="s">
        <v>495</v>
      </c>
      <c r="H565" s="1146">
        <v>2509</v>
      </c>
      <c r="I565" s="1146">
        <v>2850</v>
      </c>
      <c r="K565" s="1106"/>
      <c r="L565" s="1921"/>
      <c r="M565" s="1106"/>
      <c r="N565" s="1921"/>
      <c r="O565" s="1106"/>
      <c r="P565" s="1921"/>
      <c r="Q565" s="1106"/>
      <c r="R565" s="1921"/>
      <c r="S565" s="1648"/>
      <c r="T565" s="1648"/>
      <c r="U565" s="1648"/>
      <c r="V565" s="1648"/>
      <c r="W565" s="1648"/>
      <c r="X565" s="1648"/>
      <c r="Y565" s="1146"/>
      <c r="Z565" s="2114">
        <f>C565-'Blocking-Step2'!C565</f>
        <v>0</v>
      </c>
      <c r="AA565" s="2114">
        <f>D565-'Blocking-Step2'!D565</f>
        <v>0</v>
      </c>
      <c r="AC565" s="2114">
        <f>F565-'Blocking-Step2'!F565</f>
        <v>0</v>
      </c>
      <c r="AE565" s="2114">
        <f>H565-'Blocking-Step2'!H565</f>
        <v>0</v>
      </c>
      <c r="AF565" s="2114">
        <f>I565-'Blocking-Step2'!I565</f>
        <v>0</v>
      </c>
      <c r="AH565" s="2136">
        <f>K565-'Blocking-Step2'!K565</f>
        <v>0</v>
      </c>
      <c r="AJ565" s="2136">
        <f>M565-'Blocking-Step2'!M565</f>
        <v>0</v>
      </c>
      <c r="AL565" s="2136">
        <f>O565-'Blocking-Step2'!O565</f>
        <v>0</v>
      </c>
      <c r="AN565" s="2137">
        <f>Q565-'Blocking-Step2'!Q565</f>
        <v>0</v>
      </c>
      <c r="AP565" s="2127">
        <f>S565-'Blocking-Step2'!S565</f>
        <v>0</v>
      </c>
      <c r="AR565" s="2127">
        <f>U565-'Blocking-Step2'!U565</f>
        <v>0</v>
      </c>
      <c r="AT565" s="2127">
        <f>W565-'Blocking-Step2'!W565</f>
        <v>0</v>
      </c>
      <c r="AV565" s="2128">
        <f>Y565-'Blocking-Step2'!Y565</f>
        <v>0</v>
      </c>
    </row>
    <row r="566" spans="1:48">
      <c r="A566" s="1116" t="s">
        <v>246</v>
      </c>
      <c r="C566" s="1940">
        <v>0</v>
      </c>
      <c r="D566" s="1940">
        <v>0</v>
      </c>
      <c r="H566" s="1147">
        <v>0</v>
      </c>
      <c r="I566" s="1147">
        <v>0</v>
      </c>
      <c r="Y566" s="1147"/>
      <c r="Z566" s="2114">
        <f>C566-'Blocking-Step2'!C566</f>
        <v>0</v>
      </c>
      <c r="AA566" s="2114">
        <f>D566-'Blocking-Step2'!D566</f>
        <v>0</v>
      </c>
      <c r="AC566" s="2114">
        <f>F566-'Blocking-Step2'!F566</f>
        <v>0</v>
      </c>
      <c r="AE566" s="2114">
        <f>H566-'Blocking-Step2'!H566</f>
        <v>0</v>
      </c>
      <c r="AF566" s="2114">
        <f>I566-'Blocking-Step2'!I566</f>
        <v>0</v>
      </c>
      <c r="AH566" s="2136">
        <f>K566-'Blocking-Step2'!K566</f>
        <v>0</v>
      </c>
      <c r="AJ566" s="2136">
        <f>M566-'Blocking-Step2'!M566</f>
        <v>0</v>
      </c>
      <c r="AL566" s="2136">
        <f>O566-'Blocking-Step2'!O566</f>
        <v>0</v>
      </c>
      <c r="AN566" s="2137">
        <f>Q566-'Blocking-Step2'!Q566</f>
        <v>0</v>
      </c>
      <c r="AP566" s="2127">
        <f>S566-'Blocking-Step2'!S566</f>
        <v>0</v>
      </c>
      <c r="AR566" s="2127">
        <f>U566-'Blocking-Step2'!U566</f>
        <v>0</v>
      </c>
      <c r="AT566" s="2127">
        <f>W566-'Blocking-Step2'!W566</f>
        <v>0</v>
      </c>
      <c r="AV566" s="2128">
        <f>Y566-'Blocking-Step2'!Y566</f>
        <v>0</v>
      </c>
    </row>
    <row r="567" spans="1:48">
      <c r="A567" s="1116" t="s">
        <v>1240</v>
      </c>
      <c r="C567" s="1024"/>
      <c r="D567" s="1024"/>
      <c r="F567" s="2076">
        <v>-3.61E-2</v>
      </c>
      <c r="G567" s="617"/>
      <c r="H567" s="1146">
        <v>-1325.953</v>
      </c>
      <c r="I567" s="1146">
        <v>-1446.9963</v>
      </c>
      <c r="K567" s="2076"/>
      <c r="L567" s="617"/>
      <c r="M567" s="2076"/>
      <c r="N567" s="617"/>
      <c r="O567" s="2077" t="s">
        <v>2323</v>
      </c>
      <c r="P567" s="617"/>
      <c r="Q567" s="2076">
        <v>-2.76E-2</v>
      </c>
      <c r="R567" s="617"/>
      <c r="S567" s="1114"/>
      <c r="T567" s="1114"/>
      <c r="U567" s="1114"/>
      <c r="V567" s="1114"/>
      <c r="W567" s="1114"/>
      <c r="X567" s="1114"/>
      <c r="Y567" s="1146">
        <v>-1091.8008</v>
      </c>
      <c r="Z567" s="2114">
        <f>C567-'Blocking-Step2'!C567</f>
        <v>0</v>
      </c>
      <c r="AA567" s="2114">
        <f>D567-'Blocking-Step2'!D567</f>
        <v>0</v>
      </c>
      <c r="AC567" s="2114">
        <f>F567-'Blocking-Step2'!F567</f>
        <v>0</v>
      </c>
      <c r="AE567" s="2114">
        <f>H567-'Blocking-Step2'!H567</f>
        <v>0</v>
      </c>
      <c r="AF567" s="2114">
        <f>I567-'Blocking-Step2'!I567</f>
        <v>0</v>
      </c>
      <c r="AH567" s="2136">
        <f>K567-'Blocking-Step2'!K567</f>
        <v>0</v>
      </c>
      <c r="AJ567" s="2136">
        <f>M567-'Blocking-Step2'!M567</f>
        <v>0</v>
      </c>
      <c r="AL567" s="2136" t="e">
        <f>O567-'Blocking-Step2'!O567</f>
        <v>#VALUE!</v>
      </c>
      <c r="AN567" s="2137">
        <f>Q567-'Blocking-Step2'!Q567</f>
        <v>0</v>
      </c>
      <c r="AP567" s="2127">
        <f>S567-'Blocking-Step2'!S567</f>
        <v>0</v>
      </c>
      <c r="AR567" s="2127">
        <f>U567-'Blocking-Step2'!U567</f>
        <v>0</v>
      </c>
      <c r="AT567" s="2127">
        <f>W567-'Blocking-Step2'!W567</f>
        <v>0</v>
      </c>
      <c r="AV567" s="2128">
        <f>Y567-'Blocking-Step2'!Y567</f>
        <v>0</v>
      </c>
    </row>
    <row r="568" spans="1:48">
      <c r="A568" s="1116"/>
      <c r="C568" s="1024"/>
      <c r="D568" s="1024"/>
      <c r="F568" s="2076"/>
      <c r="G568" s="617"/>
      <c r="H568" s="1146"/>
      <c r="I568" s="1146"/>
      <c r="K568" s="2076"/>
      <c r="L568" s="617"/>
      <c r="M568" s="2076"/>
      <c r="N568" s="617"/>
      <c r="O568" s="2077" t="s">
        <v>2324</v>
      </c>
      <c r="P568" s="617"/>
      <c r="Q568" s="2076">
        <v>-1.4999999999999999E-2</v>
      </c>
      <c r="R568" s="617"/>
      <c r="S568" s="1114"/>
      <c r="T568" s="1114"/>
      <c r="U568" s="1114"/>
      <c r="V568" s="1114"/>
      <c r="W568" s="1114"/>
      <c r="X568" s="1114"/>
      <c r="Y568" s="1146">
        <v>-593.37</v>
      </c>
      <c r="Z568" s="2114">
        <f>C568-'Blocking-Step2'!C568</f>
        <v>0</v>
      </c>
      <c r="AA568" s="2114">
        <f>D568-'Blocking-Step2'!D568</f>
        <v>0</v>
      </c>
      <c r="AC568" s="2114">
        <f>F568-'Blocking-Step2'!F568</f>
        <v>0</v>
      </c>
      <c r="AE568" s="2114">
        <f>H568-'Blocking-Step2'!H568</f>
        <v>0</v>
      </c>
      <c r="AF568" s="2114">
        <f>I568-'Blocking-Step2'!I568</f>
        <v>0</v>
      </c>
      <c r="AH568" s="2136">
        <f>K568-'Blocking-Step2'!K568</f>
        <v>0</v>
      </c>
      <c r="AJ568" s="2136">
        <f>M568-'Blocking-Step2'!M568</f>
        <v>0</v>
      </c>
      <c r="AL568" s="2136" t="e">
        <f>O568-'Blocking-Step2'!O568</f>
        <v>#VALUE!</v>
      </c>
      <c r="AN568" s="2137">
        <f>Q568-'Blocking-Step2'!Q568</f>
        <v>0</v>
      </c>
      <c r="AP568" s="2127">
        <f>S568-'Blocking-Step2'!S568</f>
        <v>0</v>
      </c>
      <c r="AR568" s="2127">
        <f>U568-'Blocking-Step2'!U568</f>
        <v>0</v>
      </c>
      <c r="AT568" s="2127">
        <f>W568-'Blocking-Step2'!W568</f>
        <v>0</v>
      </c>
      <c r="AV568" s="2128">
        <f>Y568-'Blocking-Step2'!Y568</f>
        <v>0</v>
      </c>
    </row>
    <row r="569" spans="1:48" ht="16.5" thickBot="1">
      <c r="A569" s="1116" t="s">
        <v>247</v>
      </c>
      <c r="C569" s="1138">
        <v>127614.5</v>
      </c>
      <c r="D569" s="1138">
        <v>140800.28340410333</v>
      </c>
      <c r="F569" s="1145"/>
      <c r="H569" s="1149">
        <v>49090.046999999999</v>
      </c>
      <c r="I569" s="1149">
        <v>53658.003700000001</v>
      </c>
      <c r="K569" s="1145"/>
      <c r="M569" s="1145"/>
      <c r="O569" s="1145"/>
      <c r="Q569" s="1145"/>
      <c r="S569" s="1149">
        <v>16301</v>
      </c>
      <c r="U569" s="1149">
        <v>35230</v>
      </c>
      <c r="W569" s="1149">
        <v>3019</v>
      </c>
      <c r="Y569" s="1149">
        <v>54552</v>
      </c>
      <c r="Z569" s="2114">
        <f>C569-'Blocking-Step2'!C569</f>
        <v>0</v>
      </c>
      <c r="AA569" s="2114">
        <f>D569-'Blocking-Step2'!D569</f>
        <v>0</v>
      </c>
      <c r="AC569" s="2114">
        <f>F569-'Blocking-Step2'!F569</f>
        <v>0</v>
      </c>
      <c r="AE569" s="2114">
        <f>H569-'Blocking-Step2'!H569</f>
        <v>0</v>
      </c>
      <c r="AF569" s="2114">
        <f>I569-'Blocking-Step2'!I569</f>
        <v>0</v>
      </c>
      <c r="AH569" s="2136">
        <f>K569-'Blocking-Step2'!K569</f>
        <v>0</v>
      </c>
      <c r="AJ569" s="2136">
        <f>M569-'Blocking-Step2'!M569</f>
        <v>0</v>
      </c>
      <c r="AL569" s="2136">
        <f>O569-'Blocking-Step2'!O569</f>
        <v>0</v>
      </c>
      <c r="AN569" s="2137">
        <f>Q569-'Blocking-Step2'!Q569</f>
        <v>0</v>
      </c>
      <c r="AP569" s="2127">
        <f>S569-'Blocking-Step2'!S569</f>
        <v>-14975</v>
      </c>
      <c r="AR569" s="2127">
        <f>U569-'Blocking-Step2'!U569</f>
        <v>14973</v>
      </c>
      <c r="AT569" s="2127">
        <f>W569-'Blocking-Step2'!W569</f>
        <v>0</v>
      </c>
      <c r="AV569" s="2128">
        <f>Y569-'Blocking-Step2'!Y569</f>
        <v>0</v>
      </c>
    </row>
    <row r="570" spans="1:48" ht="16.5" hidden="1" thickTop="1">
      <c r="C570" s="1105"/>
      <c r="D570" s="1105"/>
      <c r="Z570" s="2114">
        <f>C570-'Blocking-Step2'!C570</f>
        <v>0</v>
      </c>
      <c r="AA570" s="2114">
        <f>D570-'Blocking-Step2'!D570</f>
        <v>0</v>
      </c>
      <c r="AC570" s="2114">
        <f>F570-'Blocking-Step2'!F570</f>
        <v>0</v>
      </c>
      <c r="AE570" s="2114">
        <f>H570-'Blocking-Step2'!H570</f>
        <v>0</v>
      </c>
      <c r="AF570" s="2114">
        <f>I570-'Blocking-Step2'!I570</f>
        <v>0</v>
      </c>
      <c r="AH570" s="2136">
        <f>K570-'Blocking-Step2'!K570</f>
        <v>0</v>
      </c>
      <c r="AJ570" s="2136">
        <f>M570-'Blocking-Step2'!M570</f>
        <v>0</v>
      </c>
      <c r="AL570" s="2136">
        <f>O570-'Blocking-Step2'!O570</f>
        <v>0</v>
      </c>
      <c r="AN570" s="2137">
        <f>Q570-'Blocking-Step2'!Q570</f>
        <v>0</v>
      </c>
      <c r="AP570" s="2127">
        <f>S570-'Blocking-Step2'!S570</f>
        <v>0</v>
      </c>
      <c r="AR570" s="2127">
        <f>U570-'Blocking-Step2'!U570</f>
        <v>0</v>
      </c>
      <c r="AT570" s="2127">
        <f>W570-'Blocking-Step2'!W570</f>
        <v>0</v>
      </c>
      <c r="AV570" s="2128">
        <f>Y570-'Blocking-Step2'!Y570</f>
        <v>0</v>
      </c>
    </row>
    <row r="571" spans="1:48" ht="16.5" hidden="1" thickTop="1">
      <c r="A571" s="1115" t="s">
        <v>1926</v>
      </c>
      <c r="C571" s="1105"/>
      <c r="D571" s="1105"/>
      <c r="Z571" s="2114">
        <f>C571-'Blocking-Step2'!C571</f>
        <v>0</v>
      </c>
      <c r="AA571" s="2114">
        <f>D571-'Blocking-Step2'!D571</f>
        <v>0</v>
      </c>
      <c r="AC571" s="2114">
        <f>F571-'Blocking-Step2'!F571</f>
        <v>0</v>
      </c>
      <c r="AE571" s="2114">
        <f>H571-'Blocking-Step2'!H571</f>
        <v>0</v>
      </c>
      <c r="AF571" s="2114">
        <f>I571-'Blocking-Step2'!I571</f>
        <v>0</v>
      </c>
      <c r="AH571" s="2136">
        <f>K571-'Blocking-Step2'!K571</f>
        <v>0</v>
      </c>
      <c r="AJ571" s="2136">
        <f>M571-'Blocking-Step2'!M571</f>
        <v>0</v>
      </c>
      <c r="AL571" s="2136">
        <f>O571-'Blocking-Step2'!O571</f>
        <v>0</v>
      </c>
      <c r="AN571" s="2137">
        <f>Q571-'Blocking-Step2'!Q571</f>
        <v>0</v>
      </c>
      <c r="AP571" s="2127">
        <f>S571-'Blocking-Step2'!S571</f>
        <v>0</v>
      </c>
      <c r="AR571" s="2127">
        <f>U571-'Blocking-Step2'!U571</f>
        <v>0</v>
      </c>
      <c r="AT571" s="2127">
        <f>W571-'Blocking-Step2'!W571</f>
        <v>0</v>
      </c>
      <c r="AV571" s="2128">
        <f>Y571-'Blocking-Step2'!Y571</f>
        <v>0</v>
      </c>
    </row>
    <row r="572" spans="1:48" ht="16.5" hidden="1" thickTop="1">
      <c r="A572" s="1116" t="s">
        <v>240</v>
      </c>
      <c r="C572" s="1105">
        <v>7</v>
      </c>
      <c r="D572" s="1105">
        <v>9.1516224188790556</v>
      </c>
      <c r="F572" s="1907"/>
      <c r="G572" s="1110"/>
      <c r="H572" s="1146"/>
      <c r="I572" s="1146"/>
      <c r="K572" s="1907">
        <v>54</v>
      </c>
      <c r="L572" s="1110"/>
      <c r="M572" s="1907">
        <v>0</v>
      </c>
      <c r="N572" s="1110"/>
      <c r="O572" s="1907">
        <v>0</v>
      </c>
      <c r="P572" s="1110"/>
      <c r="Q572" s="1907">
        <v>54</v>
      </c>
      <c r="R572" s="1110"/>
      <c r="S572" s="1146">
        <v>494</v>
      </c>
      <c r="T572" s="1629"/>
      <c r="U572" s="1146">
        <v>0</v>
      </c>
      <c r="V572" s="1629"/>
      <c r="W572" s="1146">
        <v>0</v>
      </c>
      <c r="X572" s="1629"/>
      <c r="Y572" s="1146">
        <v>494</v>
      </c>
      <c r="Z572" s="2114">
        <f>C572-'Blocking-Step2'!C572</f>
        <v>0</v>
      </c>
      <c r="AA572" s="2114">
        <f>D572-'Blocking-Step2'!D572</f>
        <v>0</v>
      </c>
      <c r="AC572" s="2114">
        <f>F572-'Blocking-Step2'!F572</f>
        <v>0</v>
      </c>
      <c r="AE572" s="2114">
        <f>H572-'Blocking-Step2'!H572</f>
        <v>0</v>
      </c>
      <c r="AF572" s="2114">
        <f>I572-'Blocking-Step2'!I572</f>
        <v>0</v>
      </c>
      <c r="AH572" s="2136">
        <f>K572-'Blocking-Step2'!K572</f>
        <v>0</v>
      </c>
      <c r="AJ572" s="2136">
        <f>M572-'Blocking-Step2'!M572</f>
        <v>0</v>
      </c>
      <c r="AL572" s="2136">
        <f>O572-'Blocking-Step2'!O572</f>
        <v>0</v>
      </c>
      <c r="AN572" s="2137">
        <f>Q572-'Blocking-Step2'!Q572</f>
        <v>0</v>
      </c>
      <c r="AP572" s="2127">
        <f>S572-'Blocking-Step2'!S572</f>
        <v>0</v>
      </c>
      <c r="AR572" s="2127">
        <f>U572-'Blocking-Step2'!U572</f>
        <v>0</v>
      </c>
      <c r="AT572" s="2127">
        <f>W572-'Blocking-Step2'!W572</f>
        <v>0</v>
      </c>
      <c r="AV572" s="2128">
        <f>Y572-'Blocking-Step2'!Y572</f>
        <v>0</v>
      </c>
    </row>
    <row r="573" spans="1:48" ht="16.5" hidden="1" thickTop="1">
      <c r="A573" s="1116" t="s">
        <v>1910</v>
      </c>
      <c r="C573" s="1105">
        <v>1900</v>
      </c>
      <c r="D573" s="1105">
        <v>2469.8223468910705</v>
      </c>
      <c r="E573" s="617"/>
      <c r="F573" s="1143"/>
      <c r="G573" s="1921"/>
      <c r="H573" s="1146"/>
      <c r="I573" s="1146"/>
      <c r="J573" s="617"/>
      <c r="K573" s="1143">
        <v>1.657</v>
      </c>
      <c r="L573" s="1921" t="s">
        <v>495</v>
      </c>
      <c r="M573" s="1143">
        <v>19.370528114911814</v>
      </c>
      <c r="N573" s="1921" t="s">
        <v>495</v>
      </c>
      <c r="O573" s="1143">
        <v>1.3496999999999999</v>
      </c>
      <c r="P573" s="1921" t="s">
        <v>495</v>
      </c>
      <c r="Q573" s="1143">
        <v>22.377228114911812</v>
      </c>
      <c r="R573" s="1921" t="s">
        <v>495</v>
      </c>
      <c r="S573" s="1146">
        <v>41</v>
      </c>
      <c r="T573" s="1648"/>
      <c r="U573" s="1146">
        <v>478</v>
      </c>
      <c r="V573" s="1648"/>
      <c r="W573" s="1146">
        <v>33</v>
      </c>
      <c r="X573" s="1648"/>
      <c r="Y573" s="1146">
        <v>553</v>
      </c>
      <c r="Z573" s="2114">
        <f>C573-'Blocking-Step2'!C573</f>
        <v>0</v>
      </c>
      <c r="AA573" s="2114">
        <f>D573-'Blocking-Step2'!D573</f>
        <v>0</v>
      </c>
      <c r="AC573" s="2114">
        <f>F573-'Blocking-Step2'!F573</f>
        <v>0</v>
      </c>
      <c r="AE573" s="2114">
        <f>H573-'Blocking-Step2'!H573</f>
        <v>0</v>
      </c>
      <c r="AF573" s="2114">
        <f>I573-'Blocking-Step2'!I573</f>
        <v>0</v>
      </c>
      <c r="AH573" s="2136">
        <f>K573-'Blocking-Step2'!K573</f>
        <v>-2.2955000000000001</v>
      </c>
      <c r="AJ573" s="2136">
        <f>M573-'Blocking-Step2'!M573</f>
        <v>2.2955000000000005</v>
      </c>
      <c r="AL573" s="2136">
        <f>O573-'Blocking-Step2'!O573</f>
        <v>0</v>
      </c>
      <c r="AN573" s="2137">
        <f>Q573-'Blocking-Step2'!Q573</f>
        <v>0</v>
      </c>
      <c r="AP573" s="2127">
        <f>S573-'Blocking-Step2'!S573</f>
        <v>-57</v>
      </c>
      <c r="AR573" s="2127">
        <f>U573-'Blocking-Step2'!U573</f>
        <v>56</v>
      </c>
      <c r="AT573" s="2127">
        <f>W573-'Blocking-Step2'!W573</f>
        <v>0</v>
      </c>
      <c r="AV573" s="2128">
        <f>Y573-'Blocking-Step2'!Y573</f>
        <v>0</v>
      </c>
    </row>
    <row r="574" spans="1:48" ht="16.5" hidden="1" thickTop="1">
      <c r="A574" s="1116" t="s">
        <v>1911</v>
      </c>
      <c r="C574" s="1105">
        <v>7729.5</v>
      </c>
      <c r="D574" s="1105">
        <v>10047.627279102384</v>
      </c>
      <c r="E574" s="617"/>
      <c r="F574" s="1143"/>
      <c r="G574" s="1921"/>
      <c r="H574" s="1146"/>
      <c r="I574" s="1146"/>
      <c r="J574" s="617"/>
      <c r="K574" s="1143">
        <v>1.657</v>
      </c>
      <c r="L574" s="1921" t="s">
        <v>495</v>
      </c>
      <c r="M574" s="1143">
        <v>1.3803172825590004</v>
      </c>
      <c r="N574" s="1921" t="s">
        <v>495</v>
      </c>
      <c r="O574" s="1143">
        <v>1.3496999999999999</v>
      </c>
      <c r="P574" s="1921" t="s">
        <v>495</v>
      </c>
      <c r="Q574" s="1143">
        <v>4.3870172825590004</v>
      </c>
      <c r="R574" s="1921" t="s">
        <v>495</v>
      </c>
      <c r="S574" s="1146">
        <v>166</v>
      </c>
      <c r="T574" s="1648"/>
      <c r="U574" s="1146">
        <v>139</v>
      </c>
      <c r="V574" s="1648"/>
      <c r="W574" s="1146">
        <v>136</v>
      </c>
      <c r="X574" s="1648"/>
      <c r="Y574" s="1146">
        <v>441</v>
      </c>
      <c r="Z574" s="2114">
        <f>C574-'Blocking-Step2'!C574</f>
        <v>0</v>
      </c>
      <c r="AA574" s="2114">
        <f>D574-'Blocking-Step2'!D574</f>
        <v>0</v>
      </c>
      <c r="AC574" s="2114">
        <f>F574-'Blocking-Step2'!F574</f>
        <v>0</v>
      </c>
      <c r="AE574" s="2114">
        <f>H574-'Blocking-Step2'!H574</f>
        <v>0</v>
      </c>
      <c r="AF574" s="2114">
        <f>I574-'Blocking-Step2'!I574</f>
        <v>0</v>
      </c>
      <c r="AH574" s="2136">
        <f>K574-'Blocking-Step2'!K574</f>
        <v>-2.2955000000000001</v>
      </c>
      <c r="AJ574" s="2136">
        <f>M574-'Blocking-Step2'!M574</f>
        <v>2.2955000000000001</v>
      </c>
      <c r="AL574" s="2136">
        <f>O574-'Blocking-Step2'!O574</f>
        <v>0</v>
      </c>
      <c r="AN574" s="2137">
        <f>Q574-'Blocking-Step2'!Q574</f>
        <v>0</v>
      </c>
      <c r="AP574" s="2127">
        <f>S574-'Blocking-Step2'!S574</f>
        <v>-231</v>
      </c>
      <c r="AR574" s="2127">
        <f>U574-'Blocking-Step2'!U574</f>
        <v>231</v>
      </c>
      <c r="AT574" s="2127">
        <f>W574-'Blocking-Step2'!W574</f>
        <v>0</v>
      </c>
      <c r="AV574" s="2128">
        <f>Y574-'Blocking-Step2'!Y574</f>
        <v>0</v>
      </c>
    </row>
    <row r="575" spans="1:48" ht="16.5" hidden="1" thickTop="1">
      <c r="A575" s="1116" t="s">
        <v>1912</v>
      </c>
      <c r="C575" s="1105">
        <v>2874</v>
      </c>
      <c r="D575" s="1105">
        <v>3735.9312762973354</v>
      </c>
      <c r="E575" s="617"/>
      <c r="F575" s="1143"/>
      <c r="G575" s="1921"/>
      <c r="H575" s="1146"/>
      <c r="I575" s="1146"/>
      <c r="J575" s="617"/>
      <c r="K575" s="1143">
        <v>1.657</v>
      </c>
      <c r="L575" s="1921" t="s">
        <v>495</v>
      </c>
      <c r="M575" s="1143">
        <v>16.951500000000003</v>
      </c>
      <c r="N575" s="1921" t="s">
        <v>495</v>
      </c>
      <c r="O575" s="1143">
        <v>1.1943999999999999</v>
      </c>
      <c r="P575" s="1921" t="s">
        <v>495</v>
      </c>
      <c r="Q575" s="1143">
        <v>19.802900000000001</v>
      </c>
      <c r="R575" s="1921" t="s">
        <v>495</v>
      </c>
      <c r="S575" s="1146">
        <v>62</v>
      </c>
      <c r="T575" s="1648"/>
      <c r="U575" s="1146">
        <v>633</v>
      </c>
      <c r="V575" s="1648"/>
      <c r="W575" s="1146">
        <v>45</v>
      </c>
      <c r="X575" s="1648"/>
      <c r="Y575" s="1146">
        <v>740</v>
      </c>
      <c r="Z575" s="2114">
        <f>C575-'Blocking-Step2'!C575</f>
        <v>0</v>
      </c>
      <c r="AA575" s="2114">
        <f>D575-'Blocking-Step2'!D575</f>
        <v>0</v>
      </c>
      <c r="AC575" s="2114">
        <f>F575-'Blocking-Step2'!F575</f>
        <v>0</v>
      </c>
      <c r="AE575" s="2114">
        <f>H575-'Blocking-Step2'!H575</f>
        <v>0</v>
      </c>
      <c r="AF575" s="2114">
        <f>I575-'Blocking-Step2'!I575</f>
        <v>0</v>
      </c>
      <c r="AH575" s="2136">
        <f>K575-'Blocking-Step2'!K575</f>
        <v>-2.2955000000000001</v>
      </c>
      <c r="AJ575" s="2136">
        <f>M575-'Blocking-Step2'!M575</f>
        <v>2.2955000000000023</v>
      </c>
      <c r="AL575" s="2136">
        <f>O575-'Blocking-Step2'!O575</f>
        <v>0</v>
      </c>
      <c r="AN575" s="2137">
        <f>Q575-'Blocking-Step2'!Q575</f>
        <v>0</v>
      </c>
      <c r="AP575" s="2127">
        <f>S575-'Blocking-Step2'!S575</f>
        <v>-86</v>
      </c>
      <c r="AR575" s="2127">
        <f>U575-'Blocking-Step2'!U575</f>
        <v>85</v>
      </c>
      <c r="AT575" s="2127">
        <f>W575-'Blocking-Step2'!W575</f>
        <v>0</v>
      </c>
      <c r="AV575" s="2128">
        <f>Y575-'Blocking-Step2'!Y575</f>
        <v>0</v>
      </c>
    </row>
    <row r="576" spans="1:48" ht="16.5" hidden="1" thickTop="1">
      <c r="A576" s="1116" t="s">
        <v>1913</v>
      </c>
      <c r="C576" s="1105">
        <v>258.5</v>
      </c>
      <c r="D576" s="1105">
        <v>336.02582982702194</v>
      </c>
      <c r="E576" s="617"/>
      <c r="F576" s="1143"/>
      <c r="G576" s="1921"/>
      <c r="H576" s="1146"/>
      <c r="I576" s="1146"/>
      <c r="J576" s="617"/>
      <c r="K576" s="1143">
        <v>1.657</v>
      </c>
      <c r="L576" s="1921" t="s">
        <v>495</v>
      </c>
      <c r="M576" s="1143">
        <v>1.0308999999999999</v>
      </c>
      <c r="N576" s="1921" t="s">
        <v>495</v>
      </c>
      <c r="O576" s="1143">
        <v>1.1943999999999999</v>
      </c>
      <c r="P576" s="1921" t="s">
        <v>495</v>
      </c>
      <c r="Q576" s="1143">
        <v>3.8822999999999999</v>
      </c>
      <c r="R576" s="1921" t="s">
        <v>495</v>
      </c>
      <c r="S576" s="1146">
        <v>6</v>
      </c>
      <c r="T576" s="1648"/>
      <c r="U576" s="1146">
        <v>3</v>
      </c>
      <c r="V576" s="1648"/>
      <c r="W576" s="1146">
        <v>4</v>
      </c>
      <c r="X576" s="1648"/>
      <c r="Y576" s="1146">
        <v>13</v>
      </c>
      <c r="Z576" s="2114">
        <f>C576-'Blocking-Step2'!C576</f>
        <v>0</v>
      </c>
      <c r="AA576" s="2114">
        <f>D576-'Blocking-Step2'!D576</f>
        <v>0</v>
      </c>
      <c r="AC576" s="2114">
        <f>F576-'Blocking-Step2'!F576</f>
        <v>0</v>
      </c>
      <c r="AE576" s="2114">
        <f>H576-'Blocking-Step2'!H576</f>
        <v>0</v>
      </c>
      <c r="AF576" s="2114">
        <f>I576-'Blocking-Step2'!I576</f>
        <v>0</v>
      </c>
      <c r="AH576" s="2136">
        <f>K576-'Blocking-Step2'!K576</f>
        <v>-2.2955000000000001</v>
      </c>
      <c r="AJ576" s="2136">
        <f>M576-'Blocking-Step2'!M576</f>
        <v>2.2955000000000001</v>
      </c>
      <c r="AL576" s="2136">
        <f>O576-'Blocking-Step2'!O576</f>
        <v>0</v>
      </c>
      <c r="AN576" s="2137">
        <f>Q576-'Blocking-Step2'!Q576</f>
        <v>0</v>
      </c>
      <c r="AP576" s="2127">
        <f>S576-'Blocking-Step2'!S576</f>
        <v>-7</v>
      </c>
      <c r="AR576" s="2127">
        <f>U576-'Blocking-Step2'!U576</f>
        <v>7</v>
      </c>
      <c r="AT576" s="2127">
        <f>W576-'Blocking-Step2'!W576</f>
        <v>0</v>
      </c>
      <c r="AV576" s="2128">
        <f>Y576-'Blocking-Step2'!Y576</f>
        <v>0</v>
      </c>
    </row>
    <row r="577" spans="1:48" ht="16.5" hidden="1" thickTop="1">
      <c r="A577" s="1116" t="s">
        <v>1906</v>
      </c>
      <c r="C577" s="1105">
        <v>5347.7476761769631</v>
      </c>
      <c r="D577" s="1105">
        <v>6951.5719558719238</v>
      </c>
      <c r="E577" s="617"/>
      <c r="F577" s="1143"/>
      <c r="G577" s="1921"/>
      <c r="H577" s="1146"/>
      <c r="I577" s="1146"/>
      <c r="J577" s="617"/>
      <c r="K577" s="1143">
        <v>0</v>
      </c>
      <c r="L577" s="1921" t="s">
        <v>495</v>
      </c>
      <c r="M577" s="1143">
        <v>0</v>
      </c>
      <c r="N577" s="1921" t="s">
        <v>495</v>
      </c>
      <c r="O577" s="1143">
        <v>6</v>
      </c>
      <c r="P577" s="1921" t="s">
        <v>495</v>
      </c>
      <c r="Q577" s="1143">
        <v>6</v>
      </c>
      <c r="R577" s="1921" t="s">
        <v>495</v>
      </c>
      <c r="S577" s="1146">
        <v>0</v>
      </c>
      <c r="T577" s="1648"/>
      <c r="U577" s="1146">
        <v>0</v>
      </c>
      <c r="V577" s="1648"/>
      <c r="W577" s="1146">
        <v>417</v>
      </c>
      <c r="X577" s="1648"/>
      <c r="Y577" s="1146">
        <v>417</v>
      </c>
      <c r="Z577" s="2114">
        <f>C577-'Blocking-Step2'!C577</f>
        <v>0</v>
      </c>
      <c r="AA577" s="2114">
        <f>D577-'Blocking-Step2'!D577</f>
        <v>0</v>
      </c>
      <c r="AC577" s="2114">
        <f>F577-'Blocking-Step2'!F577</f>
        <v>0</v>
      </c>
      <c r="AE577" s="2114">
        <f>H577-'Blocking-Step2'!H577</f>
        <v>0</v>
      </c>
      <c r="AF577" s="2114">
        <f>I577-'Blocking-Step2'!I577</f>
        <v>0</v>
      </c>
      <c r="AH577" s="2136">
        <f>K577-'Blocking-Step2'!K577</f>
        <v>0</v>
      </c>
      <c r="AJ577" s="2136">
        <f>M577-'Blocking-Step2'!M577</f>
        <v>0</v>
      </c>
      <c r="AL577" s="2136">
        <f>O577-'Blocking-Step2'!O577</f>
        <v>0</v>
      </c>
      <c r="AN577" s="2137">
        <f>Q577-'Blocking-Step2'!Q577</f>
        <v>0</v>
      </c>
      <c r="AP577" s="2127">
        <f>S577-'Blocking-Step2'!S577</f>
        <v>0</v>
      </c>
      <c r="AR577" s="2127">
        <f>U577-'Blocking-Step2'!U577</f>
        <v>0</v>
      </c>
      <c r="AT577" s="2127">
        <f>W577-'Blocking-Step2'!W577</f>
        <v>0</v>
      </c>
      <c r="AV577" s="2128">
        <f>Y577-'Blocking-Step2'!Y577</f>
        <v>0</v>
      </c>
    </row>
    <row r="578" spans="1:48" ht="16.5" hidden="1" thickTop="1">
      <c r="A578" s="1116" t="s">
        <v>1907</v>
      </c>
      <c r="C578" s="1105">
        <v>4281.7523238230369</v>
      </c>
      <c r="D578" s="1105">
        <v>5565.8776701215311</v>
      </c>
      <c r="E578" s="617"/>
      <c r="F578" s="1143"/>
      <c r="G578" s="1921"/>
      <c r="H578" s="1146"/>
      <c r="I578" s="1146"/>
      <c r="J578" s="617"/>
      <c r="K578" s="1143">
        <v>0</v>
      </c>
      <c r="L578" s="1921" t="s">
        <v>495</v>
      </c>
      <c r="M578" s="1143">
        <v>0</v>
      </c>
      <c r="N578" s="1921" t="s">
        <v>495</v>
      </c>
      <c r="O578" s="1143">
        <v>-2.3358000000000008</v>
      </c>
      <c r="P578" s="1921" t="s">
        <v>495</v>
      </c>
      <c r="Q578" s="1143">
        <v>-2.3358000000000008</v>
      </c>
      <c r="R578" s="1921" t="s">
        <v>495</v>
      </c>
      <c r="S578" s="1146">
        <v>0</v>
      </c>
      <c r="T578" s="1648"/>
      <c r="U578" s="1146">
        <v>0</v>
      </c>
      <c r="V578" s="1648"/>
      <c r="W578" s="1146">
        <v>-130</v>
      </c>
      <c r="X578" s="1648"/>
      <c r="Y578" s="1146">
        <v>-130</v>
      </c>
      <c r="Z578" s="2114">
        <f>C578-'Blocking-Step2'!C578</f>
        <v>0</v>
      </c>
      <c r="AA578" s="2114">
        <f>D578-'Blocking-Step2'!D578</f>
        <v>0</v>
      </c>
      <c r="AC578" s="2114">
        <f>F578-'Blocking-Step2'!F578</f>
        <v>0</v>
      </c>
      <c r="AE578" s="2114">
        <f>H578-'Blocking-Step2'!H578</f>
        <v>0</v>
      </c>
      <c r="AF578" s="2114">
        <f>I578-'Blocking-Step2'!I578</f>
        <v>0</v>
      </c>
      <c r="AH578" s="2136">
        <f>K578-'Blocking-Step2'!K578</f>
        <v>0</v>
      </c>
      <c r="AJ578" s="2136">
        <f>M578-'Blocking-Step2'!M578</f>
        <v>0</v>
      </c>
      <c r="AL578" s="2136">
        <f>O578-'Blocking-Step2'!O578</f>
        <v>0</v>
      </c>
      <c r="AN578" s="2137">
        <f>Q578-'Blocking-Step2'!Q578</f>
        <v>0</v>
      </c>
      <c r="AP578" s="2127">
        <f>S578-'Blocking-Step2'!S578</f>
        <v>0</v>
      </c>
      <c r="AR578" s="2127">
        <f>U578-'Blocking-Step2'!U578</f>
        <v>0</v>
      </c>
      <c r="AT578" s="2127">
        <f>W578-'Blocking-Step2'!W578</f>
        <v>0</v>
      </c>
      <c r="AV578" s="2128">
        <f>Y578-'Blocking-Step2'!Y578</f>
        <v>0</v>
      </c>
    </row>
    <row r="579" spans="1:48" ht="16.5" hidden="1" thickTop="1">
      <c r="A579" s="1116" t="s">
        <v>1908</v>
      </c>
      <c r="C579" s="1105">
        <v>1739.6354530997805</v>
      </c>
      <c r="D579" s="1105">
        <v>2261.3634302683217</v>
      </c>
      <c r="E579" s="617"/>
      <c r="F579" s="1143"/>
      <c r="G579" s="1921"/>
      <c r="H579" s="1146"/>
      <c r="I579" s="1146"/>
      <c r="J579" s="617"/>
      <c r="K579" s="1143">
        <v>0</v>
      </c>
      <c r="L579" s="1921" t="s">
        <v>495</v>
      </c>
      <c r="M579" s="1143">
        <v>0</v>
      </c>
      <c r="N579" s="1921" t="s">
        <v>495</v>
      </c>
      <c r="O579" s="1143">
        <v>5.3097000000000003</v>
      </c>
      <c r="P579" s="1921" t="s">
        <v>495</v>
      </c>
      <c r="Q579" s="1143">
        <v>5.3097000000000003</v>
      </c>
      <c r="R579" s="1921" t="s">
        <v>495</v>
      </c>
      <c r="S579" s="1146">
        <v>0</v>
      </c>
      <c r="T579" s="1648"/>
      <c r="U579" s="1146">
        <v>0</v>
      </c>
      <c r="V579" s="1648"/>
      <c r="W579" s="1146">
        <v>120</v>
      </c>
      <c r="X579" s="1648"/>
      <c r="Y579" s="1146">
        <v>120</v>
      </c>
      <c r="Z579" s="2114">
        <f>C579-'Blocking-Step2'!C579</f>
        <v>0</v>
      </c>
      <c r="AA579" s="2114">
        <f>D579-'Blocking-Step2'!D579</f>
        <v>0</v>
      </c>
      <c r="AC579" s="2114">
        <f>F579-'Blocking-Step2'!F579</f>
        <v>0</v>
      </c>
      <c r="AE579" s="2114">
        <f>H579-'Blocking-Step2'!H579</f>
        <v>0</v>
      </c>
      <c r="AF579" s="2114">
        <f>I579-'Blocking-Step2'!I579</f>
        <v>0</v>
      </c>
      <c r="AH579" s="2136">
        <f>K579-'Blocking-Step2'!K579</f>
        <v>0</v>
      </c>
      <c r="AJ579" s="2136">
        <f>M579-'Blocking-Step2'!M579</f>
        <v>0</v>
      </c>
      <c r="AL579" s="2136">
        <f>O579-'Blocking-Step2'!O579</f>
        <v>0</v>
      </c>
      <c r="AN579" s="2137">
        <f>Q579-'Blocking-Step2'!Q579</f>
        <v>0</v>
      </c>
      <c r="AP579" s="2127">
        <f>S579-'Blocking-Step2'!S579</f>
        <v>0</v>
      </c>
      <c r="AR579" s="2127">
        <f>U579-'Blocking-Step2'!U579</f>
        <v>0</v>
      </c>
      <c r="AT579" s="2127">
        <f>W579-'Blocking-Step2'!W579</f>
        <v>0</v>
      </c>
      <c r="AV579" s="2128">
        <f>Y579-'Blocking-Step2'!Y579</f>
        <v>0</v>
      </c>
    </row>
    <row r="580" spans="1:48" ht="16.5" hidden="1" thickTop="1">
      <c r="A580" s="1116" t="s">
        <v>1909</v>
      </c>
      <c r="C580" s="1105">
        <v>1392.8645469002195</v>
      </c>
      <c r="D580" s="1105">
        <v>1810.5936758560356</v>
      </c>
      <c r="E580" s="617"/>
      <c r="F580" s="1143"/>
      <c r="G580" s="1921"/>
      <c r="H580" s="1146"/>
      <c r="I580" s="1146"/>
      <c r="J580" s="617"/>
      <c r="K580" s="1143">
        <v>0</v>
      </c>
      <c r="L580" s="1921" t="s">
        <v>495</v>
      </c>
      <c r="M580" s="1143">
        <v>0</v>
      </c>
      <c r="N580" s="1921" t="s">
        <v>495</v>
      </c>
      <c r="O580" s="1143">
        <v>-2.0670999999999999</v>
      </c>
      <c r="P580" s="1921" t="s">
        <v>495</v>
      </c>
      <c r="Q580" s="1143">
        <v>-2.0670999999999999</v>
      </c>
      <c r="R580" s="1921" t="s">
        <v>495</v>
      </c>
      <c r="S580" s="1146">
        <v>0</v>
      </c>
      <c r="T580" s="1648"/>
      <c r="U580" s="1146">
        <v>0</v>
      </c>
      <c r="V580" s="1648"/>
      <c r="W580" s="1146">
        <v>-37</v>
      </c>
      <c r="X580" s="1648"/>
      <c r="Y580" s="1146">
        <v>-37</v>
      </c>
      <c r="Z580" s="2114">
        <f>C580-'Blocking-Step2'!C580</f>
        <v>0</v>
      </c>
      <c r="AA580" s="2114">
        <f>D580-'Blocking-Step2'!D580</f>
        <v>0</v>
      </c>
      <c r="AC580" s="2114">
        <f>F580-'Blocking-Step2'!F580</f>
        <v>0</v>
      </c>
      <c r="AE580" s="2114">
        <f>H580-'Blocking-Step2'!H580</f>
        <v>0</v>
      </c>
      <c r="AF580" s="2114">
        <f>I580-'Blocking-Step2'!I580</f>
        <v>0</v>
      </c>
      <c r="AH580" s="2136">
        <f>K580-'Blocking-Step2'!K580</f>
        <v>0</v>
      </c>
      <c r="AJ580" s="2136">
        <f>M580-'Blocking-Step2'!M580</f>
        <v>0</v>
      </c>
      <c r="AL580" s="2136">
        <f>O580-'Blocking-Step2'!O580</f>
        <v>0</v>
      </c>
      <c r="AN580" s="2137">
        <f>Q580-'Blocking-Step2'!Q580</f>
        <v>0</v>
      </c>
      <c r="AP580" s="2127">
        <f>S580-'Blocking-Step2'!S580</f>
        <v>0</v>
      </c>
      <c r="AR580" s="2127">
        <f>U580-'Blocking-Step2'!U580</f>
        <v>0</v>
      </c>
      <c r="AT580" s="2127">
        <f>W580-'Blocking-Step2'!W580</f>
        <v>0</v>
      </c>
      <c r="AV580" s="2128">
        <f>Y580-'Blocking-Step2'!Y580</f>
        <v>0</v>
      </c>
    </row>
    <row r="581" spans="1:48" ht="16.5" hidden="1" thickTop="1">
      <c r="A581" s="1116" t="s">
        <v>261</v>
      </c>
      <c r="C581" s="1105">
        <v>0</v>
      </c>
      <c r="D581" s="1105">
        <v>0</v>
      </c>
      <c r="F581" s="1907"/>
      <c r="G581" s="1110"/>
      <c r="H581" s="1146"/>
      <c r="I581" s="1146"/>
      <c r="K581" s="1907">
        <v>-0.61</v>
      </c>
      <c r="L581" s="1110"/>
      <c r="M581" s="1907">
        <v>0</v>
      </c>
      <c r="N581" s="1110"/>
      <c r="O581" s="1907">
        <v>0</v>
      </c>
      <c r="P581" s="1110"/>
      <c r="Q581" s="1907">
        <v>-0.61</v>
      </c>
      <c r="R581" s="1110"/>
      <c r="S581" s="1146">
        <v>0</v>
      </c>
      <c r="T581" s="1629"/>
      <c r="U581" s="1146">
        <v>0</v>
      </c>
      <c r="V581" s="1629"/>
      <c r="W581" s="1146">
        <v>0</v>
      </c>
      <c r="X581" s="1629"/>
      <c r="Y581" s="1146">
        <v>0</v>
      </c>
      <c r="Z581" s="2114">
        <f>C581-'Blocking-Step2'!C581</f>
        <v>0</v>
      </c>
      <c r="AA581" s="2114">
        <f>D581-'Blocking-Step2'!D581</f>
        <v>0</v>
      </c>
      <c r="AC581" s="2114">
        <f>F581-'Blocking-Step2'!F581</f>
        <v>0</v>
      </c>
      <c r="AE581" s="2114">
        <f>H581-'Blocking-Step2'!H581</f>
        <v>0</v>
      </c>
      <c r="AF581" s="2114">
        <f>I581-'Blocking-Step2'!I581</f>
        <v>0</v>
      </c>
      <c r="AH581" s="2136">
        <f>K581-'Blocking-Step2'!K581</f>
        <v>0</v>
      </c>
      <c r="AJ581" s="2136">
        <f>M581-'Blocking-Step2'!M581</f>
        <v>0</v>
      </c>
      <c r="AL581" s="2136">
        <f>O581-'Blocking-Step2'!O581</f>
        <v>0</v>
      </c>
      <c r="AN581" s="2137">
        <f>Q581-'Blocking-Step2'!Q581</f>
        <v>0</v>
      </c>
      <c r="AP581" s="2127">
        <f>S581-'Blocking-Step2'!S581</f>
        <v>0</v>
      </c>
      <c r="AR581" s="2127">
        <f>U581-'Blocking-Step2'!U581</f>
        <v>0</v>
      </c>
      <c r="AT581" s="2127">
        <f>W581-'Blocking-Step2'!W581</f>
        <v>0</v>
      </c>
      <c r="AV581" s="2128">
        <f>Y581-'Blocking-Step2'!Y581</f>
        <v>0</v>
      </c>
    </row>
    <row r="582" spans="1:48" ht="16.5" hidden="1" thickTop="1">
      <c r="A582" s="1116" t="s">
        <v>1158</v>
      </c>
      <c r="C582" s="1105">
        <v>0</v>
      </c>
      <c r="D582" s="1105">
        <v>0</v>
      </c>
      <c r="F582" s="1106"/>
      <c r="G582" s="1921"/>
      <c r="H582" s="1146"/>
      <c r="I582" s="1146"/>
      <c r="K582" s="1106">
        <v>0</v>
      </c>
      <c r="L582" s="1921" t="s">
        <v>495</v>
      </c>
      <c r="M582" s="1106">
        <v>7.125</v>
      </c>
      <c r="N582" s="1921" t="s">
        <v>495</v>
      </c>
      <c r="O582" s="1106">
        <v>0</v>
      </c>
      <c r="P582" s="1921" t="s">
        <v>495</v>
      </c>
      <c r="Q582" s="1106">
        <v>7.125</v>
      </c>
      <c r="R582" s="1921" t="s">
        <v>495</v>
      </c>
      <c r="S582" s="1146">
        <v>0</v>
      </c>
      <c r="T582" s="1648"/>
      <c r="U582" s="1146">
        <v>0</v>
      </c>
      <c r="V582" s="1648"/>
      <c r="W582" s="1146">
        <v>0</v>
      </c>
      <c r="X582" s="1648"/>
      <c r="Y582" s="1146">
        <v>0</v>
      </c>
      <c r="Z582" s="2114">
        <f>C582-'Blocking-Step2'!C582</f>
        <v>0</v>
      </c>
      <c r="AA582" s="2114">
        <f>D582-'Blocking-Step2'!D582</f>
        <v>0</v>
      </c>
      <c r="AC582" s="2114">
        <f>F582-'Blocking-Step2'!F582</f>
        <v>0</v>
      </c>
      <c r="AE582" s="2114">
        <f>H582-'Blocking-Step2'!H582</f>
        <v>0</v>
      </c>
      <c r="AF582" s="2114">
        <f>I582-'Blocking-Step2'!I582</f>
        <v>0</v>
      </c>
      <c r="AH582" s="2136">
        <f>K582-'Blocking-Step2'!K582</f>
        <v>0</v>
      </c>
      <c r="AJ582" s="2136">
        <f>M582-'Blocking-Step2'!M582</f>
        <v>0</v>
      </c>
      <c r="AL582" s="2136">
        <f>O582-'Blocking-Step2'!O582</f>
        <v>0</v>
      </c>
      <c r="AN582" s="2137">
        <f>Q582-'Blocking-Step2'!Q582</f>
        <v>0</v>
      </c>
      <c r="AP582" s="2127">
        <f>S582-'Blocking-Step2'!S582</f>
        <v>0</v>
      </c>
      <c r="AR582" s="2127">
        <f>U582-'Blocking-Step2'!U582</f>
        <v>0</v>
      </c>
      <c r="AT582" s="2127">
        <f>W582-'Blocking-Step2'!W582</f>
        <v>0</v>
      </c>
      <c r="AV582" s="2128">
        <f>Y582-'Blocking-Step2'!Y582</f>
        <v>0</v>
      </c>
    </row>
    <row r="583" spans="1:48" ht="16.5" hidden="1" thickTop="1">
      <c r="A583" s="1116" t="s">
        <v>1240</v>
      </c>
      <c r="C583" s="1024"/>
      <c r="D583" s="1024"/>
      <c r="F583" s="2076"/>
      <c r="G583" s="617"/>
      <c r="H583" s="1146"/>
      <c r="I583" s="1146"/>
      <c r="K583" s="2076"/>
      <c r="L583" s="617"/>
      <c r="M583" s="2076"/>
      <c r="N583" s="617"/>
      <c r="O583" s="2077" t="s">
        <v>2323</v>
      </c>
      <c r="P583" s="617"/>
      <c r="Q583" s="2076">
        <v>-3.0599999999999999E-2</v>
      </c>
      <c r="R583" s="617"/>
      <c r="S583" s="1114"/>
      <c r="T583" s="1114"/>
      <c r="U583" s="1114"/>
      <c r="V583" s="1114"/>
      <c r="W583" s="1114"/>
      <c r="X583" s="1114"/>
      <c r="Y583" s="1146">
        <v>-53.458199999999998</v>
      </c>
      <c r="Z583" s="2114">
        <f>C583-'Blocking-Step2'!C583</f>
        <v>0</v>
      </c>
      <c r="AA583" s="2114">
        <f>D583-'Blocking-Step2'!D583</f>
        <v>0</v>
      </c>
      <c r="AC583" s="2114">
        <f>F583-'Blocking-Step2'!F583</f>
        <v>0</v>
      </c>
      <c r="AE583" s="2114">
        <f>H583-'Blocking-Step2'!H583</f>
        <v>0</v>
      </c>
      <c r="AF583" s="2114">
        <f>I583-'Blocking-Step2'!I583</f>
        <v>0</v>
      </c>
      <c r="AH583" s="2136">
        <f>K583-'Blocking-Step2'!K583</f>
        <v>0</v>
      </c>
      <c r="AJ583" s="2136">
        <f>M583-'Blocking-Step2'!M583</f>
        <v>0</v>
      </c>
      <c r="AL583" s="2136" t="e">
        <f>O583-'Blocking-Step2'!O583</f>
        <v>#VALUE!</v>
      </c>
      <c r="AN583" s="2137">
        <f>Q583-'Blocking-Step2'!Q583</f>
        <v>0</v>
      </c>
      <c r="AP583" s="2127">
        <f>S583-'Blocking-Step2'!S583</f>
        <v>0</v>
      </c>
      <c r="AR583" s="2127">
        <f>U583-'Blocking-Step2'!U583</f>
        <v>0</v>
      </c>
      <c r="AT583" s="2127">
        <f>W583-'Blocking-Step2'!W583</f>
        <v>0</v>
      </c>
      <c r="AV583" s="2128">
        <f>Y583-'Blocking-Step2'!Y583</f>
        <v>0</v>
      </c>
    </row>
    <row r="584" spans="1:48" ht="16.5" hidden="1" thickTop="1">
      <c r="A584" s="1116"/>
      <c r="C584" s="1024"/>
      <c r="D584" s="1024"/>
      <c r="F584" s="2076"/>
      <c r="G584" s="617"/>
      <c r="H584" s="1146"/>
      <c r="I584" s="1146"/>
      <c r="K584" s="2076"/>
      <c r="L584" s="617"/>
      <c r="M584" s="2076"/>
      <c r="N584" s="617"/>
      <c r="O584" s="2077" t="s">
        <v>2324</v>
      </c>
      <c r="P584" s="617"/>
      <c r="Q584" s="2076">
        <v>-1.66E-2</v>
      </c>
      <c r="R584" s="617"/>
      <c r="S584" s="1114"/>
      <c r="T584" s="1114"/>
      <c r="U584" s="1114"/>
      <c r="V584" s="1114"/>
      <c r="W584" s="1114"/>
      <c r="X584" s="1114"/>
      <c r="Y584" s="1146">
        <v>-29.0002</v>
      </c>
      <c r="Z584" s="2114">
        <f>C584-'Blocking-Step2'!C584</f>
        <v>0</v>
      </c>
      <c r="AA584" s="2114">
        <f>D584-'Blocking-Step2'!D584</f>
        <v>0</v>
      </c>
      <c r="AC584" s="2114">
        <f>F584-'Blocking-Step2'!F584</f>
        <v>0</v>
      </c>
      <c r="AE584" s="2114">
        <f>H584-'Blocking-Step2'!H584</f>
        <v>0</v>
      </c>
      <c r="AF584" s="2114">
        <f>I584-'Blocking-Step2'!I584</f>
        <v>0</v>
      </c>
      <c r="AH584" s="2136">
        <f>K584-'Blocking-Step2'!K584</f>
        <v>0</v>
      </c>
      <c r="AJ584" s="2136">
        <f>M584-'Blocking-Step2'!M584</f>
        <v>0</v>
      </c>
      <c r="AL584" s="2136" t="e">
        <f>O584-'Blocking-Step2'!O584</f>
        <v>#VALUE!</v>
      </c>
      <c r="AN584" s="2137">
        <f>Q584-'Blocking-Step2'!Q584</f>
        <v>0</v>
      </c>
      <c r="AP584" s="2127">
        <f>S584-'Blocking-Step2'!S584</f>
        <v>0</v>
      </c>
      <c r="AR584" s="2127">
        <f>U584-'Blocking-Step2'!U584</f>
        <v>0</v>
      </c>
      <c r="AT584" s="2127">
        <f>W584-'Blocking-Step2'!W584</f>
        <v>0</v>
      </c>
      <c r="AV584" s="2128">
        <f>Y584-'Blocking-Step2'!Y584</f>
        <v>0</v>
      </c>
    </row>
    <row r="585" spans="1:48" ht="16.5" hidden="1" thickTop="1">
      <c r="A585" s="1116" t="s">
        <v>1923</v>
      </c>
      <c r="C585" s="1105">
        <v>12762</v>
      </c>
      <c r="D585" s="1105">
        <v>16589.406732117812</v>
      </c>
      <c r="F585" s="1907"/>
      <c r="G585" s="1110"/>
      <c r="H585" s="1146"/>
      <c r="I585" s="1146"/>
      <c r="K585" s="1907"/>
      <c r="L585" s="1110"/>
      <c r="M585" s="1907"/>
      <c r="N585" s="1110"/>
      <c r="O585" s="1907"/>
      <c r="P585" s="1110"/>
      <c r="Q585" s="1907"/>
      <c r="R585" s="1110"/>
      <c r="S585" s="1146">
        <v>769</v>
      </c>
      <c r="T585" s="1629"/>
      <c r="U585" s="1146">
        <v>1253</v>
      </c>
      <c r="V585" s="1629"/>
      <c r="W585" s="1146">
        <v>588</v>
      </c>
      <c r="X585" s="1629"/>
      <c r="Y585" s="1146">
        <v>2611</v>
      </c>
      <c r="Z585" s="2114">
        <f>C585-'Blocking-Step2'!C585</f>
        <v>0</v>
      </c>
      <c r="AA585" s="2114">
        <f>D585-'Blocking-Step2'!D585</f>
        <v>0</v>
      </c>
      <c r="AC585" s="2114">
        <f>F585-'Blocking-Step2'!F585</f>
        <v>0</v>
      </c>
      <c r="AE585" s="2114">
        <f>H585-'Blocking-Step2'!H585</f>
        <v>0</v>
      </c>
      <c r="AF585" s="2114">
        <f>I585-'Blocking-Step2'!I585</f>
        <v>0</v>
      </c>
      <c r="AH585" s="2136">
        <f>K585-'Blocking-Step2'!K585</f>
        <v>0</v>
      </c>
      <c r="AJ585" s="2136">
        <f>M585-'Blocking-Step2'!M585</f>
        <v>0</v>
      </c>
      <c r="AL585" s="2136">
        <f>O585-'Blocking-Step2'!O585</f>
        <v>0</v>
      </c>
      <c r="AN585" s="2137">
        <f>Q585-'Blocking-Step2'!Q585</f>
        <v>0</v>
      </c>
      <c r="AP585" s="2127">
        <f>S585-'Blocking-Step2'!S585</f>
        <v>-381</v>
      </c>
      <c r="AR585" s="2127">
        <f>U585-'Blocking-Step2'!U585</f>
        <v>379</v>
      </c>
      <c r="AT585" s="2127">
        <f>W585-'Blocking-Step2'!W585</f>
        <v>0</v>
      </c>
      <c r="AV585" s="2128">
        <f>Y585-'Blocking-Step2'!Y585</f>
        <v>0</v>
      </c>
    </row>
    <row r="586" spans="1:48" ht="16.5" hidden="1" thickTop="1">
      <c r="A586" s="1116"/>
      <c r="C586" s="1105"/>
      <c r="D586" s="1105"/>
      <c r="F586" s="1907"/>
      <c r="G586" s="1110"/>
      <c r="H586" s="1146"/>
      <c r="I586" s="1146"/>
      <c r="K586" s="1907"/>
      <c r="L586" s="1110"/>
      <c r="M586" s="1907"/>
      <c r="N586" s="1110"/>
      <c r="O586" s="1907"/>
      <c r="P586" s="1110"/>
      <c r="Q586" s="1907"/>
      <c r="R586" s="1110"/>
      <c r="S586" s="1629"/>
      <c r="T586" s="1629"/>
      <c r="U586" s="1629"/>
      <c r="V586" s="1629"/>
      <c r="W586" s="1629"/>
      <c r="X586" s="1629"/>
      <c r="Y586" s="1146"/>
      <c r="Z586" s="2114">
        <f>C586-'Blocking-Step2'!C586</f>
        <v>0</v>
      </c>
      <c r="AA586" s="2114">
        <f>D586-'Blocking-Step2'!D586</f>
        <v>0</v>
      </c>
      <c r="AC586" s="2114">
        <f>F586-'Blocking-Step2'!F586</f>
        <v>0</v>
      </c>
      <c r="AE586" s="2114">
        <f>H586-'Blocking-Step2'!H586</f>
        <v>0</v>
      </c>
      <c r="AF586" s="2114">
        <f>I586-'Blocking-Step2'!I586</f>
        <v>0</v>
      </c>
      <c r="AH586" s="2136">
        <f>K586-'Blocking-Step2'!K586</f>
        <v>0</v>
      </c>
      <c r="AJ586" s="2136">
        <f>M586-'Blocking-Step2'!M586</f>
        <v>0</v>
      </c>
      <c r="AL586" s="2136">
        <f>O586-'Blocking-Step2'!O586</f>
        <v>0</v>
      </c>
      <c r="AN586" s="2137">
        <f>Q586-'Blocking-Step2'!Q586</f>
        <v>0</v>
      </c>
      <c r="AP586" s="2127">
        <f>S586-'Blocking-Step2'!S586</f>
        <v>0</v>
      </c>
      <c r="AR586" s="2127">
        <f>U586-'Blocking-Step2'!U586</f>
        <v>0</v>
      </c>
      <c r="AT586" s="2127">
        <f>W586-'Blocking-Step2'!W586</f>
        <v>0</v>
      </c>
      <c r="AV586" s="2128">
        <f>Y586-'Blocking-Step2'!Y586</f>
        <v>0</v>
      </c>
    </row>
    <row r="587" spans="1:48" ht="16.5" hidden="1" thickTop="1">
      <c r="A587" s="2079" t="s">
        <v>240</v>
      </c>
      <c r="C587" s="1105">
        <v>7</v>
      </c>
      <c r="D587" s="1105">
        <v>9.1516224188790556</v>
      </c>
      <c r="F587" s="1907">
        <v>54</v>
      </c>
      <c r="G587" s="1110"/>
      <c r="H587" s="1146">
        <v>378</v>
      </c>
      <c r="I587" s="1146">
        <v>494</v>
      </c>
      <c r="K587" s="1907">
        <v>54</v>
      </c>
      <c r="L587" s="1110"/>
      <c r="M587" s="1907">
        <v>0</v>
      </c>
      <c r="N587" s="1110"/>
      <c r="O587" s="1907">
        <v>0</v>
      </c>
      <c r="P587" s="1110"/>
      <c r="Q587" s="1907">
        <v>54</v>
      </c>
      <c r="R587" s="1110"/>
      <c r="S587" s="1146">
        <v>494</v>
      </c>
      <c r="T587" s="1629"/>
      <c r="U587" s="1146">
        <v>0</v>
      </c>
      <c r="V587" s="1629"/>
      <c r="W587" s="1146">
        <v>0</v>
      </c>
      <c r="X587" s="1629"/>
      <c r="Y587" s="1146">
        <v>494</v>
      </c>
      <c r="Z587" s="2114">
        <f>C587-'Blocking-Step2'!C587</f>
        <v>0</v>
      </c>
      <c r="AA587" s="2114">
        <f>D587-'Blocking-Step2'!D587</f>
        <v>0</v>
      </c>
      <c r="AC587" s="2114">
        <f>F587-'Blocking-Step2'!F587</f>
        <v>0</v>
      </c>
      <c r="AE587" s="2114">
        <f>H587-'Blocking-Step2'!H587</f>
        <v>0</v>
      </c>
      <c r="AF587" s="2114">
        <f>I587-'Blocking-Step2'!I587</f>
        <v>0</v>
      </c>
      <c r="AH587" s="2136">
        <f>K587-'Blocking-Step2'!K587</f>
        <v>0</v>
      </c>
      <c r="AJ587" s="2136">
        <f>M587-'Blocking-Step2'!M587</f>
        <v>0</v>
      </c>
      <c r="AL587" s="2136">
        <f>O587-'Blocking-Step2'!O587</f>
        <v>0</v>
      </c>
      <c r="AN587" s="2137">
        <f>Q587-'Blocking-Step2'!Q587</f>
        <v>0</v>
      </c>
      <c r="AP587" s="2127">
        <f>S587-'Blocking-Step2'!S587</f>
        <v>0</v>
      </c>
      <c r="AR587" s="2127">
        <f>U587-'Blocking-Step2'!U587</f>
        <v>0</v>
      </c>
      <c r="AT587" s="2127">
        <f>W587-'Blocking-Step2'!W587</f>
        <v>0</v>
      </c>
      <c r="AV587" s="2128">
        <f>Y587-'Blocking-Step2'!Y587</f>
        <v>0</v>
      </c>
    </row>
    <row r="588" spans="1:48" ht="16.5" hidden="1" thickTop="1">
      <c r="A588" s="1116" t="s">
        <v>262</v>
      </c>
      <c r="C588" s="1024">
        <v>0</v>
      </c>
      <c r="D588" s="1105">
        <v>0</v>
      </c>
      <c r="E588" s="617"/>
      <c r="F588" s="1907">
        <v>648</v>
      </c>
      <c r="G588" s="1110"/>
      <c r="H588" s="1146">
        <v>0</v>
      </c>
      <c r="I588" s="1146">
        <v>0</v>
      </c>
      <c r="J588" s="617"/>
      <c r="K588" s="1907">
        <v>648</v>
      </c>
      <c r="L588" s="1110"/>
      <c r="M588" s="1907">
        <v>0</v>
      </c>
      <c r="N588" s="1110"/>
      <c r="O588" s="1907">
        <v>0</v>
      </c>
      <c r="P588" s="1110"/>
      <c r="Q588" s="1907">
        <v>648</v>
      </c>
      <c r="R588" s="1110"/>
      <c r="S588" s="1146">
        <v>0</v>
      </c>
      <c r="T588" s="1114"/>
      <c r="U588" s="1146">
        <v>0</v>
      </c>
      <c r="V588" s="1114"/>
      <c r="W588" s="1146">
        <v>0</v>
      </c>
      <c r="X588" s="1114"/>
      <c r="Y588" s="1146">
        <v>0</v>
      </c>
      <c r="Z588" s="2114">
        <f>C588-'Blocking-Step2'!C588</f>
        <v>0</v>
      </c>
      <c r="AA588" s="2114">
        <f>D588-'Blocking-Step2'!D588</f>
        <v>0</v>
      </c>
      <c r="AC588" s="2114">
        <f>F588-'Blocking-Step2'!F588</f>
        <v>0</v>
      </c>
      <c r="AE588" s="2114">
        <f>H588-'Blocking-Step2'!H588</f>
        <v>0</v>
      </c>
      <c r="AF588" s="2114">
        <f>I588-'Blocking-Step2'!I588</f>
        <v>0</v>
      </c>
      <c r="AH588" s="2136">
        <f>K588-'Blocking-Step2'!K588</f>
        <v>0</v>
      </c>
      <c r="AJ588" s="2136">
        <f>M588-'Blocking-Step2'!M588</f>
        <v>0</v>
      </c>
      <c r="AL588" s="2136">
        <f>O588-'Blocking-Step2'!O588</f>
        <v>0</v>
      </c>
      <c r="AN588" s="2137">
        <f>Q588-'Blocking-Step2'!Q588</f>
        <v>0</v>
      </c>
      <c r="AP588" s="2127">
        <f>S588-'Blocking-Step2'!S588</f>
        <v>0</v>
      </c>
      <c r="AR588" s="2127">
        <f>U588-'Blocking-Step2'!U588</f>
        <v>0</v>
      </c>
      <c r="AT588" s="2127">
        <f>W588-'Blocking-Step2'!W588</f>
        <v>0</v>
      </c>
      <c r="AV588" s="2128">
        <f>Y588-'Blocking-Step2'!Y588</f>
        <v>0</v>
      </c>
    </row>
    <row r="589" spans="1:48" ht="16.5" hidden="1" thickTop="1">
      <c r="A589" s="1116" t="s">
        <v>168</v>
      </c>
      <c r="C589" s="1105">
        <v>139.5</v>
      </c>
      <c r="D589" s="1105">
        <v>181</v>
      </c>
      <c r="F589" s="1907">
        <v>4.04</v>
      </c>
      <c r="G589" s="1110"/>
      <c r="H589" s="1146">
        <v>564</v>
      </c>
      <c r="I589" s="1146">
        <v>731</v>
      </c>
      <c r="K589" s="1907">
        <v>4.03</v>
      </c>
      <c r="L589" s="1110"/>
      <c r="M589" s="1907">
        <v>0</v>
      </c>
      <c r="N589" s="1110"/>
      <c r="O589" s="1907">
        <v>0</v>
      </c>
      <c r="P589" s="1110"/>
      <c r="Q589" s="1907">
        <v>4.03</v>
      </c>
      <c r="R589" s="1110"/>
      <c r="S589" s="1146">
        <v>729</v>
      </c>
      <c r="T589" s="1629"/>
      <c r="U589" s="1146">
        <v>0</v>
      </c>
      <c r="V589" s="1629"/>
      <c r="W589" s="1146">
        <v>0</v>
      </c>
      <c r="X589" s="1629"/>
      <c r="Y589" s="1146">
        <v>729</v>
      </c>
      <c r="Z589" s="2114">
        <f>C589-'Blocking-Step2'!C589</f>
        <v>0</v>
      </c>
      <c r="AA589" s="2114">
        <f>D589-'Blocking-Step2'!D589</f>
        <v>0</v>
      </c>
      <c r="AC589" s="2114">
        <f>F589-'Blocking-Step2'!F589</f>
        <v>0</v>
      </c>
      <c r="AE589" s="2114">
        <f>H589-'Blocking-Step2'!H589</f>
        <v>0</v>
      </c>
      <c r="AF589" s="2114">
        <f>I589-'Blocking-Step2'!I589</f>
        <v>0</v>
      </c>
      <c r="AH589" s="2136">
        <f>K589-'Blocking-Step2'!K589</f>
        <v>0</v>
      </c>
      <c r="AJ589" s="2136">
        <f>M589-'Blocking-Step2'!M589</f>
        <v>0</v>
      </c>
      <c r="AL589" s="2136">
        <f>O589-'Blocking-Step2'!O589</f>
        <v>0</v>
      </c>
      <c r="AN589" s="2137">
        <f>Q589-'Blocking-Step2'!Q589</f>
        <v>0</v>
      </c>
      <c r="AP589" s="2127">
        <f>S589-'Blocking-Step2'!S589</f>
        <v>0</v>
      </c>
      <c r="AR589" s="2127">
        <f>U589-'Blocking-Step2'!U589</f>
        <v>0</v>
      </c>
      <c r="AT589" s="2127">
        <f>W589-'Blocking-Step2'!W589</f>
        <v>0</v>
      </c>
      <c r="AV589" s="2128">
        <f>Y589-'Blocking-Step2'!Y589</f>
        <v>0</v>
      </c>
    </row>
    <row r="590" spans="1:48" ht="16.5" hidden="1" thickTop="1">
      <c r="A590" s="1116" t="s">
        <v>1649</v>
      </c>
      <c r="C590" s="1105">
        <v>38</v>
      </c>
      <c r="D590" s="1105">
        <v>49</v>
      </c>
      <c r="F590" s="1142"/>
      <c r="G590" s="617"/>
      <c r="H590" s="1146"/>
      <c r="I590" s="1146"/>
      <c r="K590" s="1142">
        <v>0.51</v>
      </c>
      <c r="L590" s="617"/>
      <c r="M590" s="1142">
        <v>12.89</v>
      </c>
      <c r="N590" s="617"/>
      <c r="O590" s="1142">
        <v>0</v>
      </c>
      <c r="P590" s="617"/>
      <c r="Q590" s="1142">
        <v>13.4</v>
      </c>
      <c r="R590" s="617"/>
      <c r="S590" s="1146">
        <v>25</v>
      </c>
      <c r="T590" s="1114"/>
      <c r="U590" s="1146">
        <v>632</v>
      </c>
      <c r="V590" s="1114"/>
      <c r="W590" s="1146">
        <v>0</v>
      </c>
      <c r="X590" s="1114"/>
      <c r="Y590" s="1146">
        <v>657</v>
      </c>
      <c r="Z590" s="2114">
        <f>C590-'Blocking-Step2'!C590</f>
        <v>0</v>
      </c>
      <c r="AA590" s="2114">
        <f>D590-'Blocking-Step2'!D590</f>
        <v>0</v>
      </c>
      <c r="AC590" s="2114">
        <f>F590-'Blocking-Step2'!F590</f>
        <v>0</v>
      </c>
      <c r="AE590" s="2114">
        <f>H590-'Blocking-Step2'!H590</f>
        <v>0</v>
      </c>
      <c r="AF590" s="2114">
        <f>I590-'Blocking-Step2'!I590</f>
        <v>0</v>
      </c>
      <c r="AH590" s="2136">
        <f>K590-'Blocking-Step2'!K590</f>
        <v>-5.83</v>
      </c>
      <c r="AJ590" s="2136">
        <f>M590-'Blocking-Step2'!M590</f>
        <v>5.83</v>
      </c>
      <c r="AL590" s="2136">
        <f>O590-'Blocking-Step2'!O590</f>
        <v>0</v>
      </c>
      <c r="AN590" s="2137">
        <f>Q590-'Blocking-Step2'!Q590</f>
        <v>0</v>
      </c>
      <c r="AP590" s="2127">
        <f>S590-'Blocking-Step2'!S590</f>
        <v>-286</v>
      </c>
      <c r="AR590" s="2127">
        <f>U590-'Blocking-Step2'!U590</f>
        <v>286</v>
      </c>
      <c r="AT590" s="2127">
        <f>W590-'Blocking-Step2'!W590</f>
        <v>0</v>
      </c>
      <c r="AV590" s="2128">
        <f>Y590-'Blocking-Step2'!Y590</f>
        <v>0</v>
      </c>
    </row>
    <row r="591" spans="1:48" ht="16.5" hidden="1" thickTop="1">
      <c r="A591" s="1116" t="s">
        <v>1650</v>
      </c>
      <c r="C591" s="1105">
        <v>101.5</v>
      </c>
      <c r="D591" s="1105">
        <v>132</v>
      </c>
      <c r="F591" s="1142"/>
      <c r="G591" s="617"/>
      <c r="H591" s="1146"/>
      <c r="I591" s="1146"/>
      <c r="K591" s="1142">
        <v>0.45</v>
      </c>
      <c r="L591" s="617"/>
      <c r="M591" s="1142">
        <v>11.41</v>
      </c>
      <c r="N591" s="617"/>
      <c r="O591" s="1142">
        <v>0</v>
      </c>
      <c r="P591" s="617"/>
      <c r="Q591" s="1142">
        <v>11.86</v>
      </c>
      <c r="R591" s="617"/>
      <c r="S591" s="1146">
        <v>59</v>
      </c>
      <c r="T591" s="1114"/>
      <c r="U591" s="1146">
        <v>1506</v>
      </c>
      <c r="V591" s="1114"/>
      <c r="W591" s="1146">
        <v>0</v>
      </c>
      <c r="X591" s="1114"/>
      <c r="Y591" s="1146">
        <v>1566</v>
      </c>
      <c r="Z591" s="2114">
        <f>C591-'Blocking-Step2'!C591</f>
        <v>0</v>
      </c>
      <c r="AA591" s="2114">
        <f>D591-'Blocking-Step2'!D591</f>
        <v>0</v>
      </c>
      <c r="AC591" s="2114">
        <f>F591-'Blocking-Step2'!F591</f>
        <v>0</v>
      </c>
      <c r="AE591" s="2114">
        <f>H591-'Blocking-Step2'!H591</f>
        <v>0</v>
      </c>
      <c r="AF591" s="2114">
        <f>I591-'Blocking-Step2'!I591</f>
        <v>0</v>
      </c>
      <c r="AH591" s="2136">
        <f>K591-'Blocking-Step2'!K591</f>
        <v>-5.16</v>
      </c>
      <c r="AJ591" s="2136">
        <f>M591-'Blocking-Step2'!M591</f>
        <v>5.160000000000001</v>
      </c>
      <c r="AL591" s="2136">
        <f>O591-'Blocking-Step2'!O591</f>
        <v>0</v>
      </c>
      <c r="AN591" s="2137">
        <f>Q591-'Blocking-Step2'!Q591</f>
        <v>0</v>
      </c>
      <c r="AP591" s="2127">
        <f>S591-'Blocking-Step2'!S591</f>
        <v>-682</v>
      </c>
      <c r="AR591" s="2127">
        <f>U591-'Blocking-Step2'!U591</f>
        <v>681</v>
      </c>
      <c r="AT591" s="2127">
        <f>W591-'Blocking-Step2'!W591</f>
        <v>0</v>
      </c>
      <c r="AV591" s="2128">
        <f>Y591-'Blocking-Step2'!Y591</f>
        <v>0</v>
      </c>
    </row>
    <row r="592" spans="1:48" ht="16.5" hidden="1" thickTop="1">
      <c r="A592" s="1116" t="s">
        <v>1647</v>
      </c>
      <c r="C592" s="1105">
        <v>9629.5</v>
      </c>
      <c r="D592" s="1105">
        <v>12517.406732117812</v>
      </c>
      <c r="F592" s="1106"/>
      <c r="G592" s="1921"/>
      <c r="H592" s="1146"/>
      <c r="I592" s="1146"/>
      <c r="K592" s="1106">
        <v>0</v>
      </c>
      <c r="L592" s="1921" t="s">
        <v>495</v>
      </c>
      <c r="M592" s="1106">
        <v>1.6192</v>
      </c>
      <c r="N592" s="1921" t="s">
        <v>495</v>
      </c>
      <c r="O592" s="1106">
        <v>2.305570240802</v>
      </c>
      <c r="P592" s="1921" t="s">
        <v>495</v>
      </c>
      <c r="Q592" s="1106">
        <v>3.9247702408020002</v>
      </c>
      <c r="R592" s="1921" t="s">
        <v>495</v>
      </c>
      <c r="S592" s="1146">
        <v>0</v>
      </c>
      <c r="T592" s="1648"/>
      <c r="U592" s="1146">
        <v>203</v>
      </c>
      <c r="V592" s="1648"/>
      <c r="W592" s="1146">
        <v>289</v>
      </c>
      <c r="X592" s="1648"/>
      <c r="Y592" s="1146">
        <v>491</v>
      </c>
      <c r="Z592" s="2114">
        <f>C592-'Blocking-Step2'!C592</f>
        <v>0</v>
      </c>
      <c r="AA592" s="2114">
        <f>D592-'Blocking-Step2'!D592</f>
        <v>0</v>
      </c>
      <c r="AC592" s="2114">
        <f>F592-'Blocking-Step2'!F592</f>
        <v>0</v>
      </c>
      <c r="AE592" s="2114">
        <f>H592-'Blocking-Step2'!H592</f>
        <v>0</v>
      </c>
      <c r="AF592" s="2114">
        <f>I592-'Blocking-Step2'!I592</f>
        <v>0</v>
      </c>
      <c r="AH592" s="2136">
        <f>K592-'Blocking-Step2'!K592</f>
        <v>0</v>
      </c>
      <c r="AJ592" s="2136">
        <f>M592-'Blocking-Step2'!M592</f>
        <v>0</v>
      </c>
      <c r="AL592" s="2136">
        <f>O592-'Blocking-Step2'!O592</f>
        <v>0</v>
      </c>
      <c r="AN592" s="2137">
        <f>Q592-'Blocking-Step2'!Q592</f>
        <v>0</v>
      </c>
      <c r="AP592" s="2127">
        <f>S592-'Blocking-Step2'!S592</f>
        <v>0</v>
      </c>
      <c r="AR592" s="2127">
        <f>U592-'Blocking-Step2'!U592</f>
        <v>0</v>
      </c>
      <c r="AT592" s="2127">
        <f>W592-'Blocking-Step2'!W592</f>
        <v>0</v>
      </c>
      <c r="AV592" s="2128">
        <f>Y592-'Blocking-Step2'!Y592</f>
        <v>0</v>
      </c>
    </row>
    <row r="593" spans="1:48" ht="16.5" hidden="1" thickTop="1">
      <c r="A593" s="1116" t="s">
        <v>1648</v>
      </c>
      <c r="C593" s="1105">
        <v>3132.5</v>
      </c>
      <c r="D593" s="1105">
        <v>4072</v>
      </c>
      <c r="F593" s="1106"/>
      <c r="G593" s="1921"/>
      <c r="H593" s="1146"/>
      <c r="I593" s="1146"/>
      <c r="K593" s="1106">
        <v>0</v>
      </c>
      <c r="L593" s="1921" t="s">
        <v>495</v>
      </c>
      <c r="M593" s="1106">
        <v>1.4329000000000001</v>
      </c>
      <c r="N593" s="1921" t="s">
        <v>495</v>
      </c>
      <c r="O593" s="1106">
        <v>2.0403480007099999</v>
      </c>
      <c r="P593" s="1921" t="s">
        <v>495</v>
      </c>
      <c r="Q593" s="1106">
        <v>3.4732480007099999</v>
      </c>
      <c r="R593" s="1921" t="s">
        <v>495</v>
      </c>
      <c r="S593" s="1146">
        <v>0</v>
      </c>
      <c r="T593" s="1648"/>
      <c r="U593" s="1146">
        <v>58</v>
      </c>
      <c r="V593" s="1648"/>
      <c r="W593" s="1146">
        <v>83</v>
      </c>
      <c r="X593" s="1648"/>
      <c r="Y593" s="1146">
        <v>141</v>
      </c>
      <c r="Z593" s="2114">
        <f>C593-'Blocking-Step2'!C593</f>
        <v>0</v>
      </c>
      <c r="AA593" s="2114">
        <f>D593-'Blocking-Step2'!D593</f>
        <v>0</v>
      </c>
      <c r="AC593" s="2114">
        <f>F593-'Blocking-Step2'!F593</f>
        <v>0</v>
      </c>
      <c r="AE593" s="2114">
        <f>H593-'Blocking-Step2'!H593</f>
        <v>0</v>
      </c>
      <c r="AF593" s="2114">
        <f>I593-'Blocking-Step2'!I593</f>
        <v>0</v>
      </c>
      <c r="AH593" s="2136">
        <f>K593-'Blocking-Step2'!K593</f>
        <v>0</v>
      </c>
      <c r="AJ593" s="2136">
        <f>M593-'Blocking-Step2'!M593</f>
        <v>0</v>
      </c>
      <c r="AL593" s="2136">
        <f>O593-'Blocking-Step2'!O593</f>
        <v>0</v>
      </c>
      <c r="AN593" s="2137">
        <f>Q593-'Blocking-Step2'!Q593</f>
        <v>0</v>
      </c>
      <c r="AP593" s="2127">
        <f>S593-'Blocking-Step2'!S593</f>
        <v>0</v>
      </c>
      <c r="AR593" s="2127">
        <f>U593-'Blocking-Step2'!U593</f>
        <v>0</v>
      </c>
      <c r="AT593" s="2127">
        <f>W593-'Blocking-Step2'!W593</f>
        <v>0</v>
      </c>
      <c r="AV593" s="2128">
        <f>Y593-'Blocking-Step2'!Y593</f>
        <v>0</v>
      </c>
    </row>
    <row r="594" spans="1:48" ht="16.5" hidden="1" thickTop="1">
      <c r="A594" s="1116" t="s">
        <v>158</v>
      </c>
      <c r="C594" s="1105">
        <v>117.62785174590704</v>
      </c>
      <c r="D594" s="1105">
        <v>153</v>
      </c>
      <c r="F594" s="1907">
        <v>14.62</v>
      </c>
      <c r="G594" s="1110"/>
      <c r="H594" s="1146">
        <v>1720</v>
      </c>
      <c r="I594" s="1146">
        <v>2237</v>
      </c>
      <c r="K594" s="1907"/>
      <c r="L594" s="1110"/>
      <c r="M594" s="1907"/>
      <c r="N594" s="1110"/>
      <c r="O594" s="1907"/>
      <c r="P594" s="1110"/>
      <c r="Q594" s="1907"/>
      <c r="R594" s="1110"/>
      <c r="S594" s="1146"/>
      <c r="T594" s="1629"/>
      <c r="U594" s="1146"/>
      <c r="V594" s="1629"/>
      <c r="W594" s="1146"/>
      <c r="X594" s="1629"/>
      <c r="Y594" s="1146"/>
      <c r="Z594" s="2114">
        <f>C594-'Blocking-Step2'!C594</f>
        <v>0</v>
      </c>
      <c r="AA594" s="2114">
        <f>D594-'Blocking-Step2'!D594</f>
        <v>0</v>
      </c>
      <c r="AC594" s="2114">
        <f>F594-'Blocking-Step2'!F594</f>
        <v>0</v>
      </c>
      <c r="AE594" s="2114">
        <f>H594-'Blocking-Step2'!H594</f>
        <v>0</v>
      </c>
      <c r="AF594" s="2114">
        <f>I594-'Blocking-Step2'!I594</f>
        <v>0</v>
      </c>
      <c r="AH594" s="2136">
        <f>K594-'Blocking-Step2'!K594</f>
        <v>0</v>
      </c>
      <c r="AJ594" s="2136">
        <f>M594-'Blocking-Step2'!M594</f>
        <v>0</v>
      </c>
      <c r="AL594" s="2136">
        <f>O594-'Blocking-Step2'!O594</f>
        <v>0</v>
      </c>
      <c r="AN594" s="2137">
        <f>Q594-'Blocking-Step2'!Q594</f>
        <v>0</v>
      </c>
      <c r="AP594" s="2127">
        <f>S594-'Blocking-Step2'!S594</f>
        <v>0</v>
      </c>
      <c r="AR594" s="2127">
        <f>U594-'Blocking-Step2'!U594</f>
        <v>0</v>
      </c>
      <c r="AT594" s="2127">
        <f>W594-'Blocking-Step2'!W594</f>
        <v>0</v>
      </c>
      <c r="AV594" s="2128">
        <f>Y594-'Blocking-Step2'!Y594</f>
        <v>0</v>
      </c>
    </row>
    <row r="595" spans="1:48" ht="16.5" hidden="1" thickTop="1">
      <c r="A595" s="1116" t="s">
        <v>165</v>
      </c>
      <c r="C595" s="1105">
        <v>21.872148254092963</v>
      </c>
      <c r="D595" s="1105">
        <v>28</v>
      </c>
      <c r="F595" s="1907">
        <v>10.91</v>
      </c>
      <c r="G595" s="1110"/>
      <c r="H595" s="1146">
        <v>239</v>
      </c>
      <c r="I595" s="1146">
        <v>305</v>
      </c>
      <c r="K595" s="1907"/>
      <c r="L595" s="1110"/>
      <c r="M595" s="1907"/>
      <c r="N595" s="1110"/>
      <c r="O595" s="1907"/>
      <c r="P595" s="1110"/>
      <c r="Q595" s="1907"/>
      <c r="R595" s="1110"/>
      <c r="S595" s="1146"/>
      <c r="T595" s="1629"/>
      <c r="U595" s="1146"/>
      <c r="V595" s="1629"/>
      <c r="W595" s="1146"/>
      <c r="X595" s="1629"/>
      <c r="Y595" s="1146"/>
      <c r="Z595" s="2114">
        <f>C595-'Blocking-Step2'!C595</f>
        <v>0</v>
      </c>
      <c r="AA595" s="2114">
        <f>D595-'Blocking-Step2'!D595</f>
        <v>0</v>
      </c>
      <c r="AC595" s="2114">
        <f>F595-'Blocking-Step2'!F595</f>
        <v>0</v>
      </c>
      <c r="AE595" s="2114">
        <f>H595-'Blocking-Step2'!H595</f>
        <v>0</v>
      </c>
      <c r="AF595" s="2114">
        <f>I595-'Blocking-Step2'!I595</f>
        <v>0</v>
      </c>
      <c r="AH595" s="2136">
        <f>K595-'Blocking-Step2'!K595</f>
        <v>0</v>
      </c>
      <c r="AJ595" s="2136">
        <f>M595-'Blocking-Step2'!M595</f>
        <v>0</v>
      </c>
      <c r="AL595" s="2136">
        <f>O595-'Blocking-Step2'!O595</f>
        <v>0</v>
      </c>
      <c r="AN595" s="2137">
        <f>Q595-'Blocking-Step2'!Q595</f>
        <v>0</v>
      </c>
      <c r="AP595" s="2127">
        <f>S595-'Blocking-Step2'!S595</f>
        <v>0</v>
      </c>
      <c r="AR595" s="2127">
        <f>U595-'Blocking-Step2'!U595</f>
        <v>0</v>
      </c>
      <c r="AT595" s="2127">
        <f>W595-'Blocking-Step2'!W595</f>
        <v>0</v>
      </c>
      <c r="AV595" s="2128">
        <f>Y595-'Blocking-Step2'!Y595</f>
        <v>0</v>
      </c>
    </row>
    <row r="596" spans="1:48" ht="16.5" hidden="1" thickTop="1">
      <c r="A596" s="1116" t="s">
        <v>261</v>
      </c>
      <c r="C596" s="1105">
        <v>0</v>
      </c>
      <c r="D596" s="1105">
        <v>0</v>
      </c>
      <c r="F596" s="1907">
        <v>-0.96</v>
      </c>
      <c r="G596" s="1110"/>
      <c r="H596" s="1146">
        <v>0</v>
      </c>
      <c r="I596" s="1146">
        <v>0</v>
      </c>
      <c r="K596" s="1907">
        <v>-0.96</v>
      </c>
      <c r="L596" s="1110"/>
      <c r="M596" s="1907">
        <v>0</v>
      </c>
      <c r="N596" s="1110"/>
      <c r="O596" s="1907">
        <v>0</v>
      </c>
      <c r="P596" s="1110"/>
      <c r="Q596" s="1907">
        <v>-0.96</v>
      </c>
      <c r="R596" s="1110"/>
      <c r="S596" s="1146">
        <v>0</v>
      </c>
      <c r="T596" s="1629"/>
      <c r="U596" s="1146">
        <v>0</v>
      </c>
      <c r="V596" s="1629"/>
      <c r="W596" s="1146">
        <v>0</v>
      </c>
      <c r="X596" s="1629"/>
      <c r="Y596" s="1146">
        <v>0</v>
      </c>
      <c r="Z596" s="2114">
        <f>C596-'Blocking-Step2'!C596</f>
        <v>0</v>
      </c>
      <c r="AA596" s="2114">
        <f>D596-'Blocking-Step2'!D596</f>
        <v>0</v>
      </c>
      <c r="AC596" s="2114">
        <f>F596-'Blocking-Step2'!F596</f>
        <v>0</v>
      </c>
      <c r="AE596" s="2114">
        <f>H596-'Blocking-Step2'!H596</f>
        <v>0</v>
      </c>
      <c r="AF596" s="2114">
        <f>I596-'Blocking-Step2'!I596</f>
        <v>0</v>
      </c>
      <c r="AH596" s="2136">
        <f>K596-'Blocking-Step2'!K596</f>
        <v>0</v>
      </c>
      <c r="AJ596" s="2136">
        <f>M596-'Blocking-Step2'!M596</f>
        <v>0</v>
      </c>
      <c r="AL596" s="2136">
        <f>O596-'Blocking-Step2'!O596</f>
        <v>0</v>
      </c>
      <c r="AN596" s="2137">
        <f>Q596-'Blocking-Step2'!Q596</f>
        <v>0</v>
      </c>
      <c r="AP596" s="2127">
        <f>S596-'Blocking-Step2'!S596</f>
        <v>0</v>
      </c>
      <c r="AR596" s="2127">
        <f>U596-'Blocking-Step2'!U596</f>
        <v>0</v>
      </c>
      <c r="AT596" s="2127">
        <f>W596-'Blocking-Step2'!W596</f>
        <v>0</v>
      </c>
      <c r="AV596" s="2128">
        <f>Y596-'Blocking-Step2'!Y596</f>
        <v>0</v>
      </c>
    </row>
    <row r="597" spans="1:48" ht="16.5" hidden="1" thickTop="1">
      <c r="A597" s="1116" t="s">
        <v>1362</v>
      </c>
      <c r="C597" s="1105">
        <v>10170</v>
      </c>
      <c r="D597" s="1105">
        <v>13220</v>
      </c>
      <c r="F597" s="1106">
        <v>3.8127</v>
      </c>
      <c r="G597" s="1921" t="s">
        <v>495</v>
      </c>
      <c r="H597" s="1146">
        <v>388</v>
      </c>
      <c r="I597" s="1146">
        <v>504</v>
      </c>
      <c r="K597" s="1106"/>
      <c r="L597" s="1921"/>
      <c r="M597" s="1106"/>
      <c r="N597" s="1921"/>
      <c r="O597" s="1106"/>
      <c r="P597" s="1921"/>
      <c r="Q597" s="1106"/>
      <c r="R597" s="1921"/>
      <c r="S597" s="1648"/>
      <c r="T597" s="1648"/>
      <c r="U597" s="1648"/>
      <c r="V597" s="1648"/>
      <c r="W597" s="1648"/>
      <c r="X597" s="1648"/>
      <c r="Y597" s="1146"/>
      <c r="Z597" s="2114">
        <f>C597-'Blocking-Step2'!C597</f>
        <v>0</v>
      </c>
      <c r="AA597" s="2114">
        <f>D597-'Blocking-Step2'!D597</f>
        <v>0</v>
      </c>
      <c r="AC597" s="2114">
        <f>F597-'Blocking-Step2'!F597</f>
        <v>0</v>
      </c>
      <c r="AE597" s="2114">
        <f>H597-'Blocking-Step2'!H597</f>
        <v>0</v>
      </c>
      <c r="AF597" s="2114">
        <f>I597-'Blocking-Step2'!I597</f>
        <v>0</v>
      </c>
      <c r="AH597" s="2136">
        <f>K597-'Blocking-Step2'!K597</f>
        <v>0</v>
      </c>
      <c r="AJ597" s="2136">
        <f>M597-'Blocking-Step2'!M597</f>
        <v>0</v>
      </c>
      <c r="AL597" s="2136">
        <f>O597-'Blocking-Step2'!O597</f>
        <v>0</v>
      </c>
      <c r="AN597" s="2137">
        <f>Q597-'Blocking-Step2'!Q597</f>
        <v>0</v>
      </c>
      <c r="AP597" s="2127">
        <f>S597-'Blocking-Step2'!S597</f>
        <v>0</v>
      </c>
      <c r="AR597" s="2127">
        <f>U597-'Blocking-Step2'!U597</f>
        <v>0</v>
      </c>
      <c r="AT597" s="2127">
        <f>W597-'Blocking-Step2'!W597</f>
        <v>0</v>
      </c>
      <c r="AV597" s="2128">
        <f>Y597-'Blocking-Step2'!Y597</f>
        <v>0</v>
      </c>
    </row>
    <row r="598" spans="1:48" ht="16.5" hidden="1" thickTop="1">
      <c r="A598" s="1116" t="s">
        <v>1363</v>
      </c>
      <c r="C598" s="1105">
        <v>2592</v>
      </c>
      <c r="D598" s="1105">
        <v>3369.4067321178118</v>
      </c>
      <c r="F598" s="1106">
        <v>3.5143</v>
      </c>
      <c r="G598" s="1921" t="s">
        <v>495</v>
      </c>
      <c r="H598" s="1146">
        <v>91</v>
      </c>
      <c r="I598" s="1146">
        <v>118</v>
      </c>
      <c r="K598" s="1106"/>
      <c r="L598" s="1921"/>
      <c r="M598" s="1106"/>
      <c r="N598" s="1921"/>
      <c r="O598" s="1106"/>
      <c r="P598" s="1921"/>
      <c r="Q598" s="1106"/>
      <c r="R598" s="1921"/>
      <c r="S598" s="1648"/>
      <c r="T598" s="1648"/>
      <c r="U598" s="1648"/>
      <c r="V598" s="1648"/>
      <c r="W598" s="1648"/>
      <c r="X598" s="1648"/>
      <c r="Y598" s="1146"/>
      <c r="Z598" s="2114">
        <f>C598-'Blocking-Step2'!C598</f>
        <v>0</v>
      </c>
      <c r="AA598" s="2114">
        <f>D598-'Blocking-Step2'!D598</f>
        <v>0</v>
      </c>
      <c r="AC598" s="2114">
        <f>F598-'Blocking-Step2'!F598</f>
        <v>0</v>
      </c>
      <c r="AE598" s="2114">
        <f>H598-'Blocking-Step2'!H598</f>
        <v>0</v>
      </c>
      <c r="AF598" s="2114">
        <f>I598-'Blocking-Step2'!I598</f>
        <v>0</v>
      </c>
      <c r="AH598" s="2136">
        <f>K598-'Blocking-Step2'!K598</f>
        <v>0</v>
      </c>
      <c r="AJ598" s="2136">
        <f>M598-'Blocking-Step2'!M598</f>
        <v>0</v>
      </c>
      <c r="AL598" s="2136">
        <f>O598-'Blocking-Step2'!O598</f>
        <v>0</v>
      </c>
      <c r="AN598" s="2137">
        <f>Q598-'Blocking-Step2'!Q598</f>
        <v>0</v>
      </c>
      <c r="AP598" s="2127">
        <f>S598-'Blocking-Step2'!S598</f>
        <v>0</v>
      </c>
      <c r="AR598" s="2127">
        <f>U598-'Blocking-Step2'!U598</f>
        <v>0</v>
      </c>
      <c r="AT598" s="2127">
        <f>W598-'Blocking-Step2'!W598</f>
        <v>0</v>
      </c>
      <c r="AV598" s="2128">
        <f>Y598-'Blocking-Step2'!Y598</f>
        <v>0</v>
      </c>
    </row>
    <row r="599" spans="1:48" ht="16.5" hidden="1" thickTop="1">
      <c r="A599" s="1116" t="s">
        <v>246</v>
      </c>
      <c r="C599" s="1940">
        <v>0</v>
      </c>
      <c r="D599" s="1940">
        <v>0</v>
      </c>
      <c r="H599" s="1147">
        <v>0</v>
      </c>
      <c r="I599" s="1147">
        <v>0</v>
      </c>
      <c r="Y599" s="1147"/>
      <c r="Z599" s="2114">
        <f>C599-'Blocking-Step2'!C599</f>
        <v>0</v>
      </c>
      <c r="AA599" s="2114">
        <f>D599-'Blocking-Step2'!D599</f>
        <v>0</v>
      </c>
      <c r="AC599" s="2114">
        <f>F599-'Blocking-Step2'!F599</f>
        <v>0</v>
      </c>
      <c r="AE599" s="2114">
        <f>H599-'Blocking-Step2'!H599</f>
        <v>0</v>
      </c>
      <c r="AF599" s="2114">
        <f>I599-'Blocking-Step2'!I599</f>
        <v>0</v>
      </c>
      <c r="AH599" s="2136">
        <f>K599-'Blocking-Step2'!K599</f>
        <v>0</v>
      </c>
      <c r="AJ599" s="2136">
        <f>M599-'Blocking-Step2'!M599</f>
        <v>0</v>
      </c>
      <c r="AL599" s="2136">
        <f>O599-'Blocking-Step2'!O599</f>
        <v>0</v>
      </c>
      <c r="AN599" s="2137">
        <f>Q599-'Blocking-Step2'!Q599</f>
        <v>0</v>
      </c>
      <c r="AP599" s="2127">
        <f>S599-'Blocking-Step2'!S599</f>
        <v>0</v>
      </c>
      <c r="AR599" s="2127">
        <f>U599-'Blocking-Step2'!U599</f>
        <v>0</v>
      </c>
      <c r="AT599" s="2127">
        <f>W599-'Blocking-Step2'!W599</f>
        <v>0</v>
      </c>
      <c r="AV599" s="2128">
        <f>Y599-'Blocking-Step2'!Y599</f>
        <v>0</v>
      </c>
    </row>
    <row r="600" spans="1:48" ht="16.5" hidden="1" thickTop="1">
      <c r="A600" s="1116" t="s">
        <v>1240</v>
      </c>
      <c r="C600" s="1024"/>
      <c r="D600" s="1024"/>
      <c r="F600" s="2076">
        <v>-3.61E-2</v>
      </c>
      <c r="G600" s="617"/>
      <c r="H600" s="1146">
        <v>-88.011799999999994</v>
      </c>
      <c r="I600" s="1146">
        <v>-114.2204</v>
      </c>
      <c r="K600" s="2076"/>
      <c r="L600" s="617"/>
      <c r="M600" s="2076"/>
      <c r="N600" s="617"/>
      <c r="O600" s="2077" t="s">
        <v>2323</v>
      </c>
      <c r="P600" s="617"/>
      <c r="Q600" s="2076">
        <v>-2.76E-2</v>
      </c>
      <c r="R600" s="617"/>
      <c r="S600" s="1114"/>
      <c r="T600" s="1114"/>
      <c r="U600" s="1114"/>
      <c r="V600" s="1114"/>
      <c r="W600" s="1114"/>
      <c r="X600" s="1114"/>
      <c r="Y600" s="1146">
        <v>-78.798000000000002</v>
      </c>
      <c r="Z600" s="2114">
        <f>C600-'Blocking-Step2'!C600</f>
        <v>0</v>
      </c>
      <c r="AA600" s="2114">
        <f>D600-'Blocking-Step2'!D600</f>
        <v>0</v>
      </c>
      <c r="AC600" s="2114">
        <f>F600-'Blocking-Step2'!F600</f>
        <v>0</v>
      </c>
      <c r="AE600" s="2114">
        <f>H600-'Blocking-Step2'!H600</f>
        <v>0</v>
      </c>
      <c r="AF600" s="2114">
        <f>I600-'Blocking-Step2'!I600</f>
        <v>0</v>
      </c>
      <c r="AH600" s="2136">
        <f>K600-'Blocking-Step2'!K600</f>
        <v>0</v>
      </c>
      <c r="AJ600" s="2136">
        <f>M600-'Blocking-Step2'!M600</f>
        <v>0</v>
      </c>
      <c r="AL600" s="2136" t="e">
        <f>O600-'Blocking-Step2'!O600</f>
        <v>#VALUE!</v>
      </c>
      <c r="AN600" s="2137">
        <f>Q600-'Blocking-Step2'!Q600</f>
        <v>0</v>
      </c>
      <c r="AP600" s="2127">
        <f>S600-'Blocking-Step2'!S600</f>
        <v>0</v>
      </c>
      <c r="AR600" s="2127">
        <f>U600-'Blocking-Step2'!U600</f>
        <v>0</v>
      </c>
      <c r="AT600" s="2127">
        <f>W600-'Blocking-Step2'!W600</f>
        <v>0</v>
      </c>
      <c r="AV600" s="2128">
        <f>Y600-'Blocking-Step2'!Y600</f>
        <v>0</v>
      </c>
    </row>
    <row r="601" spans="1:48" ht="16.5" hidden="1" thickTop="1">
      <c r="A601" s="1116"/>
      <c r="C601" s="1024"/>
      <c r="D601" s="1024"/>
      <c r="F601" s="2076"/>
      <c r="G601" s="617"/>
      <c r="H601" s="1146"/>
      <c r="I601" s="1146"/>
      <c r="K601" s="2076"/>
      <c r="L601" s="617"/>
      <c r="M601" s="2076"/>
      <c r="N601" s="617"/>
      <c r="O601" s="2077" t="s">
        <v>2324</v>
      </c>
      <c r="P601" s="617"/>
      <c r="Q601" s="2076">
        <v>-1.4999999999999999E-2</v>
      </c>
      <c r="R601" s="617"/>
      <c r="S601" s="1114"/>
      <c r="T601" s="1114"/>
      <c r="U601" s="1114"/>
      <c r="V601" s="1114"/>
      <c r="W601" s="1114"/>
      <c r="X601" s="1114"/>
      <c r="Y601" s="1146">
        <v>-42.824999999999996</v>
      </c>
      <c r="Z601" s="2114">
        <f>C601-'Blocking-Step2'!C601</f>
        <v>0</v>
      </c>
      <c r="AA601" s="2114">
        <f>D601-'Blocking-Step2'!D601</f>
        <v>0</v>
      </c>
      <c r="AC601" s="2114">
        <f>F601-'Blocking-Step2'!F601</f>
        <v>0</v>
      </c>
      <c r="AE601" s="2114">
        <f>H601-'Blocking-Step2'!H601</f>
        <v>0</v>
      </c>
      <c r="AF601" s="2114">
        <f>I601-'Blocking-Step2'!I601</f>
        <v>0</v>
      </c>
      <c r="AH601" s="2136">
        <f>K601-'Blocking-Step2'!K601</f>
        <v>0</v>
      </c>
      <c r="AJ601" s="2136">
        <f>M601-'Blocking-Step2'!M601</f>
        <v>0</v>
      </c>
      <c r="AL601" s="2136" t="e">
        <f>O601-'Blocking-Step2'!O601</f>
        <v>#VALUE!</v>
      </c>
      <c r="AN601" s="2137">
        <f>Q601-'Blocking-Step2'!Q601</f>
        <v>0</v>
      </c>
      <c r="AP601" s="2127">
        <f>S601-'Blocking-Step2'!S601</f>
        <v>0</v>
      </c>
      <c r="AR601" s="2127">
        <f>U601-'Blocking-Step2'!U601</f>
        <v>0</v>
      </c>
      <c r="AT601" s="2127">
        <f>W601-'Blocking-Step2'!W601</f>
        <v>0</v>
      </c>
      <c r="AV601" s="2128">
        <f>Y601-'Blocking-Step2'!Y601</f>
        <v>0</v>
      </c>
    </row>
    <row r="602" spans="1:48" ht="17.25" hidden="1" thickTop="1" thickBot="1">
      <c r="A602" s="1116" t="s">
        <v>247</v>
      </c>
      <c r="C602" s="1138">
        <v>12762</v>
      </c>
      <c r="D602" s="1138">
        <v>16589.406732117812</v>
      </c>
      <c r="F602" s="1145"/>
      <c r="H602" s="1149">
        <v>3291.9881999999998</v>
      </c>
      <c r="I602" s="1149">
        <v>4274.7795999999998</v>
      </c>
      <c r="K602" s="1145"/>
      <c r="M602" s="1145"/>
      <c r="O602" s="1145"/>
      <c r="Q602" s="1145"/>
      <c r="S602" s="1149">
        <v>1307</v>
      </c>
      <c r="U602" s="1149">
        <v>2399</v>
      </c>
      <c r="W602" s="1149">
        <v>372</v>
      </c>
      <c r="Y602" s="1149">
        <v>4078</v>
      </c>
      <c r="Z602" s="2114">
        <f>C602-'Blocking-Step2'!C602</f>
        <v>0</v>
      </c>
      <c r="AA602" s="2114">
        <f>D602-'Blocking-Step2'!D602</f>
        <v>0</v>
      </c>
      <c r="AC602" s="2114">
        <f>F602-'Blocking-Step2'!F602</f>
        <v>0</v>
      </c>
      <c r="AE602" s="2114">
        <f>H602-'Blocking-Step2'!H602</f>
        <v>0</v>
      </c>
      <c r="AF602" s="2114">
        <f>I602-'Blocking-Step2'!I602</f>
        <v>0</v>
      </c>
      <c r="AH602" s="2136">
        <f>K602-'Blocking-Step2'!K602</f>
        <v>0</v>
      </c>
      <c r="AJ602" s="2136">
        <f>M602-'Blocking-Step2'!M602</f>
        <v>0</v>
      </c>
      <c r="AL602" s="2136">
        <f>O602-'Blocking-Step2'!O602</f>
        <v>0</v>
      </c>
      <c r="AN602" s="2137">
        <f>Q602-'Blocking-Step2'!Q602</f>
        <v>0</v>
      </c>
      <c r="AP602" s="2127">
        <f>S602-'Blocking-Step2'!S602</f>
        <v>-968</v>
      </c>
      <c r="AR602" s="2127">
        <f>U602-'Blocking-Step2'!U602</f>
        <v>967</v>
      </c>
      <c r="AT602" s="2127">
        <f>W602-'Blocking-Step2'!W602</f>
        <v>0</v>
      </c>
      <c r="AV602" s="2128">
        <f>Y602-'Blocking-Step2'!Y602</f>
        <v>0</v>
      </c>
    </row>
    <row r="603" spans="1:48" ht="16.5" hidden="1" thickTop="1">
      <c r="C603" s="1105"/>
      <c r="D603" s="1105"/>
      <c r="Z603" s="2114">
        <f>C603-'Blocking-Step2'!C603</f>
        <v>0</v>
      </c>
      <c r="AA603" s="2114">
        <f>D603-'Blocking-Step2'!D603</f>
        <v>0</v>
      </c>
      <c r="AC603" s="2114">
        <f>F603-'Blocking-Step2'!F603</f>
        <v>0</v>
      </c>
      <c r="AE603" s="2114">
        <f>H603-'Blocking-Step2'!H603</f>
        <v>0</v>
      </c>
      <c r="AF603" s="2114">
        <f>I603-'Blocking-Step2'!I603</f>
        <v>0</v>
      </c>
      <c r="AH603" s="2136">
        <f>K603-'Blocking-Step2'!K603</f>
        <v>0</v>
      </c>
      <c r="AJ603" s="2136">
        <f>M603-'Blocking-Step2'!M603</f>
        <v>0</v>
      </c>
      <c r="AL603" s="2136">
        <f>O603-'Blocking-Step2'!O603</f>
        <v>0</v>
      </c>
      <c r="AN603" s="2137">
        <f>Q603-'Blocking-Step2'!Q603</f>
        <v>0</v>
      </c>
      <c r="AP603" s="2127">
        <f>S603-'Blocking-Step2'!S603</f>
        <v>0</v>
      </c>
      <c r="AR603" s="2127">
        <f>U603-'Blocking-Step2'!U603</f>
        <v>0</v>
      </c>
      <c r="AT603" s="2127">
        <f>W603-'Blocking-Step2'!W603</f>
        <v>0</v>
      </c>
      <c r="AV603" s="2128">
        <f>Y603-'Blocking-Step2'!Y603</f>
        <v>0</v>
      </c>
    </row>
    <row r="604" spans="1:48" ht="16.5" hidden="1" thickTop="1">
      <c r="A604" s="1115" t="s">
        <v>1927</v>
      </c>
      <c r="C604" s="1105"/>
      <c r="D604" s="1105"/>
      <c r="E604" s="617"/>
      <c r="J604" s="617"/>
      <c r="Z604" s="2114">
        <f>C604-'Blocking-Step2'!C604</f>
        <v>0</v>
      </c>
      <c r="AA604" s="2114">
        <f>D604-'Blocking-Step2'!D604</f>
        <v>0</v>
      </c>
      <c r="AC604" s="2114">
        <f>F604-'Blocking-Step2'!F604</f>
        <v>0</v>
      </c>
      <c r="AE604" s="2114">
        <f>H604-'Blocking-Step2'!H604</f>
        <v>0</v>
      </c>
      <c r="AF604" s="2114">
        <f>I604-'Blocking-Step2'!I604</f>
        <v>0</v>
      </c>
      <c r="AH604" s="2136">
        <f>K604-'Blocking-Step2'!K604</f>
        <v>0</v>
      </c>
      <c r="AJ604" s="2136">
        <f>M604-'Blocking-Step2'!M604</f>
        <v>0</v>
      </c>
      <c r="AL604" s="2136">
        <f>O604-'Blocking-Step2'!O604</f>
        <v>0</v>
      </c>
      <c r="AN604" s="2137">
        <f>Q604-'Blocking-Step2'!Q604</f>
        <v>0</v>
      </c>
      <c r="AP604" s="2127">
        <f>S604-'Blocking-Step2'!S604</f>
        <v>0</v>
      </c>
      <c r="AR604" s="2127">
        <f>U604-'Blocking-Step2'!U604</f>
        <v>0</v>
      </c>
      <c r="AT604" s="2127">
        <f>W604-'Blocking-Step2'!W604</f>
        <v>0</v>
      </c>
      <c r="AV604" s="2128">
        <f>Y604-'Blocking-Step2'!Y604</f>
        <v>0</v>
      </c>
    </row>
    <row r="605" spans="1:48" ht="16.5" hidden="1" thickTop="1">
      <c r="A605" s="1116" t="s">
        <v>240</v>
      </c>
      <c r="C605" s="1105">
        <v>54</v>
      </c>
      <c r="D605" s="1105">
        <v>54</v>
      </c>
      <c r="F605" s="1907"/>
      <c r="G605" s="1110"/>
      <c r="H605" s="1146"/>
      <c r="I605" s="1146"/>
      <c r="K605" s="1907">
        <v>54</v>
      </c>
      <c r="L605" s="1110"/>
      <c r="M605" s="1907">
        <v>0</v>
      </c>
      <c r="N605" s="1110"/>
      <c r="O605" s="1907">
        <v>0</v>
      </c>
      <c r="P605" s="1110"/>
      <c r="Q605" s="1907">
        <v>54</v>
      </c>
      <c r="R605" s="1110"/>
      <c r="S605" s="1146">
        <v>2916</v>
      </c>
      <c r="T605" s="1629"/>
      <c r="U605" s="1146">
        <v>0</v>
      </c>
      <c r="V605" s="1629"/>
      <c r="W605" s="1146">
        <v>0</v>
      </c>
      <c r="X605" s="1629"/>
      <c r="Y605" s="1146">
        <v>2916</v>
      </c>
      <c r="Z605" s="2114">
        <f>C605-'Blocking-Step2'!C605</f>
        <v>0</v>
      </c>
      <c r="AA605" s="2114">
        <f>D605-'Blocking-Step2'!D605</f>
        <v>0</v>
      </c>
      <c r="AC605" s="2114">
        <f>F605-'Blocking-Step2'!F605</f>
        <v>0</v>
      </c>
      <c r="AE605" s="2114">
        <f>H605-'Blocking-Step2'!H605</f>
        <v>0</v>
      </c>
      <c r="AF605" s="2114">
        <f>I605-'Blocking-Step2'!I605</f>
        <v>0</v>
      </c>
      <c r="AH605" s="2136">
        <f>K605-'Blocking-Step2'!K605</f>
        <v>0</v>
      </c>
      <c r="AJ605" s="2136">
        <f>M605-'Blocking-Step2'!M605</f>
        <v>0</v>
      </c>
      <c r="AL605" s="2136">
        <f>O605-'Blocking-Step2'!O605</f>
        <v>0</v>
      </c>
      <c r="AN605" s="2137">
        <f>Q605-'Blocking-Step2'!Q605</f>
        <v>0</v>
      </c>
      <c r="AP605" s="2127">
        <f>S605-'Blocking-Step2'!S605</f>
        <v>0</v>
      </c>
      <c r="AR605" s="2127">
        <f>U605-'Blocking-Step2'!U605</f>
        <v>0</v>
      </c>
      <c r="AT605" s="2127">
        <f>W605-'Blocking-Step2'!W605</f>
        <v>0</v>
      </c>
      <c r="AV605" s="2128">
        <f>Y605-'Blocking-Step2'!Y605</f>
        <v>0</v>
      </c>
    </row>
    <row r="606" spans="1:48" ht="16.5" hidden="1" thickTop="1">
      <c r="A606" s="1116" t="s">
        <v>1910</v>
      </c>
      <c r="C606" s="1105">
        <v>20514.5</v>
      </c>
      <c r="D606" s="1105">
        <v>20711.583208003216</v>
      </c>
      <c r="E606" s="617"/>
      <c r="F606" s="1143"/>
      <c r="G606" s="1921"/>
      <c r="H606" s="1146"/>
      <c r="I606" s="1146"/>
      <c r="J606" s="617"/>
      <c r="K606" s="1143">
        <v>1.657</v>
      </c>
      <c r="L606" s="1921" t="s">
        <v>495</v>
      </c>
      <c r="M606" s="1143">
        <v>19.370528114911814</v>
      </c>
      <c r="N606" s="1921" t="s">
        <v>495</v>
      </c>
      <c r="O606" s="1143">
        <v>1.3496999999999999</v>
      </c>
      <c r="P606" s="1921" t="s">
        <v>495</v>
      </c>
      <c r="Q606" s="1143">
        <v>22.377228114911812</v>
      </c>
      <c r="R606" s="1921" t="s">
        <v>495</v>
      </c>
      <c r="S606" s="1146">
        <v>343</v>
      </c>
      <c r="T606" s="1648"/>
      <c r="U606" s="1146">
        <v>4012</v>
      </c>
      <c r="V606" s="1648"/>
      <c r="W606" s="1146">
        <v>280</v>
      </c>
      <c r="X606" s="1648"/>
      <c r="Y606" s="1146">
        <v>4635</v>
      </c>
      <c r="Z606" s="2114">
        <f>C606-'Blocking-Step2'!C606</f>
        <v>0</v>
      </c>
      <c r="AA606" s="2114">
        <f>D606-'Blocking-Step2'!D606</f>
        <v>0</v>
      </c>
      <c r="AC606" s="2114">
        <f>F606-'Blocking-Step2'!F606</f>
        <v>0</v>
      </c>
      <c r="AE606" s="2114">
        <f>H606-'Blocking-Step2'!H606</f>
        <v>0</v>
      </c>
      <c r="AF606" s="2114">
        <f>I606-'Blocking-Step2'!I606</f>
        <v>0</v>
      </c>
      <c r="AH606" s="2136">
        <f>K606-'Blocking-Step2'!K606</f>
        <v>-2.2955000000000001</v>
      </c>
      <c r="AJ606" s="2136">
        <f>M606-'Blocking-Step2'!M606</f>
        <v>2.2955000000000005</v>
      </c>
      <c r="AL606" s="2136">
        <f>O606-'Blocking-Step2'!O606</f>
        <v>0</v>
      </c>
      <c r="AN606" s="2137">
        <f>Q606-'Blocking-Step2'!Q606</f>
        <v>0</v>
      </c>
      <c r="AP606" s="2127">
        <f>S606-'Blocking-Step2'!S606</f>
        <v>-476</v>
      </c>
      <c r="AR606" s="2127">
        <f>U606-'Blocking-Step2'!U606</f>
        <v>475</v>
      </c>
      <c r="AT606" s="2127">
        <f>W606-'Blocking-Step2'!W606</f>
        <v>0</v>
      </c>
      <c r="AV606" s="2128">
        <f>Y606-'Blocking-Step2'!Y606</f>
        <v>0</v>
      </c>
    </row>
    <row r="607" spans="1:48" ht="16.5" hidden="1" thickTop="1">
      <c r="A607" s="1116" t="s">
        <v>1911</v>
      </c>
      <c r="C607" s="1105">
        <v>21924</v>
      </c>
      <c r="D607" s="1105">
        <v>22134.624302433036</v>
      </c>
      <c r="E607" s="617"/>
      <c r="F607" s="1143"/>
      <c r="G607" s="1921"/>
      <c r="H607" s="1146"/>
      <c r="I607" s="1146"/>
      <c r="J607" s="617"/>
      <c r="K607" s="1143">
        <v>1.657</v>
      </c>
      <c r="L607" s="1921" t="s">
        <v>495</v>
      </c>
      <c r="M607" s="1143">
        <v>1.3803172825590004</v>
      </c>
      <c r="N607" s="1921" t="s">
        <v>495</v>
      </c>
      <c r="O607" s="1143">
        <v>1.3496999999999999</v>
      </c>
      <c r="P607" s="1921" t="s">
        <v>495</v>
      </c>
      <c r="Q607" s="1143">
        <v>4.3870172825590004</v>
      </c>
      <c r="R607" s="1921" t="s">
        <v>495</v>
      </c>
      <c r="S607" s="1146">
        <v>367</v>
      </c>
      <c r="T607" s="1648"/>
      <c r="U607" s="1146">
        <v>306</v>
      </c>
      <c r="V607" s="1648"/>
      <c r="W607" s="1146">
        <v>299</v>
      </c>
      <c r="X607" s="1648"/>
      <c r="Y607" s="1146">
        <v>971</v>
      </c>
      <c r="Z607" s="2114">
        <f>C607-'Blocking-Step2'!C607</f>
        <v>0</v>
      </c>
      <c r="AA607" s="2114">
        <f>D607-'Blocking-Step2'!D607</f>
        <v>0</v>
      </c>
      <c r="AC607" s="2114">
        <f>F607-'Blocking-Step2'!F607</f>
        <v>0</v>
      </c>
      <c r="AE607" s="2114">
        <f>H607-'Blocking-Step2'!H607</f>
        <v>0</v>
      </c>
      <c r="AF607" s="2114">
        <f>I607-'Blocking-Step2'!I607</f>
        <v>0</v>
      </c>
      <c r="AH607" s="2136">
        <f>K607-'Blocking-Step2'!K607</f>
        <v>-2.2955000000000001</v>
      </c>
      <c r="AJ607" s="2136">
        <f>M607-'Blocking-Step2'!M607</f>
        <v>2.2955000000000001</v>
      </c>
      <c r="AL607" s="2136">
        <f>O607-'Blocking-Step2'!O607</f>
        <v>0</v>
      </c>
      <c r="AN607" s="2137">
        <f>Q607-'Blocking-Step2'!Q607</f>
        <v>0</v>
      </c>
      <c r="AP607" s="2127">
        <f>S607-'Blocking-Step2'!S607</f>
        <v>-508</v>
      </c>
      <c r="AR607" s="2127">
        <f>U607-'Blocking-Step2'!U607</f>
        <v>509</v>
      </c>
      <c r="AT607" s="2127">
        <f>W607-'Blocking-Step2'!W607</f>
        <v>0</v>
      </c>
      <c r="AV607" s="2128">
        <f>Y607-'Blocking-Step2'!Y607</f>
        <v>0</v>
      </c>
    </row>
    <row r="608" spans="1:48" ht="16.5" hidden="1" thickTop="1">
      <c r="A608" s="1116" t="s">
        <v>1912</v>
      </c>
      <c r="C608" s="1105">
        <v>43500.5</v>
      </c>
      <c r="D608" s="1105">
        <v>43918.410165480214</v>
      </c>
      <c r="E608" s="617"/>
      <c r="F608" s="1143"/>
      <c r="G608" s="1921"/>
      <c r="H608" s="1146"/>
      <c r="I608" s="1146"/>
      <c r="J608" s="617"/>
      <c r="K608" s="1143">
        <v>1.657</v>
      </c>
      <c r="L608" s="1921" t="s">
        <v>495</v>
      </c>
      <c r="M608" s="1143">
        <v>16.951500000000003</v>
      </c>
      <c r="N608" s="1921" t="s">
        <v>495</v>
      </c>
      <c r="O608" s="1143">
        <v>1.1943999999999999</v>
      </c>
      <c r="P608" s="1921" t="s">
        <v>495</v>
      </c>
      <c r="Q608" s="1143">
        <v>19.802900000000001</v>
      </c>
      <c r="R608" s="1921" t="s">
        <v>495</v>
      </c>
      <c r="S608" s="1146">
        <v>728</v>
      </c>
      <c r="T608" s="1648"/>
      <c r="U608" s="1146">
        <v>7445</v>
      </c>
      <c r="V608" s="1648"/>
      <c r="W608" s="1146">
        <v>525</v>
      </c>
      <c r="X608" s="1648"/>
      <c r="Y608" s="1146">
        <v>8697</v>
      </c>
      <c r="Z608" s="2114">
        <f>C608-'Blocking-Step2'!C608</f>
        <v>0</v>
      </c>
      <c r="AA608" s="2114">
        <f>D608-'Blocking-Step2'!D608</f>
        <v>0</v>
      </c>
      <c r="AC608" s="2114">
        <f>F608-'Blocking-Step2'!F608</f>
        <v>0</v>
      </c>
      <c r="AE608" s="2114">
        <f>H608-'Blocking-Step2'!H608</f>
        <v>0</v>
      </c>
      <c r="AF608" s="2114">
        <f>I608-'Blocking-Step2'!I608</f>
        <v>0</v>
      </c>
      <c r="AH608" s="2136">
        <f>K608-'Blocking-Step2'!K608</f>
        <v>-2.2955000000000001</v>
      </c>
      <c r="AJ608" s="2136">
        <f>M608-'Blocking-Step2'!M608</f>
        <v>2.2955000000000023</v>
      </c>
      <c r="AL608" s="2136">
        <f>O608-'Blocking-Step2'!O608</f>
        <v>0</v>
      </c>
      <c r="AN608" s="2137">
        <f>Q608-'Blocking-Step2'!Q608</f>
        <v>0</v>
      </c>
      <c r="AP608" s="2127">
        <f>S608-'Blocking-Step2'!S608</f>
        <v>-1008</v>
      </c>
      <c r="AR608" s="2127">
        <f>U608-'Blocking-Step2'!U608</f>
        <v>1008</v>
      </c>
      <c r="AT608" s="2127">
        <f>W608-'Blocking-Step2'!W608</f>
        <v>0</v>
      </c>
      <c r="AV608" s="2128">
        <f>Y608-'Blocking-Step2'!Y608</f>
        <v>0</v>
      </c>
    </row>
    <row r="609" spans="1:48" ht="16.5" hidden="1" thickTop="1">
      <c r="A609" s="1116" t="s">
        <v>1913</v>
      </c>
      <c r="C609" s="1105">
        <v>25370.5</v>
      </c>
      <c r="D609" s="1105">
        <v>25614.234896226844</v>
      </c>
      <c r="E609" s="617"/>
      <c r="F609" s="1143"/>
      <c r="G609" s="1921"/>
      <c r="H609" s="1146"/>
      <c r="I609" s="1146"/>
      <c r="J609" s="617"/>
      <c r="K609" s="1143">
        <v>1.657</v>
      </c>
      <c r="L609" s="1921" t="s">
        <v>495</v>
      </c>
      <c r="M609" s="1143">
        <v>1.0308999999999999</v>
      </c>
      <c r="N609" s="1921" t="s">
        <v>495</v>
      </c>
      <c r="O609" s="1143">
        <v>1.1943999999999999</v>
      </c>
      <c r="P609" s="1921" t="s">
        <v>495</v>
      </c>
      <c r="Q609" s="1143">
        <v>3.8822999999999999</v>
      </c>
      <c r="R609" s="1921" t="s">
        <v>495</v>
      </c>
      <c r="S609" s="1146">
        <v>424</v>
      </c>
      <c r="T609" s="1648"/>
      <c r="U609" s="1146">
        <v>264</v>
      </c>
      <c r="V609" s="1648"/>
      <c r="W609" s="1146">
        <v>306</v>
      </c>
      <c r="X609" s="1648"/>
      <c r="Y609" s="1146">
        <v>994</v>
      </c>
      <c r="Z609" s="2114">
        <f>C609-'Blocking-Step2'!C609</f>
        <v>0</v>
      </c>
      <c r="AA609" s="2114">
        <f>D609-'Blocking-Step2'!D609</f>
        <v>0</v>
      </c>
      <c r="AC609" s="2114">
        <f>F609-'Blocking-Step2'!F609</f>
        <v>0</v>
      </c>
      <c r="AE609" s="2114">
        <f>H609-'Blocking-Step2'!H609</f>
        <v>0</v>
      </c>
      <c r="AF609" s="2114">
        <f>I609-'Blocking-Step2'!I609</f>
        <v>0</v>
      </c>
      <c r="AH609" s="2136">
        <f>K609-'Blocking-Step2'!K609</f>
        <v>-2.2955000000000001</v>
      </c>
      <c r="AJ609" s="2136">
        <f>M609-'Blocking-Step2'!M609</f>
        <v>2.2955000000000001</v>
      </c>
      <c r="AL609" s="2136">
        <f>O609-'Blocking-Step2'!O609</f>
        <v>0</v>
      </c>
      <c r="AN609" s="2137">
        <f>Q609-'Blocking-Step2'!Q609</f>
        <v>0</v>
      </c>
      <c r="AP609" s="2127">
        <f>S609-'Blocking-Step2'!S609</f>
        <v>-588</v>
      </c>
      <c r="AR609" s="2127">
        <f>U609-'Blocking-Step2'!U609</f>
        <v>588</v>
      </c>
      <c r="AT609" s="2127">
        <f>W609-'Blocking-Step2'!W609</f>
        <v>0</v>
      </c>
      <c r="AV609" s="2128">
        <f>Y609-'Blocking-Step2'!Y609</f>
        <v>0</v>
      </c>
    </row>
    <row r="610" spans="1:48" ht="16.5" hidden="1" thickTop="1">
      <c r="A610" s="1116" t="s">
        <v>1906</v>
      </c>
      <c r="C610" s="1105">
        <v>23568.242354788523</v>
      </c>
      <c r="D610" s="1105">
        <v>23794.662926105346</v>
      </c>
      <c r="E610" s="617"/>
      <c r="F610" s="1143"/>
      <c r="G610" s="1921"/>
      <c r="H610" s="1146"/>
      <c r="I610" s="1146"/>
      <c r="J610" s="617"/>
      <c r="K610" s="1143">
        <v>0</v>
      </c>
      <c r="L610" s="1921" t="s">
        <v>495</v>
      </c>
      <c r="M610" s="1143">
        <v>0</v>
      </c>
      <c r="N610" s="1921" t="s">
        <v>495</v>
      </c>
      <c r="O610" s="1143">
        <v>6</v>
      </c>
      <c r="P610" s="1921" t="s">
        <v>495</v>
      </c>
      <c r="Q610" s="1143">
        <v>6</v>
      </c>
      <c r="R610" s="1921" t="s">
        <v>495</v>
      </c>
      <c r="S610" s="1146">
        <v>0</v>
      </c>
      <c r="T610" s="1648"/>
      <c r="U610" s="1146">
        <v>0</v>
      </c>
      <c r="V610" s="1648"/>
      <c r="W610" s="1146">
        <v>1428</v>
      </c>
      <c r="X610" s="1648"/>
      <c r="Y610" s="1146">
        <v>1428</v>
      </c>
      <c r="Z610" s="2114">
        <f>C610-'Blocking-Step2'!C610</f>
        <v>0</v>
      </c>
      <c r="AA610" s="2114">
        <f>D610-'Blocking-Step2'!D610</f>
        <v>0</v>
      </c>
      <c r="AC610" s="2114">
        <f>F610-'Blocking-Step2'!F610</f>
        <v>0</v>
      </c>
      <c r="AE610" s="2114">
        <f>H610-'Blocking-Step2'!H610</f>
        <v>0</v>
      </c>
      <c r="AF610" s="2114">
        <f>I610-'Blocking-Step2'!I610</f>
        <v>0</v>
      </c>
      <c r="AH610" s="2136">
        <f>K610-'Blocking-Step2'!K610</f>
        <v>0</v>
      </c>
      <c r="AJ610" s="2136">
        <f>M610-'Blocking-Step2'!M610</f>
        <v>0</v>
      </c>
      <c r="AL610" s="2136">
        <f>O610-'Blocking-Step2'!O610</f>
        <v>0</v>
      </c>
      <c r="AN610" s="2137">
        <f>Q610-'Blocking-Step2'!Q610</f>
        <v>0</v>
      </c>
      <c r="AP610" s="2127">
        <f>S610-'Blocking-Step2'!S610</f>
        <v>0</v>
      </c>
      <c r="AR610" s="2127">
        <f>U610-'Blocking-Step2'!U610</f>
        <v>0</v>
      </c>
      <c r="AT610" s="2127">
        <f>W610-'Blocking-Step2'!W610</f>
        <v>0</v>
      </c>
      <c r="AV610" s="2128">
        <f>Y610-'Blocking-Step2'!Y610</f>
        <v>0</v>
      </c>
    </row>
    <row r="611" spans="1:48" ht="16.5" hidden="1" thickTop="1">
      <c r="A611" s="1116" t="s">
        <v>1907</v>
      </c>
      <c r="C611" s="1105">
        <v>18870.257645211477</v>
      </c>
      <c r="D611" s="1105">
        <v>19051.544584330906</v>
      </c>
      <c r="E611" s="617"/>
      <c r="F611" s="1143"/>
      <c r="G611" s="1921"/>
      <c r="H611" s="1146"/>
      <c r="I611" s="1146"/>
      <c r="J611" s="617"/>
      <c r="K611" s="1143">
        <v>0</v>
      </c>
      <c r="L611" s="1921" t="s">
        <v>495</v>
      </c>
      <c r="M611" s="1143">
        <v>0</v>
      </c>
      <c r="N611" s="1921" t="s">
        <v>495</v>
      </c>
      <c r="O611" s="1143">
        <v>-2.3358000000000008</v>
      </c>
      <c r="P611" s="1921" t="s">
        <v>495</v>
      </c>
      <c r="Q611" s="1143">
        <v>-2.3358000000000008</v>
      </c>
      <c r="R611" s="1921" t="s">
        <v>495</v>
      </c>
      <c r="S611" s="1146">
        <v>0</v>
      </c>
      <c r="T611" s="1648"/>
      <c r="U611" s="1146">
        <v>0</v>
      </c>
      <c r="V611" s="1648"/>
      <c r="W611" s="1146">
        <v>-445</v>
      </c>
      <c r="X611" s="1648"/>
      <c r="Y611" s="1146">
        <v>-445</v>
      </c>
      <c r="Z611" s="2114">
        <f>C611-'Blocking-Step2'!C611</f>
        <v>0</v>
      </c>
      <c r="AA611" s="2114">
        <f>D611-'Blocking-Step2'!D611</f>
        <v>0</v>
      </c>
      <c r="AC611" s="2114">
        <f>F611-'Blocking-Step2'!F611</f>
        <v>0</v>
      </c>
      <c r="AE611" s="2114">
        <f>H611-'Blocking-Step2'!H611</f>
        <v>0</v>
      </c>
      <c r="AF611" s="2114">
        <f>I611-'Blocking-Step2'!I611</f>
        <v>0</v>
      </c>
      <c r="AH611" s="2136">
        <f>K611-'Blocking-Step2'!K611</f>
        <v>0</v>
      </c>
      <c r="AJ611" s="2136">
        <f>M611-'Blocking-Step2'!M611</f>
        <v>0</v>
      </c>
      <c r="AL611" s="2136">
        <f>O611-'Blocking-Step2'!O611</f>
        <v>0</v>
      </c>
      <c r="AN611" s="2137">
        <f>Q611-'Blocking-Step2'!Q611</f>
        <v>0</v>
      </c>
      <c r="AP611" s="2127">
        <f>S611-'Blocking-Step2'!S611</f>
        <v>0</v>
      </c>
      <c r="AR611" s="2127">
        <f>U611-'Blocking-Step2'!U611</f>
        <v>0</v>
      </c>
      <c r="AT611" s="2127">
        <f>W611-'Blocking-Step2'!W611</f>
        <v>0</v>
      </c>
      <c r="AV611" s="2128">
        <f>Y611-'Blocking-Step2'!Y611</f>
        <v>0</v>
      </c>
    </row>
    <row r="612" spans="1:48" ht="16.5" hidden="1" thickTop="1">
      <c r="A612" s="1116" t="s">
        <v>1908</v>
      </c>
      <c r="C612" s="1105">
        <v>38247.544546028723</v>
      </c>
      <c r="D612" s="1105">
        <v>38614.989464373175</v>
      </c>
      <c r="E612" s="617"/>
      <c r="F612" s="1143"/>
      <c r="G612" s="1921"/>
      <c r="H612" s="1146"/>
      <c r="I612" s="1146"/>
      <c r="J612" s="617"/>
      <c r="K612" s="1143">
        <v>0</v>
      </c>
      <c r="L612" s="1921" t="s">
        <v>495</v>
      </c>
      <c r="M612" s="1143">
        <v>0</v>
      </c>
      <c r="N612" s="1921" t="s">
        <v>495</v>
      </c>
      <c r="O612" s="1143">
        <v>5.3097000000000003</v>
      </c>
      <c r="P612" s="1921" t="s">
        <v>495</v>
      </c>
      <c r="Q612" s="1143">
        <v>5.3097000000000003</v>
      </c>
      <c r="R612" s="1921" t="s">
        <v>495</v>
      </c>
      <c r="S612" s="1146">
        <v>0</v>
      </c>
      <c r="T612" s="1648"/>
      <c r="U612" s="1146">
        <v>0</v>
      </c>
      <c r="V612" s="1648"/>
      <c r="W612" s="1146">
        <v>2050</v>
      </c>
      <c r="X612" s="1648"/>
      <c r="Y612" s="1146">
        <v>2050</v>
      </c>
      <c r="Z612" s="2114">
        <f>C612-'Blocking-Step2'!C612</f>
        <v>0</v>
      </c>
      <c r="AA612" s="2114">
        <f>D612-'Blocking-Step2'!D612</f>
        <v>0</v>
      </c>
      <c r="AC612" s="2114">
        <f>F612-'Blocking-Step2'!F612</f>
        <v>0</v>
      </c>
      <c r="AE612" s="2114">
        <f>H612-'Blocking-Step2'!H612</f>
        <v>0</v>
      </c>
      <c r="AF612" s="2114">
        <f>I612-'Blocking-Step2'!I612</f>
        <v>0</v>
      </c>
      <c r="AH612" s="2136">
        <f>K612-'Blocking-Step2'!K612</f>
        <v>0</v>
      </c>
      <c r="AJ612" s="2136">
        <f>M612-'Blocking-Step2'!M612</f>
        <v>0</v>
      </c>
      <c r="AL612" s="2136">
        <f>O612-'Blocking-Step2'!O612</f>
        <v>0</v>
      </c>
      <c r="AN612" s="2137">
        <f>Q612-'Blocking-Step2'!Q612</f>
        <v>0</v>
      </c>
      <c r="AP612" s="2127">
        <f>S612-'Blocking-Step2'!S612</f>
        <v>0</v>
      </c>
      <c r="AR612" s="2127">
        <f>U612-'Blocking-Step2'!U612</f>
        <v>0</v>
      </c>
      <c r="AT612" s="2127">
        <f>W612-'Blocking-Step2'!W612</f>
        <v>0</v>
      </c>
      <c r="AV612" s="2128">
        <f>Y612-'Blocking-Step2'!Y612</f>
        <v>0</v>
      </c>
    </row>
    <row r="613" spans="1:48" ht="16.5" hidden="1" thickTop="1">
      <c r="A613" s="1116" t="s">
        <v>1909</v>
      </c>
      <c r="C613" s="1105">
        <v>30623.455453971277</v>
      </c>
      <c r="D613" s="1105">
        <v>30917.655597333884</v>
      </c>
      <c r="E613" s="617"/>
      <c r="F613" s="1143"/>
      <c r="G613" s="1921"/>
      <c r="H613" s="1146"/>
      <c r="I613" s="1146"/>
      <c r="J613" s="617"/>
      <c r="K613" s="1143">
        <v>0</v>
      </c>
      <c r="L613" s="1921" t="s">
        <v>495</v>
      </c>
      <c r="M613" s="1143">
        <v>0</v>
      </c>
      <c r="N613" s="1921" t="s">
        <v>495</v>
      </c>
      <c r="O613" s="1143">
        <v>-2.0670999999999999</v>
      </c>
      <c r="P613" s="1921" t="s">
        <v>495</v>
      </c>
      <c r="Q613" s="1143">
        <v>-2.0670999999999999</v>
      </c>
      <c r="R613" s="1921" t="s">
        <v>495</v>
      </c>
      <c r="S613" s="1146">
        <v>0</v>
      </c>
      <c r="T613" s="1648"/>
      <c r="U613" s="1146">
        <v>0</v>
      </c>
      <c r="V613" s="1648"/>
      <c r="W613" s="1146">
        <v>-639</v>
      </c>
      <c r="X613" s="1648"/>
      <c r="Y613" s="1146">
        <v>-639</v>
      </c>
      <c r="Z613" s="2114">
        <f>C613-'Blocking-Step2'!C613</f>
        <v>0</v>
      </c>
      <c r="AA613" s="2114">
        <f>D613-'Blocking-Step2'!D613</f>
        <v>0</v>
      </c>
      <c r="AC613" s="2114">
        <f>F613-'Blocking-Step2'!F613</f>
        <v>0</v>
      </c>
      <c r="AE613" s="2114">
        <f>H613-'Blocking-Step2'!H613</f>
        <v>0</v>
      </c>
      <c r="AF613" s="2114">
        <f>I613-'Blocking-Step2'!I613</f>
        <v>0</v>
      </c>
      <c r="AH613" s="2136">
        <f>K613-'Blocking-Step2'!K613</f>
        <v>0</v>
      </c>
      <c r="AJ613" s="2136">
        <f>M613-'Blocking-Step2'!M613</f>
        <v>0</v>
      </c>
      <c r="AL613" s="2136">
        <f>O613-'Blocking-Step2'!O613</f>
        <v>0</v>
      </c>
      <c r="AN613" s="2137">
        <f>Q613-'Blocking-Step2'!Q613</f>
        <v>0</v>
      </c>
      <c r="AP613" s="2127">
        <f>S613-'Blocking-Step2'!S613</f>
        <v>0</v>
      </c>
      <c r="AR613" s="2127">
        <f>U613-'Blocking-Step2'!U613</f>
        <v>0</v>
      </c>
      <c r="AT613" s="2127">
        <f>W613-'Blocking-Step2'!W613</f>
        <v>0</v>
      </c>
      <c r="AV613" s="2128">
        <f>Y613-'Blocking-Step2'!Y613</f>
        <v>0</v>
      </c>
    </row>
    <row r="614" spans="1:48" ht="16.5" hidden="1" thickTop="1">
      <c r="A614" s="1116" t="s">
        <v>261</v>
      </c>
      <c r="C614" s="1105">
        <v>0</v>
      </c>
      <c r="D614" s="1105">
        <v>0</v>
      </c>
      <c r="F614" s="1907"/>
      <c r="G614" s="1110"/>
      <c r="H614" s="1146"/>
      <c r="I614" s="1146"/>
      <c r="K614" s="1907">
        <v>-0.61</v>
      </c>
      <c r="L614" s="1110"/>
      <c r="M614" s="1907">
        <v>0</v>
      </c>
      <c r="N614" s="1110"/>
      <c r="O614" s="1907">
        <v>0</v>
      </c>
      <c r="P614" s="1110"/>
      <c r="Q614" s="1907">
        <v>-0.61</v>
      </c>
      <c r="R614" s="1110"/>
      <c r="S614" s="1146">
        <v>0</v>
      </c>
      <c r="T614" s="1629"/>
      <c r="U614" s="1146">
        <v>0</v>
      </c>
      <c r="V614" s="1629"/>
      <c r="W614" s="1146">
        <v>0</v>
      </c>
      <c r="X614" s="1629"/>
      <c r="Y614" s="1146">
        <v>0</v>
      </c>
      <c r="Z614" s="2114">
        <f>C614-'Blocking-Step2'!C614</f>
        <v>0</v>
      </c>
      <c r="AA614" s="2114">
        <f>D614-'Blocking-Step2'!D614</f>
        <v>0</v>
      </c>
      <c r="AC614" s="2114">
        <f>F614-'Blocking-Step2'!F614</f>
        <v>0</v>
      </c>
      <c r="AE614" s="2114">
        <f>H614-'Blocking-Step2'!H614</f>
        <v>0</v>
      </c>
      <c r="AF614" s="2114">
        <f>I614-'Blocking-Step2'!I614</f>
        <v>0</v>
      </c>
      <c r="AH614" s="2136">
        <f>K614-'Blocking-Step2'!K614</f>
        <v>0</v>
      </c>
      <c r="AJ614" s="2136">
        <f>M614-'Blocking-Step2'!M614</f>
        <v>0</v>
      </c>
      <c r="AL614" s="2136">
        <f>O614-'Blocking-Step2'!O614</f>
        <v>0</v>
      </c>
      <c r="AN614" s="2137">
        <f>Q614-'Blocking-Step2'!Q614</f>
        <v>0</v>
      </c>
      <c r="AP614" s="2127">
        <f>S614-'Blocking-Step2'!S614</f>
        <v>0</v>
      </c>
      <c r="AR614" s="2127">
        <f>U614-'Blocking-Step2'!U614</f>
        <v>0</v>
      </c>
      <c r="AT614" s="2127">
        <f>W614-'Blocking-Step2'!W614</f>
        <v>0</v>
      </c>
      <c r="AV614" s="2128">
        <f>Y614-'Blocking-Step2'!Y614</f>
        <v>0</v>
      </c>
    </row>
    <row r="615" spans="1:48" ht="16.5" hidden="1" thickTop="1">
      <c r="A615" s="1116" t="s">
        <v>1158</v>
      </c>
      <c r="C615" s="1105">
        <v>0</v>
      </c>
      <c r="D615" s="1105">
        <v>0</v>
      </c>
      <c r="F615" s="1106"/>
      <c r="G615" s="1921"/>
      <c r="H615" s="1146"/>
      <c r="I615" s="1146"/>
      <c r="K615" s="1106">
        <v>0</v>
      </c>
      <c r="L615" s="1921" t="s">
        <v>495</v>
      </c>
      <c r="M615" s="1106">
        <v>7.125</v>
      </c>
      <c r="N615" s="1921" t="s">
        <v>495</v>
      </c>
      <c r="O615" s="1106">
        <v>0</v>
      </c>
      <c r="P615" s="1921" t="s">
        <v>495</v>
      </c>
      <c r="Q615" s="1106">
        <v>7.125</v>
      </c>
      <c r="R615" s="1921" t="s">
        <v>495</v>
      </c>
      <c r="S615" s="1146">
        <v>0</v>
      </c>
      <c r="T615" s="1648"/>
      <c r="U615" s="1146">
        <v>0</v>
      </c>
      <c r="V615" s="1648"/>
      <c r="W615" s="1146">
        <v>0</v>
      </c>
      <c r="X615" s="1648"/>
      <c r="Y615" s="1146">
        <v>0</v>
      </c>
      <c r="Z615" s="2114">
        <f>C615-'Blocking-Step2'!C615</f>
        <v>0</v>
      </c>
      <c r="AA615" s="2114">
        <f>D615-'Blocking-Step2'!D615</f>
        <v>0</v>
      </c>
      <c r="AC615" s="2114">
        <f>F615-'Blocking-Step2'!F615</f>
        <v>0</v>
      </c>
      <c r="AE615" s="2114">
        <f>H615-'Blocking-Step2'!H615</f>
        <v>0</v>
      </c>
      <c r="AF615" s="2114">
        <f>I615-'Blocking-Step2'!I615</f>
        <v>0</v>
      </c>
      <c r="AH615" s="2136">
        <f>K615-'Blocking-Step2'!K615</f>
        <v>0</v>
      </c>
      <c r="AJ615" s="2136">
        <f>M615-'Blocking-Step2'!M615</f>
        <v>0</v>
      </c>
      <c r="AL615" s="2136">
        <f>O615-'Blocking-Step2'!O615</f>
        <v>0</v>
      </c>
      <c r="AN615" s="2137">
        <f>Q615-'Blocking-Step2'!Q615</f>
        <v>0</v>
      </c>
      <c r="AP615" s="2127">
        <f>S615-'Blocking-Step2'!S615</f>
        <v>0</v>
      </c>
      <c r="AR615" s="2127">
        <f>U615-'Blocking-Step2'!U615</f>
        <v>0</v>
      </c>
      <c r="AT615" s="2127">
        <f>W615-'Blocking-Step2'!W615</f>
        <v>0</v>
      </c>
      <c r="AV615" s="2128">
        <f>Y615-'Blocking-Step2'!Y615</f>
        <v>0</v>
      </c>
    </row>
    <row r="616" spans="1:48" ht="16.5" hidden="1" thickTop="1">
      <c r="A616" s="1116" t="s">
        <v>1240</v>
      </c>
      <c r="C616" s="1024"/>
      <c r="D616" s="1024"/>
      <c r="F616" s="2076"/>
      <c r="G616" s="617"/>
      <c r="H616" s="1146"/>
      <c r="I616" s="1146"/>
      <c r="K616" s="2076"/>
      <c r="L616" s="617"/>
      <c r="M616" s="2076"/>
      <c r="N616" s="617"/>
      <c r="O616" s="2077" t="s">
        <v>2323</v>
      </c>
      <c r="P616" s="617"/>
      <c r="Q616" s="2076">
        <v>-3.0599999999999999E-2</v>
      </c>
      <c r="R616" s="617"/>
      <c r="S616" s="1114"/>
      <c r="T616" s="1114"/>
      <c r="U616" s="1114"/>
      <c r="V616" s="1114"/>
      <c r="W616" s="1114"/>
      <c r="X616" s="1114"/>
      <c r="Y616" s="1146">
        <v>-468.08819999999997</v>
      </c>
      <c r="Z616" s="2114">
        <f>C616-'Blocking-Step2'!C616</f>
        <v>0</v>
      </c>
      <c r="AA616" s="2114">
        <f>D616-'Blocking-Step2'!D616</f>
        <v>0</v>
      </c>
      <c r="AC616" s="2114">
        <f>F616-'Blocking-Step2'!F616</f>
        <v>0</v>
      </c>
      <c r="AE616" s="2114">
        <f>H616-'Blocking-Step2'!H616</f>
        <v>0</v>
      </c>
      <c r="AF616" s="2114">
        <f>I616-'Blocking-Step2'!I616</f>
        <v>0</v>
      </c>
      <c r="AH616" s="2136">
        <f>K616-'Blocking-Step2'!K616</f>
        <v>0</v>
      </c>
      <c r="AJ616" s="2136">
        <f>M616-'Blocking-Step2'!M616</f>
        <v>0</v>
      </c>
      <c r="AL616" s="2136" t="e">
        <f>O616-'Blocking-Step2'!O616</f>
        <v>#VALUE!</v>
      </c>
      <c r="AN616" s="2137">
        <f>Q616-'Blocking-Step2'!Q616</f>
        <v>0</v>
      </c>
      <c r="AP616" s="2127">
        <f>S616-'Blocking-Step2'!S616</f>
        <v>0</v>
      </c>
      <c r="AR616" s="2127">
        <f>U616-'Blocking-Step2'!U616</f>
        <v>0</v>
      </c>
      <c r="AT616" s="2127">
        <f>W616-'Blocking-Step2'!W616</f>
        <v>0</v>
      </c>
      <c r="AV616" s="2128">
        <f>Y616-'Blocking-Step2'!Y616</f>
        <v>0</v>
      </c>
    </row>
    <row r="617" spans="1:48" ht="16.5" hidden="1" thickTop="1">
      <c r="A617" s="1116"/>
      <c r="C617" s="1024"/>
      <c r="D617" s="1024"/>
      <c r="F617" s="2076"/>
      <c r="G617" s="617"/>
      <c r="H617" s="1146"/>
      <c r="I617" s="1146"/>
      <c r="K617" s="2076"/>
      <c r="L617" s="617"/>
      <c r="M617" s="2076"/>
      <c r="N617" s="617"/>
      <c r="O617" s="2077" t="s">
        <v>2324</v>
      </c>
      <c r="P617" s="617"/>
      <c r="Q617" s="2076">
        <v>-1.66E-2</v>
      </c>
      <c r="R617" s="617"/>
      <c r="S617" s="1114"/>
      <c r="T617" s="1114"/>
      <c r="U617" s="1114"/>
      <c r="V617" s="1114"/>
      <c r="W617" s="1114"/>
      <c r="X617" s="1114"/>
      <c r="Y617" s="1146">
        <v>-253.93020000000001</v>
      </c>
      <c r="Z617" s="2114">
        <f>C617-'Blocking-Step2'!C617</f>
        <v>0</v>
      </c>
      <c r="AA617" s="2114">
        <f>D617-'Blocking-Step2'!D617</f>
        <v>0</v>
      </c>
      <c r="AC617" s="2114">
        <f>F617-'Blocking-Step2'!F617</f>
        <v>0</v>
      </c>
      <c r="AE617" s="2114">
        <f>H617-'Blocking-Step2'!H617</f>
        <v>0</v>
      </c>
      <c r="AF617" s="2114">
        <f>I617-'Blocking-Step2'!I617</f>
        <v>0</v>
      </c>
      <c r="AH617" s="2136">
        <f>K617-'Blocking-Step2'!K617</f>
        <v>0</v>
      </c>
      <c r="AJ617" s="2136">
        <f>M617-'Blocking-Step2'!M617</f>
        <v>0</v>
      </c>
      <c r="AL617" s="2136" t="e">
        <f>O617-'Blocking-Step2'!O617</f>
        <v>#VALUE!</v>
      </c>
      <c r="AN617" s="2137">
        <f>Q617-'Blocking-Step2'!Q617</f>
        <v>0</v>
      </c>
      <c r="AP617" s="2127">
        <f>S617-'Blocking-Step2'!S617</f>
        <v>0</v>
      </c>
      <c r="AR617" s="2127">
        <f>U617-'Blocking-Step2'!U617</f>
        <v>0</v>
      </c>
      <c r="AT617" s="2127">
        <f>W617-'Blocking-Step2'!W617</f>
        <v>0</v>
      </c>
      <c r="AV617" s="2128">
        <f>Y617-'Blocking-Step2'!Y617</f>
        <v>0</v>
      </c>
    </row>
    <row r="618" spans="1:48" ht="16.5" hidden="1" thickTop="1">
      <c r="A618" s="1116" t="s">
        <v>1923</v>
      </c>
      <c r="C618" s="1105">
        <v>111309.5</v>
      </c>
      <c r="D618" s="1105">
        <v>112378.85257214331</v>
      </c>
      <c r="F618" s="1907"/>
      <c r="G618" s="1110"/>
      <c r="H618" s="1146"/>
      <c r="I618" s="1146"/>
      <c r="K618" s="1907"/>
      <c r="L618" s="1110"/>
      <c r="M618" s="1907"/>
      <c r="N618" s="1110"/>
      <c r="O618" s="1907"/>
      <c r="P618" s="1110"/>
      <c r="Q618" s="1907"/>
      <c r="R618" s="1110"/>
      <c r="S618" s="1146">
        <v>4778</v>
      </c>
      <c r="T618" s="1629"/>
      <c r="U618" s="1146">
        <v>12027</v>
      </c>
      <c r="V618" s="1629"/>
      <c r="W618" s="1146">
        <v>3804</v>
      </c>
      <c r="X618" s="1629"/>
      <c r="Y618" s="1146">
        <v>20607</v>
      </c>
      <c r="Z618" s="2114">
        <f>C618-'Blocking-Step2'!C618</f>
        <v>0</v>
      </c>
      <c r="AA618" s="2114">
        <f>D618-'Blocking-Step2'!D618</f>
        <v>0</v>
      </c>
      <c r="AC618" s="2114">
        <f>F618-'Blocking-Step2'!F618</f>
        <v>0</v>
      </c>
      <c r="AE618" s="2114">
        <f>H618-'Blocking-Step2'!H618</f>
        <v>0</v>
      </c>
      <c r="AF618" s="2114">
        <f>I618-'Blocking-Step2'!I618</f>
        <v>0</v>
      </c>
      <c r="AH618" s="2136">
        <f>K618-'Blocking-Step2'!K618</f>
        <v>0</v>
      </c>
      <c r="AJ618" s="2136">
        <f>M618-'Blocking-Step2'!M618</f>
        <v>0</v>
      </c>
      <c r="AL618" s="2136">
        <f>O618-'Blocking-Step2'!O618</f>
        <v>0</v>
      </c>
      <c r="AN618" s="2137">
        <f>Q618-'Blocking-Step2'!Q618</f>
        <v>0</v>
      </c>
      <c r="AP618" s="2127">
        <f>S618-'Blocking-Step2'!S618</f>
        <v>-2580</v>
      </c>
      <c r="AR618" s="2127">
        <f>U618-'Blocking-Step2'!U618</f>
        <v>2580</v>
      </c>
      <c r="AT618" s="2127">
        <f>W618-'Blocking-Step2'!W618</f>
        <v>0</v>
      </c>
      <c r="AV618" s="2128">
        <f>Y618-'Blocking-Step2'!Y618</f>
        <v>0</v>
      </c>
    </row>
    <row r="619" spans="1:48" ht="16.5" hidden="1" thickTop="1">
      <c r="A619" s="1116"/>
      <c r="C619" s="1105"/>
      <c r="D619" s="1105"/>
      <c r="F619" s="1907"/>
      <c r="G619" s="1110"/>
      <c r="H619" s="1146"/>
      <c r="I619" s="1146"/>
      <c r="K619" s="1907"/>
      <c r="L619" s="1110"/>
      <c r="M619" s="1907"/>
      <c r="N619" s="1110"/>
      <c r="O619" s="1907"/>
      <c r="P619" s="1110"/>
      <c r="Q619" s="1907"/>
      <c r="R619" s="1110"/>
      <c r="S619" s="1629"/>
      <c r="T619" s="1629"/>
      <c r="U619" s="1629"/>
      <c r="V619" s="1629"/>
      <c r="W619" s="1629"/>
      <c r="X619" s="1629"/>
      <c r="Y619" s="1146"/>
      <c r="Z619" s="2114">
        <f>C619-'Blocking-Step2'!C619</f>
        <v>0</v>
      </c>
      <c r="AA619" s="2114">
        <f>D619-'Blocking-Step2'!D619</f>
        <v>0</v>
      </c>
      <c r="AC619" s="2114">
        <f>F619-'Blocking-Step2'!F619</f>
        <v>0</v>
      </c>
      <c r="AE619" s="2114">
        <f>H619-'Blocking-Step2'!H619</f>
        <v>0</v>
      </c>
      <c r="AF619" s="2114">
        <f>I619-'Blocking-Step2'!I619</f>
        <v>0</v>
      </c>
      <c r="AH619" s="2136">
        <f>K619-'Blocking-Step2'!K619</f>
        <v>0</v>
      </c>
      <c r="AJ619" s="2136">
        <f>M619-'Blocking-Step2'!M619</f>
        <v>0</v>
      </c>
      <c r="AL619" s="2136">
        <f>O619-'Blocking-Step2'!O619</f>
        <v>0</v>
      </c>
      <c r="AN619" s="2137">
        <f>Q619-'Blocking-Step2'!Q619</f>
        <v>0</v>
      </c>
      <c r="AP619" s="2127">
        <f>S619-'Blocking-Step2'!S619</f>
        <v>0</v>
      </c>
      <c r="AR619" s="2127">
        <f>U619-'Blocking-Step2'!U619</f>
        <v>0</v>
      </c>
      <c r="AT619" s="2127">
        <f>W619-'Blocking-Step2'!W619</f>
        <v>0</v>
      </c>
      <c r="AV619" s="2128">
        <f>Y619-'Blocking-Step2'!Y619</f>
        <v>0</v>
      </c>
    </row>
    <row r="620" spans="1:48" ht="16.5" hidden="1" thickTop="1">
      <c r="A620" s="1116" t="s">
        <v>240</v>
      </c>
      <c r="C620" s="1105">
        <v>54</v>
      </c>
      <c r="D620" s="1105">
        <v>54</v>
      </c>
      <c r="F620" s="1907">
        <v>54</v>
      </c>
      <c r="G620" s="1110"/>
      <c r="H620" s="1146">
        <v>2916</v>
      </c>
      <c r="I620" s="1146">
        <v>2916</v>
      </c>
      <c r="K620" s="1907">
        <v>54</v>
      </c>
      <c r="L620" s="1110"/>
      <c r="M620" s="1907">
        <v>0</v>
      </c>
      <c r="N620" s="1110"/>
      <c r="O620" s="1907">
        <v>0</v>
      </c>
      <c r="P620" s="1110"/>
      <c r="Q620" s="1907">
        <v>54</v>
      </c>
      <c r="R620" s="1110"/>
      <c r="S620" s="1146">
        <v>2916</v>
      </c>
      <c r="T620" s="1629"/>
      <c r="U620" s="1146">
        <v>0</v>
      </c>
      <c r="V620" s="1629"/>
      <c r="W620" s="1146">
        <v>0</v>
      </c>
      <c r="X620" s="1629"/>
      <c r="Y620" s="1146">
        <v>2916</v>
      </c>
      <c r="Z620" s="2114">
        <f>C620-'Blocking-Step2'!C620</f>
        <v>0</v>
      </c>
      <c r="AA620" s="2114">
        <f>D620-'Blocking-Step2'!D620</f>
        <v>0</v>
      </c>
      <c r="AC620" s="2114">
        <f>F620-'Blocking-Step2'!F620</f>
        <v>0</v>
      </c>
      <c r="AE620" s="2114">
        <f>H620-'Blocking-Step2'!H620</f>
        <v>0</v>
      </c>
      <c r="AF620" s="2114">
        <f>I620-'Blocking-Step2'!I620</f>
        <v>0</v>
      </c>
      <c r="AH620" s="2136">
        <f>K620-'Blocking-Step2'!K620</f>
        <v>0</v>
      </c>
      <c r="AJ620" s="2136">
        <f>M620-'Blocking-Step2'!M620</f>
        <v>0</v>
      </c>
      <c r="AL620" s="2136">
        <f>O620-'Blocking-Step2'!O620</f>
        <v>0</v>
      </c>
      <c r="AN620" s="2137">
        <f>Q620-'Blocking-Step2'!Q620</f>
        <v>0</v>
      </c>
      <c r="AP620" s="2127">
        <f>S620-'Blocking-Step2'!S620</f>
        <v>0</v>
      </c>
      <c r="AR620" s="2127">
        <f>U620-'Blocking-Step2'!U620</f>
        <v>0</v>
      </c>
      <c r="AT620" s="2127">
        <f>W620-'Blocking-Step2'!W620</f>
        <v>0</v>
      </c>
      <c r="AV620" s="2128">
        <f>Y620-'Blocking-Step2'!Y620</f>
        <v>0</v>
      </c>
    </row>
    <row r="621" spans="1:48" ht="16.5" hidden="1" thickTop="1">
      <c r="A621" s="1116" t="s">
        <v>262</v>
      </c>
      <c r="C621" s="1024">
        <v>0</v>
      </c>
      <c r="D621" s="1105">
        <v>0</v>
      </c>
      <c r="E621" s="617"/>
      <c r="F621" s="1907">
        <v>648</v>
      </c>
      <c r="G621" s="1110"/>
      <c r="H621" s="1146">
        <v>0</v>
      </c>
      <c r="I621" s="1146">
        <v>0</v>
      </c>
      <c r="J621" s="617"/>
      <c r="K621" s="1907">
        <v>648</v>
      </c>
      <c r="L621" s="1110"/>
      <c r="M621" s="1907">
        <v>0</v>
      </c>
      <c r="N621" s="1110"/>
      <c r="O621" s="1907">
        <v>0</v>
      </c>
      <c r="P621" s="1110"/>
      <c r="Q621" s="1907">
        <v>648</v>
      </c>
      <c r="R621" s="1110"/>
      <c r="S621" s="1146">
        <v>0</v>
      </c>
      <c r="T621" s="1114"/>
      <c r="U621" s="1146">
        <v>0</v>
      </c>
      <c r="V621" s="1114"/>
      <c r="W621" s="1146">
        <v>0</v>
      </c>
      <c r="X621" s="1114"/>
      <c r="Y621" s="1146">
        <v>0</v>
      </c>
      <c r="Z621" s="2114">
        <f>C621-'Blocking-Step2'!C621</f>
        <v>0</v>
      </c>
      <c r="AA621" s="2114">
        <f>D621-'Blocking-Step2'!D621</f>
        <v>0</v>
      </c>
      <c r="AC621" s="2114">
        <f>F621-'Blocking-Step2'!F621</f>
        <v>0</v>
      </c>
      <c r="AE621" s="2114">
        <f>H621-'Blocking-Step2'!H621</f>
        <v>0</v>
      </c>
      <c r="AF621" s="2114">
        <f>I621-'Blocking-Step2'!I621</f>
        <v>0</v>
      </c>
      <c r="AH621" s="2136">
        <f>K621-'Blocking-Step2'!K621</f>
        <v>0</v>
      </c>
      <c r="AJ621" s="2136">
        <f>M621-'Blocking-Step2'!M621</f>
        <v>0</v>
      </c>
      <c r="AL621" s="2136">
        <f>O621-'Blocking-Step2'!O621</f>
        <v>0</v>
      </c>
      <c r="AN621" s="2137">
        <f>Q621-'Blocking-Step2'!Q621</f>
        <v>0</v>
      </c>
      <c r="AP621" s="2127">
        <f>S621-'Blocking-Step2'!S621</f>
        <v>0</v>
      </c>
      <c r="AR621" s="2127">
        <f>U621-'Blocking-Step2'!U621</f>
        <v>0</v>
      </c>
      <c r="AT621" s="2127">
        <f>W621-'Blocking-Step2'!W621</f>
        <v>0</v>
      </c>
      <c r="AV621" s="2128">
        <f>Y621-'Blocking-Step2'!Y621</f>
        <v>0</v>
      </c>
    </row>
    <row r="622" spans="1:48" ht="16.5" hidden="1" thickTop="1">
      <c r="A622" s="1116" t="s">
        <v>168</v>
      </c>
      <c r="C622" s="1105">
        <v>2327</v>
      </c>
      <c r="D622" s="1105">
        <v>2349</v>
      </c>
      <c r="F622" s="1907">
        <v>4.04</v>
      </c>
      <c r="G622" s="1110"/>
      <c r="H622" s="1146">
        <v>9401</v>
      </c>
      <c r="I622" s="1146">
        <v>9490</v>
      </c>
      <c r="K622" s="1907">
        <v>4.03</v>
      </c>
      <c r="L622" s="1110"/>
      <c r="M622" s="1907">
        <v>0</v>
      </c>
      <c r="N622" s="1110"/>
      <c r="O622" s="1907">
        <v>0</v>
      </c>
      <c r="P622" s="1110"/>
      <c r="Q622" s="1907">
        <v>4.03</v>
      </c>
      <c r="R622" s="1110"/>
      <c r="S622" s="1146">
        <v>9466</v>
      </c>
      <c r="T622" s="1629"/>
      <c r="U622" s="1146">
        <v>0</v>
      </c>
      <c r="V622" s="1629"/>
      <c r="W622" s="1146">
        <v>0</v>
      </c>
      <c r="X622" s="1629"/>
      <c r="Y622" s="1146">
        <v>9466</v>
      </c>
      <c r="Z622" s="2114">
        <f>C622-'Blocking-Step2'!C622</f>
        <v>0</v>
      </c>
      <c r="AA622" s="2114">
        <f>D622-'Blocking-Step2'!D622</f>
        <v>0</v>
      </c>
      <c r="AC622" s="2114">
        <f>F622-'Blocking-Step2'!F622</f>
        <v>0</v>
      </c>
      <c r="AE622" s="2114">
        <f>H622-'Blocking-Step2'!H622</f>
        <v>0</v>
      </c>
      <c r="AF622" s="2114">
        <f>I622-'Blocking-Step2'!I622</f>
        <v>0</v>
      </c>
      <c r="AH622" s="2136">
        <f>K622-'Blocking-Step2'!K622</f>
        <v>0</v>
      </c>
      <c r="AJ622" s="2136">
        <f>M622-'Blocking-Step2'!M622</f>
        <v>0</v>
      </c>
      <c r="AL622" s="2136">
        <f>O622-'Blocking-Step2'!O622</f>
        <v>0</v>
      </c>
      <c r="AN622" s="2137">
        <f>Q622-'Blocking-Step2'!Q622</f>
        <v>0</v>
      </c>
      <c r="AP622" s="2127">
        <f>S622-'Blocking-Step2'!S622</f>
        <v>0</v>
      </c>
      <c r="AR622" s="2127">
        <f>U622-'Blocking-Step2'!U622</f>
        <v>0</v>
      </c>
      <c r="AT622" s="2127">
        <f>W622-'Blocking-Step2'!W622</f>
        <v>0</v>
      </c>
      <c r="AV622" s="2128">
        <f>Y622-'Blocking-Step2'!Y622</f>
        <v>0</v>
      </c>
    </row>
    <row r="623" spans="1:48" ht="16.5" hidden="1" thickTop="1">
      <c r="A623" s="1116" t="s">
        <v>1649</v>
      </c>
      <c r="C623" s="1105">
        <v>775.5</v>
      </c>
      <c r="D623" s="1105">
        <v>783</v>
      </c>
      <c r="F623" s="1142"/>
      <c r="G623" s="617"/>
      <c r="H623" s="1146"/>
      <c r="I623" s="1146"/>
      <c r="K623" s="1142">
        <v>0.51</v>
      </c>
      <c r="L623" s="617"/>
      <c r="M623" s="1142">
        <v>12.89</v>
      </c>
      <c r="N623" s="617"/>
      <c r="O623" s="1142">
        <v>0</v>
      </c>
      <c r="P623" s="617"/>
      <c r="Q623" s="1142">
        <v>13.4</v>
      </c>
      <c r="R623" s="617"/>
      <c r="S623" s="1146">
        <v>399</v>
      </c>
      <c r="T623" s="1114"/>
      <c r="U623" s="1146">
        <v>10093</v>
      </c>
      <c r="V623" s="1114"/>
      <c r="W623" s="1146">
        <v>0</v>
      </c>
      <c r="X623" s="1114"/>
      <c r="Y623" s="1146">
        <v>10492</v>
      </c>
      <c r="Z623" s="2114">
        <f>C623-'Blocking-Step2'!C623</f>
        <v>0</v>
      </c>
      <c r="AA623" s="2114">
        <f>D623-'Blocking-Step2'!D623</f>
        <v>0</v>
      </c>
      <c r="AC623" s="2114">
        <f>F623-'Blocking-Step2'!F623</f>
        <v>0</v>
      </c>
      <c r="AE623" s="2114">
        <f>H623-'Blocking-Step2'!H623</f>
        <v>0</v>
      </c>
      <c r="AF623" s="2114">
        <f>I623-'Blocking-Step2'!I623</f>
        <v>0</v>
      </c>
      <c r="AH623" s="2136">
        <f>K623-'Blocking-Step2'!K623</f>
        <v>-5.83</v>
      </c>
      <c r="AJ623" s="2136">
        <f>M623-'Blocking-Step2'!M623</f>
        <v>5.83</v>
      </c>
      <c r="AL623" s="2136">
        <f>O623-'Blocking-Step2'!O623</f>
        <v>0</v>
      </c>
      <c r="AN623" s="2137">
        <f>Q623-'Blocking-Step2'!Q623</f>
        <v>0</v>
      </c>
      <c r="AP623" s="2127">
        <f>S623-'Blocking-Step2'!S623</f>
        <v>-4565</v>
      </c>
      <c r="AR623" s="2127">
        <f>U623-'Blocking-Step2'!U623</f>
        <v>4565</v>
      </c>
      <c r="AT623" s="2127">
        <f>W623-'Blocking-Step2'!W623</f>
        <v>0</v>
      </c>
      <c r="AV623" s="2128">
        <f>Y623-'Blocking-Step2'!Y623</f>
        <v>0</v>
      </c>
    </row>
    <row r="624" spans="1:48" ht="16.5" hidden="1" thickTop="1">
      <c r="A624" s="1116" t="s">
        <v>1650</v>
      </c>
      <c r="C624" s="1105">
        <v>1551.5</v>
      </c>
      <c r="D624" s="1105">
        <v>1566</v>
      </c>
      <c r="F624" s="1142"/>
      <c r="G624" s="617"/>
      <c r="H624" s="1146"/>
      <c r="I624" s="1146"/>
      <c r="K624" s="1142">
        <v>0.45</v>
      </c>
      <c r="L624" s="617"/>
      <c r="M624" s="1142">
        <v>11.41</v>
      </c>
      <c r="N624" s="617"/>
      <c r="O624" s="1142">
        <v>0</v>
      </c>
      <c r="P624" s="617"/>
      <c r="Q624" s="1142">
        <v>11.86</v>
      </c>
      <c r="R624" s="617"/>
      <c r="S624" s="1146">
        <v>705</v>
      </c>
      <c r="T624" s="1114"/>
      <c r="U624" s="1146">
        <v>17868</v>
      </c>
      <c r="V624" s="1114"/>
      <c r="W624" s="1146">
        <v>0</v>
      </c>
      <c r="X624" s="1114"/>
      <c r="Y624" s="1146">
        <v>18573</v>
      </c>
      <c r="Z624" s="2114">
        <f>C624-'Blocking-Step2'!C624</f>
        <v>0</v>
      </c>
      <c r="AA624" s="2114">
        <f>D624-'Blocking-Step2'!D624</f>
        <v>0</v>
      </c>
      <c r="AC624" s="2114">
        <f>F624-'Blocking-Step2'!F624</f>
        <v>0</v>
      </c>
      <c r="AE624" s="2114">
        <f>H624-'Blocking-Step2'!H624</f>
        <v>0</v>
      </c>
      <c r="AF624" s="2114">
        <f>I624-'Blocking-Step2'!I624</f>
        <v>0</v>
      </c>
      <c r="AH624" s="2136">
        <f>K624-'Blocking-Step2'!K624</f>
        <v>-5.16</v>
      </c>
      <c r="AJ624" s="2136">
        <f>M624-'Blocking-Step2'!M624</f>
        <v>5.160000000000001</v>
      </c>
      <c r="AL624" s="2136">
        <f>O624-'Blocking-Step2'!O624</f>
        <v>0</v>
      </c>
      <c r="AN624" s="2137">
        <f>Q624-'Blocking-Step2'!Q624</f>
        <v>0</v>
      </c>
      <c r="AP624" s="2127">
        <f>S624-'Blocking-Step2'!S624</f>
        <v>-8080</v>
      </c>
      <c r="AR624" s="2127">
        <f>U624-'Blocking-Step2'!U624</f>
        <v>8080</v>
      </c>
      <c r="AT624" s="2127">
        <f>W624-'Blocking-Step2'!W624</f>
        <v>0</v>
      </c>
      <c r="AV624" s="2128">
        <f>Y624-'Blocking-Step2'!Y624</f>
        <v>0</v>
      </c>
    </row>
    <row r="625" spans="1:48" ht="16.5" hidden="1" thickTop="1">
      <c r="A625" s="1116" t="s">
        <v>1647</v>
      </c>
      <c r="C625" s="1105">
        <v>42438.5</v>
      </c>
      <c r="D625" s="1105">
        <v>42845.852572143311</v>
      </c>
      <c r="F625" s="1106"/>
      <c r="G625" s="1921"/>
      <c r="H625" s="1146"/>
      <c r="I625" s="1146"/>
      <c r="K625" s="1106">
        <v>0</v>
      </c>
      <c r="L625" s="1921" t="s">
        <v>495</v>
      </c>
      <c r="M625" s="1106">
        <v>1.6192</v>
      </c>
      <c r="N625" s="1921" t="s">
        <v>495</v>
      </c>
      <c r="O625" s="1106">
        <v>2.305570240802</v>
      </c>
      <c r="P625" s="1921" t="s">
        <v>495</v>
      </c>
      <c r="Q625" s="1106">
        <v>3.9247702408020002</v>
      </c>
      <c r="R625" s="1921" t="s">
        <v>495</v>
      </c>
      <c r="S625" s="1146">
        <v>0</v>
      </c>
      <c r="T625" s="1648"/>
      <c r="U625" s="1146">
        <v>694</v>
      </c>
      <c r="V625" s="1648"/>
      <c r="W625" s="1146">
        <v>988</v>
      </c>
      <c r="X625" s="1648"/>
      <c r="Y625" s="1146">
        <v>1682</v>
      </c>
      <c r="Z625" s="2114">
        <f>C625-'Blocking-Step2'!C625</f>
        <v>0</v>
      </c>
      <c r="AA625" s="2114">
        <f>D625-'Blocking-Step2'!D625</f>
        <v>0</v>
      </c>
      <c r="AC625" s="2114">
        <f>F625-'Blocking-Step2'!F625</f>
        <v>0</v>
      </c>
      <c r="AE625" s="2114">
        <f>H625-'Blocking-Step2'!H625</f>
        <v>0</v>
      </c>
      <c r="AF625" s="2114">
        <f>I625-'Blocking-Step2'!I625</f>
        <v>0</v>
      </c>
      <c r="AH625" s="2136">
        <f>K625-'Blocking-Step2'!K625</f>
        <v>0</v>
      </c>
      <c r="AJ625" s="2136">
        <f>M625-'Blocking-Step2'!M625</f>
        <v>0</v>
      </c>
      <c r="AL625" s="2136">
        <f>O625-'Blocking-Step2'!O625</f>
        <v>0</v>
      </c>
      <c r="AN625" s="2137">
        <f>Q625-'Blocking-Step2'!Q625</f>
        <v>0</v>
      </c>
      <c r="AP625" s="2127">
        <f>S625-'Blocking-Step2'!S625</f>
        <v>0</v>
      </c>
      <c r="AR625" s="2127">
        <f>U625-'Blocking-Step2'!U625</f>
        <v>0</v>
      </c>
      <c r="AT625" s="2127">
        <f>W625-'Blocking-Step2'!W625</f>
        <v>0</v>
      </c>
      <c r="AV625" s="2128">
        <f>Y625-'Blocking-Step2'!Y625</f>
        <v>0</v>
      </c>
    </row>
    <row r="626" spans="1:48" ht="16.5" hidden="1" thickTop="1">
      <c r="A626" s="1116" t="s">
        <v>1648</v>
      </c>
      <c r="C626" s="1105">
        <v>68871</v>
      </c>
      <c r="D626" s="1105">
        <v>69533</v>
      </c>
      <c r="F626" s="1106"/>
      <c r="G626" s="1921"/>
      <c r="H626" s="1146"/>
      <c r="I626" s="1146"/>
      <c r="K626" s="1106">
        <v>0</v>
      </c>
      <c r="L626" s="1921" t="s">
        <v>495</v>
      </c>
      <c r="M626" s="1106">
        <v>1.4329000000000001</v>
      </c>
      <c r="N626" s="1921" t="s">
        <v>495</v>
      </c>
      <c r="O626" s="1106">
        <v>2.0403480007099999</v>
      </c>
      <c r="P626" s="1921" t="s">
        <v>495</v>
      </c>
      <c r="Q626" s="1106">
        <v>3.4732480007099999</v>
      </c>
      <c r="R626" s="1921" t="s">
        <v>495</v>
      </c>
      <c r="S626" s="1146">
        <v>0</v>
      </c>
      <c r="T626" s="1648"/>
      <c r="U626" s="1146">
        <v>996</v>
      </c>
      <c r="V626" s="1648"/>
      <c r="W626" s="1146">
        <v>1419</v>
      </c>
      <c r="X626" s="1648"/>
      <c r="Y626" s="1146">
        <v>2415</v>
      </c>
      <c r="Z626" s="2114">
        <f>C626-'Blocking-Step2'!C626</f>
        <v>0</v>
      </c>
      <c r="AA626" s="2114">
        <f>D626-'Blocking-Step2'!D626</f>
        <v>0</v>
      </c>
      <c r="AC626" s="2114">
        <f>F626-'Blocking-Step2'!F626</f>
        <v>0</v>
      </c>
      <c r="AE626" s="2114">
        <f>H626-'Blocking-Step2'!H626</f>
        <v>0</v>
      </c>
      <c r="AF626" s="2114">
        <f>I626-'Blocking-Step2'!I626</f>
        <v>0</v>
      </c>
      <c r="AH626" s="2136">
        <f>K626-'Blocking-Step2'!K626</f>
        <v>0</v>
      </c>
      <c r="AJ626" s="2136">
        <f>M626-'Blocking-Step2'!M626</f>
        <v>0</v>
      </c>
      <c r="AL626" s="2136">
        <f>O626-'Blocking-Step2'!O626</f>
        <v>0</v>
      </c>
      <c r="AN626" s="2137">
        <f>Q626-'Blocking-Step2'!Q626</f>
        <v>0</v>
      </c>
      <c r="AP626" s="2127">
        <f>S626-'Blocking-Step2'!S626</f>
        <v>0</v>
      </c>
      <c r="AR626" s="2127">
        <f>U626-'Blocking-Step2'!U626</f>
        <v>0</v>
      </c>
      <c r="AT626" s="2127">
        <f>W626-'Blocking-Step2'!W626</f>
        <v>0</v>
      </c>
      <c r="AV626" s="2128">
        <f>Y626-'Blocking-Step2'!Y626</f>
        <v>0</v>
      </c>
    </row>
    <row r="627" spans="1:48" ht="16.5" hidden="1" thickTop="1">
      <c r="A627" s="1116" t="s">
        <v>158</v>
      </c>
      <c r="C627" s="1105">
        <v>1043.3252055564781</v>
      </c>
      <c r="D627" s="1105">
        <v>1053</v>
      </c>
      <c r="F627" s="1907">
        <v>14.62</v>
      </c>
      <c r="G627" s="1110"/>
      <c r="H627" s="1146">
        <v>15253</v>
      </c>
      <c r="I627" s="1146">
        <v>15395</v>
      </c>
      <c r="K627" s="1907"/>
      <c r="L627" s="1110"/>
      <c r="M627" s="1907"/>
      <c r="N627" s="1110"/>
      <c r="O627" s="1907"/>
      <c r="P627" s="1110"/>
      <c r="Q627" s="1907"/>
      <c r="R627" s="1110"/>
      <c r="S627" s="1146"/>
      <c r="T627" s="1629"/>
      <c r="U627" s="1146"/>
      <c r="V627" s="1629"/>
      <c r="W627" s="1146"/>
      <c r="X627" s="1629"/>
      <c r="Y627" s="1146"/>
      <c r="Z627" s="2114">
        <f>C627-'Blocking-Step2'!C627</f>
        <v>0</v>
      </c>
      <c r="AA627" s="2114">
        <f>D627-'Blocking-Step2'!D627</f>
        <v>0</v>
      </c>
      <c r="AC627" s="2114">
        <f>F627-'Blocking-Step2'!F627</f>
        <v>0</v>
      </c>
      <c r="AE627" s="2114">
        <f>H627-'Blocking-Step2'!H627</f>
        <v>0</v>
      </c>
      <c r="AF627" s="2114">
        <f>I627-'Blocking-Step2'!I627</f>
        <v>0</v>
      </c>
      <c r="AH627" s="2136">
        <f>K627-'Blocking-Step2'!K627</f>
        <v>0</v>
      </c>
      <c r="AJ627" s="2136">
        <f>M627-'Blocking-Step2'!M627</f>
        <v>0</v>
      </c>
      <c r="AL627" s="2136">
        <f>O627-'Blocking-Step2'!O627</f>
        <v>0</v>
      </c>
      <c r="AN627" s="2137">
        <f>Q627-'Blocking-Step2'!Q627</f>
        <v>0</v>
      </c>
      <c r="AP627" s="2127">
        <f>S627-'Blocking-Step2'!S627</f>
        <v>0</v>
      </c>
      <c r="AR627" s="2127">
        <f>U627-'Blocking-Step2'!U627</f>
        <v>0</v>
      </c>
      <c r="AT627" s="2127">
        <f>W627-'Blocking-Step2'!W627</f>
        <v>0</v>
      </c>
      <c r="AV627" s="2128">
        <f>Y627-'Blocking-Step2'!Y627</f>
        <v>0</v>
      </c>
    </row>
    <row r="628" spans="1:48" ht="16.5" hidden="1" thickTop="1">
      <c r="A628" s="1116" t="s">
        <v>165</v>
      </c>
      <c r="C628" s="1105">
        <v>1283.6747944435219</v>
      </c>
      <c r="D628" s="1105">
        <v>1296</v>
      </c>
      <c r="F628" s="1907">
        <v>10.91</v>
      </c>
      <c r="G628" s="1110"/>
      <c r="H628" s="1146">
        <v>14005</v>
      </c>
      <c r="I628" s="1146">
        <v>14139</v>
      </c>
      <c r="K628" s="1907"/>
      <c r="L628" s="1110"/>
      <c r="M628" s="1907"/>
      <c r="N628" s="1110"/>
      <c r="O628" s="1907"/>
      <c r="P628" s="1110"/>
      <c r="Q628" s="1907"/>
      <c r="R628" s="1110"/>
      <c r="S628" s="1146"/>
      <c r="T628" s="1629"/>
      <c r="U628" s="1146"/>
      <c r="V628" s="1629"/>
      <c r="W628" s="1146"/>
      <c r="X628" s="1629"/>
      <c r="Y628" s="1146"/>
      <c r="Z628" s="2114">
        <f>C628-'Blocking-Step2'!C628</f>
        <v>0</v>
      </c>
      <c r="AA628" s="2114">
        <f>D628-'Blocking-Step2'!D628</f>
        <v>0</v>
      </c>
      <c r="AC628" s="2114">
        <f>F628-'Blocking-Step2'!F628</f>
        <v>0</v>
      </c>
      <c r="AE628" s="2114">
        <f>H628-'Blocking-Step2'!H628</f>
        <v>0</v>
      </c>
      <c r="AF628" s="2114">
        <f>I628-'Blocking-Step2'!I628</f>
        <v>0</v>
      </c>
      <c r="AH628" s="2136">
        <f>K628-'Blocking-Step2'!K628</f>
        <v>0</v>
      </c>
      <c r="AJ628" s="2136">
        <f>M628-'Blocking-Step2'!M628</f>
        <v>0</v>
      </c>
      <c r="AL628" s="2136">
        <f>O628-'Blocking-Step2'!O628</f>
        <v>0</v>
      </c>
      <c r="AN628" s="2137">
        <f>Q628-'Blocking-Step2'!Q628</f>
        <v>0</v>
      </c>
      <c r="AP628" s="2127">
        <f>S628-'Blocking-Step2'!S628</f>
        <v>0</v>
      </c>
      <c r="AR628" s="2127">
        <f>U628-'Blocking-Step2'!U628</f>
        <v>0</v>
      </c>
      <c r="AT628" s="2127">
        <f>W628-'Blocking-Step2'!W628</f>
        <v>0</v>
      </c>
      <c r="AV628" s="2128">
        <f>Y628-'Blocking-Step2'!Y628</f>
        <v>0</v>
      </c>
    </row>
    <row r="629" spans="1:48" ht="16.5" hidden="1" thickTop="1">
      <c r="A629" s="1116" t="s">
        <v>261</v>
      </c>
      <c r="C629" s="1105">
        <v>0</v>
      </c>
      <c r="D629" s="1105">
        <v>0</v>
      </c>
      <c r="F629" s="1907">
        <v>-0.96</v>
      </c>
      <c r="G629" s="1110"/>
      <c r="H629" s="1146">
        <v>0</v>
      </c>
      <c r="I629" s="1146">
        <v>0</v>
      </c>
      <c r="K629" s="1907">
        <v>-0.96</v>
      </c>
      <c r="L629" s="1110"/>
      <c r="M629" s="1907">
        <v>0</v>
      </c>
      <c r="N629" s="1110"/>
      <c r="O629" s="1907">
        <v>0</v>
      </c>
      <c r="P629" s="1110"/>
      <c r="Q629" s="1907">
        <v>-0.96</v>
      </c>
      <c r="R629" s="1110"/>
      <c r="S629" s="1146">
        <v>0</v>
      </c>
      <c r="T629" s="1629"/>
      <c r="U629" s="1146">
        <v>0</v>
      </c>
      <c r="V629" s="1629"/>
      <c r="W629" s="1146">
        <v>0</v>
      </c>
      <c r="X629" s="1629"/>
      <c r="Y629" s="1146">
        <v>0</v>
      </c>
      <c r="Z629" s="2114">
        <f>C629-'Blocking-Step2'!C629</f>
        <v>0</v>
      </c>
      <c r="AA629" s="2114">
        <f>D629-'Blocking-Step2'!D629</f>
        <v>0</v>
      </c>
      <c r="AC629" s="2114">
        <f>F629-'Blocking-Step2'!F629</f>
        <v>0</v>
      </c>
      <c r="AE629" s="2114">
        <f>H629-'Blocking-Step2'!H629</f>
        <v>0</v>
      </c>
      <c r="AF629" s="2114">
        <f>I629-'Blocking-Step2'!I629</f>
        <v>0</v>
      </c>
      <c r="AH629" s="2136">
        <f>K629-'Blocking-Step2'!K629</f>
        <v>0</v>
      </c>
      <c r="AJ629" s="2136">
        <f>M629-'Blocking-Step2'!M629</f>
        <v>0</v>
      </c>
      <c r="AL629" s="2136">
        <f>O629-'Blocking-Step2'!O629</f>
        <v>0</v>
      </c>
      <c r="AN629" s="2137">
        <f>Q629-'Blocking-Step2'!Q629</f>
        <v>0</v>
      </c>
      <c r="AP629" s="2127">
        <f>S629-'Blocking-Step2'!S629</f>
        <v>0</v>
      </c>
      <c r="AR629" s="2127">
        <f>U629-'Blocking-Step2'!U629</f>
        <v>0</v>
      </c>
      <c r="AT629" s="2127">
        <f>W629-'Blocking-Step2'!W629</f>
        <v>0</v>
      </c>
      <c r="AV629" s="2128">
        <f>Y629-'Blocking-Step2'!Y629</f>
        <v>0</v>
      </c>
    </row>
    <row r="630" spans="1:48" ht="16.5" hidden="1" thickTop="1">
      <c r="A630" s="1116" t="s">
        <v>1362</v>
      </c>
      <c r="C630" s="1105">
        <v>46037.204457290034</v>
      </c>
      <c r="D630" s="1105">
        <v>46479</v>
      </c>
      <c r="F630" s="1106">
        <v>3.8127</v>
      </c>
      <c r="G630" s="1921" t="s">
        <v>495</v>
      </c>
      <c r="H630" s="1146">
        <v>1755</v>
      </c>
      <c r="I630" s="1146">
        <v>1772</v>
      </c>
      <c r="K630" s="1106"/>
      <c r="L630" s="1921"/>
      <c r="M630" s="1106"/>
      <c r="N630" s="1921"/>
      <c r="O630" s="1106"/>
      <c r="P630" s="1921"/>
      <c r="Q630" s="1106"/>
      <c r="R630" s="1921"/>
      <c r="S630" s="1648"/>
      <c r="T630" s="1648"/>
      <c r="U630" s="1648"/>
      <c r="V630" s="1648"/>
      <c r="W630" s="1648"/>
      <c r="X630" s="1648"/>
      <c r="Y630" s="1146"/>
      <c r="Z630" s="2114">
        <f>C630-'Blocking-Step2'!C630</f>
        <v>0</v>
      </c>
      <c r="AA630" s="2114">
        <f>D630-'Blocking-Step2'!D630</f>
        <v>0</v>
      </c>
      <c r="AC630" s="2114">
        <f>F630-'Blocking-Step2'!F630</f>
        <v>0</v>
      </c>
      <c r="AE630" s="2114">
        <f>H630-'Blocking-Step2'!H630</f>
        <v>0</v>
      </c>
      <c r="AF630" s="2114">
        <f>I630-'Blocking-Step2'!I630</f>
        <v>0</v>
      </c>
      <c r="AH630" s="2136">
        <f>K630-'Blocking-Step2'!K630</f>
        <v>0</v>
      </c>
      <c r="AJ630" s="2136">
        <f>M630-'Blocking-Step2'!M630</f>
        <v>0</v>
      </c>
      <c r="AL630" s="2136">
        <f>O630-'Blocking-Step2'!O630</f>
        <v>0</v>
      </c>
      <c r="AN630" s="2137">
        <f>Q630-'Blocking-Step2'!Q630</f>
        <v>0</v>
      </c>
      <c r="AP630" s="2127">
        <f>S630-'Blocking-Step2'!S630</f>
        <v>0</v>
      </c>
      <c r="AR630" s="2127">
        <f>U630-'Blocking-Step2'!U630</f>
        <v>0</v>
      </c>
      <c r="AT630" s="2127">
        <f>W630-'Blocking-Step2'!W630</f>
        <v>0</v>
      </c>
      <c r="AV630" s="2128">
        <f>Y630-'Blocking-Step2'!Y630</f>
        <v>0</v>
      </c>
    </row>
    <row r="631" spans="1:48" ht="16.5" hidden="1" thickTop="1">
      <c r="A631" s="1116" t="s">
        <v>1363</v>
      </c>
      <c r="C631" s="1105">
        <v>65272.295542709966</v>
      </c>
      <c r="D631" s="1105">
        <v>65899.852572143311</v>
      </c>
      <c r="F631" s="1106">
        <v>3.5143</v>
      </c>
      <c r="G631" s="1921" t="s">
        <v>495</v>
      </c>
      <c r="H631" s="1146">
        <v>2294</v>
      </c>
      <c r="I631" s="1146">
        <v>2316</v>
      </c>
      <c r="K631" s="1106"/>
      <c r="L631" s="1921"/>
      <c r="M631" s="1106"/>
      <c r="N631" s="1921"/>
      <c r="O631" s="1106"/>
      <c r="P631" s="1921"/>
      <c r="Q631" s="1106"/>
      <c r="R631" s="1921"/>
      <c r="S631" s="1648"/>
      <c r="T631" s="1648"/>
      <c r="U631" s="1648"/>
      <c r="V631" s="1648"/>
      <c r="W631" s="1648"/>
      <c r="X631" s="1648"/>
      <c r="Y631" s="1146"/>
      <c r="Z631" s="2114">
        <f>C631-'Blocking-Step2'!C631</f>
        <v>0</v>
      </c>
      <c r="AA631" s="2114">
        <f>D631-'Blocking-Step2'!D631</f>
        <v>0</v>
      </c>
      <c r="AC631" s="2114">
        <f>F631-'Blocking-Step2'!F631</f>
        <v>0</v>
      </c>
      <c r="AE631" s="2114">
        <f>H631-'Blocking-Step2'!H631</f>
        <v>0</v>
      </c>
      <c r="AF631" s="2114">
        <f>I631-'Blocking-Step2'!I631</f>
        <v>0</v>
      </c>
      <c r="AH631" s="2136">
        <f>K631-'Blocking-Step2'!K631</f>
        <v>0</v>
      </c>
      <c r="AJ631" s="2136">
        <f>M631-'Blocking-Step2'!M631</f>
        <v>0</v>
      </c>
      <c r="AL631" s="2136">
        <f>O631-'Blocking-Step2'!O631</f>
        <v>0</v>
      </c>
      <c r="AN631" s="2137">
        <f>Q631-'Blocking-Step2'!Q631</f>
        <v>0</v>
      </c>
      <c r="AP631" s="2127">
        <f>S631-'Blocking-Step2'!S631</f>
        <v>0</v>
      </c>
      <c r="AR631" s="2127">
        <f>U631-'Blocking-Step2'!U631</f>
        <v>0</v>
      </c>
      <c r="AT631" s="2127">
        <f>W631-'Blocking-Step2'!W631</f>
        <v>0</v>
      </c>
      <c r="AV631" s="2128">
        <f>Y631-'Blocking-Step2'!Y631</f>
        <v>0</v>
      </c>
    </row>
    <row r="632" spans="1:48" ht="16.5" hidden="1" thickTop="1">
      <c r="A632" s="1116" t="s">
        <v>246</v>
      </c>
      <c r="C632" s="1940">
        <v>0</v>
      </c>
      <c r="D632" s="1940">
        <v>0</v>
      </c>
      <c r="H632" s="1147">
        <v>0</v>
      </c>
      <c r="I632" s="1147">
        <v>0</v>
      </c>
      <c r="Y632" s="1147"/>
      <c r="Z632" s="2114">
        <f>C632-'Blocking-Step2'!C632</f>
        <v>0</v>
      </c>
      <c r="AA632" s="2114">
        <f>D632-'Blocking-Step2'!D632</f>
        <v>0</v>
      </c>
      <c r="AC632" s="2114">
        <f>F632-'Blocking-Step2'!F632</f>
        <v>0</v>
      </c>
      <c r="AE632" s="2114">
        <f>H632-'Blocking-Step2'!H632</f>
        <v>0</v>
      </c>
      <c r="AF632" s="2114">
        <f>I632-'Blocking-Step2'!I632</f>
        <v>0</v>
      </c>
      <c r="AH632" s="2136">
        <f>K632-'Blocking-Step2'!K632</f>
        <v>0</v>
      </c>
      <c r="AJ632" s="2136">
        <f>M632-'Blocking-Step2'!M632</f>
        <v>0</v>
      </c>
      <c r="AL632" s="2136">
        <f>O632-'Blocking-Step2'!O632</f>
        <v>0</v>
      </c>
      <c r="AN632" s="2137">
        <f>Q632-'Blocking-Step2'!Q632</f>
        <v>0</v>
      </c>
      <c r="AP632" s="2127">
        <f>S632-'Blocking-Step2'!S632</f>
        <v>0</v>
      </c>
      <c r="AR632" s="2127">
        <f>U632-'Blocking-Step2'!U632</f>
        <v>0</v>
      </c>
      <c r="AT632" s="2127">
        <f>W632-'Blocking-Step2'!W632</f>
        <v>0</v>
      </c>
      <c r="AV632" s="2128">
        <f>Y632-'Blocking-Step2'!Y632</f>
        <v>0</v>
      </c>
    </row>
    <row r="633" spans="1:48" ht="16.5" hidden="1" thickTop="1">
      <c r="A633" s="1116" t="s">
        <v>1240</v>
      </c>
      <c r="C633" s="1024"/>
      <c r="D633" s="1024"/>
      <c r="F633" s="2076">
        <v>-3.61E-2</v>
      </c>
      <c r="G633" s="617"/>
      <c r="H633" s="1146">
        <v>-1202.3827000000001</v>
      </c>
      <c r="I633" s="1146">
        <v>-1213.7542000000001</v>
      </c>
      <c r="K633" s="2076"/>
      <c r="L633" s="617"/>
      <c r="M633" s="2076"/>
      <c r="N633" s="617"/>
      <c r="O633" s="2077" t="s">
        <v>2323</v>
      </c>
      <c r="P633" s="617"/>
      <c r="Q633" s="2076">
        <v>-2.76E-2</v>
      </c>
      <c r="R633" s="617"/>
      <c r="S633" s="1114"/>
      <c r="T633" s="1114"/>
      <c r="U633" s="1114"/>
      <c r="V633" s="1114"/>
      <c r="W633" s="1114"/>
      <c r="X633" s="1114"/>
      <c r="Y633" s="1146">
        <v>-915.27120000000002</v>
      </c>
      <c r="Z633" s="2114">
        <f>C633-'Blocking-Step2'!C633</f>
        <v>0</v>
      </c>
      <c r="AA633" s="2114">
        <f>D633-'Blocking-Step2'!D633</f>
        <v>0</v>
      </c>
      <c r="AC633" s="2114">
        <f>F633-'Blocking-Step2'!F633</f>
        <v>0</v>
      </c>
      <c r="AE633" s="2114">
        <f>H633-'Blocking-Step2'!H633</f>
        <v>0</v>
      </c>
      <c r="AF633" s="2114">
        <f>I633-'Blocking-Step2'!I633</f>
        <v>0</v>
      </c>
      <c r="AH633" s="2136">
        <f>K633-'Blocking-Step2'!K633</f>
        <v>0</v>
      </c>
      <c r="AJ633" s="2136">
        <f>M633-'Blocking-Step2'!M633</f>
        <v>0</v>
      </c>
      <c r="AL633" s="2136" t="e">
        <f>O633-'Blocking-Step2'!O633</f>
        <v>#VALUE!</v>
      </c>
      <c r="AN633" s="2137">
        <f>Q633-'Blocking-Step2'!Q633</f>
        <v>0</v>
      </c>
      <c r="AP633" s="2127">
        <f>S633-'Blocking-Step2'!S633</f>
        <v>0</v>
      </c>
      <c r="AR633" s="2127">
        <f>U633-'Blocking-Step2'!U633</f>
        <v>0</v>
      </c>
      <c r="AT633" s="2127">
        <f>W633-'Blocking-Step2'!W633</f>
        <v>0</v>
      </c>
      <c r="AV633" s="2128">
        <f>Y633-'Blocking-Step2'!Y633</f>
        <v>0</v>
      </c>
    </row>
    <row r="634" spans="1:48" ht="16.5" hidden="1" thickTop="1">
      <c r="A634" s="1116"/>
      <c r="C634" s="1024"/>
      <c r="D634" s="1024"/>
      <c r="F634" s="2076"/>
      <c r="G634" s="617"/>
      <c r="H634" s="1146"/>
      <c r="I634" s="1146"/>
      <c r="K634" s="2076"/>
      <c r="L634" s="617"/>
      <c r="M634" s="2076"/>
      <c r="N634" s="617"/>
      <c r="O634" s="2077" t="s">
        <v>2324</v>
      </c>
      <c r="P634" s="617"/>
      <c r="Q634" s="2076">
        <v>-1.4999999999999999E-2</v>
      </c>
      <c r="R634" s="617"/>
      <c r="S634" s="1114"/>
      <c r="T634" s="1114"/>
      <c r="U634" s="1114"/>
      <c r="V634" s="1114"/>
      <c r="W634" s="1114"/>
      <c r="X634" s="1114"/>
      <c r="Y634" s="1146">
        <v>-497.43</v>
      </c>
      <c r="Z634" s="2114">
        <f>C634-'Blocking-Step2'!C634</f>
        <v>0</v>
      </c>
      <c r="AA634" s="2114">
        <f>D634-'Blocking-Step2'!D634</f>
        <v>0</v>
      </c>
      <c r="AC634" s="2114">
        <f>F634-'Blocking-Step2'!F634</f>
        <v>0</v>
      </c>
      <c r="AE634" s="2114">
        <f>H634-'Blocking-Step2'!H634</f>
        <v>0</v>
      </c>
      <c r="AF634" s="2114">
        <f>I634-'Blocking-Step2'!I634</f>
        <v>0</v>
      </c>
      <c r="AH634" s="2136">
        <f>K634-'Blocking-Step2'!K634</f>
        <v>0</v>
      </c>
      <c r="AJ634" s="2136">
        <f>M634-'Blocking-Step2'!M634</f>
        <v>0</v>
      </c>
      <c r="AL634" s="2136" t="e">
        <f>O634-'Blocking-Step2'!O634</f>
        <v>#VALUE!</v>
      </c>
      <c r="AN634" s="2137">
        <f>Q634-'Blocking-Step2'!Q634</f>
        <v>0</v>
      </c>
      <c r="AP634" s="2127">
        <f>S634-'Blocking-Step2'!S634</f>
        <v>0</v>
      </c>
      <c r="AR634" s="2127">
        <f>U634-'Blocking-Step2'!U634</f>
        <v>0</v>
      </c>
      <c r="AT634" s="2127">
        <f>W634-'Blocking-Step2'!W634</f>
        <v>0</v>
      </c>
      <c r="AV634" s="2128">
        <f>Y634-'Blocking-Step2'!Y634</f>
        <v>0</v>
      </c>
    </row>
    <row r="635" spans="1:48" ht="17.25" hidden="1" thickTop="1" thickBot="1">
      <c r="A635" s="1116" t="s">
        <v>247</v>
      </c>
      <c r="C635" s="1138">
        <v>111309.5</v>
      </c>
      <c r="D635" s="1138">
        <v>112378.85257214331</v>
      </c>
      <c r="F635" s="1145"/>
      <c r="H635" s="1149">
        <v>44421.617299999998</v>
      </c>
      <c r="I635" s="1149">
        <v>44814.245799999997</v>
      </c>
      <c r="K635" s="1145"/>
      <c r="M635" s="1145"/>
      <c r="O635" s="1145"/>
      <c r="Q635" s="1145"/>
      <c r="S635" s="1149">
        <v>13486</v>
      </c>
      <c r="U635" s="1149">
        <v>29651</v>
      </c>
      <c r="W635" s="1149">
        <v>2407</v>
      </c>
      <c r="Y635" s="1149">
        <v>45544</v>
      </c>
      <c r="Z635" s="2114">
        <f>C635-'Blocking-Step2'!C635</f>
        <v>0</v>
      </c>
      <c r="AA635" s="2114">
        <f>D635-'Blocking-Step2'!D635</f>
        <v>0</v>
      </c>
      <c r="AC635" s="2114">
        <f>F635-'Blocking-Step2'!F635</f>
        <v>0</v>
      </c>
      <c r="AE635" s="2114">
        <f>H635-'Blocking-Step2'!H635</f>
        <v>0</v>
      </c>
      <c r="AF635" s="2114">
        <f>I635-'Blocking-Step2'!I635</f>
        <v>0</v>
      </c>
      <c r="AH635" s="2136">
        <f>K635-'Blocking-Step2'!K635</f>
        <v>0</v>
      </c>
      <c r="AJ635" s="2136">
        <f>M635-'Blocking-Step2'!M635</f>
        <v>0</v>
      </c>
      <c r="AL635" s="2136">
        <f>O635-'Blocking-Step2'!O635</f>
        <v>0</v>
      </c>
      <c r="AN635" s="2137">
        <f>Q635-'Blocking-Step2'!Q635</f>
        <v>0</v>
      </c>
      <c r="AP635" s="2127">
        <f>S635-'Blocking-Step2'!S635</f>
        <v>-12645</v>
      </c>
      <c r="AR635" s="2127">
        <f>U635-'Blocking-Step2'!U635</f>
        <v>12645</v>
      </c>
      <c r="AT635" s="2127">
        <f>W635-'Blocking-Step2'!W635</f>
        <v>0</v>
      </c>
      <c r="AV635" s="2128">
        <f>Y635-'Blocking-Step2'!Y635</f>
        <v>0</v>
      </c>
    </row>
    <row r="636" spans="1:48" ht="16.5" hidden="1" thickTop="1">
      <c r="C636" s="1105"/>
      <c r="D636" s="1105"/>
      <c r="Z636" s="2114">
        <f>C636-'Blocking-Step2'!C636</f>
        <v>0</v>
      </c>
      <c r="AA636" s="2114">
        <f>D636-'Blocking-Step2'!D636</f>
        <v>0</v>
      </c>
      <c r="AC636" s="2114">
        <f>F636-'Blocking-Step2'!F636</f>
        <v>0</v>
      </c>
      <c r="AE636" s="2114">
        <f>H636-'Blocking-Step2'!H636</f>
        <v>0</v>
      </c>
      <c r="AF636" s="2114">
        <f>I636-'Blocking-Step2'!I636</f>
        <v>0</v>
      </c>
      <c r="AH636" s="2136">
        <f>K636-'Blocking-Step2'!K636</f>
        <v>0</v>
      </c>
      <c r="AJ636" s="2136">
        <f>M636-'Blocking-Step2'!M636</f>
        <v>0</v>
      </c>
      <c r="AL636" s="2136">
        <f>O636-'Blocking-Step2'!O636</f>
        <v>0</v>
      </c>
      <c r="AN636" s="2137">
        <f>Q636-'Blocking-Step2'!Q636</f>
        <v>0</v>
      </c>
      <c r="AP636" s="2127">
        <f>S636-'Blocking-Step2'!S636</f>
        <v>0</v>
      </c>
      <c r="AR636" s="2127">
        <f>U636-'Blocking-Step2'!U636</f>
        <v>0</v>
      </c>
      <c r="AT636" s="2127">
        <f>W636-'Blocking-Step2'!W636</f>
        <v>0</v>
      </c>
      <c r="AV636" s="2128">
        <f>Y636-'Blocking-Step2'!Y636</f>
        <v>0</v>
      </c>
    </row>
    <row r="637" spans="1:48" ht="16.5" hidden="1" thickTop="1">
      <c r="A637" s="1115" t="s">
        <v>1928</v>
      </c>
      <c r="C637" s="1105"/>
      <c r="D637" s="1105"/>
      <c r="Z637" s="2114">
        <f>C637-'Blocking-Step2'!C637</f>
        <v>0</v>
      </c>
      <c r="AA637" s="2114">
        <f>D637-'Blocking-Step2'!D637</f>
        <v>0</v>
      </c>
      <c r="AC637" s="2114">
        <f>F637-'Blocking-Step2'!F637</f>
        <v>0</v>
      </c>
      <c r="AE637" s="2114">
        <f>H637-'Blocking-Step2'!H637</f>
        <v>0</v>
      </c>
      <c r="AF637" s="2114">
        <f>I637-'Blocking-Step2'!I637</f>
        <v>0</v>
      </c>
      <c r="AH637" s="2136">
        <f>K637-'Blocking-Step2'!K637</f>
        <v>0</v>
      </c>
      <c r="AJ637" s="2136">
        <f>M637-'Blocking-Step2'!M637</f>
        <v>0</v>
      </c>
      <c r="AL637" s="2136">
        <f>O637-'Blocking-Step2'!O637</f>
        <v>0</v>
      </c>
      <c r="AN637" s="2137">
        <f>Q637-'Blocking-Step2'!Q637</f>
        <v>0</v>
      </c>
      <c r="AP637" s="2127">
        <f>S637-'Blocking-Step2'!S637</f>
        <v>0</v>
      </c>
      <c r="AR637" s="2127">
        <f>U637-'Blocking-Step2'!U637</f>
        <v>0</v>
      </c>
      <c r="AT637" s="2127">
        <f>W637-'Blocking-Step2'!W637</f>
        <v>0</v>
      </c>
      <c r="AV637" s="2128">
        <f>Y637-'Blocking-Step2'!Y637</f>
        <v>0</v>
      </c>
    </row>
    <row r="638" spans="1:48" ht="16.5" hidden="1" thickTop="1">
      <c r="A638" s="1116" t="s">
        <v>240</v>
      </c>
      <c r="C638" s="1105">
        <v>2</v>
      </c>
      <c r="D638" s="1105">
        <v>6</v>
      </c>
      <c r="F638" s="1907"/>
      <c r="G638" s="1110"/>
      <c r="H638" s="1146"/>
      <c r="I638" s="1146"/>
      <c r="K638" s="1907">
        <v>54</v>
      </c>
      <c r="L638" s="1110"/>
      <c r="M638" s="1907">
        <v>0</v>
      </c>
      <c r="N638" s="1110"/>
      <c r="O638" s="1907">
        <v>0</v>
      </c>
      <c r="P638" s="1110"/>
      <c r="Q638" s="1907">
        <v>54</v>
      </c>
      <c r="R638" s="1110"/>
      <c r="S638" s="1146">
        <v>324</v>
      </c>
      <c r="T638" s="1629"/>
      <c r="U638" s="1146">
        <v>0</v>
      </c>
      <c r="V638" s="1629"/>
      <c r="W638" s="1146">
        <v>0</v>
      </c>
      <c r="X638" s="1629"/>
      <c r="Y638" s="1146">
        <v>324</v>
      </c>
      <c r="Z638" s="2114">
        <f>C638-'Blocking-Step2'!C638</f>
        <v>0</v>
      </c>
      <c r="AA638" s="2114">
        <f>D638-'Blocking-Step2'!D638</f>
        <v>0</v>
      </c>
      <c r="AC638" s="2114">
        <f>F638-'Blocking-Step2'!F638</f>
        <v>0</v>
      </c>
      <c r="AE638" s="2114">
        <f>H638-'Blocking-Step2'!H638</f>
        <v>0</v>
      </c>
      <c r="AF638" s="2114">
        <f>I638-'Blocking-Step2'!I638</f>
        <v>0</v>
      </c>
      <c r="AH638" s="2136">
        <f>K638-'Blocking-Step2'!K638</f>
        <v>0</v>
      </c>
      <c r="AJ638" s="2136">
        <f>M638-'Blocking-Step2'!M638</f>
        <v>0</v>
      </c>
      <c r="AL638" s="2136">
        <f>O638-'Blocking-Step2'!O638</f>
        <v>0</v>
      </c>
      <c r="AN638" s="2137">
        <f>Q638-'Blocking-Step2'!Q638</f>
        <v>0</v>
      </c>
      <c r="AP638" s="2127">
        <f>S638-'Blocking-Step2'!S638</f>
        <v>0</v>
      </c>
      <c r="AR638" s="2127">
        <f>U638-'Blocking-Step2'!U638</f>
        <v>0</v>
      </c>
      <c r="AT638" s="2127">
        <f>W638-'Blocking-Step2'!W638</f>
        <v>0</v>
      </c>
      <c r="AV638" s="2128">
        <f>Y638-'Blocking-Step2'!Y638</f>
        <v>0</v>
      </c>
    </row>
    <row r="639" spans="1:48" ht="16.5" hidden="1" thickTop="1">
      <c r="A639" s="1116" t="s">
        <v>1910</v>
      </c>
      <c r="C639" s="1105">
        <v>0</v>
      </c>
      <c r="D639" s="1105">
        <v>0</v>
      </c>
      <c r="E639" s="617"/>
      <c r="F639" s="1143"/>
      <c r="G639" s="1921"/>
      <c r="H639" s="1146"/>
      <c r="I639" s="1146"/>
      <c r="J639" s="617"/>
      <c r="K639" s="1143">
        <v>1.657</v>
      </c>
      <c r="L639" s="1921" t="s">
        <v>495</v>
      </c>
      <c r="M639" s="1143">
        <v>19.370528114911814</v>
      </c>
      <c r="N639" s="1921" t="s">
        <v>495</v>
      </c>
      <c r="O639" s="1143">
        <v>1.3496999999999999</v>
      </c>
      <c r="P639" s="1921" t="s">
        <v>495</v>
      </c>
      <c r="Q639" s="1143">
        <v>22.377228114911812</v>
      </c>
      <c r="R639" s="1921" t="s">
        <v>495</v>
      </c>
      <c r="S639" s="1146">
        <v>0</v>
      </c>
      <c r="T639" s="1648"/>
      <c r="U639" s="1146">
        <v>0</v>
      </c>
      <c r="V639" s="1648"/>
      <c r="W639" s="1146">
        <v>0</v>
      </c>
      <c r="X639" s="1648"/>
      <c r="Y639" s="1146">
        <v>0</v>
      </c>
      <c r="Z639" s="2114">
        <f>C639-'Blocking-Step2'!C639</f>
        <v>0</v>
      </c>
      <c r="AA639" s="2114">
        <f>D639-'Blocking-Step2'!D639</f>
        <v>0</v>
      </c>
      <c r="AC639" s="2114">
        <f>F639-'Blocking-Step2'!F639</f>
        <v>0</v>
      </c>
      <c r="AE639" s="2114">
        <f>H639-'Blocking-Step2'!H639</f>
        <v>0</v>
      </c>
      <c r="AF639" s="2114">
        <f>I639-'Blocking-Step2'!I639</f>
        <v>0</v>
      </c>
      <c r="AH639" s="2136">
        <f>K639-'Blocking-Step2'!K639</f>
        <v>-2.2955000000000001</v>
      </c>
      <c r="AJ639" s="2136">
        <f>M639-'Blocking-Step2'!M639</f>
        <v>2.2955000000000005</v>
      </c>
      <c r="AL639" s="2136">
        <f>O639-'Blocking-Step2'!O639</f>
        <v>0</v>
      </c>
      <c r="AN639" s="2137">
        <f>Q639-'Blocking-Step2'!Q639</f>
        <v>0</v>
      </c>
      <c r="AP639" s="2127">
        <f>S639-'Blocking-Step2'!S639</f>
        <v>0</v>
      </c>
      <c r="AR639" s="2127">
        <f>U639-'Blocking-Step2'!U639</f>
        <v>0</v>
      </c>
      <c r="AT639" s="2127">
        <f>W639-'Blocking-Step2'!W639</f>
        <v>0</v>
      </c>
      <c r="AV639" s="2128">
        <f>Y639-'Blocking-Step2'!Y639</f>
        <v>0</v>
      </c>
    </row>
    <row r="640" spans="1:48" ht="16.5" hidden="1" thickTop="1">
      <c r="A640" s="1116" t="s">
        <v>1911</v>
      </c>
      <c r="C640" s="1105">
        <v>0</v>
      </c>
      <c r="D640" s="1105">
        <v>0</v>
      </c>
      <c r="E640" s="617"/>
      <c r="F640" s="1143"/>
      <c r="G640" s="1921"/>
      <c r="H640" s="1146"/>
      <c r="I640" s="1146"/>
      <c r="J640" s="617"/>
      <c r="K640" s="1143">
        <v>1.657</v>
      </c>
      <c r="L640" s="1921" t="s">
        <v>495</v>
      </c>
      <c r="M640" s="1143">
        <v>1.3803172825590004</v>
      </c>
      <c r="N640" s="1921" t="s">
        <v>495</v>
      </c>
      <c r="O640" s="1143">
        <v>1.3496999999999999</v>
      </c>
      <c r="P640" s="1921" t="s">
        <v>495</v>
      </c>
      <c r="Q640" s="1143">
        <v>4.3870172825590004</v>
      </c>
      <c r="R640" s="1921" t="s">
        <v>495</v>
      </c>
      <c r="S640" s="1146">
        <v>0</v>
      </c>
      <c r="T640" s="1648"/>
      <c r="U640" s="1146">
        <v>0</v>
      </c>
      <c r="V640" s="1648"/>
      <c r="W640" s="1146">
        <v>0</v>
      </c>
      <c r="X640" s="1648"/>
      <c r="Y640" s="1146">
        <v>0</v>
      </c>
      <c r="Z640" s="2114">
        <f>C640-'Blocking-Step2'!C640</f>
        <v>0</v>
      </c>
      <c r="AA640" s="2114">
        <f>D640-'Blocking-Step2'!D640</f>
        <v>0</v>
      </c>
      <c r="AC640" s="2114">
        <f>F640-'Blocking-Step2'!F640</f>
        <v>0</v>
      </c>
      <c r="AE640" s="2114">
        <f>H640-'Blocking-Step2'!H640</f>
        <v>0</v>
      </c>
      <c r="AF640" s="2114">
        <f>I640-'Blocking-Step2'!I640</f>
        <v>0</v>
      </c>
      <c r="AH640" s="2136">
        <f>K640-'Blocking-Step2'!K640</f>
        <v>-2.2955000000000001</v>
      </c>
      <c r="AJ640" s="2136">
        <f>M640-'Blocking-Step2'!M640</f>
        <v>2.2955000000000001</v>
      </c>
      <c r="AL640" s="2136">
        <f>O640-'Blocking-Step2'!O640</f>
        <v>0</v>
      </c>
      <c r="AN640" s="2137">
        <f>Q640-'Blocking-Step2'!Q640</f>
        <v>0</v>
      </c>
      <c r="AP640" s="2127">
        <f>S640-'Blocking-Step2'!S640</f>
        <v>0</v>
      </c>
      <c r="AR640" s="2127">
        <f>U640-'Blocking-Step2'!U640</f>
        <v>0</v>
      </c>
      <c r="AT640" s="2127">
        <f>W640-'Blocking-Step2'!W640</f>
        <v>0</v>
      </c>
      <c r="AV640" s="2128">
        <f>Y640-'Blocking-Step2'!Y640</f>
        <v>0</v>
      </c>
    </row>
    <row r="641" spans="1:48" ht="16.5" hidden="1" thickTop="1">
      <c r="A641" s="1116" t="s">
        <v>1912</v>
      </c>
      <c r="C641" s="1105">
        <v>3467.5</v>
      </c>
      <c r="D641" s="1105">
        <v>11579.888107875484</v>
      </c>
      <c r="E641" s="617"/>
      <c r="F641" s="1143"/>
      <c r="G641" s="1921"/>
      <c r="H641" s="1146"/>
      <c r="I641" s="1146"/>
      <c r="J641" s="617"/>
      <c r="K641" s="1143">
        <v>1.657</v>
      </c>
      <c r="L641" s="1921" t="s">
        <v>495</v>
      </c>
      <c r="M641" s="1143">
        <v>16.951500000000003</v>
      </c>
      <c r="N641" s="1921" t="s">
        <v>495</v>
      </c>
      <c r="O641" s="1143">
        <v>1.1943999999999999</v>
      </c>
      <c r="P641" s="1921" t="s">
        <v>495</v>
      </c>
      <c r="Q641" s="1143">
        <v>19.802900000000001</v>
      </c>
      <c r="R641" s="1921" t="s">
        <v>495</v>
      </c>
      <c r="S641" s="1146">
        <v>192</v>
      </c>
      <c r="T641" s="1648"/>
      <c r="U641" s="1146">
        <v>1963</v>
      </c>
      <c r="V641" s="1648"/>
      <c r="W641" s="1146">
        <v>138</v>
      </c>
      <c r="X641" s="1648"/>
      <c r="Y641" s="1146">
        <v>2293</v>
      </c>
      <c r="Z641" s="2114">
        <f>C641-'Blocking-Step2'!C641</f>
        <v>0</v>
      </c>
      <c r="AA641" s="2114">
        <f>D641-'Blocking-Step2'!D641</f>
        <v>0</v>
      </c>
      <c r="AC641" s="2114">
        <f>F641-'Blocking-Step2'!F641</f>
        <v>0</v>
      </c>
      <c r="AE641" s="2114">
        <f>H641-'Blocking-Step2'!H641</f>
        <v>0</v>
      </c>
      <c r="AF641" s="2114">
        <f>I641-'Blocking-Step2'!I641</f>
        <v>0</v>
      </c>
      <c r="AH641" s="2136">
        <f>K641-'Blocking-Step2'!K641</f>
        <v>-2.2955000000000001</v>
      </c>
      <c r="AJ641" s="2136">
        <f>M641-'Blocking-Step2'!M641</f>
        <v>2.2955000000000023</v>
      </c>
      <c r="AL641" s="2136">
        <f>O641-'Blocking-Step2'!O641</f>
        <v>0</v>
      </c>
      <c r="AN641" s="2137">
        <f>Q641-'Blocking-Step2'!Q641</f>
        <v>0</v>
      </c>
      <c r="AP641" s="2127">
        <f>S641-'Blocking-Step2'!S641</f>
        <v>-266</v>
      </c>
      <c r="AR641" s="2127">
        <f>U641-'Blocking-Step2'!U641</f>
        <v>266</v>
      </c>
      <c r="AT641" s="2127">
        <f>W641-'Blocking-Step2'!W641</f>
        <v>0</v>
      </c>
      <c r="AV641" s="2128">
        <f>Y641-'Blocking-Step2'!Y641</f>
        <v>0</v>
      </c>
    </row>
    <row r="642" spans="1:48" ht="16.5" hidden="1" thickTop="1">
      <c r="A642" s="1116" t="s">
        <v>1913</v>
      </c>
      <c r="C642" s="1105">
        <v>75.5</v>
      </c>
      <c r="D642" s="1105">
        <v>252.13599196671925</v>
      </c>
      <c r="E642" s="617"/>
      <c r="F642" s="1143"/>
      <c r="G642" s="1921"/>
      <c r="H642" s="1146"/>
      <c r="I642" s="1146"/>
      <c r="J642" s="617"/>
      <c r="K642" s="1143">
        <v>1.657</v>
      </c>
      <c r="L642" s="1921" t="s">
        <v>495</v>
      </c>
      <c r="M642" s="1143">
        <v>1.0308999999999999</v>
      </c>
      <c r="N642" s="1921" t="s">
        <v>495</v>
      </c>
      <c r="O642" s="1143">
        <v>1.1943999999999999</v>
      </c>
      <c r="P642" s="1921" t="s">
        <v>495</v>
      </c>
      <c r="Q642" s="1143">
        <v>3.8822999999999999</v>
      </c>
      <c r="R642" s="1921" t="s">
        <v>495</v>
      </c>
      <c r="S642" s="1146">
        <v>4</v>
      </c>
      <c r="T642" s="1648"/>
      <c r="U642" s="1146">
        <v>3</v>
      </c>
      <c r="V642" s="1648"/>
      <c r="W642" s="1146">
        <v>3</v>
      </c>
      <c r="X642" s="1648"/>
      <c r="Y642" s="1146">
        <v>10</v>
      </c>
      <c r="Z642" s="2114">
        <f>C642-'Blocking-Step2'!C642</f>
        <v>0</v>
      </c>
      <c r="AA642" s="2114">
        <f>D642-'Blocking-Step2'!D642</f>
        <v>0</v>
      </c>
      <c r="AC642" s="2114">
        <f>F642-'Blocking-Step2'!F642</f>
        <v>0</v>
      </c>
      <c r="AE642" s="2114">
        <f>H642-'Blocking-Step2'!H642</f>
        <v>0</v>
      </c>
      <c r="AF642" s="2114">
        <f>I642-'Blocking-Step2'!I642</f>
        <v>0</v>
      </c>
      <c r="AH642" s="2136">
        <f>K642-'Blocking-Step2'!K642</f>
        <v>-2.2955000000000001</v>
      </c>
      <c r="AJ642" s="2136">
        <f>M642-'Blocking-Step2'!M642</f>
        <v>2.2955000000000001</v>
      </c>
      <c r="AL642" s="2136">
        <f>O642-'Blocking-Step2'!O642</f>
        <v>0</v>
      </c>
      <c r="AN642" s="2137">
        <f>Q642-'Blocking-Step2'!Q642</f>
        <v>0</v>
      </c>
      <c r="AP642" s="2127">
        <f>S642-'Blocking-Step2'!S642</f>
        <v>-6</v>
      </c>
      <c r="AR642" s="2127">
        <f>U642-'Blocking-Step2'!U642</f>
        <v>6</v>
      </c>
      <c r="AT642" s="2127">
        <f>W642-'Blocking-Step2'!W642</f>
        <v>0</v>
      </c>
      <c r="AV642" s="2128">
        <f>Y642-'Blocking-Step2'!Y642</f>
        <v>0</v>
      </c>
    </row>
    <row r="643" spans="1:48" ht="16.5" hidden="1" thickTop="1">
      <c r="A643" s="1116" t="s">
        <v>1906</v>
      </c>
      <c r="C643" s="1105">
        <v>0</v>
      </c>
      <c r="D643" s="1105">
        <v>0</v>
      </c>
      <c r="E643" s="617"/>
      <c r="F643" s="1143"/>
      <c r="G643" s="1921"/>
      <c r="H643" s="1146"/>
      <c r="I643" s="1146"/>
      <c r="J643" s="617"/>
      <c r="K643" s="1143">
        <v>0</v>
      </c>
      <c r="L643" s="1921" t="s">
        <v>495</v>
      </c>
      <c r="M643" s="1143">
        <v>0</v>
      </c>
      <c r="N643" s="1921" t="s">
        <v>495</v>
      </c>
      <c r="O643" s="1143">
        <v>6</v>
      </c>
      <c r="P643" s="1921" t="s">
        <v>495</v>
      </c>
      <c r="Q643" s="1143">
        <v>6</v>
      </c>
      <c r="R643" s="1921" t="s">
        <v>495</v>
      </c>
      <c r="S643" s="1146">
        <v>0</v>
      </c>
      <c r="T643" s="1648"/>
      <c r="U643" s="1146">
        <v>0</v>
      </c>
      <c r="V643" s="1648"/>
      <c r="W643" s="1146">
        <v>0</v>
      </c>
      <c r="X643" s="1648"/>
      <c r="Y643" s="1146">
        <v>0</v>
      </c>
      <c r="Z643" s="2114">
        <f>C643-'Blocking-Step2'!C643</f>
        <v>0</v>
      </c>
      <c r="AA643" s="2114">
        <f>D643-'Blocking-Step2'!D643</f>
        <v>0</v>
      </c>
      <c r="AC643" s="2114">
        <f>F643-'Blocking-Step2'!F643</f>
        <v>0</v>
      </c>
      <c r="AE643" s="2114">
        <f>H643-'Blocking-Step2'!H643</f>
        <v>0</v>
      </c>
      <c r="AF643" s="2114">
        <f>I643-'Blocking-Step2'!I643</f>
        <v>0</v>
      </c>
      <c r="AH643" s="2136">
        <f>K643-'Blocking-Step2'!K643</f>
        <v>0</v>
      </c>
      <c r="AJ643" s="2136">
        <f>M643-'Blocking-Step2'!M643</f>
        <v>0</v>
      </c>
      <c r="AL643" s="2136">
        <f>O643-'Blocking-Step2'!O643</f>
        <v>0</v>
      </c>
      <c r="AN643" s="2137">
        <f>Q643-'Blocking-Step2'!Q643</f>
        <v>0</v>
      </c>
      <c r="AP643" s="2127">
        <f>S643-'Blocking-Step2'!S643</f>
        <v>0</v>
      </c>
      <c r="AR643" s="2127">
        <f>U643-'Blocking-Step2'!U643</f>
        <v>0</v>
      </c>
      <c r="AT643" s="2127">
        <f>W643-'Blocking-Step2'!W643</f>
        <v>0</v>
      </c>
      <c r="AV643" s="2128">
        <f>Y643-'Blocking-Step2'!Y643</f>
        <v>0</v>
      </c>
    </row>
    <row r="644" spans="1:48" ht="16.5" hidden="1" thickTop="1">
      <c r="A644" s="1116" t="s">
        <v>1907</v>
      </c>
      <c r="C644" s="1105">
        <v>0</v>
      </c>
      <c r="D644" s="1105">
        <v>0</v>
      </c>
      <c r="E644" s="617"/>
      <c r="F644" s="1143"/>
      <c r="G644" s="1921"/>
      <c r="H644" s="1146"/>
      <c r="I644" s="1146"/>
      <c r="J644" s="617"/>
      <c r="K644" s="1143">
        <v>0</v>
      </c>
      <c r="L644" s="1921" t="s">
        <v>495</v>
      </c>
      <c r="M644" s="1143">
        <v>0</v>
      </c>
      <c r="N644" s="1921" t="s">
        <v>495</v>
      </c>
      <c r="O644" s="1143">
        <v>-2.3358000000000008</v>
      </c>
      <c r="P644" s="1921" t="s">
        <v>495</v>
      </c>
      <c r="Q644" s="1143">
        <v>-2.3358000000000008</v>
      </c>
      <c r="R644" s="1921" t="s">
        <v>495</v>
      </c>
      <c r="S644" s="1146">
        <v>0</v>
      </c>
      <c r="T644" s="1648"/>
      <c r="U644" s="1146">
        <v>0</v>
      </c>
      <c r="V644" s="1648"/>
      <c r="W644" s="1146">
        <v>0</v>
      </c>
      <c r="X644" s="1648"/>
      <c r="Y644" s="1146">
        <v>0</v>
      </c>
      <c r="Z644" s="2114">
        <f>C644-'Blocking-Step2'!C644</f>
        <v>0</v>
      </c>
      <c r="AA644" s="2114">
        <f>D644-'Blocking-Step2'!D644</f>
        <v>0</v>
      </c>
      <c r="AC644" s="2114">
        <f>F644-'Blocking-Step2'!F644</f>
        <v>0</v>
      </c>
      <c r="AE644" s="2114">
        <f>H644-'Blocking-Step2'!H644</f>
        <v>0</v>
      </c>
      <c r="AF644" s="2114">
        <f>I644-'Blocking-Step2'!I644</f>
        <v>0</v>
      </c>
      <c r="AH644" s="2136">
        <f>K644-'Blocking-Step2'!K644</f>
        <v>0</v>
      </c>
      <c r="AJ644" s="2136">
        <f>M644-'Blocking-Step2'!M644</f>
        <v>0</v>
      </c>
      <c r="AL644" s="2136">
        <f>O644-'Blocking-Step2'!O644</f>
        <v>0</v>
      </c>
      <c r="AN644" s="2137">
        <f>Q644-'Blocking-Step2'!Q644</f>
        <v>0</v>
      </c>
      <c r="AP644" s="2127">
        <f>S644-'Blocking-Step2'!S644</f>
        <v>0</v>
      </c>
      <c r="AR644" s="2127">
        <f>U644-'Blocking-Step2'!U644</f>
        <v>0</v>
      </c>
      <c r="AT644" s="2127">
        <f>W644-'Blocking-Step2'!W644</f>
        <v>0</v>
      </c>
      <c r="AV644" s="2128">
        <f>Y644-'Blocking-Step2'!Y644</f>
        <v>0</v>
      </c>
    </row>
    <row r="645" spans="1:48" ht="16.5" hidden="1" thickTop="1">
      <c r="A645" s="1116" t="s">
        <v>1908</v>
      </c>
      <c r="C645" s="1105">
        <v>1967.6068349026409</v>
      </c>
      <c r="D645" s="1105">
        <v>6570.9205446182013</v>
      </c>
      <c r="E645" s="617"/>
      <c r="F645" s="1143"/>
      <c r="G645" s="1921"/>
      <c r="H645" s="1146"/>
      <c r="I645" s="1146"/>
      <c r="J645" s="617"/>
      <c r="K645" s="1143">
        <v>0</v>
      </c>
      <c r="L645" s="1921" t="s">
        <v>495</v>
      </c>
      <c r="M645" s="1143">
        <v>0</v>
      </c>
      <c r="N645" s="1921" t="s">
        <v>495</v>
      </c>
      <c r="O645" s="1143">
        <v>5.3097000000000003</v>
      </c>
      <c r="P645" s="1921" t="s">
        <v>495</v>
      </c>
      <c r="Q645" s="1143">
        <v>5.3097000000000003</v>
      </c>
      <c r="R645" s="1921" t="s">
        <v>495</v>
      </c>
      <c r="S645" s="1146">
        <v>0</v>
      </c>
      <c r="T645" s="1648"/>
      <c r="U645" s="1146">
        <v>0</v>
      </c>
      <c r="V645" s="1648"/>
      <c r="W645" s="1146">
        <v>349</v>
      </c>
      <c r="X645" s="1648"/>
      <c r="Y645" s="1146">
        <v>349</v>
      </c>
      <c r="Z645" s="2114">
        <f>C645-'Blocking-Step2'!C645</f>
        <v>0</v>
      </c>
      <c r="AA645" s="2114">
        <f>D645-'Blocking-Step2'!D645</f>
        <v>0</v>
      </c>
      <c r="AC645" s="2114">
        <f>F645-'Blocking-Step2'!F645</f>
        <v>0</v>
      </c>
      <c r="AE645" s="2114">
        <f>H645-'Blocking-Step2'!H645</f>
        <v>0</v>
      </c>
      <c r="AF645" s="2114">
        <f>I645-'Blocking-Step2'!I645</f>
        <v>0</v>
      </c>
      <c r="AH645" s="2136">
        <f>K645-'Blocking-Step2'!K645</f>
        <v>0</v>
      </c>
      <c r="AJ645" s="2136">
        <f>M645-'Blocking-Step2'!M645</f>
        <v>0</v>
      </c>
      <c r="AL645" s="2136">
        <f>O645-'Blocking-Step2'!O645</f>
        <v>0</v>
      </c>
      <c r="AN645" s="2137">
        <f>Q645-'Blocking-Step2'!Q645</f>
        <v>0</v>
      </c>
      <c r="AP645" s="2127">
        <f>S645-'Blocking-Step2'!S645</f>
        <v>0</v>
      </c>
      <c r="AR645" s="2127">
        <f>U645-'Blocking-Step2'!U645</f>
        <v>0</v>
      </c>
      <c r="AT645" s="2127">
        <f>W645-'Blocking-Step2'!W645</f>
        <v>0</v>
      </c>
      <c r="AV645" s="2128">
        <f>Y645-'Blocking-Step2'!Y645</f>
        <v>0</v>
      </c>
    </row>
    <row r="646" spans="1:48" ht="16.5" hidden="1" thickTop="1">
      <c r="A646" s="1116" t="s">
        <v>1909</v>
      </c>
      <c r="C646" s="1105">
        <v>1575.3931650973593</v>
      </c>
      <c r="D646" s="1105">
        <v>5261.1035552240028</v>
      </c>
      <c r="E646" s="617"/>
      <c r="F646" s="1143"/>
      <c r="G646" s="1921"/>
      <c r="H646" s="1146"/>
      <c r="I646" s="1146"/>
      <c r="J646" s="617"/>
      <c r="K646" s="1143">
        <v>0</v>
      </c>
      <c r="L646" s="1921" t="s">
        <v>495</v>
      </c>
      <c r="M646" s="1143">
        <v>0</v>
      </c>
      <c r="N646" s="1921" t="s">
        <v>495</v>
      </c>
      <c r="O646" s="1143">
        <v>-2.0670999999999999</v>
      </c>
      <c r="P646" s="1921" t="s">
        <v>495</v>
      </c>
      <c r="Q646" s="1143">
        <v>-2.0670999999999999</v>
      </c>
      <c r="R646" s="1921" t="s">
        <v>495</v>
      </c>
      <c r="S646" s="1146">
        <v>0</v>
      </c>
      <c r="T646" s="1648"/>
      <c r="U646" s="1146">
        <v>0</v>
      </c>
      <c r="V646" s="1648"/>
      <c r="W646" s="1146">
        <v>-109</v>
      </c>
      <c r="X646" s="1648"/>
      <c r="Y646" s="1146">
        <v>-109</v>
      </c>
      <c r="Z646" s="2114">
        <f>C646-'Blocking-Step2'!C646</f>
        <v>0</v>
      </c>
      <c r="AA646" s="2114">
        <f>D646-'Blocking-Step2'!D646</f>
        <v>0</v>
      </c>
      <c r="AC646" s="2114">
        <f>F646-'Blocking-Step2'!F646</f>
        <v>0</v>
      </c>
      <c r="AE646" s="2114">
        <f>H646-'Blocking-Step2'!H646</f>
        <v>0</v>
      </c>
      <c r="AF646" s="2114">
        <f>I646-'Blocking-Step2'!I646</f>
        <v>0</v>
      </c>
      <c r="AH646" s="2136">
        <f>K646-'Blocking-Step2'!K646</f>
        <v>0</v>
      </c>
      <c r="AJ646" s="2136">
        <f>M646-'Blocking-Step2'!M646</f>
        <v>0</v>
      </c>
      <c r="AL646" s="2136">
        <f>O646-'Blocking-Step2'!O646</f>
        <v>0</v>
      </c>
      <c r="AN646" s="2137">
        <f>Q646-'Blocking-Step2'!Q646</f>
        <v>0</v>
      </c>
      <c r="AP646" s="2127">
        <f>S646-'Blocking-Step2'!S646</f>
        <v>0</v>
      </c>
      <c r="AR646" s="2127">
        <f>U646-'Blocking-Step2'!U646</f>
        <v>0</v>
      </c>
      <c r="AT646" s="2127">
        <f>W646-'Blocking-Step2'!W646</f>
        <v>0</v>
      </c>
      <c r="AV646" s="2128">
        <f>Y646-'Blocking-Step2'!Y646</f>
        <v>0</v>
      </c>
    </row>
    <row r="647" spans="1:48" ht="16.5" hidden="1" thickTop="1">
      <c r="A647" s="1116" t="s">
        <v>261</v>
      </c>
      <c r="C647" s="1105">
        <v>0</v>
      </c>
      <c r="D647" s="1105">
        <v>0</v>
      </c>
      <c r="F647" s="1907"/>
      <c r="G647" s="1110"/>
      <c r="H647" s="1146"/>
      <c r="I647" s="1146"/>
      <c r="K647" s="1907">
        <v>-0.61</v>
      </c>
      <c r="L647" s="1110"/>
      <c r="M647" s="1907">
        <v>0</v>
      </c>
      <c r="N647" s="1110"/>
      <c r="O647" s="1907">
        <v>0</v>
      </c>
      <c r="P647" s="1110"/>
      <c r="Q647" s="1907">
        <v>-0.61</v>
      </c>
      <c r="R647" s="1110"/>
      <c r="S647" s="1146">
        <v>0</v>
      </c>
      <c r="T647" s="1629"/>
      <c r="U647" s="1146">
        <v>0</v>
      </c>
      <c r="V647" s="1629"/>
      <c r="W647" s="1146">
        <v>0</v>
      </c>
      <c r="X647" s="1629"/>
      <c r="Y647" s="1146">
        <v>0</v>
      </c>
      <c r="Z647" s="2114">
        <f>C647-'Blocking-Step2'!C647</f>
        <v>0</v>
      </c>
      <c r="AA647" s="2114">
        <f>D647-'Blocking-Step2'!D647</f>
        <v>0</v>
      </c>
      <c r="AC647" s="2114">
        <f>F647-'Blocking-Step2'!F647</f>
        <v>0</v>
      </c>
      <c r="AE647" s="2114">
        <f>H647-'Blocking-Step2'!H647</f>
        <v>0</v>
      </c>
      <c r="AF647" s="2114">
        <f>I647-'Blocking-Step2'!I647</f>
        <v>0</v>
      </c>
      <c r="AH647" s="2136">
        <f>K647-'Blocking-Step2'!K647</f>
        <v>0</v>
      </c>
      <c r="AJ647" s="2136">
        <f>M647-'Blocking-Step2'!M647</f>
        <v>0</v>
      </c>
      <c r="AL647" s="2136">
        <f>O647-'Blocking-Step2'!O647</f>
        <v>0</v>
      </c>
      <c r="AN647" s="2137">
        <f>Q647-'Blocking-Step2'!Q647</f>
        <v>0</v>
      </c>
      <c r="AP647" s="2127">
        <f>S647-'Blocking-Step2'!S647</f>
        <v>0</v>
      </c>
      <c r="AR647" s="2127">
        <f>U647-'Blocking-Step2'!U647</f>
        <v>0</v>
      </c>
      <c r="AT647" s="2127">
        <f>W647-'Blocking-Step2'!W647</f>
        <v>0</v>
      </c>
      <c r="AV647" s="2128">
        <f>Y647-'Blocking-Step2'!Y647</f>
        <v>0</v>
      </c>
    </row>
    <row r="648" spans="1:48" ht="16.5" hidden="1" thickTop="1">
      <c r="A648" s="1116" t="s">
        <v>1158</v>
      </c>
      <c r="C648" s="1105">
        <v>0</v>
      </c>
      <c r="D648" s="1105">
        <v>0</v>
      </c>
      <c r="F648" s="1106"/>
      <c r="G648" s="1921"/>
      <c r="H648" s="1146"/>
      <c r="I648" s="1146"/>
      <c r="K648" s="1106">
        <v>0</v>
      </c>
      <c r="L648" s="1921" t="s">
        <v>495</v>
      </c>
      <c r="M648" s="1106">
        <v>7.125</v>
      </c>
      <c r="N648" s="1921" t="s">
        <v>495</v>
      </c>
      <c r="O648" s="1106">
        <v>0</v>
      </c>
      <c r="P648" s="1921" t="s">
        <v>495</v>
      </c>
      <c r="Q648" s="1106">
        <v>7.125</v>
      </c>
      <c r="R648" s="1921" t="s">
        <v>495</v>
      </c>
      <c r="S648" s="1146">
        <v>0</v>
      </c>
      <c r="T648" s="1648"/>
      <c r="U648" s="1146">
        <v>0</v>
      </c>
      <c r="V648" s="1648"/>
      <c r="W648" s="1146">
        <v>0</v>
      </c>
      <c r="X648" s="1648"/>
      <c r="Y648" s="1146">
        <v>0</v>
      </c>
      <c r="Z648" s="2114">
        <f>C648-'Blocking-Step2'!C648</f>
        <v>0</v>
      </c>
      <c r="AA648" s="2114">
        <f>D648-'Blocking-Step2'!D648</f>
        <v>0</v>
      </c>
      <c r="AC648" s="2114">
        <f>F648-'Blocking-Step2'!F648</f>
        <v>0</v>
      </c>
      <c r="AE648" s="2114">
        <f>H648-'Blocking-Step2'!H648</f>
        <v>0</v>
      </c>
      <c r="AF648" s="2114">
        <f>I648-'Blocking-Step2'!I648</f>
        <v>0</v>
      </c>
      <c r="AH648" s="2136">
        <f>K648-'Blocking-Step2'!K648</f>
        <v>0</v>
      </c>
      <c r="AJ648" s="2136">
        <f>M648-'Blocking-Step2'!M648</f>
        <v>0</v>
      </c>
      <c r="AL648" s="2136">
        <f>O648-'Blocking-Step2'!O648</f>
        <v>0</v>
      </c>
      <c r="AN648" s="2137">
        <f>Q648-'Blocking-Step2'!Q648</f>
        <v>0</v>
      </c>
      <c r="AP648" s="2127">
        <f>S648-'Blocking-Step2'!S648</f>
        <v>0</v>
      </c>
      <c r="AR648" s="2127">
        <f>U648-'Blocking-Step2'!U648</f>
        <v>0</v>
      </c>
      <c r="AT648" s="2127">
        <f>W648-'Blocking-Step2'!W648</f>
        <v>0</v>
      </c>
      <c r="AV648" s="2128">
        <f>Y648-'Blocking-Step2'!Y648</f>
        <v>0</v>
      </c>
    </row>
    <row r="649" spans="1:48" ht="16.5" hidden="1" thickTop="1">
      <c r="A649" s="1116" t="s">
        <v>1240</v>
      </c>
      <c r="C649" s="1024"/>
      <c r="D649" s="1024"/>
      <c r="F649" s="2076"/>
      <c r="G649" s="617"/>
      <c r="H649" s="1146"/>
      <c r="I649" s="1146"/>
      <c r="K649" s="2076"/>
      <c r="L649" s="617"/>
      <c r="M649" s="2076"/>
      <c r="N649" s="617"/>
      <c r="O649" s="2077" t="s">
        <v>2323</v>
      </c>
      <c r="P649" s="617"/>
      <c r="Q649" s="2076">
        <v>-3.0599999999999999E-2</v>
      </c>
      <c r="R649" s="617"/>
      <c r="S649" s="1114"/>
      <c r="T649" s="1114"/>
      <c r="U649" s="1114"/>
      <c r="V649" s="1114"/>
      <c r="W649" s="1114"/>
      <c r="X649" s="1114"/>
      <c r="Y649" s="1146">
        <v>-70.471800000000002</v>
      </c>
      <c r="Z649" s="2114">
        <f>C649-'Blocking-Step2'!C649</f>
        <v>0</v>
      </c>
      <c r="AA649" s="2114">
        <f>D649-'Blocking-Step2'!D649</f>
        <v>0</v>
      </c>
      <c r="AC649" s="2114">
        <f>F649-'Blocking-Step2'!F649</f>
        <v>0</v>
      </c>
      <c r="AE649" s="2114">
        <f>H649-'Blocking-Step2'!H649</f>
        <v>0</v>
      </c>
      <c r="AF649" s="2114">
        <f>I649-'Blocking-Step2'!I649</f>
        <v>0</v>
      </c>
      <c r="AH649" s="2136">
        <f>K649-'Blocking-Step2'!K649</f>
        <v>0</v>
      </c>
      <c r="AJ649" s="2136">
        <f>M649-'Blocking-Step2'!M649</f>
        <v>0</v>
      </c>
      <c r="AL649" s="2136" t="e">
        <f>O649-'Blocking-Step2'!O649</f>
        <v>#VALUE!</v>
      </c>
      <c r="AN649" s="2137">
        <f>Q649-'Blocking-Step2'!Q649</f>
        <v>0</v>
      </c>
      <c r="AP649" s="2127">
        <f>S649-'Blocking-Step2'!S649</f>
        <v>0</v>
      </c>
      <c r="AR649" s="2127">
        <f>U649-'Blocking-Step2'!U649</f>
        <v>0</v>
      </c>
      <c r="AT649" s="2127">
        <f>W649-'Blocking-Step2'!W649</f>
        <v>0</v>
      </c>
      <c r="AV649" s="2128">
        <f>Y649-'Blocking-Step2'!Y649</f>
        <v>0</v>
      </c>
    </row>
    <row r="650" spans="1:48" ht="16.5" hidden="1" thickTop="1">
      <c r="A650" s="1116"/>
      <c r="C650" s="1024"/>
      <c r="D650" s="1024"/>
      <c r="F650" s="2076"/>
      <c r="G650" s="617"/>
      <c r="H650" s="1146"/>
      <c r="I650" s="1146"/>
      <c r="K650" s="2076"/>
      <c r="L650" s="617"/>
      <c r="M650" s="2076"/>
      <c r="N650" s="617"/>
      <c r="O650" s="2077" t="s">
        <v>2324</v>
      </c>
      <c r="P650" s="617"/>
      <c r="Q650" s="2076">
        <v>-1.66E-2</v>
      </c>
      <c r="R650" s="617"/>
      <c r="S650" s="1114"/>
      <c r="T650" s="1114"/>
      <c r="U650" s="1114"/>
      <c r="V650" s="1114"/>
      <c r="W650" s="1114"/>
      <c r="X650" s="1114"/>
      <c r="Y650" s="1146">
        <v>-38.229799999999997</v>
      </c>
      <c r="Z650" s="2114">
        <f>C650-'Blocking-Step2'!C650</f>
        <v>0</v>
      </c>
      <c r="AA650" s="2114">
        <f>D650-'Blocking-Step2'!D650</f>
        <v>0</v>
      </c>
      <c r="AC650" s="2114">
        <f>F650-'Blocking-Step2'!F650</f>
        <v>0</v>
      </c>
      <c r="AE650" s="2114">
        <f>H650-'Blocking-Step2'!H650</f>
        <v>0</v>
      </c>
      <c r="AF650" s="2114">
        <f>I650-'Blocking-Step2'!I650</f>
        <v>0</v>
      </c>
      <c r="AH650" s="2136">
        <f>K650-'Blocking-Step2'!K650</f>
        <v>0</v>
      </c>
      <c r="AJ650" s="2136">
        <f>M650-'Blocking-Step2'!M650</f>
        <v>0</v>
      </c>
      <c r="AL650" s="2136" t="e">
        <f>O650-'Blocking-Step2'!O650</f>
        <v>#VALUE!</v>
      </c>
      <c r="AN650" s="2137">
        <f>Q650-'Blocking-Step2'!Q650</f>
        <v>0</v>
      </c>
      <c r="AP650" s="2127">
        <f>S650-'Blocking-Step2'!S650</f>
        <v>0</v>
      </c>
      <c r="AR650" s="2127">
        <f>U650-'Blocking-Step2'!U650</f>
        <v>0</v>
      </c>
      <c r="AT650" s="2127">
        <f>W650-'Blocking-Step2'!W650</f>
        <v>0</v>
      </c>
      <c r="AV650" s="2128">
        <f>Y650-'Blocking-Step2'!Y650</f>
        <v>0</v>
      </c>
    </row>
    <row r="651" spans="1:48" ht="16.5" hidden="1" thickTop="1">
      <c r="A651" s="1116" t="s">
        <v>1923</v>
      </c>
      <c r="C651" s="1105">
        <v>3543</v>
      </c>
      <c r="D651" s="1105">
        <v>11832.024099842203</v>
      </c>
      <c r="F651" s="1907"/>
      <c r="G651" s="1110"/>
      <c r="H651" s="1146"/>
      <c r="I651" s="1146"/>
      <c r="K651" s="1907"/>
      <c r="L651" s="1110"/>
      <c r="M651" s="1907"/>
      <c r="N651" s="1110"/>
      <c r="O651" s="1907"/>
      <c r="P651" s="1110"/>
      <c r="Q651" s="1907"/>
      <c r="R651" s="1110"/>
      <c r="S651" s="1146">
        <v>520</v>
      </c>
      <c r="T651" s="1629"/>
      <c r="U651" s="1146">
        <v>1966</v>
      </c>
      <c r="V651" s="1629"/>
      <c r="W651" s="1146">
        <v>381</v>
      </c>
      <c r="X651" s="1629"/>
      <c r="Y651" s="1146">
        <v>2867</v>
      </c>
      <c r="Z651" s="2114">
        <f>C651-'Blocking-Step2'!C651</f>
        <v>0</v>
      </c>
      <c r="AA651" s="2114">
        <f>D651-'Blocking-Step2'!D651</f>
        <v>0</v>
      </c>
      <c r="AC651" s="2114">
        <f>F651-'Blocking-Step2'!F651</f>
        <v>0</v>
      </c>
      <c r="AE651" s="2114">
        <f>H651-'Blocking-Step2'!H651</f>
        <v>0</v>
      </c>
      <c r="AF651" s="2114">
        <f>I651-'Blocking-Step2'!I651</f>
        <v>0</v>
      </c>
      <c r="AH651" s="2136">
        <f>K651-'Blocking-Step2'!K651</f>
        <v>0</v>
      </c>
      <c r="AJ651" s="2136">
        <f>M651-'Blocking-Step2'!M651</f>
        <v>0</v>
      </c>
      <c r="AL651" s="2136">
        <f>O651-'Blocking-Step2'!O651</f>
        <v>0</v>
      </c>
      <c r="AN651" s="2137">
        <f>Q651-'Blocking-Step2'!Q651</f>
        <v>0</v>
      </c>
      <c r="AP651" s="2127">
        <f>S651-'Blocking-Step2'!S651</f>
        <v>-272</v>
      </c>
      <c r="AR651" s="2127">
        <f>U651-'Blocking-Step2'!U651</f>
        <v>272</v>
      </c>
      <c r="AT651" s="2127">
        <f>W651-'Blocking-Step2'!W651</f>
        <v>0</v>
      </c>
      <c r="AV651" s="2128">
        <f>Y651-'Blocking-Step2'!Y651</f>
        <v>0</v>
      </c>
    </row>
    <row r="652" spans="1:48" ht="16.5" hidden="1" thickTop="1">
      <c r="A652" s="1116"/>
      <c r="C652" s="1105"/>
      <c r="D652" s="1105"/>
      <c r="F652" s="1907"/>
      <c r="G652" s="1110"/>
      <c r="H652" s="1146"/>
      <c r="I652" s="1146"/>
      <c r="K652" s="1907"/>
      <c r="L652" s="1110"/>
      <c r="M652" s="1907"/>
      <c r="N652" s="1110"/>
      <c r="O652" s="1907"/>
      <c r="P652" s="1110"/>
      <c r="Q652" s="1907"/>
      <c r="R652" s="1110"/>
      <c r="S652" s="1629"/>
      <c r="T652" s="1629"/>
      <c r="U652" s="1629"/>
      <c r="V652" s="1629"/>
      <c r="W652" s="1629"/>
      <c r="X652" s="1629"/>
      <c r="Y652" s="1146"/>
      <c r="Z652" s="2114">
        <f>C652-'Blocking-Step2'!C652</f>
        <v>0</v>
      </c>
      <c r="AA652" s="2114">
        <f>D652-'Blocking-Step2'!D652</f>
        <v>0</v>
      </c>
      <c r="AC652" s="2114">
        <f>F652-'Blocking-Step2'!F652</f>
        <v>0</v>
      </c>
      <c r="AE652" s="2114">
        <f>H652-'Blocking-Step2'!H652</f>
        <v>0</v>
      </c>
      <c r="AF652" s="2114">
        <f>I652-'Blocking-Step2'!I652</f>
        <v>0</v>
      </c>
      <c r="AH652" s="2136">
        <f>K652-'Blocking-Step2'!K652</f>
        <v>0</v>
      </c>
      <c r="AJ652" s="2136">
        <f>M652-'Blocking-Step2'!M652</f>
        <v>0</v>
      </c>
      <c r="AL652" s="2136">
        <f>O652-'Blocking-Step2'!O652</f>
        <v>0</v>
      </c>
      <c r="AN652" s="2137">
        <f>Q652-'Blocking-Step2'!Q652</f>
        <v>0</v>
      </c>
      <c r="AP652" s="2127">
        <f>S652-'Blocking-Step2'!S652</f>
        <v>0</v>
      </c>
      <c r="AR652" s="2127">
        <f>U652-'Blocking-Step2'!U652</f>
        <v>0</v>
      </c>
      <c r="AT652" s="2127">
        <f>W652-'Blocking-Step2'!W652</f>
        <v>0</v>
      </c>
      <c r="AV652" s="2128">
        <f>Y652-'Blocking-Step2'!Y652</f>
        <v>0</v>
      </c>
    </row>
    <row r="653" spans="1:48" ht="16.5" hidden="1" thickTop="1">
      <c r="A653" s="2079" t="s">
        <v>240</v>
      </c>
      <c r="C653" s="1105">
        <v>2</v>
      </c>
      <c r="D653" s="1105">
        <v>6</v>
      </c>
      <c r="F653" s="1907">
        <v>54</v>
      </c>
      <c r="G653" s="1110"/>
      <c r="H653" s="1146">
        <v>108</v>
      </c>
      <c r="I653" s="1146">
        <v>324</v>
      </c>
      <c r="K653" s="1907">
        <v>54</v>
      </c>
      <c r="L653" s="1110"/>
      <c r="M653" s="1907">
        <v>0</v>
      </c>
      <c r="N653" s="1110"/>
      <c r="O653" s="1907">
        <v>0</v>
      </c>
      <c r="P653" s="1110"/>
      <c r="Q653" s="1907">
        <v>54</v>
      </c>
      <c r="R653" s="1110"/>
      <c r="S653" s="1146">
        <v>324</v>
      </c>
      <c r="T653" s="1629"/>
      <c r="U653" s="1146">
        <v>0</v>
      </c>
      <c r="V653" s="1629"/>
      <c r="W653" s="1146">
        <v>0</v>
      </c>
      <c r="X653" s="1629"/>
      <c r="Y653" s="1146">
        <v>324</v>
      </c>
      <c r="Z653" s="2114">
        <f>C653-'Blocking-Step2'!C653</f>
        <v>0</v>
      </c>
      <c r="AA653" s="2114">
        <f>D653-'Blocking-Step2'!D653</f>
        <v>0</v>
      </c>
      <c r="AC653" s="2114">
        <f>F653-'Blocking-Step2'!F653</f>
        <v>0</v>
      </c>
      <c r="AE653" s="2114">
        <f>H653-'Blocking-Step2'!H653</f>
        <v>0</v>
      </c>
      <c r="AF653" s="2114">
        <f>I653-'Blocking-Step2'!I653</f>
        <v>0</v>
      </c>
      <c r="AH653" s="2136">
        <f>K653-'Blocking-Step2'!K653</f>
        <v>0</v>
      </c>
      <c r="AJ653" s="2136">
        <f>M653-'Blocking-Step2'!M653</f>
        <v>0</v>
      </c>
      <c r="AL653" s="2136">
        <f>O653-'Blocking-Step2'!O653</f>
        <v>0</v>
      </c>
      <c r="AN653" s="2137">
        <f>Q653-'Blocking-Step2'!Q653</f>
        <v>0</v>
      </c>
      <c r="AP653" s="2127">
        <f>S653-'Blocking-Step2'!S653</f>
        <v>0</v>
      </c>
      <c r="AR653" s="2127">
        <f>U653-'Blocking-Step2'!U653</f>
        <v>0</v>
      </c>
      <c r="AT653" s="2127">
        <f>W653-'Blocking-Step2'!W653</f>
        <v>0</v>
      </c>
      <c r="AV653" s="2128">
        <f>Y653-'Blocking-Step2'!Y653</f>
        <v>0</v>
      </c>
    </row>
    <row r="654" spans="1:48" ht="16.5" hidden="1" thickTop="1">
      <c r="A654" s="1116" t="s">
        <v>262</v>
      </c>
      <c r="C654" s="1024">
        <v>0</v>
      </c>
      <c r="D654" s="1105">
        <v>0</v>
      </c>
      <c r="E654" s="617"/>
      <c r="F654" s="1907">
        <v>648</v>
      </c>
      <c r="G654" s="1110"/>
      <c r="H654" s="1146">
        <v>0</v>
      </c>
      <c r="I654" s="1146">
        <v>0</v>
      </c>
      <c r="J654" s="617"/>
      <c r="K654" s="1907">
        <v>648</v>
      </c>
      <c r="L654" s="1110"/>
      <c r="M654" s="1907">
        <v>0</v>
      </c>
      <c r="N654" s="1110"/>
      <c r="O654" s="1907">
        <v>0</v>
      </c>
      <c r="P654" s="1110"/>
      <c r="Q654" s="1907">
        <v>648</v>
      </c>
      <c r="R654" s="1110"/>
      <c r="S654" s="1146">
        <v>0</v>
      </c>
      <c r="T654" s="1114"/>
      <c r="U654" s="1146">
        <v>0</v>
      </c>
      <c r="V654" s="1114"/>
      <c r="W654" s="1146">
        <v>0</v>
      </c>
      <c r="X654" s="1114"/>
      <c r="Y654" s="1146">
        <v>0</v>
      </c>
      <c r="Z654" s="2114">
        <f>C654-'Blocking-Step2'!C654</f>
        <v>0</v>
      </c>
      <c r="AA654" s="2114">
        <f>D654-'Blocking-Step2'!D654</f>
        <v>0</v>
      </c>
      <c r="AC654" s="2114">
        <f>F654-'Blocking-Step2'!F654</f>
        <v>0</v>
      </c>
      <c r="AE654" s="2114">
        <f>H654-'Blocking-Step2'!H654</f>
        <v>0</v>
      </c>
      <c r="AF654" s="2114">
        <f>I654-'Blocking-Step2'!I654</f>
        <v>0</v>
      </c>
      <c r="AH654" s="2136">
        <f>K654-'Blocking-Step2'!K654</f>
        <v>0</v>
      </c>
      <c r="AJ654" s="2136">
        <f>M654-'Blocking-Step2'!M654</f>
        <v>0</v>
      </c>
      <c r="AL654" s="2136">
        <f>O654-'Blocking-Step2'!O654</f>
        <v>0</v>
      </c>
      <c r="AN654" s="2137">
        <f>Q654-'Blocking-Step2'!Q654</f>
        <v>0</v>
      </c>
      <c r="AP654" s="2127">
        <f>S654-'Blocking-Step2'!S654</f>
        <v>0</v>
      </c>
      <c r="AR654" s="2127">
        <f>U654-'Blocking-Step2'!U654</f>
        <v>0</v>
      </c>
      <c r="AT654" s="2127">
        <f>W654-'Blocking-Step2'!W654</f>
        <v>0</v>
      </c>
      <c r="AV654" s="2128">
        <f>Y654-'Blocking-Step2'!Y654</f>
        <v>0</v>
      </c>
    </row>
    <row r="655" spans="1:48" ht="16.5" hidden="1" thickTop="1">
      <c r="A655" s="1116" t="s">
        <v>168</v>
      </c>
      <c r="C655" s="1105">
        <v>79</v>
      </c>
      <c r="D655" s="1105">
        <v>264</v>
      </c>
      <c r="F655" s="1907">
        <v>4.04</v>
      </c>
      <c r="G655" s="1110"/>
      <c r="H655" s="1146">
        <v>319</v>
      </c>
      <c r="I655" s="1146">
        <v>1067</v>
      </c>
      <c r="K655" s="1907">
        <v>4.03</v>
      </c>
      <c r="L655" s="1110"/>
      <c r="M655" s="1907">
        <v>0</v>
      </c>
      <c r="N655" s="1110"/>
      <c r="O655" s="1907">
        <v>0</v>
      </c>
      <c r="P655" s="1110"/>
      <c r="Q655" s="1907">
        <v>4.03</v>
      </c>
      <c r="R655" s="1110"/>
      <c r="S655" s="1146">
        <v>1064</v>
      </c>
      <c r="T655" s="1629"/>
      <c r="U655" s="1146">
        <v>0</v>
      </c>
      <c r="V655" s="1629"/>
      <c r="W655" s="1146">
        <v>0</v>
      </c>
      <c r="X655" s="1629"/>
      <c r="Y655" s="1146">
        <v>1064</v>
      </c>
      <c r="Z655" s="2114">
        <f>C655-'Blocking-Step2'!C655</f>
        <v>0</v>
      </c>
      <c r="AA655" s="2114">
        <f>D655-'Blocking-Step2'!D655</f>
        <v>0</v>
      </c>
      <c r="AC655" s="2114">
        <f>F655-'Blocking-Step2'!F655</f>
        <v>0</v>
      </c>
      <c r="AE655" s="2114">
        <f>H655-'Blocking-Step2'!H655</f>
        <v>0</v>
      </c>
      <c r="AF655" s="2114">
        <f>I655-'Blocking-Step2'!I655</f>
        <v>0</v>
      </c>
      <c r="AH655" s="2136">
        <f>K655-'Blocking-Step2'!K655</f>
        <v>0</v>
      </c>
      <c r="AJ655" s="2136">
        <f>M655-'Blocking-Step2'!M655</f>
        <v>0</v>
      </c>
      <c r="AL655" s="2136">
        <f>O655-'Blocking-Step2'!O655</f>
        <v>0</v>
      </c>
      <c r="AN655" s="2137">
        <f>Q655-'Blocking-Step2'!Q655</f>
        <v>0</v>
      </c>
      <c r="AP655" s="2127">
        <f>S655-'Blocking-Step2'!S655</f>
        <v>0</v>
      </c>
      <c r="AR655" s="2127">
        <f>U655-'Blocking-Step2'!U655</f>
        <v>0</v>
      </c>
      <c r="AT655" s="2127">
        <f>W655-'Blocking-Step2'!W655</f>
        <v>0</v>
      </c>
      <c r="AV655" s="2128">
        <f>Y655-'Blocking-Step2'!Y655</f>
        <v>0</v>
      </c>
    </row>
    <row r="656" spans="1:48" ht="16.5" hidden="1" thickTop="1">
      <c r="A656" s="1116" t="s">
        <v>1649</v>
      </c>
      <c r="C656" s="1105">
        <v>0</v>
      </c>
      <c r="D656" s="1105">
        <v>0</v>
      </c>
      <c r="F656" s="1142"/>
      <c r="G656" s="617"/>
      <c r="H656" s="1146"/>
      <c r="I656" s="1146"/>
      <c r="K656" s="1142">
        <v>0.51</v>
      </c>
      <c r="L656" s="617"/>
      <c r="M656" s="1142">
        <v>12.89</v>
      </c>
      <c r="N656" s="617"/>
      <c r="O656" s="1142">
        <v>0</v>
      </c>
      <c r="P656" s="617"/>
      <c r="Q656" s="1142">
        <v>13.4</v>
      </c>
      <c r="R656" s="617"/>
      <c r="S656" s="1146">
        <v>0</v>
      </c>
      <c r="T656" s="1114"/>
      <c r="U656" s="1146">
        <v>0</v>
      </c>
      <c r="V656" s="1114"/>
      <c r="W656" s="1146">
        <v>0</v>
      </c>
      <c r="X656" s="1114"/>
      <c r="Y656" s="1146">
        <v>0</v>
      </c>
      <c r="Z656" s="2114">
        <f>C656-'Blocking-Step2'!C656</f>
        <v>0</v>
      </c>
      <c r="AA656" s="2114">
        <f>D656-'Blocking-Step2'!D656</f>
        <v>0</v>
      </c>
      <c r="AC656" s="2114">
        <f>F656-'Blocking-Step2'!F656</f>
        <v>0</v>
      </c>
      <c r="AE656" s="2114">
        <f>H656-'Blocking-Step2'!H656</f>
        <v>0</v>
      </c>
      <c r="AF656" s="2114">
        <f>I656-'Blocking-Step2'!I656</f>
        <v>0</v>
      </c>
      <c r="AH656" s="2136">
        <f>K656-'Blocking-Step2'!K656</f>
        <v>-5.83</v>
      </c>
      <c r="AJ656" s="2136">
        <f>M656-'Blocking-Step2'!M656</f>
        <v>5.83</v>
      </c>
      <c r="AL656" s="2136">
        <f>O656-'Blocking-Step2'!O656</f>
        <v>0</v>
      </c>
      <c r="AN656" s="2137">
        <f>Q656-'Blocking-Step2'!Q656</f>
        <v>0</v>
      </c>
      <c r="AP656" s="2127">
        <f>S656-'Blocking-Step2'!S656</f>
        <v>0</v>
      </c>
      <c r="AR656" s="2127">
        <f>U656-'Blocking-Step2'!U656</f>
        <v>0</v>
      </c>
      <c r="AT656" s="2127">
        <f>W656-'Blocking-Step2'!W656</f>
        <v>0</v>
      </c>
      <c r="AV656" s="2128">
        <f>Y656-'Blocking-Step2'!Y656</f>
        <v>0</v>
      </c>
    </row>
    <row r="657" spans="1:48" ht="16.5" hidden="1" thickTop="1">
      <c r="A657" s="1116" t="s">
        <v>1650</v>
      </c>
      <c r="C657" s="1105">
        <v>79</v>
      </c>
      <c r="D657" s="1105">
        <v>264</v>
      </c>
      <c r="F657" s="1142"/>
      <c r="G657" s="617"/>
      <c r="H657" s="1146"/>
      <c r="I657" s="1146"/>
      <c r="K657" s="1142">
        <v>0.45</v>
      </c>
      <c r="L657" s="617"/>
      <c r="M657" s="1142">
        <v>11.41</v>
      </c>
      <c r="N657" s="617"/>
      <c r="O657" s="1142">
        <v>0</v>
      </c>
      <c r="P657" s="617"/>
      <c r="Q657" s="1142">
        <v>11.86</v>
      </c>
      <c r="R657" s="617"/>
      <c r="S657" s="1146">
        <v>119</v>
      </c>
      <c r="T657" s="1114"/>
      <c r="U657" s="1146">
        <v>3012</v>
      </c>
      <c r="V657" s="1114"/>
      <c r="W657" s="1146">
        <v>0</v>
      </c>
      <c r="X657" s="1114"/>
      <c r="Y657" s="1146">
        <v>3131</v>
      </c>
      <c r="Z657" s="2114">
        <f>C657-'Blocking-Step2'!C657</f>
        <v>0</v>
      </c>
      <c r="AA657" s="2114">
        <f>D657-'Blocking-Step2'!D657</f>
        <v>0</v>
      </c>
      <c r="AC657" s="2114">
        <f>F657-'Blocking-Step2'!F657</f>
        <v>0</v>
      </c>
      <c r="AE657" s="2114">
        <f>H657-'Blocking-Step2'!H657</f>
        <v>0</v>
      </c>
      <c r="AF657" s="2114">
        <f>I657-'Blocking-Step2'!I657</f>
        <v>0</v>
      </c>
      <c r="AH657" s="2136">
        <f>K657-'Blocking-Step2'!K657</f>
        <v>-5.16</v>
      </c>
      <c r="AJ657" s="2136">
        <f>M657-'Blocking-Step2'!M657</f>
        <v>5.160000000000001</v>
      </c>
      <c r="AL657" s="2136">
        <f>O657-'Blocking-Step2'!O657</f>
        <v>0</v>
      </c>
      <c r="AN657" s="2137">
        <f>Q657-'Blocking-Step2'!Q657</f>
        <v>0</v>
      </c>
      <c r="AP657" s="2127">
        <f>S657-'Blocking-Step2'!S657</f>
        <v>-1362</v>
      </c>
      <c r="AR657" s="2127">
        <f>U657-'Blocking-Step2'!U657</f>
        <v>1362</v>
      </c>
      <c r="AT657" s="2127">
        <f>W657-'Blocking-Step2'!W657</f>
        <v>0</v>
      </c>
      <c r="AV657" s="2128">
        <f>Y657-'Blocking-Step2'!Y657</f>
        <v>0</v>
      </c>
    </row>
    <row r="658" spans="1:48" ht="16.5" hidden="1" thickTop="1">
      <c r="A658" s="1116" t="s">
        <v>1647</v>
      </c>
      <c r="C658" s="1105">
        <v>0</v>
      </c>
      <c r="D658" s="1105">
        <v>2.4099842203213484E-2</v>
      </c>
      <c r="F658" s="1106"/>
      <c r="G658" s="1921"/>
      <c r="H658" s="1146"/>
      <c r="I658" s="1146"/>
      <c r="K658" s="1106">
        <v>0</v>
      </c>
      <c r="L658" s="1921" t="s">
        <v>495</v>
      </c>
      <c r="M658" s="1106">
        <v>1.6192</v>
      </c>
      <c r="N658" s="1921" t="s">
        <v>495</v>
      </c>
      <c r="O658" s="1106">
        <v>2.305570240802</v>
      </c>
      <c r="P658" s="1921" t="s">
        <v>495</v>
      </c>
      <c r="Q658" s="1106">
        <v>3.9247702408020002</v>
      </c>
      <c r="R658" s="1921" t="s">
        <v>495</v>
      </c>
      <c r="S658" s="1146">
        <v>0</v>
      </c>
      <c r="T658" s="1648"/>
      <c r="U658" s="1146">
        <v>0</v>
      </c>
      <c r="V658" s="1648"/>
      <c r="W658" s="1146">
        <v>0</v>
      </c>
      <c r="X658" s="1648"/>
      <c r="Y658" s="1146">
        <v>0</v>
      </c>
      <c r="Z658" s="2114">
        <f>C658-'Blocking-Step2'!C658</f>
        <v>0</v>
      </c>
      <c r="AA658" s="2114">
        <f>D658-'Blocking-Step2'!D658</f>
        <v>0</v>
      </c>
      <c r="AC658" s="2114">
        <f>F658-'Blocking-Step2'!F658</f>
        <v>0</v>
      </c>
      <c r="AE658" s="2114">
        <f>H658-'Blocking-Step2'!H658</f>
        <v>0</v>
      </c>
      <c r="AF658" s="2114">
        <f>I658-'Blocking-Step2'!I658</f>
        <v>0</v>
      </c>
      <c r="AH658" s="2136">
        <f>K658-'Blocking-Step2'!K658</f>
        <v>0</v>
      </c>
      <c r="AJ658" s="2136">
        <f>M658-'Blocking-Step2'!M658</f>
        <v>0</v>
      </c>
      <c r="AL658" s="2136">
        <f>O658-'Blocking-Step2'!O658</f>
        <v>0</v>
      </c>
      <c r="AN658" s="2137">
        <f>Q658-'Blocking-Step2'!Q658</f>
        <v>0</v>
      </c>
      <c r="AP658" s="2127">
        <f>S658-'Blocking-Step2'!S658</f>
        <v>0</v>
      </c>
      <c r="AR658" s="2127">
        <f>U658-'Blocking-Step2'!U658</f>
        <v>0</v>
      </c>
      <c r="AT658" s="2127">
        <f>W658-'Blocking-Step2'!W658</f>
        <v>0</v>
      </c>
      <c r="AV658" s="2128">
        <f>Y658-'Blocking-Step2'!Y658</f>
        <v>0</v>
      </c>
    </row>
    <row r="659" spans="1:48" ht="16.5" hidden="1" thickTop="1">
      <c r="A659" s="1116" t="s">
        <v>1648</v>
      </c>
      <c r="C659" s="1105">
        <v>3543</v>
      </c>
      <c r="D659" s="1105">
        <v>11832</v>
      </c>
      <c r="F659" s="1106"/>
      <c r="G659" s="1921"/>
      <c r="H659" s="1146"/>
      <c r="I659" s="1146"/>
      <c r="K659" s="1106">
        <v>0</v>
      </c>
      <c r="L659" s="1921" t="s">
        <v>495</v>
      </c>
      <c r="M659" s="1106">
        <v>1.4329000000000001</v>
      </c>
      <c r="N659" s="1921" t="s">
        <v>495</v>
      </c>
      <c r="O659" s="1106">
        <v>2.0403480007099999</v>
      </c>
      <c r="P659" s="1921" t="s">
        <v>495</v>
      </c>
      <c r="Q659" s="1106">
        <v>3.4732480007099999</v>
      </c>
      <c r="R659" s="1921" t="s">
        <v>495</v>
      </c>
      <c r="S659" s="1146">
        <v>0</v>
      </c>
      <c r="T659" s="1648"/>
      <c r="U659" s="1146">
        <v>170</v>
      </c>
      <c r="V659" s="1648"/>
      <c r="W659" s="1146">
        <v>241</v>
      </c>
      <c r="X659" s="1648"/>
      <c r="Y659" s="1146">
        <v>411</v>
      </c>
      <c r="Z659" s="2114">
        <f>C659-'Blocking-Step2'!C659</f>
        <v>0</v>
      </c>
      <c r="AA659" s="2114">
        <f>D659-'Blocking-Step2'!D659</f>
        <v>0</v>
      </c>
      <c r="AC659" s="2114">
        <f>F659-'Blocking-Step2'!F659</f>
        <v>0</v>
      </c>
      <c r="AE659" s="2114">
        <f>H659-'Blocking-Step2'!H659</f>
        <v>0</v>
      </c>
      <c r="AF659" s="2114">
        <f>I659-'Blocking-Step2'!I659</f>
        <v>0</v>
      </c>
      <c r="AH659" s="2136">
        <f>K659-'Blocking-Step2'!K659</f>
        <v>0</v>
      </c>
      <c r="AJ659" s="2136">
        <f>M659-'Blocking-Step2'!M659</f>
        <v>0</v>
      </c>
      <c r="AL659" s="2136">
        <f>O659-'Blocking-Step2'!O659</f>
        <v>0</v>
      </c>
      <c r="AN659" s="2137">
        <f>Q659-'Blocking-Step2'!Q659</f>
        <v>0</v>
      </c>
      <c r="AP659" s="2127">
        <f>S659-'Blocking-Step2'!S659</f>
        <v>0</v>
      </c>
      <c r="AR659" s="2127">
        <f>U659-'Blocking-Step2'!U659</f>
        <v>0</v>
      </c>
      <c r="AT659" s="2127">
        <f>W659-'Blocking-Step2'!W659</f>
        <v>0</v>
      </c>
      <c r="AV659" s="2128">
        <f>Y659-'Blocking-Step2'!Y659</f>
        <v>0</v>
      </c>
    </row>
    <row r="660" spans="1:48" ht="16.5" hidden="1" thickTop="1">
      <c r="A660" s="1116" t="s">
        <v>158</v>
      </c>
      <c r="C660" s="1105">
        <v>0</v>
      </c>
      <c r="D660" s="1105">
        <v>0</v>
      </c>
      <c r="F660" s="1907">
        <v>14.62</v>
      </c>
      <c r="G660" s="1110"/>
      <c r="H660" s="1146">
        <v>0</v>
      </c>
      <c r="I660" s="1146">
        <v>0</v>
      </c>
      <c r="K660" s="1907"/>
      <c r="L660" s="1110"/>
      <c r="M660" s="1907"/>
      <c r="N660" s="1110"/>
      <c r="O660" s="1907"/>
      <c r="P660" s="1110"/>
      <c r="Q660" s="1907"/>
      <c r="R660" s="1110"/>
      <c r="S660" s="1146"/>
      <c r="T660" s="1629"/>
      <c r="U660" s="1146"/>
      <c r="V660" s="1629"/>
      <c r="W660" s="1146"/>
      <c r="X660" s="1629"/>
      <c r="Y660" s="1146"/>
      <c r="Z660" s="2114">
        <f>C660-'Blocking-Step2'!C660</f>
        <v>0</v>
      </c>
      <c r="AA660" s="2114">
        <f>D660-'Blocking-Step2'!D660</f>
        <v>0</v>
      </c>
      <c r="AC660" s="2114">
        <f>F660-'Blocking-Step2'!F660</f>
        <v>0</v>
      </c>
      <c r="AE660" s="2114">
        <f>H660-'Blocking-Step2'!H660</f>
        <v>0</v>
      </c>
      <c r="AF660" s="2114">
        <f>I660-'Blocking-Step2'!I660</f>
        <v>0</v>
      </c>
      <c r="AH660" s="2136">
        <f>K660-'Blocking-Step2'!K660</f>
        <v>0</v>
      </c>
      <c r="AJ660" s="2136">
        <f>M660-'Blocking-Step2'!M660</f>
        <v>0</v>
      </c>
      <c r="AL660" s="2136">
        <f>O660-'Blocking-Step2'!O660</f>
        <v>0</v>
      </c>
      <c r="AN660" s="2137">
        <f>Q660-'Blocking-Step2'!Q660</f>
        <v>0</v>
      </c>
      <c r="AP660" s="2127">
        <f>S660-'Blocking-Step2'!S660</f>
        <v>0</v>
      </c>
      <c r="AR660" s="2127">
        <f>U660-'Blocking-Step2'!U660</f>
        <v>0</v>
      </c>
      <c r="AT660" s="2127">
        <f>W660-'Blocking-Step2'!W660</f>
        <v>0</v>
      </c>
      <c r="AV660" s="2128">
        <f>Y660-'Blocking-Step2'!Y660</f>
        <v>0</v>
      </c>
    </row>
    <row r="661" spans="1:48" ht="16.5" hidden="1" thickTop="1">
      <c r="A661" s="1116" t="s">
        <v>165</v>
      </c>
      <c r="C661" s="1105">
        <v>79</v>
      </c>
      <c r="D661" s="1105">
        <v>264</v>
      </c>
      <c r="F661" s="1907">
        <v>10.91</v>
      </c>
      <c r="G661" s="1110"/>
      <c r="H661" s="1146">
        <v>862</v>
      </c>
      <c r="I661" s="1146">
        <v>2880</v>
      </c>
      <c r="K661" s="1907"/>
      <c r="L661" s="1110"/>
      <c r="M661" s="1907"/>
      <c r="N661" s="1110"/>
      <c r="O661" s="1907"/>
      <c r="P661" s="1110"/>
      <c r="Q661" s="1907"/>
      <c r="R661" s="1110"/>
      <c r="S661" s="1146"/>
      <c r="T661" s="1629"/>
      <c r="U661" s="1146"/>
      <c r="V661" s="1629"/>
      <c r="W661" s="1146"/>
      <c r="X661" s="1629"/>
      <c r="Y661" s="1146"/>
      <c r="Z661" s="2114">
        <f>C661-'Blocking-Step2'!C661</f>
        <v>0</v>
      </c>
      <c r="AA661" s="2114">
        <f>D661-'Blocking-Step2'!D661</f>
        <v>0</v>
      </c>
      <c r="AC661" s="2114">
        <f>F661-'Blocking-Step2'!F661</f>
        <v>0</v>
      </c>
      <c r="AE661" s="2114">
        <f>H661-'Blocking-Step2'!H661</f>
        <v>0</v>
      </c>
      <c r="AF661" s="2114">
        <f>I661-'Blocking-Step2'!I661</f>
        <v>0</v>
      </c>
      <c r="AH661" s="2136">
        <f>K661-'Blocking-Step2'!K661</f>
        <v>0</v>
      </c>
      <c r="AJ661" s="2136">
        <f>M661-'Blocking-Step2'!M661</f>
        <v>0</v>
      </c>
      <c r="AL661" s="2136">
        <f>O661-'Blocking-Step2'!O661</f>
        <v>0</v>
      </c>
      <c r="AN661" s="2137">
        <f>Q661-'Blocking-Step2'!Q661</f>
        <v>0</v>
      </c>
      <c r="AP661" s="2127">
        <f>S661-'Blocking-Step2'!S661</f>
        <v>0</v>
      </c>
      <c r="AR661" s="2127">
        <f>U661-'Blocking-Step2'!U661</f>
        <v>0</v>
      </c>
      <c r="AT661" s="2127">
        <f>W661-'Blocking-Step2'!W661</f>
        <v>0</v>
      </c>
      <c r="AV661" s="2128">
        <f>Y661-'Blocking-Step2'!Y661</f>
        <v>0</v>
      </c>
    </row>
    <row r="662" spans="1:48" ht="16.5" hidden="1" thickTop="1">
      <c r="A662" s="1116" t="s">
        <v>261</v>
      </c>
      <c r="C662" s="1105">
        <v>0</v>
      </c>
      <c r="D662" s="1105">
        <v>0</v>
      </c>
      <c r="F662" s="1907">
        <v>-0.96</v>
      </c>
      <c r="G662" s="1110"/>
      <c r="H662" s="1146">
        <v>0</v>
      </c>
      <c r="I662" s="1146">
        <v>0</v>
      </c>
      <c r="K662" s="1907">
        <v>-0.96</v>
      </c>
      <c r="L662" s="1110"/>
      <c r="M662" s="1907">
        <v>0</v>
      </c>
      <c r="N662" s="1110"/>
      <c r="O662" s="1907">
        <v>0</v>
      </c>
      <c r="P662" s="1110"/>
      <c r="Q662" s="1907">
        <v>-0.96</v>
      </c>
      <c r="R662" s="1110"/>
      <c r="S662" s="1146">
        <v>0</v>
      </c>
      <c r="T662" s="1629"/>
      <c r="U662" s="1146">
        <v>0</v>
      </c>
      <c r="V662" s="1629"/>
      <c r="W662" s="1146">
        <v>0</v>
      </c>
      <c r="X662" s="1629"/>
      <c r="Y662" s="1146">
        <v>0</v>
      </c>
      <c r="Z662" s="2114">
        <f>C662-'Blocking-Step2'!C662</f>
        <v>0</v>
      </c>
      <c r="AA662" s="2114">
        <f>D662-'Blocking-Step2'!D662</f>
        <v>0</v>
      </c>
      <c r="AC662" s="2114">
        <f>F662-'Blocking-Step2'!F662</f>
        <v>0</v>
      </c>
      <c r="AE662" s="2114">
        <f>H662-'Blocking-Step2'!H662</f>
        <v>0</v>
      </c>
      <c r="AF662" s="2114">
        <f>I662-'Blocking-Step2'!I662</f>
        <v>0</v>
      </c>
      <c r="AH662" s="2136">
        <f>K662-'Blocking-Step2'!K662</f>
        <v>0</v>
      </c>
      <c r="AJ662" s="2136">
        <f>M662-'Blocking-Step2'!M662</f>
        <v>0</v>
      </c>
      <c r="AL662" s="2136">
        <f>O662-'Blocking-Step2'!O662</f>
        <v>0</v>
      </c>
      <c r="AN662" s="2137">
        <f>Q662-'Blocking-Step2'!Q662</f>
        <v>0</v>
      </c>
      <c r="AP662" s="2127">
        <f>S662-'Blocking-Step2'!S662</f>
        <v>0</v>
      </c>
      <c r="AR662" s="2127">
        <f>U662-'Blocking-Step2'!U662</f>
        <v>0</v>
      </c>
      <c r="AT662" s="2127">
        <f>W662-'Blocking-Step2'!W662</f>
        <v>0</v>
      </c>
      <c r="AV662" s="2128">
        <f>Y662-'Blocking-Step2'!Y662</f>
        <v>0</v>
      </c>
    </row>
    <row r="663" spans="1:48" ht="16.5" hidden="1" thickTop="1">
      <c r="A663" s="1116" t="s">
        <v>1362</v>
      </c>
      <c r="C663" s="1105">
        <v>0</v>
      </c>
      <c r="D663" s="1105">
        <v>0</v>
      </c>
      <c r="F663" s="1106">
        <v>3.8127</v>
      </c>
      <c r="G663" s="1921" t="s">
        <v>495</v>
      </c>
      <c r="H663" s="1146">
        <v>0</v>
      </c>
      <c r="I663" s="1146">
        <v>0</v>
      </c>
      <c r="K663" s="1106"/>
      <c r="L663" s="1921"/>
      <c r="M663" s="1106"/>
      <c r="N663" s="1921"/>
      <c r="O663" s="1106"/>
      <c r="P663" s="1921"/>
      <c r="Q663" s="1106"/>
      <c r="R663" s="1921"/>
      <c r="S663" s="1648"/>
      <c r="T663" s="1648"/>
      <c r="U663" s="1648"/>
      <c r="V663" s="1648"/>
      <c r="W663" s="1648"/>
      <c r="X663" s="1648"/>
      <c r="Y663" s="1146"/>
      <c r="Z663" s="2114">
        <f>C663-'Blocking-Step2'!C663</f>
        <v>0</v>
      </c>
      <c r="AA663" s="2114">
        <f>D663-'Blocking-Step2'!D663</f>
        <v>0</v>
      </c>
      <c r="AC663" s="2114">
        <f>F663-'Blocking-Step2'!F663</f>
        <v>0</v>
      </c>
      <c r="AE663" s="2114">
        <f>H663-'Blocking-Step2'!H663</f>
        <v>0</v>
      </c>
      <c r="AF663" s="2114">
        <f>I663-'Blocking-Step2'!I663</f>
        <v>0</v>
      </c>
      <c r="AH663" s="2136">
        <f>K663-'Blocking-Step2'!K663</f>
        <v>0</v>
      </c>
      <c r="AJ663" s="2136">
        <f>M663-'Blocking-Step2'!M663</f>
        <v>0</v>
      </c>
      <c r="AL663" s="2136">
        <f>O663-'Blocking-Step2'!O663</f>
        <v>0</v>
      </c>
      <c r="AN663" s="2137">
        <f>Q663-'Blocking-Step2'!Q663</f>
        <v>0</v>
      </c>
      <c r="AP663" s="2127">
        <f>S663-'Blocking-Step2'!S663</f>
        <v>0</v>
      </c>
      <c r="AR663" s="2127">
        <f>U663-'Blocking-Step2'!U663</f>
        <v>0</v>
      </c>
      <c r="AT663" s="2127">
        <f>W663-'Blocking-Step2'!W663</f>
        <v>0</v>
      </c>
      <c r="AV663" s="2128">
        <f>Y663-'Blocking-Step2'!Y663</f>
        <v>0</v>
      </c>
    </row>
    <row r="664" spans="1:48" ht="16.5" hidden="1" thickTop="1">
      <c r="A664" s="1116" t="s">
        <v>1363</v>
      </c>
      <c r="C664" s="1105">
        <v>3543</v>
      </c>
      <c r="D664" s="1105">
        <v>11832.024099842203</v>
      </c>
      <c r="F664" s="1106">
        <v>3.5143</v>
      </c>
      <c r="G664" s="1921" t="s">
        <v>495</v>
      </c>
      <c r="H664" s="1146">
        <v>125</v>
      </c>
      <c r="I664" s="1146">
        <v>416</v>
      </c>
      <c r="K664" s="1106"/>
      <c r="L664" s="1921"/>
      <c r="M664" s="1106"/>
      <c r="N664" s="1921"/>
      <c r="O664" s="1106"/>
      <c r="P664" s="1921"/>
      <c r="Q664" s="1106"/>
      <c r="R664" s="1921"/>
      <c r="S664" s="1648"/>
      <c r="T664" s="1648"/>
      <c r="U664" s="1648"/>
      <c r="V664" s="1648"/>
      <c r="W664" s="1648"/>
      <c r="X664" s="1648"/>
      <c r="Y664" s="1146"/>
      <c r="Z664" s="2114">
        <f>C664-'Blocking-Step2'!C664</f>
        <v>0</v>
      </c>
      <c r="AA664" s="2114">
        <f>D664-'Blocking-Step2'!D664</f>
        <v>0</v>
      </c>
      <c r="AC664" s="2114">
        <f>F664-'Blocking-Step2'!F664</f>
        <v>0</v>
      </c>
      <c r="AE664" s="2114">
        <f>H664-'Blocking-Step2'!H664</f>
        <v>0</v>
      </c>
      <c r="AF664" s="2114">
        <f>I664-'Blocking-Step2'!I664</f>
        <v>0</v>
      </c>
      <c r="AH664" s="2136">
        <f>K664-'Blocking-Step2'!K664</f>
        <v>0</v>
      </c>
      <c r="AJ664" s="2136">
        <f>M664-'Blocking-Step2'!M664</f>
        <v>0</v>
      </c>
      <c r="AL664" s="2136">
        <f>O664-'Blocking-Step2'!O664</f>
        <v>0</v>
      </c>
      <c r="AN664" s="2137">
        <f>Q664-'Blocking-Step2'!Q664</f>
        <v>0</v>
      </c>
      <c r="AP664" s="2127">
        <f>S664-'Blocking-Step2'!S664</f>
        <v>0</v>
      </c>
      <c r="AR664" s="2127">
        <f>U664-'Blocking-Step2'!U664</f>
        <v>0</v>
      </c>
      <c r="AT664" s="2127">
        <f>W664-'Blocking-Step2'!W664</f>
        <v>0</v>
      </c>
      <c r="AV664" s="2128">
        <f>Y664-'Blocking-Step2'!Y664</f>
        <v>0</v>
      </c>
    </row>
    <row r="665" spans="1:48" ht="16.5" hidden="1" thickTop="1">
      <c r="A665" s="1116" t="s">
        <v>246</v>
      </c>
      <c r="C665" s="1940">
        <v>0</v>
      </c>
      <c r="D665" s="1940">
        <v>0</v>
      </c>
      <c r="H665" s="1147">
        <v>0</v>
      </c>
      <c r="I665" s="1147">
        <v>0</v>
      </c>
      <c r="Y665" s="1147"/>
      <c r="Z665" s="2114">
        <f>C665-'Blocking-Step2'!C665</f>
        <v>0</v>
      </c>
      <c r="AA665" s="2114">
        <f>D665-'Blocking-Step2'!D665</f>
        <v>0</v>
      </c>
      <c r="AC665" s="2114">
        <f>F665-'Blocking-Step2'!F665</f>
        <v>0</v>
      </c>
      <c r="AE665" s="2114">
        <f>H665-'Blocking-Step2'!H665</f>
        <v>0</v>
      </c>
      <c r="AF665" s="2114">
        <f>I665-'Blocking-Step2'!I665</f>
        <v>0</v>
      </c>
      <c r="AH665" s="2136">
        <f>K665-'Blocking-Step2'!K665</f>
        <v>0</v>
      </c>
      <c r="AJ665" s="2136">
        <f>M665-'Blocking-Step2'!M665</f>
        <v>0</v>
      </c>
      <c r="AL665" s="2136">
        <f>O665-'Blocking-Step2'!O665</f>
        <v>0</v>
      </c>
      <c r="AN665" s="2137">
        <f>Q665-'Blocking-Step2'!Q665</f>
        <v>0</v>
      </c>
      <c r="AP665" s="2127">
        <f>S665-'Blocking-Step2'!S665</f>
        <v>0</v>
      </c>
      <c r="AR665" s="2127">
        <f>U665-'Blocking-Step2'!U665</f>
        <v>0</v>
      </c>
      <c r="AT665" s="2127">
        <f>W665-'Blocking-Step2'!W665</f>
        <v>0</v>
      </c>
      <c r="AV665" s="2128">
        <f>Y665-'Blocking-Step2'!Y665</f>
        <v>0</v>
      </c>
    </row>
    <row r="666" spans="1:48" ht="16.5" hidden="1" thickTop="1">
      <c r="A666" s="1116" t="s">
        <v>1240</v>
      </c>
      <c r="C666" s="1024"/>
      <c r="D666" s="1024"/>
      <c r="F666" s="2076">
        <v>-3.61E-2</v>
      </c>
      <c r="G666" s="617"/>
      <c r="H666" s="1146">
        <v>-35.630699999999997</v>
      </c>
      <c r="I666" s="1146">
        <v>-118.98560000000001</v>
      </c>
      <c r="K666" s="2076"/>
      <c r="L666" s="617"/>
      <c r="M666" s="2076"/>
      <c r="N666" s="617"/>
      <c r="O666" s="2077" t="s">
        <v>2323</v>
      </c>
      <c r="P666" s="617"/>
      <c r="Q666" s="2076">
        <v>-2.76E-2</v>
      </c>
      <c r="R666" s="617"/>
      <c r="S666" s="1114"/>
      <c r="T666" s="1114"/>
      <c r="U666" s="1114"/>
      <c r="V666" s="1114"/>
      <c r="W666" s="1114"/>
      <c r="X666" s="1114"/>
      <c r="Y666" s="1146">
        <v>-97.759199999999993</v>
      </c>
      <c r="Z666" s="2114">
        <f>C666-'Blocking-Step2'!C666</f>
        <v>0</v>
      </c>
      <c r="AA666" s="2114">
        <f>D666-'Blocking-Step2'!D666</f>
        <v>0</v>
      </c>
      <c r="AC666" s="2114">
        <f>F666-'Blocking-Step2'!F666</f>
        <v>0</v>
      </c>
      <c r="AE666" s="2114">
        <f>H666-'Blocking-Step2'!H666</f>
        <v>0</v>
      </c>
      <c r="AF666" s="2114">
        <f>I666-'Blocking-Step2'!I666</f>
        <v>0</v>
      </c>
      <c r="AH666" s="2136">
        <f>K666-'Blocking-Step2'!K666</f>
        <v>0</v>
      </c>
      <c r="AJ666" s="2136">
        <f>M666-'Blocking-Step2'!M666</f>
        <v>0</v>
      </c>
      <c r="AL666" s="2136" t="e">
        <f>O666-'Blocking-Step2'!O666</f>
        <v>#VALUE!</v>
      </c>
      <c r="AN666" s="2137">
        <f>Q666-'Blocking-Step2'!Q666</f>
        <v>0</v>
      </c>
      <c r="AP666" s="2127">
        <f>S666-'Blocking-Step2'!S666</f>
        <v>0</v>
      </c>
      <c r="AR666" s="2127">
        <f>U666-'Blocking-Step2'!U666</f>
        <v>0</v>
      </c>
      <c r="AT666" s="2127">
        <f>W666-'Blocking-Step2'!W666</f>
        <v>0</v>
      </c>
      <c r="AV666" s="2128">
        <f>Y666-'Blocking-Step2'!Y666</f>
        <v>0</v>
      </c>
    </row>
    <row r="667" spans="1:48" ht="16.5" hidden="1" thickTop="1">
      <c r="A667" s="1116"/>
      <c r="C667" s="1024"/>
      <c r="D667" s="1024"/>
      <c r="F667" s="2076"/>
      <c r="G667" s="617"/>
      <c r="H667" s="1146"/>
      <c r="I667" s="1146"/>
      <c r="K667" s="2076"/>
      <c r="L667" s="617"/>
      <c r="M667" s="2076"/>
      <c r="N667" s="617"/>
      <c r="O667" s="2077" t="s">
        <v>2324</v>
      </c>
      <c r="P667" s="617"/>
      <c r="Q667" s="2076">
        <v>-1.4999999999999999E-2</v>
      </c>
      <c r="R667" s="617"/>
      <c r="S667" s="1114"/>
      <c r="T667" s="1114"/>
      <c r="U667" s="1114"/>
      <c r="V667" s="1114"/>
      <c r="W667" s="1114"/>
      <c r="X667" s="1114"/>
      <c r="Y667" s="1146">
        <v>-53.129999999999995</v>
      </c>
      <c r="Z667" s="2114">
        <f>C667-'Blocking-Step2'!C667</f>
        <v>0</v>
      </c>
      <c r="AA667" s="2114">
        <f>D667-'Blocking-Step2'!D667</f>
        <v>0</v>
      </c>
      <c r="AC667" s="2114">
        <f>F667-'Blocking-Step2'!F667</f>
        <v>0</v>
      </c>
      <c r="AE667" s="2114">
        <f>H667-'Blocking-Step2'!H667</f>
        <v>0</v>
      </c>
      <c r="AF667" s="2114">
        <f>I667-'Blocking-Step2'!I667</f>
        <v>0</v>
      </c>
      <c r="AH667" s="2136">
        <f>K667-'Blocking-Step2'!K667</f>
        <v>0</v>
      </c>
      <c r="AJ667" s="2136">
        <f>M667-'Blocking-Step2'!M667</f>
        <v>0</v>
      </c>
      <c r="AL667" s="2136" t="e">
        <f>O667-'Blocking-Step2'!O667</f>
        <v>#VALUE!</v>
      </c>
      <c r="AN667" s="2137">
        <f>Q667-'Blocking-Step2'!Q667</f>
        <v>0</v>
      </c>
      <c r="AP667" s="2127">
        <f>S667-'Blocking-Step2'!S667</f>
        <v>0</v>
      </c>
      <c r="AR667" s="2127">
        <f>U667-'Blocking-Step2'!U667</f>
        <v>0</v>
      </c>
      <c r="AT667" s="2127">
        <f>W667-'Blocking-Step2'!W667</f>
        <v>0</v>
      </c>
      <c r="AV667" s="2128">
        <f>Y667-'Blocking-Step2'!Y667</f>
        <v>0</v>
      </c>
    </row>
    <row r="668" spans="1:48" ht="17.25" hidden="1" thickTop="1" thickBot="1">
      <c r="A668" s="1116" t="s">
        <v>247</v>
      </c>
      <c r="C668" s="1138">
        <v>3543</v>
      </c>
      <c r="D668" s="1138">
        <v>11832.024099842203</v>
      </c>
      <c r="F668" s="1145"/>
      <c r="H668" s="1149">
        <v>1378.3693000000001</v>
      </c>
      <c r="I668" s="1149">
        <v>4568.0144</v>
      </c>
      <c r="K668" s="1145"/>
      <c r="M668" s="1145"/>
      <c r="O668" s="1145"/>
      <c r="Q668" s="1145"/>
      <c r="S668" s="1149">
        <v>1507</v>
      </c>
      <c r="U668" s="1149">
        <v>3182</v>
      </c>
      <c r="W668" s="1149">
        <v>241</v>
      </c>
      <c r="Y668" s="1149">
        <v>4930</v>
      </c>
      <c r="Z668" s="2114">
        <f>C668-'Blocking-Step2'!C668</f>
        <v>0</v>
      </c>
      <c r="AA668" s="2114">
        <f>D668-'Blocking-Step2'!D668</f>
        <v>0</v>
      </c>
      <c r="AC668" s="2114">
        <f>F668-'Blocking-Step2'!F668</f>
        <v>0</v>
      </c>
      <c r="AE668" s="2114">
        <f>H668-'Blocking-Step2'!H668</f>
        <v>0</v>
      </c>
      <c r="AF668" s="2114">
        <f>I668-'Blocking-Step2'!I668</f>
        <v>0</v>
      </c>
      <c r="AH668" s="2136">
        <f>K668-'Blocking-Step2'!K668</f>
        <v>0</v>
      </c>
      <c r="AJ668" s="2136">
        <f>M668-'Blocking-Step2'!M668</f>
        <v>0</v>
      </c>
      <c r="AL668" s="2136">
        <f>O668-'Blocking-Step2'!O668</f>
        <v>0</v>
      </c>
      <c r="AN668" s="2137">
        <f>Q668-'Blocking-Step2'!Q668</f>
        <v>0</v>
      </c>
      <c r="AP668" s="2127">
        <f>S668-'Blocking-Step2'!S668</f>
        <v>-1362</v>
      </c>
      <c r="AR668" s="2127">
        <f>U668-'Blocking-Step2'!U668</f>
        <v>1362</v>
      </c>
      <c r="AT668" s="2127">
        <f>W668-'Blocking-Step2'!W668</f>
        <v>0</v>
      </c>
      <c r="AV668" s="2128">
        <f>Y668-'Blocking-Step2'!Y668</f>
        <v>0</v>
      </c>
    </row>
    <row r="669" spans="1:48" ht="16.5" hidden="1" thickTop="1">
      <c r="Z669" s="2114">
        <f>C669-'Blocking-Step2'!C669</f>
        <v>0</v>
      </c>
      <c r="AA669" s="2114">
        <f>D669-'Blocking-Step2'!D669</f>
        <v>0</v>
      </c>
      <c r="AC669" s="2114">
        <f>F669-'Blocking-Step2'!F669</f>
        <v>0</v>
      </c>
      <c r="AE669" s="2114">
        <f>H669-'Blocking-Step2'!H669</f>
        <v>0</v>
      </c>
      <c r="AF669" s="2114">
        <f>I669-'Blocking-Step2'!I669</f>
        <v>0</v>
      </c>
      <c r="AH669" s="2136">
        <f>K669-'Blocking-Step2'!K669</f>
        <v>0</v>
      </c>
      <c r="AJ669" s="2136">
        <f>M669-'Blocking-Step2'!M669</f>
        <v>0</v>
      </c>
      <c r="AL669" s="2136">
        <f>O669-'Blocking-Step2'!O669</f>
        <v>0</v>
      </c>
      <c r="AN669" s="2137">
        <f>Q669-'Blocking-Step2'!Q669</f>
        <v>0</v>
      </c>
      <c r="AP669" s="2127">
        <f>S669-'Blocking-Step2'!S669</f>
        <v>0</v>
      </c>
      <c r="AR669" s="2127">
        <f>U669-'Blocking-Step2'!U669</f>
        <v>0</v>
      </c>
      <c r="AT669" s="2127">
        <f>W669-'Blocking-Step2'!W669</f>
        <v>0</v>
      </c>
      <c r="AV669" s="2128">
        <f>Y669-'Blocking-Step2'!Y669</f>
        <v>0</v>
      </c>
    </row>
    <row r="670" spans="1:48" ht="16.5" thickTop="1">
      <c r="C670" s="1105"/>
      <c r="D670" s="1105"/>
      <c r="Z670" s="2114">
        <f>C670-'Blocking-Step2'!C670</f>
        <v>0</v>
      </c>
      <c r="AA670" s="2114">
        <f>D670-'Blocking-Step2'!D670</f>
        <v>0</v>
      </c>
      <c r="AC670" s="2114">
        <f>F670-'Blocking-Step2'!F670</f>
        <v>0</v>
      </c>
      <c r="AE670" s="2114">
        <f>H670-'Blocking-Step2'!H670</f>
        <v>0</v>
      </c>
      <c r="AF670" s="2114">
        <f>I670-'Blocking-Step2'!I670</f>
        <v>0</v>
      </c>
      <c r="AH670" s="2136">
        <f>K670-'Blocking-Step2'!K670</f>
        <v>0</v>
      </c>
      <c r="AJ670" s="2136">
        <f>M670-'Blocking-Step2'!M670</f>
        <v>0</v>
      </c>
      <c r="AL670" s="2136">
        <f>O670-'Blocking-Step2'!O670</f>
        <v>0</v>
      </c>
      <c r="AN670" s="2137">
        <f>Q670-'Blocking-Step2'!Q670</f>
        <v>0</v>
      </c>
      <c r="AP670" s="2127">
        <f>S670-'Blocking-Step2'!S670</f>
        <v>0</v>
      </c>
      <c r="AR670" s="2127">
        <f>U670-'Blocking-Step2'!U670</f>
        <v>0</v>
      </c>
      <c r="AT670" s="2127">
        <f>W670-'Blocking-Step2'!W670</f>
        <v>0</v>
      </c>
      <c r="AV670" s="2128">
        <f>Y670-'Blocking-Step2'!Y670</f>
        <v>0</v>
      </c>
    </row>
    <row r="671" spans="1:48">
      <c r="A671" s="1115" t="s">
        <v>549</v>
      </c>
      <c r="C671" s="1105"/>
      <c r="D671" s="1105"/>
      <c r="Z671" s="2114">
        <f>C671-'Blocking-Step2'!C671</f>
        <v>0</v>
      </c>
      <c r="AA671" s="2114">
        <f>D671-'Blocking-Step2'!D671</f>
        <v>0</v>
      </c>
      <c r="AC671" s="2114">
        <f>F671-'Blocking-Step2'!F671</f>
        <v>0</v>
      </c>
      <c r="AE671" s="2114">
        <f>H671-'Blocking-Step2'!H671</f>
        <v>0</v>
      </c>
      <c r="AF671" s="2114">
        <f>I671-'Blocking-Step2'!I671</f>
        <v>0</v>
      </c>
      <c r="AH671" s="2136">
        <f>K671-'Blocking-Step2'!K671</f>
        <v>0</v>
      </c>
      <c r="AJ671" s="2136">
        <f>M671-'Blocking-Step2'!M671</f>
        <v>0</v>
      </c>
      <c r="AL671" s="2136">
        <f>O671-'Blocking-Step2'!O671</f>
        <v>0</v>
      </c>
      <c r="AN671" s="2137">
        <f>Q671-'Blocking-Step2'!Q671</f>
        <v>0</v>
      </c>
      <c r="AP671" s="2127">
        <f>S671-'Blocking-Step2'!S671</f>
        <v>0</v>
      </c>
      <c r="AR671" s="2127">
        <f>U671-'Blocking-Step2'!U671</f>
        <v>0</v>
      </c>
      <c r="AT671" s="2127">
        <f>W671-'Blocking-Step2'!W671</f>
        <v>0</v>
      </c>
      <c r="AV671" s="2128">
        <f>Y671-'Blocking-Step2'!Y671</f>
        <v>0</v>
      </c>
    </row>
    <row r="672" spans="1:48">
      <c r="A672" s="1116" t="s">
        <v>240</v>
      </c>
      <c r="C672" s="1105">
        <v>157930.33333333372</v>
      </c>
      <c r="D672" s="1105">
        <v>157116</v>
      </c>
      <c r="F672" s="1907">
        <v>54</v>
      </c>
      <c r="G672" s="1110"/>
      <c r="H672" s="1146">
        <v>8528238</v>
      </c>
      <c r="I672" s="1146">
        <v>8484264</v>
      </c>
      <c r="K672" s="1907">
        <v>54</v>
      </c>
      <c r="L672" s="1110"/>
      <c r="M672" s="1907"/>
      <c r="N672" s="1110"/>
      <c r="O672" s="1907"/>
      <c r="P672" s="1110"/>
      <c r="Q672" s="1907">
        <v>54</v>
      </c>
      <c r="R672" s="1110"/>
      <c r="S672" s="1629">
        <v>8484264</v>
      </c>
      <c r="T672" s="1629"/>
      <c r="U672" s="1629"/>
      <c r="V672" s="1629"/>
      <c r="W672" s="1629"/>
      <c r="X672" s="1629"/>
      <c r="Y672" s="1146">
        <v>8484264</v>
      </c>
      <c r="Z672" s="2114">
        <f>C672-'Blocking-Step2'!C672</f>
        <v>0</v>
      </c>
      <c r="AA672" s="2114">
        <f>D672-'Blocking-Step2'!D672</f>
        <v>0</v>
      </c>
      <c r="AC672" s="2114">
        <f>F672-'Blocking-Step2'!F672</f>
        <v>0</v>
      </c>
      <c r="AE672" s="2114">
        <f>H672-'Blocking-Step2'!H672</f>
        <v>0</v>
      </c>
      <c r="AF672" s="2114">
        <f>I672-'Blocking-Step2'!I672</f>
        <v>0</v>
      </c>
      <c r="AH672" s="2136">
        <f>K672-'Blocking-Step2'!K672</f>
        <v>0</v>
      </c>
      <c r="AJ672" s="2136">
        <f>M672-'Blocking-Step2'!M672</f>
        <v>0</v>
      </c>
      <c r="AL672" s="2136">
        <f>O672-'Blocking-Step2'!O672</f>
        <v>0</v>
      </c>
      <c r="AN672" s="2137">
        <f>Q672-'Blocking-Step2'!Q672</f>
        <v>0</v>
      </c>
      <c r="AP672" s="2127">
        <f>S672-'Blocking-Step2'!S672</f>
        <v>0</v>
      </c>
      <c r="AR672" s="2127">
        <f>U672-'Blocking-Step2'!U672</f>
        <v>0</v>
      </c>
      <c r="AT672" s="2127">
        <f>W672-'Blocking-Step2'!W672</f>
        <v>0</v>
      </c>
      <c r="AV672" s="2128">
        <f>Y672-'Blocking-Step2'!Y672</f>
        <v>0</v>
      </c>
    </row>
    <row r="673" spans="1:48">
      <c r="A673" s="1116" t="s">
        <v>262</v>
      </c>
      <c r="C673" s="1105">
        <v>0</v>
      </c>
      <c r="D673" s="1105">
        <v>0</v>
      </c>
      <c r="F673" s="1907">
        <v>648</v>
      </c>
      <c r="G673" s="1110"/>
      <c r="H673" s="1146">
        <v>0</v>
      </c>
      <c r="I673" s="1146">
        <v>0</v>
      </c>
      <c r="K673" s="1907">
        <v>648</v>
      </c>
      <c r="L673" s="1110"/>
      <c r="M673" s="1907"/>
      <c r="N673" s="1110"/>
      <c r="O673" s="1907"/>
      <c r="P673" s="1110"/>
      <c r="Q673" s="1907">
        <v>648</v>
      </c>
      <c r="R673" s="1110"/>
      <c r="S673" s="1629">
        <v>0</v>
      </c>
      <c r="T673" s="1629"/>
      <c r="U673" s="1629"/>
      <c r="V673" s="1629"/>
      <c r="W673" s="1629"/>
      <c r="X673" s="1629"/>
      <c r="Y673" s="1146">
        <v>0</v>
      </c>
      <c r="Z673" s="2114">
        <f>C673-'Blocking-Step2'!C673</f>
        <v>0</v>
      </c>
      <c r="AA673" s="2114">
        <f>D673-'Blocking-Step2'!D673</f>
        <v>0</v>
      </c>
      <c r="AC673" s="2114">
        <f>F673-'Blocking-Step2'!F673</f>
        <v>0</v>
      </c>
      <c r="AE673" s="2114">
        <f>H673-'Blocking-Step2'!H673</f>
        <v>0</v>
      </c>
      <c r="AF673" s="2114">
        <f>I673-'Blocking-Step2'!I673</f>
        <v>0</v>
      </c>
      <c r="AH673" s="2136">
        <f>K673-'Blocking-Step2'!K673</f>
        <v>0</v>
      </c>
      <c r="AJ673" s="2136">
        <f>M673-'Blocking-Step2'!M673</f>
        <v>0</v>
      </c>
      <c r="AL673" s="2136">
        <f>O673-'Blocking-Step2'!O673</f>
        <v>0</v>
      </c>
      <c r="AN673" s="2137">
        <f>Q673-'Blocking-Step2'!Q673</f>
        <v>0</v>
      </c>
      <c r="AP673" s="2127">
        <f>S673-'Blocking-Step2'!S673</f>
        <v>0</v>
      </c>
      <c r="AR673" s="2127">
        <f>U673-'Blocking-Step2'!U673</f>
        <v>0</v>
      </c>
      <c r="AT673" s="2127">
        <f>W673-'Blocking-Step2'!W673</f>
        <v>0</v>
      </c>
      <c r="AV673" s="2128">
        <f>Y673-'Blocking-Step2'!Y673</f>
        <v>0</v>
      </c>
    </row>
    <row r="674" spans="1:48">
      <c r="A674" s="1116" t="s">
        <v>1298</v>
      </c>
      <c r="C674" s="1105">
        <v>13.633333333333301</v>
      </c>
      <c r="D674" s="1105">
        <v>14</v>
      </c>
      <c r="F674" s="1142">
        <v>54</v>
      </c>
      <c r="G674" s="617"/>
      <c r="H674" s="1146">
        <v>736</v>
      </c>
      <c r="I674" s="1146">
        <v>756</v>
      </c>
      <c r="K674" s="1907">
        <v>54</v>
      </c>
      <c r="L674" s="1110"/>
      <c r="M674" s="1907"/>
      <c r="N674" s="1110"/>
      <c r="O674" s="1907"/>
      <c r="P674" s="617"/>
      <c r="Q674" s="1907">
        <v>54</v>
      </c>
      <c r="R674" s="617"/>
      <c r="S674" s="1629">
        <v>756</v>
      </c>
      <c r="T674" s="1114"/>
      <c r="U674" s="1114"/>
      <c r="V674" s="1114"/>
      <c r="W674" s="1114"/>
      <c r="X674" s="1114"/>
      <c r="Y674" s="1146">
        <v>756</v>
      </c>
      <c r="Z674" s="2114">
        <f>C674-'Blocking-Step2'!C674</f>
        <v>0</v>
      </c>
      <c r="AA674" s="2114">
        <f>D674-'Blocking-Step2'!D674</f>
        <v>0</v>
      </c>
      <c r="AC674" s="2114">
        <f>F674-'Blocking-Step2'!F674</f>
        <v>0</v>
      </c>
      <c r="AE674" s="2114">
        <f>H674-'Blocking-Step2'!H674</f>
        <v>0</v>
      </c>
      <c r="AF674" s="2114">
        <f>I674-'Blocking-Step2'!I674</f>
        <v>0</v>
      </c>
      <c r="AH674" s="2136">
        <f>K674-'Blocking-Step2'!K674</f>
        <v>0</v>
      </c>
      <c r="AJ674" s="2136">
        <f>M674-'Blocking-Step2'!M674</f>
        <v>0</v>
      </c>
      <c r="AL674" s="2136">
        <f>O674-'Blocking-Step2'!O674</f>
        <v>0</v>
      </c>
      <c r="AN674" s="2137">
        <f>Q674-'Blocking-Step2'!Q674</f>
        <v>0</v>
      </c>
      <c r="AP674" s="2127">
        <f>S674-'Blocking-Step2'!S674</f>
        <v>0</v>
      </c>
      <c r="AR674" s="2127">
        <f>U674-'Blocking-Step2'!U674</f>
        <v>0</v>
      </c>
      <c r="AT674" s="2127">
        <f>W674-'Blocking-Step2'!W674</f>
        <v>0</v>
      </c>
      <c r="AV674" s="2128">
        <f>Y674-'Blocking-Step2'!Y674</f>
        <v>0</v>
      </c>
    </row>
    <row r="675" spans="1:48">
      <c r="A675" s="1116" t="s">
        <v>168</v>
      </c>
      <c r="C675" s="1105">
        <v>16142756.858910916</v>
      </c>
      <c r="D675" s="1105">
        <v>15576842</v>
      </c>
      <c r="F675" s="1907">
        <v>4.04</v>
      </c>
      <c r="G675" s="1110"/>
      <c r="H675" s="1146">
        <v>65216738</v>
      </c>
      <c r="I675" s="1146">
        <v>62930442</v>
      </c>
      <c r="K675" s="1907">
        <v>4.03</v>
      </c>
      <c r="L675" s="1110"/>
      <c r="M675" s="1907"/>
      <c r="N675" s="1110"/>
      <c r="O675" s="1907"/>
      <c r="P675" s="1110"/>
      <c r="Q675" s="1907">
        <v>4.03</v>
      </c>
      <c r="R675" s="1110"/>
      <c r="S675" s="1629">
        <v>62774673</v>
      </c>
      <c r="T675" s="1629"/>
      <c r="U675" s="1629"/>
      <c r="V675" s="1629"/>
      <c r="W675" s="1629"/>
      <c r="X675" s="1629"/>
      <c r="Y675" s="1146">
        <v>62774673</v>
      </c>
      <c r="Z675" s="2114">
        <f>C675-'Blocking-Step2'!C675</f>
        <v>0</v>
      </c>
      <c r="AA675" s="2114">
        <f>D675-'Blocking-Step2'!D675</f>
        <v>0</v>
      </c>
      <c r="AC675" s="2114">
        <f>F675-'Blocking-Step2'!F675</f>
        <v>0</v>
      </c>
      <c r="AE675" s="2114">
        <f>H675-'Blocking-Step2'!H675</f>
        <v>0</v>
      </c>
      <c r="AF675" s="2114">
        <f>I675-'Blocking-Step2'!I675</f>
        <v>0</v>
      </c>
      <c r="AH675" s="2136">
        <f>K675-'Blocking-Step2'!K675</f>
        <v>0</v>
      </c>
      <c r="AJ675" s="2136">
        <f>M675-'Blocking-Step2'!M675</f>
        <v>0</v>
      </c>
      <c r="AL675" s="2136">
        <f>O675-'Blocking-Step2'!O675</f>
        <v>0</v>
      </c>
      <c r="AN675" s="2137">
        <f>Q675-'Blocking-Step2'!Q675</f>
        <v>0</v>
      </c>
      <c r="AP675" s="2127">
        <f>S675-'Blocking-Step2'!S675</f>
        <v>0</v>
      </c>
      <c r="AR675" s="2127">
        <f>U675-'Blocking-Step2'!U675</f>
        <v>0</v>
      </c>
      <c r="AT675" s="2127">
        <f>W675-'Blocking-Step2'!W675</f>
        <v>0</v>
      </c>
      <c r="AV675" s="2128">
        <f>Y675-'Blocking-Step2'!Y675</f>
        <v>0</v>
      </c>
    </row>
    <row r="676" spans="1:48">
      <c r="A676" s="1116" t="s">
        <v>1645</v>
      </c>
      <c r="C676" s="1105">
        <v>7196639.5007194839</v>
      </c>
      <c r="D676" s="1105">
        <v>6921590</v>
      </c>
      <c r="F676" s="1142"/>
      <c r="G676" s="617"/>
      <c r="H676" s="1146"/>
      <c r="I676" s="1146"/>
      <c r="K676" s="1142">
        <v>0.51</v>
      </c>
      <c r="L676" s="617"/>
      <c r="M676" s="1142">
        <v>12.89</v>
      </c>
      <c r="N676" s="617"/>
      <c r="O676" s="1142">
        <v>0</v>
      </c>
      <c r="P676" s="617"/>
      <c r="Q676" s="1142">
        <v>13.4</v>
      </c>
      <c r="R676" s="617"/>
      <c r="S676" s="1114">
        <v>3520738.0197022231</v>
      </c>
      <c r="T676" s="1114"/>
      <c r="U676" s="1114">
        <v>89228567.980297789</v>
      </c>
      <c r="V676" s="1114"/>
      <c r="W676" s="1114">
        <v>0</v>
      </c>
      <c r="X676" s="1114"/>
      <c r="Y676" s="1146">
        <v>92749306</v>
      </c>
      <c r="Z676" s="2114">
        <f>C676-'Blocking-Step2'!C676</f>
        <v>0</v>
      </c>
      <c r="AA676" s="2114">
        <f>D676-'Blocking-Step2'!D676</f>
        <v>0</v>
      </c>
      <c r="AC676" s="2114">
        <f>F676-'Blocking-Step2'!F676</f>
        <v>0</v>
      </c>
      <c r="AE676" s="2114">
        <f>H676-'Blocking-Step2'!H676</f>
        <v>0</v>
      </c>
      <c r="AF676" s="2114">
        <f>I676-'Blocking-Step2'!I676</f>
        <v>0</v>
      </c>
      <c r="AH676" s="2136">
        <f>K676-'Blocking-Step2'!K676</f>
        <v>-5.83</v>
      </c>
      <c r="AJ676" s="2136">
        <f>M676-'Blocking-Step2'!M676</f>
        <v>5.83</v>
      </c>
      <c r="AL676" s="2136">
        <f>O676-'Blocking-Step2'!O676</f>
        <v>0</v>
      </c>
      <c r="AN676" s="2137">
        <f>Q676-'Blocking-Step2'!Q676</f>
        <v>0</v>
      </c>
      <c r="AP676" s="2127">
        <f>S676-'Blocking-Step2'!S676</f>
        <v>-40348393.705840029</v>
      </c>
      <c r="AR676" s="2127">
        <f>U676-'Blocking-Step2'!U676</f>
        <v>40348393.705840044</v>
      </c>
      <c r="AT676" s="2127">
        <f>W676-'Blocking-Step2'!W676</f>
        <v>0</v>
      </c>
      <c r="AV676" s="2128">
        <f>Y676-'Blocking-Step2'!Y676</f>
        <v>0</v>
      </c>
    </row>
    <row r="677" spans="1:48">
      <c r="A677" s="1116" t="s">
        <v>1646</v>
      </c>
      <c r="C677" s="1105">
        <v>8946117.636377288</v>
      </c>
      <c r="D677" s="1105">
        <v>8655252</v>
      </c>
      <c r="F677" s="1142"/>
      <c r="G677" s="617"/>
      <c r="H677" s="1146"/>
      <c r="I677" s="1146"/>
      <c r="K677" s="1142">
        <v>0.45</v>
      </c>
      <c r="L677" s="617"/>
      <c r="M677" s="1142">
        <v>11.41</v>
      </c>
      <c r="N677" s="617"/>
      <c r="O677" s="1142">
        <v>0</v>
      </c>
      <c r="P677" s="617"/>
      <c r="Q677" s="1142">
        <v>11.86</v>
      </c>
      <c r="R677" s="617"/>
      <c r="S677" s="1114">
        <v>3896614.5574581502</v>
      </c>
      <c r="T677" s="1114"/>
      <c r="U677" s="1114">
        <v>98754674.442541853</v>
      </c>
      <c r="V677" s="1114"/>
      <c r="W677" s="1114">
        <v>0</v>
      </c>
      <c r="X677" s="1114"/>
      <c r="Y677" s="1146">
        <v>102651289</v>
      </c>
      <c r="Z677" s="2114">
        <f>C677-'Blocking-Step2'!C677</f>
        <v>0</v>
      </c>
      <c r="AA677" s="2114">
        <f>D677-'Blocking-Step2'!D677</f>
        <v>0</v>
      </c>
      <c r="AC677" s="2114">
        <f>F677-'Blocking-Step2'!F677</f>
        <v>0</v>
      </c>
      <c r="AE677" s="2114">
        <f>H677-'Blocking-Step2'!H677</f>
        <v>0</v>
      </c>
      <c r="AF677" s="2114">
        <f>I677-'Blocking-Step2'!I677</f>
        <v>0</v>
      </c>
      <c r="AH677" s="2136">
        <f>K677-'Blocking-Step2'!K677</f>
        <v>-5.16</v>
      </c>
      <c r="AJ677" s="2136">
        <f>M677-'Blocking-Step2'!M677</f>
        <v>5.160000000000001</v>
      </c>
      <c r="AL677" s="2136">
        <f>O677-'Blocking-Step2'!O677</f>
        <v>0</v>
      </c>
      <c r="AN677" s="2137">
        <f>Q677-'Blocking-Step2'!Q677</f>
        <v>0</v>
      </c>
      <c r="AP677" s="2127">
        <f>S677-'Blocking-Step2'!S677</f>
        <v>-44656017.404420979</v>
      </c>
      <c r="AR677" s="2127">
        <f>U677-'Blocking-Step2'!U677</f>
        <v>44656017.404420972</v>
      </c>
      <c r="AT677" s="2127">
        <f>W677-'Blocking-Step2'!W677</f>
        <v>0</v>
      </c>
      <c r="AV677" s="2128">
        <f>Y677-'Blocking-Step2'!Y677</f>
        <v>0</v>
      </c>
    </row>
    <row r="678" spans="1:48">
      <c r="A678" s="1116" t="s">
        <v>1647</v>
      </c>
      <c r="C678" s="1105">
        <v>2104339921.2249358</v>
      </c>
      <c r="D678" s="1105">
        <v>2063156225.1889281</v>
      </c>
      <c r="F678" s="1106"/>
      <c r="G678" s="1921"/>
      <c r="H678" s="1146"/>
      <c r="I678" s="1146"/>
      <c r="K678" s="1924"/>
      <c r="L678" s="1921"/>
      <c r="M678" s="1924">
        <v>1.6192</v>
      </c>
      <c r="N678" s="1921" t="s">
        <v>495</v>
      </c>
      <c r="O678" s="1922">
        <v>2.305570240802</v>
      </c>
      <c r="P678" s="1921" t="s">
        <v>495</v>
      </c>
      <c r="Q678" s="1106">
        <v>3.9247702408020002</v>
      </c>
      <c r="R678" s="1921" t="s">
        <v>495</v>
      </c>
      <c r="S678" s="1648"/>
      <c r="T678" s="1648"/>
      <c r="U678" s="1114">
        <v>33406721.600283016</v>
      </c>
      <c r="V678" s="1648"/>
      <c r="W678" s="1114">
        <v>47567420.399716988</v>
      </c>
      <c r="X678" s="1648"/>
      <c r="Y678" s="1146">
        <v>80974142</v>
      </c>
      <c r="Z678" s="2114">
        <f>C678-'Blocking-Step2'!C678</f>
        <v>0</v>
      </c>
      <c r="AA678" s="2114">
        <f>D678-'Blocking-Step2'!D678</f>
        <v>0</v>
      </c>
      <c r="AC678" s="2114">
        <f>F678-'Blocking-Step2'!F678</f>
        <v>0</v>
      </c>
      <c r="AE678" s="2114">
        <f>H678-'Blocking-Step2'!H678</f>
        <v>0</v>
      </c>
      <c r="AF678" s="2114">
        <f>I678-'Blocking-Step2'!I678</f>
        <v>0</v>
      </c>
      <c r="AH678" s="2136">
        <f>K678-'Blocking-Step2'!K678</f>
        <v>0</v>
      </c>
      <c r="AJ678" s="2136">
        <f>M678-'Blocking-Step2'!M678</f>
        <v>0</v>
      </c>
      <c r="AL678" s="2136">
        <f>O678-'Blocking-Step2'!O678</f>
        <v>0</v>
      </c>
      <c r="AN678" s="2137">
        <f>Q678-'Blocking-Step2'!Q678</f>
        <v>0</v>
      </c>
      <c r="AP678" s="2127">
        <f>S678-'Blocking-Step2'!S678</f>
        <v>0</v>
      </c>
      <c r="AR678" s="2127">
        <f>U678-'Blocking-Step2'!U678</f>
        <v>0</v>
      </c>
      <c r="AT678" s="2127">
        <f>W678-'Blocking-Step2'!W678</f>
        <v>0</v>
      </c>
      <c r="AV678" s="2128">
        <f>Y678-'Blocking-Step2'!Y678</f>
        <v>0</v>
      </c>
    </row>
    <row r="679" spans="1:48">
      <c r="A679" s="1116" t="s">
        <v>1648</v>
      </c>
      <c r="C679" s="1105">
        <v>3672776336.5082054</v>
      </c>
      <c r="D679" s="1105">
        <v>3526754594</v>
      </c>
      <c r="F679" s="1106"/>
      <c r="G679" s="1921"/>
      <c r="H679" s="1146"/>
      <c r="I679" s="1146"/>
      <c r="K679" s="1924"/>
      <c r="L679" s="1921"/>
      <c r="M679" s="1924">
        <v>1.4329000000000001</v>
      </c>
      <c r="N679" s="1921" t="s">
        <v>495</v>
      </c>
      <c r="O679" s="1922">
        <v>2.0403480007099999</v>
      </c>
      <c r="P679" s="1921" t="s">
        <v>495</v>
      </c>
      <c r="Q679" s="1106">
        <v>3.4732480007099999</v>
      </c>
      <c r="R679" s="1921" t="s">
        <v>495</v>
      </c>
      <c r="S679" s="1648"/>
      <c r="T679" s="1648"/>
      <c r="U679" s="1114">
        <v>50535729.180472448</v>
      </c>
      <c r="V679" s="1648"/>
      <c r="W679" s="1114">
        <v>71957203.819527552</v>
      </c>
      <c r="X679" s="1648"/>
      <c r="Y679" s="1146">
        <v>122492933</v>
      </c>
      <c r="Z679" s="2114">
        <f>C679-'Blocking-Step2'!C679</f>
        <v>0</v>
      </c>
      <c r="AA679" s="2114">
        <f>D679-'Blocking-Step2'!D679</f>
        <v>0</v>
      </c>
      <c r="AC679" s="2114">
        <f>F679-'Blocking-Step2'!F679</f>
        <v>0</v>
      </c>
      <c r="AE679" s="2114">
        <f>H679-'Blocking-Step2'!H679</f>
        <v>0</v>
      </c>
      <c r="AF679" s="2114">
        <f>I679-'Blocking-Step2'!I679</f>
        <v>0</v>
      </c>
      <c r="AH679" s="2136">
        <f>K679-'Blocking-Step2'!K679</f>
        <v>0</v>
      </c>
      <c r="AJ679" s="2136">
        <f>M679-'Blocking-Step2'!M679</f>
        <v>0</v>
      </c>
      <c r="AL679" s="2136">
        <f>O679-'Blocking-Step2'!O679</f>
        <v>0</v>
      </c>
      <c r="AN679" s="2137">
        <f>Q679-'Blocking-Step2'!Q679</f>
        <v>0</v>
      </c>
      <c r="AP679" s="2127">
        <f>S679-'Blocking-Step2'!S679</f>
        <v>0</v>
      </c>
      <c r="AR679" s="2127">
        <f>U679-'Blocking-Step2'!U679</f>
        <v>0</v>
      </c>
      <c r="AT679" s="2127">
        <f>W679-'Blocking-Step2'!W679</f>
        <v>0</v>
      </c>
      <c r="AV679" s="2128">
        <f>Y679-'Blocking-Step2'!Y679</f>
        <v>0</v>
      </c>
    </row>
    <row r="680" spans="1:48">
      <c r="A680" s="1116" t="s">
        <v>196</v>
      </c>
      <c r="C680" s="1105">
        <v>7370533.2140903417</v>
      </c>
      <c r="D680" s="1105">
        <v>7107269</v>
      </c>
      <c r="F680" s="1907">
        <v>14.62</v>
      </c>
      <c r="G680" s="1110"/>
      <c r="H680" s="1146">
        <v>107757196</v>
      </c>
      <c r="I680" s="1146">
        <v>103908273</v>
      </c>
      <c r="K680" s="1907"/>
      <c r="L680" s="1110"/>
      <c r="M680" s="1907"/>
      <c r="N680" s="1110"/>
      <c r="O680" s="1907"/>
      <c r="P680" s="1110"/>
      <c r="Q680" s="1907"/>
      <c r="R680" s="1110"/>
      <c r="S680" s="1629"/>
      <c r="T680" s="1629"/>
      <c r="U680" s="1629"/>
      <c r="V680" s="1629"/>
      <c r="W680" s="1629"/>
      <c r="X680" s="1629"/>
      <c r="Y680" s="1146"/>
      <c r="Z680" s="2114">
        <f>C680-'Blocking-Step2'!C680</f>
        <v>0</v>
      </c>
      <c r="AA680" s="2114">
        <f>D680-'Blocking-Step2'!D680</f>
        <v>0</v>
      </c>
      <c r="AC680" s="2114">
        <f>F680-'Blocking-Step2'!F680</f>
        <v>0</v>
      </c>
      <c r="AE680" s="2114">
        <f>H680-'Blocking-Step2'!H680</f>
        <v>0</v>
      </c>
      <c r="AF680" s="2114">
        <f>I680-'Blocking-Step2'!I680</f>
        <v>0</v>
      </c>
      <c r="AH680" s="2136">
        <f>K680-'Blocking-Step2'!K680</f>
        <v>0</v>
      </c>
      <c r="AJ680" s="2136">
        <f>M680-'Blocking-Step2'!M680</f>
        <v>0</v>
      </c>
      <c r="AL680" s="2136">
        <f>O680-'Blocking-Step2'!O680</f>
        <v>0</v>
      </c>
      <c r="AN680" s="2137">
        <f>Q680-'Blocking-Step2'!Q680</f>
        <v>0</v>
      </c>
      <c r="AP680" s="2127">
        <f>S680-'Blocking-Step2'!S680</f>
        <v>0</v>
      </c>
      <c r="AR680" s="2127">
        <f>U680-'Blocking-Step2'!U680</f>
        <v>0</v>
      </c>
      <c r="AT680" s="2127">
        <f>W680-'Blocking-Step2'!W680</f>
        <v>0</v>
      </c>
      <c r="AV680" s="2128">
        <f>Y680-'Blocking-Step2'!Y680</f>
        <v>0</v>
      </c>
    </row>
    <row r="681" spans="1:48">
      <c r="A681" s="1116" t="s">
        <v>161</v>
      </c>
      <c r="C681" s="1105">
        <v>8772223.9230064284</v>
      </c>
      <c r="D681" s="1105">
        <v>8469573</v>
      </c>
      <c r="F681" s="1907">
        <v>10.91</v>
      </c>
      <c r="G681" s="1110"/>
      <c r="H681" s="1146">
        <v>95704963</v>
      </c>
      <c r="I681" s="1146">
        <v>92403041</v>
      </c>
      <c r="K681" s="1907"/>
      <c r="L681" s="1110"/>
      <c r="M681" s="1907"/>
      <c r="N681" s="1110"/>
      <c r="O681" s="1907"/>
      <c r="P681" s="1110"/>
      <c r="Q681" s="1907"/>
      <c r="R681" s="1110"/>
      <c r="S681" s="1629"/>
      <c r="T681" s="1629"/>
      <c r="U681" s="1629"/>
      <c r="V681" s="1629"/>
      <c r="W681" s="1629"/>
      <c r="X681" s="1629"/>
      <c r="Y681" s="1146"/>
      <c r="Z681" s="2114">
        <f>C681-'Blocking-Step2'!C681</f>
        <v>0</v>
      </c>
      <c r="AA681" s="2114">
        <f>D681-'Blocking-Step2'!D681</f>
        <v>0</v>
      </c>
      <c r="AC681" s="2114">
        <f>F681-'Blocking-Step2'!F681</f>
        <v>0</v>
      </c>
      <c r="AE681" s="2114">
        <f>H681-'Blocking-Step2'!H681</f>
        <v>0</v>
      </c>
      <c r="AF681" s="2114">
        <f>I681-'Blocking-Step2'!I681</f>
        <v>0</v>
      </c>
      <c r="AH681" s="2136">
        <f>K681-'Blocking-Step2'!K681</f>
        <v>0</v>
      </c>
      <c r="AJ681" s="2136">
        <f>M681-'Blocking-Step2'!M681</f>
        <v>0</v>
      </c>
      <c r="AL681" s="2136">
        <f>O681-'Blocking-Step2'!O681</f>
        <v>0</v>
      </c>
      <c r="AN681" s="2137">
        <f>Q681-'Blocking-Step2'!Q681</f>
        <v>0</v>
      </c>
      <c r="AP681" s="2127">
        <f>S681-'Blocking-Step2'!S681</f>
        <v>0</v>
      </c>
      <c r="AR681" s="2127">
        <f>U681-'Blocking-Step2'!U681</f>
        <v>0</v>
      </c>
      <c r="AT681" s="2127">
        <f>W681-'Blocking-Step2'!W681</f>
        <v>0</v>
      </c>
      <c r="AV681" s="2128">
        <f>Y681-'Blocking-Step2'!Y681</f>
        <v>0</v>
      </c>
    </row>
    <row r="682" spans="1:48">
      <c r="A682" s="1116" t="s">
        <v>261</v>
      </c>
      <c r="C682" s="1105">
        <v>572697.33333333302</v>
      </c>
      <c r="D682" s="1105">
        <v>569738</v>
      </c>
      <c r="F682" s="1907">
        <v>-0.96</v>
      </c>
      <c r="G682" s="1110"/>
      <c r="H682" s="1146">
        <v>-549789</v>
      </c>
      <c r="I682" s="1146">
        <v>-546948</v>
      </c>
      <c r="K682" s="1142">
        <v>-0.96</v>
      </c>
      <c r="L682" s="617"/>
      <c r="M682" s="1142"/>
      <c r="N682" s="617"/>
      <c r="O682" s="1142"/>
      <c r="P682" s="1110"/>
      <c r="Q682" s="1907">
        <v>-0.96</v>
      </c>
      <c r="R682" s="1110"/>
      <c r="S682" s="1114">
        <v>-546948</v>
      </c>
      <c r="T682" s="1629"/>
      <c r="U682" s="1114"/>
      <c r="V682" s="1629"/>
      <c r="W682" s="1114">
        <v>0</v>
      </c>
      <c r="X682" s="1629"/>
      <c r="Y682" s="1146">
        <v>-546948</v>
      </c>
      <c r="Z682" s="2114">
        <f>C682-'Blocking-Step2'!C682</f>
        <v>0</v>
      </c>
      <c r="AA682" s="2114">
        <f>D682-'Blocking-Step2'!D682</f>
        <v>0</v>
      </c>
      <c r="AC682" s="2114">
        <f>F682-'Blocking-Step2'!F682</f>
        <v>0</v>
      </c>
      <c r="AE682" s="2114">
        <f>H682-'Blocking-Step2'!H682</f>
        <v>0</v>
      </c>
      <c r="AF682" s="2114">
        <f>I682-'Blocking-Step2'!I682</f>
        <v>0</v>
      </c>
      <c r="AH682" s="2136">
        <f>K682-'Blocking-Step2'!K682</f>
        <v>0</v>
      </c>
      <c r="AJ682" s="2136">
        <f>M682-'Blocking-Step2'!M682</f>
        <v>0</v>
      </c>
      <c r="AL682" s="2136">
        <f>O682-'Blocking-Step2'!O682</f>
        <v>0</v>
      </c>
      <c r="AN682" s="2137">
        <f>Q682-'Blocking-Step2'!Q682</f>
        <v>0</v>
      </c>
      <c r="AP682" s="2127">
        <f>S682-'Blocking-Step2'!S682</f>
        <v>0</v>
      </c>
      <c r="AR682" s="2127">
        <f>U682-'Blocking-Step2'!U682</f>
        <v>0</v>
      </c>
      <c r="AT682" s="2127">
        <f>W682-'Blocking-Step2'!W682</f>
        <v>0</v>
      </c>
      <c r="AV682" s="2128">
        <f>Y682-'Blocking-Step2'!Y682</f>
        <v>0</v>
      </c>
    </row>
    <row r="683" spans="1:48">
      <c r="A683" s="1116" t="s">
        <v>1362</v>
      </c>
      <c r="C683" s="1105">
        <v>2582975621.7403913</v>
      </c>
      <c r="D683" s="1105">
        <v>2527546695.1889286</v>
      </c>
      <c r="F683" s="1106">
        <v>3.8127</v>
      </c>
      <c r="G683" s="1921" t="s">
        <v>495</v>
      </c>
      <c r="H683" s="1146">
        <v>98481112</v>
      </c>
      <c r="I683" s="1146">
        <v>96367773</v>
      </c>
      <c r="K683" s="1106"/>
      <c r="L683" s="1921"/>
      <c r="M683" s="1106"/>
      <c r="N683" s="1921"/>
      <c r="O683" s="1106"/>
      <c r="P683" s="1921"/>
      <c r="Q683" s="1106"/>
      <c r="R683" s="1921"/>
      <c r="S683" s="1648"/>
      <c r="T683" s="1648"/>
      <c r="U683" s="1648"/>
      <c r="V683" s="1648"/>
      <c r="W683" s="1648"/>
      <c r="X683" s="1648"/>
      <c r="Y683" s="1146"/>
      <c r="Z683" s="2114">
        <f>C683-'Blocking-Step2'!C683</f>
        <v>0</v>
      </c>
      <c r="AA683" s="2114">
        <f>D683-'Blocking-Step2'!D683</f>
        <v>0</v>
      </c>
      <c r="AC683" s="2114">
        <f>F683-'Blocking-Step2'!F683</f>
        <v>0</v>
      </c>
      <c r="AE683" s="2114">
        <f>H683-'Blocking-Step2'!H683</f>
        <v>0</v>
      </c>
      <c r="AF683" s="2114">
        <f>I683-'Blocking-Step2'!I683</f>
        <v>0</v>
      </c>
      <c r="AH683" s="2136">
        <f>K683-'Blocking-Step2'!K683</f>
        <v>0</v>
      </c>
      <c r="AJ683" s="2136">
        <f>M683-'Blocking-Step2'!M683</f>
        <v>0</v>
      </c>
      <c r="AL683" s="2136">
        <f>O683-'Blocking-Step2'!O683</f>
        <v>0</v>
      </c>
      <c r="AN683" s="2137">
        <f>Q683-'Blocking-Step2'!Q683</f>
        <v>0</v>
      </c>
      <c r="AP683" s="2127">
        <f>S683-'Blocking-Step2'!S683</f>
        <v>0</v>
      </c>
      <c r="AR683" s="2127">
        <f>U683-'Blocking-Step2'!U683</f>
        <v>0</v>
      </c>
      <c r="AT683" s="2127">
        <f>W683-'Blocking-Step2'!W683</f>
        <v>0</v>
      </c>
      <c r="AV683" s="2128">
        <f>Y683-'Blocking-Step2'!Y683</f>
        <v>0</v>
      </c>
    </row>
    <row r="684" spans="1:48">
      <c r="A684" s="1116" t="s">
        <v>1363</v>
      </c>
      <c r="C684" s="1105">
        <v>3194140635.9927492</v>
      </c>
      <c r="D684" s="1105">
        <v>3062364124</v>
      </c>
      <c r="F684" s="1106">
        <v>3.5143</v>
      </c>
      <c r="G684" s="1921" t="s">
        <v>495</v>
      </c>
      <c r="H684" s="1146">
        <v>112251684</v>
      </c>
      <c r="I684" s="1146">
        <v>107620662</v>
      </c>
      <c r="K684" s="1106"/>
      <c r="L684" s="1921"/>
      <c r="M684" s="1106"/>
      <c r="N684" s="1921"/>
      <c r="O684" s="1106"/>
      <c r="P684" s="1921"/>
      <c r="Q684" s="1106"/>
      <c r="R684" s="1921"/>
      <c r="S684" s="1648"/>
      <c r="T684" s="1648"/>
      <c r="U684" s="1648"/>
      <c r="V684" s="1648"/>
      <c r="W684" s="1648"/>
      <c r="X684" s="1648"/>
      <c r="Y684" s="1146"/>
      <c r="Z684" s="2114">
        <f>C684-'Blocking-Step2'!C684</f>
        <v>0</v>
      </c>
      <c r="AA684" s="2114">
        <f>D684-'Blocking-Step2'!D684</f>
        <v>0</v>
      </c>
      <c r="AC684" s="2114">
        <f>F684-'Blocking-Step2'!F684</f>
        <v>0</v>
      </c>
      <c r="AE684" s="2114">
        <f>H684-'Blocking-Step2'!H684</f>
        <v>0</v>
      </c>
      <c r="AF684" s="2114">
        <f>I684-'Blocking-Step2'!I684</f>
        <v>0</v>
      </c>
      <c r="AH684" s="2136">
        <f>K684-'Blocking-Step2'!K684</f>
        <v>0</v>
      </c>
      <c r="AJ684" s="2136">
        <f>M684-'Blocking-Step2'!M684</f>
        <v>0</v>
      </c>
      <c r="AL684" s="2136">
        <f>O684-'Blocking-Step2'!O684</f>
        <v>0</v>
      </c>
      <c r="AN684" s="2137">
        <f>Q684-'Blocking-Step2'!Q684</f>
        <v>0</v>
      </c>
      <c r="AP684" s="2127">
        <f>S684-'Blocking-Step2'!S684</f>
        <v>0</v>
      </c>
      <c r="AR684" s="2127">
        <f>U684-'Blocking-Step2'!U684</f>
        <v>0</v>
      </c>
      <c r="AT684" s="2127">
        <f>W684-'Blocking-Step2'!W684</f>
        <v>0</v>
      </c>
      <c r="AV684" s="2128">
        <f>Y684-'Blocking-Step2'!Y684</f>
        <v>0</v>
      </c>
    </row>
    <row r="685" spans="1:48">
      <c r="A685" s="1116" t="s">
        <v>1158</v>
      </c>
      <c r="C685" s="1105">
        <v>2072493</v>
      </c>
      <c r="D685" s="1105">
        <v>1977670</v>
      </c>
      <c r="F685" s="1106">
        <v>7.125</v>
      </c>
      <c r="G685" s="1921" t="s">
        <v>495</v>
      </c>
      <c r="H685" s="1146">
        <v>147665</v>
      </c>
      <c r="I685" s="1146">
        <v>140909</v>
      </c>
      <c r="K685" s="1924"/>
      <c r="L685" s="1921"/>
      <c r="M685" s="1924">
        <v>7.125</v>
      </c>
      <c r="N685" s="1921" t="s">
        <v>495</v>
      </c>
      <c r="O685" s="1922"/>
      <c r="P685" s="1921" t="s">
        <v>495</v>
      </c>
      <c r="Q685" s="1106">
        <v>7.125</v>
      </c>
      <c r="R685" s="1921" t="s">
        <v>495</v>
      </c>
      <c r="S685" s="1114"/>
      <c r="T685" s="1648"/>
      <c r="U685" s="1114">
        <v>140909</v>
      </c>
      <c r="V685" s="1648"/>
      <c r="W685" s="1114">
        <v>0</v>
      </c>
      <c r="X685" s="1648"/>
      <c r="Y685" s="1146">
        <v>140909</v>
      </c>
      <c r="Z685" s="2114">
        <f>C685-'Blocking-Step2'!C685</f>
        <v>0</v>
      </c>
      <c r="AA685" s="2114">
        <f>D685-'Blocking-Step2'!D685</f>
        <v>0</v>
      </c>
      <c r="AC685" s="2114">
        <f>F685-'Blocking-Step2'!F685</f>
        <v>0</v>
      </c>
      <c r="AE685" s="2114">
        <f>H685-'Blocking-Step2'!H685</f>
        <v>0</v>
      </c>
      <c r="AF685" s="2114">
        <f>I685-'Blocking-Step2'!I685</f>
        <v>0</v>
      </c>
      <c r="AH685" s="2136">
        <f>K685-'Blocking-Step2'!K685</f>
        <v>0</v>
      </c>
      <c r="AJ685" s="2136">
        <f>M685-'Blocking-Step2'!M685</f>
        <v>0</v>
      </c>
      <c r="AL685" s="2136">
        <f>O685-'Blocking-Step2'!O685</f>
        <v>0</v>
      </c>
      <c r="AN685" s="2137">
        <f>Q685-'Blocking-Step2'!Q685</f>
        <v>0</v>
      </c>
      <c r="AP685" s="2127">
        <f>S685-'Blocking-Step2'!S685</f>
        <v>0</v>
      </c>
      <c r="AR685" s="2127">
        <f>U685-'Blocking-Step2'!U685</f>
        <v>0</v>
      </c>
      <c r="AT685" s="2127">
        <f>W685-'Blocking-Step2'!W685</f>
        <v>0</v>
      </c>
      <c r="AV685" s="2128">
        <f>Y685-'Blocking-Step2'!Y685</f>
        <v>0</v>
      </c>
    </row>
    <row r="686" spans="1:48">
      <c r="A686" s="1116" t="s">
        <v>246</v>
      </c>
      <c r="C686" s="1940">
        <v>17677070</v>
      </c>
      <c r="D686" s="1940">
        <v>0</v>
      </c>
      <c r="H686" s="1147">
        <v>1707393.6474135239</v>
      </c>
      <c r="I686" s="1147">
        <v>0</v>
      </c>
      <c r="Y686" s="1147"/>
      <c r="Z686" s="2114">
        <f>C686-'Blocking-Step2'!C686</f>
        <v>0</v>
      </c>
      <c r="AA686" s="2114">
        <f>D686-'Blocking-Step2'!D686</f>
        <v>0</v>
      </c>
      <c r="AC686" s="2114">
        <f>F686-'Blocking-Step2'!F686</f>
        <v>0</v>
      </c>
      <c r="AE686" s="2114">
        <f>H686-'Blocking-Step2'!H686</f>
        <v>0</v>
      </c>
      <c r="AF686" s="2114">
        <f>I686-'Blocking-Step2'!I686</f>
        <v>0</v>
      </c>
      <c r="AH686" s="2136">
        <f>K686-'Blocking-Step2'!K686</f>
        <v>0</v>
      </c>
      <c r="AJ686" s="2136">
        <f>M686-'Blocking-Step2'!M686</f>
        <v>0</v>
      </c>
      <c r="AL686" s="2136">
        <f>O686-'Blocking-Step2'!O686</f>
        <v>0</v>
      </c>
      <c r="AN686" s="2137">
        <f>Q686-'Blocking-Step2'!Q686</f>
        <v>0</v>
      </c>
      <c r="AP686" s="2127">
        <f>S686-'Blocking-Step2'!S686</f>
        <v>0</v>
      </c>
      <c r="AR686" s="2127">
        <f>U686-'Blocking-Step2'!U686</f>
        <v>0</v>
      </c>
      <c r="AT686" s="2127">
        <f>W686-'Blocking-Step2'!W686</f>
        <v>0</v>
      </c>
      <c r="AV686" s="2128">
        <f>Y686-'Blocking-Step2'!Y686</f>
        <v>0</v>
      </c>
    </row>
    <row r="687" spans="1:48">
      <c r="A687" s="1116" t="s">
        <v>1240</v>
      </c>
      <c r="C687" s="1024"/>
      <c r="D687" s="1024"/>
      <c r="F687" s="2076">
        <v>-3.61E-2</v>
      </c>
      <c r="G687" s="617"/>
      <c r="H687" s="1146">
        <v>-14957768.582</v>
      </c>
      <c r="I687" s="1146">
        <v>-14455907.753799999</v>
      </c>
      <c r="K687" s="2076"/>
      <c r="L687" s="617"/>
      <c r="M687" s="2076"/>
      <c r="N687" s="617"/>
      <c r="O687" s="2077" t="s">
        <v>2323</v>
      </c>
      <c r="P687" s="617"/>
      <c r="Q687" s="2076">
        <v>-2.76E-2</v>
      </c>
      <c r="R687" s="617"/>
      <c r="S687" s="1114"/>
      <c r="T687" s="1114"/>
      <c r="U687" s="1114"/>
      <c r="V687" s="1114"/>
      <c r="W687" s="1114"/>
      <c r="X687" s="1114"/>
      <c r="Y687" s="1146">
        <v>-11012636.780400001</v>
      </c>
      <c r="Z687" s="2114">
        <f>C687-'Blocking-Step2'!C687</f>
        <v>0</v>
      </c>
      <c r="AA687" s="2114">
        <f>D687-'Blocking-Step2'!D687</f>
        <v>0</v>
      </c>
      <c r="AC687" s="2114">
        <f>F687-'Blocking-Step2'!F687</f>
        <v>0</v>
      </c>
      <c r="AE687" s="2114">
        <f>H687-'Blocking-Step2'!H687</f>
        <v>0</v>
      </c>
      <c r="AF687" s="2114">
        <f>I687-'Blocking-Step2'!I687</f>
        <v>0</v>
      </c>
      <c r="AH687" s="2136">
        <f>K687-'Blocking-Step2'!K687</f>
        <v>0</v>
      </c>
      <c r="AJ687" s="2136">
        <f>M687-'Blocking-Step2'!M687</f>
        <v>0</v>
      </c>
      <c r="AL687" s="2136" t="e">
        <f>O687-'Blocking-Step2'!O687</f>
        <v>#VALUE!</v>
      </c>
      <c r="AN687" s="2137">
        <f>Q687-'Blocking-Step2'!Q687</f>
        <v>0</v>
      </c>
      <c r="AP687" s="2127">
        <f>S687-'Blocking-Step2'!S687</f>
        <v>0</v>
      </c>
      <c r="AR687" s="2127">
        <f>U687-'Blocking-Step2'!U687</f>
        <v>0</v>
      </c>
      <c r="AT687" s="2127">
        <f>W687-'Blocking-Step2'!W687</f>
        <v>0</v>
      </c>
      <c r="AV687" s="2128">
        <f>Y687-'Blocking-Step2'!Y687</f>
        <v>0</v>
      </c>
    </row>
    <row r="688" spans="1:48">
      <c r="A688" s="1116"/>
      <c r="C688" s="1024"/>
      <c r="D688" s="1024"/>
      <c r="F688" s="2076"/>
      <c r="G688" s="617"/>
      <c r="H688" s="1146"/>
      <c r="I688" s="1146"/>
      <c r="K688" s="2076"/>
      <c r="L688" s="617"/>
      <c r="M688" s="2076"/>
      <c r="N688" s="617"/>
      <c r="O688" s="2077" t="s">
        <v>2324</v>
      </c>
      <c r="P688" s="617"/>
      <c r="Q688" s="2076">
        <v>-1.4999999999999999E-2</v>
      </c>
      <c r="R688" s="617"/>
      <c r="S688" s="1114"/>
      <c r="T688" s="1114"/>
      <c r="U688" s="1114"/>
      <c r="V688" s="1114"/>
      <c r="W688" s="1114"/>
      <c r="X688" s="1114"/>
      <c r="Y688" s="1146">
        <v>-5985128.6849999996</v>
      </c>
      <c r="Z688" s="2114">
        <f>C688-'Blocking-Step2'!C688</f>
        <v>0</v>
      </c>
      <c r="AA688" s="2114">
        <f>D688-'Blocking-Step2'!D688</f>
        <v>0</v>
      </c>
      <c r="AC688" s="2114">
        <f>F688-'Blocking-Step2'!F688</f>
        <v>0</v>
      </c>
      <c r="AE688" s="2114">
        <f>H688-'Blocking-Step2'!H688</f>
        <v>0</v>
      </c>
      <c r="AF688" s="2114">
        <f>I688-'Blocking-Step2'!I688</f>
        <v>0</v>
      </c>
      <c r="AH688" s="2136">
        <f>K688-'Blocking-Step2'!K688</f>
        <v>0</v>
      </c>
      <c r="AJ688" s="2136">
        <f>M688-'Blocking-Step2'!M688</f>
        <v>0</v>
      </c>
      <c r="AL688" s="2136" t="e">
        <f>O688-'Blocking-Step2'!O688</f>
        <v>#VALUE!</v>
      </c>
      <c r="AN688" s="2137">
        <f>Q688-'Blocking-Step2'!Q688</f>
        <v>0</v>
      </c>
      <c r="AP688" s="2127">
        <f>S688-'Blocking-Step2'!S688</f>
        <v>0</v>
      </c>
      <c r="AR688" s="2127">
        <f>U688-'Blocking-Step2'!U688</f>
        <v>0</v>
      </c>
      <c r="AT688" s="2127">
        <f>W688-'Blocking-Step2'!W688</f>
        <v>0</v>
      </c>
      <c r="AV688" s="2128">
        <f>Y688-'Blocking-Step2'!Y688</f>
        <v>0</v>
      </c>
    </row>
    <row r="689" spans="1:48">
      <c r="A689" s="1116" t="s">
        <v>1317</v>
      </c>
      <c r="C689" s="1105">
        <v>26720</v>
      </c>
      <c r="D689" s="1105">
        <v>25489</v>
      </c>
      <c r="F689" s="2076"/>
      <c r="G689" s="617"/>
      <c r="H689" s="1146"/>
      <c r="I689" s="1146"/>
      <c r="K689" s="2076"/>
      <c r="L689" s="617"/>
      <c r="M689" s="2076"/>
      <c r="N689" s="617"/>
      <c r="O689" s="2076"/>
      <c r="P689" s="617"/>
      <c r="Q689" s="2076"/>
      <c r="R689" s="617"/>
      <c r="S689" s="1114"/>
      <c r="T689" s="1114"/>
      <c r="U689" s="1114"/>
      <c r="V689" s="1114"/>
      <c r="W689" s="1114"/>
      <c r="X689" s="1114"/>
      <c r="Y689" s="1146"/>
      <c r="Z689" s="2114">
        <f>C689-'Blocking-Step2'!C689</f>
        <v>0</v>
      </c>
      <c r="AA689" s="2114">
        <f>D689-'Blocking-Step2'!D689</f>
        <v>0</v>
      </c>
      <c r="AC689" s="2114">
        <f>F689-'Blocking-Step2'!F689</f>
        <v>0</v>
      </c>
      <c r="AE689" s="2114">
        <f>H689-'Blocking-Step2'!H689</f>
        <v>0</v>
      </c>
      <c r="AF689" s="2114">
        <f>I689-'Blocking-Step2'!I689</f>
        <v>0</v>
      </c>
      <c r="AH689" s="2136">
        <f>K689-'Blocking-Step2'!K689</f>
        <v>0</v>
      </c>
      <c r="AJ689" s="2136">
        <f>M689-'Blocking-Step2'!M689</f>
        <v>0</v>
      </c>
      <c r="AL689" s="2136">
        <f>O689-'Blocking-Step2'!O689</f>
        <v>0</v>
      </c>
      <c r="AN689" s="2137">
        <f>Q689-'Blocking-Step2'!Q689</f>
        <v>0</v>
      </c>
      <c r="AP689" s="2127">
        <f>S689-'Blocking-Step2'!S689</f>
        <v>0</v>
      </c>
      <c r="AR689" s="2127">
        <f>U689-'Blocking-Step2'!U689</f>
        <v>0</v>
      </c>
      <c r="AT689" s="2127">
        <f>W689-'Blocking-Step2'!W689</f>
        <v>0</v>
      </c>
      <c r="AV689" s="2128">
        <f>Y689-'Blocking-Step2'!Y689</f>
        <v>0</v>
      </c>
    </row>
    <row r="690" spans="1:48" ht="16.5" thickBot="1">
      <c r="A690" s="1116" t="s">
        <v>247</v>
      </c>
      <c r="C690" s="1138">
        <v>5796892540.7331409</v>
      </c>
      <c r="D690" s="1138">
        <v>5591913978.1889286</v>
      </c>
      <c r="F690" s="1145"/>
      <c r="H690" s="1149">
        <v>474288168.06541353</v>
      </c>
      <c r="I690" s="1149">
        <v>456853264.24620003</v>
      </c>
      <c r="K690" s="1145"/>
      <c r="M690" s="1145"/>
      <c r="O690" s="1145"/>
      <c r="Q690" s="1145"/>
      <c r="S690" s="1154">
        <v>78130097.577160373</v>
      </c>
      <c r="T690" s="1154"/>
      <c r="U690" s="1154">
        <v>272066602.2035951</v>
      </c>
      <c r="V690" s="1154"/>
      <c r="W690" s="1154">
        <v>119524624.21924454</v>
      </c>
      <c r="Y690" s="1154">
        <v>469721324</v>
      </c>
      <c r="Z690" s="2114">
        <f>C690-'Blocking-Step2'!C690</f>
        <v>0</v>
      </c>
      <c r="AA690" s="2114">
        <f>D690-'Blocking-Step2'!D690</f>
        <v>0</v>
      </c>
      <c r="AC690" s="2114">
        <f>F690-'Blocking-Step2'!F690</f>
        <v>0</v>
      </c>
      <c r="AE690" s="2114">
        <f>H690-'Blocking-Step2'!H690</f>
        <v>0</v>
      </c>
      <c r="AF690" s="2114">
        <f>I690-'Blocking-Step2'!I690</f>
        <v>0</v>
      </c>
      <c r="AH690" s="2136">
        <f>K690-'Blocking-Step2'!K690</f>
        <v>0</v>
      </c>
      <c r="AJ690" s="2136">
        <f>M690-'Blocking-Step2'!M690</f>
        <v>0</v>
      </c>
      <c r="AL690" s="2136">
        <f>O690-'Blocking-Step2'!O690</f>
        <v>0</v>
      </c>
      <c r="AN690" s="2137">
        <f>Q690-'Blocking-Step2'!Q690</f>
        <v>0</v>
      </c>
      <c r="AP690" s="2127">
        <f>S690-'Blocking-Step2'!S690</f>
        <v>-85004411.110261008</v>
      </c>
      <c r="AR690" s="2127">
        <f>U690-'Blocking-Step2'!U690</f>
        <v>85004411.110261023</v>
      </c>
      <c r="AT690" s="2127">
        <f>W690-'Blocking-Step2'!W690</f>
        <v>0</v>
      </c>
      <c r="AV690" s="2128">
        <f>Y690-'Blocking-Step2'!Y690</f>
        <v>0</v>
      </c>
    </row>
    <row r="691" spans="1:48" ht="16.5" hidden="1" thickTop="1">
      <c r="C691" s="1105"/>
      <c r="D691" s="1105"/>
      <c r="Z691" s="2114">
        <f>C691-'Blocking-Step2'!C691</f>
        <v>0</v>
      </c>
      <c r="AA691" s="2114">
        <f>D691-'Blocking-Step2'!D691</f>
        <v>0</v>
      </c>
      <c r="AC691" s="2114">
        <f>F691-'Blocking-Step2'!F691</f>
        <v>0</v>
      </c>
      <c r="AE691" s="2114">
        <f>H691-'Blocking-Step2'!H691</f>
        <v>0</v>
      </c>
      <c r="AF691" s="2114">
        <f>I691-'Blocking-Step2'!I691</f>
        <v>0</v>
      </c>
      <c r="AH691" s="2136">
        <f>K691-'Blocking-Step2'!K691</f>
        <v>0</v>
      </c>
      <c r="AJ691" s="2136">
        <f>M691-'Blocking-Step2'!M691</f>
        <v>0</v>
      </c>
      <c r="AL691" s="2136">
        <f>O691-'Blocking-Step2'!O691</f>
        <v>0</v>
      </c>
      <c r="AN691" s="2137">
        <f>Q691-'Blocking-Step2'!Q691</f>
        <v>0</v>
      </c>
      <c r="AP691" s="2127">
        <f>S691-'Blocking-Step2'!S691</f>
        <v>0</v>
      </c>
      <c r="AR691" s="2127">
        <f>U691-'Blocking-Step2'!U691</f>
        <v>0</v>
      </c>
      <c r="AT691" s="2127">
        <f>W691-'Blocking-Step2'!W691</f>
        <v>0</v>
      </c>
      <c r="AV691" s="2128">
        <f>Y691-'Blocking-Step2'!Y691</f>
        <v>0</v>
      </c>
    </row>
    <row r="692" spans="1:48" ht="16.5" hidden="1" thickTop="1">
      <c r="A692" s="1115" t="s">
        <v>908</v>
      </c>
      <c r="C692" s="1105"/>
      <c r="D692" s="1105"/>
      <c r="Z692" s="2114">
        <f>C692-'Blocking-Step2'!C692</f>
        <v>0</v>
      </c>
      <c r="AA692" s="2114">
        <f>D692-'Blocking-Step2'!D692</f>
        <v>0</v>
      </c>
      <c r="AC692" s="2114">
        <f>F692-'Blocking-Step2'!F692</f>
        <v>0</v>
      </c>
      <c r="AE692" s="2114">
        <f>H692-'Blocking-Step2'!H692</f>
        <v>0</v>
      </c>
      <c r="AF692" s="2114">
        <f>I692-'Blocking-Step2'!I692</f>
        <v>0</v>
      </c>
      <c r="AH692" s="2136">
        <f>K692-'Blocking-Step2'!K692</f>
        <v>0</v>
      </c>
      <c r="AJ692" s="2136">
        <f>M692-'Blocking-Step2'!M692</f>
        <v>0</v>
      </c>
      <c r="AL692" s="2136">
        <f>O692-'Blocking-Step2'!O692</f>
        <v>0</v>
      </c>
      <c r="AN692" s="2137">
        <f>Q692-'Blocking-Step2'!Q692</f>
        <v>0</v>
      </c>
      <c r="AP692" s="2127">
        <f>S692-'Blocking-Step2'!S692</f>
        <v>0</v>
      </c>
      <c r="AR692" s="2127">
        <f>U692-'Blocking-Step2'!U692</f>
        <v>0</v>
      </c>
      <c r="AT692" s="2127">
        <f>W692-'Blocking-Step2'!W692</f>
        <v>0</v>
      </c>
      <c r="AV692" s="2128">
        <f>Y692-'Blocking-Step2'!Y692</f>
        <v>0</v>
      </c>
    </row>
    <row r="693" spans="1:48" ht="16.5" hidden="1" thickTop="1">
      <c r="A693" s="1116" t="s">
        <v>240</v>
      </c>
      <c r="C693" s="1105">
        <v>3583.0333333333301</v>
      </c>
      <c r="D693" s="1105">
        <v>3780</v>
      </c>
      <c r="F693" s="1142">
        <v>54</v>
      </c>
      <c r="G693" s="617"/>
      <c r="H693" s="1146">
        <v>193484</v>
      </c>
      <c r="I693" s="1146">
        <v>204120</v>
      </c>
      <c r="K693" s="1142">
        <v>54</v>
      </c>
      <c r="L693" s="617"/>
      <c r="M693" s="1142">
        <v>0</v>
      </c>
      <c r="N693" s="617"/>
      <c r="O693" s="1142">
        <v>0</v>
      </c>
      <c r="P693" s="617"/>
      <c r="Q693" s="1142">
        <v>54</v>
      </c>
      <c r="R693" s="617"/>
      <c r="S693" s="1146">
        <v>204120</v>
      </c>
      <c r="T693" s="1629"/>
      <c r="U693" s="1146">
        <v>0</v>
      </c>
      <c r="V693" s="1629"/>
      <c r="W693" s="1146">
        <v>0</v>
      </c>
      <c r="X693" s="1114"/>
      <c r="Y693" s="1146">
        <v>204120</v>
      </c>
      <c r="Z693" s="2114">
        <f>C693-'Blocking-Step2'!C693</f>
        <v>0</v>
      </c>
      <c r="AA693" s="2114">
        <f>D693-'Blocking-Step2'!D693</f>
        <v>0</v>
      </c>
      <c r="AC693" s="2114">
        <f>F693-'Blocking-Step2'!F693</f>
        <v>0</v>
      </c>
      <c r="AE693" s="2114">
        <f>H693-'Blocking-Step2'!H693</f>
        <v>0</v>
      </c>
      <c r="AF693" s="2114">
        <f>I693-'Blocking-Step2'!I693</f>
        <v>0</v>
      </c>
      <c r="AH693" s="2136">
        <f>K693-'Blocking-Step2'!K693</f>
        <v>0</v>
      </c>
      <c r="AJ693" s="2136">
        <f>M693-'Blocking-Step2'!M693</f>
        <v>0</v>
      </c>
      <c r="AL693" s="2136">
        <f>O693-'Blocking-Step2'!O693</f>
        <v>0</v>
      </c>
      <c r="AN693" s="2137">
        <f>Q693-'Blocking-Step2'!Q693</f>
        <v>0</v>
      </c>
      <c r="AP693" s="2127">
        <f>S693-'Blocking-Step2'!S693</f>
        <v>0</v>
      </c>
      <c r="AR693" s="2127">
        <f>U693-'Blocking-Step2'!U693</f>
        <v>0</v>
      </c>
      <c r="AT693" s="2127">
        <f>W693-'Blocking-Step2'!W693</f>
        <v>0</v>
      </c>
      <c r="AV693" s="2128">
        <f>Y693-'Blocking-Step2'!Y693</f>
        <v>0</v>
      </c>
    </row>
    <row r="694" spans="1:48" ht="16.5" hidden="1" thickTop="1">
      <c r="A694" s="1116" t="s">
        <v>262</v>
      </c>
      <c r="C694" s="1024">
        <v>0</v>
      </c>
      <c r="D694" s="1105">
        <v>0</v>
      </c>
      <c r="F694" s="1142">
        <v>648</v>
      </c>
      <c r="G694" s="617"/>
      <c r="H694" s="1146">
        <v>0</v>
      </c>
      <c r="I694" s="1146">
        <v>0</v>
      </c>
      <c r="K694" s="1142">
        <v>648</v>
      </c>
      <c r="L694" s="617"/>
      <c r="M694" s="1142">
        <v>0</v>
      </c>
      <c r="N694" s="617"/>
      <c r="O694" s="1142">
        <v>0</v>
      </c>
      <c r="P694" s="617"/>
      <c r="Q694" s="1142">
        <v>648</v>
      </c>
      <c r="R694" s="617"/>
      <c r="S694" s="1146">
        <v>0</v>
      </c>
      <c r="T694" s="1629"/>
      <c r="U694" s="1146">
        <v>0</v>
      </c>
      <c r="V694" s="1629"/>
      <c r="W694" s="1146">
        <v>0</v>
      </c>
      <c r="X694" s="1114"/>
      <c r="Y694" s="1146">
        <v>0</v>
      </c>
      <c r="Z694" s="2114">
        <f>C694-'Blocking-Step2'!C694</f>
        <v>0</v>
      </c>
      <c r="AA694" s="2114">
        <f>D694-'Blocking-Step2'!D694</f>
        <v>0</v>
      </c>
      <c r="AC694" s="2114">
        <f>F694-'Blocking-Step2'!F694</f>
        <v>0</v>
      </c>
      <c r="AE694" s="2114">
        <f>H694-'Blocking-Step2'!H694</f>
        <v>0</v>
      </c>
      <c r="AF694" s="2114">
        <f>I694-'Blocking-Step2'!I694</f>
        <v>0</v>
      </c>
      <c r="AH694" s="2136">
        <f>K694-'Blocking-Step2'!K694</f>
        <v>0</v>
      </c>
      <c r="AJ694" s="2136">
        <f>M694-'Blocking-Step2'!M694</f>
        <v>0</v>
      </c>
      <c r="AL694" s="2136">
        <f>O694-'Blocking-Step2'!O694</f>
        <v>0</v>
      </c>
      <c r="AN694" s="2137">
        <f>Q694-'Blocking-Step2'!Q694</f>
        <v>0</v>
      </c>
      <c r="AP694" s="2127">
        <f>S694-'Blocking-Step2'!S694</f>
        <v>0</v>
      </c>
      <c r="AR694" s="2127">
        <f>U694-'Blocking-Step2'!U694</f>
        <v>0</v>
      </c>
      <c r="AT694" s="2127">
        <f>W694-'Blocking-Step2'!W694</f>
        <v>0</v>
      </c>
      <c r="AV694" s="2128">
        <f>Y694-'Blocking-Step2'!Y694</f>
        <v>0</v>
      </c>
    </row>
    <row r="695" spans="1:48" ht="16.5" hidden="1" thickTop="1">
      <c r="A695" s="1116" t="s">
        <v>1298</v>
      </c>
      <c r="C695" s="1105">
        <v>0</v>
      </c>
      <c r="D695" s="1105">
        <v>0</v>
      </c>
      <c r="F695" s="1142">
        <v>54</v>
      </c>
      <c r="G695" s="617"/>
      <c r="H695" s="1146">
        <v>0</v>
      </c>
      <c r="I695" s="1146">
        <v>0</v>
      </c>
      <c r="K695" s="1142">
        <v>54</v>
      </c>
      <c r="L695" s="617"/>
      <c r="M695" s="1142">
        <v>0</v>
      </c>
      <c r="N695" s="617"/>
      <c r="O695" s="1142">
        <v>0</v>
      </c>
      <c r="P695" s="617"/>
      <c r="Q695" s="1142">
        <v>54</v>
      </c>
      <c r="R695" s="617"/>
      <c r="S695" s="1146">
        <v>0</v>
      </c>
      <c r="T695" s="1114"/>
      <c r="U695" s="1146">
        <v>0</v>
      </c>
      <c r="V695" s="1114"/>
      <c r="W695" s="1146">
        <v>0</v>
      </c>
      <c r="X695" s="1114"/>
      <c r="Y695" s="1146">
        <v>0</v>
      </c>
      <c r="Z695" s="2114">
        <f>C695-'Blocking-Step2'!C695</f>
        <v>0</v>
      </c>
      <c r="AA695" s="2114">
        <f>D695-'Blocking-Step2'!D695</f>
        <v>0</v>
      </c>
      <c r="AC695" s="2114">
        <f>F695-'Blocking-Step2'!F695</f>
        <v>0</v>
      </c>
      <c r="AE695" s="2114">
        <f>H695-'Blocking-Step2'!H695</f>
        <v>0</v>
      </c>
      <c r="AF695" s="2114">
        <f>I695-'Blocking-Step2'!I695</f>
        <v>0</v>
      </c>
      <c r="AH695" s="2136">
        <f>K695-'Blocking-Step2'!K695</f>
        <v>0</v>
      </c>
      <c r="AJ695" s="2136">
        <f>M695-'Blocking-Step2'!M695</f>
        <v>0</v>
      </c>
      <c r="AL695" s="2136">
        <f>O695-'Blocking-Step2'!O695</f>
        <v>0</v>
      </c>
      <c r="AN695" s="2137">
        <f>Q695-'Blocking-Step2'!Q695</f>
        <v>0</v>
      </c>
      <c r="AP695" s="2127">
        <f>S695-'Blocking-Step2'!S695</f>
        <v>0</v>
      </c>
      <c r="AR695" s="2127">
        <f>U695-'Blocking-Step2'!U695</f>
        <v>0</v>
      </c>
      <c r="AT695" s="2127">
        <f>W695-'Blocking-Step2'!W695</f>
        <v>0</v>
      </c>
      <c r="AV695" s="2128">
        <f>Y695-'Blocking-Step2'!Y695</f>
        <v>0</v>
      </c>
    </row>
    <row r="696" spans="1:48" ht="16.5" hidden="1" thickTop="1">
      <c r="A696" s="1116" t="s">
        <v>168</v>
      </c>
      <c r="C696" s="1105">
        <v>299679.84158415801</v>
      </c>
      <c r="D696" s="1105">
        <v>359920</v>
      </c>
      <c r="F696" s="1142">
        <v>4.04</v>
      </c>
      <c r="G696" s="617"/>
      <c r="H696" s="1146">
        <v>1210707</v>
      </c>
      <c r="I696" s="1146">
        <v>1454077</v>
      </c>
      <c r="K696" s="1142">
        <v>4.03</v>
      </c>
      <c r="L696" s="617"/>
      <c r="M696" s="1142">
        <v>0</v>
      </c>
      <c r="N696" s="617"/>
      <c r="O696" s="1142">
        <v>0</v>
      </c>
      <c r="P696" s="617"/>
      <c r="Q696" s="1142">
        <v>4.03</v>
      </c>
      <c r="R696" s="617"/>
      <c r="S696" s="1146">
        <v>1450478</v>
      </c>
      <c r="T696" s="1629"/>
      <c r="U696" s="1146">
        <v>0</v>
      </c>
      <c r="V696" s="1629"/>
      <c r="W696" s="1146">
        <v>0</v>
      </c>
      <c r="X696" s="1114"/>
      <c r="Y696" s="1146">
        <v>1450478</v>
      </c>
      <c r="Z696" s="2114">
        <f>C696-'Blocking-Step2'!C696</f>
        <v>0</v>
      </c>
      <c r="AA696" s="2114">
        <f>D696-'Blocking-Step2'!D696</f>
        <v>0</v>
      </c>
      <c r="AC696" s="2114">
        <f>F696-'Blocking-Step2'!F696</f>
        <v>0</v>
      </c>
      <c r="AE696" s="2114">
        <f>H696-'Blocking-Step2'!H696</f>
        <v>0</v>
      </c>
      <c r="AF696" s="2114">
        <f>I696-'Blocking-Step2'!I696</f>
        <v>0</v>
      </c>
      <c r="AH696" s="2136">
        <f>K696-'Blocking-Step2'!K696</f>
        <v>0</v>
      </c>
      <c r="AJ696" s="2136">
        <f>M696-'Blocking-Step2'!M696</f>
        <v>0</v>
      </c>
      <c r="AL696" s="2136">
        <f>O696-'Blocking-Step2'!O696</f>
        <v>0</v>
      </c>
      <c r="AN696" s="2137">
        <f>Q696-'Blocking-Step2'!Q696</f>
        <v>0</v>
      </c>
      <c r="AP696" s="2127">
        <f>S696-'Blocking-Step2'!S696</f>
        <v>0</v>
      </c>
      <c r="AR696" s="2127">
        <f>U696-'Blocking-Step2'!U696</f>
        <v>0</v>
      </c>
      <c r="AT696" s="2127">
        <f>W696-'Blocking-Step2'!W696</f>
        <v>0</v>
      </c>
      <c r="AV696" s="2128">
        <f>Y696-'Blocking-Step2'!Y696</f>
        <v>0</v>
      </c>
    </row>
    <row r="697" spans="1:48" ht="16.5" hidden="1" thickTop="1">
      <c r="A697" s="1116" t="s">
        <v>1645</v>
      </c>
      <c r="C697" s="1105">
        <v>103225.47243554296</v>
      </c>
      <c r="D697" s="1105">
        <v>123975</v>
      </c>
      <c r="F697" s="1142"/>
      <c r="G697" s="617"/>
      <c r="H697" s="1146"/>
      <c r="I697" s="1146"/>
      <c r="K697" s="1142">
        <v>0.51</v>
      </c>
      <c r="L697" s="617"/>
      <c r="M697" s="1142">
        <v>12.89</v>
      </c>
      <c r="N697" s="617"/>
      <c r="O697" s="1142">
        <v>0</v>
      </c>
      <c r="P697" s="617"/>
      <c r="Q697" s="1142">
        <v>13.4</v>
      </c>
      <c r="R697" s="617"/>
      <c r="S697" s="1146">
        <v>63227</v>
      </c>
      <c r="T697" s="1114"/>
      <c r="U697" s="1146">
        <v>1598038</v>
      </c>
      <c r="V697" s="1114"/>
      <c r="W697" s="1146">
        <v>0</v>
      </c>
      <c r="X697" s="1114"/>
      <c r="Y697" s="1146">
        <v>1661265</v>
      </c>
      <c r="Z697" s="2114">
        <f>C697-'Blocking-Step2'!C697</f>
        <v>0</v>
      </c>
      <c r="AA697" s="2114">
        <f>D697-'Blocking-Step2'!D697</f>
        <v>0</v>
      </c>
      <c r="AC697" s="2114">
        <f>F697-'Blocking-Step2'!F697</f>
        <v>0</v>
      </c>
      <c r="AE697" s="2114">
        <f>H697-'Blocking-Step2'!H697</f>
        <v>0</v>
      </c>
      <c r="AF697" s="2114">
        <f>I697-'Blocking-Step2'!I697</f>
        <v>0</v>
      </c>
      <c r="AH697" s="2136">
        <f>K697-'Blocking-Step2'!K697</f>
        <v>-5.83</v>
      </c>
      <c r="AJ697" s="2136">
        <f>M697-'Blocking-Step2'!M697</f>
        <v>5.83</v>
      </c>
      <c r="AL697" s="2136">
        <f>O697-'Blocking-Step2'!O697</f>
        <v>0</v>
      </c>
      <c r="AN697" s="2137">
        <f>Q697-'Blocking-Step2'!Q697</f>
        <v>0</v>
      </c>
      <c r="AP697" s="2127">
        <f>S697-'Blocking-Step2'!S697</f>
        <v>-722775</v>
      </c>
      <c r="AR697" s="2127">
        <f>U697-'Blocking-Step2'!U697</f>
        <v>722774</v>
      </c>
      <c r="AT697" s="2127">
        <f>W697-'Blocking-Step2'!W697</f>
        <v>0</v>
      </c>
      <c r="AV697" s="2128">
        <f>Y697-'Blocking-Step2'!Y697</f>
        <v>0</v>
      </c>
    </row>
    <row r="698" spans="1:48" ht="16.5" hidden="1" thickTop="1">
      <c r="A698" s="1116" t="s">
        <v>1646</v>
      </c>
      <c r="C698" s="1105">
        <v>196454.36991531623</v>
      </c>
      <c r="D698" s="1105">
        <v>235945</v>
      </c>
      <c r="F698" s="1142"/>
      <c r="G698" s="617"/>
      <c r="H698" s="1146"/>
      <c r="I698" s="1146"/>
      <c r="K698" s="1142">
        <v>0.45</v>
      </c>
      <c r="L698" s="617"/>
      <c r="M698" s="1142">
        <v>11.41</v>
      </c>
      <c r="N698" s="617"/>
      <c r="O698" s="1142">
        <v>0</v>
      </c>
      <c r="P698" s="617"/>
      <c r="Q698" s="1142">
        <v>11.86</v>
      </c>
      <c r="R698" s="617"/>
      <c r="S698" s="1146">
        <v>106175</v>
      </c>
      <c r="T698" s="1114"/>
      <c r="U698" s="1146">
        <v>2692132</v>
      </c>
      <c r="V698" s="1114"/>
      <c r="W698" s="1146">
        <v>0</v>
      </c>
      <c r="X698" s="1114"/>
      <c r="Y698" s="1146">
        <v>2798308</v>
      </c>
      <c r="Z698" s="2114">
        <f>C698-'Blocking-Step2'!C698</f>
        <v>0</v>
      </c>
      <c r="AA698" s="2114">
        <f>D698-'Blocking-Step2'!D698</f>
        <v>0</v>
      </c>
      <c r="AC698" s="2114">
        <f>F698-'Blocking-Step2'!F698</f>
        <v>0</v>
      </c>
      <c r="AE698" s="2114">
        <f>H698-'Blocking-Step2'!H698</f>
        <v>0</v>
      </c>
      <c r="AF698" s="2114">
        <f>I698-'Blocking-Step2'!I698</f>
        <v>0</v>
      </c>
      <c r="AH698" s="2136">
        <f>K698-'Blocking-Step2'!K698</f>
        <v>-5.16</v>
      </c>
      <c r="AJ698" s="2136">
        <f>M698-'Blocking-Step2'!M698</f>
        <v>5.160000000000001</v>
      </c>
      <c r="AL698" s="2136">
        <f>O698-'Blocking-Step2'!O698</f>
        <v>0</v>
      </c>
      <c r="AN698" s="2137">
        <f>Q698-'Blocking-Step2'!Q698</f>
        <v>0</v>
      </c>
      <c r="AP698" s="2127">
        <f>S698-'Blocking-Step2'!S698</f>
        <v>-1217476</v>
      </c>
      <c r="AR698" s="2127">
        <f>U698-'Blocking-Step2'!U698</f>
        <v>1217476</v>
      </c>
      <c r="AT698" s="2127">
        <f>W698-'Blocking-Step2'!W698</f>
        <v>0</v>
      </c>
      <c r="AV698" s="2128">
        <f>Y698-'Blocking-Step2'!Y698</f>
        <v>0</v>
      </c>
    </row>
    <row r="699" spans="1:48" ht="16.5" hidden="1" thickTop="1">
      <c r="A699" s="1116" t="s">
        <v>1647</v>
      </c>
      <c r="C699" s="1105">
        <v>41751453.943650171</v>
      </c>
      <c r="D699" s="1105">
        <v>56993222.034597188</v>
      </c>
      <c r="F699" s="1106"/>
      <c r="G699" s="1921"/>
      <c r="H699" s="1146"/>
      <c r="I699" s="1146"/>
      <c r="K699" s="1106">
        <v>0</v>
      </c>
      <c r="L699" s="1921" t="s">
        <v>495</v>
      </c>
      <c r="M699" s="1106">
        <v>1.6192</v>
      </c>
      <c r="N699" s="1921" t="s">
        <v>495</v>
      </c>
      <c r="O699" s="1106">
        <v>2.305570240802</v>
      </c>
      <c r="P699" s="1921" t="s">
        <v>495</v>
      </c>
      <c r="Q699" s="1106">
        <v>3.9247702408020002</v>
      </c>
      <c r="R699" s="1921" t="s">
        <v>495</v>
      </c>
      <c r="S699" s="1146">
        <v>0</v>
      </c>
      <c r="T699" s="1648"/>
      <c r="U699" s="1146">
        <v>922834</v>
      </c>
      <c r="V699" s="1648"/>
      <c r="W699" s="1146">
        <v>1314019</v>
      </c>
      <c r="X699" s="1648"/>
      <c r="Y699" s="1146">
        <v>2236853</v>
      </c>
      <c r="Z699" s="2114">
        <f>C699-'Blocking-Step2'!C699</f>
        <v>0</v>
      </c>
      <c r="AA699" s="2114">
        <f>D699-'Blocking-Step2'!D699</f>
        <v>0</v>
      </c>
      <c r="AC699" s="2114">
        <f>F699-'Blocking-Step2'!F699</f>
        <v>0</v>
      </c>
      <c r="AE699" s="2114">
        <f>H699-'Blocking-Step2'!H699</f>
        <v>0</v>
      </c>
      <c r="AF699" s="2114">
        <f>I699-'Blocking-Step2'!I699</f>
        <v>0</v>
      </c>
      <c r="AH699" s="2136">
        <f>K699-'Blocking-Step2'!K699</f>
        <v>0</v>
      </c>
      <c r="AJ699" s="2136">
        <f>M699-'Blocking-Step2'!M699</f>
        <v>0</v>
      </c>
      <c r="AL699" s="2136">
        <f>O699-'Blocking-Step2'!O699</f>
        <v>0</v>
      </c>
      <c r="AN699" s="2137">
        <f>Q699-'Blocking-Step2'!Q699</f>
        <v>0</v>
      </c>
      <c r="AP699" s="2127">
        <f>S699-'Blocking-Step2'!S699</f>
        <v>0</v>
      </c>
      <c r="AR699" s="2127">
        <f>U699-'Blocking-Step2'!U699</f>
        <v>0</v>
      </c>
      <c r="AT699" s="2127">
        <f>W699-'Blocking-Step2'!W699</f>
        <v>0</v>
      </c>
      <c r="AV699" s="2128">
        <f>Y699-'Blocking-Step2'!Y699</f>
        <v>0</v>
      </c>
    </row>
    <row r="700" spans="1:48" ht="16.5" hidden="1" thickTop="1">
      <c r="A700" s="1116" t="s">
        <v>1648</v>
      </c>
      <c r="C700" s="1105">
        <v>84462817.942580998</v>
      </c>
      <c r="D700" s="1105">
        <v>95452005</v>
      </c>
      <c r="F700" s="1106"/>
      <c r="G700" s="1921"/>
      <c r="H700" s="1146"/>
      <c r="I700" s="1146"/>
      <c r="K700" s="1106">
        <v>0</v>
      </c>
      <c r="L700" s="1921" t="s">
        <v>495</v>
      </c>
      <c r="M700" s="1106">
        <v>1.4329000000000001</v>
      </c>
      <c r="N700" s="1921" t="s">
        <v>495</v>
      </c>
      <c r="O700" s="1106">
        <v>2.0403480007099999</v>
      </c>
      <c r="P700" s="1921" t="s">
        <v>495</v>
      </c>
      <c r="Q700" s="1106">
        <v>3.4732480007099999</v>
      </c>
      <c r="R700" s="1921" t="s">
        <v>495</v>
      </c>
      <c r="S700" s="1146">
        <v>0</v>
      </c>
      <c r="T700" s="1648"/>
      <c r="U700" s="1146">
        <v>1367732</v>
      </c>
      <c r="V700" s="1648"/>
      <c r="W700" s="1146">
        <v>1947553</v>
      </c>
      <c r="X700" s="1648"/>
      <c r="Y700" s="1146">
        <v>3315285</v>
      </c>
      <c r="Z700" s="2114">
        <f>C700-'Blocking-Step2'!C700</f>
        <v>0</v>
      </c>
      <c r="AA700" s="2114">
        <f>D700-'Blocking-Step2'!D700</f>
        <v>0</v>
      </c>
      <c r="AC700" s="2114">
        <f>F700-'Blocking-Step2'!F700</f>
        <v>0</v>
      </c>
      <c r="AE700" s="2114">
        <f>H700-'Blocking-Step2'!H700</f>
        <v>0</v>
      </c>
      <c r="AF700" s="2114">
        <f>I700-'Blocking-Step2'!I700</f>
        <v>0</v>
      </c>
      <c r="AH700" s="2136">
        <f>K700-'Blocking-Step2'!K700</f>
        <v>0</v>
      </c>
      <c r="AJ700" s="2136">
        <f>M700-'Blocking-Step2'!M700</f>
        <v>0</v>
      </c>
      <c r="AL700" s="2136">
        <f>O700-'Blocking-Step2'!O700</f>
        <v>0</v>
      </c>
      <c r="AN700" s="2137">
        <f>Q700-'Blocking-Step2'!Q700</f>
        <v>0</v>
      </c>
      <c r="AP700" s="2127">
        <f>S700-'Blocking-Step2'!S700</f>
        <v>0</v>
      </c>
      <c r="AR700" s="2127">
        <f>U700-'Blocking-Step2'!U700</f>
        <v>0</v>
      </c>
      <c r="AT700" s="2127">
        <f>W700-'Blocking-Step2'!W700</f>
        <v>0</v>
      </c>
      <c r="AV700" s="2128">
        <f>Y700-'Blocking-Step2'!Y700</f>
        <v>0</v>
      </c>
    </row>
    <row r="701" spans="1:48" ht="16.5" hidden="1" thickTop="1">
      <c r="A701" s="1116" t="s">
        <v>196</v>
      </c>
      <c r="C701" s="1105">
        <v>125353.22640218861</v>
      </c>
      <c r="D701" s="1105">
        <v>150551</v>
      </c>
      <c r="F701" s="1142">
        <v>14.62</v>
      </c>
      <c r="G701" s="617"/>
      <c r="H701" s="1146">
        <v>1832664</v>
      </c>
      <c r="I701" s="1146">
        <v>2201056</v>
      </c>
      <c r="K701" s="1142"/>
      <c r="L701" s="617"/>
      <c r="M701" s="1142"/>
      <c r="N701" s="617"/>
      <c r="O701" s="1142"/>
      <c r="P701" s="617"/>
      <c r="Q701" s="1142"/>
      <c r="R701" s="617"/>
      <c r="S701" s="1146"/>
      <c r="T701" s="1629"/>
      <c r="U701" s="1146"/>
      <c r="V701" s="1629"/>
      <c r="W701" s="1146"/>
      <c r="X701" s="1114"/>
      <c r="Y701" s="1146"/>
      <c r="Z701" s="2114">
        <f>C701-'Blocking-Step2'!C701</f>
        <v>0</v>
      </c>
      <c r="AA701" s="2114">
        <f>D701-'Blocking-Step2'!D701</f>
        <v>0</v>
      </c>
      <c r="AC701" s="2114">
        <f>F701-'Blocking-Step2'!F701</f>
        <v>0</v>
      </c>
      <c r="AE701" s="2114">
        <f>H701-'Blocking-Step2'!H701</f>
        <v>0</v>
      </c>
      <c r="AF701" s="2114">
        <f>I701-'Blocking-Step2'!I701</f>
        <v>0</v>
      </c>
      <c r="AH701" s="2136">
        <f>K701-'Blocking-Step2'!K701</f>
        <v>0</v>
      </c>
      <c r="AJ701" s="2136">
        <f>M701-'Blocking-Step2'!M701</f>
        <v>0</v>
      </c>
      <c r="AL701" s="2136">
        <f>O701-'Blocking-Step2'!O701</f>
        <v>0</v>
      </c>
      <c r="AN701" s="2137">
        <f>Q701-'Blocking-Step2'!Q701</f>
        <v>0</v>
      </c>
      <c r="AP701" s="2127">
        <f>S701-'Blocking-Step2'!S701</f>
        <v>0</v>
      </c>
      <c r="AR701" s="2127">
        <f>U701-'Blocking-Step2'!U701</f>
        <v>0</v>
      </c>
      <c r="AT701" s="2127">
        <f>W701-'Blocking-Step2'!W701</f>
        <v>0</v>
      </c>
      <c r="AV701" s="2128">
        <f>Y701-'Blocking-Step2'!Y701</f>
        <v>0</v>
      </c>
    </row>
    <row r="702" spans="1:48" ht="16.5" hidden="1" thickTop="1">
      <c r="A702" s="1116" t="s">
        <v>161</v>
      </c>
      <c r="C702" s="1105">
        <v>174326.6159486706</v>
      </c>
      <c r="D702" s="1105">
        <v>209369</v>
      </c>
      <c r="F702" s="1142">
        <v>10.91</v>
      </c>
      <c r="G702" s="617"/>
      <c r="H702" s="1146">
        <v>1901903</v>
      </c>
      <c r="I702" s="1146">
        <v>2284216</v>
      </c>
      <c r="K702" s="1142"/>
      <c r="L702" s="617"/>
      <c r="M702" s="1142"/>
      <c r="N702" s="617"/>
      <c r="O702" s="1142"/>
      <c r="P702" s="617"/>
      <c r="Q702" s="1142"/>
      <c r="R702" s="617"/>
      <c r="S702" s="1146"/>
      <c r="T702" s="1629"/>
      <c r="U702" s="1146"/>
      <c r="V702" s="1629"/>
      <c r="W702" s="1146"/>
      <c r="X702" s="1114"/>
      <c r="Y702" s="1146"/>
      <c r="Z702" s="2114">
        <f>C702-'Blocking-Step2'!C702</f>
        <v>0</v>
      </c>
      <c r="AA702" s="2114">
        <f>D702-'Blocking-Step2'!D702</f>
        <v>0</v>
      </c>
      <c r="AC702" s="2114">
        <f>F702-'Blocking-Step2'!F702</f>
        <v>0</v>
      </c>
      <c r="AE702" s="2114">
        <f>H702-'Blocking-Step2'!H702</f>
        <v>0</v>
      </c>
      <c r="AF702" s="2114">
        <f>I702-'Blocking-Step2'!I702</f>
        <v>0</v>
      </c>
      <c r="AH702" s="2136">
        <f>K702-'Blocking-Step2'!K702</f>
        <v>0</v>
      </c>
      <c r="AJ702" s="2136">
        <f>M702-'Blocking-Step2'!M702</f>
        <v>0</v>
      </c>
      <c r="AL702" s="2136">
        <f>O702-'Blocking-Step2'!O702</f>
        <v>0</v>
      </c>
      <c r="AN702" s="2137">
        <f>Q702-'Blocking-Step2'!Q702</f>
        <v>0</v>
      </c>
      <c r="AP702" s="2127">
        <f>S702-'Blocking-Step2'!S702</f>
        <v>0</v>
      </c>
      <c r="AR702" s="2127">
        <f>U702-'Blocking-Step2'!U702</f>
        <v>0</v>
      </c>
      <c r="AT702" s="2127">
        <f>W702-'Blocking-Step2'!W702</f>
        <v>0</v>
      </c>
      <c r="AV702" s="2128">
        <f>Y702-'Blocking-Step2'!Y702</f>
        <v>0</v>
      </c>
    </row>
    <row r="703" spans="1:48" ht="16.5" hidden="1" thickTop="1">
      <c r="A703" s="1116" t="s">
        <v>261</v>
      </c>
      <c r="C703" s="1105">
        <v>24132</v>
      </c>
      <c r="D703" s="1105">
        <v>28983</v>
      </c>
      <c r="F703" s="1142">
        <v>-0.96</v>
      </c>
      <c r="G703" s="617"/>
      <c r="H703" s="1146">
        <v>-23167</v>
      </c>
      <c r="I703" s="1146">
        <v>-27824</v>
      </c>
      <c r="K703" s="1142">
        <v>-0.96</v>
      </c>
      <c r="L703" s="617"/>
      <c r="M703" s="1142">
        <v>0</v>
      </c>
      <c r="N703" s="617"/>
      <c r="O703" s="1142">
        <v>0</v>
      </c>
      <c r="P703" s="617"/>
      <c r="Q703" s="1142">
        <v>-0.96</v>
      </c>
      <c r="R703" s="617"/>
      <c r="S703" s="1146">
        <v>-27824</v>
      </c>
      <c r="T703" s="1629"/>
      <c r="U703" s="1146">
        <v>0</v>
      </c>
      <c r="V703" s="1629"/>
      <c r="W703" s="1146">
        <v>0</v>
      </c>
      <c r="X703" s="1114"/>
      <c r="Y703" s="1146">
        <v>-27824</v>
      </c>
      <c r="Z703" s="2114">
        <f>C703-'Blocking-Step2'!C703</f>
        <v>0</v>
      </c>
      <c r="AA703" s="2114">
        <f>D703-'Blocking-Step2'!D703</f>
        <v>0</v>
      </c>
      <c r="AC703" s="2114">
        <f>F703-'Blocking-Step2'!F703</f>
        <v>0</v>
      </c>
      <c r="AE703" s="2114">
        <f>H703-'Blocking-Step2'!H703</f>
        <v>0</v>
      </c>
      <c r="AF703" s="2114">
        <f>I703-'Blocking-Step2'!I703</f>
        <v>0</v>
      </c>
      <c r="AH703" s="2136">
        <f>K703-'Blocking-Step2'!K703</f>
        <v>0</v>
      </c>
      <c r="AJ703" s="2136">
        <f>M703-'Blocking-Step2'!M703</f>
        <v>0</v>
      </c>
      <c r="AL703" s="2136">
        <f>O703-'Blocking-Step2'!O703</f>
        <v>0</v>
      </c>
      <c r="AN703" s="2137">
        <f>Q703-'Blocking-Step2'!Q703</f>
        <v>0</v>
      </c>
      <c r="AP703" s="2127">
        <f>S703-'Blocking-Step2'!S703</f>
        <v>0</v>
      </c>
      <c r="AR703" s="2127">
        <f>U703-'Blocking-Step2'!U703</f>
        <v>0</v>
      </c>
      <c r="AT703" s="2127">
        <f>W703-'Blocking-Step2'!W703</f>
        <v>0</v>
      </c>
      <c r="AV703" s="2128">
        <f>Y703-'Blocking-Step2'!Y703</f>
        <v>0</v>
      </c>
    </row>
    <row r="704" spans="1:48" ht="16.5" hidden="1" thickTop="1">
      <c r="A704" s="1116" t="s">
        <v>1362</v>
      </c>
      <c r="C704" s="1105">
        <v>50979480.334788077</v>
      </c>
      <c r="D704" s="1105">
        <v>66094782.034597188</v>
      </c>
      <c r="F704" s="1106">
        <v>3.8127</v>
      </c>
      <c r="G704" s="1921" t="s">
        <v>495</v>
      </c>
      <c r="H704" s="1146">
        <v>1943695</v>
      </c>
      <c r="I704" s="1146">
        <v>2519996</v>
      </c>
      <c r="K704" s="1106"/>
      <c r="L704" s="1921"/>
      <c r="M704" s="1106"/>
      <c r="N704" s="1921"/>
      <c r="O704" s="1106"/>
      <c r="P704" s="1921"/>
      <c r="Q704" s="1106"/>
      <c r="R704" s="1921"/>
      <c r="S704" s="1146"/>
      <c r="T704" s="1648"/>
      <c r="U704" s="1146"/>
      <c r="V704" s="1648"/>
      <c r="W704" s="1146"/>
      <c r="X704" s="1648"/>
      <c r="Y704" s="1146"/>
      <c r="Z704" s="2114">
        <f>C704-'Blocking-Step2'!C704</f>
        <v>0</v>
      </c>
      <c r="AA704" s="2114">
        <f>D704-'Blocking-Step2'!D704</f>
        <v>0</v>
      </c>
      <c r="AC704" s="2114">
        <f>F704-'Blocking-Step2'!F704</f>
        <v>0</v>
      </c>
      <c r="AE704" s="2114">
        <f>H704-'Blocking-Step2'!H704</f>
        <v>0</v>
      </c>
      <c r="AF704" s="2114">
        <f>I704-'Blocking-Step2'!I704</f>
        <v>0</v>
      </c>
      <c r="AH704" s="2136">
        <f>K704-'Blocking-Step2'!K704</f>
        <v>0</v>
      </c>
      <c r="AJ704" s="2136">
        <f>M704-'Blocking-Step2'!M704</f>
        <v>0</v>
      </c>
      <c r="AL704" s="2136">
        <f>O704-'Blocking-Step2'!O704</f>
        <v>0</v>
      </c>
      <c r="AN704" s="2137">
        <f>Q704-'Blocking-Step2'!Q704</f>
        <v>0</v>
      </c>
      <c r="AP704" s="2127">
        <f>S704-'Blocking-Step2'!S704</f>
        <v>0</v>
      </c>
      <c r="AR704" s="2127">
        <f>U704-'Blocking-Step2'!U704</f>
        <v>0</v>
      </c>
      <c r="AT704" s="2127">
        <f>W704-'Blocking-Step2'!W704</f>
        <v>0</v>
      </c>
      <c r="AV704" s="2128">
        <f>Y704-'Blocking-Step2'!Y704</f>
        <v>0</v>
      </c>
    </row>
    <row r="705" spans="1:48" ht="16.5" hidden="1" thickTop="1">
      <c r="A705" s="1116" t="s">
        <v>1363</v>
      </c>
      <c r="C705" s="1105">
        <v>75234791.5514431</v>
      </c>
      <c r="D705" s="1105">
        <v>86350445</v>
      </c>
      <c r="F705" s="1106">
        <v>3.5143</v>
      </c>
      <c r="G705" s="1921" t="s">
        <v>495</v>
      </c>
      <c r="H705" s="1146">
        <v>2643976</v>
      </c>
      <c r="I705" s="1146">
        <v>3034614</v>
      </c>
      <c r="K705" s="1106"/>
      <c r="L705" s="1921"/>
      <c r="M705" s="1106"/>
      <c r="N705" s="1921"/>
      <c r="O705" s="1106"/>
      <c r="P705" s="1921"/>
      <c r="Q705" s="1106"/>
      <c r="R705" s="1921"/>
      <c r="S705" s="1146"/>
      <c r="T705" s="1648"/>
      <c r="U705" s="1146"/>
      <c r="V705" s="1648"/>
      <c r="W705" s="1146"/>
      <c r="X705" s="1648"/>
      <c r="Y705" s="1146"/>
      <c r="Z705" s="2114">
        <f>C705-'Blocking-Step2'!C705</f>
        <v>0</v>
      </c>
      <c r="AA705" s="2114">
        <f>D705-'Blocking-Step2'!D705</f>
        <v>0</v>
      </c>
      <c r="AC705" s="2114">
        <f>F705-'Blocking-Step2'!F705</f>
        <v>0</v>
      </c>
      <c r="AE705" s="2114">
        <f>H705-'Blocking-Step2'!H705</f>
        <v>0</v>
      </c>
      <c r="AF705" s="2114">
        <f>I705-'Blocking-Step2'!I705</f>
        <v>0</v>
      </c>
      <c r="AH705" s="2136">
        <f>K705-'Blocking-Step2'!K705</f>
        <v>0</v>
      </c>
      <c r="AJ705" s="2136">
        <f>M705-'Blocking-Step2'!M705</f>
        <v>0</v>
      </c>
      <c r="AL705" s="2136">
        <f>O705-'Blocking-Step2'!O705</f>
        <v>0</v>
      </c>
      <c r="AN705" s="2137">
        <f>Q705-'Blocking-Step2'!Q705</f>
        <v>0</v>
      </c>
      <c r="AP705" s="2127">
        <f>S705-'Blocking-Step2'!S705</f>
        <v>0</v>
      </c>
      <c r="AR705" s="2127">
        <f>U705-'Blocking-Step2'!U705</f>
        <v>0</v>
      </c>
      <c r="AT705" s="2127">
        <f>W705-'Blocking-Step2'!W705</f>
        <v>0</v>
      </c>
      <c r="AV705" s="2128">
        <f>Y705-'Blocking-Step2'!Y705</f>
        <v>0</v>
      </c>
    </row>
    <row r="706" spans="1:48" ht="16.5" hidden="1" thickTop="1">
      <c r="A706" s="1116" t="s">
        <v>1158</v>
      </c>
      <c r="C706" s="1105">
        <v>0</v>
      </c>
      <c r="D706" s="1105">
        <v>0</v>
      </c>
      <c r="F706" s="1106">
        <v>7.125</v>
      </c>
      <c r="G706" s="1921" t="s">
        <v>495</v>
      </c>
      <c r="H706" s="1146">
        <v>0</v>
      </c>
      <c r="I706" s="1146">
        <v>0</v>
      </c>
      <c r="K706" s="1106">
        <v>0</v>
      </c>
      <c r="L706" s="1921" t="s">
        <v>495</v>
      </c>
      <c r="M706" s="1106">
        <v>7.125</v>
      </c>
      <c r="N706" s="1921" t="s">
        <v>495</v>
      </c>
      <c r="O706" s="1106">
        <v>0</v>
      </c>
      <c r="P706" s="1921" t="s">
        <v>495</v>
      </c>
      <c r="Q706" s="1106">
        <v>7.125</v>
      </c>
      <c r="R706" s="1921" t="s">
        <v>495</v>
      </c>
      <c r="S706" s="1146">
        <v>0</v>
      </c>
      <c r="T706" s="1648"/>
      <c r="U706" s="1146">
        <v>0</v>
      </c>
      <c r="V706" s="1648"/>
      <c r="W706" s="1146">
        <v>0</v>
      </c>
      <c r="X706" s="1648"/>
      <c r="Y706" s="1146">
        <v>0</v>
      </c>
      <c r="Z706" s="2114">
        <f>C706-'Blocking-Step2'!C706</f>
        <v>0</v>
      </c>
      <c r="AA706" s="2114">
        <f>D706-'Blocking-Step2'!D706</f>
        <v>0</v>
      </c>
      <c r="AC706" s="2114">
        <f>F706-'Blocking-Step2'!F706</f>
        <v>0</v>
      </c>
      <c r="AE706" s="2114">
        <f>H706-'Blocking-Step2'!H706</f>
        <v>0</v>
      </c>
      <c r="AF706" s="2114">
        <f>I706-'Blocking-Step2'!I706</f>
        <v>0</v>
      </c>
      <c r="AH706" s="2136">
        <f>K706-'Blocking-Step2'!K706</f>
        <v>0</v>
      </c>
      <c r="AJ706" s="2136">
        <f>M706-'Blocking-Step2'!M706</f>
        <v>0</v>
      </c>
      <c r="AL706" s="2136">
        <f>O706-'Blocking-Step2'!O706</f>
        <v>0</v>
      </c>
      <c r="AN706" s="2137">
        <f>Q706-'Blocking-Step2'!Q706</f>
        <v>0</v>
      </c>
      <c r="AP706" s="2127">
        <f>S706-'Blocking-Step2'!S706</f>
        <v>0</v>
      </c>
      <c r="AR706" s="2127">
        <f>U706-'Blocking-Step2'!U706</f>
        <v>0</v>
      </c>
      <c r="AT706" s="2127">
        <f>W706-'Blocking-Step2'!W706</f>
        <v>0</v>
      </c>
      <c r="AV706" s="2128">
        <f>Y706-'Blocking-Step2'!Y706</f>
        <v>0</v>
      </c>
    </row>
    <row r="707" spans="1:48" ht="16.5" hidden="1" thickTop="1">
      <c r="A707" s="1116" t="s">
        <v>246</v>
      </c>
      <c r="C707" s="1940">
        <v>716029</v>
      </c>
      <c r="D707" s="1940">
        <v>0</v>
      </c>
      <c r="H707" s="1147">
        <v>57893</v>
      </c>
      <c r="I707" s="1147">
        <v>0</v>
      </c>
      <c r="Y707" s="1147">
        <v>0</v>
      </c>
      <c r="Z707" s="2114">
        <f>C707-'Blocking-Step2'!C707</f>
        <v>0</v>
      </c>
      <c r="AA707" s="2114">
        <f>D707-'Blocking-Step2'!D707</f>
        <v>0</v>
      </c>
      <c r="AC707" s="2114">
        <f>F707-'Blocking-Step2'!F707</f>
        <v>0</v>
      </c>
      <c r="AE707" s="2114">
        <f>H707-'Blocking-Step2'!H707</f>
        <v>0</v>
      </c>
      <c r="AF707" s="2114">
        <f>I707-'Blocking-Step2'!I707</f>
        <v>0</v>
      </c>
      <c r="AH707" s="2136">
        <f>K707-'Blocking-Step2'!K707</f>
        <v>0</v>
      </c>
      <c r="AJ707" s="2136">
        <f>M707-'Blocking-Step2'!M707</f>
        <v>0</v>
      </c>
      <c r="AL707" s="2136">
        <f>O707-'Blocking-Step2'!O707</f>
        <v>0</v>
      </c>
      <c r="AN707" s="2137">
        <f>Q707-'Blocking-Step2'!Q707</f>
        <v>0</v>
      </c>
      <c r="AP707" s="2127">
        <f>S707-'Blocking-Step2'!S707</f>
        <v>0</v>
      </c>
      <c r="AR707" s="2127">
        <f>U707-'Blocking-Step2'!U707</f>
        <v>0</v>
      </c>
      <c r="AT707" s="2127">
        <f>W707-'Blocking-Step2'!W707</f>
        <v>0</v>
      </c>
      <c r="AV707" s="2128">
        <f>Y707-'Blocking-Step2'!Y707</f>
        <v>0</v>
      </c>
    </row>
    <row r="708" spans="1:48" ht="16.5" hidden="1" thickTop="1">
      <c r="A708" s="1116" t="s">
        <v>1240</v>
      </c>
      <c r="C708" s="1024"/>
      <c r="D708" s="1024"/>
      <c r="F708" s="2076">
        <v>-3.61E-2</v>
      </c>
      <c r="G708" s="617"/>
      <c r="H708" s="1146">
        <v>-300432.79180000001</v>
      </c>
      <c r="I708" s="1146">
        <v>-362439.7402</v>
      </c>
      <c r="K708" s="2076"/>
      <c r="L708" s="617"/>
      <c r="M708" s="2076"/>
      <c r="N708" s="617"/>
      <c r="O708" s="2077" t="s">
        <v>2323</v>
      </c>
      <c r="P708" s="617"/>
      <c r="Q708" s="2076">
        <v>-2.76E-2</v>
      </c>
      <c r="R708" s="617"/>
      <c r="S708" s="1114"/>
      <c r="T708" s="1114"/>
      <c r="U708" s="1114"/>
      <c r="V708" s="1114"/>
      <c r="W708" s="1114"/>
      <c r="X708" s="1114"/>
      <c r="Y708" s="1146">
        <v>-276323.22359999997</v>
      </c>
      <c r="Z708" s="2114">
        <f>C708-'Blocking-Step2'!C708</f>
        <v>0</v>
      </c>
      <c r="AA708" s="2114">
        <f>D708-'Blocking-Step2'!D708</f>
        <v>0</v>
      </c>
      <c r="AC708" s="2114">
        <f>F708-'Blocking-Step2'!F708</f>
        <v>0</v>
      </c>
      <c r="AE708" s="2114">
        <f>H708-'Blocking-Step2'!H708</f>
        <v>0</v>
      </c>
      <c r="AF708" s="2114">
        <f>I708-'Blocking-Step2'!I708</f>
        <v>0</v>
      </c>
      <c r="AH708" s="2136">
        <f>K708-'Blocking-Step2'!K708</f>
        <v>0</v>
      </c>
      <c r="AJ708" s="2136">
        <f>M708-'Blocking-Step2'!M708</f>
        <v>0</v>
      </c>
      <c r="AL708" s="2136" t="e">
        <f>O708-'Blocking-Step2'!O708</f>
        <v>#VALUE!</v>
      </c>
      <c r="AN708" s="2137">
        <f>Q708-'Blocking-Step2'!Q708</f>
        <v>0</v>
      </c>
      <c r="AP708" s="2127">
        <f>S708-'Blocking-Step2'!S708</f>
        <v>0</v>
      </c>
      <c r="AR708" s="2127">
        <f>U708-'Blocking-Step2'!U708</f>
        <v>0</v>
      </c>
      <c r="AT708" s="2127">
        <f>W708-'Blocking-Step2'!W708</f>
        <v>0</v>
      </c>
      <c r="AV708" s="2128">
        <f>Y708-'Blocking-Step2'!Y708</f>
        <v>0</v>
      </c>
    </row>
    <row r="709" spans="1:48" ht="16.5" hidden="1" thickTop="1">
      <c r="A709" s="1116"/>
      <c r="C709" s="1024"/>
      <c r="D709" s="1024"/>
      <c r="F709" s="2076"/>
      <c r="G709" s="617"/>
      <c r="H709" s="1146"/>
      <c r="I709" s="1146"/>
      <c r="K709" s="2076"/>
      <c r="L709" s="617"/>
      <c r="M709" s="2076"/>
      <c r="N709" s="617"/>
      <c r="O709" s="2077" t="s">
        <v>2324</v>
      </c>
      <c r="P709" s="617"/>
      <c r="Q709" s="2076">
        <v>-1.4999999999999999E-2</v>
      </c>
      <c r="R709" s="617"/>
      <c r="S709" s="1114"/>
      <c r="T709" s="1114"/>
      <c r="U709" s="1114"/>
      <c r="V709" s="1114"/>
      <c r="W709" s="1114"/>
      <c r="X709" s="1114"/>
      <c r="Y709" s="1146">
        <v>-150175.66500000001</v>
      </c>
      <c r="Z709" s="2114">
        <f>C709-'Blocking-Step2'!C709</f>
        <v>0</v>
      </c>
      <c r="AA709" s="2114">
        <f>D709-'Blocking-Step2'!D709</f>
        <v>0</v>
      </c>
      <c r="AC709" s="2114">
        <f>F709-'Blocking-Step2'!F709</f>
        <v>0</v>
      </c>
      <c r="AE709" s="2114">
        <f>H709-'Blocking-Step2'!H709</f>
        <v>0</v>
      </c>
      <c r="AF709" s="2114">
        <f>I709-'Blocking-Step2'!I709</f>
        <v>0</v>
      </c>
      <c r="AH709" s="2136">
        <f>K709-'Blocking-Step2'!K709</f>
        <v>0</v>
      </c>
      <c r="AJ709" s="2136">
        <f>M709-'Blocking-Step2'!M709</f>
        <v>0</v>
      </c>
      <c r="AL709" s="2136" t="e">
        <f>O709-'Blocking-Step2'!O709</f>
        <v>#VALUE!</v>
      </c>
      <c r="AN709" s="2137">
        <f>Q709-'Blocking-Step2'!Q709</f>
        <v>0</v>
      </c>
      <c r="AP709" s="2127">
        <f>S709-'Blocking-Step2'!S709</f>
        <v>0</v>
      </c>
      <c r="AR709" s="2127">
        <f>U709-'Blocking-Step2'!U709</f>
        <v>0</v>
      </c>
      <c r="AT709" s="2127">
        <f>W709-'Blocking-Step2'!W709</f>
        <v>0</v>
      </c>
      <c r="AV709" s="2128">
        <f>Y709-'Blocking-Step2'!Y709</f>
        <v>0</v>
      </c>
    </row>
    <row r="710" spans="1:48" ht="16.5" hidden="1" thickTop="1">
      <c r="A710" s="1116" t="s">
        <v>1317</v>
      </c>
      <c r="C710" s="1024">
        <v>0</v>
      </c>
      <c r="D710" s="1105">
        <v>0</v>
      </c>
      <c r="F710" s="2076"/>
      <c r="G710" s="617"/>
      <c r="H710" s="1146"/>
      <c r="I710" s="1146"/>
      <c r="K710" s="2076"/>
      <c r="L710" s="617"/>
      <c r="M710" s="2076"/>
      <c r="N710" s="617"/>
      <c r="O710" s="2076"/>
      <c r="P710" s="617"/>
      <c r="Q710" s="2076"/>
      <c r="R710" s="617"/>
      <c r="S710" s="1114"/>
      <c r="T710" s="1114"/>
      <c r="U710" s="1114"/>
      <c r="V710" s="1114"/>
      <c r="W710" s="1114"/>
      <c r="X710" s="1114"/>
      <c r="Y710" s="1146"/>
      <c r="Z710" s="2114">
        <f>C710-'Blocking-Step2'!C710</f>
        <v>0</v>
      </c>
      <c r="AA710" s="2114">
        <f>D710-'Blocking-Step2'!D710</f>
        <v>0</v>
      </c>
      <c r="AC710" s="2114">
        <f>F710-'Blocking-Step2'!F710</f>
        <v>0</v>
      </c>
      <c r="AE710" s="2114">
        <f>H710-'Blocking-Step2'!H710</f>
        <v>0</v>
      </c>
      <c r="AF710" s="2114">
        <f>I710-'Blocking-Step2'!I710</f>
        <v>0</v>
      </c>
      <c r="AH710" s="2136">
        <f>K710-'Blocking-Step2'!K710</f>
        <v>0</v>
      </c>
      <c r="AJ710" s="2136">
        <f>M710-'Blocking-Step2'!M710</f>
        <v>0</v>
      </c>
      <c r="AL710" s="2136">
        <f>O710-'Blocking-Step2'!O710</f>
        <v>0</v>
      </c>
      <c r="AN710" s="2137">
        <f>Q710-'Blocking-Step2'!Q710</f>
        <v>0</v>
      </c>
      <c r="AP710" s="2127">
        <f>S710-'Blocking-Step2'!S710</f>
        <v>0</v>
      </c>
      <c r="AR710" s="2127">
        <f>U710-'Blocking-Step2'!U710</f>
        <v>0</v>
      </c>
      <c r="AT710" s="2127">
        <f>W710-'Blocking-Step2'!W710</f>
        <v>0</v>
      </c>
      <c r="AV710" s="2128">
        <f>Y710-'Blocking-Step2'!Y710</f>
        <v>0</v>
      </c>
    </row>
    <row r="711" spans="1:48" ht="17.25" hidden="1" thickTop="1" thickBot="1">
      <c r="A711" s="1116" t="s">
        <v>247</v>
      </c>
      <c r="C711" s="1138">
        <v>126930300.88623118</v>
      </c>
      <c r="D711" s="1138">
        <v>152445227.03459719</v>
      </c>
      <c r="F711" s="1145"/>
      <c r="H711" s="1149">
        <v>9460722.2082000002</v>
      </c>
      <c r="I711" s="1149">
        <v>11307815.2598</v>
      </c>
      <c r="K711" s="1145"/>
      <c r="M711" s="1145"/>
      <c r="O711" s="1145"/>
      <c r="Q711" s="1145"/>
      <c r="S711" s="1149">
        <v>1796176</v>
      </c>
      <c r="U711" s="1149">
        <v>6580736</v>
      </c>
      <c r="W711" s="1149">
        <v>3261572</v>
      </c>
      <c r="Y711" s="1149">
        <v>11638485</v>
      </c>
      <c r="Z711" s="2114">
        <f>C711-'Blocking-Step2'!C711</f>
        <v>0</v>
      </c>
      <c r="AA711" s="2114">
        <f>D711-'Blocking-Step2'!D711</f>
        <v>0</v>
      </c>
      <c r="AC711" s="2114">
        <f>F711-'Blocking-Step2'!F711</f>
        <v>0</v>
      </c>
      <c r="AE711" s="2114">
        <f>H711-'Blocking-Step2'!H711</f>
        <v>0</v>
      </c>
      <c r="AF711" s="2114">
        <f>I711-'Blocking-Step2'!I711</f>
        <v>0</v>
      </c>
      <c r="AH711" s="2136">
        <f>K711-'Blocking-Step2'!K711</f>
        <v>0</v>
      </c>
      <c r="AJ711" s="2136">
        <f>M711-'Blocking-Step2'!M711</f>
        <v>0</v>
      </c>
      <c r="AL711" s="2136">
        <f>O711-'Blocking-Step2'!O711</f>
        <v>0</v>
      </c>
      <c r="AN711" s="2137">
        <f>Q711-'Blocking-Step2'!Q711</f>
        <v>0</v>
      </c>
      <c r="AP711" s="2127">
        <f>S711-'Blocking-Step2'!S711</f>
        <v>-1940251</v>
      </c>
      <c r="AR711" s="2127">
        <f>U711-'Blocking-Step2'!U711</f>
        <v>1940250</v>
      </c>
      <c r="AT711" s="2127">
        <f>W711-'Blocking-Step2'!W711</f>
        <v>0</v>
      </c>
      <c r="AV711" s="2128">
        <f>Y711-'Blocking-Step2'!Y711</f>
        <v>0</v>
      </c>
    </row>
    <row r="712" spans="1:48" ht="16.5" hidden="1" thickTop="1">
      <c r="Z712" s="2114">
        <f>C712-'Blocking-Step2'!C712</f>
        <v>0</v>
      </c>
      <c r="AA712" s="2114">
        <f>D712-'Blocking-Step2'!D712</f>
        <v>0</v>
      </c>
      <c r="AC712" s="2114">
        <f>F712-'Blocking-Step2'!F712</f>
        <v>0</v>
      </c>
      <c r="AE712" s="2114">
        <f>H712-'Blocking-Step2'!H712</f>
        <v>0</v>
      </c>
      <c r="AF712" s="2114">
        <f>I712-'Blocking-Step2'!I712</f>
        <v>0</v>
      </c>
      <c r="AH712" s="2136">
        <f>K712-'Blocking-Step2'!K712</f>
        <v>0</v>
      </c>
      <c r="AJ712" s="2136">
        <f>M712-'Blocking-Step2'!M712</f>
        <v>0</v>
      </c>
      <c r="AL712" s="2136">
        <f>O712-'Blocking-Step2'!O712</f>
        <v>0</v>
      </c>
      <c r="AN712" s="2137">
        <f>Q712-'Blocking-Step2'!Q712</f>
        <v>0</v>
      </c>
      <c r="AP712" s="2127">
        <f>S712-'Blocking-Step2'!S712</f>
        <v>0</v>
      </c>
      <c r="AR712" s="2127">
        <f>U712-'Blocking-Step2'!U712</f>
        <v>0</v>
      </c>
      <c r="AT712" s="2127">
        <f>W712-'Blocking-Step2'!W712</f>
        <v>0</v>
      </c>
      <c r="AV712" s="2128">
        <f>Y712-'Blocking-Step2'!Y712</f>
        <v>0</v>
      </c>
    </row>
    <row r="713" spans="1:48" ht="16.5" hidden="1" thickTop="1">
      <c r="A713" s="1115" t="s">
        <v>551</v>
      </c>
      <c r="C713" s="1105"/>
      <c r="D713" s="1105"/>
      <c r="Z713" s="2114">
        <f>C713-'Blocking-Step2'!C713</f>
        <v>0</v>
      </c>
      <c r="AA713" s="2114">
        <f>D713-'Blocking-Step2'!D713</f>
        <v>0</v>
      </c>
      <c r="AC713" s="2114">
        <f>F713-'Blocking-Step2'!F713</f>
        <v>0</v>
      </c>
      <c r="AE713" s="2114">
        <f>H713-'Blocking-Step2'!H713</f>
        <v>0</v>
      </c>
      <c r="AF713" s="2114">
        <f>I713-'Blocking-Step2'!I713</f>
        <v>0</v>
      </c>
      <c r="AH713" s="2136">
        <f>K713-'Blocking-Step2'!K713</f>
        <v>0</v>
      </c>
      <c r="AJ713" s="2136">
        <f>M713-'Blocking-Step2'!M713</f>
        <v>0</v>
      </c>
      <c r="AL713" s="2136">
        <f>O713-'Blocking-Step2'!O713</f>
        <v>0</v>
      </c>
      <c r="AN713" s="2137">
        <f>Q713-'Blocking-Step2'!Q713</f>
        <v>0</v>
      </c>
      <c r="AP713" s="2127">
        <f>S713-'Blocking-Step2'!S713</f>
        <v>0</v>
      </c>
      <c r="AR713" s="2127">
        <f>U713-'Blocking-Step2'!U713</f>
        <v>0</v>
      </c>
      <c r="AT713" s="2127">
        <f>W713-'Blocking-Step2'!W713</f>
        <v>0</v>
      </c>
      <c r="AV713" s="2128">
        <f>Y713-'Blocking-Step2'!Y713</f>
        <v>0</v>
      </c>
    </row>
    <row r="714" spans="1:48" ht="16.5" hidden="1" thickTop="1">
      <c r="A714" s="1116" t="s">
        <v>240</v>
      </c>
      <c r="C714" s="1105">
        <v>142578.73333333369</v>
      </c>
      <c r="D714" s="1105">
        <v>141468</v>
      </c>
      <c r="F714" s="1142">
        <v>54</v>
      </c>
      <c r="G714" s="617"/>
      <c r="H714" s="1146">
        <v>7699252</v>
      </c>
      <c r="I714" s="1146">
        <v>7639272</v>
      </c>
      <c r="K714" s="1142">
        <v>54</v>
      </c>
      <c r="L714" s="617"/>
      <c r="M714" s="1142">
        <v>0</v>
      </c>
      <c r="N714" s="617"/>
      <c r="O714" s="1142">
        <v>0</v>
      </c>
      <c r="P714" s="617"/>
      <c r="Q714" s="1142">
        <v>54</v>
      </c>
      <c r="R714" s="617"/>
      <c r="S714" s="1146">
        <v>7639272</v>
      </c>
      <c r="T714" s="1629"/>
      <c r="U714" s="1146">
        <v>0</v>
      </c>
      <c r="V714" s="1629"/>
      <c r="W714" s="1146">
        <v>0</v>
      </c>
      <c r="X714" s="1114"/>
      <c r="Y714" s="1146">
        <v>7639272</v>
      </c>
      <c r="Z714" s="2114">
        <f>C714-'Blocking-Step2'!C714</f>
        <v>0</v>
      </c>
      <c r="AA714" s="2114">
        <f>D714-'Blocking-Step2'!D714</f>
        <v>0</v>
      </c>
      <c r="AC714" s="2114">
        <f>F714-'Blocking-Step2'!F714</f>
        <v>0</v>
      </c>
      <c r="AE714" s="2114">
        <f>H714-'Blocking-Step2'!H714</f>
        <v>0</v>
      </c>
      <c r="AF714" s="2114">
        <f>I714-'Blocking-Step2'!I714</f>
        <v>0</v>
      </c>
      <c r="AH714" s="2136">
        <f>K714-'Blocking-Step2'!K714</f>
        <v>0</v>
      </c>
      <c r="AJ714" s="2136">
        <f>M714-'Blocking-Step2'!M714</f>
        <v>0</v>
      </c>
      <c r="AL714" s="2136">
        <f>O714-'Blocking-Step2'!O714</f>
        <v>0</v>
      </c>
      <c r="AN714" s="2137">
        <f>Q714-'Blocking-Step2'!Q714</f>
        <v>0</v>
      </c>
      <c r="AP714" s="2127">
        <f>S714-'Blocking-Step2'!S714</f>
        <v>0</v>
      </c>
      <c r="AR714" s="2127">
        <f>U714-'Blocking-Step2'!U714</f>
        <v>0</v>
      </c>
      <c r="AT714" s="2127">
        <f>W714-'Blocking-Step2'!W714</f>
        <v>0</v>
      </c>
      <c r="AV714" s="2128">
        <f>Y714-'Blocking-Step2'!Y714</f>
        <v>0</v>
      </c>
    </row>
    <row r="715" spans="1:48" ht="16.5" hidden="1" thickTop="1">
      <c r="A715" s="1116" t="s">
        <v>262</v>
      </c>
      <c r="C715" s="1024">
        <v>0</v>
      </c>
      <c r="D715" s="1105">
        <v>0</v>
      </c>
      <c r="F715" s="1142">
        <v>648</v>
      </c>
      <c r="G715" s="617"/>
      <c r="H715" s="1146">
        <v>0</v>
      </c>
      <c r="I715" s="1146">
        <v>0</v>
      </c>
      <c r="K715" s="1142">
        <v>648</v>
      </c>
      <c r="L715" s="617"/>
      <c r="M715" s="1142">
        <v>0</v>
      </c>
      <c r="N715" s="617"/>
      <c r="O715" s="1142">
        <v>0</v>
      </c>
      <c r="P715" s="617"/>
      <c r="Q715" s="1142">
        <v>648</v>
      </c>
      <c r="R715" s="617"/>
      <c r="S715" s="1146">
        <v>0</v>
      </c>
      <c r="T715" s="1629"/>
      <c r="U715" s="1146">
        <v>0</v>
      </c>
      <c r="V715" s="1629"/>
      <c r="W715" s="1146">
        <v>0</v>
      </c>
      <c r="X715" s="1114"/>
      <c r="Y715" s="1146">
        <v>0</v>
      </c>
      <c r="Z715" s="2114">
        <f>C715-'Blocking-Step2'!C715</f>
        <v>0</v>
      </c>
      <c r="AA715" s="2114">
        <f>D715-'Blocking-Step2'!D715</f>
        <v>0</v>
      </c>
      <c r="AC715" s="2114">
        <f>F715-'Blocking-Step2'!F715</f>
        <v>0</v>
      </c>
      <c r="AE715" s="2114">
        <f>H715-'Blocking-Step2'!H715</f>
        <v>0</v>
      </c>
      <c r="AF715" s="2114">
        <f>I715-'Blocking-Step2'!I715</f>
        <v>0</v>
      </c>
      <c r="AH715" s="2136">
        <f>K715-'Blocking-Step2'!K715</f>
        <v>0</v>
      </c>
      <c r="AJ715" s="2136">
        <f>M715-'Blocking-Step2'!M715</f>
        <v>0</v>
      </c>
      <c r="AL715" s="2136">
        <f>O715-'Blocking-Step2'!O715</f>
        <v>0</v>
      </c>
      <c r="AN715" s="2137">
        <f>Q715-'Blocking-Step2'!Q715</f>
        <v>0</v>
      </c>
      <c r="AP715" s="2127">
        <f>S715-'Blocking-Step2'!S715</f>
        <v>0</v>
      </c>
      <c r="AR715" s="2127">
        <f>U715-'Blocking-Step2'!U715</f>
        <v>0</v>
      </c>
      <c r="AT715" s="2127">
        <f>W715-'Blocking-Step2'!W715</f>
        <v>0</v>
      </c>
      <c r="AV715" s="2128">
        <f>Y715-'Blocking-Step2'!Y715</f>
        <v>0</v>
      </c>
    </row>
    <row r="716" spans="1:48" ht="16.5" hidden="1" thickTop="1">
      <c r="A716" s="1116" t="s">
        <v>1298</v>
      </c>
      <c r="C716" s="1105">
        <v>13.633333333333301</v>
      </c>
      <c r="D716" s="1105">
        <v>14</v>
      </c>
      <c r="F716" s="1142">
        <v>54</v>
      </c>
      <c r="G716" s="617"/>
      <c r="H716" s="1146">
        <v>736</v>
      </c>
      <c r="I716" s="1146">
        <v>756</v>
      </c>
      <c r="K716" s="1142">
        <v>54</v>
      </c>
      <c r="L716" s="617"/>
      <c r="M716" s="1142">
        <v>0</v>
      </c>
      <c r="N716" s="617"/>
      <c r="O716" s="1142">
        <v>0</v>
      </c>
      <c r="P716" s="617"/>
      <c r="Q716" s="1142">
        <v>54</v>
      </c>
      <c r="R716" s="617"/>
      <c r="S716" s="1146">
        <v>756</v>
      </c>
      <c r="T716" s="1114"/>
      <c r="U716" s="1146">
        <v>0</v>
      </c>
      <c r="V716" s="1114"/>
      <c r="W716" s="1146">
        <v>0</v>
      </c>
      <c r="X716" s="1114"/>
      <c r="Y716" s="1146">
        <v>756</v>
      </c>
      <c r="Z716" s="2114">
        <f>C716-'Blocking-Step2'!C716</f>
        <v>0</v>
      </c>
      <c r="AA716" s="2114">
        <f>D716-'Blocking-Step2'!D716</f>
        <v>0</v>
      </c>
      <c r="AC716" s="2114">
        <f>F716-'Blocking-Step2'!F716</f>
        <v>0</v>
      </c>
      <c r="AE716" s="2114">
        <f>H716-'Blocking-Step2'!H716</f>
        <v>0</v>
      </c>
      <c r="AF716" s="2114">
        <f>I716-'Blocking-Step2'!I716</f>
        <v>0</v>
      </c>
      <c r="AH716" s="2136">
        <f>K716-'Blocking-Step2'!K716</f>
        <v>0</v>
      </c>
      <c r="AJ716" s="2136">
        <f>M716-'Blocking-Step2'!M716</f>
        <v>0</v>
      </c>
      <c r="AL716" s="2136">
        <f>O716-'Blocking-Step2'!O716</f>
        <v>0</v>
      </c>
      <c r="AN716" s="2137">
        <f>Q716-'Blocking-Step2'!Q716</f>
        <v>0</v>
      </c>
      <c r="AP716" s="2127">
        <f>S716-'Blocking-Step2'!S716</f>
        <v>0</v>
      </c>
      <c r="AR716" s="2127">
        <f>U716-'Blocking-Step2'!U716</f>
        <v>0</v>
      </c>
      <c r="AT716" s="2127">
        <f>W716-'Blocking-Step2'!W716</f>
        <v>0</v>
      </c>
      <c r="AV716" s="2128">
        <f>Y716-'Blocking-Step2'!Y716</f>
        <v>0</v>
      </c>
    </row>
    <row r="717" spans="1:48" ht="16.5" hidden="1" thickTop="1">
      <c r="A717" s="1116" t="s">
        <v>168</v>
      </c>
      <c r="C717" s="1105">
        <v>14000970.475247549</v>
      </c>
      <c r="D717" s="1105">
        <v>13285763</v>
      </c>
      <c r="F717" s="1142">
        <v>4.04</v>
      </c>
      <c r="G717" s="617"/>
      <c r="H717" s="1146">
        <v>56563921</v>
      </c>
      <c r="I717" s="1146">
        <v>53674483</v>
      </c>
      <c r="K717" s="1142">
        <v>4.03</v>
      </c>
      <c r="L717" s="617"/>
      <c r="M717" s="1142">
        <v>0</v>
      </c>
      <c r="N717" s="617"/>
      <c r="O717" s="1142">
        <v>0</v>
      </c>
      <c r="P717" s="617"/>
      <c r="Q717" s="1142">
        <v>4.03</v>
      </c>
      <c r="R717" s="617"/>
      <c r="S717" s="1146">
        <v>53541625</v>
      </c>
      <c r="T717" s="1629"/>
      <c r="U717" s="1146">
        <v>0</v>
      </c>
      <c r="V717" s="1629"/>
      <c r="W717" s="1146">
        <v>0</v>
      </c>
      <c r="X717" s="1114"/>
      <c r="Y717" s="1146">
        <v>53541625</v>
      </c>
      <c r="Z717" s="2114">
        <f>C717-'Blocking-Step2'!C717</f>
        <v>0</v>
      </c>
      <c r="AA717" s="2114">
        <f>D717-'Blocking-Step2'!D717</f>
        <v>0</v>
      </c>
      <c r="AC717" s="2114">
        <f>F717-'Blocking-Step2'!F717</f>
        <v>0</v>
      </c>
      <c r="AE717" s="2114">
        <f>H717-'Blocking-Step2'!H717</f>
        <v>0</v>
      </c>
      <c r="AF717" s="2114">
        <f>I717-'Blocking-Step2'!I717</f>
        <v>0</v>
      </c>
      <c r="AH717" s="2136">
        <f>K717-'Blocking-Step2'!K717</f>
        <v>0</v>
      </c>
      <c r="AJ717" s="2136">
        <f>M717-'Blocking-Step2'!M717</f>
        <v>0</v>
      </c>
      <c r="AL717" s="2136">
        <f>O717-'Blocking-Step2'!O717</f>
        <v>0</v>
      </c>
      <c r="AN717" s="2137">
        <f>Q717-'Blocking-Step2'!Q717</f>
        <v>0</v>
      </c>
      <c r="AP717" s="2127">
        <f>S717-'Blocking-Step2'!S717</f>
        <v>0</v>
      </c>
      <c r="AR717" s="2127">
        <f>U717-'Blocking-Step2'!U717</f>
        <v>0</v>
      </c>
      <c r="AT717" s="2127">
        <f>W717-'Blocking-Step2'!W717</f>
        <v>0</v>
      </c>
      <c r="AV717" s="2128">
        <f>Y717-'Blocking-Step2'!Y717</f>
        <v>0</v>
      </c>
    </row>
    <row r="718" spans="1:48" ht="16.5" hidden="1" thickTop="1">
      <c r="A718" s="1116" t="s">
        <v>1645</v>
      </c>
      <c r="C718" s="1105">
        <v>6424044.8932969086</v>
      </c>
      <c r="D718" s="1105">
        <v>6095887</v>
      </c>
      <c r="F718" s="1142"/>
      <c r="G718" s="617"/>
      <c r="H718" s="1146"/>
      <c r="I718" s="1146"/>
      <c r="K718" s="1142">
        <v>0.51</v>
      </c>
      <c r="L718" s="617"/>
      <c r="M718" s="1142">
        <v>12.89</v>
      </c>
      <c r="N718" s="617"/>
      <c r="O718" s="1142">
        <v>0</v>
      </c>
      <c r="P718" s="617"/>
      <c r="Q718" s="1142">
        <v>13.4</v>
      </c>
      <c r="R718" s="617"/>
      <c r="S718" s="1146">
        <v>3108902</v>
      </c>
      <c r="T718" s="1114"/>
      <c r="U718" s="1146">
        <v>78575983</v>
      </c>
      <c r="V718" s="1114"/>
      <c r="W718" s="1146">
        <v>0</v>
      </c>
      <c r="X718" s="1114"/>
      <c r="Y718" s="1146">
        <v>81684886</v>
      </c>
      <c r="Z718" s="2114">
        <f>C718-'Blocking-Step2'!C718</f>
        <v>0</v>
      </c>
      <c r="AA718" s="2114">
        <f>D718-'Blocking-Step2'!D718</f>
        <v>0</v>
      </c>
      <c r="AC718" s="2114">
        <f>F718-'Blocking-Step2'!F718</f>
        <v>0</v>
      </c>
      <c r="AE718" s="2114">
        <f>H718-'Blocking-Step2'!H718</f>
        <v>0</v>
      </c>
      <c r="AF718" s="2114">
        <f>I718-'Blocking-Step2'!I718</f>
        <v>0</v>
      </c>
      <c r="AH718" s="2136">
        <f>K718-'Blocking-Step2'!K718</f>
        <v>-5.83</v>
      </c>
      <c r="AJ718" s="2136">
        <f>M718-'Blocking-Step2'!M718</f>
        <v>5.83</v>
      </c>
      <c r="AL718" s="2136">
        <f>O718-'Blocking-Step2'!O718</f>
        <v>0</v>
      </c>
      <c r="AN718" s="2137">
        <f>Q718-'Blocking-Step2'!Q718</f>
        <v>0</v>
      </c>
      <c r="AP718" s="2127">
        <f>S718-'Blocking-Step2'!S718</f>
        <v>-35539022</v>
      </c>
      <c r="AR718" s="2127">
        <f>U718-'Blocking-Step2'!U718</f>
        <v>35539021</v>
      </c>
      <c r="AT718" s="2127">
        <f>W718-'Blocking-Step2'!W718</f>
        <v>0</v>
      </c>
      <c r="AV718" s="2128">
        <f>Y718-'Blocking-Step2'!Y718</f>
        <v>0</v>
      </c>
    </row>
    <row r="719" spans="1:48" ht="16.5" hidden="1" thickTop="1">
      <c r="A719" s="1116" t="s">
        <v>1646</v>
      </c>
      <c r="C719" s="1105">
        <v>7576925.8441796647</v>
      </c>
      <c r="D719" s="1105">
        <v>7189876</v>
      </c>
      <c r="F719" s="1142"/>
      <c r="G719" s="617"/>
      <c r="H719" s="1146"/>
      <c r="I719" s="1146"/>
      <c r="K719" s="1142">
        <v>0.45</v>
      </c>
      <c r="L719" s="617"/>
      <c r="M719" s="1142">
        <v>11.41</v>
      </c>
      <c r="N719" s="617"/>
      <c r="O719" s="1142">
        <v>0</v>
      </c>
      <c r="P719" s="617"/>
      <c r="Q719" s="1142">
        <v>11.86</v>
      </c>
      <c r="R719" s="617"/>
      <c r="S719" s="1146">
        <v>3235444</v>
      </c>
      <c r="T719" s="1114"/>
      <c r="U719" s="1146">
        <v>82036485</v>
      </c>
      <c r="V719" s="1114"/>
      <c r="W719" s="1146">
        <v>0</v>
      </c>
      <c r="X719" s="1114"/>
      <c r="Y719" s="1146">
        <v>85271929</v>
      </c>
      <c r="Z719" s="2114">
        <f>C719-'Blocking-Step2'!C719</f>
        <v>0</v>
      </c>
      <c r="AA719" s="2114">
        <f>D719-'Blocking-Step2'!D719</f>
        <v>0</v>
      </c>
      <c r="AC719" s="2114">
        <f>F719-'Blocking-Step2'!F719</f>
        <v>0</v>
      </c>
      <c r="AE719" s="2114">
        <f>H719-'Blocking-Step2'!H719</f>
        <v>0</v>
      </c>
      <c r="AF719" s="2114">
        <f>I719-'Blocking-Step2'!I719</f>
        <v>0</v>
      </c>
      <c r="AH719" s="2136">
        <f>K719-'Blocking-Step2'!K719</f>
        <v>-5.16</v>
      </c>
      <c r="AJ719" s="2136">
        <f>M719-'Blocking-Step2'!M719</f>
        <v>5.160000000000001</v>
      </c>
      <c r="AL719" s="2136">
        <f>O719-'Blocking-Step2'!O719</f>
        <v>0</v>
      </c>
      <c r="AN719" s="2137">
        <f>Q719-'Blocking-Step2'!Q719</f>
        <v>0</v>
      </c>
      <c r="AP719" s="2127">
        <f>S719-'Blocking-Step2'!S719</f>
        <v>-37099760</v>
      </c>
      <c r="AR719" s="2127">
        <f>U719-'Blocking-Step2'!U719</f>
        <v>37099760</v>
      </c>
      <c r="AT719" s="2127">
        <f>W719-'Blocking-Step2'!W719</f>
        <v>0</v>
      </c>
      <c r="AV719" s="2128">
        <f>Y719-'Blocking-Step2'!Y719</f>
        <v>0</v>
      </c>
    </row>
    <row r="720" spans="1:48" ht="16.5" hidden="1" thickTop="1">
      <c r="A720" s="1116" t="s">
        <v>1647</v>
      </c>
      <c r="C720" s="1105">
        <v>1838806321.3440943</v>
      </c>
      <c r="D720" s="1105">
        <v>1770056466.9150953</v>
      </c>
      <c r="F720" s="1106"/>
      <c r="G720" s="1921"/>
      <c r="H720" s="1146"/>
      <c r="I720" s="1146"/>
      <c r="K720" s="1106">
        <v>0</v>
      </c>
      <c r="L720" s="1921" t="s">
        <v>495</v>
      </c>
      <c r="M720" s="1106">
        <v>1.6192</v>
      </c>
      <c r="N720" s="1921" t="s">
        <v>495</v>
      </c>
      <c r="O720" s="1106">
        <v>2.305570240802</v>
      </c>
      <c r="P720" s="1921" t="s">
        <v>495</v>
      </c>
      <c r="Q720" s="1106">
        <v>3.9247702408020002</v>
      </c>
      <c r="R720" s="1921" t="s">
        <v>495</v>
      </c>
      <c r="S720" s="1146">
        <v>0</v>
      </c>
      <c r="T720" s="1648"/>
      <c r="U720" s="1146">
        <v>28660754</v>
      </c>
      <c r="V720" s="1648"/>
      <c r="W720" s="1146">
        <v>40809895</v>
      </c>
      <c r="X720" s="1648"/>
      <c r="Y720" s="1146">
        <v>69470649</v>
      </c>
      <c r="Z720" s="2114">
        <f>C720-'Blocking-Step2'!C720</f>
        <v>0</v>
      </c>
      <c r="AA720" s="2114">
        <f>D720-'Blocking-Step2'!D720</f>
        <v>0</v>
      </c>
      <c r="AC720" s="2114">
        <f>F720-'Blocking-Step2'!F720</f>
        <v>0</v>
      </c>
      <c r="AE720" s="2114">
        <f>H720-'Blocking-Step2'!H720</f>
        <v>0</v>
      </c>
      <c r="AF720" s="2114">
        <f>I720-'Blocking-Step2'!I720</f>
        <v>0</v>
      </c>
      <c r="AH720" s="2136">
        <f>K720-'Blocking-Step2'!K720</f>
        <v>0</v>
      </c>
      <c r="AJ720" s="2136">
        <f>M720-'Blocking-Step2'!M720</f>
        <v>0</v>
      </c>
      <c r="AL720" s="2136">
        <f>O720-'Blocking-Step2'!O720</f>
        <v>0</v>
      </c>
      <c r="AN720" s="2137">
        <f>Q720-'Blocking-Step2'!Q720</f>
        <v>0</v>
      </c>
      <c r="AP720" s="2127">
        <f>S720-'Blocking-Step2'!S720</f>
        <v>0</v>
      </c>
      <c r="AR720" s="2127">
        <f>U720-'Blocking-Step2'!U720</f>
        <v>0</v>
      </c>
      <c r="AT720" s="2127">
        <f>W720-'Blocking-Step2'!W720</f>
        <v>0</v>
      </c>
      <c r="AV720" s="2128">
        <f>Y720-'Blocking-Step2'!Y720</f>
        <v>0</v>
      </c>
    </row>
    <row r="721" spans="1:48" ht="16.5" hidden="1" thickTop="1">
      <c r="A721" s="1116" t="s">
        <v>1648</v>
      </c>
      <c r="C721" s="1105">
        <v>3207450115.5028152</v>
      </c>
      <c r="D721" s="1105">
        <v>3043808629</v>
      </c>
      <c r="F721" s="1106"/>
      <c r="G721" s="1921"/>
      <c r="H721" s="1146"/>
      <c r="I721" s="1146"/>
      <c r="K721" s="1106">
        <v>0</v>
      </c>
      <c r="L721" s="1921" t="s">
        <v>495</v>
      </c>
      <c r="M721" s="1106">
        <v>1.4329000000000001</v>
      </c>
      <c r="N721" s="1921" t="s">
        <v>495</v>
      </c>
      <c r="O721" s="1106">
        <v>2.0403480007099999</v>
      </c>
      <c r="P721" s="1921" t="s">
        <v>495</v>
      </c>
      <c r="Q721" s="1106">
        <v>3.4732480007099999</v>
      </c>
      <c r="R721" s="1921" t="s">
        <v>495</v>
      </c>
      <c r="S721" s="1146">
        <v>0</v>
      </c>
      <c r="T721" s="1648"/>
      <c r="U721" s="1146">
        <v>43614734</v>
      </c>
      <c r="V721" s="1648"/>
      <c r="W721" s="1146">
        <v>62104289</v>
      </c>
      <c r="X721" s="1648"/>
      <c r="Y721" s="1146">
        <v>105719022</v>
      </c>
      <c r="Z721" s="2114">
        <f>C721-'Blocking-Step2'!C721</f>
        <v>0</v>
      </c>
      <c r="AA721" s="2114">
        <f>D721-'Blocking-Step2'!D721</f>
        <v>0</v>
      </c>
      <c r="AC721" s="2114">
        <f>F721-'Blocking-Step2'!F721</f>
        <v>0</v>
      </c>
      <c r="AE721" s="2114">
        <f>H721-'Blocking-Step2'!H721</f>
        <v>0</v>
      </c>
      <c r="AF721" s="2114">
        <f>I721-'Blocking-Step2'!I721</f>
        <v>0</v>
      </c>
      <c r="AH721" s="2136">
        <f>K721-'Blocking-Step2'!K721</f>
        <v>0</v>
      </c>
      <c r="AJ721" s="2136">
        <f>M721-'Blocking-Step2'!M721</f>
        <v>0</v>
      </c>
      <c r="AL721" s="2136">
        <f>O721-'Blocking-Step2'!O721</f>
        <v>0</v>
      </c>
      <c r="AN721" s="2137">
        <f>Q721-'Blocking-Step2'!Q721</f>
        <v>0</v>
      </c>
      <c r="AP721" s="2127">
        <f>S721-'Blocking-Step2'!S721</f>
        <v>0</v>
      </c>
      <c r="AR721" s="2127">
        <f>U721-'Blocking-Step2'!U721</f>
        <v>0</v>
      </c>
      <c r="AT721" s="2127">
        <f>W721-'Blocking-Step2'!W721</f>
        <v>0</v>
      </c>
      <c r="AV721" s="2128">
        <f>Y721-'Blocking-Step2'!Y721</f>
        <v>0</v>
      </c>
    </row>
    <row r="722" spans="1:48" ht="16.5" hidden="1" thickTop="1">
      <c r="A722" s="1116" t="s">
        <v>196</v>
      </c>
      <c r="C722" s="1105">
        <v>6424044.8932969086</v>
      </c>
      <c r="D722" s="1105">
        <v>6095887</v>
      </c>
      <c r="F722" s="1142">
        <v>14.62</v>
      </c>
      <c r="G722" s="617"/>
      <c r="H722" s="1146">
        <v>93919536</v>
      </c>
      <c r="I722" s="1146">
        <v>89121868</v>
      </c>
      <c r="K722" s="1142"/>
      <c r="L722" s="617"/>
      <c r="M722" s="1142"/>
      <c r="N722" s="617"/>
      <c r="O722" s="1142"/>
      <c r="P722" s="617"/>
      <c r="Q722" s="1142"/>
      <c r="R722" s="617"/>
      <c r="S722" s="1146"/>
      <c r="T722" s="1629"/>
      <c r="U722" s="1146"/>
      <c r="V722" s="1629"/>
      <c r="W722" s="1146"/>
      <c r="X722" s="1114"/>
      <c r="Y722" s="1146"/>
      <c r="Z722" s="2114">
        <f>C722-'Blocking-Step2'!C722</f>
        <v>0</v>
      </c>
      <c r="AA722" s="2114">
        <f>D722-'Blocking-Step2'!D722</f>
        <v>0</v>
      </c>
      <c r="AC722" s="2114">
        <f>F722-'Blocking-Step2'!F722</f>
        <v>0</v>
      </c>
      <c r="AE722" s="2114">
        <f>H722-'Blocking-Step2'!H722</f>
        <v>0</v>
      </c>
      <c r="AF722" s="2114">
        <f>I722-'Blocking-Step2'!I722</f>
        <v>0</v>
      </c>
      <c r="AH722" s="2136">
        <f>K722-'Blocking-Step2'!K722</f>
        <v>0</v>
      </c>
      <c r="AJ722" s="2136">
        <f>M722-'Blocking-Step2'!M722</f>
        <v>0</v>
      </c>
      <c r="AL722" s="2136">
        <f>O722-'Blocking-Step2'!O722</f>
        <v>0</v>
      </c>
      <c r="AN722" s="2137">
        <f>Q722-'Blocking-Step2'!Q722</f>
        <v>0</v>
      </c>
      <c r="AP722" s="2127">
        <f>S722-'Blocking-Step2'!S722</f>
        <v>0</v>
      </c>
      <c r="AR722" s="2127">
        <f>U722-'Blocking-Step2'!U722</f>
        <v>0</v>
      </c>
      <c r="AT722" s="2127">
        <f>W722-'Blocking-Step2'!W722</f>
        <v>0</v>
      </c>
      <c r="AV722" s="2128">
        <f>Y722-'Blocking-Step2'!Y722</f>
        <v>0</v>
      </c>
    </row>
    <row r="723" spans="1:48" ht="16.5" hidden="1" thickTop="1">
      <c r="A723" s="1116" t="s">
        <v>161</v>
      </c>
      <c r="C723" s="1105">
        <v>7576925.8441796647</v>
      </c>
      <c r="D723" s="1105">
        <v>7189876</v>
      </c>
      <c r="F723" s="1142">
        <v>10.91</v>
      </c>
      <c r="G723" s="617"/>
      <c r="H723" s="1146">
        <v>82664261</v>
      </c>
      <c r="I723" s="1146">
        <v>78441547</v>
      </c>
      <c r="K723" s="1142"/>
      <c r="L723" s="617"/>
      <c r="M723" s="1142"/>
      <c r="N723" s="617"/>
      <c r="O723" s="1142"/>
      <c r="P723" s="617"/>
      <c r="Q723" s="1142"/>
      <c r="R723" s="617"/>
      <c r="S723" s="1146"/>
      <c r="T723" s="1629"/>
      <c r="U723" s="1146"/>
      <c r="V723" s="1629"/>
      <c r="W723" s="1146"/>
      <c r="X723" s="1114"/>
      <c r="Y723" s="1146"/>
      <c r="Z723" s="2114">
        <f>C723-'Blocking-Step2'!C723</f>
        <v>0</v>
      </c>
      <c r="AA723" s="2114">
        <f>D723-'Blocking-Step2'!D723</f>
        <v>0</v>
      </c>
      <c r="AC723" s="2114">
        <f>F723-'Blocking-Step2'!F723</f>
        <v>0</v>
      </c>
      <c r="AE723" s="2114">
        <f>H723-'Blocking-Step2'!H723</f>
        <v>0</v>
      </c>
      <c r="AF723" s="2114">
        <f>I723-'Blocking-Step2'!I723</f>
        <v>0</v>
      </c>
      <c r="AH723" s="2136">
        <f>K723-'Blocking-Step2'!K723</f>
        <v>0</v>
      </c>
      <c r="AJ723" s="2136">
        <f>M723-'Blocking-Step2'!M723</f>
        <v>0</v>
      </c>
      <c r="AL723" s="2136">
        <f>O723-'Blocking-Step2'!O723</f>
        <v>0</v>
      </c>
      <c r="AN723" s="2137">
        <f>Q723-'Blocking-Step2'!Q723</f>
        <v>0</v>
      </c>
      <c r="AP723" s="2127">
        <f>S723-'Blocking-Step2'!S723</f>
        <v>0</v>
      </c>
      <c r="AR723" s="2127">
        <f>U723-'Blocking-Step2'!U723</f>
        <v>0</v>
      </c>
      <c r="AT723" s="2127">
        <f>W723-'Blocking-Step2'!W723</f>
        <v>0</v>
      </c>
      <c r="AV723" s="2128">
        <f>Y723-'Blocking-Step2'!Y723</f>
        <v>0</v>
      </c>
    </row>
    <row r="724" spans="1:48" ht="16.5" hidden="1" thickTop="1">
      <c r="A724" s="1116" t="s">
        <v>261</v>
      </c>
      <c r="C724" s="1105">
        <v>345279.625</v>
      </c>
      <c r="D724" s="1105">
        <v>327642</v>
      </c>
      <c r="F724" s="1142">
        <v>-0.96</v>
      </c>
      <c r="G724" s="617"/>
      <c r="H724" s="1146">
        <v>-331468</v>
      </c>
      <c r="I724" s="1146">
        <v>-314536</v>
      </c>
      <c r="K724" s="1142">
        <v>-0.96</v>
      </c>
      <c r="L724" s="617"/>
      <c r="M724" s="1142">
        <v>0</v>
      </c>
      <c r="N724" s="617"/>
      <c r="O724" s="1142">
        <v>0</v>
      </c>
      <c r="P724" s="617"/>
      <c r="Q724" s="1142">
        <v>-0.96</v>
      </c>
      <c r="R724" s="617"/>
      <c r="S724" s="1146">
        <v>-314536</v>
      </c>
      <c r="T724" s="1629"/>
      <c r="U724" s="1146">
        <v>0</v>
      </c>
      <c r="V724" s="1629"/>
      <c r="W724" s="1146">
        <v>0</v>
      </c>
      <c r="X724" s="1114"/>
      <c r="Y724" s="1146">
        <v>-314536</v>
      </c>
      <c r="Z724" s="2114">
        <f>C724-'Blocking-Step2'!C724</f>
        <v>0</v>
      </c>
      <c r="AA724" s="2114">
        <f>D724-'Blocking-Step2'!D724</f>
        <v>0</v>
      </c>
      <c r="AC724" s="2114">
        <f>F724-'Blocking-Step2'!F724</f>
        <v>0</v>
      </c>
      <c r="AE724" s="2114">
        <f>H724-'Blocking-Step2'!H724</f>
        <v>0</v>
      </c>
      <c r="AF724" s="2114">
        <f>I724-'Blocking-Step2'!I724</f>
        <v>0</v>
      </c>
      <c r="AH724" s="2136">
        <f>K724-'Blocking-Step2'!K724</f>
        <v>0</v>
      </c>
      <c r="AJ724" s="2136">
        <f>M724-'Blocking-Step2'!M724</f>
        <v>0</v>
      </c>
      <c r="AL724" s="2136">
        <f>O724-'Blocking-Step2'!O724</f>
        <v>0</v>
      </c>
      <c r="AN724" s="2137">
        <f>Q724-'Blocking-Step2'!Q724</f>
        <v>0</v>
      </c>
      <c r="AP724" s="2127">
        <f>S724-'Blocking-Step2'!S724</f>
        <v>0</v>
      </c>
      <c r="AR724" s="2127">
        <f>U724-'Blocking-Step2'!U724</f>
        <v>0</v>
      </c>
      <c r="AT724" s="2127">
        <f>W724-'Blocking-Step2'!W724</f>
        <v>0</v>
      </c>
      <c r="AV724" s="2128">
        <f>Y724-'Blocking-Step2'!Y724</f>
        <v>0</v>
      </c>
    </row>
    <row r="725" spans="1:48" ht="16.5" hidden="1" thickTop="1">
      <c r="A725" s="1116" t="s">
        <v>1362</v>
      </c>
      <c r="C725" s="1105">
        <v>2260772296.4056034</v>
      </c>
      <c r="D725" s="1105">
        <v>2177285937.9150953</v>
      </c>
      <c r="F725" s="1106">
        <v>3.8127</v>
      </c>
      <c r="G725" s="1921" t="s">
        <v>495</v>
      </c>
      <c r="H725" s="1146">
        <v>86196465</v>
      </c>
      <c r="I725" s="1146">
        <v>83013381</v>
      </c>
      <c r="K725" s="1106"/>
      <c r="L725" s="1921"/>
      <c r="M725" s="1106"/>
      <c r="N725" s="1921"/>
      <c r="O725" s="1106"/>
      <c r="P725" s="1921"/>
      <c r="Q725" s="1106"/>
      <c r="R725" s="1921"/>
      <c r="S725" s="1146"/>
      <c r="T725" s="1648"/>
      <c r="U725" s="1146"/>
      <c r="V725" s="1648"/>
      <c r="W725" s="1146"/>
      <c r="X725" s="1648"/>
      <c r="Y725" s="1146"/>
      <c r="Z725" s="2114">
        <f>C725-'Blocking-Step2'!C725</f>
        <v>0</v>
      </c>
      <c r="AA725" s="2114">
        <f>D725-'Blocking-Step2'!D725</f>
        <v>0</v>
      </c>
      <c r="AC725" s="2114">
        <f>F725-'Blocking-Step2'!F725</f>
        <v>0</v>
      </c>
      <c r="AE725" s="2114">
        <f>H725-'Blocking-Step2'!H725</f>
        <v>0</v>
      </c>
      <c r="AF725" s="2114">
        <f>I725-'Blocking-Step2'!I725</f>
        <v>0</v>
      </c>
      <c r="AH725" s="2136">
        <f>K725-'Blocking-Step2'!K725</f>
        <v>0</v>
      </c>
      <c r="AJ725" s="2136">
        <f>M725-'Blocking-Step2'!M725</f>
        <v>0</v>
      </c>
      <c r="AL725" s="2136">
        <f>O725-'Blocking-Step2'!O725</f>
        <v>0</v>
      </c>
      <c r="AN725" s="2137">
        <f>Q725-'Blocking-Step2'!Q725</f>
        <v>0</v>
      </c>
      <c r="AP725" s="2127">
        <f>S725-'Blocking-Step2'!S725</f>
        <v>0</v>
      </c>
      <c r="AR725" s="2127">
        <f>U725-'Blocking-Step2'!U725</f>
        <v>0</v>
      </c>
      <c r="AT725" s="2127">
        <f>W725-'Blocking-Step2'!W725</f>
        <v>0</v>
      </c>
      <c r="AV725" s="2128">
        <f>Y725-'Blocking-Step2'!Y725</f>
        <v>0</v>
      </c>
    </row>
    <row r="726" spans="1:48" ht="16.5" hidden="1" thickTop="1">
      <c r="A726" s="1116" t="s">
        <v>1363</v>
      </c>
      <c r="C726" s="1105">
        <v>2785484140.4413061</v>
      </c>
      <c r="D726" s="1105">
        <v>2636579158</v>
      </c>
      <c r="F726" s="1106">
        <v>3.5143</v>
      </c>
      <c r="G726" s="1921" t="s">
        <v>495</v>
      </c>
      <c r="H726" s="1146">
        <v>97890269</v>
      </c>
      <c r="I726" s="1146">
        <v>92657301</v>
      </c>
      <c r="K726" s="1106"/>
      <c r="L726" s="1921"/>
      <c r="M726" s="1106"/>
      <c r="N726" s="1921"/>
      <c r="O726" s="1106"/>
      <c r="P726" s="1921"/>
      <c r="Q726" s="1106"/>
      <c r="R726" s="1921"/>
      <c r="S726" s="1146"/>
      <c r="T726" s="1648"/>
      <c r="U726" s="1146"/>
      <c r="V726" s="1648"/>
      <c r="W726" s="1146"/>
      <c r="X726" s="1648"/>
      <c r="Y726" s="1146"/>
      <c r="Z726" s="2114">
        <f>C726-'Blocking-Step2'!C726</f>
        <v>0</v>
      </c>
      <c r="AA726" s="2114">
        <f>D726-'Blocking-Step2'!D726</f>
        <v>0</v>
      </c>
      <c r="AC726" s="2114">
        <f>F726-'Blocking-Step2'!F726</f>
        <v>0</v>
      </c>
      <c r="AE726" s="2114">
        <f>H726-'Blocking-Step2'!H726</f>
        <v>0</v>
      </c>
      <c r="AF726" s="2114">
        <f>I726-'Blocking-Step2'!I726</f>
        <v>0</v>
      </c>
      <c r="AH726" s="2136">
        <f>K726-'Blocking-Step2'!K726</f>
        <v>0</v>
      </c>
      <c r="AJ726" s="2136">
        <f>M726-'Blocking-Step2'!M726</f>
        <v>0</v>
      </c>
      <c r="AL726" s="2136">
        <f>O726-'Blocking-Step2'!O726</f>
        <v>0</v>
      </c>
      <c r="AN726" s="2137">
        <f>Q726-'Blocking-Step2'!Q726</f>
        <v>0</v>
      </c>
      <c r="AP726" s="2127">
        <f>S726-'Blocking-Step2'!S726</f>
        <v>0</v>
      </c>
      <c r="AR726" s="2127">
        <f>U726-'Blocking-Step2'!U726</f>
        <v>0</v>
      </c>
      <c r="AT726" s="2127">
        <f>W726-'Blocking-Step2'!W726</f>
        <v>0</v>
      </c>
      <c r="AV726" s="2128">
        <f>Y726-'Blocking-Step2'!Y726</f>
        <v>0</v>
      </c>
    </row>
    <row r="727" spans="1:48" ht="16.5" hidden="1" thickTop="1">
      <c r="A727" s="1116" t="s">
        <v>1158</v>
      </c>
      <c r="C727" s="1105">
        <v>2064493</v>
      </c>
      <c r="D727" s="1105">
        <v>1969419</v>
      </c>
      <c r="F727" s="1106">
        <v>7.125</v>
      </c>
      <c r="G727" s="1921" t="s">
        <v>495</v>
      </c>
      <c r="H727" s="1146">
        <v>147095</v>
      </c>
      <c r="I727" s="1146">
        <v>140321</v>
      </c>
      <c r="K727" s="1106">
        <v>0</v>
      </c>
      <c r="L727" s="1921" t="s">
        <v>495</v>
      </c>
      <c r="M727" s="1106">
        <v>7.125</v>
      </c>
      <c r="N727" s="1921" t="s">
        <v>495</v>
      </c>
      <c r="O727" s="1106">
        <v>0</v>
      </c>
      <c r="P727" s="1921" t="s">
        <v>495</v>
      </c>
      <c r="Q727" s="1106">
        <v>7.125</v>
      </c>
      <c r="R727" s="1921" t="s">
        <v>495</v>
      </c>
      <c r="S727" s="1146">
        <v>0</v>
      </c>
      <c r="T727" s="1648"/>
      <c r="U727" s="1146">
        <v>140321</v>
      </c>
      <c r="V727" s="1648"/>
      <c r="W727" s="1146">
        <v>0</v>
      </c>
      <c r="X727" s="1648"/>
      <c r="Y727" s="1146">
        <v>140321</v>
      </c>
      <c r="Z727" s="2114">
        <f>C727-'Blocking-Step2'!C727</f>
        <v>0</v>
      </c>
      <c r="AA727" s="2114">
        <f>D727-'Blocking-Step2'!D727</f>
        <v>0</v>
      </c>
      <c r="AC727" s="2114">
        <f>F727-'Blocking-Step2'!F727</f>
        <v>0</v>
      </c>
      <c r="AE727" s="2114">
        <f>H727-'Blocking-Step2'!H727</f>
        <v>0</v>
      </c>
      <c r="AF727" s="2114">
        <f>I727-'Blocking-Step2'!I727</f>
        <v>0</v>
      </c>
      <c r="AH727" s="2136">
        <f>K727-'Blocking-Step2'!K727</f>
        <v>0</v>
      </c>
      <c r="AJ727" s="2136">
        <f>M727-'Blocking-Step2'!M727</f>
        <v>0</v>
      </c>
      <c r="AL727" s="2136">
        <f>O727-'Blocking-Step2'!O727</f>
        <v>0</v>
      </c>
      <c r="AN727" s="2137">
        <f>Q727-'Blocking-Step2'!Q727</f>
        <v>0</v>
      </c>
      <c r="AP727" s="2127">
        <f>S727-'Blocking-Step2'!S727</f>
        <v>0</v>
      </c>
      <c r="AR727" s="2127">
        <f>U727-'Blocking-Step2'!U727</f>
        <v>0</v>
      </c>
      <c r="AT727" s="2127">
        <f>W727-'Blocking-Step2'!W727</f>
        <v>0</v>
      </c>
      <c r="AV727" s="2128">
        <f>Y727-'Blocking-Step2'!Y727</f>
        <v>0</v>
      </c>
    </row>
    <row r="728" spans="1:48" ht="16.5" hidden="1" thickTop="1">
      <c r="A728" s="1116" t="s">
        <v>246</v>
      </c>
      <c r="C728" s="1940">
        <v>26762696</v>
      </c>
      <c r="D728" s="1940">
        <v>0</v>
      </c>
      <c r="H728" s="1147">
        <v>2430886</v>
      </c>
      <c r="I728" s="1147">
        <v>0</v>
      </c>
      <c r="Y728" s="1147"/>
      <c r="Z728" s="2114">
        <f>C728-'Blocking-Step2'!C728</f>
        <v>0</v>
      </c>
      <c r="AA728" s="2114">
        <f>D728-'Blocking-Step2'!D728</f>
        <v>0</v>
      </c>
      <c r="AC728" s="2114">
        <f>F728-'Blocking-Step2'!F728</f>
        <v>0</v>
      </c>
      <c r="AE728" s="2114">
        <f>H728-'Blocking-Step2'!H728</f>
        <v>0</v>
      </c>
      <c r="AF728" s="2114">
        <f>I728-'Blocking-Step2'!I728</f>
        <v>0</v>
      </c>
      <c r="AH728" s="2136">
        <f>K728-'Blocking-Step2'!K728</f>
        <v>0</v>
      </c>
      <c r="AJ728" s="2136">
        <f>M728-'Blocking-Step2'!M728</f>
        <v>0</v>
      </c>
      <c r="AL728" s="2136">
        <f>O728-'Blocking-Step2'!O728</f>
        <v>0</v>
      </c>
      <c r="AN728" s="2137">
        <f>Q728-'Blocking-Step2'!Q728</f>
        <v>0</v>
      </c>
      <c r="AP728" s="2127">
        <f>S728-'Blocking-Step2'!S728</f>
        <v>0</v>
      </c>
      <c r="AR728" s="2127">
        <f>U728-'Blocking-Step2'!U728</f>
        <v>0</v>
      </c>
      <c r="AT728" s="2127">
        <f>W728-'Blocking-Step2'!W728</f>
        <v>0</v>
      </c>
      <c r="AV728" s="2128">
        <f>Y728-'Blocking-Step2'!Y728</f>
        <v>0</v>
      </c>
    </row>
    <row r="729" spans="1:48" ht="16.5" hidden="1" thickTop="1">
      <c r="A729" s="1116" t="s">
        <v>1240</v>
      </c>
      <c r="C729" s="1024"/>
      <c r="D729" s="1024"/>
      <c r="F729" s="2076">
        <v>-3.61E-2</v>
      </c>
      <c r="G729" s="617"/>
      <c r="H729" s="1146">
        <v>-13025516.298599999</v>
      </c>
      <c r="I729" s="1146">
        <v>-12395816.489800001</v>
      </c>
      <c r="K729" s="2076"/>
      <c r="L729" s="617"/>
      <c r="M729" s="2076"/>
      <c r="N729" s="617"/>
      <c r="O729" s="2077" t="s">
        <v>2323</v>
      </c>
      <c r="P729" s="617"/>
      <c r="Q729" s="2076">
        <v>-2.76E-2</v>
      </c>
      <c r="R729" s="617"/>
      <c r="S729" s="1114"/>
      <c r="T729" s="1114"/>
      <c r="U729" s="1114"/>
      <c r="V729" s="1114"/>
      <c r="W729" s="1114"/>
      <c r="X729" s="1114"/>
      <c r="Y729" s="1146">
        <v>-9447115.8731999993</v>
      </c>
      <c r="Z729" s="2114">
        <f>C729-'Blocking-Step2'!C729</f>
        <v>0</v>
      </c>
      <c r="AA729" s="2114">
        <f>D729-'Blocking-Step2'!D729</f>
        <v>0</v>
      </c>
      <c r="AC729" s="2114">
        <f>F729-'Blocking-Step2'!F729</f>
        <v>0</v>
      </c>
      <c r="AE729" s="2114">
        <f>H729-'Blocking-Step2'!H729</f>
        <v>0</v>
      </c>
      <c r="AF729" s="2114">
        <f>I729-'Blocking-Step2'!I729</f>
        <v>0</v>
      </c>
      <c r="AH729" s="2136">
        <f>K729-'Blocking-Step2'!K729</f>
        <v>0</v>
      </c>
      <c r="AJ729" s="2136">
        <f>M729-'Blocking-Step2'!M729</f>
        <v>0</v>
      </c>
      <c r="AL729" s="2136" t="e">
        <f>O729-'Blocking-Step2'!O729</f>
        <v>#VALUE!</v>
      </c>
      <c r="AN729" s="2137">
        <f>Q729-'Blocking-Step2'!Q729</f>
        <v>0</v>
      </c>
      <c r="AP729" s="2127">
        <f>S729-'Blocking-Step2'!S729</f>
        <v>0</v>
      </c>
      <c r="AR729" s="2127">
        <f>U729-'Blocking-Step2'!U729</f>
        <v>0</v>
      </c>
      <c r="AT729" s="2127">
        <f>W729-'Blocking-Step2'!W729</f>
        <v>0</v>
      </c>
      <c r="AV729" s="2128">
        <f>Y729-'Blocking-Step2'!Y729</f>
        <v>0</v>
      </c>
    </row>
    <row r="730" spans="1:48" ht="16.5" hidden="1" thickTop="1">
      <c r="A730" s="1116"/>
      <c r="C730" s="1024"/>
      <c r="D730" s="1024"/>
      <c r="F730" s="2076"/>
      <c r="G730" s="617"/>
      <c r="H730" s="1146"/>
      <c r="I730" s="1146"/>
      <c r="K730" s="2076"/>
      <c r="L730" s="617"/>
      <c r="M730" s="2076"/>
      <c r="N730" s="617"/>
      <c r="O730" s="2077" t="s">
        <v>2324</v>
      </c>
      <c r="P730" s="617"/>
      <c r="Q730" s="2076">
        <v>-1.4999999999999999E-2</v>
      </c>
      <c r="R730" s="617"/>
      <c r="S730" s="1114"/>
      <c r="T730" s="1114"/>
      <c r="U730" s="1114"/>
      <c r="V730" s="1114"/>
      <c r="W730" s="1114"/>
      <c r="X730" s="1114"/>
      <c r="Y730" s="1146">
        <v>-5134302.1049999995</v>
      </c>
      <c r="Z730" s="2114">
        <f>C730-'Blocking-Step2'!C730</f>
        <v>0</v>
      </c>
      <c r="AA730" s="2114">
        <f>D730-'Blocking-Step2'!D730</f>
        <v>0</v>
      </c>
      <c r="AC730" s="2114">
        <f>F730-'Blocking-Step2'!F730</f>
        <v>0</v>
      </c>
      <c r="AE730" s="2114">
        <f>H730-'Blocking-Step2'!H730</f>
        <v>0</v>
      </c>
      <c r="AF730" s="2114">
        <f>I730-'Blocking-Step2'!I730</f>
        <v>0</v>
      </c>
      <c r="AH730" s="2136">
        <f>K730-'Blocking-Step2'!K730</f>
        <v>0</v>
      </c>
      <c r="AJ730" s="2136">
        <f>M730-'Blocking-Step2'!M730</f>
        <v>0</v>
      </c>
      <c r="AL730" s="2136" t="e">
        <f>O730-'Blocking-Step2'!O730</f>
        <v>#VALUE!</v>
      </c>
      <c r="AN730" s="2137">
        <f>Q730-'Blocking-Step2'!Q730</f>
        <v>0</v>
      </c>
      <c r="AP730" s="2127">
        <f>S730-'Blocking-Step2'!S730</f>
        <v>0</v>
      </c>
      <c r="AR730" s="2127">
        <f>U730-'Blocking-Step2'!U730</f>
        <v>0</v>
      </c>
      <c r="AT730" s="2127">
        <f>W730-'Blocking-Step2'!W730</f>
        <v>0</v>
      </c>
      <c r="AV730" s="2128">
        <f>Y730-'Blocking-Step2'!Y730</f>
        <v>0</v>
      </c>
    </row>
    <row r="731" spans="1:48" ht="16.5" hidden="1" thickTop="1">
      <c r="A731" s="1116" t="s">
        <v>1317</v>
      </c>
      <c r="C731" s="1024">
        <v>26720</v>
      </c>
      <c r="D731" s="1105">
        <v>25489</v>
      </c>
      <c r="F731" s="2076"/>
      <c r="G731" s="617"/>
      <c r="H731" s="1146"/>
      <c r="I731" s="1146"/>
      <c r="K731" s="2076"/>
      <c r="L731" s="617"/>
      <c r="M731" s="2076"/>
      <c r="N731" s="617"/>
      <c r="O731" s="2076"/>
      <c r="P731" s="617"/>
      <c r="Q731" s="2076"/>
      <c r="R731" s="617"/>
      <c r="S731" s="1114"/>
      <c r="T731" s="1114"/>
      <c r="U731" s="1114"/>
      <c r="V731" s="1114"/>
      <c r="W731" s="1114"/>
      <c r="X731" s="1114"/>
      <c r="Y731" s="1146"/>
      <c r="Z731" s="2114">
        <f>C731-'Blocking-Step2'!C731</f>
        <v>0</v>
      </c>
      <c r="AA731" s="2114">
        <f>D731-'Blocking-Step2'!D731</f>
        <v>0</v>
      </c>
      <c r="AC731" s="2114">
        <f>F731-'Blocking-Step2'!F731</f>
        <v>0</v>
      </c>
      <c r="AE731" s="2114">
        <f>H731-'Blocking-Step2'!H731</f>
        <v>0</v>
      </c>
      <c r="AF731" s="2114">
        <f>I731-'Blocking-Step2'!I731</f>
        <v>0</v>
      </c>
      <c r="AH731" s="2136">
        <f>K731-'Blocking-Step2'!K731</f>
        <v>0</v>
      </c>
      <c r="AJ731" s="2136">
        <f>M731-'Blocking-Step2'!M731</f>
        <v>0</v>
      </c>
      <c r="AL731" s="2136">
        <f>O731-'Blocking-Step2'!O731</f>
        <v>0</v>
      </c>
      <c r="AN731" s="2137">
        <f>Q731-'Blocking-Step2'!Q731</f>
        <v>0</v>
      </c>
      <c r="AP731" s="2127">
        <f>S731-'Blocking-Step2'!S731</f>
        <v>0</v>
      </c>
      <c r="AR731" s="2127">
        <f>U731-'Blocking-Step2'!U731</f>
        <v>0</v>
      </c>
      <c r="AT731" s="2127">
        <f>W731-'Blocking-Step2'!W731</f>
        <v>0</v>
      </c>
      <c r="AV731" s="2128">
        <f>Y731-'Blocking-Step2'!Y731</f>
        <v>0</v>
      </c>
    </row>
    <row r="732" spans="1:48" ht="17.25" hidden="1" thickTop="1" thickBot="1">
      <c r="A732" s="1116" t="s">
        <v>247</v>
      </c>
      <c r="C732" s="1138">
        <v>5075110345.8469095</v>
      </c>
      <c r="D732" s="1138">
        <v>4815860003.9150953</v>
      </c>
      <c r="F732" s="1145"/>
      <c r="H732" s="1149">
        <v>414155436.70139998</v>
      </c>
      <c r="I732" s="1149">
        <v>391978576.51020002</v>
      </c>
      <c r="K732" s="1145"/>
      <c r="M732" s="1145"/>
      <c r="O732" s="1145"/>
      <c r="Q732" s="1145"/>
      <c r="S732" s="1149">
        <v>67211463</v>
      </c>
      <c r="U732" s="1149">
        <v>233028277</v>
      </c>
      <c r="W732" s="1149">
        <v>102914184</v>
      </c>
      <c r="Y732" s="1149">
        <v>403153924</v>
      </c>
      <c r="Z732" s="2114">
        <f>C732-'Blocking-Step2'!C732</f>
        <v>0</v>
      </c>
      <c r="AA732" s="2114">
        <f>D732-'Blocking-Step2'!D732</f>
        <v>0</v>
      </c>
      <c r="AC732" s="2114">
        <f>F732-'Blocking-Step2'!F732</f>
        <v>0</v>
      </c>
      <c r="AE732" s="2114">
        <f>H732-'Blocking-Step2'!H732</f>
        <v>0</v>
      </c>
      <c r="AF732" s="2114">
        <f>I732-'Blocking-Step2'!I732</f>
        <v>0</v>
      </c>
      <c r="AH732" s="2136">
        <f>K732-'Blocking-Step2'!K732</f>
        <v>0</v>
      </c>
      <c r="AJ732" s="2136">
        <f>M732-'Blocking-Step2'!M732</f>
        <v>0</v>
      </c>
      <c r="AL732" s="2136">
        <f>O732-'Blocking-Step2'!O732</f>
        <v>0</v>
      </c>
      <c r="AN732" s="2137">
        <f>Q732-'Blocking-Step2'!Q732</f>
        <v>0</v>
      </c>
      <c r="AP732" s="2127">
        <f>S732-'Blocking-Step2'!S732</f>
        <v>-72638782</v>
      </c>
      <c r="AR732" s="2127">
        <f>U732-'Blocking-Step2'!U732</f>
        <v>72638781</v>
      </c>
      <c r="AT732" s="2127">
        <f>W732-'Blocking-Step2'!W732</f>
        <v>0</v>
      </c>
      <c r="AV732" s="2128">
        <f>Y732-'Blocking-Step2'!Y732</f>
        <v>0</v>
      </c>
    </row>
    <row r="733" spans="1:48" ht="16.5" hidden="1" thickTop="1">
      <c r="Z733" s="2114">
        <f>C733-'Blocking-Step2'!C733</f>
        <v>0</v>
      </c>
      <c r="AA733" s="2114">
        <f>D733-'Blocking-Step2'!D733</f>
        <v>0</v>
      </c>
      <c r="AC733" s="2114">
        <f>F733-'Blocking-Step2'!F733</f>
        <v>0</v>
      </c>
      <c r="AE733" s="2114">
        <f>H733-'Blocking-Step2'!H733</f>
        <v>0</v>
      </c>
      <c r="AF733" s="2114">
        <f>I733-'Blocking-Step2'!I733</f>
        <v>0</v>
      </c>
      <c r="AH733" s="2136">
        <f>K733-'Blocking-Step2'!K733</f>
        <v>0</v>
      </c>
      <c r="AJ733" s="2136">
        <f>M733-'Blocking-Step2'!M733</f>
        <v>0</v>
      </c>
      <c r="AL733" s="2136">
        <f>O733-'Blocking-Step2'!O733</f>
        <v>0</v>
      </c>
      <c r="AN733" s="2137">
        <f>Q733-'Blocking-Step2'!Q733</f>
        <v>0</v>
      </c>
      <c r="AP733" s="2127">
        <f>S733-'Blocking-Step2'!S733</f>
        <v>0</v>
      </c>
      <c r="AR733" s="2127">
        <f>U733-'Blocking-Step2'!U733</f>
        <v>0</v>
      </c>
      <c r="AT733" s="2127">
        <f>W733-'Blocking-Step2'!W733</f>
        <v>0</v>
      </c>
      <c r="AV733" s="2128">
        <f>Y733-'Blocking-Step2'!Y733</f>
        <v>0</v>
      </c>
    </row>
    <row r="734" spans="1:48" ht="16.5" hidden="1" thickTop="1">
      <c r="A734" s="1115" t="s">
        <v>550</v>
      </c>
      <c r="C734" s="1105"/>
      <c r="D734" s="1105"/>
      <c r="Z734" s="2114">
        <f>C734-'Blocking-Step2'!C734</f>
        <v>0</v>
      </c>
      <c r="AA734" s="2114">
        <f>D734-'Blocking-Step2'!D734</f>
        <v>0</v>
      </c>
      <c r="AC734" s="2114">
        <f>F734-'Blocking-Step2'!F734</f>
        <v>0</v>
      </c>
      <c r="AE734" s="2114">
        <f>H734-'Blocking-Step2'!H734</f>
        <v>0</v>
      </c>
      <c r="AF734" s="2114">
        <f>I734-'Blocking-Step2'!I734</f>
        <v>0</v>
      </c>
      <c r="AH734" s="2136">
        <f>K734-'Blocking-Step2'!K734</f>
        <v>0</v>
      </c>
      <c r="AJ734" s="2136">
        <f>M734-'Blocking-Step2'!M734</f>
        <v>0</v>
      </c>
      <c r="AL734" s="2136">
        <f>O734-'Blocking-Step2'!O734</f>
        <v>0</v>
      </c>
      <c r="AN734" s="2137">
        <f>Q734-'Blocking-Step2'!Q734</f>
        <v>0</v>
      </c>
      <c r="AP734" s="2127">
        <f>S734-'Blocking-Step2'!S734</f>
        <v>0</v>
      </c>
      <c r="AR734" s="2127">
        <f>U734-'Blocking-Step2'!U734</f>
        <v>0</v>
      </c>
      <c r="AT734" s="2127">
        <f>W734-'Blocking-Step2'!W734</f>
        <v>0</v>
      </c>
      <c r="AV734" s="2128">
        <f>Y734-'Blocking-Step2'!Y734</f>
        <v>0</v>
      </c>
    </row>
    <row r="735" spans="1:48" ht="16.5" hidden="1" thickTop="1">
      <c r="A735" s="1116" t="s">
        <v>240</v>
      </c>
      <c r="C735" s="1105">
        <v>11768.5666666667</v>
      </c>
      <c r="D735" s="1105">
        <v>11868</v>
      </c>
      <c r="F735" s="1142">
        <v>54</v>
      </c>
      <c r="G735" s="617"/>
      <c r="H735" s="1146">
        <v>635503</v>
      </c>
      <c r="I735" s="1146">
        <v>640872</v>
      </c>
      <c r="K735" s="1142">
        <v>54</v>
      </c>
      <c r="L735" s="617"/>
      <c r="M735" s="1142">
        <v>0</v>
      </c>
      <c r="N735" s="617"/>
      <c r="O735" s="1142">
        <v>0</v>
      </c>
      <c r="P735" s="617"/>
      <c r="Q735" s="1142">
        <v>54</v>
      </c>
      <c r="R735" s="617"/>
      <c r="S735" s="1146">
        <v>640872</v>
      </c>
      <c r="T735" s="1629"/>
      <c r="U735" s="1146">
        <v>0</v>
      </c>
      <c r="V735" s="1629"/>
      <c r="W735" s="1146">
        <v>0</v>
      </c>
      <c r="X735" s="1114"/>
      <c r="Y735" s="1146">
        <v>640872</v>
      </c>
      <c r="Z735" s="2114">
        <f>C735-'Blocking-Step2'!C735</f>
        <v>0</v>
      </c>
      <c r="AA735" s="2114">
        <f>D735-'Blocking-Step2'!D735</f>
        <v>0</v>
      </c>
      <c r="AC735" s="2114">
        <f>F735-'Blocking-Step2'!F735</f>
        <v>0</v>
      </c>
      <c r="AE735" s="2114">
        <f>H735-'Blocking-Step2'!H735</f>
        <v>0</v>
      </c>
      <c r="AF735" s="2114">
        <f>I735-'Blocking-Step2'!I735</f>
        <v>0</v>
      </c>
      <c r="AH735" s="2136">
        <f>K735-'Blocking-Step2'!K735</f>
        <v>0</v>
      </c>
      <c r="AJ735" s="2136">
        <f>M735-'Blocking-Step2'!M735</f>
        <v>0</v>
      </c>
      <c r="AL735" s="2136">
        <f>O735-'Blocking-Step2'!O735</f>
        <v>0</v>
      </c>
      <c r="AN735" s="2137">
        <f>Q735-'Blocking-Step2'!Q735</f>
        <v>0</v>
      </c>
      <c r="AP735" s="2127">
        <f>S735-'Blocking-Step2'!S735</f>
        <v>0</v>
      </c>
      <c r="AR735" s="2127">
        <f>U735-'Blocking-Step2'!U735</f>
        <v>0</v>
      </c>
      <c r="AT735" s="2127">
        <f>W735-'Blocking-Step2'!W735</f>
        <v>0</v>
      </c>
      <c r="AV735" s="2128">
        <f>Y735-'Blocking-Step2'!Y735</f>
        <v>0</v>
      </c>
    </row>
    <row r="736" spans="1:48" ht="16.5" hidden="1" thickTop="1">
      <c r="A736" s="1116" t="s">
        <v>262</v>
      </c>
      <c r="C736" s="1024">
        <v>0</v>
      </c>
      <c r="D736" s="1105">
        <v>0</v>
      </c>
      <c r="F736" s="1142">
        <v>648</v>
      </c>
      <c r="G736" s="617"/>
      <c r="H736" s="1146">
        <v>0</v>
      </c>
      <c r="I736" s="1146">
        <v>0</v>
      </c>
      <c r="K736" s="1142">
        <v>648</v>
      </c>
      <c r="L736" s="617"/>
      <c r="M736" s="1142">
        <v>0</v>
      </c>
      <c r="N736" s="617"/>
      <c r="O736" s="1142">
        <v>0</v>
      </c>
      <c r="P736" s="617"/>
      <c r="Q736" s="1142">
        <v>648</v>
      </c>
      <c r="R736" s="617"/>
      <c r="S736" s="1146">
        <v>0</v>
      </c>
      <c r="T736" s="1629"/>
      <c r="U736" s="1146">
        <v>0</v>
      </c>
      <c r="V736" s="1629"/>
      <c r="W736" s="1146">
        <v>0</v>
      </c>
      <c r="X736" s="1114"/>
      <c r="Y736" s="1146">
        <v>0</v>
      </c>
      <c r="Z736" s="2114">
        <f>C736-'Blocking-Step2'!C736</f>
        <v>0</v>
      </c>
      <c r="AA736" s="2114">
        <f>D736-'Blocking-Step2'!D736</f>
        <v>0</v>
      </c>
      <c r="AC736" s="2114">
        <f>F736-'Blocking-Step2'!F736</f>
        <v>0</v>
      </c>
      <c r="AE736" s="2114">
        <f>H736-'Blocking-Step2'!H736</f>
        <v>0</v>
      </c>
      <c r="AF736" s="2114">
        <f>I736-'Blocking-Step2'!I736</f>
        <v>0</v>
      </c>
      <c r="AH736" s="2136">
        <f>K736-'Blocking-Step2'!K736</f>
        <v>0</v>
      </c>
      <c r="AJ736" s="2136">
        <f>M736-'Blocking-Step2'!M736</f>
        <v>0</v>
      </c>
      <c r="AL736" s="2136">
        <f>O736-'Blocking-Step2'!O736</f>
        <v>0</v>
      </c>
      <c r="AN736" s="2137">
        <f>Q736-'Blocking-Step2'!Q736</f>
        <v>0</v>
      </c>
      <c r="AP736" s="2127">
        <f>S736-'Blocking-Step2'!S736</f>
        <v>0</v>
      </c>
      <c r="AR736" s="2127">
        <f>U736-'Blocking-Step2'!U736</f>
        <v>0</v>
      </c>
      <c r="AT736" s="2127">
        <f>W736-'Blocking-Step2'!W736</f>
        <v>0</v>
      </c>
      <c r="AV736" s="2128">
        <f>Y736-'Blocking-Step2'!Y736</f>
        <v>0</v>
      </c>
    </row>
    <row r="737" spans="1:48" ht="16.5" hidden="1" thickTop="1">
      <c r="A737" s="1116" t="s">
        <v>1298</v>
      </c>
      <c r="C737" s="1105">
        <v>0</v>
      </c>
      <c r="D737" s="1105">
        <v>0</v>
      </c>
      <c r="F737" s="1142">
        <v>54</v>
      </c>
      <c r="G737" s="617"/>
      <c r="H737" s="1146">
        <v>0</v>
      </c>
      <c r="I737" s="1146">
        <v>0</v>
      </c>
      <c r="K737" s="1142">
        <v>54</v>
      </c>
      <c r="L737" s="617"/>
      <c r="M737" s="1142">
        <v>0</v>
      </c>
      <c r="N737" s="617"/>
      <c r="O737" s="1142">
        <v>0</v>
      </c>
      <c r="P737" s="617"/>
      <c r="Q737" s="1142">
        <v>54</v>
      </c>
      <c r="R737" s="617"/>
      <c r="S737" s="1146">
        <v>0</v>
      </c>
      <c r="T737" s="1114"/>
      <c r="U737" s="1146">
        <v>0</v>
      </c>
      <c r="V737" s="1114"/>
      <c r="W737" s="1146">
        <v>0</v>
      </c>
      <c r="X737" s="1114"/>
      <c r="Y737" s="1146">
        <v>0</v>
      </c>
      <c r="Z737" s="2114">
        <f>C737-'Blocking-Step2'!C737</f>
        <v>0</v>
      </c>
      <c r="AA737" s="2114">
        <f>D737-'Blocking-Step2'!D737</f>
        <v>0</v>
      </c>
      <c r="AC737" s="2114">
        <f>F737-'Blocking-Step2'!F737</f>
        <v>0</v>
      </c>
      <c r="AE737" s="2114">
        <f>H737-'Blocking-Step2'!H737</f>
        <v>0</v>
      </c>
      <c r="AF737" s="2114">
        <f>I737-'Blocking-Step2'!I737</f>
        <v>0</v>
      </c>
      <c r="AH737" s="2136">
        <f>K737-'Blocking-Step2'!K737</f>
        <v>0</v>
      </c>
      <c r="AJ737" s="2136">
        <f>M737-'Blocking-Step2'!M737</f>
        <v>0</v>
      </c>
      <c r="AL737" s="2136">
        <f>O737-'Blocking-Step2'!O737</f>
        <v>0</v>
      </c>
      <c r="AN737" s="2137">
        <f>Q737-'Blocking-Step2'!Q737</f>
        <v>0</v>
      </c>
      <c r="AP737" s="2127">
        <f>S737-'Blocking-Step2'!S737</f>
        <v>0</v>
      </c>
      <c r="AR737" s="2127">
        <f>U737-'Blocking-Step2'!U737</f>
        <v>0</v>
      </c>
      <c r="AT737" s="2127">
        <f>W737-'Blocking-Step2'!W737</f>
        <v>0</v>
      </c>
      <c r="AV737" s="2128">
        <f>Y737-'Blocking-Step2'!Y737</f>
        <v>0</v>
      </c>
    </row>
    <row r="738" spans="1:48" ht="16.5" hidden="1" thickTop="1">
      <c r="A738" s="1116" t="s">
        <v>168</v>
      </c>
      <c r="C738" s="1105">
        <v>1842106.54207921</v>
      </c>
      <c r="D738" s="1105">
        <v>1931159</v>
      </c>
      <c r="F738" s="1142">
        <v>4.04</v>
      </c>
      <c r="G738" s="617"/>
      <c r="H738" s="1146">
        <v>7442110</v>
      </c>
      <c r="I738" s="1146">
        <v>7801882</v>
      </c>
      <c r="K738" s="1142">
        <v>4.03</v>
      </c>
      <c r="L738" s="617"/>
      <c r="M738" s="1142">
        <v>0</v>
      </c>
      <c r="N738" s="617"/>
      <c r="O738" s="1142">
        <v>0</v>
      </c>
      <c r="P738" s="617"/>
      <c r="Q738" s="1142">
        <v>4.03</v>
      </c>
      <c r="R738" s="617"/>
      <c r="S738" s="1146">
        <v>7782571</v>
      </c>
      <c r="T738" s="1629"/>
      <c r="U738" s="1146">
        <v>0</v>
      </c>
      <c r="V738" s="1629"/>
      <c r="W738" s="1146">
        <v>0</v>
      </c>
      <c r="X738" s="1114"/>
      <c r="Y738" s="1146">
        <v>7782571</v>
      </c>
      <c r="Z738" s="2114">
        <f>C738-'Blocking-Step2'!C738</f>
        <v>0</v>
      </c>
      <c r="AA738" s="2114">
        <f>D738-'Blocking-Step2'!D738</f>
        <v>0</v>
      </c>
      <c r="AC738" s="2114">
        <f>F738-'Blocking-Step2'!F738</f>
        <v>0</v>
      </c>
      <c r="AE738" s="2114">
        <f>H738-'Blocking-Step2'!H738</f>
        <v>0</v>
      </c>
      <c r="AF738" s="2114">
        <f>I738-'Blocking-Step2'!I738</f>
        <v>0</v>
      </c>
      <c r="AH738" s="2136">
        <f>K738-'Blocking-Step2'!K738</f>
        <v>0</v>
      </c>
      <c r="AJ738" s="2136">
        <f>M738-'Blocking-Step2'!M738</f>
        <v>0</v>
      </c>
      <c r="AL738" s="2136">
        <f>O738-'Blocking-Step2'!O738</f>
        <v>0</v>
      </c>
      <c r="AN738" s="2137">
        <f>Q738-'Blocking-Step2'!Q738</f>
        <v>0</v>
      </c>
      <c r="AP738" s="2127">
        <f>S738-'Blocking-Step2'!S738</f>
        <v>0</v>
      </c>
      <c r="AR738" s="2127">
        <f>U738-'Blocking-Step2'!U738</f>
        <v>0</v>
      </c>
      <c r="AT738" s="2127">
        <f>W738-'Blocking-Step2'!W738</f>
        <v>0</v>
      </c>
      <c r="AV738" s="2128">
        <f>Y738-'Blocking-Step2'!Y738</f>
        <v>0</v>
      </c>
    </row>
    <row r="739" spans="1:48" ht="16.5" hidden="1" thickTop="1">
      <c r="A739" s="1116" t="s">
        <v>1645</v>
      </c>
      <c r="C739" s="1105">
        <v>669369.13498703158</v>
      </c>
      <c r="D739" s="1105">
        <v>701728</v>
      </c>
      <c r="F739" s="1142"/>
      <c r="G739" s="617"/>
      <c r="H739" s="1146"/>
      <c r="I739" s="1146"/>
      <c r="K739" s="1142">
        <v>0.51</v>
      </c>
      <c r="L739" s="617"/>
      <c r="M739" s="1142">
        <v>12.89</v>
      </c>
      <c r="N739" s="617"/>
      <c r="O739" s="1142">
        <v>0</v>
      </c>
      <c r="P739" s="617"/>
      <c r="Q739" s="1142">
        <v>13.4</v>
      </c>
      <c r="R739" s="617"/>
      <c r="S739" s="1146">
        <v>357881</v>
      </c>
      <c r="T739" s="1114"/>
      <c r="U739" s="1146">
        <v>9045274</v>
      </c>
      <c r="V739" s="1114"/>
      <c r="W739" s="1146">
        <v>0</v>
      </c>
      <c r="X739" s="1114"/>
      <c r="Y739" s="1146">
        <v>9403155</v>
      </c>
      <c r="Z739" s="2114">
        <f>C739-'Blocking-Step2'!C739</f>
        <v>0</v>
      </c>
      <c r="AA739" s="2114">
        <f>D739-'Blocking-Step2'!D739</f>
        <v>0</v>
      </c>
      <c r="AC739" s="2114">
        <f>F739-'Blocking-Step2'!F739</f>
        <v>0</v>
      </c>
      <c r="AE739" s="2114">
        <f>H739-'Blocking-Step2'!H739</f>
        <v>0</v>
      </c>
      <c r="AF739" s="2114">
        <f>I739-'Blocking-Step2'!I739</f>
        <v>0</v>
      </c>
      <c r="AH739" s="2136">
        <f>K739-'Blocking-Step2'!K739</f>
        <v>-5.83</v>
      </c>
      <c r="AJ739" s="2136">
        <f>M739-'Blocking-Step2'!M739</f>
        <v>5.83</v>
      </c>
      <c r="AL739" s="2136">
        <f>O739-'Blocking-Step2'!O739</f>
        <v>0</v>
      </c>
      <c r="AN739" s="2137">
        <f>Q739-'Blocking-Step2'!Q739</f>
        <v>0</v>
      </c>
      <c r="AP739" s="2127">
        <f>S739-'Blocking-Step2'!S739</f>
        <v>-4091075</v>
      </c>
      <c r="AR739" s="2127">
        <f>U739-'Blocking-Step2'!U739</f>
        <v>4091074</v>
      </c>
      <c r="AT739" s="2127">
        <f>W739-'Blocking-Step2'!W739</f>
        <v>0</v>
      </c>
      <c r="AV739" s="2128">
        <f>Y739-'Blocking-Step2'!Y739</f>
        <v>0</v>
      </c>
    </row>
    <row r="740" spans="1:48" ht="16.5" hidden="1" thickTop="1">
      <c r="A740" s="1116" t="s">
        <v>1646</v>
      </c>
      <c r="C740" s="1105">
        <v>1172737.4222823069</v>
      </c>
      <c r="D740" s="1105">
        <v>1229431</v>
      </c>
      <c r="F740" s="1142"/>
      <c r="G740" s="617"/>
      <c r="H740" s="1146"/>
      <c r="I740" s="1146"/>
      <c r="K740" s="1142">
        <v>0.45</v>
      </c>
      <c r="L740" s="617"/>
      <c r="M740" s="1142">
        <v>11.41</v>
      </c>
      <c r="N740" s="617"/>
      <c r="O740" s="1142">
        <v>0</v>
      </c>
      <c r="P740" s="617"/>
      <c r="Q740" s="1142">
        <v>11.86</v>
      </c>
      <c r="R740" s="617"/>
      <c r="S740" s="1146">
        <v>553244</v>
      </c>
      <c r="T740" s="1114"/>
      <c r="U740" s="1146">
        <v>14027808</v>
      </c>
      <c r="V740" s="1114"/>
      <c r="W740" s="1146">
        <v>0</v>
      </c>
      <c r="X740" s="1114"/>
      <c r="Y740" s="1146">
        <v>14581052</v>
      </c>
      <c r="Z740" s="2114">
        <f>C740-'Blocking-Step2'!C740</f>
        <v>0</v>
      </c>
      <c r="AA740" s="2114">
        <f>D740-'Blocking-Step2'!D740</f>
        <v>0</v>
      </c>
      <c r="AC740" s="2114">
        <f>F740-'Blocking-Step2'!F740</f>
        <v>0</v>
      </c>
      <c r="AE740" s="2114">
        <f>H740-'Blocking-Step2'!H740</f>
        <v>0</v>
      </c>
      <c r="AF740" s="2114">
        <f>I740-'Blocking-Step2'!I740</f>
        <v>0</v>
      </c>
      <c r="AH740" s="2136">
        <f>K740-'Blocking-Step2'!K740</f>
        <v>-5.16</v>
      </c>
      <c r="AJ740" s="2136">
        <f>M740-'Blocking-Step2'!M740</f>
        <v>5.160000000000001</v>
      </c>
      <c r="AL740" s="2136">
        <f>O740-'Blocking-Step2'!O740</f>
        <v>0</v>
      </c>
      <c r="AN740" s="2137">
        <f>Q740-'Blocking-Step2'!Q740</f>
        <v>0</v>
      </c>
      <c r="AP740" s="2127">
        <f>S740-'Blocking-Step2'!S740</f>
        <v>-6343864</v>
      </c>
      <c r="AR740" s="2127">
        <f>U740-'Blocking-Step2'!U740</f>
        <v>6343864</v>
      </c>
      <c r="AT740" s="2127">
        <f>W740-'Blocking-Step2'!W740</f>
        <v>0</v>
      </c>
      <c r="AV740" s="2128">
        <f>Y740-'Blocking-Step2'!Y740</f>
        <v>0</v>
      </c>
    </row>
    <row r="741" spans="1:48" ht="16.5" hidden="1" thickTop="1">
      <c r="A741" s="1116" t="s">
        <v>1647</v>
      </c>
      <c r="C741" s="1105">
        <v>223782145.93719122</v>
      </c>
      <c r="D741" s="1105">
        <v>236106536.23923564</v>
      </c>
      <c r="F741" s="1106"/>
      <c r="G741" s="1921"/>
      <c r="H741" s="1146"/>
      <c r="I741" s="1146"/>
      <c r="K741" s="1106">
        <v>0</v>
      </c>
      <c r="L741" s="1921" t="s">
        <v>495</v>
      </c>
      <c r="M741" s="1106">
        <v>1.6192</v>
      </c>
      <c r="N741" s="1921" t="s">
        <v>495</v>
      </c>
      <c r="O741" s="1106">
        <v>2.305570240802</v>
      </c>
      <c r="P741" s="1921" t="s">
        <v>495</v>
      </c>
      <c r="Q741" s="1106">
        <v>3.9247702408020002</v>
      </c>
      <c r="R741" s="1921" t="s">
        <v>495</v>
      </c>
      <c r="S741" s="1146">
        <v>0</v>
      </c>
      <c r="T741" s="1648"/>
      <c r="U741" s="1146">
        <v>3823037</v>
      </c>
      <c r="V741" s="1648"/>
      <c r="W741" s="1146">
        <v>5443602</v>
      </c>
      <c r="X741" s="1648"/>
      <c r="Y741" s="1146">
        <v>9266639</v>
      </c>
      <c r="Z741" s="2114">
        <f>C741-'Blocking-Step2'!C741</f>
        <v>0</v>
      </c>
      <c r="AA741" s="2114">
        <f>D741-'Blocking-Step2'!D741</f>
        <v>0</v>
      </c>
      <c r="AC741" s="2114">
        <f>F741-'Blocking-Step2'!F741</f>
        <v>0</v>
      </c>
      <c r="AE741" s="2114">
        <f>H741-'Blocking-Step2'!H741</f>
        <v>0</v>
      </c>
      <c r="AF741" s="2114">
        <f>I741-'Blocking-Step2'!I741</f>
        <v>0</v>
      </c>
      <c r="AH741" s="2136">
        <f>K741-'Blocking-Step2'!K741</f>
        <v>0</v>
      </c>
      <c r="AJ741" s="2136">
        <f>M741-'Blocking-Step2'!M741</f>
        <v>0</v>
      </c>
      <c r="AL741" s="2136">
        <f>O741-'Blocking-Step2'!O741</f>
        <v>0</v>
      </c>
      <c r="AN741" s="2137">
        <f>Q741-'Blocking-Step2'!Q741</f>
        <v>0</v>
      </c>
      <c r="AP741" s="2127">
        <f>S741-'Blocking-Step2'!S741</f>
        <v>0</v>
      </c>
      <c r="AR741" s="2127">
        <f>U741-'Blocking-Step2'!U741</f>
        <v>0</v>
      </c>
      <c r="AT741" s="2127">
        <f>W741-'Blocking-Step2'!W741</f>
        <v>0</v>
      </c>
      <c r="AV741" s="2128">
        <f>Y741-'Blocking-Step2'!Y741</f>
        <v>0</v>
      </c>
    </row>
    <row r="742" spans="1:48" ht="16.5" hidden="1" thickTop="1">
      <c r="A742" s="1116" t="s">
        <v>1648</v>
      </c>
      <c r="C742" s="1105">
        <v>380863403.06280875</v>
      </c>
      <c r="D742" s="1105">
        <v>387493960</v>
      </c>
      <c r="F742" s="1106"/>
      <c r="G742" s="1921"/>
      <c r="H742" s="1146"/>
      <c r="I742" s="1146"/>
      <c r="K742" s="1106">
        <v>0</v>
      </c>
      <c r="L742" s="1921" t="s">
        <v>495</v>
      </c>
      <c r="M742" s="1106">
        <v>1.4329000000000001</v>
      </c>
      <c r="N742" s="1921" t="s">
        <v>495</v>
      </c>
      <c r="O742" s="1106">
        <v>2.0403480007099999</v>
      </c>
      <c r="P742" s="1921" t="s">
        <v>495</v>
      </c>
      <c r="Q742" s="1106">
        <v>3.4732480007099999</v>
      </c>
      <c r="R742" s="1921" t="s">
        <v>495</v>
      </c>
      <c r="S742" s="1146">
        <v>0</v>
      </c>
      <c r="T742" s="1648"/>
      <c r="U742" s="1146">
        <v>5552401</v>
      </c>
      <c r="V742" s="1648"/>
      <c r="W742" s="1146">
        <v>7906225</v>
      </c>
      <c r="X742" s="1648"/>
      <c r="Y742" s="1146">
        <v>13458626</v>
      </c>
      <c r="Z742" s="2114">
        <f>C742-'Blocking-Step2'!C742</f>
        <v>0</v>
      </c>
      <c r="AA742" s="2114">
        <f>D742-'Blocking-Step2'!D742</f>
        <v>0</v>
      </c>
      <c r="AC742" s="2114">
        <f>F742-'Blocking-Step2'!F742</f>
        <v>0</v>
      </c>
      <c r="AE742" s="2114">
        <f>H742-'Blocking-Step2'!H742</f>
        <v>0</v>
      </c>
      <c r="AF742" s="2114">
        <f>I742-'Blocking-Step2'!I742</f>
        <v>0</v>
      </c>
      <c r="AH742" s="2136">
        <f>K742-'Blocking-Step2'!K742</f>
        <v>0</v>
      </c>
      <c r="AJ742" s="2136">
        <f>M742-'Blocking-Step2'!M742</f>
        <v>0</v>
      </c>
      <c r="AL742" s="2136">
        <f>O742-'Blocking-Step2'!O742</f>
        <v>0</v>
      </c>
      <c r="AN742" s="2137">
        <f>Q742-'Blocking-Step2'!Q742</f>
        <v>0</v>
      </c>
      <c r="AP742" s="2127">
        <f>S742-'Blocking-Step2'!S742</f>
        <v>0</v>
      </c>
      <c r="AR742" s="2127">
        <f>U742-'Blocking-Step2'!U742</f>
        <v>0</v>
      </c>
      <c r="AT742" s="2127">
        <f>W742-'Blocking-Step2'!W742</f>
        <v>0</v>
      </c>
      <c r="AV742" s="2128">
        <f>Y742-'Blocking-Step2'!Y742</f>
        <v>0</v>
      </c>
    </row>
    <row r="743" spans="1:48" ht="16.5" hidden="1" thickTop="1">
      <c r="A743" s="1116" t="s">
        <v>196</v>
      </c>
      <c r="C743" s="1105">
        <v>821135.09439124481</v>
      </c>
      <c r="D743" s="1105">
        <v>860831</v>
      </c>
      <c r="F743" s="1142">
        <v>14.62</v>
      </c>
      <c r="G743" s="617"/>
      <c r="H743" s="1146">
        <v>12004995</v>
      </c>
      <c r="I743" s="1146">
        <v>12585349</v>
      </c>
      <c r="K743" s="1142"/>
      <c r="L743" s="617"/>
      <c r="M743" s="1142"/>
      <c r="N743" s="617"/>
      <c r="O743" s="1142"/>
      <c r="P743" s="617"/>
      <c r="Q743" s="1142"/>
      <c r="R743" s="617"/>
      <c r="S743" s="1146"/>
      <c r="T743" s="1629"/>
      <c r="U743" s="1146"/>
      <c r="V743" s="1629"/>
      <c r="W743" s="1146"/>
      <c r="X743" s="1114"/>
      <c r="Y743" s="1146"/>
      <c r="Z743" s="2114">
        <f>C743-'Blocking-Step2'!C743</f>
        <v>0</v>
      </c>
      <c r="AA743" s="2114">
        <f>D743-'Blocking-Step2'!D743</f>
        <v>0</v>
      </c>
      <c r="AC743" s="2114">
        <f>F743-'Blocking-Step2'!F743</f>
        <v>0</v>
      </c>
      <c r="AE743" s="2114">
        <f>H743-'Blocking-Step2'!H743</f>
        <v>0</v>
      </c>
      <c r="AF743" s="2114">
        <f>I743-'Blocking-Step2'!I743</f>
        <v>0</v>
      </c>
      <c r="AH743" s="2136">
        <f>K743-'Blocking-Step2'!K743</f>
        <v>0</v>
      </c>
      <c r="AJ743" s="2136">
        <f>M743-'Blocking-Step2'!M743</f>
        <v>0</v>
      </c>
      <c r="AL743" s="2136">
        <f>O743-'Blocking-Step2'!O743</f>
        <v>0</v>
      </c>
      <c r="AN743" s="2137">
        <f>Q743-'Blocking-Step2'!Q743</f>
        <v>0</v>
      </c>
      <c r="AP743" s="2127">
        <f>S743-'Blocking-Step2'!S743</f>
        <v>0</v>
      </c>
      <c r="AR743" s="2127">
        <f>U743-'Blocking-Step2'!U743</f>
        <v>0</v>
      </c>
      <c r="AT743" s="2127">
        <f>W743-'Blocking-Step2'!W743</f>
        <v>0</v>
      </c>
      <c r="AV743" s="2128">
        <f>Y743-'Blocking-Step2'!Y743</f>
        <v>0</v>
      </c>
    </row>
    <row r="744" spans="1:48" ht="16.5" hidden="1" thickTop="1">
      <c r="A744" s="1116" t="s">
        <v>161</v>
      </c>
      <c r="C744" s="1105">
        <v>1020971.4628780936</v>
      </c>
      <c r="D744" s="1105">
        <v>1070328</v>
      </c>
      <c r="F744" s="1142">
        <v>10.91</v>
      </c>
      <c r="G744" s="617"/>
      <c r="H744" s="1146">
        <v>11138799</v>
      </c>
      <c r="I744" s="1146">
        <v>11677278</v>
      </c>
      <c r="K744" s="1142"/>
      <c r="L744" s="617"/>
      <c r="M744" s="1142"/>
      <c r="N744" s="617"/>
      <c r="O744" s="1142"/>
      <c r="P744" s="617"/>
      <c r="Q744" s="1142"/>
      <c r="R744" s="617"/>
      <c r="S744" s="1146"/>
      <c r="T744" s="1629"/>
      <c r="U744" s="1146"/>
      <c r="V744" s="1629"/>
      <c r="W744" s="1146"/>
      <c r="X744" s="1114"/>
      <c r="Y744" s="1146"/>
      <c r="Z744" s="2114">
        <f>C744-'Blocking-Step2'!C744</f>
        <v>0</v>
      </c>
      <c r="AA744" s="2114">
        <f>D744-'Blocking-Step2'!D744</f>
        <v>0</v>
      </c>
      <c r="AC744" s="2114">
        <f>F744-'Blocking-Step2'!F744</f>
        <v>0</v>
      </c>
      <c r="AE744" s="2114">
        <f>H744-'Blocking-Step2'!H744</f>
        <v>0</v>
      </c>
      <c r="AF744" s="2114">
        <f>I744-'Blocking-Step2'!I744</f>
        <v>0</v>
      </c>
      <c r="AH744" s="2136">
        <f>K744-'Blocking-Step2'!K744</f>
        <v>0</v>
      </c>
      <c r="AJ744" s="2136">
        <f>M744-'Blocking-Step2'!M744</f>
        <v>0</v>
      </c>
      <c r="AL744" s="2136">
        <f>O744-'Blocking-Step2'!O744</f>
        <v>0</v>
      </c>
      <c r="AN744" s="2137">
        <f>Q744-'Blocking-Step2'!Q744</f>
        <v>0</v>
      </c>
      <c r="AP744" s="2127">
        <f>S744-'Blocking-Step2'!S744</f>
        <v>0</v>
      </c>
      <c r="AR744" s="2127">
        <f>U744-'Blocking-Step2'!U744</f>
        <v>0</v>
      </c>
      <c r="AT744" s="2127">
        <f>W744-'Blocking-Step2'!W744</f>
        <v>0</v>
      </c>
      <c r="AV744" s="2128">
        <f>Y744-'Blocking-Step2'!Y744</f>
        <v>0</v>
      </c>
    </row>
    <row r="745" spans="1:48" ht="16.5" hidden="1" thickTop="1">
      <c r="A745" s="1116" t="s">
        <v>261</v>
      </c>
      <c r="C745" s="1105">
        <v>203285.70833333299</v>
      </c>
      <c r="D745" s="1105">
        <v>213113</v>
      </c>
      <c r="F745" s="1142">
        <v>-0.96</v>
      </c>
      <c r="G745" s="617"/>
      <c r="H745" s="1146">
        <v>-195154</v>
      </c>
      <c r="I745" s="1146">
        <v>-204588</v>
      </c>
      <c r="K745" s="1142">
        <v>-0.96</v>
      </c>
      <c r="L745" s="617"/>
      <c r="M745" s="1142">
        <v>0</v>
      </c>
      <c r="N745" s="617"/>
      <c r="O745" s="1142">
        <v>0</v>
      </c>
      <c r="P745" s="617"/>
      <c r="Q745" s="1142">
        <v>-0.96</v>
      </c>
      <c r="R745" s="617"/>
      <c r="S745" s="1146">
        <v>-204588</v>
      </c>
      <c r="T745" s="1629"/>
      <c r="U745" s="1146">
        <v>0</v>
      </c>
      <c r="V745" s="1629"/>
      <c r="W745" s="1146">
        <v>0</v>
      </c>
      <c r="X745" s="1114"/>
      <c r="Y745" s="1146">
        <v>-204588</v>
      </c>
      <c r="Z745" s="2114">
        <f>C745-'Blocking-Step2'!C745</f>
        <v>0</v>
      </c>
      <c r="AA745" s="2114">
        <f>D745-'Blocking-Step2'!D745</f>
        <v>0</v>
      </c>
      <c r="AC745" s="2114">
        <f>F745-'Blocking-Step2'!F745</f>
        <v>0</v>
      </c>
      <c r="AE745" s="2114">
        <f>H745-'Blocking-Step2'!H745</f>
        <v>0</v>
      </c>
      <c r="AF745" s="2114">
        <f>I745-'Blocking-Step2'!I745</f>
        <v>0</v>
      </c>
      <c r="AH745" s="2136">
        <f>K745-'Blocking-Step2'!K745</f>
        <v>0</v>
      </c>
      <c r="AJ745" s="2136">
        <f>M745-'Blocking-Step2'!M745</f>
        <v>0</v>
      </c>
      <c r="AL745" s="2136">
        <f>O745-'Blocking-Step2'!O745</f>
        <v>0</v>
      </c>
      <c r="AN745" s="2137">
        <f>Q745-'Blocking-Step2'!Q745</f>
        <v>0</v>
      </c>
      <c r="AP745" s="2127">
        <f>S745-'Blocking-Step2'!S745</f>
        <v>0</v>
      </c>
      <c r="AR745" s="2127">
        <f>U745-'Blocking-Step2'!U745</f>
        <v>0</v>
      </c>
      <c r="AT745" s="2127">
        <f>W745-'Blocking-Step2'!W745</f>
        <v>0</v>
      </c>
      <c r="AV745" s="2128">
        <f>Y745-'Blocking-Step2'!Y745</f>
        <v>0</v>
      </c>
    </row>
    <row r="746" spans="1:48" ht="16.5" hidden="1" thickTop="1">
      <c r="A746" s="1116" t="s">
        <v>1362</v>
      </c>
      <c r="C746" s="1105">
        <v>271223845</v>
      </c>
      <c r="D746" s="1105">
        <v>284165975.23923564</v>
      </c>
      <c r="F746" s="1106">
        <v>3.8127</v>
      </c>
      <c r="G746" s="1921" t="s">
        <v>495</v>
      </c>
      <c r="H746" s="1146">
        <v>10340952</v>
      </c>
      <c r="I746" s="1146">
        <v>10834396</v>
      </c>
      <c r="K746" s="1106"/>
      <c r="L746" s="1921"/>
      <c r="M746" s="1106"/>
      <c r="N746" s="1921"/>
      <c r="O746" s="1106"/>
      <c r="P746" s="1921"/>
      <c r="Q746" s="1106"/>
      <c r="R746" s="1921"/>
      <c r="S746" s="1146"/>
      <c r="T746" s="1648"/>
      <c r="U746" s="1146"/>
      <c r="V746" s="1648"/>
      <c r="W746" s="1146"/>
      <c r="X746" s="1648"/>
      <c r="Y746" s="1146"/>
      <c r="Z746" s="2114">
        <f>C746-'Blocking-Step2'!C746</f>
        <v>0</v>
      </c>
      <c r="AA746" s="2114">
        <f>D746-'Blocking-Step2'!D746</f>
        <v>0</v>
      </c>
      <c r="AC746" s="2114">
        <f>F746-'Blocking-Step2'!F746</f>
        <v>0</v>
      </c>
      <c r="AE746" s="2114">
        <f>H746-'Blocking-Step2'!H746</f>
        <v>0</v>
      </c>
      <c r="AF746" s="2114">
        <f>I746-'Blocking-Step2'!I746</f>
        <v>0</v>
      </c>
      <c r="AH746" s="2136">
        <f>K746-'Blocking-Step2'!K746</f>
        <v>0</v>
      </c>
      <c r="AJ746" s="2136">
        <f>M746-'Blocking-Step2'!M746</f>
        <v>0</v>
      </c>
      <c r="AL746" s="2136">
        <f>O746-'Blocking-Step2'!O746</f>
        <v>0</v>
      </c>
      <c r="AN746" s="2137">
        <f>Q746-'Blocking-Step2'!Q746</f>
        <v>0</v>
      </c>
      <c r="AP746" s="2127">
        <f>S746-'Blocking-Step2'!S746</f>
        <v>0</v>
      </c>
      <c r="AR746" s="2127">
        <f>U746-'Blocking-Step2'!U746</f>
        <v>0</v>
      </c>
      <c r="AT746" s="2127">
        <f>W746-'Blocking-Step2'!W746</f>
        <v>0</v>
      </c>
      <c r="AV746" s="2128">
        <f>Y746-'Blocking-Step2'!Y746</f>
        <v>0</v>
      </c>
    </row>
    <row r="747" spans="1:48" ht="16.5" hidden="1" thickTop="1">
      <c r="A747" s="1116" t="s">
        <v>1363</v>
      </c>
      <c r="C747" s="1105">
        <v>333421704</v>
      </c>
      <c r="D747" s="1105">
        <v>339434521</v>
      </c>
      <c r="F747" s="1106">
        <v>3.5143</v>
      </c>
      <c r="G747" s="1921" t="s">
        <v>495</v>
      </c>
      <c r="H747" s="1146">
        <v>11717439</v>
      </c>
      <c r="I747" s="1146">
        <v>11928747</v>
      </c>
      <c r="K747" s="1106"/>
      <c r="L747" s="1921"/>
      <c r="M747" s="1106"/>
      <c r="N747" s="1921"/>
      <c r="O747" s="1106"/>
      <c r="P747" s="1921"/>
      <c r="Q747" s="1106"/>
      <c r="R747" s="1921"/>
      <c r="S747" s="1146"/>
      <c r="T747" s="1648"/>
      <c r="U747" s="1146"/>
      <c r="V747" s="1648"/>
      <c r="W747" s="1146"/>
      <c r="X747" s="1648"/>
      <c r="Y747" s="1146"/>
      <c r="Z747" s="2114">
        <f>C747-'Blocking-Step2'!C747</f>
        <v>0</v>
      </c>
      <c r="AA747" s="2114">
        <f>D747-'Blocking-Step2'!D747</f>
        <v>0</v>
      </c>
      <c r="AC747" s="2114">
        <f>F747-'Blocking-Step2'!F747</f>
        <v>0</v>
      </c>
      <c r="AE747" s="2114">
        <f>H747-'Blocking-Step2'!H747</f>
        <v>0</v>
      </c>
      <c r="AF747" s="2114">
        <f>I747-'Blocking-Step2'!I747</f>
        <v>0</v>
      </c>
      <c r="AH747" s="2136">
        <f>K747-'Blocking-Step2'!K747</f>
        <v>0</v>
      </c>
      <c r="AJ747" s="2136">
        <f>M747-'Blocking-Step2'!M747</f>
        <v>0</v>
      </c>
      <c r="AL747" s="2136">
        <f>O747-'Blocking-Step2'!O747</f>
        <v>0</v>
      </c>
      <c r="AN747" s="2137">
        <f>Q747-'Blocking-Step2'!Q747</f>
        <v>0</v>
      </c>
      <c r="AP747" s="2127">
        <f>S747-'Blocking-Step2'!S747</f>
        <v>0</v>
      </c>
      <c r="AR747" s="2127">
        <f>U747-'Blocking-Step2'!U747</f>
        <v>0</v>
      </c>
      <c r="AT747" s="2127">
        <f>W747-'Blocking-Step2'!W747</f>
        <v>0</v>
      </c>
      <c r="AV747" s="2128">
        <f>Y747-'Blocking-Step2'!Y747</f>
        <v>0</v>
      </c>
    </row>
    <row r="748" spans="1:48" ht="16.5" hidden="1" thickTop="1">
      <c r="A748" s="1116" t="s">
        <v>1158</v>
      </c>
      <c r="C748" s="1105">
        <v>8000</v>
      </c>
      <c r="D748" s="1105">
        <v>8251</v>
      </c>
      <c r="F748" s="1106">
        <v>7.125</v>
      </c>
      <c r="G748" s="1921" t="s">
        <v>495</v>
      </c>
      <c r="H748" s="1146">
        <v>570</v>
      </c>
      <c r="I748" s="1146">
        <v>588</v>
      </c>
      <c r="K748" s="1106">
        <v>0</v>
      </c>
      <c r="L748" s="1921" t="s">
        <v>495</v>
      </c>
      <c r="M748" s="1106">
        <v>7.125</v>
      </c>
      <c r="N748" s="1921" t="s">
        <v>495</v>
      </c>
      <c r="O748" s="1106">
        <v>0</v>
      </c>
      <c r="P748" s="1921" t="s">
        <v>495</v>
      </c>
      <c r="Q748" s="1106">
        <v>7.125</v>
      </c>
      <c r="R748" s="1921" t="s">
        <v>495</v>
      </c>
      <c r="S748" s="1146">
        <v>0</v>
      </c>
      <c r="T748" s="1648"/>
      <c r="U748" s="1146">
        <v>588</v>
      </c>
      <c r="V748" s="1648"/>
      <c r="W748" s="1146">
        <v>0</v>
      </c>
      <c r="X748" s="1648"/>
      <c r="Y748" s="1146">
        <v>588</v>
      </c>
      <c r="Z748" s="2114">
        <f>C748-'Blocking-Step2'!C748</f>
        <v>0</v>
      </c>
      <c r="AA748" s="2114">
        <f>D748-'Blocking-Step2'!D748</f>
        <v>0</v>
      </c>
      <c r="AC748" s="2114">
        <f>F748-'Blocking-Step2'!F748</f>
        <v>0</v>
      </c>
      <c r="AE748" s="2114">
        <f>H748-'Blocking-Step2'!H748</f>
        <v>0</v>
      </c>
      <c r="AF748" s="2114">
        <f>I748-'Blocking-Step2'!I748</f>
        <v>0</v>
      </c>
      <c r="AH748" s="2136">
        <f>K748-'Blocking-Step2'!K748</f>
        <v>0</v>
      </c>
      <c r="AJ748" s="2136">
        <f>M748-'Blocking-Step2'!M748</f>
        <v>0</v>
      </c>
      <c r="AL748" s="2136">
        <f>O748-'Blocking-Step2'!O748</f>
        <v>0</v>
      </c>
      <c r="AN748" s="2137">
        <f>Q748-'Blocking-Step2'!Q748</f>
        <v>0</v>
      </c>
      <c r="AP748" s="2127">
        <f>S748-'Blocking-Step2'!S748</f>
        <v>0</v>
      </c>
      <c r="AR748" s="2127">
        <f>U748-'Blocking-Step2'!U748</f>
        <v>0</v>
      </c>
      <c r="AT748" s="2127">
        <f>W748-'Blocking-Step2'!W748</f>
        <v>0</v>
      </c>
      <c r="AV748" s="2128">
        <f>Y748-'Blocking-Step2'!Y748</f>
        <v>0</v>
      </c>
    </row>
    <row r="749" spans="1:48" ht="16.5" hidden="1" thickTop="1">
      <c r="A749" s="1116" t="s">
        <v>246</v>
      </c>
      <c r="C749" s="1940">
        <v>-9801655</v>
      </c>
      <c r="D749" s="1940">
        <v>0</v>
      </c>
      <c r="H749" s="1147">
        <v>-781385.35258647613</v>
      </c>
      <c r="I749" s="1147">
        <v>0</v>
      </c>
      <c r="Y749" s="1147">
        <v>0</v>
      </c>
      <c r="Z749" s="2114">
        <f>C749-'Blocking-Step2'!C749</f>
        <v>0</v>
      </c>
      <c r="AA749" s="2114">
        <f>D749-'Blocking-Step2'!D749</f>
        <v>0</v>
      </c>
      <c r="AC749" s="2114">
        <f>F749-'Blocking-Step2'!F749</f>
        <v>0</v>
      </c>
      <c r="AE749" s="2114">
        <f>H749-'Blocking-Step2'!H749</f>
        <v>0</v>
      </c>
      <c r="AF749" s="2114">
        <f>I749-'Blocking-Step2'!I749</f>
        <v>0</v>
      </c>
      <c r="AH749" s="2136">
        <f>K749-'Blocking-Step2'!K749</f>
        <v>0</v>
      </c>
      <c r="AJ749" s="2136">
        <f>M749-'Blocking-Step2'!M749</f>
        <v>0</v>
      </c>
      <c r="AL749" s="2136">
        <f>O749-'Blocking-Step2'!O749</f>
        <v>0</v>
      </c>
      <c r="AN749" s="2137">
        <f>Q749-'Blocking-Step2'!Q749</f>
        <v>0</v>
      </c>
      <c r="AP749" s="2127">
        <f>S749-'Blocking-Step2'!S749</f>
        <v>0</v>
      </c>
      <c r="AR749" s="2127">
        <f>U749-'Blocking-Step2'!U749</f>
        <v>0</v>
      </c>
      <c r="AT749" s="2127">
        <f>W749-'Blocking-Step2'!W749</f>
        <v>0</v>
      </c>
      <c r="AV749" s="2128">
        <f>Y749-'Blocking-Step2'!Y749</f>
        <v>0</v>
      </c>
    </row>
    <row r="750" spans="1:48" ht="16.5" hidden="1" thickTop="1">
      <c r="A750" s="1116" t="s">
        <v>1240</v>
      </c>
      <c r="C750" s="1024"/>
      <c r="D750" s="1024"/>
      <c r="F750" s="2076">
        <v>-3.61E-2</v>
      </c>
      <c r="G750" s="617"/>
      <c r="H750" s="1146">
        <v>-1631819.4554999999</v>
      </c>
      <c r="I750" s="1146">
        <v>-1697651.5238000001</v>
      </c>
      <c r="K750" s="2076"/>
      <c r="L750" s="617"/>
      <c r="M750" s="2076"/>
      <c r="N750" s="617"/>
      <c r="O750" s="2077" t="s">
        <v>2323</v>
      </c>
      <c r="P750" s="617"/>
      <c r="Q750" s="2076">
        <v>-2.76E-2</v>
      </c>
      <c r="R750" s="617"/>
      <c r="S750" s="1114"/>
      <c r="T750" s="1114"/>
      <c r="U750" s="1114"/>
      <c r="V750" s="1114"/>
      <c r="W750" s="1114"/>
      <c r="X750" s="1114"/>
      <c r="Y750" s="1146">
        <v>-1289197.656</v>
      </c>
      <c r="Z750" s="2114">
        <f>C750-'Blocking-Step2'!C750</f>
        <v>0</v>
      </c>
      <c r="AA750" s="2114">
        <f>D750-'Blocking-Step2'!D750</f>
        <v>0</v>
      </c>
      <c r="AC750" s="2114">
        <f>F750-'Blocking-Step2'!F750</f>
        <v>0</v>
      </c>
      <c r="AE750" s="2114">
        <f>H750-'Blocking-Step2'!H750</f>
        <v>0</v>
      </c>
      <c r="AF750" s="2114">
        <f>I750-'Blocking-Step2'!I750</f>
        <v>0</v>
      </c>
      <c r="AH750" s="2136">
        <f>K750-'Blocking-Step2'!K750</f>
        <v>0</v>
      </c>
      <c r="AJ750" s="2136">
        <f>M750-'Blocking-Step2'!M750</f>
        <v>0</v>
      </c>
      <c r="AL750" s="2136" t="e">
        <f>O750-'Blocking-Step2'!O750</f>
        <v>#VALUE!</v>
      </c>
      <c r="AN750" s="2137">
        <f>Q750-'Blocking-Step2'!Q750</f>
        <v>0</v>
      </c>
      <c r="AP750" s="2127">
        <f>S750-'Blocking-Step2'!S750</f>
        <v>0</v>
      </c>
      <c r="AR750" s="2127">
        <f>U750-'Blocking-Step2'!U750</f>
        <v>0</v>
      </c>
      <c r="AT750" s="2127">
        <f>W750-'Blocking-Step2'!W750</f>
        <v>0</v>
      </c>
      <c r="AV750" s="2128">
        <f>Y750-'Blocking-Step2'!Y750</f>
        <v>0</v>
      </c>
    </row>
    <row r="751" spans="1:48" ht="16.5" hidden="1" thickTop="1">
      <c r="A751" s="1116"/>
      <c r="C751" s="1024"/>
      <c r="D751" s="1024"/>
      <c r="F751" s="2076"/>
      <c r="G751" s="617"/>
      <c r="H751" s="1146"/>
      <c r="I751" s="1146"/>
      <c r="K751" s="2076"/>
      <c r="L751" s="617"/>
      <c r="M751" s="2076"/>
      <c r="N751" s="617"/>
      <c r="O751" s="2077" t="s">
        <v>2324</v>
      </c>
      <c r="P751" s="617"/>
      <c r="Q751" s="2076">
        <v>-1.4999999999999999E-2</v>
      </c>
      <c r="R751" s="617"/>
      <c r="S751" s="1114"/>
      <c r="T751" s="1114"/>
      <c r="U751" s="1114"/>
      <c r="V751" s="1114"/>
      <c r="W751" s="1114"/>
      <c r="X751" s="1114"/>
      <c r="Y751" s="1146">
        <v>-700650.9</v>
      </c>
      <c r="Z751" s="2114">
        <f>C751-'Blocking-Step2'!C751</f>
        <v>0</v>
      </c>
      <c r="AA751" s="2114">
        <f>D751-'Blocking-Step2'!D751</f>
        <v>0</v>
      </c>
      <c r="AC751" s="2114">
        <f>F751-'Blocking-Step2'!F751</f>
        <v>0</v>
      </c>
      <c r="AE751" s="2114">
        <f>H751-'Blocking-Step2'!H751</f>
        <v>0</v>
      </c>
      <c r="AF751" s="2114">
        <f>I751-'Blocking-Step2'!I751</f>
        <v>0</v>
      </c>
      <c r="AH751" s="2136">
        <f>K751-'Blocking-Step2'!K751</f>
        <v>0</v>
      </c>
      <c r="AJ751" s="2136">
        <f>M751-'Blocking-Step2'!M751</f>
        <v>0</v>
      </c>
      <c r="AL751" s="2136" t="e">
        <f>O751-'Blocking-Step2'!O751</f>
        <v>#VALUE!</v>
      </c>
      <c r="AN751" s="2137">
        <f>Q751-'Blocking-Step2'!Q751</f>
        <v>0</v>
      </c>
      <c r="AP751" s="2127">
        <f>S751-'Blocking-Step2'!S751</f>
        <v>0</v>
      </c>
      <c r="AR751" s="2127">
        <f>U751-'Blocking-Step2'!U751</f>
        <v>0</v>
      </c>
      <c r="AT751" s="2127">
        <f>W751-'Blocking-Step2'!W751</f>
        <v>0</v>
      </c>
      <c r="AV751" s="2128">
        <f>Y751-'Blocking-Step2'!Y751</f>
        <v>0</v>
      </c>
    </row>
    <row r="752" spans="1:48" ht="16.5" hidden="1" thickTop="1">
      <c r="A752" s="1116" t="s">
        <v>1317</v>
      </c>
      <c r="C752" s="1024">
        <v>0</v>
      </c>
      <c r="D752" s="1105">
        <v>0</v>
      </c>
      <c r="F752" s="2076"/>
      <c r="G752" s="617"/>
      <c r="H752" s="1146"/>
      <c r="I752" s="1146"/>
      <c r="K752" s="2076"/>
      <c r="L752" s="617"/>
      <c r="M752" s="2076"/>
      <c r="N752" s="617"/>
      <c r="O752" s="2076"/>
      <c r="P752" s="617"/>
      <c r="Q752" s="2076"/>
      <c r="R752" s="617"/>
      <c r="S752" s="1114"/>
      <c r="T752" s="1114"/>
      <c r="U752" s="1114"/>
      <c r="V752" s="1114"/>
      <c r="W752" s="1114"/>
      <c r="X752" s="1114"/>
      <c r="Y752" s="1146"/>
      <c r="Z752" s="2114">
        <f>C752-'Blocking-Step2'!C752</f>
        <v>0</v>
      </c>
      <c r="AA752" s="2114">
        <f>D752-'Blocking-Step2'!D752</f>
        <v>0</v>
      </c>
      <c r="AC752" s="2114">
        <f>F752-'Blocking-Step2'!F752</f>
        <v>0</v>
      </c>
      <c r="AE752" s="2114">
        <f>H752-'Blocking-Step2'!H752</f>
        <v>0</v>
      </c>
      <c r="AF752" s="2114">
        <f>I752-'Blocking-Step2'!I752</f>
        <v>0</v>
      </c>
      <c r="AH752" s="2136">
        <f>K752-'Blocking-Step2'!K752</f>
        <v>0</v>
      </c>
      <c r="AJ752" s="2136">
        <f>M752-'Blocking-Step2'!M752</f>
        <v>0</v>
      </c>
      <c r="AL752" s="2136">
        <f>O752-'Blocking-Step2'!O752</f>
        <v>0</v>
      </c>
      <c r="AN752" s="2137">
        <f>Q752-'Blocking-Step2'!Q752</f>
        <v>0</v>
      </c>
      <c r="AP752" s="2127">
        <f>S752-'Blocking-Step2'!S752</f>
        <v>0</v>
      </c>
      <c r="AR752" s="2127">
        <f>U752-'Blocking-Step2'!U752</f>
        <v>0</v>
      </c>
      <c r="AT752" s="2127">
        <f>W752-'Blocking-Step2'!W752</f>
        <v>0</v>
      </c>
      <c r="AV752" s="2128">
        <f>Y752-'Blocking-Step2'!Y752</f>
        <v>0</v>
      </c>
    </row>
    <row r="753" spans="1:48" ht="17.25" hidden="1" thickTop="1" thickBot="1">
      <c r="A753" s="1116" t="s">
        <v>247</v>
      </c>
      <c r="C753" s="1138">
        <v>594851894</v>
      </c>
      <c r="D753" s="1138">
        <v>623608747.23923564</v>
      </c>
      <c r="F753" s="1145"/>
      <c r="H753" s="1149">
        <v>50672009.191913523</v>
      </c>
      <c r="I753" s="1149">
        <v>53566872.476199999</v>
      </c>
      <c r="K753" s="1145"/>
      <c r="M753" s="1145"/>
      <c r="O753" s="1145"/>
      <c r="Q753" s="1145"/>
      <c r="S753" s="1149">
        <v>9129980</v>
      </c>
      <c r="U753" s="1149">
        <v>32449108</v>
      </c>
      <c r="W753" s="1149">
        <v>13349827</v>
      </c>
      <c r="Y753" s="1149">
        <v>54928915</v>
      </c>
      <c r="Z753" s="2114">
        <f>C753-'Blocking-Step2'!C753</f>
        <v>0</v>
      </c>
      <c r="AA753" s="2114">
        <f>D753-'Blocking-Step2'!D753</f>
        <v>0</v>
      </c>
      <c r="AC753" s="2114">
        <f>F753-'Blocking-Step2'!F753</f>
        <v>0</v>
      </c>
      <c r="AE753" s="2114">
        <f>H753-'Blocking-Step2'!H753</f>
        <v>0</v>
      </c>
      <c r="AF753" s="2114">
        <f>I753-'Blocking-Step2'!I753</f>
        <v>0</v>
      </c>
      <c r="AH753" s="2136">
        <f>K753-'Blocking-Step2'!K753</f>
        <v>0</v>
      </c>
      <c r="AJ753" s="2136">
        <f>M753-'Blocking-Step2'!M753</f>
        <v>0</v>
      </c>
      <c r="AL753" s="2136">
        <f>O753-'Blocking-Step2'!O753</f>
        <v>0</v>
      </c>
      <c r="AN753" s="2137">
        <f>Q753-'Blocking-Step2'!Q753</f>
        <v>0</v>
      </c>
      <c r="AP753" s="2127">
        <f>S753-'Blocking-Step2'!S753</f>
        <v>-10434939</v>
      </c>
      <c r="AR753" s="2127">
        <f>U753-'Blocking-Step2'!U753</f>
        <v>10434938</v>
      </c>
      <c r="AT753" s="2127">
        <f>W753-'Blocking-Step2'!W753</f>
        <v>0</v>
      </c>
      <c r="AV753" s="2128">
        <f>Y753-'Blocking-Step2'!Y753</f>
        <v>0</v>
      </c>
    </row>
    <row r="754" spans="1:48" ht="16.5" thickTop="1">
      <c r="C754" s="1105"/>
      <c r="D754" s="1105"/>
      <c r="Z754" s="2114">
        <f>C754-'Blocking-Step2'!C754</f>
        <v>0</v>
      </c>
      <c r="AA754" s="2114">
        <f>D754-'Blocking-Step2'!D754</f>
        <v>0</v>
      </c>
      <c r="AC754" s="2114">
        <f>F754-'Blocking-Step2'!F754</f>
        <v>0</v>
      </c>
      <c r="AE754" s="2114">
        <f>H754-'Blocking-Step2'!H754</f>
        <v>0</v>
      </c>
      <c r="AF754" s="2114">
        <f>I754-'Blocking-Step2'!I754</f>
        <v>0</v>
      </c>
      <c r="AH754" s="2136">
        <f>K754-'Blocking-Step2'!K754</f>
        <v>0</v>
      </c>
      <c r="AJ754" s="2136">
        <f>M754-'Blocking-Step2'!M754</f>
        <v>0</v>
      </c>
      <c r="AL754" s="2136">
        <f>O754-'Blocking-Step2'!O754</f>
        <v>0</v>
      </c>
      <c r="AN754" s="2137">
        <f>Q754-'Blocking-Step2'!Q754</f>
        <v>0</v>
      </c>
      <c r="AP754" s="2127">
        <f>S754-'Blocking-Step2'!S754</f>
        <v>0</v>
      </c>
      <c r="AR754" s="2127">
        <f>U754-'Blocking-Step2'!U754</f>
        <v>0</v>
      </c>
      <c r="AT754" s="2127">
        <f>W754-'Blocking-Step2'!W754</f>
        <v>0</v>
      </c>
      <c r="AV754" s="2128">
        <f>Y754-'Blocking-Step2'!Y754</f>
        <v>0</v>
      </c>
    </row>
    <row r="755" spans="1:48">
      <c r="A755" s="1115" t="s">
        <v>979</v>
      </c>
      <c r="C755" s="1105"/>
      <c r="D755" s="1105"/>
      <c r="Z755" s="2114">
        <f>C755-'Blocking-Step2'!C755</f>
        <v>0</v>
      </c>
      <c r="AA755" s="2114">
        <f>D755-'Blocking-Step2'!D755</f>
        <v>0</v>
      </c>
      <c r="AC755" s="2114">
        <f>F755-'Blocking-Step2'!F755</f>
        <v>0</v>
      </c>
      <c r="AE755" s="2114">
        <f>H755-'Blocking-Step2'!H755</f>
        <v>0</v>
      </c>
      <c r="AF755" s="2114">
        <f>I755-'Blocking-Step2'!I755</f>
        <v>0</v>
      </c>
      <c r="AH755" s="2136">
        <f>K755-'Blocking-Step2'!K755</f>
        <v>0</v>
      </c>
      <c r="AJ755" s="2136">
        <f>M755-'Blocking-Step2'!M755</f>
        <v>0</v>
      </c>
      <c r="AL755" s="2136">
        <f>O755-'Blocking-Step2'!O755</f>
        <v>0</v>
      </c>
      <c r="AN755" s="2137">
        <f>Q755-'Blocking-Step2'!Q755</f>
        <v>0</v>
      </c>
      <c r="AP755" s="2127">
        <f>S755-'Blocking-Step2'!S755</f>
        <v>0</v>
      </c>
      <c r="AR755" s="2127">
        <f>U755-'Blocking-Step2'!U755</f>
        <v>0</v>
      </c>
      <c r="AT755" s="2127">
        <f>W755-'Blocking-Step2'!W755</f>
        <v>0</v>
      </c>
      <c r="AV755" s="2128">
        <f>Y755-'Blocking-Step2'!Y755</f>
        <v>0</v>
      </c>
    </row>
    <row r="756" spans="1:48">
      <c r="A756" s="1116" t="s">
        <v>240</v>
      </c>
      <c r="C756" s="1105">
        <v>3423.7666666666673</v>
      </c>
      <c r="D756" s="1105">
        <v>4434</v>
      </c>
      <c r="F756" s="1907">
        <v>54</v>
      </c>
      <c r="G756" s="1110"/>
      <c r="H756" s="1146">
        <v>184883</v>
      </c>
      <c r="I756" s="1146">
        <v>239436</v>
      </c>
      <c r="K756" s="1907">
        <v>54</v>
      </c>
      <c r="L756" s="1110"/>
      <c r="M756" s="1907">
        <v>0</v>
      </c>
      <c r="N756" s="1110"/>
      <c r="O756" s="1907">
        <v>0</v>
      </c>
      <c r="P756" s="1110"/>
      <c r="Q756" s="1907">
        <v>54</v>
      </c>
      <c r="R756" s="1110"/>
      <c r="S756" s="1146">
        <v>239436</v>
      </c>
      <c r="T756" s="1114"/>
      <c r="U756" s="1146">
        <v>0</v>
      </c>
      <c r="V756" s="1114"/>
      <c r="W756" s="1146">
        <v>0</v>
      </c>
      <c r="X756" s="1629"/>
      <c r="Y756" s="1146">
        <v>239436</v>
      </c>
      <c r="Z756" s="2114">
        <f>C756-'Blocking-Step2'!C756</f>
        <v>0</v>
      </c>
      <c r="AA756" s="2114">
        <f>D756-'Blocking-Step2'!D756</f>
        <v>0</v>
      </c>
      <c r="AC756" s="2114">
        <f>F756-'Blocking-Step2'!F756</f>
        <v>0</v>
      </c>
      <c r="AE756" s="2114">
        <f>H756-'Blocking-Step2'!H756</f>
        <v>0</v>
      </c>
      <c r="AF756" s="2114">
        <f>I756-'Blocking-Step2'!I756</f>
        <v>0</v>
      </c>
      <c r="AH756" s="2136">
        <f>K756-'Blocking-Step2'!K756</f>
        <v>0</v>
      </c>
      <c r="AJ756" s="2136">
        <f>M756-'Blocking-Step2'!M756</f>
        <v>0</v>
      </c>
      <c r="AL756" s="2136">
        <f>O756-'Blocking-Step2'!O756</f>
        <v>0</v>
      </c>
      <c r="AN756" s="2137">
        <f>Q756-'Blocking-Step2'!Q756</f>
        <v>0</v>
      </c>
      <c r="AP756" s="2127">
        <f>S756-'Blocking-Step2'!S756</f>
        <v>0</v>
      </c>
      <c r="AR756" s="2127">
        <f>U756-'Blocking-Step2'!U756</f>
        <v>0</v>
      </c>
      <c r="AT756" s="2127">
        <f>W756-'Blocking-Step2'!W756</f>
        <v>0</v>
      </c>
      <c r="AV756" s="2128">
        <f>Y756-'Blocking-Step2'!Y756</f>
        <v>0</v>
      </c>
    </row>
    <row r="757" spans="1:48">
      <c r="A757" s="1116" t="s">
        <v>262</v>
      </c>
      <c r="C757" s="1105">
        <v>0</v>
      </c>
      <c r="D757" s="1105">
        <v>0</v>
      </c>
      <c r="F757" s="1907">
        <v>648</v>
      </c>
      <c r="G757" s="1110"/>
      <c r="H757" s="1146">
        <v>0</v>
      </c>
      <c r="I757" s="1146">
        <v>0</v>
      </c>
      <c r="K757" s="1907">
        <v>648</v>
      </c>
      <c r="L757" s="1110"/>
      <c r="M757" s="1907">
        <v>0</v>
      </c>
      <c r="N757" s="1110"/>
      <c r="O757" s="1907">
        <v>0</v>
      </c>
      <c r="P757" s="1110"/>
      <c r="Q757" s="1907">
        <v>648</v>
      </c>
      <c r="R757" s="1110"/>
      <c r="S757" s="1146">
        <v>0</v>
      </c>
      <c r="T757" s="1114"/>
      <c r="U757" s="1146">
        <v>0</v>
      </c>
      <c r="V757" s="1114"/>
      <c r="W757" s="1146">
        <v>0</v>
      </c>
      <c r="X757" s="1629"/>
      <c r="Y757" s="1146">
        <v>0</v>
      </c>
      <c r="Z757" s="2114">
        <f>C757-'Blocking-Step2'!C757</f>
        <v>0</v>
      </c>
      <c r="AA757" s="2114">
        <f>D757-'Blocking-Step2'!D757</f>
        <v>0</v>
      </c>
      <c r="AC757" s="2114">
        <f>F757-'Blocking-Step2'!F757</f>
        <v>0</v>
      </c>
      <c r="AE757" s="2114">
        <f>H757-'Blocking-Step2'!H757</f>
        <v>0</v>
      </c>
      <c r="AF757" s="2114">
        <f>I757-'Blocking-Step2'!I757</f>
        <v>0</v>
      </c>
      <c r="AH757" s="2136">
        <f>K757-'Blocking-Step2'!K757</f>
        <v>0</v>
      </c>
      <c r="AJ757" s="2136">
        <f>M757-'Blocking-Step2'!M757</f>
        <v>0</v>
      </c>
      <c r="AL757" s="2136">
        <f>O757-'Blocking-Step2'!O757</f>
        <v>0</v>
      </c>
      <c r="AN757" s="2137">
        <f>Q757-'Blocking-Step2'!Q757</f>
        <v>0</v>
      </c>
      <c r="AP757" s="2127">
        <f>S757-'Blocking-Step2'!S757</f>
        <v>0</v>
      </c>
      <c r="AR757" s="2127">
        <f>U757-'Blocking-Step2'!U757</f>
        <v>0</v>
      </c>
      <c r="AT757" s="2127">
        <f>W757-'Blocking-Step2'!W757</f>
        <v>0</v>
      </c>
      <c r="AV757" s="2128">
        <f>Y757-'Blocking-Step2'!Y757</f>
        <v>0</v>
      </c>
    </row>
    <row r="758" spans="1:48">
      <c r="A758" s="1116" t="s">
        <v>1298</v>
      </c>
      <c r="C758" s="1105">
        <v>0</v>
      </c>
      <c r="D758" s="1105">
        <v>0</v>
      </c>
      <c r="F758" s="1142">
        <v>54</v>
      </c>
      <c r="G758" s="617"/>
      <c r="H758" s="1146">
        <v>0</v>
      </c>
      <c r="I758" s="1146">
        <v>0</v>
      </c>
      <c r="K758" s="1142">
        <v>54</v>
      </c>
      <c r="L758" s="617"/>
      <c r="M758" s="1142">
        <v>0</v>
      </c>
      <c r="N758" s="617"/>
      <c r="O758" s="1142">
        <v>0</v>
      </c>
      <c r="P758" s="617"/>
      <c r="Q758" s="1142">
        <v>54</v>
      </c>
      <c r="R758" s="617"/>
      <c r="S758" s="1146">
        <v>0</v>
      </c>
      <c r="T758" s="1114"/>
      <c r="U758" s="1146">
        <v>0</v>
      </c>
      <c r="V758" s="1114"/>
      <c r="W758" s="1146">
        <v>0</v>
      </c>
      <c r="X758" s="1114"/>
      <c r="Y758" s="1146">
        <v>0</v>
      </c>
      <c r="Z758" s="2114">
        <f>C758-'Blocking-Step2'!C758</f>
        <v>0</v>
      </c>
      <c r="AA758" s="2114">
        <f>D758-'Blocking-Step2'!D758</f>
        <v>0</v>
      </c>
      <c r="AC758" s="2114">
        <f>F758-'Blocking-Step2'!F758</f>
        <v>0</v>
      </c>
      <c r="AE758" s="2114">
        <f>H758-'Blocking-Step2'!H758</f>
        <v>0</v>
      </c>
      <c r="AF758" s="2114">
        <f>I758-'Blocking-Step2'!I758</f>
        <v>0</v>
      </c>
      <c r="AH758" s="2136">
        <f>K758-'Blocking-Step2'!K758</f>
        <v>0</v>
      </c>
      <c r="AJ758" s="2136">
        <f>M758-'Blocking-Step2'!M758</f>
        <v>0</v>
      </c>
      <c r="AL758" s="2136">
        <f>O758-'Blocking-Step2'!O758</f>
        <v>0</v>
      </c>
      <c r="AN758" s="2137">
        <f>Q758-'Blocking-Step2'!Q758</f>
        <v>0</v>
      </c>
      <c r="AP758" s="2127">
        <f>S758-'Blocking-Step2'!S758</f>
        <v>0</v>
      </c>
      <c r="AR758" s="2127">
        <f>U758-'Blocking-Step2'!U758</f>
        <v>0</v>
      </c>
      <c r="AT758" s="2127">
        <f>W758-'Blocking-Step2'!W758</f>
        <v>0</v>
      </c>
      <c r="AV758" s="2128">
        <f>Y758-'Blocking-Step2'!Y758</f>
        <v>0</v>
      </c>
    </row>
    <row r="759" spans="1:48">
      <c r="A759" s="1116" t="s">
        <v>168</v>
      </c>
      <c r="C759" s="1105">
        <v>383745.23267326731</v>
      </c>
      <c r="D759" s="1105">
        <v>505379</v>
      </c>
      <c r="F759" s="1907">
        <v>4.04</v>
      </c>
      <c r="G759" s="1110"/>
      <c r="H759" s="1146">
        <v>1550331</v>
      </c>
      <c r="I759" s="1146">
        <v>2041731</v>
      </c>
      <c r="K759" s="1907">
        <v>4.03</v>
      </c>
      <c r="L759" s="1110"/>
      <c r="M759" s="1907">
        <v>0</v>
      </c>
      <c r="N759" s="1110"/>
      <c r="O759" s="1907">
        <v>0</v>
      </c>
      <c r="P759" s="1110"/>
      <c r="Q759" s="1907">
        <v>4.03</v>
      </c>
      <c r="R759" s="1110"/>
      <c r="S759" s="1146">
        <v>2036677</v>
      </c>
      <c r="T759" s="1114"/>
      <c r="U759" s="1146">
        <v>0</v>
      </c>
      <c r="V759" s="1114"/>
      <c r="W759" s="1146">
        <v>0</v>
      </c>
      <c r="X759" s="1629"/>
      <c r="Y759" s="1146">
        <v>2036677</v>
      </c>
      <c r="Z759" s="2114">
        <f>C759-'Blocking-Step2'!C759</f>
        <v>0</v>
      </c>
      <c r="AA759" s="2114">
        <f>D759-'Blocking-Step2'!D759</f>
        <v>0</v>
      </c>
      <c r="AC759" s="2114">
        <f>F759-'Blocking-Step2'!F759</f>
        <v>0</v>
      </c>
      <c r="AE759" s="2114">
        <f>H759-'Blocking-Step2'!H759</f>
        <v>0</v>
      </c>
      <c r="AF759" s="2114">
        <f>I759-'Blocking-Step2'!I759</f>
        <v>0</v>
      </c>
      <c r="AH759" s="2136">
        <f>K759-'Blocking-Step2'!K759</f>
        <v>0</v>
      </c>
      <c r="AJ759" s="2136">
        <f>M759-'Blocking-Step2'!M759</f>
        <v>0</v>
      </c>
      <c r="AL759" s="2136">
        <f>O759-'Blocking-Step2'!O759</f>
        <v>0</v>
      </c>
      <c r="AN759" s="2137">
        <f>Q759-'Blocking-Step2'!Q759</f>
        <v>0</v>
      </c>
      <c r="AP759" s="2127">
        <f>S759-'Blocking-Step2'!S759</f>
        <v>0</v>
      </c>
      <c r="AR759" s="2127">
        <f>U759-'Blocking-Step2'!U759</f>
        <v>0</v>
      </c>
      <c r="AT759" s="2127">
        <f>W759-'Blocking-Step2'!W759</f>
        <v>0</v>
      </c>
      <c r="AV759" s="2128">
        <f>Y759-'Blocking-Step2'!Y759</f>
        <v>0</v>
      </c>
    </row>
    <row r="760" spans="1:48">
      <c r="A760" s="1116" t="s">
        <v>1645</v>
      </c>
      <c r="C760" s="1105">
        <v>157278.49761986933</v>
      </c>
      <c r="D760" s="1105">
        <v>206980</v>
      </c>
      <c r="F760" s="1142"/>
      <c r="G760" s="617"/>
      <c r="H760" s="1146"/>
      <c r="I760" s="1146"/>
      <c r="K760" s="1142">
        <v>0.51</v>
      </c>
      <c r="L760" s="617"/>
      <c r="M760" s="1142">
        <v>12.89</v>
      </c>
      <c r="N760" s="617"/>
      <c r="O760" s="1142">
        <v>0</v>
      </c>
      <c r="P760" s="617"/>
      <c r="Q760" s="1142">
        <v>13.4</v>
      </c>
      <c r="R760" s="617"/>
      <c r="S760" s="1146">
        <v>105560</v>
      </c>
      <c r="T760" s="1146"/>
      <c r="U760" s="1146">
        <v>2667972</v>
      </c>
      <c r="V760" s="1146"/>
      <c r="W760" s="1146">
        <v>0</v>
      </c>
      <c r="X760" s="1114"/>
      <c r="Y760" s="1146">
        <v>2773532</v>
      </c>
      <c r="Z760" s="2114">
        <f>C760-'Blocking-Step2'!C760</f>
        <v>0</v>
      </c>
      <c r="AA760" s="2114">
        <f>D760-'Blocking-Step2'!D760</f>
        <v>0</v>
      </c>
      <c r="AC760" s="2114">
        <f>F760-'Blocking-Step2'!F760</f>
        <v>0</v>
      </c>
      <c r="AE760" s="2114">
        <f>H760-'Blocking-Step2'!H760</f>
        <v>0</v>
      </c>
      <c r="AF760" s="2114">
        <f>I760-'Blocking-Step2'!I760</f>
        <v>0</v>
      </c>
      <c r="AH760" s="2136">
        <f>K760-'Blocking-Step2'!K760</f>
        <v>-5.83</v>
      </c>
      <c r="AJ760" s="2136">
        <f>M760-'Blocking-Step2'!M760</f>
        <v>5.83</v>
      </c>
      <c r="AL760" s="2136">
        <f>O760-'Blocking-Step2'!O760</f>
        <v>0</v>
      </c>
      <c r="AN760" s="2137">
        <f>Q760-'Blocking-Step2'!Q760</f>
        <v>0</v>
      </c>
      <c r="AP760" s="2127">
        <f>S760-'Blocking-Step2'!S760</f>
        <v>-1206693</v>
      </c>
      <c r="AR760" s="2127">
        <f>U760-'Blocking-Step2'!U760</f>
        <v>1206693</v>
      </c>
      <c r="AT760" s="2127">
        <f>W760-'Blocking-Step2'!W760</f>
        <v>0</v>
      </c>
      <c r="AV760" s="2128">
        <f>Y760-'Blocking-Step2'!Y760</f>
        <v>0</v>
      </c>
    </row>
    <row r="761" spans="1:48">
      <c r="A761" s="1116" t="s">
        <v>1646</v>
      </c>
      <c r="C761" s="1105">
        <v>226466.75962037957</v>
      </c>
      <c r="D761" s="1105">
        <v>298398</v>
      </c>
      <c r="F761" s="1142"/>
      <c r="G761" s="617"/>
      <c r="H761" s="1146"/>
      <c r="I761" s="1146"/>
      <c r="K761" s="1142">
        <v>0.45</v>
      </c>
      <c r="L761" s="617"/>
      <c r="M761" s="1142">
        <v>11.41</v>
      </c>
      <c r="N761" s="617"/>
      <c r="O761" s="1142">
        <v>0</v>
      </c>
      <c r="P761" s="617"/>
      <c r="Q761" s="1142">
        <v>11.86</v>
      </c>
      <c r="R761" s="617"/>
      <c r="S761" s="1146">
        <v>134279</v>
      </c>
      <c r="T761" s="1146"/>
      <c r="U761" s="1146">
        <v>3404721</v>
      </c>
      <c r="V761" s="1146"/>
      <c r="W761" s="1146">
        <v>0</v>
      </c>
      <c r="X761" s="1114"/>
      <c r="Y761" s="1146">
        <v>3539000</v>
      </c>
      <c r="Z761" s="2114">
        <f>C761-'Blocking-Step2'!C761</f>
        <v>0</v>
      </c>
      <c r="AA761" s="2114">
        <f>D761-'Blocking-Step2'!D761</f>
        <v>0</v>
      </c>
      <c r="AC761" s="2114">
        <f>F761-'Blocking-Step2'!F761</f>
        <v>0</v>
      </c>
      <c r="AE761" s="2114">
        <f>H761-'Blocking-Step2'!H761</f>
        <v>0</v>
      </c>
      <c r="AF761" s="2114">
        <f>I761-'Blocking-Step2'!I761</f>
        <v>0</v>
      </c>
      <c r="AH761" s="2136">
        <f>K761-'Blocking-Step2'!K761</f>
        <v>-5.16</v>
      </c>
      <c r="AJ761" s="2136">
        <f>M761-'Blocking-Step2'!M761</f>
        <v>5.160000000000001</v>
      </c>
      <c r="AL761" s="2136">
        <f>O761-'Blocking-Step2'!O761</f>
        <v>0</v>
      </c>
      <c r="AN761" s="2137">
        <f>Q761-'Blocking-Step2'!Q761</f>
        <v>0</v>
      </c>
      <c r="AP761" s="2127">
        <f>S761-'Blocking-Step2'!S761</f>
        <v>-1539734</v>
      </c>
      <c r="AR761" s="2127">
        <f>U761-'Blocking-Step2'!U761</f>
        <v>1539733</v>
      </c>
      <c r="AT761" s="2127">
        <f>W761-'Blocking-Step2'!W761</f>
        <v>0</v>
      </c>
      <c r="AV761" s="2128">
        <f>Y761-'Blocking-Step2'!Y761</f>
        <v>0</v>
      </c>
    </row>
    <row r="762" spans="1:48">
      <c r="A762" s="1116" t="s">
        <v>1647</v>
      </c>
      <c r="C762" s="1105">
        <v>50086245.627021879</v>
      </c>
      <c r="D762" s="1105">
        <v>60590665.781530641</v>
      </c>
      <c r="F762" s="1106"/>
      <c r="G762" s="1921"/>
      <c r="H762" s="1146"/>
      <c r="I762" s="1146"/>
      <c r="K762" s="1106">
        <v>0</v>
      </c>
      <c r="L762" s="1921" t="s">
        <v>495</v>
      </c>
      <c r="M762" s="1106">
        <v>1.6192</v>
      </c>
      <c r="N762" s="1921" t="s">
        <v>495</v>
      </c>
      <c r="O762" s="1106">
        <v>2.305570240802</v>
      </c>
      <c r="P762" s="1921" t="s">
        <v>495</v>
      </c>
      <c r="Q762" s="1106">
        <v>3.9247702408020002</v>
      </c>
      <c r="R762" s="1921" t="s">
        <v>495</v>
      </c>
      <c r="S762" s="1146">
        <v>0</v>
      </c>
      <c r="T762" s="1146"/>
      <c r="U762" s="1146">
        <v>981084</v>
      </c>
      <c r="V762" s="1146"/>
      <c r="W762" s="1146">
        <v>1396960</v>
      </c>
      <c r="X762" s="1648"/>
      <c r="Y762" s="1146">
        <v>2378044</v>
      </c>
      <c r="Z762" s="2114">
        <f>C762-'Blocking-Step2'!C762</f>
        <v>0</v>
      </c>
      <c r="AA762" s="2114">
        <f>D762-'Blocking-Step2'!D762</f>
        <v>0</v>
      </c>
      <c r="AC762" s="2114">
        <f>F762-'Blocking-Step2'!F762</f>
        <v>0</v>
      </c>
      <c r="AE762" s="2114">
        <f>H762-'Blocking-Step2'!H762</f>
        <v>0</v>
      </c>
      <c r="AF762" s="2114">
        <f>I762-'Blocking-Step2'!I762</f>
        <v>0</v>
      </c>
      <c r="AH762" s="2136">
        <f>K762-'Blocking-Step2'!K762</f>
        <v>0</v>
      </c>
      <c r="AJ762" s="2136">
        <f>M762-'Blocking-Step2'!M762</f>
        <v>0</v>
      </c>
      <c r="AL762" s="2136">
        <f>O762-'Blocking-Step2'!O762</f>
        <v>0</v>
      </c>
      <c r="AN762" s="2137">
        <f>Q762-'Blocking-Step2'!Q762</f>
        <v>0</v>
      </c>
      <c r="AP762" s="2127">
        <f>S762-'Blocking-Step2'!S762</f>
        <v>0</v>
      </c>
      <c r="AR762" s="2127">
        <f>U762-'Blocking-Step2'!U762</f>
        <v>0</v>
      </c>
      <c r="AT762" s="2127">
        <f>W762-'Blocking-Step2'!W762</f>
        <v>0</v>
      </c>
      <c r="AV762" s="2128">
        <f>Y762-'Blocking-Step2'!Y762</f>
        <v>0</v>
      </c>
    </row>
    <row r="763" spans="1:48">
      <c r="A763" s="1116" t="s">
        <v>1648</v>
      </c>
      <c r="C763" s="1105">
        <v>79149936.007644281</v>
      </c>
      <c r="D763" s="1105">
        <v>109661557.70953687</v>
      </c>
      <c r="F763" s="1106"/>
      <c r="G763" s="1921"/>
      <c r="H763" s="1146"/>
      <c r="I763" s="1146"/>
      <c r="K763" s="1106">
        <v>0</v>
      </c>
      <c r="L763" s="1921" t="s">
        <v>495</v>
      </c>
      <c r="M763" s="1106">
        <v>1.4329000000000001</v>
      </c>
      <c r="N763" s="1921" t="s">
        <v>495</v>
      </c>
      <c r="O763" s="1106">
        <v>2.0403480007099999</v>
      </c>
      <c r="P763" s="1921" t="s">
        <v>495</v>
      </c>
      <c r="Q763" s="1106">
        <v>3.4732480007099999</v>
      </c>
      <c r="R763" s="1921" t="s">
        <v>495</v>
      </c>
      <c r="S763" s="1146">
        <v>0</v>
      </c>
      <c r="T763" s="1146"/>
      <c r="U763" s="1146">
        <v>1571340</v>
      </c>
      <c r="V763" s="1146"/>
      <c r="W763" s="1146">
        <v>2237477</v>
      </c>
      <c r="X763" s="1648"/>
      <c r="Y763" s="1146">
        <v>3808818</v>
      </c>
      <c r="Z763" s="2114">
        <f>C763-'Blocking-Step2'!C763</f>
        <v>0</v>
      </c>
      <c r="AA763" s="2114">
        <f>D763-'Blocking-Step2'!D763</f>
        <v>0</v>
      </c>
      <c r="AC763" s="2114">
        <f>F763-'Blocking-Step2'!F763</f>
        <v>0</v>
      </c>
      <c r="AE763" s="2114">
        <f>H763-'Blocking-Step2'!H763</f>
        <v>0</v>
      </c>
      <c r="AF763" s="2114">
        <f>I763-'Blocking-Step2'!I763</f>
        <v>0</v>
      </c>
      <c r="AH763" s="2136">
        <f>K763-'Blocking-Step2'!K763</f>
        <v>0</v>
      </c>
      <c r="AJ763" s="2136">
        <f>M763-'Blocking-Step2'!M763</f>
        <v>0</v>
      </c>
      <c r="AL763" s="2136">
        <f>O763-'Blocking-Step2'!O763</f>
        <v>0</v>
      </c>
      <c r="AN763" s="2137">
        <f>Q763-'Blocking-Step2'!Q763</f>
        <v>0</v>
      </c>
      <c r="AP763" s="2127">
        <f>S763-'Blocking-Step2'!S763</f>
        <v>0</v>
      </c>
      <c r="AR763" s="2127">
        <f>U763-'Blocking-Step2'!U763</f>
        <v>0</v>
      </c>
      <c r="AT763" s="2127">
        <f>W763-'Blocking-Step2'!W763</f>
        <v>0</v>
      </c>
      <c r="AV763" s="2128">
        <f>Y763-'Blocking-Step2'!Y763</f>
        <v>0</v>
      </c>
    </row>
    <row r="764" spans="1:48">
      <c r="A764" s="1116" t="s">
        <v>196</v>
      </c>
      <c r="C764" s="1105">
        <v>172978.83652530829</v>
      </c>
      <c r="D764" s="1105">
        <v>228131</v>
      </c>
      <c r="F764" s="1907">
        <v>14.62</v>
      </c>
      <c r="G764" s="1110"/>
      <c r="H764" s="1146">
        <v>2528951</v>
      </c>
      <c r="I764" s="1146">
        <v>3335275</v>
      </c>
      <c r="K764" s="1907"/>
      <c r="L764" s="1110"/>
      <c r="M764" s="1907"/>
      <c r="N764" s="1110"/>
      <c r="O764" s="1907"/>
      <c r="P764" s="1110"/>
      <c r="Q764" s="1907"/>
      <c r="R764" s="1110"/>
      <c r="S764" s="1146"/>
      <c r="T764" s="1114"/>
      <c r="U764" s="1146"/>
      <c r="V764" s="1114"/>
      <c r="W764" s="1146"/>
      <c r="X764" s="1629"/>
      <c r="Y764" s="1146"/>
      <c r="Z764" s="2114">
        <f>C764-'Blocking-Step2'!C764</f>
        <v>0</v>
      </c>
      <c r="AA764" s="2114">
        <f>D764-'Blocking-Step2'!D764</f>
        <v>0</v>
      </c>
      <c r="AC764" s="2114">
        <f>F764-'Blocking-Step2'!F764</f>
        <v>0</v>
      </c>
      <c r="AE764" s="2114">
        <f>H764-'Blocking-Step2'!H764</f>
        <v>0</v>
      </c>
      <c r="AF764" s="2114">
        <f>I764-'Blocking-Step2'!I764</f>
        <v>0</v>
      </c>
      <c r="AH764" s="2136">
        <f>K764-'Blocking-Step2'!K764</f>
        <v>0</v>
      </c>
      <c r="AJ764" s="2136">
        <f>M764-'Blocking-Step2'!M764</f>
        <v>0</v>
      </c>
      <c r="AL764" s="2136">
        <f>O764-'Blocking-Step2'!O764</f>
        <v>0</v>
      </c>
      <c r="AN764" s="2137">
        <f>Q764-'Blocking-Step2'!Q764</f>
        <v>0</v>
      </c>
      <c r="AP764" s="2127">
        <f>S764-'Blocking-Step2'!S764</f>
        <v>0</v>
      </c>
      <c r="AR764" s="2127">
        <f>U764-'Blocking-Step2'!U764</f>
        <v>0</v>
      </c>
      <c r="AT764" s="2127">
        <f>W764-'Blocking-Step2'!W764</f>
        <v>0</v>
      </c>
      <c r="AV764" s="2128">
        <f>Y764-'Blocking-Step2'!Y764</f>
        <v>0</v>
      </c>
    </row>
    <row r="765" spans="1:48">
      <c r="A765" s="1116" t="s">
        <v>161</v>
      </c>
      <c r="C765" s="1105">
        <v>210766.42071494064</v>
      </c>
      <c r="D765" s="1105">
        <v>277248</v>
      </c>
      <c r="F765" s="1907">
        <v>10.91</v>
      </c>
      <c r="G765" s="1110"/>
      <c r="H765" s="1146">
        <v>2299462</v>
      </c>
      <c r="I765" s="1146">
        <v>3024776</v>
      </c>
      <c r="K765" s="1907"/>
      <c r="L765" s="1110"/>
      <c r="M765" s="1907"/>
      <c r="N765" s="1110"/>
      <c r="O765" s="1907"/>
      <c r="P765" s="1110"/>
      <c r="Q765" s="1907"/>
      <c r="R765" s="1110"/>
      <c r="S765" s="1146"/>
      <c r="T765" s="1114"/>
      <c r="U765" s="1146"/>
      <c r="V765" s="1114"/>
      <c r="W765" s="1146"/>
      <c r="X765" s="1629"/>
      <c r="Y765" s="1146"/>
      <c r="Z765" s="2114">
        <f>C765-'Blocking-Step2'!C765</f>
        <v>0</v>
      </c>
      <c r="AA765" s="2114">
        <f>D765-'Blocking-Step2'!D765</f>
        <v>0</v>
      </c>
      <c r="AC765" s="2114">
        <f>F765-'Blocking-Step2'!F765</f>
        <v>0</v>
      </c>
      <c r="AE765" s="2114">
        <f>H765-'Blocking-Step2'!H765</f>
        <v>0</v>
      </c>
      <c r="AF765" s="2114">
        <f>I765-'Blocking-Step2'!I765</f>
        <v>0</v>
      </c>
      <c r="AH765" s="2136">
        <f>K765-'Blocking-Step2'!K765</f>
        <v>0</v>
      </c>
      <c r="AJ765" s="2136">
        <f>M765-'Blocking-Step2'!M765</f>
        <v>0</v>
      </c>
      <c r="AL765" s="2136">
        <f>O765-'Blocking-Step2'!O765</f>
        <v>0</v>
      </c>
      <c r="AN765" s="2137">
        <f>Q765-'Blocking-Step2'!Q765</f>
        <v>0</v>
      </c>
      <c r="AP765" s="2127">
        <f>S765-'Blocking-Step2'!S765</f>
        <v>0</v>
      </c>
      <c r="AR765" s="2127">
        <f>U765-'Blocking-Step2'!U765</f>
        <v>0</v>
      </c>
      <c r="AT765" s="2127">
        <f>W765-'Blocking-Step2'!W765</f>
        <v>0</v>
      </c>
      <c r="AV765" s="2128">
        <f>Y765-'Blocking-Step2'!Y765</f>
        <v>0</v>
      </c>
    </row>
    <row r="766" spans="1:48">
      <c r="A766" s="1116" t="s">
        <v>261</v>
      </c>
      <c r="C766" s="1105">
        <v>15842</v>
      </c>
      <c r="D766" s="1105">
        <v>26614</v>
      </c>
      <c r="F766" s="1907">
        <v>-0.96</v>
      </c>
      <c r="G766" s="1110"/>
      <c r="H766" s="1146">
        <v>-15208</v>
      </c>
      <c r="I766" s="1146">
        <v>-25549</v>
      </c>
      <c r="K766" s="1907">
        <v>-0.96</v>
      </c>
      <c r="L766" s="1110"/>
      <c r="M766" s="1907">
        <v>0</v>
      </c>
      <c r="N766" s="1110"/>
      <c r="O766" s="1907">
        <v>0</v>
      </c>
      <c r="P766" s="1110"/>
      <c r="Q766" s="1907">
        <v>-0.96</v>
      </c>
      <c r="R766" s="1110"/>
      <c r="S766" s="1146">
        <v>-25549</v>
      </c>
      <c r="T766" s="1146"/>
      <c r="U766" s="1146">
        <v>0</v>
      </c>
      <c r="V766" s="1146"/>
      <c r="W766" s="1146">
        <v>0</v>
      </c>
      <c r="X766" s="1629"/>
      <c r="Y766" s="1146">
        <v>-25549</v>
      </c>
      <c r="Z766" s="2114">
        <f>C766-'Blocking-Step2'!C766</f>
        <v>0</v>
      </c>
      <c r="AA766" s="2114">
        <f>D766-'Blocking-Step2'!D766</f>
        <v>0</v>
      </c>
      <c r="AC766" s="2114">
        <f>F766-'Blocking-Step2'!F766</f>
        <v>0</v>
      </c>
      <c r="AE766" s="2114">
        <f>H766-'Blocking-Step2'!H766</f>
        <v>0</v>
      </c>
      <c r="AF766" s="2114">
        <f>I766-'Blocking-Step2'!I766</f>
        <v>0</v>
      </c>
      <c r="AH766" s="2136">
        <f>K766-'Blocking-Step2'!K766</f>
        <v>0</v>
      </c>
      <c r="AJ766" s="2136">
        <f>M766-'Blocking-Step2'!M766</f>
        <v>0</v>
      </c>
      <c r="AL766" s="2136">
        <f>O766-'Blocking-Step2'!O766</f>
        <v>0</v>
      </c>
      <c r="AN766" s="2137">
        <f>Q766-'Blocking-Step2'!Q766</f>
        <v>0</v>
      </c>
      <c r="AP766" s="2127">
        <f>S766-'Blocking-Step2'!S766</f>
        <v>0</v>
      </c>
      <c r="AR766" s="2127">
        <f>U766-'Blocking-Step2'!U766</f>
        <v>0</v>
      </c>
      <c r="AT766" s="2127">
        <f>W766-'Blocking-Step2'!W766</f>
        <v>0</v>
      </c>
      <c r="AV766" s="2128">
        <f>Y766-'Blocking-Step2'!Y766</f>
        <v>0</v>
      </c>
    </row>
    <row r="767" spans="1:48">
      <c r="A767" s="1116" t="s">
        <v>1362</v>
      </c>
      <c r="C767" s="1105">
        <v>54977993.984188855</v>
      </c>
      <c r="D767" s="1105">
        <v>72856846.09838742</v>
      </c>
      <c r="F767" s="1106">
        <v>3.8127</v>
      </c>
      <c r="G767" s="1921" t="s">
        <v>495</v>
      </c>
      <c r="H767" s="1146">
        <v>2096146</v>
      </c>
      <c r="I767" s="1146">
        <v>2777813</v>
      </c>
      <c r="K767" s="1106"/>
      <c r="L767" s="1921"/>
      <c r="M767" s="1106"/>
      <c r="N767" s="1921"/>
      <c r="O767" s="1106"/>
      <c r="P767" s="1921"/>
      <c r="Q767" s="1106"/>
      <c r="R767" s="1921"/>
      <c r="S767" s="1648"/>
      <c r="T767" s="1648"/>
      <c r="U767" s="1648"/>
      <c r="V767" s="1648"/>
      <c r="W767" s="1648"/>
      <c r="X767" s="1648"/>
      <c r="Y767" s="1146"/>
      <c r="Z767" s="2114">
        <f>C767-'Blocking-Step2'!C767</f>
        <v>0</v>
      </c>
      <c r="AA767" s="2114">
        <f>D767-'Blocking-Step2'!D767</f>
        <v>0</v>
      </c>
      <c r="AC767" s="2114">
        <f>F767-'Blocking-Step2'!F767</f>
        <v>0</v>
      </c>
      <c r="AE767" s="2114">
        <f>H767-'Blocking-Step2'!H767</f>
        <v>0</v>
      </c>
      <c r="AF767" s="2114">
        <f>I767-'Blocking-Step2'!I767</f>
        <v>0</v>
      </c>
      <c r="AH767" s="2136">
        <f>K767-'Blocking-Step2'!K767</f>
        <v>0</v>
      </c>
      <c r="AJ767" s="2136">
        <f>M767-'Blocking-Step2'!M767</f>
        <v>0</v>
      </c>
      <c r="AL767" s="2136">
        <f>O767-'Blocking-Step2'!O767</f>
        <v>0</v>
      </c>
      <c r="AN767" s="2137">
        <f>Q767-'Blocking-Step2'!Q767</f>
        <v>0</v>
      </c>
      <c r="AP767" s="2127">
        <f>S767-'Blocking-Step2'!S767</f>
        <v>0</v>
      </c>
      <c r="AR767" s="2127">
        <f>U767-'Blocking-Step2'!U767</f>
        <v>0</v>
      </c>
      <c r="AT767" s="2127">
        <f>W767-'Blocking-Step2'!W767</f>
        <v>0</v>
      </c>
      <c r="AV767" s="2128">
        <f>Y767-'Blocking-Step2'!Y767</f>
        <v>0</v>
      </c>
    </row>
    <row r="768" spans="1:48">
      <c r="A768" s="1116" t="s">
        <v>1363</v>
      </c>
      <c r="C768" s="1105">
        <v>74258187.650477305</v>
      </c>
      <c r="D768" s="1105">
        <v>97395377.392680094</v>
      </c>
      <c r="F768" s="1106">
        <v>3.5143</v>
      </c>
      <c r="G768" s="1921" t="s">
        <v>495</v>
      </c>
      <c r="H768" s="1146">
        <v>2609655</v>
      </c>
      <c r="I768" s="1146">
        <v>3422766</v>
      </c>
      <c r="K768" s="1106"/>
      <c r="L768" s="1921"/>
      <c r="M768" s="1106"/>
      <c r="N768" s="1921"/>
      <c r="O768" s="1106"/>
      <c r="P768" s="1921"/>
      <c r="Q768" s="1106"/>
      <c r="R768" s="1921"/>
      <c r="S768" s="1648"/>
      <c r="T768" s="1648"/>
      <c r="U768" s="1648"/>
      <c r="V768" s="1648"/>
      <c r="W768" s="1648"/>
      <c r="X768" s="1648"/>
      <c r="Y768" s="1146"/>
      <c r="Z768" s="2114">
        <f>C768-'Blocking-Step2'!C768</f>
        <v>0</v>
      </c>
      <c r="AA768" s="2114">
        <f>D768-'Blocking-Step2'!D768</f>
        <v>0</v>
      </c>
      <c r="AC768" s="2114">
        <f>F768-'Blocking-Step2'!F768</f>
        <v>0</v>
      </c>
      <c r="AE768" s="2114">
        <f>H768-'Blocking-Step2'!H768</f>
        <v>0</v>
      </c>
      <c r="AF768" s="2114">
        <f>I768-'Blocking-Step2'!I768</f>
        <v>0</v>
      </c>
      <c r="AH768" s="2136">
        <f>K768-'Blocking-Step2'!K768</f>
        <v>0</v>
      </c>
      <c r="AJ768" s="2136">
        <f>M768-'Blocking-Step2'!M768</f>
        <v>0</v>
      </c>
      <c r="AL768" s="2136">
        <f>O768-'Blocking-Step2'!O768</f>
        <v>0</v>
      </c>
      <c r="AN768" s="2137">
        <f>Q768-'Blocking-Step2'!Q768</f>
        <v>0</v>
      </c>
      <c r="AP768" s="2127">
        <f>S768-'Blocking-Step2'!S768</f>
        <v>0</v>
      </c>
      <c r="AR768" s="2127">
        <f>U768-'Blocking-Step2'!U768</f>
        <v>0</v>
      </c>
      <c r="AT768" s="2127">
        <f>W768-'Blocking-Step2'!W768</f>
        <v>0</v>
      </c>
      <c r="AV768" s="2128">
        <f>Y768-'Blocking-Step2'!Y768</f>
        <v>0</v>
      </c>
    </row>
    <row r="769" spans="1:48">
      <c r="A769" s="1116" t="s">
        <v>246</v>
      </c>
      <c r="C769" s="1940">
        <v>638530</v>
      </c>
      <c r="D769" s="1940">
        <v>0</v>
      </c>
      <c r="H769" s="1147">
        <v>60083</v>
      </c>
      <c r="I769" s="1147">
        <v>0</v>
      </c>
      <c r="Y769" s="1147">
        <v>0</v>
      </c>
      <c r="Z769" s="2114">
        <f>C769-'Blocking-Step2'!C769</f>
        <v>0</v>
      </c>
      <c r="AA769" s="2114">
        <f>D769-'Blocking-Step2'!D769</f>
        <v>0</v>
      </c>
      <c r="AC769" s="2114">
        <f>F769-'Blocking-Step2'!F769</f>
        <v>0</v>
      </c>
      <c r="AE769" s="2114">
        <f>H769-'Blocking-Step2'!H769</f>
        <v>0</v>
      </c>
      <c r="AF769" s="2114">
        <f>I769-'Blocking-Step2'!I769</f>
        <v>0</v>
      </c>
      <c r="AH769" s="2136">
        <f>K769-'Blocking-Step2'!K769</f>
        <v>0</v>
      </c>
      <c r="AJ769" s="2136">
        <f>M769-'Blocking-Step2'!M769</f>
        <v>0</v>
      </c>
      <c r="AL769" s="2136">
        <f>O769-'Blocking-Step2'!O769</f>
        <v>0</v>
      </c>
      <c r="AN769" s="2137">
        <f>Q769-'Blocking-Step2'!Q769</f>
        <v>0</v>
      </c>
      <c r="AP769" s="2127">
        <f>S769-'Blocking-Step2'!S769</f>
        <v>0</v>
      </c>
      <c r="AR769" s="2127">
        <f>U769-'Blocking-Step2'!U769</f>
        <v>0</v>
      </c>
      <c r="AT769" s="2127">
        <f>W769-'Blocking-Step2'!W769</f>
        <v>0</v>
      </c>
      <c r="AV769" s="2128">
        <f>Y769-'Blocking-Step2'!Y769</f>
        <v>0</v>
      </c>
    </row>
    <row r="770" spans="1:48">
      <c r="A770" s="1116" t="s">
        <v>1240</v>
      </c>
      <c r="C770" s="1024"/>
      <c r="D770" s="1024"/>
      <c r="F770" s="2076">
        <v>-3.61E-2</v>
      </c>
      <c r="G770" s="617"/>
      <c r="H770" s="1146">
        <v>-344185.12540000002</v>
      </c>
      <c r="I770" s="1146">
        <v>-453438.74300000002</v>
      </c>
      <c r="K770" s="2076"/>
      <c r="L770" s="617"/>
      <c r="M770" s="2076"/>
      <c r="N770" s="617"/>
      <c r="O770" s="2077" t="s">
        <v>2323</v>
      </c>
      <c r="P770" s="617"/>
      <c r="Q770" s="2076">
        <v>-2.76E-2</v>
      </c>
      <c r="R770" s="617"/>
      <c r="S770" s="1114"/>
      <c r="T770" s="1114"/>
      <c r="U770" s="1114"/>
      <c r="V770" s="1114"/>
      <c r="W770" s="1114"/>
      <c r="X770" s="1114"/>
      <c r="Y770" s="1146">
        <v>-344983.27439999999</v>
      </c>
      <c r="Z770" s="2114">
        <f>C770-'Blocking-Step2'!C770</f>
        <v>0</v>
      </c>
      <c r="AA770" s="2114">
        <f>D770-'Blocking-Step2'!D770</f>
        <v>0</v>
      </c>
      <c r="AC770" s="2114">
        <f>F770-'Blocking-Step2'!F770</f>
        <v>0</v>
      </c>
      <c r="AE770" s="2114">
        <f>H770-'Blocking-Step2'!H770</f>
        <v>0</v>
      </c>
      <c r="AF770" s="2114">
        <f>I770-'Blocking-Step2'!I770</f>
        <v>0</v>
      </c>
      <c r="AH770" s="2136">
        <f>K770-'Blocking-Step2'!K770</f>
        <v>0</v>
      </c>
      <c r="AJ770" s="2136">
        <f>M770-'Blocking-Step2'!M770</f>
        <v>0</v>
      </c>
      <c r="AL770" s="2136" t="e">
        <f>O770-'Blocking-Step2'!O770</f>
        <v>#VALUE!</v>
      </c>
      <c r="AN770" s="2137">
        <f>Q770-'Blocking-Step2'!Q770</f>
        <v>0</v>
      </c>
      <c r="AP770" s="2127">
        <f>S770-'Blocking-Step2'!S770</f>
        <v>0</v>
      </c>
      <c r="AR770" s="2127">
        <f>U770-'Blocking-Step2'!U770</f>
        <v>0</v>
      </c>
      <c r="AT770" s="2127">
        <f>W770-'Blocking-Step2'!W770</f>
        <v>0</v>
      </c>
      <c r="AV770" s="2128">
        <f>Y770-'Blocking-Step2'!Y770</f>
        <v>0</v>
      </c>
    </row>
    <row r="771" spans="1:48">
      <c r="A771" s="1116"/>
      <c r="C771" s="1024"/>
      <c r="D771" s="1024"/>
      <c r="F771" s="2076"/>
      <c r="G771" s="617"/>
      <c r="H771" s="1146"/>
      <c r="I771" s="1146"/>
      <c r="K771" s="2076"/>
      <c r="L771" s="617"/>
      <c r="M771" s="2076"/>
      <c r="N771" s="617"/>
      <c r="O771" s="2077" t="s">
        <v>2324</v>
      </c>
      <c r="P771" s="617"/>
      <c r="Q771" s="2076">
        <v>-1.4999999999999999E-2</v>
      </c>
      <c r="R771" s="617"/>
      <c r="S771" s="1114"/>
      <c r="T771" s="1114"/>
      <c r="U771" s="1114"/>
      <c r="V771" s="1114"/>
      <c r="W771" s="1114"/>
      <c r="X771" s="1114"/>
      <c r="Y771" s="1146">
        <v>-187490.91</v>
      </c>
      <c r="Z771" s="2114">
        <f>C771-'Blocking-Step2'!C771</f>
        <v>0</v>
      </c>
      <c r="AA771" s="2114">
        <f>D771-'Blocking-Step2'!D771</f>
        <v>0</v>
      </c>
      <c r="AC771" s="2114">
        <f>F771-'Blocking-Step2'!F771</f>
        <v>0</v>
      </c>
      <c r="AE771" s="2114">
        <f>H771-'Blocking-Step2'!H771</f>
        <v>0</v>
      </c>
      <c r="AF771" s="2114">
        <f>I771-'Blocking-Step2'!I771</f>
        <v>0</v>
      </c>
      <c r="AH771" s="2136">
        <f>K771-'Blocking-Step2'!K771</f>
        <v>0</v>
      </c>
      <c r="AJ771" s="2136">
        <f>M771-'Blocking-Step2'!M771</f>
        <v>0</v>
      </c>
      <c r="AL771" s="2136" t="e">
        <f>O771-'Blocking-Step2'!O771</f>
        <v>#VALUE!</v>
      </c>
      <c r="AN771" s="2137">
        <f>Q771-'Blocking-Step2'!Q771</f>
        <v>0</v>
      </c>
      <c r="AP771" s="2127">
        <f>S771-'Blocking-Step2'!S771</f>
        <v>0</v>
      </c>
      <c r="AR771" s="2127">
        <f>U771-'Blocking-Step2'!U771</f>
        <v>0</v>
      </c>
      <c r="AT771" s="2127">
        <f>W771-'Blocking-Step2'!W771</f>
        <v>0</v>
      </c>
      <c r="AV771" s="2128">
        <f>Y771-'Blocking-Step2'!Y771</f>
        <v>0</v>
      </c>
    </row>
    <row r="772" spans="1:48" ht="16.5" thickBot="1">
      <c r="A772" s="1116" t="s">
        <v>247</v>
      </c>
      <c r="C772" s="1138">
        <v>129874711.63466616</v>
      </c>
      <c r="D772" s="1138">
        <v>170252223.49106753</v>
      </c>
      <c r="F772" s="1145"/>
      <c r="H772" s="1149">
        <v>10970117.874600001</v>
      </c>
      <c r="I772" s="1149">
        <v>14362809.256999999</v>
      </c>
      <c r="K772" s="1145"/>
      <c r="M772" s="1145"/>
      <c r="O772" s="1145"/>
      <c r="Q772" s="1145"/>
      <c r="S772" s="1149">
        <v>2490403</v>
      </c>
      <c r="U772" s="1149">
        <v>8625117</v>
      </c>
      <c r="W772" s="1149">
        <v>3634437</v>
      </c>
      <c r="Y772" s="1149">
        <v>14749958</v>
      </c>
      <c r="Z772" s="2114">
        <f>C772-'Blocking-Step2'!C772</f>
        <v>0</v>
      </c>
      <c r="AA772" s="2114">
        <f>D772-'Blocking-Step2'!D772</f>
        <v>0</v>
      </c>
      <c r="AC772" s="2114">
        <f>F772-'Blocking-Step2'!F772</f>
        <v>0</v>
      </c>
      <c r="AE772" s="2114">
        <f>H772-'Blocking-Step2'!H772</f>
        <v>0</v>
      </c>
      <c r="AF772" s="2114">
        <f>I772-'Blocking-Step2'!I772</f>
        <v>0</v>
      </c>
      <c r="AH772" s="2136">
        <f>K772-'Blocking-Step2'!K772</f>
        <v>0</v>
      </c>
      <c r="AJ772" s="2136">
        <f>M772-'Blocking-Step2'!M772</f>
        <v>0</v>
      </c>
      <c r="AL772" s="2136">
        <f>O772-'Blocking-Step2'!O772</f>
        <v>0</v>
      </c>
      <c r="AN772" s="2137">
        <f>Q772-'Blocking-Step2'!Q772</f>
        <v>0</v>
      </c>
      <c r="AP772" s="2127">
        <f>S772-'Blocking-Step2'!S772</f>
        <v>-2746427</v>
      </c>
      <c r="AR772" s="2127">
        <f>U772-'Blocking-Step2'!U772</f>
        <v>2746426</v>
      </c>
      <c r="AT772" s="2127">
        <f>W772-'Blocking-Step2'!W772</f>
        <v>0</v>
      </c>
      <c r="AV772" s="2128">
        <f>Y772-'Blocking-Step2'!Y772</f>
        <v>0</v>
      </c>
    </row>
    <row r="773" spans="1:48" ht="16.5" hidden="1" thickTop="1">
      <c r="C773" s="1105"/>
      <c r="D773" s="1105"/>
      <c r="Z773" s="2114">
        <f>C773-'Blocking-Step2'!C773</f>
        <v>0</v>
      </c>
      <c r="AA773" s="2114">
        <f>D773-'Blocking-Step2'!D773</f>
        <v>0</v>
      </c>
      <c r="AC773" s="2114">
        <f>F773-'Blocking-Step2'!F773</f>
        <v>0</v>
      </c>
      <c r="AE773" s="2114">
        <f>H773-'Blocking-Step2'!H773</f>
        <v>0</v>
      </c>
      <c r="AF773" s="2114">
        <f>I773-'Blocking-Step2'!I773</f>
        <v>0</v>
      </c>
      <c r="AH773" s="2136">
        <f>K773-'Blocking-Step2'!K773</f>
        <v>0</v>
      </c>
      <c r="AJ773" s="2136">
        <f>M773-'Blocking-Step2'!M773</f>
        <v>0</v>
      </c>
      <c r="AL773" s="2136">
        <f>O773-'Blocking-Step2'!O773</f>
        <v>0</v>
      </c>
      <c r="AN773" s="2137">
        <f>Q773-'Blocking-Step2'!Q773</f>
        <v>0</v>
      </c>
      <c r="AP773" s="2127">
        <f>S773-'Blocking-Step2'!S773</f>
        <v>0</v>
      </c>
      <c r="AR773" s="2127">
        <f>U773-'Blocking-Step2'!U773</f>
        <v>0</v>
      </c>
      <c r="AT773" s="2127">
        <f>W773-'Blocking-Step2'!W773</f>
        <v>0</v>
      </c>
      <c r="AV773" s="2128">
        <f>Y773-'Blocking-Step2'!Y773</f>
        <v>0</v>
      </c>
    </row>
    <row r="774" spans="1:48" ht="16.5" hidden="1" thickTop="1">
      <c r="A774" s="1115" t="s">
        <v>982</v>
      </c>
      <c r="C774" s="1105"/>
      <c r="D774" s="1105"/>
      <c r="Z774" s="2114">
        <f>C774-'Blocking-Step2'!C774</f>
        <v>0</v>
      </c>
      <c r="AA774" s="2114">
        <f>D774-'Blocking-Step2'!D774</f>
        <v>0</v>
      </c>
      <c r="AC774" s="2114">
        <f>F774-'Blocking-Step2'!F774</f>
        <v>0</v>
      </c>
      <c r="AE774" s="2114">
        <f>H774-'Blocking-Step2'!H774</f>
        <v>0</v>
      </c>
      <c r="AF774" s="2114">
        <f>I774-'Blocking-Step2'!I774</f>
        <v>0</v>
      </c>
      <c r="AH774" s="2136">
        <f>K774-'Blocking-Step2'!K774</f>
        <v>0</v>
      </c>
      <c r="AJ774" s="2136">
        <f>M774-'Blocking-Step2'!M774</f>
        <v>0</v>
      </c>
      <c r="AL774" s="2136">
        <f>O774-'Blocking-Step2'!O774</f>
        <v>0</v>
      </c>
      <c r="AN774" s="2137">
        <f>Q774-'Blocking-Step2'!Q774</f>
        <v>0</v>
      </c>
      <c r="AP774" s="2127">
        <f>S774-'Blocking-Step2'!S774</f>
        <v>0</v>
      </c>
      <c r="AR774" s="2127">
        <f>U774-'Blocking-Step2'!U774</f>
        <v>0</v>
      </c>
      <c r="AT774" s="2127">
        <f>W774-'Blocking-Step2'!W774</f>
        <v>0</v>
      </c>
      <c r="AV774" s="2128">
        <f>Y774-'Blocking-Step2'!Y774</f>
        <v>0</v>
      </c>
    </row>
    <row r="775" spans="1:48" ht="16.5" hidden="1" thickTop="1">
      <c r="A775" s="1116" t="s">
        <v>240</v>
      </c>
      <c r="C775" s="1105">
        <v>158.96666666666701</v>
      </c>
      <c r="D775" s="1105">
        <v>204</v>
      </c>
      <c r="F775" s="1142">
        <v>54</v>
      </c>
      <c r="G775" s="617"/>
      <c r="H775" s="1146">
        <v>8584</v>
      </c>
      <c r="I775" s="1146">
        <v>11016</v>
      </c>
      <c r="K775" s="1142">
        <v>54</v>
      </c>
      <c r="L775" s="617"/>
      <c r="M775" s="1142">
        <v>0</v>
      </c>
      <c r="N775" s="617"/>
      <c r="O775" s="1142">
        <v>0</v>
      </c>
      <c r="P775" s="617"/>
      <c r="Q775" s="1142">
        <v>54</v>
      </c>
      <c r="R775" s="617"/>
      <c r="S775" s="1146">
        <v>11016</v>
      </c>
      <c r="T775" s="1114"/>
      <c r="U775" s="1146">
        <v>0</v>
      </c>
      <c r="V775" s="1114"/>
      <c r="W775" s="1146">
        <v>0</v>
      </c>
      <c r="X775" s="1114"/>
      <c r="Y775" s="1146">
        <v>11016</v>
      </c>
      <c r="Z775" s="2114">
        <f>C775-'Blocking-Step2'!C775</f>
        <v>0</v>
      </c>
      <c r="AA775" s="2114">
        <f>D775-'Blocking-Step2'!D775</f>
        <v>0</v>
      </c>
      <c r="AC775" s="2114">
        <f>F775-'Blocking-Step2'!F775</f>
        <v>0</v>
      </c>
      <c r="AE775" s="2114">
        <f>H775-'Blocking-Step2'!H775</f>
        <v>0</v>
      </c>
      <c r="AF775" s="2114">
        <f>I775-'Blocking-Step2'!I775</f>
        <v>0</v>
      </c>
      <c r="AH775" s="2136">
        <f>K775-'Blocking-Step2'!K775</f>
        <v>0</v>
      </c>
      <c r="AJ775" s="2136">
        <f>M775-'Blocking-Step2'!M775</f>
        <v>0</v>
      </c>
      <c r="AL775" s="2136">
        <f>O775-'Blocking-Step2'!O775</f>
        <v>0</v>
      </c>
      <c r="AN775" s="2137">
        <f>Q775-'Blocking-Step2'!Q775</f>
        <v>0</v>
      </c>
      <c r="AP775" s="2127">
        <f>S775-'Blocking-Step2'!S775</f>
        <v>0</v>
      </c>
      <c r="AR775" s="2127">
        <f>U775-'Blocking-Step2'!U775</f>
        <v>0</v>
      </c>
      <c r="AT775" s="2127">
        <f>W775-'Blocking-Step2'!W775</f>
        <v>0</v>
      </c>
      <c r="AV775" s="2128">
        <f>Y775-'Blocking-Step2'!Y775</f>
        <v>0</v>
      </c>
    </row>
    <row r="776" spans="1:48" ht="16.5" hidden="1" thickTop="1">
      <c r="A776" s="1116" t="s">
        <v>262</v>
      </c>
      <c r="C776" s="1024">
        <v>0</v>
      </c>
      <c r="D776" s="1105">
        <v>0</v>
      </c>
      <c r="F776" s="1142">
        <v>648</v>
      </c>
      <c r="G776" s="617"/>
      <c r="H776" s="1146">
        <v>0</v>
      </c>
      <c r="I776" s="1146">
        <v>0</v>
      </c>
      <c r="K776" s="1142">
        <v>648</v>
      </c>
      <c r="L776" s="617"/>
      <c r="M776" s="1142">
        <v>0</v>
      </c>
      <c r="N776" s="617"/>
      <c r="O776" s="1142">
        <v>0</v>
      </c>
      <c r="P776" s="617"/>
      <c r="Q776" s="1142">
        <v>648</v>
      </c>
      <c r="R776" s="617"/>
      <c r="S776" s="1146">
        <v>0</v>
      </c>
      <c r="T776" s="1114"/>
      <c r="U776" s="1146">
        <v>0</v>
      </c>
      <c r="V776" s="1114"/>
      <c r="W776" s="1146">
        <v>0</v>
      </c>
      <c r="X776" s="1114"/>
      <c r="Y776" s="1146">
        <v>0</v>
      </c>
      <c r="Z776" s="2114">
        <f>C776-'Blocking-Step2'!C776</f>
        <v>0</v>
      </c>
      <c r="AA776" s="2114">
        <f>D776-'Blocking-Step2'!D776</f>
        <v>0</v>
      </c>
      <c r="AC776" s="2114">
        <f>F776-'Blocking-Step2'!F776</f>
        <v>0</v>
      </c>
      <c r="AE776" s="2114">
        <f>H776-'Blocking-Step2'!H776</f>
        <v>0</v>
      </c>
      <c r="AF776" s="2114">
        <f>I776-'Blocking-Step2'!I776</f>
        <v>0</v>
      </c>
      <c r="AH776" s="2136">
        <f>K776-'Blocking-Step2'!K776</f>
        <v>0</v>
      </c>
      <c r="AJ776" s="2136">
        <f>M776-'Blocking-Step2'!M776</f>
        <v>0</v>
      </c>
      <c r="AL776" s="2136">
        <f>O776-'Blocking-Step2'!O776</f>
        <v>0</v>
      </c>
      <c r="AN776" s="2137">
        <f>Q776-'Blocking-Step2'!Q776</f>
        <v>0</v>
      </c>
      <c r="AP776" s="2127">
        <f>S776-'Blocking-Step2'!S776</f>
        <v>0</v>
      </c>
      <c r="AR776" s="2127">
        <f>U776-'Blocking-Step2'!U776</f>
        <v>0</v>
      </c>
      <c r="AT776" s="2127">
        <f>W776-'Blocking-Step2'!W776</f>
        <v>0</v>
      </c>
      <c r="AV776" s="2128">
        <f>Y776-'Blocking-Step2'!Y776</f>
        <v>0</v>
      </c>
    </row>
    <row r="777" spans="1:48" ht="16.5" hidden="1" thickTop="1">
      <c r="A777" s="1116" t="s">
        <v>1298</v>
      </c>
      <c r="C777" s="1105">
        <v>0</v>
      </c>
      <c r="D777" s="1105">
        <v>0</v>
      </c>
      <c r="F777" s="1142">
        <v>54</v>
      </c>
      <c r="G777" s="617"/>
      <c r="H777" s="1146">
        <v>0</v>
      </c>
      <c r="I777" s="1146">
        <v>0</v>
      </c>
      <c r="K777" s="1142">
        <v>54</v>
      </c>
      <c r="L777" s="617"/>
      <c r="M777" s="1142">
        <v>0</v>
      </c>
      <c r="N777" s="617"/>
      <c r="O777" s="1142">
        <v>0</v>
      </c>
      <c r="P777" s="617"/>
      <c r="Q777" s="1142">
        <v>54</v>
      </c>
      <c r="R777" s="617"/>
      <c r="S777" s="1146">
        <v>0</v>
      </c>
      <c r="T777" s="1114"/>
      <c r="U777" s="1146">
        <v>0</v>
      </c>
      <c r="V777" s="1114"/>
      <c r="W777" s="1146">
        <v>0</v>
      </c>
      <c r="X777" s="1114"/>
      <c r="Y777" s="1146">
        <v>0</v>
      </c>
      <c r="Z777" s="2114">
        <f>C777-'Blocking-Step2'!C777</f>
        <v>0</v>
      </c>
      <c r="AA777" s="2114">
        <f>D777-'Blocking-Step2'!D777</f>
        <v>0</v>
      </c>
      <c r="AC777" s="2114">
        <f>F777-'Blocking-Step2'!F777</f>
        <v>0</v>
      </c>
      <c r="AE777" s="2114">
        <f>H777-'Blocking-Step2'!H777</f>
        <v>0</v>
      </c>
      <c r="AF777" s="2114">
        <f>I777-'Blocking-Step2'!I777</f>
        <v>0</v>
      </c>
      <c r="AH777" s="2136">
        <f>K777-'Blocking-Step2'!K777</f>
        <v>0</v>
      </c>
      <c r="AJ777" s="2136">
        <f>M777-'Blocking-Step2'!M777</f>
        <v>0</v>
      </c>
      <c r="AL777" s="2136">
        <f>O777-'Blocking-Step2'!O777</f>
        <v>0</v>
      </c>
      <c r="AN777" s="2137">
        <f>Q777-'Blocking-Step2'!Q777</f>
        <v>0</v>
      </c>
      <c r="AP777" s="2127">
        <f>S777-'Blocking-Step2'!S777</f>
        <v>0</v>
      </c>
      <c r="AR777" s="2127">
        <f>U777-'Blocking-Step2'!U777</f>
        <v>0</v>
      </c>
      <c r="AT777" s="2127">
        <f>W777-'Blocking-Step2'!W777</f>
        <v>0</v>
      </c>
      <c r="AV777" s="2128">
        <f>Y777-'Blocking-Step2'!Y777</f>
        <v>0</v>
      </c>
    </row>
    <row r="778" spans="1:48" ht="16.5" hidden="1" thickTop="1">
      <c r="A778" s="1116" t="s">
        <v>168</v>
      </c>
      <c r="C778" s="1105">
        <v>11471.5346534653</v>
      </c>
      <c r="D778" s="1105">
        <v>13836</v>
      </c>
      <c r="F778" s="1142">
        <v>4.04</v>
      </c>
      <c r="G778" s="617"/>
      <c r="H778" s="1146">
        <v>46345</v>
      </c>
      <c r="I778" s="1146">
        <v>55897</v>
      </c>
      <c r="K778" s="1142">
        <v>4.03</v>
      </c>
      <c r="L778" s="617"/>
      <c r="M778" s="1142">
        <v>0</v>
      </c>
      <c r="N778" s="617"/>
      <c r="O778" s="1142">
        <v>0</v>
      </c>
      <c r="P778" s="617"/>
      <c r="Q778" s="1142">
        <v>4.03</v>
      </c>
      <c r="R778" s="617"/>
      <c r="S778" s="1146">
        <v>55759</v>
      </c>
      <c r="T778" s="1114"/>
      <c r="U778" s="1146">
        <v>0</v>
      </c>
      <c r="V778" s="1114"/>
      <c r="W778" s="1146">
        <v>0</v>
      </c>
      <c r="X778" s="1114"/>
      <c r="Y778" s="1146">
        <v>55759</v>
      </c>
      <c r="Z778" s="2114">
        <f>C778-'Blocking-Step2'!C778</f>
        <v>0</v>
      </c>
      <c r="AA778" s="2114">
        <f>D778-'Blocking-Step2'!D778</f>
        <v>0</v>
      </c>
      <c r="AC778" s="2114">
        <f>F778-'Blocking-Step2'!F778</f>
        <v>0</v>
      </c>
      <c r="AE778" s="2114">
        <f>H778-'Blocking-Step2'!H778</f>
        <v>0</v>
      </c>
      <c r="AF778" s="2114">
        <f>I778-'Blocking-Step2'!I778</f>
        <v>0</v>
      </c>
      <c r="AH778" s="2136">
        <f>K778-'Blocking-Step2'!K778</f>
        <v>0</v>
      </c>
      <c r="AJ778" s="2136">
        <f>M778-'Blocking-Step2'!M778</f>
        <v>0</v>
      </c>
      <c r="AL778" s="2136">
        <f>O778-'Blocking-Step2'!O778</f>
        <v>0</v>
      </c>
      <c r="AN778" s="2137">
        <f>Q778-'Blocking-Step2'!Q778</f>
        <v>0</v>
      </c>
      <c r="AP778" s="2127">
        <f>S778-'Blocking-Step2'!S778</f>
        <v>0</v>
      </c>
      <c r="AR778" s="2127">
        <f>U778-'Blocking-Step2'!U778</f>
        <v>0</v>
      </c>
      <c r="AT778" s="2127">
        <f>W778-'Blocking-Step2'!W778</f>
        <v>0</v>
      </c>
      <c r="AV778" s="2128">
        <f>Y778-'Blocking-Step2'!Y778</f>
        <v>0</v>
      </c>
    </row>
    <row r="779" spans="1:48" ht="16.5" hidden="1" thickTop="1">
      <c r="A779" s="1116" t="s">
        <v>1645</v>
      </c>
      <c r="C779" s="1105">
        <v>3464.7546487512086</v>
      </c>
      <c r="D779" s="1105">
        <v>4179</v>
      </c>
      <c r="F779" s="1142"/>
      <c r="G779" s="617"/>
      <c r="H779" s="1146"/>
      <c r="I779" s="1146"/>
      <c r="K779" s="1142">
        <v>0.51</v>
      </c>
      <c r="L779" s="617"/>
      <c r="M779" s="1142">
        <v>12.89</v>
      </c>
      <c r="N779" s="617"/>
      <c r="O779" s="1142">
        <v>0</v>
      </c>
      <c r="P779" s="617"/>
      <c r="Q779" s="1142">
        <v>13.4</v>
      </c>
      <c r="R779" s="617"/>
      <c r="S779" s="1146">
        <v>2131</v>
      </c>
      <c r="T779" s="1146"/>
      <c r="U779" s="1146">
        <v>53867</v>
      </c>
      <c r="V779" s="1146"/>
      <c r="W779" s="1146">
        <v>0</v>
      </c>
      <c r="X779" s="1114"/>
      <c r="Y779" s="1146">
        <v>55999</v>
      </c>
      <c r="Z779" s="2114">
        <f>C779-'Blocking-Step2'!C779</f>
        <v>0</v>
      </c>
      <c r="AA779" s="2114">
        <f>D779-'Blocking-Step2'!D779</f>
        <v>0</v>
      </c>
      <c r="AC779" s="2114">
        <f>F779-'Blocking-Step2'!F779</f>
        <v>0</v>
      </c>
      <c r="AE779" s="2114">
        <f>H779-'Blocking-Step2'!H779</f>
        <v>0</v>
      </c>
      <c r="AF779" s="2114">
        <f>I779-'Blocking-Step2'!I779</f>
        <v>0</v>
      </c>
      <c r="AH779" s="2136">
        <f>K779-'Blocking-Step2'!K779</f>
        <v>-5.83</v>
      </c>
      <c r="AJ779" s="2136">
        <f>M779-'Blocking-Step2'!M779</f>
        <v>5.83</v>
      </c>
      <c r="AL779" s="2136">
        <f>O779-'Blocking-Step2'!O779</f>
        <v>0</v>
      </c>
      <c r="AN779" s="2137">
        <f>Q779-'Blocking-Step2'!Q779</f>
        <v>0</v>
      </c>
      <c r="AP779" s="2127">
        <f>S779-'Blocking-Step2'!S779</f>
        <v>-24364</v>
      </c>
      <c r="AR779" s="2127">
        <f>U779-'Blocking-Step2'!U779</f>
        <v>24363</v>
      </c>
      <c r="AT779" s="2127">
        <f>W779-'Blocking-Step2'!W779</f>
        <v>0</v>
      </c>
      <c r="AV779" s="2128">
        <f>Y779-'Blocking-Step2'!Y779</f>
        <v>0</v>
      </c>
    </row>
    <row r="780" spans="1:48" ht="16.5" hidden="1" thickTop="1">
      <c r="A780" s="1116" t="s">
        <v>1646</v>
      </c>
      <c r="C780" s="1105">
        <v>8006.7795760529116</v>
      </c>
      <c r="D780" s="1105">
        <v>9657</v>
      </c>
      <c r="F780" s="1142"/>
      <c r="G780" s="617"/>
      <c r="H780" s="1146"/>
      <c r="I780" s="1146"/>
      <c r="K780" s="1142">
        <v>0.45</v>
      </c>
      <c r="L780" s="617"/>
      <c r="M780" s="1142">
        <v>11.41</v>
      </c>
      <c r="N780" s="617"/>
      <c r="O780" s="1142">
        <v>0</v>
      </c>
      <c r="P780" s="617"/>
      <c r="Q780" s="1142">
        <v>11.86</v>
      </c>
      <c r="R780" s="617"/>
      <c r="S780" s="1146">
        <v>4346</v>
      </c>
      <c r="T780" s="1146"/>
      <c r="U780" s="1146">
        <v>110186</v>
      </c>
      <c r="V780" s="1146"/>
      <c r="W780" s="1146">
        <v>0</v>
      </c>
      <c r="X780" s="1114"/>
      <c r="Y780" s="1146">
        <v>114532</v>
      </c>
      <c r="Z780" s="2114">
        <f>C780-'Blocking-Step2'!C780</f>
        <v>0</v>
      </c>
      <c r="AA780" s="2114">
        <f>D780-'Blocking-Step2'!D780</f>
        <v>0</v>
      </c>
      <c r="AC780" s="2114">
        <f>F780-'Blocking-Step2'!F780</f>
        <v>0</v>
      </c>
      <c r="AE780" s="2114">
        <f>H780-'Blocking-Step2'!H780</f>
        <v>0</v>
      </c>
      <c r="AF780" s="2114">
        <f>I780-'Blocking-Step2'!I780</f>
        <v>0</v>
      </c>
      <c r="AH780" s="2136">
        <f>K780-'Blocking-Step2'!K780</f>
        <v>-5.16</v>
      </c>
      <c r="AJ780" s="2136">
        <f>M780-'Blocking-Step2'!M780</f>
        <v>5.160000000000001</v>
      </c>
      <c r="AL780" s="2136">
        <f>O780-'Blocking-Step2'!O780</f>
        <v>0</v>
      </c>
      <c r="AN780" s="2137">
        <f>Q780-'Blocking-Step2'!Q780</f>
        <v>0</v>
      </c>
      <c r="AP780" s="2127">
        <f>S780-'Blocking-Step2'!S780</f>
        <v>-49830</v>
      </c>
      <c r="AR780" s="2127">
        <f>U780-'Blocking-Step2'!U780</f>
        <v>49830</v>
      </c>
      <c r="AT780" s="2127">
        <f>W780-'Blocking-Step2'!W780</f>
        <v>0</v>
      </c>
      <c r="AV780" s="2128">
        <f>Y780-'Blocking-Step2'!Y780</f>
        <v>0</v>
      </c>
    </row>
    <row r="781" spans="1:48" ht="16.5" hidden="1" thickTop="1">
      <c r="A781" s="1116" t="s">
        <v>1647</v>
      </c>
      <c r="C781" s="1105">
        <v>1076461.2380270492</v>
      </c>
      <c r="D781" s="1105">
        <v>1454609.0476190476</v>
      </c>
      <c r="F781" s="1106"/>
      <c r="G781" s="1921"/>
      <c r="H781" s="1146"/>
      <c r="I781" s="1146"/>
      <c r="K781" s="1106">
        <v>0</v>
      </c>
      <c r="L781" s="1921" t="s">
        <v>495</v>
      </c>
      <c r="M781" s="1106">
        <v>1.6192</v>
      </c>
      <c r="N781" s="1921" t="s">
        <v>495</v>
      </c>
      <c r="O781" s="1106">
        <v>2.305570240802</v>
      </c>
      <c r="P781" s="1921" t="s">
        <v>495</v>
      </c>
      <c r="Q781" s="1106">
        <v>3.9247702408020002</v>
      </c>
      <c r="R781" s="1921" t="s">
        <v>495</v>
      </c>
      <c r="S781" s="1146">
        <v>0</v>
      </c>
      <c r="T781" s="1146"/>
      <c r="U781" s="1146">
        <v>23553</v>
      </c>
      <c r="V781" s="1146"/>
      <c r="W781" s="1146">
        <v>33537</v>
      </c>
      <c r="X781" s="1648"/>
      <c r="Y781" s="1146">
        <v>57090</v>
      </c>
      <c r="Z781" s="2114">
        <f>C781-'Blocking-Step2'!C781</f>
        <v>0</v>
      </c>
      <c r="AA781" s="2114">
        <f>D781-'Blocking-Step2'!D781</f>
        <v>0</v>
      </c>
      <c r="AC781" s="2114">
        <f>F781-'Blocking-Step2'!F781</f>
        <v>0</v>
      </c>
      <c r="AE781" s="2114">
        <f>H781-'Blocking-Step2'!H781</f>
        <v>0</v>
      </c>
      <c r="AF781" s="2114">
        <f>I781-'Blocking-Step2'!I781</f>
        <v>0</v>
      </c>
      <c r="AH781" s="2136">
        <f>K781-'Blocking-Step2'!K781</f>
        <v>0</v>
      </c>
      <c r="AJ781" s="2136">
        <f>M781-'Blocking-Step2'!M781</f>
        <v>0</v>
      </c>
      <c r="AL781" s="2136">
        <f>O781-'Blocking-Step2'!O781</f>
        <v>0</v>
      </c>
      <c r="AN781" s="2137">
        <f>Q781-'Blocking-Step2'!Q781</f>
        <v>0</v>
      </c>
      <c r="AP781" s="2127">
        <f>S781-'Blocking-Step2'!S781</f>
        <v>0</v>
      </c>
      <c r="AR781" s="2127">
        <f>U781-'Blocking-Step2'!U781</f>
        <v>0</v>
      </c>
      <c r="AT781" s="2127">
        <f>W781-'Blocking-Step2'!W781</f>
        <v>0</v>
      </c>
      <c r="AV781" s="2128">
        <f>Y781-'Blocking-Step2'!Y781</f>
        <v>0</v>
      </c>
    </row>
    <row r="782" spans="1:48" ht="16.5" hidden="1" thickTop="1">
      <c r="A782" s="1116" t="s">
        <v>1648</v>
      </c>
      <c r="C782" s="1105">
        <v>2694300.4670450641</v>
      </c>
      <c r="D782" s="1105">
        <v>3119199.1373626376</v>
      </c>
      <c r="F782" s="1106"/>
      <c r="G782" s="1921"/>
      <c r="H782" s="1146"/>
      <c r="I782" s="1146"/>
      <c r="K782" s="1106">
        <v>0</v>
      </c>
      <c r="L782" s="1921" t="s">
        <v>495</v>
      </c>
      <c r="M782" s="1106">
        <v>1.4329000000000001</v>
      </c>
      <c r="N782" s="1921" t="s">
        <v>495</v>
      </c>
      <c r="O782" s="1106">
        <v>2.0403480007099999</v>
      </c>
      <c r="P782" s="1921" t="s">
        <v>495</v>
      </c>
      <c r="Q782" s="1106">
        <v>3.4732480007099999</v>
      </c>
      <c r="R782" s="1921" t="s">
        <v>495</v>
      </c>
      <c r="S782" s="1146">
        <v>0</v>
      </c>
      <c r="T782" s="1146"/>
      <c r="U782" s="1146">
        <v>44695</v>
      </c>
      <c r="V782" s="1146"/>
      <c r="W782" s="1146">
        <v>63643</v>
      </c>
      <c r="X782" s="1648"/>
      <c r="Y782" s="1146">
        <v>108338</v>
      </c>
      <c r="Z782" s="2114">
        <f>C782-'Blocking-Step2'!C782</f>
        <v>0</v>
      </c>
      <c r="AA782" s="2114">
        <f>D782-'Blocking-Step2'!D782</f>
        <v>0</v>
      </c>
      <c r="AC782" s="2114">
        <f>F782-'Blocking-Step2'!F782</f>
        <v>0</v>
      </c>
      <c r="AE782" s="2114">
        <f>H782-'Blocking-Step2'!H782</f>
        <v>0</v>
      </c>
      <c r="AF782" s="2114">
        <f>I782-'Blocking-Step2'!I782</f>
        <v>0</v>
      </c>
      <c r="AH782" s="2136">
        <f>K782-'Blocking-Step2'!K782</f>
        <v>0</v>
      </c>
      <c r="AJ782" s="2136">
        <f>M782-'Blocking-Step2'!M782</f>
        <v>0</v>
      </c>
      <c r="AL782" s="2136">
        <f>O782-'Blocking-Step2'!O782</f>
        <v>0</v>
      </c>
      <c r="AN782" s="2137">
        <f>Q782-'Blocking-Step2'!Q782</f>
        <v>0</v>
      </c>
      <c r="AP782" s="2127">
        <f>S782-'Blocking-Step2'!S782</f>
        <v>0</v>
      </c>
      <c r="AR782" s="2127">
        <f>U782-'Blocking-Step2'!U782</f>
        <v>0</v>
      </c>
      <c r="AT782" s="2127">
        <f>W782-'Blocking-Step2'!W782</f>
        <v>0</v>
      </c>
      <c r="AV782" s="2128">
        <f>Y782-'Blocking-Step2'!Y782</f>
        <v>0</v>
      </c>
    </row>
    <row r="783" spans="1:48" ht="16.5" hidden="1" thickTop="1">
      <c r="A783" s="1116" t="s">
        <v>196</v>
      </c>
      <c r="C783" s="1105">
        <v>4259.2564979480203</v>
      </c>
      <c r="D783" s="1105">
        <v>5137</v>
      </c>
      <c r="F783" s="1142">
        <v>14.62</v>
      </c>
      <c r="G783" s="617"/>
      <c r="H783" s="1146">
        <v>62270</v>
      </c>
      <c r="I783" s="1146">
        <v>75103</v>
      </c>
      <c r="K783" s="1142"/>
      <c r="L783" s="617"/>
      <c r="M783" s="1142"/>
      <c r="N783" s="617"/>
      <c r="O783" s="1142"/>
      <c r="P783" s="617"/>
      <c r="Q783" s="1142"/>
      <c r="R783" s="617"/>
      <c r="S783" s="1146"/>
      <c r="T783" s="1114"/>
      <c r="U783" s="1146"/>
      <c r="V783" s="1114"/>
      <c r="W783" s="1146"/>
      <c r="X783" s="1114"/>
      <c r="Y783" s="1146"/>
      <c r="Z783" s="2114">
        <f>C783-'Blocking-Step2'!C783</f>
        <v>0</v>
      </c>
      <c r="AA783" s="2114">
        <f>D783-'Blocking-Step2'!D783</f>
        <v>0</v>
      </c>
      <c r="AC783" s="2114">
        <f>F783-'Blocking-Step2'!F783</f>
        <v>0</v>
      </c>
      <c r="AE783" s="2114">
        <f>H783-'Blocking-Step2'!H783</f>
        <v>0</v>
      </c>
      <c r="AF783" s="2114">
        <f>I783-'Blocking-Step2'!I783</f>
        <v>0</v>
      </c>
      <c r="AH783" s="2136">
        <f>K783-'Blocking-Step2'!K783</f>
        <v>0</v>
      </c>
      <c r="AJ783" s="2136">
        <f>M783-'Blocking-Step2'!M783</f>
        <v>0</v>
      </c>
      <c r="AL783" s="2136">
        <f>O783-'Blocking-Step2'!O783</f>
        <v>0</v>
      </c>
      <c r="AN783" s="2137">
        <f>Q783-'Blocking-Step2'!Q783</f>
        <v>0</v>
      </c>
      <c r="AP783" s="2127">
        <f>S783-'Blocking-Step2'!S783</f>
        <v>0</v>
      </c>
      <c r="AR783" s="2127">
        <f>U783-'Blocking-Step2'!U783</f>
        <v>0</v>
      </c>
      <c r="AT783" s="2127">
        <f>W783-'Blocking-Step2'!W783</f>
        <v>0</v>
      </c>
      <c r="AV783" s="2128">
        <f>Y783-'Blocking-Step2'!Y783</f>
        <v>0</v>
      </c>
    </row>
    <row r="784" spans="1:48" ht="16.5" hidden="1" thickTop="1">
      <c r="A784" s="1116" t="s">
        <v>161</v>
      </c>
      <c r="C784" s="1105">
        <v>7212.2777268561003</v>
      </c>
      <c r="D784" s="1105">
        <v>8699</v>
      </c>
      <c r="F784" s="1142">
        <v>10.91</v>
      </c>
      <c r="G784" s="617"/>
      <c r="H784" s="1146">
        <v>78686</v>
      </c>
      <c r="I784" s="1146">
        <v>94906</v>
      </c>
      <c r="K784" s="1142"/>
      <c r="L784" s="617"/>
      <c r="M784" s="1142"/>
      <c r="N784" s="617"/>
      <c r="O784" s="1142"/>
      <c r="P784" s="617"/>
      <c r="Q784" s="1142"/>
      <c r="R784" s="617"/>
      <c r="S784" s="1146"/>
      <c r="T784" s="1114"/>
      <c r="U784" s="1146"/>
      <c r="V784" s="1114"/>
      <c r="W784" s="1146"/>
      <c r="X784" s="1114"/>
      <c r="Y784" s="1146"/>
      <c r="Z784" s="2114">
        <f>C784-'Blocking-Step2'!C784</f>
        <v>0</v>
      </c>
      <c r="AA784" s="2114">
        <f>D784-'Blocking-Step2'!D784</f>
        <v>0</v>
      </c>
      <c r="AC784" s="2114">
        <f>F784-'Blocking-Step2'!F784</f>
        <v>0</v>
      </c>
      <c r="AE784" s="2114">
        <f>H784-'Blocking-Step2'!H784</f>
        <v>0</v>
      </c>
      <c r="AF784" s="2114">
        <f>I784-'Blocking-Step2'!I784</f>
        <v>0</v>
      </c>
      <c r="AH784" s="2136">
        <f>K784-'Blocking-Step2'!K784</f>
        <v>0</v>
      </c>
      <c r="AJ784" s="2136">
        <f>M784-'Blocking-Step2'!M784</f>
        <v>0</v>
      </c>
      <c r="AL784" s="2136">
        <f>O784-'Blocking-Step2'!O784</f>
        <v>0</v>
      </c>
      <c r="AN784" s="2137">
        <f>Q784-'Blocking-Step2'!Q784</f>
        <v>0</v>
      </c>
      <c r="AP784" s="2127">
        <f>S784-'Blocking-Step2'!S784</f>
        <v>0</v>
      </c>
      <c r="AR784" s="2127">
        <f>U784-'Blocking-Step2'!U784</f>
        <v>0</v>
      </c>
      <c r="AT784" s="2127">
        <f>W784-'Blocking-Step2'!W784</f>
        <v>0</v>
      </c>
      <c r="AV784" s="2128">
        <f>Y784-'Blocking-Step2'!Y784</f>
        <v>0</v>
      </c>
    </row>
    <row r="785" spans="1:48" ht="16.5" hidden="1" thickTop="1">
      <c r="A785" s="1116" t="s">
        <v>261</v>
      </c>
      <c r="C785" s="1105">
        <v>0</v>
      </c>
      <c r="D785" s="1105">
        <v>0</v>
      </c>
      <c r="F785" s="1142">
        <v>-0.96</v>
      </c>
      <c r="G785" s="617"/>
      <c r="H785" s="1146">
        <v>0</v>
      </c>
      <c r="I785" s="1146">
        <v>0</v>
      </c>
      <c r="K785" s="1142">
        <v>-0.96</v>
      </c>
      <c r="L785" s="617"/>
      <c r="M785" s="1142">
        <v>0</v>
      </c>
      <c r="N785" s="617"/>
      <c r="O785" s="1142">
        <v>0</v>
      </c>
      <c r="P785" s="617"/>
      <c r="Q785" s="1142">
        <v>-0.96</v>
      </c>
      <c r="R785" s="617"/>
      <c r="S785" s="1146">
        <v>0</v>
      </c>
      <c r="T785" s="1146"/>
      <c r="U785" s="1146">
        <v>0</v>
      </c>
      <c r="V785" s="1146"/>
      <c r="W785" s="1146">
        <v>0</v>
      </c>
      <c r="X785" s="1114"/>
      <c r="Y785" s="1146">
        <v>0</v>
      </c>
      <c r="Z785" s="2114">
        <f>C785-'Blocking-Step2'!C785</f>
        <v>0</v>
      </c>
      <c r="AA785" s="2114">
        <f>D785-'Blocking-Step2'!D785</f>
        <v>0</v>
      </c>
      <c r="AC785" s="2114">
        <f>F785-'Blocking-Step2'!F785</f>
        <v>0</v>
      </c>
      <c r="AE785" s="2114">
        <f>H785-'Blocking-Step2'!H785</f>
        <v>0</v>
      </c>
      <c r="AF785" s="2114">
        <f>I785-'Blocking-Step2'!I785</f>
        <v>0</v>
      </c>
      <c r="AH785" s="2136">
        <f>K785-'Blocking-Step2'!K785</f>
        <v>0</v>
      </c>
      <c r="AJ785" s="2136">
        <f>M785-'Blocking-Step2'!M785</f>
        <v>0</v>
      </c>
      <c r="AL785" s="2136">
        <f>O785-'Blocking-Step2'!O785</f>
        <v>0</v>
      </c>
      <c r="AN785" s="2137">
        <f>Q785-'Blocking-Step2'!Q785</f>
        <v>0</v>
      </c>
      <c r="AP785" s="2127">
        <f>S785-'Blocking-Step2'!S785</f>
        <v>0</v>
      </c>
      <c r="AR785" s="2127">
        <f>U785-'Blocking-Step2'!U785</f>
        <v>0</v>
      </c>
      <c r="AT785" s="2127">
        <f>W785-'Blocking-Step2'!W785</f>
        <v>0</v>
      </c>
      <c r="AV785" s="2128">
        <f>Y785-'Blocking-Step2'!Y785</f>
        <v>0</v>
      </c>
    </row>
    <row r="786" spans="1:48" ht="16.5" hidden="1" thickTop="1">
      <c r="A786" s="1116" t="s">
        <v>1362</v>
      </c>
      <c r="C786" s="1105">
        <v>1331517.1683641539</v>
      </c>
      <c r="D786" s="1105">
        <v>1752959.0476190476</v>
      </c>
      <c r="F786" s="1106">
        <v>3.8127</v>
      </c>
      <c r="G786" s="1921" t="s">
        <v>495</v>
      </c>
      <c r="H786" s="1146">
        <v>50767</v>
      </c>
      <c r="I786" s="1146">
        <v>66835</v>
      </c>
      <c r="K786" s="1106"/>
      <c r="L786" s="1921"/>
      <c r="M786" s="1106"/>
      <c r="N786" s="1921"/>
      <c r="O786" s="1106"/>
      <c r="P786" s="1921"/>
      <c r="Q786" s="1106"/>
      <c r="R786" s="1921"/>
      <c r="S786" s="1648"/>
      <c r="T786" s="1648"/>
      <c r="U786" s="1648"/>
      <c r="V786" s="1648"/>
      <c r="W786" s="1648"/>
      <c r="X786" s="1648"/>
      <c r="Y786" s="1146"/>
      <c r="Z786" s="2114">
        <f>C786-'Blocking-Step2'!C786</f>
        <v>0</v>
      </c>
      <c r="AA786" s="2114">
        <f>D786-'Blocking-Step2'!D786</f>
        <v>0</v>
      </c>
      <c r="AC786" s="2114">
        <f>F786-'Blocking-Step2'!F786</f>
        <v>0</v>
      </c>
      <c r="AE786" s="2114">
        <f>H786-'Blocking-Step2'!H786</f>
        <v>0</v>
      </c>
      <c r="AF786" s="2114">
        <f>I786-'Blocking-Step2'!I786</f>
        <v>0</v>
      </c>
      <c r="AH786" s="2136">
        <f>K786-'Blocking-Step2'!K786</f>
        <v>0</v>
      </c>
      <c r="AJ786" s="2136">
        <f>M786-'Blocking-Step2'!M786</f>
        <v>0</v>
      </c>
      <c r="AL786" s="2136">
        <f>O786-'Blocking-Step2'!O786</f>
        <v>0</v>
      </c>
      <c r="AN786" s="2137">
        <f>Q786-'Blocking-Step2'!Q786</f>
        <v>0</v>
      </c>
      <c r="AP786" s="2127">
        <f>S786-'Blocking-Step2'!S786</f>
        <v>0</v>
      </c>
      <c r="AR786" s="2127">
        <f>U786-'Blocking-Step2'!U786</f>
        <v>0</v>
      </c>
      <c r="AT786" s="2127">
        <f>W786-'Blocking-Step2'!W786</f>
        <v>0</v>
      </c>
      <c r="AV786" s="2128">
        <f>Y786-'Blocking-Step2'!Y786</f>
        <v>0</v>
      </c>
    </row>
    <row r="787" spans="1:48" ht="16.5" hidden="1" thickTop="1">
      <c r="A787" s="1116" t="s">
        <v>1363</v>
      </c>
      <c r="C787" s="1105">
        <v>2439244.5367079591</v>
      </c>
      <c r="D787" s="1105">
        <v>2820849.1373626376</v>
      </c>
      <c r="F787" s="1106">
        <v>3.5143</v>
      </c>
      <c r="G787" s="1921" t="s">
        <v>495</v>
      </c>
      <c r="H787" s="1146">
        <v>85722</v>
      </c>
      <c r="I787" s="1146">
        <v>99133</v>
      </c>
      <c r="K787" s="1106"/>
      <c r="L787" s="1921"/>
      <c r="M787" s="1106"/>
      <c r="N787" s="1921"/>
      <c r="O787" s="1106"/>
      <c r="P787" s="1921"/>
      <c r="Q787" s="1106"/>
      <c r="R787" s="1921"/>
      <c r="S787" s="1648"/>
      <c r="T787" s="1648"/>
      <c r="U787" s="1648"/>
      <c r="V787" s="1648"/>
      <c r="W787" s="1648"/>
      <c r="X787" s="1648"/>
      <c r="Y787" s="1146"/>
      <c r="Z787" s="2114">
        <f>C787-'Blocking-Step2'!C787</f>
        <v>0</v>
      </c>
      <c r="AA787" s="2114">
        <f>D787-'Blocking-Step2'!D787</f>
        <v>0</v>
      </c>
      <c r="AC787" s="2114">
        <f>F787-'Blocking-Step2'!F787</f>
        <v>0</v>
      </c>
      <c r="AE787" s="2114">
        <f>H787-'Blocking-Step2'!H787</f>
        <v>0</v>
      </c>
      <c r="AF787" s="2114">
        <f>I787-'Blocking-Step2'!I787</f>
        <v>0</v>
      </c>
      <c r="AH787" s="2136">
        <f>K787-'Blocking-Step2'!K787</f>
        <v>0</v>
      </c>
      <c r="AJ787" s="2136">
        <f>M787-'Blocking-Step2'!M787</f>
        <v>0</v>
      </c>
      <c r="AL787" s="2136">
        <f>O787-'Blocking-Step2'!O787</f>
        <v>0</v>
      </c>
      <c r="AN787" s="2137">
        <f>Q787-'Blocking-Step2'!Q787</f>
        <v>0</v>
      </c>
      <c r="AP787" s="2127">
        <f>S787-'Blocking-Step2'!S787</f>
        <v>0</v>
      </c>
      <c r="AR787" s="2127">
        <f>U787-'Blocking-Step2'!U787</f>
        <v>0</v>
      </c>
      <c r="AT787" s="2127">
        <f>W787-'Blocking-Step2'!W787</f>
        <v>0</v>
      </c>
      <c r="AV787" s="2128">
        <f>Y787-'Blocking-Step2'!Y787</f>
        <v>0</v>
      </c>
    </row>
    <row r="788" spans="1:48" ht="16.5" hidden="1" thickTop="1">
      <c r="A788" s="1116" t="s">
        <v>246</v>
      </c>
      <c r="C788" s="1940">
        <v>21392</v>
      </c>
      <c r="D788" s="1940">
        <v>0</v>
      </c>
      <c r="H788" s="1147">
        <v>1984</v>
      </c>
      <c r="I788" s="1147">
        <v>0</v>
      </c>
      <c r="Y788" s="1147">
        <v>0</v>
      </c>
      <c r="Z788" s="2114">
        <f>C788-'Blocking-Step2'!C788</f>
        <v>0</v>
      </c>
      <c r="AA788" s="2114">
        <f>D788-'Blocking-Step2'!D788</f>
        <v>0</v>
      </c>
      <c r="AC788" s="2114">
        <f>F788-'Blocking-Step2'!F788</f>
        <v>0</v>
      </c>
      <c r="AE788" s="2114">
        <f>H788-'Blocking-Step2'!H788</f>
        <v>0</v>
      </c>
      <c r="AF788" s="2114">
        <f>I788-'Blocking-Step2'!I788</f>
        <v>0</v>
      </c>
      <c r="AH788" s="2136">
        <f>K788-'Blocking-Step2'!K788</f>
        <v>0</v>
      </c>
      <c r="AJ788" s="2136">
        <f>M788-'Blocking-Step2'!M788</f>
        <v>0</v>
      </c>
      <c r="AL788" s="2136">
        <f>O788-'Blocking-Step2'!O788</f>
        <v>0</v>
      </c>
      <c r="AN788" s="2137">
        <f>Q788-'Blocking-Step2'!Q788</f>
        <v>0</v>
      </c>
      <c r="AP788" s="2127">
        <f>S788-'Blocking-Step2'!S788</f>
        <v>0</v>
      </c>
      <c r="AR788" s="2127">
        <f>U788-'Blocking-Step2'!U788</f>
        <v>0</v>
      </c>
      <c r="AT788" s="2127">
        <f>W788-'Blocking-Step2'!W788</f>
        <v>0</v>
      </c>
      <c r="AV788" s="2128">
        <f>Y788-'Blocking-Step2'!Y788</f>
        <v>0</v>
      </c>
    </row>
    <row r="789" spans="1:48" ht="16.5" hidden="1" thickTop="1">
      <c r="A789" s="1116" t="s">
        <v>1240</v>
      </c>
      <c r="C789" s="1024"/>
      <c r="D789" s="1024"/>
      <c r="F789" s="2076">
        <v>-3.61E-2</v>
      </c>
      <c r="G789" s="617"/>
      <c r="H789" s="1146">
        <v>-10015.764499999999</v>
      </c>
      <c r="I789" s="1146">
        <v>-12128.769700000001</v>
      </c>
      <c r="K789" s="2076"/>
      <c r="L789" s="617"/>
      <c r="M789" s="2076"/>
      <c r="N789" s="617"/>
      <c r="O789" s="2077" t="s">
        <v>2323</v>
      </c>
      <c r="P789" s="617"/>
      <c r="Q789" s="2076">
        <v>-2.76E-2</v>
      </c>
      <c r="R789" s="617"/>
      <c r="S789" s="1114"/>
      <c r="T789" s="1114"/>
      <c r="U789" s="1114"/>
      <c r="V789" s="1114"/>
      <c r="W789" s="1114"/>
      <c r="X789" s="1114"/>
      <c r="Y789" s="1146">
        <v>-9272.4683999999997</v>
      </c>
      <c r="Z789" s="2114">
        <f>C789-'Blocking-Step2'!C789</f>
        <v>0</v>
      </c>
      <c r="AA789" s="2114">
        <f>D789-'Blocking-Step2'!D789</f>
        <v>0</v>
      </c>
      <c r="AC789" s="2114">
        <f>F789-'Blocking-Step2'!F789</f>
        <v>0</v>
      </c>
      <c r="AE789" s="2114">
        <f>H789-'Blocking-Step2'!H789</f>
        <v>0</v>
      </c>
      <c r="AF789" s="2114">
        <f>I789-'Blocking-Step2'!I789</f>
        <v>0</v>
      </c>
      <c r="AH789" s="2136">
        <f>K789-'Blocking-Step2'!K789</f>
        <v>0</v>
      </c>
      <c r="AJ789" s="2136">
        <f>M789-'Blocking-Step2'!M789</f>
        <v>0</v>
      </c>
      <c r="AL789" s="2136" t="e">
        <f>O789-'Blocking-Step2'!O789</f>
        <v>#VALUE!</v>
      </c>
      <c r="AN789" s="2137">
        <f>Q789-'Blocking-Step2'!Q789</f>
        <v>0</v>
      </c>
      <c r="AP789" s="2127">
        <f>S789-'Blocking-Step2'!S789</f>
        <v>0</v>
      </c>
      <c r="AR789" s="2127">
        <f>U789-'Blocking-Step2'!U789</f>
        <v>0</v>
      </c>
      <c r="AT789" s="2127">
        <f>W789-'Blocking-Step2'!W789</f>
        <v>0</v>
      </c>
      <c r="AV789" s="2128">
        <f>Y789-'Blocking-Step2'!Y789</f>
        <v>0</v>
      </c>
    </row>
    <row r="790" spans="1:48" ht="16.5" hidden="1" thickTop="1">
      <c r="A790" s="1116"/>
      <c r="C790" s="1024"/>
      <c r="D790" s="1024"/>
      <c r="F790" s="2076"/>
      <c r="G790" s="617"/>
      <c r="H790" s="1146"/>
      <c r="I790" s="1146"/>
      <c r="K790" s="2076"/>
      <c r="L790" s="617"/>
      <c r="M790" s="2076"/>
      <c r="N790" s="617"/>
      <c r="O790" s="2077" t="s">
        <v>2324</v>
      </c>
      <c r="P790" s="617"/>
      <c r="Q790" s="2076">
        <v>-1.4999999999999999E-2</v>
      </c>
      <c r="R790" s="617"/>
      <c r="S790" s="1114"/>
      <c r="T790" s="1114"/>
      <c r="U790" s="1114"/>
      <c r="V790" s="1114"/>
      <c r="W790" s="1114"/>
      <c r="X790" s="1114"/>
      <c r="Y790" s="1146">
        <v>-5039.3850000000002</v>
      </c>
      <c r="Z790" s="2114">
        <f>C790-'Blocking-Step2'!C790</f>
        <v>0</v>
      </c>
      <c r="AA790" s="2114">
        <f>D790-'Blocking-Step2'!D790</f>
        <v>0</v>
      </c>
      <c r="AC790" s="2114">
        <f>F790-'Blocking-Step2'!F790</f>
        <v>0</v>
      </c>
      <c r="AE790" s="2114">
        <f>H790-'Blocking-Step2'!H790</f>
        <v>0</v>
      </c>
      <c r="AF790" s="2114">
        <f>I790-'Blocking-Step2'!I790</f>
        <v>0</v>
      </c>
      <c r="AH790" s="2136">
        <f>K790-'Blocking-Step2'!K790</f>
        <v>0</v>
      </c>
      <c r="AJ790" s="2136">
        <f>M790-'Blocking-Step2'!M790</f>
        <v>0</v>
      </c>
      <c r="AL790" s="2136" t="e">
        <f>O790-'Blocking-Step2'!O790</f>
        <v>#VALUE!</v>
      </c>
      <c r="AN790" s="2137">
        <f>Q790-'Blocking-Step2'!Q790</f>
        <v>0</v>
      </c>
      <c r="AP790" s="2127">
        <f>S790-'Blocking-Step2'!S790</f>
        <v>0</v>
      </c>
      <c r="AR790" s="2127">
        <f>U790-'Blocking-Step2'!U790</f>
        <v>0</v>
      </c>
      <c r="AT790" s="2127">
        <f>W790-'Blocking-Step2'!W790</f>
        <v>0</v>
      </c>
      <c r="AV790" s="2128">
        <f>Y790-'Blocking-Step2'!Y790</f>
        <v>0</v>
      </c>
    </row>
    <row r="791" spans="1:48" ht="17.25" hidden="1" thickTop="1" thickBot="1">
      <c r="A791" s="1116" t="s">
        <v>247</v>
      </c>
      <c r="C791" s="1138">
        <v>3792153.7050721133</v>
      </c>
      <c r="D791" s="1138">
        <v>4573808.1849816851</v>
      </c>
      <c r="F791" s="1145"/>
      <c r="H791" s="1149">
        <v>324342.23550000001</v>
      </c>
      <c r="I791" s="1149">
        <v>390761.2303</v>
      </c>
      <c r="K791" s="1145"/>
      <c r="M791" s="1145"/>
      <c r="O791" s="1145"/>
      <c r="Q791" s="1145"/>
      <c r="S791" s="1149">
        <v>73252</v>
      </c>
      <c r="U791" s="1149">
        <v>232301</v>
      </c>
      <c r="W791" s="1149">
        <v>97180</v>
      </c>
      <c r="Y791" s="1149">
        <v>402734</v>
      </c>
      <c r="Z791" s="2114">
        <f>C791-'Blocking-Step2'!C791</f>
        <v>0</v>
      </c>
      <c r="AA791" s="2114">
        <f>D791-'Blocking-Step2'!D791</f>
        <v>0</v>
      </c>
      <c r="AC791" s="2114">
        <f>F791-'Blocking-Step2'!F791</f>
        <v>0</v>
      </c>
      <c r="AE791" s="2114">
        <f>H791-'Blocking-Step2'!H791</f>
        <v>0</v>
      </c>
      <c r="AF791" s="2114">
        <f>I791-'Blocking-Step2'!I791</f>
        <v>0</v>
      </c>
      <c r="AH791" s="2136">
        <f>K791-'Blocking-Step2'!K791</f>
        <v>0</v>
      </c>
      <c r="AJ791" s="2136">
        <f>M791-'Blocking-Step2'!M791</f>
        <v>0</v>
      </c>
      <c r="AL791" s="2136">
        <f>O791-'Blocking-Step2'!O791</f>
        <v>0</v>
      </c>
      <c r="AN791" s="2137">
        <f>Q791-'Blocking-Step2'!Q791</f>
        <v>0</v>
      </c>
      <c r="AP791" s="2127">
        <f>S791-'Blocking-Step2'!S791</f>
        <v>-74194</v>
      </c>
      <c r="AR791" s="2127">
        <f>U791-'Blocking-Step2'!U791</f>
        <v>74193</v>
      </c>
      <c r="AT791" s="2127">
        <f>W791-'Blocking-Step2'!W791</f>
        <v>0</v>
      </c>
      <c r="AV791" s="2128">
        <f>Y791-'Blocking-Step2'!Y791</f>
        <v>0</v>
      </c>
    </row>
    <row r="792" spans="1:48" ht="16.5" hidden="1" thickTop="1">
      <c r="Z792" s="2114">
        <f>C792-'Blocking-Step2'!C792</f>
        <v>0</v>
      </c>
      <c r="AA792" s="2114">
        <f>D792-'Blocking-Step2'!D792</f>
        <v>0</v>
      </c>
      <c r="AC792" s="2114">
        <f>F792-'Blocking-Step2'!F792</f>
        <v>0</v>
      </c>
      <c r="AE792" s="2114">
        <f>H792-'Blocking-Step2'!H792</f>
        <v>0</v>
      </c>
      <c r="AF792" s="2114">
        <f>I792-'Blocking-Step2'!I792</f>
        <v>0</v>
      </c>
      <c r="AH792" s="2136">
        <f>K792-'Blocking-Step2'!K792</f>
        <v>0</v>
      </c>
      <c r="AJ792" s="2136">
        <f>M792-'Blocking-Step2'!M792</f>
        <v>0</v>
      </c>
      <c r="AL792" s="2136">
        <f>O792-'Blocking-Step2'!O792</f>
        <v>0</v>
      </c>
      <c r="AN792" s="2137">
        <f>Q792-'Blocking-Step2'!Q792</f>
        <v>0</v>
      </c>
      <c r="AP792" s="2127">
        <f>S792-'Blocking-Step2'!S792</f>
        <v>0</v>
      </c>
      <c r="AR792" s="2127">
        <f>U792-'Blocking-Step2'!U792</f>
        <v>0</v>
      </c>
      <c r="AT792" s="2127">
        <f>W792-'Blocking-Step2'!W792</f>
        <v>0</v>
      </c>
      <c r="AV792" s="2128">
        <f>Y792-'Blocking-Step2'!Y792</f>
        <v>0</v>
      </c>
    </row>
    <row r="793" spans="1:48" ht="16.5" hidden="1" thickTop="1">
      <c r="A793" s="1115" t="s">
        <v>980</v>
      </c>
      <c r="C793" s="1105"/>
      <c r="D793" s="1105"/>
      <c r="Z793" s="2114">
        <f>C793-'Blocking-Step2'!C793</f>
        <v>0</v>
      </c>
      <c r="AA793" s="2114">
        <f>D793-'Blocking-Step2'!D793</f>
        <v>0</v>
      </c>
      <c r="AC793" s="2114">
        <f>F793-'Blocking-Step2'!F793</f>
        <v>0</v>
      </c>
      <c r="AE793" s="2114">
        <f>H793-'Blocking-Step2'!H793</f>
        <v>0</v>
      </c>
      <c r="AF793" s="2114">
        <f>I793-'Blocking-Step2'!I793</f>
        <v>0</v>
      </c>
      <c r="AH793" s="2136">
        <f>K793-'Blocking-Step2'!K793</f>
        <v>0</v>
      </c>
      <c r="AJ793" s="2136">
        <f>M793-'Blocking-Step2'!M793</f>
        <v>0</v>
      </c>
      <c r="AL793" s="2136">
        <f>O793-'Blocking-Step2'!O793</f>
        <v>0</v>
      </c>
      <c r="AN793" s="2137">
        <f>Q793-'Blocking-Step2'!Q793</f>
        <v>0</v>
      </c>
      <c r="AP793" s="2127">
        <f>S793-'Blocking-Step2'!S793</f>
        <v>0</v>
      </c>
      <c r="AR793" s="2127">
        <f>U793-'Blocking-Step2'!U793</f>
        <v>0</v>
      </c>
      <c r="AT793" s="2127">
        <f>W793-'Blocking-Step2'!W793</f>
        <v>0</v>
      </c>
      <c r="AV793" s="2128">
        <f>Y793-'Blocking-Step2'!Y793</f>
        <v>0</v>
      </c>
    </row>
    <row r="794" spans="1:48" ht="16.5" hidden="1" thickTop="1">
      <c r="A794" s="1116" t="s">
        <v>240</v>
      </c>
      <c r="C794" s="1105">
        <v>3192.8</v>
      </c>
      <c r="D794" s="1105">
        <v>4032</v>
      </c>
      <c r="F794" s="1142">
        <v>54</v>
      </c>
      <c r="G794" s="617"/>
      <c r="H794" s="1146">
        <v>172411</v>
      </c>
      <c r="I794" s="1146">
        <v>217728</v>
      </c>
      <c r="K794" s="1142">
        <v>54</v>
      </c>
      <c r="L794" s="617"/>
      <c r="M794" s="1142">
        <v>0</v>
      </c>
      <c r="N794" s="617"/>
      <c r="O794" s="1142">
        <v>0</v>
      </c>
      <c r="P794" s="617"/>
      <c r="Q794" s="1142">
        <v>54</v>
      </c>
      <c r="R794" s="617"/>
      <c r="S794" s="1146">
        <v>217728</v>
      </c>
      <c r="T794" s="1114"/>
      <c r="U794" s="1146">
        <v>0</v>
      </c>
      <c r="V794" s="1114"/>
      <c r="W794" s="1146">
        <v>0</v>
      </c>
      <c r="X794" s="1114"/>
      <c r="Y794" s="1146">
        <v>217728</v>
      </c>
      <c r="Z794" s="2114">
        <f>C794-'Blocking-Step2'!C794</f>
        <v>0</v>
      </c>
      <c r="AA794" s="2114">
        <f>D794-'Blocking-Step2'!D794</f>
        <v>0</v>
      </c>
      <c r="AC794" s="2114">
        <f>F794-'Blocking-Step2'!F794</f>
        <v>0</v>
      </c>
      <c r="AE794" s="2114">
        <f>H794-'Blocking-Step2'!H794</f>
        <v>0</v>
      </c>
      <c r="AF794" s="2114">
        <f>I794-'Blocking-Step2'!I794</f>
        <v>0</v>
      </c>
      <c r="AH794" s="2136">
        <f>K794-'Blocking-Step2'!K794</f>
        <v>0</v>
      </c>
      <c r="AJ794" s="2136">
        <f>M794-'Blocking-Step2'!M794</f>
        <v>0</v>
      </c>
      <c r="AL794" s="2136">
        <f>O794-'Blocking-Step2'!O794</f>
        <v>0</v>
      </c>
      <c r="AN794" s="2137">
        <f>Q794-'Blocking-Step2'!Q794</f>
        <v>0</v>
      </c>
      <c r="AP794" s="2127">
        <f>S794-'Blocking-Step2'!S794</f>
        <v>0</v>
      </c>
      <c r="AR794" s="2127">
        <f>U794-'Blocking-Step2'!U794</f>
        <v>0</v>
      </c>
      <c r="AT794" s="2127">
        <f>W794-'Blocking-Step2'!W794</f>
        <v>0</v>
      </c>
      <c r="AV794" s="2128">
        <f>Y794-'Blocking-Step2'!Y794</f>
        <v>0</v>
      </c>
    </row>
    <row r="795" spans="1:48" ht="16.5" hidden="1" thickTop="1">
      <c r="A795" s="1116" t="s">
        <v>262</v>
      </c>
      <c r="C795" s="1024">
        <v>0</v>
      </c>
      <c r="D795" s="1105">
        <v>0</v>
      </c>
      <c r="F795" s="1142">
        <v>648</v>
      </c>
      <c r="G795" s="617"/>
      <c r="H795" s="1146">
        <v>0</v>
      </c>
      <c r="I795" s="1146">
        <v>0</v>
      </c>
      <c r="K795" s="1142">
        <v>648</v>
      </c>
      <c r="L795" s="617"/>
      <c r="M795" s="1142">
        <v>0</v>
      </c>
      <c r="N795" s="617"/>
      <c r="O795" s="1142">
        <v>0</v>
      </c>
      <c r="P795" s="617"/>
      <c r="Q795" s="1142">
        <v>648</v>
      </c>
      <c r="R795" s="617"/>
      <c r="S795" s="1146">
        <v>0</v>
      </c>
      <c r="T795" s="1114"/>
      <c r="U795" s="1146">
        <v>0</v>
      </c>
      <c r="V795" s="1114"/>
      <c r="W795" s="1146">
        <v>0</v>
      </c>
      <c r="X795" s="1114"/>
      <c r="Y795" s="1146">
        <v>0</v>
      </c>
      <c r="Z795" s="2114">
        <f>C795-'Blocking-Step2'!C795</f>
        <v>0</v>
      </c>
      <c r="AA795" s="2114">
        <f>D795-'Blocking-Step2'!D795</f>
        <v>0</v>
      </c>
      <c r="AC795" s="2114">
        <f>F795-'Blocking-Step2'!F795</f>
        <v>0</v>
      </c>
      <c r="AE795" s="2114">
        <f>H795-'Blocking-Step2'!H795</f>
        <v>0</v>
      </c>
      <c r="AF795" s="2114">
        <f>I795-'Blocking-Step2'!I795</f>
        <v>0</v>
      </c>
      <c r="AH795" s="2136">
        <f>K795-'Blocking-Step2'!K795</f>
        <v>0</v>
      </c>
      <c r="AJ795" s="2136">
        <f>M795-'Blocking-Step2'!M795</f>
        <v>0</v>
      </c>
      <c r="AL795" s="2136">
        <f>O795-'Blocking-Step2'!O795</f>
        <v>0</v>
      </c>
      <c r="AN795" s="2137">
        <f>Q795-'Blocking-Step2'!Q795</f>
        <v>0</v>
      </c>
      <c r="AP795" s="2127">
        <f>S795-'Blocking-Step2'!S795</f>
        <v>0</v>
      </c>
      <c r="AR795" s="2127">
        <f>U795-'Blocking-Step2'!U795</f>
        <v>0</v>
      </c>
      <c r="AT795" s="2127">
        <f>W795-'Blocking-Step2'!W795</f>
        <v>0</v>
      </c>
      <c r="AV795" s="2128">
        <f>Y795-'Blocking-Step2'!Y795</f>
        <v>0</v>
      </c>
    </row>
    <row r="796" spans="1:48" ht="16.5" hidden="1" thickTop="1">
      <c r="A796" s="1116" t="s">
        <v>1298</v>
      </c>
      <c r="C796" s="1105">
        <v>0</v>
      </c>
      <c r="D796" s="1105">
        <v>0</v>
      </c>
      <c r="F796" s="1142">
        <v>54</v>
      </c>
      <c r="G796" s="617"/>
      <c r="H796" s="1146">
        <v>0</v>
      </c>
      <c r="I796" s="1146">
        <v>0</v>
      </c>
      <c r="K796" s="1142">
        <v>54</v>
      </c>
      <c r="L796" s="617"/>
      <c r="M796" s="1142">
        <v>0</v>
      </c>
      <c r="N796" s="617"/>
      <c r="O796" s="1142">
        <v>0</v>
      </c>
      <c r="P796" s="617"/>
      <c r="Q796" s="1142">
        <v>54</v>
      </c>
      <c r="R796" s="617"/>
      <c r="S796" s="1146">
        <v>0</v>
      </c>
      <c r="T796" s="1114"/>
      <c r="U796" s="1146">
        <v>0</v>
      </c>
      <c r="V796" s="1114"/>
      <c r="W796" s="1146">
        <v>0</v>
      </c>
      <c r="X796" s="1114"/>
      <c r="Y796" s="1146">
        <v>0</v>
      </c>
      <c r="Z796" s="2114">
        <f>C796-'Blocking-Step2'!C796</f>
        <v>0</v>
      </c>
      <c r="AA796" s="2114">
        <f>D796-'Blocking-Step2'!D796</f>
        <v>0</v>
      </c>
      <c r="AC796" s="2114">
        <f>F796-'Blocking-Step2'!F796</f>
        <v>0</v>
      </c>
      <c r="AE796" s="2114">
        <f>H796-'Blocking-Step2'!H796</f>
        <v>0</v>
      </c>
      <c r="AF796" s="2114">
        <f>I796-'Blocking-Step2'!I796</f>
        <v>0</v>
      </c>
      <c r="AH796" s="2136">
        <f>K796-'Blocking-Step2'!K796</f>
        <v>0</v>
      </c>
      <c r="AJ796" s="2136">
        <f>M796-'Blocking-Step2'!M796</f>
        <v>0</v>
      </c>
      <c r="AL796" s="2136">
        <f>O796-'Blocking-Step2'!O796</f>
        <v>0</v>
      </c>
      <c r="AN796" s="2137">
        <f>Q796-'Blocking-Step2'!Q796</f>
        <v>0</v>
      </c>
      <c r="AP796" s="2127">
        <f>S796-'Blocking-Step2'!S796</f>
        <v>0</v>
      </c>
      <c r="AR796" s="2127">
        <f>U796-'Blocking-Step2'!U796</f>
        <v>0</v>
      </c>
      <c r="AT796" s="2127">
        <f>W796-'Blocking-Step2'!W796</f>
        <v>0</v>
      </c>
      <c r="AV796" s="2128">
        <f>Y796-'Blocking-Step2'!Y796</f>
        <v>0</v>
      </c>
    </row>
    <row r="797" spans="1:48" ht="16.5" hidden="1" thickTop="1">
      <c r="A797" s="1116" t="s">
        <v>168</v>
      </c>
      <c r="C797" s="1105">
        <v>364255.69801980199</v>
      </c>
      <c r="D797" s="1105">
        <v>468930</v>
      </c>
      <c r="F797" s="1142">
        <v>4.04</v>
      </c>
      <c r="G797" s="617"/>
      <c r="H797" s="1146">
        <v>1471593</v>
      </c>
      <c r="I797" s="1146">
        <v>1894477</v>
      </c>
      <c r="K797" s="1142">
        <v>4.03</v>
      </c>
      <c r="L797" s="617"/>
      <c r="M797" s="1142">
        <v>0</v>
      </c>
      <c r="N797" s="617"/>
      <c r="O797" s="1142">
        <v>0</v>
      </c>
      <c r="P797" s="617"/>
      <c r="Q797" s="1142">
        <v>4.03</v>
      </c>
      <c r="R797" s="617"/>
      <c r="S797" s="1146">
        <v>1889788</v>
      </c>
      <c r="T797" s="1114"/>
      <c r="U797" s="1146">
        <v>0</v>
      </c>
      <c r="V797" s="1114"/>
      <c r="W797" s="1146">
        <v>0</v>
      </c>
      <c r="X797" s="1114"/>
      <c r="Y797" s="1146">
        <v>1889788</v>
      </c>
      <c r="Z797" s="2114">
        <f>C797-'Blocking-Step2'!C797</f>
        <v>0</v>
      </c>
      <c r="AA797" s="2114">
        <f>D797-'Blocking-Step2'!D797</f>
        <v>0</v>
      </c>
      <c r="AC797" s="2114">
        <f>F797-'Blocking-Step2'!F797</f>
        <v>0</v>
      </c>
      <c r="AE797" s="2114">
        <f>H797-'Blocking-Step2'!H797</f>
        <v>0</v>
      </c>
      <c r="AF797" s="2114">
        <f>I797-'Blocking-Step2'!I797</f>
        <v>0</v>
      </c>
      <c r="AH797" s="2136">
        <f>K797-'Blocking-Step2'!K797</f>
        <v>0</v>
      </c>
      <c r="AJ797" s="2136">
        <f>M797-'Blocking-Step2'!M797</f>
        <v>0</v>
      </c>
      <c r="AL797" s="2136">
        <f>O797-'Blocking-Step2'!O797</f>
        <v>0</v>
      </c>
      <c r="AN797" s="2137">
        <f>Q797-'Blocking-Step2'!Q797</f>
        <v>0</v>
      </c>
      <c r="AP797" s="2127">
        <f>S797-'Blocking-Step2'!S797</f>
        <v>0</v>
      </c>
      <c r="AR797" s="2127">
        <f>U797-'Blocking-Step2'!U797</f>
        <v>0</v>
      </c>
      <c r="AT797" s="2127">
        <f>W797-'Blocking-Step2'!W797</f>
        <v>0</v>
      </c>
      <c r="AV797" s="2128">
        <f>Y797-'Blocking-Step2'!Y797</f>
        <v>0</v>
      </c>
    </row>
    <row r="798" spans="1:48" ht="16.5" hidden="1" thickTop="1">
      <c r="A798" s="1116" t="s">
        <v>1645</v>
      </c>
      <c r="C798" s="1105">
        <v>150690.92065663519</v>
      </c>
      <c r="D798" s="1105">
        <v>193994</v>
      </c>
      <c r="F798" s="1142"/>
      <c r="G798" s="617"/>
      <c r="H798" s="1146"/>
      <c r="I798" s="1146"/>
      <c r="K798" s="1142">
        <v>0.51</v>
      </c>
      <c r="L798" s="617"/>
      <c r="M798" s="1142">
        <v>12.89</v>
      </c>
      <c r="N798" s="617"/>
      <c r="O798" s="1142">
        <v>0</v>
      </c>
      <c r="P798" s="617"/>
      <c r="Q798" s="1142">
        <v>13.4</v>
      </c>
      <c r="R798" s="617"/>
      <c r="S798" s="1146">
        <v>98937</v>
      </c>
      <c r="T798" s="1146"/>
      <c r="U798" s="1146">
        <v>2500583</v>
      </c>
      <c r="V798" s="1146"/>
      <c r="W798" s="1146">
        <v>0</v>
      </c>
      <c r="X798" s="1114"/>
      <c r="Y798" s="1146">
        <v>2599520</v>
      </c>
      <c r="Z798" s="2114">
        <f>C798-'Blocking-Step2'!C798</f>
        <v>0</v>
      </c>
      <c r="AA798" s="2114">
        <f>D798-'Blocking-Step2'!D798</f>
        <v>0</v>
      </c>
      <c r="AC798" s="2114">
        <f>F798-'Blocking-Step2'!F798</f>
        <v>0</v>
      </c>
      <c r="AE798" s="2114">
        <f>H798-'Blocking-Step2'!H798</f>
        <v>0</v>
      </c>
      <c r="AF798" s="2114">
        <f>I798-'Blocking-Step2'!I798</f>
        <v>0</v>
      </c>
      <c r="AH798" s="2136">
        <f>K798-'Blocking-Step2'!K798</f>
        <v>-5.83</v>
      </c>
      <c r="AJ798" s="2136">
        <f>M798-'Blocking-Step2'!M798</f>
        <v>5.83</v>
      </c>
      <c r="AL798" s="2136">
        <f>O798-'Blocking-Step2'!O798</f>
        <v>0</v>
      </c>
      <c r="AN798" s="2137">
        <f>Q798-'Blocking-Step2'!Q798</f>
        <v>0</v>
      </c>
      <c r="AP798" s="2127">
        <f>S798-'Blocking-Step2'!S798</f>
        <v>-1130985</v>
      </c>
      <c r="AR798" s="2127">
        <f>U798-'Blocking-Step2'!U798</f>
        <v>1130985</v>
      </c>
      <c r="AT798" s="2127">
        <f>W798-'Blocking-Step2'!W798</f>
        <v>0</v>
      </c>
      <c r="AV798" s="2128">
        <f>Y798-'Blocking-Step2'!Y798</f>
        <v>0</v>
      </c>
    </row>
    <row r="799" spans="1:48" ht="16.5" hidden="1" thickTop="1">
      <c r="A799" s="1116" t="s">
        <v>1646</v>
      </c>
      <c r="C799" s="1105">
        <v>213564.80074693981</v>
      </c>
      <c r="D799" s="1105">
        <v>274936</v>
      </c>
      <c r="F799" s="1142"/>
      <c r="G799" s="617"/>
      <c r="H799" s="1146"/>
      <c r="I799" s="1146"/>
      <c r="K799" s="1142">
        <v>0.45</v>
      </c>
      <c r="L799" s="617"/>
      <c r="M799" s="1142">
        <v>11.41</v>
      </c>
      <c r="N799" s="617"/>
      <c r="O799" s="1142">
        <v>0</v>
      </c>
      <c r="P799" s="617"/>
      <c r="Q799" s="1142">
        <v>11.86</v>
      </c>
      <c r="R799" s="617"/>
      <c r="S799" s="1146">
        <v>123721</v>
      </c>
      <c r="T799" s="1146"/>
      <c r="U799" s="1146">
        <v>3137020</v>
      </c>
      <c r="V799" s="1146"/>
      <c r="W799" s="1146">
        <v>0</v>
      </c>
      <c r="X799" s="1114"/>
      <c r="Y799" s="1146">
        <v>3260741</v>
      </c>
      <c r="Z799" s="2114">
        <f>C799-'Blocking-Step2'!C799</f>
        <v>0</v>
      </c>
      <c r="AA799" s="2114">
        <f>D799-'Blocking-Step2'!D799</f>
        <v>0</v>
      </c>
      <c r="AC799" s="2114">
        <f>F799-'Blocking-Step2'!F799</f>
        <v>0</v>
      </c>
      <c r="AE799" s="2114">
        <f>H799-'Blocking-Step2'!H799</f>
        <v>0</v>
      </c>
      <c r="AF799" s="2114">
        <f>I799-'Blocking-Step2'!I799</f>
        <v>0</v>
      </c>
      <c r="AH799" s="2136">
        <f>K799-'Blocking-Step2'!K799</f>
        <v>-5.16</v>
      </c>
      <c r="AJ799" s="2136">
        <f>M799-'Blocking-Step2'!M799</f>
        <v>5.160000000000001</v>
      </c>
      <c r="AL799" s="2136">
        <f>O799-'Blocking-Step2'!O799</f>
        <v>0</v>
      </c>
      <c r="AN799" s="2137">
        <f>Q799-'Blocking-Step2'!Q799</f>
        <v>0</v>
      </c>
      <c r="AP799" s="2127">
        <f>S799-'Blocking-Step2'!S799</f>
        <v>-1418670</v>
      </c>
      <c r="AR799" s="2127">
        <f>U799-'Blocking-Step2'!U799</f>
        <v>1418670</v>
      </c>
      <c r="AT799" s="2127">
        <f>W799-'Blocking-Step2'!W799</f>
        <v>0</v>
      </c>
      <c r="AV799" s="2128">
        <f>Y799-'Blocking-Step2'!Y799</f>
        <v>0</v>
      </c>
    </row>
    <row r="800" spans="1:48" ht="16.5" hidden="1" thickTop="1">
      <c r="A800" s="1116" t="s">
        <v>1647</v>
      </c>
      <c r="C800" s="1105">
        <v>48125028.184217915</v>
      </c>
      <c r="D800" s="1105">
        <v>56616651.067244932</v>
      </c>
      <c r="F800" s="1106"/>
      <c r="G800" s="1921"/>
      <c r="H800" s="1146"/>
      <c r="I800" s="1146"/>
      <c r="K800" s="1106">
        <v>0</v>
      </c>
      <c r="L800" s="1921" t="s">
        <v>495</v>
      </c>
      <c r="M800" s="1106">
        <v>1.6192</v>
      </c>
      <c r="N800" s="1921" t="s">
        <v>495</v>
      </c>
      <c r="O800" s="1106">
        <v>2.305570240802</v>
      </c>
      <c r="P800" s="1921" t="s">
        <v>495</v>
      </c>
      <c r="Q800" s="1106">
        <v>3.9247702408020002</v>
      </c>
      <c r="R800" s="1921" t="s">
        <v>495</v>
      </c>
      <c r="S800" s="1146">
        <v>0</v>
      </c>
      <c r="T800" s="1146"/>
      <c r="U800" s="1146">
        <v>916737</v>
      </c>
      <c r="V800" s="1146"/>
      <c r="W800" s="1146">
        <v>1305337</v>
      </c>
      <c r="X800" s="1648"/>
      <c r="Y800" s="1146">
        <v>2222073</v>
      </c>
      <c r="Z800" s="2114">
        <f>C800-'Blocking-Step2'!C800</f>
        <v>0</v>
      </c>
      <c r="AA800" s="2114">
        <f>D800-'Blocking-Step2'!D800</f>
        <v>0</v>
      </c>
      <c r="AC800" s="2114">
        <f>F800-'Blocking-Step2'!F800</f>
        <v>0</v>
      </c>
      <c r="AE800" s="2114">
        <f>H800-'Blocking-Step2'!H800</f>
        <v>0</v>
      </c>
      <c r="AF800" s="2114">
        <f>I800-'Blocking-Step2'!I800</f>
        <v>0</v>
      </c>
      <c r="AH800" s="2136">
        <f>K800-'Blocking-Step2'!K800</f>
        <v>0</v>
      </c>
      <c r="AJ800" s="2136">
        <f>M800-'Blocking-Step2'!M800</f>
        <v>0</v>
      </c>
      <c r="AL800" s="2136">
        <f>O800-'Blocking-Step2'!O800</f>
        <v>0</v>
      </c>
      <c r="AN800" s="2137">
        <f>Q800-'Blocking-Step2'!Q800</f>
        <v>0</v>
      </c>
      <c r="AP800" s="2127">
        <f>S800-'Blocking-Step2'!S800</f>
        <v>0</v>
      </c>
      <c r="AR800" s="2127">
        <f>U800-'Blocking-Step2'!U800</f>
        <v>0</v>
      </c>
      <c r="AT800" s="2127">
        <f>W800-'Blocking-Step2'!W800</f>
        <v>0</v>
      </c>
      <c r="AV800" s="2128">
        <f>Y800-'Blocking-Step2'!Y800</f>
        <v>0</v>
      </c>
    </row>
    <row r="801" spans="1:48" ht="16.5" hidden="1" thickTop="1">
      <c r="A801" s="1116" t="s">
        <v>1648</v>
      </c>
      <c r="C801" s="1105">
        <v>75109563.745376125</v>
      </c>
      <c r="D801" s="1105">
        <v>102872324.73884089</v>
      </c>
      <c r="F801" s="1106"/>
      <c r="G801" s="1921"/>
      <c r="H801" s="1146"/>
      <c r="I801" s="1146"/>
      <c r="K801" s="1106">
        <v>0</v>
      </c>
      <c r="L801" s="1921" t="s">
        <v>495</v>
      </c>
      <c r="M801" s="1106">
        <v>1.4329000000000001</v>
      </c>
      <c r="N801" s="1921" t="s">
        <v>495</v>
      </c>
      <c r="O801" s="1106">
        <v>2.0403480007099999</v>
      </c>
      <c r="P801" s="1921" t="s">
        <v>495</v>
      </c>
      <c r="Q801" s="1106">
        <v>3.4732480007099999</v>
      </c>
      <c r="R801" s="1921" t="s">
        <v>495</v>
      </c>
      <c r="S801" s="1146">
        <v>0</v>
      </c>
      <c r="T801" s="1146"/>
      <c r="U801" s="1146">
        <v>1474058</v>
      </c>
      <c r="V801" s="1146"/>
      <c r="W801" s="1146">
        <v>2098953</v>
      </c>
      <c r="X801" s="1648"/>
      <c r="Y801" s="1146">
        <v>3573011</v>
      </c>
      <c r="Z801" s="2114">
        <f>C801-'Blocking-Step2'!C801</f>
        <v>0</v>
      </c>
      <c r="AA801" s="2114">
        <f>D801-'Blocking-Step2'!D801</f>
        <v>0</v>
      </c>
      <c r="AC801" s="2114">
        <f>F801-'Blocking-Step2'!F801</f>
        <v>0</v>
      </c>
      <c r="AE801" s="2114">
        <f>H801-'Blocking-Step2'!H801</f>
        <v>0</v>
      </c>
      <c r="AF801" s="2114">
        <f>I801-'Blocking-Step2'!I801</f>
        <v>0</v>
      </c>
      <c r="AH801" s="2136">
        <f>K801-'Blocking-Step2'!K801</f>
        <v>0</v>
      </c>
      <c r="AJ801" s="2136">
        <f>M801-'Blocking-Step2'!M801</f>
        <v>0</v>
      </c>
      <c r="AL801" s="2136">
        <f>O801-'Blocking-Step2'!O801</f>
        <v>0</v>
      </c>
      <c r="AN801" s="2137">
        <f>Q801-'Blocking-Step2'!Q801</f>
        <v>0</v>
      </c>
      <c r="AP801" s="2127">
        <f>S801-'Blocking-Step2'!S801</f>
        <v>0</v>
      </c>
      <c r="AR801" s="2127">
        <f>U801-'Blocking-Step2'!U801</f>
        <v>0</v>
      </c>
      <c r="AT801" s="2127">
        <f>W801-'Blocking-Step2'!W801</f>
        <v>0</v>
      </c>
      <c r="AV801" s="2128">
        <f>Y801-'Blocking-Step2'!Y801</f>
        <v>0</v>
      </c>
    </row>
    <row r="802" spans="1:48" ht="16.5" hidden="1" thickTop="1">
      <c r="A802" s="1116" t="s">
        <v>196</v>
      </c>
      <c r="C802" s="1105">
        <v>164941.854309166</v>
      </c>
      <c r="D802" s="1105">
        <v>212340</v>
      </c>
      <c r="F802" s="1142">
        <v>14.62</v>
      </c>
      <c r="G802" s="617"/>
      <c r="H802" s="1146">
        <v>2411450</v>
      </c>
      <c r="I802" s="1146">
        <v>3104411</v>
      </c>
      <c r="K802" s="1142"/>
      <c r="L802" s="617"/>
      <c r="M802" s="1142"/>
      <c r="N802" s="617"/>
      <c r="O802" s="1142"/>
      <c r="P802" s="617"/>
      <c r="Q802" s="1142"/>
      <c r="R802" s="617"/>
      <c r="S802" s="1146"/>
      <c r="T802" s="1114"/>
      <c r="U802" s="1146"/>
      <c r="V802" s="1114"/>
      <c r="W802" s="1146"/>
      <c r="X802" s="1114"/>
      <c r="Y802" s="1146"/>
      <c r="Z802" s="2114">
        <f>C802-'Blocking-Step2'!C802</f>
        <v>0</v>
      </c>
      <c r="AA802" s="2114">
        <f>D802-'Blocking-Step2'!D802</f>
        <v>0</v>
      </c>
      <c r="AC802" s="2114">
        <f>F802-'Blocking-Step2'!F802</f>
        <v>0</v>
      </c>
      <c r="AE802" s="2114">
        <f>H802-'Blocking-Step2'!H802</f>
        <v>0</v>
      </c>
      <c r="AF802" s="2114">
        <f>I802-'Blocking-Step2'!I802</f>
        <v>0</v>
      </c>
      <c r="AH802" s="2136">
        <f>K802-'Blocking-Step2'!K802</f>
        <v>0</v>
      </c>
      <c r="AJ802" s="2136">
        <f>M802-'Blocking-Step2'!M802</f>
        <v>0</v>
      </c>
      <c r="AL802" s="2136">
        <f>O802-'Blocking-Step2'!O802</f>
        <v>0</v>
      </c>
      <c r="AN802" s="2137">
        <f>Q802-'Blocking-Step2'!Q802</f>
        <v>0</v>
      </c>
      <c r="AP802" s="2127">
        <f>S802-'Blocking-Step2'!S802</f>
        <v>0</v>
      </c>
      <c r="AR802" s="2127">
        <f>U802-'Blocking-Step2'!U802</f>
        <v>0</v>
      </c>
      <c r="AT802" s="2127">
        <f>W802-'Blocking-Step2'!W802</f>
        <v>0</v>
      </c>
      <c r="AV802" s="2128">
        <f>Y802-'Blocking-Step2'!Y802</f>
        <v>0</v>
      </c>
    </row>
    <row r="803" spans="1:48" ht="16.5" hidden="1" thickTop="1">
      <c r="A803" s="1116" t="s">
        <v>161</v>
      </c>
      <c r="C803" s="1105">
        <v>199313.86709440901</v>
      </c>
      <c r="D803" s="1105">
        <v>256590</v>
      </c>
      <c r="F803" s="1142">
        <v>10.91</v>
      </c>
      <c r="G803" s="617"/>
      <c r="H803" s="1146">
        <v>2174514</v>
      </c>
      <c r="I803" s="1146">
        <v>2799397</v>
      </c>
      <c r="K803" s="1142"/>
      <c r="L803" s="617"/>
      <c r="M803" s="1142"/>
      <c r="N803" s="617"/>
      <c r="O803" s="1142"/>
      <c r="P803" s="617"/>
      <c r="Q803" s="1142"/>
      <c r="R803" s="617"/>
      <c r="S803" s="1146"/>
      <c r="T803" s="1114"/>
      <c r="U803" s="1146"/>
      <c r="V803" s="1114"/>
      <c r="W803" s="1146"/>
      <c r="X803" s="1114"/>
      <c r="Y803" s="1146"/>
      <c r="Z803" s="2114">
        <f>C803-'Blocking-Step2'!C803</f>
        <v>0</v>
      </c>
      <c r="AA803" s="2114">
        <f>D803-'Blocking-Step2'!D803</f>
        <v>0</v>
      </c>
      <c r="AC803" s="2114">
        <f>F803-'Blocking-Step2'!F803</f>
        <v>0</v>
      </c>
      <c r="AE803" s="2114">
        <f>H803-'Blocking-Step2'!H803</f>
        <v>0</v>
      </c>
      <c r="AF803" s="2114">
        <f>I803-'Blocking-Step2'!I803</f>
        <v>0</v>
      </c>
      <c r="AH803" s="2136">
        <f>K803-'Blocking-Step2'!K803</f>
        <v>0</v>
      </c>
      <c r="AJ803" s="2136">
        <f>M803-'Blocking-Step2'!M803</f>
        <v>0</v>
      </c>
      <c r="AL803" s="2136">
        <f>O803-'Blocking-Step2'!O803</f>
        <v>0</v>
      </c>
      <c r="AN803" s="2137">
        <f>Q803-'Blocking-Step2'!Q803</f>
        <v>0</v>
      </c>
      <c r="AP803" s="2127">
        <f>S803-'Blocking-Step2'!S803</f>
        <v>0</v>
      </c>
      <c r="AR803" s="2127">
        <f>U803-'Blocking-Step2'!U803</f>
        <v>0</v>
      </c>
      <c r="AT803" s="2127">
        <f>W803-'Blocking-Step2'!W803</f>
        <v>0</v>
      </c>
      <c r="AV803" s="2128">
        <f>Y803-'Blocking-Step2'!Y803</f>
        <v>0</v>
      </c>
    </row>
    <row r="804" spans="1:48" ht="16.5" hidden="1" thickTop="1">
      <c r="A804" s="1116" t="s">
        <v>261</v>
      </c>
      <c r="C804" s="1105">
        <v>11785</v>
      </c>
      <c r="D804" s="1105">
        <v>15172</v>
      </c>
      <c r="F804" s="1142">
        <v>-0.96</v>
      </c>
      <c r="G804" s="617"/>
      <c r="H804" s="1146">
        <v>-11314</v>
      </c>
      <c r="I804" s="1146">
        <v>-14565</v>
      </c>
      <c r="K804" s="1142">
        <v>-0.96</v>
      </c>
      <c r="L804" s="617"/>
      <c r="M804" s="1142">
        <v>0</v>
      </c>
      <c r="N804" s="617"/>
      <c r="O804" s="1142">
        <v>0</v>
      </c>
      <c r="P804" s="617"/>
      <c r="Q804" s="1142">
        <v>-0.96</v>
      </c>
      <c r="R804" s="617"/>
      <c r="S804" s="1146">
        <v>-14565</v>
      </c>
      <c r="T804" s="1146"/>
      <c r="U804" s="1146">
        <v>0</v>
      </c>
      <c r="V804" s="1146"/>
      <c r="W804" s="1146">
        <v>0</v>
      </c>
      <c r="X804" s="1114"/>
      <c r="Y804" s="1146">
        <v>-14565</v>
      </c>
      <c r="Z804" s="2114">
        <f>C804-'Blocking-Step2'!C804</f>
        <v>0</v>
      </c>
      <c r="AA804" s="2114">
        <f>D804-'Blocking-Step2'!D804</f>
        <v>0</v>
      </c>
      <c r="AC804" s="2114">
        <f>F804-'Blocking-Step2'!F804</f>
        <v>0</v>
      </c>
      <c r="AE804" s="2114">
        <f>H804-'Blocking-Step2'!H804</f>
        <v>0</v>
      </c>
      <c r="AF804" s="2114">
        <f>I804-'Blocking-Step2'!I804</f>
        <v>0</v>
      </c>
      <c r="AH804" s="2136">
        <f>K804-'Blocking-Step2'!K804</f>
        <v>0</v>
      </c>
      <c r="AJ804" s="2136">
        <f>M804-'Blocking-Step2'!M804</f>
        <v>0</v>
      </c>
      <c r="AL804" s="2136">
        <f>O804-'Blocking-Step2'!O804</f>
        <v>0</v>
      </c>
      <c r="AN804" s="2137">
        <f>Q804-'Blocking-Step2'!Q804</f>
        <v>0</v>
      </c>
      <c r="AP804" s="2127">
        <f>S804-'Blocking-Step2'!S804</f>
        <v>0</v>
      </c>
      <c r="AR804" s="2127">
        <f>U804-'Blocking-Step2'!U804</f>
        <v>0</v>
      </c>
      <c r="AT804" s="2127">
        <f>W804-'Blocking-Step2'!W804</f>
        <v>0</v>
      </c>
      <c r="AV804" s="2128">
        <f>Y804-'Blocking-Step2'!Y804</f>
        <v>0</v>
      </c>
    </row>
    <row r="805" spans="1:48" ht="16.5" hidden="1" thickTop="1">
      <c r="A805" s="1116" t="s">
        <v>1362</v>
      </c>
      <c r="C805" s="1105">
        <v>52584420.815824702</v>
      </c>
      <c r="D805" s="1105">
        <v>68150622.717435047</v>
      </c>
      <c r="F805" s="1106">
        <v>3.8127</v>
      </c>
      <c r="G805" s="1921" t="s">
        <v>495</v>
      </c>
      <c r="H805" s="1146">
        <v>2004886</v>
      </c>
      <c r="I805" s="1146">
        <v>2598379</v>
      </c>
      <c r="K805" s="1106"/>
      <c r="L805" s="1921"/>
      <c r="M805" s="1106"/>
      <c r="N805" s="1921"/>
      <c r="O805" s="1106"/>
      <c r="P805" s="1921"/>
      <c r="Q805" s="1106"/>
      <c r="R805" s="1921"/>
      <c r="S805" s="1648"/>
      <c r="T805" s="1648"/>
      <c r="U805" s="1648"/>
      <c r="V805" s="1648"/>
      <c r="W805" s="1648"/>
      <c r="X805" s="1648"/>
      <c r="Y805" s="1146"/>
      <c r="Z805" s="2114">
        <f>C805-'Blocking-Step2'!C805</f>
        <v>0</v>
      </c>
      <c r="AA805" s="2114">
        <f>D805-'Blocking-Step2'!D805</f>
        <v>0</v>
      </c>
      <c r="AC805" s="2114">
        <f>F805-'Blocking-Step2'!F805</f>
        <v>0</v>
      </c>
      <c r="AE805" s="2114">
        <f>H805-'Blocking-Step2'!H805</f>
        <v>0</v>
      </c>
      <c r="AF805" s="2114">
        <f>I805-'Blocking-Step2'!I805</f>
        <v>0</v>
      </c>
      <c r="AH805" s="2136">
        <f>K805-'Blocking-Step2'!K805</f>
        <v>0</v>
      </c>
      <c r="AJ805" s="2136">
        <f>M805-'Blocking-Step2'!M805</f>
        <v>0</v>
      </c>
      <c r="AL805" s="2136">
        <f>O805-'Blocking-Step2'!O805</f>
        <v>0</v>
      </c>
      <c r="AN805" s="2137">
        <f>Q805-'Blocking-Step2'!Q805</f>
        <v>0</v>
      </c>
      <c r="AP805" s="2127">
        <f>S805-'Blocking-Step2'!S805</f>
        <v>0</v>
      </c>
      <c r="AR805" s="2127">
        <f>U805-'Blocking-Step2'!U805</f>
        <v>0</v>
      </c>
      <c r="AT805" s="2127">
        <f>W805-'Blocking-Step2'!W805</f>
        <v>0</v>
      </c>
      <c r="AV805" s="2128">
        <f>Y805-'Blocking-Step2'!Y805</f>
        <v>0</v>
      </c>
    </row>
    <row r="806" spans="1:48" ht="16.5" hidden="1" thickTop="1">
      <c r="A806" s="1116" t="s">
        <v>1363</v>
      </c>
      <c r="C806" s="1105">
        <v>70650171.113769352</v>
      </c>
      <c r="D806" s="1105">
        <v>91338353.088650778</v>
      </c>
      <c r="F806" s="1106">
        <v>3.5143</v>
      </c>
      <c r="G806" s="1921" t="s">
        <v>495</v>
      </c>
      <c r="H806" s="1146">
        <v>2482859</v>
      </c>
      <c r="I806" s="1146">
        <v>3209904</v>
      </c>
      <c r="K806" s="1106"/>
      <c r="L806" s="1921"/>
      <c r="M806" s="1106"/>
      <c r="N806" s="1921"/>
      <c r="O806" s="1106"/>
      <c r="P806" s="1921"/>
      <c r="Q806" s="1106"/>
      <c r="R806" s="1921"/>
      <c r="S806" s="1648"/>
      <c r="T806" s="1648"/>
      <c r="U806" s="1648"/>
      <c r="V806" s="1648"/>
      <c r="W806" s="1648"/>
      <c r="X806" s="1648"/>
      <c r="Y806" s="1146"/>
      <c r="Z806" s="2114">
        <f>C806-'Blocking-Step2'!C806</f>
        <v>0</v>
      </c>
      <c r="AA806" s="2114">
        <f>D806-'Blocking-Step2'!D806</f>
        <v>0</v>
      </c>
      <c r="AC806" s="2114">
        <f>F806-'Blocking-Step2'!F806</f>
        <v>0</v>
      </c>
      <c r="AE806" s="2114">
        <f>H806-'Blocking-Step2'!H806</f>
        <v>0</v>
      </c>
      <c r="AF806" s="2114">
        <f>I806-'Blocking-Step2'!I806</f>
        <v>0</v>
      </c>
      <c r="AH806" s="2136">
        <f>K806-'Blocking-Step2'!K806</f>
        <v>0</v>
      </c>
      <c r="AJ806" s="2136">
        <f>M806-'Blocking-Step2'!M806</f>
        <v>0</v>
      </c>
      <c r="AL806" s="2136">
        <f>O806-'Blocking-Step2'!O806</f>
        <v>0</v>
      </c>
      <c r="AN806" s="2137">
        <f>Q806-'Blocking-Step2'!Q806</f>
        <v>0</v>
      </c>
      <c r="AP806" s="2127">
        <f>S806-'Blocking-Step2'!S806</f>
        <v>0</v>
      </c>
      <c r="AR806" s="2127">
        <f>U806-'Blocking-Step2'!U806</f>
        <v>0</v>
      </c>
      <c r="AT806" s="2127">
        <f>W806-'Blocking-Step2'!W806</f>
        <v>0</v>
      </c>
      <c r="AV806" s="2128">
        <f>Y806-'Blocking-Step2'!Y806</f>
        <v>0</v>
      </c>
    </row>
    <row r="807" spans="1:48" ht="16.5" hidden="1" thickTop="1">
      <c r="A807" s="1116" t="s">
        <v>246</v>
      </c>
      <c r="C807" s="1940">
        <v>653301</v>
      </c>
      <c r="D807" s="1940">
        <v>0</v>
      </c>
      <c r="H807" s="1147">
        <v>61273</v>
      </c>
      <c r="I807" s="1147">
        <v>0</v>
      </c>
      <c r="Y807" s="1147">
        <v>0</v>
      </c>
      <c r="Z807" s="2114">
        <f>C807-'Blocking-Step2'!C807</f>
        <v>0</v>
      </c>
      <c r="AA807" s="2114">
        <f>D807-'Blocking-Step2'!D807</f>
        <v>0</v>
      </c>
      <c r="AC807" s="2114">
        <f>F807-'Blocking-Step2'!F807</f>
        <v>0</v>
      </c>
      <c r="AE807" s="2114">
        <f>H807-'Blocking-Step2'!H807</f>
        <v>0</v>
      </c>
      <c r="AF807" s="2114">
        <f>I807-'Blocking-Step2'!I807</f>
        <v>0</v>
      </c>
      <c r="AH807" s="2136">
        <f>K807-'Blocking-Step2'!K807</f>
        <v>0</v>
      </c>
      <c r="AJ807" s="2136">
        <f>M807-'Blocking-Step2'!M807</f>
        <v>0</v>
      </c>
      <c r="AL807" s="2136">
        <f>O807-'Blocking-Step2'!O807</f>
        <v>0</v>
      </c>
      <c r="AN807" s="2137">
        <f>Q807-'Blocking-Step2'!Q807</f>
        <v>0</v>
      </c>
      <c r="AP807" s="2127">
        <f>S807-'Blocking-Step2'!S807</f>
        <v>0</v>
      </c>
      <c r="AR807" s="2127">
        <f>U807-'Blocking-Step2'!U807</f>
        <v>0</v>
      </c>
      <c r="AT807" s="2127">
        <f>W807-'Blocking-Step2'!W807</f>
        <v>0</v>
      </c>
      <c r="AV807" s="2128">
        <f>Y807-'Blocking-Step2'!Y807</f>
        <v>0</v>
      </c>
    </row>
    <row r="808" spans="1:48" ht="16.5" hidden="1" thickTop="1">
      <c r="A808" s="1116" t="s">
        <v>1240</v>
      </c>
      <c r="C808" s="1024"/>
      <c r="D808" s="1024"/>
      <c r="F808" s="2076">
        <v>-3.61E-2</v>
      </c>
      <c r="G808" s="617"/>
      <c r="H808" s="1146">
        <v>-327560.89490000001</v>
      </c>
      <c r="I808" s="1146">
        <v>-422806.48509999999</v>
      </c>
      <c r="K808" s="2076"/>
      <c r="L808" s="617"/>
      <c r="M808" s="2076"/>
      <c r="N808" s="617"/>
      <c r="O808" s="2077" t="s">
        <v>2323</v>
      </c>
      <c r="P808" s="617"/>
      <c r="Q808" s="2076">
        <v>-2.76E-2</v>
      </c>
      <c r="R808" s="617"/>
      <c r="S808" s="1114"/>
      <c r="T808" s="1114"/>
      <c r="U808" s="1114"/>
      <c r="V808" s="1114"/>
      <c r="W808" s="1114"/>
      <c r="X808" s="1114"/>
      <c r="Y808" s="1146">
        <v>-321687.522</v>
      </c>
      <c r="Z808" s="2114">
        <f>C808-'Blocking-Step2'!C808</f>
        <v>0</v>
      </c>
      <c r="AA808" s="2114">
        <f>D808-'Blocking-Step2'!D808</f>
        <v>0</v>
      </c>
      <c r="AC808" s="2114">
        <f>F808-'Blocking-Step2'!F808</f>
        <v>0</v>
      </c>
      <c r="AE808" s="2114">
        <f>H808-'Blocking-Step2'!H808</f>
        <v>0</v>
      </c>
      <c r="AF808" s="2114">
        <f>I808-'Blocking-Step2'!I808</f>
        <v>0</v>
      </c>
      <c r="AH808" s="2136">
        <f>K808-'Blocking-Step2'!K808</f>
        <v>0</v>
      </c>
      <c r="AJ808" s="2136">
        <f>M808-'Blocking-Step2'!M808</f>
        <v>0</v>
      </c>
      <c r="AL808" s="2136" t="e">
        <f>O808-'Blocking-Step2'!O808</f>
        <v>#VALUE!</v>
      </c>
      <c r="AN808" s="2137">
        <f>Q808-'Blocking-Step2'!Q808</f>
        <v>0</v>
      </c>
      <c r="AP808" s="2127">
        <f>S808-'Blocking-Step2'!S808</f>
        <v>0</v>
      </c>
      <c r="AR808" s="2127">
        <f>U808-'Blocking-Step2'!U808</f>
        <v>0</v>
      </c>
      <c r="AT808" s="2127">
        <f>W808-'Blocking-Step2'!W808</f>
        <v>0</v>
      </c>
      <c r="AV808" s="2128">
        <f>Y808-'Blocking-Step2'!Y808</f>
        <v>0</v>
      </c>
    </row>
    <row r="809" spans="1:48" ht="16.5" hidden="1" thickTop="1">
      <c r="A809" s="1116"/>
      <c r="C809" s="1024"/>
      <c r="D809" s="1024"/>
      <c r="F809" s="2076"/>
      <c r="G809" s="617"/>
      <c r="H809" s="1146"/>
      <c r="I809" s="1146"/>
      <c r="K809" s="2076"/>
      <c r="L809" s="617"/>
      <c r="M809" s="2076"/>
      <c r="N809" s="617"/>
      <c r="O809" s="2077" t="s">
        <v>2324</v>
      </c>
      <c r="P809" s="617"/>
      <c r="Q809" s="2076">
        <v>-1.4999999999999999E-2</v>
      </c>
      <c r="R809" s="617"/>
      <c r="S809" s="1114"/>
      <c r="T809" s="1114"/>
      <c r="U809" s="1114"/>
      <c r="V809" s="1114"/>
      <c r="W809" s="1114"/>
      <c r="X809" s="1114"/>
      <c r="Y809" s="1146">
        <v>-174830.17499999999</v>
      </c>
      <c r="Z809" s="2114">
        <f>C809-'Blocking-Step2'!C809</f>
        <v>0</v>
      </c>
      <c r="AA809" s="2114">
        <f>D809-'Blocking-Step2'!D809</f>
        <v>0</v>
      </c>
      <c r="AC809" s="2114">
        <f>F809-'Blocking-Step2'!F809</f>
        <v>0</v>
      </c>
      <c r="AE809" s="2114">
        <f>H809-'Blocking-Step2'!H809</f>
        <v>0</v>
      </c>
      <c r="AF809" s="2114">
        <f>I809-'Blocking-Step2'!I809</f>
        <v>0</v>
      </c>
      <c r="AH809" s="2136">
        <f>K809-'Blocking-Step2'!K809</f>
        <v>0</v>
      </c>
      <c r="AJ809" s="2136">
        <f>M809-'Blocking-Step2'!M809</f>
        <v>0</v>
      </c>
      <c r="AL809" s="2136" t="e">
        <f>O809-'Blocking-Step2'!O809</f>
        <v>#VALUE!</v>
      </c>
      <c r="AN809" s="2137">
        <f>Q809-'Blocking-Step2'!Q809</f>
        <v>0</v>
      </c>
      <c r="AP809" s="2127">
        <f>S809-'Blocking-Step2'!S809</f>
        <v>0</v>
      </c>
      <c r="AR809" s="2127">
        <f>U809-'Blocking-Step2'!U809</f>
        <v>0</v>
      </c>
      <c r="AT809" s="2127">
        <f>W809-'Blocking-Step2'!W809</f>
        <v>0</v>
      </c>
      <c r="AV809" s="2128">
        <f>Y809-'Blocking-Step2'!Y809</f>
        <v>0</v>
      </c>
    </row>
    <row r="810" spans="1:48" ht="17.25" hidden="1" thickTop="1" thickBot="1">
      <c r="A810" s="1116" t="s">
        <v>247</v>
      </c>
      <c r="C810" s="1138">
        <v>123887892.92959405</v>
      </c>
      <c r="D810" s="1138">
        <v>159488975.80608582</v>
      </c>
      <c r="F810" s="1145"/>
      <c r="H810" s="1149">
        <v>10440111.1051</v>
      </c>
      <c r="I810" s="1149">
        <v>13386924.514900001</v>
      </c>
      <c r="K810" s="1145"/>
      <c r="M810" s="1145"/>
      <c r="O810" s="1145"/>
      <c r="Q810" s="1145"/>
      <c r="S810" s="1149">
        <v>2315609</v>
      </c>
      <c r="U810" s="1149">
        <v>8028398</v>
      </c>
      <c r="W810" s="1149">
        <v>3404290</v>
      </c>
      <c r="Y810" s="1149">
        <v>13748296</v>
      </c>
      <c r="Z810" s="2114">
        <f>C810-'Blocking-Step2'!C810</f>
        <v>0</v>
      </c>
      <c r="AA810" s="2114">
        <f>D810-'Blocking-Step2'!D810</f>
        <v>0</v>
      </c>
      <c r="AC810" s="2114">
        <f>F810-'Blocking-Step2'!F810</f>
        <v>0</v>
      </c>
      <c r="AE810" s="2114">
        <f>H810-'Blocking-Step2'!H810</f>
        <v>0</v>
      </c>
      <c r="AF810" s="2114">
        <f>I810-'Blocking-Step2'!I810</f>
        <v>0</v>
      </c>
      <c r="AH810" s="2136">
        <f>K810-'Blocking-Step2'!K810</f>
        <v>0</v>
      </c>
      <c r="AJ810" s="2136">
        <f>M810-'Blocking-Step2'!M810</f>
        <v>0</v>
      </c>
      <c r="AL810" s="2136">
        <f>O810-'Blocking-Step2'!O810</f>
        <v>0</v>
      </c>
      <c r="AN810" s="2137">
        <f>Q810-'Blocking-Step2'!Q810</f>
        <v>0</v>
      </c>
      <c r="AP810" s="2127">
        <f>S810-'Blocking-Step2'!S810</f>
        <v>-2549655</v>
      </c>
      <c r="AR810" s="2127">
        <f>U810-'Blocking-Step2'!U810</f>
        <v>2549655</v>
      </c>
      <c r="AT810" s="2127">
        <f>W810-'Blocking-Step2'!W810</f>
        <v>0</v>
      </c>
      <c r="AV810" s="2128">
        <f>Y810-'Blocking-Step2'!Y810</f>
        <v>0</v>
      </c>
    </row>
    <row r="811" spans="1:48" ht="16.5" hidden="1" thickTop="1">
      <c r="Z811" s="2114">
        <f>C811-'Blocking-Step2'!C811</f>
        <v>0</v>
      </c>
      <c r="AA811" s="2114">
        <f>D811-'Blocking-Step2'!D811</f>
        <v>0</v>
      </c>
      <c r="AC811" s="2114">
        <f>F811-'Blocking-Step2'!F811</f>
        <v>0</v>
      </c>
      <c r="AE811" s="2114">
        <f>H811-'Blocking-Step2'!H811</f>
        <v>0</v>
      </c>
      <c r="AF811" s="2114">
        <f>I811-'Blocking-Step2'!I811</f>
        <v>0</v>
      </c>
      <c r="AH811" s="2136">
        <f>K811-'Blocking-Step2'!K811</f>
        <v>0</v>
      </c>
      <c r="AJ811" s="2136">
        <f>M811-'Blocking-Step2'!M811</f>
        <v>0</v>
      </c>
      <c r="AL811" s="2136">
        <f>O811-'Blocking-Step2'!O811</f>
        <v>0</v>
      </c>
      <c r="AN811" s="2137">
        <f>Q811-'Blocking-Step2'!Q811</f>
        <v>0</v>
      </c>
      <c r="AP811" s="2127">
        <f>S811-'Blocking-Step2'!S811</f>
        <v>0</v>
      </c>
      <c r="AR811" s="2127">
        <f>U811-'Blocking-Step2'!U811</f>
        <v>0</v>
      </c>
      <c r="AT811" s="2127">
        <f>W811-'Blocking-Step2'!W811</f>
        <v>0</v>
      </c>
      <c r="AV811" s="2128">
        <f>Y811-'Blocking-Step2'!Y811</f>
        <v>0</v>
      </c>
    </row>
    <row r="812" spans="1:48" ht="16.5" hidden="1" thickTop="1">
      <c r="A812" s="1115" t="s">
        <v>981</v>
      </c>
      <c r="C812" s="1105"/>
      <c r="D812" s="1105"/>
      <c r="Z812" s="2114">
        <f>C812-'Blocking-Step2'!C812</f>
        <v>0</v>
      </c>
      <c r="AA812" s="2114">
        <f>D812-'Blocking-Step2'!D812</f>
        <v>0</v>
      </c>
      <c r="AC812" s="2114">
        <f>F812-'Blocking-Step2'!F812</f>
        <v>0</v>
      </c>
      <c r="AE812" s="2114">
        <f>H812-'Blocking-Step2'!H812</f>
        <v>0</v>
      </c>
      <c r="AF812" s="2114">
        <f>I812-'Blocking-Step2'!I812</f>
        <v>0</v>
      </c>
      <c r="AH812" s="2136">
        <f>K812-'Blocking-Step2'!K812</f>
        <v>0</v>
      </c>
      <c r="AJ812" s="2136">
        <f>M812-'Blocking-Step2'!M812</f>
        <v>0</v>
      </c>
      <c r="AL812" s="2136">
        <f>O812-'Blocking-Step2'!O812</f>
        <v>0</v>
      </c>
      <c r="AN812" s="2137">
        <f>Q812-'Blocking-Step2'!Q812</f>
        <v>0</v>
      </c>
      <c r="AP812" s="2127">
        <f>S812-'Blocking-Step2'!S812</f>
        <v>0</v>
      </c>
      <c r="AR812" s="2127">
        <f>U812-'Blocking-Step2'!U812</f>
        <v>0</v>
      </c>
      <c r="AT812" s="2127">
        <f>W812-'Blocking-Step2'!W812</f>
        <v>0</v>
      </c>
      <c r="AV812" s="2128">
        <f>Y812-'Blocking-Step2'!Y812</f>
        <v>0</v>
      </c>
    </row>
    <row r="813" spans="1:48" ht="16.5" hidden="1" thickTop="1">
      <c r="A813" s="1116" t="s">
        <v>240</v>
      </c>
      <c r="C813" s="1105">
        <v>72</v>
      </c>
      <c r="D813" s="1105">
        <v>198</v>
      </c>
      <c r="F813" s="1142">
        <v>54</v>
      </c>
      <c r="G813" s="617"/>
      <c r="H813" s="1146">
        <v>3888</v>
      </c>
      <c r="I813" s="1146">
        <v>10692</v>
      </c>
      <c r="K813" s="1142">
        <v>54</v>
      </c>
      <c r="L813" s="617"/>
      <c r="M813" s="1142">
        <v>0</v>
      </c>
      <c r="N813" s="617"/>
      <c r="O813" s="1142">
        <v>0</v>
      </c>
      <c r="P813" s="617"/>
      <c r="Q813" s="1142">
        <v>54</v>
      </c>
      <c r="R813" s="617"/>
      <c r="S813" s="1146">
        <v>10692</v>
      </c>
      <c r="T813" s="1114"/>
      <c r="U813" s="1146">
        <v>0</v>
      </c>
      <c r="V813" s="1114"/>
      <c r="W813" s="1146">
        <v>0</v>
      </c>
      <c r="X813" s="1114"/>
      <c r="Y813" s="1146">
        <v>10692</v>
      </c>
      <c r="Z813" s="2114">
        <f>C813-'Blocking-Step2'!C813</f>
        <v>0</v>
      </c>
      <c r="AA813" s="2114">
        <f>D813-'Blocking-Step2'!D813</f>
        <v>0</v>
      </c>
      <c r="AC813" s="2114">
        <f>F813-'Blocking-Step2'!F813</f>
        <v>0</v>
      </c>
      <c r="AE813" s="2114">
        <f>H813-'Blocking-Step2'!H813</f>
        <v>0</v>
      </c>
      <c r="AF813" s="2114">
        <f>I813-'Blocking-Step2'!I813</f>
        <v>0</v>
      </c>
      <c r="AH813" s="2136">
        <f>K813-'Blocking-Step2'!K813</f>
        <v>0</v>
      </c>
      <c r="AJ813" s="2136">
        <f>M813-'Blocking-Step2'!M813</f>
        <v>0</v>
      </c>
      <c r="AL813" s="2136">
        <f>O813-'Blocking-Step2'!O813</f>
        <v>0</v>
      </c>
      <c r="AN813" s="2137">
        <f>Q813-'Blocking-Step2'!Q813</f>
        <v>0</v>
      </c>
      <c r="AP813" s="2127">
        <f>S813-'Blocking-Step2'!S813</f>
        <v>0</v>
      </c>
      <c r="AR813" s="2127">
        <f>U813-'Blocking-Step2'!U813</f>
        <v>0</v>
      </c>
      <c r="AT813" s="2127">
        <f>W813-'Blocking-Step2'!W813</f>
        <v>0</v>
      </c>
      <c r="AV813" s="2128">
        <f>Y813-'Blocking-Step2'!Y813</f>
        <v>0</v>
      </c>
    </row>
    <row r="814" spans="1:48" ht="16.5" hidden="1" thickTop="1">
      <c r="A814" s="1116" t="s">
        <v>262</v>
      </c>
      <c r="C814" s="1024">
        <v>0</v>
      </c>
      <c r="D814" s="1105">
        <v>0</v>
      </c>
      <c r="F814" s="1142">
        <v>648</v>
      </c>
      <c r="G814" s="617"/>
      <c r="H814" s="1146">
        <v>0</v>
      </c>
      <c r="I814" s="1146">
        <v>0</v>
      </c>
      <c r="K814" s="1142">
        <v>648</v>
      </c>
      <c r="L814" s="617"/>
      <c r="M814" s="1142">
        <v>0</v>
      </c>
      <c r="N814" s="617"/>
      <c r="O814" s="1142">
        <v>0</v>
      </c>
      <c r="P814" s="617"/>
      <c r="Q814" s="1142">
        <v>648</v>
      </c>
      <c r="R814" s="617"/>
      <c r="S814" s="1146">
        <v>0</v>
      </c>
      <c r="T814" s="1114"/>
      <c r="U814" s="1146">
        <v>0</v>
      </c>
      <c r="V814" s="1114"/>
      <c r="W814" s="1146">
        <v>0</v>
      </c>
      <c r="X814" s="1114"/>
      <c r="Y814" s="1146">
        <v>0</v>
      </c>
      <c r="Z814" s="2114">
        <f>C814-'Blocking-Step2'!C814</f>
        <v>0</v>
      </c>
      <c r="AA814" s="2114">
        <f>D814-'Blocking-Step2'!D814</f>
        <v>0</v>
      </c>
      <c r="AC814" s="2114">
        <f>F814-'Blocking-Step2'!F814</f>
        <v>0</v>
      </c>
      <c r="AE814" s="2114">
        <f>H814-'Blocking-Step2'!H814</f>
        <v>0</v>
      </c>
      <c r="AF814" s="2114">
        <f>I814-'Blocking-Step2'!I814</f>
        <v>0</v>
      </c>
      <c r="AH814" s="2136">
        <f>K814-'Blocking-Step2'!K814</f>
        <v>0</v>
      </c>
      <c r="AJ814" s="2136">
        <f>M814-'Blocking-Step2'!M814</f>
        <v>0</v>
      </c>
      <c r="AL814" s="2136">
        <f>O814-'Blocking-Step2'!O814</f>
        <v>0</v>
      </c>
      <c r="AN814" s="2137">
        <f>Q814-'Blocking-Step2'!Q814</f>
        <v>0</v>
      </c>
      <c r="AP814" s="2127">
        <f>S814-'Blocking-Step2'!S814</f>
        <v>0</v>
      </c>
      <c r="AR814" s="2127">
        <f>U814-'Blocking-Step2'!U814</f>
        <v>0</v>
      </c>
      <c r="AT814" s="2127">
        <f>W814-'Blocking-Step2'!W814</f>
        <v>0</v>
      </c>
      <c r="AV814" s="2128">
        <f>Y814-'Blocking-Step2'!Y814</f>
        <v>0</v>
      </c>
    </row>
    <row r="815" spans="1:48" ht="16.5" hidden="1" thickTop="1">
      <c r="A815" s="1116" t="s">
        <v>1298</v>
      </c>
      <c r="C815" s="1105">
        <v>0</v>
      </c>
      <c r="D815" s="1105">
        <v>0</v>
      </c>
      <c r="F815" s="1142">
        <v>54</v>
      </c>
      <c r="G815" s="617"/>
      <c r="H815" s="1146">
        <v>0</v>
      </c>
      <c r="I815" s="1146">
        <v>0</v>
      </c>
      <c r="K815" s="1142">
        <v>54</v>
      </c>
      <c r="L815" s="617"/>
      <c r="M815" s="1142">
        <v>0</v>
      </c>
      <c r="N815" s="617"/>
      <c r="O815" s="1142">
        <v>0</v>
      </c>
      <c r="P815" s="617"/>
      <c r="Q815" s="1142">
        <v>54</v>
      </c>
      <c r="R815" s="617"/>
      <c r="S815" s="1146">
        <v>0</v>
      </c>
      <c r="T815" s="1114"/>
      <c r="U815" s="1146">
        <v>0</v>
      </c>
      <c r="V815" s="1114"/>
      <c r="W815" s="1146">
        <v>0</v>
      </c>
      <c r="X815" s="1114"/>
      <c r="Y815" s="1146">
        <v>0</v>
      </c>
      <c r="Z815" s="2114">
        <f>C815-'Blocking-Step2'!C815</f>
        <v>0</v>
      </c>
      <c r="AA815" s="2114">
        <f>D815-'Blocking-Step2'!D815</f>
        <v>0</v>
      </c>
      <c r="AC815" s="2114">
        <f>F815-'Blocking-Step2'!F815</f>
        <v>0</v>
      </c>
      <c r="AE815" s="2114">
        <f>H815-'Blocking-Step2'!H815</f>
        <v>0</v>
      </c>
      <c r="AF815" s="2114">
        <f>I815-'Blocking-Step2'!I815</f>
        <v>0</v>
      </c>
      <c r="AH815" s="2136">
        <f>K815-'Blocking-Step2'!K815</f>
        <v>0</v>
      </c>
      <c r="AJ815" s="2136">
        <f>M815-'Blocking-Step2'!M815</f>
        <v>0</v>
      </c>
      <c r="AL815" s="2136">
        <f>O815-'Blocking-Step2'!O815</f>
        <v>0</v>
      </c>
      <c r="AN815" s="2137">
        <f>Q815-'Blocking-Step2'!Q815</f>
        <v>0</v>
      </c>
      <c r="AP815" s="2127">
        <f>S815-'Blocking-Step2'!S815</f>
        <v>0</v>
      </c>
      <c r="AR815" s="2127">
        <f>U815-'Blocking-Step2'!U815</f>
        <v>0</v>
      </c>
      <c r="AT815" s="2127">
        <f>W815-'Blocking-Step2'!W815</f>
        <v>0</v>
      </c>
      <c r="AV815" s="2128">
        <f>Y815-'Blocking-Step2'!Y815</f>
        <v>0</v>
      </c>
    </row>
    <row r="816" spans="1:48" ht="16.5" hidden="1" thickTop="1">
      <c r="A816" s="1116" t="s">
        <v>168</v>
      </c>
      <c r="C816" s="1105">
        <v>8018</v>
      </c>
      <c r="D816" s="1105">
        <v>22613</v>
      </c>
      <c r="F816" s="1142">
        <v>4.04</v>
      </c>
      <c r="G816" s="617"/>
      <c r="H816" s="1146">
        <v>32393</v>
      </c>
      <c r="I816" s="1146">
        <v>91357</v>
      </c>
      <c r="K816" s="1142">
        <v>4.03</v>
      </c>
      <c r="L816" s="617"/>
      <c r="M816" s="1142">
        <v>0</v>
      </c>
      <c r="N816" s="617"/>
      <c r="O816" s="1142">
        <v>0</v>
      </c>
      <c r="P816" s="617"/>
      <c r="Q816" s="1142">
        <v>4.03</v>
      </c>
      <c r="R816" s="617"/>
      <c r="S816" s="1146">
        <v>91130</v>
      </c>
      <c r="T816" s="1114"/>
      <c r="U816" s="1146">
        <v>0</v>
      </c>
      <c r="V816" s="1114"/>
      <c r="W816" s="1146">
        <v>0</v>
      </c>
      <c r="X816" s="1114"/>
      <c r="Y816" s="1146">
        <v>91130</v>
      </c>
      <c r="Z816" s="2114">
        <f>C816-'Blocking-Step2'!C816</f>
        <v>0</v>
      </c>
      <c r="AA816" s="2114">
        <f>D816-'Blocking-Step2'!D816</f>
        <v>0</v>
      </c>
      <c r="AC816" s="2114">
        <f>F816-'Blocking-Step2'!F816</f>
        <v>0</v>
      </c>
      <c r="AE816" s="2114">
        <f>H816-'Blocking-Step2'!H816</f>
        <v>0</v>
      </c>
      <c r="AF816" s="2114">
        <f>I816-'Blocking-Step2'!I816</f>
        <v>0</v>
      </c>
      <c r="AH816" s="2136">
        <f>K816-'Blocking-Step2'!K816</f>
        <v>0</v>
      </c>
      <c r="AJ816" s="2136">
        <f>M816-'Blocking-Step2'!M816</f>
        <v>0</v>
      </c>
      <c r="AL816" s="2136">
        <f>O816-'Blocking-Step2'!O816</f>
        <v>0</v>
      </c>
      <c r="AN816" s="2137">
        <f>Q816-'Blocking-Step2'!Q816</f>
        <v>0</v>
      </c>
      <c r="AP816" s="2127">
        <f>S816-'Blocking-Step2'!S816</f>
        <v>0</v>
      </c>
      <c r="AR816" s="2127">
        <f>U816-'Blocking-Step2'!U816</f>
        <v>0</v>
      </c>
      <c r="AT816" s="2127">
        <f>W816-'Blocking-Step2'!W816</f>
        <v>0</v>
      </c>
      <c r="AV816" s="2128">
        <f>Y816-'Blocking-Step2'!Y816</f>
        <v>0</v>
      </c>
    </row>
    <row r="817" spans="1:48" ht="16.5" hidden="1" thickTop="1">
      <c r="A817" s="1116" t="s">
        <v>1645</v>
      </c>
      <c r="C817" s="1105">
        <v>3122.8223144829426</v>
      </c>
      <c r="D817" s="1105">
        <v>8807</v>
      </c>
      <c r="F817" s="1142"/>
      <c r="G817" s="617"/>
      <c r="H817" s="1146"/>
      <c r="I817" s="1146"/>
      <c r="K817" s="1142">
        <v>0.51</v>
      </c>
      <c r="L817" s="617"/>
      <c r="M817" s="1142">
        <v>12.89</v>
      </c>
      <c r="N817" s="617"/>
      <c r="O817" s="1142">
        <v>0</v>
      </c>
      <c r="P817" s="617"/>
      <c r="Q817" s="1142">
        <v>13.4</v>
      </c>
      <c r="R817" s="617"/>
      <c r="S817" s="1146">
        <v>4492</v>
      </c>
      <c r="T817" s="1146"/>
      <c r="U817" s="1146">
        <v>113522</v>
      </c>
      <c r="V817" s="1146"/>
      <c r="W817" s="1146">
        <v>0</v>
      </c>
      <c r="X817" s="1114"/>
      <c r="Y817" s="1146">
        <v>118014</v>
      </c>
      <c r="Z817" s="2114">
        <f>C817-'Blocking-Step2'!C817</f>
        <v>0</v>
      </c>
      <c r="AA817" s="2114">
        <f>D817-'Blocking-Step2'!D817</f>
        <v>0</v>
      </c>
      <c r="AC817" s="2114">
        <f>F817-'Blocking-Step2'!F817</f>
        <v>0</v>
      </c>
      <c r="AE817" s="2114">
        <f>H817-'Blocking-Step2'!H817</f>
        <v>0</v>
      </c>
      <c r="AF817" s="2114">
        <f>I817-'Blocking-Step2'!I817</f>
        <v>0</v>
      </c>
      <c r="AH817" s="2136">
        <f>K817-'Blocking-Step2'!K817</f>
        <v>-5.83</v>
      </c>
      <c r="AJ817" s="2136">
        <f>M817-'Blocking-Step2'!M817</f>
        <v>5.83</v>
      </c>
      <c r="AL817" s="2136">
        <f>O817-'Blocking-Step2'!O817</f>
        <v>0</v>
      </c>
      <c r="AN817" s="2137">
        <f>Q817-'Blocking-Step2'!Q817</f>
        <v>0</v>
      </c>
      <c r="AP817" s="2127">
        <f>S817-'Blocking-Step2'!S817</f>
        <v>-51344</v>
      </c>
      <c r="AR817" s="2127">
        <f>U817-'Blocking-Step2'!U817</f>
        <v>51345</v>
      </c>
      <c r="AT817" s="2127">
        <f>W817-'Blocking-Step2'!W817</f>
        <v>0</v>
      </c>
      <c r="AV817" s="2128">
        <f>Y817-'Blocking-Step2'!Y817</f>
        <v>0</v>
      </c>
    </row>
    <row r="818" spans="1:48" ht="16.5" hidden="1" thickTop="1">
      <c r="A818" s="1116" t="s">
        <v>1646</v>
      </c>
      <c r="C818" s="1105">
        <v>4895.1792973868469</v>
      </c>
      <c r="D818" s="1105">
        <v>13805</v>
      </c>
      <c r="F818" s="1142"/>
      <c r="G818" s="617"/>
      <c r="H818" s="1146"/>
      <c r="I818" s="1146"/>
      <c r="K818" s="1142">
        <v>0.45</v>
      </c>
      <c r="L818" s="617"/>
      <c r="M818" s="1142">
        <v>11.41</v>
      </c>
      <c r="N818" s="617"/>
      <c r="O818" s="1142">
        <v>0</v>
      </c>
      <c r="P818" s="617"/>
      <c r="Q818" s="1142">
        <v>11.86</v>
      </c>
      <c r="R818" s="617"/>
      <c r="S818" s="1146">
        <v>6212</v>
      </c>
      <c r="T818" s="1146"/>
      <c r="U818" s="1146">
        <v>157515</v>
      </c>
      <c r="V818" s="1146"/>
      <c r="W818" s="1146">
        <v>0</v>
      </c>
      <c r="X818" s="1114"/>
      <c r="Y818" s="1146">
        <v>163727</v>
      </c>
      <c r="Z818" s="2114">
        <f>C818-'Blocking-Step2'!C818</f>
        <v>0</v>
      </c>
      <c r="AA818" s="2114">
        <f>D818-'Blocking-Step2'!D818</f>
        <v>0</v>
      </c>
      <c r="AC818" s="2114">
        <f>F818-'Blocking-Step2'!F818</f>
        <v>0</v>
      </c>
      <c r="AE818" s="2114">
        <f>H818-'Blocking-Step2'!H818</f>
        <v>0</v>
      </c>
      <c r="AF818" s="2114">
        <f>I818-'Blocking-Step2'!I818</f>
        <v>0</v>
      </c>
      <c r="AH818" s="2136">
        <f>K818-'Blocking-Step2'!K818</f>
        <v>-5.16</v>
      </c>
      <c r="AJ818" s="2136">
        <f>M818-'Blocking-Step2'!M818</f>
        <v>5.160000000000001</v>
      </c>
      <c r="AL818" s="2136">
        <f>O818-'Blocking-Step2'!O818</f>
        <v>0</v>
      </c>
      <c r="AN818" s="2137">
        <f>Q818-'Blocking-Step2'!Q818</f>
        <v>0</v>
      </c>
      <c r="AP818" s="2127">
        <f>S818-'Blocking-Step2'!S818</f>
        <v>-71234</v>
      </c>
      <c r="AR818" s="2127">
        <f>U818-'Blocking-Step2'!U818</f>
        <v>71234</v>
      </c>
      <c r="AT818" s="2127">
        <f>W818-'Blocking-Step2'!W818</f>
        <v>0</v>
      </c>
      <c r="AV818" s="2128">
        <f>Y818-'Blocking-Step2'!Y818</f>
        <v>0</v>
      </c>
    </row>
    <row r="819" spans="1:48" ht="16.5" hidden="1" thickTop="1">
      <c r="A819" s="1116" t="s">
        <v>1647</v>
      </c>
      <c r="C819" s="1105">
        <v>884756.20477691339</v>
      </c>
      <c r="D819" s="1105">
        <v>2519405.666666667</v>
      </c>
      <c r="F819" s="1106"/>
      <c r="G819" s="1921"/>
      <c r="H819" s="1146"/>
      <c r="I819" s="1146"/>
      <c r="K819" s="1106">
        <v>0</v>
      </c>
      <c r="L819" s="1921" t="s">
        <v>495</v>
      </c>
      <c r="M819" s="1106">
        <v>1.6192</v>
      </c>
      <c r="N819" s="1921" t="s">
        <v>495</v>
      </c>
      <c r="O819" s="1106">
        <v>2.305570240802</v>
      </c>
      <c r="P819" s="1921" t="s">
        <v>495</v>
      </c>
      <c r="Q819" s="1106">
        <v>3.9247702408020002</v>
      </c>
      <c r="R819" s="1921" t="s">
        <v>495</v>
      </c>
      <c r="S819" s="1146">
        <v>0</v>
      </c>
      <c r="T819" s="1146"/>
      <c r="U819" s="1146">
        <v>40794</v>
      </c>
      <c r="V819" s="1146"/>
      <c r="W819" s="1146">
        <v>58087</v>
      </c>
      <c r="X819" s="1648"/>
      <c r="Y819" s="1146">
        <v>98881</v>
      </c>
      <c r="Z819" s="2114">
        <f>C819-'Blocking-Step2'!C819</f>
        <v>0</v>
      </c>
      <c r="AA819" s="2114">
        <f>D819-'Blocking-Step2'!D819</f>
        <v>0</v>
      </c>
      <c r="AC819" s="2114">
        <f>F819-'Blocking-Step2'!F819</f>
        <v>0</v>
      </c>
      <c r="AE819" s="2114">
        <f>H819-'Blocking-Step2'!H819</f>
        <v>0</v>
      </c>
      <c r="AF819" s="2114">
        <f>I819-'Blocking-Step2'!I819</f>
        <v>0</v>
      </c>
      <c r="AH819" s="2136">
        <f>K819-'Blocking-Step2'!K819</f>
        <v>0</v>
      </c>
      <c r="AJ819" s="2136">
        <f>M819-'Blocking-Step2'!M819</f>
        <v>0</v>
      </c>
      <c r="AL819" s="2136">
        <f>O819-'Blocking-Step2'!O819</f>
        <v>0</v>
      </c>
      <c r="AN819" s="2137">
        <f>Q819-'Blocking-Step2'!Q819</f>
        <v>0</v>
      </c>
      <c r="AP819" s="2127">
        <f>S819-'Blocking-Step2'!S819</f>
        <v>0</v>
      </c>
      <c r="AR819" s="2127">
        <f>U819-'Blocking-Step2'!U819</f>
        <v>0</v>
      </c>
      <c r="AT819" s="2127">
        <f>W819-'Blocking-Step2'!W819</f>
        <v>0</v>
      </c>
      <c r="AV819" s="2128">
        <f>Y819-'Blocking-Step2'!Y819</f>
        <v>0</v>
      </c>
    </row>
    <row r="820" spans="1:48" ht="16.5" hidden="1" thickTop="1">
      <c r="A820" s="1116" t="s">
        <v>1648</v>
      </c>
      <c r="C820" s="1105">
        <v>1346071.7952230866</v>
      </c>
      <c r="D820" s="1105">
        <v>3670033.833333333</v>
      </c>
      <c r="F820" s="1106"/>
      <c r="G820" s="1921"/>
      <c r="H820" s="1146"/>
      <c r="I820" s="1146"/>
      <c r="K820" s="1106">
        <v>0</v>
      </c>
      <c r="L820" s="1921" t="s">
        <v>495</v>
      </c>
      <c r="M820" s="1106">
        <v>1.4329000000000001</v>
      </c>
      <c r="N820" s="1921" t="s">
        <v>495</v>
      </c>
      <c r="O820" s="1106">
        <v>2.0403480007099999</v>
      </c>
      <c r="P820" s="1921" t="s">
        <v>495</v>
      </c>
      <c r="Q820" s="1106">
        <v>3.4732480007099999</v>
      </c>
      <c r="R820" s="1921" t="s">
        <v>495</v>
      </c>
      <c r="S820" s="1146">
        <v>0</v>
      </c>
      <c r="T820" s="1146"/>
      <c r="U820" s="1146">
        <v>52588</v>
      </c>
      <c r="V820" s="1146"/>
      <c r="W820" s="1146">
        <v>74881</v>
      </c>
      <c r="X820" s="1648"/>
      <c r="Y820" s="1146">
        <v>127469</v>
      </c>
      <c r="Z820" s="2114">
        <f>C820-'Blocking-Step2'!C820</f>
        <v>0</v>
      </c>
      <c r="AA820" s="2114">
        <f>D820-'Blocking-Step2'!D820</f>
        <v>0</v>
      </c>
      <c r="AC820" s="2114">
        <f>F820-'Blocking-Step2'!F820</f>
        <v>0</v>
      </c>
      <c r="AE820" s="2114">
        <f>H820-'Blocking-Step2'!H820</f>
        <v>0</v>
      </c>
      <c r="AF820" s="2114">
        <f>I820-'Blocking-Step2'!I820</f>
        <v>0</v>
      </c>
      <c r="AH820" s="2136">
        <f>K820-'Blocking-Step2'!K820</f>
        <v>0</v>
      </c>
      <c r="AJ820" s="2136">
        <f>M820-'Blocking-Step2'!M820</f>
        <v>0</v>
      </c>
      <c r="AL820" s="2136">
        <f>O820-'Blocking-Step2'!O820</f>
        <v>0</v>
      </c>
      <c r="AN820" s="2137">
        <f>Q820-'Blocking-Step2'!Q820</f>
        <v>0</v>
      </c>
      <c r="AP820" s="2127">
        <f>S820-'Blocking-Step2'!S820</f>
        <v>0</v>
      </c>
      <c r="AR820" s="2127">
        <f>U820-'Blocking-Step2'!U820</f>
        <v>0</v>
      </c>
      <c r="AT820" s="2127">
        <f>W820-'Blocking-Step2'!W820</f>
        <v>0</v>
      </c>
      <c r="AV820" s="2128">
        <f>Y820-'Blocking-Step2'!Y820</f>
        <v>0</v>
      </c>
    </row>
    <row r="821" spans="1:48" ht="16.5" hidden="1" thickTop="1">
      <c r="A821" s="1116" t="s">
        <v>196</v>
      </c>
      <c r="C821" s="1105">
        <v>3777.72571819426</v>
      </c>
      <c r="D821" s="1105">
        <v>10654</v>
      </c>
      <c r="F821" s="1142">
        <v>14.62</v>
      </c>
      <c r="G821" s="617"/>
      <c r="H821" s="1146">
        <v>55230</v>
      </c>
      <c r="I821" s="1146">
        <v>155761</v>
      </c>
      <c r="K821" s="1142"/>
      <c r="L821" s="617"/>
      <c r="M821" s="1142"/>
      <c r="N821" s="617"/>
      <c r="O821" s="1142"/>
      <c r="P821" s="617"/>
      <c r="Q821" s="1142"/>
      <c r="R821" s="617"/>
      <c r="S821" s="1146"/>
      <c r="T821" s="1114"/>
      <c r="U821" s="1146"/>
      <c r="V821" s="1114"/>
      <c r="W821" s="1146"/>
      <c r="X821" s="1114"/>
      <c r="Y821" s="1146"/>
      <c r="Z821" s="2114">
        <f>C821-'Blocking-Step2'!C821</f>
        <v>0</v>
      </c>
      <c r="AA821" s="2114">
        <f>D821-'Blocking-Step2'!D821</f>
        <v>0</v>
      </c>
      <c r="AC821" s="2114">
        <f>F821-'Blocking-Step2'!F821</f>
        <v>0</v>
      </c>
      <c r="AE821" s="2114">
        <f>H821-'Blocking-Step2'!H821</f>
        <v>0</v>
      </c>
      <c r="AF821" s="2114">
        <f>I821-'Blocking-Step2'!I821</f>
        <v>0</v>
      </c>
      <c r="AH821" s="2136">
        <f>K821-'Blocking-Step2'!K821</f>
        <v>0</v>
      </c>
      <c r="AJ821" s="2136">
        <f>M821-'Blocking-Step2'!M821</f>
        <v>0</v>
      </c>
      <c r="AL821" s="2136">
        <f>O821-'Blocking-Step2'!O821</f>
        <v>0</v>
      </c>
      <c r="AN821" s="2137">
        <f>Q821-'Blocking-Step2'!Q821</f>
        <v>0</v>
      </c>
      <c r="AP821" s="2127">
        <f>S821-'Blocking-Step2'!S821</f>
        <v>0</v>
      </c>
      <c r="AR821" s="2127">
        <f>U821-'Blocking-Step2'!U821</f>
        <v>0</v>
      </c>
      <c r="AT821" s="2127">
        <f>W821-'Blocking-Step2'!W821</f>
        <v>0</v>
      </c>
      <c r="AV821" s="2128">
        <f>Y821-'Blocking-Step2'!Y821</f>
        <v>0</v>
      </c>
    </row>
    <row r="822" spans="1:48" ht="16.5" hidden="1" thickTop="1">
      <c r="A822" s="1116" t="s">
        <v>161</v>
      </c>
      <c r="C822" s="1105">
        <v>4240.2758936755299</v>
      </c>
      <c r="D822" s="1105">
        <v>11959</v>
      </c>
      <c r="F822" s="1142">
        <v>10.91</v>
      </c>
      <c r="G822" s="617"/>
      <c r="H822" s="1146">
        <v>46261</v>
      </c>
      <c r="I822" s="1146">
        <v>130473</v>
      </c>
      <c r="K822" s="1142"/>
      <c r="L822" s="617"/>
      <c r="M822" s="1142"/>
      <c r="N822" s="617"/>
      <c r="O822" s="1142"/>
      <c r="P822" s="617"/>
      <c r="Q822" s="1142"/>
      <c r="R822" s="617"/>
      <c r="S822" s="1146"/>
      <c r="T822" s="1114"/>
      <c r="U822" s="1146"/>
      <c r="V822" s="1114"/>
      <c r="W822" s="1146"/>
      <c r="X822" s="1114"/>
      <c r="Y822" s="1146"/>
      <c r="Z822" s="2114">
        <f>C822-'Blocking-Step2'!C822</f>
        <v>0</v>
      </c>
      <c r="AA822" s="2114">
        <f>D822-'Blocking-Step2'!D822</f>
        <v>0</v>
      </c>
      <c r="AC822" s="2114">
        <f>F822-'Blocking-Step2'!F822</f>
        <v>0</v>
      </c>
      <c r="AE822" s="2114">
        <f>H822-'Blocking-Step2'!H822</f>
        <v>0</v>
      </c>
      <c r="AF822" s="2114">
        <f>I822-'Blocking-Step2'!I822</f>
        <v>0</v>
      </c>
      <c r="AH822" s="2136">
        <f>K822-'Blocking-Step2'!K822</f>
        <v>0</v>
      </c>
      <c r="AJ822" s="2136">
        <f>M822-'Blocking-Step2'!M822</f>
        <v>0</v>
      </c>
      <c r="AL822" s="2136">
        <f>O822-'Blocking-Step2'!O822</f>
        <v>0</v>
      </c>
      <c r="AN822" s="2137">
        <f>Q822-'Blocking-Step2'!Q822</f>
        <v>0</v>
      </c>
      <c r="AP822" s="2127">
        <f>S822-'Blocking-Step2'!S822</f>
        <v>0</v>
      </c>
      <c r="AR822" s="2127">
        <f>U822-'Blocking-Step2'!U822</f>
        <v>0</v>
      </c>
      <c r="AT822" s="2127">
        <f>W822-'Blocking-Step2'!W822</f>
        <v>0</v>
      </c>
      <c r="AV822" s="2128">
        <f>Y822-'Blocking-Step2'!Y822</f>
        <v>0</v>
      </c>
    </row>
    <row r="823" spans="1:48" ht="16.5" hidden="1" thickTop="1">
      <c r="A823" s="1116" t="s">
        <v>261</v>
      </c>
      <c r="C823" s="1105">
        <v>4057</v>
      </c>
      <c r="D823" s="1105">
        <v>11442</v>
      </c>
      <c r="F823" s="1142">
        <v>-0.96</v>
      </c>
      <c r="G823" s="617"/>
      <c r="H823" s="1146">
        <v>-3895</v>
      </c>
      <c r="I823" s="1146">
        <v>-10984</v>
      </c>
      <c r="K823" s="1142">
        <v>-0.96</v>
      </c>
      <c r="L823" s="617"/>
      <c r="M823" s="1142">
        <v>0</v>
      </c>
      <c r="N823" s="617"/>
      <c r="O823" s="1142">
        <v>0</v>
      </c>
      <c r="P823" s="617"/>
      <c r="Q823" s="1142">
        <v>-0.96</v>
      </c>
      <c r="R823" s="617"/>
      <c r="S823" s="1146">
        <v>-10984</v>
      </c>
      <c r="T823" s="1146"/>
      <c r="U823" s="1146">
        <v>0</v>
      </c>
      <c r="V823" s="1146"/>
      <c r="W823" s="1146">
        <v>0</v>
      </c>
      <c r="X823" s="1114"/>
      <c r="Y823" s="1146">
        <v>-10984</v>
      </c>
      <c r="Z823" s="2114">
        <f>C823-'Blocking-Step2'!C823</f>
        <v>0</v>
      </c>
      <c r="AA823" s="2114">
        <f>D823-'Blocking-Step2'!D823</f>
        <v>0</v>
      </c>
      <c r="AC823" s="2114">
        <f>F823-'Blocking-Step2'!F823</f>
        <v>0</v>
      </c>
      <c r="AE823" s="2114">
        <f>H823-'Blocking-Step2'!H823</f>
        <v>0</v>
      </c>
      <c r="AF823" s="2114">
        <f>I823-'Blocking-Step2'!I823</f>
        <v>0</v>
      </c>
      <c r="AH823" s="2136">
        <f>K823-'Blocking-Step2'!K823</f>
        <v>0</v>
      </c>
      <c r="AJ823" s="2136">
        <f>M823-'Blocking-Step2'!M823</f>
        <v>0</v>
      </c>
      <c r="AL823" s="2136">
        <f>O823-'Blocking-Step2'!O823</f>
        <v>0</v>
      </c>
      <c r="AN823" s="2137">
        <f>Q823-'Blocking-Step2'!Q823</f>
        <v>0</v>
      </c>
      <c r="AP823" s="2127">
        <f>S823-'Blocking-Step2'!S823</f>
        <v>0</v>
      </c>
      <c r="AR823" s="2127">
        <f>U823-'Blocking-Step2'!U823</f>
        <v>0</v>
      </c>
      <c r="AT823" s="2127">
        <f>W823-'Blocking-Step2'!W823</f>
        <v>0</v>
      </c>
      <c r="AV823" s="2128">
        <f>Y823-'Blocking-Step2'!Y823</f>
        <v>0</v>
      </c>
    </row>
    <row r="824" spans="1:48" ht="16.5" hidden="1" thickTop="1">
      <c r="A824" s="1116" t="s">
        <v>1362</v>
      </c>
      <c r="C824" s="1105">
        <v>1062056</v>
      </c>
      <c r="D824" s="1105">
        <v>2953264.3333333335</v>
      </c>
      <c r="F824" s="1106">
        <v>3.8127</v>
      </c>
      <c r="G824" s="1921" t="s">
        <v>495</v>
      </c>
      <c r="H824" s="1146">
        <v>40493</v>
      </c>
      <c r="I824" s="1146">
        <v>112599</v>
      </c>
      <c r="K824" s="1106"/>
      <c r="L824" s="1921"/>
      <c r="M824" s="1106"/>
      <c r="N824" s="1921"/>
      <c r="O824" s="1106"/>
      <c r="P824" s="1921"/>
      <c r="Q824" s="1106"/>
      <c r="R824" s="1921"/>
      <c r="S824" s="1648"/>
      <c r="T824" s="1648"/>
      <c r="U824" s="1648"/>
      <c r="V824" s="1648"/>
      <c r="W824" s="1648"/>
      <c r="X824" s="1648"/>
      <c r="Y824" s="1146"/>
      <c r="Z824" s="2114">
        <f>C824-'Blocking-Step2'!C824</f>
        <v>0</v>
      </c>
      <c r="AA824" s="2114">
        <f>D824-'Blocking-Step2'!D824</f>
        <v>0</v>
      </c>
      <c r="AC824" s="2114">
        <f>F824-'Blocking-Step2'!F824</f>
        <v>0</v>
      </c>
      <c r="AE824" s="2114">
        <f>H824-'Blocking-Step2'!H824</f>
        <v>0</v>
      </c>
      <c r="AF824" s="2114">
        <f>I824-'Blocking-Step2'!I824</f>
        <v>0</v>
      </c>
      <c r="AH824" s="2136">
        <f>K824-'Blocking-Step2'!K824</f>
        <v>0</v>
      </c>
      <c r="AJ824" s="2136">
        <f>M824-'Blocking-Step2'!M824</f>
        <v>0</v>
      </c>
      <c r="AL824" s="2136">
        <f>O824-'Blocking-Step2'!O824</f>
        <v>0</v>
      </c>
      <c r="AN824" s="2137">
        <f>Q824-'Blocking-Step2'!Q824</f>
        <v>0</v>
      </c>
      <c r="AP824" s="2127">
        <f>S824-'Blocking-Step2'!S824</f>
        <v>0</v>
      </c>
      <c r="AR824" s="2127">
        <f>U824-'Blocking-Step2'!U824</f>
        <v>0</v>
      </c>
      <c r="AT824" s="2127">
        <f>W824-'Blocking-Step2'!W824</f>
        <v>0</v>
      </c>
      <c r="AV824" s="2128">
        <f>Y824-'Blocking-Step2'!Y824</f>
        <v>0</v>
      </c>
    </row>
    <row r="825" spans="1:48" ht="16.5" hidden="1" thickTop="1">
      <c r="A825" s="1116" t="s">
        <v>1363</v>
      </c>
      <c r="C825" s="1105">
        <v>1168772</v>
      </c>
      <c r="D825" s="1105">
        <v>3236175.1666666665</v>
      </c>
      <c r="F825" s="1106">
        <v>3.5143</v>
      </c>
      <c r="G825" s="1921" t="s">
        <v>495</v>
      </c>
      <c r="H825" s="1146">
        <v>41074</v>
      </c>
      <c r="I825" s="1146">
        <v>113729</v>
      </c>
      <c r="K825" s="1106"/>
      <c r="L825" s="1921"/>
      <c r="M825" s="1106"/>
      <c r="N825" s="1921"/>
      <c r="O825" s="1106"/>
      <c r="P825" s="1921"/>
      <c r="Q825" s="1106"/>
      <c r="R825" s="1921"/>
      <c r="S825" s="1648"/>
      <c r="T825" s="1648"/>
      <c r="U825" s="1648"/>
      <c r="V825" s="1648"/>
      <c r="W825" s="1648"/>
      <c r="X825" s="1648"/>
      <c r="Y825" s="1146"/>
      <c r="Z825" s="2114">
        <f>C825-'Blocking-Step2'!C825</f>
        <v>0</v>
      </c>
      <c r="AA825" s="2114">
        <f>D825-'Blocking-Step2'!D825</f>
        <v>0</v>
      </c>
      <c r="AC825" s="2114">
        <f>F825-'Blocking-Step2'!F825</f>
        <v>0</v>
      </c>
      <c r="AE825" s="2114">
        <f>H825-'Blocking-Step2'!H825</f>
        <v>0</v>
      </c>
      <c r="AF825" s="2114">
        <f>I825-'Blocking-Step2'!I825</f>
        <v>0</v>
      </c>
      <c r="AH825" s="2136">
        <f>K825-'Blocking-Step2'!K825</f>
        <v>0</v>
      </c>
      <c r="AJ825" s="2136">
        <f>M825-'Blocking-Step2'!M825</f>
        <v>0</v>
      </c>
      <c r="AL825" s="2136">
        <f>O825-'Blocking-Step2'!O825</f>
        <v>0</v>
      </c>
      <c r="AN825" s="2137">
        <f>Q825-'Blocking-Step2'!Q825</f>
        <v>0</v>
      </c>
      <c r="AP825" s="2127">
        <f>S825-'Blocking-Step2'!S825</f>
        <v>0</v>
      </c>
      <c r="AR825" s="2127">
        <f>U825-'Blocking-Step2'!U825</f>
        <v>0</v>
      </c>
      <c r="AT825" s="2127">
        <f>W825-'Blocking-Step2'!W825</f>
        <v>0</v>
      </c>
      <c r="AV825" s="2128">
        <f>Y825-'Blocking-Step2'!Y825</f>
        <v>0</v>
      </c>
    </row>
    <row r="826" spans="1:48" ht="16.5" hidden="1" thickTop="1">
      <c r="A826" s="1116" t="s">
        <v>246</v>
      </c>
      <c r="C826" s="1940">
        <v>-36163</v>
      </c>
      <c r="D826" s="1940">
        <v>0</v>
      </c>
      <c r="H826" s="1147">
        <v>-3174</v>
      </c>
      <c r="I826" s="1147">
        <v>0</v>
      </c>
      <c r="Y826" s="1147">
        <v>0</v>
      </c>
      <c r="Z826" s="2114">
        <f>C826-'Blocking-Step2'!C826</f>
        <v>0</v>
      </c>
      <c r="AA826" s="2114">
        <f>D826-'Blocking-Step2'!D826</f>
        <v>0</v>
      </c>
      <c r="AC826" s="2114">
        <f>F826-'Blocking-Step2'!F826</f>
        <v>0</v>
      </c>
      <c r="AE826" s="2114">
        <f>H826-'Blocking-Step2'!H826</f>
        <v>0</v>
      </c>
      <c r="AF826" s="2114">
        <f>I826-'Blocking-Step2'!I826</f>
        <v>0</v>
      </c>
      <c r="AH826" s="2136">
        <f>K826-'Blocking-Step2'!K826</f>
        <v>0</v>
      </c>
      <c r="AJ826" s="2136">
        <f>M826-'Blocking-Step2'!M826</f>
        <v>0</v>
      </c>
      <c r="AL826" s="2136">
        <f>O826-'Blocking-Step2'!O826</f>
        <v>0</v>
      </c>
      <c r="AN826" s="2137">
        <f>Q826-'Blocking-Step2'!Q826</f>
        <v>0</v>
      </c>
      <c r="AP826" s="2127">
        <f>S826-'Blocking-Step2'!S826</f>
        <v>0</v>
      </c>
      <c r="AR826" s="2127">
        <f>U826-'Blocking-Step2'!U826</f>
        <v>0</v>
      </c>
      <c r="AT826" s="2127">
        <f>W826-'Blocking-Step2'!W826</f>
        <v>0</v>
      </c>
      <c r="AV826" s="2128">
        <f>Y826-'Blocking-Step2'!Y826</f>
        <v>0</v>
      </c>
    </row>
    <row r="827" spans="1:48" ht="16.5" hidden="1" thickTop="1">
      <c r="A827" s="1116" t="s">
        <v>1240</v>
      </c>
      <c r="C827" s="1024"/>
      <c r="D827" s="1024"/>
      <c r="F827" s="2076">
        <v>-3.61E-2</v>
      </c>
      <c r="G827" s="617"/>
      <c r="H827" s="1146">
        <v>-6608.3937999999998</v>
      </c>
      <c r="I827" s="1146">
        <v>-18503.4882</v>
      </c>
      <c r="K827" s="2076"/>
      <c r="L827" s="617"/>
      <c r="M827" s="2076"/>
      <c r="N827" s="617"/>
      <c r="O827" s="2077" t="s">
        <v>2323</v>
      </c>
      <c r="P827" s="617"/>
      <c r="Q827" s="2076">
        <v>-2.76E-2</v>
      </c>
      <c r="R827" s="617"/>
      <c r="S827" s="1114"/>
      <c r="T827" s="1114"/>
      <c r="U827" s="1114"/>
      <c r="V827" s="1114"/>
      <c r="W827" s="1114"/>
      <c r="X827" s="1114"/>
      <c r="Y827" s="1146">
        <v>-14023.311599999999</v>
      </c>
      <c r="Z827" s="2114">
        <f>C827-'Blocking-Step2'!C827</f>
        <v>0</v>
      </c>
      <c r="AA827" s="2114">
        <f>D827-'Blocking-Step2'!D827</f>
        <v>0</v>
      </c>
      <c r="AC827" s="2114">
        <f>F827-'Blocking-Step2'!F827</f>
        <v>0</v>
      </c>
      <c r="AE827" s="2114">
        <f>H827-'Blocking-Step2'!H827</f>
        <v>0</v>
      </c>
      <c r="AF827" s="2114">
        <f>I827-'Blocking-Step2'!I827</f>
        <v>0</v>
      </c>
      <c r="AH827" s="2136">
        <f>K827-'Blocking-Step2'!K827</f>
        <v>0</v>
      </c>
      <c r="AJ827" s="2136">
        <f>M827-'Blocking-Step2'!M827</f>
        <v>0</v>
      </c>
      <c r="AL827" s="2136" t="e">
        <f>O827-'Blocking-Step2'!O827</f>
        <v>#VALUE!</v>
      </c>
      <c r="AN827" s="2137">
        <f>Q827-'Blocking-Step2'!Q827</f>
        <v>0</v>
      </c>
      <c r="AP827" s="2127">
        <f>S827-'Blocking-Step2'!S827</f>
        <v>0</v>
      </c>
      <c r="AR827" s="2127">
        <f>U827-'Blocking-Step2'!U827</f>
        <v>0</v>
      </c>
      <c r="AT827" s="2127">
        <f>W827-'Blocking-Step2'!W827</f>
        <v>0</v>
      </c>
      <c r="AV827" s="2128">
        <f>Y827-'Blocking-Step2'!Y827</f>
        <v>0</v>
      </c>
    </row>
    <row r="828" spans="1:48" ht="16.5" hidden="1" thickTop="1">
      <c r="A828" s="1116"/>
      <c r="C828" s="1024"/>
      <c r="D828" s="1024"/>
      <c r="F828" s="2076"/>
      <c r="G828" s="617"/>
      <c r="H828" s="1146"/>
      <c r="I828" s="1146"/>
      <c r="K828" s="2076"/>
      <c r="L828" s="617"/>
      <c r="M828" s="2076"/>
      <c r="N828" s="617"/>
      <c r="O828" s="2077" t="s">
        <v>2324</v>
      </c>
      <c r="P828" s="617"/>
      <c r="Q828" s="2076">
        <v>-1.4999999999999999E-2</v>
      </c>
      <c r="R828" s="617"/>
      <c r="S828" s="1114"/>
      <c r="T828" s="1114"/>
      <c r="U828" s="1114"/>
      <c r="V828" s="1114"/>
      <c r="W828" s="1114"/>
      <c r="X828" s="1114"/>
      <c r="Y828" s="1146">
        <v>-7621.3649999999998</v>
      </c>
      <c r="Z828" s="2114">
        <f>C828-'Blocking-Step2'!C828</f>
        <v>0</v>
      </c>
      <c r="AA828" s="2114">
        <f>D828-'Blocking-Step2'!D828</f>
        <v>0</v>
      </c>
      <c r="AC828" s="2114">
        <f>F828-'Blocking-Step2'!F828</f>
        <v>0</v>
      </c>
      <c r="AE828" s="2114">
        <f>H828-'Blocking-Step2'!H828</f>
        <v>0</v>
      </c>
      <c r="AF828" s="2114">
        <f>I828-'Blocking-Step2'!I828</f>
        <v>0</v>
      </c>
      <c r="AH828" s="2136">
        <f>K828-'Blocking-Step2'!K828</f>
        <v>0</v>
      </c>
      <c r="AJ828" s="2136">
        <f>M828-'Blocking-Step2'!M828</f>
        <v>0</v>
      </c>
      <c r="AL828" s="2136" t="e">
        <f>O828-'Blocking-Step2'!O828</f>
        <v>#VALUE!</v>
      </c>
      <c r="AN828" s="2137">
        <f>Q828-'Blocking-Step2'!Q828</f>
        <v>0</v>
      </c>
      <c r="AP828" s="2127">
        <f>S828-'Blocking-Step2'!S828</f>
        <v>0</v>
      </c>
      <c r="AR828" s="2127">
        <f>U828-'Blocking-Step2'!U828</f>
        <v>0</v>
      </c>
      <c r="AT828" s="2127">
        <f>W828-'Blocking-Step2'!W828</f>
        <v>0</v>
      </c>
      <c r="AV828" s="2128">
        <f>Y828-'Blocking-Step2'!Y828</f>
        <v>0</v>
      </c>
    </row>
    <row r="829" spans="1:48" ht="17.25" hidden="1" thickTop="1" thickBot="1">
      <c r="A829" s="1116" t="s">
        <v>247</v>
      </c>
      <c r="C829" s="1138">
        <v>2194665</v>
      </c>
      <c r="D829" s="1138">
        <v>6189439.5</v>
      </c>
      <c r="F829" s="1145"/>
      <c r="H829" s="1149">
        <v>205661.60620000001</v>
      </c>
      <c r="I829" s="1149">
        <v>585123.51179999998</v>
      </c>
      <c r="K829" s="1145"/>
      <c r="M829" s="1145"/>
      <c r="O829" s="1145"/>
      <c r="Q829" s="1145"/>
      <c r="S829" s="1149">
        <v>101542</v>
      </c>
      <c r="U829" s="1149">
        <v>364419</v>
      </c>
      <c r="W829" s="1149">
        <v>132968</v>
      </c>
      <c r="Y829" s="1149">
        <v>598929</v>
      </c>
      <c r="Z829" s="2114">
        <f>C829-'Blocking-Step2'!C829</f>
        <v>0</v>
      </c>
      <c r="AA829" s="2114">
        <f>D829-'Blocking-Step2'!D829</f>
        <v>0</v>
      </c>
      <c r="AC829" s="2114">
        <f>F829-'Blocking-Step2'!F829</f>
        <v>0</v>
      </c>
      <c r="AE829" s="2114">
        <f>H829-'Blocking-Step2'!H829</f>
        <v>0</v>
      </c>
      <c r="AF829" s="2114">
        <f>I829-'Blocking-Step2'!I829</f>
        <v>0</v>
      </c>
      <c r="AH829" s="2136">
        <f>K829-'Blocking-Step2'!K829</f>
        <v>0</v>
      </c>
      <c r="AJ829" s="2136">
        <f>M829-'Blocking-Step2'!M829</f>
        <v>0</v>
      </c>
      <c r="AL829" s="2136">
        <f>O829-'Blocking-Step2'!O829</f>
        <v>0</v>
      </c>
      <c r="AN829" s="2137">
        <f>Q829-'Blocking-Step2'!Q829</f>
        <v>0</v>
      </c>
      <c r="AP829" s="2127">
        <f>S829-'Blocking-Step2'!S829</f>
        <v>-122578</v>
      </c>
      <c r="AR829" s="2127">
        <f>U829-'Blocking-Step2'!U829</f>
        <v>122579</v>
      </c>
      <c r="AT829" s="2127">
        <f>W829-'Blocking-Step2'!W829</f>
        <v>0</v>
      </c>
      <c r="AV829" s="2128">
        <f>Y829-'Blocking-Step2'!Y829</f>
        <v>0</v>
      </c>
    </row>
    <row r="830" spans="1:48" ht="16.5" thickTop="1">
      <c r="C830" s="1105"/>
      <c r="D830" s="1105"/>
      <c r="Z830" s="2114">
        <f>C830-'Blocking-Step2'!C830</f>
        <v>0</v>
      </c>
      <c r="AA830" s="2114">
        <f>D830-'Blocking-Step2'!D830</f>
        <v>0</v>
      </c>
      <c r="AC830" s="2114">
        <f>F830-'Blocking-Step2'!F830</f>
        <v>0</v>
      </c>
      <c r="AE830" s="2114">
        <f>H830-'Blocking-Step2'!H830</f>
        <v>0</v>
      </c>
      <c r="AF830" s="2114">
        <f>I830-'Blocking-Step2'!I830</f>
        <v>0</v>
      </c>
      <c r="AH830" s="2136">
        <f>K830-'Blocking-Step2'!K830</f>
        <v>0</v>
      </c>
      <c r="AJ830" s="2136">
        <f>M830-'Blocking-Step2'!M830</f>
        <v>0</v>
      </c>
      <c r="AL830" s="2136">
        <f>O830-'Blocking-Step2'!O830</f>
        <v>0</v>
      </c>
      <c r="AN830" s="2137">
        <f>Q830-'Blocking-Step2'!Q830</f>
        <v>0</v>
      </c>
      <c r="AP830" s="2127">
        <f>S830-'Blocking-Step2'!S830</f>
        <v>0</v>
      </c>
      <c r="AR830" s="2127">
        <f>U830-'Blocking-Step2'!U830</f>
        <v>0</v>
      </c>
      <c r="AT830" s="2127">
        <f>W830-'Blocking-Step2'!W830</f>
        <v>0</v>
      </c>
      <c r="AV830" s="2128">
        <f>Y830-'Blocking-Step2'!Y830</f>
        <v>0</v>
      </c>
    </row>
    <row r="831" spans="1:48">
      <c r="A831" s="1115" t="s">
        <v>1558</v>
      </c>
      <c r="C831" s="1105"/>
      <c r="D831" s="1105"/>
      <c r="Z831" s="2114">
        <f>C831-'Blocking-Step2'!C831</f>
        <v>0</v>
      </c>
      <c r="AA831" s="2114">
        <f>D831-'Blocking-Step2'!D831</f>
        <v>0</v>
      </c>
      <c r="AC831" s="2114">
        <f>F831-'Blocking-Step2'!F831</f>
        <v>0</v>
      </c>
      <c r="AE831" s="2114">
        <f>H831-'Blocking-Step2'!H831</f>
        <v>0</v>
      </c>
      <c r="AF831" s="2114">
        <f>I831-'Blocking-Step2'!I831</f>
        <v>0</v>
      </c>
      <c r="AH831" s="2136">
        <f>K831-'Blocking-Step2'!K831</f>
        <v>0</v>
      </c>
      <c r="AJ831" s="2136">
        <f>M831-'Blocking-Step2'!M831</f>
        <v>0</v>
      </c>
      <c r="AL831" s="2136">
        <f>O831-'Blocking-Step2'!O831</f>
        <v>0</v>
      </c>
      <c r="AN831" s="2137">
        <f>Q831-'Blocking-Step2'!Q831</f>
        <v>0</v>
      </c>
      <c r="AP831" s="2127">
        <f>S831-'Blocking-Step2'!S831</f>
        <v>0</v>
      </c>
      <c r="AR831" s="2127">
        <f>U831-'Blocking-Step2'!U831</f>
        <v>0</v>
      </c>
      <c r="AT831" s="2127">
        <f>W831-'Blocking-Step2'!W831</f>
        <v>0</v>
      </c>
      <c r="AV831" s="2128">
        <f>Y831-'Blocking-Step2'!Y831</f>
        <v>0</v>
      </c>
    </row>
    <row r="832" spans="1:48">
      <c r="A832" s="1116" t="s">
        <v>240</v>
      </c>
      <c r="C832" s="1105">
        <v>220.73333333333335</v>
      </c>
      <c r="D832" s="1105">
        <v>611</v>
      </c>
      <c r="F832" s="1142">
        <v>54</v>
      </c>
      <c r="G832" s="617"/>
      <c r="H832" s="1146">
        <v>11920</v>
      </c>
      <c r="I832" s="1146">
        <v>32994</v>
      </c>
      <c r="K832" s="1142">
        <v>54</v>
      </c>
      <c r="L832" s="617"/>
      <c r="M832" s="1142">
        <v>0</v>
      </c>
      <c r="N832" s="617"/>
      <c r="O832" s="1142">
        <v>0</v>
      </c>
      <c r="P832" s="617"/>
      <c r="Q832" s="1142">
        <v>54</v>
      </c>
      <c r="R832" s="617"/>
      <c r="S832" s="1146">
        <v>32994</v>
      </c>
      <c r="T832" s="1114"/>
      <c r="U832" s="1146">
        <v>0</v>
      </c>
      <c r="V832" s="1114"/>
      <c r="W832" s="1146">
        <v>0</v>
      </c>
      <c r="X832" s="1114"/>
      <c r="Y832" s="1146">
        <v>32994</v>
      </c>
      <c r="Z832" s="2114">
        <f>C832-'Blocking-Step2'!C832</f>
        <v>0</v>
      </c>
      <c r="AA832" s="2114">
        <f>D832-'Blocking-Step2'!D832</f>
        <v>0</v>
      </c>
      <c r="AC832" s="2114">
        <f>F832-'Blocking-Step2'!F832</f>
        <v>0</v>
      </c>
      <c r="AE832" s="2114">
        <f>H832-'Blocking-Step2'!H832</f>
        <v>0</v>
      </c>
      <c r="AF832" s="2114">
        <f>I832-'Blocking-Step2'!I832</f>
        <v>0</v>
      </c>
      <c r="AH832" s="2136">
        <f>K832-'Blocking-Step2'!K832</f>
        <v>0</v>
      </c>
      <c r="AJ832" s="2136">
        <f>M832-'Blocking-Step2'!M832</f>
        <v>0</v>
      </c>
      <c r="AL832" s="2136">
        <f>O832-'Blocking-Step2'!O832</f>
        <v>0</v>
      </c>
      <c r="AN832" s="2137">
        <f>Q832-'Blocking-Step2'!Q832</f>
        <v>0</v>
      </c>
      <c r="AP832" s="2127">
        <f>S832-'Blocking-Step2'!S832</f>
        <v>0</v>
      </c>
      <c r="AR832" s="2127">
        <f>U832-'Blocking-Step2'!U832</f>
        <v>0</v>
      </c>
      <c r="AT832" s="2127">
        <f>W832-'Blocking-Step2'!W832</f>
        <v>0</v>
      </c>
      <c r="AV832" s="2128">
        <f>Y832-'Blocking-Step2'!Y832</f>
        <v>0</v>
      </c>
    </row>
    <row r="833" spans="1:48">
      <c r="A833" s="1116" t="s">
        <v>262</v>
      </c>
      <c r="C833" s="1024">
        <v>0</v>
      </c>
      <c r="D833" s="1105">
        <v>0</v>
      </c>
      <c r="F833" s="1142">
        <v>648</v>
      </c>
      <c r="G833" s="617"/>
      <c r="H833" s="1146">
        <v>0</v>
      </c>
      <c r="I833" s="1146">
        <v>0</v>
      </c>
      <c r="K833" s="1142">
        <v>648</v>
      </c>
      <c r="L833" s="617"/>
      <c r="M833" s="1142">
        <v>0</v>
      </c>
      <c r="N833" s="617"/>
      <c r="O833" s="1142">
        <v>0</v>
      </c>
      <c r="P833" s="617"/>
      <c r="Q833" s="1142">
        <v>648</v>
      </c>
      <c r="R833" s="617"/>
      <c r="S833" s="1146">
        <v>0</v>
      </c>
      <c r="T833" s="1114"/>
      <c r="U833" s="1146">
        <v>0</v>
      </c>
      <c r="V833" s="1114"/>
      <c r="W833" s="1146">
        <v>0</v>
      </c>
      <c r="X833" s="1114"/>
      <c r="Y833" s="1146">
        <v>0</v>
      </c>
      <c r="Z833" s="2114">
        <f>C833-'Blocking-Step2'!C833</f>
        <v>0</v>
      </c>
      <c r="AA833" s="2114">
        <f>D833-'Blocking-Step2'!D833</f>
        <v>0</v>
      </c>
      <c r="AC833" s="2114">
        <f>F833-'Blocking-Step2'!F833</f>
        <v>0</v>
      </c>
      <c r="AE833" s="2114">
        <f>H833-'Blocking-Step2'!H833</f>
        <v>0</v>
      </c>
      <c r="AF833" s="2114">
        <f>I833-'Blocking-Step2'!I833</f>
        <v>0</v>
      </c>
      <c r="AH833" s="2136">
        <f>K833-'Blocking-Step2'!K833</f>
        <v>0</v>
      </c>
      <c r="AJ833" s="2136">
        <f>M833-'Blocking-Step2'!M833</f>
        <v>0</v>
      </c>
      <c r="AL833" s="2136">
        <f>O833-'Blocking-Step2'!O833</f>
        <v>0</v>
      </c>
      <c r="AN833" s="2137">
        <f>Q833-'Blocking-Step2'!Q833</f>
        <v>0</v>
      </c>
      <c r="AP833" s="2127">
        <f>S833-'Blocking-Step2'!S833</f>
        <v>0</v>
      </c>
      <c r="AR833" s="2127">
        <f>U833-'Blocking-Step2'!U833</f>
        <v>0</v>
      </c>
      <c r="AT833" s="2127">
        <f>W833-'Blocking-Step2'!W833</f>
        <v>0</v>
      </c>
      <c r="AV833" s="2128">
        <f>Y833-'Blocking-Step2'!Y833</f>
        <v>0</v>
      </c>
    </row>
    <row r="834" spans="1:48">
      <c r="A834" s="1116" t="s">
        <v>1236</v>
      </c>
      <c r="C834" s="1105">
        <v>21</v>
      </c>
      <c r="D834" s="1105">
        <v>59</v>
      </c>
      <c r="F834" s="1142">
        <v>2</v>
      </c>
      <c r="G834" s="617"/>
      <c r="H834" s="1146">
        <v>42</v>
      </c>
      <c r="I834" s="1146">
        <v>118</v>
      </c>
      <c r="K834" s="1142">
        <v>2</v>
      </c>
      <c r="L834" s="617"/>
      <c r="M834" s="1142">
        <v>0</v>
      </c>
      <c r="N834" s="617"/>
      <c r="O834" s="1142">
        <v>0</v>
      </c>
      <c r="P834" s="617"/>
      <c r="Q834" s="1142">
        <v>2</v>
      </c>
      <c r="R834" s="617"/>
      <c r="S834" s="1146">
        <v>118</v>
      </c>
      <c r="T834" s="1114"/>
      <c r="U834" s="1146">
        <v>0</v>
      </c>
      <c r="V834" s="1114"/>
      <c r="W834" s="1146">
        <v>0</v>
      </c>
      <c r="X834" s="1114"/>
      <c r="Y834" s="1146">
        <v>118</v>
      </c>
      <c r="Z834" s="2114">
        <f>C834-'Blocking-Step2'!C834</f>
        <v>0</v>
      </c>
      <c r="AA834" s="2114">
        <f>D834-'Blocking-Step2'!D834</f>
        <v>0</v>
      </c>
      <c r="AC834" s="2114">
        <f>F834-'Blocking-Step2'!F834</f>
        <v>0</v>
      </c>
      <c r="AE834" s="2114">
        <f>H834-'Blocking-Step2'!H834</f>
        <v>0</v>
      </c>
      <c r="AF834" s="2114">
        <f>I834-'Blocking-Step2'!I834</f>
        <v>0</v>
      </c>
      <c r="AH834" s="2136">
        <f>K834-'Blocking-Step2'!K834</f>
        <v>0</v>
      </c>
      <c r="AJ834" s="2136">
        <f>M834-'Blocking-Step2'!M834</f>
        <v>0</v>
      </c>
      <c r="AL834" s="2136">
        <f>O834-'Blocking-Step2'!O834</f>
        <v>0</v>
      </c>
      <c r="AN834" s="2137">
        <f>Q834-'Blocking-Step2'!Q834</f>
        <v>0</v>
      </c>
      <c r="AP834" s="2127">
        <f>S834-'Blocking-Step2'!S834</f>
        <v>0</v>
      </c>
      <c r="AR834" s="2127">
        <f>U834-'Blocking-Step2'!U834</f>
        <v>0</v>
      </c>
      <c r="AT834" s="2127">
        <f>W834-'Blocking-Step2'!W834</f>
        <v>0</v>
      </c>
      <c r="AV834" s="2128">
        <f>Y834-'Blocking-Step2'!Y834</f>
        <v>0</v>
      </c>
    </row>
    <row r="835" spans="1:48">
      <c r="A835" s="1116" t="s">
        <v>168</v>
      </c>
      <c r="C835" s="1105">
        <v>25513.264851485168</v>
      </c>
      <c r="D835" s="1105">
        <v>94165</v>
      </c>
      <c r="F835" s="1142">
        <v>4.04</v>
      </c>
      <c r="G835" s="617"/>
      <c r="H835" s="1146">
        <v>103074</v>
      </c>
      <c r="I835" s="1146">
        <v>380427</v>
      </c>
      <c r="K835" s="1142">
        <v>4.03</v>
      </c>
      <c r="L835" s="617"/>
      <c r="M835" s="1142">
        <v>0</v>
      </c>
      <c r="N835" s="617"/>
      <c r="O835" s="1142">
        <v>0</v>
      </c>
      <c r="P835" s="617"/>
      <c r="Q835" s="1142">
        <v>4.03</v>
      </c>
      <c r="R835" s="617"/>
      <c r="S835" s="1146">
        <v>379485</v>
      </c>
      <c r="T835" s="1114"/>
      <c r="U835" s="1146">
        <v>0</v>
      </c>
      <c r="V835" s="1114"/>
      <c r="W835" s="1146">
        <v>0</v>
      </c>
      <c r="X835" s="1114"/>
      <c r="Y835" s="1146">
        <v>379485</v>
      </c>
      <c r="Z835" s="2114">
        <f>C835-'Blocking-Step2'!C835</f>
        <v>0</v>
      </c>
      <c r="AA835" s="2114">
        <f>D835-'Blocking-Step2'!D835</f>
        <v>0</v>
      </c>
      <c r="AC835" s="2114">
        <f>F835-'Blocking-Step2'!F835</f>
        <v>0</v>
      </c>
      <c r="AE835" s="2114">
        <f>H835-'Blocking-Step2'!H835</f>
        <v>0</v>
      </c>
      <c r="AF835" s="2114">
        <f>I835-'Blocking-Step2'!I835</f>
        <v>0</v>
      </c>
      <c r="AH835" s="2136">
        <f>K835-'Blocking-Step2'!K835</f>
        <v>0</v>
      </c>
      <c r="AJ835" s="2136">
        <f>M835-'Blocking-Step2'!M835</f>
        <v>0</v>
      </c>
      <c r="AL835" s="2136">
        <f>O835-'Blocking-Step2'!O835</f>
        <v>0</v>
      </c>
      <c r="AN835" s="2137">
        <f>Q835-'Blocking-Step2'!Q835</f>
        <v>0</v>
      </c>
      <c r="AP835" s="2127">
        <f>S835-'Blocking-Step2'!S835</f>
        <v>0</v>
      </c>
      <c r="AR835" s="2127">
        <f>U835-'Blocking-Step2'!U835</f>
        <v>0</v>
      </c>
      <c r="AT835" s="2127">
        <f>W835-'Blocking-Step2'!W835</f>
        <v>0</v>
      </c>
      <c r="AV835" s="2128">
        <f>Y835-'Blocking-Step2'!Y835</f>
        <v>0</v>
      </c>
    </row>
    <row r="836" spans="1:48">
      <c r="A836" s="1116" t="s">
        <v>1645</v>
      </c>
      <c r="C836" s="1105">
        <v>11239.792072758026</v>
      </c>
      <c r="D836" s="1105">
        <v>40576</v>
      </c>
      <c r="F836" s="1142"/>
      <c r="G836" s="617"/>
      <c r="H836" s="1146"/>
      <c r="I836" s="1146"/>
      <c r="K836" s="1142">
        <v>0.51</v>
      </c>
      <c r="L836" s="617"/>
      <c r="M836" s="1142">
        <v>12.89</v>
      </c>
      <c r="N836" s="617"/>
      <c r="O836" s="1142">
        <v>0</v>
      </c>
      <c r="P836" s="617"/>
      <c r="Q836" s="1142">
        <v>13.4</v>
      </c>
      <c r="R836" s="617"/>
      <c r="S836" s="1146">
        <v>20694</v>
      </c>
      <c r="T836" s="1146"/>
      <c r="U836" s="1146">
        <v>523025</v>
      </c>
      <c r="V836" s="1146"/>
      <c r="W836" s="1146">
        <v>0</v>
      </c>
      <c r="X836" s="1114"/>
      <c r="Y836" s="1146">
        <v>543718</v>
      </c>
      <c r="Z836" s="2114">
        <f>C836-'Blocking-Step2'!C836</f>
        <v>0</v>
      </c>
      <c r="AA836" s="2114">
        <f>D836-'Blocking-Step2'!D836</f>
        <v>0</v>
      </c>
      <c r="AC836" s="2114">
        <f>F836-'Blocking-Step2'!F836</f>
        <v>0</v>
      </c>
      <c r="AE836" s="2114">
        <f>H836-'Blocking-Step2'!H836</f>
        <v>0</v>
      </c>
      <c r="AF836" s="2114">
        <f>I836-'Blocking-Step2'!I836</f>
        <v>0</v>
      </c>
      <c r="AH836" s="2136">
        <f>K836-'Blocking-Step2'!K836</f>
        <v>-5.83</v>
      </c>
      <c r="AJ836" s="2136">
        <f>M836-'Blocking-Step2'!M836</f>
        <v>5.83</v>
      </c>
      <c r="AL836" s="2136">
        <f>O836-'Blocking-Step2'!O836</f>
        <v>0</v>
      </c>
      <c r="AN836" s="2137">
        <f>Q836-'Blocking-Step2'!Q836</f>
        <v>0</v>
      </c>
      <c r="AP836" s="2127">
        <f>S836-'Blocking-Step2'!S836</f>
        <v>-236558</v>
      </c>
      <c r="AR836" s="2127">
        <f>U836-'Blocking-Step2'!U836</f>
        <v>236558</v>
      </c>
      <c r="AT836" s="2127">
        <f>W836-'Blocking-Step2'!W836</f>
        <v>0</v>
      </c>
      <c r="AV836" s="2128">
        <f>Y836-'Blocking-Step2'!Y836</f>
        <v>0</v>
      </c>
    </row>
    <row r="837" spans="1:48">
      <c r="A837" s="1116" t="s">
        <v>1646</v>
      </c>
      <c r="C837" s="1105">
        <v>14273.476505122684</v>
      </c>
      <c r="D837" s="1105">
        <v>53589</v>
      </c>
      <c r="F837" s="1142"/>
      <c r="G837" s="617"/>
      <c r="H837" s="1146"/>
      <c r="I837" s="1146"/>
      <c r="K837" s="1142">
        <v>0.45</v>
      </c>
      <c r="L837" s="617"/>
      <c r="M837" s="1142">
        <v>11.41</v>
      </c>
      <c r="N837" s="617"/>
      <c r="O837" s="1142">
        <v>0</v>
      </c>
      <c r="P837" s="617"/>
      <c r="Q837" s="1142">
        <v>11.86</v>
      </c>
      <c r="R837" s="617"/>
      <c r="S837" s="1146">
        <v>24115</v>
      </c>
      <c r="T837" s="1146"/>
      <c r="U837" s="1146">
        <v>611450</v>
      </c>
      <c r="V837" s="1146"/>
      <c r="W837" s="1146">
        <v>0</v>
      </c>
      <c r="X837" s="1114"/>
      <c r="Y837" s="1146">
        <v>635566</v>
      </c>
      <c r="Z837" s="2114">
        <f>C837-'Blocking-Step2'!C837</f>
        <v>0</v>
      </c>
      <c r="AA837" s="2114">
        <f>D837-'Blocking-Step2'!D837</f>
        <v>0</v>
      </c>
      <c r="AC837" s="2114">
        <f>F837-'Blocking-Step2'!F837</f>
        <v>0</v>
      </c>
      <c r="AE837" s="2114">
        <f>H837-'Blocking-Step2'!H837</f>
        <v>0</v>
      </c>
      <c r="AF837" s="2114">
        <f>I837-'Blocking-Step2'!I837</f>
        <v>0</v>
      </c>
      <c r="AH837" s="2136">
        <f>K837-'Blocking-Step2'!K837</f>
        <v>-5.16</v>
      </c>
      <c r="AJ837" s="2136">
        <f>M837-'Blocking-Step2'!M837</f>
        <v>5.160000000000001</v>
      </c>
      <c r="AL837" s="2136">
        <f>O837-'Blocking-Step2'!O837</f>
        <v>0</v>
      </c>
      <c r="AN837" s="2137">
        <f>Q837-'Blocking-Step2'!Q837</f>
        <v>0</v>
      </c>
      <c r="AP837" s="2127">
        <f>S837-'Blocking-Step2'!S837</f>
        <v>-276519</v>
      </c>
      <c r="AR837" s="2127">
        <f>U837-'Blocking-Step2'!U837</f>
        <v>276519</v>
      </c>
      <c r="AT837" s="2127">
        <f>W837-'Blocking-Step2'!W837</f>
        <v>0</v>
      </c>
      <c r="AV837" s="2128">
        <f>Y837-'Blocking-Step2'!Y837</f>
        <v>0</v>
      </c>
    </row>
    <row r="838" spans="1:48">
      <c r="A838" s="1116" t="s">
        <v>1647</v>
      </c>
      <c r="C838" s="1105">
        <v>2917301.8660099008</v>
      </c>
      <c r="D838" s="1105">
        <v>8593598.8227068186</v>
      </c>
      <c r="F838" s="1106"/>
      <c r="G838" s="1921"/>
      <c r="H838" s="1146"/>
      <c r="I838" s="1146"/>
      <c r="K838" s="1106">
        <v>0</v>
      </c>
      <c r="L838" s="1921" t="s">
        <v>495</v>
      </c>
      <c r="M838" s="1106">
        <v>1.6192</v>
      </c>
      <c r="N838" s="1921" t="s">
        <v>495</v>
      </c>
      <c r="O838" s="1106">
        <v>2.305570240802</v>
      </c>
      <c r="P838" s="1921" t="s">
        <v>495</v>
      </c>
      <c r="Q838" s="1106">
        <v>3.9247702408020002</v>
      </c>
      <c r="R838" s="1921" t="s">
        <v>495</v>
      </c>
      <c r="S838" s="1146">
        <v>0</v>
      </c>
      <c r="T838" s="1146"/>
      <c r="U838" s="1146">
        <v>139148</v>
      </c>
      <c r="V838" s="1146"/>
      <c r="W838" s="1146">
        <v>198131</v>
      </c>
      <c r="X838" s="1648"/>
      <c r="Y838" s="1146">
        <v>337279</v>
      </c>
      <c r="Z838" s="2114">
        <f>C838-'Blocking-Step2'!C838</f>
        <v>0</v>
      </c>
      <c r="AA838" s="2114">
        <f>D838-'Blocking-Step2'!D838</f>
        <v>0</v>
      </c>
      <c r="AC838" s="2114">
        <f>F838-'Blocking-Step2'!F838</f>
        <v>0</v>
      </c>
      <c r="AE838" s="2114">
        <f>H838-'Blocking-Step2'!H838</f>
        <v>0</v>
      </c>
      <c r="AF838" s="2114">
        <f>I838-'Blocking-Step2'!I838</f>
        <v>0</v>
      </c>
      <c r="AH838" s="2136">
        <f>K838-'Blocking-Step2'!K838</f>
        <v>0</v>
      </c>
      <c r="AJ838" s="2136">
        <f>M838-'Blocking-Step2'!M838</f>
        <v>0</v>
      </c>
      <c r="AL838" s="2136">
        <f>O838-'Blocking-Step2'!O838</f>
        <v>0</v>
      </c>
      <c r="AN838" s="2137">
        <f>Q838-'Blocking-Step2'!Q838</f>
        <v>0</v>
      </c>
      <c r="AP838" s="2127">
        <f>S838-'Blocking-Step2'!S838</f>
        <v>0</v>
      </c>
      <c r="AR838" s="2127">
        <f>U838-'Blocking-Step2'!U838</f>
        <v>0</v>
      </c>
      <c r="AT838" s="2127">
        <f>W838-'Blocking-Step2'!W838</f>
        <v>0</v>
      </c>
      <c r="AV838" s="2128">
        <f>Y838-'Blocking-Step2'!Y838</f>
        <v>0</v>
      </c>
    </row>
    <row r="839" spans="1:48">
      <c r="A839" s="1116" t="s">
        <v>1648</v>
      </c>
      <c r="C839" s="1105">
        <v>3833312.1309039872</v>
      </c>
      <c r="D839" s="1105">
        <v>15566357.794983968</v>
      </c>
      <c r="F839" s="1106"/>
      <c r="G839" s="1921"/>
      <c r="H839" s="1146"/>
      <c r="I839" s="1146"/>
      <c r="K839" s="1106">
        <v>0</v>
      </c>
      <c r="L839" s="1921" t="s">
        <v>495</v>
      </c>
      <c r="M839" s="1106">
        <v>1.4329000000000001</v>
      </c>
      <c r="N839" s="1921" t="s">
        <v>495</v>
      </c>
      <c r="O839" s="1106">
        <v>2.0403480007099999</v>
      </c>
      <c r="P839" s="1921" t="s">
        <v>495</v>
      </c>
      <c r="Q839" s="1106">
        <v>3.4732480007099999</v>
      </c>
      <c r="R839" s="1921" t="s">
        <v>495</v>
      </c>
      <c r="S839" s="1146">
        <v>0</v>
      </c>
      <c r="T839" s="1146"/>
      <c r="U839" s="1146">
        <v>223050</v>
      </c>
      <c r="V839" s="1146"/>
      <c r="W839" s="1146">
        <v>317608</v>
      </c>
      <c r="X839" s="1648"/>
      <c r="Y839" s="1146">
        <v>540658</v>
      </c>
      <c r="Z839" s="2114">
        <f>C839-'Blocking-Step2'!C839</f>
        <v>0</v>
      </c>
      <c r="AA839" s="2114">
        <f>D839-'Blocking-Step2'!D839</f>
        <v>0</v>
      </c>
      <c r="AC839" s="2114">
        <f>F839-'Blocking-Step2'!F839</f>
        <v>0</v>
      </c>
      <c r="AE839" s="2114">
        <f>H839-'Blocking-Step2'!H839</f>
        <v>0</v>
      </c>
      <c r="AF839" s="2114">
        <f>I839-'Blocking-Step2'!I839</f>
        <v>0</v>
      </c>
      <c r="AH839" s="2136">
        <f>K839-'Blocking-Step2'!K839</f>
        <v>0</v>
      </c>
      <c r="AJ839" s="2136">
        <f>M839-'Blocking-Step2'!M839</f>
        <v>0</v>
      </c>
      <c r="AL839" s="2136">
        <f>O839-'Blocking-Step2'!O839</f>
        <v>0</v>
      </c>
      <c r="AN839" s="2137">
        <f>Q839-'Blocking-Step2'!Q839</f>
        <v>0</v>
      </c>
      <c r="AP839" s="2127">
        <f>S839-'Blocking-Step2'!S839</f>
        <v>0</v>
      </c>
      <c r="AR839" s="2127">
        <f>U839-'Blocking-Step2'!U839</f>
        <v>0</v>
      </c>
      <c r="AT839" s="2127">
        <f>W839-'Blocking-Step2'!W839</f>
        <v>0</v>
      </c>
      <c r="AV839" s="2128">
        <f>Y839-'Blocking-Step2'!Y839</f>
        <v>0</v>
      </c>
    </row>
    <row r="840" spans="1:48">
      <c r="A840" s="1116" t="s">
        <v>196</v>
      </c>
      <c r="C840" s="1105">
        <v>12796.58755129959</v>
      </c>
      <c r="D840" s="1105">
        <v>46788</v>
      </c>
      <c r="F840" s="1142">
        <v>14.62</v>
      </c>
      <c r="G840" s="617"/>
      <c r="H840" s="1146">
        <v>187086</v>
      </c>
      <c r="I840" s="1146">
        <v>684041</v>
      </c>
      <c r="K840" s="1142"/>
      <c r="L840" s="617"/>
      <c r="M840" s="1142"/>
      <c r="N840" s="617"/>
      <c r="O840" s="1142"/>
      <c r="P840" s="617"/>
      <c r="Q840" s="1142"/>
      <c r="R840" s="617"/>
      <c r="S840" s="1146"/>
      <c r="T840" s="1114"/>
      <c r="U840" s="1146"/>
      <c r="V840" s="1114"/>
      <c r="W840" s="1146"/>
      <c r="X840" s="1114"/>
      <c r="Y840" s="1146"/>
      <c r="Z840" s="2114">
        <f>C840-'Blocking-Step2'!C840</f>
        <v>0</v>
      </c>
      <c r="AA840" s="2114">
        <f>D840-'Blocking-Step2'!D840</f>
        <v>0</v>
      </c>
      <c r="AC840" s="2114">
        <f>F840-'Blocking-Step2'!F840</f>
        <v>0</v>
      </c>
      <c r="AE840" s="2114">
        <f>H840-'Blocking-Step2'!H840</f>
        <v>0</v>
      </c>
      <c r="AF840" s="2114">
        <f>I840-'Blocking-Step2'!I840</f>
        <v>0</v>
      </c>
      <c r="AH840" s="2136">
        <f>K840-'Blocking-Step2'!K840</f>
        <v>0</v>
      </c>
      <c r="AJ840" s="2136">
        <f>M840-'Blocking-Step2'!M840</f>
        <v>0</v>
      </c>
      <c r="AL840" s="2136">
        <f>O840-'Blocking-Step2'!O840</f>
        <v>0</v>
      </c>
      <c r="AN840" s="2137">
        <f>Q840-'Blocking-Step2'!Q840</f>
        <v>0</v>
      </c>
      <c r="AP840" s="2127">
        <f>S840-'Blocking-Step2'!S840</f>
        <v>0</v>
      </c>
      <c r="AR840" s="2127">
        <f>U840-'Blocking-Step2'!U840</f>
        <v>0</v>
      </c>
      <c r="AT840" s="2127">
        <f>W840-'Blocking-Step2'!W840</f>
        <v>0</v>
      </c>
      <c r="AV840" s="2128">
        <f>Y840-'Blocking-Step2'!Y840</f>
        <v>0</v>
      </c>
    </row>
    <row r="841" spans="1:48">
      <c r="A841" s="1116" t="s">
        <v>161</v>
      </c>
      <c r="C841" s="1105">
        <v>12716.681026581118</v>
      </c>
      <c r="D841" s="1105">
        <v>47377</v>
      </c>
      <c r="F841" s="1142">
        <v>10.91</v>
      </c>
      <c r="G841" s="617"/>
      <c r="H841" s="1146">
        <v>138739</v>
      </c>
      <c r="I841" s="1146">
        <v>516883</v>
      </c>
      <c r="K841" s="1142"/>
      <c r="L841" s="617"/>
      <c r="M841" s="1142"/>
      <c r="N841" s="617"/>
      <c r="O841" s="1142"/>
      <c r="P841" s="617"/>
      <c r="Q841" s="1142"/>
      <c r="R841" s="617"/>
      <c r="S841" s="1146"/>
      <c r="T841" s="1114"/>
      <c r="U841" s="1146"/>
      <c r="V841" s="1114"/>
      <c r="W841" s="1146"/>
      <c r="X841" s="1114"/>
      <c r="Y841" s="1146"/>
      <c r="Z841" s="2114">
        <f>C841-'Blocking-Step2'!C841</f>
        <v>0</v>
      </c>
      <c r="AA841" s="2114">
        <f>D841-'Blocking-Step2'!D841</f>
        <v>0</v>
      </c>
      <c r="AC841" s="2114">
        <f>F841-'Blocking-Step2'!F841</f>
        <v>0</v>
      </c>
      <c r="AE841" s="2114">
        <f>H841-'Blocking-Step2'!H841</f>
        <v>0</v>
      </c>
      <c r="AF841" s="2114">
        <f>I841-'Blocking-Step2'!I841</f>
        <v>0</v>
      </c>
      <c r="AH841" s="2136">
        <f>K841-'Blocking-Step2'!K841</f>
        <v>0</v>
      </c>
      <c r="AJ841" s="2136">
        <f>M841-'Blocking-Step2'!M841</f>
        <v>0</v>
      </c>
      <c r="AL841" s="2136">
        <f>O841-'Blocking-Step2'!O841</f>
        <v>0</v>
      </c>
      <c r="AN841" s="2137">
        <f>Q841-'Blocking-Step2'!Q841</f>
        <v>0</v>
      </c>
      <c r="AP841" s="2127">
        <f>S841-'Blocking-Step2'!S841</f>
        <v>0</v>
      </c>
      <c r="AR841" s="2127">
        <f>U841-'Blocking-Step2'!U841</f>
        <v>0</v>
      </c>
      <c r="AT841" s="2127">
        <f>W841-'Blocking-Step2'!W841</f>
        <v>0</v>
      </c>
      <c r="AV841" s="2128">
        <f>Y841-'Blocking-Step2'!Y841</f>
        <v>0</v>
      </c>
    </row>
    <row r="842" spans="1:48">
      <c r="A842" s="1116" t="s">
        <v>261</v>
      </c>
      <c r="C842" s="1105">
        <v>0</v>
      </c>
      <c r="D842" s="1105">
        <v>0</v>
      </c>
      <c r="F842" s="1142">
        <v>-0.96</v>
      </c>
      <c r="G842" s="617"/>
      <c r="H842" s="1146">
        <v>0</v>
      </c>
      <c r="I842" s="1146">
        <v>0</v>
      </c>
      <c r="K842" s="1142">
        <v>-0.96</v>
      </c>
      <c r="L842" s="617"/>
      <c r="M842" s="1142">
        <v>0</v>
      </c>
      <c r="N842" s="617"/>
      <c r="O842" s="1142">
        <v>0</v>
      </c>
      <c r="P842" s="617"/>
      <c r="Q842" s="1142">
        <v>-0.96</v>
      </c>
      <c r="R842" s="617"/>
      <c r="S842" s="1146">
        <v>0</v>
      </c>
      <c r="T842" s="1146"/>
      <c r="U842" s="1146">
        <v>0</v>
      </c>
      <c r="V842" s="1146"/>
      <c r="W842" s="1146">
        <v>0</v>
      </c>
      <c r="X842" s="1114"/>
      <c r="Y842" s="1146">
        <v>0</v>
      </c>
      <c r="Z842" s="2114">
        <f>C842-'Blocking-Step2'!C842</f>
        <v>0</v>
      </c>
      <c r="AA842" s="2114">
        <f>D842-'Blocking-Step2'!D842</f>
        <v>0</v>
      </c>
      <c r="AC842" s="2114">
        <f>F842-'Blocking-Step2'!F842</f>
        <v>0</v>
      </c>
      <c r="AE842" s="2114">
        <f>H842-'Blocking-Step2'!H842</f>
        <v>0</v>
      </c>
      <c r="AF842" s="2114">
        <f>I842-'Blocking-Step2'!I842</f>
        <v>0</v>
      </c>
      <c r="AH842" s="2136">
        <f>K842-'Blocking-Step2'!K842</f>
        <v>0</v>
      </c>
      <c r="AJ842" s="2136">
        <f>M842-'Blocking-Step2'!M842</f>
        <v>0</v>
      </c>
      <c r="AL842" s="2136">
        <f>O842-'Blocking-Step2'!O842</f>
        <v>0</v>
      </c>
      <c r="AN842" s="2137">
        <f>Q842-'Blocking-Step2'!Q842</f>
        <v>0</v>
      </c>
      <c r="AP842" s="2127">
        <f>S842-'Blocking-Step2'!S842</f>
        <v>0</v>
      </c>
      <c r="AR842" s="2127">
        <f>U842-'Blocking-Step2'!U842</f>
        <v>0</v>
      </c>
      <c r="AT842" s="2127">
        <f>W842-'Blocking-Step2'!W842</f>
        <v>0</v>
      </c>
      <c r="AV842" s="2128">
        <f>Y842-'Blocking-Step2'!Y842</f>
        <v>0</v>
      </c>
    </row>
    <row r="843" spans="1:48">
      <c r="A843" s="1116" t="s">
        <v>1362</v>
      </c>
      <c r="C843" s="1105">
        <v>3253739.3356775618</v>
      </c>
      <c r="D843" s="1105">
        <v>10344290.948182104</v>
      </c>
      <c r="F843" s="1106">
        <v>3.8127</v>
      </c>
      <c r="G843" s="1921" t="s">
        <v>495</v>
      </c>
      <c r="H843" s="1146">
        <v>124055</v>
      </c>
      <c r="I843" s="1146">
        <v>394397</v>
      </c>
      <c r="K843" s="1106"/>
      <c r="L843" s="1921"/>
      <c r="M843" s="1106"/>
      <c r="N843" s="1921"/>
      <c r="O843" s="1106"/>
      <c r="P843" s="1921"/>
      <c r="Q843" s="1106"/>
      <c r="R843" s="1921"/>
      <c r="S843" s="1648"/>
      <c r="T843" s="1648"/>
      <c r="U843" s="1648"/>
      <c r="V843" s="1648"/>
      <c r="W843" s="1648"/>
      <c r="X843" s="1648"/>
      <c r="Y843" s="1146"/>
      <c r="Z843" s="2114">
        <f>C843-'Blocking-Step2'!C843</f>
        <v>0</v>
      </c>
      <c r="AA843" s="2114">
        <f>D843-'Blocking-Step2'!D843</f>
        <v>0</v>
      </c>
      <c r="AC843" s="2114">
        <f>F843-'Blocking-Step2'!F843</f>
        <v>0</v>
      </c>
      <c r="AE843" s="2114">
        <f>H843-'Blocking-Step2'!H843</f>
        <v>0</v>
      </c>
      <c r="AF843" s="2114">
        <f>I843-'Blocking-Step2'!I843</f>
        <v>0</v>
      </c>
      <c r="AH843" s="2136">
        <f>K843-'Blocking-Step2'!K843</f>
        <v>0</v>
      </c>
      <c r="AJ843" s="2136">
        <f>M843-'Blocking-Step2'!M843</f>
        <v>0</v>
      </c>
      <c r="AL843" s="2136">
        <f>O843-'Blocking-Step2'!O843</f>
        <v>0</v>
      </c>
      <c r="AN843" s="2137">
        <f>Q843-'Blocking-Step2'!Q843</f>
        <v>0</v>
      </c>
      <c r="AP843" s="2127">
        <f>S843-'Blocking-Step2'!S843</f>
        <v>0</v>
      </c>
      <c r="AR843" s="2127">
        <f>U843-'Blocking-Step2'!U843</f>
        <v>0</v>
      </c>
      <c r="AT843" s="2127">
        <f>W843-'Blocking-Step2'!W843</f>
        <v>0</v>
      </c>
      <c r="AV843" s="2128">
        <f>Y843-'Blocking-Step2'!Y843</f>
        <v>0</v>
      </c>
    </row>
    <row r="844" spans="1:48">
      <c r="A844" s="1116" t="s">
        <v>1363</v>
      </c>
      <c r="C844" s="1105">
        <v>3496874.6612363262</v>
      </c>
      <c r="D844" s="1105">
        <v>13815665.669508683</v>
      </c>
      <c r="F844" s="1106">
        <v>3.5143</v>
      </c>
      <c r="G844" s="1921" t="s">
        <v>495</v>
      </c>
      <c r="H844" s="1146">
        <v>122891</v>
      </c>
      <c r="I844" s="1146">
        <v>485524</v>
      </c>
      <c r="K844" s="1106"/>
      <c r="L844" s="1921"/>
      <c r="M844" s="1106"/>
      <c r="N844" s="1921"/>
      <c r="O844" s="1106"/>
      <c r="P844" s="1921"/>
      <c r="Q844" s="1106"/>
      <c r="R844" s="1921"/>
      <c r="S844" s="1648"/>
      <c r="T844" s="1648"/>
      <c r="U844" s="1648"/>
      <c r="V844" s="1648"/>
      <c r="W844" s="1648"/>
      <c r="X844" s="1648"/>
      <c r="Y844" s="1146"/>
      <c r="Z844" s="2114">
        <f>C844-'Blocking-Step2'!C844</f>
        <v>0</v>
      </c>
      <c r="AA844" s="2114">
        <f>D844-'Blocking-Step2'!D844</f>
        <v>0</v>
      </c>
      <c r="AC844" s="2114">
        <f>F844-'Blocking-Step2'!F844</f>
        <v>0</v>
      </c>
      <c r="AE844" s="2114">
        <f>H844-'Blocking-Step2'!H844</f>
        <v>0</v>
      </c>
      <c r="AF844" s="2114">
        <f>I844-'Blocking-Step2'!I844</f>
        <v>0</v>
      </c>
      <c r="AH844" s="2136">
        <f>K844-'Blocking-Step2'!K844</f>
        <v>0</v>
      </c>
      <c r="AJ844" s="2136">
        <f>M844-'Blocking-Step2'!M844</f>
        <v>0</v>
      </c>
      <c r="AL844" s="2136">
        <f>O844-'Blocking-Step2'!O844</f>
        <v>0</v>
      </c>
      <c r="AN844" s="2137">
        <f>Q844-'Blocking-Step2'!Q844</f>
        <v>0</v>
      </c>
      <c r="AP844" s="2127">
        <f>S844-'Blocking-Step2'!S844</f>
        <v>0</v>
      </c>
      <c r="AR844" s="2127">
        <f>U844-'Blocking-Step2'!U844</f>
        <v>0</v>
      </c>
      <c r="AT844" s="2127">
        <f>W844-'Blocking-Step2'!W844</f>
        <v>0</v>
      </c>
      <c r="AV844" s="2128">
        <f>Y844-'Blocking-Step2'!Y844</f>
        <v>0</v>
      </c>
    </row>
    <row r="845" spans="1:48">
      <c r="A845" s="1116" t="s">
        <v>246</v>
      </c>
      <c r="C845" s="1940">
        <v>20121</v>
      </c>
      <c r="D845" s="1940">
        <v>0</v>
      </c>
      <c r="H845" s="1147">
        <v>2719</v>
      </c>
      <c r="I845" s="1147">
        <v>0</v>
      </c>
      <c r="Y845" s="1147">
        <v>0</v>
      </c>
      <c r="Z845" s="2114">
        <f>C845-'Blocking-Step2'!C845</f>
        <v>0</v>
      </c>
      <c r="AA845" s="2114">
        <f>D845-'Blocking-Step2'!D845</f>
        <v>0</v>
      </c>
      <c r="AC845" s="2114">
        <f>F845-'Blocking-Step2'!F845</f>
        <v>0</v>
      </c>
      <c r="AE845" s="2114">
        <f>H845-'Blocking-Step2'!H845</f>
        <v>0</v>
      </c>
      <c r="AF845" s="2114">
        <f>I845-'Blocking-Step2'!I845</f>
        <v>0</v>
      </c>
      <c r="AH845" s="2136">
        <f>K845-'Blocking-Step2'!K845</f>
        <v>0</v>
      </c>
      <c r="AJ845" s="2136">
        <f>M845-'Blocking-Step2'!M845</f>
        <v>0</v>
      </c>
      <c r="AL845" s="2136">
        <f>O845-'Blocking-Step2'!O845</f>
        <v>0</v>
      </c>
      <c r="AN845" s="2137">
        <f>Q845-'Blocking-Step2'!Q845</f>
        <v>0</v>
      </c>
      <c r="AP845" s="2127">
        <f>S845-'Blocking-Step2'!S845</f>
        <v>0</v>
      </c>
      <c r="AR845" s="2127">
        <f>U845-'Blocking-Step2'!U845</f>
        <v>0</v>
      </c>
      <c r="AT845" s="2127">
        <f>W845-'Blocking-Step2'!W845</f>
        <v>0</v>
      </c>
      <c r="AV845" s="2128">
        <f>Y845-'Blocking-Step2'!Y845</f>
        <v>0</v>
      </c>
    </row>
    <row r="846" spans="1:48">
      <c r="A846" s="1116" t="s">
        <v>1240</v>
      </c>
      <c r="C846" s="1024"/>
      <c r="D846" s="1024"/>
      <c r="F846" s="2076">
        <v>-3.61E-2</v>
      </c>
      <c r="G846" s="617"/>
      <c r="H846" s="1146">
        <v>-20677.033100000001</v>
      </c>
      <c r="I846" s="1146">
        <v>-75118.504499999995</v>
      </c>
      <c r="K846" s="2076"/>
      <c r="L846" s="617"/>
      <c r="M846" s="2076"/>
      <c r="N846" s="617"/>
      <c r="O846" s="2077" t="s">
        <v>2323</v>
      </c>
      <c r="P846" s="617"/>
      <c r="Q846" s="2076">
        <v>-2.76E-2</v>
      </c>
      <c r="R846" s="617"/>
      <c r="S846" s="1114"/>
      <c r="T846" s="1114"/>
      <c r="U846" s="1114"/>
      <c r="V846" s="1114"/>
      <c r="W846" s="1114"/>
      <c r="X846" s="1114"/>
      <c r="Y846" s="1146">
        <v>-56779.299599999998</v>
      </c>
      <c r="Z846" s="2114">
        <f>C846-'Blocking-Step2'!C846</f>
        <v>0</v>
      </c>
      <c r="AA846" s="2114">
        <f>D846-'Blocking-Step2'!D846</f>
        <v>0</v>
      </c>
      <c r="AC846" s="2114">
        <f>F846-'Blocking-Step2'!F846</f>
        <v>0</v>
      </c>
      <c r="AE846" s="2114">
        <f>H846-'Blocking-Step2'!H846</f>
        <v>0</v>
      </c>
      <c r="AF846" s="2114">
        <f>I846-'Blocking-Step2'!I846</f>
        <v>0</v>
      </c>
      <c r="AH846" s="2136">
        <f>K846-'Blocking-Step2'!K846</f>
        <v>0</v>
      </c>
      <c r="AJ846" s="2136">
        <f>M846-'Blocking-Step2'!M846</f>
        <v>0</v>
      </c>
      <c r="AL846" s="2136" t="e">
        <f>O846-'Blocking-Step2'!O846</f>
        <v>#VALUE!</v>
      </c>
      <c r="AN846" s="2137">
        <f>Q846-'Blocking-Step2'!Q846</f>
        <v>0</v>
      </c>
      <c r="AP846" s="2127">
        <f>S846-'Blocking-Step2'!S846</f>
        <v>0</v>
      </c>
      <c r="AR846" s="2127">
        <f>U846-'Blocking-Step2'!U846</f>
        <v>0</v>
      </c>
      <c r="AT846" s="2127">
        <f>W846-'Blocking-Step2'!W846</f>
        <v>0</v>
      </c>
      <c r="AV846" s="2128">
        <f>Y846-'Blocking-Step2'!Y846</f>
        <v>0</v>
      </c>
    </row>
    <row r="847" spans="1:48">
      <c r="A847" s="1116"/>
      <c r="C847" s="1024"/>
      <c r="D847" s="1024"/>
      <c r="F847" s="2076"/>
      <c r="G847" s="617"/>
      <c r="H847" s="1146"/>
      <c r="I847" s="1146"/>
      <c r="K847" s="2076"/>
      <c r="L847" s="617"/>
      <c r="M847" s="2076"/>
      <c r="N847" s="617"/>
      <c r="O847" s="2077" t="s">
        <v>2324</v>
      </c>
      <c r="P847" s="617"/>
      <c r="Q847" s="2076">
        <v>-1.4999999999999999E-2</v>
      </c>
      <c r="R847" s="617"/>
      <c r="S847" s="1114"/>
      <c r="T847" s="1114"/>
      <c r="U847" s="1114"/>
      <c r="V847" s="1114"/>
      <c r="W847" s="1114"/>
      <c r="X847" s="1114"/>
      <c r="Y847" s="1146">
        <v>-30858.314999999999</v>
      </c>
      <c r="Z847" s="2114">
        <f>C847-'Blocking-Step2'!C847</f>
        <v>0</v>
      </c>
      <c r="AA847" s="2114">
        <f>D847-'Blocking-Step2'!D847</f>
        <v>0</v>
      </c>
      <c r="AC847" s="2114">
        <f>F847-'Blocking-Step2'!F847</f>
        <v>0</v>
      </c>
      <c r="AE847" s="2114">
        <f>H847-'Blocking-Step2'!H847</f>
        <v>0</v>
      </c>
      <c r="AF847" s="2114">
        <f>I847-'Blocking-Step2'!I847</f>
        <v>0</v>
      </c>
      <c r="AH847" s="2136">
        <f>K847-'Blocking-Step2'!K847</f>
        <v>0</v>
      </c>
      <c r="AJ847" s="2136">
        <f>M847-'Blocking-Step2'!M847</f>
        <v>0</v>
      </c>
      <c r="AL847" s="2136" t="e">
        <f>O847-'Blocking-Step2'!O847</f>
        <v>#VALUE!</v>
      </c>
      <c r="AN847" s="2137">
        <f>Q847-'Blocking-Step2'!Q847</f>
        <v>0</v>
      </c>
      <c r="AP847" s="2127">
        <f>S847-'Blocking-Step2'!S847</f>
        <v>0</v>
      </c>
      <c r="AR847" s="2127">
        <f>U847-'Blocking-Step2'!U847</f>
        <v>0</v>
      </c>
      <c r="AT847" s="2127">
        <f>W847-'Blocking-Step2'!W847</f>
        <v>0</v>
      </c>
      <c r="AV847" s="2128">
        <f>Y847-'Blocking-Step2'!Y847</f>
        <v>0</v>
      </c>
    </row>
    <row r="848" spans="1:48" ht="16.5" thickBot="1">
      <c r="A848" s="1116" t="s">
        <v>247</v>
      </c>
      <c r="C848" s="1138">
        <v>6770734.9969138876</v>
      </c>
      <c r="D848" s="1138">
        <v>24159956.617690787</v>
      </c>
      <c r="F848" s="1145"/>
      <c r="H848" s="1149">
        <v>669848.9669</v>
      </c>
      <c r="I848" s="1149">
        <v>2419265.4955000002</v>
      </c>
      <c r="K848" s="1145"/>
      <c r="M848" s="1145"/>
      <c r="O848" s="1145"/>
      <c r="Q848" s="1145"/>
      <c r="S848" s="1149">
        <v>457406</v>
      </c>
      <c r="U848" s="1149">
        <v>1496673</v>
      </c>
      <c r="W848" s="1149">
        <v>515739</v>
      </c>
      <c r="Y848" s="1149">
        <v>2469818</v>
      </c>
      <c r="Z848" s="2114">
        <f>C848-'Blocking-Step2'!C848</f>
        <v>0</v>
      </c>
      <c r="AA848" s="2114">
        <f>D848-'Blocking-Step2'!D848</f>
        <v>0</v>
      </c>
      <c r="AC848" s="2114">
        <f>F848-'Blocking-Step2'!F848</f>
        <v>0</v>
      </c>
      <c r="AE848" s="2114">
        <f>H848-'Blocking-Step2'!H848</f>
        <v>0</v>
      </c>
      <c r="AF848" s="2114">
        <f>I848-'Blocking-Step2'!I848</f>
        <v>0</v>
      </c>
      <c r="AH848" s="2136">
        <f>K848-'Blocking-Step2'!K848</f>
        <v>0</v>
      </c>
      <c r="AJ848" s="2136">
        <f>M848-'Blocking-Step2'!M848</f>
        <v>0</v>
      </c>
      <c r="AL848" s="2136">
        <f>O848-'Blocking-Step2'!O848</f>
        <v>0</v>
      </c>
      <c r="AN848" s="2137">
        <f>Q848-'Blocking-Step2'!Q848</f>
        <v>0</v>
      </c>
      <c r="AP848" s="2127">
        <f>S848-'Blocking-Step2'!S848</f>
        <v>-513077</v>
      </c>
      <c r="AR848" s="2127">
        <f>U848-'Blocking-Step2'!U848</f>
        <v>513077</v>
      </c>
      <c r="AT848" s="2127">
        <f>W848-'Blocking-Step2'!W848</f>
        <v>0</v>
      </c>
      <c r="AV848" s="2128">
        <f>Y848-'Blocking-Step2'!Y848</f>
        <v>0</v>
      </c>
    </row>
    <row r="849" spans="1:48" ht="16.5" hidden="1" thickTop="1">
      <c r="Z849" s="2114">
        <f>C849-'Blocking-Step2'!C849</f>
        <v>0</v>
      </c>
      <c r="AA849" s="2114">
        <f>D849-'Blocking-Step2'!D849</f>
        <v>0</v>
      </c>
      <c r="AC849" s="2114">
        <f>F849-'Blocking-Step2'!F849</f>
        <v>0</v>
      </c>
      <c r="AE849" s="2114">
        <f>H849-'Blocking-Step2'!H849</f>
        <v>0</v>
      </c>
      <c r="AF849" s="2114">
        <f>I849-'Blocking-Step2'!I849</f>
        <v>0</v>
      </c>
      <c r="AH849" s="2136">
        <f>K849-'Blocking-Step2'!K849</f>
        <v>0</v>
      </c>
      <c r="AJ849" s="2136">
        <f>M849-'Blocking-Step2'!M849</f>
        <v>0</v>
      </c>
      <c r="AL849" s="2136">
        <f>O849-'Blocking-Step2'!O849</f>
        <v>0</v>
      </c>
      <c r="AN849" s="2137">
        <f>Q849-'Blocking-Step2'!Q849</f>
        <v>0</v>
      </c>
      <c r="AP849" s="2127">
        <f>S849-'Blocking-Step2'!S849</f>
        <v>0</v>
      </c>
      <c r="AR849" s="2127">
        <f>U849-'Blocking-Step2'!U849</f>
        <v>0</v>
      </c>
      <c r="AT849" s="2127">
        <f>W849-'Blocking-Step2'!W849</f>
        <v>0</v>
      </c>
      <c r="AV849" s="2128">
        <f>Y849-'Blocking-Step2'!Y849</f>
        <v>0</v>
      </c>
    </row>
    <row r="850" spans="1:48" ht="16.5" hidden="1" thickTop="1">
      <c r="A850" s="1115" t="s">
        <v>1238</v>
      </c>
      <c r="C850" s="1105"/>
      <c r="D850" s="1105"/>
      <c r="Z850" s="2114">
        <f>C850-'Blocking-Step2'!C850</f>
        <v>0</v>
      </c>
      <c r="AA850" s="2114">
        <f>D850-'Blocking-Step2'!D850</f>
        <v>0</v>
      </c>
      <c r="AC850" s="2114">
        <f>F850-'Blocking-Step2'!F850</f>
        <v>0</v>
      </c>
      <c r="AE850" s="2114">
        <f>H850-'Blocking-Step2'!H850</f>
        <v>0</v>
      </c>
      <c r="AF850" s="2114">
        <f>I850-'Blocking-Step2'!I850</f>
        <v>0</v>
      </c>
      <c r="AH850" s="2136">
        <f>K850-'Blocking-Step2'!K850</f>
        <v>0</v>
      </c>
      <c r="AJ850" s="2136">
        <f>M850-'Blocking-Step2'!M850</f>
        <v>0</v>
      </c>
      <c r="AL850" s="2136">
        <f>O850-'Blocking-Step2'!O850</f>
        <v>0</v>
      </c>
      <c r="AN850" s="2137">
        <f>Q850-'Blocking-Step2'!Q850</f>
        <v>0</v>
      </c>
      <c r="AP850" s="2127">
        <f>S850-'Blocking-Step2'!S850</f>
        <v>0</v>
      </c>
      <c r="AR850" s="2127">
        <f>U850-'Blocking-Step2'!U850</f>
        <v>0</v>
      </c>
      <c r="AT850" s="2127">
        <f>W850-'Blocking-Step2'!W850</f>
        <v>0</v>
      </c>
      <c r="AV850" s="2128">
        <f>Y850-'Blocking-Step2'!Y850</f>
        <v>0</v>
      </c>
    </row>
    <row r="851" spans="1:48" ht="16.5" hidden="1" thickTop="1">
      <c r="A851" s="1116" t="s">
        <v>240</v>
      </c>
      <c r="C851" s="1105">
        <v>215.66666666666669</v>
      </c>
      <c r="D851" s="1105">
        <v>611</v>
      </c>
      <c r="F851" s="1142">
        <v>54</v>
      </c>
      <c r="G851" s="617"/>
      <c r="H851" s="1146">
        <v>11646</v>
      </c>
      <c r="I851" s="1146">
        <v>32994</v>
      </c>
      <c r="K851" s="1142">
        <v>54</v>
      </c>
      <c r="L851" s="617"/>
      <c r="M851" s="1142">
        <v>0</v>
      </c>
      <c r="N851" s="617"/>
      <c r="O851" s="1142">
        <v>0</v>
      </c>
      <c r="P851" s="617"/>
      <c r="Q851" s="1142">
        <v>54</v>
      </c>
      <c r="R851" s="617"/>
      <c r="S851" s="1146">
        <v>32994</v>
      </c>
      <c r="T851" s="1114"/>
      <c r="U851" s="1146">
        <v>0</v>
      </c>
      <c r="V851" s="1114"/>
      <c r="W851" s="1146">
        <v>0</v>
      </c>
      <c r="X851" s="1114"/>
      <c r="Y851" s="1146">
        <v>32994</v>
      </c>
      <c r="Z851" s="2114">
        <f>C851-'Blocking-Step2'!C851</f>
        <v>0</v>
      </c>
      <c r="AA851" s="2114">
        <f>D851-'Blocking-Step2'!D851</f>
        <v>0</v>
      </c>
      <c r="AC851" s="2114">
        <f>F851-'Blocking-Step2'!F851</f>
        <v>0</v>
      </c>
      <c r="AE851" s="2114">
        <f>H851-'Blocking-Step2'!H851</f>
        <v>0</v>
      </c>
      <c r="AF851" s="2114">
        <f>I851-'Blocking-Step2'!I851</f>
        <v>0</v>
      </c>
      <c r="AH851" s="2136">
        <f>K851-'Blocking-Step2'!K851</f>
        <v>0</v>
      </c>
      <c r="AJ851" s="2136">
        <f>M851-'Blocking-Step2'!M851</f>
        <v>0</v>
      </c>
      <c r="AL851" s="2136">
        <f>O851-'Blocking-Step2'!O851</f>
        <v>0</v>
      </c>
      <c r="AN851" s="2137">
        <f>Q851-'Blocking-Step2'!Q851</f>
        <v>0</v>
      </c>
      <c r="AP851" s="2127">
        <f>S851-'Blocking-Step2'!S851</f>
        <v>0</v>
      </c>
      <c r="AR851" s="2127">
        <f>U851-'Blocking-Step2'!U851</f>
        <v>0</v>
      </c>
      <c r="AT851" s="2127">
        <f>W851-'Blocking-Step2'!W851</f>
        <v>0</v>
      </c>
      <c r="AV851" s="2128">
        <f>Y851-'Blocking-Step2'!Y851</f>
        <v>0</v>
      </c>
    </row>
    <row r="852" spans="1:48" ht="16.5" hidden="1" thickTop="1">
      <c r="A852" s="1116" t="s">
        <v>262</v>
      </c>
      <c r="C852" s="1024">
        <v>0</v>
      </c>
      <c r="D852" s="1105">
        <v>0</v>
      </c>
      <c r="F852" s="1142">
        <v>648</v>
      </c>
      <c r="G852" s="617"/>
      <c r="H852" s="1146">
        <v>0</v>
      </c>
      <c r="I852" s="1146">
        <v>0</v>
      </c>
      <c r="K852" s="1142">
        <v>648</v>
      </c>
      <c r="L852" s="617"/>
      <c r="M852" s="1142">
        <v>0</v>
      </c>
      <c r="N852" s="617"/>
      <c r="O852" s="1142">
        <v>0</v>
      </c>
      <c r="P852" s="617"/>
      <c r="Q852" s="1142">
        <v>648</v>
      </c>
      <c r="R852" s="617"/>
      <c r="S852" s="1146">
        <v>0</v>
      </c>
      <c r="T852" s="1114"/>
      <c r="U852" s="1146">
        <v>0</v>
      </c>
      <c r="V852" s="1114"/>
      <c r="W852" s="1146">
        <v>0</v>
      </c>
      <c r="X852" s="1114"/>
      <c r="Y852" s="1146">
        <v>0</v>
      </c>
      <c r="Z852" s="2114">
        <f>C852-'Blocking-Step2'!C852</f>
        <v>0</v>
      </c>
      <c r="AA852" s="2114">
        <f>D852-'Blocking-Step2'!D852</f>
        <v>0</v>
      </c>
      <c r="AC852" s="2114">
        <f>F852-'Blocking-Step2'!F852</f>
        <v>0</v>
      </c>
      <c r="AE852" s="2114">
        <f>H852-'Blocking-Step2'!H852</f>
        <v>0</v>
      </c>
      <c r="AF852" s="2114">
        <f>I852-'Blocking-Step2'!I852</f>
        <v>0</v>
      </c>
      <c r="AH852" s="2136">
        <f>K852-'Blocking-Step2'!K852</f>
        <v>0</v>
      </c>
      <c r="AJ852" s="2136">
        <f>M852-'Blocking-Step2'!M852</f>
        <v>0</v>
      </c>
      <c r="AL852" s="2136">
        <f>O852-'Blocking-Step2'!O852</f>
        <v>0</v>
      </c>
      <c r="AN852" s="2137">
        <f>Q852-'Blocking-Step2'!Q852</f>
        <v>0</v>
      </c>
      <c r="AP852" s="2127">
        <f>S852-'Blocking-Step2'!S852</f>
        <v>0</v>
      </c>
      <c r="AR852" s="2127">
        <f>U852-'Blocking-Step2'!U852</f>
        <v>0</v>
      </c>
      <c r="AT852" s="2127">
        <f>W852-'Blocking-Step2'!W852</f>
        <v>0</v>
      </c>
      <c r="AV852" s="2128">
        <f>Y852-'Blocking-Step2'!Y852</f>
        <v>0</v>
      </c>
    </row>
    <row r="853" spans="1:48" ht="16.5" hidden="1" thickTop="1">
      <c r="A853" s="1116" t="s">
        <v>1236</v>
      </c>
      <c r="C853" s="1105">
        <v>21</v>
      </c>
      <c r="D853" s="1105">
        <v>59</v>
      </c>
      <c r="F853" s="1142">
        <v>2</v>
      </c>
      <c r="G853" s="617"/>
      <c r="H853" s="1146">
        <v>42</v>
      </c>
      <c r="I853" s="1146">
        <v>118</v>
      </c>
      <c r="K853" s="1142">
        <v>2</v>
      </c>
      <c r="L853" s="617"/>
      <c r="M853" s="1142">
        <v>0</v>
      </c>
      <c r="N853" s="617"/>
      <c r="O853" s="1142">
        <v>0</v>
      </c>
      <c r="P853" s="617"/>
      <c r="Q853" s="1142">
        <v>2</v>
      </c>
      <c r="R853" s="617"/>
      <c r="S853" s="1146">
        <v>118</v>
      </c>
      <c r="T853" s="1114"/>
      <c r="U853" s="1146">
        <v>0</v>
      </c>
      <c r="V853" s="1114"/>
      <c r="W853" s="1146">
        <v>0</v>
      </c>
      <c r="X853" s="1114"/>
      <c r="Y853" s="1146">
        <v>118</v>
      </c>
      <c r="Z853" s="2114">
        <f>C853-'Blocking-Step2'!C853</f>
        <v>0</v>
      </c>
      <c r="AA853" s="2114">
        <f>D853-'Blocking-Step2'!D853</f>
        <v>0</v>
      </c>
      <c r="AC853" s="2114">
        <f>F853-'Blocking-Step2'!F853</f>
        <v>0</v>
      </c>
      <c r="AE853" s="2114">
        <f>H853-'Blocking-Step2'!H853</f>
        <v>0</v>
      </c>
      <c r="AF853" s="2114">
        <f>I853-'Blocking-Step2'!I853</f>
        <v>0</v>
      </c>
      <c r="AH853" s="2136">
        <f>K853-'Blocking-Step2'!K853</f>
        <v>0</v>
      </c>
      <c r="AJ853" s="2136">
        <f>M853-'Blocking-Step2'!M853</f>
        <v>0</v>
      </c>
      <c r="AL853" s="2136">
        <f>O853-'Blocking-Step2'!O853</f>
        <v>0</v>
      </c>
      <c r="AN853" s="2137">
        <f>Q853-'Blocking-Step2'!Q853</f>
        <v>0</v>
      </c>
      <c r="AP853" s="2127">
        <f>S853-'Blocking-Step2'!S853</f>
        <v>0</v>
      </c>
      <c r="AR853" s="2127">
        <f>U853-'Blocking-Step2'!U853</f>
        <v>0</v>
      </c>
      <c r="AT853" s="2127">
        <f>W853-'Blocking-Step2'!W853</f>
        <v>0</v>
      </c>
      <c r="AV853" s="2128">
        <f>Y853-'Blocking-Step2'!Y853</f>
        <v>0</v>
      </c>
    </row>
    <row r="854" spans="1:48" ht="16.5" hidden="1" thickTop="1">
      <c r="A854" s="1116" t="s">
        <v>168</v>
      </c>
      <c r="C854" s="1105">
        <v>23596.9975247525</v>
      </c>
      <c r="D854" s="1105">
        <v>94165</v>
      </c>
      <c r="F854" s="1142">
        <v>4.04</v>
      </c>
      <c r="G854" s="617"/>
      <c r="H854" s="1146">
        <v>95332</v>
      </c>
      <c r="I854" s="1146">
        <v>380427</v>
      </c>
      <c r="K854" s="1142">
        <v>4.03</v>
      </c>
      <c r="L854" s="617"/>
      <c r="M854" s="1142">
        <v>0</v>
      </c>
      <c r="N854" s="617"/>
      <c r="O854" s="1142">
        <v>0</v>
      </c>
      <c r="P854" s="617"/>
      <c r="Q854" s="1142">
        <v>4.03</v>
      </c>
      <c r="R854" s="617"/>
      <c r="S854" s="1146">
        <v>379485</v>
      </c>
      <c r="T854" s="1114"/>
      <c r="U854" s="1146">
        <v>0</v>
      </c>
      <c r="V854" s="1114"/>
      <c r="W854" s="1146">
        <v>0</v>
      </c>
      <c r="X854" s="1114"/>
      <c r="Y854" s="1146">
        <v>379485</v>
      </c>
      <c r="Z854" s="2114">
        <f>C854-'Blocking-Step2'!C854</f>
        <v>0</v>
      </c>
      <c r="AA854" s="2114">
        <f>D854-'Blocking-Step2'!D854</f>
        <v>0</v>
      </c>
      <c r="AC854" s="2114">
        <f>F854-'Blocking-Step2'!F854</f>
        <v>0</v>
      </c>
      <c r="AE854" s="2114">
        <f>H854-'Blocking-Step2'!H854</f>
        <v>0</v>
      </c>
      <c r="AF854" s="2114">
        <f>I854-'Blocking-Step2'!I854</f>
        <v>0</v>
      </c>
      <c r="AH854" s="2136">
        <f>K854-'Blocking-Step2'!K854</f>
        <v>0</v>
      </c>
      <c r="AJ854" s="2136">
        <f>M854-'Blocking-Step2'!M854</f>
        <v>0</v>
      </c>
      <c r="AL854" s="2136">
        <f>O854-'Blocking-Step2'!O854</f>
        <v>0</v>
      </c>
      <c r="AN854" s="2137">
        <f>Q854-'Blocking-Step2'!Q854</f>
        <v>0</v>
      </c>
      <c r="AP854" s="2127">
        <f>S854-'Blocking-Step2'!S854</f>
        <v>0</v>
      </c>
      <c r="AR854" s="2127">
        <f>U854-'Blocking-Step2'!U854</f>
        <v>0</v>
      </c>
      <c r="AT854" s="2127">
        <f>W854-'Blocking-Step2'!W854</f>
        <v>0</v>
      </c>
      <c r="AV854" s="2128">
        <f>Y854-'Blocking-Step2'!Y854</f>
        <v>0</v>
      </c>
    </row>
    <row r="855" spans="1:48" ht="16.5" hidden="1" thickTop="1">
      <c r="A855" s="1116" t="s">
        <v>1645</v>
      </c>
      <c r="C855" s="1105">
        <v>10167.939131581556</v>
      </c>
      <c r="D855" s="1105">
        <v>40576</v>
      </c>
      <c r="F855" s="1142"/>
      <c r="G855" s="617"/>
      <c r="H855" s="1146"/>
      <c r="I855" s="1146"/>
      <c r="K855" s="1142">
        <v>0.51</v>
      </c>
      <c r="L855" s="617"/>
      <c r="M855" s="1142">
        <v>12.89</v>
      </c>
      <c r="N855" s="617"/>
      <c r="O855" s="1142">
        <v>0</v>
      </c>
      <c r="P855" s="617"/>
      <c r="Q855" s="1142">
        <v>13.4</v>
      </c>
      <c r="R855" s="617"/>
      <c r="S855" s="1146">
        <v>20694</v>
      </c>
      <c r="T855" s="1146"/>
      <c r="U855" s="1146">
        <v>523025</v>
      </c>
      <c r="V855" s="1146"/>
      <c r="W855" s="1146">
        <v>0</v>
      </c>
      <c r="X855" s="1114"/>
      <c r="Y855" s="1146">
        <v>543718</v>
      </c>
      <c r="Z855" s="2114">
        <f>C855-'Blocking-Step2'!C855</f>
        <v>0</v>
      </c>
      <c r="AA855" s="2114">
        <f>D855-'Blocking-Step2'!D855</f>
        <v>0</v>
      </c>
      <c r="AC855" s="2114">
        <f>F855-'Blocking-Step2'!F855</f>
        <v>0</v>
      </c>
      <c r="AE855" s="2114">
        <f>H855-'Blocking-Step2'!H855</f>
        <v>0</v>
      </c>
      <c r="AF855" s="2114">
        <f>I855-'Blocking-Step2'!I855</f>
        <v>0</v>
      </c>
      <c r="AH855" s="2136">
        <f>K855-'Blocking-Step2'!K855</f>
        <v>-5.83</v>
      </c>
      <c r="AJ855" s="2136">
        <f>M855-'Blocking-Step2'!M855</f>
        <v>5.83</v>
      </c>
      <c r="AL855" s="2136">
        <f>O855-'Blocking-Step2'!O855</f>
        <v>0</v>
      </c>
      <c r="AN855" s="2137">
        <f>Q855-'Blocking-Step2'!Q855</f>
        <v>0</v>
      </c>
      <c r="AP855" s="2127">
        <f>S855-'Blocking-Step2'!S855</f>
        <v>-236558</v>
      </c>
      <c r="AR855" s="2127">
        <f>U855-'Blocking-Step2'!U855</f>
        <v>236558</v>
      </c>
      <c r="AT855" s="2127">
        <f>W855-'Blocking-Step2'!W855</f>
        <v>0</v>
      </c>
      <c r="AV855" s="2128">
        <f>Y855-'Blocking-Step2'!Y855</f>
        <v>0</v>
      </c>
    </row>
    <row r="856" spans="1:48" ht="16.5" hidden="1" thickTop="1">
      <c r="A856" s="1116" t="s">
        <v>1646</v>
      </c>
      <c r="C856" s="1105">
        <v>13429.063122904536</v>
      </c>
      <c r="D856" s="1105">
        <v>53589</v>
      </c>
      <c r="F856" s="1142"/>
      <c r="G856" s="617"/>
      <c r="H856" s="1146"/>
      <c r="I856" s="1146"/>
      <c r="K856" s="1142">
        <v>0.45</v>
      </c>
      <c r="L856" s="617"/>
      <c r="M856" s="1142">
        <v>11.41</v>
      </c>
      <c r="N856" s="617"/>
      <c r="O856" s="1142">
        <v>0</v>
      </c>
      <c r="P856" s="617"/>
      <c r="Q856" s="1142">
        <v>11.86</v>
      </c>
      <c r="R856" s="617"/>
      <c r="S856" s="1146">
        <v>24115</v>
      </c>
      <c r="T856" s="1146"/>
      <c r="U856" s="1146">
        <v>611450</v>
      </c>
      <c r="V856" s="1146"/>
      <c r="W856" s="1146">
        <v>0</v>
      </c>
      <c r="X856" s="1114"/>
      <c r="Y856" s="1146">
        <v>635566</v>
      </c>
      <c r="Z856" s="2114">
        <f>C856-'Blocking-Step2'!C856</f>
        <v>0</v>
      </c>
      <c r="AA856" s="2114">
        <f>D856-'Blocking-Step2'!D856</f>
        <v>0</v>
      </c>
      <c r="AC856" s="2114">
        <f>F856-'Blocking-Step2'!F856</f>
        <v>0</v>
      </c>
      <c r="AE856" s="2114">
        <f>H856-'Blocking-Step2'!H856</f>
        <v>0</v>
      </c>
      <c r="AF856" s="2114">
        <f>I856-'Blocking-Step2'!I856</f>
        <v>0</v>
      </c>
      <c r="AH856" s="2136">
        <f>K856-'Blocking-Step2'!K856</f>
        <v>-5.16</v>
      </c>
      <c r="AJ856" s="2136">
        <f>M856-'Blocking-Step2'!M856</f>
        <v>5.160000000000001</v>
      </c>
      <c r="AL856" s="2136">
        <f>O856-'Blocking-Step2'!O856</f>
        <v>0</v>
      </c>
      <c r="AN856" s="2137">
        <f>Q856-'Blocking-Step2'!Q856</f>
        <v>0</v>
      </c>
      <c r="AP856" s="2127">
        <f>S856-'Blocking-Step2'!S856</f>
        <v>-276519</v>
      </c>
      <c r="AR856" s="2127">
        <f>U856-'Blocking-Step2'!U856</f>
        <v>276519</v>
      </c>
      <c r="AT856" s="2127">
        <f>W856-'Blocking-Step2'!W856</f>
        <v>0</v>
      </c>
      <c r="AV856" s="2128">
        <f>Y856-'Blocking-Step2'!Y856</f>
        <v>0</v>
      </c>
    </row>
    <row r="857" spans="1:48" ht="16.5" hidden="1" thickTop="1">
      <c r="A857" s="1116" t="s">
        <v>1647</v>
      </c>
      <c r="C857" s="1105">
        <v>2502935.8660099008</v>
      </c>
      <c r="D857" s="1105">
        <v>8593598.8227068186</v>
      </c>
      <c r="F857" s="1106"/>
      <c r="G857" s="1921"/>
      <c r="H857" s="1146"/>
      <c r="I857" s="1146"/>
      <c r="K857" s="1106">
        <v>0</v>
      </c>
      <c r="L857" s="1921" t="s">
        <v>495</v>
      </c>
      <c r="M857" s="1106">
        <v>1.6192</v>
      </c>
      <c r="N857" s="1921" t="s">
        <v>495</v>
      </c>
      <c r="O857" s="1106">
        <v>2.305570240802</v>
      </c>
      <c r="P857" s="1921" t="s">
        <v>495</v>
      </c>
      <c r="Q857" s="1106">
        <v>3.9247702408020002</v>
      </c>
      <c r="R857" s="1921" t="s">
        <v>495</v>
      </c>
      <c r="S857" s="1146">
        <v>0</v>
      </c>
      <c r="T857" s="1146"/>
      <c r="U857" s="1146">
        <v>139148</v>
      </c>
      <c r="V857" s="1146"/>
      <c r="W857" s="1146">
        <v>198131</v>
      </c>
      <c r="X857" s="1648"/>
      <c r="Y857" s="1146">
        <v>337279</v>
      </c>
      <c r="Z857" s="2114">
        <f>C857-'Blocking-Step2'!C857</f>
        <v>0</v>
      </c>
      <c r="AA857" s="2114">
        <f>D857-'Blocking-Step2'!D857</f>
        <v>0</v>
      </c>
      <c r="AC857" s="2114">
        <f>F857-'Blocking-Step2'!F857</f>
        <v>0</v>
      </c>
      <c r="AE857" s="2114">
        <f>H857-'Blocking-Step2'!H857</f>
        <v>0</v>
      </c>
      <c r="AF857" s="2114">
        <f>I857-'Blocking-Step2'!I857</f>
        <v>0</v>
      </c>
      <c r="AH857" s="2136">
        <f>K857-'Blocking-Step2'!K857</f>
        <v>0</v>
      </c>
      <c r="AJ857" s="2136">
        <f>M857-'Blocking-Step2'!M857</f>
        <v>0</v>
      </c>
      <c r="AL857" s="2136">
        <f>O857-'Blocking-Step2'!O857</f>
        <v>0</v>
      </c>
      <c r="AN857" s="2137">
        <f>Q857-'Blocking-Step2'!Q857</f>
        <v>0</v>
      </c>
      <c r="AP857" s="2127">
        <f>S857-'Blocking-Step2'!S857</f>
        <v>0</v>
      </c>
      <c r="AR857" s="2127">
        <f>U857-'Blocking-Step2'!U857</f>
        <v>0</v>
      </c>
      <c r="AT857" s="2127">
        <f>W857-'Blocking-Step2'!W857</f>
        <v>0</v>
      </c>
      <c r="AV857" s="2128">
        <f>Y857-'Blocking-Step2'!Y857</f>
        <v>0</v>
      </c>
    </row>
    <row r="858" spans="1:48" ht="16.5" hidden="1" thickTop="1">
      <c r="A858" s="1116" t="s">
        <v>1648</v>
      </c>
      <c r="C858" s="1105">
        <v>3519434.1309039872</v>
      </c>
      <c r="D858" s="1105">
        <v>15566357.794983968</v>
      </c>
      <c r="F858" s="1106"/>
      <c r="G858" s="1921"/>
      <c r="H858" s="1146"/>
      <c r="I858" s="1146"/>
      <c r="K858" s="1106">
        <v>0</v>
      </c>
      <c r="L858" s="1921" t="s">
        <v>495</v>
      </c>
      <c r="M858" s="1106">
        <v>1.4329000000000001</v>
      </c>
      <c r="N858" s="1921" t="s">
        <v>495</v>
      </c>
      <c r="O858" s="1106">
        <v>2.0403480007099999</v>
      </c>
      <c r="P858" s="1921" t="s">
        <v>495</v>
      </c>
      <c r="Q858" s="1106">
        <v>3.4732480007099999</v>
      </c>
      <c r="R858" s="1921" t="s">
        <v>495</v>
      </c>
      <c r="S858" s="1146">
        <v>0</v>
      </c>
      <c r="T858" s="1146"/>
      <c r="U858" s="1146">
        <v>223050</v>
      </c>
      <c r="V858" s="1146"/>
      <c r="W858" s="1146">
        <v>317608</v>
      </c>
      <c r="X858" s="1648"/>
      <c r="Y858" s="1146">
        <v>540658</v>
      </c>
      <c r="Z858" s="2114">
        <f>C858-'Blocking-Step2'!C858</f>
        <v>0</v>
      </c>
      <c r="AA858" s="2114">
        <f>D858-'Blocking-Step2'!D858</f>
        <v>0</v>
      </c>
      <c r="AC858" s="2114">
        <f>F858-'Blocking-Step2'!F858</f>
        <v>0</v>
      </c>
      <c r="AE858" s="2114">
        <f>H858-'Blocking-Step2'!H858</f>
        <v>0</v>
      </c>
      <c r="AF858" s="2114">
        <f>I858-'Blocking-Step2'!I858</f>
        <v>0</v>
      </c>
      <c r="AH858" s="2136">
        <f>K858-'Blocking-Step2'!K858</f>
        <v>0</v>
      </c>
      <c r="AJ858" s="2136">
        <f>M858-'Blocking-Step2'!M858</f>
        <v>0</v>
      </c>
      <c r="AL858" s="2136">
        <f>O858-'Blocking-Step2'!O858</f>
        <v>0</v>
      </c>
      <c r="AN858" s="2137">
        <f>Q858-'Blocking-Step2'!Q858</f>
        <v>0</v>
      </c>
      <c r="AP858" s="2127">
        <f>S858-'Blocking-Step2'!S858</f>
        <v>0</v>
      </c>
      <c r="AR858" s="2127">
        <f>U858-'Blocking-Step2'!U858</f>
        <v>0</v>
      </c>
      <c r="AT858" s="2127">
        <f>W858-'Blocking-Step2'!W858</f>
        <v>0</v>
      </c>
      <c r="AV858" s="2128">
        <f>Y858-'Blocking-Step2'!Y858</f>
        <v>0</v>
      </c>
    </row>
    <row r="859" spans="1:48" ht="16.5" hidden="1" thickTop="1">
      <c r="A859" s="1116" t="s">
        <v>196</v>
      </c>
      <c r="C859" s="1105">
        <v>11724.73461012312</v>
      </c>
      <c r="D859" s="1105">
        <v>46788</v>
      </c>
      <c r="F859" s="1142">
        <v>14.62</v>
      </c>
      <c r="G859" s="617"/>
      <c r="H859" s="1146">
        <v>171416</v>
      </c>
      <c r="I859" s="1146">
        <v>684041</v>
      </c>
      <c r="K859" s="1142"/>
      <c r="L859" s="617"/>
      <c r="M859" s="1142"/>
      <c r="N859" s="617"/>
      <c r="O859" s="1142"/>
      <c r="P859" s="617"/>
      <c r="Q859" s="1142"/>
      <c r="R859" s="617"/>
      <c r="S859" s="1146"/>
      <c r="T859" s="1114"/>
      <c r="U859" s="1146"/>
      <c r="V859" s="1114"/>
      <c r="W859" s="1146"/>
      <c r="X859" s="1114"/>
      <c r="Y859" s="1146"/>
      <c r="Z859" s="2114">
        <f>C859-'Blocking-Step2'!C859</f>
        <v>0</v>
      </c>
      <c r="AA859" s="2114">
        <f>D859-'Blocking-Step2'!D859</f>
        <v>0</v>
      </c>
      <c r="AC859" s="2114">
        <f>F859-'Blocking-Step2'!F859</f>
        <v>0</v>
      </c>
      <c r="AE859" s="2114">
        <f>H859-'Blocking-Step2'!H859</f>
        <v>0</v>
      </c>
      <c r="AF859" s="2114">
        <f>I859-'Blocking-Step2'!I859</f>
        <v>0</v>
      </c>
      <c r="AH859" s="2136">
        <f>K859-'Blocking-Step2'!K859</f>
        <v>0</v>
      </c>
      <c r="AJ859" s="2136">
        <f>M859-'Blocking-Step2'!M859</f>
        <v>0</v>
      </c>
      <c r="AL859" s="2136">
        <f>O859-'Blocking-Step2'!O859</f>
        <v>0</v>
      </c>
      <c r="AN859" s="2137">
        <f>Q859-'Blocking-Step2'!Q859</f>
        <v>0</v>
      </c>
      <c r="AP859" s="2127">
        <f>S859-'Blocking-Step2'!S859</f>
        <v>0</v>
      </c>
      <c r="AR859" s="2127">
        <f>U859-'Blocking-Step2'!U859</f>
        <v>0</v>
      </c>
      <c r="AT859" s="2127">
        <f>W859-'Blocking-Step2'!W859</f>
        <v>0</v>
      </c>
      <c r="AV859" s="2128">
        <f>Y859-'Blocking-Step2'!Y859</f>
        <v>0</v>
      </c>
    </row>
    <row r="860" spans="1:48" ht="16.5" hidden="1" thickTop="1">
      <c r="A860" s="1116" t="s">
        <v>161</v>
      </c>
      <c r="C860" s="1105">
        <v>11872.26764436297</v>
      </c>
      <c r="D860" s="1105">
        <v>47377</v>
      </c>
      <c r="F860" s="1142">
        <v>10.91</v>
      </c>
      <c r="G860" s="617"/>
      <c r="H860" s="1146">
        <v>129526</v>
      </c>
      <c r="I860" s="1146">
        <v>516883</v>
      </c>
      <c r="K860" s="1142"/>
      <c r="L860" s="617"/>
      <c r="M860" s="1142"/>
      <c r="N860" s="617"/>
      <c r="O860" s="1142"/>
      <c r="P860" s="617"/>
      <c r="Q860" s="1142"/>
      <c r="R860" s="617"/>
      <c r="S860" s="1146"/>
      <c r="T860" s="1114"/>
      <c r="U860" s="1146"/>
      <c r="V860" s="1114"/>
      <c r="W860" s="1146"/>
      <c r="X860" s="1114"/>
      <c r="Y860" s="1146"/>
      <c r="Z860" s="2114">
        <f>C860-'Blocking-Step2'!C860</f>
        <v>0</v>
      </c>
      <c r="AA860" s="2114">
        <f>D860-'Blocking-Step2'!D860</f>
        <v>0</v>
      </c>
      <c r="AC860" s="2114">
        <f>F860-'Blocking-Step2'!F860</f>
        <v>0</v>
      </c>
      <c r="AE860" s="2114">
        <f>H860-'Blocking-Step2'!H860</f>
        <v>0</v>
      </c>
      <c r="AF860" s="2114">
        <f>I860-'Blocking-Step2'!I860</f>
        <v>0</v>
      </c>
      <c r="AH860" s="2136">
        <f>K860-'Blocking-Step2'!K860</f>
        <v>0</v>
      </c>
      <c r="AJ860" s="2136">
        <f>M860-'Blocking-Step2'!M860</f>
        <v>0</v>
      </c>
      <c r="AL860" s="2136">
        <f>O860-'Blocking-Step2'!O860</f>
        <v>0</v>
      </c>
      <c r="AN860" s="2137">
        <f>Q860-'Blocking-Step2'!Q860</f>
        <v>0</v>
      </c>
      <c r="AP860" s="2127">
        <f>S860-'Blocking-Step2'!S860</f>
        <v>0</v>
      </c>
      <c r="AR860" s="2127">
        <f>U860-'Blocking-Step2'!U860</f>
        <v>0</v>
      </c>
      <c r="AT860" s="2127">
        <f>W860-'Blocking-Step2'!W860</f>
        <v>0</v>
      </c>
      <c r="AV860" s="2128">
        <f>Y860-'Blocking-Step2'!Y860</f>
        <v>0</v>
      </c>
    </row>
    <row r="861" spans="1:48" ht="16.5" hidden="1" thickTop="1">
      <c r="A861" s="1116" t="s">
        <v>261</v>
      </c>
      <c r="C861" s="1105">
        <v>0</v>
      </c>
      <c r="D861" s="1105">
        <v>0</v>
      </c>
      <c r="F861" s="1142">
        <v>-0.96</v>
      </c>
      <c r="G861" s="617"/>
      <c r="H861" s="1146">
        <v>0</v>
      </c>
      <c r="I861" s="1146">
        <v>0</v>
      </c>
      <c r="K861" s="1142">
        <v>-0.96</v>
      </c>
      <c r="L861" s="617"/>
      <c r="M861" s="1142">
        <v>0</v>
      </c>
      <c r="N861" s="617"/>
      <c r="O861" s="1142">
        <v>0</v>
      </c>
      <c r="P861" s="617"/>
      <c r="Q861" s="1142">
        <v>-0.96</v>
      </c>
      <c r="R861" s="617"/>
      <c r="S861" s="1146">
        <v>0</v>
      </c>
      <c r="T861" s="1146"/>
      <c r="U861" s="1146">
        <v>0</v>
      </c>
      <c r="V861" s="1146"/>
      <c r="W861" s="1146">
        <v>0</v>
      </c>
      <c r="X861" s="1114"/>
      <c r="Y861" s="1146">
        <v>0</v>
      </c>
      <c r="Z861" s="2114">
        <f>C861-'Blocking-Step2'!C861</f>
        <v>0</v>
      </c>
      <c r="AA861" s="2114">
        <f>D861-'Blocking-Step2'!D861</f>
        <v>0</v>
      </c>
      <c r="AC861" s="2114">
        <f>F861-'Blocking-Step2'!F861</f>
        <v>0</v>
      </c>
      <c r="AE861" s="2114">
        <f>H861-'Blocking-Step2'!H861</f>
        <v>0</v>
      </c>
      <c r="AF861" s="2114">
        <f>I861-'Blocking-Step2'!I861</f>
        <v>0</v>
      </c>
      <c r="AH861" s="2136">
        <f>K861-'Blocking-Step2'!K861</f>
        <v>0</v>
      </c>
      <c r="AJ861" s="2136">
        <f>M861-'Blocking-Step2'!M861</f>
        <v>0</v>
      </c>
      <c r="AL861" s="2136">
        <f>O861-'Blocking-Step2'!O861</f>
        <v>0</v>
      </c>
      <c r="AN861" s="2137">
        <f>Q861-'Blocking-Step2'!Q861</f>
        <v>0</v>
      </c>
      <c r="AP861" s="2127">
        <f>S861-'Blocking-Step2'!S861</f>
        <v>0</v>
      </c>
      <c r="AR861" s="2127">
        <f>U861-'Blocking-Step2'!U861</f>
        <v>0</v>
      </c>
      <c r="AT861" s="2127">
        <f>W861-'Blocking-Step2'!W861</f>
        <v>0</v>
      </c>
      <c r="AV861" s="2128">
        <f>Y861-'Blocking-Step2'!Y861</f>
        <v>0</v>
      </c>
    </row>
    <row r="862" spans="1:48" ht="16.5" hidden="1" thickTop="1">
      <c r="A862" s="1116" t="s">
        <v>1362</v>
      </c>
      <c r="C862" s="1105">
        <v>2839373.3356775618</v>
      </c>
      <c r="D862" s="1105">
        <v>10344290.948182104</v>
      </c>
      <c r="F862" s="1106">
        <v>3.8127</v>
      </c>
      <c r="G862" s="1921" t="s">
        <v>495</v>
      </c>
      <c r="H862" s="1146">
        <v>108257</v>
      </c>
      <c r="I862" s="1146">
        <v>394397</v>
      </c>
      <c r="K862" s="1106"/>
      <c r="L862" s="1921"/>
      <c r="M862" s="1106"/>
      <c r="N862" s="1921"/>
      <c r="O862" s="1106"/>
      <c r="P862" s="1921"/>
      <c r="Q862" s="1106"/>
      <c r="R862" s="1921"/>
      <c r="S862" s="1648"/>
      <c r="T862" s="1648"/>
      <c r="U862" s="1648"/>
      <c r="V862" s="1648"/>
      <c r="W862" s="1648"/>
      <c r="X862" s="1648"/>
      <c r="Y862" s="1146"/>
      <c r="Z862" s="2114">
        <f>C862-'Blocking-Step2'!C862</f>
        <v>0</v>
      </c>
      <c r="AA862" s="2114">
        <f>D862-'Blocking-Step2'!D862</f>
        <v>0</v>
      </c>
      <c r="AC862" s="2114">
        <f>F862-'Blocking-Step2'!F862</f>
        <v>0</v>
      </c>
      <c r="AE862" s="2114">
        <f>H862-'Blocking-Step2'!H862</f>
        <v>0</v>
      </c>
      <c r="AF862" s="2114">
        <f>I862-'Blocking-Step2'!I862</f>
        <v>0</v>
      </c>
      <c r="AH862" s="2136">
        <f>K862-'Blocking-Step2'!K862</f>
        <v>0</v>
      </c>
      <c r="AJ862" s="2136">
        <f>M862-'Blocking-Step2'!M862</f>
        <v>0</v>
      </c>
      <c r="AL862" s="2136">
        <f>O862-'Blocking-Step2'!O862</f>
        <v>0</v>
      </c>
      <c r="AN862" s="2137">
        <f>Q862-'Blocking-Step2'!Q862</f>
        <v>0</v>
      </c>
      <c r="AP862" s="2127">
        <f>S862-'Blocking-Step2'!S862</f>
        <v>0</v>
      </c>
      <c r="AR862" s="2127">
        <f>U862-'Blocking-Step2'!U862</f>
        <v>0</v>
      </c>
      <c r="AT862" s="2127">
        <f>W862-'Blocking-Step2'!W862</f>
        <v>0</v>
      </c>
      <c r="AV862" s="2128">
        <f>Y862-'Blocking-Step2'!Y862</f>
        <v>0</v>
      </c>
    </row>
    <row r="863" spans="1:48" ht="16.5" hidden="1" thickTop="1">
      <c r="A863" s="1116" t="s">
        <v>1363</v>
      </c>
      <c r="C863" s="1105">
        <v>3182996.6612363262</v>
      </c>
      <c r="D863" s="1105">
        <v>13815665.669508683</v>
      </c>
      <c r="F863" s="1106">
        <v>3.5143</v>
      </c>
      <c r="G863" s="1921" t="s">
        <v>495</v>
      </c>
      <c r="H863" s="1146">
        <v>111860</v>
      </c>
      <c r="I863" s="1146">
        <v>485524</v>
      </c>
      <c r="K863" s="1106"/>
      <c r="L863" s="1921"/>
      <c r="M863" s="1106"/>
      <c r="N863" s="1921"/>
      <c r="O863" s="1106"/>
      <c r="P863" s="1921"/>
      <c r="Q863" s="1106"/>
      <c r="R863" s="1921"/>
      <c r="S863" s="1648"/>
      <c r="T863" s="1648"/>
      <c r="U863" s="1648"/>
      <c r="V863" s="1648"/>
      <c r="W863" s="1648"/>
      <c r="X863" s="1648"/>
      <c r="Y863" s="1146"/>
      <c r="Z863" s="2114">
        <f>C863-'Blocking-Step2'!C863</f>
        <v>0</v>
      </c>
      <c r="AA863" s="2114">
        <f>D863-'Blocking-Step2'!D863</f>
        <v>0</v>
      </c>
      <c r="AC863" s="2114">
        <f>F863-'Blocking-Step2'!F863</f>
        <v>0</v>
      </c>
      <c r="AE863" s="2114">
        <f>H863-'Blocking-Step2'!H863</f>
        <v>0</v>
      </c>
      <c r="AF863" s="2114">
        <f>I863-'Blocking-Step2'!I863</f>
        <v>0</v>
      </c>
      <c r="AH863" s="2136">
        <f>K863-'Blocking-Step2'!K863</f>
        <v>0</v>
      </c>
      <c r="AJ863" s="2136">
        <f>M863-'Blocking-Step2'!M863</f>
        <v>0</v>
      </c>
      <c r="AL863" s="2136">
        <f>O863-'Blocking-Step2'!O863</f>
        <v>0</v>
      </c>
      <c r="AN863" s="2137">
        <f>Q863-'Blocking-Step2'!Q863</f>
        <v>0</v>
      </c>
      <c r="AP863" s="2127">
        <f>S863-'Blocking-Step2'!S863</f>
        <v>0</v>
      </c>
      <c r="AR863" s="2127">
        <f>U863-'Blocking-Step2'!U863</f>
        <v>0</v>
      </c>
      <c r="AT863" s="2127">
        <f>W863-'Blocking-Step2'!W863</f>
        <v>0</v>
      </c>
      <c r="AV863" s="2128">
        <f>Y863-'Blocking-Step2'!Y863</f>
        <v>0</v>
      </c>
    </row>
    <row r="864" spans="1:48" ht="16.5" hidden="1" thickTop="1">
      <c r="A864" s="1116" t="s">
        <v>246</v>
      </c>
      <c r="C864" s="1940">
        <v>31926</v>
      </c>
      <c r="D864" s="1940">
        <v>0</v>
      </c>
      <c r="H864" s="1147">
        <v>3599</v>
      </c>
      <c r="I864" s="1147">
        <v>0</v>
      </c>
      <c r="Y864" s="1147">
        <v>0</v>
      </c>
      <c r="Z864" s="2114">
        <f>C864-'Blocking-Step2'!C864</f>
        <v>0</v>
      </c>
      <c r="AA864" s="2114">
        <f>D864-'Blocking-Step2'!D864</f>
        <v>0</v>
      </c>
      <c r="AC864" s="2114">
        <f>F864-'Blocking-Step2'!F864</f>
        <v>0</v>
      </c>
      <c r="AE864" s="2114">
        <f>H864-'Blocking-Step2'!H864</f>
        <v>0</v>
      </c>
      <c r="AF864" s="2114">
        <f>I864-'Blocking-Step2'!I864</f>
        <v>0</v>
      </c>
      <c r="AH864" s="2136">
        <f>K864-'Blocking-Step2'!K864</f>
        <v>0</v>
      </c>
      <c r="AJ864" s="2136">
        <f>M864-'Blocking-Step2'!M864</f>
        <v>0</v>
      </c>
      <c r="AL864" s="2136">
        <f>O864-'Blocking-Step2'!O864</f>
        <v>0</v>
      </c>
      <c r="AN864" s="2137">
        <f>Q864-'Blocking-Step2'!Q864</f>
        <v>0</v>
      </c>
      <c r="AP864" s="2127">
        <f>S864-'Blocking-Step2'!S864</f>
        <v>0</v>
      </c>
      <c r="AR864" s="2127">
        <f>U864-'Blocking-Step2'!U864</f>
        <v>0</v>
      </c>
      <c r="AT864" s="2127">
        <f>W864-'Blocking-Step2'!W864</f>
        <v>0</v>
      </c>
      <c r="AV864" s="2128">
        <f>Y864-'Blocking-Step2'!Y864</f>
        <v>0</v>
      </c>
    </row>
    <row r="865" spans="1:48" ht="16.5" hidden="1" thickTop="1">
      <c r="A865" s="1116" t="s">
        <v>1240</v>
      </c>
      <c r="C865" s="1024"/>
      <c r="D865" s="1024"/>
      <c r="F865" s="2076">
        <v>-3.61E-2</v>
      </c>
      <c r="G865" s="617"/>
      <c r="H865" s="1146">
        <v>-18810.229899999998</v>
      </c>
      <c r="I865" s="1146">
        <v>-75118.504499999995</v>
      </c>
      <c r="K865" s="2076"/>
      <c r="L865" s="617"/>
      <c r="M865" s="2076"/>
      <c r="N865" s="617"/>
      <c r="O865" s="2077" t="s">
        <v>2323</v>
      </c>
      <c r="P865" s="617"/>
      <c r="Q865" s="2076">
        <v>-2.76E-2</v>
      </c>
      <c r="R865" s="617"/>
      <c r="S865" s="1114"/>
      <c r="T865" s="1114"/>
      <c r="U865" s="1114"/>
      <c r="V865" s="1114"/>
      <c r="W865" s="1114"/>
      <c r="X865" s="1114"/>
      <c r="Y865" s="1146">
        <v>-56779.299599999998</v>
      </c>
      <c r="Z865" s="2114">
        <f>C865-'Blocking-Step2'!C865</f>
        <v>0</v>
      </c>
      <c r="AA865" s="2114">
        <f>D865-'Blocking-Step2'!D865</f>
        <v>0</v>
      </c>
      <c r="AC865" s="2114">
        <f>F865-'Blocking-Step2'!F865</f>
        <v>0</v>
      </c>
      <c r="AE865" s="2114">
        <f>H865-'Blocking-Step2'!H865</f>
        <v>0</v>
      </c>
      <c r="AF865" s="2114">
        <f>I865-'Blocking-Step2'!I865</f>
        <v>0</v>
      </c>
      <c r="AH865" s="2136">
        <f>K865-'Blocking-Step2'!K865</f>
        <v>0</v>
      </c>
      <c r="AJ865" s="2136">
        <f>M865-'Blocking-Step2'!M865</f>
        <v>0</v>
      </c>
      <c r="AL865" s="2136" t="e">
        <f>O865-'Blocking-Step2'!O865</f>
        <v>#VALUE!</v>
      </c>
      <c r="AN865" s="2137">
        <f>Q865-'Blocking-Step2'!Q865</f>
        <v>0</v>
      </c>
      <c r="AP865" s="2127">
        <f>S865-'Blocking-Step2'!S865</f>
        <v>0</v>
      </c>
      <c r="AR865" s="2127">
        <f>U865-'Blocking-Step2'!U865</f>
        <v>0</v>
      </c>
      <c r="AT865" s="2127">
        <f>W865-'Blocking-Step2'!W865</f>
        <v>0</v>
      </c>
      <c r="AV865" s="2128">
        <f>Y865-'Blocking-Step2'!Y865</f>
        <v>0</v>
      </c>
    </row>
    <row r="866" spans="1:48" ht="16.5" hidden="1" thickTop="1">
      <c r="A866" s="1116"/>
      <c r="C866" s="1024"/>
      <c r="D866" s="1024"/>
      <c r="F866" s="2076"/>
      <c r="G866" s="617"/>
      <c r="H866" s="1146"/>
      <c r="I866" s="1146"/>
      <c r="K866" s="2076"/>
      <c r="L866" s="617"/>
      <c r="M866" s="2076"/>
      <c r="N866" s="617"/>
      <c r="O866" s="2077" t="s">
        <v>2324</v>
      </c>
      <c r="P866" s="617"/>
      <c r="Q866" s="2076">
        <v>-1.4999999999999999E-2</v>
      </c>
      <c r="R866" s="617"/>
      <c r="S866" s="1114"/>
      <c r="T866" s="1114"/>
      <c r="U866" s="1114"/>
      <c r="V866" s="1114"/>
      <c r="W866" s="1114"/>
      <c r="X866" s="1114"/>
      <c r="Y866" s="1146">
        <v>-30858.314999999999</v>
      </c>
      <c r="Z866" s="2114">
        <f>C866-'Blocking-Step2'!C866</f>
        <v>0</v>
      </c>
      <c r="AA866" s="2114">
        <f>D866-'Blocking-Step2'!D866</f>
        <v>0</v>
      </c>
      <c r="AC866" s="2114">
        <f>F866-'Blocking-Step2'!F866</f>
        <v>0</v>
      </c>
      <c r="AE866" s="2114">
        <f>H866-'Blocking-Step2'!H866</f>
        <v>0</v>
      </c>
      <c r="AF866" s="2114">
        <f>I866-'Blocking-Step2'!I866</f>
        <v>0</v>
      </c>
      <c r="AH866" s="2136">
        <f>K866-'Blocking-Step2'!K866</f>
        <v>0</v>
      </c>
      <c r="AJ866" s="2136">
        <f>M866-'Blocking-Step2'!M866</f>
        <v>0</v>
      </c>
      <c r="AL866" s="2136" t="e">
        <f>O866-'Blocking-Step2'!O866</f>
        <v>#VALUE!</v>
      </c>
      <c r="AN866" s="2137">
        <f>Q866-'Blocking-Step2'!Q866</f>
        <v>0</v>
      </c>
      <c r="AP866" s="2127">
        <f>S866-'Blocking-Step2'!S866</f>
        <v>0</v>
      </c>
      <c r="AR866" s="2127">
        <f>U866-'Blocking-Step2'!U866</f>
        <v>0</v>
      </c>
      <c r="AT866" s="2127">
        <f>W866-'Blocking-Step2'!W866</f>
        <v>0</v>
      </c>
      <c r="AV866" s="2128">
        <f>Y866-'Blocking-Step2'!Y866</f>
        <v>0</v>
      </c>
    </row>
    <row r="867" spans="1:48" ht="17.25" hidden="1" thickTop="1" thickBot="1">
      <c r="A867" s="1116" t="s">
        <v>247</v>
      </c>
      <c r="C867" s="1138">
        <v>6054295.9969138876</v>
      </c>
      <c r="D867" s="1138">
        <v>24159956.617690787</v>
      </c>
      <c r="F867" s="1145"/>
      <c r="H867" s="1149">
        <v>612867.77009999997</v>
      </c>
      <c r="I867" s="1149">
        <v>2419265.4955000002</v>
      </c>
      <c r="K867" s="1145"/>
      <c r="M867" s="1145"/>
      <c r="O867" s="1145"/>
      <c r="Q867" s="1145"/>
      <c r="S867" s="1149">
        <v>457406</v>
      </c>
      <c r="U867" s="1149">
        <v>1496673</v>
      </c>
      <c r="W867" s="1149">
        <v>515739</v>
      </c>
      <c r="Y867" s="1149">
        <v>2469818</v>
      </c>
      <c r="Z867" s="2114">
        <f>C867-'Blocking-Step2'!C867</f>
        <v>0</v>
      </c>
      <c r="AA867" s="2114">
        <f>D867-'Blocking-Step2'!D867</f>
        <v>0</v>
      </c>
      <c r="AC867" s="2114">
        <f>F867-'Blocking-Step2'!F867</f>
        <v>0</v>
      </c>
      <c r="AE867" s="2114">
        <f>H867-'Blocking-Step2'!H867</f>
        <v>0</v>
      </c>
      <c r="AF867" s="2114">
        <f>I867-'Blocking-Step2'!I867</f>
        <v>0</v>
      </c>
      <c r="AH867" s="2136">
        <f>K867-'Blocking-Step2'!K867</f>
        <v>0</v>
      </c>
      <c r="AJ867" s="2136">
        <f>M867-'Blocking-Step2'!M867</f>
        <v>0</v>
      </c>
      <c r="AL867" s="2136">
        <f>O867-'Blocking-Step2'!O867</f>
        <v>0</v>
      </c>
      <c r="AN867" s="2137">
        <f>Q867-'Blocking-Step2'!Q867</f>
        <v>0</v>
      </c>
      <c r="AP867" s="2127">
        <f>S867-'Blocking-Step2'!S867</f>
        <v>-513077</v>
      </c>
      <c r="AR867" s="2127">
        <f>U867-'Blocking-Step2'!U867</f>
        <v>513077</v>
      </c>
      <c r="AT867" s="2127">
        <f>W867-'Blocking-Step2'!W867</f>
        <v>0</v>
      </c>
      <c r="AV867" s="2128">
        <f>Y867-'Blocking-Step2'!Y867</f>
        <v>0</v>
      </c>
    </row>
    <row r="868" spans="1:48" ht="16.5" hidden="1" thickTop="1">
      <c r="Z868" s="2114">
        <f>C868-'Blocking-Step2'!C868</f>
        <v>0</v>
      </c>
      <c r="AA868" s="2114">
        <f>D868-'Blocking-Step2'!D868</f>
        <v>0</v>
      </c>
      <c r="AC868" s="2114">
        <f>F868-'Blocking-Step2'!F868</f>
        <v>0</v>
      </c>
      <c r="AE868" s="2114">
        <f>H868-'Blocking-Step2'!H868</f>
        <v>0</v>
      </c>
      <c r="AF868" s="2114">
        <f>I868-'Blocking-Step2'!I868</f>
        <v>0</v>
      </c>
      <c r="AH868" s="2136">
        <f>K868-'Blocking-Step2'!K868</f>
        <v>0</v>
      </c>
      <c r="AJ868" s="2136">
        <f>M868-'Blocking-Step2'!M868</f>
        <v>0</v>
      </c>
      <c r="AL868" s="2136">
        <f>O868-'Blocking-Step2'!O868</f>
        <v>0</v>
      </c>
      <c r="AN868" s="2137">
        <f>Q868-'Blocking-Step2'!Q868</f>
        <v>0</v>
      </c>
      <c r="AP868" s="2127">
        <f>S868-'Blocking-Step2'!S868</f>
        <v>0</v>
      </c>
      <c r="AR868" s="2127">
        <f>U868-'Blocking-Step2'!U868</f>
        <v>0</v>
      </c>
      <c r="AT868" s="2127">
        <f>W868-'Blocking-Step2'!W868</f>
        <v>0</v>
      </c>
      <c r="AV868" s="2128">
        <f>Y868-'Blocking-Step2'!Y868</f>
        <v>0</v>
      </c>
    </row>
    <row r="869" spans="1:48" ht="16.5" hidden="1" thickTop="1">
      <c r="A869" s="1115" t="s">
        <v>1559</v>
      </c>
      <c r="C869" s="1105"/>
      <c r="D869" s="1105"/>
      <c r="Z869" s="2114">
        <f>C869-'Blocking-Step2'!C869</f>
        <v>0</v>
      </c>
      <c r="AA869" s="2114">
        <f>D869-'Blocking-Step2'!D869</f>
        <v>0</v>
      </c>
      <c r="AC869" s="2114">
        <f>F869-'Blocking-Step2'!F869</f>
        <v>0</v>
      </c>
      <c r="AE869" s="2114">
        <f>H869-'Blocking-Step2'!H869</f>
        <v>0</v>
      </c>
      <c r="AF869" s="2114">
        <f>I869-'Blocking-Step2'!I869</f>
        <v>0</v>
      </c>
      <c r="AH869" s="2136">
        <f>K869-'Blocking-Step2'!K869</f>
        <v>0</v>
      </c>
      <c r="AJ869" s="2136">
        <f>M869-'Blocking-Step2'!M869</f>
        <v>0</v>
      </c>
      <c r="AL869" s="2136">
        <f>O869-'Blocking-Step2'!O869</f>
        <v>0</v>
      </c>
      <c r="AN869" s="2137">
        <f>Q869-'Blocking-Step2'!Q869</f>
        <v>0</v>
      </c>
      <c r="AP869" s="2127">
        <f>S869-'Blocking-Step2'!S869</f>
        <v>0</v>
      </c>
      <c r="AR869" s="2127">
        <f>U869-'Blocking-Step2'!U869</f>
        <v>0</v>
      </c>
      <c r="AT869" s="2127">
        <f>W869-'Blocking-Step2'!W869</f>
        <v>0</v>
      </c>
      <c r="AV869" s="2128">
        <f>Y869-'Blocking-Step2'!Y869</f>
        <v>0</v>
      </c>
    </row>
    <row r="870" spans="1:48" ht="16.5" hidden="1" thickTop="1">
      <c r="A870" s="1116" t="s">
        <v>240</v>
      </c>
      <c r="C870" s="1105">
        <v>5.06666666666667</v>
      </c>
      <c r="D870" s="1105">
        <v>0</v>
      </c>
      <c r="F870" s="1142">
        <v>54</v>
      </c>
      <c r="G870" s="617"/>
      <c r="H870" s="1146">
        <v>274</v>
      </c>
      <c r="I870" s="1146">
        <v>0</v>
      </c>
      <c r="K870" s="1142">
        <v>54</v>
      </c>
      <c r="L870" s="617"/>
      <c r="M870" s="1142">
        <v>0</v>
      </c>
      <c r="N870" s="617"/>
      <c r="O870" s="1142">
        <v>0</v>
      </c>
      <c r="P870" s="617"/>
      <c r="Q870" s="1142">
        <v>54</v>
      </c>
      <c r="R870" s="617"/>
      <c r="S870" s="1146">
        <v>0</v>
      </c>
      <c r="T870" s="1114"/>
      <c r="U870" s="1146">
        <v>0</v>
      </c>
      <c r="V870" s="1114"/>
      <c r="W870" s="1146">
        <v>0</v>
      </c>
      <c r="X870" s="1114"/>
      <c r="Y870" s="1146">
        <v>0</v>
      </c>
      <c r="Z870" s="2114">
        <f>C870-'Blocking-Step2'!C870</f>
        <v>0</v>
      </c>
      <c r="AA870" s="2114">
        <f>D870-'Blocking-Step2'!D870</f>
        <v>0</v>
      </c>
      <c r="AC870" s="2114">
        <f>F870-'Blocking-Step2'!F870</f>
        <v>0</v>
      </c>
      <c r="AE870" s="2114">
        <f>H870-'Blocking-Step2'!H870</f>
        <v>0</v>
      </c>
      <c r="AF870" s="2114">
        <f>I870-'Blocking-Step2'!I870</f>
        <v>0</v>
      </c>
      <c r="AH870" s="2136">
        <f>K870-'Blocking-Step2'!K870</f>
        <v>0</v>
      </c>
      <c r="AJ870" s="2136">
        <f>M870-'Blocking-Step2'!M870</f>
        <v>0</v>
      </c>
      <c r="AL870" s="2136">
        <f>O870-'Blocking-Step2'!O870</f>
        <v>0</v>
      </c>
      <c r="AN870" s="2137">
        <f>Q870-'Blocking-Step2'!Q870</f>
        <v>0</v>
      </c>
      <c r="AP870" s="2127">
        <f>S870-'Blocking-Step2'!S870</f>
        <v>0</v>
      </c>
      <c r="AR870" s="2127">
        <f>U870-'Blocking-Step2'!U870</f>
        <v>0</v>
      </c>
      <c r="AT870" s="2127">
        <f>W870-'Blocking-Step2'!W870</f>
        <v>0</v>
      </c>
      <c r="AV870" s="2128">
        <f>Y870-'Blocking-Step2'!Y870</f>
        <v>0</v>
      </c>
    </row>
    <row r="871" spans="1:48" ht="16.5" hidden="1" thickTop="1">
      <c r="A871" s="1116" t="s">
        <v>262</v>
      </c>
      <c r="C871" s="1024">
        <v>0</v>
      </c>
      <c r="D871" s="1105">
        <v>0</v>
      </c>
      <c r="F871" s="1142">
        <v>648</v>
      </c>
      <c r="G871" s="617"/>
      <c r="H871" s="1146">
        <v>0</v>
      </c>
      <c r="I871" s="1146">
        <v>0</v>
      </c>
      <c r="K871" s="1142">
        <v>648</v>
      </c>
      <c r="L871" s="617"/>
      <c r="M871" s="1142">
        <v>0</v>
      </c>
      <c r="N871" s="617"/>
      <c r="O871" s="1142">
        <v>0</v>
      </c>
      <c r="P871" s="617"/>
      <c r="Q871" s="1142">
        <v>648</v>
      </c>
      <c r="R871" s="617"/>
      <c r="S871" s="1146">
        <v>0</v>
      </c>
      <c r="T871" s="1114"/>
      <c r="U871" s="1146">
        <v>0</v>
      </c>
      <c r="V871" s="1114"/>
      <c r="W871" s="1146">
        <v>0</v>
      </c>
      <c r="X871" s="1114"/>
      <c r="Y871" s="1146">
        <v>0</v>
      </c>
      <c r="Z871" s="2114">
        <f>C871-'Blocking-Step2'!C871</f>
        <v>0</v>
      </c>
      <c r="AA871" s="2114">
        <f>D871-'Blocking-Step2'!D871</f>
        <v>0</v>
      </c>
      <c r="AC871" s="2114">
        <f>F871-'Blocking-Step2'!F871</f>
        <v>0</v>
      </c>
      <c r="AE871" s="2114">
        <f>H871-'Blocking-Step2'!H871</f>
        <v>0</v>
      </c>
      <c r="AF871" s="2114">
        <f>I871-'Blocking-Step2'!I871</f>
        <v>0</v>
      </c>
      <c r="AH871" s="2136">
        <f>K871-'Blocking-Step2'!K871</f>
        <v>0</v>
      </c>
      <c r="AJ871" s="2136">
        <f>M871-'Blocking-Step2'!M871</f>
        <v>0</v>
      </c>
      <c r="AL871" s="2136">
        <f>O871-'Blocking-Step2'!O871</f>
        <v>0</v>
      </c>
      <c r="AN871" s="2137">
        <f>Q871-'Blocking-Step2'!Q871</f>
        <v>0</v>
      </c>
      <c r="AP871" s="2127">
        <f>S871-'Blocking-Step2'!S871</f>
        <v>0</v>
      </c>
      <c r="AR871" s="2127">
        <f>U871-'Blocking-Step2'!U871</f>
        <v>0</v>
      </c>
      <c r="AT871" s="2127">
        <f>W871-'Blocking-Step2'!W871</f>
        <v>0</v>
      </c>
      <c r="AV871" s="2128">
        <f>Y871-'Blocking-Step2'!Y871</f>
        <v>0</v>
      </c>
    </row>
    <row r="872" spans="1:48" ht="16.5" hidden="1" thickTop="1">
      <c r="A872" s="1116" t="s">
        <v>1236</v>
      </c>
      <c r="C872" s="1105">
        <v>0</v>
      </c>
      <c r="D872" s="1105">
        <v>0</v>
      </c>
      <c r="F872" s="1142">
        <v>2</v>
      </c>
      <c r="G872" s="617"/>
      <c r="H872" s="1146">
        <v>0</v>
      </c>
      <c r="I872" s="1146">
        <v>0</v>
      </c>
      <c r="K872" s="1142">
        <v>2</v>
      </c>
      <c r="L872" s="617"/>
      <c r="M872" s="1142">
        <v>0</v>
      </c>
      <c r="N872" s="617"/>
      <c r="O872" s="1142">
        <v>0</v>
      </c>
      <c r="P872" s="617"/>
      <c r="Q872" s="1142">
        <v>2</v>
      </c>
      <c r="R872" s="617"/>
      <c r="S872" s="1146">
        <v>0</v>
      </c>
      <c r="T872" s="1114"/>
      <c r="U872" s="1146">
        <v>0</v>
      </c>
      <c r="V872" s="1114"/>
      <c r="W872" s="1146">
        <v>0</v>
      </c>
      <c r="X872" s="1114"/>
      <c r="Y872" s="1146">
        <v>0</v>
      </c>
      <c r="Z872" s="2114">
        <f>C872-'Blocking-Step2'!C872</f>
        <v>0</v>
      </c>
      <c r="AA872" s="2114">
        <f>D872-'Blocking-Step2'!D872</f>
        <v>0</v>
      </c>
      <c r="AC872" s="2114">
        <f>F872-'Blocking-Step2'!F872</f>
        <v>0</v>
      </c>
      <c r="AE872" s="2114">
        <f>H872-'Blocking-Step2'!H872</f>
        <v>0</v>
      </c>
      <c r="AF872" s="2114">
        <f>I872-'Blocking-Step2'!I872</f>
        <v>0</v>
      </c>
      <c r="AH872" s="2136">
        <f>K872-'Blocking-Step2'!K872</f>
        <v>0</v>
      </c>
      <c r="AJ872" s="2136">
        <f>M872-'Blocking-Step2'!M872</f>
        <v>0</v>
      </c>
      <c r="AL872" s="2136">
        <f>O872-'Blocking-Step2'!O872</f>
        <v>0</v>
      </c>
      <c r="AN872" s="2137">
        <f>Q872-'Blocking-Step2'!Q872</f>
        <v>0</v>
      </c>
      <c r="AP872" s="2127">
        <f>S872-'Blocking-Step2'!S872</f>
        <v>0</v>
      </c>
      <c r="AR872" s="2127">
        <f>U872-'Blocking-Step2'!U872</f>
        <v>0</v>
      </c>
      <c r="AT872" s="2127">
        <f>W872-'Blocking-Step2'!W872</f>
        <v>0</v>
      </c>
      <c r="AV872" s="2128">
        <f>Y872-'Blocking-Step2'!Y872</f>
        <v>0</v>
      </c>
    </row>
    <row r="873" spans="1:48" ht="16.5" hidden="1" thickTop="1">
      <c r="A873" s="1116" t="s">
        <v>168</v>
      </c>
      <c r="C873" s="1105">
        <v>1916.26732673267</v>
      </c>
      <c r="D873" s="1105">
        <v>0</v>
      </c>
      <c r="F873" s="1142">
        <v>4.04</v>
      </c>
      <c r="G873" s="617"/>
      <c r="H873" s="1146">
        <v>7742</v>
      </c>
      <c r="I873" s="1146">
        <v>0</v>
      </c>
      <c r="K873" s="1142">
        <v>4.03</v>
      </c>
      <c r="L873" s="617"/>
      <c r="M873" s="1142">
        <v>0</v>
      </c>
      <c r="N873" s="617"/>
      <c r="O873" s="1142">
        <v>0</v>
      </c>
      <c r="P873" s="617"/>
      <c r="Q873" s="1142">
        <v>4.03</v>
      </c>
      <c r="R873" s="617"/>
      <c r="S873" s="1146">
        <v>0</v>
      </c>
      <c r="T873" s="1114"/>
      <c r="U873" s="1146">
        <v>0</v>
      </c>
      <c r="V873" s="1114"/>
      <c r="W873" s="1146">
        <v>0</v>
      </c>
      <c r="X873" s="1114"/>
      <c r="Y873" s="1146">
        <v>0</v>
      </c>
      <c r="Z873" s="2114">
        <f>C873-'Blocking-Step2'!C873</f>
        <v>0</v>
      </c>
      <c r="AA873" s="2114">
        <f>D873-'Blocking-Step2'!D873</f>
        <v>0</v>
      </c>
      <c r="AC873" s="2114">
        <f>F873-'Blocking-Step2'!F873</f>
        <v>0</v>
      </c>
      <c r="AE873" s="2114">
        <f>H873-'Blocking-Step2'!H873</f>
        <v>0</v>
      </c>
      <c r="AF873" s="2114">
        <f>I873-'Blocking-Step2'!I873</f>
        <v>0</v>
      </c>
      <c r="AH873" s="2136">
        <f>K873-'Blocking-Step2'!K873</f>
        <v>0</v>
      </c>
      <c r="AJ873" s="2136">
        <f>M873-'Blocking-Step2'!M873</f>
        <v>0</v>
      </c>
      <c r="AL873" s="2136">
        <f>O873-'Blocking-Step2'!O873</f>
        <v>0</v>
      </c>
      <c r="AN873" s="2137">
        <f>Q873-'Blocking-Step2'!Q873</f>
        <v>0</v>
      </c>
      <c r="AP873" s="2127">
        <f>S873-'Blocking-Step2'!S873</f>
        <v>0</v>
      </c>
      <c r="AR873" s="2127">
        <f>U873-'Blocking-Step2'!U873</f>
        <v>0</v>
      </c>
      <c r="AT873" s="2127">
        <f>W873-'Blocking-Step2'!W873</f>
        <v>0</v>
      </c>
      <c r="AV873" s="2128">
        <f>Y873-'Blocking-Step2'!Y873</f>
        <v>0</v>
      </c>
    </row>
    <row r="874" spans="1:48" ht="16.5" hidden="1" thickTop="1">
      <c r="A874" s="1116" t="s">
        <v>1645</v>
      </c>
      <c r="C874" s="1105">
        <v>1071.85294117647</v>
      </c>
      <c r="D874" s="1105"/>
      <c r="F874" s="1142"/>
      <c r="G874" s="617"/>
      <c r="H874" s="1146"/>
      <c r="I874" s="1146"/>
      <c r="K874" s="1142">
        <v>0.51</v>
      </c>
      <c r="L874" s="617"/>
      <c r="M874" s="1142">
        <v>12.89</v>
      </c>
      <c r="N874" s="617"/>
      <c r="O874" s="1142">
        <v>0</v>
      </c>
      <c r="P874" s="617"/>
      <c r="Q874" s="1142">
        <v>13.4</v>
      </c>
      <c r="R874" s="617"/>
      <c r="S874" s="1146">
        <v>0</v>
      </c>
      <c r="T874" s="1146"/>
      <c r="U874" s="1146">
        <v>0</v>
      </c>
      <c r="V874" s="1146"/>
      <c r="W874" s="1146">
        <v>0</v>
      </c>
      <c r="X874" s="1114"/>
      <c r="Y874" s="1146">
        <v>0</v>
      </c>
      <c r="Z874" s="2114">
        <f>C874-'Blocking-Step2'!C874</f>
        <v>0</v>
      </c>
      <c r="AA874" s="2114">
        <f>D874-'Blocking-Step2'!D874</f>
        <v>0</v>
      </c>
      <c r="AC874" s="2114">
        <f>F874-'Blocking-Step2'!F874</f>
        <v>0</v>
      </c>
      <c r="AE874" s="2114">
        <f>H874-'Blocking-Step2'!H874</f>
        <v>0</v>
      </c>
      <c r="AF874" s="2114">
        <f>I874-'Blocking-Step2'!I874</f>
        <v>0</v>
      </c>
      <c r="AH874" s="2136">
        <f>K874-'Blocking-Step2'!K874</f>
        <v>-5.83</v>
      </c>
      <c r="AJ874" s="2136">
        <f>M874-'Blocking-Step2'!M874</f>
        <v>5.83</v>
      </c>
      <c r="AL874" s="2136">
        <f>O874-'Blocking-Step2'!O874</f>
        <v>0</v>
      </c>
      <c r="AN874" s="2137">
        <f>Q874-'Blocking-Step2'!Q874</f>
        <v>0</v>
      </c>
      <c r="AP874" s="2127">
        <f>S874-'Blocking-Step2'!S874</f>
        <v>0</v>
      </c>
      <c r="AR874" s="2127">
        <f>U874-'Blocking-Step2'!U874</f>
        <v>0</v>
      </c>
      <c r="AT874" s="2127">
        <f>W874-'Blocking-Step2'!W874</f>
        <v>0</v>
      </c>
      <c r="AV874" s="2128">
        <f>Y874-'Blocking-Step2'!Y874</f>
        <v>0</v>
      </c>
    </row>
    <row r="875" spans="1:48" ht="16.5" hidden="1" thickTop="1">
      <c r="A875" s="1116" t="s">
        <v>1646</v>
      </c>
      <c r="C875" s="1105">
        <v>844.41338221814897</v>
      </c>
      <c r="D875" s="1105"/>
      <c r="F875" s="1142"/>
      <c r="G875" s="617"/>
      <c r="H875" s="1146"/>
      <c r="I875" s="1146"/>
      <c r="K875" s="1142">
        <v>0.45</v>
      </c>
      <c r="L875" s="617"/>
      <c r="M875" s="1142">
        <v>11.41</v>
      </c>
      <c r="N875" s="617"/>
      <c r="O875" s="1142">
        <v>0</v>
      </c>
      <c r="P875" s="617"/>
      <c r="Q875" s="1142">
        <v>11.86</v>
      </c>
      <c r="R875" s="617"/>
      <c r="S875" s="1146">
        <v>0</v>
      </c>
      <c r="T875" s="1146"/>
      <c r="U875" s="1146">
        <v>0</v>
      </c>
      <c r="V875" s="1146"/>
      <c r="W875" s="1146">
        <v>0</v>
      </c>
      <c r="X875" s="1114"/>
      <c r="Y875" s="1146">
        <v>0</v>
      </c>
      <c r="Z875" s="2114">
        <f>C875-'Blocking-Step2'!C875</f>
        <v>0</v>
      </c>
      <c r="AA875" s="2114">
        <f>D875-'Blocking-Step2'!D875</f>
        <v>0</v>
      </c>
      <c r="AC875" s="2114">
        <f>F875-'Blocking-Step2'!F875</f>
        <v>0</v>
      </c>
      <c r="AE875" s="2114">
        <f>H875-'Blocking-Step2'!H875</f>
        <v>0</v>
      </c>
      <c r="AF875" s="2114">
        <f>I875-'Blocking-Step2'!I875</f>
        <v>0</v>
      </c>
      <c r="AH875" s="2136">
        <f>K875-'Blocking-Step2'!K875</f>
        <v>-5.16</v>
      </c>
      <c r="AJ875" s="2136">
        <f>M875-'Blocking-Step2'!M875</f>
        <v>5.160000000000001</v>
      </c>
      <c r="AL875" s="2136">
        <f>O875-'Blocking-Step2'!O875</f>
        <v>0</v>
      </c>
      <c r="AN875" s="2137">
        <f>Q875-'Blocking-Step2'!Q875</f>
        <v>0</v>
      </c>
      <c r="AP875" s="2127">
        <f>S875-'Blocking-Step2'!S875</f>
        <v>0</v>
      </c>
      <c r="AR875" s="2127">
        <f>U875-'Blocking-Step2'!U875</f>
        <v>0</v>
      </c>
      <c r="AT875" s="2127">
        <f>W875-'Blocking-Step2'!W875</f>
        <v>0</v>
      </c>
      <c r="AV875" s="2128">
        <f>Y875-'Blocking-Step2'!Y875</f>
        <v>0</v>
      </c>
    </row>
    <row r="876" spans="1:48" ht="16.5" hidden="1" thickTop="1">
      <c r="A876" s="1116" t="s">
        <v>1647</v>
      </c>
      <c r="C876" s="1105">
        <v>414366</v>
      </c>
      <c r="D876" s="1105"/>
      <c r="F876" s="1106"/>
      <c r="G876" s="1921"/>
      <c r="H876" s="1146"/>
      <c r="I876" s="1146"/>
      <c r="K876" s="1106">
        <v>0</v>
      </c>
      <c r="L876" s="1921" t="s">
        <v>495</v>
      </c>
      <c r="M876" s="1106">
        <v>1.6192</v>
      </c>
      <c r="N876" s="1921" t="s">
        <v>495</v>
      </c>
      <c r="O876" s="1106">
        <v>2.305570240802</v>
      </c>
      <c r="P876" s="1921" t="s">
        <v>495</v>
      </c>
      <c r="Q876" s="1106">
        <v>3.9247702408020002</v>
      </c>
      <c r="R876" s="1921" t="s">
        <v>495</v>
      </c>
      <c r="S876" s="1146">
        <v>0</v>
      </c>
      <c r="T876" s="1146"/>
      <c r="U876" s="1146">
        <v>0</v>
      </c>
      <c r="V876" s="1146"/>
      <c r="W876" s="1146">
        <v>0</v>
      </c>
      <c r="X876" s="1648"/>
      <c r="Y876" s="1146">
        <v>0</v>
      </c>
      <c r="Z876" s="2114">
        <f>C876-'Blocking-Step2'!C876</f>
        <v>0</v>
      </c>
      <c r="AA876" s="2114">
        <f>D876-'Blocking-Step2'!D876</f>
        <v>0</v>
      </c>
      <c r="AC876" s="2114">
        <f>F876-'Blocking-Step2'!F876</f>
        <v>0</v>
      </c>
      <c r="AE876" s="2114">
        <f>H876-'Blocking-Step2'!H876</f>
        <v>0</v>
      </c>
      <c r="AF876" s="2114">
        <f>I876-'Blocking-Step2'!I876</f>
        <v>0</v>
      </c>
      <c r="AH876" s="2136">
        <f>K876-'Blocking-Step2'!K876</f>
        <v>0</v>
      </c>
      <c r="AJ876" s="2136">
        <f>M876-'Blocking-Step2'!M876</f>
        <v>0</v>
      </c>
      <c r="AL876" s="2136">
        <f>O876-'Blocking-Step2'!O876</f>
        <v>0</v>
      </c>
      <c r="AN876" s="2137">
        <f>Q876-'Blocking-Step2'!Q876</f>
        <v>0</v>
      </c>
      <c r="AP876" s="2127">
        <f>S876-'Blocking-Step2'!S876</f>
        <v>0</v>
      </c>
      <c r="AR876" s="2127">
        <f>U876-'Blocking-Step2'!U876</f>
        <v>0</v>
      </c>
      <c r="AT876" s="2127">
        <f>W876-'Blocking-Step2'!W876</f>
        <v>0</v>
      </c>
      <c r="AV876" s="2128">
        <f>Y876-'Blocking-Step2'!Y876</f>
        <v>0</v>
      </c>
    </row>
    <row r="877" spans="1:48" ht="16.5" hidden="1" thickTop="1">
      <c r="A877" s="1116" t="s">
        <v>1648</v>
      </c>
      <c r="C877" s="1105">
        <v>313878</v>
      </c>
      <c r="D877" s="1105"/>
      <c r="F877" s="1106"/>
      <c r="G877" s="1921"/>
      <c r="H877" s="1146"/>
      <c r="I877" s="1146"/>
      <c r="K877" s="1106">
        <v>0</v>
      </c>
      <c r="L877" s="1921" t="s">
        <v>495</v>
      </c>
      <c r="M877" s="1106">
        <v>1.4329000000000001</v>
      </c>
      <c r="N877" s="1921" t="s">
        <v>495</v>
      </c>
      <c r="O877" s="1106">
        <v>2.0403480007099999</v>
      </c>
      <c r="P877" s="1921" t="s">
        <v>495</v>
      </c>
      <c r="Q877" s="1106">
        <v>3.4732480007099999</v>
      </c>
      <c r="R877" s="1921" t="s">
        <v>495</v>
      </c>
      <c r="S877" s="1146">
        <v>0</v>
      </c>
      <c r="T877" s="1146"/>
      <c r="U877" s="1146">
        <v>0</v>
      </c>
      <c r="V877" s="1146"/>
      <c r="W877" s="1146">
        <v>0</v>
      </c>
      <c r="X877" s="1648"/>
      <c r="Y877" s="1146">
        <v>0</v>
      </c>
      <c r="Z877" s="2114">
        <f>C877-'Blocking-Step2'!C877</f>
        <v>0</v>
      </c>
      <c r="AA877" s="2114">
        <f>D877-'Blocking-Step2'!D877</f>
        <v>0</v>
      </c>
      <c r="AC877" s="2114">
        <f>F877-'Blocking-Step2'!F877</f>
        <v>0</v>
      </c>
      <c r="AE877" s="2114">
        <f>H877-'Blocking-Step2'!H877</f>
        <v>0</v>
      </c>
      <c r="AF877" s="2114">
        <f>I877-'Blocking-Step2'!I877</f>
        <v>0</v>
      </c>
      <c r="AH877" s="2136">
        <f>K877-'Blocking-Step2'!K877</f>
        <v>0</v>
      </c>
      <c r="AJ877" s="2136">
        <f>M877-'Blocking-Step2'!M877</f>
        <v>0</v>
      </c>
      <c r="AL877" s="2136">
        <f>O877-'Blocking-Step2'!O877</f>
        <v>0</v>
      </c>
      <c r="AN877" s="2137">
        <f>Q877-'Blocking-Step2'!Q877</f>
        <v>0</v>
      </c>
      <c r="AP877" s="2127">
        <f>S877-'Blocking-Step2'!S877</f>
        <v>0</v>
      </c>
      <c r="AR877" s="2127">
        <f>U877-'Blocking-Step2'!U877</f>
        <v>0</v>
      </c>
      <c r="AT877" s="2127">
        <f>W877-'Blocking-Step2'!W877</f>
        <v>0</v>
      </c>
      <c r="AV877" s="2128">
        <f>Y877-'Blocking-Step2'!Y877</f>
        <v>0</v>
      </c>
    </row>
    <row r="878" spans="1:48" ht="16.5" hidden="1" thickTop="1">
      <c r="A878" s="1116" t="s">
        <v>196</v>
      </c>
      <c r="C878" s="1105">
        <v>1071.85294117647</v>
      </c>
      <c r="D878" s="1105">
        <v>0</v>
      </c>
      <c r="F878" s="1142">
        <v>14.62</v>
      </c>
      <c r="G878" s="617"/>
      <c r="H878" s="1146">
        <v>15670</v>
      </c>
      <c r="I878" s="1146">
        <v>0</v>
      </c>
      <c r="K878" s="1142"/>
      <c r="L878" s="617"/>
      <c r="M878" s="1142"/>
      <c r="N878" s="617"/>
      <c r="O878" s="1142"/>
      <c r="P878" s="617"/>
      <c r="Q878" s="1142"/>
      <c r="R878" s="617"/>
      <c r="S878" s="1146"/>
      <c r="T878" s="1114"/>
      <c r="U878" s="1146"/>
      <c r="V878" s="1114"/>
      <c r="W878" s="1146"/>
      <c r="X878" s="1114"/>
      <c r="Y878" s="1146"/>
      <c r="Z878" s="2114">
        <f>C878-'Blocking-Step2'!C878</f>
        <v>0</v>
      </c>
      <c r="AA878" s="2114">
        <f>D878-'Blocking-Step2'!D878</f>
        <v>0</v>
      </c>
      <c r="AC878" s="2114">
        <f>F878-'Blocking-Step2'!F878</f>
        <v>0</v>
      </c>
      <c r="AE878" s="2114">
        <f>H878-'Blocking-Step2'!H878</f>
        <v>0</v>
      </c>
      <c r="AF878" s="2114">
        <f>I878-'Blocking-Step2'!I878</f>
        <v>0</v>
      </c>
      <c r="AH878" s="2136">
        <f>K878-'Blocking-Step2'!K878</f>
        <v>0</v>
      </c>
      <c r="AJ878" s="2136">
        <f>M878-'Blocking-Step2'!M878</f>
        <v>0</v>
      </c>
      <c r="AL878" s="2136">
        <f>O878-'Blocking-Step2'!O878</f>
        <v>0</v>
      </c>
      <c r="AN878" s="2137">
        <f>Q878-'Blocking-Step2'!Q878</f>
        <v>0</v>
      </c>
      <c r="AP878" s="2127">
        <f>S878-'Blocking-Step2'!S878</f>
        <v>0</v>
      </c>
      <c r="AR878" s="2127">
        <f>U878-'Blocking-Step2'!U878</f>
        <v>0</v>
      </c>
      <c r="AT878" s="2127">
        <f>W878-'Blocking-Step2'!W878</f>
        <v>0</v>
      </c>
      <c r="AV878" s="2128">
        <f>Y878-'Blocking-Step2'!Y878</f>
        <v>0</v>
      </c>
    </row>
    <row r="879" spans="1:48" ht="16.5" hidden="1" thickTop="1">
      <c r="A879" s="1116" t="s">
        <v>161</v>
      </c>
      <c r="C879" s="1105">
        <v>844.41338221814897</v>
      </c>
      <c r="D879" s="1105">
        <v>0</v>
      </c>
      <c r="F879" s="1142">
        <v>10.91</v>
      </c>
      <c r="G879" s="617"/>
      <c r="H879" s="1146">
        <v>9213</v>
      </c>
      <c r="I879" s="1146">
        <v>0</v>
      </c>
      <c r="K879" s="1142"/>
      <c r="L879" s="617"/>
      <c r="M879" s="1142"/>
      <c r="N879" s="617"/>
      <c r="O879" s="1142"/>
      <c r="P879" s="617"/>
      <c r="Q879" s="1142"/>
      <c r="R879" s="617"/>
      <c r="S879" s="1146"/>
      <c r="T879" s="1114"/>
      <c r="U879" s="1146"/>
      <c r="V879" s="1114"/>
      <c r="W879" s="1146"/>
      <c r="X879" s="1114"/>
      <c r="Y879" s="1146"/>
      <c r="Z879" s="2114">
        <f>C879-'Blocking-Step2'!C879</f>
        <v>0</v>
      </c>
      <c r="AA879" s="2114">
        <f>D879-'Blocking-Step2'!D879</f>
        <v>0</v>
      </c>
      <c r="AC879" s="2114">
        <f>F879-'Blocking-Step2'!F879</f>
        <v>0</v>
      </c>
      <c r="AE879" s="2114">
        <f>H879-'Blocking-Step2'!H879</f>
        <v>0</v>
      </c>
      <c r="AF879" s="2114">
        <f>I879-'Blocking-Step2'!I879</f>
        <v>0</v>
      </c>
      <c r="AH879" s="2136">
        <f>K879-'Blocking-Step2'!K879</f>
        <v>0</v>
      </c>
      <c r="AJ879" s="2136">
        <f>M879-'Blocking-Step2'!M879</f>
        <v>0</v>
      </c>
      <c r="AL879" s="2136">
        <f>O879-'Blocking-Step2'!O879</f>
        <v>0</v>
      </c>
      <c r="AN879" s="2137">
        <f>Q879-'Blocking-Step2'!Q879</f>
        <v>0</v>
      </c>
      <c r="AP879" s="2127">
        <f>S879-'Blocking-Step2'!S879</f>
        <v>0</v>
      </c>
      <c r="AR879" s="2127">
        <f>U879-'Blocking-Step2'!U879</f>
        <v>0</v>
      </c>
      <c r="AT879" s="2127">
        <f>W879-'Blocking-Step2'!W879</f>
        <v>0</v>
      </c>
      <c r="AV879" s="2128">
        <f>Y879-'Blocking-Step2'!Y879</f>
        <v>0</v>
      </c>
    </row>
    <row r="880" spans="1:48" ht="16.5" hidden="1" thickTop="1">
      <c r="A880" s="1116" t="s">
        <v>261</v>
      </c>
      <c r="C880" s="1105">
        <v>0</v>
      </c>
      <c r="D880" s="1105">
        <v>0</v>
      </c>
      <c r="F880" s="1142">
        <v>-0.96</v>
      </c>
      <c r="G880" s="617"/>
      <c r="H880" s="1146">
        <v>0</v>
      </c>
      <c r="I880" s="1146">
        <v>0</v>
      </c>
      <c r="K880" s="1142">
        <v>-0.96</v>
      </c>
      <c r="L880" s="617"/>
      <c r="M880" s="1142">
        <v>0</v>
      </c>
      <c r="N880" s="617"/>
      <c r="O880" s="1142">
        <v>0</v>
      </c>
      <c r="P880" s="617"/>
      <c r="Q880" s="1142">
        <v>-0.96</v>
      </c>
      <c r="R880" s="617"/>
      <c r="S880" s="1146">
        <v>0</v>
      </c>
      <c r="T880" s="1146"/>
      <c r="U880" s="1146">
        <v>0</v>
      </c>
      <c r="V880" s="1146"/>
      <c r="W880" s="1146">
        <v>0</v>
      </c>
      <c r="X880" s="1114"/>
      <c r="Y880" s="1146">
        <v>0</v>
      </c>
      <c r="Z880" s="2114">
        <f>C880-'Blocking-Step2'!C880</f>
        <v>0</v>
      </c>
      <c r="AA880" s="2114">
        <f>D880-'Blocking-Step2'!D880</f>
        <v>0</v>
      </c>
      <c r="AC880" s="2114">
        <f>F880-'Blocking-Step2'!F880</f>
        <v>0</v>
      </c>
      <c r="AE880" s="2114">
        <f>H880-'Blocking-Step2'!H880</f>
        <v>0</v>
      </c>
      <c r="AF880" s="2114">
        <f>I880-'Blocking-Step2'!I880</f>
        <v>0</v>
      </c>
      <c r="AH880" s="2136">
        <f>K880-'Blocking-Step2'!K880</f>
        <v>0</v>
      </c>
      <c r="AJ880" s="2136">
        <f>M880-'Blocking-Step2'!M880</f>
        <v>0</v>
      </c>
      <c r="AL880" s="2136">
        <f>O880-'Blocking-Step2'!O880</f>
        <v>0</v>
      </c>
      <c r="AN880" s="2137">
        <f>Q880-'Blocking-Step2'!Q880</f>
        <v>0</v>
      </c>
      <c r="AP880" s="2127">
        <f>S880-'Blocking-Step2'!S880</f>
        <v>0</v>
      </c>
      <c r="AR880" s="2127">
        <f>U880-'Blocking-Step2'!U880</f>
        <v>0</v>
      </c>
      <c r="AT880" s="2127">
        <f>W880-'Blocking-Step2'!W880</f>
        <v>0</v>
      </c>
      <c r="AV880" s="2128">
        <f>Y880-'Blocking-Step2'!Y880</f>
        <v>0</v>
      </c>
    </row>
    <row r="881" spans="1:48" ht="16.5" hidden="1" thickTop="1">
      <c r="A881" s="1116" t="s">
        <v>1362</v>
      </c>
      <c r="C881" s="1105">
        <v>414366</v>
      </c>
      <c r="D881" s="1105">
        <v>0</v>
      </c>
      <c r="F881" s="1106">
        <v>3.8127</v>
      </c>
      <c r="G881" s="1921" t="s">
        <v>495</v>
      </c>
      <c r="H881" s="1146">
        <v>15799</v>
      </c>
      <c r="I881" s="1146">
        <v>0</v>
      </c>
      <c r="K881" s="1106"/>
      <c r="L881" s="1921"/>
      <c r="M881" s="1106"/>
      <c r="N881" s="1921"/>
      <c r="O881" s="1106"/>
      <c r="P881" s="1921"/>
      <c r="Q881" s="1106"/>
      <c r="R881" s="1921"/>
      <c r="S881" s="1648"/>
      <c r="T881" s="1648"/>
      <c r="U881" s="1648"/>
      <c r="V881" s="1648"/>
      <c r="W881" s="1648"/>
      <c r="X881" s="1648"/>
      <c r="Y881" s="1146"/>
      <c r="Z881" s="2114">
        <f>C881-'Blocking-Step2'!C881</f>
        <v>0</v>
      </c>
      <c r="AA881" s="2114">
        <f>D881-'Blocking-Step2'!D881</f>
        <v>0</v>
      </c>
      <c r="AC881" s="2114">
        <f>F881-'Blocking-Step2'!F881</f>
        <v>0</v>
      </c>
      <c r="AE881" s="2114">
        <f>H881-'Blocking-Step2'!H881</f>
        <v>0</v>
      </c>
      <c r="AF881" s="2114">
        <f>I881-'Blocking-Step2'!I881</f>
        <v>0</v>
      </c>
      <c r="AH881" s="2136">
        <f>K881-'Blocking-Step2'!K881</f>
        <v>0</v>
      </c>
      <c r="AJ881" s="2136">
        <f>M881-'Blocking-Step2'!M881</f>
        <v>0</v>
      </c>
      <c r="AL881" s="2136">
        <f>O881-'Blocking-Step2'!O881</f>
        <v>0</v>
      </c>
      <c r="AN881" s="2137">
        <f>Q881-'Blocking-Step2'!Q881</f>
        <v>0</v>
      </c>
      <c r="AP881" s="2127">
        <f>S881-'Blocking-Step2'!S881</f>
        <v>0</v>
      </c>
      <c r="AR881" s="2127">
        <f>U881-'Blocking-Step2'!U881</f>
        <v>0</v>
      </c>
      <c r="AT881" s="2127">
        <f>W881-'Blocking-Step2'!W881</f>
        <v>0</v>
      </c>
      <c r="AV881" s="2128">
        <f>Y881-'Blocking-Step2'!Y881</f>
        <v>0</v>
      </c>
    </row>
    <row r="882" spans="1:48" ht="16.5" hidden="1" thickTop="1">
      <c r="A882" s="1116" t="s">
        <v>1363</v>
      </c>
      <c r="C882" s="1105">
        <v>313878</v>
      </c>
      <c r="D882" s="1105">
        <v>0</v>
      </c>
      <c r="F882" s="1106">
        <v>3.5143</v>
      </c>
      <c r="G882" s="1921" t="s">
        <v>495</v>
      </c>
      <c r="H882" s="1146">
        <v>11031</v>
      </c>
      <c r="I882" s="1146">
        <v>0</v>
      </c>
      <c r="K882" s="1106"/>
      <c r="L882" s="1921"/>
      <c r="M882" s="1106"/>
      <c r="N882" s="1921"/>
      <c r="O882" s="1106"/>
      <c r="P882" s="1921"/>
      <c r="Q882" s="1106"/>
      <c r="R882" s="1921"/>
      <c r="S882" s="1648"/>
      <c r="T882" s="1648"/>
      <c r="U882" s="1648"/>
      <c r="V882" s="1648"/>
      <c r="W882" s="1648"/>
      <c r="X882" s="1648"/>
      <c r="Y882" s="1146"/>
      <c r="Z882" s="2114">
        <f>C882-'Blocking-Step2'!C882</f>
        <v>0</v>
      </c>
      <c r="AA882" s="2114">
        <f>D882-'Blocking-Step2'!D882</f>
        <v>0</v>
      </c>
      <c r="AC882" s="2114">
        <f>F882-'Blocking-Step2'!F882</f>
        <v>0</v>
      </c>
      <c r="AE882" s="2114">
        <f>H882-'Blocking-Step2'!H882</f>
        <v>0</v>
      </c>
      <c r="AF882" s="2114">
        <f>I882-'Blocking-Step2'!I882</f>
        <v>0</v>
      </c>
      <c r="AH882" s="2136">
        <f>K882-'Blocking-Step2'!K882</f>
        <v>0</v>
      </c>
      <c r="AJ882" s="2136">
        <f>M882-'Blocking-Step2'!M882</f>
        <v>0</v>
      </c>
      <c r="AL882" s="2136">
        <f>O882-'Blocking-Step2'!O882</f>
        <v>0</v>
      </c>
      <c r="AN882" s="2137">
        <f>Q882-'Blocking-Step2'!Q882</f>
        <v>0</v>
      </c>
      <c r="AP882" s="2127">
        <f>S882-'Blocking-Step2'!S882</f>
        <v>0</v>
      </c>
      <c r="AR882" s="2127">
        <f>U882-'Blocking-Step2'!U882</f>
        <v>0</v>
      </c>
      <c r="AT882" s="2127">
        <f>W882-'Blocking-Step2'!W882</f>
        <v>0</v>
      </c>
      <c r="AV882" s="2128">
        <f>Y882-'Blocking-Step2'!Y882</f>
        <v>0</v>
      </c>
    </row>
    <row r="883" spans="1:48" ht="16.5" hidden="1" thickTop="1">
      <c r="A883" s="1116" t="s">
        <v>246</v>
      </c>
      <c r="C883" s="1940">
        <v>-11805</v>
      </c>
      <c r="D883" s="1940">
        <v>0</v>
      </c>
      <c r="H883" s="1147">
        <v>-880</v>
      </c>
      <c r="I883" s="1147">
        <v>0</v>
      </c>
      <c r="Y883" s="1147">
        <v>0</v>
      </c>
      <c r="Z883" s="2114">
        <f>C883-'Blocking-Step2'!C883</f>
        <v>0</v>
      </c>
      <c r="AA883" s="2114">
        <f>D883-'Blocking-Step2'!D883</f>
        <v>0</v>
      </c>
      <c r="AC883" s="2114">
        <f>F883-'Blocking-Step2'!F883</f>
        <v>0</v>
      </c>
      <c r="AE883" s="2114">
        <f>H883-'Blocking-Step2'!H883</f>
        <v>0</v>
      </c>
      <c r="AF883" s="2114">
        <f>I883-'Blocking-Step2'!I883</f>
        <v>0</v>
      </c>
      <c r="AH883" s="2136">
        <f>K883-'Blocking-Step2'!K883</f>
        <v>0</v>
      </c>
      <c r="AJ883" s="2136">
        <f>M883-'Blocking-Step2'!M883</f>
        <v>0</v>
      </c>
      <c r="AL883" s="2136">
        <f>O883-'Blocking-Step2'!O883</f>
        <v>0</v>
      </c>
      <c r="AN883" s="2137">
        <f>Q883-'Blocking-Step2'!Q883</f>
        <v>0</v>
      </c>
      <c r="AP883" s="2127">
        <f>S883-'Blocking-Step2'!S883</f>
        <v>0</v>
      </c>
      <c r="AR883" s="2127">
        <f>U883-'Blocking-Step2'!U883</f>
        <v>0</v>
      </c>
      <c r="AT883" s="2127">
        <f>W883-'Blocking-Step2'!W883</f>
        <v>0</v>
      </c>
      <c r="AV883" s="2128">
        <f>Y883-'Blocking-Step2'!Y883</f>
        <v>0</v>
      </c>
    </row>
    <row r="884" spans="1:48" ht="16.5" hidden="1" thickTop="1">
      <c r="A884" s="1116" t="s">
        <v>1240</v>
      </c>
      <c r="C884" s="1024"/>
      <c r="D884" s="1024"/>
      <c r="F884" s="2076">
        <v>-3.61E-2</v>
      </c>
      <c r="G884" s="617"/>
      <c r="H884" s="1146">
        <v>-1866.8393000000001</v>
      </c>
      <c r="I884" s="1146">
        <v>0</v>
      </c>
      <c r="K884" s="2076"/>
      <c r="L884" s="617"/>
      <c r="M884" s="2076"/>
      <c r="N884" s="617"/>
      <c r="O884" s="2077" t="s">
        <v>2323</v>
      </c>
      <c r="P884" s="617"/>
      <c r="Q884" s="2076">
        <v>-2.76E-2</v>
      </c>
      <c r="R884" s="617"/>
      <c r="S884" s="1114"/>
      <c r="T884" s="1114"/>
      <c r="U884" s="1114"/>
      <c r="V884" s="1114"/>
      <c r="W884" s="1114"/>
      <c r="X884" s="1114"/>
      <c r="Y884" s="1146">
        <v>0</v>
      </c>
      <c r="Z884" s="2114">
        <f>C884-'Blocking-Step2'!C884</f>
        <v>0</v>
      </c>
      <c r="AA884" s="2114">
        <f>D884-'Blocking-Step2'!D884</f>
        <v>0</v>
      </c>
      <c r="AC884" s="2114">
        <f>F884-'Blocking-Step2'!F884</f>
        <v>0</v>
      </c>
      <c r="AE884" s="2114">
        <f>H884-'Blocking-Step2'!H884</f>
        <v>0</v>
      </c>
      <c r="AF884" s="2114">
        <f>I884-'Blocking-Step2'!I884</f>
        <v>0</v>
      </c>
      <c r="AH884" s="2136">
        <f>K884-'Blocking-Step2'!K884</f>
        <v>0</v>
      </c>
      <c r="AJ884" s="2136">
        <f>M884-'Blocking-Step2'!M884</f>
        <v>0</v>
      </c>
      <c r="AL884" s="2136" t="e">
        <f>O884-'Blocking-Step2'!O884</f>
        <v>#VALUE!</v>
      </c>
      <c r="AN884" s="2137">
        <f>Q884-'Blocking-Step2'!Q884</f>
        <v>0</v>
      </c>
      <c r="AP884" s="2127">
        <f>S884-'Blocking-Step2'!S884</f>
        <v>0</v>
      </c>
      <c r="AR884" s="2127">
        <f>U884-'Blocking-Step2'!U884</f>
        <v>0</v>
      </c>
      <c r="AT884" s="2127">
        <f>W884-'Blocking-Step2'!W884</f>
        <v>0</v>
      </c>
      <c r="AV884" s="2128">
        <f>Y884-'Blocking-Step2'!Y884</f>
        <v>0</v>
      </c>
    </row>
    <row r="885" spans="1:48" ht="16.5" hidden="1" thickTop="1">
      <c r="A885" s="1116"/>
      <c r="C885" s="1024"/>
      <c r="D885" s="1024"/>
      <c r="F885" s="2076"/>
      <c r="G885" s="617"/>
      <c r="H885" s="1146"/>
      <c r="I885" s="1146"/>
      <c r="K885" s="2076"/>
      <c r="L885" s="617"/>
      <c r="M885" s="2076"/>
      <c r="N885" s="617"/>
      <c r="O885" s="2077" t="s">
        <v>2324</v>
      </c>
      <c r="P885" s="617"/>
      <c r="Q885" s="2076">
        <v>-1.4999999999999999E-2</v>
      </c>
      <c r="R885" s="617"/>
      <c r="S885" s="1114"/>
      <c r="T885" s="1114"/>
      <c r="U885" s="1114"/>
      <c r="V885" s="1114"/>
      <c r="W885" s="1114"/>
      <c r="X885" s="1114"/>
      <c r="Y885" s="1146">
        <v>0</v>
      </c>
      <c r="Z885" s="2114">
        <f>C885-'Blocking-Step2'!C885</f>
        <v>0</v>
      </c>
      <c r="AA885" s="2114">
        <f>D885-'Blocking-Step2'!D885</f>
        <v>0</v>
      </c>
      <c r="AC885" s="2114">
        <f>F885-'Blocking-Step2'!F885</f>
        <v>0</v>
      </c>
      <c r="AE885" s="2114">
        <f>H885-'Blocking-Step2'!H885</f>
        <v>0</v>
      </c>
      <c r="AF885" s="2114">
        <f>I885-'Blocking-Step2'!I885</f>
        <v>0</v>
      </c>
      <c r="AH885" s="2136">
        <f>K885-'Blocking-Step2'!K885</f>
        <v>0</v>
      </c>
      <c r="AJ885" s="2136">
        <f>M885-'Blocking-Step2'!M885</f>
        <v>0</v>
      </c>
      <c r="AL885" s="2136" t="e">
        <f>O885-'Blocking-Step2'!O885</f>
        <v>#VALUE!</v>
      </c>
      <c r="AN885" s="2137">
        <f>Q885-'Blocking-Step2'!Q885</f>
        <v>0</v>
      </c>
      <c r="AP885" s="2127">
        <f>S885-'Blocking-Step2'!S885</f>
        <v>0</v>
      </c>
      <c r="AR885" s="2127">
        <f>U885-'Blocking-Step2'!U885</f>
        <v>0</v>
      </c>
      <c r="AT885" s="2127">
        <f>W885-'Blocking-Step2'!W885</f>
        <v>0</v>
      </c>
      <c r="AV885" s="2128">
        <f>Y885-'Blocking-Step2'!Y885</f>
        <v>0</v>
      </c>
    </row>
    <row r="886" spans="1:48" ht="17.25" hidden="1" thickTop="1" thickBot="1">
      <c r="A886" s="1116" t="s">
        <v>247</v>
      </c>
      <c r="C886" s="1138">
        <v>716439</v>
      </c>
      <c r="D886" s="1138">
        <v>0</v>
      </c>
      <c r="F886" s="1145"/>
      <c r="H886" s="1149">
        <v>56982.1607</v>
      </c>
      <c r="I886" s="1149">
        <v>0</v>
      </c>
      <c r="K886" s="1145"/>
      <c r="M886" s="1145"/>
      <c r="O886" s="1145"/>
      <c r="Q886" s="1145"/>
      <c r="S886" s="1149">
        <v>0</v>
      </c>
      <c r="U886" s="1149">
        <v>0</v>
      </c>
      <c r="W886" s="1149">
        <v>0</v>
      </c>
      <c r="Y886" s="1149">
        <v>0</v>
      </c>
      <c r="Z886" s="2114">
        <f>C886-'Blocking-Step2'!C886</f>
        <v>0</v>
      </c>
      <c r="AA886" s="2114">
        <f>D886-'Blocking-Step2'!D886</f>
        <v>0</v>
      </c>
      <c r="AC886" s="2114">
        <f>F886-'Blocking-Step2'!F886</f>
        <v>0</v>
      </c>
      <c r="AE886" s="2114">
        <f>H886-'Blocking-Step2'!H886</f>
        <v>0</v>
      </c>
      <c r="AF886" s="2114">
        <f>I886-'Blocking-Step2'!I886</f>
        <v>0</v>
      </c>
      <c r="AH886" s="2136">
        <f>K886-'Blocking-Step2'!K886</f>
        <v>0</v>
      </c>
      <c r="AJ886" s="2136">
        <f>M886-'Blocking-Step2'!M886</f>
        <v>0</v>
      </c>
      <c r="AL886" s="2136">
        <f>O886-'Blocking-Step2'!O886</f>
        <v>0</v>
      </c>
      <c r="AN886" s="2137">
        <f>Q886-'Blocking-Step2'!Q886</f>
        <v>0</v>
      </c>
      <c r="AP886" s="2127">
        <f>S886-'Blocking-Step2'!S886</f>
        <v>0</v>
      </c>
      <c r="AR886" s="2127">
        <f>U886-'Blocking-Step2'!U886</f>
        <v>0</v>
      </c>
      <c r="AT886" s="2127">
        <f>W886-'Blocking-Step2'!W886</f>
        <v>0</v>
      </c>
      <c r="AV886" s="2128">
        <f>Y886-'Blocking-Step2'!Y886</f>
        <v>0</v>
      </c>
    </row>
    <row r="887" spans="1:48" ht="16.5" thickTop="1">
      <c r="Z887" s="2114">
        <f>C887-'Blocking-Step2'!C887</f>
        <v>0</v>
      </c>
      <c r="AA887" s="2114">
        <f>D887-'Blocking-Step2'!D887</f>
        <v>0</v>
      </c>
      <c r="AC887" s="2114">
        <f>F887-'Blocking-Step2'!F887</f>
        <v>0</v>
      </c>
      <c r="AE887" s="2114">
        <f>H887-'Blocking-Step2'!H887</f>
        <v>0</v>
      </c>
      <c r="AF887" s="2114">
        <f>I887-'Blocking-Step2'!I887</f>
        <v>0</v>
      </c>
      <c r="AH887" s="2136">
        <f>K887-'Blocking-Step2'!K887</f>
        <v>0</v>
      </c>
      <c r="AJ887" s="2136">
        <f>M887-'Blocking-Step2'!M887</f>
        <v>0</v>
      </c>
      <c r="AL887" s="2136">
        <f>O887-'Blocking-Step2'!O887</f>
        <v>0</v>
      </c>
      <c r="AN887" s="2137">
        <f>Q887-'Blocking-Step2'!Q887</f>
        <v>0</v>
      </c>
      <c r="AP887" s="2127">
        <f>S887-'Blocking-Step2'!S887</f>
        <v>0</v>
      </c>
      <c r="AR887" s="2127">
        <f>U887-'Blocking-Step2'!U887</f>
        <v>0</v>
      </c>
      <c r="AT887" s="2127">
        <f>W887-'Blocking-Step2'!W887</f>
        <v>0</v>
      </c>
      <c r="AV887" s="2128">
        <f>Y887-'Blocking-Step2'!Y887</f>
        <v>0</v>
      </c>
    </row>
    <row r="888" spans="1:48">
      <c r="A888" s="1115" t="s">
        <v>764</v>
      </c>
      <c r="C888" s="1105"/>
      <c r="D888" s="1105"/>
      <c r="E888" s="617"/>
      <c r="J888" s="617"/>
      <c r="Z888" s="2114">
        <f>C888-'Blocking-Step2'!C888</f>
        <v>0</v>
      </c>
      <c r="AA888" s="2114">
        <f>D888-'Blocking-Step2'!D888</f>
        <v>0</v>
      </c>
      <c r="AC888" s="2114">
        <f>F888-'Blocking-Step2'!F888</f>
        <v>0</v>
      </c>
      <c r="AE888" s="2114">
        <f>H888-'Blocking-Step2'!H888</f>
        <v>0</v>
      </c>
      <c r="AF888" s="2114">
        <f>I888-'Blocking-Step2'!I888</f>
        <v>0</v>
      </c>
      <c r="AH888" s="2136">
        <f>K888-'Blocking-Step2'!K888</f>
        <v>0</v>
      </c>
      <c r="AJ888" s="2136">
        <f>M888-'Blocking-Step2'!M888</f>
        <v>0</v>
      </c>
      <c r="AL888" s="2136">
        <f>O888-'Blocking-Step2'!O888</f>
        <v>0</v>
      </c>
      <c r="AN888" s="2137">
        <f>Q888-'Blocking-Step2'!Q888</f>
        <v>0</v>
      </c>
      <c r="AP888" s="2127">
        <f>S888-'Blocking-Step2'!S888</f>
        <v>0</v>
      </c>
      <c r="AR888" s="2127">
        <f>U888-'Blocking-Step2'!U888</f>
        <v>0</v>
      </c>
      <c r="AT888" s="2127">
        <f>W888-'Blocking-Step2'!W888</f>
        <v>0</v>
      </c>
      <c r="AV888" s="2128">
        <f>Y888-'Blocking-Step2'!Y888</f>
        <v>0</v>
      </c>
    </row>
    <row r="889" spans="1:48">
      <c r="A889" s="1116" t="s">
        <v>240</v>
      </c>
      <c r="C889" s="1105">
        <v>186</v>
      </c>
      <c r="D889" s="1105">
        <v>192</v>
      </c>
      <c r="F889" s="1907">
        <v>54</v>
      </c>
      <c r="G889" s="1110"/>
      <c r="H889" s="1146">
        <v>10044</v>
      </c>
      <c r="I889" s="1146">
        <v>10368</v>
      </c>
      <c r="K889" s="1907">
        <v>54</v>
      </c>
      <c r="L889" s="1110"/>
      <c r="M889" s="1907">
        <v>0</v>
      </c>
      <c r="N889" s="1110"/>
      <c r="O889" s="1907">
        <v>0</v>
      </c>
      <c r="P889" s="1110"/>
      <c r="Q889" s="1907">
        <v>54</v>
      </c>
      <c r="R889" s="1110"/>
      <c r="S889" s="1146">
        <v>10368</v>
      </c>
      <c r="T889" s="1114"/>
      <c r="U889" s="1146">
        <v>0</v>
      </c>
      <c r="V889" s="1114"/>
      <c r="W889" s="1146">
        <v>0</v>
      </c>
      <c r="X889" s="1629"/>
      <c r="Y889" s="1146">
        <v>10368</v>
      </c>
      <c r="Z889" s="2114">
        <f>C889-'Blocking-Step2'!C889</f>
        <v>0</v>
      </c>
      <c r="AA889" s="2114">
        <f>D889-'Blocking-Step2'!D889</f>
        <v>0</v>
      </c>
      <c r="AC889" s="2114">
        <f>F889-'Blocking-Step2'!F889</f>
        <v>0</v>
      </c>
      <c r="AE889" s="2114">
        <f>H889-'Blocking-Step2'!H889</f>
        <v>0</v>
      </c>
      <c r="AF889" s="2114">
        <f>I889-'Blocking-Step2'!I889</f>
        <v>0</v>
      </c>
      <c r="AH889" s="2136">
        <f>K889-'Blocking-Step2'!K889</f>
        <v>0</v>
      </c>
      <c r="AJ889" s="2136">
        <f>M889-'Blocking-Step2'!M889</f>
        <v>0</v>
      </c>
      <c r="AL889" s="2136">
        <f>O889-'Blocking-Step2'!O889</f>
        <v>0</v>
      </c>
      <c r="AN889" s="2137">
        <f>Q889-'Blocking-Step2'!Q889</f>
        <v>0</v>
      </c>
      <c r="AP889" s="2127">
        <f>S889-'Blocking-Step2'!S889</f>
        <v>0</v>
      </c>
      <c r="AR889" s="2127">
        <f>U889-'Blocking-Step2'!U889</f>
        <v>0</v>
      </c>
      <c r="AT889" s="2127">
        <f>W889-'Blocking-Step2'!W889</f>
        <v>0</v>
      </c>
      <c r="AV889" s="2128">
        <f>Y889-'Blocking-Step2'!Y889</f>
        <v>0</v>
      </c>
    </row>
    <row r="890" spans="1:48">
      <c r="A890" s="1116" t="s">
        <v>262</v>
      </c>
      <c r="C890" s="1105">
        <v>0</v>
      </c>
      <c r="D890" s="1105">
        <v>0</v>
      </c>
      <c r="E890" s="617"/>
      <c r="F890" s="1907">
        <v>648</v>
      </c>
      <c r="G890" s="1110"/>
      <c r="H890" s="1146">
        <v>0</v>
      </c>
      <c r="I890" s="1146">
        <v>0</v>
      </c>
      <c r="J890" s="617"/>
      <c r="K890" s="1907">
        <v>648</v>
      </c>
      <c r="L890" s="1110"/>
      <c r="M890" s="1907">
        <v>0</v>
      </c>
      <c r="N890" s="1110"/>
      <c r="O890" s="1907">
        <v>0</v>
      </c>
      <c r="P890" s="1110"/>
      <c r="Q890" s="1907">
        <v>648</v>
      </c>
      <c r="R890" s="1110"/>
      <c r="S890" s="1146">
        <v>0</v>
      </c>
      <c r="T890" s="1114"/>
      <c r="U890" s="1146">
        <v>0</v>
      </c>
      <c r="V890" s="1114"/>
      <c r="W890" s="1146">
        <v>0</v>
      </c>
      <c r="X890" s="1629"/>
      <c r="Y890" s="1146">
        <v>0</v>
      </c>
      <c r="Z890" s="2114">
        <f>C890-'Blocking-Step2'!C890</f>
        <v>0</v>
      </c>
      <c r="AA890" s="2114">
        <f>D890-'Blocking-Step2'!D890</f>
        <v>0</v>
      </c>
      <c r="AC890" s="2114">
        <f>F890-'Blocking-Step2'!F890</f>
        <v>0</v>
      </c>
      <c r="AE890" s="2114">
        <f>H890-'Blocking-Step2'!H890</f>
        <v>0</v>
      </c>
      <c r="AF890" s="2114">
        <f>I890-'Blocking-Step2'!I890</f>
        <v>0</v>
      </c>
      <c r="AH890" s="2136">
        <f>K890-'Blocking-Step2'!K890</f>
        <v>0</v>
      </c>
      <c r="AJ890" s="2136">
        <f>M890-'Blocking-Step2'!M890</f>
        <v>0</v>
      </c>
      <c r="AL890" s="2136">
        <f>O890-'Blocking-Step2'!O890</f>
        <v>0</v>
      </c>
      <c r="AN890" s="2137">
        <f>Q890-'Blocking-Step2'!Q890</f>
        <v>0</v>
      </c>
      <c r="AP890" s="2127">
        <f>S890-'Blocking-Step2'!S890</f>
        <v>0</v>
      </c>
      <c r="AR890" s="2127">
        <f>U890-'Blocking-Step2'!U890</f>
        <v>0</v>
      </c>
      <c r="AT890" s="2127">
        <f>W890-'Blocking-Step2'!W890</f>
        <v>0</v>
      </c>
      <c r="AV890" s="2128">
        <f>Y890-'Blocking-Step2'!Y890</f>
        <v>0</v>
      </c>
    </row>
    <row r="891" spans="1:48">
      <c r="A891" s="1116" t="s">
        <v>168</v>
      </c>
      <c r="C891" s="1105">
        <v>14257</v>
      </c>
      <c r="D891" s="1105">
        <v>14844</v>
      </c>
      <c r="F891" s="1907">
        <v>4.04</v>
      </c>
      <c r="G891" s="1110"/>
      <c r="H891" s="1146">
        <v>57598</v>
      </c>
      <c r="I891" s="1146">
        <v>59970</v>
      </c>
      <c r="K891" s="1907">
        <v>4.03</v>
      </c>
      <c r="L891" s="1110"/>
      <c r="M891" s="1907">
        <v>0</v>
      </c>
      <c r="N891" s="1110"/>
      <c r="O891" s="1907">
        <v>0</v>
      </c>
      <c r="P891" s="1110"/>
      <c r="Q891" s="1907">
        <v>4.03</v>
      </c>
      <c r="R891" s="1110"/>
      <c r="S891" s="1146">
        <v>59821</v>
      </c>
      <c r="T891" s="1114"/>
      <c r="U891" s="1146">
        <v>0</v>
      </c>
      <c r="V891" s="1114"/>
      <c r="W891" s="1146">
        <v>0</v>
      </c>
      <c r="X891" s="1629"/>
      <c r="Y891" s="1146">
        <v>59821</v>
      </c>
      <c r="Z891" s="2114">
        <f>C891-'Blocking-Step2'!C891</f>
        <v>0</v>
      </c>
      <c r="AA891" s="2114">
        <f>D891-'Blocking-Step2'!D891</f>
        <v>0</v>
      </c>
      <c r="AC891" s="2114">
        <f>F891-'Blocking-Step2'!F891</f>
        <v>0</v>
      </c>
      <c r="AE891" s="2114">
        <f>H891-'Blocking-Step2'!H891</f>
        <v>0</v>
      </c>
      <c r="AF891" s="2114">
        <f>I891-'Blocking-Step2'!I891</f>
        <v>0</v>
      </c>
      <c r="AH891" s="2136">
        <f>K891-'Blocking-Step2'!K891</f>
        <v>0</v>
      </c>
      <c r="AJ891" s="2136">
        <f>M891-'Blocking-Step2'!M891</f>
        <v>0</v>
      </c>
      <c r="AL891" s="2136">
        <f>O891-'Blocking-Step2'!O891</f>
        <v>0</v>
      </c>
      <c r="AN891" s="2137">
        <f>Q891-'Blocking-Step2'!Q891</f>
        <v>0</v>
      </c>
      <c r="AP891" s="2127">
        <f>S891-'Blocking-Step2'!S891</f>
        <v>0</v>
      </c>
      <c r="AR891" s="2127">
        <f>U891-'Blocking-Step2'!U891</f>
        <v>0</v>
      </c>
      <c r="AT891" s="2127">
        <f>W891-'Blocking-Step2'!W891</f>
        <v>0</v>
      </c>
      <c r="AV891" s="2128">
        <f>Y891-'Blocking-Step2'!Y891</f>
        <v>0</v>
      </c>
    </row>
    <row r="892" spans="1:48">
      <c r="A892" s="1116" t="s">
        <v>1649</v>
      </c>
      <c r="C892" s="1105">
        <v>4160.3301148008668</v>
      </c>
      <c r="D892" s="1105">
        <v>4915</v>
      </c>
      <c r="F892" s="1142"/>
      <c r="G892" s="617"/>
      <c r="H892" s="1146"/>
      <c r="I892" s="1146"/>
      <c r="K892" s="1142">
        <v>0.51</v>
      </c>
      <c r="L892" s="617"/>
      <c r="M892" s="1142">
        <v>12.89</v>
      </c>
      <c r="N892" s="617"/>
      <c r="O892" s="1142">
        <v>0</v>
      </c>
      <c r="P892" s="617"/>
      <c r="Q892" s="1142">
        <v>13.4</v>
      </c>
      <c r="R892" s="617"/>
      <c r="S892" s="1146">
        <v>2507</v>
      </c>
      <c r="T892" s="1146"/>
      <c r="U892" s="1146">
        <v>63354</v>
      </c>
      <c r="V892" s="1146"/>
      <c r="W892" s="1146">
        <v>0</v>
      </c>
      <c r="X892" s="1114"/>
      <c r="Y892" s="1146">
        <v>65861</v>
      </c>
      <c r="Z892" s="2114">
        <f>C892-'Blocking-Step2'!C892</f>
        <v>0</v>
      </c>
      <c r="AA892" s="2114">
        <f>D892-'Blocking-Step2'!D892</f>
        <v>0</v>
      </c>
      <c r="AC892" s="2114">
        <f>F892-'Blocking-Step2'!F892</f>
        <v>0</v>
      </c>
      <c r="AE892" s="2114">
        <f>H892-'Blocking-Step2'!H892</f>
        <v>0</v>
      </c>
      <c r="AF892" s="2114">
        <f>I892-'Blocking-Step2'!I892</f>
        <v>0</v>
      </c>
      <c r="AH892" s="2136">
        <f>K892-'Blocking-Step2'!K892</f>
        <v>-5.83</v>
      </c>
      <c r="AJ892" s="2136">
        <f>M892-'Blocking-Step2'!M892</f>
        <v>5.83</v>
      </c>
      <c r="AL892" s="2136">
        <f>O892-'Blocking-Step2'!O892</f>
        <v>0</v>
      </c>
      <c r="AN892" s="2137">
        <f>Q892-'Blocking-Step2'!Q892</f>
        <v>0</v>
      </c>
      <c r="AP892" s="2127">
        <f>S892-'Blocking-Step2'!S892</f>
        <v>-28654</v>
      </c>
      <c r="AR892" s="2127">
        <f>U892-'Blocking-Step2'!U892</f>
        <v>28654</v>
      </c>
      <c r="AT892" s="2127">
        <f>W892-'Blocking-Step2'!W892</f>
        <v>0</v>
      </c>
      <c r="AV892" s="2128">
        <f>Y892-'Blocking-Step2'!Y892</f>
        <v>0</v>
      </c>
    </row>
    <row r="893" spans="1:48">
      <c r="A893" s="1116" t="s">
        <v>1650</v>
      </c>
      <c r="C893" s="1105">
        <v>7102.6696538572614</v>
      </c>
      <c r="D893" s="1105">
        <v>6971</v>
      </c>
      <c r="F893" s="1142"/>
      <c r="G893" s="617"/>
      <c r="H893" s="1146"/>
      <c r="I893" s="1146"/>
      <c r="K893" s="1142">
        <v>0.45</v>
      </c>
      <c r="L893" s="617"/>
      <c r="M893" s="1142">
        <v>11.41</v>
      </c>
      <c r="N893" s="617"/>
      <c r="O893" s="1142">
        <v>0</v>
      </c>
      <c r="P893" s="617"/>
      <c r="Q893" s="1142">
        <v>11.86</v>
      </c>
      <c r="R893" s="617"/>
      <c r="S893" s="1146">
        <v>3137</v>
      </c>
      <c r="T893" s="1146"/>
      <c r="U893" s="1146">
        <v>79539</v>
      </c>
      <c r="V893" s="1146"/>
      <c r="W893" s="1146">
        <v>0</v>
      </c>
      <c r="X893" s="1114"/>
      <c r="Y893" s="1146">
        <v>82676</v>
      </c>
      <c r="Z893" s="2114">
        <f>C893-'Blocking-Step2'!C893</f>
        <v>0</v>
      </c>
      <c r="AA893" s="2114">
        <f>D893-'Blocking-Step2'!D893</f>
        <v>0</v>
      </c>
      <c r="AC893" s="2114">
        <f>F893-'Blocking-Step2'!F893</f>
        <v>0</v>
      </c>
      <c r="AE893" s="2114">
        <f>H893-'Blocking-Step2'!H893</f>
        <v>0</v>
      </c>
      <c r="AF893" s="2114">
        <f>I893-'Blocking-Step2'!I893</f>
        <v>0</v>
      </c>
      <c r="AH893" s="2136">
        <f>K893-'Blocking-Step2'!K893</f>
        <v>-5.16</v>
      </c>
      <c r="AJ893" s="2136">
        <f>M893-'Blocking-Step2'!M893</f>
        <v>5.160000000000001</v>
      </c>
      <c r="AL893" s="2136">
        <f>O893-'Blocking-Step2'!O893</f>
        <v>0</v>
      </c>
      <c r="AN893" s="2137">
        <f>Q893-'Blocking-Step2'!Q893</f>
        <v>0</v>
      </c>
      <c r="AP893" s="2127">
        <f>S893-'Blocking-Step2'!S893</f>
        <v>-35970</v>
      </c>
      <c r="AR893" s="2127">
        <f>U893-'Blocking-Step2'!U893</f>
        <v>35970</v>
      </c>
      <c r="AT893" s="2127">
        <f>W893-'Blocking-Step2'!W893</f>
        <v>0</v>
      </c>
      <c r="AV893" s="2128">
        <f>Y893-'Blocking-Step2'!Y893</f>
        <v>0</v>
      </c>
    </row>
    <row r="894" spans="1:48">
      <c r="A894" s="1116" t="s">
        <v>1647</v>
      </c>
      <c r="C894" s="1105">
        <v>1116494.5635641532</v>
      </c>
      <c r="D894" s="1105">
        <v>1281170</v>
      </c>
      <c r="F894" s="1106"/>
      <c r="G894" s="1921"/>
      <c r="H894" s="1146"/>
      <c r="I894" s="1146"/>
      <c r="K894" s="1106">
        <v>0</v>
      </c>
      <c r="L894" s="1921" t="s">
        <v>495</v>
      </c>
      <c r="M894" s="1106">
        <v>1.6192</v>
      </c>
      <c r="N894" s="1921" t="s">
        <v>495</v>
      </c>
      <c r="O894" s="1106">
        <v>2.305570240802</v>
      </c>
      <c r="P894" s="1921" t="s">
        <v>495</v>
      </c>
      <c r="Q894" s="1106">
        <v>3.9247702408020002</v>
      </c>
      <c r="R894" s="1921" t="s">
        <v>495</v>
      </c>
      <c r="S894" s="1146">
        <v>0</v>
      </c>
      <c r="T894" s="1146"/>
      <c r="U894" s="1146">
        <v>20745</v>
      </c>
      <c r="V894" s="1146"/>
      <c r="W894" s="1146">
        <v>29538</v>
      </c>
      <c r="X894" s="1648"/>
      <c r="Y894" s="1146">
        <v>50283</v>
      </c>
      <c r="Z894" s="2114">
        <f>C894-'Blocking-Step2'!C894</f>
        <v>0</v>
      </c>
      <c r="AA894" s="2114">
        <f>D894-'Blocking-Step2'!D894</f>
        <v>0</v>
      </c>
      <c r="AC894" s="2114">
        <f>F894-'Blocking-Step2'!F894</f>
        <v>0</v>
      </c>
      <c r="AE894" s="2114">
        <f>H894-'Blocking-Step2'!H894</f>
        <v>0</v>
      </c>
      <c r="AF894" s="2114">
        <f>I894-'Blocking-Step2'!I894</f>
        <v>0</v>
      </c>
      <c r="AH894" s="2136">
        <f>K894-'Blocking-Step2'!K894</f>
        <v>0</v>
      </c>
      <c r="AJ894" s="2136">
        <f>M894-'Blocking-Step2'!M894</f>
        <v>0</v>
      </c>
      <c r="AL894" s="2136">
        <f>O894-'Blocking-Step2'!O894</f>
        <v>0</v>
      </c>
      <c r="AN894" s="2137">
        <f>Q894-'Blocking-Step2'!Q894</f>
        <v>0</v>
      </c>
      <c r="AP894" s="2127">
        <f>S894-'Blocking-Step2'!S894</f>
        <v>0</v>
      </c>
      <c r="AR894" s="2127">
        <f>U894-'Blocking-Step2'!U894</f>
        <v>0</v>
      </c>
      <c r="AT894" s="2127">
        <f>W894-'Blocking-Step2'!W894</f>
        <v>0</v>
      </c>
      <c r="AV894" s="2128">
        <f>Y894-'Blocking-Step2'!Y894</f>
        <v>0</v>
      </c>
    </row>
    <row r="895" spans="1:48">
      <c r="A895" s="1116" t="s">
        <v>1648</v>
      </c>
      <c r="C895" s="1105">
        <v>2191180.143108299</v>
      </c>
      <c r="D895" s="1105">
        <v>2099521</v>
      </c>
      <c r="F895" s="1106"/>
      <c r="G895" s="1921"/>
      <c r="H895" s="1146"/>
      <c r="I895" s="1146"/>
      <c r="K895" s="1106">
        <v>0</v>
      </c>
      <c r="L895" s="1921" t="s">
        <v>495</v>
      </c>
      <c r="M895" s="1106">
        <v>1.4329000000000001</v>
      </c>
      <c r="N895" s="1921" t="s">
        <v>495</v>
      </c>
      <c r="O895" s="1106">
        <v>2.0403480007099999</v>
      </c>
      <c r="P895" s="1921" t="s">
        <v>495</v>
      </c>
      <c r="Q895" s="1106">
        <v>3.4732480007099999</v>
      </c>
      <c r="R895" s="1921" t="s">
        <v>495</v>
      </c>
      <c r="S895" s="1146">
        <v>0</v>
      </c>
      <c r="T895" s="1146"/>
      <c r="U895" s="1146">
        <v>30084</v>
      </c>
      <c r="V895" s="1146"/>
      <c r="W895" s="1146">
        <v>42838</v>
      </c>
      <c r="X895" s="1648"/>
      <c r="Y895" s="1146">
        <v>72922</v>
      </c>
      <c r="Z895" s="2114">
        <f>C895-'Blocking-Step2'!C895</f>
        <v>0</v>
      </c>
      <c r="AA895" s="2114">
        <f>D895-'Blocking-Step2'!D895</f>
        <v>0</v>
      </c>
      <c r="AC895" s="2114">
        <f>F895-'Blocking-Step2'!F895</f>
        <v>0</v>
      </c>
      <c r="AE895" s="2114">
        <f>H895-'Blocking-Step2'!H895</f>
        <v>0</v>
      </c>
      <c r="AF895" s="2114">
        <f>I895-'Blocking-Step2'!I895</f>
        <v>0</v>
      </c>
      <c r="AH895" s="2136">
        <f>K895-'Blocking-Step2'!K895</f>
        <v>0</v>
      </c>
      <c r="AJ895" s="2136">
        <f>M895-'Blocking-Step2'!M895</f>
        <v>0</v>
      </c>
      <c r="AL895" s="2136">
        <f>O895-'Blocking-Step2'!O895</f>
        <v>0</v>
      </c>
      <c r="AN895" s="2137">
        <f>Q895-'Blocking-Step2'!Q895</f>
        <v>0</v>
      </c>
      <c r="AP895" s="2127">
        <f>S895-'Blocking-Step2'!S895</f>
        <v>0</v>
      </c>
      <c r="AR895" s="2127">
        <f>U895-'Blocking-Step2'!U895</f>
        <v>0</v>
      </c>
      <c r="AT895" s="2127">
        <f>W895-'Blocking-Step2'!W895</f>
        <v>0</v>
      </c>
      <c r="AV895" s="2128">
        <f>Y895-'Blocking-Step2'!Y895</f>
        <v>0</v>
      </c>
    </row>
    <row r="896" spans="1:48">
      <c r="A896" s="1116" t="s">
        <v>158</v>
      </c>
      <c r="C896" s="1105">
        <v>5006.6367989056098</v>
      </c>
      <c r="D896" s="1105">
        <v>5072</v>
      </c>
      <c r="F896" s="1907">
        <v>14.62</v>
      </c>
      <c r="G896" s="1110"/>
      <c r="H896" s="1146">
        <v>73197</v>
      </c>
      <c r="I896" s="1146">
        <v>74153</v>
      </c>
      <c r="K896" s="1907"/>
      <c r="L896" s="1110"/>
      <c r="M896" s="1907"/>
      <c r="N896" s="1110"/>
      <c r="O896" s="1907"/>
      <c r="P896" s="1110"/>
      <c r="Q896" s="1907"/>
      <c r="R896" s="1110"/>
      <c r="S896" s="1146"/>
      <c r="T896" s="1114"/>
      <c r="U896" s="1146"/>
      <c r="V896" s="1114"/>
      <c r="W896" s="1146"/>
      <c r="X896" s="1629"/>
      <c r="Y896" s="1146"/>
      <c r="Z896" s="2114">
        <f>C896-'Blocking-Step2'!C896</f>
        <v>0</v>
      </c>
      <c r="AA896" s="2114">
        <f>D896-'Blocking-Step2'!D896</f>
        <v>0</v>
      </c>
      <c r="AC896" s="2114">
        <f>F896-'Blocking-Step2'!F896</f>
        <v>0</v>
      </c>
      <c r="AE896" s="2114">
        <f>H896-'Blocking-Step2'!H896</f>
        <v>0</v>
      </c>
      <c r="AF896" s="2114">
        <f>I896-'Blocking-Step2'!I896</f>
        <v>0</v>
      </c>
      <c r="AH896" s="2136">
        <f>K896-'Blocking-Step2'!K896</f>
        <v>0</v>
      </c>
      <c r="AJ896" s="2136">
        <f>M896-'Blocking-Step2'!M896</f>
        <v>0</v>
      </c>
      <c r="AL896" s="2136">
        <f>O896-'Blocking-Step2'!O896</f>
        <v>0</v>
      </c>
      <c r="AN896" s="2137">
        <f>Q896-'Blocking-Step2'!Q896</f>
        <v>0</v>
      </c>
      <c r="AP896" s="2127">
        <f>S896-'Blocking-Step2'!S896</f>
        <v>0</v>
      </c>
      <c r="AR896" s="2127">
        <f>U896-'Blocking-Step2'!U896</f>
        <v>0</v>
      </c>
      <c r="AT896" s="2127">
        <f>W896-'Blocking-Step2'!W896</f>
        <v>0</v>
      </c>
      <c r="AV896" s="2128">
        <f>Y896-'Blocking-Step2'!Y896</f>
        <v>0</v>
      </c>
    </row>
    <row r="897" spans="1:48">
      <c r="A897" s="1116" t="s">
        <v>165</v>
      </c>
      <c r="C897" s="1105">
        <v>6256.3629697525175</v>
      </c>
      <c r="D897" s="1105">
        <v>6688</v>
      </c>
      <c r="F897" s="1907">
        <v>10.91</v>
      </c>
      <c r="G897" s="1110"/>
      <c r="H897" s="1146">
        <v>68257</v>
      </c>
      <c r="I897" s="1146">
        <v>72966</v>
      </c>
      <c r="K897" s="1907"/>
      <c r="L897" s="1110"/>
      <c r="M897" s="1907"/>
      <c r="N897" s="1110"/>
      <c r="O897" s="1907"/>
      <c r="P897" s="1110"/>
      <c r="Q897" s="1907"/>
      <c r="R897" s="1110"/>
      <c r="S897" s="1146"/>
      <c r="T897" s="1114"/>
      <c r="U897" s="1146"/>
      <c r="V897" s="1114"/>
      <c r="W897" s="1146"/>
      <c r="X897" s="1629"/>
      <c r="Y897" s="1146"/>
      <c r="Z897" s="2114">
        <f>C897-'Blocking-Step2'!C897</f>
        <v>0</v>
      </c>
      <c r="AA897" s="2114">
        <f>D897-'Blocking-Step2'!D897</f>
        <v>0</v>
      </c>
      <c r="AC897" s="2114">
        <f>F897-'Blocking-Step2'!F897</f>
        <v>0</v>
      </c>
      <c r="AE897" s="2114">
        <f>H897-'Blocking-Step2'!H897</f>
        <v>0</v>
      </c>
      <c r="AF897" s="2114">
        <f>I897-'Blocking-Step2'!I897</f>
        <v>0</v>
      </c>
      <c r="AH897" s="2136">
        <f>K897-'Blocking-Step2'!K897</f>
        <v>0</v>
      </c>
      <c r="AJ897" s="2136">
        <f>M897-'Blocking-Step2'!M897</f>
        <v>0</v>
      </c>
      <c r="AL897" s="2136">
        <f>O897-'Blocking-Step2'!O897</f>
        <v>0</v>
      </c>
      <c r="AN897" s="2137">
        <f>Q897-'Blocking-Step2'!Q897</f>
        <v>0</v>
      </c>
      <c r="AP897" s="2127">
        <f>S897-'Blocking-Step2'!S897</f>
        <v>0</v>
      </c>
      <c r="AR897" s="2127">
        <f>U897-'Blocking-Step2'!U897</f>
        <v>0</v>
      </c>
      <c r="AT897" s="2127">
        <f>W897-'Blocking-Step2'!W897</f>
        <v>0</v>
      </c>
      <c r="AV897" s="2128">
        <f>Y897-'Blocking-Step2'!Y897</f>
        <v>0</v>
      </c>
    </row>
    <row r="898" spans="1:48">
      <c r="A898" s="1116" t="s">
        <v>261</v>
      </c>
      <c r="C898" s="1105">
        <v>0</v>
      </c>
      <c r="D898" s="1105">
        <v>0</v>
      </c>
      <c r="F898" s="1907">
        <v>-0.96</v>
      </c>
      <c r="G898" s="1110"/>
      <c r="H898" s="1146">
        <v>0</v>
      </c>
      <c r="I898" s="1146">
        <v>0</v>
      </c>
      <c r="K898" s="1907">
        <v>-0.96</v>
      </c>
      <c r="L898" s="1110"/>
      <c r="M898" s="1907">
        <v>0</v>
      </c>
      <c r="N898" s="1110"/>
      <c r="O898" s="1907">
        <v>0</v>
      </c>
      <c r="P898" s="1110"/>
      <c r="Q898" s="1907">
        <v>-0.96</v>
      </c>
      <c r="R898" s="1110"/>
      <c r="S898" s="1146">
        <v>0</v>
      </c>
      <c r="T898" s="1146"/>
      <c r="U898" s="1146">
        <v>0</v>
      </c>
      <c r="V898" s="1146"/>
      <c r="W898" s="1146">
        <v>0</v>
      </c>
      <c r="X898" s="1629"/>
      <c r="Y898" s="1146">
        <v>0</v>
      </c>
      <c r="Z898" s="2114">
        <f>C898-'Blocking-Step2'!C898</f>
        <v>0</v>
      </c>
      <c r="AA898" s="2114">
        <f>D898-'Blocking-Step2'!D898</f>
        <v>0</v>
      </c>
      <c r="AC898" s="2114">
        <f>F898-'Blocking-Step2'!F898</f>
        <v>0</v>
      </c>
      <c r="AE898" s="2114">
        <f>H898-'Blocking-Step2'!H898</f>
        <v>0</v>
      </c>
      <c r="AF898" s="2114">
        <f>I898-'Blocking-Step2'!I898</f>
        <v>0</v>
      </c>
      <c r="AH898" s="2136">
        <f>K898-'Blocking-Step2'!K898</f>
        <v>0</v>
      </c>
      <c r="AJ898" s="2136">
        <f>M898-'Blocking-Step2'!M898</f>
        <v>0</v>
      </c>
      <c r="AL898" s="2136">
        <f>O898-'Blocking-Step2'!O898</f>
        <v>0</v>
      </c>
      <c r="AN898" s="2137">
        <f>Q898-'Blocking-Step2'!Q898</f>
        <v>0</v>
      </c>
      <c r="AP898" s="2127">
        <f>S898-'Blocking-Step2'!S898</f>
        <v>0</v>
      </c>
      <c r="AR898" s="2127">
        <f>U898-'Blocking-Step2'!U898</f>
        <v>0</v>
      </c>
      <c r="AT898" s="2127">
        <f>W898-'Blocking-Step2'!W898</f>
        <v>0</v>
      </c>
      <c r="AV898" s="2128">
        <f>Y898-'Blocking-Step2'!Y898</f>
        <v>0</v>
      </c>
    </row>
    <row r="899" spans="1:48">
      <c r="A899" s="1116" t="s">
        <v>1362</v>
      </c>
      <c r="C899" s="1105">
        <v>1374894.8539157421</v>
      </c>
      <c r="D899" s="1105">
        <v>1563144</v>
      </c>
      <c r="F899" s="1106">
        <v>3.8127</v>
      </c>
      <c r="G899" s="1921" t="s">
        <v>495</v>
      </c>
      <c r="H899" s="1146">
        <v>52421</v>
      </c>
      <c r="I899" s="1146">
        <v>59598</v>
      </c>
      <c r="K899" s="1106"/>
      <c r="L899" s="1921"/>
      <c r="M899" s="1106"/>
      <c r="N899" s="1921"/>
      <c r="O899" s="1106"/>
      <c r="P899" s="1921"/>
      <c r="Q899" s="1106"/>
      <c r="R899" s="1921"/>
      <c r="S899" s="1648"/>
      <c r="T899" s="1648"/>
      <c r="U899" s="1648"/>
      <c r="V899" s="1648"/>
      <c r="W899" s="1648"/>
      <c r="X899" s="1648"/>
      <c r="Y899" s="1146"/>
      <c r="Z899" s="2114">
        <f>C899-'Blocking-Step2'!C899</f>
        <v>0</v>
      </c>
      <c r="AA899" s="2114">
        <f>D899-'Blocking-Step2'!D899</f>
        <v>0</v>
      </c>
      <c r="AC899" s="2114">
        <f>F899-'Blocking-Step2'!F899</f>
        <v>0</v>
      </c>
      <c r="AE899" s="2114">
        <f>H899-'Blocking-Step2'!H899</f>
        <v>0</v>
      </c>
      <c r="AF899" s="2114">
        <f>I899-'Blocking-Step2'!I899</f>
        <v>0</v>
      </c>
      <c r="AH899" s="2136">
        <f>K899-'Blocking-Step2'!K899</f>
        <v>0</v>
      </c>
      <c r="AJ899" s="2136">
        <f>M899-'Blocking-Step2'!M899</f>
        <v>0</v>
      </c>
      <c r="AL899" s="2136">
        <f>O899-'Blocking-Step2'!O899</f>
        <v>0</v>
      </c>
      <c r="AN899" s="2137">
        <f>Q899-'Blocking-Step2'!Q899</f>
        <v>0</v>
      </c>
      <c r="AP899" s="2127">
        <f>S899-'Blocking-Step2'!S899</f>
        <v>0</v>
      </c>
      <c r="AR899" s="2127">
        <f>U899-'Blocking-Step2'!U899</f>
        <v>0</v>
      </c>
      <c r="AT899" s="2127">
        <f>W899-'Blocking-Step2'!W899</f>
        <v>0</v>
      </c>
      <c r="AV899" s="2128">
        <f>Y899-'Blocking-Step2'!Y899</f>
        <v>0</v>
      </c>
    </row>
    <row r="900" spans="1:48">
      <c r="A900" s="1116" t="s">
        <v>1363</v>
      </c>
      <c r="C900" s="1105">
        <v>1932779.8527567103</v>
      </c>
      <c r="D900" s="1105">
        <v>1817547</v>
      </c>
      <c r="F900" s="1106">
        <v>3.5143</v>
      </c>
      <c r="G900" s="1921" t="s">
        <v>495</v>
      </c>
      <c r="H900" s="1146">
        <v>67924</v>
      </c>
      <c r="I900" s="1146">
        <v>63874</v>
      </c>
      <c r="K900" s="1106"/>
      <c r="L900" s="1921"/>
      <c r="M900" s="1106"/>
      <c r="N900" s="1921"/>
      <c r="O900" s="1106"/>
      <c r="P900" s="1921"/>
      <c r="Q900" s="1106"/>
      <c r="R900" s="1921"/>
      <c r="S900" s="1648"/>
      <c r="T900" s="1648"/>
      <c r="U900" s="1648"/>
      <c r="V900" s="1648"/>
      <c r="W900" s="1648"/>
      <c r="X900" s="1648"/>
      <c r="Y900" s="1146"/>
      <c r="Z900" s="2114">
        <f>C900-'Blocking-Step2'!C900</f>
        <v>0</v>
      </c>
      <c r="AA900" s="2114">
        <f>D900-'Blocking-Step2'!D900</f>
        <v>0</v>
      </c>
      <c r="AC900" s="2114">
        <f>F900-'Blocking-Step2'!F900</f>
        <v>0</v>
      </c>
      <c r="AE900" s="2114">
        <f>H900-'Blocking-Step2'!H900</f>
        <v>0</v>
      </c>
      <c r="AF900" s="2114">
        <f>I900-'Blocking-Step2'!I900</f>
        <v>0</v>
      </c>
      <c r="AH900" s="2136">
        <f>K900-'Blocking-Step2'!K900</f>
        <v>0</v>
      </c>
      <c r="AJ900" s="2136">
        <f>M900-'Blocking-Step2'!M900</f>
        <v>0</v>
      </c>
      <c r="AL900" s="2136">
        <f>O900-'Blocking-Step2'!O900</f>
        <v>0</v>
      </c>
      <c r="AN900" s="2137">
        <f>Q900-'Blocking-Step2'!Q900</f>
        <v>0</v>
      </c>
      <c r="AP900" s="2127">
        <f>S900-'Blocking-Step2'!S900</f>
        <v>0</v>
      </c>
      <c r="AR900" s="2127">
        <f>U900-'Blocking-Step2'!U900</f>
        <v>0</v>
      </c>
      <c r="AT900" s="2127">
        <f>W900-'Blocking-Step2'!W900</f>
        <v>0</v>
      </c>
      <c r="AV900" s="2128">
        <f>Y900-'Blocking-Step2'!Y900</f>
        <v>0</v>
      </c>
    </row>
    <row r="901" spans="1:48">
      <c r="A901" s="1116" t="s">
        <v>246</v>
      </c>
      <c r="C901" s="1940">
        <v>17379</v>
      </c>
      <c r="D901" s="1940">
        <v>0</v>
      </c>
      <c r="H901" s="1147">
        <v>1831</v>
      </c>
      <c r="I901" s="1147">
        <v>0</v>
      </c>
      <c r="Y901" s="1147">
        <v>0</v>
      </c>
      <c r="Z901" s="2114">
        <f>C901-'Blocking-Step2'!C901</f>
        <v>0</v>
      </c>
      <c r="AA901" s="2114">
        <f>D901-'Blocking-Step2'!D901</f>
        <v>0</v>
      </c>
      <c r="AC901" s="2114">
        <f>F901-'Blocking-Step2'!F901</f>
        <v>0</v>
      </c>
      <c r="AE901" s="2114">
        <f>H901-'Blocking-Step2'!H901</f>
        <v>0</v>
      </c>
      <c r="AF901" s="2114">
        <f>I901-'Blocking-Step2'!I901</f>
        <v>0</v>
      </c>
      <c r="AH901" s="2136">
        <f>K901-'Blocking-Step2'!K901</f>
        <v>0</v>
      </c>
      <c r="AJ901" s="2136">
        <f>M901-'Blocking-Step2'!M901</f>
        <v>0</v>
      </c>
      <c r="AL901" s="2136">
        <f>O901-'Blocking-Step2'!O901</f>
        <v>0</v>
      </c>
      <c r="AN901" s="2137">
        <f>Q901-'Blocking-Step2'!Q901</f>
        <v>0</v>
      </c>
      <c r="AP901" s="2127">
        <f>S901-'Blocking-Step2'!S901</f>
        <v>0</v>
      </c>
      <c r="AR901" s="2127">
        <f>U901-'Blocking-Step2'!U901</f>
        <v>0</v>
      </c>
      <c r="AT901" s="2127">
        <f>W901-'Blocking-Step2'!W901</f>
        <v>0</v>
      </c>
      <c r="AV901" s="2128">
        <f>Y901-'Blocking-Step2'!Y901</f>
        <v>0</v>
      </c>
    </row>
    <row r="902" spans="1:48">
      <c r="A902" s="1116" t="s">
        <v>1240</v>
      </c>
      <c r="C902" s="1024"/>
      <c r="D902" s="1024"/>
      <c r="F902" s="2076">
        <v>-3.61E-2</v>
      </c>
      <c r="G902" s="617"/>
      <c r="H902" s="1146">
        <v>-9450.9439000000002</v>
      </c>
      <c r="I902" s="1146">
        <v>-9768.3351000000002</v>
      </c>
      <c r="K902" s="2076"/>
      <c r="L902" s="617"/>
      <c r="M902" s="2076"/>
      <c r="N902" s="617"/>
      <c r="O902" s="2077" t="s">
        <v>2323</v>
      </c>
      <c r="P902" s="617"/>
      <c r="Q902" s="2076">
        <v>-2.76E-2</v>
      </c>
      <c r="R902" s="617"/>
      <c r="S902" s="1114"/>
      <c r="T902" s="1114"/>
      <c r="U902" s="1114"/>
      <c r="V902" s="1114"/>
      <c r="W902" s="1114"/>
      <c r="X902" s="1114"/>
      <c r="Y902" s="1146">
        <v>-7500.0792000000001</v>
      </c>
      <c r="Z902" s="2114">
        <f>C902-'Blocking-Step2'!C902</f>
        <v>0</v>
      </c>
      <c r="AA902" s="2114">
        <f>D902-'Blocking-Step2'!D902</f>
        <v>0</v>
      </c>
      <c r="AC902" s="2114">
        <f>F902-'Blocking-Step2'!F902</f>
        <v>0</v>
      </c>
      <c r="AE902" s="2114">
        <f>H902-'Blocking-Step2'!H902</f>
        <v>0</v>
      </c>
      <c r="AF902" s="2114">
        <f>I902-'Blocking-Step2'!I902</f>
        <v>0</v>
      </c>
      <c r="AH902" s="2136">
        <f>K902-'Blocking-Step2'!K902</f>
        <v>0</v>
      </c>
      <c r="AJ902" s="2136">
        <f>M902-'Blocking-Step2'!M902</f>
        <v>0</v>
      </c>
      <c r="AL902" s="2136" t="e">
        <f>O902-'Blocking-Step2'!O902</f>
        <v>#VALUE!</v>
      </c>
      <c r="AN902" s="2137">
        <f>Q902-'Blocking-Step2'!Q902</f>
        <v>0</v>
      </c>
      <c r="AP902" s="2127">
        <f>S902-'Blocking-Step2'!S902</f>
        <v>0</v>
      </c>
      <c r="AR902" s="2127">
        <f>U902-'Blocking-Step2'!U902</f>
        <v>0</v>
      </c>
      <c r="AT902" s="2127">
        <f>W902-'Blocking-Step2'!W902</f>
        <v>0</v>
      </c>
      <c r="AV902" s="2128">
        <f>Y902-'Blocking-Step2'!Y902</f>
        <v>0</v>
      </c>
    </row>
    <row r="903" spans="1:48">
      <c r="A903" s="1116"/>
      <c r="C903" s="1024"/>
      <c r="D903" s="1024"/>
      <c r="F903" s="2076"/>
      <c r="G903" s="617"/>
      <c r="H903" s="1146"/>
      <c r="I903" s="1146"/>
      <c r="K903" s="2076"/>
      <c r="L903" s="617"/>
      <c r="M903" s="2076"/>
      <c r="N903" s="617"/>
      <c r="O903" s="2077" t="s">
        <v>2324</v>
      </c>
      <c r="P903" s="617"/>
      <c r="Q903" s="2076">
        <v>-1.4999999999999999E-2</v>
      </c>
      <c r="R903" s="617"/>
      <c r="S903" s="1114"/>
      <c r="T903" s="1114"/>
      <c r="U903" s="1114"/>
      <c r="V903" s="1114"/>
      <c r="W903" s="1114"/>
      <c r="X903" s="1114"/>
      <c r="Y903" s="1146">
        <v>-4076.1299999999997</v>
      </c>
      <c r="Z903" s="2114">
        <f>C903-'Blocking-Step2'!C903</f>
        <v>0</v>
      </c>
      <c r="AA903" s="2114">
        <f>D903-'Blocking-Step2'!D903</f>
        <v>0</v>
      </c>
      <c r="AC903" s="2114">
        <f>F903-'Blocking-Step2'!F903</f>
        <v>0</v>
      </c>
      <c r="AE903" s="2114">
        <f>H903-'Blocking-Step2'!H903</f>
        <v>0</v>
      </c>
      <c r="AF903" s="2114">
        <f>I903-'Blocking-Step2'!I903</f>
        <v>0</v>
      </c>
      <c r="AH903" s="2136">
        <f>K903-'Blocking-Step2'!K903</f>
        <v>0</v>
      </c>
      <c r="AJ903" s="2136">
        <f>M903-'Blocking-Step2'!M903</f>
        <v>0</v>
      </c>
      <c r="AL903" s="2136" t="e">
        <f>O903-'Blocking-Step2'!O903</f>
        <v>#VALUE!</v>
      </c>
      <c r="AN903" s="2137">
        <f>Q903-'Blocking-Step2'!Q903</f>
        <v>0</v>
      </c>
      <c r="AP903" s="2127">
        <f>S903-'Blocking-Step2'!S903</f>
        <v>0</v>
      </c>
      <c r="AR903" s="2127">
        <f>U903-'Blocking-Step2'!U903</f>
        <v>0</v>
      </c>
      <c r="AT903" s="2127">
        <f>W903-'Blocking-Step2'!W903</f>
        <v>0</v>
      </c>
      <c r="AV903" s="2128">
        <f>Y903-'Blocking-Step2'!Y903</f>
        <v>0</v>
      </c>
    </row>
    <row r="904" spans="1:48" ht="16.5" thickBot="1">
      <c r="A904" s="1116" t="s">
        <v>247</v>
      </c>
      <c r="C904" s="1138">
        <v>3325053.7066724524</v>
      </c>
      <c r="D904" s="1138">
        <v>3380691</v>
      </c>
      <c r="F904" s="1145"/>
      <c r="H904" s="1149">
        <v>321821.05609999999</v>
      </c>
      <c r="I904" s="1149">
        <v>331160.66489999997</v>
      </c>
      <c r="K904" s="1145"/>
      <c r="M904" s="1145"/>
      <c r="O904" s="1145"/>
      <c r="Q904" s="1145"/>
      <c r="S904" s="1149">
        <v>75833</v>
      </c>
      <c r="U904" s="1149">
        <v>193722</v>
      </c>
      <c r="W904" s="1149">
        <v>72376</v>
      </c>
      <c r="Y904" s="1149">
        <v>341931</v>
      </c>
      <c r="Z904" s="2114">
        <f>C904-'Blocking-Step2'!C904</f>
        <v>0</v>
      </c>
      <c r="AA904" s="2114">
        <f>D904-'Blocking-Step2'!D904</f>
        <v>0</v>
      </c>
      <c r="AC904" s="2114">
        <f>F904-'Blocking-Step2'!F904</f>
        <v>0</v>
      </c>
      <c r="AE904" s="2114">
        <f>H904-'Blocking-Step2'!H904</f>
        <v>0</v>
      </c>
      <c r="AF904" s="2114">
        <f>I904-'Blocking-Step2'!I904</f>
        <v>0</v>
      </c>
      <c r="AH904" s="2136">
        <f>K904-'Blocking-Step2'!K904</f>
        <v>0</v>
      </c>
      <c r="AJ904" s="2136">
        <f>M904-'Blocking-Step2'!M904</f>
        <v>0</v>
      </c>
      <c r="AL904" s="2136">
        <f>O904-'Blocking-Step2'!O904</f>
        <v>0</v>
      </c>
      <c r="AN904" s="2137">
        <f>Q904-'Blocking-Step2'!Q904</f>
        <v>0</v>
      </c>
      <c r="AP904" s="2127">
        <f>S904-'Blocking-Step2'!S904</f>
        <v>-64624</v>
      </c>
      <c r="AR904" s="2127">
        <f>U904-'Blocking-Step2'!U904</f>
        <v>64624</v>
      </c>
      <c r="AT904" s="2127">
        <f>W904-'Blocking-Step2'!W904</f>
        <v>0</v>
      </c>
      <c r="AV904" s="2128">
        <f>Y904-'Blocking-Step2'!Y904</f>
        <v>0</v>
      </c>
    </row>
    <row r="905" spans="1:48" ht="16.5" hidden="1" thickTop="1">
      <c r="C905" s="1105"/>
      <c r="D905" s="1105"/>
      <c r="Z905" s="2114">
        <f>C905-'Blocking-Step2'!C905</f>
        <v>0</v>
      </c>
      <c r="AA905" s="2114">
        <f>D905-'Blocking-Step2'!D905</f>
        <v>0</v>
      </c>
      <c r="AC905" s="2114">
        <f>F905-'Blocking-Step2'!F905</f>
        <v>0</v>
      </c>
      <c r="AE905" s="2114">
        <f>H905-'Blocking-Step2'!H905</f>
        <v>0</v>
      </c>
      <c r="AF905" s="2114">
        <f>I905-'Blocking-Step2'!I905</f>
        <v>0</v>
      </c>
      <c r="AH905" s="2136">
        <f>K905-'Blocking-Step2'!K905</f>
        <v>0</v>
      </c>
      <c r="AJ905" s="2136">
        <f>M905-'Blocking-Step2'!M905</f>
        <v>0</v>
      </c>
      <c r="AL905" s="2136">
        <f>O905-'Blocking-Step2'!O905</f>
        <v>0</v>
      </c>
      <c r="AN905" s="2137">
        <f>Q905-'Blocking-Step2'!Q905</f>
        <v>0</v>
      </c>
      <c r="AP905" s="2127">
        <f>S905-'Blocking-Step2'!S905</f>
        <v>0</v>
      </c>
      <c r="AR905" s="2127">
        <f>U905-'Blocking-Step2'!U905</f>
        <v>0</v>
      </c>
      <c r="AT905" s="2127">
        <f>W905-'Blocking-Step2'!W905</f>
        <v>0</v>
      </c>
      <c r="AV905" s="2128">
        <f>Y905-'Blocking-Step2'!Y905</f>
        <v>0</v>
      </c>
    </row>
    <row r="906" spans="1:48" ht="16.5" hidden="1" thickTop="1">
      <c r="A906" s="1115" t="s">
        <v>983</v>
      </c>
      <c r="C906" s="1105"/>
      <c r="D906" s="1105"/>
      <c r="Z906" s="2114">
        <f>C906-'Blocking-Step2'!C906</f>
        <v>0</v>
      </c>
      <c r="AA906" s="2114">
        <f>D906-'Blocking-Step2'!D906</f>
        <v>0</v>
      </c>
      <c r="AC906" s="2114">
        <f>F906-'Blocking-Step2'!F906</f>
        <v>0</v>
      </c>
      <c r="AE906" s="2114">
        <f>H906-'Blocking-Step2'!H906</f>
        <v>0</v>
      </c>
      <c r="AF906" s="2114">
        <f>I906-'Blocking-Step2'!I906</f>
        <v>0</v>
      </c>
      <c r="AH906" s="2136">
        <f>K906-'Blocking-Step2'!K906</f>
        <v>0</v>
      </c>
      <c r="AJ906" s="2136">
        <f>M906-'Blocking-Step2'!M906</f>
        <v>0</v>
      </c>
      <c r="AL906" s="2136">
        <f>O906-'Blocking-Step2'!O906</f>
        <v>0</v>
      </c>
      <c r="AN906" s="2137">
        <f>Q906-'Blocking-Step2'!Q906</f>
        <v>0</v>
      </c>
      <c r="AP906" s="2127">
        <f>S906-'Blocking-Step2'!S906</f>
        <v>0</v>
      </c>
      <c r="AR906" s="2127">
        <f>U906-'Blocking-Step2'!U906</f>
        <v>0</v>
      </c>
      <c r="AT906" s="2127">
        <f>W906-'Blocking-Step2'!W906</f>
        <v>0</v>
      </c>
      <c r="AV906" s="2128">
        <f>Y906-'Blocking-Step2'!Y906</f>
        <v>0</v>
      </c>
    </row>
    <row r="907" spans="1:48" ht="16.5" hidden="1" thickTop="1">
      <c r="A907" s="2079" t="s">
        <v>240</v>
      </c>
      <c r="C907" s="1105">
        <v>14</v>
      </c>
      <c r="D907" s="1105">
        <v>12</v>
      </c>
      <c r="F907" s="1907">
        <v>54</v>
      </c>
      <c r="G907" s="1110"/>
      <c r="H907" s="1146">
        <v>756</v>
      </c>
      <c r="I907" s="1146">
        <v>648</v>
      </c>
      <c r="K907" s="1907">
        <v>54</v>
      </c>
      <c r="L907" s="1110"/>
      <c r="M907" s="1907">
        <v>0</v>
      </c>
      <c r="N907" s="1110"/>
      <c r="O907" s="1907">
        <v>0</v>
      </c>
      <c r="P907" s="1110"/>
      <c r="Q907" s="1907">
        <v>54</v>
      </c>
      <c r="R907" s="1110"/>
      <c r="S907" s="1146">
        <v>648</v>
      </c>
      <c r="T907" s="1114"/>
      <c r="U907" s="1146">
        <v>0</v>
      </c>
      <c r="V907" s="1114"/>
      <c r="W907" s="1146">
        <v>0</v>
      </c>
      <c r="X907" s="1629"/>
      <c r="Y907" s="1146">
        <v>648</v>
      </c>
      <c r="Z907" s="2114">
        <f>C907-'Blocking-Step2'!C907</f>
        <v>0</v>
      </c>
      <c r="AA907" s="2114">
        <f>D907-'Blocking-Step2'!D907</f>
        <v>0</v>
      </c>
      <c r="AC907" s="2114">
        <f>F907-'Blocking-Step2'!F907</f>
        <v>0</v>
      </c>
      <c r="AE907" s="2114">
        <f>H907-'Blocking-Step2'!H907</f>
        <v>0</v>
      </c>
      <c r="AF907" s="2114">
        <f>I907-'Blocking-Step2'!I907</f>
        <v>0</v>
      </c>
      <c r="AH907" s="2136">
        <f>K907-'Blocking-Step2'!K907</f>
        <v>0</v>
      </c>
      <c r="AJ907" s="2136">
        <f>M907-'Blocking-Step2'!M907</f>
        <v>0</v>
      </c>
      <c r="AL907" s="2136">
        <f>O907-'Blocking-Step2'!O907</f>
        <v>0</v>
      </c>
      <c r="AN907" s="2137">
        <f>Q907-'Blocking-Step2'!Q907</f>
        <v>0</v>
      </c>
      <c r="AP907" s="2127">
        <f>S907-'Blocking-Step2'!S907</f>
        <v>0</v>
      </c>
      <c r="AR907" s="2127">
        <f>U907-'Blocking-Step2'!U907</f>
        <v>0</v>
      </c>
      <c r="AT907" s="2127">
        <f>W907-'Blocking-Step2'!W907</f>
        <v>0</v>
      </c>
      <c r="AV907" s="2128">
        <f>Y907-'Blocking-Step2'!Y907</f>
        <v>0</v>
      </c>
    </row>
    <row r="908" spans="1:48" ht="16.5" hidden="1" thickTop="1">
      <c r="A908" s="1116" t="s">
        <v>262</v>
      </c>
      <c r="C908" s="1105">
        <v>0</v>
      </c>
      <c r="D908" s="1105">
        <v>0</v>
      </c>
      <c r="E908" s="617"/>
      <c r="F908" s="1907">
        <v>648</v>
      </c>
      <c r="G908" s="1110"/>
      <c r="H908" s="1146">
        <v>0</v>
      </c>
      <c r="I908" s="1146">
        <v>0</v>
      </c>
      <c r="J908" s="617"/>
      <c r="K908" s="1907">
        <v>648</v>
      </c>
      <c r="L908" s="1110"/>
      <c r="M908" s="1907">
        <v>0</v>
      </c>
      <c r="N908" s="1110"/>
      <c r="O908" s="1907">
        <v>0</v>
      </c>
      <c r="P908" s="1110"/>
      <c r="Q908" s="1907">
        <v>648</v>
      </c>
      <c r="R908" s="1110"/>
      <c r="S908" s="1146">
        <v>0</v>
      </c>
      <c r="T908" s="1114"/>
      <c r="U908" s="1146">
        <v>0</v>
      </c>
      <c r="V908" s="1114"/>
      <c r="W908" s="1146">
        <v>0</v>
      </c>
      <c r="X908" s="1629"/>
      <c r="Y908" s="1146">
        <v>0</v>
      </c>
      <c r="Z908" s="2114">
        <f>C908-'Blocking-Step2'!C908</f>
        <v>0</v>
      </c>
      <c r="AA908" s="2114">
        <f>D908-'Blocking-Step2'!D908</f>
        <v>0</v>
      </c>
      <c r="AC908" s="2114">
        <f>F908-'Blocking-Step2'!F908</f>
        <v>0</v>
      </c>
      <c r="AE908" s="2114">
        <f>H908-'Blocking-Step2'!H908</f>
        <v>0</v>
      </c>
      <c r="AF908" s="2114">
        <f>I908-'Blocking-Step2'!I908</f>
        <v>0</v>
      </c>
      <c r="AH908" s="2136">
        <f>K908-'Blocking-Step2'!K908</f>
        <v>0</v>
      </c>
      <c r="AJ908" s="2136">
        <f>M908-'Blocking-Step2'!M908</f>
        <v>0</v>
      </c>
      <c r="AL908" s="2136">
        <f>O908-'Blocking-Step2'!O908</f>
        <v>0</v>
      </c>
      <c r="AN908" s="2137">
        <f>Q908-'Blocking-Step2'!Q908</f>
        <v>0</v>
      </c>
      <c r="AP908" s="2127">
        <f>S908-'Blocking-Step2'!S908</f>
        <v>0</v>
      </c>
      <c r="AR908" s="2127">
        <f>U908-'Blocking-Step2'!U908</f>
        <v>0</v>
      </c>
      <c r="AT908" s="2127">
        <f>W908-'Blocking-Step2'!W908</f>
        <v>0</v>
      </c>
      <c r="AV908" s="2128">
        <f>Y908-'Blocking-Step2'!Y908</f>
        <v>0</v>
      </c>
    </row>
    <row r="909" spans="1:48" ht="16.5" hidden="1" thickTop="1">
      <c r="A909" s="1116" t="s">
        <v>168</v>
      </c>
      <c r="C909" s="1105">
        <v>279</v>
      </c>
      <c r="D909" s="1105">
        <v>363</v>
      </c>
      <c r="F909" s="1907">
        <v>4.04</v>
      </c>
      <c r="G909" s="1110"/>
      <c r="H909" s="1146">
        <v>1127</v>
      </c>
      <c r="I909" s="1146">
        <v>1467</v>
      </c>
      <c r="K909" s="1907">
        <v>4.03</v>
      </c>
      <c r="L909" s="1110"/>
      <c r="M909" s="1907">
        <v>0</v>
      </c>
      <c r="N909" s="1110"/>
      <c r="O909" s="1907">
        <v>0</v>
      </c>
      <c r="P909" s="1110"/>
      <c r="Q909" s="1907">
        <v>4.03</v>
      </c>
      <c r="R909" s="1110"/>
      <c r="S909" s="1146">
        <v>1463</v>
      </c>
      <c r="T909" s="1114"/>
      <c r="U909" s="1146">
        <v>0</v>
      </c>
      <c r="V909" s="1114"/>
      <c r="W909" s="1146">
        <v>0</v>
      </c>
      <c r="X909" s="1629"/>
      <c r="Y909" s="1146">
        <v>1463</v>
      </c>
      <c r="Z909" s="2114">
        <f>C909-'Blocking-Step2'!C909</f>
        <v>0</v>
      </c>
      <c r="AA909" s="2114">
        <f>D909-'Blocking-Step2'!D909</f>
        <v>0</v>
      </c>
      <c r="AC909" s="2114">
        <f>F909-'Blocking-Step2'!F909</f>
        <v>0</v>
      </c>
      <c r="AE909" s="2114">
        <f>H909-'Blocking-Step2'!H909</f>
        <v>0</v>
      </c>
      <c r="AF909" s="2114">
        <f>I909-'Blocking-Step2'!I909</f>
        <v>0</v>
      </c>
      <c r="AH909" s="2136">
        <f>K909-'Blocking-Step2'!K909</f>
        <v>0</v>
      </c>
      <c r="AJ909" s="2136">
        <f>M909-'Blocking-Step2'!M909</f>
        <v>0</v>
      </c>
      <c r="AL909" s="2136">
        <f>O909-'Blocking-Step2'!O909</f>
        <v>0</v>
      </c>
      <c r="AN909" s="2137">
        <f>Q909-'Blocking-Step2'!Q909</f>
        <v>0</v>
      </c>
      <c r="AP909" s="2127">
        <f>S909-'Blocking-Step2'!S909</f>
        <v>0</v>
      </c>
      <c r="AR909" s="2127">
        <f>U909-'Blocking-Step2'!U909</f>
        <v>0</v>
      </c>
      <c r="AT909" s="2127">
        <f>W909-'Blocking-Step2'!W909</f>
        <v>0</v>
      </c>
      <c r="AV909" s="2128">
        <f>Y909-'Blocking-Step2'!Y909</f>
        <v>0</v>
      </c>
    </row>
    <row r="910" spans="1:48" ht="16.5" hidden="1" thickTop="1">
      <c r="A910" s="1116" t="s">
        <v>1649</v>
      </c>
      <c r="C910" s="1105">
        <v>58.024799757320203</v>
      </c>
      <c r="D910" s="1105">
        <v>77</v>
      </c>
      <c r="F910" s="1142"/>
      <c r="G910" s="617"/>
      <c r="H910" s="1146"/>
      <c r="I910" s="1146"/>
      <c r="K910" s="1142">
        <v>0.51</v>
      </c>
      <c r="L910" s="617"/>
      <c r="M910" s="1142">
        <v>12.89</v>
      </c>
      <c r="N910" s="617"/>
      <c r="O910" s="1142">
        <v>0</v>
      </c>
      <c r="P910" s="617"/>
      <c r="Q910" s="1142">
        <v>13.4</v>
      </c>
      <c r="R910" s="617"/>
      <c r="S910" s="1146">
        <v>39</v>
      </c>
      <c r="T910" s="1146"/>
      <c r="U910" s="1146">
        <v>993</v>
      </c>
      <c r="V910" s="1146"/>
      <c r="W910" s="1146">
        <v>0</v>
      </c>
      <c r="X910" s="1114"/>
      <c r="Y910" s="1146">
        <v>1032</v>
      </c>
      <c r="Z910" s="2114">
        <f>C910-'Blocking-Step2'!C910</f>
        <v>0</v>
      </c>
      <c r="AA910" s="2114">
        <f>D910-'Blocking-Step2'!D910</f>
        <v>0</v>
      </c>
      <c r="AC910" s="2114">
        <f>F910-'Blocking-Step2'!F910</f>
        <v>0</v>
      </c>
      <c r="AE910" s="2114">
        <f>H910-'Blocking-Step2'!H910</f>
        <v>0</v>
      </c>
      <c r="AF910" s="2114">
        <f>I910-'Blocking-Step2'!I910</f>
        <v>0</v>
      </c>
      <c r="AH910" s="2136">
        <f>K910-'Blocking-Step2'!K910</f>
        <v>-5.83</v>
      </c>
      <c r="AJ910" s="2136">
        <f>M910-'Blocking-Step2'!M910</f>
        <v>5.83</v>
      </c>
      <c r="AL910" s="2136">
        <f>O910-'Blocking-Step2'!O910</f>
        <v>0</v>
      </c>
      <c r="AN910" s="2137">
        <f>Q910-'Blocking-Step2'!Q910</f>
        <v>0</v>
      </c>
      <c r="AP910" s="2127">
        <f>S910-'Blocking-Step2'!S910</f>
        <v>-449</v>
      </c>
      <c r="AR910" s="2127">
        <f>U910-'Blocking-Step2'!U910</f>
        <v>449</v>
      </c>
      <c r="AT910" s="2127">
        <f>W910-'Blocking-Step2'!W910</f>
        <v>0</v>
      </c>
      <c r="AV910" s="2128">
        <f>Y910-'Blocking-Step2'!Y910</f>
        <v>0</v>
      </c>
    </row>
    <row r="911" spans="1:48" ht="16.5" hidden="1" thickTop="1">
      <c r="A911" s="1116" t="s">
        <v>1650</v>
      </c>
      <c r="C911" s="1105">
        <v>11.97507610801749</v>
      </c>
      <c r="D911" s="1105">
        <v>15</v>
      </c>
      <c r="F911" s="1142"/>
      <c r="G911" s="617"/>
      <c r="H911" s="1146"/>
      <c r="I911" s="1146"/>
      <c r="K911" s="1142">
        <v>0.45</v>
      </c>
      <c r="L911" s="617"/>
      <c r="M911" s="1142">
        <v>11.41</v>
      </c>
      <c r="N911" s="617"/>
      <c r="O911" s="1142">
        <v>0</v>
      </c>
      <c r="P911" s="617"/>
      <c r="Q911" s="1142">
        <v>11.86</v>
      </c>
      <c r="R911" s="617"/>
      <c r="S911" s="1146">
        <v>7</v>
      </c>
      <c r="T911" s="1146"/>
      <c r="U911" s="1146">
        <v>171</v>
      </c>
      <c r="V911" s="1146"/>
      <c r="W911" s="1146">
        <v>0</v>
      </c>
      <c r="X911" s="1114"/>
      <c r="Y911" s="1146">
        <v>178</v>
      </c>
      <c r="Z911" s="2114">
        <f>C911-'Blocking-Step2'!C911</f>
        <v>0</v>
      </c>
      <c r="AA911" s="2114">
        <f>D911-'Blocking-Step2'!D911</f>
        <v>0</v>
      </c>
      <c r="AC911" s="2114">
        <f>F911-'Blocking-Step2'!F911</f>
        <v>0</v>
      </c>
      <c r="AE911" s="2114">
        <f>H911-'Blocking-Step2'!H911</f>
        <v>0</v>
      </c>
      <c r="AF911" s="2114">
        <f>I911-'Blocking-Step2'!I911</f>
        <v>0</v>
      </c>
      <c r="AH911" s="2136">
        <f>K911-'Blocking-Step2'!K911</f>
        <v>-5.16</v>
      </c>
      <c r="AJ911" s="2136">
        <f>M911-'Blocking-Step2'!M911</f>
        <v>5.160000000000001</v>
      </c>
      <c r="AL911" s="2136">
        <f>O911-'Blocking-Step2'!O911</f>
        <v>0</v>
      </c>
      <c r="AN911" s="2137">
        <f>Q911-'Blocking-Step2'!Q911</f>
        <v>0</v>
      </c>
      <c r="AP911" s="2127">
        <f>S911-'Blocking-Step2'!S911</f>
        <v>-77</v>
      </c>
      <c r="AR911" s="2127">
        <f>U911-'Blocking-Step2'!U911</f>
        <v>77</v>
      </c>
      <c r="AT911" s="2127">
        <f>W911-'Blocking-Step2'!W911</f>
        <v>0</v>
      </c>
      <c r="AV911" s="2128">
        <f>Y911-'Blocking-Step2'!Y911</f>
        <v>0</v>
      </c>
    </row>
    <row r="912" spans="1:48" ht="16.5" hidden="1" thickTop="1">
      <c r="A912" s="1116" t="s">
        <v>1647</v>
      </c>
      <c r="C912" s="1105">
        <v>19258.837638376383</v>
      </c>
      <c r="D912" s="1105">
        <v>25685</v>
      </c>
      <c r="F912" s="1106"/>
      <c r="G912" s="1921"/>
      <c r="H912" s="1146"/>
      <c r="I912" s="1146"/>
      <c r="K912" s="1106">
        <v>0</v>
      </c>
      <c r="L912" s="1921" t="s">
        <v>495</v>
      </c>
      <c r="M912" s="1106">
        <v>1.6192</v>
      </c>
      <c r="N912" s="1921" t="s">
        <v>495</v>
      </c>
      <c r="O912" s="1106">
        <v>2.305570240802</v>
      </c>
      <c r="P912" s="1921" t="s">
        <v>495</v>
      </c>
      <c r="Q912" s="1106">
        <v>3.9247702408020002</v>
      </c>
      <c r="R912" s="1921" t="s">
        <v>495</v>
      </c>
      <c r="S912" s="1146">
        <v>0</v>
      </c>
      <c r="T912" s="1146"/>
      <c r="U912" s="1146">
        <v>416</v>
      </c>
      <c r="V912" s="1146"/>
      <c r="W912" s="1146">
        <v>592</v>
      </c>
      <c r="X912" s="1648"/>
      <c r="Y912" s="1146">
        <v>1008</v>
      </c>
      <c r="Z912" s="2114">
        <f>C912-'Blocking-Step2'!C912</f>
        <v>0</v>
      </c>
      <c r="AA912" s="2114">
        <f>D912-'Blocking-Step2'!D912</f>
        <v>0</v>
      </c>
      <c r="AC912" s="2114">
        <f>F912-'Blocking-Step2'!F912</f>
        <v>0</v>
      </c>
      <c r="AE912" s="2114">
        <f>H912-'Blocking-Step2'!H912</f>
        <v>0</v>
      </c>
      <c r="AF912" s="2114">
        <f>I912-'Blocking-Step2'!I912</f>
        <v>0</v>
      </c>
      <c r="AH912" s="2136">
        <f>K912-'Blocking-Step2'!K912</f>
        <v>0</v>
      </c>
      <c r="AJ912" s="2136">
        <f>M912-'Blocking-Step2'!M912</f>
        <v>0</v>
      </c>
      <c r="AL912" s="2136">
        <f>O912-'Blocking-Step2'!O912</f>
        <v>0</v>
      </c>
      <c r="AN912" s="2137">
        <f>Q912-'Blocking-Step2'!Q912</f>
        <v>0</v>
      </c>
      <c r="AP912" s="2127">
        <f>S912-'Blocking-Step2'!S912</f>
        <v>0</v>
      </c>
      <c r="AR912" s="2127">
        <f>U912-'Blocking-Step2'!U912</f>
        <v>0</v>
      </c>
      <c r="AT912" s="2127">
        <f>W912-'Blocking-Step2'!W912</f>
        <v>0</v>
      </c>
      <c r="AV912" s="2128">
        <f>Y912-'Blocking-Step2'!Y912</f>
        <v>0</v>
      </c>
    </row>
    <row r="913" spans="1:48" ht="16.5" hidden="1" thickTop="1">
      <c r="A913" s="1116" t="s">
        <v>1648</v>
      </c>
      <c r="C913" s="1105">
        <v>6265.1623616236157</v>
      </c>
      <c r="D913" s="1105">
        <v>7681</v>
      </c>
      <c r="F913" s="1106"/>
      <c r="G913" s="1921"/>
      <c r="H913" s="1146"/>
      <c r="I913" s="1146"/>
      <c r="K913" s="1106">
        <v>0</v>
      </c>
      <c r="L913" s="1921" t="s">
        <v>495</v>
      </c>
      <c r="M913" s="1106">
        <v>1.4329000000000001</v>
      </c>
      <c r="N913" s="1921" t="s">
        <v>495</v>
      </c>
      <c r="O913" s="1106">
        <v>2.0403480007099999</v>
      </c>
      <c r="P913" s="1921" t="s">
        <v>495</v>
      </c>
      <c r="Q913" s="1106">
        <v>3.4732480007099999</v>
      </c>
      <c r="R913" s="1921" t="s">
        <v>495</v>
      </c>
      <c r="S913" s="1146">
        <v>0</v>
      </c>
      <c r="T913" s="1146"/>
      <c r="U913" s="1146">
        <v>110</v>
      </c>
      <c r="V913" s="1146"/>
      <c r="W913" s="1146">
        <v>157</v>
      </c>
      <c r="X913" s="1648"/>
      <c r="Y913" s="1146">
        <v>267</v>
      </c>
      <c r="Z913" s="2114">
        <f>C913-'Blocking-Step2'!C913</f>
        <v>0</v>
      </c>
      <c r="AA913" s="2114">
        <f>D913-'Blocking-Step2'!D913</f>
        <v>0</v>
      </c>
      <c r="AC913" s="2114">
        <f>F913-'Blocking-Step2'!F913</f>
        <v>0</v>
      </c>
      <c r="AE913" s="2114">
        <f>H913-'Blocking-Step2'!H913</f>
        <v>0</v>
      </c>
      <c r="AF913" s="2114">
        <f>I913-'Blocking-Step2'!I913</f>
        <v>0</v>
      </c>
      <c r="AH913" s="2136">
        <f>K913-'Blocking-Step2'!K913</f>
        <v>0</v>
      </c>
      <c r="AJ913" s="2136">
        <f>M913-'Blocking-Step2'!M913</f>
        <v>0</v>
      </c>
      <c r="AL913" s="2136">
        <f>O913-'Blocking-Step2'!O913</f>
        <v>0</v>
      </c>
      <c r="AN913" s="2137">
        <f>Q913-'Blocking-Step2'!Q913</f>
        <v>0</v>
      </c>
      <c r="AP913" s="2127">
        <f>S913-'Blocking-Step2'!S913</f>
        <v>0</v>
      </c>
      <c r="AR913" s="2127">
        <f>U913-'Blocking-Step2'!U913</f>
        <v>0</v>
      </c>
      <c r="AT913" s="2127">
        <f>W913-'Blocking-Step2'!W913</f>
        <v>0</v>
      </c>
      <c r="AV913" s="2128">
        <f>Y913-'Blocking-Step2'!Y913</f>
        <v>0</v>
      </c>
    </row>
    <row r="914" spans="1:48" ht="16.5" hidden="1" thickTop="1">
      <c r="A914" s="1116" t="s">
        <v>158</v>
      </c>
      <c r="C914" s="1105">
        <v>59.024623803009597</v>
      </c>
      <c r="D914" s="1105">
        <v>77</v>
      </c>
      <c r="F914" s="1907">
        <v>14.62</v>
      </c>
      <c r="G914" s="1110"/>
      <c r="H914" s="1146">
        <v>863</v>
      </c>
      <c r="I914" s="1146">
        <v>1126</v>
      </c>
      <c r="K914" s="1907"/>
      <c r="L914" s="1110"/>
      <c r="M914" s="1907"/>
      <c r="N914" s="1110"/>
      <c r="O914" s="1907"/>
      <c r="P914" s="1110"/>
      <c r="Q914" s="1907"/>
      <c r="R914" s="1110"/>
      <c r="S914" s="1146"/>
      <c r="T914" s="1114"/>
      <c r="U914" s="1146"/>
      <c r="V914" s="1114"/>
      <c r="W914" s="1146"/>
      <c r="X914" s="1629"/>
      <c r="Y914" s="1146"/>
      <c r="Z914" s="2114">
        <f>C914-'Blocking-Step2'!C914</f>
        <v>0</v>
      </c>
      <c r="AA914" s="2114">
        <f>D914-'Blocking-Step2'!D914</f>
        <v>0</v>
      </c>
      <c r="AC914" s="2114">
        <f>F914-'Blocking-Step2'!F914</f>
        <v>0</v>
      </c>
      <c r="AE914" s="2114">
        <f>H914-'Blocking-Step2'!H914</f>
        <v>0</v>
      </c>
      <c r="AF914" s="2114">
        <f>I914-'Blocking-Step2'!I914</f>
        <v>0</v>
      </c>
      <c r="AH914" s="2136">
        <f>K914-'Blocking-Step2'!K914</f>
        <v>0</v>
      </c>
      <c r="AJ914" s="2136">
        <f>M914-'Blocking-Step2'!M914</f>
        <v>0</v>
      </c>
      <c r="AL914" s="2136">
        <f>O914-'Blocking-Step2'!O914</f>
        <v>0</v>
      </c>
      <c r="AN914" s="2137">
        <f>Q914-'Blocking-Step2'!Q914</f>
        <v>0</v>
      </c>
      <c r="AP914" s="2127">
        <f>S914-'Blocking-Step2'!S914</f>
        <v>0</v>
      </c>
      <c r="AR914" s="2127">
        <f>U914-'Blocking-Step2'!U914</f>
        <v>0</v>
      </c>
      <c r="AT914" s="2127">
        <f>W914-'Blocking-Step2'!W914</f>
        <v>0</v>
      </c>
      <c r="AV914" s="2128">
        <f>Y914-'Blocking-Step2'!Y914</f>
        <v>0</v>
      </c>
    </row>
    <row r="915" spans="1:48" ht="16.5" hidden="1" thickTop="1">
      <c r="A915" s="1116" t="s">
        <v>165</v>
      </c>
      <c r="C915" s="1105">
        <v>10.975252062328099</v>
      </c>
      <c r="D915" s="1105">
        <v>14</v>
      </c>
      <c r="F915" s="1907">
        <v>10.91</v>
      </c>
      <c r="G915" s="1110"/>
      <c r="H915" s="1146">
        <v>120</v>
      </c>
      <c r="I915" s="1146">
        <v>153</v>
      </c>
      <c r="K915" s="1907"/>
      <c r="L915" s="1110"/>
      <c r="M915" s="1907"/>
      <c r="N915" s="1110"/>
      <c r="O915" s="1907"/>
      <c r="P915" s="1110"/>
      <c r="Q915" s="1907"/>
      <c r="R915" s="1110"/>
      <c r="S915" s="1146"/>
      <c r="T915" s="1114"/>
      <c r="U915" s="1146"/>
      <c r="V915" s="1114"/>
      <c r="W915" s="1146"/>
      <c r="X915" s="1629"/>
      <c r="Y915" s="1146"/>
      <c r="Z915" s="2114">
        <f>C915-'Blocking-Step2'!C915</f>
        <v>0</v>
      </c>
      <c r="AA915" s="2114">
        <f>D915-'Blocking-Step2'!D915</f>
        <v>0</v>
      </c>
      <c r="AC915" s="2114">
        <f>F915-'Blocking-Step2'!F915</f>
        <v>0</v>
      </c>
      <c r="AE915" s="2114">
        <f>H915-'Blocking-Step2'!H915</f>
        <v>0</v>
      </c>
      <c r="AF915" s="2114">
        <f>I915-'Blocking-Step2'!I915</f>
        <v>0</v>
      </c>
      <c r="AH915" s="2136">
        <f>K915-'Blocking-Step2'!K915</f>
        <v>0</v>
      </c>
      <c r="AJ915" s="2136">
        <f>M915-'Blocking-Step2'!M915</f>
        <v>0</v>
      </c>
      <c r="AL915" s="2136">
        <f>O915-'Blocking-Step2'!O915</f>
        <v>0</v>
      </c>
      <c r="AN915" s="2137">
        <f>Q915-'Blocking-Step2'!Q915</f>
        <v>0</v>
      </c>
      <c r="AP915" s="2127">
        <f>S915-'Blocking-Step2'!S915</f>
        <v>0</v>
      </c>
      <c r="AR915" s="2127">
        <f>U915-'Blocking-Step2'!U915</f>
        <v>0</v>
      </c>
      <c r="AT915" s="2127">
        <f>W915-'Blocking-Step2'!W915</f>
        <v>0</v>
      </c>
      <c r="AV915" s="2128">
        <f>Y915-'Blocking-Step2'!Y915</f>
        <v>0</v>
      </c>
    </row>
    <row r="916" spans="1:48" ht="16.5" hidden="1" thickTop="1">
      <c r="A916" s="1116" t="s">
        <v>261</v>
      </c>
      <c r="C916" s="1105">
        <v>0</v>
      </c>
      <c r="D916" s="1105">
        <v>0</v>
      </c>
      <c r="F916" s="1907">
        <v>-0.96</v>
      </c>
      <c r="G916" s="1110"/>
      <c r="H916" s="1146">
        <v>0</v>
      </c>
      <c r="I916" s="1146">
        <v>0</v>
      </c>
      <c r="K916" s="1907">
        <v>-0.96</v>
      </c>
      <c r="L916" s="1110"/>
      <c r="M916" s="1907">
        <v>0</v>
      </c>
      <c r="N916" s="1110"/>
      <c r="O916" s="1907">
        <v>0</v>
      </c>
      <c r="P916" s="1110"/>
      <c r="Q916" s="1907">
        <v>-0.96</v>
      </c>
      <c r="R916" s="1110"/>
      <c r="S916" s="1146">
        <v>0</v>
      </c>
      <c r="T916" s="1146"/>
      <c r="U916" s="1146">
        <v>0</v>
      </c>
      <c r="V916" s="1146"/>
      <c r="W916" s="1146">
        <v>0</v>
      </c>
      <c r="X916" s="1629"/>
      <c r="Y916" s="1146">
        <v>0</v>
      </c>
      <c r="Z916" s="2114">
        <f>C916-'Blocking-Step2'!C916</f>
        <v>0</v>
      </c>
      <c r="AA916" s="2114">
        <f>D916-'Blocking-Step2'!D916</f>
        <v>0</v>
      </c>
      <c r="AC916" s="2114">
        <f>F916-'Blocking-Step2'!F916</f>
        <v>0</v>
      </c>
      <c r="AE916" s="2114">
        <f>H916-'Blocking-Step2'!H916</f>
        <v>0</v>
      </c>
      <c r="AF916" s="2114">
        <f>I916-'Blocking-Step2'!I916</f>
        <v>0</v>
      </c>
      <c r="AH916" s="2136">
        <f>K916-'Blocking-Step2'!K916</f>
        <v>0</v>
      </c>
      <c r="AJ916" s="2136">
        <f>M916-'Blocking-Step2'!M916</f>
        <v>0</v>
      </c>
      <c r="AL916" s="2136">
        <f>O916-'Blocking-Step2'!O916</f>
        <v>0</v>
      </c>
      <c r="AN916" s="2137">
        <f>Q916-'Blocking-Step2'!Q916</f>
        <v>0</v>
      </c>
      <c r="AP916" s="2127">
        <f>S916-'Blocking-Step2'!S916</f>
        <v>0</v>
      </c>
      <c r="AR916" s="2127">
        <f>U916-'Blocking-Step2'!U916</f>
        <v>0</v>
      </c>
      <c r="AT916" s="2127">
        <f>W916-'Blocking-Step2'!W916</f>
        <v>0</v>
      </c>
      <c r="AV916" s="2128">
        <f>Y916-'Blocking-Step2'!Y916</f>
        <v>0</v>
      </c>
    </row>
    <row r="917" spans="1:48" ht="16.5" hidden="1" thickTop="1">
      <c r="A917" s="1116" t="s">
        <v>1362</v>
      </c>
      <c r="C917" s="1105">
        <v>20340</v>
      </c>
      <c r="D917" s="1105">
        <v>26592</v>
      </c>
      <c r="F917" s="1106">
        <v>3.8127</v>
      </c>
      <c r="G917" s="1921" t="s">
        <v>495</v>
      </c>
      <c r="H917" s="1146">
        <v>776</v>
      </c>
      <c r="I917" s="1146">
        <v>1014</v>
      </c>
      <c r="K917" s="1106"/>
      <c r="L917" s="1921"/>
      <c r="M917" s="1106"/>
      <c r="N917" s="1921"/>
      <c r="O917" s="1106"/>
      <c r="P917" s="1921"/>
      <c r="Q917" s="1106"/>
      <c r="R917" s="1921"/>
      <c r="S917" s="1648"/>
      <c r="T917" s="1648"/>
      <c r="U917" s="1648"/>
      <c r="V917" s="1648"/>
      <c r="W917" s="1648"/>
      <c r="X917" s="1648"/>
      <c r="Y917" s="1146"/>
      <c r="Z917" s="2114">
        <f>C917-'Blocking-Step2'!C917</f>
        <v>0</v>
      </c>
      <c r="AA917" s="2114">
        <f>D917-'Blocking-Step2'!D917</f>
        <v>0</v>
      </c>
      <c r="AC917" s="2114">
        <f>F917-'Blocking-Step2'!F917</f>
        <v>0</v>
      </c>
      <c r="AE917" s="2114">
        <f>H917-'Blocking-Step2'!H917</f>
        <v>0</v>
      </c>
      <c r="AF917" s="2114">
        <f>I917-'Blocking-Step2'!I917</f>
        <v>0</v>
      </c>
      <c r="AH917" s="2136">
        <f>K917-'Blocking-Step2'!K917</f>
        <v>0</v>
      </c>
      <c r="AJ917" s="2136">
        <f>M917-'Blocking-Step2'!M917</f>
        <v>0</v>
      </c>
      <c r="AL917" s="2136">
        <f>O917-'Blocking-Step2'!O917</f>
        <v>0</v>
      </c>
      <c r="AN917" s="2137">
        <f>Q917-'Blocking-Step2'!Q917</f>
        <v>0</v>
      </c>
      <c r="AP917" s="2127">
        <f>S917-'Blocking-Step2'!S917</f>
        <v>0</v>
      </c>
      <c r="AR917" s="2127">
        <f>U917-'Blocking-Step2'!U917</f>
        <v>0</v>
      </c>
      <c r="AT917" s="2127">
        <f>W917-'Blocking-Step2'!W917</f>
        <v>0</v>
      </c>
      <c r="AV917" s="2128">
        <f>Y917-'Blocking-Step2'!Y917</f>
        <v>0</v>
      </c>
    </row>
    <row r="918" spans="1:48" ht="16.5" hidden="1" thickTop="1">
      <c r="A918" s="1116" t="s">
        <v>1363</v>
      </c>
      <c r="C918" s="1105">
        <v>5184</v>
      </c>
      <c r="D918" s="1105">
        <v>6774</v>
      </c>
      <c r="F918" s="1106">
        <v>3.5143</v>
      </c>
      <c r="G918" s="1921" t="s">
        <v>495</v>
      </c>
      <c r="H918" s="1146">
        <v>182</v>
      </c>
      <c r="I918" s="1146">
        <v>238</v>
      </c>
      <c r="K918" s="1106"/>
      <c r="L918" s="1921"/>
      <c r="M918" s="1106"/>
      <c r="N918" s="1921"/>
      <c r="O918" s="1106"/>
      <c r="P918" s="1921"/>
      <c r="Q918" s="1106"/>
      <c r="R918" s="1921"/>
      <c r="S918" s="1648"/>
      <c r="T918" s="1648"/>
      <c r="U918" s="1648"/>
      <c r="V918" s="1648"/>
      <c r="W918" s="1648"/>
      <c r="X918" s="1648"/>
      <c r="Y918" s="1146"/>
      <c r="Z918" s="2114">
        <f>C918-'Blocking-Step2'!C918</f>
        <v>0</v>
      </c>
      <c r="AA918" s="2114">
        <f>D918-'Blocking-Step2'!D918</f>
        <v>0</v>
      </c>
      <c r="AC918" s="2114">
        <f>F918-'Blocking-Step2'!F918</f>
        <v>0</v>
      </c>
      <c r="AE918" s="2114">
        <f>H918-'Blocking-Step2'!H918</f>
        <v>0</v>
      </c>
      <c r="AF918" s="2114">
        <f>I918-'Blocking-Step2'!I918</f>
        <v>0</v>
      </c>
      <c r="AH918" s="2136">
        <f>K918-'Blocking-Step2'!K918</f>
        <v>0</v>
      </c>
      <c r="AJ918" s="2136">
        <f>M918-'Blocking-Step2'!M918</f>
        <v>0</v>
      </c>
      <c r="AL918" s="2136">
        <f>O918-'Blocking-Step2'!O918</f>
        <v>0</v>
      </c>
      <c r="AN918" s="2137">
        <f>Q918-'Blocking-Step2'!Q918</f>
        <v>0</v>
      </c>
      <c r="AP918" s="2127">
        <f>S918-'Blocking-Step2'!S918</f>
        <v>0</v>
      </c>
      <c r="AR918" s="2127">
        <f>U918-'Blocking-Step2'!U918</f>
        <v>0</v>
      </c>
      <c r="AT918" s="2127">
        <f>W918-'Blocking-Step2'!W918</f>
        <v>0</v>
      </c>
      <c r="AV918" s="2128">
        <f>Y918-'Blocking-Step2'!Y918</f>
        <v>0</v>
      </c>
    </row>
    <row r="919" spans="1:48" ht="16.5" hidden="1" thickTop="1">
      <c r="A919" s="1116" t="s">
        <v>246</v>
      </c>
      <c r="C919" s="1940">
        <v>144</v>
      </c>
      <c r="D919" s="1940">
        <v>0</v>
      </c>
      <c r="H919" s="1147">
        <v>23</v>
      </c>
      <c r="I919" s="1147">
        <v>0</v>
      </c>
      <c r="Y919" s="1147">
        <v>0</v>
      </c>
      <c r="Z919" s="2114">
        <f>C919-'Blocking-Step2'!C919</f>
        <v>0</v>
      </c>
      <c r="AA919" s="2114">
        <f>D919-'Blocking-Step2'!D919</f>
        <v>0</v>
      </c>
      <c r="AC919" s="2114">
        <f>F919-'Blocking-Step2'!F919</f>
        <v>0</v>
      </c>
      <c r="AE919" s="2114">
        <f>H919-'Blocking-Step2'!H919</f>
        <v>0</v>
      </c>
      <c r="AF919" s="2114">
        <f>I919-'Blocking-Step2'!I919</f>
        <v>0</v>
      </c>
      <c r="AH919" s="2136">
        <f>K919-'Blocking-Step2'!K919</f>
        <v>0</v>
      </c>
      <c r="AJ919" s="2136">
        <f>M919-'Blocking-Step2'!M919</f>
        <v>0</v>
      </c>
      <c r="AL919" s="2136">
        <f>O919-'Blocking-Step2'!O919</f>
        <v>0</v>
      </c>
      <c r="AN919" s="2137">
        <f>Q919-'Blocking-Step2'!Q919</f>
        <v>0</v>
      </c>
      <c r="AP919" s="2127">
        <f>S919-'Blocking-Step2'!S919</f>
        <v>0</v>
      </c>
      <c r="AR919" s="2127">
        <f>U919-'Blocking-Step2'!U919</f>
        <v>0</v>
      </c>
      <c r="AT919" s="2127">
        <f>W919-'Blocking-Step2'!W919</f>
        <v>0</v>
      </c>
      <c r="AV919" s="2128">
        <f>Y919-'Blocking-Step2'!Y919</f>
        <v>0</v>
      </c>
    </row>
    <row r="920" spans="1:48" ht="16.5" hidden="1" thickTop="1">
      <c r="A920" s="1116" t="s">
        <v>1240</v>
      </c>
      <c r="C920" s="1024"/>
      <c r="D920" s="1024"/>
      <c r="F920" s="2076">
        <v>-3.61E-2</v>
      </c>
      <c r="G920" s="617"/>
      <c r="H920" s="1146">
        <v>-70.070099999999996</v>
      </c>
      <c r="I920" s="1146">
        <v>-91.369100000000003</v>
      </c>
      <c r="K920" s="2076"/>
      <c r="L920" s="617"/>
      <c r="M920" s="2076"/>
      <c r="N920" s="617"/>
      <c r="O920" s="2077" t="s">
        <v>2323</v>
      </c>
      <c r="P920" s="617"/>
      <c r="Q920" s="2076">
        <v>-2.76E-2</v>
      </c>
      <c r="R920" s="617"/>
      <c r="S920" s="1114"/>
      <c r="T920" s="1114"/>
      <c r="U920" s="1114"/>
      <c r="V920" s="1114"/>
      <c r="W920" s="1114"/>
      <c r="X920" s="1114"/>
      <c r="Y920" s="1146">
        <v>-68.585999999999999</v>
      </c>
      <c r="Z920" s="2114">
        <f>C920-'Blocking-Step2'!C920</f>
        <v>0</v>
      </c>
      <c r="AA920" s="2114">
        <f>D920-'Blocking-Step2'!D920</f>
        <v>0</v>
      </c>
      <c r="AC920" s="2114">
        <f>F920-'Blocking-Step2'!F920</f>
        <v>0</v>
      </c>
      <c r="AE920" s="2114">
        <f>H920-'Blocking-Step2'!H920</f>
        <v>0</v>
      </c>
      <c r="AF920" s="2114">
        <f>I920-'Blocking-Step2'!I920</f>
        <v>0</v>
      </c>
      <c r="AH920" s="2136">
        <f>K920-'Blocking-Step2'!K920</f>
        <v>0</v>
      </c>
      <c r="AJ920" s="2136">
        <f>M920-'Blocking-Step2'!M920</f>
        <v>0</v>
      </c>
      <c r="AL920" s="2136" t="e">
        <f>O920-'Blocking-Step2'!O920</f>
        <v>#VALUE!</v>
      </c>
      <c r="AN920" s="2137">
        <f>Q920-'Blocking-Step2'!Q920</f>
        <v>0</v>
      </c>
      <c r="AP920" s="2127">
        <f>S920-'Blocking-Step2'!S920</f>
        <v>0</v>
      </c>
      <c r="AR920" s="2127">
        <f>U920-'Blocking-Step2'!U920</f>
        <v>0</v>
      </c>
      <c r="AT920" s="2127">
        <f>W920-'Blocking-Step2'!W920</f>
        <v>0</v>
      </c>
      <c r="AV920" s="2128">
        <f>Y920-'Blocking-Step2'!Y920</f>
        <v>0</v>
      </c>
    </row>
    <row r="921" spans="1:48" ht="16.5" hidden="1" thickTop="1">
      <c r="A921" s="1116"/>
      <c r="C921" s="1024"/>
      <c r="D921" s="1024"/>
      <c r="F921" s="2076"/>
      <c r="G921" s="617"/>
      <c r="H921" s="1146"/>
      <c r="I921" s="1146"/>
      <c r="K921" s="2076"/>
      <c r="L921" s="617"/>
      <c r="M921" s="2076"/>
      <c r="N921" s="617"/>
      <c r="O921" s="2077" t="s">
        <v>2324</v>
      </c>
      <c r="P921" s="617"/>
      <c r="Q921" s="2076">
        <v>-1.4999999999999999E-2</v>
      </c>
      <c r="R921" s="617"/>
      <c r="S921" s="1114"/>
      <c r="T921" s="1114"/>
      <c r="U921" s="1114"/>
      <c r="V921" s="1114"/>
      <c r="W921" s="1114"/>
      <c r="X921" s="1114"/>
      <c r="Y921" s="1146">
        <v>-37.274999999999999</v>
      </c>
      <c r="Z921" s="2114">
        <f>C921-'Blocking-Step2'!C921</f>
        <v>0</v>
      </c>
      <c r="AA921" s="2114">
        <f>D921-'Blocking-Step2'!D921</f>
        <v>0</v>
      </c>
      <c r="AC921" s="2114">
        <f>F921-'Blocking-Step2'!F921</f>
        <v>0</v>
      </c>
      <c r="AE921" s="2114">
        <f>H921-'Blocking-Step2'!H921</f>
        <v>0</v>
      </c>
      <c r="AF921" s="2114">
        <f>I921-'Blocking-Step2'!I921</f>
        <v>0</v>
      </c>
      <c r="AH921" s="2136">
        <f>K921-'Blocking-Step2'!K921</f>
        <v>0</v>
      </c>
      <c r="AJ921" s="2136">
        <f>M921-'Blocking-Step2'!M921</f>
        <v>0</v>
      </c>
      <c r="AL921" s="2136" t="e">
        <f>O921-'Blocking-Step2'!O921</f>
        <v>#VALUE!</v>
      </c>
      <c r="AN921" s="2137">
        <f>Q921-'Blocking-Step2'!Q921</f>
        <v>0</v>
      </c>
      <c r="AP921" s="2127">
        <f>S921-'Blocking-Step2'!S921</f>
        <v>0</v>
      </c>
      <c r="AR921" s="2127">
        <f>U921-'Blocking-Step2'!U921</f>
        <v>0</v>
      </c>
      <c r="AT921" s="2127">
        <f>W921-'Blocking-Step2'!W921</f>
        <v>0</v>
      </c>
      <c r="AV921" s="2128">
        <f>Y921-'Blocking-Step2'!Y921</f>
        <v>0</v>
      </c>
    </row>
    <row r="922" spans="1:48" ht="17.25" hidden="1" thickTop="1" thickBot="1">
      <c r="A922" s="1116" t="s">
        <v>247</v>
      </c>
      <c r="C922" s="1138">
        <v>25668</v>
      </c>
      <c r="D922" s="1138">
        <v>33366</v>
      </c>
      <c r="F922" s="1145"/>
      <c r="H922" s="1149">
        <v>3776.9299000000001</v>
      </c>
      <c r="I922" s="1149">
        <v>4554.6309000000001</v>
      </c>
      <c r="K922" s="1145"/>
      <c r="M922" s="1145"/>
      <c r="O922" s="1145"/>
      <c r="Q922" s="1145"/>
      <c r="S922" s="1149">
        <v>2157</v>
      </c>
      <c r="U922" s="1149">
        <v>1690</v>
      </c>
      <c r="W922" s="1149">
        <v>749</v>
      </c>
      <c r="Y922" s="1149">
        <v>4596</v>
      </c>
      <c r="Z922" s="2114">
        <f>C922-'Blocking-Step2'!C922</f>
        <v>0</v>
      </c>
      <c r="AA922" s="2114">
        <f>D922-'Blocking-Step2'!D922</f>
        <v>0</v>
      </c>
      <c r="AC922" s="2114">
        <f>F922-'Blocking-Step2'!F922</f>
        <v>0</v>
      </c>
      <c r="AE922" s="2114">
        <f>H922-'Blocking-Step2'!H922</f>
        <v>0</v>
      </c>
      <c r="AF922" s="2114">
        <f>I922-'Blocking-Step2'!I922</f>
        <v>0</v>
      </c>
      <c r="AH922" s="2136">
        <f>K922-'Blocking-Step2'!K922</f>
        <v>0</v>
      </c>
      <c r="AJ922" s="2136">
        <f>M922-'Blocking-Step2'!M922</f>
        <v>0</v>
      </c>
      <c r="AL922" s="2136">
        <f>O922-'Blocking-Step2'!O922</f>
        <v>0</v>
      </c>
      <c r="AN922" s="2137">
        <f>Q922-'Blocking-Step2'!Q922</f>
        <v>0</v>
      </c>
      <c r="AP922" s="2127">
        <f>S922-'Blocking-Step2'!S922</f>
        <v>-526</v>
      </c>
      <c r="AR922" s="2127">
        <f>U922-'Blocking-Step2'!U922</f>
        <v>526</v>
      </c>
      <c r="AT922" s="2127">
        <f>W922-'Blocking-Step2'!W922</f>
        <v>0</v>
      </c>
      <c r="AV922" s="2128">
        <f>Y922-'Blocking-Step2'!Y922</f>
        <v>0</v>
      </c>
    </row>
    <row r="923" spans="1:48" ht="16.5" hidden="1" thickTop="1">
      <c r="C923" s="1105"/>
      <c r="D923" s="1105"/>
      <c r="Z923" s="2114">
        <f>C923-'Blocking-Step2'!C923</f>
        <v>0</v>
      </c>
      <c r="AA923" s="2114">
        <f>D923-'Blocking-Step2'!D923</f>
        <v>0</v>
      </c>
      <c r="AC923" s="2114">
        <f>F923-'Blocking-Step2'!F923</f>
        <v>0</v>
      </c>
      <c r="AE923" s="2114">
        <f>H923-'Blocking-Step2'!H923</f>
        <v>0</v>
      </c>
      <c r="AF923" s="2114">
        <f>I923-'Blocking-Step2'!I923</f>
        <v>0</v>
      </c>
      <c r="AH923" s="2136">
        <f>K923-'Blocking-Step2'!K923</f>
        <v>0</v>
      </c>
      <c r="AJ923" s="2136">
        <f>M923-'Blocking-Step2'!M923</f>
        <v>0</v>
      </c>
      <c r="AL923" s="2136">
        <f>O923-'Blocking-Step2'!O923</f>
        <v>0</v>
      </c>
      <c r="AN923" s="2137">
        <f>Q923-'Blocking-Step2'!Q923</f>
        <v>0</v>
      </c>
      <c r="AP923" s="2127">
        <f>S923-'Blocking-Step2'!S923</f>
        <v>0</v>
      </c>
      <c r="AR923" s="2127">
        <f>U923-'Blocking-Step2'!U923</f>
        <v>0</v>
      </c>
      <c r="AT923" s="2127">
        <f>W923-'Blocking-Step2'!W923</f>
        <v>0</v>
      </c>
      <c r="AV923" s="2128">
        <f>Y923-'Blocking-Step2'!Y923</f>
        <v>0</v>
      </c>
    </row>
    <row r="924" spans="1:48" ht="16.5" hidden="1" thickTop="1">
      <c r="A924" s="1115" t="s">
        <v>555</v>
      </c>
      <c r="C924" s="1105"/>
      <c r="D924" s="1105"/>
      <c r="E924" s="617"/>
      <c r="J924" s="617"/>
      <c r="Z924" s="2114">
        <f>C924-'Blocking-Step2'!C924</f>
        <v>0</v>
      </c>
      <c r="AA924" s="2114">
        <f>D924-'Blocking-Step2'!D924</f>
        <v>0</v>
      </c>
      <c r="AC924" s="2114">
        <f>F924-'Blocking-Step2'!F924</f>
        <v>0</v>
      </c>
      <c r="AE924" s="2114">
        <f>H924-'Blocking-Step2'!H924</f>
        <v>0</v>
      </c>
      <c r="AF924" s="2114">
        <f>I924-'Blocking-Step2'!I924</f>
        <v>0</v>
      </c>
      <c r="AH924" s="2136">
        <f>K924-'Blocking-Step2'!K924</f>
        <v>0</v>
      </c>
      <c r="AJ924" s="2136">
        <f>M924-'Blocking-Step2'!M924</f>
        <v>0</v>
      </c>
      <c r="AL924" s="2136">
        <f>O924-'Blocking-Step2'!O924</f>
        <v>0</v>
      </c>
      <c r="AN924" s="2137">
        <f>Q924-'Blocking-Step2'!Q924</f>
        <v>0</v>
      </c>
      <c r="AP924" s="2127">
        <f>S924-'Blocking-Step2'!S924</f>
        <v>0</v>
      </c>
      <c r="AR924" s="2127">
        <f>U924-'Blocking-Step2'!U924</f>
        <v>0</v>
      </c>
      <c r="AT924" s="2127">
        <f>W924-'Blocking-Step2'!W924</f>
        <v>0</v>
      </c>
      <c r="AV924" s="2128">
        <f>Y924-'Blocking-Step2'!Y924</f>
        <v>0</v>
      </c>
    </row>
    <row r="925" spans="1:48" ht="16.5" hidden="1" thickTop="1">
      <c r="A925" s="1116" t="s">
        <v>240</v>
      </c>
      <c r="C925" s="1105">
        <v>168</v>
      </c>
      <c r="D925" s="1105">
        <v>168</v>
      </c>
      <c r="F925" s="1907">
        <v>54</v>
      </c>
      <c r="G925" s="1110"/>
      <c r="H925" s="1146">
        <v>9072</v>
      </c>
      <c r="I925" s="1146">
        <v>9072</v>
      </c>
      <c r="K925" s="1907">
        <v>54</v>
      </c>
      <c r="L925" s="1110"/>
      <c r="M925" s="1907">
        <v>0</v>
      </c>
      <c r="N925" s="1110"/>
      <c r="O925" s="1907">
        <v>0</v>
      </c>
      <c r="P925" s="1110"/>
      <c r="Q925" s="1907">
        <v>54</v>
      </c>
      <c r="R925" s="1110"/>
      <c r="S925" s="1146">
        <v>9072</v>
      </c>
      <c r="T925" s="1114"/>
      <c r="U925" s="1146">
        <v>0</v>
      </c>
      <c r="V925" s="1114"/>
      <c r="W925" s="1146">
        <v>0</v>
      </c>
      <c r="X925" s="1629"/>
      <c r="Y925" s="1146">
        <v>9072</v>
      </c>
      <c r="Z925" s="2114">
        <f>C925-'Blocking-Step2'!C925</f>
        <v>0</v>
      </c>
      <c r="AA925" s="2114">
        <f>D925-'Blocking-Step2'!D925</f>
        <v>0</v>
      </c>
      <c r="AC925" s="2114">
        <f>F925-'Blocking-Step2'!F925</f>
        <v>0</v>
      </c>
      <c r="AE925" s="2114">
        <f>H925-'Blocking-Step2'!H925</f>
        <v>0</v>
      </c>
      <c r="AF925" s="2114">
        <f>I925-'Blocking-Step2'!I925</f>
        <v>0</v>
      </c>
      <c r="AH925" s="2136">
        <f>K925-'Blocking-Step2'!K925</f>
        <v>0</v>
      </c>
      <c r="AJ925" s="2136">
        <f>M925-'Blocking-Step2'!M925</f>
        <v>0</v>
      </c>
      <c r="AL925" s="2136">
        <f>O925-'Blocking-Step2'!O925</f>
        <v>0</v>
      </c>
      <c r="AN925" s="2137">
        <f>Q925-'Blocking-Step2'!Q925</f>
        <v>0</v>
      </c>
      <c r="AP925" s="2127">
        <f>S925-'Blocking-Step2'!S925</f>
        <v>0</v>
      </c>
      <c r="AR925" s="2127">
        <f>U925-'Blocking-Step2'!U925</f>
        <v>0</v>
      </c>
      <c r="AT925" s="2127">
        <f>W925-'Blocking-Step2'!W925</f>
        <v>0</v>
      </c>
      <c r="AV925" s="2128">
        <f>Y925-'Blocking-Step2'!Y925</f>
        <v>0</v>
      </c>
    </row>
    <row r="926" spans="1:48" ht="16.5" hidden="1" thickTop="1">
      <c r="A926" s="1116" t="s">
        <v>262</v>
      </c>
      <c r="C926" s="1105">
        <v>0</v>
      </c>
      <c r="D926" s="1105">
        <v>0</v>
      </c>
      <c r="E926" s="617"/>
      <c r="F926" s="1907">
        <v>648</v>
      </c>
      <c r="G926" s="1110"/>
      <c r="H926" s="1146">
        <v>0</v>
      </c>
      <c r="I926" s="1146">
        <v>0</v>
      </c>
      <c r="J926" s="617"/>
      <c r="K926" s="1907">
        <v>648</v>
      </c>
      <c r="L926" s="1110"/>
      <c r="M926" s="1907">
        <v>0</v>
      </c>
      <c r="N926" s="1110"/>
      <c r="O926" s="1907">
        <v>0</v>
      </c>
      <c r="P926" s="1110"/>
      <c r="Q926" s="1907">
        <v>648</v>
      </c>
      <c r="R926" s="1110"/>
      <c r="S926" s="1146">
        <v>0</v>
      </c>
      <c r="T926" s="1114"/>
      <c r="U926" s="1146">
        <v>0</v>
      </c>
      <c r="V926" s="1114"/>
      <c r="W926" s="1146">
        <v>0</v>
      </c>
      <c r="X926" s="1629"/>
      <c r="Y926" s="1146">
        <v>0</v>
      </c>
      <c r="Z926" s="2114">
        <f>C926-'Blocking-Step2'!C926</f>
        <v>0</v>
      </c>
      <c r="AA926" s="2114">
        <f>D926-'Blocking-Step2'!D926</f>
        <v>0</v>
      </c>
      <c r="AC926" s="2114">
        <f>F926-'Blocking-Step2'!F926</f>
        <v>0</v>
      </c>
      <c r="AE926" s="2114">
        <f>H926-'Blocking-Step2'!H926</f>
        <v>0</v>
      </c>
      <c r="AF926" s="2114">
        <f>I926-'Blocking-Step2'!I926</f>
        <v>0</v>
      </c>
      <c r="AH926" s="2136">
        <f>K926-'Blocking-Step2'!K926</f>
        <v>0</v>
      </c>
      <c r="AJ926" s="2136">
        <f>M926-'Blocking-Step2'!M926</f>
        <v>0</v>
      </c>
      <c r="AL926" s="2136">
        <f>O926-'Blocking-Step2'!O926</f>
        <v>0</v>
      </c>
      <c r="AN926" s="2137">
        <f>Q926-'Blocking-Step2'!Q926</f>
        <v>0</v>
      </c>
      <c r="AP926" s="2127">
        <f>S926-'Blocking-Step2'!S926</f>
        <v>0</v>
      </c>
      <c r="AR926" s="2127">
        <f>U926-'Blocking-Step2'!U926</f>
        <v>0</v>
      </c>
      <c r="AT926" s="2127">
        <f>W926-'Blocking-Step2'!W926</f>
        <v>0</v>
      </c>
      <c r="AV926" s="2128">
        <f>Y926-'Blocking-Step2'!Y926</f>
        <v>0</v>
      </c>
    </row>
    <row r="927" spans="1:48" ht="16.5" hidden="1" thickTop="1">
      <c r="A927" s="1116" t="s">
        <v>168</v>
      </c>
      <c r="C927" s="1105">
        <v>13820</v>
      </c>
      <c r="D927" s="1105">
        <v>13953</v>
      </c>
      <c r="F927" s="1907">
        <v>4.04</v>
      </c>
      <c r="G927" s="1110"/>
      <c r="H927" s="1146">
        <v>55833</v>
      </c>
      <c r="I927" s="1146">
        <v>56370</v>
      </c>
      <c r="K927" s="1907">
        <v>4.03</v>
      </c>
      <c r="L927" s="1110"/>
      <c r="M927" s="1907">
        <v>0</v>
      </c>
      <c r="N927" s="1110"/>
      <c r="O927" s="1907">
        <v>0</v>
      </c>
      <c r="P927" s="1110"/>
      <c r="Q927" s="1907">
        <v>4.03</v>
      </c>
      <c r="R927" s="1110"/>
      <c r="S927" s="1146">
        <v>56231</v>
      </c>
      <c r="T927" s="1114"/>
      <c r="U927" s="1146">
        <v>0</v>
      </c>
      <c r="V927" s="1114"/>
      <c r="W927" s="1146">
        <v>0</v>
      </c>
      <c r="X927" s="1629"/>
      <c r="Y927" s="1146">
        <v>56231</v>
      </c>
      <c r="Z927" s="2114">
        <f>C927-'Blocking-Step2'!C927</f>
        <v>0</v>
      </c>
      <c r="AA927" s="2114">
        <f>D927-'Blocking-Step2'!D927</f>
        <v>0</v>
      </c>
      <c r="AC927" s="2114">
        <f>F927-'Blocking-Step2'!F927</f>
        <v>0</v>
      </c>
      <c r="AE927" s="2114">
        <f>H927-'Blocking-Step2'!H927</f>
        <v>0</v>
      </c>
      <c r="AF927" s="2114">
        <f>I927-'Blocking-Step2'!I927</f>
        <v>0</v>
      </c>
      <c r="AH927" s="2136">
        <f>K927-'Blocking-Step2'!K927</f>
        <v>0</v>
      </c>
      <c r="AJ927" s="2136">
        <f>M927-'Blocking-Step2'!M927</f>
        <v>0</v>
      </c>
      <c r="AL927" s="2136">
        <f>O927-'Blocking-Step2'!O927</f>
        <v>0</v>
      </c>
      <c r="AN927" s="2137">
        <f>Q927-'Blocking-Step2'!Q927</f>
        <v>0</v>
      </c>
      <c r="AP927" s="2127">
        <f>S927-'Blocking-Step2'!S927</f>
        <v>0</v>
      </c>
      <c r="AR927" s="2127">
        <f>U927-'Blocking-Step2'!U927</f>
        <v>0</v>
      </c>
      <c r="AT927" s="2127">
        <f>W927-'Blocking-Step2'!W927</f>
        <v>0</v>
      </c>
      <c r="AV927" s="2128">
        <f>Y927-'Blocking-Step2'!Y927</f>
        <v>0</v>
      </c>
    </row>
    <row r="928" spans="1:48" ht="16.5" hidden="1" thickTop="1">
      <c r="A928" s="1116" t="s">
        <v>1649</v>
      </c>
      <c r="C928" s="1105">
        <v>4102.3053150435462</v>
      </c>
      <c r="D928" s="1105">
        <v>4665</v>
      </c>
      <c r="F928" s="1142"/>
      <c r="G928" s="617"/>
      <c r="H928" s="1146"/>
      <c r="I928" s="1146"/>
      <c r="K928" s="1142">
        <v>0.51</v>
      </c>
      <c r="L928" s="617"/>
      <c r="M928" s="1142">
        <v>12.89</v>
      </c>
      <c r="N928" s="617"/>
      <c r="O928" s="1142">
        <v>0</v>
      </c>
      <c r="P928" s="617"/>
      <c r="Q928" s="1142">
        <v>13.4</v>
      </c>
      <c r="R928" s="617"/>
      <c r="S928" s="1146">
        <v>2379</v>
      </c>
      <c r="T928" s="1146"/>
      <c r="U928" s="1146">
        <v>60132</v>
      </c>
      <c r="V928" s="1146"/>
      <c r="W928" s="1146">
        <v>0</v>
      </c>
      <c r="X928" s="1114"/>
      <c r="Y928" s="1146">
        <v>62511</v>
      </c>
      <c r="Z928" s="2114">
        <f>C928-'Blocking-Step2'!C928</f>
        <v>0</v>
      </c>
      <c r="AA928" s="2114">
        <f>D928-'Blocking-Step2'!D928</f>
        <v>0</v>
      </c>
      <c r="AC928" s="2114">
        <f>F928-'Blocking-Step2'!F928</f>
        <v>0</v>
      </c>
      <c r="AE928" s="2114">
        <f>H928-'Blocking-Step2'!H928</f>
        <v>0</v>
      </c>
      <c r="AF928" s="2114">
        <f>I928-'Blocking-Step2'!I928</f>
        <v>0</v>
      </c>
      <c r="AH928" s="2136">
        <f>K928-'Blocking-Step2'!K928</f>
        <v>-5.83</v>
      </c>
      <c r="AJ928" s="2136">
        <f>M928-'Blocking-Step2'!M928</f>
        <v>5.83</v>
      </c>
      <c r="AL928" s="2136">
        <f>O928-'Blocking-Step2'!O928</f>
        <v>0</v>
      </c>
      <c r="AN928" s="2137">
        <f>Q928-'Blocking-Step2'!Q928</f>
        <v>0</v>
      </c>
      <c r="AP928" s="2127">
        <f>S928-'Blocking-Step2'!S928</f>
        <v>-27197</v>
      </c>
      <c r="AR928" s="2127">
        <f>U928-'Blocking-Step2'!U928</f>
        <v>27197</v>
      </c>
      <c r="AT928" s="2127">
        <f>W928-'Blocking-Step2'!W928</f>
        <v>0</v>
      </c>
      <c r="AV928" s="2128">
        <f>Y928-'Blocking-Step2'!Y928</f>
        <v>0</v>
      </c>
    </row>
    <row r="929" spans="1:48" ht="16.5" hidden="1" thickTop="1">
      <c r="A929" s="1116" t="s">
        <v>1650</v>
      </c>
      <c r="C929" s="1105">
        <v>6932.6945777492438</v>
      </c>
      <c r="D929" s="1105">
        <v>6610</v>
      </c>
      <c r="F929" s="1142"/>
      <c r="G929" s="617"/>
      <c r="H929" s="1146"/>
      <c r="I929" s="1146"/>
      <c r="K929" s="1142">
        <v>0.45</v>
      </c>
      <c r="L929" s="617"/>
      <c r="M929" s="1142">
        <v>11.41</v>
      </c>
      <c r="N929" s="617"/>
      <c r="O929" s="1142">
        <v>0</v>
      </c>
      <c r="P929" s="617"/>
      <c r="Q929" s="1142">
        <v>11.86</v>
      </c>
      <c r="R929" s="617"/>
      <c r="S929" s="1146">
        <v>2975</v>
      </c>
      <c r="T929" s="1146"/>
      <c r="U929" s="1146">
        <v>75420</v>
      </c>
      <c r="V929" s="1146"/>
      <c r="W929" s="1146">
        <v>0</v>
      </c>
      <c r="X929" s="1114"/>
      <c r="Y929" s="1146">
        <v>78395</v>
      </c>
      <c r="Z929" s="2114">
        <f>C929-'Blocking-Step2'!C929</f>
        <v>0</v>
      </c>
      <c r="AA929" s="2114">
        <f>D929-'Blocking-Step2'!D929</f>
        <v>0</v>
      </c>
      <c r="AC929" s="2114">
        <f>F929-'Blocking-Step2'!F929</f>
        <v>0</v>
      </c>
      <c r="AE929" s="2114">
        <f>H929-'Blocking-Step2'!H929</f>
        <v>0</v>
      </c>
      <c r="AF929" s="2114">
        <f>I929-'Blocking-Step2'!I929</f>
        <v>0</v>
      </c>
      <c r="AH929" s="2136">
        <f>K929-'Blocking-Step2'!K929</f>
        <v>-5.16</v>
      </c>
      <c r="AJ929" s="2136">
        <f>M929-'Blocking-Step2'!M929</f>
        <v>5.160000000000001</v>
      </c>
      <c r="AL929" s="2136">
        <f>O929-'Blocking-Step2'!O929</f>
        <v>0</v>
      </c>
      <c r="AN929" s="2137">
        <f>Q929-'Blocking-Step2'!Q929</f>
        <v>0</v>
      </c>
      <c r="AP929" s="2127">
        <f>S929-'Blocking-Step2'!S929</f>
        <v>-34107</v>
      </c>
      <c r="AR929" s="2127">
        <f>U929-'Blocking-Step2'!U929</f>
        <v>34107</v>
      </c>
      <c r="AT929" s="2127">
        <f>W929-'Blocking-Step2'!W929</f>
        <v>0</v>
      </c>
      <c r="AV929" s="2128">
        <f>Y929-'Blocking-Step2'!Y929</f>
        <v>0</v>
      </c>
    </row>
    <row r="930" spans="1:48" ht="16.5" hidden="1" thickTop="1">
      <c r="A930" s="1116" t="s">
        <v>1647</v>
      </c>
      <c r="C930" s="1105">
        <v>1097235.7259257769</v>
      </c>
      <c r="D930" s="1105">
        <v>1247725</v>
      </c>
      <c r="F930" s="1106"/>
      <c r="G930" s="1921"/>
      <c r="H930" s="1146"/>
      <c r="I930" s="1146"/>
      <c r="K930" s="1106">
        <v>0</v>
      </c>
      <c r="L930" s="1921" t="s">
        <v>495</v>
      </c>
      <c r="M930" s="1106">
        <v>1.6192</v>
      </c>
      <c r="N930" s="1921" t="s">
        <v>495</v>
      </c>
      <c r="O930" s="1106">
        <v>2.305570240802</v>
      </c>
      <c r="P930" s="1921" t="s">
        <v>495</v>
      </c>
      <c r="Q930" s="1106">
        <v>3.9247702408020002</v>
      </c>
      <c r="R930" s="1921" t="s">
        <v>495</v>
      </c>
      <c r="S930" s="1146">
        <v>0</v>
      </c>
      <c r="T930" s="1146"/>
      <c r="U930" s="1146">
        <v>20203</v>
      </c>
      <c r="V930" s="1146"/>
      <c r="W930" s="1146">
        <v>28767</v>
      </c>
      <c r="X930" s="1648"/>
      <c r="Y930" s="1146">
        <v>48970</v>
      </c>
      <c r="Z930" s="2114">
        <f>C930-'Blocking-Step2'!C930</f>
        <v>0</v>
      </c>
      <c r="AA930" s="2114">
        <f>D930-'Blocking-Step2'!D930</f>
        <v>0</v>
      </c>
      <c r="AC930" s="2114">
        <f>F930-'Blocking-Step2'!F930</f>
        <v>0</v>
      </c>
      <c r="AE930" s="2114">
        <f>H930-'Blocking-Step2'!H930</f>
        <v>0</v>
      </c>
      <c r="AF930" s="2114">
        <f>I930-'Blocking-Step2'!I930</f>
        <v>0</v>
      </c>
      <c r="AH930" s="2136">
        <f>K930-'Blocking-Step2'!K930</f>
        <v>0</v>
      </c>
      <c r="AJ930" s="2136">
        <f>M930-'Blocking-Step2'!M930</f>
        <v>0</v>
      </c>
      <c r="AL930" s="2136">
        <f>O930-'Blocking-Step2'!O930</f>
        <v>0</v>
      </c>
      <c r="AN930" s="2137">
        <f>Q930-'Blocking-Step2'!Q930</f>
        <v>0</v>
      </c>
      <c r="AP930" s="2127">
        <f>S930-'Blocking-Step2'!S930</f>
        <v>0</v>
      </c>
      <c r="AR930" s="2127">
        <f>U930-'Blocking-Step2'!U930</f>
        <v>0</v>
      </c>
      <c r="AT930" s="2127">
        <f>W930-'Blocking-Step2'!W930</f>
        <v>0</v>
      </c>
      <c r="AV930" s="2128">
        <f>Y930-'Blocking-Step2'!Y930</f>
        <v>0</v>
      </c>
    </row>
    <row r="931" spans="1:48" ht="16.5" hidden="1" thickTop="1">
      <c r="A931" s="1116" t="s">
        <v>1648</v>
      </c>
      <c r="C931" s="1105">
        <v>2177828.9807466753</v>
      </c>
      <c r="D931" s="1105">
        <v>2076320</v>
      </c>
      <c r="F931" s="1106"/>
      <c r="G931" s="1921"/>
      <c r="H931" s="1146"/>
      <c r="I931" s="1146"/>
      <c r="K931" s="1106">
        <v>0</v>
      </c>
      <c r="L931" s="1921" t="s">
        <v>495</v>
      </c>
      <c r="M931" s="1106">
        <v>1.4329000000000001</v>
      </c>
      <c r="N931" s="1921" t="s">
        <v>495</v>
      </c>
      <c r="O931" s="1106">
        <v>2.0403480007099999</v>
      </c>
      <c r="P931" s="1921" t="s">
        <v>495</v>
      </c>
      <c r="Q931" s="1106">
        <v>3.4732480007099999</v>
      </c>
      <c r="R931" s="1921" t="s">
        <v>495</v>
      </c>
      <c r="S931" s="1146">
        <v>0</v>
      </c>
      <c r="T931" s="1146"/>
      <c r="U931" s="1146">
        <v>29752</v>
      </c>
      <c r="V931" s="1146"/>
      <c r="W931" s="1146">
        <v>42364</v>
      </c>
      <c r="X931" s="1648"/>
      <c r="Y931" s="1146">
        <v>72116</v>
      </c>
      <c r="Z931" s="2114">
        <f>C931-'Blocking-Step2'!C931</f>
        <v>0</v>
      </c>
      <c r="AA931" s="2114">
        <f>D931-'Blocking-Step2'!D931</f>
        <v>0</v>
      </c>
      <c r="AC931" s="2114">
        <f>F931-'Blocking-Step2'!F931</f>
        <v>0</v>
      </c>
      <c r="AE931" s="2114">
        <f>H931-'Blocking-Step2'!H931</f>
        <v>0</v>
      </c>
      <c r="AF931" s="2114">
        <f>I931-'Blocking-Step2'!I931</f>
        <v>0</v>
      </c>
      <c r="AH931" s="2136">
        <f>K931-'Blocking-Step2'!K931</f>
        <v>0</v>
      </c>
      <c r="AJ931" s="2136">
        <f>M931-'Blocking-Step2'!M931</f>
        <v>0</v>
      </c>
      <c r="AL931" s="2136">
        <f>O931-'Blocking-Step2'!O931</f>
        <v>0</v>
      </c>
      <c r="AN931" s="2137">
        <f>Q931-'Blocking-Step2'!Q931</f>
        <v>0</v>
      </c>
      <c r="AP931" s="2127">
        <f>S931-'Blocking-Step2'!S931</f>
        <v>0</v>
      </c>
      <c r="AR931" s="2127">
        <f>U931-'Blocking-Step2'!U931</f>
        <v>0</v>
      </c>
      <c r="AT931" s="2127">
        <f>W931-'Blocking-Step2'!W931</f>
        <v>0</v>
      </c>
      <c r="AV931" s="2128">
        <f>Y931-'Blocking-Step2'!Y931</f>
        <v>0</v>
      </c>
    </row>
    <row r="932" spans="1:48" ht="16.5" hidden="1" thickTop="1">
      <c r="A932" s="1116" t="s">
        <v>158</v>
      </c>
      <c r="C932" s="1105">
        <v>4947.6121751026003</v>
      </c>
      <c r="D932" s="1105">
        <v>4995</v>
      </c>
      <c r="F932" s="1907">
        <v>14.62</v>
      </c>
      <c r="G932" s="1110"/>
      <c r="H932" s="1146">
        <v>72334</v>
      </c>
      <c r="I932" s="1146">
        <v>73027</v>
      </c>
      <c r="K932" s="1907"/>
      <c r="L932" s="1110"/>
      <c r="M932" s="1907"/>
      <c r="N932" s="1110"/>
      <c r="O932" s="1907"/>
      <c r="P932" s="1110"/>
      <c r="Q932" s="1907"/>
      <c r="R932" s="1110"/>
      <c r="S932" s="1146"/>
      <c r="T932" s="1114"/>
      <c r="U932" s="1146"/>
      <c r="V932" s="1114"/>
      <c r="W932" s="1146"/>
      <c r="X932" s="1629"/>
      <c r="Y932" s="1146"/>
      <c r="Z932" s="2114">
        <f>C932-'Blocking-Step2'!C932</f>
        <v>0</v>
      </c>
      <c r="AA932" s="2114">
        <f>D932-'Blocking-Step2'!D932</f>
        <v>0</v>
      </c>
      <c r="AC932" s="2114">
        <f>F932-'Blocking-Step2'!F932</f>
        <v>0</v>
      </c>
      <c r="AE932" s="2114">
        <f>H932-'Blocking-Step2'!H932</f>
        <v>0</v>
      </c>
      <c r="AF932" s="2114">
        <f>I932-'Blocking-Step2'!I932</f>
        <v>0</v>
      </c>
      <c r="AH932" s="2136">
        <f>K932-'Blocking-Step2'!K932</f>
        <v>0</v>
      </c>
      <c r="AJ932" s="2136">
        <f>M932-'Blocking-Step2'!M932</f>
        <v>0</v>
      </c>
      <c r="AL932" s="2136">
        <f>O932-'Blocking-Step2'!O932</f>
        <v>0</v>
      </c>
      <c r="AN932" s="2137">
        <f>Q932-'Blocking-Step2'!Q932</f>
        <v>0</v>
      </c>
      <c r="AP932" s="2127">
        <f>S932-'Blocking-Step2'!S932</f>
        <v>0</v>
      </c>
      <c r="AR932" s="2127">
        <f>U932-'Blocking-Step2'!U932</f>
        <v>0</v>
      </c>
      <c r="AT932" s="2127">
        <f>W932-'Blocking-Step2'!W932</f>
        <v>0</v>
      </c>
      <c r="AV932" s="2128">
        <f>Y932-'Blocking-Step2'!Y932</f>
        <v>0</v>
      </c>
    </row>
    <row r="933" spans="1:48" ht="16.5" hidden="1" thickTop="1">
      <c r="A933" s="1116" t="s">
        <v>165</v>
      </c>
      <c r="C933" s="1105">
        <v>6087.3877176901897</v>
      </c>
      <c r="D933" s="1105">
        <v>6146</v>
      </c>
      <c r="F933" s="1907">
        <v>10.91</v>
      </c>
      <c r="G933" s="1110"/>
      <c r="H933" s="1146">
        <v>66413</v>
      </c>
      <c r="I933" s="1146">
        <v>67053</v>
      </c>
      <c r="K933" s="1907"/>
      <c r="L933" s="1110"/>
      <c r="M933" s="1907"/>
      <c r="N933" s="1110"/>
      <c r="O933" s="1907"/>
      <c r="P933" s="1110"/>
      <c r="Q933" s="1907"/>
      <c r="R933" s="1110"/>
      <c r="S933" s="1146"/>
      <c r="T933" s="1114"/>
      <c r="U933" s="1146"/>
      <c r="V933" s="1114"/>
      <c r="W933" s="1146"/>
      <c r="X933" s="1629"/>
      <c r="Y933" s="1146"/>
      <c r="Z933" s="2114">
        <f>C933-'Blocking-Step2'!C933</f>
        <v>0</v>
      </c>
      <c r="AA933" s="2114">
        <f>D933-'Blocking-Step2'!D933</f>
        <v>0</v>
      </c>
      <c r="AC933" s="2114">
        <f>F933-'Blocking-Step2'!F933</f>
        <v>0</v>
      </c>
      <c r="AE933" s="2114">
        <f>H933-'Blocking-Step2'!H933</f>
        <v>0</v>
      </c>
      <c r="AF933" s="2114">
        <f>I933-'Blocking-Step2'!I933</f>
        <v>0</v>
      </c>
      <c r="AH933" s="2136">
        <f>K933-'Blocking-Step2'!K933</f>
        <v>0</v>
      </c>
      <c r="AJ933" s="2136">
        <f>M933-'Blocking-Step2'!M933</f>
        <v>0</v>
      </c>
      <c r="AL933" s="2136">
        <f>O933-'Blocking-Step2'!O933</f>
        <v>0</v>
      </c>
      <c r="AN933" s="2137">
        <f>Q933-'Blocking-Step2'!Q933</f>
        <v>0</v>
      </c>
      <c r="AP933" s="2127">
        <f>S933-'Blocking-Step2'!S933</f>
        <v>0</v>
      </c>
      <c r="AR933" s="2127">
        <f>U933-'Blocking-Step2'!U933</f>
        <v>0</v>
      </c>
      <c r="AT933" s="2127">
        <f>W933-'Blocking-Step2'!W933</f>
        <v>0</v>
      </c>
      <c r="AV933" s="2128">
        <f>Y933-'Blocking-Step2'!Y933</f>
        <v>0</v>
      </c>
    </row>
    <row r="934" spans="1:48" ht="16.5" hidden="1" thickTop="1">
      <c r="A934" s="1116" t="s">
        <v>261</v>
      </c>
      <c r="C934" s="1105">
        <v>0</v>
      </c>
      <c r="D934" s="1105">
        <v>0</v>
      </c>
      <c r="F934" s="1907">
        <v>-0.96</v>
      </c>
      <c r="G934" s="1110"/>
      <c r="H934" s="1146">
        <v>0</v>
      </c>
      <c r="I934" s="1146">
        <v>0</v>
      </c>
      <c r="K934" s="1907">
        <v>-0.96</v>
      </c>
      <c r="L934" s="1110"/>
      <c r="M934" s="1907">
        <v>0</v>
      </c>
      <c r="N934" s="1110"/>
      <c r="O934" s="1907">
        <v>0</v>
      </c>
      <c r="P934" s="1110"/>
      <c r="Q934" s="1907">
        <v>-0.96</v>
      </c>
      <c r="R934" s="1110"/>
      <c r="S934" s="1146">
        <v>0</v>
      </c>
      <c r="T934" s="1146"/>
      <c r="U934" s="1146">
        <v>0</v>
      </c>
      <c r="V934" s="1146"/>
      <c r="W934" s="1146">
        <v>0</v>
      </c>
      <c r="X934" s="1629"/>
      <c r="Y934" s="1146">
        <v>0</v>
      </c>
      <c r="Z934" s="2114">
        <f>C934-'Blocking-Step2'!C934</f>
        <v>0</v>
      </c>
      <c r="AA934" s="2114">
        <f>D934-'Blocking-Step2'!D934</f>
        <v>0</v>
      </c>
      <c r="AC934" s="2114">
        <f>F934-'Blocking-Step2'!F934</f>
        <v>0</v>
      </c>
      <c r="AE934" s="2114">
        <f>H934-'Blocking-Step2'!H934</f>
        <v>0</v>
      </c>
      <c r="AF934" s="2114">
        <f>I934-'Blocking-Step2'!I934</f>
        <v>0</v>
      </c>
      <c r="AH934" s="2136">
        <f>K934-'Blocking-Step2'!K934</f>
        <v>0</v>
      </c>
      <c r="AJ934" s="2136">
        <f>M934-'Blocking-Step2'!M934</f>
        <v>0</v>
      </c>
      <c r="AL934" s="2136">
        <f>O934-'Blocking-Step2'!O934</f>
        <v>0</v>
      </c>
      <c r="AN934" s="2137">
        <f>Q934-'Blocking-Step2'!Q934</f>
        <v>0</v>
      </c>
      <c r="AP934" s="2127">
        <f>S934-'Blocking-Step2'!S934</f>
        <v>0</v>
      </c>
      <c r="AR934" s="2127">
        <f>U934-'Blocking-Step2'!U934</f>
        <v>0</v>
      </c>
      <c r="AT934" s="2127">
        <f>W934-'Blocking-Step2'!W934</f>
        <v>0</v>
      </c>
      <c r="AV934" s="2128">
        <f>Y934-'Blocking-Step2'!Y934</f>
        <v>0</v>
      </c>
    </row>
    <row r="935" spans="1:48" ht="16.5" hidden="1" thickTop="1">
      <c r="A935" s="1116" t="s">
        <v>1362</v>
      </c>
      <c r="C935" s="1105">
        <v>1354554.8539157421</v>
      </c>
      <c r="D935" s="1105">
        <v>1526852</v>
      </c>
      <c r="F935" s="1106">
        <v>3.8127</v>
      </c>
      <c r="G935" s="1921" t="s">
        <v>495</v>
      </c>
      <c r="H935" s="1146">
        <v>51645</v>
      </c>
      <c r="I935" s="1146">
        <v>58214</v>
      </c>
      <c r="K935" s="1106"/>
      <c r="L935" s="1921"/>
      <c r="M935" s="1106"/>
      <c r="N935" s="1921"/>
      <c r="O935" s="1106"/>
      <c r="P935" s="1921"/>
      <c r="Q935" s="1106"/>
      <c r="R935" s="1921"/>
      <c r="S935" s="1648"/>
      <c r="T935" s="1648"/>
      <c r="U935" s="1648"/>
      <c r="V935" s="1648"/>
      <c r="W935" s="1648"/>
      <c r="X935" s="1648"/>
      <c r="Y935" s="1146"/>
      <c r="Z935" s="2114">
        <f>C935-'Blocking-Step2'!C935</f>
        <v>0</v>
      </c>
      <c r="AA935" s="2114">
        <f>D935-'Blocking-Step2'!D935</f>
        <v>0</v>
      </c>
      <c r="AC935" s="2114">
        <f>F935-'Blocking-Step2'!F935</f>
        <v>0</v>
      </c>
      <c r="AE935" s="2114">
        <f>H935-'Blocking-Step2'!H935</f>
        <v>0</v>
      </c>
      <c r="AF935" s="2114">
        <f>I935-'Blocking-Step2'!I935</f>
        <v>0</v>
      </c>
      <c r="AH935" s="2136">
        <f>K935-'Blocking-Step2'!K935</f>
        <v>0</v>
      </c>
      <c r="AJ935" s="2136">
        <f>M935-'Blocking-Step2'!M935</f>
        <v>0</v>
      </c>
      <c r="AL935" s="2136">
        <f>O935-'Blocking-Step2'!O935</f>
        <v>0</v>
      </c>
      <c r="AN935" s="2137">
        <f>Q935-'Blocking-Step2'!Q935</f>
        <v>0</v>
      </c>
      <c r="AP935" s="2127">
        <f>S935-'Blocking-Step2'!S935</f>
        <v>0</v>
      </c>
      <c r="AR935" s="2127">
        <f>U935-'Blocking-Step2'!U935</f>
        <v>0</v>
      </c>
      <c r="AT935" s="2127">
        <f>W935-'Blocking-Step2'!W935</f>
        <v>0</v>
      </c>
      <c r="AV935" s="2128">
        <f>Y935-'Blocking-Step2'!Y935</f>
        <v>0</v>
      </c>
    </row>
    <row r="936" spans="1:48" ht="16.5" hidden="1" thickTop="1">
      <c r="A936" s="1116" t="s">
        <v>1363</v>
      </c>
      <c r="C936" s="1105">
        <v>1920509.8527567103</v>
      </c>
      <c r="D936" s="1105">
        <v>1797193</v>
      </c>
      <c r="F936" s="1106">
        <v>3.5143</v>
      </c>
      <c r="G936" s="1921" t="s">
        <v>495</v>
      </c>
      <c r="H936" s="1146">
        <v>67492</v>
      </c>
      <c r="I936" s="1146">
        <v>63159</v>
      </c>
      <c r="K936" s="1106"/>
      <c r="L936" s="1921"/>
      <c r="M936" s="1106"/>
      <c r="N936" s="1921"/>
      <c r="O936" s="1106"/>
      <c r="P936" s="1921"/>
      <c r="Q936" s="1106"/>
      <c r="R936" s="1921"/>
      <c r="S936" s="1648"/>
      <c r="T936" s="1648"/>
      <c r="U936" s="1648"/>
      <c r="V936" s="1648"/>
      <c r="W936" s="1648"/>
      <c r="X936" s="1648"/>
      <c r="Y936" s="1146"/>
      <c r="Z936" s="2114">
        <f>C936-'Blocking-Step2'!C936</f>
        <v>0</v>
      </c>
      <c r="AA936" s="2114">
        <f>D936-'Blocking-Step2'!D936</f>
        <v>0</v>
      </c>
      <c r="AC936" s="2114">
        <f>F936-'Blocking-Step2'!F936</f>
        <v>0</v>
      </c>
      <c r="AE936" s="2114">
        <f>H936-'Blocking-Step2'!H936</f>
        <v>0</v>
      </c>
      <c r="AF936" s="2114">
        <f>I936-'Blocking-Step2'!I936</f>
        <v>0</v>
      </c>
      <c r="AH936" s="2136">
        <f>K936-'Blocking-Step2'!K936</f>
        <v>0</v>
      </c>
      <c r="AJ936" s="2136">
        <f>M936-'Blocking-Step2'!M936</f>
        <v>0</v>
      </c>
      <c r="AL936" s="2136">
        <f>O936-'Blocking-Step2'!O936</f>
        <v>0</v>
      </c>
      <c r="AN936" s="2137">
        <f>Q936-'Blocking-Step2'!Q936</f>
        <v>0</v>
      </c>
      <c r="AP936" s="2127">
        <f>S936-'Blocking-Step2'!S936</f>
        <v>0</v>
      </c>
      <c r="AR936" s="2127">
        <f>U936-'Blocking-Step2'!U936</f>
        <v>0</v>
      </c>
      <c r="AT936" s="2127">
        <f>W936-'Blocking-Step2'!W936</f>
        <v>0</v>
      </c>
      <c r="AV936" s="2128">
        <f>Y936-'Blocking-Step2'!Y936</f>
        <v>0</v>
      </c>
    </row>
    <row r="937" spans="1:48" ht="16.5" hidden="1" thickTop="1">
      <c r="A937" s="1116" t="s">
        <v>246</v>
      </c>
      <c r="C937" s="1940">
        <v>17350</v>
      </c>
      <c r="D937" s="1940">
        <v>0</v>
      </c>
      <c r="H937" s="1147">
        <v>1850</v>
      </c>
      <c r="I937" s="1147">
        <v>0</v>
      </c>
      <c r="Y937" s="1147">
        <v>0</v>
      </c>
      <c r="Z937" s="2114">
        <f>C937-'Blocking-Step2'!C937</f>
        <v>0</v>
      </c>
      <c r="AA937" s="2114">
        <f>D937-'Blocking-Step2'!D937</f>
        <v>0</v>
      </c>
      <c r="AC937" s="2114">
        <f>F937-'Blocking-Step2'!F937</f>
        <v>0</v>
      </c>
      <c r="AE937" s="2114">
        <f>H937-'Blocking-Step2'!H937</f>
        <v>0</v>
      </c>
      <c r="AF937" s="2114">
        <f>I937-'Blocking-Step2'!I937</f>
        <v>0</v>
      </c>
      <c r="AH937" s="2136">
        <f>K937-'Blocking-Step2'!K937</f>
        <v>0</v>
      </c>
      <c r="AJ937" s="2136">
        <f>M937-'Blocking-Step2'!M937</f>
        <v>0</v>
      </c>
      <c r="AL937" s="2136">
        <f>O937-'Blocking-Step2'!O937</f>
        <v>0</v>
      </c>
      <c r="AN937" s="2137">
        <f>Q937-'Blocking-Step2'!Q937</f>
        <v>0</v>
      </c>
      <c r="AP937" s="2127">
        <f>S937-'Blocking-Step2'!S937</f>
        <v>0</v>
      </c>
      <c r="AR937" s="2127">
        <f>U937-'Blocking-Step2'!U937</f>
        <v>0</v>
      </c>
      <c r="AT937" s="2127">
        <f>W937-'Blocking-Step2'!W937</f>
        <v>0</v>
      </c>
      <c r="AV937" s="2128">
        <f>Y937-'Blocking-Step2'!Y937</f>
        <v>0</v>
      </c>
    </row>
    <row r="938" spans="1:48" ht="16.5" hidden="1" thickTop="1">
      <c r="A938" s="1116" t="s">
        <v>1240</v>
      </c>
      <c r="C938" s="1024"/>
      <c r="D938" s="1024"/>
      <c r="F938" s="2076">
        <v>-3.61E-2</v>
      </c>
      <c r="G938" s="617"/>
      <c r="H938" s="1146">
        <v>-9309.6124</v>
      </c>
      <c r="I938" s="1146">
        <v>-9438.4532999999992</v>
      </c>
      <c r="K938" s="2076"/>
      <c r="L938" s="617"/>
      <c r="M938" s="2076"/>
      <c r="N938" s="617"/>
      <c r="O938" s="2077" t="s">
        <v>2323</v>
      </c>
      <c r="P938" s="617"/>
      <c r="Q938" s="2076">
        <v>-2.76E-2</v>
      </c>
      <c r="R938" s="617"/>
      <c r="S938" s="1114"/>
      <c r="T938" s="1114"/>
      <c r="U938" s="1114"/>
      <c r="V938" s="1114"/>
      <c r="W938" s="1114"/>
      <c r="X938" s="1114"/>
      <c r="Y938" s="1146">
        <v>-7230.9791999999998</v>
      </c>
      <c r="Z938" s="2114">
        <f>C938-'Blocking-Step2'!C938</f>
        <v>0</v>
      </c>
      <c r="AA938" s="2114">
        <f>D938-'Blocking-Step2'!D938</f>
        <v>0</v>
      </c>
      <c r="AC938" s="2114">
        <f>F938-'Blocking-Step2'!F938</f>
        <v>0</v>
      </c>
      <c r="AE938" s="2114">
        <f>H938-'Blocking-Step2'!H938</f>
        <v>0</v>
      </c>
      <c r="AF938" s="2114">
        <f>I938-'Blocking-Step2'!I938</f>
        <v>0</v>
      </c>
      <c r="AH938" s="2136">
        <f>K938-'Blocking-Step2'!K938</f>
        <v>0</v>
      </c>
      <c r="AJ938" s="2136">
        <f>M938-'Blocking-Step2'!M938</f>
        <v>0</v>
      </c>
      <c r="AL938" s="2136" t="e">
        <f>O938-'Blocking-Step2'!O938</f>
        <v>#VALUE!</v>
      </c>
      <c r="AN938" s="2137">
        <f>Q938-'Blocking-Step2'!Q938</f>
        <v>0</v>
      </c>
      <c r="AP938" s="2127">
        <f>S938-'Blocking-Step2'!S938</f>
        <v>0</v>
      </c>
      <c r="AR938" s="2127">
        <f>U938-'Blocking-Step2'!U938</f>
        <v>0</v>
      </c>
      <c r="AT938" s="2127">
        <f>W938-'Blocking-Step2'!W938</f>
        <v>0</v>
      </c>
      <c r="AV938" s="2128">
        <f>Y938-'Blocking-Step2'!Y938</f>
        <v>0</v>
      </c>
    </row>
    <row r="939" spans="1:48" ht="16.5" hidden="1" thickTop="1">
      <c r="A939" s="1116"/>
      <c r="C939" s="1024"/>
      <c r="D939" s="1024"/>
      <c r="F939" s="2076"/>
      <c r="G939" s="617"/>
      <c r="H939" s="1146"/>
      <c r="I939" s="1146"/>
      <c r="K939" s="2076"/>
      <c r="L939" s="617"/>
      <c r="M939" s="2076"/>
      <c r="N939" s="617"/>
      <c r="O939" s="2077" t="s">
        <v>2324</v>
      </c>
      <c r="P939" s="617"/>
      <c r="Q939" s="2076">
        <v>-1.4999999999999999E-2</v>
      </c>
      <c r="R939" s="617"/>
      <c r="S939" s="1114"/>
      <c r="T939" s="1114"/>
      <c r="U939" s="1114"/>
      <c r="V939" s="1114"/>
      <c r="W939" s="1114"/>
      <c r="X939" s="1114"/>
      <c r="Y939" s="1146">
        <v>-3929.8799999999997</v>
      </c>
      <c r="Z939" s="2114">
        <f>C939-'Blocking-Step2'!C939</f>
        <v>0</v>
      </c>
      <c r="AA939" s="2114">
        <f>D939-'Blocking-Step2'!D939</f>
        <v>0</v>
      </c>
      <c r="AC939" s="2114">
        <f>F939-'Blocking-Step2'!F939</f>
        <v>0</v>
      </c>
      <c r="AE939" s="2114">
        <f>H939-'Blocking-Step2'!H939</f>
        <v>0</v>
      </c>
      <c r="AF939" s="2114">
        <f>I939-'Blocking-Step2'!I939</f>
        <v>0</v>
      </c>
      <c r="AH939" s="2136">
        <f>K939-'Blocking-Step2'!K939</f>
        <v>0</v>
      </c>
      <c r="AJ939" s="2136">
        <f>M939-'Blocking-Step2'!M939</f>
        <v>0</v>
      </c>
      <c r="AL939" s="2136" t="e">
        <f>O939-'Blocking-Step2'!O939</f>
        <v>#VALUE!</v>
      </c>
      <c r="AN939" s="2137">
        <f>Q939-'Blocking-Step2'!Q939</f>
        <v>0</v>
      </c>
      <c r="AP939" s="2127">
        <f>S939-'Blocking-Step2'!S939</f>
        <v>0</v>
      </c>
      <c r="AR939" s="2127">
        <f>U939-'Blocking-Step2'!U939</f>
        <v>0</v>
      </c>
      <c r="AT939" s="2127">
        <f>W939-'Blocking-Step2'!W939</f>
        <v>0</v>
      </c>
      <c r="AV939" s="2128">
        <f>Y939-'Blocking-Step2'!Y939</f>
        <v>0</v>
      </c>
    </row>
    <row r="940" spans="1:48" ht="17.25" hidden="1" thickTop="1" thickBot="1">
      <c r="A940" s="1116" t="s">
        <v>247</v>
      </c>
      <c r="C940" s="1138">
        <v>3292414.7066724524</v>
      </c>
      <c r="D940" s="1138">
        <v>3324045</v>
      </c>
      <c r="F940" s="1145"/>
      <c r="H940" s="1149">
        <v>315329.38760000002</v>
      </c>
      <c r="I940" s="1149">
        <v>317456.54670000001</v>
      </c>
      <c r="K940" s="1145"/>
      <c r="M940" s="1145"/>
      <c r="O940" s="1145"/>
      <c r="Q940" s="1145"/>
      <c r="S940" s="1149">
        <v>70657</v>
      </c>
      <c r="U940" s="1149">
        <v>185507</v>
      </c>
      <c r="W940" s="1149">
        <v>71131</v>
      </c>
      <c r="Y940" s="1149">
        <v>327295</v>
      </c>
      <c r="Z940" s="2114">
        <f>C940-'Blocking-Step2'!C940</f>
        <v>0</v>
      </c>
      <c r="AA940" s="2114">
        <f>D940-'Blocking-Step2'!D940</f>
        <v>0</v>
      </c>
      <c r="AC940" s="2114">
        <f>F940-'Blocking-Step2'!F940</f>
        <v>0</v>
      </c>
      <c r="AE940" s="2114">
        <f>H940-'Blocking-Step2'!H940</f>
        <v>0</v>
      </c>
      <c r="AF940" s="2114">
        <f>I940-'Blocking-Step2'!I940</f>
        <v>0</v>
      </c>
      <c r="AH940" s="2136">
        <f>K940-'Blocking-Step2'!K940</f>
        <v>0</v>
      </c>
      <c r="AJ940" s="2136">
        <f>M940-'Blocking-Step2'!M940</f>
        <v>0</v>
      </c>
      <c r="AL940" s="2136">
        <f>O940-'Blocking-Step2'!O940</f>
        <v>0</v>
      </c>
      <c r="AN940" s="2137">
        <f>Q940-'Blocking-Step2'!Q940</f>
        <v>0</v>
      </c>
      <c r="AP940" s="2127">
        <f>S940-'Blocking-Step2'!S940</f>
        <v>-61304</v>
      </c>
      <c r="AR940" s="2127">
        <f>U940-'Blocking-Step2'!U940</f>
        <v>61304</v>
      </c>
      <c r="AT940" s="2127">
        <f>W940-'Blocking-Step2'!W940</f>
        <v>0</v>
      </c>
      <c r="AV940" s="2128">
        <f>Y940-'Blocking-Step2'!Y940</f>
        <v>0</v>
      </c>
    </row>
    <row r="941" spans="1:48" ht="16.5" hidden="1" thickTop="1">
      <c r="C941" s="1105"/>
      <c r="D941" s="1105"/>
      <c r="Z941" s="2114">
        <f>C941-'Blocking-Step2'!C941</f>
        <v>0</v>
      </c>
      <c r="AA941" s="2114">
        <f>D941-'Blocking-Step2'!D941</f>
        <v>0</v>
      </c>
      <c r="AC941" s="2114">
        <f>F941-'Blocking-Step2'!F941</f>
        <v>0</v>
      </c>
      <c r="AE941" s="2114">
        <f>H941-'Blocking-Step2'!H941</f>
        <v>0</v>
      </c>
      <c r="AF941" s="2114">
        <f>I941-'Blocking-Step2'!I941</f>
        <v>0</v>
      </c>
      <c r="AH941" s="2136">
        <f>K941-'Blocking-Step2'!K941</f>
        <v>0</v>
      </c>
      <c r="AJ941" s="2136">
        <f>M941-'Blocking-Step2'!M941</f>
        <v>0</v>
      </c>
      <c r="AL941" s="2136">
        <f>O941-'Blocking-Step2'!O941</f>
        <v>0</v>
      </c>
      <c r="AN941" s="2137">
        <f>Q941-'Blocking-Step2'!Q941</f>
        <v>0</v>
      </c>
      <c r="AP941" s="2127">
        <f>S941-'Blocking-Step2'!S941</f>
        <v>0</v>
      </c>
      <c r="AR941" s="2127">
        <f>U941-'Blocking-Step2'!U941</f>
        <v>0</v>
      </c>
      <c r="AT941" s="2127">
        <f>W941-'Blocking-Step2'!W941</f>
        <v>0</v>
      </c>
      <c r="AV941" s="2128">
        <f>Y941-'Blocking-Step2'!Y941</f>
        <v>0</v>
      </c>
    </row>
    <row r="942" spans="1:48" ht="16.5" hidden="1" thickTop="1">
      <c r="A942" s="1115" t="s">
        <v>556</v>
      </c>
      <c r="C942" s="1105"/>
      <c r="D942" s="1105"/>
      <c r="Z942" s="2114">
        <f>C942-'Blocking-Step2'!C942</f>
        <v>0</v>
      </c>
      <c r="AA942" s="2114">
        <f>D942-'Blocking-Step2'!D942</f>
        <v>0</v>
      </c>
      <c r="AC942" s="2114">
        <f>F942-'Blocking-Step2'!F942</f>
        <v>0</v>
      </c>
      <c r="AE942" s="2114">
        <f>H942-'Blocking-Step2'!H942</f>
        <v>0</v>
      </c>
      <c r="AF942" s="2114">
        <f>I942-'Blocking-Step2'!I942</f>
        <v>0</v>
      </c>
      <c r="AH942" s="2136">
        <f>K942-'Blocking-Step2'!K942</f>
        <v>0</v>
      </c>
      <c r="AJ942" s="2136">
        <f>M942-'Blocking-Step2'!M942</f>
        <v>0</v>
      </c>
      <c r="AL942" s="2136">
        <f>O942-'Blocking-Step2'!O942</f>
        <v>0</v>
      </c>
      <c r="AN942" s="2137">
        <f>Q942-'Blocking-Step2'!Q942</f>
        <v>0</v>
      </c>
      <c r="AP942" s="2127">
        <f>S942-'Blocking-Step2'!S942</f>
        <v>0</v>
      </c>
      <c r="AR942" s="2127">
        <f>U942-'Blocking-Step2'!U942</f>
        <v>0</v>
      </c>
      <c r="AT942" s="2127">
        <f>W942-'Blocking-Step2'!W942</f>
        <v>0</v>
      </c>
      <c r="AV942" s="2128">
        <f>Y942-'Blocking-Step2'!Y942</f>
        <v>0</v>
      </c>
    </row>
    <row r="943" spans="1:48" ht="16.5" hidden="1" thickTop="1">
      <c r="A943" s="2079" t="s">
        <v>240</v>
      </c>
      <c r="C943" s="1105">
        <v>4</v>
      </c>
      <c r="D943" s="1105">
        <v>12</v>
      </c>
      <c r="F943" s="1907">
        <v>54</v>
      </c>
      <c r="G943" s="1110"/>
      <c r="H943" s="1146">
        <v>216</v>
      </c>
      <c r="I943" s="1146">
        <v>648</v>
      </c>
      <c r="K943" s="1907">
        <v>54</v>
      </c>
      <c r="L943" s="1110"/>
      <c r="M943" s="1907">
        <v>0</v>
      </c>
      <c r="N943" s="1110"/>
      <c r="O943" s="1907">
        <v>0</v>
      </c>
      <c r="P943" s="1110"/>
      <c r="Q943" s="1907">
        <v>54</v>
      </c>
      <c r="R943" s="1110"/>
      <c r="S943" s="1146">
        <v>648</v>
      </c>
      <c r="T943" s="1114"/>
      <c r="U943" s="1146">
        <v>0</v>
      </c>
      <c r="V943" s="1114"/>
      <c r="W943" s="1146">
        <v>0</v>
      </c>
      <c r="X943" s="1629"/>
      <c r="Y943" s="1146">
        <v>648</v>
      </c>
      <c r="Z943" s="2114">
        <f>C943-'Blocking-Step2'!C943</f>
        <v>0</v>
      </c>
      <c r="AA943" s="2114">
        <f>D943-'Blocking-Step2'!D943</f>
        <v>0</v>
      </c>
      <c r="AC943" s="2114">
        <f>F943-'Blocking-Step2'!F943</f>
        <v>0</v>
      </c>
      <c r="AE943" s="2114">
        <f>H943-'Blocking-Step2'!H943</f>
        <v>0</v>
      </c>
      <c r="AF943" s="2114">
        <f>I943-'Blocking-Step2'!I943</f>
        <v>0</v>
      </c>
      <c r="AH943" s="2136">
        <f>K943-'Blocking-Step2'!K943</f>
        <v>0</v>
      </c>
      <c r="AJ943" s="2136">
        <f>M943-'Blocking-Step2'!M943</f>
        <v>0</v>
      </c>
      <c r="AL943" s="2136">
        <f>O943-'Blocking-Step2'!O943</f>
        <v>0</v>
      </c>
      <c r="AN943" s="2137">
        <f>Q943-'Blocking-Step2'!Q943</f>
        <v>0</v>
      </c>
      <c r="AP943" s="2127">
        <f>S943-'Blocking-Step2'!S943</f>
        <v>0</v>
      </c>
      <c r="AR943" s="2127">
        <f>U943-'Blocking-Step2'!U943</f>
        <v>0</v>
      </c>
      <c r="AT943" s="2127">
        <f>W943-'Blocking-Step2'!W943</f>
        <v>0</v>
      </c>
      <c r="AV943" s="2128">
        <f>Y943-'Blocking-Step2'!Y943</f>
        <v>0</v>
      </c>
    </row>
    <row r="944" spans="1:48" ht="16.5" hidden="1" thickTop="1">
      <c r="A944" s="1116" t="s">
        <v>262</v>
      </c>
      <c r="C944" s="1105">
        <v>0</v>
      </c>
      <c r="D944" s="1105">
        <v>0</v>
      </c>
      <c r="E944" s="617"/>
      <c r="F944" s="1907">
        <v>648</v>
      </c>
      <c r="G944" s="1110"/>
      <c r="H944" s="1146">
        <v>0</v>
      </c>
      <c r="I944" s="1146">
        <v>0</v>
      </c>
      <c r="J944" s="617"/>
      <c r="K944" s="1907">
        <v>648</v>
      </c>
      <c r="L944" s="1110"/>
      <c r="M944" s="1907">
        <v>0</v>
      </c>
      <c r="N944" s="1110"/>
      <c r="O944" s="1907">
        <v>0</v>
      </c>
      <c r="P944" s="1110"/>
      <c r="Q944" s="1907">
        <v>648</v>
      </c>
      <c r="R944" s="1110"/>
      <c r="S944" s="1146">
        <v>0</v>
      </c>
      <c r="T944" s="1114"/>
      <c r="U944" s="1146">
        <v>0</v>
      </c>
      <c r="V944" s="1114"/>
      <c r="W944" s="1146">
        <v>0</v>
      </c>
      <c r="X944" s="1629"/>
      <c r="Y944" s="1146">
        <v>0</v>
      </c>
      <c r="Z944" s="2114">
        <f>C944-'Blocking-Step2'!C944</f>
        <v>0</v>
      </c>
      <c r="AA944" s="2114">
        <f>D944-'Blocking-Step2'!D944</f>
        <v>0</v>
      </c>
      <c r="AC944" s="2114">
        <f>F944-'Blocking-Step2'!F944</f>
        <v>0</v>
      </c>
      <c r="AE944" s="2114">
        <f>H944-'Blocking-Step2'!H944</f>
        <v>0</v>
      </c>
      <c r="AF944" s="2114">
        <f>I944-'Blocking-Step2'!I944</f>
        <v>0</v>
      </c>
      <c r="AH944" s="2136">
        <f>K944-'Blocking-Step2'!K944</f>
        <v>0</v>
      </c>
      <c r="AJ944" s="2136">
        <f>M944-'Blocking-Step2'!M944</f>
        <v>0</v>
      </c>
      <c r="AL944" s="2136">
        <f>O944-'Blocking-Step2'!O944</f>
        <v>0</v>
      </c>
      <c r="AN944" s="2137">
        <f>Q944-'Blocking-Step2'!Q944</f>
        <v>0</v>
      </c>
      <c r="AP944" s="2127">
        <f>S944-'Blocking-Step2'!S944</f>
        <v>0</v>
      </c>
      <c r="AR944" s="2127">
        <f>U944-'Blocking-Step2'!U944</f>
        <v>0</v>
      </c>
      <c r="AT944" s="2127">
        <f>W944-'Blocking-Step2'!W944</f>
        <v>0</v>
      </c>
      <c r="AV944" s="2128">
        <f>Y944-'Blocking-Step2'!Y944</f>
        <v>0</v>
      </c>
    </row>
    <row r="945" spans="1:48" ht="16.5" hidden="1" thickTop="1">
      <c r="A945" s="1116" t="s">
        <v>168</v>
      </c>
      <c r="C945" s="1105">
        <v>158</v>
      </c>
      <c r="D945" s="1105">
        <v>528</v>
      </c>
      <c r="F945" s="1907">
        <v>4.04</v>
      </c>
      <c r="G945" s="1110"/>
      <c r="H945" s="1146">
        <v>638</v>
      </c>
      <c r="I945" s="1146">
        <v>2133</v>
      </c>
      <c r="K945" s="1907">
        <v>4.03</v>
      </c>
      <c r="L945" s="1110"/>
      <c r="M945" s="1907">
        <v>0</v>
      </c>
      <c r="N945" s="1110"/>
      <c r="O945" s="1907">
        <v>0</v>
      </c>
      <c r="P945" s="1110"/>
      <c r="Q945" s="1907">
        <v>4.03</v>
      </c>
      <c r="R945" s="1110"/>
      <c r="S945" s="1146">
        <v>2128</v>
      </c>
      <c r="T945" s="1114"/>
      <c r="U945" s="1146">
        <v>0</v>
      </c>
      <c r="V945" s="1114"/>
      <c r="W945" s="1146">
        <v>0</v>
      </c>
      <c r="X945" s="1629"/>
      <c r="Y945" s="1146">
        <v>2128</v>
      </c>
      <c r="Z945" s="2114">
        <f>C945-'Blocking-Step2'!C945</f>
        <v>0</v>
      </c>
      <c r="AA945" s="2114">
        <f>D945-'Blocking-Step2'!D945</f>
        <v>0</v>
      </c>
      <c r="AC945" s="2114">
        <f>F945-'Blocking-Step2'!F945</f>
        <v>0</v>
      </c>
      <c r="AE945" s="2114">
        <f>H945-'Blocking-Step2'!H945</f>
        <v>0</v>
      </c>
      <c r="AF945" s="2114">
        <f>I945-'Blocking-Step2'!I945</f>
        <v>0</v>
      </c>
      <c r="AH945" s="2136">
        <f>K945-'Blocking-Step2'!K945</f>
        <v>0</v>
      </c>
      <c r="AJ945" s="2136">
        <f>M945-'Blocking-Step2'!M945</f>
        <v>0</v>
      </c>
      <c r="AL945" s="2136">
        <f>O945-'Blocking-Step2'!O945</f>
        <v>0</v>
      </c>
      <c r="AN945" s="2137">
        <f>Q945-'Blocking-Step2'!Q945</f>
        <v>0</v>
      </c>
      <c r="AP945" s="2127">
        <f>S945-'Blocking-Step2'!S945</f>
        <v>0</v>
      </c>
      <c r="AR945" s="2127">
        <f>U945-'Blocking-Step2'!U945</f>
        <v>0</v>
      </c>
      <c r="AT945" s="2127">
        <f>W945-'Blocking-Step2'!W945</f>
        <v>0</v>
      </c>
      <c r="AV945" s="2128">
        <f>Y945-'Blocking-Step2'!Y945</f>
        <v>0</v>
      </c>
    </row>
    <row r="946" spans="1:48" ht="16.5" hidden="1" thickTop="1">
      <c r="A946" s="1116" t="s">
        <v>1649</v>
      </c>
      <c r="C946" s="1105">
        <v>0</v>
      </c>
      <c r="D946" s="1105">
        <v>173</v>
      </c>
      <c r="F946" s="1142"/>
      <c r="G946" s="617"/>
      <c r="H946" s="1146"/>
      <c r="I946" s="1146"/>
      <c r="K946" s="1142">
        <v>0.51</v>
      </c>
      <c r="L946" s="617"/>
      <c r="M946" s="1142">
        <v>12.89</v>
      </c>
      <c r="N946" s="617"/>
      <c r="O946" s="1142">
        <v>0</v>
      </c>
      <c r="P946" s="617"/>
      <c r="Q946" s="1142">
        <v>13.4</v>
      </c>
      <c r="R946" s="617"/>
      <c r="S946" s="1146">
        <v>88</v>
      </c>
      <c r="T946" s="1146"/>
      <c r="U946" s="1146">
        <v>2230</v>
      </c>
      <c r="V946" s="1146"/>
      <c r="W946" s="1146">
        <v>0</v>
      </c>
      <c r="X946" s="1114"/>
      <c r="Y946" s="1146">
        <v>2318</v>
      </c>
      <c r="Z946" s="2114">
        <f>C946-'Blocking-Step2'!C946</f>
        <v>0</v>
      </c>
      <c r="AA946" s="2114">
        <f>D946-'Blocking-Step2'!D946</f>
        <v>0</v>
      </c>
      <c r="AC946" s="2114">
        <f>F946-'Blocking-Step2'!F946</f>
        <v>0</v>
      </c>
      <c r="AE946" s="2114">
        <f>H946-'Blocking-Step2'!H946</f>
        <v>0</v>
      </c>
      <c r="AF946" s="2114">
        <f>I946-'Blocking-Step2'!I946</f>
        <v>0</v>
      </c>
      <c r="AH946" s="2136">
        <f>K946-'Blocking-Step2'!K946</f>
        <v>-5.83</v>
      </c>
      <c r="AJ946" s="2136">
        <f>M946-'Blocking-Step2'!M946</f>
        <v>5.83</v>
      </c>
      <c r="AL946" s="2136">
        <f>O946-'Blocking-Step2'!O946</f>
        <v>0</v>
      </c>
      <c r="AN946" s="2137">
        <f>Q946-'Blocking-Step2'!Q946</f>
        <v>0</v>
      </c>
      <c r="AP946" s="2127">
        <f>S946-'Blocking-Step2'!S946</f>
        <v>-1009</v>
      </c>
      <c r="AR946" s="2127">
        <f>U946-'Blocking-Step2'!U946</f>
        <v>1009</v>
      </c>
      <c r="AT946" s="2127">
        <f>W946-'Blocking-Step2'!W946</f>
        <v>0</v>
      </c>
      <c r="AV946" s="2128">
        <f>Y946-'Blocking-Step2'!Y946</f>
        <v>0</v>
      </c>
    </row>
    <row r="947" spans="1:48" ht="16.5" hidden="1" thickTop="1">
      <c r="A947" s="1116" t="s">
        <v>1650</v>
      </c>
      <c r="C947" s="1105">
        <v>158</v>
      </c>
      <c r="D947" s="1105">
        <v>346</v>
      </c>
      <c r="F947" s="1142"/>
      <c r="G947" s="617"/>
      <c r="H947" s="1146"/>
      <c r="I947" s="1146"/>
      <c r="K947" s="1142">
        <v>0.45</v>
      </c>
      <c r="L947" s="617"/>
      <c r="M947" s="1142">
        <v>11.41</v>
      </c>
      <c r="N947" s="617"/>
      <c r="O947" s="1142">
        <v>0</v>
      </c>
      <c r="P947" s="617"/>
      <c r="Q947" s="1142">
        <v>11.86</v>
      </c>
      <c r="R947" s="617"/>
      <c r="S947" s="1146">
        <v>156</v>
      </c>
      <c r="T947" s="1146"/>
      <c r="U947" s="1146">
        <v>3948</v>
      </c>
      <c r="V947" s="1146"/>
      <c r="W947" s="1146">
        <v>0</v>
      </c>
      <c r="X947" s="1114"/>
      <c r="Y947" s="1146">
        <v>4104</v>
      </c>
      <c r="Z947" s="2114">
        <f>C947-'Blocking-Step2'!C947</f>
        <v>0</v>
      </c>
      <c r="AA947" s="2114">
        <f>D947-'Blocking-Step2'!D947</f>
        <v>0</v>
      </c>
      <c r="AC947" s="2114">
        <f>F947-'Blocking-Step2'!F947</f>
        <v>0</v>
      </c>
      <c r="AE947" s="2114">
        <f>H947-'Blocking-Step2'!H947</f>
        <v>0</v>
      </c>
      <c r="AF947" s="2114">
        <f>I947-'Blocking-Step2'!I947</f>
        <v>0</v>
      </c>
      <c r="AH947" s="2136">
        <f>K947-'Blocking-Step2'!K947</f>
        <v>-5.16</v>
      </c>
      <c r="AJ947" s="2136">
        <f>M947-'Blocking-Step2'!M947</f>
        <v>5.160000000000001</v>
      </c>
      <c r="AL947" s="2136">
        <f>O947-'Blocking-Step2'!O947</f>
        <v>0</v>
      </c>
      <c r="AN947" s="2137">
        <f>Q947-'Blocking-Step2'!Q947</f>
        <v>0</v>
      </c>
      <c r="AP947" s="2127">
        <f>S947-'Blocking-Step2'!S947</f>
        <v>-1785</v>
      </c>
      <c r="AR947" s="2127">
        <f>U947-'Blocking-Step2'!U947</f>
        <v>1785</v>
      </c>
      <c r="AT947" s="2127">
        <f>W947-'Blocking-Step2'!W947</f>
        <v>0</v>
      </c>
      <c r="AV947" s="2128">
        <f>Y947-'Blocking-Step2'!Y947</f>
        <v>0</v>
      </c>
    </row>
    <row r="948" spans="1:48" ht="16.5" hidden="1" thickTop="1">
      <c r="A948" s="1116" t="s">
        <v>1647</v>
      </c>
      <c r="C948" s="1105">
        <v>0</v>
      </c>
      <c r="D948" s="1105">
        <v>7760</v>
      </c>
      <c r="F948" s="1106"/>
      <c r="G948" s="1921"/>
      <c r="H948" s="1146"/>
      <c r="I948" s="1146"/>
      <c r="K948" s="1106">
        <v>0</v>
      </c>
      <c r="L948" s="1921" t="s">
        <v>495</v>
      </c>
      <c r="M948" s="1106">
        <v>1.6192</v>
      </c>
      <c r="N948" s="1921" t="s">
        <v>495</v>
      </c>
      <c r="O948" s="1106">
        <v>2.305570240802</v>
      </c>
      <c r="P948" s="1921" t="s">
        <v>495</v>
      </c>
      <c r="Q948" s="1106">
        <v>3.9247702408020002</v>
      </c>
      <c r="R948" s="1921" t="s">
        <v>495</v>
      </c>
      <c r="S948" s="1146">
        <v>0</v>
      </c>
      <c r="T948" s="1146"/>
      <c r="U948" s="1146">
        <v>126</v>
      </c>
      <c r="V948" s="1146"/>
      <c r="W948" s="1146">
        <v>179</v>
      </c>
      <c r="X948" s="1648"/>
      <c r="Y948" s="1146">
        <v>305</v>
      </c>
      <c r="Z948" s="2114">
        <f>C948-'Blocking-Step2'!C948</f>
        <v>0</v>
      </c>
      <c r="AA948" s="2114">
        <f>D948-'Blocking-Step2'!D948</f>
        <v>0</v>
      </c>
      <c r="AC948" s="2114">
        <f>F948-'Blocking-Step2'!F948</f>
        <v>0</v>
      </c>
      <c r="AE948" s="2114">
        <f>H948-'Blocking-Step2'!H948</f>
        <v>0</v>
      </c>
      <c r="AF948" s="2114">
        <f>I948-'Blocking-Step2'!I948</f>
        <v>0</v>
      </c>
      <c r="AH948" s="2136">
        <f>K948-'Blocking-Step2'!K948</f>
        <v>0</v>
      </c>
      <c r="AJ948" s="2136">
        <f>M948-'Blocking-Step2'!M948</f>
        <v>0</v>
      </c>
      <c r="AL948" s="2136">
        <f>O948-'Blocking-Step2'!O948</f>
        <v>0</v>
      </c>
      <c r="AN948" s="2137">
        <f>Q948-'Blocking-Step2'!Q948</f>
        <v>0</v>
      </c>
      <c r="AP948" s="2127">
        <f>S948-'Blocking-Step2'!S948</f>
        <v>0</v>
      </c>
      <c r="AR948" s="2127">
        <f>U948-'Blocking-Step2'!U948</f>
        <v>0</v>
      </c>
      <c r="AT948" s="2127">
        <f>W948-'Blocking-Step2'!W948</f>
        <v>0</v>
      </c>
      <c r="AV948" s="2128">
        <f>Y948-'Blocking-Step2'!Y948</f>
        <v>0</v>
      </c>
    </row>
    <row r="949" spans="1:48" ht="16.5" hidden="1" thickTop="1">
      <c r="A949" s="1116" t="s">
        <v>1648</v>
      </c>
      <c r="C949" s="1105">
        <v>7086</v>
      </c>
      <c r="D949" s="1105">
        <v>15520</v>
      </c>
      <c r="F949" s="1106"/>
      <c r="G949" s="1921"/>
      <c r="H949" s="1146"/>
      <c r="I949" s="1146"/>
      <c r="K949" s="1106">
        <v>0</v>
      </c>
      <c r="L949" s="1921" t="s">
        <v>495</v>
      </c>
      <c r="M949" s="1106">
        <v>1.4329000000000001</v>
      </c>
      <c r="N949" s="1921" t="s">
        <v>495</v>
      </c>
      <c r="O949" s="1106">
        <v>2.0403480007099999</v>
      </c>
      <c r="P949" s="1921" t="s">
        <v>495</v>
      </c>
      <c r="Q949" s="1106">
        <v>3.4732480007099999</v>
      </c>
      <c r="R949" s="1921" t="s">
        <v>495</v>
      </c>
      <c r="S949" s="1146">
        <v>0</v>
      </c>
      <c r="T949" s="1146"/>
      <c r="U949" s="1146">
        <v>222</v>
      </c>
      <c r="V949" s="1146"/>
      <c r="W949" s="1146">
        <v>317</v>
      </c>
      <c r="X949" s="1648"/>
      <c r="Y949" s="1146">
        <v>539</v>
      </c>
      <c r="Z949" s="2114">
        <f>C949-'Blocking-Step2'!C949</f>
        <v>0</v>
      </c>
      <c r="AA949" s="2114">
        <f>D949-'Blocking-Step2'!D949</f>
        <v>0</v>
      </c>
      <c r="AC949" s="2114">
        <f>F949-'Blocking-Step2'!F949</f>
        <v>0</v>
      </c>
      <c r="AE949" s="2114">
        <f>H949-'Blocking-Step2'!H949</f>
        <v>0</v>
      </c>
      <c r="AF949" s="2114">
        <f>I949-'Blocking-Step2'!I949</f>
        <v>0</v>
      </c>
      <c r="AH949" s="2136">
        <f>K949-'Blocking-Step2'!K949</f>
        <v>0</v>
      </c>
      <c r="AJ949" s="2136">
        <f>M949-'Blocking-Step2'!M949</f>
        <v>0</v>
      </c>
      <c r="AL949" s="2136">
        <f>O949-'Blocking-Step2'!O949</f>
        <v>0</v>
      </c>
      <c r="AN949" s="2137">
        <f>Q949-'Blocking-Step2'!Q949</f>
        <v>0</v>
      </c>
      <c r="AP949" s="2127">
        <f>S949-'Blocking-Step2'!S949</f>
        <v>0</v>
      </c>
      <c r="AR949" s="2127">
        <f>U949-'Blocking-Step2'!U949</f>
        <v>0</v>
      </c>
      <c r="AT949" s="2127">
        <f>W949-'Blocking-Step2'!W949</f>
        <v>0</v>
      </c>
      <c r="AV949" s="2128">
        <f>Y949-'Blocking-Step2'!Y949</f>
        <v>0</v>
      </c>
    </row>
    <row r="950" spans="1:48" ht="16.5" hidden="1" thickTop="1">
      <c r="A950" s="1116" t="s">
        <v>158</v>
      </c>
      <c r="C950" s="1105">
        <v>0</v>
      </c>
      <c r="D950" s="1105">
        <v>0</v>
      </c>
      <c r="F950" s="1907">
        <v>14.62</v>
      </c>
      <c r="G950" s="1110"/>
      <c r="H950" s="1146">
        <v>0</v>
      </c>
      <c r="I950" s="1146">
        <v>0</v>
      </c>
      <c r="K950" s="1907"/>
      <c r="L950" s="1110"/>
      <c r="M950" s="1907"/>
      <c r="N950" s="1110"/>
      <c r="O950" s="1907"/>
      <c r="P950" s="1110"/>
      <c r="Q950" s="1907"/>
      <c r="R950" s="1110"/>
      <c r="S950" s="1146"/>
      <c r="T950" s="1114"/>
      <c r="U950" s="1146"/>
      <c r="V950" s="1114"/>
      <c r="W950" s="1146"/>
      <c r="X950" s="1629"/>
      <c r="Y950" s="1146"/>
      <c r="Z950" s="2114">
        <f>C950-'Blocking-Step2'!C950</f>
        <v>0</v>
      </c>
      <c r="AA950" s="2114">
        <f>D950-'Blocking-Step2'!D950</f>
        <v>0</v>
      </c>
      <c r="AC950" s="2114">
        <f>F950-'Blocking-Step2'!F950</f>
        <v>0</v>
      </c>
      <c r="AE950" s="2114">
        <f>H950-'Blocking-Step2'!H950</f>
        <v>0</v>
      </c>
      <c r="AF950" s="2114">
        <f>I950-'Blocking-Step2'!I950</f>
        <v>0</v>
      </c>
      <c r="AH950" s="2136">
        <f>K950-'Blocking-Step2'!K950</f>
        <v>0</v>
      </c>
      <c r="AJ950" s="2136">
        <f>M950-'Blocking-Step2'!M950</f>
        <v>0</v>
      </c>
      <c r="AL950" s="2136">
        <f>O950-'Blocking-Step2'!O950</f>
        <v>0</v>
      </c>
      <c r="AN950" s="2137">
        <f>Q950-'Blocking-Step2'!Q950</f>
        <v>0</v>
      </c>
      <c r="AP950" s="2127">
        <f>S950-'Blocking-Step2'!S950</f>
        <v>0</v>
      </c>
      <c r="AR950" s="2127">
        <f>U950-'Blocking-Step2'!U950</f>
        <v>0</v>
      </c>
      <c r="AT950" s="2127">
        <f>W950-'Blocking-Step2'!W950</f>
        <v>0</v>
      </c>
      <c r="AV950" s="2128">
        <f>Y950-'Blocking-Step2'!Y950</f>
        <v>0</v>
      </c>
    </row>
    <row r="951" spans="1:48" ht="16.5" hidden="1" thickTop="1">
      <c r="A951" s="1116" t="s">
        <v>165</v>
      </c>
      <c r="C951" s="1105">
        <v>158</v>
      </c>
      <c r="D951" s="1105">
        <v>528</v>
      </c>
      <c r="F951" s="1907">
        <v>10.91</v>
      </c>
      <c r="G951" s="1110"/>
      <c r="H951" s="1146">
        <v>1724</v>
      </c>
      <c r="I951" s="1146">
        <v>5760</v>
      </c>
      <c r="K951" s="1907"/>
      <c r="L951" s="1110"/>
      <c r="M951" s="1907"/>
      <c r="N951" s="1110"/>
      <c r="O951" s="1907"/>
      <c r="P951" s="1110"/>
      <c r="Q951" s="1907"/>
      <c r="R951" s="1110"/>
      <c r="S951" s="1146"/>
      <c r="T951" s="1114"/>
      <c r="U951" s="1146"/>
      <c r="V951" s="1114"/>
      <c r="W951" s="1146"/>
      <c r="X951" s="1629"/>
      <c r="Y951" s="1146"/>
      <c r="Z951" s="2114">
        <f>C951-'Blocking-Step2'!C951</f>
        <v>0</v>
      </c>
      <c r="AA951" s="2114">
        <f>D951-'Blocking-Step2'!D951</f>
        <v>0</v>
      </c>
      <c r="AC951" s="2114">
        <f>F951-'Blocking-Step2'!F951</f>
        <v>0</v>
      </c>
      <c r="AE951" s="2114">
        <f>H951-'Blocking-Step2'!H951</f>
        <v>0</v>
      </c>
      <c r="AF951" s="2114">
        <f>I951-'Blocking-Step2'!I951</f>
        <v>0</v>
      </c>
      <c r="AH951" s="2136">
        <f>K951-'Blocking-Step2'!K951</f>
        <v>0</v>
      </c>
      <c r="AJ951" s="2136">
        <f>M951-'Blocking-Step2'!M951</f>
        <v>0</v>
      </c>
      <c r="AL951" s="2136">
        <f>O951-'Blocking-Step2'!O951</f>
        <v>0</v>
      </c>
      <c r="AN951" s="2137">
        <f>Q951-'Blocking-Step2'!Q951</f>
        <v>0</v>
      </c>
      <c r="AP951" s="2127">
        <f>S951-'Blocking-Step2'!S951</f>
        <v>0</v>
      </c>
      <c r="AR951" s="2127">
        <f>U951-'Blocking-Step2'!U951</f>
        <v>0</v>
      </c>
      <c r="AT951" s="2127">
        <f>W951-'Blocking-Step2'!W951</f>
        <v>0</v>
      </c>
      <c r="AV951" s="2128">
        <f>Y951-'Blocking-Step2'!Y951</f>
        <v>0</v>
      </c>
    </row>
    <row r="952" spans="1:48" ht="16.5" hidden="1" thickTop="1">
      <c r="A952" s="1116" t="s">
        <v>261</v>
      </c>
      <c r="C952" s="1105">
        <v>0</v>
      </c>
      <c r="D952" s="1105">
        <v>0</v>
      </c>
      <c r="F952" s="1907">
        <v>-0.96</v>
      </c>
      <c r="G952" s="1110"/>
      <c r="H952" s="1146">
        <v>0</v>
      </c>
      <c r="I952" s="1146">
        <v>0</v>
      </c>
      <c r="K952" s="1907">
        <v>-0.96</v>
      </c>
      <c r="L952" s="1110"/>
      <c r="M952" s="1907">
        <v>0</v>
      </c>
      <c r="N952" s="1110"/>
      <c r="O952" s="1907">
        <v>0</v>
      </c>
      <c r="P952" s="1110"/>
      <c r="Q952" s="1907">
        <v>-0.96</v>
      </c>
      <c r="R952" s="1110"/>
      <c r="S952" s="1146">
        <v>0</v>
      </c>
      <c r="T952" s="1146"/>
      <c r="U952" s="1146">
        <v>0</v>
      </c>
      <c r="V952" s="1146"/>
      <c r="W952" s="1146">
        <v>0</v>
      </c>
      <c r="X952" s="1629"/>
      <c r="Y952" s="1146">
        <v>0</v>
      </c>
      <c r="Z952" s="2114">
        <f>C952-'Blocking-Step2'!C952</f>
        <v>0</v>
      </c>
      <c r="AA952" s="2114">
        <f>D952-'Blocking-Step2'!D952</f>
        <v>0</v>
      </c>
      <c r="AC952" s="2114">
        <f>F952-'Blocking-Step2'!F952</f>
        <v>0</v>
      </c>
      <c r="AE952" s="2114">
        <f>H952-'Blocking-Step2'!H952</f>
        <v>0</v>
      </c>
      <c r="AF952" s="2114">
        <f>I952-'Blocking-Step2'!I952</f>
        <v>0</v>
      </c>
      <c r="AH952" s="2136">
        <f>K952-'Blocking-Step2'!K952</f>
        <v>0</v>
      </c>
      <c r="AJ952" s="2136">
        <f>M952-'Blocking-Step2'!M952</f>
        <v>0</v>
      </c>
      <c r="AL952" s="2136">
        <f>O952-'Blocking-Step2'!O952</f>
        <v>0</v>
      </c>
      <c r="AN952" s="2137">
        <f>Q952-'Blocking-Step2'!Q952</f>
        <v>0</v>
      </c>
      <c r="AP952" s="2127">
        <f>S952-'Blocking-Step2'!S952</f>
        <v>0</v>
      </c>
      <c r="AR952" s="2127">
        <f>U952-'Blocking-Step2'!U952</f>
        <v>0</v>
      </c>
      <c r="AT952" s="2127">
        <f>W952-'Blocking-Step2'!W952</f>
        <v>0</v>
      </c>
      <c r="AV952" s="2128">
        <f>Y952-'Blocking-Step2'!Y952</f>
        <v>0</v>
      </c>
    </row>
    <row r="953" spans="1:48" ht="16.5" hidden="1" thickTop="1">
      <c r="A953" s="1116" t="s">
        <v>1362</v>
      </c>
      <c r="C953" s="1105">
        <v>0</v>
      </c>
      <c r="D953" s="1105">
        <v>9700</v>
      </c>
      <c r="F953" s="1106">
        <v>3.8127</v>
      </c>
      <c r="G953" s="1921" t="s">
        <v>495</v>
      </c>
      <c r="H953" s="1146">
        <v>0</v>
      </c>
      <c r="I953" s="1146">
        <v>370</v>
      </c>
      <c r="K953" s="1106"/>
      <c r="L953" s="1921"/>
      <c r="M953" s="1106"/>
      <c r="N953" s="1921"/>
      <c r="O953" s="1106"/>
      <c r="P953" s="1921"/>
      <c r="Q953" s="1106"/>
      <c r="R953" s="1921"/>
      <c r="S953" s="1648"/>
      <c r="T953" s="1648"/>
      <c r="U953" s="1648"/>
      <c r="V953" s="1648"/>
      <c r="W953" s="1648"/>
      <c r="X953" s="1648"/>
      <c r="Y953" s="1146"/>
      <c r="Z953" s="2114">
        <f>C953-'Blocking-Step2'!C953</f>
        <v>0</v>
      </c>
      <c r="AA953" s="2114">
        <f>D953-'Blocking-Step2'!D953</f>
        <v>0</v>
      </c>
      <c r="AC953" s="2114">
        <f>F953-'Blocking-Step2'!F953</f>
        <v>0</v>
      </c>
      <c r="AE953" s="2114">
        <f>H953-'Blocking-Step2'!H953</f>
        <v>0</v>
      </c>
      <c r="AF953" s="2114">
        <f>I953-'Blocking-Step2'!I953</f>
        <v>0</v>
      </c>
      <c r="AH953" s="2136">
        <f>K953-'Blocking-Step2'!K953</f>
        <v>0</v>
      </c>
      <c r="AJ953" s="2136">
        <f>M953-'Blocking-Step2'!M953</f>
        <v>0</v>
      </c>
      <c r="AL953" s="2136">
        <f>O953-'Blocking-Step2'!O953</f>
        <v>0</v>
      </c>
      <c r="AN953" s="2137">
        <f>Q953-'Blocking-Step2'!Q953</f>
        <v>0</v>
      </c>
      <c r="AP953" s="2127">
        <f>S953-'Blocking-Step2'!S953</f>
        <v>0</v>
      </c>
      <c r="AR953" s="2127">
        <f>U953-'Blocking-Step2'!U953</f>
        <v>0</v>
      </c>
      <c r="AT953" s="2127">
        <f>W953-'Blocking-Step2'!W953</f>
        <v>0</v>
      </c>
      <c r="AV953" s="2128">
        <f>Y953-'Blocking-Step2'!Y953</f>
        <v>0</v>
      </c>
    </row>
    <row r="954" spans="1:48" ht="16.5" hidden="1" thickTop="1">
      <c r="A954" s="1116" t="s">
        <v>1363</v>
      </c>
      <c r="C954" s="1105">
        <v>7086</v>
      </c>
      <c r="D954" s="1105">
        <v>13580</v>
      </c>
      <c r="F954" s="1106">
        <v>3.5143</v>
      </c>
      <c r="G954" s="1921" t="s">
        <v>495</v>
      </c>
      <c r="H954" s="1146">
        <v>249</v>
      </c>
      <c r="I954" s="1146">
        <v>477</v>
      </c>
      <c r="K954" s="1106"/>
      <c r="L954" s="1921"/>
      <c r="M954" s="1106"/>
      <c r="N954" s="1921"/>
      <c r="O954" s="1106"/>
      <c r="P954" s="1921"/>
      <c r="Q954" s="1106"/>
      <c r="R954" s="1921"/>
      <c r="S954" s="1648"/>
      <c r="T954" s="1648"/>
      <c r="U954" s="1648"/>
      <c r="V954" s="1648"/>
      <c r="W954" s="1648"/>
      <c r="X954" s="1648"/>
      <c r="Y954" s="1146"/>
      <c r="Z954" s="2114">
        <f>C954-'Blocking-Step2'!C954</f>
        <v>0</v>
      </c>
      <c r="AA954" s="2114">
        <f>D954-'Blocking-Step2'!D954</f>
        <v>0</v>
      </c>
      <c r="AC954" s="2114">
        <f>F954-'Blocking-Step2'!F954</f>
        <v>0</v>
      </c>
      <c r="AE954" s="2114">
        <f>H954-'Blocking-Step2'!H954</f>
        <v>0</v>
      </c>
      <c r="AF954" s="2114">
        <f>I954-'Blocking-Step2'!I954</f>
        <v>0</v>
      </c>
      <c r="AH954" s="2136">
        <f>K954-'Blocking-Step2'!K954</f>
        <v>0</v>
      </c>
      <c r="AJ954" s="2136">
        <f>M954-'Blocking-Step2'!M954</f>
        <v>0</v>
      </c>
      <c r="AL954" s="2136">
        <f>O954-'Blocking-Step2'!O954</f>
        <v>0</v>
      </c>
      <c r="AN954" s="2137">
        <f>Q954-'Blocking-Step2'!Q954</f>
        <v>0</v>
      </c>
      <c r="AP954" s="2127">
        <f>S954-'Blocking-Step2'!S954</f>
        <v>0</v>
      </c>
      <c r="AR954" s="2127">
        <f>U954-'Blocking-Step2'!U954</f>
        <v>0</v>
      </c>
      <c r="AT954" s="2127">
        <f>W954-'Blocking-Step2'!W954</f>
        <v>0</v>
      </c>
      <c r="AV954" s="2128">
        <f>Y954-'Blocking-Step2'!Y954</f>
        <v>0</v>
      </c>
    </row>
    <row r="955" spans="1:48" ht="16.5" hidden="1" thickTop="1">
      <c r="A955" s="1116" t="s">
        <v>246</v>
      </c>
      <c r="C955" s="1940">
        <v>-115</v>
      </c>
      <c r="D955" s="1940">
        <v>0</v>
      </c>
      <c r="H955" s="1147">
        <v>-42</v>
      </c>
      <c r="I955" s="1147">
        <v>0</v>
      </c>
      <c r="Y955" s="1147">
        <v>0</v>
      </c>
      <c r="Z955" s="2114">
        <f>C955-'Blocking-Step2'!C955</f>
        <v>0</v>
      </c>
      <c r="AA955" s="2114">
        <f>D955-'Blocking-Step2'!D955</f>
        <v>0</v>
      </c>
      <c r="AC955" s="2114">
        <f>F955-'Blocking-Step2'!F955</f>
        <v>0</v>
      </c>
      <c r="AE955" s="2114">
        <f>H955-'Blocking-Step2'!H955</f>
        <v>0</v>
      </c>
      <c r="AF955" s="2114">
        <f>I955-'Blocking-Step2'!I955</f>
        <v>0</v>
      </c>
      <c r="AH955" s="2136">
        <f>K955-'Blocking-Step2'!K955</f>
        <v>0</v>
      </c>
      <c r="AJ955" s="2136">
        <f>M955-'Blocking-Step2'!M955</f>
        <v>0</v>
      </c>
      <c r="AL955" s="2136">
        <f>O955-'Blocking-Step2'!O955</f>
        <v>0</v>
      </c>
      <c r="AN955" s="2137">
        <f>Q955-'Blocking-Step2'!Q955</f>
        <v>0</v>
      </c>
      <c r="AP955" s="2127">
        <f>S955-'Blocking-Step2'!S955</f>
        <v>0</v>
      </c>
      <c r="AR955" s="2127">
        <f>U955-'Blocking-Step2'!U955</f>
        <v>0</v>
      </c>
      <c r="AT955" s="2127">
        <f>W955-'Blocking-Step2'!W955</f>
        <v>0</v>
      </c>
      <c r="AV955" s="2128">
        <f>Y955-'Blocking-Step2'!Y955</f>
        <v>0</v>
      </c>
    </row>
    <row r="956" spans="1:48" ht="16.5" hidden="1" thickTop="1">
      <c r="A956" s="1116" t="s">
        <v>1240</v>
      </c>
      <c r="C956" s="1024"/>
      <c r="D956" s="1024"/>
      <c r="F956" s="2076">
        <v>-3.61E-2</v>
      </c>
      <c r="G956" s="617"/>
      <c r="H956" s="1146">
        <v>-71.225300000000004</v>
      </c>
      <c r="I956" s="1146">
        <v>-238.5127</v>
      </c>
      <c r="K956" s="2080">
        <v>0</v>
      </c>
      <c r="L956" s="617"/>
      <c r="M956" s="2080">
        <v>0</v>
      </c>
      <c r="N956" s="617"/>
      <c r="O956" s="2077" t="s">
        <v>2323</v>
      </c>
      <c r="P956" s="617"/>
      <c r="Q956" s="2076">
        <v>-2.76E-2</v>
      </c>
      <c r="R956" s="617"/>
      <c r="S956" s="1114"/>
      <c r="T956" s="1114"/>
      <c r="U956" s="1114"/>
      <c r="V956" s="1114"/>
      <c r="W956" s="1114"/>
      <c r="X956" s="1114"/>
      <c r="Y956" s="1146">
        <v>-200.54159999999999</v>
      </c>
      <c r="Z956" s="2114">
        <f>C956-'Blocking-Step2'!C956</f>
        <v>0</v>
      </c>
      <c r="AA956" s="2114">
        <f>D956-'Blocking-Step2'!D956</f>
        <v>0</v>
      </c>
      <c r="AC956" s="2114">
        <f>F956-'Blocking-Step2'!F956</f>
        <v>0</v>
      </c>
      <c r="AE956" s="2114">
        <f>H956-'Blocking-Step2'!H956</f>
        <v>0</v>
      </c>
      <c r="AF956" s="2114">
        <f>I956-'Blocking-Step2'!I956</f>
        <v>0</v>
      </c>
      <c r="AH956" s="2136">
        <f>K956-'Blocking-Step2'!K956</f>
        <v>0</v>
      </c>
      <c r="AJ956" s="2136">
        <f>M956-'Blocking-Step2'!M956</f>
        <v>0</v>
      </c>
      <c r="AL956" s="2136" t="e">
        <f>O956-'Blocking-Step2'!O956</f>
        <v>#VALUE!</v>
      </c>
      <c r="AN956" s="2137">
        <f>Q956-'Blocking-Step2'!Q956</f>
        <v>0</v>
      </c>
      <c r="AP956" s="2127">
        <f>S956-'Blocking-Step2'!S956</f>
        <v>0</v>
      </c>
      <c r="AR956" s="2127">
        <f>U956-'Blocking-Step2'!U956</f>
        <v>0</v>
      </c>
      <c r="AT956" s="2127">
        <f>W956-'Blocking-Step2'!W956</f>
        <v>0</v>
      </c>
      <c r="AV956" s="2128">
        <f>Y956-'Blocking-Step2'!Y956</f>
        <v>0</v>
      </c>
    </row>
    <row r="957" spans="1:48" ht="16.5" hidden="1" thickTop="1">
      <c r="A957" s="1116"/>
      <c r="C957" s="1024"/>
      <c r="D957" s="1024"/>
      <c r="F957" s="2076"/>
      <c r="G957" s="617"/>
      <c r="H957" s="1146"/>
      <c r="I957" s="1146"/>
      <c r="K957" s="2080"/>
      <c r="L957" s="617"/>
      <c r="M957" s="2080"/>
      <c r="N957" s="617"/>
      <c r="O957" s="2077" t="s">
        <v>2324</v>
      </c>
      <c r="P957" s="617"/>
      <c r="Q957" s="2076">
        <v>-1.4999999999999999E-2</v>
      </c>
      <c r="R957" s="617"/>
      <c r="S957" s="1114"/>
      <c r="T957" s="1114"/>
      <c r="U957" s="1114"/>
      <c r="V957" s="1114"/>
      <c r="W957" s="1114"/>
      <c r="X957" s="1114"/>
      <c r="Y957" s="1146">
        <v>-108.99</v>
      </c>
      <c r="Z957" s="2114">
        <f>C957-'Blocking-Step2'!C957</f>
        <v>0</v>
      </c>
      <c r="AA957" s="2114">
        <f>D957-'Blocking-Step2'!D957</f>
        <v>0</v>
      </c>
      <c r="AC957" s="2114">
        <f>F957-'Blocking-Step2'!F957</f>
        <v>0</v>
      </c>
      <c r="AE957" s="2114">
        <f>H957-'Blocking-Step2'!H957</f>
        <v>0</v>
      </c>
      <c r="AF957" s="2114">
        <f>I957-'Blocking-Step2'!I957</f>
        <v>0</v>
      </c>
      <c r="AH957" s="2136">
        <f>K957-'Blocking-Step2'!K957</f>
        <v>0</v>
      </c>
      <c r="AJ957" s="2136">
        <f>M957-'Blocking-Step2'!M957</f>
        <v>0</v>
      </c>
      <c r="AL957" s="2136" t="e">
        <f>O957-'Blocking-Step2'!O957</f>
        <v>#VALUE!</v>
      </c>
      <c r="AN957" s="2137">
        <f>Q957-'Blocking-Step2'!Q957</f>
        <v>0</v>
      </c>
      <c r="AP957" s="2127">
        <f>S957-'Blocking-Step2'!S957</f>
        <v>0</v>
      </c>
      <c r="AR957" s="2127">
        <f>U957-'Blocking-Step2'!U957</f>
        <v>0</v>
      </c>
      <c r="AT957" s="2127">
        <f>W957-'Blocking-Step2'!W957</f>
        <v>0</v>
      </c>
      <c r="AV957" s="2128">
        <f>Y957-'Blocking-Step2'!Y957</f>
        <v>0</v>
      </c>
    </row>
    <row r="958" spans="1:48" ht="17.25" hidden="1" thickTop="1" thickBot="1">
      <c r="A958" s="1116" t="s">
        <v>247</v>
      </c>
      <c r="C958" s="1138">
        <v>6971</v>
      </c>
      <c r="D958" s="1138">
        <v>23280</v>
      </c>
      <c r="F958" s="1145"/>
      <c r="H958" s="1149">
        <v>2713.7746999999999</v>
      </c>
      <c r="I958" s="1149">
        <v>9149.4873000000007</v>
      </c>
      <c r="K958" s="1145"/>
      <c r="M958" s="1145"/>
      <c r="O958" s="1145"/>
      <c r="Q958" s="1145"/>
      <c r="S958" s="1149">
        <v>3020</v>
      </c>
      <c r="U958" s="1149">
        <v>6526</v>
      </c>
      <c r="W958" s="1149">
        <v>496</v>
      </c>
      <c r="Y958" s="1149">
        <v>10042</v>
      </c>
      <c r="Z958" s="2114">
        <f>C958-'Blocking-Step2'!C958</f>
        <v>0</v>
      </c>
      <c r="AA958" s="2114">
        <f>D958-'Blocking-Step2'!D958</f>
        <v>0</v>
      </c>
      <c r="AC958" s="2114">
        <f>F958-'Blocking-Step2'!F958</f>
        <v>0</v>
      </c>
      <c r="AE958" s="2114">
        <f>H958-'Blocking-Step2'!H958</f>
        <v>0</v>
      </c>
      <c r="AF958" s="2114">
        <f>I958-'Blocking-Step2'!I958</f>
        <v>0</v>
      </c>
      <c r="AH958" s="2136">
        <f>K958-'Blocking-Step2'!K958</f>
        <v>0</v>
      </c>
      <c r="AJ958" s="2136">
        <f>M958-'Blocking-Step2'!M958</f>
        <v>0</v>
      </c>
      <c r="AL958" s="2136">
        <f>O958-'Blocking-Step2'!O958</f>
        <v>0</v>
      </c>
      <c r="AN958" s="2137">
        <f>Q958-'Blocking-Step2'!Q958</f>
        <v>0</v>
      </c>
      <c r="AP958" s="2127">
        <f>S958-'Blocking-Step2'!S958</f>
        <v>-2794</v>
      </c>
      <c r="AR958" s="2127">
        <f>U958-'Blocking-Step2'!U958</f>
        <v>2794</v>
      </c>
      <c r="AT958" s="2127">
        <f>W958-'Blocking-Step2'!W958</f>
        <v>0</v>
      </c>
      <c r="AV958" s="2128">
        <f>Y958-'Blocking-Step2'!Y958</f>
        <v>0</v>
      </c>
    </row>
    <row r="959" spans="1:48" ht="16.5" thickTop="1">
      <c r="C959" s="1105"/>
      <c r="D959" s="1105"/>
      <c r="Z959" s="2114">
        <f>C959-'Blocking-Step2'!C959</f>
        <v>0</v>
      </c>
      <c r="AA959" s="2114">
        <f>D959-'Blocking-Step2'!D959</f>
        <v>0</v>
      </c>
      <c r="AC959" s="2114">
        <f>F959-'Blocking-Step2'!F959</f>
        <v>0</v>
      </c>
      <c r="AE959" s="2114">
        <f>H959-'Blocking-Step2'!H959</f>
        <v>0</v>
      </c>
      <c r="AF959" s="2114">
        <f>I959-'Blocking-Step2'!I959</f>
        <v>0</v>
      </c>
      <c r="AH959" s="2136">
        <f>K959-'Blocking-Step2'!K959</f>
        <v>0</v>
      </c>
      <c r="AJ959" s="2136">
        <f>M959-'Blocking-Step2'!M959</f>
        <v>0</v>
      </c>
      <c r="AL959" s="2136">
        <f>O959-'Blocking-Step2'!O959</f>
        <v>0</v>
      </c>
      <c r="AN959" s="2137">
        <f>Q959-'Blocking-Step2'!Q959</f>
        <v>0</v>
      </c>
      <c r="AP959" s="2127">
        <f>S959-'Blocking-Step2'!S959</f>
        <v>0</v>
      </c>
      <c r="AR959" s="2127">
        <f>U959-'Blocking-Step2'!U959</f>
        <v>0</v>
      </c>
      <c r="AT959" s="2127">
        <f>W959-'Blocking-Step2'!W959</f>
        <v>0</v>
      </c>
      <c r="AV959" s="2128">
        <f>Y959-'Blocking-Step2'!Y959</f>
        <v>0</v>
      </c>
    </row>
    <row r="960" spans="1:48">
      <c r="A960" s="1115" t="s">
        <v>552</v>
      </c>
      <c r="C960" s="1105"/>
      <c r="D960" s="1105"/>
      <c r="F960" s="1106"/>
      <c r="G960" s="1107"/>
      <c r="K960" s="1106"/>
      <c r="L960" s="1107"/>
      <c r="M960" s="1106"/>
      <c r="N960" s="1107"/>
      <c r="O960" s="1106"/>
      <c r="P960" s="1107"/>
      <c r="Q960" s="1106"/>
      <c r="R960" s="1107"/>
      <c r="S960" s="1114"/>
      <c r="T960" s="1114"/>
      <c r="U960" s="1114"/>
      <c r="V960" s="1114"/>
      <c r="W960" s="1114"/>
      <c r="X960" s="1114"/>
      <c r="Z960" s="2114">
        <f>C960-'Blocking-Step2'!C960</f>
        <v>0</v>
      </c>
      <c r="AA960" s="2114">
        <f>D960-'Blocking-Step2'!D960</f>
        <v>0</v>
      </c>
      <c r="AC960" s="2114">
        <f>F960-'Blocking-Step2'!F960</f>
        <v>0</v>
      </c>
      <c r="AE960" s="2114">
        <f>H960-'Blocking-Step2'!H960</f>
        <v>0</v>
      </c>
      <c r="AF960" s="2114">
        <f>I960-'Blocking-Step2'!I960</f>
        <v>0</v>
      </c>
      <c r="AH960" s="2136">
        <f>K960-'Blocking-Step2'!K960</f>
        <v>0</v>
      </c>
      <c r="AJ960" s="2136">
        <f>M960-'Blocking-Step2'!M960</f>
        <v>0</v>
      </c>
      <c r="AL960" s="2136">
        <f>O960-'Blocking-Step2'!O960</f>
        <v>0</v>
      </c>
      <c r="AN960" s="2137">
        <f>Q960-'Blocking-Step2'!Q960</f>
        <v>0</v>
      </c>
      <c r="AP960" s="2127">
        <f>S960-'Blocking-Step2'!S960</f>
        <v>0</v>
      </c>
      <c r="AR960" s="2127">
        <f>U960-'Blocking-Step2'!U960</f>
        <v>0</v>
      </c>
      <c r="AT960" s="2127">
        <f>W960-'Blocking-Step2'!W960</f>
        <v>0</v>
      </c>
      <c r="AV960" s="2128">
        <f>Y960-'Blocking-Step2'!Y960</f>
        <v>0</v>
      </c>
    </row>
    <row r="961" spans="1:48">
      <c r="A961" s="1116" t="s">
        <v>1910</v>
      </c>
      <c r="C961" s="1105">
        <v>19779189.087820396</v>
      </c>
      <c r="D961" s="1105">
        <v>44585441.124639124</v>
      </c>
      <c r="E961" s="617"/>
      <c r="F961" s="1143"/>
      <c r="G961" s="1921"/>
      <c r="H961" s="1146"/>
      <c r="I961" s="1146"/>
      <c r="J961" s="617"/>
      <c r="K961" s="1924">
        <v>1.657</v>
      </c>
      <c r="L961" s="1921" t="s">
        <v>495</v>
      </c>
      <c r="M961" s="1924">
        <v>19.370528114911814</v>
      </c>
      <c r="N961" s="1921" t="s">
        <v>495</v>
      </c>
      <c r="O961" s="1922">
        <v>1.3496999999999999</v>
      </c>
      <c r="P961" s="1921" t="s">
        <v>495</v>
      </c>
      <c r="Q961" s="1143">
        <v>22.377228114911812</v>
      </c>
      <c r="R961" s="1921" t="s">
        <v>495</v>
      </c>
      <c r="S961" s="1146">
        <v>738781</v>
      </c>
      <c r="T961" s="1648"/>
      <c r="U961" s="1146">
        <v>8636435</v>
      </c>
      <c r="V961" s="1648"/>
      <c r="W961" s="1146">
        <v>601770</v>
      </c>
      <c r="X961" s="1648"/>
      <c r="Y961" s="1146">
        <v>9976986</v>
      </c>
      <c r="Z961" s="2114">
        <f>C961-'Blocking-Step2'!C961</f>
        <v>0</v>
      </c>
      <c r="AA961" s="2114">
        <f>D961-'Blocking-Step2'!D961</f>
        <v>0</v>
      </c>
      <c r="AC961" s="2114">
        <f>F961-'Blocking-Step2'!F961</f>
        <v>0</v>
      </c>
      <c r="AE961" s="2114">
        <f>H961-'Blocking-Step2'!H961</f>
        <v>0</v>
      </c>
      <c r="AF961" s="2114">
        <f>I961-'Blocking-Step2'!I961</f>
        <v>0</v>
      </c>
      <c r="AH961" s="2136">
        <f>K961-'Blocking-Step2'!K961</f>
        <v>-2.2955000000000001</v>
      </c>
      <c r="AJ961" s="2136">
        <f>M961-'Blocking-Step2'!M961</f>
        <v>2.2955000000000005</v>
      </c>
      <c r="AL961" s="2136">
        <f>O961-'Blocking-Step2'!O961</f>
        <v>0</v>
      </c>
      <c r="AN961" s="2137">
        <f>Q961-'Blocking-Step2'!Q961</f>
        <v>0</v>
      </c>
      <c r="AP961" s="2127">
        <f>S961-'Blocking-Step2'!S961</f>
        <v>-1023459</v>
      </c>
      <c r="AR961" s="2127">
        <f>U961-'Blocking-Step2'!U961</f>
        <v>1023458</v>
      </c>
      <c r="AT961" s="2127">
        <f>W961-'Blocking-Step2'!W961</f>
        <v>0</v>
      </c>
      <c r="AV961" s="2128">
        <f>Y961-'Blocking-Step2'!Y961</f>
        <v>0</v>
      </c>
    </row>
    <row r="962" spans="1:48">
      <c r="A962" s="1116" t="s">
        <v>1911</v>
      </c>
      <c r="C962" s="1105">
        <v>35655696.16045028</v>
      </c>
      <c r="D962" s="1105">
        <v>80754202</v>
      </c>
      <c r="E962" s="617"/>
      <c r="F962" s="1143"/>
      <c r="G962" s="1921"/>
      <c r="H962" s="1146"/>
      <c r="I962" s="1146"/>
      <c r="J962" s="617"/>
      <c r="K962" s="1924">
        <v>1.657</v>
      </c>
      <c r="L962" s="1921" t="s">
        <v>495</v>
      </c>
      <c r="M962" s="1924">
        <v>1.3803172825590004</v>
      </c>
      <c r="N962" s="1921" t="s">
        <v>495</v>
      </c>
      <c r="O962" s="1922">
        <v>1.3496999999999999</v>
      </c>
      <c r="P962" s="1921" t="s">
        <v>495</v>
      </c>
      <c r="Q962" s="1143">
        <v>4.3870172825590004</v>
      </c>
      <c r="R962" s="1921" t="s">
        <v>495</v>
      </c>
      <c r="S962" s="1146">
        <v>1338097</v>
      </c>
      <c r="T962" s="1648"/>
      <c r="U962" s="1146">
        <v>1114664</v>
      </c>
      <c r="V962" s="1648"/>
      <c r="W962" s="1146">
        <v>1089939</v>
      </c>
      <c r="X962" s="1648"/>
      <c r="Y962" s="1146">
        <v>3542701</v>
      </c>
      <c r="Z962" s="2114">
        <f>C962-'Blocking-Step2'!C962</f>
        <v>0</v>
      </c>
      <c r="AA962" s="2114">
        <f>D962-'Blocking-Step2'!D962</f>
        <v>0</v>
      </c>
      <c r="AC962" s="2114">
        <f>F962-'Blocking-Step2'!F962</f>
        <v>0</v>
      </c>
      <c r="AE962" s="2114">
        <f>H962-'Blocking-Step2'!H962</f>
        <v>0</v>
      </c>
      <c r="AF962" s="2114">
        <f>I962-'Blocking-Step2'!I962</f>
        <v>0</v>
      </c>
      <c r="AH962" s="2136">
        <f>K962-'Blocking-Step2'!K962</f>
        <v>-2.2955000000000001</v>
      </c>
      <c r="AJ962" s="2136">
        <f>M962-'Blocking-Step2'!M962</f>
        <v>2.2955000000000001</v>
      </c>
      <c r="AL962" s="2136">
        <f>O962-'Blocking-Step2'!O962</f>
        <v>0</v>
      </c>
      <c r="AN962" s="2137">
        <f>Q962-'Blocking-Step2'!Q962</f>
        <v>0</v>
      </c>
      <c r="AP962" s="2127">
        <f>S962-'Blocking-Step2'!S962</f>
        <v>-1853713</v>
      </c>
      <c r="AR962" s="2127">
        <f>U962-'Blocking-Step2'!U962</f>
        <v>1853713</v>
      </c>
      <c r="AT962" s="2127">
        <f>W962-'Blocking-Step2'!W962</f>
        <v>0</v>
      </c>
      <c r="AV962" s="2128">
        <f>Y962-'Blocking-Step2'!Y962</f>
        <v>0</v>
      </c>
    </row>
    <row r="963" spans="1:48">
      <c r="A963" s="1116" t="s">
        <v>1912</v>
      </c>
      <c r="C963" s="1105">
        <v>34405474.716320619</v>
      </c>
      <c r="D963" s="1105">
        <v>73546803</v>
      </c>
      <c r="E963" s="617"/>
      <c r="F963" s="1143"/>
      <c r="G963" s="1921"/>
      <c r="H963" s="1146"/>
      <c r="I963" s="1146"/>
      <c r="J963" s="617"/>
      <c r="K963" s="1924">
        <v>1.657</v>
      </c>
      <c r="L963" s="1921" t="s">
        <v>495</v>
      </c>
      <c r="M963" s="1924">
        <v>16.951500000000003</v>
      </c>
      <c r="N963" s="1921" t="s">
        <v>495</v>
      </c>
      <c r="O963" s="1922">
        <v>1.1943999999999999</v>
      </c>
      <c r="P963" s="1921" t="s">
        <v>495</v>
      </c>
      <c r="Q963" s="1143">
        <v>19.802900000000001</v>
      </c>
      <c r="R963" s="1921" t="s">
        <v>495</v>
      </c>
      <c r="S963" s="1146">
        <v>1218671</v>
      </c>
      <c r="T963" s="1648"/>
      <c r="U963" s="1146">
        <v>12467286</v>
      </c>
      <c r="V963" s="1648"/>
      <c r="W963" s="1146">
        <v>878443</v>
      </c>
      <c r="X963" s="1648"/>
      <c r="Y963" s="1146">
        <v>14564400</v>
      </c>
      <c r="Z963" s="2114">
        <f>C963-'Blocking-Step2'!C963</f>
        <v>0</v>
      </c>
      <c r="AA963" s="2114">
        <f>D963-'Blocking-Step2'!D963</f>
        <v>0</v>
      </c>
      <c r="AC963" s="2114">
        <f>F963-'Blocking-Step2'!F963</f>
        <v>0</v>
      </c>
      <c r="AE963" s="2114">
        <f>H963-'Blocking-Step2'!H963</f>
        <v>0</v>
      </c>
      <c r="AF963" s="2114">
        <f>I963-'Blocking-Step2'!I963</f>
        <v>0</v>
      </c>
      <c r="AH963" s="2136">
        <f>K963-'Blocking-Step2'!K963</f>
        <v>-2.2955000000000001</v>
      </c>
      <c r="AJ963" s="2136">
        <f>M963-'Blocking-Step2'!M963</f>
        <v>2.2955000000000023</v>
      </c>
      <c r="AL963" s="2136">
        <f>O963-'Blocking-Step2'!O963</f>
        <v>0</v>
      </c>
      <c r="AN963" s="2137">
        <f>Q963-'Blocking-Step2'!Q963</f>
        <v>0</v>
      </c>
      <c r="AP963" s="2127">
        <f>S963-'Blocking-Step2'!S963</f>
        <v>-1688266</v>
      </c>
      <c r="AR963" s="2127">
        <f>U963-'Blocking-Step2'!U963</f>
        <v>1688267</v>
      </c>
      <c r="AT963" s="2127">
        <f>W963-'Blocking-Step2'!W963</f>
        <v>0</v>
      </c>
      <c r="AV963" s="2128">
        <f>Y963-'Blocking-Step2'!Y963</f>
        <v>0</v>
      </c>
    </row>
    <row r="964" spans="1:48">
      <c r="A964" s="1116" t="s">
        <v>1913</v>
      </c>
      <c r="C964" s="1105">
        <v>72036642.888999879</v>
      </c>
      <c r="D964" s="1105">
        <v>153778261</v>
      </c>
      <c r="E964" s="617"/>
      <c r="F964" s="1143"/>
      <c r="G964" s="1921"/>
      <c r="H964" s="1146"/>
      <c r="I964" s="1146"/>
      <c r="J964" s="617"/>
      <c r="K964" s="1924">
        <v>1.657</v>
      </c>
      <c r="L964" s="1921" t="s">
        <v>495</v>
      </c>
      <c r="M964" s="1924">
        <v>1.0308999999999999</v>
      </c>
      <c r="N964" s="1921" t="s">
        <v>495</v>
      </c>
      <c r="O964" s="1922">
        <v>1.1943999999999999</v>
      </c>
      <c r="P964" s="1921" t="s">
        <v>495</v>
      </c>
      <c r="Q964" s="1143">
        <v>3.8822999999999999</v>
      </c>
      <c r="R964" s="1921" t="s">
        <v>495</v>
      </c>
      <c r="S964" s="1146">
        <v>2548106</v>
      </c>
      <c r="T964" s="1648"/>
      <c r="U964" s="1146">
        <v>1585300</v>
      </c>
      <c r="V964" s="1648"/>
      <c r="W964" s="1146">
        <v>1836728</v>
      </c>
      <c r="X964" s="1648"/>
      <c r="Y964" s="1146">
        <v>5970133</v>
      </c>
      <c r="Z964" s="2114">
        <f>C964-'Blocking-Step2'!C964</f>
        <v>0</v>
      </c>
      <c r="AA964" s="2114">
        <f>D964-'Blocking-Step2'!D964</f>
        <v>0</v>
      </c>
      <c r="AC964" s="2114">
        <f>F964-'Blocking-Step2'!F964</f>
        <v>0</v>
      </c>
      <c r="AE964" s="2114">
        <f>H964-'Blocking-Step2'!H964</f>
        <v>0</v>
      </c>
      <c r="AF964" s="2114">
        <f>I964-'Blocking-Step2'!I964</f>
        <v>0</v>
      </c>
      <c r="AH964" s="2136">
        <f>K964-'Blocking-Step2'!K964</f>
        <v>-2.2955000000000001</v>
      </c>
      <c r="AJ964" s="2136">
        <f>M964-'Blocking-Step2'!M964</f>
        <v>2.2955000000000001</v>
      </c>
      <c r="AL964" s="2136">
        <f>O964-'Blocking-Step2'!O964</f>
        <v>0</v>
      </c>
      <c r="AN964" s="2137">
        <f>Q964-'Blocking-Step2'!Q964</f>
        <v>0</v>
      </c>
      <c r="AP964" s="2127">
        <f>S964-'Blocking-Step2'!S964</f>
        <v>-3529980</v>
      </c>
      <c r="AR964" s="2127">
        <f>U964-'Blocking-Step2'!U964</f>
        <v>3529980</v>
      </c>
      <c r="AT964" s="2127">
        <f>W964-'Blocking-Step2'!W964</f>
        <v>0</v>
      </c>
      <c r="AV964" s="2128">
        <f>Y964-'Blocking-Step2'!Y964</f>
        <v>0</v>
      </c>
    </row>
    <row r="965" spans="1:48">
      <c r="A965" s="1116" t="s">
        <v>1906</v>
      </c>
      <c r="C965" s="1105">
        <v>28929914.642585691</v>
      </c>
      <c r="D965" s="1105">
        <v>65422495.124639124</v>
      </c>
      <c r="E965" s="617"/>
      <c r="F965" s="1143"/>
      <c r="G965" s="1921"/>
      <c r="H965" s="1146"/>
      <c r="I965" s="1146"/>
      <c r="J965" s="617"/>
      <c r="K965" s="1924"/>
      <c r="L965" s="1921"/>
      <c r="M965" s="1924"/>
      <c r="N965" s="1921"/>
      <c r="O965" s="1922">
        <v>6</v>
      </c>
      <c r="P965" s="1921" t="s">
        <v>495</v>
      </c>
      <c r="Q965" s="1143">
        <v>6</v>
      </c>
      <c r="R965" s="1921" t="s">
        <v>495</v>
      </c>
      <c r="S965" s="1648"/>
      <c r="T965" s="1648"/>
      <c r="U965" s="1648"/>
      <c r="V965" s="1648"/>
      <c r="W965" s="1648">
        <v>3925350</v>
      </c>
      <c r="X965" s="1648"/>
      <c r="Y965" s="1146">
        <v>3925350</v>
      </c>
      <c r="Z965" s="2114">
        <f>C965-'Blocking-Step2'!C965</f>
        <v>0</v>
      </c>
      <c r="AA965" s="2114">
        <f>D965-'Blocking-Step2'!D965</f>
        <v>0</v>
      </c>
      <c r="AC965" s="2114">
        <f>F965-'Blocking-Step2'!F965</f>
        <v>0</v>
      </c>
      <c r="AE965" s="2114">
        <f>H965-'Blocking-Step2'!H965</f>
        <v>0</v>
      </c>
      <c r="AF965" s="2114">
        <f>I965-'Blocking-Step2'!I965</f>
        <v>0</v>
      </c>
      <c r="AH965" s="2136">
        <f>K965-'Blocking-Step2'!K965</f>
        <v>0</v>
      </c>
      <c r="AJ965" s="2136">
        <f>M965-'Blocking-Step2'!M965</f>
        <v>0</v>
      </c>
      <c r="AL965" s="2136">
        <f>O965-'Blocking-Step2'!O965</f>
        <v>0</v>
      </c>
      <c r="AN965" s="2137">
        <f>Q965-'Blocking-Step2'!Q965</f>
        <v>0</v>
      </c>
      <c r="AP965" s="2127">
        <f>S965-'Blocking-Step2'!S965</f>
        <v>0</v>
      </c>
      <c r="AR965" s="2127">
        <f>U965-'Blocking-Step2'!U965</f>
        <v>0</v>
      </c>
      <c r="AT965" s="2127">
        <f>W965-'Blocking-Step2'!W965</f>
        <v>0</v>
      </c>
      <c r="AV965" s="2128">
        <f>Y965-'Blocking-Step2'!Y965</f>
        <v>0</v>
      </c>
    </row>
    <row r="966" spans="1:48">
      <c r="A966" s="1116" t="s">
        <v>1907</v>
      </c>
      <c r="C966" s="1105">
        <v>26504970.605684984</v>
      </c>
      <c r="D966" s="1105">
        <v>59917149</v>
      </c>
      <c r="E966" s="617"/>
      <c r="F966" s="1143"/>
      <c r="G966" s="1921"/>
      <c r="H966" s="1146"/>
      <c r="I966" s="1146"/>
      <c r="J966" s="617"/>
      <c r="K966" s="1924"/>
      <c r="L966" s="1921"/>
      <c r="M966" s="1924"/>
      <c r="N966" s="1921"/>
      <c r="O966" s="1922">
        <v>-2.3358000000000008</v>
      </c>
      <c r="P966" s="1921" t="s">
        <v>495</v>
      </c>
      <c r="Q966" s="1143">
        <v>-2.3358000000000008</v>
      </c>
      <c r="R966" s="1921" t="s">
        <v>495</v>
      </c>
      <c r="S966" s="1648"/>
      <c r="T966" s="1648"/>
      <c r="U966" s="1648"/>
      <c r="V966" s="1648"/>
      <c r="W966" s="1648">
        <v>-1399545</v>
      </c>
      <c r="X966" s="1648"/>
      <c r="Y966" s="1146">
        <v>-1399545</v>
      </c>
      <c r="Z966" s="2114">
        <f>C966-'Blocking-Step2'!C966</f>
        <v>0</v>
      </c>
      <c r="AA966" s="2114">
        <f>D966-'Blocking-Step2'!D966</f>
        <v>0</v>
      </c>
      <c r="AC966" s="2114">
        <f>F966-'Blocking-Step2'!F966</f>
        <v>0</v>
      </c>
      <c r="AE966" s="2114">
        <f>H966-'Blocking-Step2'!H966</f>
        <v>0</v>
      </c>
      <c r="AF966" s="2114">
        <f>I966-'Blocking-Step2'!I966</f>
        <v>0</v>
      </c>
      <c r="AH966" s="2136">
        <f>K966-'Blocking-Step2'!K966</f>
        <v>0</v>
      </c>
      <c r="AJ966" s="2136">
        <f>M966-'Blocking-Step2'!M966</f>
        <v>0</v>
      </c>
      <c r="AL966" s="2136">
        <f>O966-'Blocking-Step2'!O966</f>
        <v>0</v>
      </c>
      <c r="AN966" s="2137">
        <f>Q966-'Blocking-Step2'!Q966</f>
        <v>0</v>
      </c>
      <c r="AP966" s="2127">
        <f>S966-'Blocking-Step2'!S966</f>
        <v>0</v>
      </c>
      <c r="AR966" s="2127">
        <f>U966-'Blocking-Step2'!U966</f>
        <v>0</v>
      </c>
      <c r="AT966" s="2127">
        <f>W966-'Blocking-Step2'!W966</f>
        <v>0</v>
      </c>
      <c r="AV966" s="2128">
        <f>Y966-'Blocking-Step2'!Y966</f>
        <v>0</v>
      </c>
    </row>
    <row r="967" spans="1:48">
      <c r="A967" s="1116" t="s">
        <v>1908</v>
      </c>
      <c r="C967" s="1105">
        <v>58020904.957487509</v>
      </c>
      <c r="D967" s="1105">
        <v>124025012</v>
      </c>
      <c r="E967" s="617"/>
      <c r="F967" s="1143"/>
      <c r="G967" s="1921"/>
      <c r="H967" s="1146"/>
      <c r="I967" s="1146"/>
      <c r="J967" s="617"/>
      <c r="K967" s="1924"/>
      <c r="L967" s="1921"/>
      <c r="M967" s="1924"/>
      <c r="N967" s="1921"/>
      <c r="O967" s="1922">
        <v>5.3097000000000003</v>
      </c>
      <c r="P967" s="1921" t="s">
        <v>495</v>
      </c>
      <c r="Q967" s="1143">
        <v>5.3097000000000003</v>
      </c>
      <c r="R967" s="1921" t="s">
        <v>495</v>
      </c>
      <c r="S967" s="1648"/>
      <c r="T967" s="1648"/>
      <c r="U967" s="1648"/>
      <c r="V967" s="1648"/>
      <c r="W967" s="1648">
        <v>6585356</v>
      </c>
      <c r="X967" s="1648"/>
      <c r="Y967" s="1146">
        <v>6585356</v>
      </c>
      <c r="Z967" s="2114">
        <f>C967-'Blocking-Step2'!C967</f>
        <v>0</v>
      </c>
      <c r="AA967" s="2114">
        <f>D967-'Blocking-Step2'!D967</f>
        <v>0</v>
      </c>
      <c r="AC967" s="2114">
        <f>F967-'Blocking-Step2'!F967</f>
        <v>0</v>
      </c>
      <c r="AE967" s="2114">
        <f>H967-'Blocking-Step2'!H967</f>
        <v>0</v>
      </c>
      <c r="AF967" s="2114">
        <f>I967-'Blocking-Step2'!I967</f>
        <v>0</v>
      </c>
      <c r="AH967" s="2136">
        <f>K967-'Blocking-Step2'!K967</f>
        <v>0</v>
      </c>
      <c r="AJ967" s="2136">
        <f>M967-'Blocking-Step2'!M967</f>
        <v>0</v>
      </c>
      <c r="AL967" s="2136">
        <f>O967-'Blocking-Step2'!O967</f>
        <v>0</v>
      </c>
      <c r="AN967" s="2137">
        <f>Q967-'Blocking-Step2'!Q967</f>
        <v>0</v>
      </c>
      <c r="AP967" s="2127">
        <f>S967-'Blocking-Step2'!S967</f>
        <v>0</v>
      </c>
      <c r="AR967" s="2127">
        <f>U967-'Blocking-Step2'!U967</f>
        <v>0</v>
      </c>
      <c r="AT967" s="2127">
        <f>W967-'Blocking-Step2'!W967</f>
        <v>0</v>
      </c>
      <c r="AV967" s="2128">
        <f>Y967-'Blocking-Step2'!Y967</f>
        <v>0</v>
      </c>
    </row>
    <row r="968" spans="1:48">
      <c r="A968" s="1116" t="s">
        <v>1909</v>
      </c>
      <c r="C968" s="1105">
        <v>48421212.647832997</v>
      </c>
      <c r="D968" s="1105">
        <v>103300051</v>
      </c>
      <c r="E968" s="617"/>
      <c r="F968" s="1143"/>
      <c r="G968" s="1921"/>
      <c r="H968" s="1146"/>
      <c r="I968" s="1146"/>
      <c r="J968" s="617"/>
      <c r="K968" s="1924"/>
      <c r="L968" s="1921"/>
      <c r="M968" s="1924"/>
      <c r="N968" s="1921"/>
      <c r="O968" s="1922">
        <v>-2.0670999999999999</v>
      </c>
      <c r="P968" s="1921" t="s">
        <v>495</v>
      </c>
      <c r="Q968" s="1143">
        <v>-2.0670999999999999</v>
      </c>
      <c r="R968" s="1921" t="s">
        <v>495</v>
      </c>
      <c r="S968" s="1648"/>
      <c r="T968" s="1648"/>
      <c r="U968" s="1648"/>
      <c r="V968" s="1648"/>
      <c r="W968" s="1648">
        <v>-2135315</v>
      </c>
      <c r="X968" s="1648"/>
      <c r="Y968" s="1146">
        <v>-2135315</v>
      </c>
      <c r="Z968" s="2114">
        <f>C968-'Blocking-Step2'!C968</f>
        <v>0</v>
      </c>
      <c r="AA968" s="2114">
        <f>D968-'Blocking-Step2'!D968</f>
        <v>0</v>
      </c>
      <c r="AC968" s="2114">
        <f>F968-'Blocking-Step2'!F968</f>
        <v>0</v>
      </c>
      <c r="AE968" s="2114">
        <f>H968-'Blocking-Step2'!H968</f>
        <v>0</v>
      </c>
      <c r="AF968" s="2114">
        <f>I968-'Blocking-Step2'!I968</f>
        <v>0</v>
      </c>
      <c r="AH968" s="2136">
        <f>K968-'Blocking-Step2'!K968</f>
        <v>0</v>
      </c>
      <c r="AJ968" s="2136">
        <f>M968-'Blocking-Step2'!M968</f>
        <v>0</v>
      </c>
      <c r="AL968" s="2136">
        <f>O968-'Blocking-Step2'!O968</f>
        <v>0</v>
      </c>
      <c r="AN968" s="2137">
        <f>Q968-'Blocking-Step2'!Q968</f>
        <v>0</v>
      </c>
      <c r="AP968" s="2127">
        <f>S968-'Blocking-Step2'!S968</f>
        <v>0</v>
      </c>
      <c r="AR968" s="2127">
        <f>U968-'Blocking-Step2'!U968</f>
        <v>0</v>
      </c>
      <c r="AT968" s="2127">
        <f>W968-'Blocking-Step2'!W968</f>
        <v>0</v>
      </c>
      <c r="AV968" s="2128">
        <f>Y968-'Blocking-Step2'!Y968</f>
        <v>0</v>
      </c>
    </row>
    <row r="969" spans="1:48">
      <c r="A969" s="1116" t="s">
        <v>240</v>
      </c>
      <c r="C969" s="1105">
        <v>30591.066666666738</v>
      </c>
      <c r="D969" s="1105">
        <v>31870</v>
      </c>
      <c r="F969" s="1907">
        <v>54</v>
      </c>
      <c r="G969" s="1110"/>
      <c r="H969" s="1146">
        <v>1651918</v>
      </c>
      <c r="I969" s="1146">
        <v>1720980</v>
      </c>
      <c r="K969" s="1907">
        <v>54</v>
      </c>
      <c r="L969" s="1110"/>
      <c r="M969" s="1907"/>
      <c r="N969" s="1110"/>
      <c r="O969" s="1907"/>
      <c r="P969" s="1110"/>
      <c r="Q969" s="1907">
        <v>54</v>
      </c>
      <c r="R969" s="1110"/>
      <c r="S969" s="1629">
        <v>1720980</v>
      </c>
      <c r="T969" s="1629"/>
      <c r="U969" s="1629"/>
      <c r="V969" s="1629"/>
      <c r="W969" s="1629"/>
      <c r="X969" s="1629"/>
      <c r="Y969" s="1146">
        <v>1720980</v>
      </c>
      <c r="Z969" s="2114">
        <f>C969-'Blocking-Step2'!C969</f>
        <v>0</v>
      </c>
      <c r="AA969" s="2114">
        <f>D969-'Blocking-Step2'!D969</f>
        <v>0</v>
      </c>
      <c r="AC969" s="2114">
        <f>F969-'Blocking-Step2'!F969</f>
        <v>0</v>
      </c>
      <c r="AE969" s="2114">
        <f>H969-'Blocking-Step2'!H969</f>
        <v>0</v>
      </c>
      <c r="AF969" s="2114">
        <f>I969-'Blocking-Step2'!I969</f>
        <v>0</v>
      </c>
      <c r="AH969" s="2136">
        <f>K969-'Blocking-Step2'!K969</f>
        <v>0</v>
      </c>
      <c r="AJ969" s="2136">
        <f>M969-'Blocking-Step2'!M969</f>
        <v>0</v>
      </c>
      <c r="AL969" s="2136">
        <f>O969-'Blocking-Step2'!O969</f>
        <v>0</v>
      </c>
      <c r="AN969" s="2137">
        <f>Q969-'Blocking-Step2'!Q969</f>
        <v>0</v>
      </c>
      <c r="AP969" s="2127">
        <f>S969-'Blocking-Step2'!S969</f>
        <v>0</v>
      </c>
      <c r="AR969" s="2127">
        <f>U969-'Blocking-Step2'!U969</f>
        <v>0</v>
      </c>
      <c r="AT969" s="2127">
        <f>W969-'Blocking-Step2'!W969</f>
        <v>0</v>
      </c>
      <c r="AV969" s="2128">
        <f>Y969-'Blocking-Step2'!Y969</f>
        <v>0</v>
      </c>
    </row>
    <row r="970" spans="1:48">
      <c r="A970" s="1116" t="s">
        <v>157</v>
      </c>
      <c r="C970" s="1105">
        <v>1056197.9999999977</v>
      </c>
      <c r="D970" s="1105">
        <v>1149761</v>
      </c>
      <c r="E970" s="617"/>
      <c r="F970" s="1907">
        <v>6.52</v>
      </c>
      <c r="G970" s="1110"/>
      <c r="H970" s="1146">
        <v>6886411</v>
      </c>
      <c r="I970" s="1146">
        <v>7496442</v>
      </c>
      <c r="J970" s="617"/>
      <c r="K970" s="1907"/>
      <c r="L970" s="1110"/>
      <c r="M970" s="1907"/>
      <c r="N970" s="1110"/>
      <c r="O970" s="1907"/>
      <c r="P970" s="1110"/>
      <c r="Q970" s="1907"/>
      <c r="R970" s="1110"/>
      <c r="S970" s="1629"/>
      <c r="T970" s="1629"/>
      <c r="U970" s="1629"/>
      <c r="V970" s="1629"/>
      <c r="W970" s="1629"/>
      <c r="X970" s="1629"/>
      <c r="Y970" s="1146"/>
      <c r="Z970" s="2114">
        <f>C970-'Blocking-Step2'!C970</f>
        <v>0</v>
      </c>
      <c r="AA970" s="2114">
        <f>D970-'Blocking-Step2'!D970</f>
        <v>0</v>
      </c>
      <c r="AC970" s="2114">
        <f>F970-'Blocking-Step2'!F970</f>
        <v>0</v>
      </c>
      <c r="AE970" s="2114">
        <f>H970-'Blocking-Step2'!H970</f>
        <v>0</v>
      </c>
      <c r="AF970" s="2114">
        <f>I970-'Blocking-Step2'!I970</f>
        <v>0</v>
      </c>
      <c r="AH970" s="2136">
        <f>K970-'Blocking-Step2'!K970</f>
        <v>0</v>
      </c>
      <c r="AJ970" s="2136">
        <f>M970-'Blocking-Step2'!M970</f>
        <v>0</v>
      </c>
      <c r="AL970" s="2136">
        <f>O970-'Blocking-Step2'!O970</f>
        <v>0</v>
      </c>
      <c r="AN970" s="2137">
        <f>Q970-'Blocking-Step2'!Q970</f>
        <v>0</v>
      </c>
      <c r="AP970" s="2127">
        <f>S970-'Blocking-Step2'!S970</f>
        <v>0</v>
      </c>
      <c r="AR970" s="2127">
        <f>U970-'Blocking-Step2'!U970</f>
        <v>0</v>
      </c>
      <c r="AT970" s="2127">
        <f>W970-'Blocking-Step2'!W970</f>
        <v>0</v>
      </c>
      <c r="AV970" s="2128">
        <f>Y970-'Blocking-Step2'!Y970</f>
        <v>0</v>
      </c>
    </row>
    <row r="971" spans="1:48">
      <c r="A971" s="1116" t="s">
        <v>162</v>
      </c>
      <c r="C971" s="1105">
        <v>1254506.3692870212</v>
      </c>
      <c r="D971" s="1105">
        <v>1365599</v>
      </c>
      <c r="E971" s="617"/>
      <c r="F971" s="1907">
        <v>5.47</v>
      </c>
      <c r="G971" s="1110"/>
      <c r="H971" s="1146">
        <v>6862150</v>
      </c>
      <c r="I971" s="1146">
        <v>7469827</v>
      </c>
      <c r="J971" s="617"/>
      <c r="K971" s="1907"/>
      <c r="L971" s="1110"/>
      <c r="M971" s="1907"/>
      <c r="N971" s="1110"/>
      <c r="O971" s="1907"/>
      <c r="P971" s="1110"/>
      <c r="Q971" s="1907"/>
      <c r="R971" s="1110"/>
      <c r="S971" s="1629"/>
      <c r="T971" s="1629"/>
      <c r="U971" s="1629"/>
      <c r="V971" s="1629"/>
      <c r="W971" s="1629"/>
      <c r="X971" s="1629"/>
      <c r="Y971" s="1146"/>
      <c r="Z971" s="2114">
        <f>C971-'Blocking-Step2'!C971</f>
        <v>0</v>
      </c>
      <c r="AA971" s="2114">
        <f>D971-'Blocking-Step2'!D971</f>
        <v>0</v>
      </c>
      <c r="AC971" s="2114">
        <f>F971-'Blocking-Step2'!F971</f>
        <v>0</v>
      </c>
      <c r="AE971" s="2114">
        <f>H971-'Blocking-Step2'!H971</f>
        <v>0</v>
      </c>
      <c r="AF971" s="2114">
        <f>I971-'Blocking-Step2'!I971</f>
        <v>0</v>
      </c>
      <c r="AH971" s="2136">
        <f>K971-'Blocking-Step2'!K971</f>
        <v>0</v>
      </c>
      <c r="AJ971" s="2136">
        <f>M971-'Blocking-Step2'!M971</f>
        <v>0</v>
      </c>
      <c r="AL971" s="2136">
        <f>O971-'Blocking-Step2'!O971</f>
        <v>0</v>
      </c>
      <c r="AN971" s="2137">
        <f>Q971-'Blocking-Step2'!Q971</f>
        <v>0</v>
      </c>
      <c r="AP971" s="2127">
        <f>S971-'Blocking-Step2'!S971</f>
        <v>0</v>
      </c>
      <c r="AR971" s="2127">
        <f>U971-'Blocking-Step2'!U971</f>
        <v>0</v>
      </c>
      <c r="AT971" s="2127">
        <f>W971-'Blocking-Step2'!W971</f>
        <v>0</v>
      </c>
      <c r="AV971" s="2128">
        <f>Y971-'Blocking-Step2'!Y971</f>
        <v>0</v>
      </c>
    </row>
    <row r="972" spans="1:48">
      <c r="A972" s="1116" t="s">
        <v>261</v>
      </c>
      <c r="C972" s="1105">
        <v>188556.63934426199</v>
      </c>
      <c r="D972" s="1105">
        <v>203454</v>
      </c>
      <c r="E972" s="617"/>
      <c r="F972" s="1907">
        <v>-0.61</v>
      </c>
      <c r="G972" s="1110"/>
      <c r="H972" s="1146">
        <v>-115020</v>
      </c>
      <c r="I972" s="1146">
        <v>-124107</v>
      </c>
      <c r="J972" s="617"/>
      <c r="K972" s="1907">
        <v>-0.61</v>
      </c>
      <c r="L972" s="1110"/>
      <c r="M972" s="1907"/>
      <c r="N972" s="1110"/>
      <c r="O972" s="1907"/>
      <c r="P972" s="1110"/>
      <c r="Q972" s="1907">
        <v>-0.61</v>
      </c>
      <c r="R972" s="1110"/>
      <c r="S972" s="1629">
        <v>-124107</v>
      </c>
      <c r="T972" s="1629"/>
      <c r="U972" s="1629"/>
      <c r="V972" s="1629"/>
      <c r="W972" s="1629"/>
      <c r="X972" s="1629"/>
      <c r="Y972" s="1146">
        <v>-124107</v>
      </c>
      <c r="Z972" s="2114">
        <f>C972-'Blocking-Step2'!C972</f>
        <v>0</v>
      </c>
      <c r="AA972" s="2114">
        <f>D972-'Blocking-Step2'!D972</f>
        <v>0</v>
      </c>
      <c r="AC972" s="2114">
        <f>F972-'Blocking-Step2'!F972</f>
        <v>0</v>
      </c>
      <c r="AE972" s="2114">
        <f>H972-'Blocking-Step2'!H972</f>
        <v>0</v>
      </c>
      <c r="AF972" s="2114">
        <f>I972-'Blocking-Step2'!I972</f>
        <v>0</v>
      </c>
      <c r="AH972" s="2136">
        <f>K972-'Blocking-Step2'!K972</f>
        <v>0</v>
      </c>
      <c r="AJ972" s="2136">
        <f>M972-'Blocking-Step2'!M972</f>
        <v>0</v>
      </c>
      <c r="AL972" s="2136">
        <f>O972-'Blocking-Step2'!O972</f>
        <v>0</v>
      </c>
      <c r="AN972" s="2137">
        <f>Q972-'Blocking-Step2'!Q972</f>
        <v>0</v>
      </c>
      <c r="AP972" s="2127">
        <f>S972-'Blocking-Step2'!S972</f>
        <v>0</v>
      </c>
      <c r="AR972" s="2127">
        <f>U972-'Blocking-Step2'!U972</f>
        <v>0</v>
      </c>
      <c r="AT972" s="2127">
        <f>W972-'Blocking-Step2'!W972</f>
        <v>0</v>
      </c>
      <c r="AV972" s="2128">
        <f>Y972-'Blocking-Step2'!Y972</f>
        <v>0</v>
      </c>
    </row>
    <row r="973" spans="1:48">
      <c r="A973" s="1116" t="s">
        <v>188</v>
      </c>
      <c r="C973" s="1105">
        <v>72211859.805493146</v>
      </c>
      <c r="D973" s="1105">
        <v>79326838.124639124</v>
      </c>
      <c r="E973" s="617"/>
      <c r="F973" s="1922">
        <v>11.926600000000001</v>
      </c>
      <c r="G973" s="1921" t="s">
        <v>495</v>
      </c>
      <c r="H973" s="1146">
        <v>8612420</v>
      </c>
      <c r="I973" s="1146">
        <v>9460995</v>
      </c>
      <c r="J973" s="617"/>
      <c r="K973" s="1922"/>
      <c r="L973" s="1921"/>
      <c r="M973" s="1922"/>
      <c r="N973" s="1921"/>
      <c r="O973" s="1922"/>
      <c r="P973" s="1921"/>
      <c r="Q973" s="1922"/>
      <c r="R973" s="1921"/>
      <c r="S973" s="1648"/>
      <c r="T973" s="1648"/>
      <c r="U973" s="1648"/>
      <c r="V973" s="1648"/>
      <c r="W973" s="1648"/>
      <c r="X973" s="1648"/>
      <c r="Y973" s="1146"/>
      <c r="Z973" s="2114">
        <f>C973-'Blocking-Step2'!C973</f>
        <v>0</v>
      </c>
      <c r="AA973" s="2114">
        <f>D973-'Blocking-Step2'!D973</f>
        <v>0</v>
      </c>
      <c r="AC973" s="2114">
        <f>F973-'Blocking-Step2'!F973</f>
        <v>0</v>
      </c>
      <c r="AE973" s="2114">
        <f>H973-'Blocking-Step2'!H973</f>
        <v>0</v>
      </c>
      <c r="AF973" s="2114">
        <f>I973-'Blocking-Step2'!I973</f>
        <v>0</v>
      </c>
      <c r="AH973" s="2136">
        <f>K973-'Blocking-Step2'!K973</f>
        <v>0</v>
      </c>
      <c r="AJ973" s="2136">
        <f>M973-'Blocking-Step2'!M973</f>
        <v>0</v>
      </c>
      <c r="AL973" s="2136">
        <f>O973-'Blocking-Step2'!O973</f>
        <v>0</v>
      </c>
      <c r="AN973" s="2137">
        <f>Q973-'Blocking-Step2'!Q973</f>
        <v>0</v>
      </c>
      <c r="AP973" s="2127">
        <f>S973-'Blocking-Step2'!S973</f>
        <v>0</v>
      </c>
      <c r="AR973" s="2127">
        <f>U973-'Blocking-Step2'!U973</f>
        <v>0</v>
      </c>
      <c r="AT973" s="2127">
        <f>W973-'Blocking-Step2'!W973</f>
        <v>0</v>
      </c>
      <c r="AV973" s="2128">
        <f>Y973-'Blocking-Step2'!Y973</f>
        <v>0</v>
      </c>
    </row>
    <row r="974" spans="1:48">
      <c r="A974" s="1116" t="s">
        <v>189</v>
      </c>
      <c r="C974" s="1105">
        <v>63753636.726301193</v>
      </c>
      <c r="D974" s="1105">
        <v>70006450</v>
      </c>
      <c r="E974" s="617"/>
      <c r="F974" s="1922">
        <v>3.5908000000000002</v>
      </c>
      <c r="G974" s="1921" t="s">
        <v>495</v>
      </c>
      <c r="H974" s="1146">
        <v>2289266</v>
      </c>
      <c r="I974" s="1146">
        <v>2513792</v>
      </c>
      <c r="J974" s="617"/>
      <c r="K974" s="1922"/>
      <c r="L974" s="1921"/>
      <c r="M974" s="1922"/>
      <c r="N974" s="1921"/>
      <c r="O974" s="1922"/>
      <c r="P974" s="1921"/>
      <c r="Q974" s="1922"/>
      <c r="R974" s="1921"/>
      <c r="S974" s="1648"/>
      <c r="T974" s="1648"/>
      <c r="U974" s="1648"/>
      <c r="V974" s="1648"/>
      <c r="W974" s="1648"/>
      <c r="X974" s="1648"/>
      <c r="Y974" s="1146"/>
      <c r="Z974" s="2114">
        <f>C974-'Blocking-Step2'!C974</f>
        <v>0</v>
      </c>
      <c r="AA974" s="2114">
        <f>D974-'Blocking-Step2'!D974</f>
        <v>0</v>
      </c>
      <c r="AC974" s="2114">
        <f>F974-'Blocking-Step2'!F974</f>
        <v>0</v>
      </c>
      <c r="AE974" s="2114">
        <f>H974-'Blocking-Step2'!H974</f>
        <v>0</v>
      </c>
      <c r="AF974" s="2114">
        <f>I974-'Blocking-Step2'!I974</f>
        <v>0</v>
      </c>
      <c r="AH974" s="2136">
        <f>K974-'Blocking-Step2'!K974</f>
        <v>0</v>
      </c>
      <c r="AJ974" s="2136">
        <f>M974-'Blocking-Step2'!M974</f>
        <v>0</v>
      </c>
      <c r="AL974" s="2136">
        <f>O974-'Blocking-Step2'!O974</f>
        <v>0</v>
      </c>
      <c r="AN974" s="2137">
        <f>Q974-'Blocking-Step2'!Q974</f>
        <v>0</v>
      </c>
      <c r="AP974" s="2127">
        <f>S974-'Blocking-Step2'!S974</f>
        <v>0</v>
      </c>
      <c r="AR974" s="2127">
        <f>U974-'Blocking-Step2'!U974</f>
        <v>0</v>
      </c>
      <c r="AT974" s="2127">
        <f>W974-'Blocking-Step2'!W974</f>
        <v>0</v>
      </c>
      <c r="AV974" s="2128">
        <f>Y974-'Blocking-Step2'!Y974</f>
        <v>0</v>
      </c>
    </row>
    <row r="975" spans="1:48">
      <c r="A975" s="1116" t="s">
        <v>163</v>
      </c>
      <c r="C975" s="1105">
        <v>101525113.29458006</v>
      </c>
      <c r="D975" s="1105">
        <v>110209144</v>
      </c>
      <c r="E975" s="617"/>
      <c r="F975" s="1922">
        <v>9.9693000000000005</v>
      </c>
      <c r="G975" s="1921" t="s">
        <v>495</v>
      </c>
      <c r="H975" s="1146">
        <v>10121343</v>
      </c>
      <c r="I975" s="1146">
        <v>10987080</v>
      </c>
      <c r="J975" s="617"/>
      <c r="K975" s="1922"/>
      <c r="L975" s="1921"/>
      <c r="M975" s="1922"/>
      <c r="N975" s="1921"/>
      <c r="O975" s="1922"/>
      <c r="P975" s="1921"/>
      <c r="Q975" s="1922"/>
      <c r="R975" s="1921"/>
      <c r="S975" s="1648"/>
      <c r="T975" s="1648"/>
      <c r="U975" s="1648"/>
      <c r="V975" s="1648"/>
      <c r="W975" s="1648"/>
      <c r="X975" s="1648"/>
      <c r="Y975" s="1146"/>
      <c r="Z975" s="2114">
        <f>C975-'Blocking-Step2'!C975</f>
        <v>0</v>
      </c>
      <c r="AA975" s="2114">
        <f>D975-'Blocking-Step2'!D975</f>
        <v>0</v>
      </c>
      <c r="AC975" s="2114">
        <f>F975-'Blocking-Step2'!F975</f>
        <v>0</v>
      </c>
      <c r="AE975" s="2114">
        <f>H975-'Blocking-Step2'!H975</f>
        <v>0</v>
      </c>
      <c r="AF975" s="2114">
        <f>I975-'Blocking-Step2'!I975</f>
        <v>0</v>
      </c>
      <c r="AH975" s="2136">
        <f>K975-'Blocking-Step2'!K975</f>
        <v>0</v>
      </c>
      <c r="AJ975" s="2136">
        <f>M975-'Blocking-Step2'!M975</f>
        <v>0</v>
      </c>
      <c r="AL975" s="2136">
        <f>O975-'Blocking-Step2'!O975</f>
        <v>0</v>
      </c>
      <c r="AN975" s="2137">
        <f>Q975-'Blocking-Step2'!Q975</f>
        <v>0</v>
      </c>
      <c r="AP975" s="2127">
        <f>S975-'Blocking-Step2'!S975</f>
        <v>0</v>
      </c>
      <c r="AR975" s="2127">
        <f>U975-'Blocking-Step2'!U975</f>
        <v>0</v>
      </c>
      <c r="AT975" s="2127">
        <f>W975-'Blocking-Step2'!W975</f>
        <v>0</v>
      </c>
      <c r="AV975" s="2128">
        <f>Y975-'Blocking-Step2'!Y975</f>
        <v>0</v>
      </c>
    </row>
    <row r="976" spans="1:48">
      <c r="A976" s="1116" t="s">
        <v>164</v>
      </c>
      <c r="C976" s="1105">
        <v>85966694.527216792</v>
      </c>
      <c r="D976" s="1105">
        <v>93122275</v>
      </c>
      <c r="E976" s="617"/>
      <c r="F976" s="1922">
        <v>3.0059999999999998</v>
      </c>
      <c r="G976" s="1921" t="s">
        <v>495</v>
      </c>
      <c r="H976" s="1146">
        <v>2584159</v>
      </c>
      <c r="I976" s="1146">
        <v>2799256</v>
      </c>
      <c r="J976" s="617"/>
      <c r="K976" s="1922"/>
      <c r="L976" s="1921"/>
      <c r="M976" s="1922"/>
      <c r="N976" s="1921"/>
      <c r="O976" s="1922"/>
      <c r="P976" s="1921"/>
      <c r="Q976" s="1922"/>
      <c r="R976" s="1921"/>
      <c r="S976" s="1648"/>
      <c r="T976" s="1648"/>
      <c r="U976" s="1648"/>
      <c r="V976" s="1648"/>
      <c r="W976" s="1648"/>
      <c r="X976" s="1648"/>
      <c r="Y976" s="1146"/>
      <c r="Z976" s="2114">
        <f>C976-'Blocking-Step2'!C976</f>
        <v>0</v>
      </c>
      <c r="AA976" s="2114">
        <f>D976-'Blocking-Step2'!D976</f>
        <v>0</v>
      </c>
      <c r="AC976" s="2114">
        <f>F976-'Blocking-Step2'!F976</f>
        <v>0</v>
      </c>
      <c r="AE976" s="2114">
        <f>H976-'Blocking-Step2'!H976</f>
        <v>0</v>
      </c>
      <c r="AF976" s="2114">
        <f>I976-'Blocking-Step2'!I976</f>
        <v>0</v>
      </c>
      <c r="AH976" s="2136">
        <f>K976-'Blocking-Step2'!K976</f>
        <v>0</v>
      </c>
      <c r="AJ976" s="2136">
        <f>M976-'Blocking-Step2'!M976</f>
        <v>0</v>
      </c>
      <c r="AL976" s="2136">
        <f>O976-'Blocking-Step2'!O976</f>
        <v>0</v>
      </c>
      <c r="AN976" s="2137">
        <f>Q976-'Blocking-Step2'!Q976</f>
        <v>0</v>
      </c>
      <c r="AP976" s="2127">
        <f>S976-'Blocking-Step2'!S976</f>
        <v>0</v>
      </c>
      <c r="AR976" s="2127">
        <f>U976-'Blocking-Step2'!U976</f>
        <v>0</v>
      </c>
      <c r="AT976" s="2127">
        <f>W976-'Blocking-Step2'!W976</f>
        <v>0</v>
      </c>
      <c r="AV976" s="2128">
        <f>Y976-'Blocking-Step2'!Y976</f>
        <v>0</v>
      </c>
    </row>
    <row r="977" spans="1:48">
      <c r="A977" s="1116" t="s">
        <v>1158</v>
      </c>
      <c r="C977" s="1105">
        <v>26996026</v>
      </c>
      <c r="D977" s="1105">
        <v>29568815</v>
      </c>
      <c r="F977" s="1106">
        <v>7.125</v>
      </c>
      <c r="G977" s="1921" t="s">
        <v>495</v>
      </c>
      <c r="H977" s="1146">
        <v>1923467</v>
      </c>
      <c r="I977" s="1146">
        <v>2106778</v>
      </c>
      <c r="K977" s="1924"/>
      <c r="L977" s="1921" t="s">
        <v>495</v>
      </c>
      <c r="M977" s="1924">
        <v>7.125</v>
      </c>
      <c r="N977" s="1921" t="s">
        <v>495</v>
      </c>
      <c r="O977" s="1922"/>
      <c r="P977" s="1921" t="s">
        <v>495</v>
      </c>
      <c r="Q977" s="1106">
        <v>7.125</v>
      </c>
      <c r="R977" s="1921" t="s">
        <v>495</v>
      </c>
      <c r="S977" s="1648"/>
      <c r="T977" s="1648"/>
      <c r="U977" s="1648">
        <v>2106778</v>
      </c>
      <c r="V977" s="1648"/>
      <c r="W977" s="1648"/>
      <c r="X977" s="1648"/>
      <c r="Y977" s="1146">
        <v>2106778</v>
      </c>
      <c r="Z977" s="2114">
        <f>C977-'Blocking-Step2'!C977</f>
        <v>0</v>
      </c>
      <c r="AA977" s="2114">
        <f>D977-'Blocking-Step2'!D977</f>
        <v>0</v>
      </c>
      <c r="AC977" s="2114">
        <f>F977-'Blocking-Step2'!F977</f>
        <v>0</v>
      </c>
      <c r="AE977" s="2114">
        <f>H977-'Blocking-Step2'!H977</f>
        <v>0</v>
      </c>
      <c r="AF977" s="2114">
        <f>I977-'Blocking-Step2'!I977</f>
        <v>0</v>
      </c>
      <c r="AH977" s="2136">
        <f>K977-'Blocking-Step2'!K977</f>
        <v>0</v>
      </c>
      <c r="AJ977" s="2136">
        <f>M977-'Blocking-Step2'!M977</f>
        <v>0</v>
      </c>
      <c r="AL977" s="2136">
        <f>O977-'Blocking-Step2'!O977</f>
        <v>0</v>
      </c>
      <c r="AN977" s="2137">
        <f>Q977-'Blocking-Step2'!Q977</f>
        <v>0</v>
      </c>
      <c r="AP977" s="2127">
        <f>S977-'Blocking-Step2'!S977</f>
        <v>0</v>
      </c>
      <c r="AR977" s="2127">
        <f>U977-'Blocking-Step2'!U977</f>
        <v>0</v>
      </c>
      <c r="AT977" s="2127">
        <f>W977-'Blocking-Step2'!W977</f>
        <v>0</v>
      </c>
      <c r="AV977" s="2128">
        <f>Y977-'Blocking-Step2'!Y977</f>
        <v>0</v>
      </c>
    </row>
    <row r="978" spans="1:48">
      <c r="A978" s="1116" t="s">
        <v>246</v>
      </c>
      <c r="C978" s="1940">
        <v>662780</v>
      </c>
      <c r="D978" s="1940">
        <v>0</v>
      </c>
      <c r="H978" s="1147">
        <v>97502</v>
      </c>
      <c r="I978" s="1147">
        <v>0</v>
      </c>
      <c r="Y978" s="1147"/>
      <c r="Z978" s="2114">
        <f>C978-'Blocking-Step2'!C978</f>
        <v>0</v>
      </c>
      <c r="AA978" s="2114">
        <f>D978-'Blocking-Step2'!D978</f>
        <v>0</v>
      </c>
      <c r="AC978" s="2114">
        <f>F978-'Blocking-Step2'!F978</f>
        <v>0</v>
      </c>
      <c r="AE978" s="2114">
        <f>H978-'Blocking-Step2'!H978</f>
        <v>0</v>
      </c>
      <c r="AF978" s="2114">
        <f>I978-'Blocking-Step2'!I978</f>
        <v>0</v>
      </c>
      <c r="AH978" s="2136">
        <f>K978-'Blocking-Step2'!K978</f>
        <v>0</v>
      </c>
      <c r="AJ978" s="2136">
        <f>M978-'Blocking-Step2'!M978</f>
        <v>0</v>
      </c>
      <c r="AL978" s="2136">
        <f>O978-'Blocking-Step2'!O978</f>
        <v>0</v>
      </c>
      <c r="AN978" s="2137">
        <f>Q978-'Blocking-Step2'!Q978</f>
        <v>0</v>
      </c>
      <c r="AP978" s="2127">
        <f>S978-'Blocking-Step2'!S978</f>
        <v>0</v>
      </c>
      <c r="AR978" s="2127">
        <f>U978-'Blocking-Step2'!U978</f>
        <v>0</v>
      </c>
      <c r="AT978" s="2127">
        <f>W978-'Blocking-Step2'!W978</f>
        <v>0</v>
      </c>
      <c r="AV978" s="2128">
        <f>Y978-'Blocking-Step2'!Y978</f>
        <v>0</v>
      </c>
    </row>
    <row r="979" spans="1:48">
      <c r="A979" s="1116" t="s">
        <v>1240</v>
      </c>
      <c r="C979" s="1024"/>
      <c r="D979" s="1024"/>
      <c r="F979" s="2076">
        <v>-4.99E-2</v>
      </c>
      <c r="G979" s="617"/>
      <c r="H979" s="1146">
        <v>-1273979.6845</v>
      </c>
      <c r="I979" s="1146">
        <v>-1390608.2598999999</v>
      </c>
      <c r="K979" s="2076"/>
      <c r="L979" s="617"/>
      <c r="M979" s="2076"/>
      <c r="N979" s="617"/>
      <c r="O979" s="2077" t="s">
        <v>2323</v>
      </c>
      <c r="P979" s="617"/>
      <c r="Q979" s="2076">
        <v>-3.0599999999999999E-2</v>
      </c>
      <c r="R979" s="617"/>
      <c r="S979" s="1114"/>
      <c r="T979" s="1114"/>
      <c r="U979" s="1114"/>
      <c r="V979" s="1114"/>
      <c r="W979" s="1114"/>
      <c r="X979" s="1114"/>
      <c r="Y979" s="1146">
        <v>-1106526.5388</v>
      </c>
      <c r="Z979" s="2114">
        <f>C979-'Blocking-Step2'!C979</f>
        <v>0</v>
      </c>
      <c r="AA979" s="2114">
        <f>D979-'Blocking-Step2'!D979</f>
        <v>0</v>
      </c>
      <c r="AC979" s="2114">
        <f>F979-'Blocking-Step2'!F979</f>
        <v>0</v>
      </c>
      <c r="AE979" s="2114">
        <f>H979-'Blocking-Step2'!H979</f>
        <v>0</v>
      </c>
      <c r="AF979" s="2114">
        <f>I979-'Blocking-Step2'!I979</f>
        <v>0</v>
      </c>
      <c r="AH979" s="2136">
        <f>K979-'Blocking-Step2'!K979</f>
        <v>0</v>
      </c>
      <c r="AJ979" s="2136">
        <f>M979-'Blocking-Step2'!M979</f>
        <v>0</v>
      </c>
      <c r="AL979" s="2136" t="e">
        <f>O979-'Blocking-Step2'!O979</f>
        <v>#VALUE!</v>
      </c>
      <c r="AN979" s="2137">
        <f>Q979-'Blocking-Step2'!Q979</f>
        <v>0</v>
      </c>
      <c r="AP979" s="2127">
        <f>S979-'Blocking-Step2'!S979</f>
        <v>0</v>
      </c>
      <c r="AR979" s="2127">
        <f>U979-'Blocking-Step2'!U979</f>
        <v>0</v>
      </c>
      <c r="AT979" s="2127">
        <f>W979-'Blocking-Step2'!W979</f>
        <v>0</v>
      </c>
      <c r="AV979" s="2128">
        <f>Y979-'Blocking-Step2'!Y979</f>
        <v>0</v>
      </c>
    </row>
    <row r="980" spans="1:48">
      <c r="A980" s="1116"/>
      <c r="C980" s="1024"/>
      <c r="D980" s="1024"/>
      <c r="F980" s="2076"/>
      <c r="G980" s="617"/>
      <c r="H980" s="1146"/>
      <c r="I980" s="1146"/>
      <c r="K980" s="2076"/>
      <c r="L980" s="617"/>
      <c r="M980" s="2076"/>
      <c r="N980" s="617"/>
      <c r="O980" s="2077" t="s">
        <v>2324</v>
      </c>
      <c r="P980" s="617"/>
      <c r="Q980" s="2076">
        <v>-1.66E-2</v>
      </c>
      <c r="R980" s="617"/>
      <c r="S980" s="1114"/>
      <c r="T980" s="1114"/>
      <c r="U980" s="1114"/>
      <c r="V980" s="1114"/>
      <c r="W980" s="1114"/>
      <c r="X980" s="1114"/>
      <c r="Y980" s="1146">
        <v>-600272.56680000003</v>
      </c>
      <c r="Z980" s="2114">
        <f>C980-'Blocking-Step2'!C980</f>
        <v>0</v>
      </c>
      <c r="AA980" s="2114">
        <f>D980-'Blocking-Step2'!D980</f>
        <v>0</v>
      </c>
      <c r="AC980" s="2114">
        <f>F980-'Blocking-Step2'!F980</f>
        <v>0</v>
      </c>
      <c r="AE980" s="2114">
        <f>H980-'Blocking-Step2'!H980</f>
        <v>0</v>
      </c>
      <c r="AF980" s="2114">
        <f>I980-'Blocking-Step2'!I980</f>
        <v>0</v>
      </c>
      <c r="AH980" s="2136">
        <f>K980-'Blocking-Step2'!K980</f>
        <v>0</v>
      </c>
      <c r="AJ980" s="2136">
        <f>M980-'Blocking-Step2'!M980</f>
        <v>0</v>
      </c>
      <c r="AL980" s="2136" t="e">
        <f>O980-'Blocking-Step2'!O980</f>
        <v>#VALUE!</v>
      </c>
      <c r="AN980" s="2137">
        <f>Q980-'Blocking-Step2'!Q980</f>
        <v>0</v>
      </c>
      <c r="AP980" s="2127">
        <f>S980-'Blocking-Step2'!S980</f>
        <v>0</v>
      </c>
      <c r="AR980" s="2127">
        <f>U980-'Blocking-Step2'!U980</f>
        <v>0</v>
      </c>
      <c r="AT980" s="2127">
        <f>W980-'Blocking-Step2'!W980</f>
        <v>0</v>
      </c>
      <c r="AV980" s="2128">
        <f>Y980-'Blocking-Step2'!Y980</f>
        <v>0</v>
      </c>
    </row>
    <row r="981" spans="1:48">
      <c r="A981" s="1116" t="s">
        <v>1317</v>
      </c>
      <c r="C981" s="1024">
        <v>-1494890</v>
      </c>
      <c r="D981" s="1024">
        <v>-1649518</v>
      </c>
      <c r="F981" s="2076"/>
      <c r="G981" s="617"/>
      <c r="H981" s="1146"/>
      <c r="I981" s="1146"/>
      <c r="K981" s="2076"/>
      <c r="L981" s="617"/>
      <c r="M981" s="2076"/>
      <c r="N981" s="617"/>
      <c r="O981" s="2076"/>
      <c r="P981" s="617"/>
      <c r="Q981" s="2076"/>
      <c r="R981" s="617"/>
      <c r="S981" s="1114"/>
      <c r="T981" s="1114"/>
      <c r="U981" s="1114"/>
      <c r="V981" s="1114"/>
      <c r="W981" s="1114"/>
      <c r="X981" s="1114"/>
      <c r="Y981" s="1146"/>
      <c r="Z981" s="2114">
        <f>C981-'Blocking-Step2'!C981</f>
        <v>0</v>
      </c>
      <c r="AA981" s="2114">
        <f>D981-'Blocking-Step2'!D981</f>
        <v>0</v>
      </c>
      <c r="AC981" s="2114">
        <f>F981-'Blocking-Step2'!F981</f>
        <v>0</v>
      </c>
      <c r="AE981" s="2114">
        <f>H981-'Blocking-Step2'!H981</f>
        <v>0</v>
      </c>
      <c r="AF981" s="2114">
        <f>I981-'Blocking-Step2'!I981</f>
        <v>0</v>
      </c>
      <c r="AH981" s="2136">
        <f>K981-'Blocking-Step2'!K981</f>
        <v>0</v>
      </c>
      <c r="AJ981" s="2136">
        <f>M981-'Blocking-Step2'!M981</f>
        <v>0</v>
      </c>
      <c r="AL981" s="2136">
        <f>O981-'Blocking-Step2'!O981</f>
        <v>0</v>
      </c>
      <c r="AN981" s="2137">
        <f>Q981-'Blocking-Step2'!Q981</f>
        <v>0</v>
      </c>
      <c r="AP981" s="2127">
        <f>S981-'Blocking-Step2'!S981</f>
        <v>0</v>
      </c>
      <c r="AR981" s="2127">
        <f>U981-'Blocking-Step2'!U981</f>
        <v>0</v>
      </c>
      <c r="AT981" s="2127">
        <f>W981-'Blocking-Step2'!W981</f>
        <v>0</v>
      </c>
      <c r="AV981" s="2128">
        <f>Y981-'Blocking-Step2'!Y981</f>
        <v>0</v>
      </c>
    </row>
    <row r="982" spans="1:48" ht="16.5" thickBot="1">
      <c r="A982" s="1116" t="s">
        <v>247</v>
      </c>
      <c r="C982" s="1138">
        <v>349621220.3535912</v>
      </c>
      <c r="D982" s="1138">
        <v>380584004.12463915</v>
      </c>
      <c r="F982" s="1145"/>
      <c r="H982" s="1149">
        <v>39639636.315499999</v>
      </c>
      <c r="I982" s="1149">
        <v>43040434.740099996</v>
      </c>
      <c r="K982" s="1145"/>
      <c r="M982" s="1145"/>
      <c r="O982" s="1145"/>
      <c r="Q982" s="1145"/>
      <c r="S982" s="1154">
        <v>7440687.6920901239</v>
      </c>
      <c r="T982" s="1154"/>
      <c r="U982" s="1154">
        <v>25910150.904980417</v>
      </c>
      <c r="V982" s="1154"/>
      <c r="W982" s="1154">
        <v>11382878.402929459</v>
      </c>
      <c r="Y982" s="1154">
        <v>44733717</v>
      </c>
      <c r="Z982" s="2114">
        <f>C982-'Blocking-Step2'!C982</f>
        <v>0</v>
      </c>
      <c r="AA982" s="2114">
        <f>D982-'Blocking-Step2'!D982</f>
        <v>0</v>
      </c>
      <c r="AC982" s="2114">
        <f>F982-'Blocking-Step2'!F982</f>
        <v>0</v>
      </c>
      <c r="AE982" s="2114">
        <f>H982-'Blocking-Step2'!H982</f>
        <v>0</v>
      </c>
      <c r="AF982" s="2114">
        <f>I982-'Blocking-Step2'!I982</f>
        <v>0</v>
      </c>
      <c r="AH982" s="2136">
        <f>K982-'Blocking-Step2'!K982</f>
        <v>0</v>
      </c>
      <c r="AJ982" s="2136">
        <f>M982-'Blocking-Step2'!M982</f>
        <v>0</v>
      </c>
      <c r="AL982" s="2136">
        <f>O982-'Blocking-Step2'!O982</f>
        <v>0</v>
      </c>
      <c r="AN982" s="2137">
        <f>Q982-'Blocking-Step2'!Q982</f>
        <v>0</v>
      </c>
      <c r="AP982" s="2127">
        <f>S982-'Blocking-Step2'!S982</f>
        <v>-8095360.1126230136</v>
      </c>
      <c r="AR982" s="2127">
        <f>U982-'Blocking-Step2'!U982</f>
        <v>8095360.1126230173</v>
      </c>
      <c r="AT982" s="2127">
        <f>W982-'Blocking-Step2'!W982</f>
        <v>0</v>
      </c>
      <c r="AV982" s="2128">
        <f>Y982-'Blocking-Step2'!Y982</f>
        <v>0</v>
      </c>
    </row>
    <row r="983" spans="1:48" ht="16.5" hidden="1" thickTop="1">
      <c r="C983" s="1105"/>
      <c r="D983" s="1105"/>
      <c r="Z983" s="2114">
        <f>C983-'Blocking-Step2'!C983</f>
        <v>0</v>
      </c>
      <c r="AA983" s="2114">
        <f>D983-'Blocking-Step2'!D983</f>
        <v>0</v>
      </c>
      <c r="AC983" s="2114">
        <f>F983-'Blocking-Step2'!F983</f>
        <v>0</v>
      </c>
      <c r="AE983" s="2114">
        <f>H983-'Blocking-Step2'!H983</f>
        <v>0</v>
      </c>
      <c r="AF983" s="2114">
        <f>I983-'Blocking-Step2'!I983</f>
        <v>0</v>
      </c>
      <c r="AH983" s="2136">
        <f>K983-'Blocking-Step2'!K983</f>
        <v>0</v>
      </c>
      <c r="AJ983" s="2136">
        <f>M983-'Blocking-Step2'!M983</f>
        <v>0</v>
      </c>
      <c r="AL983" s="2136">
        <f>O983-'Blocking-Step2'!O983</f>
        <v>0</v>
      </c>
      <c r="AN983" s="2137">
        <f>Q983-'Blocking-Step2'!Q983</f>
        <v>0</v>
      </c>
      <c r="AP983" s="2127">
        <f>S983-'Blocking-Step2'!S983</f>
        <v>0</v>
      </c>
      <c r="AR983" s="2127">
        <f>U983-'Blocking-Step2'!U983</f>
        <v>0</v>
      </c>
      <c r="AT983" s="2127">
        <f>W983-'Blocking-Step2'!W983</f>
        <v>0</v>
      </c>
      <c r="AV983" s="2128">
        <f>Y983-'Blocking-Step2'!Y983</f>
        <v>0</v>
      </c>
    </row>
    <row r="984" spans="1:48" ht="16.5" hidden="1" thickTop="1">
      <c r="A984" s="1115" t="s">
        <v>909</v>
      </c>
      <c r="C984" s="1105"/>
      <c r="D984" s="1105"/>
      <c r="F984" s="1106"/>
      <c r="G984" s="1107"/>
      <c r="K984" s="1106"/>
      <c r="L984" s="1107"/>
      <c r="M984" s="1106"/>
      <c r="N984" s="1107"/>
      <c r="O984" s="1106"/>
      <c r="P984" s="1107"/>
      <c r="Q984" s="1106"/>
      <c r="R984" s="1107"/>
      <c r="S984" s="1114"/>
      <c r="T984" s="1114"/>
      <c r="U984" s="1114"/>
      <c r="V984" s="1114"/>
      <c r="W984" s="1114"/>
      <c r="X984" s="1114"/>
      <c r="Z984" s="2114">
        <f>C984-'Blocking-Step2'!C984</f>
        <v>0</v>
      </c>
      <c r="AA984" s="2114">
        <f>D984-'Blocking-Step2'!D984</f>
        <v>0</v>
      </c>
      <c r="AC984" s="2114">
        <f>F984-'Blocking-Step2'!F984</f>
        <v>0</v>
      </c>
      <c r="AE984" s="2114">
        <f>H984-'Blocking-Step2'!H984</f>
        <v>0</v>
      </c>
      <c r="AF984" s="2114">
        <f>I984-'Blocking-Step2'!I984</f>
        <v>0</v>
      </c>
      <c r="AH984" s="2136">
        <f>K984-'Blocking-Step2'!K984</f>
        <v>0</v>
      </c>
      <c r="AJ984" s="2136">
        <f>M984-'Blocking-Step2'!M984</f>
        <v>0</v>
      </c>
      <c r="AL984" s="2136">
        <f>O984-'Blocking-Step2'!O984</f>
        <v>0</v>
      </c>
      <c r="AN984" s="2137">
        <f>Q984-'Blocking-Step2'!Q984</f>
        <v>0</v>
      </c>
      <c r="AP984" s="2127">
        <f>S984-'Blocking-Step2'!S984</f>
        <v>0</v>
      </c>
      <c r="AR984" s="2127">
        <f>U984-'Blocking-Step2'!U984</f>
        <v>0</v>
      </c>
      <c r="AT984" s="2127">
        <f>W984-'Blocking-Step2'!W984</f>
        <v>0</v>
      </c>
      <c r="AV984" s="2128">
        <f>Y984-'Blocking-Step2'!Y984</f>
        <v>0</v>
      </c>
    </row>
    <row r="985" spans="1:48" ht="16.5" hidden="1" thickTop="1">
      <c r="A985" s="1116" t="s">
        <v>1910</v>
      </c>
      <c r="C985" s="1105">
        <v>195834</v>
      </c>
      <c r="D985" s="1105">
        <v>476420</v>
      </c>
      <c r="E985" s="617"/>
      <c r="F985" s="1143"/>
      <c r="G985" s="1921"/>
      <c r="H985" s="1146"/>
      <c r="I985" s="1146"/>
      <c r="J985" s="617"/>
      <c r="K985" s="1143">
        <v>1.657</v>
      </c>
      <c r="L985" s="1921" t="s">
        <v>495</v>
      </c>
      <c r="M985" s="1143">
        <v>19.370528114911814</v>
      </c>
      <c r="N985" s="1921" t="s">
        <v>495</v>
      </c>
      <c r="O985" s="1143">
        <v>1.3496999999999999</v>
      </c>
      <c r="P985" s="1921" t="s">
        <v>495</v>
      </c>
      <c r="Q985" s="1143">
        <v>22.377228114911812</v>
      </c>
      <c r="R985" s="1921" t="s">
        <v>495</v>
      </c>
      <c r="S985" s="1146">
        <v>7894</v>
      </c>
      <c r="T985" s="1648"/>
      <c r="U985" s="1146">
        <v>92285</v>
      </c>
      <c r="V985" s="1648"/>
      <c r="W985" s="1146">
        <v>6430</v>
      </c>
      <c r="X985" s="1648"/>
      <c r="Y985" s="1146">
        <v>106610</v>
      </c>
      <c r="Z985" s="2114">
        <f>C985-'Blocking-Step2'!C985</f>
        <v>0</v>
      </c>
      <c r="AA985" s="2114">
        <f>D985-'Blocking-Step2'!D985</f>
        <v>0</v>
      </c>
      <c r="AC985" s="2114">
        <f>F985-'Blocking-Step2'!F985</f>
        <v>0</v>
      </c>
      <c r="AE985" s="2114">
        <f>H985-'Blocking-Step2'!H985</f>
        <v>0</v>
      </c>
      <c r="AF985" s="2114">
        <f>I985-'Blocking-Step2'!I985</f>
        <v>0</v>
      </c>
      <c r="AH985" s="2136">
        <f>K985-'Blocking-Step2'!K985</f>
        <v>-2.2955000000000001</v>
      </c>
      <c r="AJ985" s="2136">
        <f>M985-'Blocking-Step2'!M985</f>
        <v>2.2955000000000005</v>
      </c>
      <c r="AL985" s="2136">
        <f>O985-'Blocking-Step2'!O985</f>
        <v>0</v>
      </c>
      <c r="AN985" s="2137">
        <f>Q985-'Blocking-Step2'!Q985</f>
        <v>0</v>
      </c>
      <c r="AP985" s="2127">
        <f>S985-'Blocking-Step2'!S985</f>
        <v>-10937</v>
      </c>
      <c r="AR985" s="2127">
        <f>U985-'Blocking-Step2'!U985</f>
        <v>10936</v>
      </c>
      <c r="AT985" s="2127">
        <f>W985-'Blocking-Step2'!W985</f>
        <v>0</v>
      </c>
      <c r="AV985" s="2128">
        <f>Y985-'Blocking-Step2'!Y985</f>
        <v>0</v>
      </c>
    </row>
    <row r="986" spans="1:48" ht="16.5" hidden="1" thickTop="1">
      <c r="A986" s="1116" t="s">
        <v>1911</v>
      </c>
      <c r="C986" s="1105">
        <v>1401051</v>
      </c>
      <c r="D986" s="1105">
        <v>3408441</v>
      </c>
      <c r="E986" s="617"/>
      <c r="F986" s="1143"/>
      <c r="G986" s="1921"/>
      <c r="H986" s="1146"/>
      <c r="I986" s="1146"/>
      <c r="J986" s="617"/>
      <c r="K986" s="1143">
        <v>1.657</v>
      </c>
      <c r="L986" s="1921" t="s">
        <v>495</v>
      </c>
      <c r="M986" s="1143">
        <v>1.3803172825590004</v>
      </c>
      <c r="N986" s="1921" t="s">
        <v>495</v>
      </c>
      <c r="O986" s="1143">
        <v>1.3496999999999999</v>
      </c>
      <c r="P986" s="1921" t="s">
        <v>495</v>
      </c>
      <c r="Q986" s="1143">
        <v>4.3870172825590004</v>
      </c>
      <c r="R986" s="1921" t="s">
        <v>495</v>
      </c>
      <c r="S986" s="1146">
        <v>56478</v>
      </c>
      <c r="T986" s="1648"/>
      <c r="U986" s="1146">
        <v>47047</v>
      </c>
      <c r="V986" s="1648"/>
      <c r="W986" s="1146">
        <v>46004</v>
      </c>
      <c r="X986" s="1648"/>
      <c r="Y986" s="1146">
        <v>149529</v>
      </c>
      <c r="Z986" s="2114">
        <f>C986-'Blocking-Step2'!C986</f>
        <v>0</v>
      </c>
      <c r="AA986" s="2114">
        <f>D986-'Blocking-Step2'!D986</f>
        <v>0</v>
      </c>
      <c r="AC986" s="2114">
        <f>F986-'Blocking-Step2'!F986</f>
        <v>0</v>
      </c>
      <c r="AE986" s="2114">
        <f>H986-'Blocking-Step2'!H986</f>
        <v>0</v>
      </c>
      <c r="AF986" s="2114">
        <f>I986-'Blocking-Step2'!I986</f>
        <v>0</v>
      </c>
      <c r="AH986" s="2136">
        <f>K986-'Blocking-Step2'!K986</f>
        <v>-2.2955000000000001</v>
      </c>
      <c r="AJ986" s="2136">
        <f>M986-'Blocking-Step2'!M986</f>
        <v>2.2955000000000001</v>
      </c>
      <c r="AL986" s="2136">
        <f>O986-'Blocking-Step2'!O986</f>
        <v>0</v>
      </c>
      <c r="AN986" s="2137">
        <f>Q986-'Blocking-Step2'!Q986</f>
        <v>0</v>
      </c>
      <c r="AP986" s="2127">
        <f>S986-'Blocking-Step2'!S986</f>
        <v>-78241</v>
      </c>
      <c r="AR986" s="2127">
        <f>U986-'Blocking-Step2'!U986</f>
        <v>78240</v>
      </c>
      <c r="AT986" s="2127">
        <f>W986-'Blocking-Step2'!W986</f>
        <v>0</v>
      </c>
      <c r="AV986" s="2128">
        <f>Y986-'Blocking-Step2'!Y986</f>
        <v>0</v>
      </c>
    </row>
    <row r="987" spans="1:48" ht="16.5" hidden="1" thickTop="1">
      <c r="A987" s="1116" t="s">
        <v>1912</v>
      </c>
      <c r="C987" s="1105">
        <v>338106.98885443184</v>
      </c>
      <c r="D987" s="1105">
        <v>714796</v>
      </c>
      <c r="E987" s="617"/>
      <c r="F987" s="1143"/>
      <c r="G987" s="1921"/>
      <c r="H987" s="1146"/>
      <c r="I987" s="1146"/>
      <c r="J987" s="617"/>
      <c r="K987" s="1143">
        <v>1.657</v>
      </c>
      <c r="L987" s="1921" t="s">
        <v>495</v>
      </c>
      <c r="M987" s="1143">
        <v>16.951500000000003</v>
      </c>
      <c r="N987" s="1921" t="s">
        <v>495</v>
      </c>
      <c r="O987" s="1143">
        <v>1.1943999999999999</v>
      </c>
      <c r="P987" s="1921" t="s">
        <v>495</v>
      </c>
      <c r="Q987" s="1143">
        <v>19.802900000000001</v>
      </c>
      <c r="R987" s="1921" t="s">
        <v>495</v>
      </c>
      <c r="S987" s="1146">
        <v>11844</v>
      </c>
      <c r="T987" s="1648"/>
      <c r="U987" s="1146">
        <v>121169</v>
      </c>
      <c r="V987" s="1648"/>
      <c r="W987" s="1146">
        <v>8538</v>
      </c>
      <c r="X987" s="1648"/>
      <c r="Y987" s="1146">
        <v>141550</v>
      </c>
      <c r="Z987" s="2114">
        <f>C987-'Blocking-Step2'!C987</f>
        <v>0</v>
      </c>
      <c r="AA987" s="2114">
        <f>D987-'Blocking-Step2'!D987</f>
        <v>0</v>
      </c>
      <c r="AC987" s="2114">
        <f>F987-'Blocking-Step2'!F987</f>
        <v>0</v>
      </c>
      <c r="AE987" s="2114">
        <f>H987-'Blocking-Step2'!H987</f>
        <v>0</v>
      </c>
      <c r="AF987" s="2114">
        <f>I987-'Blocking-Step2'!I987</f>
        <v>0</v>
      </c>
      <c r="AH987" s="2136">
        <f>K987-'Blocking-Step2'!K987</f>
        <v>-2.2955000000000001</v>
      </c>
      <c r="AJ987" s="2136">
        <f>M987-'Blocking-Step2'!M987</f>
        <v>2.2955000000000023</v>
      </c>
      <c r="AL987" s="2136">
        <f>O987-'Blocking-Step2'!O987</f>
        <v>0</v>
      </c>
      <c r="AN987" s="2137">
        <f>Q987-'Blocking-Step2'!Q987</f>
        <v>0</v>
      </c>
      <c r="AP987" s="2127">
        <f>S987-'Blocking-Step2'!S987</f>
        <v>-16408</v>
      </c>
      <c r="AR987" s="2127">
        <f>U987-'Blocking-Step2'!U987</f>
        <v>16408</v>
      </c>
      <c r="AT987" s="2127">
        <f>W987-'Blocking-Step2'!W987</f>
        <v>0</v>
      </c>
      <c r="AV987" s="2128">
        <f>Y987-'Blocking-Step2'!Y987</f>
        <v>0</v>
      </c>
    </row>
    <row r="988" spans="1:48" ht="16.5" hidden="1" thickTop="1">
      <c r="A988" s="1116" t="s">
        <v>1913</v>
      </c>
      <c r="C988" s="1105">
        <v>2623727.011145568</v>
      </c>
      <c r="D988" s="1105">
        <v>5546852</v>
      </c>
      <c r="E988" s="617"/>
      <c r="F988" s="1143"/>
      <c r="G988" s="1921"/>
      <c r="H988" s="1146"/>
      <c r="I988" s="1146"/>
      <c r="J988" s="617"/>
      <c r="K988" s="1143">
        <v>1.657</v>
      </c>
      <c r="L988" s="1921" t="s">
        <v>495</v>
      </c>
      <c r="M988" s="1143">
        <v>1.0308999999999999</v>
      </c>
      <c r="N988" s="1921" t="s">
        <v>495</v>
      </c>
      <c r="O988" s="1143">
        <v>1.1943999999999999</v>
      </c>
      <c r="P988" s="1921" t="s">
        <v>495</v>
      </c>
      <c r="Q988" s="1143">
        <v>3.8822999999999999</v>
      </c>
      <c r="R988" s="1921" t="s">
        <v>495</v>
      </c>
      <c r="S988" s="1146">
        <v>91911</v>
      </c>
      <c r="T988" s="1648"/>
      <c r="U988" s="1146">
        <v>57182</v>
      </c>
      <c r="V988" s="1648"/>
      <c r="W988" s="1146">
        <v>66252</v>
      </c>
      <c r="X988" s="1648"/>
      <c r="Y988" s="1146">
        <v>215345</v>
      </c>
      <c r="Z988" s="2114">
        <f>C988-'Blocking-Step2'!C988</f>
        <v>0</v>
      </c>
      <c r="AA988" s="2114">
        <f>D988-'Blocking-Step2'!D988</f>
        <v>0</v>
      </c>
      <c r="AC988" s="2114">
        <f>F988-'Blocking-Step2'!F988</f>
        <v>0</v>
      </c>
      <c r="AE988" s="2114">
        <f>H988-'Blocking-Step2'!H988</f>
        <v>0</v>
      </c>
      <c r="AF988" s="2114">
        <f>I988-'Blocking-Step2'!I988</f>
        <v>0</v>
      </c>
      <c r="AH988" s="2136">
        <f>K988-'Blocking-Step2'!K988</f>
        <v>-2.2955000000000001</v>
      </c>
      <c r="AJ988" s="2136">
        <f>M988-'Blocking-Step2'!M988</f>
        <v>2.2955000000000001</v>
      </c>
      <c r="AL988" s="2136">
        <f>O988-'Blocking-Step2'!O988</f>
        <v>0</v>
      </c>
      <c r="AN988" s="2137">
        <f>Q988-'Blocking-Step2'!Q988</f>
        <v>0</v>
      </c>
      <c r="AP988" s="2127">
        <f>S988-'Blocking-Step2'!S988</f>
        <v>-127328</v>
      </c>
      <c r="AR988" s="2127">
        <f>U988-'Blocking-Step2'!U988</f>
        <v>127327</v>
      </c>
      <c r="AT988" s="2127">
        <f>W988-'Blocking-Step2'!W988</f>
        <v>0</v>
      </c>
      <c r="AV988" s="2128">
        <f>Y988-'Blocking-Step2'!Y988</f>
        <v>0</v>
      </c>
    </row>
    <row r="989" spans="1:48" ht="16.5" hidden="1" thickTop="1">
      <c r="A989" s="1116" t="s">
        <v>1906</v>
      </c>
      <c r="C989" s="1105">
        <v>830941</v>
      </c>
      <c r="D989" s="1105">
        <v>2021492</v>
      </c>
      <c r="E989" s="617"/>
      <c r="F989" s="1143"/>
      <c r="G989" s="1921"/>
      <c r="H989" s="1146"/>
      <c r="I989" s="1146"/>
      <c r="J989" s="617"/>
      <c r="K989" s="1143">
        <v>0</v>
      </c>
      <c r="L989" s="1921" t="s">
        <v>495</v>
      </c>
      <c r="M989" s="1143">
        <v>0</v>
      </c>
      <c r="N989" s="1921" t="s">
        <v>495</v>
      </c>
      <c r="O989" s="1143">
        <v>6</v>
      </c>
      <c r="P989" s="1921" t="s">
        <v>495</v>
      </c>
      <c r="Q989" s="1143">
        <v>6</v>
      </c>
      <c r="R989" s="1921" t="s">
        <v>495</v>
      </c>
      <c r="S989" s="1146">
        <v>0</v>
      </c>
      <c r="T989" s="1648"/>
      <c r="U989" s="1146">
        <v>0</v>
      </c>
      <c r="V989" s="1648"/>
      <c r="W989" s="1146">
        <v>121290</v>
      </c>
      <c r="X989" s="1648"/>
      <c r="Y989" s="1146">
        <v>121290</v>
      </c>
      <c r="Z989" s="2114">
        <f>C989-'Blocking-Step2'!C989</f>
        <v>0</v>
      </c>
      <c r="AA989" s="2114">
        <f>D989-'Blocking-Step2'!D989</f>
        <v>0</v>
      </c>
      <c r="AC989" s="2114">
        <f>F989-'Blocking-Step2'!F989</f>
        <v>0</v>
      </c>
      <c r="AE989" s="2114">
        <f>H989-'Blocking-Step2'!H989</f>
        <v>0</v>
      </c>
      <c r="AF989" s="2114">
        <f>I989-'Blocking-Step2'!I989</f>
        <v>0</v>
      </c>
      <c r="AH989" s="2136">
        <f>K989-'Blocking-Step2'!K989</f>
        <v>0</v>
      </c>
      <c r="AJ989" s="2136">
        <f>M989-'Blocking-Step2'!M989</f>
        <v>0</v>
      </c>
      <c r="AL989" s="2136">
        <f>O989-'Blocking-Step2'!O989</f>
        <v>0</v>
      </c>
      <c r="AN989" s="2137">
        <f>Q989-'Blocking-Step2'!Q989</f>
        <v>0</v>
      </c>
      <c r="AP989" s="2127">
        <f>S989-'Blocking-Step2'!S989</f>
        <v>0</v>
      </c>
      <c r="AR989" s="2127">
        <f>U989-'Blocking-Step2'!U989</f>
        <v>0</v>
      </c>
      <c r="AT989" s="2127">
        <f>W989-'Blocking-Step2'!W989</f>
        <v>0</v>
      </c>
      <c r="AV989" s="2128">
        <f>Y989-'Blocking-Step2'!Y989</f>
        <v>0</v>
      </c>
    </row>
    <row r="990" spans="1:48" ht="16.5" hidden="1" thickTop="1">
      <c r="A990" s="1116" t="s">
        <v>1907</v>
      </c>
      <c r="C990" s="1105">
        <v>765944</v>
      </c>
      <c r="D990" s="1105">
        <v>1863369</v>
      </c>
      <c r="E990" s="617"/>
      <c r="F990" s="1143"/>
      <c r="G990" s="1921"/>
      <c r="H990" s="1146"/>
      <c r="I990" s="1146"/>
      <c r="J990" s="617"/>
      <c r="K990" s="1143">
        <v>0</v>
      </c>
      <c r="L990" s="1921" t="s">
        <v>495</v>
      </c>
      <c r="M990" s="1143">
        <v>0</v>
      </c>
      <c r="N990" s="1921" t="s">
        <v>495</v>
      </c>
      <c r="O990" s="1143">
        <v>-2.3358000000000008</v>
      </c>
      <c r="P990" s="1921" t="s">
        <v>495</v>
      </c>
      <c r="Q990" s="1143">
        <v>-2.3358000000000008</v>
      </c>
      <c r="R990" s="1921" t="s">
        <v>495</v>
      </c>
      <c r="S990" s="1146">
        <v>0</v>
      </c>
      <c r="T990" s="1648"/>
      <c r="U990" s="1146">
        <v>0</v>
      </c>
      <c r="V990" s="1648"/>
      <c r="W990" s="1146">
        <v>-43525</v>
      </c>
      <c r="X990" s="1648"/>
      <c r="Y990" s="1146">
        <v>-43525</v>
      </c>
      <c r="Z990" s="2114">
        <f>C990-'Blocking-Step2'!C990</f>
        <v>0</v>
      </c>
      <c r="AA990" s="2114">
        <f>D990-'Blocking-Step2'!D990</f>
        <v>0</v>
      </c>
      <c r="AC990" s="2114">
        <f>F990-'Blocking-Step2'!F990</f>
        <v>0</v>
      </c>
      <c r="AE990" s="2114">
        <f>H990-'Blocking-Step2'!H990</f>
        <v>0</v>
      </c>
      <c r="AF990" s="2114">
        <f>I990-'Blocking-Step2'!I990</f>
        <v>0</v>
      </c>
      <c r="AH990" s="2136">
        <f>K990-'Blocking-Step2'!K990</f>
        <v>0</v>
      </c>
      <c r="AJ990" s="2136">
        <f>M990-'Blocking-Step2'!M990</f>
        <v>0</v>
      </c>
      <c r="AL990" s="2136">
        <f>O990-'Blocking-Step2'!O990</f>
        <v>0</v>
      </c>
      <c r="AN990" s="2137">
        <f>Q990-'Blocking-Step2'!Q990</f>
        <v>0</v>
      </c>
      <c r="AP990" s="2127">
        <f>S990-'Blocking-Step2'!S990</f>
        <v>0</v>
      </c>
      <c r="AR990" s="2127">
        <f>U990-'Blocking-Step2'!U990</f>
        <v>0</v>
      </c>
      <c r="AT990" s="2127">
        <f>W990-'Blocking-Step2'!W990</f>
        <v>0</v>
      </c>
      <c r="AV990" s="2128">
        <f>Y990-'Blocking-Step2'!Y990</f>
        <v>0</v>
      </c>
    </row>
    <row r="991" spans="1:48" ht="16.5" hidden="1" thickTop="1">
      <c r="A991" s="1116" t="s">
        <v>1908</v>
      </c>
      <c r="C991" s="1105">
        <v>1469173.5</v>
      </c>
      <c r="D991" s="1105">
        <v>3105997</v>
      </c>
      <c r="E991" s="617"/>
      <c r="F991" s="1143"/>
      <c r="G991" s="1921"/>
      <c r="H991" s="1146"/>
      <c r="I991" s="1146"/>
      <c r="J991" s="617"/>
      <c r="K991" s="1143">
        <v>0</v>
      </c>
      <c r="L991" s="1921" t="s">
        <v>495</v>
      </c>
      <c r="M991" s="1143">
        <v>0</v>
      </c>
      <c r="N991" s="1921" t="s">
        <v>495</v>
      </c>
      <c r="O991" s="1143">
        <v>5.3097000000000003</v>
      </c>
      <c r="P991" s="1921" t="s">
        <v>495</v>
      </c>
      <c r="Q991" s="1143">
        <v>5.3097000000000003</v>
      </c>
      <c r="R991" s="1921" t="s">
        <v>495</v>
      </c>
      <c r="S991" s="1146">
        <v>0</v>
      </c>
      <c r="T991" s="1648"/>
      <c r="U991" s="1146">
        <v>0</v>
      </c>
      <c r="V991" s="1648"/>
      <c r="W991" s="1146">
        <v>164919</v>
      </c>
      <c r="X991" s="1648"/>
      <c r="Y991" s="1146">
        <v>164919</v>
      </c>
      <c r="Z991" s="2114">
        <f>C991-'Blocking-Step2'!C991</f>
        <v>0</v>
      </c>
      <c r="AA991" s="2114">
        <f>D991-'Blocking-Step2'!D991</f>
        <v>0</v>
      </c>
      <c r="AC991" s="2114">
        <f>F991-'Blocking-Step2'!F991</f>
        <v>0</v>
      </c>
      <c r="AE991" s="2114">
        <f>H991-'Blocking-Step2'!H991</f>
        <v>0</v>
      </c>
      <c r="AF991" s="2114">
        <f>I991-'Blocking-Step2'!I991</f>
        <v>0</v>
      </c>
      <c r="AH991" s="2136">
        <f>K991-'Blocking-Step2'!K991</f>
        <v>0</v>
      </c>
      <c r="AJ991" s="2136">
        <f>M991-'Blocking-Step2'!M991</f>
        <v>0</v>
      </c>
      <c r="AL991" s="2136">
        <f>O991-'Blocking-Step2'!O991</f>
        <v>0</v>
      </c>
      <c r="AN991" s="2137">
        <f>Q991-'Blocking-Step2'!Q991</f>
        <v>0</v>
      </c>
      <c r="AP991" s="2127">
        <f>S991-'Blocking-Step2'!S991</f>
        <v>0</v>
      </c>
      <c r="AR991" s="2127">
        <f>U991-'Blocking-Step2'!U991</f>
        <v>0</v>
      </c>
      <c r="AT991" s="2127">
        <f>W991-'Blocking-Step2'!W991</f>
        <v>0</v>
      </c>
      <c r="AV991" s="2128">
        <f>Y991-'Blocking-Step2'!Y991</f>
        <v>0</v>
      </c>
    </row>
    <row r="992" spans="1:48" ht="16.5" hidden="1" thickTop="1">
      <c r="A992" s="1116" t="s">
        <v>1909</v>
      </c>
      <c r="C992" s="1105">
        <v>1492660.5</v>
      </c>
      <c r="D992" s="1105">
        <v>3155651</v>
      </c>
      <c r="E992" s="617"/>
      <c r="F992" s="1143"/>
      <c r="G992" s="1921"/>
      <c r="H992" s="1146"/>
      <c r="I992" s="1146"/>
      <c r="J992" s="617"/>
      <c r="K992" s="1143">
        <v>0</v>
      </c>
      <c r="L992" s="1921" t="s">
        <v>495</v>
      </c>
      <c r="M992" s="1143">
        <v>0</v>
      </c>
      <c r="N992" s="1921" t="s">
        <v>495</v>
      </c>
      <c r="O992" s="1143">
        <v>-2.0670999999999999</v>
      </c>
      <c r="P992" s="1921" t="s">
        <v>495</v>
      </c>
      <c r="Q992" s="1143">
        <v>-2.0670999999999999</v>
      </c>
      <c r="R992" s="1921" t="s">
        <v>495</v>
      </c>
      <c r="S992" s="1146">
        <v>0</v>
      </c>
      <c r="T992" s="1648"/>
      <c r="U992" s="1146">
        <v>0</v>
      </c>
      <c r="V992" s="1648"/>
      <c r="W992" s="1146">
        <v>-65230</v>
      </c>
      <c r="X992" s="1648"/>
      <c r="Y992" s="1146">
        <v>-65230</v>
      </c>
      <c r="Z992" s="2114">
        <f>C992-'Blocking-Step2'!C992</f>
        <v>0</v>
      </c>
      <c r="AA992" s="2114">
        <f>D992-'Blocking-Step2'!D992</f>
        <v>0</v>
      </c>
      <c r="AC992" s="2114">
        <f>F992-'Blocking-Step2'!F992</f>
        <v>0</v>
      </c>
      <c r="AE992" s="2114">
        <f>H992-'Blocking-Step2'!H992</f>
        <v>0</v>
      </c>
      <c r="AF992" s="2114">
        <f>I992-'Blocking-Step2'!I992</f>
        <v>0</v>
      </c>
      <c r="AH992" s="2136">
        <f>K992-'Blocking-Step2'!K992</f>
        <v>0</v>
      </c>
      <c r="AJ992" s="2136">
        <f>M992-'Blocking-Step2'!M992</f>
        <v>0</v>
      </c>
      <c r="AL992" s="2136">
        <f>O992-'Blocking-Step2'!O992</f>
        <v>0</v>
      </c>
      <c r="AN992" s="2137">
        <f>Q992-'Blocking-Step2'!Q992</f>
        <v>0</v>
      </c>
      <c r="AP992" s="2127">
        <f>S992-'Blocking-Step2'!S992</f>
        <v>0</v>
      </c>
      <c r="AR992" s="2127">
        <f>U992-'Blocking-Step2'!U992</f>
        <v>0</v>
      </c>
      <c r="AT992" s="2127">
        <f>W992-'Blocking-Step2'!W992</f>
        <v>0</v>
      </c>
      <c r="AV992" s="2128">
        <f>Y992-'Blocking-Step2'!Y992</f>
        <v>0</v>
      </c>
    </row>
    <row r="993" spans="1:48" ht="16.5" hidden="1" thickTop="1">
      <c r="A993" s="1116" t="s">
        <v>240</v>
      </c>
      <c r="C993" s="1105">
        <v>336.86666666666702</v>
      </c>
      <c r="D993" s="1105">
        <v>348</v>
      </c>
      <c r="F993" s="1142">
        <v>54</v>
      </c>
      <c r="G993" s="617"/>
      <c r="H993" s="1146">
        <v>18191</v>
      </c>
      <c r="I993" s="1146">
        <v>18792</v>
      </c>
      <c r="K993" s="1907">
        <v>54</v>
      </c>
      <c r="L993" s="1110"/>
      <c r="M993" s="1907">
        <v>0</v>
      </c>
      <c r="N993" s="1110"/>
      <c r="O993" s="1907">
        <v>0</v>
      </c>
      <c r="P993" s="1110"/>
      <c r="Q993" s="1907">
        <v>54</v>
      </c>
      <c r="R993" s="1110"/>
      <c r="S993" s="1146">
        <v>18792</v>
      </c>
      <c r="T993" s="1629"/>
      <c r="U993" s="1146">
        <v>0</v>
      </c>
      <c r="V993" s="1629"/>
      <c r="W993" s="1146">
        <v>0</v>
      </c>
      <c r="X993" s="1629"/>
      <c r="Y993" s="1146">
        <v>18792</v>
      </c>
      <c r="Z993" s="2114">
        <f>C993-'Blocking-Step2'!C993</f>
        <v>0</v>
      </c>
      <c r="AA993" s="2114">
        <f>D993-'Blocking-Step2'!D993</f>
        <v>0</v>
      </c>
      <c r="AC993" s="2114">
        <f>F993-'Blocking-Step2'!F993</f>
        <v>0</v>
      </c>
      <c r="AE993" s="2114">
        <f>H993-'Blocking-Step2'!H993</f>
        <v>0</v>
      </c>
      <c r="AF993" s="2114">
        <f>I993-'Blocking-Step2'!I993</f>
        <v>0</v>
      </c>
      <c r="AH993" s="2136">
        <f>K993-'Blocking-Step2'!K993</f>
        <v>0</v>
      </c>
      <c r="AJ993" s="2136">
        <f>M993-'Blocking-Step2'!M993</f>
        <v>0</v>
      </c>
      <c r="AL993" s="2136">
        <f>O993-'Blocking-Step2'!O993</f>
        <v>0</v>
      </c>
      <c r="AN993" s="2137">
        <f>Q993-'Blocking-Step2'!Q993</f>
        <v>0</v>
      </c>
      <c r="AP993" s="2127">
        <f>S993-'Blocking-Step2'!S993</f>
        <v>0</v>
      </c>
      <c r="AR993" s="2127">
        <f>U993-'Blocking-Step2'!U993</f>
        <v>0</v>
      </c>
      <c r="AT993" s="2127">
        <f>W993-'Blocking-Step2'!W993</f>
        <v>0</v>
      </c>
      <c r="AV993" s="2128">
        <f>Y993-'Blocking-Step2'!Y993</f>
        <v>0</v>
      </c>
    </row>
    <row r="994" spans="1:48" ht="16.5" hidden="1" thickTop="1">
      <c r="A994" s="1116" t="s">
        <v>157</v>
      </c>
      <c r="C994" s="1105">
        <v>10419.506134969301</v>
      </c>
      <c r="D994" s="1105">
        <v>11530</v>
      </c>
      <c r="F994" s="1142">
        <v>6.52</v>
      </c>
      <c r="G994" s="617"/>
      <c r="H994" s="1146">
        <v>67935</v>
      </c>
      <c r="I994" s="1146">
        <v>75176</v>
      </c>
      <c r="K994" s="1142"/>
      <c r="L994" s="617"/>
      <c r="M994" s="1142"/>
      <c r="N994" s="617"/>
      <c r="O994" s="1142"/>
      <c r="P994" s="617"/>
      <c r="Q994" s="1142"/>
      <c r="R994" s="617"/>
      <c r="S994" s="1146"/>
      <c r="T994" s="1114"/>
      <c r="U994" s="1146"/>
      <c r="V994" s="1114"/>
      <c r="W994" s="1146"/>
      <c r="X994" s="1114"/>
      <c r="Y994" s="1146"/>
      <c r="Z994" s="2114">
        <f>C994-'Blocking-Step2'!C994</f>
        <v>0</v>
      </c>
      <c r="AA994" s="2114">
        <f>D994-'Blocking-Step2'!D994</f>
        <v>0</v>
      </c>
      <c r="AC994" s="2114">
        <f>F994-'Blocking-Step2'!F994</f>
        <v>0</v>
      </c>
      <c r="AE994" s="2114">
        <f>H994-'Blocking-Step2'!H994</f>
        <v>0</v>
      </c>
      <c r="AF994" s="2114">
        <f>I994-'Blocking-Step2'!I994</f>
        <v>0</v>
      </c>
      <c r="AH994" s="2136">
        <f>K994-'Blocking-Step2'!K994</f>
        <v>0</v>
      </c>
      <c r="AJ994" s="2136">
        <f>M994-'Blocking-Step2'!M994</f>
        <v>0</v>
      </c>
      <c r="AL994" s="2136">
        <f>O994-'Blocking-Step2'!O994</f>
        <v>0</v>
      </c>
      <c r="AN994" s="2137">
        <f>Q994-'Blocking-Step2'!Q994</f>
        <v>0</v>
      </c>
      <c r="AP994" s="2127">
        <f>S994-'Blocking-Step2'!S994</f>
        <v>0</v>
      </c>
      <c r="AR994" s="2127">
        <f>U994-'Blocking-Step2'!U994</f>
        <v>0</v>
      </c>
      <c r="AT994" s="2127">
        <f>W994-'Blocking-Step2'!W994</f>
        <v>0</v>
      </c>
      <c r="AV994" s="2128">
        <f>Y994-'Blocking-Step2'!Y994</f>
        <v>0</v>
      </c>
    </row>
    <row r="995" spans="1:48" ht="16.5" hidden="1" thickTop="1">
      <c r="A995" s="1116" t="s">
        <v>162</v>
      </c>
      <c r="C995" s="1105">
        <v>12416.2285191956</v>
      </c>
      <c r="D995" s="1105">
        <v>13740</v>
      </c>
      <c r="F995" s="1142">
        <v>5.47</v>
      </c>
      <c r="G995" s="617"/>
      <c r="H995" s="1146">
        <v>67917</v>
      </c>
      <c r="I995" s="1146">
        <v>75158</v>
      </c>
      <c r="K995" s="1142"/>
      <c r="L995" s="617"/>
      <c r="M995" s="1142"/>
      <c r="N995" s="617"/>
      <c r="O995" s="1142"/>
      <c r="P995" s="617"/>
      <c r="Q995" s="1142"/>
      <c r="R995" s="617"/>
      <c r="S995" s="1146"/>
      <c r="T995" s="1114"/>
      <c r="U995" s="1146"/>
      <c r="V995" s="1114"/>
      <c r="W995" s="1146"/>
      <c r="X995" s="1114"/>
      <c r="Y995" s="1146"/>
      <c r="Z995" s="2114">
        <f>C995-'Blocking-Step2'!C995</f>
        <v>0</v>
      </c>
      <c r="AA995" s="2114">
        <f>D995-'Blocking-Step2'!D995</f>
        <v>0</v>
      </c>
      <c r="AC995" s="2114">
        <f>F995-'Blocking-Step2'!F995</f>
        <v>0</v>
      </c>
      <c r="AE995" s="2114">
        <f>H995-'Blocking-Step2'!H995</f>
        <v>0</v>
      </c>
      <c r="AF995" s="2114">
        <f>I995-'Blocking-Step2'!I995</f>
        <v>0</v>
      </c>
      <c r="AH995" s="2136">
        <f>K995-'Blocking-Step2'!K995</f>
        <v>0</v>
      </c>
      <c r="AJ995" s="2136">
        <f>M995-'Blocking-Step2'!M995</f>
        <v>0</v>
      </c>
      <c r="AL995" s="2136">
        <f>O995-'Blocking-Step2'!O995</f>
        <v>0</v>
      </c>
      <c r="AN995" s="2137">
        <f>Q995-'Blocking-Step2'!Q995</f>
        <v>0</v>
      </c>
      <c r="AP995" s="2127">
        <f>S995-'Blocking-Step2'!S995</f>
        <v>0</v>
      </c>
      <c r="AR995" s="2127">
        <f>U995-'Blocking-Step2'!U995</f>
        <v>0</v>
      </c>
      <c r="AT995" s="2127">
        <f>W995-'Blocking-Step2'!W995</f>
        <v>0</v>
      </c>
      <c r="AV995" s="2128">
        <f>Y995-'Blocking-Step2'!Y995</f>
        <v>0</v>
      </c>
    </row>
    <row r="996" spans="1:48" ht="16.5" hidden="1" thickTop="1">
      <c r="A996" s="1116" t="s">
        <v>261</v>
      </c>
      <c r="C996" s="1105">
        <v>0</v>
      </c>
      <c r="D996" s="1105">
        <v>0</v>
      </c>
      <c r="E996" s="617"/>
      <c r="F996" s="1142">
        <v>-0.61</v>
      </c>
      <c r="G996" s="617"/>
      <c r="H996" s="1146">
        <v>0</v>
      </c>
      <c r="I996" s="1146">
        <v>0</v>
      </c>
      <c r="J996" s="617"/>
      <c r="K996" s="1142">
        <v>-0.61</v>
      </c>
      <c r="L996" s="617"/>
      <c r="M996" s="1142">
        <v>0</v>
      </c>
      <c r="N996" s="617"/>
      <c r="O996" s="1142">
        <v>0</v>
      </c>
      <c r="P996" s="617"/>
      <c r="Q996" s="1142">
        <v>-0.61</v>
      </c>
      <c r="R996" s="617"/>
      <c r="S996" s="1146">
        <v>0</v>
      </c>
      <c r="T996" s="1114"/>
      <c r="U996" s="1146">
        <v>0</v>
      </c>
      <c r="V996" s="1114"/>
      <c r="W996" s="1146">
        <v>0</v>
      </c>
      <c r="X996" s="1114"/>
      <c r="Y996" s="1146">
        <v>0</v>
      </c>
      <c r="Z996" s="2114">
        <f>C996-'Blocking-Step2'!C996</f>
        <v>0</v>
      </c>
      <c r="AA996" s="2114">
        <f>D996-'Blocking-Step2'!D996</f>
        <v>0</v>
      </c>
      <c r="AC996" s="2114">
        <f>F996-'Blocking-Step2'!F996</f>
        <v>0</v>
      </c>
      <c r="AE996" s="2114">
        <f>H996-'Blocking-Step2'!H996</f>
        <v>0</v>
      </c>
      <c r="AF996" s="2114">
        <f>I996-'Blocking-Step2'!I996</f>
        <v>0</v>
      </c>
      <c r="AH996" s="2136">
        <f>K996-'Blocking-Step2'!K996</f>
        <v>0</v>
      </c>
      <c r="AJ996" s="2136">
        <f>M996-'Blocking-Step2'!M996</f>
        <v>0</v>
      </c>
      <c r="AL996" s="2136">
        <f>O996-'Blocking-Step2'!O996</f>
        <v>0</v>
      </c>
      <c r="AN996" s="2137">
        <f>Q996-'Blocking-Step2'!Q996</f>
        <v>0</v>
      </c>
      <c r="AP996" s="2127">
        <f>S996-'Blocking-Step2'!S996</f>
        <v>0</v>
      </c>
      <c r="AR996" s="2127">
        <f>U996-'Blocking-Step2'!U996</f>
        <v>0</v>
      </c>
      <c r="AT996" s="2127">
        <f>W996-'Blocking-Step2'!W996</f>
        <v>0</v>
      </c>
      <c r="AV996" s="2128">
        <f>Y996-'Blocking-Step2'!Y996</f>
        <v>0</v>
      </c>
    </row>
    <row r="997" spans="1:48" ht="16.5" hidden="1" thickTop="1">
      <c r="A997" s="1116" t="s">
        <v>188</v>
      </c>
      <c r="C997" s="1105">
        <v>2029544</v>
      </c>
      <c r="D997" s="1105">
        <v>2379892</v>
      </c>
      <c r="E997" s="617"/>
      <c r="F997" s="1143">
        <v>11.926600000000001</v>
      </c>
      <c r="G997" s="1921" t="s">
        <v>495</v>
      </c>
      <c r="H997" s="1146">
        <v>242056</v>
      </c>
      <c r="I997" s="1146">
        <v>283840</v>
      </c>
      <c r="J997" s="617"/>
      <c r="K997" s="1143"/>
      <c r="L997" s="1921"/>
      <c r="M997" s="1143"/>
      <c r="N997" s="1921"/>
      <c r="O997" s="1143"/>
      <c r="P997" s="1921"/>
      <c r="Q997" s="1143"/>
      <c r="R997" s="1921"/>
      <c r="S997" s="1146"/>
      <c r="T997" s="1648"/>
      <c r="U997" s="1146"/>
      <c r="V997" s="1648"/>
      <c r="W997" s="1146"/>
      <c r="X997" s="1648"/>
      <c r="Y997" s="1146"/>
      <c r="Z997" s="2114">
        <f>C997-'Blocking-Step2'!C997</f>
        <v>0</v>
      </c>
      <c r="AA997" s="2114">
        <f>D997-'Blocking-Step2'!D997</f>
        <v>0</v>
      </c>
      <c r="AC997" s="2114">
        <f>F997-'Blocking-Step2'!F997</f>
        <v>0</v>
      </c>
      <c r="AE997" s="2114">
        <f>H997-'Blocking-Step2'!H997</f>
        <v>0</v>
      </c>
      <c r="AF997" s="2114">
        <f>I997-'Blocking-Step2'!I997</f>
        <v>0</v>
      </c>
      <c r="AH997" s="2136">
        <f>K997-'Blocking-Step2'!K997</f>
        <v>0</v>
      </c>
      <c r="AJ997" s="2136">
        <f>M997-'Blocking-Step2'!M997</f>
        <v>0</v>
      </c>
      <c r="AL997" s="2136">
        <f>O997-'Blocking-Step2'!O997</f>
        <v>0</v>
      </c>
      <c r="AN997" s="2137">
        <f>Q997-'Blocking-Step2'!Q997</f>
        <v>0</v>
      </c>
      <c r="AP997" s="2127">
        <f>S997-'Blocking-Step2'!S997</f>
        <v>0</v>
      </c>
      <c r="AR997" s="2127">
        <f>U997-'Blocking-Step2'!U997</f>
        <v>0</v>
      </c>
      <c r="AT997" s="2127">
        <f>W997-'Blocking-Step2'!W997</f>
        <v>0</v>
      </c>
      <c r="AV997" s="2128">
        <f>Y997-'Blocking-Step2'!Y997</f>
        <v>0</v>
      </c>
    </row>
    <row r="998" spans="1:48" ht="16.5" hidden="1" thickTop="1">
      <c r="A998" s="1116" t="s">
        <v>189</v>
      </c>
      <c r="C998" s="1105">
        <v>1892228</v>
      </c>
      <c r="D998" s="1105">
        <v>2218872</v>
      </c>
      <c r="E998" s="617"/>
      <c r="F998" s="1143">
        <v>3.5908000000000002</v>
      </c>
      <c r="G998" s="1921" t="s">
        <v>495</v>
      </c>
      <c r="H998" s="1146">
        <v>67946</v>
      </c>
      <c r="I998" s="1146">
        <v>79675</v>
      </c>
      <c r="J998" s="617"/>
      <c r="K998" s="1143"/>
      <c r="L998" s="1921"/>
      <c r="M998" s="1143"/>
      <c r="N998" s="1921"/>
      <c r="O998" s="1143"/>
      <c r="P998" s="1921"/>
      <c r="Q998" s="1143"/>
      <c r="R998" s="1921"/>
      <c r="S998" s="1146"/>
      <c r="T998" s="1648"/>
      <c r="U998" s="1146"/>
      <c r="V998" s="1648"/>
      <c r="W998" s="1146"/>
      <c r="X998" s="1648"/>
      <c r="Y998" s="1146"/>
      <c r="Z998" s="2114">
        <f>C998-'Blocking-Step2'!C998</f>
        <v>0</v>
      </c>
      <c r="AA998" s="2114">
        <f>D998-'Blocking-Step2'!D998</f>
        <v>0</v>
      </c>
      <c r="AC998" s="2114">
        <f>F998-'Blocking-Step2'!F998</f>
        <v>0</v>
      </c>
      <c r="AE998" s="2114">
        <f>H998-'Blocking-Step2'!H998</f>
        <v>0</v>
      </c>
      <c r="AF998" s="2114">
        <f>I998-'Blocking-Step2'!I998</f>
        <v>0</v>
      </c>
      <c r="AH998" s="2136">
        <f>K998-'Blocking-Step2'!K998</f>
        <v>0</v>
      </c>
      <c r="AJ998" s="2136">
        <f>M998-'Blocking-Step2'!M998</f>
        <v>0</v>
      </c>
      <c r="AL998" s="2136">
        <f>O998-'Blocking-Step2'!O998</f>
        <v>0</v>
      </c>
      <c r="AN998" s="2137">
        <f>Q998-'Blocking-Step2'!Q998</f>
        <v>0</v>
      </c>
      <c r="AP998" s="2127">
        <f>S998-'Blocking-Step2'!S998</f>
        <v>0</v>
      </c>
      <c r="AR998" s="2127">
        <f>U998-'Blocking-Step2'!U998</f>
        <v>0</v>
      </c>
      <c r="AT998" s="2127">
        <f>W998-'Blocking-Step2'!W998</f>
        <v>0</v>
      </c>
      <c r="AV998" s="2128">
        <f>Y998-'Blocking-Step2'!Y998</f>
        <v>0</v>
      </c>
    </row>
    <row r="999" spans="1:48" ht="16.5" hidden="1" thickTop="1">
      <c r="A999" s="1116" t="s">
        <v>163</v>
      </c>
      <c r="C999" s="1105">
        <v>2570685</v>
      </c>
      <c r="D999" s="1105">
        <v>2744885</v>
      </c>
      <c r="E999" s="617"/>
      <c r="F999" s="1143">
        <v>9.9693000000000005</v>
      </c>
      <c r="G999" s="1921" t="s">
        <v>495</v>
      </c>
      <c r="H999" s="1146">
        <v>256279</v>
      </c>
      <c r="I999" s="1146">
        <v>273646</v>
      </c>
      <c r="J999" s="617"/>
      <c r="K999" s="1143"/>
      <c r="L999" s="1921"/>
      <c r="M999" s="1143"/>
      <c r="N999" s="1921"/>
      <c r="O999" s="1143"/>
      <c r="P999" s="1921"/>
      <c r="Q999" s="1143"/>
      <c r="R999" s="1921"/>
      <c r="S999" s="1146"/>
      <c r="T999" s="1648"/>
      <c r="U999" s="1146"/>
      <c r="V999" s="1648"/>
      <c r="W999" s="1146"/>
      <c r="X999" s="1648"/>
      <c r="Y999" s="1146"/>
      <c r="Z999" s="2114">
        <f>C999-'Blocking-Step2'!C999</f>
        <v>0</v>
      </c>
      <c r="AA999" s="2114">
        <f>D999-'Blocking-Step2'!D999</f>
        <v>0</v>
      </c>
      <c r="AC999" s="2114">
        <f>F999-'Blocking-Step2'!F999</f>
        <v>0</v>
      </c>
      <c r="AE999" s="2114">
        <f>H999-'Blocking-Step2'!H999</f>
        <v>0</v>
      </c>
      <c r="AF999" s="2114">
        <f>I999-'Blocking-Step2'!I999</f>
        <v>0</v>
      </c>
      <c r="AH999" s="2136">
        <f>K999-'Blocking-Step2'!K999</f>
        <v>0</v>
      </c>
      <c r="AJ999" s="2136">
        <f>M999-'Blocking-Step2'!M999</f>
        <v>0</v>
      </c>
      <c r="AL999" s="2136">
        <f>O999-'Blocking-Step2'!O999</f>
        <v>0</v>
      </c>
      <c r="AN999" s="2137">
        <f>Q999-'Blocking-Step2'!Q999</f>
        <v>0</v>
      </c>
      <c r="AP999" s="2127">
        <f>S999-'Blocking-Step2'!S999</f>
        <v>0</v>
      </c>
      <c r="AR999" s="2127">
        <f>U999-'Blocking-Step2'!U999</f>
        <v>0</v>
      </c>
      <c r="AT999" s="2127">
        <f>W999-'Blocking-Step2'!W999</f>
        <v>0</v>
      </c>
      <c r="AV999" s="2128">
        <f>Y999-'Blocking-Step2'!Y999</f>
        <v>0</v>
      </c>
    </row>
    <row r="1000" spans="1:48" ht="16.5" hidden="1" thickTop="1">
      <c r="A1000" s="1116" t="s">
        <v>164</v>
      </c>
      <c r="C1000" s="1105">
        <v>2624981</v>
      </c>
      <c r="D1000" s="1105">
        <v>2802860</v>
      </c>
      <c r="E1000" s="617"/>
      <c r="F1000" s="1143">
        <v>3.0059999999999998</v>
      </c>
      <c r="G1000" s="1921" t="s">
        <v>495</v>
      </c>
      <c r="H1000" s="1146">
        <v>78907</v>
      </c>
      <c r="I1000" s="1146">
        <v>84254</v>
      </c>
      <c r="J1000" s="617"/>
      <c r="K1000" s="1143"/>
      <c r="L1000" s="1921"/>
      <c r="M1000" s="1143"/>
      <c r="N1000" s="1921"/>
      <c r="O1000" s="1143"/>
      <c r="P1000" s="1921"/>
      <c r="Q1000" s="1143"/>
      <c r="R1000" s="1921"/>
      <c r="S1000" s="1146"/>
      <c r="T1000" s="1648"/>
      <c r="U1000" s="1146"/>
      <c r="V1000" s="1648"/>
      <c r="W1000" s="1146"/>
      <c r="X1000" s="1648"/>
      <c r="Y1000" s="1146"/>
      <c r="Z1000" s="2114">
        <f>C1000-'Blocking-Step2'!C1000</f>
        <v>0</v>
      </c>
      <c r="AA1000" s="2114">
        <f>D1000-'Blocking-Step2'!D1000</f>
        <v>0</v>
      </c>
      <c r="AC1000" s="2114">
        <f>F1000-'Blocking-Step2'!F1000</f>
        <v>0</v>
      </c>
      <c r="AE1000" s="2114">
        <f>H1000-'Blocking-Step2'!H1000</f>
        <v>0</v>
      </c>
      <c r="AF1000" s="2114">
        <f>I1000-'Blocking-Step2'!I1000</f>
        <v>0</v>
      </c>
      <c r="AH1000" s="2136">
        <f>K1000-'Blocking-Step2'!K1000</f>
        <v>0</v>
      </c>
      <c r="AJ1000" s="2136">
        <f>M1000-'Blocking-Step2'!M1000</f>
        <v>0</v>
      </c>
      <c r="AL1000" s="2136">
        <f>O1000-'Blocking-Step2'!O1000</f>
        <v>0</v>
      </c>
      <c r="AN1000" s="2137">
        <f>Q1000-'Blocking-Step2'!Q1000</f>
        <v>0</v>
      </c>
      <c r="AP1000" s="2127">
        <f>S1000-'Blocking-Step2'!S1000</f>
        <v>0</v>
      </c>
      <c r="AR1000" s="2127">
        <f>U1000-'Blocking-Step2'!U1000</f>
        <v>0</v>
      </c>
      <c r="AT1000" s="2127">
        <f>W1000-'Blocking-Step2'!W1000</f>
        <v>0</v>
      </c>
      <c r="AV1000" s="2128">
        <f>Y1000-'Blocking-Step2'!Y1000</f>
        <v>0</v>
      </c>
    </row>
    <row r="1001" spans="1:48" ht="16.5" hidden="1" thickTop="1">
      <c r="A1001" s="1116" t="s">
        <v>1158</v>
      </c>
      <c r="C1001" s="1105">
        <v>0</v>
      </c>
      <c r="D1001" s="1105">
        <v>0</v>
      </c>
      <c r="F1001" s="1106">
        <v>7.125</v>
      </c>
      <c r="G1001" s="1921" t="s">
        <v>495</v>
      </c>
      <c r="H1001" s="1146">
        <v>0</v>
      </c>
      <c r="I1001" s="1146">
        <v>0</v>
      </c>
      <c r="K1001" s="1106">
        <v>0</v>
      </c>
      <c r="L1001" s="1921" t="s">
        <v>495</v>
      </c>
      <c r="M1001" s="1106">
        <v>7.125</v>
      </c>
      <c r="N1001" s="1921" t="s">
        <v>495</v>
      </c>
      <c r="O1001" s="1106">
        <v>0</v>
      </c>
      <c r="P1001" s="1921" t="s">
        <v>495</v>
      </c>
      <c r="Q1001" s="1106">
        <v>7.125</v>
      </c>
      <c r="R1001" s="1921" t="s">
        <v>495</v>
      </c>
      <c r="S1001" s="1146">
        <v>0</v>
      </c>
      <c r="T1001" s="1648"/>
      <c r="U1001" s="1146">
        <v>0</v>
      </c>
      <c r="V1001" s="1648"/>
      <c r="W1001" s="1146">
        <v>0</v>
      </c>
      <c r="X1001" s="1648"/>
      <c r="Y1001" s="1146">
        <v>0</v>
      </c>
      <c r="Z1001" s="2114">
        <f>C1001-'Blocking-Step2'!C1001</f>
        <v>0</v>
      </c>
      <c r="AA1001" s="2114">
        <f>D1001-'Blocking-Step2'!D1001</f>
        <v>0</v>
      </c>
      <c r="AC1001" s="2114">
        <f>F1001-'Blocking-Step2'!F1001</f>
        <v>0</v>
      </c>
      <c r="AE1001" s="2114">
        <f>H1001-'Blocking-Step2'!H1001</f>
        <v>0</v>
      </c>
      <c r="AF1001" s="2114">
        <f>I1001-'Blocking-Step2'!I1001</f>
        <v>0</v>
      </c>
      <c r="AH1001" s="2136">
        <f>K1001-'Blocking-Step2'!K1001</f>
        <v>0</v>
      </c>
      <c r="AJ1001" s="2136">
        <f>M1001-'Blocking-Step2'!M1001</f>
        <v>0</v>
      </c>
      <c r="AL1001" s="2136">
        <f>O1001-'Blocking-Step2'!O1001</f>
        <v>0</v>
      </c>
      <c r="AN1001" s="2137">
        <f>Q1001-'Blocking-Step2'!Q1001</f>
        <v>0</v>
      </c>
      <c r="AP1001" s="2127">
        <f>S1001-'Blocking-Step2'!S1001</f>
        <v>0</v>
      </c>
      <c r="AR1001" s="2127">
        <f>U1001-'Blocking-Step2'!U1001</f>
        <v>0</v>
      </c>
      <c r="AT1001" s="2127">
        <f>W1001-'Blocking-Step2'!W1001</f>
        <v>0</v>
      </c>
      <c r="AV1001" s="2128">
        <f>Y1001-'Blocking-Step2'!Y1001</f>
        <v>0</v>
      </c>
    </row>
    <row r="1002" spans="1:48" ht="16.5" hidden="1" thickTop="1">
      <c r="A1002" s="1116" t="s">
        <v>246</v>
      </c>
      <c r="C1002" s="1940">
        <v>51579</v>
      </c>
      <c r="D1002" s="1940">
        <v>0</v>
      </c>
      <c r="H1002" s="1147">
        <v>4715</v>
      </c>
      <c r="I1002" s="1147">
        <v>0</v>
      </c>
      <c r="Y1002" s="1147"/>
      <c r="Z1002" s="2114">
        <f>C1002-'Blocking-Step2'!C1002</f>
        <v>0</v>
      </c>
      <c r="AA1002" s="2114">
        <f>D1002-'Blocking-Step2'!D1002</f>
        <v>0</v>
      </c>
      <c r="AC1002" s="2114">
        <f>F1002-'Blocking-Step2'!F1002</f>
        <v>0</v>
      </c>
      <c r="AE1002" s="2114">
        <f>H1002-'Blocking-Step2'!H1002</f>
        <v>0</v>
      </c>
      <c r="AF1002" s="2114">
        <f>I1002-'Blocking-Step2'!I1002</f>
        <v>0</v>
      </c>
      <c r="AH1002" s="2136">
        <f>K1002-'Blocking-Step2'!K1002</f>
        <v>0</v>
      </c>
      <c r="AJ1002" s="2136">
        <f>M1002-'Blocking-Step2'!M1002</f>
        <v>0</v>
      </c>
      <c r="AL1002" s="2136">
        <f>O1002-'Blocking-Step2'!O1002</f>
        <v>0</v>
      </c>
      <c r="AN1002" s="2137">
        <f>Q1002-'Blocking-Step2'!Q1002</f>
        <v>0</v>
      </c>
      <c r="AP1002" s="2127">
        <f>S1002-'Blocking-Step2'!S1002</f>
        <v>0</v>
      </c>
      <c r="AR1002" s="2127">
        <f>U1002-'Blocking-Step2'!U1002</f>
        <v>0</v>
      </c>
      <c r="AT1002" s="2127">
        <f>W1002-'Blocking-Step2'!W1002</f>
        <v>0</v>
      </c>
      <c r="AV1002" s="2128">
        <f>Y1002-'Blocking-Step2'!Y1002</f>
        <v>0</v>
      </c>
    </row>
    <row r="1003" spans="1:48" ht="16.5" hidden="1" thickTop="1">
      <c r="A1003" s="1116" t="s">
        <v>1240</v>
      </c>
      <c r="C1003" s="1024"/>
      <c r="D1003" s="1024"/>
      <c r="F1003" s="2076">
        <v>-4.99E-2</v>
      </c>
      <c r="G1003" s="617"/>
      <c r="H1003" s="1146">
        <v>-32194.8812</v>
      </c>
      <c r="I1003" s="1146">
        <v>-35998.608500000002</v>
      </c>
      <c r="K1003" s="2076"/>
      <c r="L1003" s="617"/>
      <c r="M1003" s="2076"/>
      <c r="N1003" s="617"/>
      <c r="O1003" s="2077" t="s">
        <v>2323</v>
      </c>
      <c r="P1003" s="617"/>
      <c r="Q1003" s="2076">
        <v>-3.0599999999999999E-2</v>
      </c>
      <c r="R1003" s="617"/>
      <c r="S1003" s="1114"/>
      <c r="T1003" s="1114"/>
      <c r="U1003" s="1114"/>
      <c r="V1003" s="1114"/>
      <c r="W1003" s="1114"/>
      <c r="X1003" s="1114"/>
      <c r="Y1003" s="1146">
        <v>-18758.840400000001</v>
      </c>
      <c r="Z1003" s="2114">
        <f>C1003-'Blocking-Step2'!C1003</f>
        <v>0</v>
      </c>
      <c r="AA1003" s="2114">
        <f>D1003-'Blocking-Step2'!D1003</f>
        <v>0</v>
      </c>
      <c r="AC1003" s="2114">
        <f>F1003-'Blocking-Step2'!F1003</f>
        <v>0</v>
      </c>
      <c r="AE1003" s="2114">
        <f>H1003-'Blocking-Step2'!H1003</f>
        <v>0</v>
      </c>
      <c r="AF1003" s="2114">
        <f>I1003-'Blocking-Step2'!I1003</f>
        <v>0</v>
      </c>
      <c r="AH1003" s="2136">
        <f>K1003-'Blocking-Step2'!K1003</f>
        <v>0</v>
      </c>
      <c r="AJ1003" s="2136">
        <f>M1003-'Blocking-Step2'!M1003</f>
        <v>0</v>
      </c>
      <c r="AL1003" s="2136" t="e">
        <f>O1003-'Blocking-Step2'!O1003</f>
        <v>#VALUE!</v>
      </c>
      <c r="AN1003" s="2137">
        <f>Q1003-'Blocking-Step2'!Q1003</f>
        <v>0</v>
      </c>
      <c r="AP1003" s="2127">
        <f>S1003-'Blocking-Step2'!S1003</f>
        <v>0</v>
      </c>
      <c r="AR1003" s="2127">
        <f>U1003-'Blocking-Step2'!U1003</f>
        <v>0</v>
      </c>
      <c r="AT1003" s="2127">
        <f>W1003-'Blocking-Step2'!W1003</f>
        <v>0</v>
      </c>
      <c r="AV1003" s="2128">
        <f>Y1003-'Blocking-Step2'!Y1003</f>
        <v>0</v>
      </c>
    </row>
    <row r="1004" spans="1:48" ht="16.5" hidden="1" thickTop="1">
      <c r="A1004" s="1116"/>
      <c r="C1004" s="1024"/>
      <c r="D1004" s="1024"/>
      <c r="F1004" s="2076"/>
      <c r="G1004" s="617"/>
      <c r="H1004" s="1146"/>
      <c r="I1004" s="1146"/>
      <c r="K1004" s="2076"/>
      <c r="L1004" s="617"/>
      <c r="M1004" s="2076"/>
      <c r="N1004" s="617"/>
      <c r="O1004" s="2077" t="s">
        <v>2324</v>
      </c>
      <c r="P1004" s="617"/>
      <c r="Q1004" s="2076">
        <v>-1.66E-2</v>
      </c>
      <c r="R1004" s="617"/>
      <c r="S1004" s="1114"/>
      <c r="T1004" s="1114"/>
      <c r="U1004" s="1114"/>
      <c r="V1004" s="1114"/>
      <c r="W1004" s="1114"/>
      <c r="X1004" s="1114"/>
      <c r="Y1004" s="1146">
        <v>-10176.3644</v>
      </c>
      <c r="Z1004" s="2114">
        <f>C1004-'Blocking-Step2'!C1004</f>
        <v>0</v>
      </c>
      <c r="AA1004" s="2114">
        <f>D1004-'Blocking-Step2'!D1004</f>
        <v>0</v>
      </c>
      <c r="AC1004" s="2114">
        <f>F1004-'Blocking-Step2'!F1004</f>
        <v>0</v>
      </c>
      <c r="AE1004" s="2114">
        <f>H1004-'Blocking-Step2'!H1004</f>
        <v>0</v>
      </c>
      <c r="AF1004" s="2114">
        <f>I1004-'Blocking-Step2'!I1004</f>
        <v>0</v>
      </c>
      <c r="AH1004" s="2136">
        <f>K1004-'Blocking-Step2'!K1004</f>
        <v>0</v>
      </c>
      <c r="AJ1004" s="2136">
        <f>M1004-'Blocking-Step2'!M1004</f>
        <v>0</v>
      </c>
      <c r="AL1004" s="2136" t="e">
        <f>O1004-'Blocking-Step2'!O1004</f>
        <v>#VALUE!</v>
      </c>
      <c r="AN1004" s="2137">
        <f>Q1004-'Blocking-Step2'!Q1004</f>
        <v>0</v>
      </c>
      <c r="AP1004" s="2127">
        <f>S1004-'Blocking-Step2'!S1004</f>
        <v>0</v>
      </c>
      <c r="AR1004" s="2127">
        <f>U1004-'Blocking-Step2'!U1004</f>
        <v>0</v>
      </c>
      <c r="AT1004" s="2127">
        <f>W1004-'Blocking-Step2'!W1004</f>
        <v>0</v>
      </c>
      <c r="AV1004" s="2128">
        <f>Y1004-'Blocking-Step2'!Y1004</f>
        <v>0</v>
      </c>
    </row>
    <row r="1005" spans="1:48" ht="16.5" hidden="1" thickTop="1">
      <c r="A1005" s="1116" t="s">
        <v>1317</v>
      </c>
      <c r="C1005" s="1024">
        <v>0</v>
      </c>
      <c r="D1005" s="1105">
        <v>0</v>
      </c>
      <c r="F1005" s="2076"/>
      <c r="G1005" s="617"/>
      <c r="H1005" s="1146"/>
      <c r="I1005" s="1146"/>
      <c r="K1005" s="2076"/>
      <c r="L1005" s="617"/>
      <c r="M1005" s="2076"/>
      <c r="N1005" s="617"/>
      <c r="O1005" s="2076"/>
      <c r="P1005" s="617"/>
      <c r="Q1005" s="2076"/>
      <c r="R1005" s="617"/>
      <c r="S1005" s="1114"/>
      <c r="T1005" s="1114"/>
      <c r="U1005" s="1114"/>
      <c r="V1005" s="1114"/>
      <c r="W1005" s="1114"/>
      <c r="X1005" s="1114"/>
      <c r="Y1005" s="1146"/>
      <c r="Z1005" s="2114">
        <f>C1005-'Blocking-Step2'!C1005</f>
        <v>0</v>
      </c>
      <c r="AA1005" s="2114">
        <f>D1005-'Blocking-Step2'!D1005</f>
        <v>0</v>
      </c>
      <c r="AC1005" s="2114">
        <f>F1005-'Blocking-Step2'!F1005</f>
        <v>0</v>
      </c>
      <c r="AE1005" s="2114">
        <f>H1005-'Blocking-Step2'!H1005</f>
        <v>0</v>
      </c>
      <c r="AF1005" s="2114">
        <f>I1005-'Blocking-Step2'!I1005</f>
        <v>0</v>
      </c>
      <c r="AH1005" s="2136">
        <f>K1005-'Blocking-Step2'!K1005</f>
        <v>0</v>
      </c>
      <c r="AJ1005" s="2136">
        <f>M1005-'Blocking-Step2'!M1005</f>
        <v>0</v>
      </c>
      <c r="AL1005" s="2136">
        <f>O1005-'Blocking-Step2'!O1005</f>
        <v>0</v>
      </c>
      <c r="AN1005" s="2137">
        <f>Q1005-'Blocking-Step2'!Q1005</f>
        <v>0</v>
      </c>
      <c r="AP1005" s="2127">
        <f>S1005-'Blocking-Step2'!S1005</f>
        <v>0</v>
      </c>
      <c r="AR1005" s="2127">
        <f>U1005-'Blocking-Step2'!U1005</f>
        <v>0</v>
      </c>
      <c r="AT1005" s="2127">
        <f>W1005-'Blocking-Step2'!W1005</f>
        <v>0</v>
      </c>
      <c r="AV1005" s="2128">
        <f>Y1005-'Blocking-Step2'!Y1005</f>
        <v>0</v>
      </c>
    </row>
    <row r="1006" spans="1:48" ht="17.25" hidden="1" thickTop="1" thickBot="1">
      <c r="A1006" s="1116" t="s">
        <v>247</v>
      </c>
      <c r="C1006" s="1138">
        <v>9169017</v>
      </c>
      <c r="D1006" s="1138">
        <v>10146509</v>
      </c>
      <c r="E1006" s="617"/>
      <c r="F1006" s="1145"/>
      <c r="H1006" s="1149">
        <v>771751.11880000005</v>
      </c>
      <c r="I1006" s="1149">
        <v>854542.39150000003</v>
      </c>
      <c r="J1006" s="617"/>
      <c r="K1006" s="1145"/>
      <c r="M1006" s="1145"/>
      <c r="O1006" s="1145"/>
      <c r="Q1006" s="1145"/>
      <c r="S1006" s="1149">
        <v>186919</v>
      </c>
      <c r="U1006" s="1149">
        <v>317683</v>
      </c>
      <c r="W1006" s="1149">
        <v>304678</v>
      </c>
      <c r="Y1006" s="1149">
        <v>809280</v>
      </c>
      <c r="Z1006" s="2114">
        <f>C1006-'Blocking-Step2'!C1006</f>
        <v>0</v>
      </c>
      <c r="AA1006" s="2114">
        <f>D1006-'Blocking-Step2'!D1006</f>
        <v>0</v>
      </c>
      <c r="AC1006" s="2114">
        <f>F1006-'Blocking-Step2'!F1006</f>
        <v>0</v>
      </c>
      <c r="AE1006" s="2114">
        <f>H1006-'Blocking-Step2'!H1006</f>
        <v>0</v>
      </c>
      <c r="AF1006" s="2114">
        <f>I1006-'Blocking-Step2'!I1006</f>
        <v>0</v>
      </c>
      <c r="AH1006" s="2136">
        <f>K1006-'Blocking-Step2'!K1006</f>
        <v>0</v>
      </c>
      <c r="AJ1006" s="2136">
        <f>M1006-'Blocking-Step2'!M1006</f>
        <v>0</v>
      </c>
      <c r="AL1006" s="2136">
        <f>O1006-'Blocking-Step2'!O1006</f>
        <v>0</v>
      </c>
      <c r="AN1006" s="2137">
        <f>Q1006-'Blocking-Step2'!Q1006</f>
        <v>0</v>
      </c>
      <c r="AP1006" s="2127">
        <f>S1006-'Blocking-Step2'!S1006</f>
        <v>-232914</v>
      </c>
      <c r="AR1006" s="2127">
        <f>U1006-'Blocking-Step2'!U1006</f>
        <v>232911</v>
      </c>
      <c r="AT1006" s="2127">
        <f>W1006-'Blocking-Step2'!W1006</f>
        <v>0</v>
      </c>
      <c r="AV1006" s="2128">
        <f>Y1006-'Blocking-Step2'!Y1006</f>
        <v>0</v>
      </c>
    </row>
    <row r="1007" spans="1:48" ht="16.5" hidden="1" thickTop="1">
      <c r="E1007" s="617"/>
      <c r="J1007" s="617"/>
      <c r="Z1007" s="2114">
        <f>C1007-'Blocking-Step2'!C1007</f>
        <v>0</v>
      </c>
      <c r="AA1007" s="2114">
        <f>D1007-'Blocking-Step2'!D1007</f>
        <v>0</v>
      </c>
      <c r="AC1007" s="2114">
        <f>F1007-'Blocking-Step2'!F1007</f>
        <v>0</v>
      </c>
      <c r="AE1007" s="2114">
        <f>H1007-'Blocking-Step2'!H1007</f>
        <v>0</v>
      </c>
      <c r="AF1007" s="2114">
        <f>I1007-'Blocking-Step2'!I1007</f>
        <v>0</v>
      </c>
      <c r="AH1007" s="2136">
        <f>K1007-'Blocking-Step2'!K1007</f>
        <v>0</v>
      </c>
      <c r="AJ1007" s="2136">
        <f>M1007-'Blocking-Step2'!M1007</f>
        <v>0</v>
      </c>
      <c r="AL1007" s="2136">
        <f>O1007-'Blocking-Step2'!O1007</f>
        <v>0</v>
      </c>
      <c r="AN1007" s="2137">
        <f>Q1007-'Blocking-Step2'!Q1007</f>
        <v>0</v>
      </c>
      <c r="AP1007" s="2127">
        <f>S1007-'Blocking-Step2'!S1007</f>
        <v>0</v>
      </c>
      <c r="AR1007" s="2127">
        <f>U1007-'Blocking-Step2'!U1007</f>
        <v>0</v>
      </c>
      <c r="AT1007" s="2127">
        <f>W1007-'Blocking-Step2'!W1007</f>
        <v>0</v>
      </c>
      <c r="AV1007" s="2128">
        <f>Y1007-'Blocking-Step2'!Y1007</f>
        <v>0</v>
      </c>
    </row>
    <row r="1008" spans="1:48" ht="16.5" hidden="1" thickTop="1">
      <c r="A1008" s="1115" t="s">
        <v>554</v>
      </c>
      <c r="C1008" s="1105"/>
      <c r="D1008" s="1105"/>
      <c r="F1008" s="1106"/>
      <c r="G1008" s="1107"/>
      <c r="K1008" s="1106"/>
      <c r="L1008" s="1107"/>
      <c r="M1008" s="1106"/>
      <c r="N1008" s="1107"/>
      <c r="O1008" s="1106"/>
      <c r="P1008" s="1107"/>
      <c r="Q1008" s="1106"/>
      <c r="R1008" s="1107"/>
      <c r="S1008" s="1114"/>
      <c r="T1008" s="1114"/>
      <c r="U1008" s="1114"/>
      <c r="V1008" s="1114"/>
      <c r="W1008" s="1114"/>
      <c r="X1008" s="1114"/>
      <c r="Z1008" s="2114">
        <f>C1008-'Blocking-Step2'!C1008</f>
        <v>0</v>
      </c>
      <c r="AA1008" s="2114">
        <f>D1008-'Blocking-Step2'!D1008</f>
        <v>0</v>
      </c>
      <c r="AC1008" s="2114">
        <f>F1008-'Blocking-Step2'!F1008</f>
        <v>0</v>
      </c>
      <c r="AE1008" s="2114">
        <f>H1008-'Blocking-Step2'!H1008</f>
        <v>0</v>
      </c>
      <c r="AF1008" s="2114">
        <f>I1008-'Blocking-Step2'!I1008</f>
        <v>0</v>
      </c>
      <c r="AH1008" s="2136">
        <f>K1008-'Blocking-Step2'!K1008</f>
        <v>0</v>
      </c>
      <c r="AJ1008" s="2136">
        <f>M1008-'Blocking-Step2'!M1008</f>
        <v>0</v>
      </c>
      <c r="AL1008" s="2136">
        <f>O1008-'Blocking-Step2'!O1008</f>
        <v>0</v>
      </c>
      <c r="AN1008" s="2137">
        <f>Q1008-'Blocking-Step2'!Q1008</f>
        <v>0</v>
      </c>
      <c r="AP1008" s="2127">
        <f>S1008-'Blocking-Step2'!S1008</f>
        <v>0</v>
      </c>
      <c r="AR1008" s="2127">
        <f>U1008-'Blocking-Step2'!U1008</f>
        <v>0</v>
      </c>
      <c r="AT1008" s="2127">
        <f>W1008-'Blocking-Step2'!W1008</f>
        <v>0</v>
      </c>
      <c r="AV1008" s="2128">
        <f>Y1008-'Blocking-Step2'!Y1008</f>
        <v>0</v>
      </c>
    </row>
    <row r="1009" spans="1:48" ht="16.5" hidden="1" thickTop="1">
      <c r="A1009" s="1116" t="s">
        <v>1910</v>
      </c>
      <c r="C1009" s="1105">
        <v>16432592.288788307</v>
      </c>
      <c r="D1009" s="1105">
        <v>36693479.025227547</v>
      </c>
      <c r="E1009" s="617"/>
      <c r="F1009" s="1143"/>
      <c r="G1009" s="1921"/>
      <c r="H1009" s="1146"/>
      <c r="I1009" s="1146"/>
      <c r="J1009" s="617"/>
      <c r="K1009" s="1143">
        <v>1.657</v>
      </c>
      <c r="L1009" s="1921" t="s">
        <v>495</v>
      </c>
      <c r="M1009" s="1143">
        <v>19.370528114911814</v>
      </c>
      <c r="N1009" s="1921" t="s">
        <v>495</v>
      </c>
      <c r="O1009" s="1143">
        <v>1.3496999999999999</v>
      </c>
      <c r="P1009" s="1921" t="s">
        <v>495</v>
      </c>
      <c r="Q1009" s="1143">
        <v>22.377228114911812</v>
      </c>
      <c r="R1009" s="1921" t="s">
        <v>495</v>
      </c>
      <c r="S1009" s="1146">
        <v>608011</v>
      </c>
      <c r="T1009" s="1648"/>
      <c r="U1009" s="1146">
        <v>7107721</v>
      </c>
      <c r="V1009" s="1648"/>
      <c r="W1009" s="1146">
        <v>495252</v>
      </c>
      <c r="X1009" s="1648"/>
      <c r="Y1009" s="1146">
        <v>8210984</v>
      </c>
      <c r="Z1009" s="2114">
        <f>C1009-'Blocking-Step2'!C1009</f>
        <v>0</v>
      </c>
      <c r="AA1009" s="2114">
        <f>D1009-'Blocking-Step2'!D1009</f>
        <v>0</v>
      </c>
      <c r="AC1009" s="2114">
        <f>F1009-'Blocking-Step2'!F1009</f>
        <v>0</v>
      </c>
      <c r="AE1009" s="2114">
        <f>H1009-'Blocking-Step2'!H1009</f>
        <v>0</v>
      </c>
      <c r="AF1009" s="2114">
        <f>I1009-'Blocking-Step2'!I1009</f>
        <v>0</v>
      </c>
      <c r="AH1009" s="2136">
        <f>K1009-'Blocking-Step2'!K1009</f>
        <v>-2.2955000000000001</v>
      </c>
      <c r="AJ1009" s="2136">
        <f>M1009-'Blocking-Step2'!M1009</f>
        <v>2.2955000000000005</v>
      </c>
      <c r="AL1009" s="2136">
        <f>O1009-'Blocking-Step2'!O1009</f>
        <v>0</v>
      </c>
      <c r="AN1009" s="2137">
        <f>Q1009-'Blocking-Step2'!Q1009</f>
        <v>0</v>
      </c>
      <c r="AP1009" s="2127">
        <f>S1009-'Blocking-Step2'!S1009</f>
        <v>-842299</v>
      </c>
      <c r="AR1009" s="2127">
        <f>U1009-'Blocking-Step2'!U1009</f>
        <v>842299</v>
      </c>
      <c r="AT1009" s="2127">
        <f>W1009-'Blocking-Step2'!W1009</f>
        <v>0</v>
      </c>
      <c r="AV1009" s="2128">
        <f>Y1009-'Blocking-Step2'!Y1009</f>
        <v>0</v>
      </c>
    </row>
    <row r="1010" spans="1:48" ht="16.5" hidden="1" thickTop="1">
      <c r="A1010" s="1116" t="s">
        <v>1911</v>
      </c>
      <c r="C1010" s="1105">
        <v>27155370.959482368</v>
      </c>
      <c r="D1010" s="1105">
        <v>60637118</v>
      </c>
      <c r="E1010" s="617"/>
      <c r="F1010" s="1143"/>
      <c r="G1010" s="1921"/>
      <c r="H1010" s="1146"/>
      <c r="I1010" s="1146"/>
      <c r="J1010" s="617"/>
      <c r="K1010" s="1143">
        <v>1.657</v>
      </c>
      <c r="L1010" s="1921" t="s">
        <v>495</v>
      </c>
      <c r="M1010" s="1143">
        <v>1.3803172825590004</v>
      </c>
      <c r="N1010" s="1921" t="s">
        <v>495</v>
      </c>
      <c r="O1010" s="1143">
        <v>1.3496999999999999</v>
      </c>
      <c r="P1010" s="1921" t="s">
        <v>495</v>
      </c>
      <c r="Q1010" s="1143">
        <v>4.3870172825590004</v>
      </c>
      <c r="R1010" s="1921" t="s">
        <v>495</v>
      </c>
      <c r="S1010" s="1146">
        <v>1004757</v>
      </c>
      <c r="T1010" s="1648"/>
      <c r="U1010" s="1146">
        <v>836985</v>
      </c>
      <c r="V1010" s="1648"/>
      <c r="W1010" s="1146">
        <v>818419</v>
      </c>
      <c r="X1010" s="1648"/>
      <c r="Y1010" s="1146">
        <v>2660161</v>
      </c>
      <c r="Z1010" s="2114">
        <f>C1010-'Blocking-Step2'!C1010</f>
        <v>0</v>
      </c>
      <c r="AA1010" s="2114">
        <f>D1010-'Blocking-Step2'!D1010</f>
        <v>0</v>
      </c>
      <c r="AC1010" s="2114">
        <f>F1010-'Blocking-Step2'!F1010</f>
        <v>0</v>
      </c>
      <c r="AE1010" s="2114">
        <f>H1010-'Blocking-Step2'!H1010</f>
        <v>0</v>
      </c>
      <c r="AF1010" s="2114">
        <f>I1010-'Blocking-Step2'!I1010</f>
        <v>0</v>
      </c>
      <c r="AH1010" s="2136">
        <f>K1010-'Blocking-Step2'!K1010</f>
        <v>-2.2955000000000001</v>
      </c>
      <c r="AJ1010" s="2136">
        <f>M1010-'Blocking-Step2'!M1010</f>
        <v>2.2955000000000001</v>
      </c>
      <c r="AL1010" s="2136">
        <f>O1010-'Blocking-Step2'!O1010</f>
        <v>0</v>
      </c>
      <c r="AN1010" s="2137">
        <f>Q1010-'Blocking-Step2'!Q1010</f>
        <v>0</v>
      </c>
      <c r="AP1010" s="2127">
        <f>S1010-'Blocking-Step2'!S1010</f>
        <v>-1391925</v>
      </c>
      <c r="AR1010" s="2127">
        <f>U1010-'Blocking-Step2'!U1010</f>
        <v>1391925</v>
      </c>
      <c r="AT1010" s="2127">
        <f>W1010-'Blocking-Step2'!W1010</f>
        <v>0</v>
      </c>
      <c r="AV1010" s="2128">
        <f>Y1010-'Blocking-Step2'!Y1010</f>
        <v>0</v>
      </c>
    </row>
    <row r="1011" spans="1:48" ht="16.5" hidden="1" thickTop="1">
      <c r="A1011" s="1116" t="s">
        <v>1912</v>
      </c>
      <c r="C1011" s="1105">
        <v>28847444.946726855</v>
      </c>
      <c r="D1011" s="1105">
        <v>61197596</v>
      </c>
      <c r="E1011" s="617"/>
      <c r="F1011" s="1143"/>
      <c r="G1011" s="1921"/>
      <c r="H1011" s="1146"/>
      <c r="I1011" s="1146"/>
      <c r="J1011" s="617"/>
      <c r="K1011" s="1143">
        <v>1.657</v>
      </c>
      <c r="L1011" s="1921" t="s">
        <v>495</v>
      </c>
      <c r="M1011" s="1143">
        <v>16.951500000000003</v>
      </c>
      <c r="N1011" s="1921" t="s">
        <v>495</v>
      </c>
      <c r="O1011" s="1143">
        <v>1.1943999999999999</v>
      </c>
      <c r="P1011" s="1921" t="s">
        <v>495</v>
      </c>
      <c r="Q1011" s="1143">
        <v>19.802900000000001</v>
      </c>
      <c r="R1011" s="1921" t="s">
        <v>495</v>
      </c>
      <c r="S1011" s="1146">
        <v>1014044</v>
      </c>
      <c r="T1011" s="1648"/>
      <c r="U1011" s="1146">
        <v>10373910</v>
      </c>
      <c r="V1011" s="1648"/>
      <c r="W1011" s="1146">
        <v>730944</v>
      </c>
      <c r="X1011" s="1648"/>
      <c r="Y1011" s="1146">
        <v>12118899</v>
      </c>
      <c r="Z1011" s="2114">
        <f>C1011-'Blocking-Step2'!C1011</f>
        <v>0</v>
      </c>
      <c r="AA1011" s="2114">
        <f>D1011-'Blocking-Step2'!D1011</f>
        <v>0</v>
      </c>
      <c r="AC1011" s="2114">
        <f>F1011-'Blocking-Step2'!F1011</f>
        <v>0</v>
      </c>
      <c r="AE1011" s="2114">
        <f>H1011-'Blocking-Step2'!H1011</f>
        <v>0</v>
      </c>
      <c r="AF1011" s="2114">
        <f>I1011-'Blocking-Step2'!I1011</f>
        <v>0</v>
      </c>
      <c r="AH1011" s="2136">
        <f>K1011-'Blocking-Step2'!K1011</f>
        <v>-2.2955000000000001</v>
      </c>
      <c r="AJ1011" s="2136">
        <f>M1011-'Blocking-Step2'!M1011</f>
        <v>2.2955000000000023</v>
      </c>
      <c r="AL1011" s="2136">
        <f>O1011-'Blocking-Step2'!O1011</f>
        <v>0</v>
      </c>
      <c r="AN1011" s="2137">
        <f>Q1011-'Blocking-Step2'!Q1011</f>
        <v>0</v>
      </c>
      <c r="AP1011" s="2127">
        <f>S1011-'Blocking-Step2'!S1011</f>
        <v>-1404791</v>
      </c>
      <c r="AR1011" s="2127">
        <f>U1011-'Blocking-Step2'!U1011</f>
        <v>1404790</v>
      </c>
      <c r="AT1011" s="2127">
        <f>W1011-'Blocking-Step2'!W1011</f>
        <v>0</v>
      </c>
      <c r="AV1011" s="2128">
        <f>Y1011-'Blocking-Step2'!Y1011</f>
        <v>0</v>
      </c>
    </row>
    <row r="1012" spans="1:48" ht="16.5" hidden="1" thickTop="1">
      <c r="A1012" s="1116" t="s">
        <v>1913</v>
      </c>
      <c r="C1012" s="1105">
        <v>60315072.658593655</v>
      </c>
      <c r="D1012" s="1105">
        <v>127953706</v>
      </c>
      <c r="E1012" s="617"/>
      <c r="F1012" s="1143"/>
      <c r="G1012" s="1921"/>
      <c r="H1012" s="1146"/>
      <c r="I1012" s="1146"/>
      <c r="J1012" s="617"/>
      <c r="K1012" s="1143">
        <v>1.657</v>
      </c>
      <c r="L1012" s="1921" t="s">
        <v>495</v>
      </c>
      <c r="M1012" s="1143">
        <v>1.0308999999999999</v>
      </c>
      <c r="N1012" s="1921" t="s">
        <v>495</v>
      </c>
      <c r="O1012" s="1143">
        <v>1.1943999999999999</v>
      </c>
      <c r="P1012" s="1921" t="s">
        <v>495</v>
      </c>
      <c r="Q1012" s="1143">
        <v>3.8822999999999999</v>
      </c>
      <c r="R1012" s="1921" t="s">
        <v>495</v>
      </c>
      <c r="S1012" s="1146">
        <v>2120193</v>
      </c>
      <c r="T1012" s="1648"/>
      <c r="U1012" s="1146">
        <v>1319075</v>
      </c>
      <c r="V1012" s="1648"/>
      <c r="W1012" s="1146">
        <v>1528279</v>
      </c>
      <c r="X1012" s="1648"/>
      <c r="Y1012" s="1146">
        <v>4967547</v>
      </c>
      <c r="Z1012" s="2114">
        <f>C1012-'Blocking-Step2'!C1012</f>
        <v>0</v>
      </c>
      <c r="AA1012" s="2114">
        <f>D1012-'Blocking-Step2'!D1012</f>
        <v>0</v>
      </c>
      <c r="AC1012" s="2114">
        <f>F1012-'Blocking-Step2'!F1012</f>
        <v>0</v>
      </c>
      <c r="AE1012" s="2114">
        <f>H1012-'Blocking-Step2'!H1012</f>
        <v>0</v>
      </c>
      <c r="AF1012" s="2114">
        <f>I1012-'Blocking-Step2'!I1012</f>
        <v>0</v>
      </c>
      <c r="AH1012" s="2136">
        <f>K1012-'Blocking-Step2'!K1012</f>
        <v>-2.2955000000000001</v>
      </c>
      <c r="AJ1012" s="2136">
        <f>M1012-'Blocking-Step2'!M1012</f>
        <v>2.2955000000000001</v>
      </c>
      <c r="AL1012" s="2136">
        <f>O1012-'Blocking-Step2'!O1012</f>
        <v>0</v>
      </c>
      <c r="AN1012" s="2137">
        <f>Q1012-'Blocking-Step2'!Q1012</f>
        <v>0</v>
      </c>
      <c r="AP1012" s="2127">
        <f>S1012-'Blocking-Step2'!S1012</f>
        <v>-2937177</v>
      </c>
      <c r="AR1012" s="2127">
        <f>U1012-'Blocking-Step2'!U1012</f>
        <v>2937178</v>
      </c>
      <c r="AT1012" s="2127">
        <f>W1012-'Blocking-Step2'!W1012</f>
        <v>0</v>
      </c>
      <c r="AV1012" s="2128">
        <f>Y1012-'Blocking-Step2'!Y1012</f>
        <v>0</v>
      </c>
    </row>
    <row r="1013" spans="1:48" ht="16.5" hidden="1" thickTop="1">
      <c r="A1013" s="1116" t="s">
        <v>1906</v>
      </c>
      <c r="C1013" s="1105">
        <v>22652511.642585691</v>
      </c>
      <c r="D1013" s="1105">
        <v>50582370.025227547</v>
      </c>
      <c r="E1013" s="617"/>
      <c r="F1013" s="1143"/>
      <c r="G1013" s="1921"/>
      <c r="H1013" s="1146"/>
      <c r="I1013" s="1146"/>
      <c r="J1013" s="617"/>
      <c r="K1013" s="1143">
        <v>0</v>
      </c>
      <c r="L1013" s="1921" t="s">
        <v>495</v>
      </c>
      <c r="M1013" s="1143">
        <v>0</v>
      </c>
      <c r="N1013" s="1921" t="s">
        <v>495</v>
      </c>
      <c r="O1013" s="1143">
        <v>6</v>
      </c>
      <c r="P1013" s="1921" t="s">
        <v>495</v>
      </c>
      <c r="Q1013" s="1143">
        <v>6</v>
      </c>
      <c r="R1013" s="1921" t="s">
        <v>495</v>
      </c>
      <c r="S1013" s="1146">
        <v>0</v>
      </c>
      <c r="T1013" s="1648"/>
      <c r="U1013" s="1146">
        <v>0</v>
      </c>
      <c r="V1013" s="1648"/>
      <c r="W1013" s="1146">
        <v>3034942</v>
      </c>
      <c r="X1013" s="1648"/>
      <c r="Y1013" s="1146">
        <v>3034942</v>
      </c>
      <c r="Z1013" s="2114">
        <f>C1013-'Blocking-Step2'!C1013</f>
        <v>0</v>
      </c>
      <c r="AA1013" s="2114">
        <f>D1013-'Blocking-Step2'!D1013</f>
        <v>0</v>
      </c>
      <c r="AC1013" s="2114">
        <f>F1013-'Blocking-Step2'!F1013</f>
        <v>0</v>
      </c>
      <c r="AE1013" s="2114">
        <f>H1013-'Blocking-Step2'!H1013</f>
        <v>0</v>
      </c>
      <c r="AF1013" s="2114">
        <f>I1013-'Blocking-Step2'!I1013</f>
        <v>0</v>
      </c>
      <c r="AH1013" s="2136">
        <f>K1013-'Blocking-Step2'!K1013</f>
        <v>0</v>
      </c>
      <c r="AJ1013" s="2136">
        <f>M1013-'Blocking-Step2'!M1013</f>
        <v>0</v>
      </c>
      <c r="AL1013" s="2136">
        <f>O1013-'Blocking-Step2'!O1013</f>
        <v>0</v>
      </c>
      <c r="AN1013" s="2137">
        <f>Q1013-'Blocking-Step2'!Q1013</f>
        <v>0</v>
      </c>
      <c r="AP1013" s="2127">
        <f>S1013-'Blocking-Step2'!S1013</f>
        <v>0</v>
      </c>
      <c r="AR1013" s="2127">
        <f>U1013-'Blocking-Step2'!U1013</f>
        <v>0</v>
      </c>
      <c r="AT1013" s="2127">
        <f>W1013-'Blocking-Step2'!W1013</f>
        <v>0</v>
      </c>
      <c r="AV1013" s="2128">
        <f>Y1013-'Blocking-Step2'!Y1013</f>
        <v>0</v>
      </c>
    </row>
    <row r="1014" spans="1:48" ht="16.5" hidden="1" thickTop="1">
      <c r="A1014" s="1116" t="s">
        <v>1907</v>
      </c>
      <c r="C1014" s="1105">
        <v>20935451.605684984</v>
      </c>
      <c r="D1014" s="1105">
        <v>46748227</v>
      </c>
      <c r="E1014" s="617"/>
      <c r="F1014" s="1143"/>
      <c r="G1014" s="1921"/>
      <c r="H1014" s="1146"/>
      <c r="I1014" s="1146"/>
      <c r="J1014" s="617"/>
      <c r="K1014" s="1143">
        <v>0</v>
      </c>
      <c r="L1014" s="1921" t="s">
        <v>495</v>
      </c>
      <c r="M1014" s="1143">
        <v>0</v>
      </c>
      <c r="N1014" s="1921" t="s">
        <v>495</v>
      </c>
      <c r="O1014" s="1143">
        <v>-2.3358000000000008</v>
      </c>
      <c r="P1014" s="1921" t="s">
        <v>495</v>
      </c>
      <c r="Q1014" s="1143">
        <v>-2.3358000000000008</v>
      </c>
      <c r="R1014" s="1921" t="s">
        <v>495</v>
      </c>
      <c r="S1014" s="1146">
        <v>0</v>
      </c>
      <c r="T1014" s="1648"/>
      <c r="U1014" s="1146">
        <v>0</v>
      </c>
      <c r="V1014" s="1648"/>
      <c r="W1014" s="1146">
        <v>-1091945</v>
      </c>
      <c r="X1014" s="1648"/>
      <c r="Y1014" s="1146">
        <v>-1091945</v>
      </c>
      <c r="Z1014" s="2114">
        <f>C1014-'Blocking-Step2'!C1014</f>
        <v>0</v>
      </c>
      <c r="AA1014" s="2114">
        <f>D1014-'Blocking-Step2'!D1014</f>
        <v>0</v>
      </c>
      <c r="AC1014" s="2114">
        <f>F1014-'Blocking-Step2'!F1014</f>
        <v>0</v>
      </c>
      <c r="AE1014" s="2114">
        <f>H1014-'Blocking-Step2'!H1014</f>
        <v>0</v>
      </c>
      <c r="AF1014" s="2114">
        <f>I1014-'Blocking-Step2'!I1014</f>
        <v>0</v>
      </c>
      <c r="AH1014" s="2136">
        <f>K1014-'Blocking-Step2'!K1014</f>
        <v>0</v>
      </c>
      <c r="AJ1014" s="2136">
        <f>M1014-'Blocking-Step2'!M1014</f>
        <v>0</v>
      </c>
      <c r="AL1014" s="2136">
        <f>O1014-'Blocking-Step2'!O1014</f>
        <v>0</v>
      </c>
      <c r="AN1014" s="2137">
        <f>Q1014-'Blocking-Step2'!Q1014</f>
        <v>0</v>
      </c>
      <c r="AP1014" s="2127">
        <f>S1014-'Blocking-Step2'!S1014</f>
        <v>0</v>
      </c>
      <c r="AR1014" s="2127">
        <f>U1014-'Blocking-Step2'!U1014</f>
        <v>0</v>
      </c>
      <c r="AT1014" s="2127">
        <f>W1014-'Blocking-Step2'!W1014</f>
        <v>0</v>
      </c>
      <c r="AV1014" s="2128">
        <f>Y1014-'Blocking-Step2'!Y1014</f>
        <v>0</v>
      </c>
    </row>
    <row r="1015" spans="1:48" ht="16.5" hidden="1" thickTop="1">
      <c r="A1015" s="1116" t="s">
        <v>1908</v>
      </c>
      <c r="C1015" s="1105">
        <v>47718230.957487509</v>
      </c>
      <c r="D1015" s="1105">
        <v>101230492</v>
      </c>
      <c r="E1015" s="617"/>
      <c r="F1015" s="1143"/>
      <c r="G1015" s="1921"/>
      <c r="H1015" s="1146"/>
      <c r="I1015" s="1146"/>
      <c r="J1015" s="617"/>
      <c r="K1015" s="1143">
        <v>0</v>
      </c>
      <c r="L1015" s="1921" t="s">
        <v>495</v>
      </c>
      <c r="M1015" s="1143">
        <v>0</v>
      </c>
      <c r="N1015" s="1921" t="s">
        <v>495</v>
      </c>
      <c r="O1015" s="1143">
        <v>5.3097000000000003</v>
      </c>
      <c r="P1015" s="1921" t="s">
        <v>495</v>
      </c>
      <c r="Q1015" s="1143">
        <v>5.3097000000000003</v>
      </c>
      <c r="R1015" s="1921" t="s">
        <v>495</v>
      </c>
      <c r="S1015" s="1146">
        <v>0</v>
      </c>
      <c r="T1015" s="1648"/>
      <c r="U1015" s="1146">
        <v>0</v>
      </c>
      <c r="V1015" s="1648"/>
      <c r="W1015" s="1146">
        <v>5375035</v>
      </c>
      <c r="X1015" s="1648"/>
      <c r="Y1015" s="1146">
        <v>5375035</v>
      </c>
      <c r="Z1015" s="2114">
        <f>C1015-'Blocking-Step2'!C1015</f>
        <v>0</v>
      </c>
      <c r="AA1015" s="2114">
        <f>D1015-'Blocking-Step2'!D1015</f>
        <v>0</v>
      </c>
      <c r="AC1015" s="2114">
        <f>F1015-'Blocking-Step2'!F1015</f>
        <v>0</v>
      </c>
      <c r="AE1015" s="2114">
        <f>H1015-'Blocking-Step2'!H1015</f>
        <v>0</v>
      </c>
      <c r="AF1015" s="2114">
        <f>I1015-'Blocking-Step2'!I1015</f>
        <v>0</v>
      </c>
      <c r="AH1015" s="2136">
        <f>K1015-'Blocking-Step2'!K1015</f>
        <v>0</v>
      </c>
      <c r="AJ1015" s="2136">
        <f>M1015-'Blocking-Step2'!M1015</f>
        <v>0</v>
      </c>
      <c r="AL1015" s="2136">
        <f>O1015-'Blocking-Step2'!O1015</f>
        <v>0</v>
      </c>
      <c r="AN1015" s="2137">
        <f>Q1015-'Blocking-Step2'!Q1015</f>
        <v>0</v>
      </c>
      <c r="AP1015" s="2127">
        <f>S1015-'Blocking-Step2'!S1015</f>
        <v>0</v>
      </c>
      <c r="AR1015" s="2127">
        <f>U1015-'Blocking-Step2'!U1015</f>
        <v>0</v>
      </c>
      <c r="AT1015" s="2127">
        <f>W1015-'Blocking-Step2'!W1015</f>
        <v>0</v>
      </c>
      <c r="AV1015" s="2128">
        <f>Y1015-'Blocking-Step2'!Y1015</f>
        <v>0</v>
      </c>
    </row>
    <row r="1016" spans="1:48" ht="16.5" hidden="1" thickTop="1">
      <c r="A1016" s="1116" t="s">
        <v>1909</v>
      </c>
      <c r="C1016" s="1105">
        <v>41444286.647832997</v>
      </c>
      <c r="D1016" s="1105">
        <v>87920810</v>
      </c>
      <c r="E1016" s="617"/>
      <c r="F1016" s="1143"/>
      <c r="G1016" s="1921"/>
      <c r="H1016" s="1146"/>
      <c r="I1016" s="1146"/>
      <c r="J1016" s="617"/>
      <c r="K1016" s="1143">
        <v>0</v>
      </c>
      <c r="L1016" s="1921" t="s">
        <v>495</v>
      </c>
      <c r="M1016" s="1143">
        <v>0</v>
      </c>
      <c r="N1016" s="1921" t="s">
        <v>495</v>
      </c>
      <c r="O1016" s="1143">
        <v>-2.0670999999999999</v>
      </c>
      <c r="P1016" s="1921" t="s">
        <v>495</v>
      </c>
      <c r="Q1016" s="1143">
        <v>-2.0670999999999999</v>
      </c>
      <c r="R1016" s="1921" t="s">
        <v>495</v>
      </c>
      <c r="S1016" s="1146">
        <v>0</v>
      </c>
      <c r="T1016" s="1648"/>
      <c r="U1016" s="1146">
        <v>0</v>
      </c>
      <c r="V1016" s="1648"/>
      <c r="W1016" s="1146">
        <v>-1817411</v>
      </c>
      <c r="X1016" s="1648"/>
      <c r="Y1016" s="1146">
        <v>-1817411</v>
      </c>
      <c r="Z1016" s="2114">
        <f>C1016-'Blocking-Step2'!C1016</f>
        <v>0</v>
      </c>
      <c r="AA1016" s="2114">
        <f>D1016-'Blocking-Step2'!D1016</f>
        <v>0</v>
      </c>
      <c r="AC1016" s="2114">
        <f>F1016-'Blocking-Step2'!F1016</f>
        <v>0</v>
      </c>
      <c r="AE1016" s="2114">
        <f>H1016-'Blocking-Step2'!H1016</f>
        <v>0</v>
      </c>
      <c r="AF1016" s="2114">
        <f>I1016-'Blocking-Step2'!I1016</f>
        <v>0</v>
      </c>
      <c r="AH1016" s="2136">
        <f>K1016-'Blocking-Step2'!K1016</f>
        <v>0</v>
      </c>
      <c r="AJ1016" s="2136">
        <f>M1016-'Blocking-Step2'!M1016</f>
        <v>0</v>
      </c>
      <c r="AL1016" s="2136">
        <f>O1016-'Blocking-Step2'!O1016</f>
        <v>0</v>
      </c>
      <c r="AN1016" s="2137">
        <f>Q1016-'Blocking-Step2'!Q1016</f>
        <v>0</v>
      </c>
      <c r="AP1016" s="2127">
        <f>S1016-'Blocking-Step2'!S1016</f>
        <v>0</v>
      </c>
      <c r="AR1016" s="2127">
        <f>U1016-'Blocking-Step2'!U1016</f>
        <v>0</v>
      </c>
      <c r="AT1016" s="2127">
        <f>W1016-'Blocking-Step2'!W1016</f>
        <v>0</v>
      </c>
      <c r="AV1016" s="2128">
        <f>Y1016-'Blocking-Step2'!Y1016</f>
        <v>0</v>
      </c>
    </row>
    <row r="1017" spans="1:48" ht="16.5" hidden="1" thickTop="1">
      <c r="A1017" s="1116" t="s">
        <v>240</v>
      </c>
      <c r="C1017" s="1105">
        <v>27150.133333333401</v>
      </c>
      <c r="D1017" s="1105">
        <v>28366</v>
      </c>
      <c r="F1017" s="1142">
        <v>54</v>
      </c>
      <c r="G1017" s="617"/>
      <c r="H1017" s="1146">
        <v>1466107</v>
      </c>
      <c r="I1017" s="1146">
        <v>1531764</v>
      </c>
      <c r="K1017" s="1142">
        <v>54</v>
      </c>
      <c r="L1017" s="617"/>
      <c r="M1017" s="1142">
        <v>0</v>
      </c>
      <c r="N1017" s="617"/>
      <c r="O1017" s="1142">
        <v>0</v>
      </c>
      <c r="P1017" s="617"/>
      <c r="Q1017" s="1142">
        <v>54</v>
      </c>
      <c r="R1017" s="617"/>
      <c r="S1017" s="1146">
        <v>1531764</v>
      </c>
      <c r="T1017" s="1629"/>
      <c r="U1017" s="1146">
        <v>0</v>
      </c>
      <c r="V1017" s="1629"/>
      <c r="W1017" s="1146">
        <v>0</v>
      </c>
      <c r="X1017" s="1114"/>
      <c r="Y1017" s="1146">
        <v>1531764</v>
      </c>
      <c r="Z1017" s="2114">
        <f>C1017-'Blocking-Step2'!C1017</f>
        <v>0</v>
      </c>
      <c r="AA1017" s="2114">
        <f>D1017-'Blocking-Step2'!D1017</f>
        <v>0</v>
      </c>
      <c r="AC1017" s="2114">
        <f>F1017-'Blocking-Step2'!F1017</f>
        <v>0</v>
      </c>
      <c r="AE1017" s="2114">
        <f>H1017-'Blocking-Step2'!H1017</f>
        <v>0</v>
      </c>
      <c r="AF1017" s="2114">
        <f>I1017-'Blocking-Step2'!I1017</f>
        <v>0</v>
      </c>
      <c r="AH1017" s="2136">
        <f>K1017-'Blocking-Step2'!K1017</f>
        <v>0</v>
      </c>
      <c r="AJ1017" s="2136">
        <f>M1017-'Blocking-Step2'!M1017</f>
        <v>0</v>
      </c>
      <c r="AL1017" s="2136">
        <f>O1017-'Blocking-Step2'!O1017</f>
        <v>0</v>
      </c>
      <c r="AN1017" s="2137">
        <f>Q1017-'Blocking-Step2'!Q1017</f>
        <v>0</v>
      </c>
      <c r="AP1017" s="2127">
        <f>S1017-'Blocking-Step2'!S1017</f>
        <v>0</v>
      </c>
      <c r="AR1017" s="2127">
        <f>U1017-'Blocking-Step2'!U1017</f>
        <v>0</v>
      </c>
      <c r="AT1017" s="2127">
        <f>W1017-'Blocking-Step2'!W1017</f>
        <v>0</v>
      </c>
      <c r="AV1017" s="2128">
        <f>Y1017-'Blocking-Step2'!Y1017</f>
        <v>0</v>
      </c>
    </row>
    <row r="1018" spans="1:48" ht="16.5" hidden="1" thickTop="1">
      <c r="A1018" s="1116" t="s">
        <v>157</v>
      </c>
      <c r="C1018" s="1105">
        <v>874539.542944783</v>
      </c>
      <c r="D1018" s="1105">
        <v>939725</v>
      </c>
      <c r="F1018" s="1142">
        <v>6.52</v>
      </c>
      <c r="G1018" s="617"/>
      <c r="H1018" s="1146">
        <v>5701998</v>
      </c>
      <c r="I1018" s="1146">
        <v>6127007</v>
      </c>
      <c r="K1018" s="1142"/>
      <c r="L1018" s="617"/>
      <c r="M1018" s="1142"/>
      <c r="N1018" s="617"/>
      <c r="O1018" s="1142"/>
      <c r="P1018" s="617"/>
      <c r="Q1018" s="1142"/>
      <c r="R1018" s="617"/>
      <c r="S1018" s="1146"/>
      <c r="T1018" s="1114"/>
      <c r="U1018" s="1146"/>
      <c r="V1018" s="1114"/>
      <c r="W1018" s="1146"/>
      <c r="X1018" s="1114"/>
      <c r="Y1018" s="1146"/>
      <c r="Z1018" s="2114">
        <f>C1018-'Blocking-Step2'!C1018</f>
        <v>0</v>
      </c>
      <c r="AA1018" s="2114">
        <f>D1018-'Blocking-Step2'!D1018</f>
        <v>0</v>
      </c>
      <c r="AC1018" s="2114">
        <f>F1018-'Blocking-Step2'!F1018</f>
        <v>0</v>
      </c>
      <c r="AE1018" s="2114">
        <f>H1018-'Blocking-Step2'!H1018</f>
        <v>0</v>
      </c>
      <c r="AF1018" s="2114">
        <f>I1018-'Blocking-Step2'!I1018</f>
        <v>0</v>
      </c>
      <c r="AH1018" s="2136">
        <f>K1018-'Blocking-Step2'!K1018</f>
        <v>0</v>
      </c>
      <c r="AJ1018" s="2136">
        <f>M1018-'Blocking-Step2'!M1018</f>
        <v>0</v>
      </c>
      <c r="AL1018" s="2136">
        <f>O1018-'Blocking-Step2'!O1018</f>
        <v>0</v>
      </c>
      <c r="AN1018" s="2137">
        <f>Q1018-'Blocking-Step2'!Q1018</f>
        <v>0</v>
      </c>
      <c r="AP1018" s="2127">
        <f>S1018-'Blocking-Step2'!S1018</f>
        <v>0</v>
      </c>
      <c r="AR1018" s="2127">
        <f>U1018-'Blocking-Step2'!U1018</f>
        <v>0</v>
      </c>
      <c r="AT1018" s="2127">
        <f>W1018-'Blocking-Step2'!W1018</f>
        <v>0</v>
      </c>
      <c r="AV1018" s="2128">
        <f>Y1018-'Blocking-Step2'!Y1018</f>
        <v>0</v>
      </c>
    </row>
    <row r="1019" spans="1:48" ht="16.5" hidden="1" thickTop="1">
      <c r="A1019" s="1116" t="s">
        <v>162</v>
      </c>
      <c r="C1019" s="1105">
        <v>1039150.685557588</v>
      </c>
      <c r="D1019" s="1105">
        <v>1116605</v>
      </c>
      <c r="F1019" s="1142">
        <v>5.47</v>
      </c>
      <c r="G1019" s="617"/>
      <c r="H1019" s="1146">
        <v>5684154</v>
      </c>
      <c r="I1019" s="1146">
        <v>6107829</v>
      </c>
      <c r="K1019" s="1142"/>
      <c r="L1019" s="617"/>
      <c r="M1019" s="1142"/>
      <c r="N1019" s="617"/>
      <c r="O1019" s="1142"/>
      <c r="P1019" s="617"/>
      <c r="Q1019" s="1142"/>
      <c r="R1019" s="617"/>
      <c r="S1019" s="1146"/>
      <c r="T1019" s="1114"/>
      <c r="U1019" s="1146"/>
      <c r="V1019" s="1114"/>
      <c r="W1019" s="1146"/>
      <c r="X1019" s="1114"/>
      <c r="Y1019" s="1146"/>
      <c r="Z1019" s="2114">
        <f>C1019-'Blocking-Step2'!C1019</f>
        <v>0</v>
      </c>
      <c r="AA1019" s="2114">
        <f>D1019-'Blocking-Step2'!D1019</f>
        <v>0</v>
      </c>
      <c r="AC1019" s="2114">
        <f>F1019-'Blocking-Step2'!F1019</f>
        <v>0</v>
      </c>
      <c r="AE1019" s="2114">
        <f>H1019-'Blocking-Step2'!H1019</f>
        <v>0</v>
      </c>
      <c r="AF1019" s="2114">
        <f>I1019-'Blocking-Step2'!I1019</f>
        <v>0</v>
      </c>
      <c r="AH1019" s="2136">
        <f>K1019-'Blocking-Step2'!K1019</f>
        <v>0</v>
      </c>
      <c r="AJ1019" s="2136">
        <f>M1019-'Blocking-Step2'!M1019</f>
        <v>0</v>
      </c>
      <c r="AL1019" s="2136">
        <f>O1019-'Blocking-Step2'!O1019</f>
        <v>0</v>
      </c>
      <c r="AN1019" s="2137">
        <f>Q1019-'Blocking-Step2'!Q1019</f>
        <v>0</v>
      </c>
      <c r="AP1019" s="2127">
        <f>S1019-'Blocking-Step2'!S1019</f>
        <v>0</v>
      </c>
      <c r="AR1019" s="2127">
        <f>U1019-'Blocking-Step2'!U1019</f>
        <v>0</v>
      </c>
      <c r="AT1019" s="2127">
        <f>W1019-'Blocking-Step2'!W1019</f>
        <v>0</v>
      </c>
      <c r="AV1019" s="2128">
        <f>Y1019-'Blocking-Step2'!Y1019</f>
        <v>0</v>
      </c>
    </row>
    <row r="1020" spans="1:48" ht="16.5" hidden="1" thickTop="1">
      <c r="A1020" s="1116" t="s">
        <v>261</v>
      </c>
      <c r="C1020" s="1105">
        <v>178611.63934426199</v>
      </c>
      <c r="D1020" s="1105">
        <v>191925</v>
      </c>
      <c r="F1020" s="1142">
        <v>-0.61</v>
      </c>
      <c r="G1020" s="617"/>
      <c r="H1020" s="1146">
        <v>-108953</v>
      </c>
      <c r="I1020" s="1146">
        <v>-117074</v>
      </c>
      <c r="K1020" s="1142">
        <v>-0.61</v>
      </c>
      <c r="L1020" s="617"/>
      <c r="M1020" s="1142">
        <v>0</v>
      </c>
      <c r="N1020" s="617"/>
      <c r="O1020" s="1142">
        <v>0</v>
      </c>
      <c r="P1020" s="617"/>
      <c r="Q1020" s="1142">
        <v>-0.61</v>
      </c>
      <c r="R1020" s="617"/>
      <c r="S1020" s="1146">
        <v>-117074</v>
      </c>
      <c r="T1020" s="1114"/>
      <c r="U1020" s="1146">
        <v>0</v>
      </c>
      <c r="V1020" s="1114"/>
      <c r="W1020" s="1146">
        <v>0</v>
      </c>
      <c r="X1020" s="1114"/>
      <c r="Y1020" s="1146">
        <v>-117074</v>
      </c>
      <c r="Z1020" s="2114">
        <f>C1020-'Blocking-Step2'!C1020</f>
        <v>0</v>
      </c>
      <c r="AA1020" s="2114">
        <f>D1020-'Blocking-Step2'!D1020</f>
        <v>0</v>
      </c>
      <c r="AC1020" s="2114">
        <f>F1020-'Blocking-Step2'!F1020</f>
        <v>0</v>
      </c>
      <c r="AE1020" s="2114">
        <f>H1020-'Blocking-Step2'!H1020</f>
        <v>0</v>
      </c>
      <c r="AF1020" s="2114">
        <f>I1020-'Blocking-Step2'!I1020</f>
        <v>0</v>
      </c>
      <c r="AH1020" s="2136">
        <f>K1020-'Blocking-Step2'!K1020</f>
        <v>0</v>
      </c>
      <c r="AJ1020" s="2136">
        <f>M1020-'Blocking-Step2'!M1020</f>
        <v>0</v>
      </c>
      <c r="AL1020" s="2136">
        <f>O1020-'Blocking-Step2'!O1020</f>
        <v>0</v>
      </c>
      <c r="AN1020" s="2137">
        <f>Q1020-'Blocking-Step2'!Q1020</f>
        <v>0</v>
      </c>
      <c r="AP1020" s="2127">
        <f>S1020-'Blocking-Step2'!S1020</f>
        <v>0</v>
      </c>
      <c r="AR1020" s="2127">
        <f>U1020-'Blocking-Step2'!U1020</f>
        <v>0</v>
      </c>
      <c r="AT1020" s="2127">
        <f>W1020-'Blocking-Step2'!W1020</f>
        <v>0</v>
      </c>
      <c r="AV1020" s="2128">
        <f>Y1020-'Blocking-Step2'!Y1020</f>
        <v>0</v>
      </c>
    </row>
    <row r="1021" spans="1:48" ht="16.5" hidden="1" thickTop="1">
      <c r="A1021" s="1116" t="s">
        <v>188</v>
      </c>
      <c r="C1021" s="1105">
        <v>56775991.805493139</v>
      </c>
      <c r="D1021" s="1105">
        <v>61555077.025227547</v>
      </c>
      <c r="F1021" s="1143">
        <v>11.926600000000001</v>
      </c>
      <c r="G1021" s="1921" t="s">
        <v>495</v>
      </c>
      <c r="H1021" s="1146">
        <v>6771445</v>
      </c>
      <c r="I1021" s="1146">
        <v>7341428</v>
      </c>
      <c r="K1021" s="1143"/>
      <c r="L1021" s="1921"/>
      <c r="M1021" s="1143"/>
      <c r="N1021" s="1921"/>
      <c r="O1021" s="1143"/>
      <c r="P1021" s="1921"/>
      <c r="Q1021" s="1143"/>
      <c r="R1021" s="1921"/>
      <c r="S1021" s="1146"/>
      <c r="T1021" s="1648"/>
      <c r="U1021" s="1146"/>
      <c r="V1021" s="1648"/>
      <c r="W1021" s="1146"/>
      <c r="X1021" s="1648"/>
      <c r="Y1021" s="1146"/>
      <c r="Z1021" s="2114">
        <f>C1021-'Blocking-Step2'!C1021</f>
        <v>0</v>
      </c>
      <c r="AA1021" s="2114">
        <f>D1021-'Blocking-Step2'!D1021</f>
        <v>0</v>
      </c>
      <c r="AC1021" s="2114">
        <f>F1021-'Blocking-Step2'!F1021</f>
        <v>0</v>
      </c>
      <c r="AE1021" s="2114">
        <f>H1021-'Blocking-Step2'!H1021</f>
        <v>0</v>
      </c>
      <c r="AF1021" s="2114">
        <f>I1021-'Blocking-Step2'!I1021</f>
        <v>0</v>
      </c>
      <c r="AH1021" s="2136">
        <f>K1021-'Blocking-Step2'!K1021</f>
        <v>0</v>
      </c>
      <c r="AJ1021" s="2136">
        <f>M1021-'Blocking-Step2'!M1021</f>
        <v>0</v>
      </c>
      <c r="AL1021" s="2136">
        <f>O1021-'Blocking-Step2'!O1021</f>
        <v>0</v>
      </c>
      <c r="AN1021" s="2137">
        <f>Q1021-'Blocking-Step2'!Q1021</f>
        <v>0</v>
      </c>
      <c r="AP1021" s="2127">
        <f>S1021-'Blocking-Step2'!S1021</f>
        <v>0</v>
      </c>
      <c r="AR1021" s="2127">
        <f>U1021-'Blocking-Step2'!U1021</f>
        <v>0</v>
      </c>
      <c r="AT1021" s="2127">
        <f>W1021-'Blocking-Step2'!W1021</f>
        <v>0</v>
      </c>
      <c r="AV1021" s="2128">
        <f>Y1021-'Blocking-Step2'!Y1021</f>
        <v>0</v>
      </c>
    </row>
    <row r="1022" spans="1:48" ht="16.5" hidden="1" thickTop="1">
      <c r="A1022" s="1116" t="s">
        <v>189</v>
      </c>
      <c r="C1022" s="1105">
        <v>50614516.726301193</v>
      </c>
      <c r="D1022" s="1105">
        <v>54874963</v>
      </c>
      <c r="E1022" s="617"/>
      <c r="F1022" s="1143">
        <v>3.5908000000000002</v>
      </c>
      <c r="G1022" s="1921" t="s">
        <v>495</v>
      </c>
      <c r="H1022" s="1146">
        <v>1817466</v>
      </c>
      <c r="I1022" s="1146">
        <v>1970450</v>
      </c>
      <c r="J1022" s="617"/>
      <c r="K1022" s="1143"/>
      <c r="L1022" s="1921"/>
      <c r="M1022" s="1143"/>
      <c r="N1022" s="1921"/>
      <c r="O1022" s="1143"/>
      <c r="P1022" s="1921"/>
      <c r="Q1022" s="1143"/>
      <c r="R1022" s="1921"/>
      <c r="S1022" s="1146"/>
      <c r="T1022" s="1648"/>
      <c r="U1022" s="1146"/>
      <c r="V1022" s="1648"/>
      <c r="W1022" s="1146"/>
      <c r="X1022" s="1648"/>
      <c r="Y1022" s="1146"/>
      <c r="Z1022" s="2114">
        <f>C1022-'Blocking-Step2'!C1022</f>
        <v>0</v>
      </c>
      <c r="AA1022" s="2114">
        <f>D1022-'Blocking-Step2'!D1022</f>
        <v>0</v>
      </c>
      <c r="AC1022" s="2114">
        <f>F1022-'Blocking-Step2'!F1022</f>
        <v>0</v>
      </c>
      <c r="AE1022" s="2114">
        <f>H1022-'Blocking-Step2'!H1022</f>
        <v>0</v>
      </c>
      <c r="AF1022" s="2114">
        <f>I1022-'Blocking-Step2'!I1022</f>
        <v>0</v>
      </c>
      <c r="AH1022" s="2136">
        <f>K1022-'Blocking-Step2'!K1022</f>
        <v>0</v>
      </c>
      <c r="AJ1022" s="2136">
        <f>M1022-'Blocking-Step2'!M1022</f>
        <v>0</v>
      </c>
      <c r="AL1022" s="2136">
        <f>O1022-'Blocking-Step2'!O1022</f>
        <v>0</v>
      </c>
      <c r="AN1022" s="2137">
        <f>Q1022-'Blocking-Step2'!Q1022</f>
        <v>0</v>
      </c>
      <c r="AP1022" s="2127">
        <f>S1022-'Blocking-Step2'!S1022</f>
        <v>0</v>
      </c>
      <c r="AR1022" s="2127">
        <f>U1022-'Blocking-Step2'!U1022</f>
        <v>0</v>
      </c>
      <c r="AT1022" s="2127">
        <f>W1022-'Blocking-Step2'!W1022</f>
        <v>0</v>
      </c>
      <c r="AV1022" s="2128">
        <f>Y1022-'Blocking-Step2'!Y1022</f>
        <v>0</v>
      </c>
    </row>
    <row r="1023" spans="1:48" ht="16.5" hidden="1" thickTop="1">
      <c r="A1023" s="1116" t="s">
        <v>163</v>
      </c>
      <c r="C1023" s="1105">
        <v>83800827.294580057</v>
      </c>
      <c r="D1023" s="1105">
        <v>90299396</v>
      </c>
      <c r="F1023" s="1143">
        <v>9.9693000000000005</v>
      </c>
      <c r="G1023" s="1921" t="s">
        <v>495</v>
      </c>
      <c r="H1023" s="1146">
        <v>8354356</v>
      </c>
      <c r="I1023" s="1146">
        <v>9002218</v>
      </c>
      <c r="K1023" s="1143"/>
      <c r="L1023" s="1921"/>
      <c r="M1023" s="1143"/>
      <c r="N1023" s="1921"/>
      <c r="O1023" s="1143"/>
      <c r="P1023" s="1921"/>
      <c r="Q1023" s="1143"/>
      <c r="R1023" s="1921"/>
      <c r="S1023" s="1146"/>
      <c r="T1023" s="1648"/>
      <c r="U1023" s="1146"/>
      <c r="V1023" s="1648"/>
      <c r="W1023" s="1146"/>
      <c r="X1023" s="1648"/>
      <c r="Y1023" s="1146"/>
      <c r="Z1023" s="2114">
        <f>C1023-'Blocking-Step2'!C1023</f>
        <v>0</v>
      </c>
      <c r="AA1023" s="2114">
        <f>D1023-'Blocking-Step2'!D1023</f>
        <v>0</v>
      </c>
      <c r="AC1023" s="2114">
        <f>F1023-'Blocking-Step2'!F1023</f>
        <v>0</v>
      </c>
      <c r="AE1023" s="2114">
        <f>H1023-'Blocking-Step2'!H1023</f>
        <v>0</v>
      </c>
      <c r="AF1023" s="2114">
        <f>I1023-'Blocking-Step2'!I1023</f>
        <v>0</v>
      </c>
      <c r="AH1023" s="2136">
        <f>K1023-'Blocking-Step2'!K1023</f>
        <v>0</v>
      </c>
      <c r="AJ1023" s="2136">
        <f>M1023-'Blocking-Step2'!M1023</f>
        <v>0</v>
      </c>
      <c r="AL1023" s="2136">
        <f>O1023-'Blocking-Step2'!O1023</f>
        <v>0</v>
      </c>
      <c r="AN1023" s="2137">
        <f>Q1023-'Blocking-Step2'!Q1023</f>
        <v>0</v>
      </c>
      <c r="AP1023" s="2127">
        <f>S1023-'Blocking-Step2'!S1023</f>
        <v>0</v>
      </c>
      <c r="AR1023" s="2127">
        <f>U1023-'Blocking-Step2'!U1023</f>
        <v>0</v>
      </c>
      <c r="AT1023" s="2127">
        <f>W1023-'Blocking-Step2'!W1023</f>
        <v>0</v>
      </c>
      <c r="AV1023" s="2128">
        <f>Y1023-'Blocking-Step2'!Y1023</f>
        <v>0</v>
      </c>
    </row>
    <row r="1024" spans="1:48" ht="16.5" hidden="1" thickTop="1">
      <c r="A1024" s="1116" t="s">
        <v>164</v>
      </c>
      <c r="C1024" s="1105">
        <v>74012924.527216792</v>
      </c>
      <c r="D1024" s="1105">
        <v>79752463</v>
      </c>
      <c r="E1024" s="617"/>
      <c r="F1024" s="1143">
        <v>3.0059999999999998</v>
      </c>
      <c r="G1024" s="1921" t="s">
        <v>495</v>
      </c>
      <c r="H1024" s="1146">
        <v>2224829</v>
      </c>
      <c r="I1024" s="1146">
        <v>2397359</v>
      </c>
      <c r="J1024" s="617"/>
      <c r="K1024" s="1143"/>
      <c r="L1024" s="1921"/>
      <c r="M1024" s="1143"/>
      <c r="N1024" s="1921"/>
      <c r="O1024" s="1143"/>
      <c r="P1024" s="1921"/>
      <c r="Q1024" s="1143"/>
      <c r="R1024" s="1921"/>
      <c r="S1024" s="1146"/>
      <c r="T1024" s="1648"/>
      <c r="U1024" s="1146"/>
      <c r="V1024" s="1648"/>
      <c r="W1024" s="1146"/>
      <c r="X1024" s="1648"/>
      <c r="Y1024" s="1146"/>
      <c r="Z1024" s="2114">
        <f>C1024-'Blocking-Step2'!C1024</f>
        <v>0</v>
      </c>
      <c r="AA1024" s="2114">
        <f>D1024-'Blocking-Step2'!D1024</f>
        <v>0</v>
      </c>
      <c r="AC1024" s="2114">
        <f>F1024-'Blocking-Step2'!F1024</f>
        <v>0</v>
      </c>
      <c r="AE1024" s="2114">
        <f>H1024-'Blocking-Step2'!H1024</f>
        <v>0</v>
      </c>
      <c r="AF1024" s="2114">
        <f>I1024-'Blocking-Step2'!I1024</f>
        <v>0</v>
      </c>
      <c r="AH1024" s="2136">
        <f>K1024-'Blocking-Step2'!K1024</f>
        <v>0</v>
      </c>
      <c r="AJ1024" s="2136">
        <f>M1024-'Blocking-Step2'!M1024</f>
        <v>0</v>
      </c>
      <c r="AL1024" s="2136">
        <f>O1024-'Blocking-Step2'!O1024</f>
        <v>0</v>
      </c>
      <c r="AN1024" s="2137">
        <f>Q1024-'Blocking-Step2'!Q1024</f>
        <v>0</v>
      </c>
      <c r="AP1024" s="2127">
        <f>S1024-'Blocking-Step2'!S1024</f>
        <v>0</v>
      </c>
      <c r="AR1024" s="2127">
        <f>U1024-'Blocking-Step2'!U1024</f>
        <v>0</v>
      </c>
      <c r="AT1024" s="2127">
        <f>W1024-'Blocking-Step2'!W1024</f>
        <v>0</v>
      </c>
      <c r="AV1024" s="2128">
        <f>Y1024-'Blocking-Step2'!Y1024</f>
        <v>0</v>
      </c>
    </row>
    <row r="1025" spans="1:48" ht="16.5" hidden="1" thickTop="1">
      <c r="A1025" s="1116" t="s">
        <v>1158</v>
      </c>
      <c r="C1025" s="1105">
        <v>20238626</v>
      </c>
      <c r="D1025" s="1105">
        <v>21862394</v>
      </c>
      <c r="F1025" s="1106">
        <v>7.125</v>
      </c>
      <c r="G1025" s="1921" t="s">
        <v>495</v>
      </c>
      <c r="H1025" s="1146">
        <v>1442002</v>
      </c>
      <c r="I1025" s="1146">
        <v>1557696</v>
      </c>
      <c r="K1025" s="1106">
        <v>0</v>
      </c>
      <c r="L1025" s="1921" t="s">
        <v>495</v>
      </c>
      <c r="M1025" s="1106">
        <v>7.125</v>
      </c>
      <c r="N1025" s="1921" t="s">
        <v>495</v>
      </c>
      <c r="O1025" s="1106">
        <v>0</v>
      </c>
      <c r="P1025" s="1921" t="s">
        <v>495</v>
      </c>
      <c r="Q1025" s="1106">
        <v>7.125</v>
      </c>
      <c r="R1025" s="1921" t="s">
        <v>495</v>
      </c>
      <c r="S1025" s="1146">
        <v>0</v>
      </c>
      <c r="T1025" s="1648"/>
      <c r="U1025" s="1146">
        <v>1557696</v>
      </c>
      <c r="V1025" s="1648"/>
      <c r="W1025" s="1146">
        <v>0</v>
      </c>
      <c r="X1025" s="1648"/>
      <c r="Y1025" s="1146">
        <v>1557696</v>
      </c>
      <c r="Z1025" s="2114">
        <f>C1025-'Blocking-Step2'!C1025</f>
        <v>0</v>
      </c>
      <c r="AA1025" s="2114">
        <f>D1025-'Blocking-Step2'!D1025</f>
        <v>0</v>
      </c>
      <c r="AC1025" s="2114">
        <f>F1025-'Blocking-Step2'!F1025</f>
        <v>0</v>
      </c>
      <c r="AE1025" s="2114">
        <f>H1025-'Blocking-Step2'!H1025</f>
        <v>0</v>
      </c>
      <c r="AF1025" s="2114">
        <f>I1025-'Blocking-Step2'!I1025</f>
        <v>0</v>
      </c>
      <c r="AH1025" s="2136">
        <f>K1025-'Blocking-Step2'!K1025</f>
        <v>0</v>
      </c>
      <c r="AJ1025" s="2136">
        <f>M1025-'Blocking-Step2'!M1025</f>
        <v>0</v>
      </c>
      <c r="AL1025" s="2136">
        <f>O1025-'Blocking-Step2'!O1025</f>
        <v>0</v>
      </c>
      <c r="AN1025" s="2137">
        <f>Q1025-'Blocking-Step2'!Q1025</f>
        <v>0</v>
      </c>
      <c r="AP1025" s="2127">
        <f>S1025-'Blocking-Step2'!S1025</f>
        <v>0</v>
      </c>
      <c r="AR1025" s="2127">
        <f>U1025-'Blocking-Step2'!U1025</f>
        <v>0</v>
      </c>
      <c r="AT1025" s="2127">
        <f>W1025-'Blocking-Step2'!W1025</f>
        <v>0</v>
      </c>
      <c r="AV1025" s="2128">
        <f>Y1025-'Blocking-Step2'!Y1025</f>
        <v>0</v>
      </c>
    </row>
    <row r="1026" spans="1:48" ht="16.5" hidden="1" thickTop="1">
      <c r="A1026" s="1116" t="s">
        <v>246</v>
      </c>
      <c r="C1026" s="1940">
        <v>1507907</v>
      </c>
      <c r="D1026" s="1940">
        <v>0</v>
      </c>
      <c r="H1026" s="1147">
        <v>190811</v>
      </c>
      <c r="I1026" s="1147">
        <v>0</v>
      </c>
      <c r="Y1026" s="1147"/>
      <c r="Z1026" s="2114">
        <f>C1026-'Blocking-Step2'!C1026</f>
        <v>0</v>
      </c>
      <c r="AA1026" s="2114">
        <f>D1026-'Blocking-Step2'!D1026</f>
        <v>0</v>
      </c>
      <c r="AC1026" s="2114">
        <f>F1026-'Blocking-Step2'!F1026</f>
        <v>0</v>
      </c>
      <c r="AE1026" s="2114">
        <f>H1026-'Blocking-Step2'!H1026</f>
        <v>0</v>
      </c>
      <c r="AF1026" s="2114">
        <f>I1026-'Blocking-Step2'!I1026</f>
        <v>0</v>
      </c>
      <c r="AH1026" s="2136">
        <f>K1026-'Blocking-Step2'!K1026</f>
        <v>0</v>
      </c>
      <c r="AJ1026" s="2136">
        <f>M1026-'Blocking-Step2'!M1026</f>
        <v>0</v>
      </c>
      <c r="AL1026" s="2136">
        <f>O1026-'Blocking-Step2'!O1026</f>
        <v>0</v>
      </c>
      <c r="AN1026" s="2137">
        <f>Q1026-'Blocking-Step2'!Q1026</f>
        <v>0</v>
      </c>
      <c r="AP1026" s="2127">
        <f>S1026-'Blocking-Step2'!S1026</f>
        <v>0</v>
      </c>
      <c r="AR1026" s="2127">
        <f>U1026-'Blocking-Step2'!U1026</f>
        <v>0</v>
      </c>
      <c r="AT1026" s="2127">
        <f>W1026-'Blocking-Step2'!W1026</f>
        <v>0</v>
      </c>
      <c r="AV1026" s="2128">
        <f>Y1026-'Blocking-Step2'!Y1026</f>
        <v>0</v>
      </c>
    </row>
    <row r="1027" spans="1:48" ht="16.5" hidden="1" thickTop="1">
      <c r="A1027" s="1116" t="s">
        <v>1240</v>
      </c>
      <c r="C1027" s="1024"/>
      <c r="D1027" s="1024"/>
      <c r="F1027" s="2076">
        <v>-4.99E-2</v>
      </c>
      <c r="G1027" s="617"/>
      <c r="H1027" s="1146">
        <v>-1028443.8902</v>
      </c>
      <c r="I1027" s="1146">
        <v>-1111230.6348999999</v>
      </c>
      <c r="K1027" s="2076"/>
      <c r="L1027" s="617"/>
      <c r="M1027" s="2076"/>
      <c r="N1027" s="617"/>
      <c r="O1027" s="2077" t="s">
        <v>2323</v>
      </c>
      <c r="P1027" s="617"/>
      <c r="Q1027" s="2076">
        <v>-3.0599999999999999E-2</v>
      </c>
      <c r="R1027" s="617"/>
      <c r="S1027" s="1114"/>
      <c r="T1027" s="1114"/>
      <c r="U1027" s="1114"/>
      <c r="V1027" s="1114"/>
      <c r="W1027" s="1114"/>
      <c r="X1027" s="1114"/>
      <c r="Y1027" s="1146">
        <v>-903167.78220000002</v>
      </c>
      <c r="Z1027" s="2114">
        <f>C1027-'Blocking-Step2'!C1027</f>
        <v>0</v>
      </c>
      <c r="AA1027" s="2114">
        <f>D1027-'Blocking-Step2'!D1027</f>
        <v>0</v>
      </c>
      <c r="AC1027" s="2114">
        <f>F1027-'Blocking-Step2'!F1027</f>
        <v>0</v>
      </c>
      <c r="AE1027" s="2114">
        <f>H1027-'Blocking-Step2'!H1027</f>
        <v>0</v>
      </c>
      <c r="AF1027" s="2114">
        <f>I1027-'Blocking-Step2'!I1027</f>
        <v>0</v>
      </c>
      <c r="AH1027" s="2136">
        <f>K1027-'Blocking-Step2'!K1027</f>
        <v>0</v>
      </c>
      <c r="AJ1027" s="2136">
        <f>M1027-'Blocking-Step2'!M1027</f>
        <v>0</v>
      </c>
      <c r="AL1027" s="2136" t="e">
        <f>O1027-'Blocking-Step2'!O1027</f>
        <v>#VALUE!</v>
      </c>
      <c r="AN1027" s="2137">
        <f>Q1027-'Blocking-Step2'!Q1027</f>
        <v>0</v>
      </c>
      <c r="AP1027" s="2127">
        <f>S1027-'Blocking-Step2'!S1027</f>
        <v>0</v>
      </c>
      <c r="AR1027" s="2127">
        <f>U1027-'Blocking-Step2'!U1027</f>
        <v>0</v>
      </c>
      <c r="AT1027" s="2127">
        <f>W1027-'Blocking-Step2'!W1027</f>
        <v>0</v>
      </c>
      <c r="AV1027" s="2128">
        <f>Y1027-'Blocking-Step2'!Y1027</f>
        <v>0</v>
      </c>
    </row>
    <row r="1028" spans="1:48" ht="16.5" hidden="1" thickTop="1">
      <c r="A1028" s="1116"/>
      <c r="C1028" s="1024"/>
      <c r="D1028" s="1024"/>
      <c r="F1028" s="2076"/>
      <c r="G1028" s="617"/>
      <c r="H1028" s="1146"/>
      <c r="I1028" s="1146"/>
      <c r="K1028" s="2076"/>
      <c r="L1028" s="617"/>
      <c r="M1028" s="2076"/>
      <c r="N1028" s="617"/>
      <c r="O1028" s="2077" t="s">
        <v>2324</v>
      </c>
      <c r="P1028" s="617"/>
      <c r="Q1028" s="2076">
        <v>-1.66E-2</v>
      </c>
      <c r="R1028" s="617"/>
      <c r="S1028" s="1114"/>
      <c r="T1028" s="1114"/>
      <c r="U1028" s="1114"/>
      <c r="V1028" s="1114"/>
      <c r="W1028" s="1114"/>
      <c r="X1028" s="1114"/>
      <c r="Y1028" s="1146">
        <v>-489953.76419999998</v>
      </c>
      <c r="Z1028" s="2114">
        <f>C1028-'Blocking-Step2'!C1028</f>
        <v>0</v>
      </c>
      <c r="AA1028" s="2114">
        <f>D1028-'Blocking-Step2'!D1028</f>
        <v>0</v>
      </c>
      <c r="AC1028" s="2114">
        <f>F1028-'Blocking-Step2'!F1028</f>
        <v>0</v>
      </c>
      <c r="AE1028" s="2114">
        <f>H1028-'Blocking-Step2'!H1028</f>
        <v>0</v>
      </c>
      <c r="AF1028" s="2114">
        <f>I1028-'Blocking-Step2'!I1028</f>
        <v>0</v>
      </c>
      <c r="AH1028" s="2136">
        <f>K1028-'Blocking-Step2'!K1028</f>
        <v>0</v>
      </c>
      <c r="AJ1028" s="2136">
        <f>M1028-'Blocking-Step2'!M1028</f>
        <v>0</v>
      </c>
      <c r="AL1028" s="2136" t="e">
        <f>O1028-'Blocking-Step2'!O1028</f>
        <v>#VALUE!</v>
      </c>
      <c r="AN1028" s="2137">
        <f>Q1028-'Blocking-Step2'!Q1028</f>
        <v>0</v>
      </c>
      <c r="AP1028" s="2127">
        <f>S1028-'Blocking-Step2'!S1028</f>
        <v>0</v>
      </c>
      <c r="AR1028" s="2127">
        <f>U1028-'Blocking-Step2'!U1028</f>
        <v>0</v>
      </c>
      <c r="AT1028" s="2127">
        <f>W1028-'Blocking-Step2'!W1028</f>
        <v>0</v>
      </c>
      <c r="AV1028" s="2128">
        <f>Y1028-'Blocking-Step2'!Y1028</f>
        <v>0</v>
      </c>
    </row>
    <row r="1029" spans="1:48" ht="16.5" hidden="1" thickTop="1">
      <c r="A1029" s="1116" t="s">
        <v>1317</v>
      </c>
      <c r="C1029" s="1024">
        <v>-918722</v>
      </c>
      <c r="D1029" s="1105">
        <v>-992432</v>
      </c>
      <c r="F1029" s="2076"/>
      <c r="G1029" s="617"/>
      <c r="H1029" s="1146"/>
      <c r="I1029" s="1146"/>
      <c r="K1029" s="2076"/>
      <c r="L1029" s="617"/>
      <c r="M1029" s="2076"/>
      <c r="N1029" s="617"/>
      <c r="O1029" s="2076"/>
      <c r="P1029" s="617"/>
      <c r="Q1029" s="2076"/>
      <c r="R1029" s="617"/>
      <c r="S1029" s="1114"/>
      <c r="T1029" s="1114"/>
      <c r="U1029" s="1114"/>
      <c r="V1029" s="1114"/>
      <c r="W1029" s="1114"/>
      <c r="X1029" s="1114"/>
      <c r="Y1029" s="1146"/>
      <c r="Z1029" s="2114">
        <f>C1029-'Blocking-Step2'!C1029</f>
        <v>0</v>
      </c>
      <c r="AA1029" s="2114">
        <f>D1029-'Blocking-Step2'!D1029</f>
        <v>0</v>
      </c>
      <c r="AC1029" s="2114">
        <f>F1029-'Blocking-Step2'!F1029</f>
        <v>0</v>
      </c>
      <c r="AE1029" s="2114">
        <f>H1029-'Blocking-Step2'!H1029</f>
        <v>0</v>
      </c>
      <c r="AF1029" s="2114">
        <f>I1029-'Blocking-Step2'!I1029</f>
        <v>0</v>
      </c>
      <c r="AH1029" s="2136">
        <f>K1029-'Blocking-Step2'!K1029</f>
        <v>0</v>
      </c>
      <c r="AJ1029" s="2136">
        <f>M1029-'Blocking-Step2'!M1029</f>
        <v>0</v>
      </c>
      <c r="AL1029" s="2136">
        <f>O1029-'Blocking-Step2'!O1029</f>
        <v>0</v>
      </c>
      <c r="AN1029" s="2137">
        <f>Q1029-'Blocking-Step2'!Q1029</f>
        <v>0</v>
      </c>
      <c r="AP1029" s="2127">
        <f>S1029-'Blocking-Step2'!S1029</f>
        <v>0</v>
      </c>
      <c r="AR1029" s="2127">
        <f>U1029-'Blocking-Step2'!U1029</f>
        <v>0</v>
      </c>
      <c r="AT1029" s="2127">
        <f>W1029-'Blocking-Step2'!W1029</f>
        <v>0</v>
      </c>
      <c r="AV1029" s="2128">
        <f>Y1029-'Blocking-Step2'!Y1029</f>
        <v>0</v>
      </c>
    </row>
    <row r="1030" spans="1:48" ht="17.25" hidden="1" thickTop="1" thickBot="1">
      <c r="A1030" s="1116" t="s">
        <v>247</v>
      </c>
      <c r="C1030" s="1138">
        <v>286032071.3535912</v>
      </c>
      <c r="D1030" s="1138">
        <v>307351861.02522755</v>
      </c>
      <c r="F1030" s="1145"/>
      <c r="H1030" s="1149">
        <v>32515771.1098</v>
      </c>
      <c r="I1030" s="1149">
        <v>34807446.365099996</v>
      </c>
      <c r="K1030" s="1145"/>
      <c r="M1030" s="1145"/>
      <c r="O1030" s="1145"/>
      <c r="Q1030" s="1145"/>
      <c r="S1030" s="1149">
        <v>6161695</v>
      </c>
      <c r="U1030" s="1149">
        <v>21195387</v>
      </c>
      <c r="W1030" s="1149">
        <v>9073515</v>
      </c>
      <c r="Y1030" s="1149">
        <v>36430598</v>
      </c>
      <c r="Z1030" s="2114">
        <f>C1030-'Blocking-Step2'!C1030</f>
        <v>0</v>
      </c>
      <c r="AA1030" s="2114">
        <f>D1030-'Blocking-Step2'!D1030</f>
        <v>0</v>
      </c>
      <c r="AC1030" s="2114">
        <f>F1030-'Blocking-Step2'!F1030</f>
        <v>0</v>
      </c>
      <c r="AE1030" s="2114">
        <f>H1030-'Blocking-Step2'!H1030</f>
        <v>0</v>
      </c>
      <c r="AF1030" s="2114">
        <f>I1030-'Blocking-Step2'!I1030</f>
        <v>0</v>
      </c>
      <c r="AH1030" s="2136">
        <f>K1030-'Blocking-Step2'!K1030</f>
        <v>0</v>
      </c>
      <c r="AJ1030" s="2136">
        <f>M1030-'Blocking-Step2'!M1030</f>
        <v>0</v>
      </c>
      <c r="AL1030" s="2136">
        <f>O1030-'Blocking-Step2'!O1030</f>
        <v>0</v>
      </c>
      <c r="AN1030" s="2137">
        <f>Q1030-'Blocking-Step2'!Q1030</f>
        <v>0</v>
      </c>
      <c r="AP1030" s="2127">
        <f>S1030-'Blocking-Step2'!S1030</f>
        <v>-6576192</v>
      </c>
      <c r="AR1030" s="2127">
        <f>U1030-'Blocking-Step2'!U1030</f>
        <v>6576192</v>
      </c>
      <c r="AT1030" s="2127">
        <f>W1030-'Blocking-Step2'!W1030</f>
        <v>0</v>
      </c>
      <c r="AV1030" s="2128">
        <f>Y1030-'Blocking-Step2'!Y1030</f>
        <v>0</v>
      </c>
    </row>
    <row r="1031" spans="1:48" ht="16.5" hidden="1" thickTop="1">
      <c r="C1031" s="1105"/>
      <c r="D1031" s="1105"/>
      <c r="Z1031" s="2114">
        <f>C1031-'Blocking-Step2'!C1031</f>
        <v>0</v>
      </c>
      <c r="AA1031" s="2114">
        <f>D1031-'Blocking-Step2'!D1031</f>
        <v>0</v>
      </c>
      <c r="AC1031" s="2114">
        <f>F1031-'Blocking-Step2'!F1031</f>
        <v>0</v>
      </c>
      <c r="AE1031" s="2114">
        <f>H1031-'Blocking-Step2'!H1031</f>
        <v>0</v>
      </c>
      <c r="AF1031" s="2114">
        <f>I1031-'Blocking-Step2'!I1031</f>
        <v>0</v>
      </c>
      <c r="AH1031" s="2136">
        <f>K1031-'Blocking-Step2'!K1031</f>
        <v>0</v>
      </c>
      <c r="AJ1031" s="2136">
        <f>M1031-'Blocking-Step2'!M1031</f>
        <v>0</v>
      </c>
      <c r="AL1031" s="2136">
        <f>O1031-'Blocking-Step2'!O1031</f>
        <v>0</v>
      </c>
      <c r="AN1031" s="2137">
        <f>Q1031-'Blocking-Step2'!Q1031</f>
        <v>0</v>
      </c>
      <c r="AP1031" s="2127">
        <f>S1031-'Blocking-Step2'!S1031</f>
        <v>0</v>
      </c>
      <c r="AR1031" s="2127">
        <f>U1031-'Blocking-Step2'!U1031</f>
        <v>0</v>
      </c>
      <c r="AT1031" s="2127">
        <f>W1031-'Blocking-Step2'!W1031</f>
        <v>0</v>
      </c>
      <c r="AV1031" s="2128">
        <f>Y1031-'Blocking-Step2'!Y1031</f>
        <v>0</v>
      </c>
    </row>
    <row r="1032" spans="1:48" ht="16.5" hidden="1" thickTop="1">
      <c r="A1032" s="1115" t="s">
        <v>553</v>
      </c>
      <c r="C1032" s="1105"/>
      <c r="D1032" s="1105"/>
      <c r="F1032" s="1106"/>
      <c r="G1032" s="1107"/>
      <c r="K1032" s="1106"/>
      <c r="L1032" s="1107"/>
      <c r="M1032" s="1106"/>
      <c r="N1032" s="1107"/>
      <c r="O1032" s="1106"/>
      <c r="P1032" s="1107"/>
      <c r="Q1032" s="1106"/>
      <c r="R1032" s="1107"/>
      <c r="S1032" s="1114"/>
      <c r="T1032" s="1114"/>
      <c r="U1032" s="1114"/>
      <c r="V1032" s="1114"/>
      <c r="W1032" s="1114"/>
      <c r="X1032" s="1114"/>
      <c r="Z1032" s="2114">
        <f>C1032-'Blocking-Step2'!C1032</f>
        <v>0</v>
      </c>
      <c r="AA1032" s="2114">
        <f>D1032-'Blocking-Step2'!D1032</f>
        <v>0</v>
      </c>
      <c r="AC1032" s="2114">
        <f>F1032-'Blocking-Step2'!F1032</f>
        <v>0</v>
      </c>
      <c r="AE1032" s="2114">
        <f>H1032-'Blocking-Step2'!H1032</f>
        <v>0</v>
      </c>
      <c r="AF1032" s="2114">
        <f>I1032-'Blocking-Step2'!I1032</f>
        <v>0</v>
      </c>
      <c r="AH1032" s="2136">
        <f>K1032-'Blocking-Step2'!K1032</f>
        <v>0</v>
      </c>
      <c r="AJ1032" s="2136">
        <f>M1032-'Blocking-Step2'!M1032</f>
        <v>0</v>
      </c>
      <c r="AL1032" s="2136">
        <f>O1032-'Blocking-Step2'!O1032</f>
        <v>0</v>
      </c>
      <c r="AN1032" s="2137">
        <f>Q1032-'Blocking-Step2'!Q1032</f>
        <v>0</v>
      </c>
      <c r="AP1032" s="2127">
        <f>S1032-'Blocking-Step2'!S1032</f>
        <v>0</v>
      </c>
      <c r="AR1032" s="2127">
        <f>U1032-'Blocking-Step2'!U1032</f>
        <v>0</v>
      </c>
      <c r="AT1032" s="2127">
        <f>W1032-'Blocking-Step2'!W1032</f>
        <v>0</v>
      </c>
      <c r="AV1032" s="2128">
        <f>Y1032-'Blocking-Step2'!Y1032</f>
        <v>0</v>
      </c>
    </row>
    <row r="1033" spans="1:48" ht="16.5" hidden="1" thickTop="1">
      <c r="A1033" s="1116" t="s">
        <v>1910</v>
      </c>
      <c r="C1033" s="1105">
        <v>3150762.7990320884</v>
      </c>
      <c r="D1033" s="1105">
        <v>7415542.099411577</v>
      </c>
      <c r="E1033" s="617"/>
      <c r="F1033" s="1143"/>
      <c r="G1033" s="1921"/>
      <c r="H1033" s="1146"/>
      <c r="I1033" s="1146"/>
      <c r="J1033" s="617"/>
      <c r="K1033" s="1143">
        <v>1.657</v>
      </c>
      <c r="L1033" s="1921" t="s">
        <v>495</v>
      </c>
      <c r="M1033" s="1143">
        <v>19.370528114911814</v>
      </c>
      <c r="N1033" s="1921" t="s">
        <v>495</v>
      </c>
      <c r="O1033" s="1143">
        <v>1.3496999999999999</v>
      </c>
      <c r="P1033" s="1921" t="s">
        <v>495</v>
      </c>
      <c r="Q1033" s="1143">
        <v>22.377228114911812</v>
      </c>
      <c r="R1033" s="1921" t="s">
        <v>495</v>
      </c>
      <c r="S1033" s="1146">
        <v>122876</v>
      </c>
      <c r="T1033" s="1648"/>
      <c r="U1033" s="1146">
        <v>1436430</v>
      </c>
      <c r="V1033" s="1648"/>
      <c r="W1033" s="1146">
        <v>100088</v>
      </c>
      <c r="X1033" s="1648"/>
      <c r="Y1033" s="1146">
        <v>1659393</v>
      </c>
      <c r="Z1033" s="2114">
        <f>C1033-'Blocking-Step2'!C1033</f>
        <v>0</v>
      </c>
      <c r="AA1033" s="2114">
        <f>D1033-'Blocking-Step2'!D1033</f>
        <v>0</v>
      </c>
      <c r="AC1033" s="2114">
        <f>F1033-'Blocking-Step2'!F1033</f>
        <v>0</v>
      </c>
      <c r="AE1033" s="2114">
        <f>H1033-'Blocking-Step2'!H1033</f>
        <v>0</v>
      </c>
      <c r="AF1033" s="2114">
        <f>I1033-'Blocking-Step2'!I1033</f>
        <v>0</v>
      </c>
      <c r="AH1033" s="2136">
        <f>K1033-'Blocking-Step2'!K1033</f>
        <v>-2.2955000000000001</v>
      </c>
      <c r="AJ1033" s="2136">
        <f>M1033-'Blocking-Step2'!M1033</f>
        <v>2.2955000000000005</v>
      </c>
      <c r="AL1033" s="2136">
        <f>O1033-'Blocking-Step2'!O1033</f>
        <v>0</v>
      </c>
      <c r="AN1033" s="2137">
        <f>Q1033-'Blocking-Step2'!Q1033</f>
        <v>0</v>
      </c>
      <c r="AP1033" s="2127">
        <f>S1033-'Blocking-Step2'!S1033</f>
        <v>-170223</v>
      </c>
      <c r="AR1033" s="2127">
        <f>U1033-'Blocking-Step2'!U1033</f>
        <v>170224</v>
      </c>
      <c r="AT1033" s="2127">
        <f>W1033-'Blocking-Step2'!W1033</f>
        <v>0</v>
      </c>
      <c r="AV1033" s="2128">
        <f>Y1033-'Blocking-Step2'!Y1033</f>
        <v>0</v>
      </c>
    </row>
    <row r="1034" spans="1:48" ht="16.5" hidden="1" thickTop="1">
      <c r="A1034" s="1116" t="s">
        <v>1911</v>
      </c>
      <c r="C1034" s="1105">
        <v>7099274.2009679126</v>
      </c>
      <c r="D1034" s="1105">
        <v>16708643</v>
      </c>
      <c r="E1034" s="617"/>
      <c r="F1034" s="1143"/>
      <c r="G1034" s="1921"/>
      <c r="H1034" s="1146"/>
      <c r="I1034" s="1146"/>
      <c r="J1034" s="617"/>
      <c r="K1034" s="1143">
        <v>1.657</v>
      </c>
      <c r="L1034" s="1921" t="s">
        <v>495</v>
      </c>
      <c r="M1034" s="1143">
        <v>1.3803172825590004</v>
      </c>
      <c r="N1034" s="1921" t="s">
        <v>495</v>
      </c>
      <c r="O1034" s="1143">
        <v>1.3496999999999999</v>
      </c>
      <c r="P1034" s="1921" t="s">
        <v>495</v>
      </c>
      <c r="Q1034" s="1143">
        <v>4.3870172825590004</v>
      </c>
      <c r="R1034" s="1921" t="s">
        <v>495</v>
      </c>
      <c r="S1034" s="1146">
        <v>276862</v>
      </c>
      <c r="T1034" s="1648"/>
      <c r="U1034" s="1146">
        <v>230632</v>
      </c>
      <c r="V1034" s="1648"/>
      <c r="W1034" s="1146">
        <v>225517</v>
      </c>
      <c r="X1034" s="1648"/>
      <c r="Y1034" s="1146">
        <v>733011</v>
      </c>
      <c r="Z1034" s="2114">
        <f>C1034-'Blocking-Step2'!C1034</f>
        <v>0</v>
      </c>
      <c r="AA1034" s="2114">
        <f>D1034-'Blocking-Step2'!D1034</f>
        <v>0</v>
      </c>
      <c r="AC1034" s="2114">
        <f>F1034-'Blocking-Step2'!F1034</f>
        <v>0</v>
      </c>
      <c r="AE1034" s="2114">
        <f>H1034-'Blocking-Step2'!H1034</f>
        <v>0</v>
      </c>
      <c r="AF1034" s="2114">
        <f>I1034-'Blocking-Step2'!I1034</f>
        <v>0</v>
      </c>
      <c r="AH1034" s="2136">
        <f>K1034-'Blocking-Step2'!K1034</f>
        <v>-2.2955000000000001</v>
      </c>
      <c r="AJ1034" s="2136">
        <f>M1034-'Blocking-Step2'!M1034</f>
        <v>2.2955000000000001</v>
      </c>
      <c r="AL1034" s="2136">
        <f>O1034-'Blocking-Step2'!O1034</f>
        <v>0</v>
      </c>
      <c r="AN1034" s="2137">
        <f>Q1034-'Blocking-Step2'!Q1034</f>
        <v>0</v>
      </c>
      <c r="AP1034" s="2127">
        <f>S1034-'Blocking-Step2'!S1034</f>
        <v>-383547</v>
      </c>
      <c r="AR1034" s="2127">
        <f>U1034-'Blocking-Step2'!U1034</f>
        <v>383547</v>
      </c>
      <c r="AT1034" s="2127">
        <f>W1034-'Blocking-Step2'!W1034</f>
        <v>0</v>
      </c>
      <c r="AV1034" s="2128">
        <f>Y1034-'Blocking-Step2'!Y1034</f>
        <v>0</v>
      </c>
    </row>
    <row r="1035" spans="1:48" ht="16.5" hidden="1" thickTop="1">
      <c r="A1035" s="1116" t="s">
        <v>1912</v>
      </c>
      <c r="C1035" s="1105">
        <v>5219922.7807393372</v>
      </c>
      <c r="D1035" s="1105">
        <v>11634411</v>
      </c>
      <c r="E1035" s="617"/>
      <c r="F1035" s="1143"/>
      <c r="G1035" s="1921"/>
      <c r="H1035" s="1146"/>
      <c r="I1035" s="1146"/>
      <c r="J1035" s="617"/>
      <c r="K1035" s="1143">
        <v>1.657</v>
      </c>
      <c r="L1035" s="1921" t="s">
        <v>495</v>
      </c>
      <c r="M1035" s="1143">
        <v>16.951500000000003</v>
      </c>
      <c r="N1035" s="1921" t="s">
        <v>495</v>
      </c>
      <c r="O1035" s="1143">
        <v>1.1943999999999999</v>
      </c>
      <c r="P1035" s="1921" t="s">
        <v>495</v>
      </c>
      <c r="Q1035" s="1143">
        <v>19.802900000000001</v>
      </c>
      <c r="R1035" s="1921" t="s">
        <v>495</v>
      </c>
      <c r="S1035" s="1146">
        <v>192782</v>
      </c>
      <c r="T1035" s="1648"/>
      <c r="U1035" s="1146">
        <v>1972207</v>
      </c>
      <c r="V1035" s="1648"/>
      <c r="W1035" s="1146">
        <v>138961</v>
      </c>
      <c r="X1035" s="1648"/>
      <c r="Y1035" s="1146">
        <v>2303951</v>
      </c>
      <c r="Z1035" s="2114">
        <f>C1035-'Blocking-Step2'!C1035</f>
        <v>0</v>
      </c>
      <c r="AA1035" s="2114">
        <f>D1035-'Blocking-Step2'!D1035</f>
        <v>0</v>
      </c>
      <c r="AC1035" s="2114">
        <f>F1035-'Blocking-Step2'!F1035</f>
        <v>0</v>
      </c>
      <c r="AE1035" s="2114">
        <f>H1035-'Blocking-Step2'!H1035</f>
        <v>0</v>
      </c>
      <c r="AF1035" s="2114">
        <f>I1035-'Blocking-Step2'!I1035</f>
        <v>0</v>
      </c>
      <c r="AH1035" s="2136">
        <f>K1035-'Blocking-Step2'!K1035</f>
        <v>-2.2955000000000001</v>
      </c>
      <c r="AJ1035" s="2136">
        <f>M1035-'Blocking-Step2'!M1035</f>
        <v>2.2955000000000023</v>
      </c>
      <c r="AL1035" s="2136">
        <f>O1035-'Blocking-Step2'!O1035</f>
        <v>0</v>
      </c>
      <c r="AN1035" s="2137">
        <f>Q1035-'Blocking-Step2'!Q1035</f>
        <v>0</v>
      </c>
      <c r="AP1035" s="2127">
        <f>S1035-'Blocking-Step2'!S1035</f>
        <v>-267068</v>
      </c>
      <c r="AR1035" s="2127">
        <f>U1035-'Blocking-Step2'!U1035</f>
        <v>267068</v>
      </c>
      <c r="AT1035" s="2127">
        <f>W1035-'Blocking-Step2'!W1035</f>
        <v>0</v>
      </c>
      <c r="AV1035" s="2128">
        <f>Y1035-'Blocking-Step2'!Y1035</f>
        <v>0</v>
      </c>
    </row>
    <row r="1036" spans="1:48" ht="16.5" hidden="1" thickTop="1">
      <c r="A1036" s="1116" t="s">
        <v>1913</v>
      </c>
      <c r="C1036" s="1105">
        <v>9097843.2192606572</v>
      </c>
      <c r="D1036" s="1105">
        <v>20277703</v>
      </c>
      <c r="E1036" s="617"/>
      <c r="F1036" s="1143"/>
      <c r="G1036" s="1921"/>
      <c r="H1036" s="1146"/>
      <c r="I1036" s="1146"/>
      <c r="J1036" s="617"/>
      <c r="K1036" s="1143">
        <v>1.657</v>
      </c>
      <c r="L1036" s="1921" t="s">
        <v>495</v>
      </c>
      <c r="M1036" s="1143">
        <v>1.0308999999999999</v>
      </c>
      <c r="N1036" s="1921" t="s">
        <v>495</v>
      </c>
      <c r="O1036" s="1143">
        <v>1.1943999999999999</v>
      </c>
      <c r="P1036" s="1921" t="s">
        <v>495</v>
      </c>
      <c r="Q1036" s="1143">
        <v>3.8822999999999999</v>
      </c>
      <c r="R1036" s="1921" t="s">
        <v>495</v>
      </c>
      <c r="S1036" s="1146">
        <v>336002</v>
      </c>
      <c r="T1036" s="1648"/>
      <c r="U1036" s="1146">
        <v>209043</v>
      </c>
      <c r="V1036" s="1648"/>
      <c r="W1036" s="1146">
        <v>242197</v>
      </c>
      <c r="X1036" s="1648"/>
      <c r="Y1036" s="1146">
        <v>787241</v>
      </c>
      <c r="Z1036" s="2114">
        <f>C1036-'Blocking-Step2'!C1036</f>
        <v>0</v>
      </c>
      <c r="AA1036" s="2114">
        <f>D1036-'Blocking-Step2'!D1036</f>
        <v>0</v>
      </c>
      <c r="AC1036" s="2114">
        <f>F1036-'Blocking-Step2'!F1036</f>
        <v>0</v>
      </c>
      <c r="AE1036" s="2114">
        <f>H1036-'Blocking-Step2'!H1036</f>
        <v>0</v>
      </c>
      <c r="AF1036" s="2114">
        <f>I1036-'Blocking-Step2'!I1036</f>
        <v>0</v>
      </c>
      <c r="AH1036" s="2136">
        <f>K1036-'Blocking-Step2'!K1036</f>
        <v>-2.2955000000000001</v>
      </c>
      <c r="AJ1036" s="2136">
        <f>M1036-'Blocking-Step2'!M1036</f>
        <v>2.2955000000000001</v>
      </c>
      <c r="AL1036" s="2136">
        <f>O1036-'Blocking-Step2'!O1036</f>
        <v>0</v>
      </c>
      <c r="AN1036" s="2137">
        <f>Q1036-'Blocking-Step2'!Q1036</f>
        <v>0</v>
      </c>
      <c r="AP1036" s="2127">
        <f>S1036-'Blocking-Step2'!S1036</f>
        <v>-465474</v>
      </c>
      <c r="AR1036" s="2127">
        <f>U1036-'Blocking-Step2'!U1036</f>
        <v>465475</v>
      </c>
      <c r="AT1036" s="2127">
        <f>W1036-'Blocking-Step2'!W1036</f>
        <v>0</v>
      </c>
      <c r="AV1036" s="2128">
        <f>Y1036-'Blocking-Step2'!Y1036</f>
        <v>0</v>
      </c>
    </row>
    <row r="1037" spans="1:48" ht="16.5" hidden="1" thickTop="1">
      <c r="A1037" s="1116" t="s">
        <v>1906</v>
      </c>
      <c r="C1037" s="1105">
        <v>5446462</v>
      </c>
      <c r="D1037" s="1105">
        <v>12818633.099411577</v>
      </c>
      <c r="E1037" s="617"/>
      <c r="F1037" s="1143"/>
      <c r="G1037" s="1921"/>
      <c r="H1037" s="1146"/>
      <c r="I1037" s="1146"/>
      <c r="J1037" s="617"/>
      <c r="K1037" s="1143">
        <v>0</v>
      </c>
      <c r="L1037" s="1921" t="s">
        <v>495</v>
      </c>
      <c r="M1037" s="1143">
        <v>0</v>
      </c>
      <c r="N1037" s="1921" t="s">
        <v>495</v>
      </c>
      <c r="O1037" s="1143">
        <v>6</v>
      </c>
      <c r="P1037" s="1921" t="s">
        <v>495</v>
      </c>
      <c r="Q1037" s="1143">
        <v>6</v>
      </c>
      <c r="R1037" s="1921" t="s">
        <v>495</v>
      </c>
      <c r="S1037" s="1146">
        <v>0</v>
      </c>
      <c r="T1037" s="1648"/>
      <c r="U1037" s="1146">
        <v>0</v>
      </c>
      <c r="V1037" s="1648"/>
      <c r="W1037" s="1146">
        <v>769118</v>
      </c>
      <c r="X1037" s="1648"/>
      <c r="Y1037" s="1146">
        <v>769118</v>
      </c>
      <c r="Z1037" s="2114">
        <f>C1037-'Blocking-Step2'!C1037</f>
        <v>0</v>
      </c>
      <c r="AA1037" s="2114">
        <f>D1037-'Blocking-Step2'!D1037</f>
        <v>0</v>
      </c>
      <c r="AC1037" s="2114">
        <f>F1037-'Blocking-Step2'!F1037</f>
        <v>0</v>
      </c>
      <c r="AE1037" s="2114">
        <f>H1037-'Blocking-Step2'!H1037</f>
        <v>0</v>
      </c>
      <c r="AF1037" s="2114">
        <f>I1037-'Blocking-Step2'!I1037</f>
        <v>0</v>
      </c>
      <c r="AH1037" s="2136">
        <f>K1037-'Blocking-Step2'!K1037</f>
        <v>0</v>
      </c>
      <c r="AJ1037" s="2136">
        <f>M1037-'Blocking-Step2'!M1037</f>
        <v>0</v>
      </c>
      <c r="AL1037" s="2136">
        <f>O1037-'Blocking-Step2'!O1037</f>
        <v>0</v>
      </c>
      <c r="AN1037" s="2137">
        <f>Q1037-'Blocking-Step2'!Q1037</f>
        <v>0</v>
      </c>
      <c r="AP1037" s="2127">
        <f>S1037-'Blocking-Step2'!S1037</f>
        <v>0</v>
      </c>
      <c r="AR1037" s="2127">
        <f>U1037-'Blocking-Step2'!U1037</f>
        <v>0</v>
      </c>
      <c r="AT1037" s="2127">
        <f>W1037-'Blocking-Step2'!W1037</f>
        <v>0</v>
      </c>
      <c r="AV1037" s="2128">
        <f>Y1037-'Blocking-Step2'!Y1037</f>
        <v>0</v>
      </c>
    </row>
    <row r="1038" spans="1:48" ht="16.5" hidden="1" thickTop="1">
      <c r="A1038" s="1116" t="s">
        <v>1907</v>
      </c>
      <c r="C1038" s="1105">
        <v>4803575</v>
      </c>
      <c r="D1038" s="1105">
        <v>11305553</v>
      </c>
      <c r="E1038" s="617"/>
      <c r="F1038" s="1143"/>
      <c r="G1038" s="1921"/>
      <c r="H1038" s="1146"/>
      <c r="I1038" s="1146"/>
      <c r="J1038" s="617"/>
      <c r="K1038" s="1143">
        <v>0</v>
      </c>
      <c r="L1038" s="1921" t="s">
        <v>495</v>
      </c>
      <c r="M1038" s="1143">
        <v>0</v>
      </c>
      <c r="N1038" s="1921" t="s">
        <v>495</v>
      </c>
      <c r="O1038" s="1143">
        <v>-2.3358000000000008</v>
      </c>
      <c r="P1038" s="1921" t="s">
        <v>495</v>
      </c>
      <c r="Q1038" s="1143">
        <v>-2.3358000000000008</v>
      </c>
      <c r="R1038" s="1921" t="s">
        <v>495</v>
      </c>
      <c r="S1038" s="1146">
        <v>0</v>
      </c>
      <c r="T1038" s="1648"/>
      <c r="U1038" s="1146">
        <v>0</v>
      </c>
      <c r="V1038" s="1648"/>
      <c r="W1038" s="1146">
        <v>-264075</v>
      </c>
      <c r="X1038" s="1648"/>
      <c r="Y1038" s="1146">
        <v>-264075</v>
      </c>
      <c r="Z1038" s="2114">
        <f>C1038-'Blocking-Step2'!C1038</f>
        <v>0</v>
      </c>
      <c r="AA1038" s="2114">
        <f>D1038-'Blocking-Step2'!D1038</f>
        <v>0</v>
      </c>
      <c r="AC1038" s="2114">
        <f>F1038-'Blocking-Step2'!F1038</f>
        <v>0</v>
      </c>
      <c r="AE1038" s="2114">
        <f>H1038-'Blocking-Step2'!H1038</f>
        <v>0</v>
      </c>
      <c r="AF1038" s="2114">
        <f>I1038-'Blocking-Step2'!I1038</f>
        <v>0</v>
      </c>
      <c r="AH1038" s="2136">
        <f>K1038-'Blocking-Step2'!K1038</f>
        <v>0</v>
      </c>
      <c r="AJ1038" s="2136">
        <f>M1038-'Blocking-Step2'!M1038</f>
        <v>0</v>
      </c>
      <c r="AL1038" s="2136">
        <f>O1038-'Blocking-Step2'!O1038</f>
        <v>0</v>
      </c>
      <c r="AN1038" s="2137">
        <f>Q1038-'Blocking-Step2'!Q1038</f>
        <v>0</v>
      </c>
      <c r="AP1038" s="2127">
        <f>S1038-'Blocking-Step2'!S1038</f>
        <v>0</v>
      </c>
      <c r="AR1038" s="2127">
        <f>U1038-'Blocking-Step2'!U1038</f>
        <v>0</v>
      </c>
      <c r="AT1038" s="2127">
        <f>W1038-'Blocking-Step2'!W1038</f>
        <v>0</v>
      </c>
      <c r="AV1038" s="2128">
        <f>Y1038-'Blocking-Step2'!Y1038</f>
        <v>0</v>
      </c>
    </row>
    <row r="1039" spans="1:48" ht="16.5" hidden="1" thickTop="1">
      <c r="A1039" s="1116" t="s">
        <v>1908</v>
      </c>
      <c r="C1039" s="1105">
        <v>8833500.5</v>
      </c>
      <c r="D1039" s="1105">
        <v>19688523</v>
      </c>
      <c r="E1039" s="617"/>
      <c r="F1039" s="1143"/>
      <c r="G1039" s="1921"/>
      <c r="H1039" s="1146"/>
      <c r="I1039" s="1146"/>
      <c r="J1039" s="617"/>
      <c r="K1039" s="1143">
        <v>0</v>
      </c>
      <c r="L1039" s="1921" t="s">
        <v>495</v>
      </c>
      <c r="M1039" s="1143">
        <v>0</v>
      </c>
      <c r="N1039" s="1921" t="s">
        <v>495</v>
      </c>
      <c r="O1039" s="1143">
        <v>5.3097000000000003</v>
      </c>
      <c r="P1039" s="1921" t="s">
        <v>495</v>
      </c>
      <c r="Q1039" s="1143">
        <v>5.3097000000000003</v>
      </c>
      <c r="R1039" s="1921" t="s">
        <v>495</v>
      </c>
      <c r="S1039" s="1146">
        <v>0</v>
      </c>
      <c r="T1039" s="1648"/>
      <c r="U1039" s="1146">
        <v>0</v>
      </c>
      <c r="V1039" s="1648"/>
      <c r="W1039" s="1146">
        <v>1045402</v>
      </c>
      <c r="X1039" s="1648"/>
      <c r="Y1039" s="1146">
        <v>1045402</v>
      </c>
      <c r="Z1039" s="2114">
        <f>C1039-'Blocking-Step2'!C1039</f>
        <v>0</v>
      </c>
      <c r="AA1039" s="2114">
        <f>D1039-'Blocking-Step2'!D1039</f>
        <v>0</v>
      </c>
      <c r="AC1039" s="2114">
        <f>F1039-'Blocking-Step2'!F1039</f>
        <v>0</v>
      </c>
      <c r="AE1039" s="2114">
        <f>H1039-'Blocking-Step2'!H1039</f>
        <v>0</v>
      </c>
      <c r="AF1039" s="2114">
        <f>I1039-'Blocking-Step2'!I1039</f>
        <v>0</v>
      </c>
      <c r="AH1039" s="2136">
        <f>K1039-'Blocking-Step2'!K1039</f>
        <v>0</v>
      </c>
      <c r="AJ1039" s="2136">
        <f>M1039-'Blocking-Step2'!M1039</f>
        <v>0</v>
      </c>
      <c r="AL1039" s="2136">
        <f>O1039-'Blocking-Step2'!O1039</f>
        <v>0</v>
      </c>
      <c r="AN1039" s="2137">
        <f>Q1039-'Blocking-Step2'!Q1039</f>
        <v>0</v>
      </c>
      <c r="AP1039" s="2127">
        <f>S1039-'Blocking-Step2'!S1039</f>
        <v>0</v>
      </c>
      <c r="AR1039" s="2127">
        <f>U1039-'Blocking-Step2'!U1039</f>
        <v>0</v>
      </c>
      <c r="AT1039" s="2127">
        <f>W1039-'Blocking-Step2'!W1039</f>
        <v>0</v>
      </c>
      <c r="AV1039" s="2128">
        <f>Y1039-'Blocking-Step2'!Y1039</f>
        <v>0</v>
      </c>
    </row>
    <row r="1040" spans="1:48" ht="16.5" hidden="1" thickTop="1">
      <c r="A1040" s="1116" t="s">
        <v>1909</v>
      </c>
      <c r="C1040" s="1105">
        <v>5484265.5</v>
      </c>
      <c r="D1040" s="1105">
        <v>12223590</v>
      </c>
      <c r="E1040" s="617"/>
      <c r="F1040" s="1143"/>
      <c r="G1040" s="1921"/>
      <c r="H1040" s="1146"/>
      <c r="I1040" s="1146"/>
      <c r="J1040" s="617"/>
      <c r="K1040" s="1143">
        <v>0</v>
      </c>
      <c r="L1040" s="1921" t="s">
        <v>495</v>
      </c>
      <c r="M1040" s="1143">
        <v>0</v>
      </c>
      <c r="N1040" s="1921" t="s">
        <v>495</v>
      </c>
      <c r="O1040" s="1143">
        <v>-2.0670999999999999</v>
      </c>
      <c r="P1040" s="1921" t="s">
        <v>495</v>
      </c>
      <c r="Q1040" s="1143">
        <v>-2.0670999999999999</v>
      </c>
      <c r="R1040" s="1921" t="s">
        <v>495</v>
      </c>
      <c r="S1040" s="1146">
        <v>0</v>
      </c>
      <c r="T1040" s="1648"/>
      <c r="U1040" s="1146">
        <v>0</v>
      </c>
      <c r="V1040" s="1648"/>
      <c r="W1040" s="1146">
        <v>-252674</v>
      </c>
      <c r="X1040" s="1648"/>
      <c r="Y1040" s="1146">
        <v>-252674</v>
      </c>
      <c r="Z1040" s="2114">
        <f>C1040-'Blocking-Step2'!C1040</f>
        <v>0</v>
      </c>
      <c r="AA1040" s="2114">
        <f>D1040-'Blocking-Step2'!D1040</f>
        <v>0</v>
      </c>
      <c r="AC1040" s="2114">
        <f>F1040-'Blocking-Step2'!F1040</f>
        <v>0</v>
      </c>
      <c r="AE1040" s="2114">
        <f>H1040-'Blocking-Step2'!H1040</f>
        <v>0</v>
      </c>
      <c r="AF1040" s="2114">
        <f>I1040-'Blocking-Step2'!I1040</f>
        <v>0</v>
      </c>
      <c r="AH1040" s="2136">
        <f>K1040-'Blocking-Step2'!K1040</f>
        <v>0</v>
      </c>
      <c r="AJ1040" s="2136">
        <f>M1040-'Blocking-Step2'!M1040</f>
        <v>0</v>
      </c>
      <c r="AL1040" s="2136">
        <f>O1040-'Blocking-Step2'!O1040</f>
        <v>0</v>
      </c>
      <c r="AN1040" s="2137">
        <f>Q1040-'Blocking-Step2'!Q1040</f>
        <v>0</v>
      </c>
      <c r="AP1040" s="2127">
        <f>S1040-'Blocking-Step2'!S1040</f>
        <v>0</v>
      </c>
      <c r="AR1040" s="2127">
        <f>U1040-'Blocking-Step2'!U1040</f>
        <v>0</v>
      </c>
      <c r="AT1040" s="2127">
        <f>W1040-'Blocking-Step2'!W1040</f>
        <v>0</v>
      </c>
      <c r="AV1040" s="2128">
        <f>Y1040-'Blocking-Step2'!Y1040</f>
        <v>0</v>
      </c>
    </row>
    <row r="1041" spans="1:48" ht="16.5" hidden="1" thickTop="1">
      <c r="A1041" s="1116" t="s">
        <v>240</v>
      </c>
      <c r="C1041" s="1105">
        <v>3104.0666666666698</v>
      </c>
      <c r="D1041" s="1105">
        <v>3156</v>
      </c>
      <c r="F1041" s="1142">
        <v>54</v>
      </c>
      <c r="G1041" s="617"/>
      <c r="H1041" s="1146">
        <v>167620</v>
      </c>
      <c r="I1041" s="1146">
        <v>170424</v>
      </c>
      <c r="K1041" s="1142">
        <v>54</v>
      </c>
      <c r="L1041" s="617"/>
      <c r="M1041" s="1142">
        <v>0</v>
      </c>
      <c r="N1041" s="617"/>
      <c r="O1041" s="1142">
        <v>0</v>
      </c>
      <c r="P1041" s="617"/>
      <c r="Q1041" s="1142">
        <v>54</v>
      </c>
      <c r="R1041" s="617"/>
      <c r="S1041" s="1146">
        <v>170424</v>
      </c>
      <c r="T1041" s="1629"/>
      <c r="U1041" s="1146">
        <v>0</v>
      </c>
      <c r="V1041" s="1629"/>
      <c r="W1041" s="1146">
        <v>0</v>
      </c>
      <c r="X1041" s="1114"/>
      <c r="Y1041" s="1146">
        <v>170424</v>
      </c>
      <c r="Z1041" s="2114">
        <f>C1041-'Blocking-Step2'!C1041</f>
        <v>0</v>
      </c>
      <c r="AA1041" s="2114">
        <f>D1041-'Blocking-Step2'!D1041</f>
        <v>0</v>
      </c>
      <c r="AC1041" s="2114">
        <f>F1041-'Blocking-Step2'!F1041</f>
        <v>0</v>
      </c>
      <c r="AE1041" s="2114">
        <f>H1041-'Blocking-Step2'!H1041</f>
        <v>0</v>
      </c>
      <c r="AF1041" s="2114">
        <f>I1041-'Blocking-Step2'!I1041</f>
        <v>0</v>
      </c>
      <c r="AH1041" s="2136">
        <f>K1041-'Blocking-Step2'!K1041</f>
        <v>0</v>
      </c>
      <c r="AJ1041" s="2136">
        <f>M1041-'Blocking-Step2'!M1041</f>
        <v>0</v>
      </c>
      <c r="AL1041" s="2136">
        <f>O1041-'Blocking-Step2'!O1041</f>
        <v>0</v>
      </c>
      <c r="AN1041" s="2137">
        <f>Q1041-'Blocking-Step2'!Q1041</f>
        <v>0</v>
      </c>
      <c r="AP1041" s="2127">
        <f>S1041-'Blocking-Step2'!S1041</f>
        <v>0</v>
      </c>
      <c r="AR1041" s="2127">
        <f>U1041-'Blocking-Step2'!U1041</f>
        <v>0</v>
      </c>
      <c r="AT1041" s="2127">
        <f>W1041-'Blocking-Step2'!W1041</f>
        <v>0</v>
      </c>
      <c r="AV1041" s="2128">
        <f>Y1041-'Blocking-Step2'!Y1041</f>
        <v>0</v>
      </c>
    </row>
    <row r="1042" spans="1:48" ht="16.5" hidden="1" thickTop="1">
      <c r="A1042" s="1116" t="s">
        <v>157</v>
      </c>
      <c r="C1042" s="1105">
        <v>171238.95092024549</v>
      </c>
      <c r="D1042" s="1105">
        <v>198506</v>
      </c>
      <c r="F1042" s="1142">
        <v>6.52</v>
      </c>
      <c r="G1042" s="617"/>
      <c r="H1042" s="1146">
        <v>1116478</v>
      </c>
      <c r="I1042" s="1146">
        <v>1294259</v>
      </c>
      <c r="K1042" s="1142"/>
      <c r="L1042" s="617"/>
      <c r="M1042" s="1142"/>
      <c r="N1042" s="617"/>
      <c r="O1042" s="1142"/>
      <c r="P1042" s="617"/>
      <c r="Q1042" s="1142"/>
      <c r="R1042" s="617"/>
      <c r="S1042" s="1146"/>
      <c r="T1042" s="1114"/>
      <c r="U1042" s="1146"/>
      <c r="V1042" s="1114"/>
      <c r="W1042" s="1146"/>
      <c r="X1042" s="1114"/>
      <c r="Y1042" s="1146"/>
      <c r="Z1042" s="2114">
        <f>C1042-'Blocking-Step2'!C1042</f>
        <v>0</v>
      </c>
      <c r="AA1042" s="2114">
        <f>D1042-'Blocking-Step2'!D1042</f>
        <v>0</v>
      </c>
      <c r="AC1042" s="2114">
        <f>F1042-'Blocking-Step2'!F1042</f>
        <v>0</v>
      </c>
      <c r="AE1042" s="2114">
        <f>H1042-'Blocking-Step2'!H1042</f>
        <v>0</v>
      </c>
      <c r="AF1042" s="2114">
        <f>I1042-'Blocking-Step2'!I1042</f>
        <v>0</v>
      </c>
      <c r="AH1042" s="2136">
        <f>K1042-'Blocking-Step2'!K1042</f>
        <v>0</v>
      </c>
      <c r="AJ1042" s="2136">
        <f>M1042-'Blocking-Step2'!M1042</f>
        <v>0</v>
      </c>
      <c r="AL1042" s="2136">
        <f>O1042-'Blocking-Step2'!O1042</f>
        <v>0</v>
      </c>
      <c r="AN1042" s="2137">
        <f>Q1042-'Blocking-Step2'!Q1042</f>
        <v>0</v>
      </c>
      <c r="AP1042" s="2127">
        <f>S1042-'Blocking-Step2'!S1042</f>
        <v>0</v>
      </c>
      <c r="AR1042" s="2127">
        <f>U1042-'Blocking-Step2'!U1042</f>
        <v>0</v>
      </c>
      <c r="AT1042" s="2127">
        <f>W1042-'Blocking-Step2'!W1042</f>
        <v>0</v>
      </c>
      <c r="AV1042" s="2128">
        <f>Y1042-'Blocking-Step2'!Y1042</f>
        <v>0</v>
      </c>
    </row>
    <row r="1043" spans="1:48" ht="16.5" hidden="1" thickTop="1">
      <c r="A1043" s="1116" t="s">
        <v>162</v>
      </c>
      <c r="C1043" s="1105">
        <v>202939.45521023759</v>
      </c>
      <c r="D1043" s="1105">
        <v>235254</v>
      </c>
      <c r="F1043" s="1142">
        <v>5.47</v>
      </c>
      <c r="G1043" s="617"/>
      <c r="H1043" s="1146">
        <v>1110079</v>
      </c>
      <c r="I1043" s="1146">
        <v>1286839</v>
      </c>
      <c r="K1043" s="1142"/>
      <c r="L1043" s="617"/>
      <c r="M1043" s="1142"/>
      <c r="N1043" s="617"/>
      <c r="O1043" s="1142"/>
      <c r="P1043" s="617"/>
      <c r="Q1043" s="1142"/>
      <c r="R1043" s="617"/>
      <c r="S1043" s="1146"/>
      <c r="T1043" s="1114"/>
      <c r="U1043" s="1146"/>
      <c r="V1043" s="1114"/>
      <c r="W1043" s="1146"/>
      <c r="X1043" s="1114"/>
      <c r="Y1043" s="1146"/>
      <c r="Z1043" s="2114">
        <f>C1043-'Blocking-Step2'!C1043</f>
        <v>0</v>
      </c>
      <c r="AA1043" s="2114">
        <f>D1043-'Blocking-Step2'!D1043</f>
        <v>0</v>
      </c>
      <c r="AC1043" s="2114">
        <f>F1043-'Blocking-Step2'!F1043</f>
        <v>0</v>
      </c>
      <c r="AE1043" s="2114">
        <f>H1043-'Blocking-Step2'!H1043</f>
        <v>0</v>
      </c>
      <c r="AF1043" s="2114">
        <f>I1043-'Blocking-Step2'!I1043</f>
        <v>0</v>
      </c>
      <c r="AH1043" s="2136">
        <f>K1043-'Blocking-Step2'!K1043</f>
        <v>0</v>
      </c>
      <c r="AJ1043" s="2136">
        <f>M1043-'Blocking-Step2'!M1043</f>
        <v>0</v>
      </c>
      <c r="AL1043" s="2136">
        <f>O1043-'Blocking-Step2'!O1043</f>
        <v>0</v>
      </c>
      <c r="AN1043" s="2137">
        <f>Q1043-'Blocking-Step2'!Q1043</f>
        <v>0</v>
      </c>
      <c r="AP1043" s="2127">
        <f>S1043-'Blocking-Step2'!S1043</f>
        <v>0</v>
      </c>
      <c r="AR1043" s="2127">
        <f>U1043-'Blocking-Step2'!U1043</f>
        <v>0</v>
      </c>
      <c r="AT1043" s="2127">
        <f>W1043-'Blocking-Step2'!W1043</f>
        <v>0</v>
      </c>
      <c r="AV1043" s="2128">
        <f>Y1043-'Blocking-Step2'!Y1043</f>
        <v>0</v>
      </c>
    </row>
    <row r="1044" spans="1:48" ht="16.5" hidden="1" thickTop="1">
      <c r="A1044" s="1116" t="s">
        <v>261</v>
      </c>
      <c r="C1044" s="1105">
        <v>9945</v>
      </c>
      <c r="D1044" s="1105">
        <v>11529</v>
      </c>
      <c r="E1044" s="617"/>
      <c r="F1044" s="1142">
        <v>-0.61</v>
      </c>
      <c r="G1044" s="617"/>
      <c r="H1044" s="1146">
        <v>-6066</v>
      </c>
      <c r="I1044" s="1146">
        <v>-7033</v>
      </c>
      <c r="J1044" s="617"/>
      <c r="K1044" s="1142">
        <v>-0.61</v>
      </c>
      <c r="L1044" s="617"/>
      <c r="M1044" s="1142">
        <v>0</v>
      </c>
      <c r="N1044" s="617"/>
      <c r="O1044" s="1142">
        <v>0</v>
      </c>
      <c r="P1044" s="617"/>
      <c r="Q1044" s="1142">
        <v>-0.61</v>
      </c>
      <c r="R1044" s="617"/>
      <c r="S1044" s="1146">
        <v>-7033</v>
      </c>
      <c r="T1044" s="1114"/>
      <c r="U1044" s="1146">
        <v>0</v>
      </c>
      <c r="V1044" s="1114"/>
      <c r="W1044" s="1146">
        <v>0</v>
      </c>
      <c r="X1044" s="1114"/>
      <c r="Y1044" s="1146">
        <v>-7033</v>
      </c>
      <c r="Z1044" s="2114">
        <f>C1044-'Blocking-Step2'!C1044</f>
        <v>0</v>
      </c>
      <c r="AA1044" s="2114">
        <f>D1044-'Blocking-Step2'!D1044</f>
        <v>0</v>
      </c>
      <c r="AC1044" s="2114">
        <f>F1044-'Blocking-Step2'!F1044</f>
        <v>0</v>
      </c>
      <c r="AE1044" s="2114">
        <f>H1044-'Blocking-Step2'!H1044</f>
        <v>0</v>
      </c>
      <c r="AF1044" s="2114">
        <f>I1044-'Blocking-Step2'!I1044</f>
        <v>0</v>
      </c>
      <c r="AH1044" s="2136">
        <f>K1044-'Blocking-Step2'!K1044</f>
        <v>0</v>
      </c>
      <c r="AJ1044" s="2136">
        <f>M1044-'Blocking-Step2'!M1044</f>
        <v>0</v>
      </c>
      <c r="AL1044" s="2136">
        <f>O1044-'Blocking-Step2'!O1044</f>
        <v>0</v>
      </c>
      <c r="AN1044" s="2137">
        <f>Q1044-'Blocking-Step2'!Q1044</f>
        <v>0</v>
      </c>
      <c r="AP1044" s="2127">
        <f>S1044-'Blocking-Step2'!S1044</f>
        <v>0</v>
      </c>
      <c r="AR1044" s="2127">
        <f>U1044-'Blocking-Step2'!U1044</f>
        <v>0</v>
      </c>
      <c r="AT1044" s="2127">
        <f>W1044-'Blocking-Step2'!W1044</f>
        <v>0</v>
      </c>
      <c r="AV1044" s="2128">
        <f>Y1044-'Blocking-Step2'!Y1044</f>
        <v>0</v>
      </c>
    </row>
    <row r="1045" spans="1:48" ht="16.5" hidden="1" thickTop="1">
      <c r="A1045" s="1116" t="s">
        <v>188</v>
      </c>
      <c r="C1045" s="1105">
        <v>13406324</v>
      </c>
      <c r="D1045" s="1105">
        <v>15391869.099411577</v>
      </c>
      <c r="E1045" s="617"/>
      <c r="F1045" s="1143">
        <v>11.926600000000001</v>
      </c>
      <c r="G1045" s="1921" t="s">
        <v>495</v>
      </c>
      <c r="H1045" s="1146">
        <v>1598919</v>
      </c>
      <c r="I1045" s="1146">
        <v>1835727</v>
      </c>
      <c r="J1045" s="617"/>
      <c r="K1045" s="1143"/>
      <c r="L1045" s="1921"/>
      <c r="M1045" s="1143"/>
      <c r="N1045" s="1921"/>
      <c r="O1045" s="1143"/>
      <c r="P1045" s="1921"/>
      <c r="Q1045" s="1143"/>
      <c r="R1045" s="1921"/>
      <c r="S1045" s="1146"/>
      <c r="T1045" s="1648"/>
      <c r="U1045" s="1146"/>
      <c r="V1045" s="1648"/>
      <c r="W1045" s="1146"/>
      <c r="X1045" s="1648"/>
      <c r="Y1045" s="1146"/>
      <c r="Z1045" s="2114">
        <f>C1045-'Blocking-Step2'!C1045</f>
        <v>0</v>
      </c>
      <c r="AA1045" s="2114">
        <f>D1045-'Blocking-Step2'!D1045</f>
        <v>0</v>
      </c>
      <c r="AC1045" s="2114">
        <f>F1045-'Blocking-Step2'!F1045</f>
        <v>0</v>
      </c>
      <c r="AE1045" s="2114">
        <f>H1045-'Blocking-Step2'!H1045</f>
        <v>0</v>
      </c>
      <c r="AF1045" s="2114">
        <f>I1045-'Blocking-Step2'!I1045</f>
        <v>0</v>
      </c>
      <c r="AH1045" s="2136">
        <f>K1045-'Blocking-Step2'!K1045</f>
        <v>0</v>
      </c>
      <c r="AJ1045" s="2136">
        <f>M1045-'Blocking-Step2'!M1045</f>
        <v>0</v>
      </c>
      <c r="AL1045" s="2136">
        <f>O1045-'Blocking-Step2'!O1045</f>
        <v>0</v>
      </c>
      <c r="AN1045" s="2137">
        <f>Q1045-'Blocking-Step2'!Q1045</f>
        <v>0</v>
      </c>
      <c r="AP1045" s="2127">
        <f>S1045-'Blocking-Step2'!S1045</f>
        <v>0</v>
      </c>
      <c r="AR1045" s="2127">
        <f>U1045-'Blocking-Step2'!U1045</f>
        <v>0</v>
      </c>
      <c r="AT1045" s="2127">
        <f>W1045-'Blocking-Step2'!W1045</f>
        <v>0</v>
      </c>
      <c r="AV1045" s="2128">
        <f>Y1045-'Blocking-Step2'!Y1045</f>
        <v>0</v>
      </c>
    </row>
    <row r="1046" spans="1:48" ht="16.5" hidden="1" thickTop="1">
      <c r="A1046" s="1116" t="s">
        <v>189</v>
      </c>
      <c r="C1046" s="1105">
        <v>11246892</v>
      </c>
      <c r="D1046" s="1105">
        <v>12912615</v>
      </c>
      <c r="E1046" s="617"/>
      <c r="F1046" s="1143">
        <v>3.5908000000000002</v>
      </c>
      <c r="G1046" s="1921" t="s">
        <v>495</v>
      </c>
      <c r="H1046" s="1146">
        <v>403853</v>
      </c>
      <c r="I1046" s="1146">
        <v>463666</v>
      </c>
      <c r="J1046" s="617"/>
      <c r="K1046" s="1143"/>
      <c r="L1046" s="1921"/>
      <c r="M1046" s="1143"/>
      <c r="N1046" s="1921"/>
      <c r="O1046" s="1143"/>
      <c r="P1046" s="1921"/>
      <c r="Q1046" s="1143"/>
      <c r="R1046" s="1921"/>
      <c r="S1046" s="1146"/>
      <c r="T1046" s="1648"/>
      <c r="U1046" s="1146"/>
      <c r="V1046" s="1648"/>
      <c r="W1046" s="1146"/>
      <c r="X1046" s="1648"/>
      <c r="Y1046" s="1146"/>
      <c r="Z1046" s="2114">
        <f>C1046-'Blocking-Step2'!C1046</f>
        <v>0</v>
      </c>
      <c r="AA1046" s="2114">
        <f>D1046-'Blocking-Step2'!D1046</f>
        <v>0</v>
      </c>
      <c r="AC1046" s="2114">
        <f>F1046-'Blocking-Step2'!F1046</f>
        <v>0</v>
      </c>
      <c r="AE1046" s="2114">
        <f>H1046-'Blocking-Step2'!H1046</f>
        <v>0</v>
      </c>
      <c r="AF1046" s="2114">
        <f>I1046-'Blocking-Step2'!I1046</f>
        <v>0</v>
      </c>
      <c r="AH1046" s="2136">
        <f>K1046-'Blocking-Step2'!K1046</f>
        <v>0</v>
      </c>
      <c r="AJ1046" s="2136">
        <f>M1046-'Blocking-Step2'!M1046</f>
        <v>0</v>
      </c>
      <c r="AL1046" s="2136">
        <f>O1046-'Blocking-Step2'!O1046</f>
        <v>0</v>
      </c>
      <c r="AN1046" s="2137">
        <f>Q1046-'Blocking-Step2'!Q1046</f>
        <v>0</v>
      </c>
      <c r="AP1046" s="2127">
        <f>S1046-'Blocking-Step2'!S1046</f>
        <v>0</v>
      </c>
      <c r="AR1046" s="2127">
        <f>U1046-'Blocking-Step2'!U1046</f>
        <v>0</v>
      </c>
      <c r="AT1046" s="2127">
        <f>W1046-'Blocking-Step2'!W1046</f>
        <v>0</v>
      </c>
      <c r="AV1046" s="2128">
        <f>Y1046-'Blocking-Step2'!Y1046</f>
        <v>0</v>
      </c>
    </row>
    <row r="1047" spans="1:48" ht="16.5" hidden="1" thickTop="1">
      <c r="A1047" s="1116" t="s">
        <v>163</v>
      </c>
      <c r="C1047" s="1105">
        <v>15153601</v>
      </c>
      <c r="D1047" s="1105">
        <v>17164863</v>
      </c>
      <c r="E1047" s="617"/>
      <c r="F1047" s="1143">
        <v>9.9693000000000005</v>
      </c>
      <c r="G1047" s="1921" t="s">
        <v>495</v>
      </c>
      <c r="H1047" s="1146">
        <v>1510708</v>
      </c>
      <c r="I1047" s="1146">
        <v>1711217</v>
      </c>
      <c r="J1047" s="617"/>
      <c r="K1047" s="1143"/>
      <c r="L1047" s="1921"/>
      <c r="M1047" s="1143"/>
      <c r="N1047" s="1921"/>
      <c r="O1047" s="1143"/>
      <c r="P1047" s="1921"/>
      <c r="Q1047" s="1143"/>
      <c r="R1047" s="1921"/>
      <c r="S1047" s="1146"/>
      <c r="T1047" s="1648"/>
      <c r="U1047" s="1146"/>
      <c r="V1047" s="1648"/>
      <c r="W1047" s="1146"/>
      <c r="X1047" s="1648"/>
      <c r="Y1047" s="1146"/>
      <c r="Z1047" s="2114">
        <f>C1047-'Blocking-Step2'!C1047</f>
        <v>0</v>
      </c>
      <c r="AA1047" s="2114">
        <f>D1047-'Blocking-Step2'!D1047</f>
        <v>0</v>
      </c>
      <c r="AC1047" s="2114">
        <f>F1047-'Blocking-Step2'!F1047</f>
        <v>0</v>
      </c>
      <c r="AE1047" s="2114">
        <f>H1047-'Blocking-Step2'!H1047</f>
        <v>0</v>
      </c>
      <c r="AF1047" s="2114">
        <f>I1047-'Blocking-Step2'!I1047</f>
        <v>0</v>
      </c>
      <c r="AH1047" s="2136">
        <f>K1047-'Blocking-Step2'!K1047</f>
        <v>0</v>
      </c>
      <c r="AJ1047" s="2136">
        <f>M1047-'Blocking-Step2'!M1047</f>
        <v>0</v>
      </c>
      <c r="AL1047" s="2136">
        <f>O1047-'Blocking-Step2'!O1047</f>
        <v>0</v>
      </c>
      <c r="AN1047" s="2137">
        <f>Q1047-'Blocking-Step2'!Q1047</f>
        <v>0</v>
      </c>
      <c r="AP1047" s="2127">
        <f>S1047-'Blocking-Step2'!S1047</f>
        <v>0</v>
      </c>
      <c r="AR1047" s="2127">
        <f>U1047-'Blocking-Step2'!U1047</f>
        <v>0</v>
      </c>
      <c r="AT1047" s="2127">
        <f>W1047-'Blocking-Step2'!W1047</f>
        <v>0</v>
      </c>
      <c r="AV1047" s="2128">
        <f>Y1047-'Blocking-Step2'!Y1047</f>
        <v>0</v>
      </c>
    </row>
    <row r="1048" spans="1:48" ht="16.5" hidden="1" thickTop="1">
      <c r="A1048" s="1116" t="s">
        <v>164</v>
      </c>
      <c r="C1048" s="1105">
        <v>9328789</v>
      </c>
      <c r="D1048" s="1105">
        <v>10566952</v>
      </c>
      <c r="E1048" s="617"/>
      <c r="F1048" s="1143">
        <v>3.0059999999999998</v>
      </c>
      <c r="G1048" s="1921" t="s">
        <v>495</v>
      </c>
      <c r="H1048" s="1146">
        <v>280423</v>
      </c>
      <c r="I1048" s="1146">
        <v>317643</v>
      </c>
      <c r="J1048" s="617"/>
      <c r="K1048" s="1143"/>
      <c r="L1048" s="1921"/>
      <c r="M1048" s="1143"/>
      <c r="N1048" s="1921"/>
      <c r="O1048" s="1143"/>
      <c r="P1048" s="1921"/>
      <c r="Q1048" s="1143"/>
      <c r="R1048" s="1921"/>
      <c r="S1048" s="1146"/>
      <c r="T1048" s="1648"/>
      <c r="U1048" s="1146"/>
      <c r="V1048" s="1648"/>
      <c r="W1048" s="1146"/>
      <c r="X1048" s="1648"/>
      <c r="Y1048" s="1146"/>
      <c r="Z1048" s="2114">
        <f>C1048-'Blocking-Step2'!C1048</f>
        <v>0</v>
      </c>
      <c r="AA1048" s="2114">
        <f>D1048-'Blocking-Step2'!D1048</f>
        <v>0</v>
      </c>
      <c r="AC1048" s="2114">
        <f>F1048-'Blocking-Step2'!F1048</f>
        <v>0</v>
      </c>
      <c r="AE1048" s="2114">
        <f>H1048-'Blocking-Step2'!H1048</f>
        <v>0</v>
      </c>
      <c r="AF1048" s="2114">
        <f>I1048-'Blocking-Step2'!I1048</f>
        <v>0</v>
      </c>
      <c r="AH1048" s="2136">
        <f>K1048-'Blocking-Step2'!K1048</f>
        <v>0</v>
      </c>
      <c r="AJ1048" s="2136">
        <f>M1048-'Blocking-Step2'!M1048</f>
        <v>0</v>
      </c>
      <c r="AL1048" s="2136">
        <f>O1048-'Blocking-Step2'!O1048</f>
        <v>0</v>
      </c>
      <c r="AN1048" s="2137">
        <f>Q1048-'Blocking-Step2'!Q1048</f>
        <v>0</v>
      </c>
      <c r="AP1048" s="2127">
        <f>S1048-'Blocking-Step2'!S1048</f>
        <v>0</v>
      </c>
      <c r="AR1048" s="2127">
        <f>U1048-'Blocking-Step2'!U1048</f>
        <v>0</v>
      </c>
      <c r="AT1048" s="2127">
        <f>W1048-'Blocking-Step2'!W1048</f>
        <v>0</v>
      </c>
      <c r="AV1048" s="2128">
        <f>Y1048-'Blocking-Step2'!Y1048</f>
        <v>0</v>
      </c>
    </row>
    <row r="1049" spans="1:48" ht="16.5" hidden="1" thickTop="1">
      <c r="A1049" s="1116" t="s">
        <v>1158</v>
      </c>
      <c r="C1049" s="1105">
        <v>6757400</v>
      </c>
      <c r="D1049" s="1105">
        <v>7706421</v>
      </c>
      <c r="F1049" s="1106">
        <v>7.125</v>
      </c>
      <c r="G1049" s="1921" t="s">
        <v>495</v>
      </c>
      <c r="H1049" s="1146">
        <v>481465</v>
      </c>
      <c r="I1049" s="1146">
        <v>549082</v>
      </c>
      <c r="K1049" s="1106">
        <v>0</v>
      </c>
      <c r="L1049" s="1921" t="s">
        <v>495</v>
      </c>
      <c r="M1049" s="1106">
        <v>7.125</v>
      </c>
      <c r="N1049" s="1921" t="s">
        <v>495</v>
      </c>
      <c r="O1049" s="1106">
        <v>0</v>
      </c>
      <c r="P1049" s="1921" t="s">
        <v>495</v>
      </c>
      <c r="Q1049" s="1106">
        <v>7.125</v>
      </c>
      <c r="R1049" s="1921" t="s">
        <v>495</v>
      </c>
      <c r="S1049" s="1146">
        <v>0</v>
      </c>
      <c r="T1049" s="1648"/>
      <c r="U1049" s="1146">
        <v>549082</v>
      </c>
      <c r="V1049" s="1648"/>
      <c r="W1049" s="1146">
        <v>0</v>
      </c>
      <c r="X1049" s="1648"/>
      <c r="Y1049" s="1146">
        <v>549082</v>
      </c>
      <c r="Z1049" s="2114">
        <f>C1049-'Blocking-Step2'!C1049</f>
        <v>0</v>
      </c>
      <c r="AA1049" s="2114">
        <f>D1049-'Blocking-Step2'!D1049</f>
        <v>0</v>
      </c>
      <c r="AC1049" s="2114">
        <f>F1049-'Blocking-Step2'!F1049</f>
        <v>0</v>
      </c>
      <c r="AE1049" s="2114">
        <f>H1049-'Blocking-Step2'!H1049</f>
        <v>0</v>
      </c>
      <c r="AF1049" s="2114">
        <f>I1049-'Blocking-Step2'!I1049</f>
        <v>0</v>
      </c>
      <c r="AH1049" s="2136">
        <f>K1049-'Blocking-Step2'!K1049</f>
        <v>0</v>
      </c>
      <c r="AJ1049" s="2136">
        <f>M1049-'Blocking-Step2'!M1049</f>
        <v>0</v>
      </c>
      <c r="AL1049" s="2136">
        <f>O1049-'Blocking-Step2'!O1049</f>
        <v>0</v>
      </c>
      <c r="AN1049" s="2137">
        <f>Q1049-'Blocking-Step2'!Q1049</f>
        <v>0</v>
      </c>
      <c r="AP1049" s="2127">
        <f>S1049-'Blocking-Step2'!S1049</f>
        <v>0</v>
      </c>
      <c r="AR1049" s="2127">
        <f>U1049-'Blocking-Step2'!U1049</f>
        <v>0</v>
      </c>
      <c r="AT1049" s="2127">
        <f>W1049-'Blocking-Step2'!W1049</f>
        <v>0</v>
      </c>
      <c r="AV1049" s="2128">
        <f>Y1049-'Blocking-Step2'!Y1049</f>
        <v>0</v>
      </c>
    </row>
    <row r="1050" spans="1:48" ht="16.5" hidden="1" thickTop="1">
      <c r="A1050" s="1116" t="s">
        <v>246</v>
      </c>
      <c r="C1050" s="1940">
        <v>-896706</v>
      </c>
      <c r="D1050" s="1940">
        <v>0</v>
      </c>
      <c r="H1050" s="1147">
        <v>-98024</v>
      </c>
      <c r="I1050" s="1147">
        <v>0</v>
      </c>
      <c r="Y1050" s="1147"/>
      <c r="Z1050" s="2114">
        <f>C1050-'Blocking-Step2'!C1050</f>
        <v>0</v>
      </c>
      <c r="AA1050" s="2114">
        <f>D1050-'Blocking-Step2'!D1050</f>
        <v>0</v>
      </c>
      <c r="AC1050" s="2114">
        <f>F1050-'Blocking-Step2'!F1050</f>
        <v>0</v>
      </c>
      <c r="AE1050" s="2114">
        <f>H1050-'Blocking-Step2'!H1050</f>
        <v>0</v>
      </c>
      <c r="AF1050" s="2114">
        <f>I1050-'Blocking-Step2'!I1050</f>
        <v>0</v>
      </c>
      <c r="AH1050" s="2136">
        <f>K1050-'Blocking-Step2'!K1050</f>
        <v>0</v>
      </c>
      <c r="AJ1050" s="2136">
        <f>M1050-'Blocking-Step2'!M1050</f>
        <v>0</v>
      </c>
      <c r="AL1050" s="2136">
        <f>O1050-'Blocking-Step2'!O1050</f>
        <v>0</v>
      </c>
      <c r="AN1050" s="2137">
        <f>Q1050-'Blocking-Step2'!Q1050</f>
        <v>0</v>
      </c>
      <c r="AP1050" s="2127">
        <f>S1050-'Blocking-Step2'!S1050</f>
        <v>0</v>
      </c>
      <c r="AR1050" s="2127">
        <f>U1050-'Blocking-Step2'!U1050</f>
        <v>0</v>
      </c>
      <c r="AT1050" s="2127">
        <f>W1050-'Blocking-Step2'!W1050</f>
        <v>0</v>
      </c>
      <c r="AV1050" s="2128">
        <f>Y1050-'Blocking-Step2'!Y1050</f>
        <v>0</v>
      </c>
    </row>
    <row r="1051" spans="1:48" ht="16.5" hidden="1" thickTop="1">
      <c r="A1051" s="1116" t="s">
        <v>1240</v>
      </c>
      <c r="C1051" s="1024"/>
      <c r="D1051" s="1024"/>
      <c r="F1051" s="2076">
        <v>-4.99E-2</v>
      </c>
      <c r="G1051" s="617"/>
      <c r="H1051" s="1146">
        <v>-213340.86319999999</v>
      </c>
      <c r="I1051" s="1146">
        <v>-243379.0165</v>
      </c>
      <c r="K1051" s="2076"/>
      <c r="L1051" s="617"/>
      <c r="M1051" s="2076"/>
      <c r="N1051" s="617"/>
      <c r="O1051" s="2077" t="s">
        <v>2323</v>
      </c>
      <c r="P1051" s="617"/>
      <c r="Q1051" s="2076">
        <v>-3.0599999999999999E-2</v>
      </c>
      <c r="R1051" s="617"/>
      <c r="S1051" s="1114"/>
      <c r="T1051" s="1114"/>
      <c r="U1051" s="1114"/>
      <c r="V1051" s="1114"/>
      <c r="W1051" s="1114"/>
      <c r="X1051" s="1114"/>
      <c r="Y1051" s="1146">
        <v>-184599.94680000001</v>
      </c>
      <c r="Z1051" s="2114">
        <f>C1051-'Blocking-Step2'!C1051</f>
        <v>0</v>
      </c>
      <c r="AA1051" s="2114">
        <f>D1051-'Blocking-Step2'!D1051</f>
        <v>0</v>
      </c>
      <c r="AC1051" s="2114">
        <f>F1051-'Blocking-Step2'!F1051</f>
        <v>0</v>
      </c>
      <c r="AE1051" s="2114">
        <f>H1051-'Blocking-Step2'!H1051</f>
        <v>0</v>
      </c>
      <c r="AF1051" s="2114">
        <f>I1051-'Blocking-Step2'!I1051</f>
        <v>0</v>
      </c>
      <c r="AH1051" s="2136">
        <f>K1051-'Blocking-Step2'!K1051</f>
        <v>0</v>
      </c>
      <c r="AJ1051" s="2136">
        <f>M1051-'Blocking-Step2'!M1051</f>
        <v>0</v>
      </c>
      <c r="AL1051" s="2136" t="e">
        <f>O1051-'Blocking-Step2'!O1051</f>
        <v>#VALUE!</v>
      </c>
      <c r="AN1051" s="2137">
        <f>Q1051-'Blocking-Step2'!Q1051</f>
        <v>0</v>
      </c>
      <c r="AP1051" s="2127">
        <f>S1051-'Blocking-Step2'!S1051</f>
        <v>0</v>
      </c>
      <c r="AR1051" s="2127">
        <f>U1051-'Blocking-Step2'!U1051</f>
        <v>0</v>
      </c>
      <c r="AT1051" s="2127">
        <f>W1051-'Blocking-Step2'!W1051</f>
        <v>0</v>
      </c>
      <c r="AV1051" s="2128">
        <f>Y1051-'Blocking-Step2'!Y1051</f>
        <v>0</v>
      </c>
    </row>
    <row r="1052" spans="1:48" ht="16.5" hidden="1" thickTop="1">
      <c r="A1052" s="1116"/>
      <c r="C1052" s="1024"/>
      <c r="D1052" s="1024"/>
      <c r="F1052" s="2076"/>
      <c r="G1052" s="617"/>
      <c r="H1052" s="1146"/>
      <c r="I1052" s="1146"/>
      <c r="K1052" s="2076"/>
      <c r="L1052" s="617"/>
      <c r="M1052" s="2076"/>
      <c r="N1052" s="617"/>
      <c r="O1052" s="2077" t="s">
        <v>2324</v>
      </c>
      <c r="P1052" s="617"/>
      <c r="Q1052" s="2076">
        <v>-1.66E-2</v>
      </c>
      <c r="R1052" s="617"/>
      <c r="S1052" s="1114"/>
      <c r="T1052" s="1114"/>
      <c r="U1052" s="1114"/>
      <c r="V1052" s="1114"/>
      <c r="W1052" s="1114"/>
      <c r="X1052" s="1114"/>
      <c r="Y1052" s="1146">
        <v>-100142.45480000001</v>
      </c>
      <c r="Z1052" s="2114">
        <f>C1052-'Blocking-Step2'!C1052</f>
        <v>0</v>
      </c>
      <c r="AA1052" s="2114">
        <f>D1052-'Blocking-Step2'!D1052</f>
        <v>0</v>
      </c>
      <c r="AC1052" s="2114">
        <f>F1052-'Blocking-Step2'!F1052</f>
        <v>0</v>
      </c>
      <c r="AE1052" s="2114">
        <f>H1052-'Blocking-Step2'!H1052</f>
        <v>0</v>
      </c>
      <c r="AF1052" s="2114">
        <f>I1052-'Blocking-Step2'!I1052</f>
        <v>0</v>
      </c>
      <c r="AH1052" s="2136">
        <f>K1052-'Blocking-Step2'!K1052</f>
        <v>0</v>
      </c>
      <c r="AJ1052" s="2136">
        <f>M1052-'Blocking-Step2'!M1052</f>
        <v>0</v>
      </c>
      <c r="AL1052" s="2136" t="e">
        <f>O1052-'Blocking-Step2'!O1052</f>
        <v>#VALUE!</v>
      </c>
      <c r="AN1052" s="2137">
        <f>Q1052-'Blocking-Step2'!Q1052</f>
        <v>0</v>
      </c>
      <c r="AP1052" s="2127">
        <f>S1052-'Blocking-Step2'!S1052</f>
        <v>0</v>
      </c>
      <c r="AR1052" s="2127">
        <f>U1052-'Blocking-Step2'!U1052</f>
        <v>0</v>
      </c>
      <c r="AT1052" s="2127">
        <f>W1052-'Blocking-Step2'!W1052</f>
        <v>0</v>
      </c>
      <c r="AV1052" s="2128">
        <f>Y1052-'Blocking-Step2'!Y1052</f>
        <v>0</v>
      </c>
    </row>
    <row r="1053" spans="1:48" ht="16.5" hidden="1" thickTop="1">
      <c r="A1053" s="1116" t="s">
        <v>1317</v>
      </c>
      <c r="C1053" s="1024">
        <v>-576168</v>
      </c>
      <c r="D1053" s="1105">
        <v>-657086</v>
      </c>
      <c r="F1053" s="2076"/>
      <c r="G1053" s="617"/>
      <c r="H1053" s="1146"/>
      <c r="I1053" s="1146"/>
      <c r="K1053" s="2076"/>
      <c r="L1053" s="617"/>
      <c r="M1053" s="2076"/>
      <c r="N1053" s="617"/>
      <c r="O1053" s="2076"/>
      <c r="P1053" s="617"/>
      <c r="Q1053" s="2076"/>
      <c r="R1053" s="617"/>
      <c r="S1053" s="1114"/>
      <c r="T1053" s="1114"/>
      <c r="U1053" s="1114"/>
      <c r="V1053" s="1114"/>
      <c r="W1053" s="1114"/>
      <c r="X1053" s="1114"/>
      <c r="Y1053" s="1146"/>
      <c r="Z1053" s="2114">
        <f>C1053-'Blocking-Step2'!C1053</f>
        <v>0</v>
      </c>
      <c r="AA1053" s="2114">
        <f>D1053-'Blocking-Step2'!D1053</f>
        <v>0</v>
      </c>
      <c r="AC1053" s="2114">
        <f>F1053-'Blocking-Step2'!F1053</f>
        <v>0</v>
      </c>
      <c r="AE1053" s="2114">
        <f>H1053-'Blocking-Step2'!H1053</f>
        <v>0</v>
      </c>
      <c r="AF1053" s="2114">
        <f>I1053-'Blocking-Step2'!I1053</f>
        <v>0</v>
      </c>
      <c r="AH1053" s="2136">
        <f>K1053-'Blocking-Step2'!K1053</f>
        <v>0</v>
      </c>
      <c r="AJ1053" s="2136">
        <f>M1053-'Blocking-Step2'!M1053</f>
        <v>0</v>
      </c>
      <c r="AL1053" s="2136">
        <f>O1053-'Blocking-Step2'!O1053</f>
        <v>0</v>
      </c>
      <c r="AN1053" s="2137">
        <f>Q1053-'Blocking-Step2'!Q1053</f>
        <v>0</v>
      </c>
      <c r="AP1053" s="2127">
        <f>S1053-'Blocking-Step2'!S1053</f>
        <v>0</v>
      </c>
      <c r="AR1053" s="2127">
        <f>U1053-'Blocking-Step2'!U1053</f>
        <v>0</v>
      </c>
      <c r="AT1053" s="2127">
        <f>W1053-'Blocking-Step2'!W1053</f>
        <v>0</v>
      </c>
      <c r="AV1053" s="2128">
        <f>Y1053-'Blocking-Step2'!Y1053</f>
        <v>0</v>
      </c>
    </row>
    <row r="1054" spans="1:48" ht="17.25" hidden="1" thickTop="1" thickBot="1">
      <c r="A1054" s="1116" t="s">
        <v>247</v>
      </c>
      <c r="C1054" s="1138">
        <v>54420132</v>
      </c>
      <c r="D1054" s="1138">
        <v>63085634.099411577</v>
      </c>
      <c r="E1054" s="617"/>
      <c r="F1054" s="1145"/>
      <c r="H1054" s="1149">
        <v>6352114.1368000004</v>
      </c>
      <c r="I1054" s="1149">
        <v>7378444.9835000001</v>
      </c>
      <c r="J1054" s="617"/>
      <c r="K1054" s="1145"/>
      <c r="M1054" s="1145"/>
      <c r="O1054" s="1145"/>
      <c r="Q1054" s="1145"/>
      <c r="S1054" s="1149">
        <v>1091913</v>
      </c>
      <c r="U1054" s="1149">
        <v>4397394</v>
      </c>
      <c r="W1054" s="1149">
        <v>2004534</v>
      </c>
      <c r="Y1054" s="1149">
        <v>7493840</v>
      </c>
      <c r="Z1054" s="2114">
        <f>C1054-'Blocking-Step2'!C1054</f>
        <v>0</v>
      </c>
      <c r="AA1054" s="2114">
        <f>D1054-'Blocking-Step2'!D1054</f>
        <v>0</v>
      </c>
      <c r="AC1054" s="2114">
        <f>F1054-'Blocking-Step2'!F1054</f>
        <v>0</v>
      </c>
      <c r="AE1054" s="2114">
        <f>H1054-'Blocking-Step2'!H1054</f>
        <v>0</v>
      </c>
      <c r="AF1054" s="2114">
        <f>I1054-'Blocking-Step2'!I1054</f>
        <v>0</v>
      </c>
      <c r="AH1054" s="2136">
        <f>K1054-'Blocking-Step2'!K1054</f>
        <v>0</v>
      </c>
      <c r="AJ1054" s="2136">
        <f>M1054-'Blocking-Step2'!M1054</f>
        <v>0</v>
      </c>
      <c r="AL1054" s="2136">
        <f>O1054-'Blocking-Step2'!O1054</f>
        <v>0</v>
      </c>
      <c r="AN1054" s="2137">
        <f>Q1054-'Blocking-Step2'!Q1054</f>
        <v>0</v>
      </c>
      <c r="AP1054" s="2127">
        <f>S1054-'Blocking-Step2'!S1054</f>
        <v>-1286312</v>
      </c>
      <c r="AR1054" s="2127">
        <f>U1054-'Blocking-Step2'!U1054</f>
        <v>1286314</v>
      </c>
      <c r="AT1054" s="2127">
        <f>W1054-'Blocking-Step2'!W1054</f>
        <v>0</v>
      </c>
      <c r="AV1054" s="2128">
        <f>Y1054-'Blocking-Step2'!Y1054</f>
        <v>0</v>
      </c>
    </row>
    <row r="1055" spans="1:48" ht="16.5" thickTop="1">
      <c r="C1055" s="1105"/>
      <c r="D1055" s="1105"/>
      <c r="Z1055" s="2114">
        <f>C1055-'Blocking-Step2'!C1055</f>
        <v>0</v>
      </c>
      <c r="AA1055" s="2114">
        <f>D1055-'Blocking-Step2'!D1055</f>
        <v>0</v>
      </c>
      <c r="AC1055" s="2114">
        <f>F1055-'Blocking-Step2'!F1055</f>
        <v>0</v>
      </c>
      <c r="AE1055" s="2114">
        <f>H1055-'Blocking-Step2'!H1055</f>
        <v>0</v>
      </c>
      <c r="AF1055" s="2114">
        <f>I1055-'Blocking-Step2'!I1055</f>
        <v>0</v>
      </c>
      <c r="AH1055" s="2136">
        <f>K1055-'Blocking-Step2'!K1055</f>
        <v>0</v>
      </c>
      <c r="AJ1055" s="2136">
        <f>M1055-'Blocking-Step2'!M1055</f>
        <v>0</v>
      </c>
      <c r="AL1055" s="2136">
        <f>O1055-'Blocking-Step2'!O1055</f>
        <v>0</v>
      </c>
      <c r="AN1055" s="2137">
        <f>Q1055-'Blocking-Step2'!Q1055</f>
        <v>0</v>
      </c>
      <c r="AP1055" s="2127">
        <f>S1055-'Blocking-Step2'!S1055</f>
        <v>0</v>
      </c>
      <c r="AR1055" s="2127">
        <f>U1055-'Blocking-Step2'!U1055</f>
        <v>0</v>
      </c>
      <c r="AT1055" s="2127">
        <f>W1055-'Blocking-Step2'!W1055</f>
        <v>0</v>
      </c>
      <c r="AV1055" s="2128">
        <f>Y1055-'Blocking-Step2'!Y1055</f>
        <v>0</v>
      </c>
    </row>
    <row r="1056" spans="1:48">
      <c r="A1056" s="1115" t="s">
        <v>985</v>
      </c>
      <c r="C1056" s="1105"/>
      <c r="D1056" s="1105"/>
      <c r="F1056" s="1106"/>
      <c r="G1056" s="1107"/>
      <c r="K1056" s="1106"/>
      <c r="L1056" s="1107"/>
      <c r="M1056" s="1106"/>
      <c r="N1056" s="1107"/>
      <c r="O1056" s="1106"/>
      <c r="P1056" s="1107"/>
      <c r="Q1056" s="1106"/>
      <c r="R1056" s="1107"/>
      <c r="S1056" s="1114"/>
      <c r="T1056" s="1114"/>
      <c r="U1056" s="1114"/>
      <c r="V1056" s="1114"/>
      <c r="W1056" s="1114"/>
      <c r="X1056" s="1114"/>
      <c r="Z1056" s="2114">
        <f>C1056-'Blocking-Step2'!C1056</f>
        <v>0</v>
      </c>
      <c r="AA1056" s="2114">
        <f>D1056-'Blocking-Step2'!D1056</f>
        <v>0</v>
      </c>
      <c r="AC1056" s="2114">
        <f>F1056-'Blocking-Step2'!F1056</f>
        <v>0</v>
      </c>
      <c r="AE1056" s="2114">
        <f>H1056-'Blocking-Step2'!H1056</f>
        <v>0</v>
      </c>
      <c r="AF1056" s="2114">
        <f>I1056-'Blocking-Step2'!I1056</f>
        <v>0</v>
      </c>
      <c r="AH1056" s="2136">
        <f>K1056-'Blocking-Step2'!K1056</f>
        <v>0</v>
      </c>
      <c r="AJ1056" s="2136">
        <f>M1056-'Blocking-Step2'!M1056</f>
        <v>0</v>
      </c>
      <c r="AL1056" s="2136">
        <f>O1056-'Blocking-Step2'!O1056</f>
        <v>0</v>
      </c>
      <c r="AN1056" s="2137">
        <f>Q1056-'Blocking-Step2'!Q1056</f>
        <v>0</v>
      </c>
      <c r="AP1056" s="2127">
        <f>S1056-'Blocking-Step2'!S1056</f>
        <v>0</v>
      </c>
      <c r="AR1056" s="2127">
        <f>U1056-'Blocking-Step2'!U1056</f>
        <v>0</v>
      </c>
      <c r="AT1056" s="2127">
        <f>W1056-'Blocking-Step2'!W1056</f>
        <v>0</v>
      </c>
      <c r="AV1056" s="2128">
        <f>Y1056-'Blocking-Step2'!Y1056</f>
        <v>0</v>
      </c>
    </row>
    <row r="1057" spans="1:48">
      <c r="A1057" s="1116" t="s">
        <v>1910</v>
      </c>
      <c r="C1057" s="1105">
        <v>519342.45261118939</v>
      </c>
      <c r="D1057" s="1105">
        <v>1790597.1011697315</v>
      </c>
      <c r="E1057" s="617"/>
      <c r="F1057" s="1143"/>
      <c r="G1057" s="1921"/>
      <c r="H1057" s="1146"/>
      <c r="I1057" s="1146"/>
      <c r="J1057" s="617"/>
      <c r="K1057" s="1143">
        <v>1.657</v>
      </c>
      <c r="L1057" s="1921" t="s">
        <v>495</v>
      </c>
      <c r="M1057" s="1143">
        <v>19.370528114911814</v>
      </c>
      <c r="N1057" s="1921" t="s">
        <v>495</v>
      </c>
      <c r="O1057" s="1143">
        <v>1.3496999999999999</v>
      </c>
      <c r="P1057" s="1921" t="s">
        <v>495</v>
      </c>
      <c r="Q1057" s="1143">
        <v>22.377228114911812</v>
      </c>
      <c r="R1057" s="1921" t="s">
        <v>495</v>
      </c>
      <c r="S1057" s="1146">
        <v>29670</v>
      </c>
      <c r="T1057" s="1648"/>
      <c r="U1057" s="1146">
        <v>346848</v>
      </c>
      <c r="V1057" s="1648"/>
      <c r="W1057" s="1146">
        <v>24168</v>
      </c>
      <c r="X1057" s="1648"/>
      <c r="Y1057" s="1146">
        <v>400686</v>
      </c>
      <c r="Z1057" s="2114">
        <f>C1057-'Blocking-Step2'!C1057</f>
        <v>0</v>
      </c>
      <c r="AA1057" s="2114">
        <f>D1057-'Blocking-Step2'!D1057</f>
        <v>0</v>
      </c>
      <c r="AC1057" s="2114">
        <f>F1057-'Blocking-Step2'!F1057</f>
        <v>0</v>
      </c>
      <c r="AE1057" s="2114">
        <f>H1057-'Blocking-Step2'!H1057</f>
        <v>0</v>
      </c>
      <c r="AF1057" s="2114">
        <f>I1057-'Blocking-Step2'!I1057</f>
        <v>0</v>
      </c>
      <c r="AH1057" s="2136">
        <f>K1057-'Blocking-Step2'!K1057</f>
        <v>-2.2955000000000001</v>
      </c>
      <c r="AJ1057" s="2136">
        <f>M1057-'Blocking-Step2'!M1057</f>
        <v>2.2955000000000005</v>
      </c>
      <c r="AL1057" s="2136">
        <f>O1057-'Blocking-Step2'!O1057</f>
        <v>0</v>
      </c>
      <c r="AN1057" s="2137">
        <f>Q1057-'Blocking-Step2'!Q1057</f>
        <v>0</v>
      </c>
      <c r="AP1057" s="2127">
        <f>S1057-'Blocking-Step2'!S1057</f>
        <v>-41103</v>
      </c>
      <c r="AR1057" s="2127">
        <f>U1057-'Blocking-Step2'!U1057</f>
        <v>41103</v>
      </c>
      <c r="AT1057" s="2127">
        <f>W1057-'Blocking-Step2'!W1057</f>
        <v>0</v>
      </c>
      <c r="AV1057" s="2128">
        <f>Y1057-'Blocking-Step2'!Y1057</f>
        <v>0</v>
      </c>
    </row>
    <row r="1058" spans="1:48">
      <c r="A1058" s="1116" t="s">
        <v>1911</v>
      </c>
      <c r="C1058" s="1105">
        <v>1065674.9503393981</v>
      </c>
      <c r="D1058" s="1105">
        <v>3521773</v>
      </c>
      <c r="E1058" s="617"/>
      <c r="F1058" s="1143"/>
      <c r="G1058" s="1921"/>
      <c r="H1058" s="1146"/>
      <c r="I1058" s="1146"/>
      <c r="J1058" s="617"/>
      <c r="K1058" s="1143">
        <v>1.657</v>
      </c>
      <c r="L1058" s="1921" t="s">
        <v>495</v>
      </c>
      <c r="M1058" s="1143">
        <v>1.3803172825590004</v>
      </c>
      <c r="N1058" s="1921" t="s">
        <v>495</v>
      </c>
      <c r="O1058" s="1143">
        <v>1.3496999999999999</v>
      </c>
      <c r="P1058" s="1921" t="s">
        <v>495</v>
      </c>
      <c r="Q1058" s="1143">
        <v>4.3870172825590004</v>
      </c>
      <c r="R1058" s="1921" t="s">
        <v>495</v>
      </c>
      <c r="S1058" s="1146">
        <v>58356</v>
      </c>
      <c r="T1058" s="1648"/>
      <c r="U1058" s="1146">
        <v>48612</v>
      </c>
      <c r="V1058" s="1648"/>
      <c r="W1058" s="1146">
        <v>47533</v>
      </c>
      <c r="X1058" s="1648"/>
      <c r="Y1058" s="1146">
        <v>154501</v>
      </c>
      <c r="Z1058" s="2114">
        <f>C1058-'Blocking-Step2'!C1058</f>
        <v>0</v>
      </c>
      <c r="AA1058" s="2114">
        <f>D1058-'Blocking-Step2'!D1058</f>
        <v>0</v>
      </c>
      <c r="AC1058" s="2114">
        <f>F1058-'Blocking-Step2'!F1058</f>
        <v>0</v>
      </c>
      <c r="AE1058" s="2114">
        <f>H1058-'Blocking-Step2'!H1058</f>
        <v>0</v>
      </c>
      <c r="AF1058" s="2114">
        <f>I1058-'Blocking-Step2'!I1058</f>
        <v>0</v>
      </c>
      <c r="AH1058" s="2136">
        <f>K1058-'Blocking-Step2'!K1058</f>
        <v>-2.2955000000000001</v>
      </c>
      <c r="AJ1058" s="2136">
        <f>M1058-'Blocking-Step2'!M1058</f>
        <v>2.2955000000000001</v>
      </c>
      <c r="AL1058" s="2136">
        <f>O1058-'Blocking-Step2'!O1058</f>
        <v>0</v>
      </c>
      <c r="AN1058" s="2137">
        <f>Q1058-'Blocking-Step2'!Q1058</f>
        <v>0</v>
      </c>
      <c r="AP1058" s="2127">
        <f>S1058-'Blocking-Step2'!S1058</f>
        <v>-80842</v>
      </c>
      <c r="AR1058" s="2127">
        <f>U1058-'Blocking-Step2'!U1058</f>
        <v>80843</v>
      </c>
      <c r="AT1058" s="2127">
        <f>W1058-'Blocking-Step2'!W1058</f>
        <v>0</v>
      </c>
      <c r="AV1058" s="2128">
        <f>Y1058-'Blocking-Step2'!Y1058</f>
        <v>0</v>
      </c>
    </row>
    <row r="1059" spans="1:48">
      <c r="A1059" s="1116" t="s">
        <v>1912</v>
      </c>
      <c r="C1059" s="1105">
        <v>1569625.3669775294</v>
      </c>
      <c r="D1059" s="1105">
        <v>5330608</v>
      </c>
      <c r="E1059" s="617"/>
      <c r="F1059" s="1143"/>
      <c r="G1059" s="1921"/>
      <c r="H1059" s="1146"/>
      <c r="I1059" s="1146"/>
      <c r="J1059" s="617"/>
      <c r="K1059" s="1143">
        <v>1.657</v>
      </c>
      <c r="L1059" s="1921" t="s">
        <v>495</v>
      </c>
      <c r="M1059" s="1143">
        <v>16.951500000000003</v>
      </c>
      <c r="N1059" s="1921" t="s">
        <v>495</v>
      </c>
      <c r="O1059" s="1143">
        <v>1.1943999999999999</v>
      </c>
      <c r="P1059" s="1921" t="s">
        <v>495</v>
      </c>
      <c r="Q1059" s="1143">
        <v>19.802900000000001</v>
      </c>
      <c r="R1059" s="1921" t="s">
        <v>495</v>
      </c>
      <c r="S1059" s="1146">
        <v>88328</v>
      </c>
      <c r="T1059" s="1648"/>
      <c r="U1059" s="1146">
        <v>903618</v>
      </c>
      <c r="V1059" s="1648"/>
      <c r="W1059" s="1146">
        <v>63669</v>
      </c>
      <c r="X1059" s="1648"/>
      <c r="Y1059" s="1146">
        <v>1055615</v>
      </c>
      <c r="Z1059" s="2114">
        <f>C1059-'Blocking-Step2'!C1059</f>
        <v>0</v>
      </c>
      <c r="AA1059" s="2114">
        <f>D1059-'Blocking-Step2'!D1059</f>
        <v>0</v>
      </c>
      <c r="AC1059" s="2114">
        <f>F1059-'Blocking-Step2'!F1059</f>
        <v>0</v>
      </c>
      <c r="AE1059" s="2114">
        <f>H1059-'Blocking-Step2'!H1059</f>
        <v>0</v>
      </c>
      <c r="AF1059" s="2114">
        <f>I1059-'Blocking-Step2'!I1059</f>
        <v>0</v>
      </c>
      <c r="AH1059" s="2136">
        <f>K1059-'Blocking-Step2'!K1059</f>
        <v>-2.2955000000000001</v>
      </c>
      <c r="AJ1059" s="2136">
        <f>M1059-'Blocking-Step2'!M1059</f>
        <v>2.2955000000000023</v>
      </c>
      <c r="AL1059" s="2136">
        <f>O1059-'Blocking-Step2'!O1059</f>
        <v>0</v>
      </c>
      <c r="AN1059" s="2137">
        <f>Q1059-'Blocking-Step2'!Q1059</f>
        <v>0</v>
      </c>
      <c r="AP1059" s="2127">
        <f>S1059-'Blocking-Step2'!S1059</f>
        <v>-122364</v>
      </c>
      <c r="AR1059" s="2127">
        <f>U1059-'Blocking-Step2'!U1059</f>
        <v>122364</v>
      </c>
      <c r="AT1059" s="2127">
        <f>W1059-'Blocking-Step2'!W1059</f>
        <v>0</v>
      </c>
      <c r="AV1059" s="2128">
        <f>Y1059-'Blocking-Step2'!Y1059</f>
        <v>0</v>
      </c>
    </row>
    <row r="1060" spans="1:48">
      <c r="A1060" s="1116" t="s">
        <v>1913</v>
      </c>
      <c r="C1060" s="1105">
        <v>4146826.5803954229</v>
      </c>
      <c r="D1060" s="1105">
        <v>12790668</v>
      </c>
      <c r="E1060" s="617"/>
      <c r="F1060" s="1143"/>
      <c r="G1060" s="1921"/>
      <c r="H1060" s="1146"/>
      <c r="I1060" s="1146"/>
      <c r="J1060" s="617"/>
      <c r="K1060" s="1143">
        <v>1.657</v>
      </c>
      <c r="L1060" s="1921" t="s">
        <v>495</v>
      </c>
      <c r="M1060" s="1143">
        <v>1.0308999999999999</v>
      </c>
      <c r="N1060" s="1921" t="s">
        <v>495</v>
      </c>
      <c r="O1060" s="1143">
        <v>1.1943999999999999</v>
      </c>
      <c r="P1060" s="1921" t="s">
        <v>495</v>
      </c>
      <c r="Q1060" s="1143">
        <v>3.8822999999999999</v>
      </c>
      <c r="R1060" s="1921" t="s">
        <v>495</v>
      </c>
      <c r="S1060" s="1146">
        <v>211941</v>
      </c>
      <c r="T1060" s="1648"/>
      <c r="U1060" s="1146">
        <v>131859</v>
      </c>
      <c r="V1060" s="1648"/>
      <c r="W1060" s="1146">
        <v>152772</v>
      </c>
      <c r="X1060" s="1648"/>
      <c r="Y1060" s="1146">
        <v>496572</v>
      </c>
      <c r="Z1060" s="2114">
        <f>C1060-'Blocking-Step2'!C1060</f>
        <v>0</v>
      </c>
      <c r="AA1060" s="2114">
        <f>D1060-'Blocking-Step2'!D1060</f>
        <v>0</v>
      </c>
      <c r="AC1060" s="2114">
        <f>F1060-'Blocking-Step2'!F1060</f>
        <v>0</v>
      </c>
      <c r="AE1060" s="2114">
        <f>H1060-'Blocking-Step2'!H1060</f>
        <v>0</v>
      </c>
      <c r="AF1060" s="2114">
        <f>I1060-'Blocking-Step2'!I1060</f>
        <v>0</v>
      </c>
      <c r="AH1060" s="2136">
        <f>K1060-'Blocking-Step2'!K1060</f>
        <v>-2.2955000000000001</v>
      </c>
      <c r="AJ1060" s="2136">
        <f>M1060-'Blocking-Step2'!M1060</f>
        <v>2.2955000000000001</v>
      </c>
      <c r="AL1060" s="2136">
        <f>O1060-'Blocking-Step2'!O1060</f>
        <v>0</v>
      </c>
      <c r="AN1060" s="2137">
        <f>Q1060-'Blocking-Step2'!Q1060</f>
        <v>0</v>
      </c>
      <c r="AP1060" s="2127">
        <f>S1060-'Blocking-Step2'!S1060</f>
        <v>-293610</v>
      </c>
      <c r="AR1060" s="2127">
        <f>U1060-'Blocking-Step2'!U1060</f>
        <v>293610</v>
      </c>
      <c r="AT1060" s="2127">
        <f>W1060-'Blocking-Step2'!W1060</f>
        <v>0</v>
      </c>
      <c r="AV1060" s="2128">
        <f>Y1060-'Blocking-Step2'!Y1060</f>
        <v>0</v>
      </c>
    </row>
    <row r="1061" spans="1:48">
      <c r="A1061" s="1116" t="s">
        <v>1906</v>
      </c>
      <c r="C1061" s="1105">
        <v>935529.56781097292</v>
      </c>
      <c r="D1061" s="1105">
        <v>3345042.1011697315</v>
      </c>
      <c r="E1061" s="617"/>
      <c r="F1061" s="1143"/>
      <c r="G1061" s="1921"/>
      <c r="H1061" s="1146"/>
      <c r="I1061" s="1146"/>
      <c r="J1061" s="617"/>
      <c r="K1061" s="1143">
        <v>0</v>
      </c>
      <c r="L1061" s="1921" t="s">
        <v>495</v>
      </c>
      <c r="M1061" s="1143">
        <v>0</v>
      </c>
      <c r="N1061" s="1921" t="s">
        <v>495</v>
      </c>
      <c r="O1061" s="1143">
        <v>6</v>
      </c>
      <c r="P1061" s="1921" t="s">
        <v>495</v>
      </c>
      <c r="Q1061" s="1143">
        <v>6</v>
      </c>
      <c r="R1061" s="1921" t="s">
        <v>495</v>
      </c>
      <c r="S1061" s="1146">
        <v>0</v>
      </c>
      <c r="T1061" s="1648"/>
      <c r="U1061" s="1146">
        <v>0</v>
      </c>
      <c r="V1061" s="1648"/>
      <c r="W1061" s="1146">
        <v>200703</v>
      </c>
      <c r="X1061" s="1648"/>
      <c r="Y1061" s="1146">
        <v>200703</v>
      </c>
      <c r="Z1061" s="2114">
        <f>C1061-'Blocking-Step2'!C1061</f>
        <v>0</v>
      </c>
      <c r="AA1061" s="2114">
        <f>D1061-'Blocking-Step2'!D1061</f>
        <v>0</v>
      </c>
      <c r="AC1061" s="2114">
        <f>F1061-'Blocking-Step2'!F1061</f>
        <v>0</v>
      </c>
      <c r="AE1061" s="2114">
        <f>H1061-'Blocking-Step2'!H1061</f>
        <v>0</v>
      </c>
      <c r="AF1061" s="2114">
        <f>I1061-'Blocking-Step2'!I1061</f>
        <v>0</v>
      </c>
      <c r="AH1061" s="2136">
        <f>K1061-'Blocking-Step2'!K1061</f>
        <v>0</v>
      </c>
      <c r="AJ1061" s="2136">
        <f>M1061-'Blocking-Step2'!M1061</f>
        <v>0</v>
      </c>
      <c r="AL1061" s="2136">
        <f>O1061-'Blocking-Step2'!O1061</f>
        <v>0</v>
      </c>
      <c r="AN1061" s="2137">
        <f>Q1061-'Blocking-Step2'!Q1061</f>
        <v>0</v>
      </c>
      <c r="AP1061" s="2127">
        <f>S1061-'Blocking-Step2'!S1061</f>
        <v>0</v>
      </c>
      <c r="AR1061" s="2127">
        <f>U1061-'Blocking-Step2'!U1061</f>
        <v>0</v>
      </c>
      <c r="AT1061" s="2127">
        <f>W1061-'Blocking-Step2'!W1061</f>
        <v>0</v>
      </c>
      <c r="AV1061" s="2128">
        <f>Y1061-'Blocking-Step2'!Y1061</f>
        <v>0</v>
      </c>
    </row>
    <row r="1062" spans="1:48">
      <c r="A1062" s="1116" t="s">
        <v>1907</v>
      </c>
      <c r="C1062" s="1105">
        <v>649487.83513961465</v>
      </c>
      <c r="D1062" s="1105">
        <v>1967328</v>
      </c>
      <c r="E1062" s="617"/>
      <c r="F1062" s="1143"/>
      <c r="G1062" s="1921"/>
      <c r="H1062" s="1146"/>
      <c r="I1062" s="1146"/>
      <c r="J1062" s="617"/>
      <c r="K1062" s="1143">
        <v>0</v>
      </c>
      <c r="L1062" s="1921" t="s">
        <v>495</v>
      </c>
      <c r="M1062" s="1143">
        <v>0</v>
      </c>
      <c r="N1062" s="1921" t="s">
        <v>495</v>
      </c>
      <c r="O1062" s="1143">
        <v>-2.3358000000000008</v>
      </c>
      <c r="P1062" s="1921" t="s">
        <v>495</v>
      </c>
      <c r="Q1062" s="1143">
        <v>-2.3358000000000008</v>
      </c>
      <c r="R1062" s="1921" t="s">
        <v>495</v>
      </c>
      <c r="S1062" s="1146">
        <v>0</v>
      </c>
      <c r="T1062" s="1648"/>
      <c r="U1062" s="1146">
        <v>0</v>
      </c>
      <c r="V1062" s="1648"/>
      <c r="W1062" s="1146">
        <v>-45953</v>
      </c>
      <c r="X1062" s="1648"/>
      <c r="Y1062" s="1146">
        <v>-45953</v>
      </c>
      <c r="Z1062" s="2114">
        <f>C1062-'Blocking-Step2'!C1062</f>
        <v>0</v>
      </c>
      <c r="AA1062" s="2114">
        <f>D1062-'Blocking-Step2'!D1062</f>
        <v>0</v>
      </c>
      <c r="AC1062" s="2114">
        <f>F1062-'Blocking-Step2'!F1062</f>
        <v>0</v>
      </c>
      <c r="AE1062" s="2114">
        <f>H1062-'Blocking-Step2'!H1062</f>
        <v>0</v>
      </c>
      <c r="AF1062" s="2114">
        <f>I1062-'Blocking-Step2'!I1062</f>
        <v>0</v>
      </c>
      <c r="AH1062" s="2136">
        <f>K1062-'Blocking-Step2'!K1062</f>
        <v>0</v>
      </c>
      <c r="AJ1062" s="2136">
        <f>M1062-'Blocking-Step2'!M1062</f>
        <v>0</v>
      </c>
      <c r="AL1062" s="2136">
        <f>O1062-'Blocking-Step2'!O1062</f>
        <v>0</v>
      </c>
      <c r="AN1062" s="2137">
        <f>Q1062-'Blocking-Step2'!Q1062</f>
        <v>0</v>
      </c>
      <c r="AP1062" s="2127">
        <f>S1062-'Blocking-Step2'!S1062</f>
        <v>0</v>
      </c>
      <c r="AR1062" s="2127">
        <f>U1062-'Blocking-Step2'!U1062</f>
        <v>0</v>
      </c>
      <c r="AT1062" s="2127">
        <f>W1062-'Blocking-Step2'!W1062</f>
        <v>0</v>
      </c>
      <c r="AV1062" s="2128">
        <f>Y1062-'Blocking-Step2'!Y1062</f>
        <v>0</v>
      </c>
    </row>
    <row r="1063" spans="1:48">
      <c r="A1063" s="1116" t="s">
        <v>1908</v>
      </c>
      <c r="C1063" s="1105">
        <v>3267750.5148829855</v>
      </c>
      <c r="D1063" s="1105">
        <v>10972800</v>
      </c>
      <c r="E1063" s="617"/>
      <c r="F1063" s="1143"/>
      <c r="G1063" s="1921"/>
      <c r="H1063" s="1146"/>
      <c r="I1063" s="1146"/>
      <c r="J1063" s="617"/>
      <c r="K1063" s="1143">
        <v>0</v>
      </c>
      <c r="L1063" s="1921" t="s">
        <v>495</v>
      </c>
      <c r="M1063" s="1143">
        <v>0</v>
      </c>
      <c r="N1063" s="1921" t="s">
        <v>495</v>
      </c>
      <c r="O1063" s="1143">
        <v>5.3097000000000003</v>
      </c>
      <c r="P1063" s="1921" t="s">
        <v>495</v>
      </c>
      <c r="Q1063" s="1143">
        <v>5.3097000000000003</v>
      </c>
      <c r="R1063" s="1921" t="s">
        <v>495</v>
      </c>
      <c r="S1063" s="1146">
        <v>0</v>
      </c>
      <c r="T1063" s="1648"/>
      <c r="U1063" s="1146">
        <v>0</v>
      </c>
      <c r="V1063" s="1648"/>
      <c r="W1063" s="1146">
        <v>582623</v>
      </c>
      <c r="X1063" s="1648"/>
      <c r="Y1063" s="1146">
        <v>582623</v>
      </c>
      <c r="Z1063" s="2114">
        <f>C1063-'Blocking-Step2'!C1063</f>
        <v>0</v>
      </c>
      <c r="AA1063" s="2114">
        <f>D1063-'Blocking-Step2'!D1063</f>
        <v>0</v>
      </c>
      <c r="AC1063" s="2114">
        <f>F1063-'Blocking-Step2'!F1063</f>
        <v>0</v>
      </c>
      <c r="AE1063" s="2114">
        <f>H1063-'Blocking-Step2'!H1063</f>
        <v>0</v>
      </c>
      <c r="AF1063" s="2114">
        <f>I1063-'Blocking-Step2'!I1063</f>
        <v>0</v>
      </c>
      <c r="AH1063" s="2136">
        <f>K1063-'Blocking-Step2'!K1063</f>
        <v>0</v>
      </c>
      <c r="AJ1063" s="2136">
        <f>M1063-'Blocking-Step2'!M1063</f>
        <v>0</v>
      </c>
      <c r="AL1063" s="2136">
        <f>O1063-'Blocking-Step2'!O1063</f>
        <v>0</v>
      </c>
      <c r="AN1063" s="2137">
        <f>Q1063-'Blocking-Step2'!Q1063</f>
        <v>0</v>
      </c>
      <c r="AP1063" s="2127">
        <f>S1063-'Blocking-Step2'!S1063</f>
        <v>0</v>
      </c>
      <c r="AR1063" s="2127">
        <f>U1063-'Blocking-Step2'!U1063</f>
        <v>0</v>
      </c>
      <c r="AT1063" s="2127">
        <f>W1063-'Blocking-Step2'!W1063</f>
        <v>0</v>
      </c>
      <c r="AV1063" s="2128">
        <f>Y1063-'Blocking-Step2'!Y1063</f>
        <v>0</v>
      </c>
    </row>
    <row r="1064" spans="1:48">
      <c r="A1064" s="1116" t="s">
        <v>1909</v>
      </c>
      <c r="C1064" s="1105">
        <v>2448701.432489967</v>
      </c>
      <c r="D1064" s="1105">
        <v>7148476</v>
      </c>
      <c r="E1064" s="617"/>
      <c r="F1064" s="1143"/>
      <c r="G1064" s="1921"/>
      <c r="H1064" s="1146"/>
      <c r="I1064" s="1146"/>
      <c r="J1064" s="617"/>
      <c r="K1064" s="1143">
        <v>0</v>
      </c>
      <c r="L1064" s="1921" t="s">
        <v>495</v>
      </c>
      <c r="M1064" s="1143">
        <v>0</v>
      </c>
      <c r="N1064" s="1921" t="s">
        <v>495</v>
      </c>
      <c r="O1064" s="1143">
        <v>-2.0670999999999999</v>
      </c>
      <c r="P1064" s="1921" t="s">
        <v>495</v>
      </c>
      <c r="Q1064" s="1143">
        <v>-2.0670999999999999</v>
      </c>
      <c r="R1064" s="1921" t="s">
        <v>495</v>
      </c>
      <c r="S1064" s="1146">
        <v>0</v>
      </c>
      <c r="T1064" s="1648"/>
      <c r="U1064" s="1146">
        <v>0</v>
      </c>
      <c r="V1064" s="1648"/>
      <c r="W1064" s="1146">
        <v>-147766</v>
      </c>
      <c r="X1064" s="1648"/>
      <c r="Y1064" s="1146">
        <v>-147766</v>
      </c>
      <c r="Z1064" s="2114">
        <f>C1064-'Blocking-Step2'!C1064</f>
        <v>0</v>
      </c>
      <c r="AA1064" s="2114">
        <f>D1064-'Blocking-Step2'!D1064</f>
        <v>0</v>
      </c>
      <c r="AC1064" s="2114">
        <f>F1064-'Blocking-Step2'!F1064</f>
        <v>0</v>
      </c>
      <c r="AE1064" s="2114">
        <f>H1064-'Blocking-Step2'!H1064</f>
        <v>0</v>
      </c>
      <c r="AF1064" s="2114">
        <f>I1064-'Blocking-Step2'!I1064</f>
        <v>0</v>
      </c>
      <c r="AH1064" s="2136">
        <f>K1064-'Blocking-Step2'!K1064</f>
        <v>0</v>
      </c>
      <c r="AJ1064" s="2136">
        <f>M1064-'Blocking-Step2'!M1064</f>
        <v>0</v>
      </c>
      <c r="AL1064" s="2136">
        <f>O1064-'Blocking-Step2'!O1064</f>
        <v>0</v>
      </c>
      <c r="AN1064" s="2137">
        <f>Q1064-'Blocking-Step2'!Q1064</f>
        <v>0</v>
      </c>
      <c r="AP1064" s="2127">
        <f>S1064-'Blocking-Step2'!S1064</f>
        <v>0</v>
      </c>
      <c r="AR1064" s="2127">
        <f>U1064-'Blocking-Step2'!U1064</f>
        <v>0</v>
      </c>
      <c r="AT1064" s="2127">
        <f>W1064-'Blocking-Step2'!W1064</f>
        <v>0</v>
      </c>
      <c r="AV1064" s="2128">
        <f>Y1064-'Blocking-Step2'!Y1064</f>
        <v>0</v>
      </c>
    </row>
    <row r="1065" spans="1:48">
      <c r="A1065" s="1116" t="s">
        <v>240</v>
      </c>
      <c r="C1065" s="1105">
        <v>1245.7333333333333</v>
      </c>
      <c r="D1065" s="1105">
        <v>1797</v>
      </c>
      <c r="F1065" s="1907">
        <v>54</v>
      </c>
      <c r="G1065" s="1110"/>
      <c r="H1065" s="1146">
        <v>67270</v>
      </c>
      <c r="I1065" s="1146">
        <v>97038</v>
      </c>
      <c r="K1065" s="1907">
        <v>54</v>
      </c>
      <c r="L1065" s="1110"/>
      <c r="M1065" s="1907">
        <v>0</v>
      </c>
      <c r="N1065" s="1110"/>
      <c r="O1065" s="1907">
        <v>0</v>
      </c>
      <c r="P1065" s="1110"/>
      <c r="Q1065" s="1907">
        <v>54</v>
      </c>
      <c r="R1065" s="1110"/>
      <c r="S1065" s="1146">
        <v>97038</v>
      </c>
      <c r="T1065" s="1629"/>
      <c r="U1065" s="1146">
        <v>0</v>
      </c>
      <c r="V1065" s="1629"/>
      <c r="W1065" s="1146">
        <v>0</v>
      </c>
      <c r="X1065" s="1629"/>
      <c r="Y1065" s="1146">
        <v>97038</v>
      </c>
      <c r="Z1065" s="2114">
        <f>C1065-'Blocking-Step2'!C1065</f>
        <v>0</v>
      </c>
      <c r="AA1065" s="2114">
        <f>D1065-'Blocking-Step2'!D1065</f>
        <v>0</v>
      </c>
      <c r="AC1065" s="2114">
        <f>F1065-'Blocking-Step2'!F1065</f>
        <v>0</v>
      </c>
      <c r="AE1065" s="2114">
        <f>H1065-'Blocking-Step2'!H1065</f>
        <v>0</v>
      </c>
      <c r="AF1065" s="2114">
        <f>I1065-'Blocking-Step2'!I1065</f>
        <v>0</v>
      </c>
      <c r="AH1065" s="2136">
        <f>K1065-'Blocking-Step2'!K1065</f>
        <v>0</v>
      </c>
      <c r="AJ1065" s="2136">
        <f>M1065-'Blocking-Step2'!M1065</f>
        <v>0</v>
      </c>
      <c r="AL1065" s="2136">
        <f>O1065-'Blocking-Step2'!O1065</f>
        <v>0</v>
      </c>
      <c r="AN1065" s="2137">
        <f>Q1065-'Blocking-Step2'!Q1065</f>
        <v>0</v>
      </c>
      <c r="AP1065" s="2127">
        <f>S1065-'Blocking-Step2'!S1065</f>
        <v>0</v>
      </c>
      <c r="AR1065" s="2127">
        <f>U1065-'Blocking-Step2'!U1065</f>
        <v>0</v>
      </c>
      <c r="AT1065" s="2127">
        <f>W1065-'Blocking-Step2'!W1065</f>
        <v>0</v>
      </c>
      <c r="AV1065" s="2128">
        <f>Y1065-'Blocking-Step2'!Y1065</f>
        <v>0</v>
      </c>
    </row>
    <row r="1066" spans="1:48">
      <c r="A1066" s="1116" t="s">
        <v>157</v>
      </c>
      <c r="C1066" s="1105">
        <v>58468.518404907991</v>
      </c>
      <c r="D1066" s="1105">
        <v>93220</v>
      </c>
      <c r="E1066" s="617"/>
      <c r="F1066" s="1907">
        <v>6.52</v>
      </c>
      <c r="G1066" s="1110"/>
      <c r="H1066" s="1146">
        <v>381215</v>
      </c>
      <c r="I1066" s="1146">
        <v>607794</v>
      </c>
      <c r="J1066" s="617"/>
      <c r="K1066" s="1907"/>
      <c r="L1066" s="1110"/>
      <c r="M1066" s="1907"/>
      <c r="N1066" s="1110"/>
      <c r="O1066" s="1907"/>
      <c r="P1066" s="1110"/>
      <c r="Q1066" s="1907"/>
      <c r="R1066" s="1110"/>
      <c r="S1066" s="1146"/>
      <c r="T1066" s="1114"/>
      <c r="U1066" s="1146"/>
      <c r="V1066" s="1114"/>
      <c r="W1066" s="1146"/>
      <c r="X1066" s="1629"/>
      <c r="Y1066" s="1146"/>
      <c r="Z1066" s="2114">
        <f>C1066-'Blocking-Step2'!C1066</f>
        <v>0</v>
      </c>
      <c r="AA1066" s="2114">
        <f>D1066-'Blocking-Step2'!D1066</f>
        <v>0</v>
      </c>
      <c r="AC1066" s="2114">
        <f>F1066-'Blocking-Step2'!F1066</f>
        <v>0</v>
      </c>
      <c r="AE1066" s="2114">
        <f>H1066-'Blocking-Step2'!H1066</f>
        <v>0</v>
      </c>
      <c r="AF1066" s="2114">
        <f>I1066-'Blocking-Step2'!I1066</f>
        <v>0</v>
      </c>
      <c r="AH1066" s="2136">
        <f>K1066-'Blocking-Step2'!K1066</f>
        <v>0</v>
      </c>
      <c r="AJ1066" s="2136">
        <f>M1066-'Blocking-Step2'!M1066</f>
        <v>0</v>
      </c>
      <c r="AL1066" s="2136">
        <f>O1066-'Blocking-Step2'!O1066</f>
        <v>0</v>
      </c>
      <c r="AN1066" s="2137">
        <f>Q1066-'Blocking-Step2'!Q1066</f>
        <v>0</v>
      </c>
      <c r="AP1066" s="2127">
        <f>S1066-'Blocking-Step2'!S1066</f>
        <v>0</v>
      </c>
      <c r="AR1066" s="2127">
        <f>U1066-'Blocking-Step2'!U1066</f>
        <v>0</v>
      </c>
      <c r="AT1066" s="2127">
        <f>W1066-'Blocking-Step2'!W1066</f>
        <v>0</v>
      </c>
      <c r="AV1066" s="2128">
        <f>Y1066-'Blocking-Step2'!Y1066</f>
        <v>0</v>
      </c>
    </row>
    <row r="1067" spans="1:48">
      <c r="A1067" s="1116" t="s">
        <v>162</v>
      </c>
      <c r="C1067" s="1105">
        <v>83822.155393053035</v>
      </c>
      <c r="D1067" s="1105">
        <v>132834</v>
      </c>
      <c r="E1067" s="617"/>
      <c r="F1067" s="1907">
        <v>5.47</v>
      </c>
      <c r="G1067" s="1110"/>
      <c r="H1067" s="1146">
        <v>458507</v>
      </c>
      <c r="I1067" s="1146">
        <v>726602</v>
      </c>
      <c r="J1067" s="617"/>
      <c r="K1067" s="1907"/>
      <c r="L1067" s="1110"/>
      <c r="M1067" s="1907"/>
      <c r="N1067" s="1110"/>
      <c r="O1067" s="1907"/>
      <c r="P1067" s="1110"/>
      <c r="Q1067" s="1907"/>
      <c r="R1067" s="1110"/>
      <c r="S1067" s="1146"/>
      <c r="T1067" s="1114"/>
      <c r="U1067" s="1146"/>
      <c r="V1067" s="1114"/>
      <c r="W1067" s="1146"/>
      <c r="X1067" s="1629"/>
      <c r="Y1067" s="1146"/>
      <c r="Z1067" s="2114">
        <f>C1067-'Blocking-Step2'!C1067</f>
        <v>0</v>
      </c>
      <c r="AA1067" s="2114">
        <f>D1067-'Blocking-Step2'!D1067</f>
        <v>0</v>
      </c>
      <c r="AC1067" s="2114">
        <f>F1067-'Blocking-Step2'!F1067</f>
        <v>0</v>
      </c>
      <c r="AE1067" s="2114">
        <f>H1067-'Blocking-Step2'!H1067</f>
        <v>0</v>
      </c>
      <c r="AF1067" s="2114">
        <f>I1067-'Blocking-Step2'!I1067</f>
        <v>0</v>
      </c>
      <c r="AH1067" s="2136">
        <f>K1067-'Blocking-Step2'!K1067</f>
        <v>0</v>
      </c>
      <c r="AJ1067" s="2136">
        <f>M1067-'Blocking-Step2'!M1067</f>
        <v>0</v>
      </c>
      <c r="AL1067" s="2136">
        <f>O1067-'Blocking-Step2'!O1067</f>
        <v>0</v>
      </c>
      <c r="AN1067" s="2137">
        <f>Q1067-'Blocking-Step2'!Q1067</f>
        <v>0</v>
      </c>
      <c r="AP1067" s="2127">
        <f>S1067-'Blocking-Step2'!S1067</f>
        <v>0</v>
      </c>
      <c r="AR1067" s="2127">
        <f>U1067-'Blocking-Step2'!U1067</f>
        <v>0</v>
      </c>
      <c r="AT1067" s="2127">
        <f>W1067-'Blocking-Step2'!W1067</f>
        <v>0</v>
      </c>
      <c r="AV1067" s="2128">
        <f>Y1067-'Blocking-Step2'!Y1067</f>
        <v>0</v>
      </c>
    </row>
    <row r="1068" spans="1:48">
      <c r="A1068" s="1116" t="s">
        <v>261</v>
      </c>
      <c r="C1068" s="1105">
        <v>6358</v>
      </c>
      <c r="D1068" s="1105">
        <v>16106</v>
      </c>
      <c r="E1068" s="617"/>
      <c r="F1068" s="1907">
        <v>-0.61</v>
      </c>
      <c r="G1068" s="1110"/>
      <c r="H1068" s="1146">
        <v>-3878</v>
      </c>
      <c r="I1068" s="1146">
        <v>-9825</v>
      </c>
      <c r="J1068" s="617"/>
      <c r="K1068" s="1907">
        <v>-0.61</v>
      </c>
      <c r="L1068" s="1110"/>
      <c r="M1068" s="1907">
        <v>0</v>
      </c>
      <c r="N1068" s="1110"/>
      <c r="O1068" s="1907">
        <v>0</v>
      </c>
      <c r="P1068" s="1110"/>
      <c r="Q1068" s="1907">
        <v>-0.61</v>
      </c>
      <c r="R1068" s="1110"/>
      <c r="S1068" s="1146">
        <v>-9825</v>
      </c>
      <c r="T1068" s="1114"/>
      <c r="U1068" s="1146">
        <v>0</v>
      </c>
      <c r="V1068" s="1114"/>
      <c r="W1068" s="1146">
        <v>0</v>
      </c>
      <c r="X1068" s="1629"/>
      <c r="Y1068" s="1146">
        <v>-9825</v>
      </c>
      <c r="Z1068" s="2114">
        <f>C1068-'Blocking-Step2'!C1068</f>
        <v>0</v>
      </c>
      <c r="AA1068" s="2114">
        <f>D1068-'Blocking-Step2'!D1068</f>
        <v>0</v>
      </c>
      <c r="AC1068" s="2114">
        <f>F1068-'Blocking-Step2'!F1068</f>
        <v>0</v>
      </c>
      <c r="AE1068" s="2114">
        <f>H1068-'Blocking-Step2'!H1068</f>
        <v>0</v>
      </c>
      <c r="AF1068" s="2114">
        <f>I1068-'Blocking-Step2'!I1068</f>
        <v>0</v>
      </c>
      <c r="AH1068" s="2136">
        <f>K1068-'Blocking-Step2'!K1068</f>
        <v>0</v>
      </c>
      <c r="AJ1068" s="2136">
        <f>M1068-'Blocking-Step2'!M1068</f>
        <v>0</v>
      </c>
      <c r="AL1068" s="2136">
        <f>O1068-'Blocking-Step2'!O1068</f>
        <v>0</v>
      </c>
      <c r="AN1068" s="2137">
        <f>Q1068-'Blocking-Step2'!Q1068</f>
        <v>0</v>
      </c>
      <c r="AP1068" s="2127">
        <f>S1068-'Blocking-Step2'!S1068</f>
        <v>0</v>
      </c>
      <c r="AR1068" s="2127">
        <f>U1068-'Blocking-Step2'!U1068</f>
        <v>0</v>
      </c>
      <c r="AT1068" s="2127">
        <f>W1068-'Blocking-Step2'!W1068</f>
        <v>0</v>
      </c>
      <c r="AV1068" s="2128">
        <f>Y1068-'Blocking-Step2'!Y1068</f>
        <v>0</v>
      </c>
    </row>
    <row r="1069" spans="1:48">
      <c r="A1069" s="1116" t="s">
        <v>188</v>
      </c>
      <c r="C1069" s="1105">
        <v>2381003.0114695355</v>
      </c>
      <c r="D1069" s="1105">
        <v>4206143.1011697315</v>
      </c>
      <c r="E1069" s="617"/>
      <c r="F1069" s="1922">
        <v>11.926600000000001</v>
      </c>
      <c r="G1069" s="1921" t="s">
        <v>495</v>
      </c>
      <c r="H1069" s="1146">
        <v>283973</v>
      </c>
      <c r="I1069" s="1146">
        <v>501650</v>
      </c>
      <c r="J1069" s="617"/>
      <c r="K1069" s="1922"/>
      <c r="L1069" s="1921"/>
      <c r="M1069" s="1922"/>
      <c r="N1069" s="1921"/>
      <c r="O1069" s="1922"/>
      <c r="P1069" s="1921"/>
      <c r="Q1069" s="1922"/>
      <c r="R1069" s="1921"/>
      <c r="S1069" s="1648"/>
      <c r="T1069" s="1648"/>
      <c r="U1069" s="1648"/>
      <c r="V1069" s="1648"/>
      <c r="W1069" s="1648"/>
      <c r="X1069" s="1648"/>
      <c r="Y1069" s="1146"/>
      <c r="Z1069" s="2114">
        <f>C1069-'Blocking-Step2'!C1069</f>
        <v>0</v>
      </c>
      <c r="AA1069" s="2114">
        <f>D1069-'Blocking-Step2'!D1069</f>
        <v>0</v>
      </c>
      <c r="AC1069" s="2114">
        <f>F1069-'Blocking-Step2'!F1069</f>
        <v>0</v>
      </c>
      <c r="AE1069" s="2114">
        <f>H1069-'Blocking-Step2'!H1069</f>
        <v>0</v>
      </c>
      <c r="AF1069" s="2114">
        <f>I1069-'Blocking-Step2'!I1069</f>
        <v>0</v>
      </c>
      <c r="AH1069" s="2136">
        <f>K1069-'Blocking-Step2'!K1069</f>
        <v>0</v>
      </c>
      <c r="AJ1069" s="2136">
        <f>M1069-'Blocking-Step2'!M1069</f>
        <v>0</v>
      </c>
      <c r="AL1069" s="2136">
        <f>O1069-'Blocking-Step2'!O1069</f>
        <v>0</v>
      </c>
      <c r="AN1069" s="2137">
        <f>Q1069-'Blocking-Step2'!Q1069</f>
        <v>0</v>
      </c>
      <c r="AP1069" s="2127">
        <f>S1069-'Blocking-Step2'!S1069</f>
        <v>0</v>
      </c>
      <c r="AR1069" s="2127">
        <f>U1069-'Blocking-Step2'!U1069</f>
        <v>0</v>
      </c>
      <c r="AT1069" s="2127">
        <f>W1069-'Blocking-Step2'!W1069</f>
        <v>0</v>
      </c>
      <c r="AV1069" s="2128">
        <f>Y1069-'Blocking-Step2'!Y1069</f>
        <v>0</v>
      </c>
    </row>
    <row r="1070" spans="1:48">
      <c r="A1070" s="1116" t="s">
        <v>189</v>
      </c>
      <c r="C1070" s="1105">
        <v>1615823.0636627364</v>
      </c>
      <c r="D1070" s="1105">
        <v>2416795</v>
      </c>
      <c r="E1070" s="617"/>
      <c r="F1070" s="1922">
        <v>3.5908000000000002</v>
      </c>
      <c r="G1070" s="1921" t="s">
        <v>495</v>
      </c>
      <c r="H1070" s="1146">
        <v>58021</v>
      </c>
      <c r="I1070" s="1146">
        <v>86782</v>
      </c>
      <c r="J1070" s="617"/>
      <c r="K1070" s="1922"/>
      <c r="L1070" s="1921"/>
      <c r="M1070" s="1922"/>
      <c r="N1070" s="1921"/>
      <c r="O1070" s="1922"/>
      <c r="P1070" s="1921"/>
      <c r="Q1070" s="1922"/>
      <c r="R1070" s="1921"/>
      <c r="S1070" s="1648"/>
      <c r="T1070" s="1648"/>
      <c r="U1070" s="1648"/>
      <c r="V1070" s="1648"/>
      <c r="W1070" s="1648"/>
      <c r="X1070" s="1648"/>
      <c r="Y1070" s="1146"/>
      <c r="Z1070" s="2114">
        <f>C1070-'Blocking-Step2'!C1070</f>
        <v>0</v>
      </c>
      <c r="AA1070" s="2114">
        <f>D1070-'Blocking-Step2'!D1070</f>
        <v>0</v>
      </c>
      <c r="AC1070" s="2114">
        <f>F1070-'Blocking-Step2'!F1070</f>
        <v>0</v>
      </c>
      <c r="AE1070" s="2114">
        <f>H1070-'Blocking-Step2'!H1070</f>
        <v>0</v>
      </c>
      <c r="AF1070" s="2114">
        <f>I1070-'Blocking-Step2'!I1070</f>
        <v>0</v>
      </c>
      <c r="AH1070" s="2136">
        <f>K1070-'Blocking-Step2'!K1070</f>
        <v>0</v>
      </c>
      <c r="AJ1070" s="2136">
        <f>M1070-'Blocking-Step2'!M1070</f>
        <v>0</v>
      </c>
      <c r="AL1070" s="2136">
        <f>O1070-'Blocking-Step2'!O1070</f>
        <v>0</v>
      </c>
      <c r="AN1070" s="2137">
        <f>Q1070-'Blocking-Step2'!Q1070</f>
        <v>0</v>
      </c>
      <c r="AP1070" s="2127">
        <f>S1070-'Blocking-Step2'!S1070</f>
        <v>0</v>
      </c>
      <c r="AR1070" s="2127">
        <f>U1070-'Blocking-Step2'!U1070</f>
        <v>0</v>
      </c>
      <c r="AT1070" s="2127">
        <f>W1070-'Blocking-Step2'!W1070</f>
        <v>0</v>
      </c>
      <c r="AV1070" s="2128">
        <f>Y1070-'Blocking-Step2'!Y1070</f>
        <v>0</v>
      </c>
    </row>
    <row r="1071" spans="1:48">
      <c r="A1071" s="1116" t="s">
        <v>163</v>
      </c>
      <c r="C1071" s="1105">
        <v>6019457.0712244231</v>
      </c>
      <c r="D1071" s="1105">
        <v>10109190</v>
      </c>
      <c r="E1071" s="617"/>
      <c r="F1071" s="1922">
        <v>9.9693000000000005</v>
      </c>
      <c r="G1071" s="1921" t="s">
        <v>495</v>
      </c>
      <c r="H1071" s="1146">
        <v>600098</v>
      </c>
      <c r="I1071" s="1146">
        <v>1007815</v>
      </c>
      <c r="J1071" s="617"/>
      <c r="K1071" s="1922"/>
      <c r="L1071" s="1921"/>
      <c r="M1071" s="1922"/>
      <c r="N1071" s="1921"/>
      <c r="O1071" s="1922"/>
      <c r="P1071" s="1921"/>
      <c r="Q1071" s="1922"/>
      <c r="R1071" s="1921"/>
      <c r="S1071" s="1648"/>
      <c r="T1071" s="1648"/>
      <c r="U1071" s="1648"/>
      <c r="V1071" s="1648"/>
      <c r="W1071" s="1648"/>
      <c r="X1071" s="1648"/>
      <c r="Y1071" s="1146"/>
      <c r="Z1071" s="2114">
        <f>C1071-'Blocking-Step2'!C1071</f>
        <v>0</v>
      </c>
      <c r="AA1071" s="2114">
        <f>D1071-'Blocking-Step2'!D1071</f>
        <v>0</v>
      </c>
      <c r="AC1071" s="2114">
        <f>F1071-'Blocking-Step2'!F1071</f>
        <v>0</v>
      </c>
      <c r="AE1071" s="2114">
        <f>H1071-'Blocking-Step2'!H1071</f>
        <v>0</v>
      </c>
      <c r="AF1071" s="2114">
        <f>I1071-'Blocking-Step2'!I1071</f>
        <v>0</v>
      </c>
      <c r="AH1071" s="2136">
        <f>K1071-'Blocking-Step2'!K1071</f>
        <v>0</v>
      </c>
      <c r="AJ1071" s="2136">
        <f>M1071-'Blocking-Step2'!M1071</f>
        <v>0</v>
      </c>
      <c r="AL1071" s="2136">
        <f>O1071-'Blocking-Step2'!O1071</f>
        <v>0</v>
      </c>
      <c r="AN1071" s="2137">
        <f>Q1071-'Blocking-Step2'!Q1071</f>
        <v>0</v>
      </c>
      <c r="AP1071" s="2127">
        <f>S1071-'Blocking-Step2'!S1071</f>
        <v>0</v>
      </c>
      <c r="AR1071" s="2127">
        <f>U1071-'Blocking-Step2'!U1071</f>
        <v>0</v>
      </c>
      <c r="AT1071" s="2127">
        <f>W1071-'Blocking-Step2'!W1071</f>
        <v>0</v>
      </c>
      <c r="AV1071" s="2128">
        <f>Y1071-'Blocking-Step2'!Y1071</f>
        <v>0</v>
      </c>
    </row>
    <row r="1072" spans="1:48">
      <c r="A1072" s="1116" t="s">
        <v>164</v>
      </c>
      <c r="C1072" s="1105">
        <v>4575664.2039668448</v>
      </c>
      <c r="D1072" s="1105">
        <v>6701518</v>
      </c>
      <c r="E1072" s="617"/>
      <c r="F1072" s="1922">
        <v>3.0059999999999998</v>
      </c>
      <c r="G1072" s="1921" t="s">
        <v>495</v>
      </c>
      <c r="H1072" s="1146">
        <v>137544</v>
      </c>
      <c r="I1072" s="1146">
        <v>201448</v>
      </c>
      <c r="J1072" s="617"/>
      <c r="K1072" s="1922"/>
      <c r="L1072" s="1921"/>
      <c r="M1072" s="1922"/>
      <c r="N1072" s="1921"/>
      <c r="O1072" s="1922"/>
      <c r="P1072" s="1921"/>
      <c r="Q1072" s="1922"/>
      <c r="R1072" s="1921"/>
      <c r="S1072" s="1648"/>
      <c r="T1072" s="1648"/>
      <c r="U1072" s="1648"/>
      <c r="V1072" s="1648"/>
      <c r="W1072" s="1648"/>
      <c r="X1072" s="1648"/>
      <c r="Y1072" s="1146"/>
      <c r="Z1072" s="2114">
        <f>C1072-'Blocking-Step2'!C1072</f>
        <v>0</v>
      </c>
      <c r="AA1072" s="2114">
        <f>D1072-'Blocking-Step2'!D1072</f>
        <v>0</v>
      </c>
      <c r="AC1072" s="2114">
        <f>F1072-'Blocking-Step2'!F1072</f>
        <v>0</v>
      </c>
      <c r="AE1072" s="2114">
        <f>H1072-'Blocking-Step2'!H1072</f>
        <v>0</v>
      </c>
      <c r="AF1072" s="2114">
        <f>I1072-'Blocking-Step2'!I1072</f>
        <v>0</v>
      </c>
      <c r="AH1072" s="2136">
        <f>K1072-'Blocking-Step2'!K1072</f>
        <v>0</v>
      </c>
      <c r="AJ1072" s="2136">
        <f>M1072-'Blocking-Step2'!M1072</f>
        <v>0</v>
      </c>
      <c r="AL1072" s="2136">
        <f>O1072-'Blocking-Step2'!O1072</f>
        <v>0</v>
      </c>
      <c r="AN1072" s="2137">
        <f>Q1072-'Blocking-Step2'!Q1072</f>
        <v>0</v>
      </c>
      <c r="AP1072" s="2127">
        <f>S1072-'Blocking-Step2'!S1072</f>
        <v>0</v>
      </c>
      <c r="AR1072" s="2127">
        <f>U1072-'Blocking-Step2'!U1072</f>
        <v>0</v>
      </c>
      <c r="AT1072" s="2127">
        <f>W1072-'Blocking-Step2'!W1072</f>
        <v>0</v>
      </c>
      <c r="AV1072" s="2128">
        <f>Y1072-'Blocking-Step2'!Y1072</f>
        <v>0</v>
      </c>
    </row>
    <row r="1073" spans="1:48">
      <c r="A1073" s="1116" t="s">
        <v>246</v>
      </c>
      <c r="C1073" s="1940">
        <v>-9687</v>
      </c>
      <c r="D1073" s="1940">
        <v>0</v>
      </c>
      <c r="H1073" s="1147">
        <v>-430</v>
      </c>
      <c r="I1073" s="1147">
        <v>0</v>
      </c>
      <c r="Y1073" s="1147"/>
      <c r="Z1073" s="2114">
        <f>C1073-'Blocking-Step2'!C1073</f>
        <v>0</v>
      </c>
      <c r="AA1073" s="2114">
        <f>D1073-'Blocking-Step2'!D1073</f>
        <v>0</v>
      </c>
      <c r="AC1073" s="2114">
        <f>F1073-'Blocking-Step2'!F1073</f>
        <v>0</v>
      </c>
      <c r="AE1073" s="2114">
        <f>H1073-'Blocking-Step2'!H1073</f>
        <v>0</v>
      </c>
      <c r="AF1073" s="2114">
        <f>I1073-'Blocking-Step2'!I1073</f>
        <v>0</v>
      </c>
      <c r="AH1073" s="2136">
        <f>K1073-'Blocking-Step2'!K1073</f>
        <v>0</v>
      </c>
      <c r="AJ1073" s="2136">
        <f>M1073-'Blocking-Step2'!M1073</f>
        <v>0</v>
      </c>
      <c r="AL1073" s="2136">
        <f>O1073-'Blocking-Step2'!O1073</f>
        <v>0</v>
      </c>
      <c r="AN1073" s="2137">
        <f>Q1073-'Blocking-Step2'!Q1073</f>
        <v>0</v>
      </c>
      <c r="AP1073" s="2127">
        <f>S1073-'Blocking-Step2'!S1073</f>
        <v>0</v>
      </c>
      <c r="AR1073" s="2127">
        <f>U1073-'Blocking-Step2'!U1073</f>
        <v>0</v>
      </c>
      <c r="AT1073" s="2127">
        <f>W1073-'Blocking-Step2'!W1073</f>
        <v>0</v>
      </c>
      <c r="AV1073" s="2128">
        <f>Y1073-'Blocking-Step2'!Y1073</f>
        <v>0</v>
      </c>
    </row>
    <row r="1074" spans="1:48">
      <c r="A1074" s="1116" t="s">
        <v>1240</v>
      </c>
      <c r="C1074" s="1024"/>
      <c r="D1074" s="1024"/>
      <c r="F1074" s="2076">
        <v>-4.99E-2</v>
      </c>
      <c r="G1074" s="617"/>
      <c r="H1074" s="1146">
        <v>-53873.8364</v>
      </c>
      <c r="I1074" s="1146">
        <v>-89704.980500000005</v>
      </c>
      <c r="K1074" s="2076"/>
      <c r="L1074" s="617"/>
      <c r="M1074" s="2076"/>
      <c r="N1074" s="617"/>
      <c r="O1074" s="2077" t="s">
        <v>2323</v>
      </c>
      <c r="P1074" s="617"/>
      <c r="Q1074" s="2076">
        <v>-3.0599999999999999E-2</v>
      </c>
      <c r="R1074" s="617"/>
      <c r="S1074" s="1114"/>
      <c r="T1074" s="1114"/>
      <c r="U1074" s="1114"/>
      <c r="V1074" s="1114"/>
      <c r="W1074" s="1114"/>
      <c r="X1074" s="1114"/>
      <c r="Y1074" s="1146">
        <v>-64485.644399999997</v>
      </c>
      <c r="Z1074" s="2114">
        <f>C1074-'Blocking-Step2'!C1074</f>
        <v>0</v>
      </c>
      <c r="AA1074" s="2114">
        <f>D1074-'Blocking-Step2'!D1074</f>
        <v>0</v>
      </c>
      <c r="AC1074" s="2114">
        <f>F1074-'Blocking-Step2'!F1074</f>
        <v>0</v>
      </c>
      <c r="AE1074" s="2114">
        <f>H1074-'Blocking-Step2'!H1074</f>
        <v>0</v>
      </c>
      <c r="AF1074" s="2114">
        <f>I1074-'Blocking-Step2'!I1074</f>
        <v>0</v>
      </c>
      <c r="AH1074" s="2136">
        <f>K1074-'Blocking-Step2'!K1074</f>
        <v>0</v>
      </c>
      <c r="AJ1074" s="2136">
        <f>M1074-'Blocking-Step2'!M1074</f>
        <v>0</v>
      </c>
      <c r="AL1074" s="2136" t="e">
        <f>O1074-'Blocking-Step2'!O1074</f>
        <v>#VALUE!</v>
      </c>
      <c r="AN1074" s="2137">
        <f>Q1074-'Blocking-Step2'!Q1074</f>
        <v>0</v>
      </c>
      <c r="AP1074" s="2127">
        <f>S1074-'Blocking-Step2'!S1074</f>
        <v>0</v>
      </c>
      <c r="AR1074" s="2127">
        <f>U1074-'Blocking-Step2'!U1074</f>
        <v>0</v>
      </c>
      <c r="AT1074" s="2127">
        <f>W1074-'Blocking-Step2'!W1074</f>
        <v>0</v>
      </c>
      <c r="AV1074" s="2128">
        <f>Y1074-'Blocking-Step2'!Y1074</f>
        <v>0</v>
      </c>
    </row>
    <row r="1075" spans="1:48">
      <c r="A1075" s="1116"/>
      <c r="C1075" s="1024"/>
      <c r="D1075" s="1024"/>
      <c r="F1075" s="2076"/>
      <c r="G1075" s="617"/>
      <c r="H1075" s="1146"/>
      <c r="I1075" s="1146"/>
      <c r="K1075" s="2076"/>
      <c r="L1075" s="617"/>
      <c r="M1075" s="2076"/>
      <c r="N1075" s="617"/>
      <c r="O1075" s="2077" t="s">
        <v>2324</v>
      </c>
      <c r="P1075" s="617"/>
      <c r="Q1075" s="2076">
        <v>-1.66E-2</v>
      </c>
      <c r="R1075" s="617"/>
      <c r="S1075" s="1114"/>
      <c r="T1075" s="1114"/>
      <c r="U1075" s="1114"/>
      <c r="V1075" s="1114"/>
      <c r="W1075" s="1114"/>
      <c r="X1075" s="1114"/>
      <c r="Y1075" s="1146">
        <v>-34982.4084</v>
      </c>
      <c r="Z1075" s="2114">
        <f>C1075-'Blocking-Step2'!C1075</f>
        <v>0</v>
      </c>
      <c r="AA1075" s="2114">
        <f>D1075-'Blocking-Step2'!D1075</f>
        <v>0</v>
      </c>
      <c r="AC1075" s="2114">
        <f>F1075-'Blocking-Step2'!F1075</f>
        <v>0</v>
      </c>
      <c r="AE1075" s="2114">
        <f>H1075-'Blocking-Step2'!H1075</f>
        <v>0</v>
      </c>
      <c r="AF1075" s="2114">
        <f>I1075-'Blocking-Step2'!I1075</f>
        <v>0</v>
      </c>
      <c r="AH1075" s="2136">
        <f>K1075-'Blocking-Step2'!K1075</f>
        <v>0</v>
      </c>
      <c r="AJ1075" s="2136">
        <f>M1075-'Blocking-Step2'!M1075</f>
        <v>0</v>
      </c>
      <c r="AL1075" s="2136" t="e">
        <f>O1075-'Blocking-Step2'!O1075</f>
        <v>#VALUE!</v>
      </c>
      <c r="AN1075" s="2137">
        <f>Q1075-'Blocking-Step2'!Q1075</f>
        <v>0</v>
      </c>
      <c r="AP1075" s="2127">
        <f>S1075-'Blocking-Step2'!S1075</f>
        <v>0</v>
      </c>
      <c r="AR1075" s="2127">
        <f>U1075-'Blocking-Step2'!U1075</f>
        <v>0</v>
      </c>
      <c r="AT1075" s="2127">
        <f>W1075-'Blocking-Step2'!W1075</f>
        <v>0</v>
      </c>
      <c r="AV1075" s="2128">
        <f>Y1075-'Blocking-Step2'!Y1075</f>
        <v>0</v>
      </c>
    </row>
    <row r="1076" spans="1:48" ht="16.5" thickBot="1">
      <c r="A1076" s="1116" t="s">
        <v>247</v>
      </c>
      <c r="C1076" s="1138">
        <v>14582260.350323539</v>
      </c>
      <c r="D1076" s="1138">
        <v>23433646.101169731</v>
      </c>
      <c r="F1076" s="1145"/>
      <c r="H1076" s="1149">
        <v>1928446.1636000001</v>
      </c>
      <c r="I1076" s="1149">
        <v>3129599.0194999999</v>
      </c>
      <c r="K1076" s="1145"/>
      <c r="M1076" s="1145"/>
      <c r="O1076" s="1145"/>
      <c r="Q1076" s="1145"/>
      <c r="S1076" s="1149">
        <v>475508</v>
      </c>
      <c r="U1076" s="1149">
        <v>1430937</v>
      </c>
      <c r="W1076" s="1149">
        <v>877749</v>
      </c>
      <c r="Y1076" s="1149">
        <v>2784194</v>
      </c>
      <c r="Z1076" s="2114">
        <f>C1076-'Blocking-Step2'!C1076</f>
        <v>0</v>
      </c>
      <c r="AA1076" s="2114">
        <f>D1076-'Blocking-Step2'!D1076</f>
        <v>0</v>
      </c>
      <c r="AC1076" s="2114">
        <f>F1076-'Blocking-Step2'!F1076</f>
        <v>0</v>
      </c>
      <c r="AE1076" s="2114">
        <f>H1076-'Blocking-Step2'!H1076</f>
        <v>0</v>
      </c>
      <c r="AF1076" s="2114">
        <f>I1076-'Blocking-Step2'!I1076</f>
        <v>0</v>
      </c>
      <c r="AH1076" s="2136">
        <f>K1076-'Blocking-Step2'!K1076</f>
        <v>0</v>
      </c>
      <c r="AJ1076" s="2136">
        <f>M1076-'Blocking-Step2'!M1076</f>
        <v>0</v>
      </c>
      <c r="AL1076" s="2136">
        <f>O1076-'Blocking-Step2'!O1076</f>
        <v>0</v>
      </c>
      <c r="AN1076" s="2137">
        <f>Q1076-'Blocking-Step2'!Q1076</f>
        <v>0</v>
      </c>
      <c r="AP1076" s="2127">
        <f>S1076-'Blocking-Step2'!S1076</f>
        <v>-537919</v>
      </c>
      <c r="AR1076" s="2127">
        <f>U1076-'Blocking-Step2'!U1076</f>
        <v>537920</v>
      </c>
      <c r="AT1076" s="2127">
        <f>W1076-'Blocking-Step2'!W1076</f>
        <v>0</v>
      </c>
      <c r="AV1076" s="2128">
        <f>Y1076-'Blocking-Step2'!Y1076</f>
        <v>0</v>
      </c>
    </row>
    <row r="1077" spans="1:48" ht="16.5" hidden="1" thickTop="1">
      <c r="C1077" s="1105"/>
      <c r="D1077" s="1105"/>
      <c r="Y1077" s="1114"/>
      <c r="Z1077" s="2114">
        <f>C1077-'Blocking-Step2'!C1077</f>
        <v>0</v>
      </c>
      <c r="AA1077" s="2114">
        <f>D1077-'Blocking-Step2'!D1077</f>
        <v>0</v>
      </c>
      <c r="AC1077" s="2114">
        <f>F1077-'Blocking-Step2'!F1077</f>
        <v>0</v>
      </c>
      <c r="AE1077" s="2114">
        <f>H1077-'Blocking-Step2'!H1077</f>
        <v>0</v>
      </c>
      <c r="AF1077" s="2114">
        <f>I1077-'Blocking-Step2'!I1077</f>
        <v>0</v>
      </c>
      <c r="AH1077" s="2136">
        <f>K1077-'Blocking-Step2'!K1077</f>
        <v>0</v>
      </c>
      <c r="AJ1077" s="2136">
        <f>M1077-'Blocking-Step2'!M1077</f>
        <v>0</v>
      </c>
      <c r="AL1077" s="2136">
        <f>O1077-'Blocking-Step2'!O1077</f>
        <v>0</v>
      </c>
      <c r="AN1077" s="2137">
        <f>Q1077-'Blocking-Step2'!Q1077</f>
        <v>0</v>
      </c>
      <c r="AP1077" s="2127">
        <f>S1077-'Blocking-Step2'!S1077</f>
        <v>0</v>
      </c>
      <c r="AR1077" s="2127">
        <f>U1077-'Blocking-Step2'!U1077</f>
        <v>0</v>
      </c>
      <c r="AT1077" s="2127">
        <f>W1077-'Blocking-Step2'!W1077</f>
        <v>0</v>
      </c>
      <c r="AV1077" s="2128">
        <f>Y1077-'Blocking-Step2'!Y1077</f>
        <v>0</v>
      </c>
    </row>
    <row r="1078" spans="1:48" ht="16.5" hidden="1" thickTop="1">
      <c r="A1078" s="1115" t="s">
        <v>988</v>
      </c>
      <c r="C1078" s="1105"/>
      <c r="D1078" s="1105"/>
      <c r="F1078" s="1106"/>
      <c r="G1078" s="1107"/>
      <c r="K1078" s="1106"/>
      <c r="L1078" s="1107"/>
      <c r="M1078" s="1106"/>
      <c r="N1078" s="1107"/>
      <c r="O1078" s="1106"/>
      <c r="P1078" s="1107"/>
      <c r="Q1078" s="1106"/>
      <c r="R1078" s="1107"/>
      <c r="S1078" s="1114"/>
      <c r="T1078" s="1114"/>
      <c r="U1078" s="1114"/>
      <c r="V1078" s="1114"/>
      <c r="W1078" s="1114"/>
      <c r="X1078" s="1114"/>
      <c r="Y1078" s="1628"/>
      <c r="Z1078" s="2114">
        <f>C1078-'Blocking-Step2'!C1078</f>
        <v>0</v>
      </c>
      <c r="AA1078" s="2114">
        <f>D1078-'Blocking-Step2'!D1078</f>
        <v>0</v>
      </c>
      <c r="AC1078" s="2114">
        <f>F1078-'Blocking-Step2'!F1078</f>
        <v>0</v>
      </c>
      <c r="AE1078" s="2114">
        <f>H1078-'Blocking-Step2'!H1078</f>
        <v>0</v>
      </c>
      <c r="AF1078" s="2114">
        <f>I1078-'Blocking-Step2'!I1078</f>
        <v>0</v>
      </c>
      <c r="AH1078" s="2136">
        <f>K1078-'Blocking-Step2'!K1078</f>
        <v>0</v>
      </c>
      <c r="AJ1078" s="2136">
        <f>M1078-'Blocking-Step2'!M1078</f>
        <v>0</v>
      </c>
      <c r="AL1078" s="2136">
        <f>O1078-'Blocking-Step2'!O1078</f>
        <v>0</v>
      </c>
      <c r="AN1078" s="2137">
        <f>Q1078-'Blocking-Step2'!Q1078</f>
        <v>0</v>
      </c>
      <c r="AP1078" s="2127">
        <f>S1078-'Blocking-Step2'!S1078</f>
        <v>0</v>
      </c>
      <c r="AR1078" s="2127">
        <f>U1078-'Blocking-Step2'!U1078</f>
        <v>0</v>
      </c>
      <c r="AT1078" s="2127">
        <f>W1078-'Blocking-Step2'!W1078</f>
        <v>0</v>
      </c>
      <c r="AV1078" s="2128">
        <f>Y1078-'Blocking-Step2'!Y1078</f>
        <v>0</v>
      </c>
    </row>
    <row r="1079" spans="1:48" ht="16.5" hidden="1" thickTop="1">
      <c r="A1079" s="1116" t="s">
        <v>1910</v>
      </c>
      <c r="C1079" s="1105">
        <v>0</v>
      </c>
      <c r="D1079" s="1105">
        <v>0</v>
      </c>
      <c r="E1079" s="617"/>
      <c r="F1079" s="1143"/>
      <c r="G1079" s="1921"/>
      <c r="H1079" s="1146"/>
      <c r="I1079" s="1146"/>
      <c r="J1079" s="617"/>
      <c r="K1079" s="1143">
        <v>1.657</v>
      </c>
      <c r="L1079" s="1921" t="s">
        <v>495</v>
      </c>
      <c r="M1079" s="1143">
        <v>19.370528114911814</v>
      </c>
      <c r="N1079" s="1921" t="s">
        <v>495</v>
      </c>
      <c r="O1079" s="1143">
        <v>1.3496999999999999</v>
      </c>
      <c r="P1079" s="1921" t="s">
        <v>495</v>
      </c>
      <c r="Q1079" s="1143">
        <v>22.377228114911812</v>
      </c>
      <c r="R1079" s="1921" t="s">
        <v>495</v>
      </c>
      <c r="S1079" s="1146">
        <v>0</v>
      </c>
      <c r="T1079" s="1648"/>
      <c r="U1079" s="1146">
        <v>0</v>
      </c>
      <c r="V1079" s="1648"/>
      <c r="W1079" s="1146">
        <v>0</v>
      </c>
      <c r="X1079" s="1648"/>
      <c r="Y1079" s="1146">
        <v>0</v>
      </c>
      <c r="Z1079" s="2114">
        <f>C1079-'Blocking-Step2'!C1079</f>
        <v>0</v>
      </c>
      <c r="AA1079" s="2114">
        <f>D1079-'Blocking-Step2'!D1079</f>
        <v>0</v>
      </c>
      <c r="AC1079" s="2114">
        <f>F1079-'Blocking-Step2'!F1079</f>
        <v>0</v>
      </c>
      <c r="AE1079" s="2114">
        <f>H1079-'Blocking-Step2'!H1079</f>
        <v>0</v>
      </c>
      <c r="AF1079" s="2114">
        <f>I1079-'Blocking-Step2'!I1079</f>
        <v>0</v>
      </c>
      <c r="AH1079" s="2136">
        <f>K1079-'Blocking-Step2'!K1079</f>
        <v>-2.2955000000000001</v>
      </c>
      <c r="AJ1079" s="2136">
        <f>M1079-'Blocking-Step2'!M1079</f>
        <v>2.2955000000000005</v>
      </c>
      <c r="AL1079" s="2136">
        <f>O1079-'Blocking-Step2'!O1079</f>
        <v>0</v>
      </c>
      <c r="AN1079" s="2137">
        <f>Q1079-'Blocking-Step2'!Q1079</f>
        <v>0</v>
      </c>
      <c r="AP1079" s="2127">
        <f>S1079-'Blocking-Step2'!S1079</f>
        <v>0</v>
      </c>
      <c r="AR1079" s="2127">
        <f>U1079-'Blocking-Step2'!U1079</f>
        <v>0</v>
      </c>
      <c r="AT1079" s="2127">
        <f>W1079-'Blocking-Step2'!W1079</f>
        <v>0</v>
      </c>
      <c r="AV1079" s="2128">
        <f>Y1079-'Blocking-Step2'!Y1079</f>
        <v>0</v>
      </c>
    </row>
    <row r="1080" spans="1:48" ht="16.5" hidden="1" thickTop="1">
      <c r="A1080" s="1116" t="s">
        <v>1911</v>
      </c>
      <c r="C1080" s="1105">
        <v>0</v>
      </c>
      <c r="D1080" s="1105">
        <v>0</v>
      </c>
      <c r="E1080" s="617"/>
      <c r="F1080" s="1143"/>
      <c r="G1080" s="1921"/>
      <c r="H1080" s="1146"/>
      <c r="I1080" s="1146"/>
      <c r="J1080" s="617"/>
      <c r="K1080" s="1143">
        <v>1.657</v>
      </c>
      <c r="L1080" s="1921" t="s">
        <v>495</v>
      </c>
      <c r="M1080" s="1143">
        <v>1.3803172825590004</v>
      </c>
      <c r="N1080" s="1921" t="s">
        <v>495</v>
      </c>
      <c r="O1080" s="1143">
        <v>1.3496999999999999</v>
      </c>
      <c r="P1080" s="1921" t="s">
        <v>495</v>
      </c>
      <c r="Q1080" s="1143">
        <v>4.3870172825590004</v>
      </c>
      <c r="R1080" s="1921" t="s">
        <v>495</v>
      </c>
      <c r="S1080" s="1146">
        <v>0</v>
      </c>
      <c r="T1080" s="1648"/>
      <c r="U1080" s="1146">
        <v>0</v>
      </c>
      <c r="V1080" s="1648"/>
      <c r="W1080" s="1146">
        <v>0</v>
      </c>
      <c r="X1080" s="1648"/>
      <c r="Y1080" s="1146">
        <v>0</v>
      </c>
      <c r="Z1080" s="2114">
        <f>C1080-'Blocking-Step2'!C1080</f>
        <v>0</v>
      </c>
      <c r="AA1080" s="2114">
        <f>D1080-'Blocking-Step2'!D1080</f>
        <v>0</v>
      </c>
      <c r="AC1080" s="2114">
        <f>F1080-'Blocking-Step2'!F1080</f>
        <v>0</v>
      </c>
      <c r="AE1080" s="2114">
        <f>H1080-'Blocking-Step2'!H1080</f>
        <v>0</v>
      </c>
      <c r="AF1080" s="2114">
        <f>I1080-'Blocking-Step2'!I1080</f>
        <v>0</v>
      </c>
      <c r="AH1080" s="2136">
        <f>K1080-'Blocking-Step2'!K1080</f>
        <v>-2.2955000000000001</v>
      </c>
      <c r="AJ1080" s="2136">
        <f>M1080-'Blocking-Step2'!M1080</f>
        <v>2.2955000000000001</v>
      </c>
      <c r="AL1080" s="2136">
        <f>O1080-'Blocking-Step2'!O1080</f>
        <v>0</v>
      </c>
      <c r="AN1080" s="2137">
        <f>Q1080-'Blocking-Step2'!Q1080</f>
        <v>0</v>
      </c>
      <c r="AP1080" s="2127">
        <f>S1080-'Blocking-Step2'!S1080</f>
        <v>0</v>
      </c>
      <c r="AR1080" s="2127">
        <f>U1080-'Blocking-Step2'!U1080</f>
        <v>0</v>
      </c>
      <c r="AT1080" s="2127">
        <f>W1080-'Blocking-Step2'!W1080</f>
        <v>0</v>
      </c>
      <c r="AV1080" s="2128">
        <f>Y1080-'Blocking-Step2'!Y1080</f>
        <v>0</v>
      </c>
    </row>
    <row r="1081" spans="1:48" ht="16.5" hidden="1" thickTop="1">
      <c r="A1081" s="1116" t="s">
        <v>1912</v>
      </c>
      <c r="C1081" s="1105">
        <v>689.99085923217501</v>
      </c>
      <c r="D1081" s="1105">
        <v>0</v>
      </c>
      <c r="E1081" s="617"/>
      <c r="F1081" s="1143"/>
      <c r="G1081" s="1921"/>
      <c r="H1081" s="1146"/>
      <c r="I1081" s="1146"/>
      <c r="J1081" s="617"/>
      <c r="K1081" s="1143">
        <v>1.657</v>
      </c>
      <c r="L1081" s="1921" t="s">
        <v>495</v>
      </c>
      <c r="M1081" s="1143">
        <v>16.951500000000003</v>
      </c>
      <c r="N1081" s="1921" t="s">
        <v>495</v>
      </c>
      <c r="O1081" s="1143">
        <v>1.1943999999999999</v>
      </c>
      <c r="P1081" s="1921" t="s">
        <v>495</v>
      </c>
      <c r="Q1081" s="1143">
        <v>19.802900000000001</v>
      </c>
      <c r="R1081" s="1921" t="s">
        <v>495</v>
      </c>
      <c r="S1081" s="1146">
        <v>0</v>
      </c>
      <c r="T1081" s="1648"/>
      <c r="U1081" s="1146">
        <v>0</v>
      </c>
      <c r="V1081" s="1648"/>
      <c r="W1081" s="1146">
        <v>0</v>
      </c>
      <c r="X1081" s="1648"/>
      <c r="Y1081" s="1146">
        <v>0</v>
      </c>
      <c r="Z1081" s="2114">
        <f>C1081-'Blocking-Step2'!C1081</f>
        <v>0</v>
      </c>
      <c r="AA1081" s="2114">
        <f>D1081-'Blocking-Step2'!D1081</f>
        <v>0</v>
      </c>
      <c r="AC1081" s="2114">
        <f>F1081-'Blocking-Step2'!F1081</f>
        <v>0</v>
      </c>
      <c r="AE1081" s="2114">
        <f>H1081-'Blocking-Step2'!H1081</f>
        <v>0</v>
      </c>
      <c r="AF1081" s="2114">
        <f>I1081-'Blocking-Step2'!I1081</f>
        <v>0</v>
      </c>
      <c r="AH1081" s="2136">
        <f>K1081-'Blocking-Step2'!K1081</f>
        <v>-2.2955000000000001</v>
      </c>
      <c r="AJ1081" s="2136">
        <f>M1081-'Blocking-Step2'!M1081</f>
        <v>2.2955000000000023</v>
      </c>
      <c r="AL1081" s="2136">
        <f>O1081-'Blocking-Step2'!O1081</f>
        <v>0</v>
      </c>
      <c r="AN1081" s="2137">
        <f>Q1081-'Blocking-Step2'!Q1081</f>
        <v>0</v>
      </c>
      <c r="AP1081" s="2127">
        <f>S1081-'Blocking-Step2'!S1081</f>
        <v>0</v>
      </c>
      <c r="AR1081" s="2127">
        <f>U1081-'Blocking-Step2'!U1081</f>
        <v>0</v>
      </c>
      <c r="AT1081" s="2127">
        <f>W1081-'Blocking-Step2'!W1081</f>
        <v>0</v>
      </c>
      <c r="AV1081" s="2128">
        <f>Y1081-'Blocking-Step2'!Y1081</f>
        <v>0</v>
      </c>
    </row>
    <row r="1082" spans="1:48" ht="16.5" hidden="1" thickTop="1">
      <c r="A1082" s="1116" t="s">
        <v>1913</v>
      </c>
      <c r="C1082" s="1105">
        <v>2323.0091407678251</v>
      </c>
      <c r="D1082" s="1105">
        <v>0</v>
      </c>
      <c r="E1082" s="617"/>
      <c r="F1082" s="1143"/>
      <c r="G1082" s="1921"/>
      <c r="H1082" s="1146"/>
      <c r="I1082" s="1146"/>
      <c r="J1082" s="617"/>
      <c r="K1082" s="1143">
        <v>1.657</v>
      </c>
      <c r="L1082" s="1921" t="s">
        <v>495</v>
      </c>
      <c r="M1082" s="1143">
        <v>1.0308999999999999</v>
      </c>
      <c r="N1082" s="1921" t="s">
        <v>495</v>
      </c>
      <c r="O1082" s="1143">
        <v>1.1943999999999999</v>
      </c>
      <c r="P1082" s="1921" t="s">
        <v>495</v>
      </c>
      <c r="Q1082" s="1143">
        <v>3.8822999999999999</v>
      </c>
      <c r="R1082" s="1921" t="s">
        <v>495</v>
      </c>
      <c r="S1082" s="1146">
        <v>0</v>
      </c>
      <c r="T1082" s="1648"/>
      <c r="U1082" s="1146">
        <v>0</v>
      </c>
      <c r="V1082" s="1648"/>
      <c r="W1082" s="1146">
        <v>0</v>
      </c>
      <c r="X1082" s="1648"/>
      <c r="Y1082" s="1146">
        <v>0</v>
      </c>
      <c r="Z1082" s="2114">
        <f>C1082-'Blocking-Step2'!C1082</f>
        <v>0</v>
      </c>
      <c r="AA1082" s="2114">
        <f>D1082-'Blocking-Step2'!D1082</f>
        <v>0</v>
      </c>
      <c r="AC1082" s="2114">
        <f>F1082-'Blocking-Step2'!F1082</f>
        <v>0</v>
      </c>
      <c r="AE1082" s="2114">
        <f>H1082-'Blocking-Step2'!H1082</f>
        <v>0</v>
      </c>
      <c r="AF1082" s="2114">
        <f>I1082-'Blocking-Step2'!I1082</f>
        <v>0</v>
      </c>
      <c r="AH1082" s="2136">
        <f>K1082-'Blocking-Step2'!K1082</f>
        <v>-2.2955000000000001</v>
      </c>
      <c r="AJ1082" s="2136">
        <f>M1082-'Blocking-Step2'!M1082</f>
        <v>2.2955000000000001</v>
      </c>
      <c r="AL1082" s="2136">
        <f>O1082-'Blocking-Step2'!O1082</f>
        <v>0</v>
      </c>
      <c r="AN1082" s="2137">
        <f>Q1082-'Blocking-Step2'!Q1082</f>
        <v>0</v>
      </c>
      <c r="AP1082" s="2127">
        <f>S1082-'Blocking-Step2'!S1082</f>
        <v>0</v>
      </c>
      <c r="AR1082" s="2127">
        <f>U1082-'Blocking-Step2'!U1082</f>
        <v>0</v>
      </c>
      <c r="AT1082" s="2127">
        <f>W1082-'Blocking-Step2'!W1082</f>
        <v>0</v>
      </c>
      <c r="AV1082" s="2128">
        <f>Y1082-'Blocking-Step2'!Y1082</f>
        <v>0</v>
      </c>
    </row>
    <row r="1083" spans="1:48" ht="16.5" hidden="1" thickTop="1">
      <c r="A1083" s="1116" t="s">
        <v>1906</v>
      </c>
      <c r="C1083" s="1105">
        <v>0</v>
      </c>
      <c r="D1083" s="1105">
        <v>0</v>
      </c>
      <c r="E1083" s="617"/>
      <c r="F1083" s="1143"/>
      <c r="G1083" s="1921"/>
      <c r="H1083" s="1146"/>
      <c r="I1083" s="1146"/>
      <c r="J1083" s="617"/>
      <c r="K1083" s="1143">
        <v>0</v>
      </c>
      <c r="L1083" s="1921" t="s">
        <v>495</v>
      </c>
      <c r="M1083" s="1143">
        <v>0</v>
      </c>
      <c r="N1083" s="1921" t="s">
        <v>495</v>
      </c>
      <c r="O1083" s="1143">
        <v>6</v>
      </c>
      <c r="P1083" s="1921" t="s">
        <v>495</v>
      </c>
      <c r="Q1083" s="1143">
        <v>6</v>
      </c>
      <c r="R1083" s="1921" t="s">
        <v>495</v>
      </c>
      <c r="S1083" s="1146">
        <v>0</v>
      </c>
      <c r="T1083" s="1648"/>
      <c r="U1083" s="1146">
        <v>0</v>
      </c>
      <c r="V1083" s="1648"/>
      <c r="W1083" s="1146">
        <v>0</v>
      </c>
      <c r="X1083" s="1648"/>
      <c r="Y1083" s="1146">
        <v>0</v>
      </c>
      <c r="Z1083" s="2114">
        <f>C1083-'Blocking-Step2'!C1083</f>
        <v>0</v>
      </c>
      <c r="AA1083" s="2114">
        <f>D1083-'Blocking-Step2'!D1083</f>
        <v>0</v>
      </c>
      <c r="AC1083" s="2114">
        <f>F1083-'Blocking-Step2'!F1083</f>
        <v>0</v>
      </c>
      <c r="AE1083" s="2114">
        <f>H1083-'Blocking-Step2'!H1083</f>
        <v>0</v>
      </c>
      <c r="AF1083" s="2114">
        <f>I1083-'Blocking-Step2'!I1083</f>
        <v>0</v>
      </c>
      <c r="AH1083" s="2136">
        <f>K1083-'Blocking-Step2'!K1083</f>
        <v>0</v>
      </c>
      <c r="AJ1083" s="2136">
        <f>M1083-'Blocking-Step2'!M1083</f>
        <v>0</v>
      </c>
      <c r="AL1083" s="2136">
        <f>O1083-'Blocking-Step2'!O1083</f>
        <v>0</v>
      </c>
      <c r="AN1083" s="2137">
        <f>Q1083-'Blocking-Step2'!Q1083</f>
        <v>0</v>
      </c>
      <c r="AP1083" s="2127">
        <f>S1083-'Blocking-Step2'!S1083</f>
        <v>0</v>
      </c>
      <c r="AR1083" s="2127">
        <f>U1083-'Blocking-Step2'!U1083</f>
        <v>0</v>
      </c>
      <c r="AT1083" s="2127">
        <f>W1083-'Blocking-Step2'!W1083</f>
        <v>0</v>
      </c>
      <c r="AV1083" s="2128">
        <f>Y1083-'Blocking-Step2'!Y1083</f>
        <v>0</v>
      </c>
    </row>
    <row r="1084" spans="1:48" ht="16.5" hidden="1" thickTop="1">
      <c r="A1084" s="1116" t="s">
        <v>1907</v>
      </c>
      <c r="C1084" s="1105">
        <v>0</v>
      </c>
      <c r="D1084" s="1105">
        <v>0</v>
      </c>
      <c r="E1084" s="617"/>
      <c r="F1084" s="1143"/>
      <c r="G1084" s="1921"/>
      <c r="H1084" s="1146"/>
      <c r="I1084" s="1146"/>
      <c r="J1084" s="617"/>
      <c r="K1084" s="1143">
        <v>0</v>
      </c>
      <c r="L1084" s="1921" t="s">
        <v>495</v>
      </c>
      <c r="M1084" s="1143">
        <v>0</v>
      </c>
      <c r="N1084" s="1921" t="s">
        <v>495</v>
      </c>
      <c r="O1084" s="1143">
        <v>-2.3358000000000008</v>
      </c>
      <c r="P1084" s="1921" t="s">
        <v>495</v>
      </c>
      <c r="Q1084" s="1143">
        <v>-2.3358000000000008</v>
      </c>
      <c r="R1084" s="1921" t="s">
        <v>495</v>
      </c>
      <c r="S1084" s="1146">
        <v>0</v>
      </c>
      <c r="T1084" s="1648"/>
      <c r="U1084" s="1146">
        <v>0</v>
      </c>
      <c r="V1084" s="1648"/>
      <c r="W1084" s="1146">
        <v>0</v>
      </c>
      <c r="X1084" s="1648"/>
      <c r="Y1084" s="1146">
        <v>0</v>
      </c>
      <c r="Z1084" s="2114">
        <f>C1084-'Blocking-Step2'!C1084</f>
        <v>0</v>
      </c>
      <c r="AA1084" s="2114">
        <f>D1084-'Blocking-Step2'!D1084</f>
        <v>0</v>
      </c>
      <c r="AC1084" s="2114">
        <f>F1084-'Blocking-Step2'!F1084</f>
        <v>0</v>
      </c>
      <c r="AE1084" s="2114">
        <f>H1084-'Blocking-Step2'!H1084</f>
        <v>0</v>
      </c>
      <c r="AF1084" s="2114">
        <f>I1084-'Blocking-Step2'!I1084</f>
        <v>0</v>
      </c>
      <c r="AH1084" s="2136">
        <f>K1084-'Blocking-Step2'!K1084</f>
        <v>0</v>
      </c>
      <c r="AJ1084" s="2136">
        <f>M1084-'Blocking-Step2'!M1084</f>
        <v>0</v>
      </c>
      <c r="AL1084" s="2136">
        <f>O1084-'Blocking-Step2'!O1084</f>
        <v>0</v>
      </c>
      <c r="AN1084" s="2137">
        <f>Q1084-'Blocking-Step2'!Q1084</f>
        <v>0</v>
      </c>
      <c r="AP1084" s="2127">
        <f>S1084-'Blocking-Step2'!S1084</f>
        <v>0</v>
      </c>
      <c r="AR1084" s="2127">
        <f>U1084-'Blocking-Step2'!U1084</f>
        <v>0</v>
      </c>
      <c r="AT1084" s="2127">
        <f>W1084-'Blocking-Step2'!W1084</f>
        <v>0</v>
      </c>
      <c r="AV1084" s="2128">
        <f>Y1084-'Blocking-Step2'!Y1084</f>
        <v>0</v>
      </c>
    </row>
    <row r="1085" spans="1:48" ht="16.5" hidden="1" thickTop="1">
      <c r="A1085" s="1116" t="s">
        <v>1908</v>
      </c>
      <c r="C1085" s="1105">
        <v>1005</v>
      </c>
      <c r="D1085" s="1105">
        <v>0</v>
      </c>
      <c r="E1085" s="617"/>
      <c r="F1085" s="1143"/>
      <c r="G1085" s="1921"/>
      <c r="H1085" s="1146"/>
      <c r="I1085" s="1146"/>
      <c r="J1085" s="617"/>
      <c r="K1085" s="1143">
        <v>0</v>
      </c>
      <c r="L1085" s="1921" t="s">
        <v>495</v>
      </c>
      <c r="M1085" s="1143">
        <v>0</v>
      </c>
      <c r="N1085" s="1921" t="s">
        <v>495</v>
      </c>
      <c r="O1085" s="1143">
        <v>5.3097000000000003</v>
      </c>
      <c r="P1085" s="1921" t="s">
        <v>495</v>
      </c>
      <c r="Q1085" s="1143">
        <v>5.3097000000000003</v>
      </c>
      <c r="R1085" s="1921" t="s">
        <v>495</v>
      </c>
      <c r="S1085" s="1146">
        <v>0</v>
      </c>
      <c r="T1085" s="1648"/>
      <c r="U1085" s="1146">
        <v>0</v>
      </c>
      <c r="V1085" s="1648"/>
      <c r="W1085" s="1146">
        <v>0</v>
      </c>
      <c r="X1085" s="1648"/>
      <c r="Y1085" s="1146">
        <v>0</v>
      </c>
      <c r="Z1085" s="2114">
        <f>C1085-'Blocking-Step2'!C1085</f>
        <v>0</v>
      </c>
      <c r="AA1085" s="2114">
        <f>D1085-'Blocking-Step2'!D1085</f>
        <v>0</v>
      </c>
      <c r="AC1085" s="2114">
        <f>F1085-'Blocking-Step2'!F1085</f>
        <v>0</v>
      </c>
      <c r="AE1085" s="2114">
        <f>H1085-'Blocking-Step2'!H1085</f>
        <v>0</v>
      </c>
      <c r="AF1085" s="2114">
        <f>I1085-'Blocking-Step2'!I1085</f>
        <v>0</v>
      </c>
      <c r="AH1085" s="2136">
        <f>K1085-'Blocking-Step2'!K1085</f>
        <v>0</v>
      </c>
      <c r="AJ1085" s="2136">
        <f>M1085-'Blocking-Step2'!M1085</f>
        <v>0</v>
      </c>
      <c r="AL1085" s="2136">
        <f>O1085-'Blocking-Step2'!O1085</f>
        <v>0</v>
      </c>
      <c r="AN1085" s="2137">
        <f>Q1085-'Blocking-Step2'!Q1085</f>
        <v>0</v>
      </c>
      <c r="AP1085" s="2127">
        <f>S1085-'Blocking-Step2'!S1085</f>
        <v>0</v>
      </c>
      <c r="AR1085" s="2127">
        <f>U1085-'Blocking-Step2'!U1085</f>
        <v>0</v>
      </c>
      <c r="AT1085" s="2127">
        <f>W1085-'Blocking-Step2'!W1085</f>
        <v>0</v>
      </c>
      <c r="AV1085" s="2128">
        <f>Y1085-'Blocking-Step2'!Y1085</f>
        <v>0</v>
      </c>
    </row>
    <row r="1086" spans="1:48" ht="16.5" hidden="1" thickTop="1">
      <c r="A1086" s="1116" t="s">
        <v>1909</v>
      </c>
      <c r="C1086" s="1105">
        <v>2008</v>
      </c>
      <c r="D1086" s="1105">
        <v>0</v>
      </c>
      <c r="E1086" s="617"/>
      <c r="F1086" s="1143"/>
      <c r="G1086" s="1921"/>
      <c r="H1086" s="1146"/>
      <c r="I1086" s="1146"/>
      <c r="J1086" s="617"/>
      <c r="K1086" s="1143">
        <v>0</v>
      </c>
      <c r="L1086" s="1921" t="s">
        <v>495</v>
      </c>
      <c r="M1086" s="1143">
        <v>0</v>
      </c>
      <c r="N1086" s="1921" t="s">
        <v>495</v>
      </c>
      <c r="O1086" s="1143">
        <v>-2.0670999999999999</v>
      </c>
      <c r="P1086" s="1921" t="s">
        <v>495</v>
      </c>
      <c r="Q1086" s="1143">
        <v>-2.0670999999999999</v>
      </c>
      <c r="R1086" s="1921" t="s">
        <v>495</v>
      </c>
      <c r="S1086" s="1146">
        <v>0</v>
      </c>
      <c r="T1086" s="1648"/>
      <c r="U1086" s="1146">
        <v>0</v>
      </c>
      <c r="V1086" s="1648"/>
      <c r="W1086" s="1146">
        <v>0</v>
      </c>
      <c r="X1086" s="1648"/>
      <c r="Y1086" s="1146">
        <v>0</v>
      </c>
      <c r="Z1086" s="2114">
        <f>C1086-'Blocking-Step2'!C1086</f>
        <v>0</v>
      </c>
      <c r="AA1086" s="2114">
        <f>D1086-'Blocking-Step2'!D1086</f>
        <v>0</v>
      </c>
      <c r="AC1086" s="2114">
        <f>F1086-'Blocking-Step2'!F1086</f>
        <v>0</v>
      </c>
      <c r="AE1086" s="2114">
        <f>H1086-'Blocking-Step2'!H1086</f>
        <v>0</v>
      </c>
      <c r="AF1086" s="2114">
        <f>I1086-'Blocking-Step2'!I1086</f>
        <v>0</v>
      </c>
      <c r="AH1086" s="2136">
        <f>K1086-'Blocking-Step2'!K1086</f>
        <v>0</v>
      </c>
      <c r="AJ1086" s="2136">
        <f>M1086-'Blocking-Step2'!M1086</f>
        <v>0</v>
      </c>
      <c r="AL1086" s="2136">
        <f>O1086-'Blocking-Step2'!O1086</f>
        <v>0</v>
      </c>
      <c r="AN1086" s="2137">
        <f>Q1086-'Blocking-Step2'!Q1086</f>
        <v>0</v>
      </c>
      <c r="AP1086" s="2127">
        <f>S1086-'Blocking-Step2'!S1086</f>
        <v>0</v>
      </c>
      <c r="AR1086" s="2127">
        <f>U1086-'Blocking-Step2'!U1086</f>
        <v>0</v>
      </c>
      <c r="AT1086" s="2127">
        <f>W1086-'Blocking-Step2'!W1086</f>
        <v>0</v>
      </c>
      <c r="AV1086" s="2128">
        <f>Y1086-'Blocking-Step2'!Y1086</f>
        <v>0</v>
      </c>
    </row>
    <row r="1087" spans="1:48" ht="16.5" hidden="1" thickTop="1">
      <c r="A1087" s="1116" t="s">
        <v>240</v>
      </c>
      <c r="C1087" s="1105">
        <v>20.233333333333299</v>
      </c>
      <c r="D1087" s="1105">
        <v>12</v>
      </c>
      <c r="F1087" s="1142">
        <v>54</v>
      </c>
      <c r="G1087" s="617"/>
      <c r="H1087" s="1146">
        <v>1093</v>
      </c>
      <c r="I1087" s="1146">
        <v>648</v>
      </c>
      <c r="K1087" s="1142">
        <v>54</v>
      </c>
      <c r="L1087" s="617"/>
      <c r="M1087" s="1142">
        <v>0</v>
      </c>
      <c r="N1087" s="617"/>
      <c r="O1087" s="1142">
        <v>0</v>
      </c>
      <c r="P1087" s="617"/>
      <c r="Q1087" s="1142">
        <v>54</v>
      </c>
      <c r="R1087" s="617"/>
      <c r="S1087" s="1146">
        <v>648</v>
      </c>
      <c r="T1087" s="1629"/>
      <c r="U1087" s="1146">
        <v>0</v>
      </c>
      <c r="V1087" s="1629"/>
      <c r="W1087" s="1146">
        <v>0</v>
      </c>
      <c r="X1087" s="1114"/>
      <c r="Y1087" s="1146">
        <v>648</v>
      </c>
      <c r="Z1087" s="2114">
        <f>C1087-'Blocking-Step2'!C1087</f>
        <v>0</v>
      </c>
      <c r="AA1087" s="2114">
        <f>D1087-'Blocking-Step2'!D1087</f>
        <v>0</v>
      </c>
      <c r="AC1087" s="2114">
        <f>F1087-'Blocking-Step2'!F1087</f>
        <v>0</v>
      </c>
      <c r="AE1087" s="2114">
        <f>H1087-'Blocking-Step2'!H1087</f>
        <v>0</v>
      </c>
      <c r="AF1087" s="2114">
        <f>I1087-'Blocking-Step2'!I1087</f>
        <v>0</v>
      </c>
      <c r="AH1087" s="2136">
        <f>K1087-'Blocking-Step2'!K1087</f>
        <v>0</v>
      </c>
      <c r="AJ1087" s="2136">
        <f>M1087-'Blocking-Step2'!M1087</f>
        <v>0</v>
      </c>
      <c r="AL1087" s="2136">
        <f>O1087-'Blocking-Step2'!O1087</f>
        <v>0</v>
      </c>
      <c r="AN1087" s="2137">
        <f>Q1087-'Blocking-Step2'!Q1087</f>
        <v>0</v>
      </c>
      <c r="AP1087" s="2127">
        <f>S1087-'Blocking-Step2'!S1087</f>
        <v>0</v>
      </c>
      <c r="AR1087" s="2127">
        <f>U1087-'Blocking-Step2'!U1087</f>
        <v>0</v>
      </c>
      <c r="AT1087" s="2127">
        <f>W1087-'Blocking-Step2'!W1087</f>
        <v>0</v>
      </c>
      <c r="AV1087" s="2128">
        <f>Y1087-'Blocking-Step2'!Y1087</f>
        <v>0</v>
      </c>
    </row>
    <row r="1088" spans="1:48" ht="16.5" hidden="1" thickTop="1">
      <c r="A1088" s="1116" t="s">
        <v>157</v>
      </c>
      <c r="C1088" s="1105">
        <v>374.33282208588997</v>
      </c>
      <c r="D1088" s="1105">
        <v>0</v>
      </c>
      <c r="F1088" s="1142">
        <v>6.52</v>
      </c>
      <c r="G1088" s="617"/>
      <c r="H1088" s="1146">
        <v>2441</v>
      </c>
      <c r="I1088" s="1146">
        <v>0</v>
      </c>
      <c r="K1088" s="1142"/>
      <c r="L1088" s="617"/>
      <c r="M1088" s="1142"/>
      <c r="N1088" s="617"/>
      <c r="O1088" s="1142"/>
      <c r="P1088" s="617"/>
      <c r="Q1088" s="1142"/>
      <c r="R1088" s="617"/>
      <c r="S1088" s="1146"/>
      <c r="T1088" s="1114"/>
      <c r="U1088" s="1146"/>
      <c r="V1088" s="1114"/>
      <c r="W1088" s="1146"/>
      <c r="X1088" s="1114"/>
      <c r="Y1088" s="1146"/>
      <c r="Z1088" s="2114">
        <f>C1088-'Blocking-Step2'!C1088</f>
        <v>0</v>
      </c>
      <c r="AA1088" s="2114">
        <f>D1088-'Blocking-Step2'!D1088</f>
        <v>0</v>
      </c>
      <c r="AC1088" s="2114">
        <f>F1088-'Blocking-Step2'!F1088</f>
        <v>0</v>
      </c>
      <c r="AE1088" s="2114">
        <f>H1088-'Blocking-Step2'!H1088</f>
        <v>0</v>
      </c>
      <c r="AF1088" s="2114">
        <f>I1088-'Blocking-Step2'!I1088</f>
        <v>0</v>
      </c>
      <c r="AH1088" s="2136">
        <f>K1088-'Blocking-Step2'!K1088</f>
        <v>0</v>
      </c>
      <c r="AJ1088" s="2136">
        <f>M1088-'Blocking-Step2'!M1088</f>
        <v>0</v>
      </c>
      <c r="AL1088" s="2136">
        <f>O1088-'Blocking-Step2'!O1088</f>
        <v>0</v>
      </c>
      <c r="AN1088" s="2137">
        <f>Q1088-'Blocking-Step2'!Q1088</f>
        <v>0</v>
      </c>
      <c r="AP1088" s="2127">
        <f>S1088-'Blocking-Step2'!S1088</f>
        <v>0</v>
      </c>
      <c r="AR1088" s="2127">
        <f>U1088-'Blocking-Step2'!U1088</f>
        <v>0</v>
      </c>
      <c r="AT1088" s="2127">
        <f>W1088-'Blocking-Step2'!W1088</f>
        <v>0</v>
      </c>
      <c r="AV1088" s="2128">
        <f>Y1088-'Blocking-Step2'!Y1088</f>
        <v>0</v>
      </c>
    </row>
    <row r="1089" spans="1:48" ht="16.5" hidden="1" thickTop="1">
      <c r="A1089" s="1116" t="s">
        <v>162</v>
      </c>
      <c r="C1089" s="1105">
        <v>275.03473491773298</v>
      </c>
      <c r="D1089" s="1105">
        <v>0</v>
      </c>
      <c r="F1089" s="1142">
        <v>5.47</v>
      </c>
      <c r="G1089" s="617"/>
      <c r="H1089" s="1146">
        <v>1504</v>
      </c>
      <c r="I1089" s="1146">
        <v>0</v>
      </c>
      <c r="K1089" s="1142"/>
      <c r="L1089" s="617"/>
      <c r="M1089" s="1142"/>
      <c r="N1089" s="617"/>
      <c r="O1089" s="1142"/>
      <c r="P1089" s="617"/>
      <c r="Q1089" s="1142"/>
      <c r="R1089" s="617"/>
      <c r="S1089" s="1146"/>
      <c r="T1089" s="1114"/>
      <c r="U1089" s="1146"/>
      <c r="V1089" s="1114"/>
      <c r="W1089" s="1146"/>
      <c r="X1089" s="1114"/>
      <c r="Y1089" s="1146"/>
      <c r="Z1089" s="2114">
        <f>C1089-'Blocking-Step2'!C1089</f>
        <v>0</v>
      </c>
      <c r="AA1089" s="2114">
        <f>D1089-'Blocking-Step2'!D1089</f>
        <v>0</v>
      </c>
      <c r="AC1089" s="2114">
        <f>F1089-'Blocking-Step2'!F1089</f>
        <v>0</v>
      </c>
      <c r="AE1089" s="2114">
        <f>H1089-'Blocking-Step2'!H1089</f>
        <v>0</v>
      </c>
      <c r="AF1089" s="2114">
        <f>I1089-'Blocking-Step2'!I1089</f>
        <v>0</v>
      </c>
      <c r="AH1089" s="2136">
        <f>K1089-'Blocking-Step2'!K1089</f>
        <v>0</v>
      </c>
      <c r="AJ1089" s="2136">
        <f>M1089-'Blocking-Step2'!M1089</f>
        <v>0</v>
      </c>
      <c r="AL1089" s="2136">
        <f>O1089-'Blocking-Step2'!O1089</f>
        <v>0</v>
      </c>
      <c r="AN1089" s="2137">
        <f>Q1089-'Blocking-Step2'!Q1089</f>
        <v>0</v>
      </c>
      <c r="AP1089" s="2127">
        <f>S1089-'Blocking-Step2'!S1089</f>
        <v>0</v>
      </c>
      <c r="AR1089" s="2127">
        <f>U1089-'Blocking-Step2'!U1089</f>
        <v>0</v>
      </c>
      <c r="AT1089" s="2127">
        <f>W1089-'Blocking-Step2'!W1089</f>
        <v>0</v>
      </c>
      <c r="AV1089" s="2128">
        <f>Y1089-'Blocking-Step2'!Y1089</f>
        <v>0</v>
      </c>
    </row>
    <row r="1090" spans="1:48" ht="16.5" hidden="1" thickTop="1">
      <c r="A1090" s="1116" t="s">
        <v>261</v>
      </c>
      <c r="C1090" s="1105">
        <v>0</v>
      </c>
      <c r="D1090" s="1105">
        <v>0</v>
      </c>
      <c r="E1090" s="617"/>
      <c r="F1090" s="1142">
        <v>-0.61</v>
      </c>
      <c r="G1090" s="617"/>
      <c r="H1090" s="1146">
        <v>0</v>
      </c>
      <c r="I1090" s="1146">
        <v>0</v>
      </c>
      <c r="J1090" s="617"/>
      <c r="K1090" s="1142">
        <v>-0.61</v>
      </c>
      <c r="L1090" s="617"/>
      <c r="M1090" s="1142">
        <v>0</v>
      </c>
      <c r="N1090" s="617"/>
      <c r="O1090" s="1142">
        <v>0</v>
      </c>
      <c r="P1090" s="617"/>
      <c r="Q1090" s="1142">
        <v>-0.61</v>
      </c>
      <c r="R1090" s="617"/>
      <c r="S1090" s="1146">
        <v>0</v>
      </c>
      <c r="T1090" s="1114"/>
      <c r="U1090" s="1146">
        <v>0</v>
      </c>
      <c r="V1090" s="1114"/>
      <c r="W1090" s="1146">
        <v>0</v>
      </c>
      <c r="X1090" s="1114"/>
      <c r="Y1090" s="1146">
        <v>0</v>
      </c>
      <c r="Z1090" s="2114">
        <f>C1090-'Blocking-Step2'!C1090</f>
        <v>0</v>
      </c>
      <c r="AA1090" s="2114">
        <f>D1090-'Blocking-Step2'!D1090</f>
        <v>0</v>
      </c>
      <c r="AC1090" s="2114">
        <f>F1090-'Blocking-Step2'!F1090</f>
        <v>0</v>
      </c>
      <c r="AE1090" s="2114">
        <f>H1090-'Blocking-Step2'!H1090</f>
        <v>0</v>
      </c>
      <c r="AF1090" s="2114">
        <f>I1090-'Blocking-Step2'!I1090</f>
        <v>0</v>
      </c>
      <c r="AH1090" s="2136">
        <f>K1090-'Blocking-Step2'!K1090</f>
        <v>0</v>
      </c>
      <c r="AJ1090" s="2136">
        <f>M1090-'Blocking-Step2'!M1090</f>
        <v>0</v>
      </c>
      <c r="AL1090" s="2136">
        <f>O1090-'Blocking-Step2'!O1090</f>
        <v>0</v>
      </c>
      <c r="AN1090" s="2137">
        <f>Q1090-'Blocking-Step2'!Q1090</f>
        <v>0</v>
      </c>
      <c r="AP1090" s="2127">
        <f>S1090-'Blocking-Step2'!S1090</f>
        <v>0</v>
      </c>
      <c r="AR1090" s="2127">
        <f>U1090-'Blocking-Step2'!U1090</f>
        <v>0</v>
      </c>
      <c r="AT1090" s="2127">
        <f>W1090-'Blocking-Step2'!W1090</f>
        <v>0</v>
      </c>
      <c r="AV1090" s="2128">
        <f>Y1090-'Blocking-Step2'!Y1090</f>
        <v>0</v>
      </c>
    </row>
    <row r="1091" spans="1:48" ht="16.5" hidden="1" thickTop="1">
      <c r="A1091" s="1116" t="s">
        <v>188</v>
      </c>
      <c r="C1091" s="1105">
        <v>0</v>
      </c>
      <c r="D1091" s="1105">
        <v>0</v>
      </c>
      <c r="E1091" s="617"/>
      <c r="F1091" s="1143">
        <v>11.926600000000001</v>
      </c>
      <c r="G1091" s="1921" t="s">
        <v>495</v>
      </c>
      <c r="H1091" s="1146">
        <v>0</v>
      </c>
      <c r="I1091" s="1146">
        <v>0</v>
      </c>
      <c r="J1091" s="617"/>
      <c r="K1091" s="1143"/>
      <c r="L1091" s="1921"/>
      <c r="M1091" s="1143"/>
      <c r="N1091" s="1921"/>
      <c r="O1091" s="1143"/>
      <c r="P1091" s="1921"/>
      <c r="Q1091" s="1143"/>
      <c r="R1091" s="1921"/>
      <c r="S1091" s="1648"/>
      <c r="T1091" s="1648"/>
      <c r="U1091" s="1648"/>
      <c r="V1091" s="1648"/>
      <c r="W1091" s="1648"/>
      <c r="X1091" s="1648"/>
      <c r="Y1091" s="1146"/>
      <c r="Z1091" s="2114">
        <f>C1091-'Blocking-Step2'!C1091</f>
        <v>0</v>
      </c>
      <c r="AA1091" s="2114">
        <f>D1091-'Blocking-Step2'!D1091</f>
        <v>0</v>
      </c>
      <c r="AC1091" s="2114">
        <f>F1091-'Blocking-Step2'!F1091</f>
        <v>0</v>
      </c>
      <c r="AE1091" s="2114">
        <f>H1091-'Blocking-Step2'!H1091</f>
        <v>0</v>
      </c>
      <c r="AF1091" s="2114">
        <f>I1091-'Blocking-Step2'!I1091</f>
        <v>0</v>
      </c>
      <c r="AH1091" s="2136">
        <f>K1091-'Blocking-Step2'!K1091</f>
        <v>0</v>
      </c>
      <c r="AJ1091" s="2136">
        <f>M1091-'Blocking-Step2'!M1091</f>
        <v>0</v>
      </c>
      <c r="AL1091" s="2136">
        <f>O1091-'Blocking-Step2'!O1091</f>
        <v>0</v>
      </c>
      <c r="AN1091" s="2137">
        <f>Q1091-'Blocking-Step2'!Q1091</f>
        <v>0</v>
      </c>
      <c r="AP1091" s="2127">
        <f>S1091-'Blocking-Step2'!S1091</f>
        <v>0</v>
      </c>
      <c r="AR1091" s="2127">
        <f>U1091-'Blocking-Step2'!U1091</f>
        <v>0</v>
      </c>
      <c r="AT1091" s="2127">
        <f>W1091-'Blocking-Step2'!W1091</f>
        <v>0</v>
      </c>
      <c r="AV1091" s="2128">
        <f>Y1091-'Blocking-Step2'!Y1091</f>
        <v>0</v>
      </c>
    </row>
    <row r="1092" spans="1:48" ht="16.5" hidden="1" thickTop="1">
      <c r="A1092" s="1116" t="s">
        <v>189</v>
      </c>
      <c r="C1092" s="1105">
        <v>0</v>
      </c>
      <c r="D1092" s="1105">
        <v>0</v>
      </c>
      <c r="E1092" s="617"/>
      <c r="F1092" s="1143">
        <v>3.5908000000000002</v>
      </c>
      <c r="G1092" s="1921" t="s">
        <v>495</v>
      </c>
      <c r="H1092" s="1146">
        <v>0</v>
      </c>
      <c r="I1092" s="1146">
        <v>0</v>
      </c>
      <c r="J1092" s="617"/>
      <c r="K1092" s="1143"/>
      <c r="L1092" s="1921"/>
      <c r="M1092" s="1143"/>
      <c r="N1092" s="1921"/>
      <c r="O1092" s="1143"/>
      <c r="P1092" s="1921"/>
      <c r="Q1092" s="1143"/>
      <c r="R1092" s="1921"/>
      <c r="S1092" s="1648"/>
      <c r="T1092" s="1648"/>
      <c r="U1092" s="1648"/>
      <c r="V1092" s="1648"/>
      <c r="W1092" s="1648"/>
      <c r="X1092" s="1648"/>
      <c r="Y1092" s="1146"/>
      <c r="Z1092" s="2114">
        <f>C1092-'Blocking-Step2'!C1092</f>
        <v>0</v>
      </c>
      <c r="AA1092" s="2114">
        <f>D1092-'Blocking-Step2'!D1092</f>
        <v>0</v>
      </c>
      <c r="AC1092" s="2114">
        <f>F1092-'Blocking-Step2'!F1092</f>
        <v>0</v>
      </c>
      <c r="AE1092" s="2114">
        <f>H1092-'Blocking-Step2'!H1092</f>
        <v>0</v>
      </c>
      <c r="AF1092" s="2114">
        <f>I1092-'Blocking-Step2'!I1092</f>
        <v>0</v>
      </c>
      <c r="AH1092" s="2136">
        <f>K1092-'Blocking-Step2'!K1092</f>
        <v>0</v>
      </c>
      <c r="AJ1092" s="2136">
        <f>M1092-'Blocking-Step2'!M1092</f>
        <v>0</v>
      </c>
      <c r="AL1092" s="2136">
        <f>O1092-'Blocking-Step2'!O1092</f>
        <v>0</v>
      </c>
      <c r="AN1092" s="2137">
        <f>Q1092-'Blocking-Step2'!Q1092</f>
        <v>0</v>
      </c>
      <c r="AP1092" s="2127">
        <f>S1092-'Blocking-Step2'!S1092</f>
        <v>0</v>
      </c>
      <c r="AR1092" s="2127">
        <f>U1092-'Blocking-Step2'!U1092</f>
        <v>0</v>
      </c>
      <c r="AT1092" s="2127">
        <f>W1092-'Blocking-Step2'!W1092</f>
        <v>0</v>
      </c>
      <c r="AV1092" s="2128">
        <f>Y1092-'Blocking-Step2'!Y1092</f>
        <v>0</v>
      </c>
    </row>
    <row r="1093" spans="1:48" ht="16.5" hidden="1" thickTop="1">
      <c r="A1093" s="1116" t="s">
        <v>163</v>
      </c>
      <c r="C1093" s="1105">
        <v>2010</v>
      </c>
      <c r="D1093" s="1105">
        <v>0</v>
      </c>
      <c r="E1093" s="617"/>
      <c r="F1093" s="1143">
        <v>9.9693000000000005</v>
      </c>
      <c r="G1093" s="1921" t="s">
        <v>495</v>
      </c>
      <c r="H1093" s="1146">
        <v>200</v>
      </c>
      <c r="I1093" s="1146">
        <v>0</v>
      </c>
      <c r="J1093" s="617"/>
      <c r="K1093" s="1143"/>
      <c r="L1093" s="1921"/>
      <c r="M1093" s="1143"/>
      <c r="N1093" s="1921"/>
      <c r="O1093" s="1143"/>
      <c r="P1093" s="1921"/>
      <c r="Q1093" s="1143"/>
      <c r="R1093" s="1921"/>
      <c r="S1093" s="1648"/>
      <c r="T1093" s="1648"/>
      <c r="U1093" s="1648"/>
      <c r="V1093" s="1648"/>
      <c r="W1093" s="1648"/>
      <c r="X1093" s="1648"/>
      <c r="Y1093" s="1146"/>
      <c r="Z1093" s="2114">
        <f>C1093-'Blocking-Step2'!C1093</f>
        <v>0</v>
      </c>
      <c r="AA1093" s="2114">
        <f>D1093-'Blocking-Step2'!D1093</f>
        <v>0</v>
      </c>
      <c r="AC1093" s="2114">
        <f>F1093-'Blocking-Step2'!F1093</f>
        <v>0</v>
      </c>
      <c r="AE1093" s="2114">
        <f>H1093-'Blocking-Step2'!H1093</f>
        <v>0</v>
      </c>
      <c r="AF1093" s="2114">
        <f>I1093-'Blocking-Step2'!I1093</f>
        <v>0</v>
      </c>
      <c r="AH1093" s="2136">
        <f>K1093-'Blocking-Step2'!K1093</f>
        <v>0</v>
      </c>
      <c r="AJ1093" s="2136">
        <f>M1093-'Blocking-Step2'!M1093</f>
        <v>0</v>
      </c>
      <c r="AL1093" s="2136">
        <f>O1093-'Blocking-Step2'!O1093</f>
        <v>0</v>
      </c>
      <c r="AN1093" s="2137">
        <f>Q1093-'Blocking-Step2'!Q1093</f>
        <v>0</v>
      </c>
      <c r="AP1093" s="2127">
        <f>S1093-'Blocking-Step2'!S1093</f>
        <v>0</v>
      </c>
      <c r="AR1093" s="2127">
        <f>U1093-'Blocking-Step2'!U1093</f>
        <v>0</v>
      </c>
      <c r="AT1093" s="2127">
        <f>W1093-'Blocking-Step2'!W1093</f>
        <v>0</v>
      </c>
      <c r="AV1093" s="2128">
        <f>Y1093-'Blocking-Step2'!Y1093</f>
        <v>0</v>
      </c>
    </row>
    <row r="1094" spans="1:48" ht="16.5" hidden="1" thickTop="1">
      <c r="A1094" s="1116" t="s">
        <v>164</v>
      </c>
      <c r="C1094" s="1105">
        <v>4016</v>
      </c>
      <c r="D1094" s="1105">
        <v>0</v>
      </c>
      <c r="E1094" s="617"/>
      <c r="F1094" s="1143">
        <v>3.0059999999999998</v>
      </c>
      <c r="G1094" s="1921" t="s">
        <v>495</v>
      </c>
      <c r="H1094" s="1146">
        <v>121</v>
      </c>
      <c r="I1094" s="1146">
        <v>0</v>
      </c>
      <c r="J1094" s="617"/>
      <c r="K1094" s="1143"/>
      <c r="L1094" s="1921"/>
      <c r="M1094" s="1143"/>
      <c r="N1094" s="1921"/>
      <c r="O1094" s="1143"/>
      <c r="P1094" s="1921"/>
      <c r="Q1094" s="1143"/>
      <c r="R1094" s="1921"/>
      <c r="S1094" s="1648"/>
      <c r="T1094" s="1648"/>
      <c r="U1094" s="1648"/>
      <c r="V1094" s="1648"/>
      <c r="W1094" s="1648"/>
      <c r="X1094" s="1648"/>
      <c r="Y1094" s="1146"/>
      <c r="Z1094" s="2114">
        <f>C1094-'Blocking-Step2'!C1094</f>
        <v>0</v>
      </c>
      <c r="AA1094" s="2114">
        <f>D1094-'Blocking-Step2'!D1094</f>
        <v>0</v>
      </c>
      <c r="AC1094" s="2114">
        <f>F1094-'Blocking-Step2'!F1094</f>
        <v>0</v>
      </c>
      <c r="AE1094" s="2114">
        <f>H1094-'Blocking-Step2'!H1094</f>
        <v>0</v>
      </c>
      <c r="AF1094" s="2114">
        <f>I1094-'Blocking-Step2'!I1094</f>
        <v>0</v>
      </c>
      <c r="AH1094" s="2136">
        <f>K1094-'Blocking-Step2'!K1094</f>
        <v>0</v>
      </c>
      <c r="AJ1094" s="2136">
        <f>M1094-'Blocking-Step2'!M1094</f>
        <v>0</v>
      </c>
      <c r="AL1094" s="2136">
        <f>O1094-'Blocking-Step2'!O1094</f>
        <v>0</v>
      </c>
      <c r="AN1094" s="2137">
        <f>Q1094-'Blocking-Step2'!Q1094</f>
        <v>0</v>
      </c>
      <c r="AP1094" s="2127">
        <f>S1094-'Blocking-Step2'!S1094</f>
        <v>0</v>
      </c>
      <c r="AR1094" s="2127">
        <f>U1094-'Blocking-Step2'!U1094</f>
        <v>0</v>
      </c>
      <c r="AT1094" s="2127">
        <f>W1094-'Blocking-Step2'!W1094</f>
        <v>0</v>
      </c>
      <c r="AV1094" s="2128">
        <f>Y1094-'Blocking-Step2'!Y1094</f>
        <v>0</v>
      </c>
    </row>
    <row r="1095" spans="1:48" ht="16.5" hidden="1" thickTop="1">
      <c r="A1095" s="1116" t="s">
        <v>246</v>
      </c>
      <c r="C1095" s="1940">
        <v>34</v>
      </c>
      <c r="D1095" s="1940">
        <v>0</v>
      </c>
      <c r="H1095" s="1147">
        <v>33</v>
      </c>
      <c r="I1095" s="1147">
        <v>0</v>
      </c>
      <c r="Y1095" s="1147"/>
      <c r="Z1095" s="2114">
        <f>C1095-'Blocking-Step2'!C1095</f>
        <v>0</v>
      </c>
      <c r="AA1095" s="2114">
        <f>D1095-'Blocking-Step2'!D1095</f>
        <v>0</v>
      </c>
      <c r="AC1095" s="2114">
        <f>F1095-'Blocking-Step2'!F1095</f>
        <v>0</v>
      </c>
      <c r="AE1095" s="2114">
        <f>H1095-'Blocking-Step2'!H1095</f>
        <v>0</v>
      </c>
      <c r="AF1095" s="2114">
        <f>I1095-'Blocking-Step2'!I1095</f>
        <v>0</v>
      </c>
      <c r="AH1095" s="2136">
        <f>K1095-'Blocking-Step2'!K1095</f>
        <v>0</v>
      </c>
      <c r="AJ1095" s="2136">
        <f>M1095-'Blocking-Step2'!M1095</f>
        <v>0</v>
      </c>
      <c r="AL1095" s="2136">
        <f>O1095-'Blocking-Step2'!O1095</f>
        <v>0</v>
      </c>
      <c r="AN1095" s="2137">
        <f>Q1095-'Blocking-Step2'!Q1095</f>
        <v>0</v>
      </c>
      <c r="AP1095" s="2127">
        <f>S1095-'Blocking-Step2'!S1095</f>
        <v>0</v>
      </c>
      <c r="AR1095" s="2127">
        <f>U1095-'Blocking-Step2'!U1095</f>
        <v>0</v>
      </c>
      <c r="AT1095" s="2127">
        <f>W1095-'Blocking-Step2'!W1095</f>
        <v>0</v>
      </c>
      <c r="AV1095" s="2128">
        <f>Y1095-'Blocking-Step2'!Y1095</f>
        <v>0</v>
      </c>
    </row>
    <row r="1096" spans="1:48" ht="16.5" hidden="1" thickTop="1">
      <c r="A1096" s="1116" t="s">
        <v>1240</v>
      </c>
      <c r="C1096" s="1024"/>
      <c r="D1096" s="1024"/>
      <c r="F1096" s="2076">
        <v>-4.99E-2</v>
      </c>
      <c r="G1096" s="617"/>
      <c r="H1096" s="1146">
        <v>-16.017900000000001</v>
      </c>
      <c r="I1096" s="1146">
        <v>0</v>
      </c>
      <c r="K1096" s="2076"/>
      <c r="L1096" s="617"/>
      <c r="M1096" s="2076"/>
      <c r="N1096" s="617"/>
      <c r="O1096" s="2077" t="s">
        <v>2323</v>
      </c>
      <c r="P1096" s="617"/>
      <c r="Q1096" s="2076">
        <v>-3.0599999999999999E-2</v>
      </c>
      <c r="R1096" s="617"/>
      <c r="S1096" s="1114"/>
      <c r="T1096" s="1114"/>
      <c r="U1096" s="1114"/>
      <c r="V1096" s="1114"/>
      <c r="W1096" s="1114"/>
      <c r="X1096" s="1114"/>
      <c r="Y1096" s="1146">
        <v>0</v>
      </c>
      <c r="Z1096" s="2114">
        <f>C1096-'Blocking-Step2'!C1096</f>
        <v>0</v>
      </c>
      <c r="AA1096" s="2114">
        <f>D1096-'Blocking-Step2'!D1096</f>
        <v>0</v>
      </c>
      <c r="AC1096" s="2114">
        <f>F1096-'Blocking-Step2'!F1096</f>
        <v>0</v>
      </c>
      <c r="AE1096" s="2114">
        <f>H1096-'Blocking-Step2'!H1096</f>
        <v>0</v>
      </c>
      <c r="AF1096" s="2114">
        <f>I1096-'Blocking-Step2'!I1096</f>
        <v>0</v>
      </c>
      <c r="AH1096" s="2136">
        <f>K1096-'Blocking-Step2'!K1096</f>
        <v>0</v>
      </c>
      <c r="AJ1096" s="2136">
        <f>M1096-'Blocking-Step2'!M1096</f>
        <v>0</v>
      </c>
      <c r="AL1096" s="2136" t="e">
        <f>O1096-'Blocking-Step2'!O1096</f>
        <v>#VALUE!</v>
      </c>
      <c r="AN1096" s="2137">
        <f>Q1096-'Blocking-Step2'!Q1096</f>
        <v>0</v>
      </c>
      <c r="AP1096" s="2127">
        <f>S1096-'Blocking-Step2'!S1096</f>
        <v>0</v>
      </c>
      <c r="AR1096" s="2127">
        <f>U1096-'Blocking-Step2'!U1096</f>
        <v>0</v>
      </c>
      <c r="AT1096" s="2127">
        <f>W1096-'Blocking-Step2'!W1096</f>
        <v>0</v>
      </c>
      <c r="AV1096" s="2128">
        <f>Y1096-'Blocking-Step2'!Y1096</f>
        <v>0</v>
      </c>
    </row>
    <row r="1097" spans="1:48" ht="16.5" hidden="1" thickTop="1">
      <c r="A1097" s="1116"/>
      <c r="C1097" s="1024"/>
      <c r="D1097" s="1024"/>
      <c r="F1097" s="2076"/>
      <c r="G1097" s="617"/>
      <c r="H1097" s="1146"/>
      <c r="I1097" s="1146"/>
      <c r="K1097" s="2076"/>
      <c r="L1097" s="617"/>
      <c r="M1097" s="2076"/>
      <c r="N1097" s="617"/>
      <c r="O1097" s="2077" t="s">
        <v>2324</v>
      </c>
      <c r="P1097" s="617"/>
      <c r="Q1097" s="2076">
        <v>-1.66E-2</v>
      </c>
      <c r="R1097" s="617"/>
      <c r="S1097" s="1114"/>
      <c r="T1097" s="1114"/>
      <c r="U1097" s="1114"/>
      <c r="V1097" s="1114"/>
      <c r="W1097" s="1114"/>
      <c r="X1097" s="1114"/>
      <c r="Y1097" s="1146">
        <v>0</v>
      </c>
      <c r="Z1097" s="2114">
        <f>C1097-'Blocking-Step2'!C1097</f>
        <v>0</v>
      </c>
      <c r="AA1097" s="2114">
        <f>D1097-'Blocking-Step2'!D1097</f>
        <v>0</v>
      </c>
      <c r="AC1097" s="2114">
        <f>F1097-'Blocking-Step2'!F1097</f>
        <v>0</v>
      </c>
      <c r="AE1097" s="2114">
        <f>H1097-'Blocking-Step2'!H1097</f>
        <v>0</v>
      </c>
      <c r="AF1097" s="2114">
        <f>I1097-'Blocking-Step2'!I1097</f>
        <v>0</v>
      </c>
      <c r="AH1097" s="2136">
        <f>K1097-'Blocking-Step2'!K1097</f>
        <v>0</v>
      </c>
      <c r="AJ1097" s="2136">
        <f>M1097-'Blocking-Step2'!M1097</f>
        <v>0</v>
      </c>
      <c r="AL1097" s="2136" t="e">
        <f>O1097-'Blocking-Step2'!O1097</f>
        <v>#VALUE!</v>
      </c>
      <c r="AN1097" s="2137">
        <f>Q1097-'Blocking-Step2'!Q1097</f>
        <v>0</v>
      </c>
      <c r="AP1097" s="2127">
        <f>S1097-'Blocking-Step2'!S1097</f>
        <v>0</v>
      </c>
      <c r="AR1097" s="2127">
        <f>U1097-'Blocking-Step2'!U1097</f>
        <v>0</v>
      </c>
      <c r="AT1097" s="2127">
        <f>W1097-'Blocking-Step2'!W1097</f>
        <v>0</v>
      </c>
      <c r="AV1097" s="2128">
        <f>Y1097-'Blocking-Step2'!Y1097</f>
        <v>0</v>
      </c>
    </row>
    <row r="1098" spans="1:48" ht="17.25" hidden="1" thickTop="1" thickBot="1">
      <c r="A1098" s="1116" t="s">
        <v>247</v>
      </c>
      <c r="C1098" s="1138">
        <v>6060</v>
      </c>
      <c r="D1098" s="1138">
        <v>0</v>
      </c>
      <c r="E1098" s="617"/>
      <c r="F1098" s="1145"/>
      <c r="H1098" s="1149">
        <v>5375.9821000000002</v>
      </c>
      <c r="I1098" s="1149">
        <v>648</v>
      </c>
      <c r="J1098" s="617"/>
      <c r="K1098" s="1145"/>
      <c r="M1098" s="1145"/>
      <c r="O1098" s="1145"/>
      <c r="Q1098" s="1145"/>
      <c r="S1098" s="1149">
        <v>648</v>
      </c>
      <c r="U1098" s="1149">
        <v>0</v>
      </c>
      <c r="W1098" s="1149">
        <v>0</v>
      </c>
      <c r="Y1098" s="1149">
        <v>648</v>
      </c>
      <c r="Z1098" s="2114">
        <f>C1098-'Blocking-Step2'!C1098</f>
        <v>0</v>
      </c>
      <c r="AA1098" s="2114">
        <f>D1098-'Blocking-Step2'!D1098</f>
        <v>0</v>
      </c>
      <c r="AC1098" s="2114">
        <f>F1098-'Blocking-Step2'!F1098</f>
        <v>0</v>
      </c>
      <c r="AE1098" s="2114">
        <f>H1098-'Blocking-Step2'!H1098</f>
        <v>0</v>
      </c>
      <c r="AF1098" s="2114">
        <f>I1098-'Blocking-Step2'!I1098</f>
        <v>0</v>
      </c>
      <c r="AH1098" s="2136">
        <f>K1098-'Blocking-Step2'!K1098</f>
        <v>0</v>
      </c>
      <c r="AJ1098" s="2136">
        <f>M1098-'Blocking-Step2'!M1098</f>
        <v>0</v>
      </c>
      <c r="AL1098" s="2136">
        <f>O1098-'Blocking-Step2'!O1098</f>
        <v>0</v>
      </c>
      <c r="AN1098" s="2137">
        <f>Q1098-'Blocking-Step2'!Q1098</f>
        <v>0</v>
      </c>
      <c r="AP1098" s="2127">
        <f>S1098-'Blocking-Step2'!S1098</f>
        <v>0</v>
      </c>
      <c r="AR1098" s="2127">
        <f>U1098-'Blocking-Step2'!U1098</f>
        <v>0</v>
      </c>
      <c r="AT1098" s="2127">
        <f>W1098-'Blocking-Step2'!W1098</f>
        <v>0</v>
      </c>
      <c r="AV1098" s="2128">
        <f>Y1098-'Blocking-Step2'!Y1098</f>
        <v>0</v>
      </c>
    </row>
    <row r="1099" spans="1:48" ht="16.5" hidden="1" thickTop="1">
      <c r="E1099" s="617"/>
      <c r="J1099" s="617"/>
      <c r="Z1099" s="2114">
        <f>C1099-'Blocking-Step2'!C1099</f>
        <v>0</v>
      </c>
      <c r="AA1099" s="2114">
        <f>D1099-'Blocking-Step2'!D1099</f>
        <v>0</v>
      </c>
      <c r="AC1099" s="2114">
        <f>F1099-'Blocking-Step2'!F1099</f>
        <v>0</v>
      </c>
      <c r="AE1099" s="2114">
        <f>H1099-'Blocking-Step2'!H1099</f>
        <v>0</v>
      </c>
      <c r="AF1099" s="2114">
        <f>I1099-'Blocking-Step2'!I1099</f>
        <v>0</v>
      </c>
      <c r="AH1099" s="2136">
        <f>K1099-'Blocking-Step2'!K1099</f>
        <v>0</v>
      </c>
      <c r="AJ1099" s="2136">
        <f>M1099-'Blocking-Step2'!M1099</f>
        <v>0</v>
      </c>
      <c r="AL1099" s="2136">
        <f>O1099-'Blocking-Step2'!O1099</f>
        <v>0</v>
      </c>
      <c r="AN1099" s="2137">
        <f>Q1099-'Blocking-Step2'!Q1099</f>
        <v>0</v>
      </c>
      <c r="AP1099" s="2127">
        <f>S1099-'Blocking-Step2'!S1099</f>
        <v>0</v>
      </c>
      <c r="AR1099" s="2127">
        <f>U1099-'Blocking-Step2'!U1099</f>
        <v>0</v>
      </c>
      <c r="AT1099" s="2127">
        <f>W1099-'Blocking-Step2'!W1099</f>
        <v>0</v>
      </c>
      <c r="AV1099" s="2128">
        <f>Y1099-'Blocking-Step2'!Y1099</f>
        <v>0</v>
      </c>
    </row>
    <row r="1100" spans="1:48" ht="16.5" hidden="1" thickTop="1">
      <c r="A1100" s="1115" t="s">
        <v>986</v>
      </c>
      <c r="C1100" s="1105"/>
      <c r="D1100" s="1105"/>
      <c r="F1100" s="1106"/>
      <c r="G1100" s="1107"/>
      <c r="K1100" s="1106"/>
      <c r="L1100" s="1107"/>
      <c r="M1100" s="1106"/>
      <c r="N1100" s="1107"/>
      <c r="O1100" s="1106"/>
      <c r="P1100" s="1107"/>
      <c r="Q1100" s="1106"/>
      <c r="R1100" s="1107"/>
      <c r="S1100" s="1114"/>
      <c r="T1100" s="1114"/>
      <c r="U1100" s="1114"/>
      <c r="V1100" s="1114"/>
      <c r="W1100" s="1114"/>
      <c r="X1100" s="1114"/>
      <c r="Z1100" s="2114">
        <f>C1100-'Blocking-Step2'!C1100</f>
        <v>0</v>
      </c>
      <c r="AA1100" s="2114">
        <f>D1100-'Blocking-Step2'!D1100</f>
        <v>0</v>
      </c>
      <c r="AC1100" s="2114">
        <f>F1100-'Blocking-Step2'!F1100</f>
        <v>0</v>
      </c>
      <c r="AE1100" s="2114">
        <f>H1100-'Blocking-Step2'!H1100</f>
        <v>0</v>
      </c>
      <c r="AF1100" s="2114">
        <f>I1100-'Blocking-Step2'!I1100</f>
        <v>0</v>
      </c>
      <c r="AH1100" s="2136">
        <f>K1100-'Blocking-Step2'!K1100</f>
        <v>0</v>
      </c>
      <c r="AJ1100" s="2136">
        <f>M1100-'Blocking-Step2'!M1100</f>
        <v>0</v>
      </c>
      <c r="AL1100" s="2136">
        <f>O1100-'Blocking-Step2'!O1100</f>
        <v>0</v>
      </c>
      <c r="AN1100" s="2137">
        <f>Q1100-'Blocking-Step2'!Q1100</f>
        <v>0</v>
      </c>
      <c r="AP1100" s="2127">
        <f>S1100-'Blocking-Step2'!S1100</f>
        <v>0</v>
      </c>
      <c r="AR1100" s="2127">
        <f>U1100-'Blocking-Step2'!U1100</f>
        <v>0</v>
      </c>
      <c r="AT1100" s="2127">
        <f>W1100-'Blocking-Step2'!W1100</f>
        <v>0</v>
      </c>
      <c r="AV1100" s="2128">
        <f>Y1100-'Blocking-Step2'!Y1100</f>
        <v>0</v>
      </c>
    </row>
    <row r="1101" spans="1:48" ht="16.5" hidden="1" thickTop="1">
      <c r="A1101" s="1116" t="s">
        <v>1910</v>
      </c>
      <c r="C1101" s="1105">
        <v>285974.95261118939</v>
      </c>
      <c r="D1101" s="1105">
        <v>662525.0242466554</v>
      </c>
      <c r="E1101" s="617"/>
      <c r="F1101" s="1143"/>
      <c r="G1101" s="1921"/>
      <c r="H1101" s="1146"/>
      <c r="I1101" s="1146"/>
      <c r="J1101" s="617"/>
      <c r="K1101" s="1143">
        <v>1.657</v>
      </c>
      <c r="L1101" s="1921" t="s">
        <v>495</v>
      </c>
      <c r="M1101" s="1143">
        <v>19.370528114911814</v>
      </c>
      <c r="N1101" s="1921" t="s">
        <v>495</v>
      </c>
      <c r="O1101" s="1143">
        <v>1.3496999999999999</v>
      </c>
      <c r="P1101" s="1921" t="s">
        <v>495</v>
      </c>
      <c r="Q1101" s="1143">
        <v>22.377228114911812</v>
      </c>
      <c r="R1101" s="1921" t="s">
        <v>495</v>
      </c>
      <c r="S1101" s="1146">
        <v>10978</v>
      </c>
      <c r="T1101" s="1648"/>
      <c r="U1101" s="1146">
        <v>128335</v>
      </c>
      <c r="V1101" s="1648"/>
      <c r="W1101" s="1146">
        <v>8942</v>
      </c>
      <c r="X1101" s="1648"/>
      <c r="Y1101" s="1146">
        <v>148255</v>
      </c>
      <c r="Z1101" s="2114">
        <f>C1101-'Blocking-Step2'!C1101</f>
        <v>0</v>
      </c>
      <c r="AA1101" s="2114">
        <f>D1101-'Blocking-Step2'!D1101</f>
        <v>0</v>
      </c>
      <c r="AC1101" s="2114">
        <f>F1101-'Blocking-Step2'!F1101</f>
        <v>0</v>
      </c>
      <c r="AE1101" s="2114">
        <f>H1101-'Blocking-Step2'!H1101</f>
        <v>0</v>
      </c>
      <c r="AF1101" s="2114">
        <f>I1101-'Blocking-Step2'!I1101</f>
        <v>0</v>
      </c>
      <c r="AH1101" s="2136">
        <f>K1101-'Blocking-Step2'!K1101</f>
        <v>-2.2955000000000001</v>
      </c>
      <c r="AJ1101" s="2136">
        <f>M1101-'Blocking-Step2'!M1101</f>
        <v>2.2955000000000005</v>
      </c>
      <c r="AL1101" s="2136">
        <f>O1101-'Blocking-Step2'!O1101</f>
        <v>0</v>
      </c>
      <c r="AN1101" s="2137">
        <f>Q1101-'Blocking-Step2'!Q1101</f>
        <v>0</v>
      </c>
      <c r="AP1101" s="2127">
        <f>S1101-'Blocking-Step2'!S1101</f>
        <v>-15208</v>
      </c>
      <c r="AR1101" s="2127">
        <f>U1101-'Blocking-Step2'!U1101</f>
        <v>15209</v>
      </c>
      <c r="AT1101" s="2127">
        <f>W1101-'Blocking-Step2'!W1101</f>
        <v>0</v>
      </c>
      <c r="AV1101" s="2128">
        <f>Y1101-'Blocking-Step2'!Y1101</f>
        <v>0</v>
      </c>
    </row>
    <row r="1102" spans="1:48" ht="16.5" hidden="1" thickTop="1">
      <c r="A1102" s="1116" t="s">
        <v>1911</v>
      </c>
      <c r="C1102" s="1105">
        <v>647385.45033939811</v>
      </c>
      <c r="D1102" s="1105">
        <v>1499810</v>
      </c>
      <c r="E1102" s="617"/>
      <c r="F1102" s="1143"/>
      <c r="G1102" s="1921"/>
      <c r="H1102" s="1146"/>
      <c r="I1102" s="1146"/>
      <c r="J1102" s="617"/>
      <c r="K1102" s="1143">
        <v>1.657</v>
      </c>
      <c r="L1102" s="1921" t="s">
        <v>495</v>
      </c>
      <c r="M1102" s="1143">
        <v>1.3803172825590004</v>
      </c>
      <c r="N1102" s="1921" t="s">
        <v>495</v>
      </c>
      <c r="O1102" s="1143">
        <v>1.3496999999999999</v>
      </c>
      <c r="P1102" s="1921" t="s">
        <v>495</v>
      </c>
      <c r="Q1102" s="1143">
        <v>4.3870172825590004</v>
      </c>
      <c r="R1102" s="1921" t="s">
        <v>495</v>
      </c>
      <c r="S1102" s="1146">
        <v>24852</v>
      </c>
      <c r="T1102" s="1648"/>
      <c r="U1102" s="1146">
        <v>20702</v>
      </c>
      <c r="V1102" s="1648"/>
      <c r="W1102" s="1146">
        <v>20243</v>
      </c>
      <c r="X1102" s="1648"/>
      <c r="Y1102" s="1146">
        <v>65797</v>
      </c>
      <c r="Z1102" s="2114">
        <f>C1102-'Blocking-Step2'!C1102</f>
        <v>0</v>
      </c>
      <c r="AA1102" s="2114">
        <f>D1102-'Blocking-Step2'!D1102</f>
        <v>0</v>
      </c>
      <c r="AC1102" s="2114">
        <f>F1102-'Blocking-Step2'!F1102</f>
        <v>0</v>
      </c>
      <c r="AE1102" s="2114">
        <f>H1102-'Blocking-Step2'!H1102</f>
        <v>0</v>
      </c>
      <c r="AF1102" s="2114">
        <f>I1102-'Blocking-Step2'!I1102</f>
        <v>0</v>
      </c>
      <c r="AH1102" s="2136">
        <f>K1102-'Blocking-Step2'!K1102</f>
        <v>-2.2955000000000001</v>
      </c>
      <c r="AJ1102" s="2136">
        <f>M1102-'Blocking-Step2'!M1102</f>
        <v>2.2955000000000001</v>
      </c>
      <c r="AL1102" s="2136">
        <f>O1102-'Blocking-Step2'!O1102</f>
        <v>0</v>
      </c>
      <c r="AN1102" s="2137">
        <f>Q1102-'Blocking-Step2'!Q1102</f>
        <v>0</v>
      </c>
      <c r="AP1102" s="2127">
        <f>S1102-'Blocking-Step2'!S1102</f>
        <v>-34428</v>
      </c>
      <c r="AR1102" s="2127">
        <f>U1102-'Blocking-Step2'!U1102</f>
        <v>34428</v>
      </c>
      <c r="AT1102" s="2127">
        <f>W1102-'Blocking-Step2'!W1102</f>
        <v>0</v>
      </c>
      <c r="AV1102" s="2128">
        <f>Y1102-'Blocking-Step2'!Y1102</f>
        <v>0</v>
      </c>
    </row>
    <row r="1103" spans="1:48" ht="16.5" hidden="1" thickTop="1">
      <c r="A1103" s="1116" t="s">
        <v>1912</v>
      </c>
      <c r="C1103" s="1105">
        <v>1066590.8753472201</v>
      </c>
      <c r="D1103" s="1105">
        <v>2661792</v>
      </c>
      <c r="E1103" s="617"/>
      <c r="F1103" s="1143"/>
      <c r="G1103" s="1921"/>
      <c r="H1103" s="1146"/>
      <c r="I1103" s="1146"/>
      <c r="J1103" s="617"/>
      <c r="K1103" s="1143">
        <v>1.657</v>
      </c>
      <c r="L1103" s="1921" t="s">
        <v>495</v>
      </c>
      <c r="M1103" s="1143">
        <v>16.951500000000003</v>
      </c>
      <c r="N1103" s="1921" t="s">
        <v>495</v>
      </c>
      <c r="O1103" s="1143">
        <v>1.1943999999999999</v>
      </c>
      <c r="P1103" s="1921" t="s">
        <v>495</v>
      </c>
      <c r="Q1103" s="1143">
        <v>19.802900000000001</v>
      </c>
      <c r="R1103" s="1921" t="s">
        <v>495</v>
      </c>
      <c r="S1103" s="1146">
        <v>44106</v>
      </c>
      <c r="T1103" s="1648"/>
      <c r="U1103" s="1146">
        <v>451214</v>
      </c>
      <c r="V1103" s="1648"/>
      <c r="W1103" s="1146">
        <v>31792</v>
      </c>
      <c r="X1103" s="1648"/>
      <c r="Y1103" s="1146">
        <v>527112</v>
      </c>
      <c r="Z1103" s="2114">
        <f>C1103-'Blocking-Step2'!C1103</f>
        <v>0</v>
      </c>
      <c r="AA1103" s="2114">
        <f>D1103-'Blocking-Step2'!D1103</f>
        <v>0</v>
      </c>
      <c r="AC1103" s="2114">
        <f>F1103-'Blocking-Step2'!F1103</f>
        <v>0</v>
      </c>
      <c r="AE1103" s="2114">
        <f>H1103-'Blocking-Step2'!H1103</f>
        <v>0</v>
      </c>
      <c r="AF1103" s="2114">
        <f>I1103-'Blocking-Step2'!I1103</f>
        <v>0</v>
      </c>
      <c r="AH1103" s="2136">
        <f>K1103-'Blocking-Step2'!K1103</f>
        <v>-2.2955000000000001</v>
      </c>
      <c r="AJ1103" s="2136">
        <f>M1103-'Blocking-Step2'!M1103</f>
        <v>2.2955000000000023</v>
      </c>
      <c r="AL1103" s="2136">
        <f>O1103-'Blocking-Step2'!O1103</f>
        <v>0</v>
      </c>
      <c r="AN1103" s="2137">
        <f>Q1103-'Blocking-Step2'!Q1103</f>
        <v>0</v>
      </c>
      <c r="AP1103" s="2127">
        <f>S1103-'Blocking-Step2'!S1103</f>
        <v>-61101</v>
      </c>
      <c r="AR1103" s="2127">
        <f>U1103-'Blocking-Step2'!U1103</f>
        <v>61102</v>
      </c>
      <c r="AT1103" s="2127">
        <f>W1103-'Blocking-Step2'!W1103</f>
        <v>0</v>
      </c>
      <c r="AV1103" s="2128">
        <f>Y1103-'Blocking-Step2'!Y1103</f>
        <v>0</v>
      </c>
    </row>
    <row r="1104" spans="1:48" ht="16.5" hidden="1" thickTop="1">
      <c r="A1104" s="1116" t="s">
        <v>1913</v>
      </c>
      <c r="C1104" s="1105">
        <v>3275666.5720257321</v>
      </c>
      <c r="D1104" s="1105">
        <v>8174779</v>
      </c>
      <c r="E1104" s="617"/>
      <c r="F1104" s="1143"/>
      <c r="G1104" s="1921"/>
      <c r="H1104" s="1146"/>
      <c r="I1104" s="1146"/>
      <c r="J1104" s="617"/>
      <c r="K1104" s="1143">
        <v>1.657</v>
      </c>
      <c r="L1104" s="1921" t="s">
        <v>495</v>
      </c>
      <c r="M1104" s="1143">
        <v>1.0308999999999999</v>
      </c>
      <c r="N1104" s="1921" t="s">
        <v>495</v>
      </c>
      <c r="O1104" s="1143">
        <v>1.1943999999999999</v>
      </c>
      <c r="P1104" s="1921" t="s">
        <v>495</v>
      </c>
      <c r="Q1104" s="1143">
        <v>3.8822999999999999</v>
      </c>
      <c r="R1104" s="1921" t="s">
        <v>495</v>
      </c>
      <c r="S1104" s="1146">
        <v>135456</v>
      </c>
      <c r="T1104" s="1648"/>
      <c r="U1104" s="1146">
        <v>84274</v>
      </c>
      <c r="V1104" s="1648"/>
      <c r="W1104" s="1146">
        <v>97640</v>
      </c>
      <c r="X1104" s="1648"/>
      <c r="Y1104" s="1146">
        <v>317369</v>
      </c>
      <c r="Z1104" s="2114">
        <f>C1104-'Blocking-Step2'!C1104</f>
        <v>0</v>
      </c>
      <c r="AA1104" s="2114">
        <f>D1104-'Blocking-Step2'!D1104</f>
        <v>0</v>
      </c>
      <c r="AC1104" s="2114">
        <f>F1104-'Blocking-Step2'!F1104</f>
        <v>0</v>
      </c>
      <c r="AE1104" s="2114">
        <f>H1104-'Blocking-Step2'!H1104</f>
        <v>0</v>
      </c>
      <c r="AF1104" s="2114">
        <f>I1104-'Blocking-Step2'!I1104</f>
        <v>0</v>
      </c>
      <c r="AH1104" s="2136">
        <f>K1104-'Blocking-Step2'!K1104</f>
        <v>-2.2955000000000001</v>
      </c>
      <c r="AJ1104" s="2136">
        <f>M1104-'Blocking-Step2'!M1104</f>
        <v>2.2955000000000001</v>
      </c>
      <c r="AL1104" s="2136">
        <f>O1104-'Blocking-Step2'!O1104</f>
        <v>0</v>
      </c>
      <c r="AN1104" s="2137">
        <f>Q1104-'Blocking-Step2'!Q1104</f>
        <v>0</v>
      </c>
      <c r="AP1104" s="2127">
        <f>S1104-'Blocking-Step2'!S1104</f>
        <v>-187652</v>
      </c>
      <c r="AR1104" s="2127">
        <f>U1104-'Blocking-Step2'!U1104</f>
        <v>187652</v>
      </c>
      <c r="AT1104" s="2127">
        <f>W1104-'Blocking-Step2'!W1104</f>
        <v>0</v>
      </c>
      <c r="AV1104" s="2128">
        <f>Y1104-'Blocking-Step2'!Y1104</f>
        <v>0</v>
      </c>
    </row>
    <row r="1105" spans="1:48" ht="16.5" hidden="1" thickTop="1">
      <c r="A1105" s="1116" t="s">
        <v>1906</v>
      </c>
      <c r="C1105" s="1105">
        <v>467669.56781097292</v>
      </c>
      <c r="D1105" s="1105">
        <v>1083460.0242466554</v>
      </c>
      <c r="E1105" s="617"/>
      <c r="F1105" s="1143"/>
      <c r="G1105" s="1921"/>
      <c r="H1105" s="1146"/>
      <c r="I1105" s="1146"/>
      <c r="J1105" s="617"/>
      <c r="K1105" s="1143">
        <v>0</v>
      </c>
      <c r="L1105" s="1921" t="s">
        <v>495</v>
      </c>
      <c r="M1105" s="1143">
        <v>0</v>
      </c>
      <c r="N1105" s="1921" t="s">
        <v>495</v>
      </c>
      <c r="O1105" s="1143">
        <v>6</v>
      </c>
      <c r="P1105" s="1921" t="s">
        <v>495</v>
      </c>
      <c r="Q1105" s="1143">
        <v>6</v>
      </c>
      <c r="R1105" s="1921" t="s">
        <v>495</v>
      </c>
      <c r="S1105" s="1146">
        <v>0</v>
      </c>
      <c r="T1105" s="1648"/>
      <c r="U1105" s="1146">
        <v>0</v>
      </c>
      <c r="V1105" s="1648"/>
      <c r="W1105" s="1146">
        <v>65008</v>
      </c>
      <c r="X1105" s="1648"/>
      <c r="Y1105" s="1146">
        <v>65008</v>
      </c>
      <c r="Z1105" s="2114">
        <f>C1105-'Blocking-Step2'!C1105</f>
        <v>0</v>
      </c>
      <c r="AA1105" s="2114">
        <f>D1105-'Blocking-Step2'!D1105</f>
        <v>0</v>
      </c>
      <c r="AC1105" s="2114">
        <f>F1105-'Blocking-Step2'!F1105</f>
        <v>0</v>
      </c>
      <c r="AE1105" s="2114">
        <f>H1105-'Blocking-Step2'!H1105</f>
        <v>0</v>
      </c>
      <c r="AF1105" s="2114">
        <f>I1105-'Blocking-Step2'!I1105</f>
        <v>0</v>
      </c>
      <c r="AH1105" s="2136">
        <f>K1105-'Blocking-Step2'!K1105</f>
        <v>0</v>
      </c>
      <c r="AJ1105" s="2136">
        <f>M1105-'Blocking-Step2'!M1105</f>
        <v>0</v>
      </c>
      <c r="AL1105" s="2136">
        <f>O1105-'Blocking-Step2'!O1105</f>
        <v>0</v>
      </c>
      <c r="AN1105" s="2137">
        <f>Q1105-'Blocking-Step2'!Q1105</f>
        <v>0</v>
      </c>
      <c r="AP1105" s="2127">
        <f>S1105-'Blocking-Step2'!S1105</f>
        <v>0</v>
      </c>
      <c r="AR1105" s="2127">
        <f>U1105-'Blocking-Step2'!U1105</f>
        <v>0</v>
      </c>
      <c r="AT1105" s="2127">
        <f>W1105-'Blocking-Step2'!W1105</f>
        <v>0</v>
      </c>
      <c r="AV1105" s="2128">
        <f>Y1105-'Blocking-Step2'!Y1105</f>
        <v>0</v>
      </c>
    </row>
    <row r="1106" spans="1:48" ht="16.5" hidden="1" thickTop="1">
      <c r="A1106" s="1116" t="s">
        <v>1907</v>
      </c>
      <c r="C1106" s="1105">
        <v>465690.83513961465</v>
      </c>
      <c r="D1106" s="1105">
        <v>1078875</v>
      </c>
      <c r="E1106" s="617"/>
      <c r="F1106" s="1143"/>
      <c r="G1106" s="1921"/>
      <c r="H1106" s="1146"/>
      <c r="I1106" s="1146"/>
      <c r="J1106" s="617"/>
      <c r="K1106" s="1143">
        <v>0</v>
      </c>
      <c r="L1106" s="1921" t="s">
        <v>495</v>
      </c>
      <c r="M1106" s="1143">
        <v>0</v>
      </c>
      <c r="N1106" s="1921" t="s">
        <v>495</v>
      </c>
      <c r="O1106" s="1143">
        <v>-2.3358000000000008</v>
      </c>
      <c r="P1106" s="1921" t="s">
        <v>495</v>
      </c>
      <c r="Q1106" s="1143">
        <v>-2.3358000000000008</v>
      </c>
      <c r="R1106" s="1921" t="s">
        <v>495</v>
      </c>
      <c r="S1106" s="1146">
        <v>0</v>
      </c>
      <c r="T1106" s="1648"/>
      <c r="U1106" s="1146">
        <v>0</v>
      </c>
      <c r="V1106" s="1648"/>
      <c r="W1106" s="1146">
        <v>-25200</v>
      </c>
      <c r="X1106" s="1648"/>
      <c r="Y1106" s="1146">
        <v>-25200</v>
      </c>
      <c r="Z1106" s="2114">
        <f>C1106-'Blocking-Step2'!C1106</f>
        <v>0</v>
      </c>
      <c r="AA1106" s="2114">
        <f>D1106-'Blocking-Step2'!D1106</f>
        <v>0</v>
      </c>
      <c r="AC1106" s="2114">
        <f>F1106-'Blocking-Step2'!F1106</f>
        <v>0</v>
      </c>
      <c r="AE1106" s="2114">
        <f>H1106-'Blocking-Step2'!H1106</f>
        <v>0</v>
      </c>
      <c r="AF1106" s="2114">
        <f>I1106-'Blocking-Step2'!I1106</f>
        <v>0</v>
      </c>
      <c r="AH1106" s="2136">
        <f>K1106-'Blocking-Step2'!K1106</f>
        <v>0</v>
      </c>
      <c r="AJ1106" s="2136">
        <f>M1106-'Blocking-Step2'!M1106</f>
        <v>0</v>
      </c>
      <c r="AL1106" s="2136">
        <f>O1106-'Blocking-Step2'!O1106</f>
        <v>0</v>
      </c>
      <c r="AN1106" s="2137">
        <f>Q1106-'Blocking-Step2'!Q1106</f>
        <v>0</v>
      </c>
      <c r="AP1106" s="2127">
        <f>S1106-'Blocking-Step2'!S1106</f>
        <v>0</v>
      </c>
      <c r="AR1106" s="2127">
        <f>U1106-'Blocking-Step2'!U1106</f>
        <v>0</v>
      </c>
      <c r="AT1106" s="2127">
        <f>W1106-'Blocking-Step2'!W1106</f>
        <v>0</v>
      </c>
      <c r="AV1106" s="2128">
        <f>Y1106-'Blocking-Step2'!Y1106</f>
        <v>0</v>
      </c>
    </row>
    <row r="1107" spans="1:48" ht="16.5" hidden="1" thickTop="1">
      <c r="A1107" s="1116" t="s">
        <v>1908</v>
      </c>
      <c r="C1107" s="1105">
        <v>2265620.0148829855</v>
      </c>
      <c r="D1107" s="1105">
        <v>5654099</v>
      </c>
      <c r="E1107" s="617"/>
      <c r="F1107" s="1143"/>
      <c r="G1107" s="1921"/>
      <c r="H1107" s="1146"/>
      <c r="I1107" s="1146"/>
      <c r="J1107" s="617"/>
      <c r="K1107" s="1143">
        <v>0</v>
      </c>
      <c r="L1107" s="1921" t="s">
        <v>495</v>
      </c>
      <c r="M1107" s="1143">
        <v>0</v>
      </c>
      <c r="N1107" s="1921" t="s">
        <v>495</v>
      </c>
      <c r="O1107" s="1143">
        <v>5.3097000000000003</v>
      </c>
      <c r="P1107" s="1921" t="s">
        <v>495</v>
      </c>
      <c r="Q1107" s="1143">
        <v>5.3097000000000003</v>
      </c>
      <c r="R1107" s="1921" t="s">
        <v>495</v>
      </c>
      <c r="S1107" s="1146">
        <v>0</v>
      </c>
      <c r="T1107" s="1648"/>
      <c r="U1107" s="1146">
        <v>0</v>
      </c>
      <c r="V1107" s="1648"/>
      <c r="W1107" s="1146">
        <v>300216</v>
      </c>
      <c r="X1107" s="1648"/>
      <c r="Y1107" s="1146">
        <v>300216</v>
      </c>
      <c r="Z1107" s="2114">
        <f>C1107-'Blocking-Step2'!C1107</f>
        <v>0</v>
      </c>
      <c r="AA1107" s="2114">
        <f>D1107-'Blocking-Step2'!D1107</f>
        <v>0</v>
      </c>
      <c r="AC1107" s="2114">
        <f>F1107-'Blocking-Step2'!F1107</f>
        <v>0</v>
      </c>
      <c r="AE1107" s="2114">
        <f>H1107-'Blocking-Step2'!H1107</f>
        <v>0</v>
      </c>
      <c r="AF1107" s="2114">
        <f>I1107-'Blocking-Step2'!I1107</f>
        <v>0</v>
      </c>
      <c r="AH1107" s="2136">
        <f>K1107-'Blocking-Step2'!K1107</f>
        <v>0</v>
      </c>
      <c r="AJ1107" s="2136">
        <f>M1107-'Blocking-Step2'!M1107</f>
        <v>0</v>
      </c>
      <c r="AL1107" s="2136">
        <f>O1107-'Blocking-Step2'!O1107</f>
        <v>0</v>
      </c>
      <c r="AN1107" s="2137">
        <f>Q1107-'Blocking-Step2'!Q1107</f>
        <v>0</v>
      </c>
      <c r="AP1107" s="2127">
        <f>S1107-'Blocking-Step2'!S1107</f>
        <v>0</v>
      </c>
      <c r="AR1107" s="2127">
        <f>U1107-'Blocking-Step2'!U1107</f>
        <v>0</v>
      </c>
      <c r="AT1107" s="2127">
        <f>W1107-'Blocking-Step2'!W1107</f>
        <v>0</v>
      </c>
      <c r="AV1107" s="2128">
        <f>Y1107-'Blocking-Step2'!Y1107</f>
        <v>0</v>
      </c>
    </row>
    <row r="1108" spans="1:48" ht="16.5" hidden="1" thickTop="1">
      <c r="A1108" s="1116" t="s">
        <v>1909</v>
      </c>
      <c r="C1108" s="1105">
        <v>2076637.4324899667</v>
      </c>
      <c r="D1108" s="1105">
        <v>5182472</v>
      </c>
      <c r="E1108" s="617"/>
      <c r="F1108" s="1143"/>
      <c r="G1108" s="1921"/>
      <c r="H1108" s="1146"/>
      <c r="I1108" s="1146"/>
      <c r="J1108" s="617"/>
      <c r="K1108" s="1143">
        <v>0</v>
      </c>
      <c r="L1108" s="1921" t="s">
        <v>495</v>
      </c>
      <c r="M1108" s="1143">
        <v>0</v>
      </c>
      <c r="N1108" s="1921" t="s">
        <v>495</v>
      </c>
      <c r="O1108" s="1143">
        <v>-2.0670999999999999</v>
      </c>
      <c r="P1108" s="1921" t="s">
        <v>495</v>
      </c>
      <c r="Q1108" s="1143">
        <v>-2.0670999999999999</v>
      </c>
      <c r="R1108" s="1921" t="s">
        <v>495</v>
      </c>
      <c r="S1108" s="1146">
        <v>0</v>
      </c>
      <c r="T1108" s="1648"/>
      <c r="U1108" s="1146">
        <v>0</v>
      </c>
      <c r="V1108" s="1648"/>
      <c r="W1108" s="1146">
        <v>-107127</v>
      </c>
      <c r="X1108" s="1648"/>
      <c r="Y1108" s="1146">
        <v>-107127</v>
      </c>
      <c r="Z1108" s="2114">
        <f>C1108-'Blocking-Step2'!C1108</f>
        <v>0</v>
      </c>
      <c r="AA1108" s="2114">
        <f>D1108-'Blocking-Step2'!D1108</f>
        <v>0</v>
      </c>
      <c r="AC1108" s="2114">
        <f>F1108-'Blocking-Step2'!F1108</f>
        <v>0</v>
      </c>
      <c r="AE1108" s="2114">
        <f>H1108-'Blocking-Step2'!H1108</f>
        <v>0</v>
      </c>
      <c r="AF1108" s="2114">
        <f>I1108-'Blocking-Step2'!I1108</f>
        <v>0</v>
      </c>
      <c r="AH1108" s="2136">
        <f>K1108-'Blocking-Step2'!K1108</f>
        <v>0</v>
      </c>
      <c r="AJ1108" s="2136">
        <f>M1108-'Blocking-Step2'!M1108</f>
        <v>0</v>
      </c>
      <c r="AL1108" s="2136">
        <f>O1108-'Blocking-Step2'!O1108</f>
        <v>0</v>
      </c>
      <c r="AN1108" s="2137">
        <f>Q1108-'Blocking-Step2'!Q1108</f>
        <v>0</v>
      </c>
      <c r="AP1108" s="2127">
        <f>S1108-'Blocking-Step2'!S1108</f>
        <v>0</v>
      </c>
      <c r="AR1108" s="2127">
        <f>U1108-'Blocking-Step2'!U1108</f>
        <v>0</v>
      </c>
      <c r="AT1108" s="2127">
        <f>W1108-'Blocking-Step2'!W1108</f>
        <v>0</v>
      </c>
      <c r="AV1108" s="2128">
        <f>Y1108-'Blocking-Step2'!Y1108</f>
        <v>0</v>
      </c>
    </row>
    <row r="1109" spans="1:48" ht="16.5" hidden="1" thickTop="1">
      <c r="A1109" s="1116" t="s">
        <v>240</v>
      </c>
      <c r="C1109" s="1105">
        <v>1069.5</v>
      </c>
      <c r="D1109" s="1105">
        <v>1356</v>
      </c>
      <c r="F1109" s="1142">
        <v>54</v>
      </c>
      <c r="G1109" s="617"/>
      <c r="H1109" s="1146">
        <v>57753</v>
      </c>
      <c r="I1109" s="1146">
        <v>73224</v>
      </c>
      <c r="K1109" s="1142">
        <v>54</v>
      </c>
      <c r="L1109" s="617"/>
      <c r="M1109" s="1142">
        <v>0</v>
      </c>
      <c r="N1109" s="617"/>
      <c r="O1109" s="1142">
        <v>0</v>
      </c>
      <c r="P1109" s="617"/>
      <c r="Q1109" s="1142">
        <v>54</v>
      </c>
      <c r="R1109" s="617"/>
      <c r="S1109" s="1146">
        <v>73224</v>
      </c>
      <c r="T1109" s="1629"/>
      <c r="U1109" s="1146">
        <v>0</v>
      </c>
      <c r="V1109" s="1629"/>
      <c r="W1109" s="1146">
        <v>0</v>
      </c>
      <c r="X1109" s="1114"/>
      <c r="Y1109" s="1146">
        <v>73224</v>
      </c>
      <c r="Z1109" s="2114">
        <f>C1109-'Blocking-Step2'!C1109</f>
        <v>0</v>
      </c>
      <c r="AA1109" s="2114">
        <f>D1109-'Blocking-Step2'!D1109</f>
        <v>0</v>
      </c>
      <c r="AC1109" s="2114">
        <f>F1109-'Blocking-Step2'!F1109</f>
        <v>0</v>
      </c>
      <c r="AE1109" s="2114">
        <f>H1109-'Blocking-Step2'!H1109</f>
        <v>0</v>
      </c>
      <c r="AF1109" s="2114">
        <f>I1109-'Blocking-Step2'!I1109</f>
        <v>0</v>
      </c>
      <c r="AH1109" s="2136">
        <f>K1109-'Blocking-Step2'!K1109</f>
        <v>0</v>
      </c>
      <c r="AJ1109" s="2136">
        <f>M1109-'Blocking-Step2'!M1109</f>
        <v>0</v>
      </c>
      <c r="AL1109" s="2136">
        <f>O1109-'Blocking-Step2'!O1109</f>
        <v>0</v>
      </c>
      <c r="AN1109" s="2137">
        <f>Q1109-'Blocking-Step2'!Q1109</f>
        <v>0</v>
      </c>
      <c r="AP1109" s="2127">
        <f>S1109-'Blocking-Step2'!S1109</f>
        <v>0</v>
      </c>
      <c r="AR1109" s="2127">
        <f>U1109-'Blocking-Step2'!U1109</f>
        <v>0</v>
      </c>
      <c r="AT1109" s="2127">
        <f>W1109-'Blocking-Step2'!W1109</f>
        <v>0</v>
      </c>
      <c r="AV1109" s="2128">
        <f>Y1109-'Blocking-Step2'!Y1109</f>
        <v>0</v>
      </c>
    </row>
    <row r="1110" spans="1:48" ht="16.5" hidden="1" thickTop="1">
      <c r="A1110" s="1116" t="s">
        <v>157</v>
      </c>
      <c r="C1110" s="1105">
        <v>42357.259202453999</v>
      </c>
      <c r="D1110" s="1105">
        <v>51962</v>
      </c>
      <c r="F1110" s="1142">
        <v>6.52</v>
      </c>
      <c r="G1110" s="617"/>
      <c r="H1110" s="1146">
        <v>276169</v>
      </c>
      <c r="I1110" s="1146">
        <v>338792</v>
      </c>
      <c r="K1110" s="1142"/>
      <c r="L1110" s="617"/>
      <c r="M1110" s="1142"/>
      <c r="N1110" s="617"/>
      <c r="O1110" s="1142"/>
      <c r="P1110" s="617"/>
      <c r="Q1110" s="1142"/>
      <c r="R1110" s="617"/>
      <c r="S1110" s="1146"/>
      <c r="T1110" s="1114"/>
      <c r="U1110" s="1146"/>
      <c r="V1110" s="1114"/>
      <c r="W1110" s="1146"/>
      <c r="X1110" s="1114"/>
      <c r="Y1110" s="1146"/>
      <c r="Z1110" s="2114">
        <f>C1110-'Blocking-Step2'!C1110</f>
        <v>0</v>
      </c>
      <c r="AA1110" s="2114">
        <f>D1110-'Blocking-Step2'!D1110</f>
        <v>0</v>
      </c>
      <c r="AC1110" s="2114">
        <f>F1110-'Blocking-Step2'!F1110</f>
        <v>0</v>
      </c>
      <c r="AE1110" s="2114">
        <f>H1110-'Blocking-Step2'!H1110</f>
        <v>0</v>
      </c>
      <c r="AF1110" s="2114">
        <f>I1110-'Blocking-Step2'!I1110</f>
        <v>0</v>
      </c>
      <c r="AH1110" s="2136">
        <f>K1110-'Blocking-Step2'!K1110</f>
        <v>0</v>
      </c>
      <c r="AJ1110" s="2136">
        <f>M1110-'Blocking-Step2'!M1110</f>
        <v>0</v>
      </c>
      <c r="AL1110" s="2136">
        <f>O1110-'Blocking-Step2'!O1110</f>
        <v>0</v>
      </c>
      <c r="AN1110" s="2137">
        <f>Q1110-'Blocking-Step2'!Q1110</f>
        <v>0</v>
      </c>
      <c r="AP1110" s="2127">
        <f>S1110-'Blocking-Step2'!S1110</f>
        <v>0</v>
      </c>
      <c r="AR1110" s="2127">
        <f>U1110-'Blocking-Step2'!U1110</f>
        <v>0</v>
      </c>
      <c r="AT1110" s="2127">
        <f>W1110-'Blocking-Step2'!W1110</f>
        <v>0</v>
      </c>
      <c r="AV1110" s="2128">
        <f>Y1110-'Blocking-Step2'!Y1110</f>
        <v>0</v>
      </c>
    </row>
    <row r="1111" spans="1:48" ht="16.5" hidden="1" thickTop="1">
      <c r="A1111" s="1116" t="s">
        <v>162</v>
      </c>
      <c r="C1111" s="1105">
        <v>61796.045703839103</v>
      </c>
      <c r="D1111" s="1105">
        <v>75809</v>
      </c>
      <c r="F1111" s="1142">
        <v>5.47</v>
      </c>
      <c r="G1111" s="617"/>
      <c r="H1111" s="1146">
        <v>338024</v>
      </c>
      <c r="I1111" s="1146">
        <v>414675</v>
      </c>
      <c r="K1111" s="1142"/>
      <c r="L1111" s="617"/>
      <c r="M1111" s="1142"/>
      <c r="N1111" s="617"/>
      <c r="O1111" s="1142"/>
      <c r="P1111" s="617"/>
      <c r="Q1111" s="1142"/>
      <c r="R1111" s="617"/>
      <c r="S1111" s="1146"/>
      <c r="T1111" s="1114"/>
      <c r="U1111" s="1146"/>
      <c r="V1111" s="1114"/>
      <c r="W1111" s="1146"/>
      <c r="X1111" s="1114"/>
      <c r="Y1111" s="1146"/>
      <c r="Z1111" s="2114">
        <f>C1111-'Blocking-Step2'!C1111</f>
        <v>0</v>
      </c>
      <c r="AA1111" s="2114">
        <f>D1111-'Blocking-Step2'!D1111</f>
        <v>0</v>
      </c>
      <c r="AC1111" s="2114">
        <f>F1111-'Blocking-Step2'!F1111</f>
        <v>0</v>
      </c>
      <c r="AE1111" s="2114">
        <f>H1111-'Blocking-Step2'!H1111</f>
        <v>0</v>
      </c>
      <c r="AF1111" s="2114">
        <f>I1111-'Blocking-Step2'!I1111</f>
        <v>0</v>
      </c>
      <c r="AH1111" s="2136">
        <f>K1111-'Blocking-Step2'!K1111</f>
        <v>0</v>
      </c>
      <c r="AJ1111" s="2136">
        <f>M1111-'Blocking-Step2'!M1111</f>
        <v>0</v>
      </c>
      <c r="AL1111" s="2136">
        <f>O1111-'Blocking-Step2'!O1111</f>
        <v>0</v>
      </c>
      <c r="AN1111" s="2137">
        <f>Q1111-'Blocking-Step2'!Q1111</f>
        <v>0</v>
      </c>
      <c r="AP1111" s="2127">
        <f>S1111-'Blocking-Step2'!S1111</f>
        <v>0</v>
      </c>
      <c r="AR1111" s="2127">
        <f>U1111-'Blocking-Step2'!U1111</f>
        <v>0</v>
      </c>
      <c r="AT1111" s="2127">
        <f>W1111-'Blocking-Step2'!W1111</f>
        <v>0</v>
      </c>
      <c r="AV1111" s="2128">
        <f>Y1111-'Blocking-Step2'!Y1111</f>
        <v>0</v>
      </c>
    </row>
    <row r="1112" spans="1:48" ht="16.5" hidden="1" thickTop="1">
      <c r="A1112" s="1116" t="s">
        <v>261</v>
      </c>
      <c r="C1112" s="1105">
        <v>403</v>
      </c>
      <c r="D1112" s="1105">
        <v>494</v>
      </c>
      <c r="F1112" s="1142">
        <v>-0.61</v>
      </c>
      <c r="G1112" s="617"/>
      <c r="H1112" s="1146">
        <v>-246</v>
      </c>
      <c r="I1112" s="1146">
        <v>-301</v>
      </c>
      <c r="K1112" s="1142">
        <v>-0.61</v>
      </c>
      <c r="L1112" s="617"/>
      <c r="M1112" s="1142">
        <v>0</v>
      </c>
      <c r="N1112" s="617"/>
      <c r="O1112" s="1142">
        <v>0</v>
      </c>
      <c r="P1112" s="617"/>
      <c r="Q1112" s="1142">
        <v>-0.61</v>
      </c>
      <c r="R1112" s="617"/>
      <c r="S1112" s="1146">
        <v>-301</v>
      </c>
      <c r="T1112" s="1114"/>
      <c r="U1112" s="1146">
        <v>0</v>
      </c>
      <c r="V1112" s="1114"/>
      <c r="W1112" s="1146">
        <v>0</v>
      </c>
      <c r="X1112" s="1114"/>
      <c r="Y1112" s="1146">
        <v>-301</v>
      </c>
      <c r="Z1112" s="2114">
        <f>C1112-'Blocking-Step2'!C1112</f>
        <v>0</v>
      </c>
      <c r="AA1112" s="2114">
        <f>D1112-'Blocking-Step2'!D1112</f>
        <v>0</v>
      </c>
      <c r="AC1112" s="2114">
        <f>F1112-'Blocking-Step2'!F1112</f>
        <v>0</v>
      </c>
      <c r="AE1112" s="2114">
        <f>H1112-'Blocking-Step2'!H1112</f>
        <v>0</v>
      </c>
      <c r="AF1112" s="2114">
        <f>I1112-'Blocking-Step2'!I1112</f>
        <v>0</v>
      </c>
      <c r="AH1112" s="2136">
        <f>K1112-'Blocking-Step2'!K1112</f>
        <v>0</v>
      </c>
      <c r="AJ1112" s="2136">
        <f>M1112-'Blocking-Step2'!M1112</f>
        <v>0</v>
      </c>
      <c r="AL1112" s="2136">
        <f>O1112-'Blocking-Step2'!O1112</f>
        <v>0</v>
      </c>
      <c r="AN1112" s="2137">
        <f>Q1112-'Blocking-Step2'!Q1112</f>
        <v>0</v>
      </c>
      <c r="AP1112" s="2127">
        <f>S1112-'Blocking-Step2'!S1112</f>
        <v>0</v>
      </c>
      <c r="AR1112" s="2127">
        <f>U1112-'Blocking-Step2'!U1112</f>
        <v>0</v>
      </c>
      <c r="AT1112" s="2127">
        <f>W1112-'Blocking-Step2'!W1112</f>
        <v>0</v>
      </c>
      <c r="AV1112" s="2128">
        <f>Y1112-'Blocking-Step2'!Y1112</f>
        <v>0</v>
      </c>
    </row>
    <row r="1113" spans="1:48" ht="16.5" hidden="1" thickTop="1">
      <c r="A1113" s="1116" t="s">
        <v>188</v>
      </c>
      <c r="C1113" s="1105">
        <v>1234808.0114695358</v>
      </c>
      <c r="D1113" s="1105">
        <v>1401861.0242466554</v>
      </c>
      <c r="F1113" s="1143">
        <v>11.926600000000001</v>
      </c>
      <c r="G1113" s="1921" t="s">
        <v>495</v>
      </c>
      <c r="H1113" s="1146">
        <v>147271</v>
      </c>
      <c r="I1113" s="1146">
        <v>167194</v>
      </c>
      <c r="K1113" s="1143"/>
      <c r="L1113" s="1921"/>
      <c r="M1113" s="1143"/>
      <c r="N1113" s="1921"/>
      <c r="O1113" s="1143"/>
      <c r="P1113" s="1921"/>
      <c r="Q1113" s="1143"/>
      <c r="R1113" s="1921"/>
      <c r="S1113" s="1648"/>
      <c r="T1113" s="1648"/>
      <c r="U1113" s="1648"/>
      <c r="V1113" s="1648"/>
      <c r="W1113" s="1648"/>
      <c r="X1113" s="1648"/>
      <c r="Y1113" s="1146"/>
      <c r="Z1113" s="2114">
        <f>C1113-'Blocking-Step2'!C1113</f>
        <v>0</v>
      </c>
      <c r="AA1113" s="2114">
        <f>D1113-'Blocking-Step2'!D1113</f>
        <v>0</v>
      </c>
      <c r="AC1113" s="2114">
        <f>F1113-'Blocking-Step2'!F1113</f>
        <v>0</v>
      </c>
      <c r="AE1113" s="2114">
        <f>H1113-'Blocking-Step2'!H1113</f>
        <v>0</v>
      </c>
      <c r="AF1113" s="2114">
        <f>I1113-'Blocking-Step2'!I1113</f>
        <v>0</v>
      </c>
      <c r="AH1113" s="2136">
        <f>K1113-'Blocking-Step2'!K1113</f>
        <v>0</v>
      </c>
      <c r="AJ1113" s="2136">
        <f>M1113-'Blocking-Step2'!M1113</f>
        <v>0</v>
      </c>
      <c r="AL1113" s="2136">
        <f>O1113-'Blocking-Step2'!O1113</f>
        <v>0</v>
      </c>
      <c r="AN1113" s="2137">
        <f>Q1113-'Blocking-Step2'!Q1113</f>
        <v>0</v>
      </c>
      <c r="AP1113" s="2127">
        <f>S1113-'Blocking-Step2'!S1113</f>
        <v>0</v>
      </c>
      <c r="AR1113" s="2127">
        <f>U1113-'Blocking-Step2'!U1113</f>
        <v>0</v>
      </c>
      <c r="AT1113" s="2127">
        <f>W1113-'Blocking-Step2'!W1113</f>
        <v>0</v>
      </c>
      <c r="AV1113" s="2128">
        <f>Y1113-'Blocking-Step2'!Y1113</f>
        <v>0</v>
      </c>
    </row>
    <row r="1114" spans="1:48" ht="16.5" hidden="1" thickTop="1">
      <c r="A1114" s="1116" t="s">
        <v>189</v>
      </c>
      <c r="C1114" s="1105">
        <v>1171710.0636627364</v>
      </c>
      <c r="D1114" s="1105">
        <v>1330227</v>
      </c>
      <c r="E1114" s="617"/>
      <c r="F1114" s="1143">
        <v>3.5908000000000002</v>
      </c>
      <c r="G1114" s="1921" t="s">
        <v>495</v>
      </c>
      <c r="H1114" s="1146">
        <v>42074</v>
      </c>
      <c r="I1114" s="1146">
        <v>47766</v>
      </c>
      <c r="J1114" s="617"/>
      <c r="K1114" s="1143"/>
      <c r="L1114" s="1921"/>
      <c r="M1114" s="1143"/>
      <c r="N1114" s="1921"/>
      <c r="O1114" s="1143"/>
      <c r="P1114" s="1921"/>
      <c r="Q1114" s="1143"/>
      <c r="R1114" s="1921"/>
      <c r="S1114" s="1648"/>
      <c r="T1114" s="1648"/>
      <c r="U1114" s="1648"/>
      <c r="V1114" s="1648"/>
      <c r="W1114" s="1648"/>
      <c r="X1114" s="1648"/>
      <c r="Y1114" s="1146"/>
      <c r="Z1114" s="2114">
        <f>C1114-'Blocking-Step2'!C1114</f>
        <v>0</v>
      </c>
      <c r="AA1114" s="2114">
        <f>D1114-'Blocking-Step2'!D1114</f>
        <v>0</v>
      </c>
      <c r="AC1114" s="2114">
        <f>F1114-'Blocking-Step2'!F1114</f>
        <v>0</v>
      </c>
      <c r="AE1114" s="2114">
        <f>H1114-'Blocking-Step2'!H1114</f>
        <v>0</v>
      </c>
      <c r="AF1114" s="2114">
        <f>I1114-'Blocking-Step2'!I1114</f>
        <v>0</v>
      </c>
      <c r="AH1114" s="2136">
        <f>K1114-'Blocking-Step2'!K1114</f>
        <v>0</v>
      </c>
      <c r="AJ1114" s="2136">
        <f>M1114-'Blocking-Step2'!M1114</f>
        <v>0</v>
      </c>
      <c r="AL1114" s="2136">
        <f>O1114-'Blocking-Step2'!O1114</f>
        <v>0</v>
      </c>
      <c r="AN1114" s="2137">
        <f>Q1114-'Blocking-Step2'!Q1114</f>
        <v>0</v>
      </c>
      <c r="AP1114" s="2127">
        <f>S1114-'Blocking-Step2'!S1114</f>
        <v>0</v>
      </c>
      <c r="AR1114" s="2127">
        <f>U1114-'Blocking-Step2'!U1114</f>
        <v>0</v>
      </c>
      <c r="AT1114" s="2127">
        <f>W1114-'Blocking-Step2'!W1114</f>
        <v>0</v>
      </c>
      <c r="AV1114" s="2128">
        <f>Y1114-'Blocking-Step2'!Y1114</f>
        <v>0</v>
      </c>
    </row>
    <row r="1115" spans="1:48" ht="16.5" hidden="1" thickTop="1">
      <c r="A1115" s="1116" t="s">
        <v>163</v>
      </c>
      <c r="C1115" s="1105">
        <v>4225671.0712244231</v>
      </c>
      <c r="D1115" s="1105">
        <v>5333865</v>
      </c>
      <c r="F1115" s="1143">
        <v>9.9693000000000005</v>
      </c>
      <c r="G1115" s="1921" t="s">
        <v>495</v>
      </c>
      <c r="H1115" s="1146">
        <v>421270</v>
      </c>
      <c r="I1115" s="1146">
        <v>531749</v>
      </c>
      <c r="K1115" s="1143"/>
      <c r="L1115" s="1921"/>
      <c r="M1115" s="1143"/>
      <c r="N1115" s="1921"/>
      <c r="O1115" s="1143"/>
      <c r="P1115" s="1921"/>
      <c r="Q1115" s="1143"/>
      <c r="R1115" s="1921"/>
      <c r="S1115" s="1648"/>
      <c r="T1115" s="1648"/>
      <c r="U1115" s="1648"/>
      <c r="V1115" s="1648"/>
      <c r="W1115" s="1648"/>
      <c r="X1115" s="1648"/>
      <c r="Y1115" s="1146"/>
      <c r="Z1115" s="2114">
        <f>C1115-'Blocking-Step2'!C1115</f>
        <v>0</v>
      </c>
      <c r="AA1115" s="2114">
        <f>D1115-'Blocking-Step2'!D1115</f>
        <v>0</v>
      </c>
      <c r="AC1115" s="2114">
        <f>F1115-'Blocking-Step2'!F1115</f>
        <v>0</v>
      </c>
      <c r="AE1115" s="2114">
        <f>H1115-'Blocking-Step2'!H1115</f>
        <v>0</v>
      </c>
      <c r="AF1115" s="2114">
        <f>I1115-'Blocking-Step2'!I1115</f>
        <v>0</v>
      </c>
      <c r="AH1115" s="2136">
        <f>K1115-'Blocking-Step2'!K1115</f>
        <v>0</v>
      </c>
      <c r="AJ1115" s="2136">
        <f>M1115-'Blocking-Step2'!M1115</f>
        <v>0</v>
      </c>
      <c r="AL1115" s="2136">
        <f>O1115-'Blocking-Step2'!O1115</f>
        <v>0</v>
      </c>
      <c r="AN1115" s="2137">
        <f>Q1115-'Blocking-Step2'!Q1115</f>
        <v>0</v>
      </c>
      <c r="AP1115" s="2127">
        <f>S1115-'Blocking-Step2'!S1115</f>
        <v>0</v>
      </c>
      <c r="AR1115" s="2127">
        <f>U1115-'Blocking-Step2'!U1115</f>
        <v>0</v>
      </c>
      <c r="AT1115" s="2127">
        <f>W1115-'Blocking-Step2'!W1115</f>
        <v>0</v>
      </c>
      <c r="AV1115" s="2128">
        <f>Y1115-'Blocking-Step2'!Y1115</f>
        <v>0</v>
      </c>
    </row>
    <row r="1116" spans="1:48" ht="16.5" hidden="1" thickTop="1">
      <c r="A1116" s="1116" t="s">
        <v>164</v>
      </c>
      <c r="C1116" s="1105">
        <v>3908055.2039668453</v>
      </c>
      <c r="D1116" s="1105">
        <v>4932953</v>
      </c>
      <c r="E1116" s="617"/>
      <c r="F1116" s="1143">
        <v>3.0059999999999998</v>
      </c>
      <c r="G1116" s="1921" t="s">
        <v>495</v>
      </c>
      <c r="H1116" s="1146">
        <v>117476</v>
      </c>
      <c r="I1116" s="1146">
        <v>148285</v>
      </c>
      <c r="J1116" s="617"/>
      <c r="K1116" s="1143"/>
      <c r="L1116" s="1921"/>
      <c r="M1116" s="1143"/>
      <c r="N1116" s="1921"/>
      <c r="O1116" s="1143"/>
      <c r="P1116" s="1921"/>
      <c r="Q1116" s="1143"/>
      <c r="R1116" s="1921"/>
      <c r="S1116" s="1648"/>
      <c r="T1116" s="1648"/>
      <c r="U1116" s="1648"/>
      <c r="V1116" s="1648"/>
      <c r="W1116" s="1648"/>
      <c r="X1116" s="1648"/>
      <c r="Y1116" s="1146"/>
      <c r="Z1116" s="2114">
        <f>C1116-'Blocking-Step2'!C1116</f>
        <v>0</v>
      </c>
      <c r="AA1116" s="2114">
        <f>D1116-'Blocking-Step2'!D1116</f>
        <v>0</v>
      </c>
      <c r="AC1116" s="2114">
        <f>F1116-'Blocking-Step2'!F1116</f>
        <v>0</v>
      </c>
      <c r="AE1116" s="2114">
        <f>H1116-'Blocking-Step2'!H1116</f>
        <v>0</v>
      </c>
      <c r="AF1116" s="2114">
        <f>I1116-'Blocking-Step2'!I1116</f>
        <v>0</v>
      </c>
      <c r="AH1116" s="2136">
        <f>K1116-'Blocking-Step2'!K1116</f>
        <v>0</v>
      </c>
      <c r="AJ1116" s="2136">
        <f>M1116-'Blocking-Step2'!M1116</f>
        <v>0</v>
      </c>
      <c r="AL1116" s="2136">
        <f>O1116-'Blocking-Step2'!O1116</f>
        <v>0</v>
      </c>
      <c r="AN1116" s="2137">
        <f>Q1116-'Blocking-Step2'!Q1116</f>
        <v>0</v>
      </c>
      <c r="AP1116" s="2127">
        <f>S1116-'Blocking-Step2'!S1116</f>
        <v>0</v>
      </c>
      <c r="AR1116" s="2127">
        <f>U1116-'Blocking-Step2'!U1116</f>
        <v>0</v>
      </c>
      <c r="AT1116" s="2127">
        <f>W1116-'Blocking-Step2'!W1116</f>
        <v>0</v>
      </c>
      <c r="AV1116" s="2128">
        <f>Y1116-'Blocking-Step2'!Y1116</f>
        <v>0</v>
      </c>
    </row>
    <row r="1117" spans="1:48" ht="16.5" hidden="1" thickTop="1">
      <c r="A1117" s="1116" t="s">
        <v>246</v>
      </c>
      <c r="C1117" s="1940">
        <v>55861</v>
      </c>
      <c r="D1117" s="1940">
        <v>0</v>
      </c>
      <c r="H1117" s="1147">
        <v>8044</v>
      </c>
      <c r="I1117" s="1147">
        <v>0</v>
      </c>
      <c r="Y1117" s="1147"/>
      <c r="Z1117" s="2114">
        <f>C1117-'Blocking-Step2'!C1117</f>
        <v>0</v>
      </c>
      <c r="AA1117" s="2114">
        <f>D1117-'Blocking-Step2'!D1117</f>
        <v>0</v>
      </c>
      <c r="AC1117" s="2114">
        <f>F1117-'Blocking-Step2'!F1117</f>
        <v>0</v>
      </c>
      <c r="AE1117" s="2114">
        <f>H1117-'Blocking-Step2'!H1117</f>
        <v>0</v>
      </c>
      <c r="AF1117" s="2114">
        <f>I1117-'Blocking-Step2'!I1117</f>
        <v>0</v>
      </c>
      <c r="AH1117" s="2136">
        <f>K1117-'Blocking-Step2'!K1117</f>
        <v>0</v>
      </c>
      <c r="AJ1117" s="2136">
        <f>M1117-'Blocking-Step2'!M1117</f>
        <v>0</v>
      </c>
      <c r="AL1117" s="2136">
        <f>O1117-'Blocking-Step2'!O1117</f>
        <v>0</v>
      </c>
      <c r="AN1117" s="2137">
        <f>Q1117-'Blocking-Step2'!Q1117</f>
        <v>0</v>
      </c>
      <c r="AP1117" s="2127">
        <f>S1117-'Blocking-Step2'!S1117</f>
        <v>0</v>
      </c>
      <c r="AR1117" s="2127">
        <f>U1117-'Blocking-Step2'!U1117</f>
        <v>0</v>
      </c>
      <c r="AT1117" s="2127">
        <f>W1117-'Blocking-Step2'!W1117</f>
        <v>0</v>
      </c>
      <c r="AV1117" s="2128">
        <f>Y1117-'Blocking-Step2'!Y1117</f>
        <v>0</v>
      </c>
    </row>
    <row r="1118" spans="1:48" ht="16.5" hidden="1" thickTop="1">
      <c r="A1118" s="1116" t="s">
        <v>1240</v>
      </c>
      <c r="C1118" s="1024"/>
      <c r="D1118" s="1024"/>
      <c r="F1118" s="2076">
        <v>-4.99E-2</v>
      </c>
      <c r="G1118" s="617"/>
      <c r="H1118" s="1146">
        <v>-36331.740899999997</v>
      </c>
      <c r="I1118" s="1146">
        <v>-44660.200599999996</v>
      </c>
      <c r="K1118" s="2076"/>
      <c r="L1118" s="617"/>
      <c r="M1118" s="2076"/>
      <c r="N1118" s="617"/>
      <c r="O1118" s="2077" t="s">
        <v>2323</v>
      </c>
      <c r="P1118" s="617"/>
      <c r="Q1118" s="2076">
        <v>-3.0599999999999999E-2</v>
      </c>
      <c r="R1118" s="617"/>
      <c r="S1118" s="1114"/>
      <c r="T1118" s="1114"/>
      <c r="U1118" s="1114"/>
      <c r="V1118" s="1114"/>
      <c r="W1118" s="1114"/>
      <c r="X1118" s="1114"/>
      <c r="Y1118" s="1146">
        <v>-32391.109799999998</v>
      </c>
      <c r="Z1118" s="2114">
        <f>C1118-'Blocking-Step2'!C1118</f>
        <v>0</v>
      </c>
      <c r="AA1118" s="2114">
        <f>D1118-'Blocking-Step2'!D1118</f>
        <v>0</v>
      </c>
      <c r="AC1118" s="2114">
        <f>F1118-'Blocking-Step2'!F1118</f>
        <v>0</v>
      </c>
      <c r="AE1118" s="2114">
        <f>H1118-'Blocking-Step2'!H1118</f>
        <v>0</v>
      </c>
      <c r="AF1118" s="2114">
        <f>I1118-'Blocking-Step2'!I1118</f>
        <v>0</v>
      </c>
      <c r="AH1118" s="2136">
        <f>K1118-'Blocking-Step2'!K1118</f>
        <v>0</v>
      </c>
      <c r="AJ1118" s="2136">
        <f>M1118-'Blocking-Step2'!M1118</f>
        <v>0</v>
      </c>
      <c r="AL1118" s="2136" t="e">
        <f>O1118-'Blocking-Step2'!O1118</f>
        <v>#VALUE!</v>
      </c>
      <c r="AN1118" s="2137">
        <f>Q1118-'Blocking-Step2'!Q1118</f>
        <v>0</v>
      </c>
      <c r="AP1118" s="2127">
        <f>S1118-'Blocking-Step2'!S1118</f>
        <v>0</v>
      </c>
      <c r="AR1118" s="2127">
        <f>U1118-'Blocking-Step2'!U1118</f>
        <v>0</v>
      </c>
      <c r="AT1118" s="2127">
        <f>W1118-'Blocking-Step2'!W1118</f>
        <v>0</v>
      </c>
      <c r="AV1118" s="2128">
        <f>Y1118-'Blocking-Step2'!Y1118</f>
        <v>0</v>
      </c>
    </row>
    <row r="1119" spans="1:48" ht="16.5" hidden="1" thickTop="1">
      <c r="A1119" s="1116"/>
      <c r="C1119" s="1024"/>
      <c r="D1119" s="1024"/>
      <c r="F1119" s="2076"/>
      <c r="G1119" s="617"/>
      <c r="H1119" s="1146"/>
      <c r="I1119" s="1146"/>
      <c r="K1119" s="2076"/>
      <c r="L1119" s="617"/>
      <c r="M1119" s="2076"/>
      <c r="N1119" s="617"/>
      <c r="O1119" s="2077" t="s">
        <v>2324</v>
      </c>
      <c r="P1119" s="617"/>
      <c r="Q1119" s="2076">
        <v>-1.66E-2</v>
      </c>
      <c r="R1119" s="617"/>
      <c r="S1119" s="1114"/>
      <c r="T1119" s="1114"/>
      <c r="U1119" s="1114"/>
      <c r="V1119" s="1114"/>
      <c r="W1119" s="1114"/>
      <c r="X1119" s="1114"/>
      <c r="Y1119" s="1146">
        <v>-17571.647799999999</v>
      </c>
      <c r="Z1119" s="2114">
        <f>C1119-'Blocking-Step2'!C1119</f>
        <v>0</v>
      </c>
      <c r="AA1119" s="2114">
        <f>D1119-'Blocking-Step2'!D1119</f>
        <v>0</v>
      </c>
      <c r="AC1119" s="2114">
        <f>F1119-'Blocking-Step2'!F1119</f>
        <v>0</v>
      </c>
      <c r="AE1119" s="2114">
        <f>H1119-'Blocking-Step2'!H1119</f>
        <v>0</v>
      </c>
      <c r="AF1119" s="2114">
        <f>I1119-'Blocking-Step2'!I1119</f>
        <v>0</v>
      </c>
      <c r="AH1119" s="2136">
        <f>K1119-'Blocking-Step2'!K1119</f>
        <v>0</v>
      </c>
      <c r="AJ1119" s="2136">
        <f>M1119-'Blocking-Step2'!M1119</f>
        <v>0</v>
      </c>
      <c r="AL1119" s="2136" t="e">
        <f>O1119-'Blocking-Step2'!O1119</f>
        <v>#VALUE!</v>
      </c>
      <c r="AN1119" s="2137">
        <f>Q1119-'Blocking-Step2'!Q1119</f>
        <v>0</v>
      </c>
      <c r="AP1119" s="2127">
        <f>S1119-'Blocking-Step2'!S1119</f>
        <v>0</v>
      </c>
      <c r="AR1119" s="2127">
        <f>U1119-'Blocking-Step2'!U1119</f>
        <v>0</v>
      </c>
      <c r="AT1119" s="2127">
        <f>W1119-'Blocking-Step2'!W1119</f>
        <v>0</v>
      </c>
      <c r="AV1119" s="2128">
        <f>Y1119-'Blocking-Step2'!Y1119</f>
        <v>0</v>
      </c>
    </row>
    <row r="1120" spans="1:48" ht="17.25" hidden="1" thickTop="1" thickBot="1">
      <c r="A1120" s="1116" t="s">
        <v>247</v>
      </c>
      <c r="C1120" s="1138">
        <v>10596105.350323541</v>
      </c>
      <c r="D1120" s="1138">
        <v>12998906.024246655</v>
      </c>
      <c r="F1120" s="1145"/>
      <c r="H1120" s="1149">
        <v>1371503.2590999999</v>
      </c>
      <c r="I1120" s="1149">
        <v>1676723.7993999999</v>
      </c>
      <c r="K1120" s="1145"/>
      <c r="M1120" s="1145"/>
      <c r="O1120" s="1145"/>
      <c r="Q1120" s="1145"/>
      <c r="S1120" s="1149">
        <v>288315</v>
      </c>
      <c r="U1120" s="1149">
        <v>684525</v>
      </c>
      <c r="W1120" s="1149">
        <v>391514</v>
      </c>
      <c r="Y1120" s="1149">
        <v>1364353</v>
      </c>
      <c r="Z1120" s="2114">
        <f>C1120-'Blocking-Step2'!C1120</f>
        <v>0</v>
      </c>
      <c r="AA1120" s="2114">
        <f>D1120-'Blocking-Step2'!D1120</f>
        <v>0</v>
      </c>
      <c r="AC1120" s="2114">
        <f>F1120-'Blocking-Step2'!F1120</f>
        <v>0</v>
      </c>
      <c r="AE1120" s="2114">
        <f>H1120-'Blocking-Step2'!H1120</f>
        <v>0</v>
      </c>
      <c r="AF1120" s="2114">
        <f>I1120-'Blocking-Step2'!I1120</f>
        <v>0</v>
      </c>
      <c r="AH1120" s="2136">
        <f>K1120-'Blocking-Step2'!K1120</f>
        <v>0</v>
      </c>
      <c r="AJ1120" s="2136">
        <f>M1120-'Blocking-Step2'!M1120</f>
        <v>0</v>
      </c>
      <c r="AL1120" s="2136">
        <f>O1120-'Blocking-Step2'!O1120</f>
        <v>0</v>
      </c>
      <c r="AN1120" s="2137">
        <f>Q1120-'Blocking-Step2'!Q1120</f>
        <v>0</v>
      </c>
      <c r="AP1120" s="2127">
        <f>S1120-'Blocking-Step2'!S1120</f>
        <v>-298389</v>
      </c>
      <c r="AR1120" s="2127">
        <f>U1120-'Blocking-Step2'!U1120</f>
        <v>298391</v>
      </c>
      <c r="AT1120" s="2127">
        <f>W1120-'Blocking-Step2'!W1120</f>
        <v>0</v>
      </c>
      <c r="AV1120" s="2128">
        <f>Y1120-'Blocking-Step2'!Y1120</f>
        <v>0</v>
      </c>
    </row>
    <row r="1121" spans="1:48" ht="16.5" hidden="1" thickTop="1">
      <c r="C1121" s="1105"/>
      <c r="D1121" s="1105"/>
      <c r="Z1121" s="2114">
        <f>C1121-'Blocking-Step2'!C1121</f>
        <v>0</v>
      </c>
      <c r="AA1121" s="2114">
        <f>D1121-'Blocking-Step2'!D1121</f>
        <v>0</v>
      </c>
      <c r="AC1121" s="2114">
        <f>F1121-'Blocking-Step2'!F1121</f>
        <v>0</v>
      </c>
      <c r="AE1121" s="2114">
        <f>H1121-'Blocking-Step2'!H1121</f>
        <v>0</v>
      </c>
      <c r="AF1121" s="2114">
        <f>I1121-'Blocking-Step2'!I1121</f>
        <v>0</v>
      </c>
      <c r="AH1121" s="2136">
        <f>K1121-'Blocking-Step2'!K1121</f>
        <v>0</v>
      </c>
      <c r="AJ1121" s="2136">
        <f>M1121-'Blocking-Step2'!M1121</f>
        <v>0</v>
      </c>
      <c r="AL1121" s="2136">
        <f>O1121-'Blocking-Step2'!O1121</f>
        <v>0</v>
      </c>
      <c r="AN1121" s="2137">
        <f>Q1121-'Blocking-Step2'!Q1121</f>
        <v>0</v>
      </c>
      <c r="AP1121" s="2127">
        <f>S1121-'Blocking-Step2'!S1121</f>
        <v>0</v>
      </c>
      <c r="AR1121" s="2127">
        <f>U1121-'Blocking-Step2'!U1121</f>
        <v>0</v>
      </c>
      <c r="AT1121" s="2127">
        <f>W1121-'Blocking-Step2'!W1121</f>
        <v>0</v>
      </c>
      <c r="AV1121" s="2128">
        <f>Y1121-'Blocking-Step2'!Y1121</f>
        <v>0</v>
      </c>
    </row>
    <row r="1122" spans="1:48" ht="16.5" hidden="1" thickTop="1">
      <c r="A1122" s="1115" t="s">
        <v>987</v>
      </c>
      <c r="C1122" s="1105"/>
      <c r="D1122" s="1105"/>
      <c r="F1122" s="1106"/>
      <c r="G1122" s="1107"/>
      <c r="K1122" s="1106"/>
      <c r="L1122" s="1107"/>
      <c r="M1122" s="1106"/>
      <c r="N1122" s="1107"/>
      <c r="O1122" s="1106"/>
      <c r="P1122" s="1107"/>
      <c r="Q1122" s="1106"/>
      <c r="R1122" s="1107"/>
      <c r="S1122" s="1114"/>
      <c r="T1122" s="1114"/>
      <c r="U1122" s="1114"/>
      <c r="V1122" s="1114"/>
      <c r="W1122" s="1114"/>
      <c r="X1122" s="1114"/>
      <c r="Z1122" s="2114">
        <f>C1122-'Blocking-Step2'!C1122</f>
        <v>0</v>
      </c>
      <c r="AA1122" s="2114">
        <f>D1122-'Blocking-Step2'!D1122</f>
        <v>0</v>
      </c>
      <c r="AC1122" s="2114">
        <f>F1122-'Blocking-Step2'!F1122</f>
        <v>0</v>
      </c>
      <c r="AE1122" s="2114">
        <f>H1122-'Blocking-Step2'!H1122</f>
        <v>0</v>
      </c>
      <c r="AF1122" s="2114">
        <f>I1122-'Blocking-Step2'!I1122</f>
        <v>0</v>
      </c>
      <c r="AH1122" s="2136">
        <f>K1122-'Blocking-Step2'!K1122</f>
        <v>0</v>
      </c>
      <c r="AJ1122" s="2136">
        <f>M1122-'Blocking-Step2'!M1122</f>
        <v>0</v>
      </c>
      <c r="AL1122" s="2136">
        <f>O1122-'Blocking-Step2'!O1122</f>
        <v>0</v>
      </c>
      <c r="AN1122" s="2137">
        <f>Q1122-'Blocking-Step2'!Q1122</f>
        <v>0</v>
      </c>
      <c r="AP1122" s="2127">
        <f>S1122-'Blocking-Step2'!S1122</f>
        <v>0</v>
      </c>
      <c r="AR1122" s="2127">
        <f>U1122-'Blocking-Step2'!U1122</f>
        <v>0</v>
      </c>
      <c r="AT1122" s="2127">
        <f>W1122-'Blocking-Step2'!W1122</f>
        <v>0</v>
      </c>
      <c r="AV1122" s="2128">
        <f>Y1122-'Blocking-Step2'!Y1122</f>
        <v>0</v>
      </c>
    </row>
    <row r="1123" spans="1:48" ht="16.5" hidden="1" thickTop="1">
      <c r="A1123" s="1116" t="s">
        <v>1910</v>
      </c>
      <c r="C1123" s="1105">
        <v>233367.5</v>
      </c>
      <c r="D1123" s="1105">
        <v>1128072.0769230761</v>
      </c>
      <c r="E1123" s="617"/>
      <c r="F1123" s="1143"/>
      <c r="G1123" s="1921"/>
      <c r="H1123" s="1146"/>
      <c r="I1123" s="1146"/>
      <c r="J1123" s="617"/>
      <c r="K1123" s="1143">
        <v>1.657</v>
      </c>
      <c r="L1123" s="1921" t="s">
        <v>495</v>
      </c>
      <c r="M1123" s="1143">
        <v>19.370528114911814</v>
      </c>
      <c r="N1123" s="1921" t="s">
        <v>495</v>
      </c>
      <c r="O1123" s="1143">
        <v>1.3496999999999999</v>
      </c>
      <c r="P1123" s="1921" t="s">
        <v>495</v>
      </c>
      <c r="Q1123" s="1143">
        <v>22.377228114911812</v>
      </c>
      <c r="R1123" s="1921" t="s">
        <v>495</v>
      </c>
      <c r="S1123" s="1146">
        <v>18692</v>
      </c>
      <c r="T1123" s="1648"/>
      <c r="U1123" s="1146">
        <v>218514</v>
      </c>
      <c r="V1123" s="1648"/>
      <c r="W1123" s="1146">
        <v>15226</v>
      </c>
      <c r="X1123" s="1648"/>
      <c r="Y1123" s="1146">
        <v>252431</v>
      </c>
      <c r="Z1123" s="2114">
        <f>C1123-'Blocking-Step2'!C1123</f>
        <v>0</v>
      </c>
      <c r="AA1123" s="2114">
        <f>D1123-'Blocking-Step2'!D1123</f>
        <v>0</v>
      </c>
      <c r="AC1123" s="2114">
        <f>F1123-'Blocking-Step2'!F1123</f>
        <v>0</v>
      </c>
      <c r="AE1123" s="2114">
        <f>H1123-'Blocking-Step2'!H1123</f>
        <v>0</v>
      </c>
      <c r="AF1123" s="2114">
        <f>I1123-'Blocking-Step2'!I1123</f>
        <v>0</v>
      </c>
      <c r="AH1123" s="2136">
        <f>K1123-'Blocking-Step2'!K1123</f>
        <v>-2.2955000000000001</v>
      </c>
      <c r="AJ1123" s="2136">
        <f>M1123-'Blocking-Step2'!M1123</f>
        <v>2.2955000000000005</v>
      </c>
      <c r="AL1123" s="2136">
        <f>O1123-'Blocking-Step2'!O1123</f>
        <v>0</v>
      </c>
      <c r="AN1123" s="2137">
        <f>Q1123-'Blocking-Step2'!Q1123</f>
        <v>0</v>
      </c>
      <c r="AP1123" s="2127">
        <f>S1123-'Blocking-Step2'!S1123</f>
        <v>-25895</v>
      </c>
      <c r="AR1123" s="2127">
        <f>U1123-'Blocking-Step2'!U1123</f>
        <v>25895</v>
      </c>
      <c r="AT1123" s="2127">
        <f>W1123-'Blocking-Step2'!W1123</f>
        <v>0</v>
      </c>
      <c r="AV1123" s="2128">
        <f>Y1123-'Blocking-Step2'!Y1123</f>
        <v>0</v>
      </c>
    </row>
    <row r="1124" spans="1:48" ht="16.5" hidden="1" thickTop="1">
      <c r="A1124" s="1116" t="s">
        <v>1911</v>
      </c>
      <c r="C1124" s="1105">
        <v>418289.5</v>
      </c>
      <c r="D1124" s="1105">
        <v>2021963</v>
      </c>
      <c r="E1124" s="617"/>
      <c r="F1124" s="1143"/>
      <c r="G1124" s="1921"/>
      <c r="H1124" s="1146"/>
      <c r="I1124" s="1146"/>
      <c r="J1124" s="617"/>
      <c r="K1124" s="1143">
        <v>1.657</v>
      </c>
      <c r="L1124" s="1921" t="s">
        <v>495</v>
      </c>
      <c r="M1124" s="1143">
        <v>1.3803172825590004</v>
      </c>
      <c r="N1124" s="1921" t="s">
        <v>495</v>
      </c>
      <c r="O1124" s="1143">
        <v>1.3496999999999999</v>
      </c>
      <c r="P1124" s="1921" t="s">
        <v>495</v>
      </c>
      <c r="Q1124" s="1143">
        <v>4.3870172825590004</v>
      </c>
      <c r="R1124" s="1921" t="s">
        <v>495</v>
      </c>
      <c r="S1124" s="1146">
        <v>33504</v>
      </c>
      <c r="T1124" s="1648"/>
      <c r="U1124" s="1146">
        <v>27910</v>
      </c>
      <c r="V1124" s="1648"/>
      <c r="W1124" s="1146">
        <v>27290</v>
      </c>
      <c r="X1124" s="1648"/>
      <c r="Y1124" s="1146">
        <v>88704</v>
      </c>
      <c r="Z1124" s="2114">
        <f>C1124-'Blocking-Step2'!C1124</f>
        <v>0</v>
      </c>
      <c r="AA1124" s="2114">
        <f>D1124-'Blocking-Step2'!D1124</f>
        <v>0</v>
      </c>
      <c r="AC1124" s="2114">
        <f>F1124-'Blocking-Step2'!F1124</f>
        <v>0</v>
      </c>
      <c r="AE1124" s="2114">
        <f>H1124-'Blocking-Step2'!H1124</f>
        <v>0</v>
      </c>
      <c r="AF1124" s="2114">
        <f>I1124-'Blocking-Step2'!I1124</f>
        <v>0</v>
      </c>
      <c r="AH1124" s="2136">
        <f>K1124-'Blocking-Step2'!K1124</f>
        <v>-2.2955000000000001</v>
      </c>
      <c r="AJ1124" s="2136">
        <f>M1124-'Blocking-Step2'!M1124</f>
        <v>2.2955000000000001</v>
      </c>
      <c r="AL1124" s="2136">
        <f>O1124-'Blocking-Step2'!O1124</f>
        <v>0</v>
      </c>
      <c r="AN1124" s="2137">
        <f>Q1124-'Blocking-Step2'!Q1124</f>
        <v>0</v>
      </c>
      <c r="AP1124" s="2127">
        <f>S1124-'Blocking-Step2'!S1124</f>
        <v>-46414</v>
      </c>
      <c r="AR1124" s="2127">
        <f>U1124-'Blocking-Step2'!U1124</f>
        <v>46415</v>
      </c>
      <c r="AT1124" s="2127">
        <f>W1124-'Blocking-Step2'!W1124</f>
        <v>0</v>
      </c>
      <c r="AV1124" s="2128">
        <f>Y1124-'Blocking-Step2'!Y1124</f>
        <v>0</v>
      </c>
    </row>
    <row r="1125" spans="1:48" ht="16.5" hidden="1" thickTop="1">
      <c r="A1125" s="1116" t="s">
        <v>1912</v>
      </c>
      <c r="C1125" s="1105">
        <v>502344.50077107706</v>
      </c>
      <c r="D1125" s="1105">
        <v>2668816</v>
      </c>
      <c r="E1125" s="617"/>
      <c r="F1125" s="1143"/>
      <c r="G1125" s="1921"/>
      <c r="H1125" s="1146"/>
      <c r="I1125" s="1146"/>
      <c r="J1125" s="617"/>
      <c r="K1125" s="1143">
        <v>1.657</v>
      </c>
      <c r="L1125" s="1921" t="s">
        <v>495</v>
      </c>
      <c r="M1125" s="1143">
        <v>16.951500000000003</v>
      </c>
      <c r="N1125" s="1921" t="s">
        <v>495</v>
      </c>
      <c r="O1125" s="1143">
        <v>1.1943999999999999</v>
      </c>
      <c r="P1125" s="1921" t="s">
        <v>495</v>
      </c>
      <c r="Q1125" s="1143">
        <v>19.802900000000001</v>
      </c>
      <c r="R1125" s="1921" t="s">
        <v>495</v>
      </c>
      <c r="S1125" s="1146">
        <v>44222</v>
      </c>
      <c r="T1125" s="1648"/>
      <c r="U1125" s="1146">
        <v>452404</v>
      </c>
      <c r="V1125" s="1648"/>
      <c r="W1125" s="1146">
        <v>31876</v>
      </c>
      <c r="X1125" s="1648"/>
      <c r="Y1125" s="1146">
        <v>528503</v>
      </c>
      <c r="Z1125" s="2114">
        <f>C1125-'Blocking-Step2'!C1125</f>
        <v>0</v>
      </c>
      <c r="AA1125" s="2114">
        <f>D1125-'Blocking-Step2'!D1125</f>
        <v>0</v>
      </c>
      <c r="AC1125" s="2114">
        <f>F1125-'Blocking-Step2'!F1125</f>
        <v>0</v>
      </c>
      <c r="AE1125" s="2114">
        <f>H1125-'Blocking-Step2'!H1125</f>
        <v>0</v>
      </c>
      <c r="AF1125" s="2114">
        <f>I1125-'Blocking-Step2'!I1125</f>
        <v>0</v>
      </c>
      <c r="AH1125" s="2136">
        <f>K1125-'Blocking-Step2'!K1125</f>
        <v>-2.2955000000000001</v>
      </c>
      <c r="AJ1125" s="2136">
        <f>M1125-'Blocking-Step2'!M1125</f>
        <v>2.2955000000000023</v>
      </c>
      <c r="AL1125" s="2136">
        <f>O1125-'Blocking-Step2'!O1125</f>
        <v>0</v>
      </c>
      <c r="AN1125" s="2137">
        <f>Q1125-'Blocking-Step2'!Q1125</f>
        <v>0</v>
      </c>
      <c r="AP1125" s="2127">
        <f>S1125-'Blocking-Step2'!S1125</f>
        <v>-61263</v>
      </c>
      <c r="AR1125" s="2127">
        <f>U1125-'Blocking-Step2'!U1125</f>
        <v>61262</v>
      </c>
      <c r="AT1125" s="2127">
        <f>W1125-'Blocking-Step2'!W1125</f>
        <v>0</v>
      </c>
      <c r="AV1125" s="2128">
        <f>Y1125-'Blocking-Step2'!Y1125</f>
        <v>0</v>
      </c>
    </row>
    <row r="1126" spans="1:48" ht="16.5" hidden="1" thickTop="1">
      <c r="A1126" s="1116" t="s">
        <v>1913</v>
      </c>
      <c r="C1126" s="1105">
        <v>868836.999228923</v>
      </c>
      <c r="D1126" s="1105">
        <v>4615889</v>
      </c>
      <c r="E1126" s="617"/>
      <c r="F1126" s="1143"/>
      <c r="G1126" s="1921"/>
      <c r="H1126" s="1146"/>
      <c r="I1126" s="1146"/>
      <c r="J1126" s="617"/>
      <c r="K1126" s="1143">
        <v>1.657</v>
      </c>
      <c r="L1126" s="1921" t="s">
        <v>495</v>
      </c>
      <c r="M1126" s="1143">
        <v>1.0308999999999999</v>
      </c>
      <c r="N1126" s="1921" t="s">
        <v>495</v>
      </c>
      <c r="O1126" s="1143">
        <v>1.1943999999999999</v>
      </c>
      <c r="P1126" s="1921" t="s">
        <v>495</v>
      </c>
      <c r="Q1126" s="1143">
        <v>3.8822999999999999</v>
      </c>
      <c r="R1126" s="1921" t="s">
        <v>495</v>
      </c>
      <c r="S1126" s="1146">
        <v>76485</v>
      </c>
      <c r="T1126" s="1648"/>
      <c r="U1126" s="1146">
        <v>47585</v>
      </c>
      <c r="V1126" s="1648"/>
      <c r="W1126" s="1146">
        <v>55132</v>
      </c>
      <c r="X1126" s="1648"/>
      <c r="Y1126" s="1146">
        <v>179203</v>
      </c>
      <c r="Z1126" s="2114">
        <f>C1126-'Blocking-Step2'!C1126</f>
        <v>0</v>
      </c>
      <c r="AA1126" s="2114">
        <f>D1126-'Blocking-Step2'!D1126</f>
        <v>0</v>
      </c>
      <c r="AC1126" s="2114">
        <f>F1126-'Blocking-Step2'!F1126</f>
        <v>0</v>
      </c>
      <c r="AE1126" s="2114">
        <f>H1126-'Blocking-Step2'!H1126</f>
        <v>0</v>
      </c>
      <c r="AF1126" s="2114">
        <f>I1126-'Blocking-Step2'!I1126</f>
        <v>0</v>
      </c>
      <c r="AH1126" s="2136">
        <f>K1126-'Blocking-Step2'!K1126</f>
        <v>-2.2955000000000001</v>
      </c>
      <c r="AJ1126" s="2136">
        <f>M1126-'Blocking-Step2'!M1126</f>
        <v>2.2955000000000001</v>
      </c>
      <c r="AL1126" s="2136">
        <f>O1126-'Blocking-Step2'!O1126</f>
        <v>0</v>
      </c>
      <c r="AN1126" s="2137">
        <f>Q1126-'Blocking-Step2'!Q1126</f>
        <v>0</v>
      </c>
      <c r="AP1126" s="2127">
        <f>S1126-'Blocking-Step2'!S1126</f>
        <v>-105958</v>
      </c>
      <c r="AR1126" s="2127">
        <f>U1126-'Blocking-Step2'!U1126</f>
        <v>105958</v>
      </c>
      <c r="AT1126" s="2127">
        <f>W1126-'Blocking-Step2'!W1126</f>
        <v>0</v>
      </c>
      <c r="AV1126" s="2128">
        <f>Y1126-'Blocking-Step2'!Y1126</f>
        <v>0</v>
      </c>
    </row>
    <row r="1127" spans="1:48" ht="16.5" hidden="1" thickTop="1">
      <c r="A1127" s="1116" t="s">
        <v>1906</v>
      </c>
      <c r="C1127" s="1105">
        <v>467860</v>
      </c>
      <c r="D1127" s="1105">
        <v>2261582.0769230761</v>
      </c>
      <c r="E1127" s="617"/>
      <c r="F1127" s="1143"/>
      <c r="G1127" s="1921"/>
      <c r="H1127" s="1146"/>
      <c r="I1127" s="1146"/>
      <c r="J1127" s="617"/>
      <c r="K1127" s="1143">
        <v>0</v>
      </c>
      <c r="L1127" s="1921" t="s">
        <v>495</v>
      </c>
      <c r="M1127" s="1143">
        <v>0</v>
      </c>
      <c r="N1127" s="1921" t="s">
        <v>495</v>
      </c>
      <c r="O1127" s="1143">
        <v>6</v>
      </c>
      <c r="P1127" s="1921" t="s">
        <v>495</v>
      </c>
      <c r="Q1127" s="1143">
        <v>6</v>
      </c>
      <c r="R1127" s="1921" t="s">
        <v>495</v>
      </c>
      <c r="S1127" s="1146">
        <v>0</v>
      </c>
      <c r="T1127" s="1648"/>
      <c r="U1127" s="1146">
        <v>0</v>
      </c>
      <c r="V1127" s="1648"/>
      <c r="W1127" s="1146">
        <v>135695</v>
      </c>
      <c r="X1127" s="1648"/>
      <c r="Y1127" s="1146">
        <v>135695</v>
      </c>
      <c r="Z1127" s="2114">
        <f>C1127-'Blocking-Step2'!C1127</f>
        <v>0</v>
      </c>
      <c r="AA1127" s="2114">
        <f>D1127-'Blocking-Step2'!D1127</f>
        <v>0</v>
      </c>
      <c r="AC1127" s="2114">
        <f>F1127-'Blocking-Step2'!F1127</f>
        <v>0</v>
      </c>
      <c r="AE1127" s="2114">
        <f>H1127-'Blocking-Step2'!H1127</f>
        <v>0</v>
      </c>
      <c r="AF1127" s="2114">
        <f>I1127-'Blocking-Step2'!I1127</f>
        <v>0</v>
      </c>
      <c r="AH1127" s="2136">
        <f>K1127-'Blocking-Step2'!K1127</f>
        <v>0</v>
      </c>
      <c r="AJ1127" s="2136">
        <f>M1127-'Blocking-Step2'!M1127</f>
        <v>0</v>
      </c>
      <c r="AL1127" s="2136">
        <f>O1127-'Blocking-Step2'!O1127</f>
        <v>0</v>
      </c>
      <c r="AN1127" s="2137">
        <f>Q1127-'Blocking-Step2'!Q1127</f>
        <v>0</v>
      </c>
      <c r="AP1127" s="2127">
        <f>S1127-'Blocking-Step2'!S1127</f>
        <v>0</v>
      </c>
      <c r="AR1127" s="2127">
        <f>U1127-'Blocking-Step2'!U1127</f>
        <v>0</v>
      </c>
      <c r="AT1127" s="2127">
        <f>W1127-'Blocking-Step2'!W1127</f>
        <v>0</v>
      </c>
      <c r="AV1127" s="2128">
        <f>Y1127-'Blocking-Step2'!Y1127</f>
        <v>0</v>
      </c>
    </row>
    <row r="1128" spans="1:48" ht="16.5" hidden="1" thickTop="1">
      <c r="A1128" s="1116" t="s">
        <v>1907</v>
      </c>
      <c r="C1128" s="1105">
        <v>183797</v>
      </c>
      <c r="D1128" s="1105">
        <v>888453</v>
      </c>
      <c r="E1128" s="617"/>
      <c r="F1128" s="1143"/>
      <c r="G1128" s="1921"/>
      <c r="H1128" s="1146"/>
      <c r="I1128" s="1146"/>
      <c r="J1128" s="617"/>
      <c r="K1128" s="1143">
        <v>0</v>
      </c>
      <c r="L1128" s="1921" t="s">
        <v>495</v>
      </c>
      <c r="M1128" s="1143">
        <v>0</v>
      </c>
      <c r="N1128" s="1921" t="s">
        <v>495</v>
      </c>
      <c r="O1128" s="1143">
        <v>-2.3358000000000008</v>
      </c>
      <c r="P1128" s="1921" t="s">
        <v>495</v>
      </c>
      <c r="Q1128" s="1143">
        <v>-2.3358000000000008</v>
      </c>
      <c r="R1128" s="1921" t="s">
        <v>495</v>
      </c>
      <c r="S1128" s="1146">
        <v>0</v>
      </c>
      <c r="T1128" s="1648"/>
      <c r="U1128" s="1146">
        <v>0</v>
      </c>
      <c r="V1128" s="1648"/>
      <c r="W1128" s="1146">
        <v>-20752</v>
      </c>
      <c r="X1128" s="1648"/>
      <c r="Y1128" s="1146">
        <v>-20752</v>
      </c>
      <c r="Z1128" s="2114">
        <f>C1128-'Blocking-Step2'!C1128</f>
        <v>0</v>
      </c>
      <c r="AA1128" s="2114">
        <f>D1128-'Blocking-Step2'!D1128</f>
        <v>0</v>
      </c>
      <c r="AC1128" s="2114">
        <f>F1128-'Blocking-Step2'!F1128</f>
        <v>0</v>
      </c>
      <c r="AE1128" s="2114">
        <f>H1128-'Blocking-Step2'!H1128</f>
        <v>0</v>
      </c>
      <c r="AF1128" s="2114">
        <f>I1128-'Blocking-Step2'!I1128</f>
        <v>0</v>
      </c>
      <c r="AH1128" s="2136">
        <f>K1128-'Blocking-Step2'!K1128</f>
        <v>0</v>
      </c>
      <c r="AJ1128" s="2136">
        <f>M1128-'Blocking-Step2'!M1128</f>
        <v>0</v>
      </c>
      <c r="AL1128" s="2136">
        <f>O1128-'Blocking-Step2'!O1128</f>
        <v>0</v>
      </c>
      <c r="AN1128" s="2137">
        <f>Q1128-'Blocking-Step2'!Q1128</f>
        <v>0</v>
      </c>
      <c r="AP1128" s="2127">
        <f>S1128-'Blocking-Step2'!S1128</f>
        <v>0</v>
      </c>
      <c r="AR1128" s="2127">
        <f>U1128-'Blocking-Step2'!U1128</f>
        <v>0</v>
      </c>
      <c r="AT1128" s="2127">
        <f>W1128-'Blocking-Step2'!W1128</f>
        <v>0</v>
      </c>
      <c r="AV1128" s="2128">
        <f>Y1128-'Blocking-Step2'!Y1128</f>
        <v>0</v>
      </c>
    </row>
    <row r="1129" spans="1:48" ht="16.5" hidden="1" thickTop="1">
      <c r="A1129" s="1116" t="s">
        <v>1908</v>
      </c>
      <c r="C1129" s="1105">
        <v>1001125.5</v>
      </c>
      <c r="D1129" s="1105">
        <v>5318701</v>
      </c>
      <c r="E1129" s="617"/>
      <c r="F1129" s="1143"/>
      <c r="G1129" s="1921"/>
      <c r="H1129" s="1146"/>
      <c r="I1129" s="1146"/>
      <c r="J1129" s="617"/>
      <c r="K1129" s="1143">
        <v>0</v>
      </c>
      <c r="L1129" s="1921" t="s">
        <v>495</v>
      </c>
      <c r="M1129" s="1143">
        <v>0</v>
      </c>
      <c r="N1129" s="1921" t="s">
        <v>495</v>
      </c>
      <c r="O1129" s="1143">
        <v>5.3097000000000003</v>
      </c>
      <c r="P1129" s="1921" t="s">
        <v>495</v>
      </c>
      <c r="Q1129" s="1143">
        <v>5.3097000000000003</v>
      </c>
      <c r="R1129" s="1921" t="s">
        <v>495</v>
      </c>
      <c r="S1129" s="1146">
        <v>0</v>
      </c>
      <c r="T1129" s="1648"/>
      <c r="U1129" s="1146">
        <v>0</v>
      </c>
      <c r="V1129" s="1648"/>
      <c r="W1129" s="1146">
        <v>282407</v>
      </c>
      <c r="X1129" s="1648"/>
      <c r="Y1129" s="1146">
        <v>282407</v>
      </c>
      <c r="Z1129" s="2114">
        <f>C1129-'Blocking-Step2'!C1129</f>
        <v>0</v>
      </c>
      <c r="AA1129" s="2114">
        <f>D1129-'Blocking-Step2'!D1129</f>
        <v>0</v>
      </c>
      <c r="AC1129" s="2114">
        <f>F1129-'Blocking-Step2'!F1129</f>
        <v>0</v>
      </c>
      <c r="AE1129" s="2114">
        <f>H1129-'Blocking-Step2'!H1129</f>
        <v>0</v>
      </c>
      <c r="AF1129" s="2114">
        <f>I1129-'Blocking-Step2'!I1129</f>
        <v>0</v>
      </c>
      <c r="AH1129" s="2136">
        <f>K1129-'Blocking-Step2'!K1129</f>
        <v>0</v>
      </c>
      <c r="AJ1129" s="2136">
        <f>M1129-'Blocking-Step2'!M1129</f>
        <v>0</v>
      </c>
      <c r="AL1129" s="2136">
        <f>O1129-'Blocking-Step2'!O1129</f>
        <v>0</v>
      </c>
      <c r="AN1129" s="2137">
        <f>Q1129-'Blocking-Step2'!Q1129</f>
        <v>0</v>
      </c>
      <c r="AP1129" s="2127">
        <f>S1129-'Blocking-Step2'!S1129</f>
        <v>0</v>
      </c>
      <c r="AR1129" s="2127">
        <f>U1129-'Blocking-Step2'!U1129</f>
        <v>0</v>
      </c>
      <c r="AT1129" s="2127">
        <f>W1129-'Blocking-Step2'!W1129</f>
        <v>0</v>
      </c>
      <c r="AV1129" s="2128">
        <f>Y1129-'Blocking-Step2'!Y1129</f>
        <v>0</v>
      </c>
    </row>
    <row r="1130" spans="1:48" ht="16.5" hidden="1" thickTop="1">
      <c r="A1130" s="1116" t="s">
        <v>1909</v>
      </c>
      <c r="C1130" s="1105">
        <v>370056</v>
      </c>
      <c r="D1130" s="1105">
        <v>1966004</v>
      </c>
      <c r="E1130" s="617"/>
      <c r="F1130" s="1143"/>
      <c r="G1130" s="1921"/>
      <c r="H1130" s="1146"/>
      <c r="I1130" s="1146"/>
      <c r="J1130" s="617"/>
      <c r="K1130" s="1143">
        <v>0</v>
      </c>
      <c r="L1130" s="1921" t="s">
        <v>495</v>
      </c>
      <c r="M1130" s="1143">
        <v>0</v>
      </c>
      <c r="N1130" s="1921" t="s">
        <v>495</v>
      </c>
      <c r="O1130" s="1143">
        <v>-2.0670999999999999</v>
      </c>
      <c r="P1130" s="1921" t="s">
        <v>495</v>
      </c>
      <c r="Q1130" s="1143">
        <v>-2.0670999999999999</v>
      </c>
      <c r="R1130" s="1921" t="s">
        <v>495</v>
      </c>
      <c r="S1130" s="1146">
        <v>0</v>
      </c>
      <c r="T1130" s="1648"/>
      <c r="U1130" s="1146">
        <v>0</v>
      </c>
      <c r="V1130" s="1648"/>
      <c r="W1130" s="1146">
        <v>-40639</v>
      </c>
      <c r="X1130" s="1648"/>
      <c r="Y1130" s="1146">
        <v>-40639</v>
      </c>
      <c r="Z1130" s="2114">
        <f>C1130-'Blocking-Step2'!C1130</f>
        <v>0</v>
      </c>
      <c r="AA1130" s="2114">
        <f>D1130-'Blocking-Step2'!D1130</f>
        <v>0</v>
      </c>
      <c r="AC1130" s="2114">
        <f>F1130-'Blocking-Step2'!F1130</f>
        <v>0</v>
      </c>
      <c r="AE1130" s="2114">
        <f>H1130-'Blocking-Step2'!H1130</f>
        <v>0</v>
      </c>
      <c r="AF1130" s="2114">
        <f>I1130-'Blocking-Step2'!I1130</f>
        <v>0</v>
      </c>
      <c r="AH1130" s="2136">
        <f>K1130-'Blocking-Step2'!K1130</f>
        <v>0</v>
      </c>
      <c r="AJ1130" s="2136">
        <f>M1130-'Blocking-Step2'!M1130</f>
        <v>0</v>
      </c>
      <c r="AL1130" s="2136">
        <f>O1130-'Blocking-Step2'!O1130</f>
        <v>0</v>
      </c>
      <c r="AN1130" s="2137">
        <f>Q1130-'Blocking-Step2'!Q1130</f>
        <v>0</v>
      </c>
      <c r="AP1130" s="2127">
        <f>S1130-'Blocking-Step2'!S1130</f>
        <v>0</v>
      </c>
      <c r="AR1130" s="2127">
        <f>U1130-'Blocking-Step2'!U1130</f>
        <v>0</v>
      </c>
      <c r="AT1130" s="2127">
        <f>W1130-'Blocking-Step2'!W1130</f>
        <v>0</v>
      </c>
      <c r="AV1130" s="2128">
        <f>Y1130-'Blocking-Step2'!Y1130</f>
        <v>0</v>
      </c>
    </row>
    <row r="1131" spans="1:48" ht="16.5" hidden="1" thickTop="1">
      <c r="A1131" s="1116" t="s">
        <v>240</v>
      </c>
      <c r="C1131" s="1105">
        <v>156</v>
      </c>
      <c r="D1131" s="1105">
        <v>429</v>
      </c>
      <c r="F1131" s="1142">
        <v>54</v>
      </c>
      <c r="G1131" s="617"/>
      <c r="H1131" s="1146">
        <v>8424</v>
      </c>
      <c r="I1131" s="1146">
        <v>23166</v>
      </c>
      <c r="K1131" s="1142">
        <v>54</v>
      </c>
      <c r="L1131" s="617"/>
      <c r="M1131" s="1142">
        <v>0</v>
      </c>
      <c r="N1131" s="617"/>
      <c r="O1131" s="1142">
        <v>0</v>
      </c>
      <c r="P1131" s="617"/>
      <c r="Q1131" s="1142">
        <v>54</v>
      </c>
      <c r="R1131" s="617"/>
      <c r="S1131" s="1146">
        <v>23166</v>
      </c>
      <c r="T1131" s="1629"/>
      <c r="U1131" s="1146">
        <v>0</v>
      </c>
      <c r="V1131" s="1629"/>
      <c r="W1131" s="1146">
        <v>0</v>
      </c>
      <c r="X1131" s="1114"/>
      <c r="Y1131" s="1146">
        <v>23166</v>
      </c>
      <c r="Z1131" s="2114">
        <f>C1131-'Blocking-Step2'!C1131</f>
        <v>0</v>
      </c>
      <c r="AA1131" s="2114">
        <f>D1131-'Blocking-Step2'!D1131</f>
        <v>0</v>
      </c>
      <c r="AC1131" s="2114">
        <f>F1131-'Blocking-Step2'!F1131</f>
        <v>0</v>
      </c>
      <c r="AE1131" s="2114">
        <f>H1131-'Blocking-Step2'!H1131</f>
        <v>0</v>
      </c>
      <c r="AF1131" s="2114">
        <f>I1131-'Blocking-Step2'!I1131</f>
        <v>0</v>
      </c>
      <c r="AH1131" s="2136">
        <f>K1131-'Blocking-Step2'!K1131</f>
        <v>0</v>
      </c>
      <c r="AJ1131" s="2136">
        <f>M1131-'Blocking-Step2'!M1131</f>
        <v>0</v>
      </c>
      <c r="AL1131" s="2136">
        <f>O1131-'Blocking-Step2'!O1131</f>
        <v>0</v>
      </c>
      <c r="AN1131" s="2137">
        <f>Q1131-'Blocking-Step2'!Q1131</f>
        <v>0</v>
      </c>
      <c r="AP1131" s="2127">
        <f>S1131-'Blocking-Step2'!S1131</f>
        <v>0</v>
      </c>
      <c r="AR1131" s="2127">
        <f>U1131-'Blocking-Step2'!U1131</f>
        <v>0</v>
      </c>
      <c r="AT1131" s="2127">
        <f>W1131-'Blocking-Step2'!W1131</f>
        <v>0</v>
      </c>
      <c r="AV1131" s="2128">
        <f>Y1131-'Blocking-Step2'!Y1131</f>
        <v>0</v>
      </c>
    </row>
    <row r="1132" spans="1:48" ht="16.5" hidden="1" thickTop="1">
      <c r="A1132" s="1116" t="s">
        <v>157</v>
      </c>
      <c r="C1132" s="1105">
        <v>15736.926380368101</v>
      </c>
      <c r="D1132" s="1105">
        <v>41258</v>
      </c>
      <c r="F1132" s="1142">
        <v>6.52</v>
      </c>
      <c r="G1132" s="617"/>
      <c r="H1132" s="1146">
        <v>102605</v>
      </c>
      <c r="I1132" s="1146">
        <v>269002</v>
      </c>
      <c r="K1132" s="1142"/>
      <c r="L1132" s="617"/>
      <c r="M1132" s="1142"/>
      <c r="N1132" s="617"/>
      <c r="O1132" s="1142"/>
      <c r="P1132" s="617"/>
      <c r="Q1132" s="1142"/>
      <c r="R1132" s="617"/>
      <c r="S1132" s="1146"/>
      <c r="T1132" s="1114"/>
      <c r="U1132" s="1146"/>
      <c r="V1132" s="1114"/>
      <c r="W1132" s="1146"/>
      <c r="X1132" s="1114"/>
      <c r="Y1132" s="1146"/>
      <c r="Z1132" s="2114">
        <f>C1132-'Blocking-Step2'!C1132</f>
        <v>0</v>
      </c>
      <c r="AA1132" s="2114">
        <f>D1132-'Blocking-Step2'!D1132</f>
        <v>0</v>
      </c>
      <c r="AC1132" s="2114">
        <f>F1132-'Blocking-Step2'!F1132</f>
        <v>0</v>
      </c>
      <c r="AE1132" s="2114">
        <f>H1132-'Blocking-Step2'!H1132</f>
        <v>0</v>
      </c>
      <c r="AF1132" s="2114">
        <f>I1132-'Blocking-Step2'!I1132</f>
        <v>0</v>
      </c>
      <c r="AH1132" s="2136">
        <f>K1132-'Blocking-Step2'!K1132</f>
        <v>0</v>
      </c>
      <c r="AJ1132" s="2136">
        <f>M1132-'Blocking-Step2'!M1132</f>
        <v>0</v>
      </c>
      <c r="AL1132" s="2136">
        <f>O1132-'Blocking-Step2'!O1132</f>
        <v>0</v>
      </c>
      <c r="AN1132" s="2137">
        <f>Q1132-'Blocking-Step2'!Q1132</f>
        <v>0</v>
      </c>
      <c r="AP1132" s="2127">
        <f>S1132-'Blocking-Step2'!S1132</f>
        <v>0</v>
      </c>
      <c r="AR1132" s="2127">
        <f>U1132-'Blocking-Step2'!U1132</f>
        <v>0</v>
      </c>
      <c r="AT1132" s="2127">
        <f>W1132-'Blocking-Step2'!W1132</f>
        <v>0</v>
      </c>
      <c r="AV1132" s="2128">
        <f>Y1132-'Blocking-Step2'!Y1132</f>
        <v>0</v>
      </c>
    </row>
    <row r="1133" spans="1:48" ht="16.5" hidden="1" thickTop="1">
      <c r="A1133" s="1116" t="s">
        <v>162</v>
      </c>
      <c r="C1133" s="1105">
        <v>21751.0749542962</v>
      </c>
      <c r="D1133" s="1105">
        <v>57025</v>
      </c>
      <c r="F1133" s="1142">
        <v>5.47</v>
      </c>
      <c r="G1133" s="617"/>
      <c r="H1133" s="1146">
        <v>118978</v>
      </c>
      <c r="I1133" s="1146">
        <v>311927</v>
      </c>
      <c r="K1133" s="1142"/>
      <c r="L1133" s="617"/>
      <c r="M1133" s="1142"/>
      <c r="N1133" s="617"/>
      <c r="O1133" s="1142"/>
      <c r="P1133" s="617"/>
      <c r="Q1133" s="1142"/>
      <c r="R1133" s="617"/>
      <c r="S1133" s="1146"/>
      <c r="T1133" s="1114"/>
      <c r="U1133" s="1146"/>
      <c r="V1133" s="1114"/>
      <c r="W1133" s="1146"/>
      <c r="X1133" s="1114"/>
      <c r="Y1133" s="1146"/>
      <c r="Z1133" s="2114">
        <f>C1133-'Blocking-Step2'!C1133</f>
        <v>0</v>
      </c>
      <c r="AA1133" s="2114">
        <f>D1133-'Blocking-Step2'!D1133</f>
        <v>0</v>
      </c>
      <c r="AC1133" s="2114">
        <f>F1133-'Blocking-Step2'!F1133</f>
        <v>0</v>
      </c>
      <c r="AE1133" s="2114">
        <f>H1133-'Blocking-Step2'!H1133</f>
        <v>0</v>
      </c>
      <c r="AF1133" s="2114">
        <f>I1133-'Blocking-Step2'!I1133</f>
        <v>0</v>
      </c>
      <c r="AH1133" s="2136">
        <f>K1133-'Blocking-Step2'!K1133</f>
        <v>0</v>
      </c>
      <c r="AJ1133" s="2136">
        <f>M1133-'Blocking-Step2'!M1133</f>
        <v>0</v>
      </c>
      <c r="AL1133" s="2136">
        <f>O1133-'Blocking-Step2'!O1133</f>
        <v>0</v>
      </c>
      <c r="AN1133" s="2137">
        <f>Q1133-'Blocking-Step2'!Q1133</f>
        <v>0</v>
      </c>
      <c r="AP1133" s="2127">
        <f>S1133-'Blocking-Step2'!S1133</f>
        <v>0</v>
      </c>
      <c r="AR1133" s="2127">
        <f>U1133-'Blocking-Step2'!U1133</f>
        <v>0</v>
      </c>
      <c r="AT1133" s="2127">
        <f>W1133-'Blocking-Step2'!W1133</f>
        <v>0</v>
      </c>
      <c r="AV1133" s="2128">
        <f>Y1133-'Blocking-Step2'!Y1133</f>
        <v>0</v>
      </c>
    </row>
    <row r="1134" spans="1:48" ht="16.5" hidden="1" thickTop="1">
      <c r="A1134" s="1116" t="s">
        <v>261</v>
      </c>
      <c r="C1134" s="1105">
        <v>5955</v>
      </c>
      <c r="D1134" s="1105">
        <v>15612</v>
      </c>
      <c r="E1134" s="617"/>
      <c r="F1134" s="1142">
        <v>-0.61</v>
      </c>
      <c r="G1134" s="617"/>
      <c r="H1134" s="1146">
        <v>-3633</v>
      </c>
      <c r="I1134" s="1146">
        <v>-9523</v>
      </c>
      <c r="J1134" s="617"/>
      <c r="K1134" s="1142">
        <v>-0.61</v>
      </c>
      <c r="L1134" s="617"/>
      <c r="M1134" s="1142">
        <v>0</v>
      </c>
      <c r="N1134" s="617"/>
      <c r="O1134" s="1142">
        <v>0</v>
      </c>
      <c r="P1134" s="617"/>
      <c r="Q1134" s="1142">
        <v>-0.61</v>
      </c>
      <c r="R1134" s="617"/>
      <c r="S1134" s="1146">
        <v>-9523</v>
      </c>
      <c r="T1134" s="1114"/>
      <c r="U1134" s="1146">
        <v>0</v>
      </c>
      <c r="V1134" s="1114"/>
      <c r="W1134" s="1146">
        <v>0</v>
      </c>
      <c r="X1134" s="1114"/>
      <c r="Y1134" s="1146">
        <v>-9523</v>
      </c>
      <c r="Z1134" s="2114">
        <f>C1134-'Blocking-Step2'!C1134</f>
        <v>0</v>
      </c>
      <c r="AA1134" s="2114">
        <f>D1134-'Blocking-Step2'!D1134</f>
        <v>0</v>
      </c>
      <c r="AC1134" s="2114">
        <f>F1134-'Blocking-Step2'!F1134</f>
        <v>0</v>
      </c>
      <c r="AE1134" s="2114">
        <f>H1134-'Blocking-Step2'!H1134</f>
        <v>0</v>
      </c>
      <c r="AF1134" s="2114">
        <f>I1134-'Blocking-Step2'!I1134</f>
        <v>0</v>
      </c>
      <c r="AH1134" s="2136">
        <f>K1134-'Blocking-Step2'!K1134</f>
        <v>0</v>
      </c>
      <c r="AJ1134" s="2136">
        <f>M1134-'Blocking-Step2'!M1134</f>
        <v>0</v>
      </c>
      <c r="AL1134" s="2136">
        <f>O1134-'Blocking-Step2'!O1134</f>
        <v>0</v>
      </c>
      <c r="AN1134" s="2137">
        <f>Q1134-'Blocking-Step2'!Q1134</f>
        <v>0</v>
      </c>
      <c r="AP1134" s="2127">
        <f>S1134-'Blocking-Step2'!S1134</f>
        <v>0</v>
      </c>
      <c r="AR1134" s="2127">
        <f>U1134-'Blocking-Step2'!U1134</f>
        <v>0</v>
      </c>
      <c r="AT1134" s="2127">
        <f>W1134-'Blocking-Step2'!W1134</f>
        <v>0</v>
      </c>
      <c r="AV1134" s="2128">
        <f>Y1134-'Blocking-Step2'!Y1134</f>
        <v>0</v>
      </c>
    </row>
    <row r="1135" spans="1:48" ht="16.5" hidden="1" thickTop="1">
      <c r="A1135" s="1116" t="s">
        <v>188</v>
      </c>
      <c r="C1135" s="1105">
        <v>1146195</v>
      </c>
      <c r="D1135" s="1105">
        <v>2804282.0769230761</v>
      </c>
      <c r="E1135" s="617"/>
      <c r="F1135" s="1143">
        <v>11.926600000000001</v>
      </c>
      <c r="G1135" s="1921" t="s">
        <v>495</v>
      </c>
      <c r="H1135" s="1146">
        <v>136702</v>
      </c>
      <c r="I1135" s="1146">
        <v>334456</v>
      </c>
      <c r="J1135" s="617"/>
      <c r="K1135" s="1143"/>
      <c r="L1135" s="1921"/>
      <c r="M1135" s="1143"/>
      <c r="N1135" s="1921"/>
      <c r="O1135" s="1143"/>
      <c r="P1135" s="1921"/>
      <c r="Q1135" s="1143"/>
      <c r="R1135" s="1921"/>
      <c r="S1135" s="1648"/>
      <c r="T1135" s="1648"/>
      <c r="U1135" s="1648"/>
      <c r="V1135" s="1648"/>
      <c r="W1135" s="1648"/>
      <c r="X1135" s="1648"/>
      <c r="Y1135" s="1146"/>
      <c r="Z1135" s="2114">
        <f>C1135-'Blocking-Step2'!C1135</f>
        <v>0</v>
      </c>
      <c r="AA1135" s="2114">
        <f>D1135-'Blocking-Step2'!D1135</f>
        <v>0</v>
      </c>
      <c r="AC1135" s="2114">
        <f>F1135-'Blocking-Step2'!F1135</f>
        <v>0</v>
      </c>
      <c r="AE1135" s="2114">
        <f>H1135-'Blocking-Step2'!H1135</f>
        <v>0</v>
      </c>
      <c r="AF1135" s="2114">
        <f>I1135-'Blocking-Step2'!I1135</f>
        <v>0</v>
      </c>
      <c r="AH1135" s="2136">
        <f>K1135-'Blocking-Step2'!K1135</f>
        <v>0</v>
      </c>
      <c r="AJ1135" s="2136">
        <f>M1135-'Blocking-Step2'!M1135</f>
        <v>0</v>
      </c>
      <c r="AL1135" s="2136">
        <f>O1135-'Blocking-Step2'!O1135</f>
        <v>0</v>
      </c>
      <c r="AN1135" s="2137">
        <f>Q1135-'Blocking-Step2'!Q1135</f>
        <v>0</v>
      </c>
      <c r="AP1135" s="2127">
        <f>S1135-'Blocking-Step2'!S1135</f>
        <v>0</v>
      </c>
      <c r="AR1135" s="2127">
        <f>U1135-'Blocking-Step2'!U1135</f>
        <v>0</v>
      </c>
      <c r="AT1135" s="2127">
        <f>W1135-'Blocking-Step2'!W1135</f>
        <v>0</v>
      </c>
      <c r="AV1135" s="2128">
        <f>Y1135-'Blocking-Step2'!Y1135</f>
        <v>0</v>
      </c>
    </row>
    <row r="1136" spans="1:48" ht="16.5" hidden="1" thickTop="1">
      <c r="A1136" s="1116" t="s">
        <v>189</v>
      </c>
      <c r="C1136" s="1105">
        <v>444113</v>
      </c>
      <c r="D1136" s="1105">
        <v>1086568</v>
      </c>
      <c r="E1136" s="617"/>
      <c r="F1136" s="1143">
        <v>3.5908000000000002</v>
      </c>
      <c r="G1136" s="1921" t="s">
        <v>495</v>
      </c>
      <c r="H1136" s="1146">
        <v>15947</v>
      </c>
      <c r="I1136" s="1146">
        <v>39016</v>
      </c>
      <c r="J1136" s="617"/>
      <c r="K1136" s="1143"/>
      <c r="L1136" s="1921"/>
      <c r="M1136" s="1143"/>
      <c r="N1136" s="1921"/>
      <c r="O1136" s="1143"/>
      <c r="P1136" s="1921"/>
      <c r="Q1136" s="1143"/>
      <c r="R1136" s="1921"/>
      <c r="S1136" s="1648"/>
      <c r="T1136" s="1648"/>
      <c r="U1136" s="1648"/>
      <c r="V1136" s="1648"/>
      <c r="W1136" s="1648"/>
      <c r="X1136" s="1648"/>
      <c r="Y1136" s="1146"/>
      <c r="Z1136" s="2114">
        <f>C1136-'Blocking-Step2'!C1136</f>
        <v>0</v>
      </c>
      <c r="AA1136" s="2114">
        <f>D1136-'Blocking-Step2'!D1136</f>
        <v>0</v>
      </c>
      <c r="AC1136" s="2114">
        <f>F1136-'Blocking-Step2'!F1136</f>
        <v>0</v>
      </c>
      <c r="AE1136" s="2114">
        <f>H1136-'Blocking-Step2'!H1136</f>
        <v>0</v>
      </c>
      <c r="AF1136" s="2114">
        <f>I1136-'Blocking-Step2'!I1136</f>
        <v>0</v>
      </c>
      <c r="AH1136" s="2136">
        <f>K1136-'Blocking-Step2'!K1136</f>
        <v>0</v>
      </c>
      <c r="AJ1136" s="2136">
        <f>M1136-'Blocking-Step2'!M1136</f>
        <v>0</v>
      </c>
      <c r="AL1136" s="2136">
        <f>O1136-'Blocking-Step2'!O1136</f>
        <v>0</v>
      </c>
      <c r="AN1136" s="2137">
        <f>Q1136-'Blocking-Step2'!Q1136</f>
        <v>0</v>
      </c>
      <c r="AP1136" s="2127">
        <f>S1136-'Blocking-Step2'!S1136</f>
        <v>0</v>
      </c>
      <c r="AR1136" s="2127">
        <f>U1136-'Blocking-Step2'!U1136</f>
        <v>0</v>
      </c>
      <c r="AT1136" s="2127">
        <f>W1136-'Blocking-Step2'!W1136</f>
        <v>0</v>
      </c>
      <c r="AV1136" s="2128">
        <f>Y1136-'Blocking-Step2'!Y1136</f>
        <v>0</v>
      </c>
    </row>
    <row r="1137" spans="1:48" ht="16.5" hidden="1" thickTop="1">
      <c r="A1137" s="1116" t="s">
        <v>163</v>
      </c>
      <c r="C1137" s="1105">
        <v>1791776</v>
      </c>
      <c r="D1137" s="1105">
        <v>4775325</v>
      </c>
      <c r="E1137" s="617"/>
      <c r="F1137" s="1143">
        <v>9.9693000000000005</v>
      </c>
      <c r="G1137" s="1921" t="s">
        <v>495</v>
      </c>
      <c r="H1137" s="1146">
        <v>178628</v>
      </c>
      <c r="I1137" s="1146">
        <v>476066</v>
      </c>
      <c r="J1137" s="617"/>
      <c r="K1137" s="1143"/>
      <c r="L1137" s="1921"/>
      <c r="M1137" s="1143"/>
      <c r="N1137" s="1921"/>
      <c r="O1137" s="1143"/>
      <c r="P1137" s="1921"/>
      <c r="Q1137" s="1143"/>
      <c r="R1137" s="1921"/>
      <c r="S1137" s="1648"/>
      <c r="T1137" s="1648"/>
      <c r="U1137" s="1648"/>
      <c r="V1137" s="1648"/>
      <c r="W1137" s="1648"/>
      <c r="X1137" s="1648"/>
      <c r="Y1137" s="1146"/>
      <c r="Z1137" s="2114">
        <f>C1137-'Blocking-Step2'!C1137</f>
        <v>0</v>
      </c>
      <c r="AA1137" s="2114">
        <f>D1137-'Blocking-Step2'!D1137</f>
        <v>0</v>
      </c>
      <c r="AC1137" s="2114">
        <f>F1137-'Blocking-Step2'!F1137</f>
        <v>0</v>
      </c>
      <c r="AE1137" s="2114">
        <f>H1137-'Blocking-Step2'!H1137</f>
        <v>0</v>
      </c>
      <c r="AF1137" s="2114">
        <f>I1137-'Blocking-Step2'!I1137</f>
        <v>0</v>
      </c>
      <c r="AH1137" s="2136">
        <f>K1137-'Blocking-Step2'!K1137</f>
        <v>0</v>
      </c>
      <c r="AJ1137" s="2136">
        <f>M1137-'Blocking-Step2'!M1137</f>
        <v>0</v>
      </c>
      <c r="AL1137" s="2136">
        <f>O1137-'Blocking-Step2'!O1137</f>
        <v>0</v>
      </c>
      <c r="AN1137" s="2137">
        <f>Q1137-'Blocking-Step2'!Q1137</f>
        <v>0</v>
      </c>
      <c r="AP1137" s="2127">
        <f>S1137-'Blocking-Step2'!S1137</f>
        <v>0</v>
      </c>
      <c r="AR1137" s="2127">
        <f>U1137-'Blocking-Step2'!U1137</f>
        <v>0</v>
      </c>
      <c r="AT1137" s="2127">
        <f>W1137-'Blocking-Step2'!W1137</f>
        <v>0</v>
      </c>
      <c r="AV1137" s="2128">
        <f>Y1137-'Blocking-Step2'!Y1137</f>
        <v>0</v>
      </c>
    </row>
    <row r="1138" spans="1:48" ht="16.5" hidden="1" thickTop="1">
      <c r="A1138" s="1116" t="s">
        <v>164</v>
      </c>
      <c r="C1138" s="1105">
        <v>663593</v>
      </c>
      <c r="D1138" s="1105">
        <v>1768565</v>
      </c>
      <c r="E1138" s="617"/>
      <c r="F1138" s="1143">
        <v>3.0059999999999998</v>
      </c>
      <c r="G1138" s="1921" t="s">
        <v>495</v>
      </c>
      <c r="H1138" s="1146">
        <v>19948</v>
      </c>
      <c r="I1138" s="1146">
        <v>53163</v>
      </c>
      <c r="J1138" s="617"/>
      <c r="K1138" s="1143"/>
      <c r="L1138" s="1921"/>
      <c r="M1138" s="1143"/>
      <c r="N1138" s="1921"/>
      <c r="O1138" s="1143"/>
      <c r="P1138" s="1921"/>
      <c r="Q1138" s="1143"/>
      <c r="R1138" s="1921"/>
      <c r="S1138" s="1648"/>
      <c r="T1138" s="1648"/>
      <c r="U1138" s="1648"/>
      <c r="V1138" s="1648"/>
      <c r="W1138" s="1648"/>
      <c r="X1138" s="1648"/>
      <c r="Y1138" s="1146"/>
      <c r="Z1138" s="2114">
        <f>C1138-'Blocking-Step2'!C1138</f>
        <v>0</v>
      </c>
      <c r="AA1138" s="2114">
        <f>D1138-'Blocking-Step2'!D1138</f>
        <v>0</v>
      </c>
      <c r="AC1138" s="2114">
        <f>F1138-'Blocking-Step2'!F1138</f>
        <v>0</v>
      </c>
      <c r="AE1138" s="2114">
        <f>H1138-'Blocking-Step2'!H1138</f>
        <v>0</v>
      </c>
      <c r="AF1138" s="2114">
        <f>I1138-'Blocking-Step2'!I1138</f>
        <v>0</v>
      </c>
      <c r="AH1138" s="2136">
        <f>K1138-'Blocking-Step2'!K1138</f>
        <v>0</v>
      </c>
      <c r="AJ1138" s="2136">
        <f>M1138-'Blocking-Step2'!M1138</f>
        <v>0</v>
      </c>
      <c r="AL1138" s="2136">
        <f>O1138-'Blocking-Step2'!O1138</f>
        <v>0</v>
      </c>
      <c r="AN1138" s="2137">
        <f>Q1138-'Blocking-Step2'!Q1138</f>
        <v>0</v>
      </c>
      <c r="AP1138" s="2127">
        <f>S1138-'Blocking-Step2'!S1138</f>
        <v>0</v>
      </c>
      <c r="AR1138" s="2127">
        <f>U1138-'Blocking-Step2'!U1138</f>
        <v>0</v>
      </c>
      <c r="AT1138" s="2127">
        <f>W1138-'Blocking-Step2'!W1138</f>
        <v>0</v>
      </c>
      <c r="AV1138" s="2128">
        <f>Y1138-'Blocking-Step2'!Y1138</f>
        <v>0</v>
      </c>
    </row>
    <row r="1139" spans="1:48" ht="16.5" hidden="1" thickTop="1">
      <c r="A1139" s="1116" t="s">
        <v>246</v>
      </c>
      <c r="C1139" s="1940">
        <v>-65582</v>
      </c>
      <c r="D1139" s="1940">
        <v>0</v>
      </c>
      <c r="H1139" s="1147">
        <v>-8507</v>
      </c>
      <c r="I1139" s="1147">
        <v>0</v>
      </c>
      <c r="Y1139" s="1147"/>
      <c r="Z1139" s="2114">
        <f>C1139-'Blocking-Step2'!C1139</f>
        <v>0</v>
      </c>
      <c r="AA1139" s="2114">
        <f>D1139-'Blocking-Step2'!D1139</f>
        <v>0</v>
      </c>
      <c r="AC1139" s="2114">
        <f>F1139-'Blocking-Step2'!F1139</f>
        <v>0</v>
      </c>
      <c r="AE1139" s="2114">
        <f>H1139-'Blocking-Step2'!H1139</f>
        <v>0</v>
      </c>
      <c r="AF1139" s="2114">
        <f>I1139-'Blocking-Step2'!I1139</f>
        <v>0</v>
      </c>
      <c r="AH1139" s="2136">
        <f>K1139-'Blocking-Step2'!K1139</f>
        <v>0</v>
      </c>
      <c r="AJ1139" s="2136">
        <f>M1139-'Blocking-Step2'!M1139</f>
        <v>0</v>
      </c>
      <c r="AL1139" s="2136">
        <f>O1139-'Blocking-Step2'!O1139</f>
        <v>0</v>
      </c>
      <c r="AN1139" s="2137">
        <f>Q1139-'Blocking-Step2'!Q1139</f>
        <v>0</v>
      </c>
      <c r="AP1139" s="2127">
        <f>S1139-'Blocking-Step2'!S1139</f>
        <v>0</v>
      </c>
      <c r="AR1139" s="2127">
        <f>U1139-'Blocking-Step2'!U1139</f>
        <v>0</v>
      </c>
      <c r="AT1139" s="2127">
        <f>W1139-'Blocking-Step2'!W1139</f>
        <v>0</v>
      </c>
      <c r="AV1139" s="2128">
        <f>Y1139-'Blocking-Step2'!Y1139</f>
        <v>0</v>
      </c>
    </row>
    <row r="1140" spans="1:48" ht="16.5" hidden="1" thickTop="1">
      <c r="A1140" s="1116" t="s">
        <v>1240</v>
      </c>
      <c r="C1140" s="1024"/>
      <c r="D1140" s="1024"/>
      <c r="F1140" s="2076">
        <v>-4.99E-2</v>
      </c>
      <c r="G1140" s="617"/>
      <c r="H1140" s="1146">
        <v>-17526.127499999999</v>
      </c>
      <c r="I1140" s="1146">
        <v>-45044.779900000001</v>
      </c>
      <c r="K1140" s="2076"/>
      <c r="L1140" s="617"/>
      <c r="M1140" s="2076"/>
      <c r="N1140" s="617"/>
      <c r="O1140" s="2077" t="s">
        <v>2323</v>
      </c>
      <c r="P1140" s="617"/>
      <c r="Q1140" s="2076">
        <v>-3.0599999999999999E-2</v>
      </c>
      <c r="R1140" s="617"/>
      <c r="S1140" s="1114"/>
      <c r="T1140" s="1114"/>
      <c r="U1140" s="1114"/>
      <c r="V1140" s="1114"/>
      <c r="W1140" s="1114"/>
      <c r="X1140" s="1114"/>
      <c r="Y1140" s="1146">
        <v>-32094.534599999999</v>
      </c>
      <c r="Z1140" s="2114">
        <f>C1140-'Blocking-Step2'!C1140</f>
        <v>0</v>
      </c>
      <c r="AA1140" s="2114">
        <f>D1140-'Blocking-Step2'!D1140</f>
        <v>0</v>
      </c>
      <c r="AC1140" s="2114">
        <f>F1140-'Blocking-Step2'!F1140</f>
        <v>0</v>
      </c>
      <c r="AE1140" s="2114">
        <f>H1140-'Blocking-Step2'!H1140</f>
        <v>0</v>
      </c>
      <c r="AF1140" s="2114">
        <f>I1140-'Blocking-Step2'!I1140</f>
        <v>0</v>
      </c>
      <c r="AH1140" s="2136">
        <f>K1140-'Blocking-Step2'!K1140</f>
        <v>0</v>
      </c>
      <c r="AJ1140" s="2136">
        <f>M1140-'Blocking-Step2'!M1140</f>
        <v>0</v>
      </c>
      <c r="AL1140" s="2136" t="e">
        <f>O1140-'Blocking-Step2'!O1140</f>
        <v>#VALUE!</v>
      </c>
      <c r="AN1140" s="2137">
        <f>Q1140-'Blocking-Step2'!Q1140</f>
        <v>0</v>
      </c>
      <c r="AP1140" s="2127">
        <f>S1140-'Blocking-Step2'!S1140</f>
        <v>0</v>
      </c>
      <c r="AR1140" s="2127">
        <f>U1140-'Blocking-Step2'!U1140</f>
        <v>0</v>
      </c>
      <c r="AT1140" s="2127">
        <f>W1140-'Blocking-Step2'!W1140</f>
        <v>0</v>
      </c>
      <c r="AV1140" s="2128">
        <f>Y1140-'Blocking-Step2'!Y1140</f>
        <v>0</v>
      </c>
    </row>
    <row r="1141" spans="1:48" ht="16.5" hidden="1" thickTop="1">
      <c r="A1141" s="1116"/>
      <c r="C1141" s="1024"/>
      <c r="D1141" s="1024"/>
      <c r="F1141" s="2076"/>
      <c r="G1141" s="617"/>
      <c r="H1141" s="1146"/>
      <c r="I1141" s="1146"/>
      <c r="K1141" s="2076"/>
      <c r="L1141" s="617"/>
      <c r="M1141" s="2076"/>
      <c r="N1141" s="617"/>
      <c r="O1141" s="2077" t="s">
        <v>2324</v>
      </c>
      <c r="P1141" s="617"/>
      <c r="Q1141" s="2076">
        <v>-1.66E-2</v>
      </c>
      <c r="R1141" s="617"/>
      <c r="S1141" s="1114"/>
      <c r="T1141" s="1114"/>
      <c r="U1141" s="1114"/>
      <c r="V1141" s="1114"/>
      <c r="W1141" s="1114"/>
      <c r="X1141" s="1114"/>
      <c r="Y1141" s="1146">
        <v>-17410.760600000001</v>
      </c>
      <c r="Z1141" s="2114">
        <f>C1141-'Blocking-Step2'!C1141</f>
        <v>0</v>
      </c>
      <c r="AA1141" s="2114">
        <f>D1141-'Blocking-Step2'!D1141</f>
        <v>0</v>
      </c>
      <c r="AC1141" s="2114">
        <f>F1141-'Blocking-Step2'!F1141</f>
        <v>0</v>
      </c>
      <c r="AE1141" s="2114">
        <f>H1141-'Blocking-Step2'!H1141</f>
        <v>0</v>
      </c>
      <c r="AF1141" s="2114">
        <f>I1141-'Blocking-Step2'!I1141</f>
        <v>0</v>
      </c>
      <c r="AH1141" s="2136">
        <f>K1141-'Blocking-Step2'!K1141</f>
        <v>0</v>
      </c>
      <c r="AJ1141" s="2136">
        <f>M1141-'Blocking-Step2'!M1141</f>
        <v>0</v>
      </c>
      <c r="AL1141" s="2136" t="e">
        <f>O1141-'Blocking-Step2'!O1141</f>
        <v>#VALUE!</v>
      </c>
      <c r="AN1141" s="2137">
        <f>Q1141-'Blocking-Step2'!Q1141</f>
        <v>0</v>
      </c>
      <c r="AP1141" s="2127">
        <f>S1141-'Blocking-Step2'!S1141</f>
        <v>0</v>
      </c>
      <c r="AR1141" s="2127">
        <f>U1141-'Blocking-Step2'!U1141</f>
        <v>0</v>
      </c>
      <c r="AT1141" s="2127">
        <f>W1141-'Blocking-Step2'!W1141</f>
        <v>0</v>
      </c>
      <c r="AV1141" s="2128">
        <f>Y1141-'Blocking-Step2'!Y1141</f>
        <v>0</v>
      </c>
    </row>
    <row r="1142" spans="1:48" ht="17.25" hidden="1" thickTop="1" thickBot="1">
      <c r="A1142" s="1116" t="s">
        <v>247</v>
      </c>
      <c r="C1142" s="1138">
        <v>3980095</v>
      </c>
      <c r="D1142" s="1138">
        <v>10434740.076923076</v>
      </c>
      <c r="E1142" s="617"/>
      <c r="F1142" s="1145"/>
      <c r="H1142" s="1149">
        <v>551565.87250000006</v>
      </c>
      <c r="I1142" s="1149">
        <v>1452228.2201</v>
      </c>
      <c r="J1142" s="617"/>
      <c r="K1142" s="1145"/>
      <c r="M1142" s="1145"/>
      <c r="O1142" s="1145"/>
      <c r="Q1142" s="1145"/>
      <c r="S1142" s="1149">
        <v>186546</v>
      </c>
      <c r="U1142" s="1149">
        <v>746413</v>
      </c>
      <c r="W1142" s="1149">
        <v>486235</v>
      </c>
      <c r="Y1142" s="1149">
        <v>1419195</v>
      </c>
      <c r="Z1142" s="2114">
        <f>C1142-'Blocking-Step2'!C1142</f>
        <v>0</v>
      </c>
      <c r="AA1142" s="2114">
        <f>D1142-'Blocking-Step2'!D1142</f>
        <v>0</v>
      </c>
      <c r="AC1142" s="2114">
        <f>F1142-'Blocking-Step2'!F1142</f>
        <v>0</v>
      </c>
      <c r="AE1142" s="2114">
        <f>H1142-'Blocking-Step2'!H1142</f>
        <v>0</v>
      </c>
      <c r="AF1142" s="2114">
        <f>I1142-'Blocking-Step2'!I1142</f>
        <v>0</v>
      </c>
      <c r="AH1142" s="2136">
        <f>K1142-'Blocking-Step2'!K1142</f>
        <v>0</v>
      </c>
      <c r="AJ1142" s="2136">
        <f>M1142-'Blocking-Step2'!M1142</f>
        <v>0</v>
      </c>
      <c r="AL1142" s="2136">
        <f>O1142-'Blocking-Step2'!O1142</f>
        <v>0</v>
      </c>
      <c r="AN1142" s="2137">
        <f>Q1142-'Blocking-Step2'!Q1142</f>
        <v>0</v>
      </c>
      <c r="AP1142" s="2127">
        <f>S1142-'Blocking-Step2'!S1142</f>
        <v>-239530</v>
      </c>
      <c r="AR1142" s="2127">
        <f>U1142-'Blocking-Step2'!U1142</f>
        <v>239530</v>
      </c>
      <c r="AT1142" s="2127">
        <f>W1142-'Blocking-Step2'!W1142</f>
        <v>0</v>
      </c>
      <c r="AV1142" s="2128">
        <f>Y1142-'Blocking-Step2'!Y1142</f>
        <v>0</v>
      </c>
    </row>
    <row r="1143" spans="1:48" ht="16.5" thickTop="1">
      <c r="E1143" s="617"/>
      <c r="J1143" s="617"/>
      <c r="Z1143" s="2114">
        <f>C1143-'Blocking-Step2'!C1143</f>
        <v>0</v>
      </c>
      <c r="AA1143" s="2114">
        <f>D1143-'Blocking-Step2'!D1143</f>
        <v>0</v>
      </c>
      <c r="AC1143" s="2114">
        <f>F1143-'Blocking-Step2'!F1143</f>
        <v>0</v>
      </c>
      <c r="AE1143" s="2114">
        <f>H1143-'Blocking-Step2'!H1143</f>
        <v>0</v>
      </c>
      <c r="AF1143" s="2114">
        <f>I1143-'Blocking-Step2'!I1143</f>
        <v>0</v>
      </c>
      <c r="AH1143" s="2136">
        <f>K1143-'Blocking-Step2'!K1143</f>
        <v>0</v>
      </c>
      <c r="AJ1143" s="2136">
        <f>M1143-'Blocking-Step2'!M1143</f>
        <v>0</v>
      </c>
      <c r="AL1143" s="2136">
        <f>O1143-'Blocking-Step2'!O1143</f>
        <v>0</v>
      </c>
      <c r="AN1143" s="2137">
        <f>Q1143-'Blocking-Step2'!Q1143</f>
        <v>0</v>
      </c>
      <c r="AP1143" s="2127">
        <f>S1143-'Blocking-Step2'!S1143</f>
        <v>0</v>
      </c>
      <c r="AR1143" s="2127">
        <f>U1143-'Blocking-Step2'!U1143</f>
        <v>0</v>
      </c>
      <c r="AT1143" s="2127">
        <f>W1143-'Blocking-Step2'!W1143</f>
        <v>0</v>
      </c>
      <c r="AV1143" s="2128">
        <f>Y1143-'Blocking-Step2'!Y1143</f>
        <v>0</v>
      </c>
    </row>
    <row r="1144" spans="1:48">
      <c r="A1144" s="1115" t="s">
        <v>1555</v>
      </c>
      <c r="C1144" s="1105"/>
      <c r="D1144" s="1105"/>
      <c r="F1144" s="1106"/>
      <c r="G1144" s="1107"/>
      <c r="K1144" s="1106"/>
      <c r="L1144" s="1107"/>
      <c r="M1144" s="1106"/>
      <c r="N1144" s="1107"/>
      <c r="O1144" s="1106"/>
      <c r="P1144" s="1107"/>
      <c r="Q1144" s="1106"/>
      <c r="R1144" s="1107"/>
      <c r="S1144" s="1114"/>
      <c r="T1144" s="1114"/>
      <c r="U1144" s="1114"/>
      <c r="V1144" s="1114"/>
      <c r="W1144" s="1114"/>
      <c r="X1144" s="1114"/>
      <c r="Z1144" s="2114">
        <f>C1144-'Blocking-Step2'!C1144</f>
        <v>0</v>
      </c>
      <c r="AA1144" s="2114">
        <f>D1144-'Blocking-Step2'!D1144</f>
        <v>0</v>
      </c>
      <c r="AC1144" s="2114">
        <f>F1144-'Blocking-Step2'!F1144</f>
        <v>0</v>
      </c>
      <c r="AE1144" s="2114">
        <f>H1144-'Blocking-Step2'!H1144</f>
        <v>0</v>
      </c>
      <c r="AF1144" s="2114">
        <f>I1144-'Blocking-Step2'!I1144</f>
        <v>0</v>
      </c>
      <c r="AH1144" s="2136">
        <f>K1144-'Blocking-Step2'!K1144</f>
        <v>0</v>
      </c>
      <c r="AJ1144" s="2136">
        <f>M1144-'Blocking-Step2'!M1144</f>
        <v>0</v>
      </c>
      <c r="AL1144" s="2136">
        <f>O1144-'Blocking-Step2'!O1144</f>
        <v>0</v>
      </c>
      <c r="AN1144" s="2137">
        <f>Q1144-'Blocking-Step2'!Q1144</f>
        <v>0</v>
      </c>
      <c r="AP1144" s="2127">
        <f>S1144-'Blocking-Step2'!S1144</f>
        <v>0</v>
      </c>
      <c r="AR1144" s="2127">
        <f>U1144-'Blocking-Step2'!U1144</f>
        <v>0</v>
      </c>
      <c r="AT1144" s="2127">
        <f>W1144-'Blocking-Step2'!W1144</f>
        <v>0</v>
      </c>
      <c r="AV1144" s="2128">
        <f>Y1144-'Blocking-Step2'!Y1144</f>
        <v>0</v>
      </c>
    </row>
    <row r="1145" spans="1:48">
      <c r="A1145" s="1116" t="s">
        <v>1910</v>
      </c>
      <c r="C1145" s="1105">
        <v>13322.339107795206</v>
      </c>
      <c r="D1145" s="1105">
        <v>0</v>
      </c>
      <c r="E1145" s="617"/>
      <c r="F1145" s="1143"/>
      <c r="G1145" s="1921"/>
      <c r="H1145" s="1146"/>
      <c r="I1145" s="1146"/>
      <c r="J1145" s="617"/>
      <c r="K1145" s="1143">
        <v>1.657</v>
      </c>
      <c r="L1145" s="1921" t="s">
        <v>495</v>
      </c>
      <c r="M1145" s="1143">
        <v>19.370528114911814</v>
      </c>
      <c r="N1145" s="1921" t="s">
        <v>495</v>
      </c>
      <c r="O1145" s="1143">
        <v>1.3496999999999999</v>
      </c>
      <c r="P1145" s="1921" t="s">
        <v>495</v>
      </c>
      <c r="Q1145" s="1143">
        <v>22.377228114911812</v>
      </c>
      <c r="R1145" s="1921" t="s">
        <v>495</v>
      </c>
      <c r="S1145" s="1146">
        <v>0</v>
      </c>
      <c r="T1145" s="1648"/>
      <c r="U1145" s="1146">
        <v>0</v>
      </c>
      <c r="V1145" s="1648"/>
      <c r="W1145" s="1146">
        <v>0</v>
      </c>
      <c r="X1145" s="1648"/>
      <c r="Y1145" s="1146">
        <v>0</v>
      </c>
      <c r="Z1145" s="2114">
        <f>C1145-'Blocking-Step2'!C1145</f>
        <v>0</v>
      </c>
      <c r="AA1145" s="2114">
        <f>D1145-'Blocking-Step2'!D1145</f>
        <v>0</v>
      </c>
      <c r="AC1145" s="2114">
        <f>F1145-'Blocking-Step2'!F1145</f>
        <v>0</v>
      </c>
      <c r="AE1145" s="2114">
        <f>H1145-'Blocking-Step2'!H1145</f>
        <v>0</v>
      </c>
      <c r="AF1145" s="2114">
        <f>I1145-'Blocking-Step2'!I1145</f>
        <v>0</v>
      </c>
      <c r="AH1145" s="2136">
        <f>K1145-'Blocking-Step2'!K1145</f>
        <v>-2.2955000000000001</v>
      </c>
      <c r="AJ1145" s="2136">
        <f>M1145-'Blocking-Step2'!M1145</f>
        <v>2.2955000000000005</v>
      </c>
      <c r="AL1145" s="2136">
        <f>O1145-'Blocking-Step2'!O1145</f>
        <v>0</v>
      </c>
      <c r="AN1145" s="2137">
        <f>Q1145-'Blocking-Step2'!Q1145</f>
        <v>0</v>
      </c>
      <c r="AP1145" s="2127">
        <f>S1145-'Blocking-Step2'!S1145</f>
        <v>0</v>
      </c>
      <c r="AR1145" s="2127">
        <f>U1145-'Blocking-Step2'!U1145</f>
        <v>0</v>
      </c>
      <c r="AT1145" s="2127">
        <f>W1145-'Blocking-Step2'!W1145</f>
        <v>0</v>
      </c>
      <c r="AV1145" s="2128">
        <f>Y1145-'Blocking-Step2'!Y1145</f>
        <v>0</v>
      </c>
    </row>
    <row r="1146" spans="1:48">
      <c r="A1146" s="1116" t="s">
        <v>1911</v>
      </c>
      <c r="C1146" s="1105">
        <v>53605.44143337437</v>
      </c>
      <c r="D1146" s="1105">
        <v>0</v>
      </c>
      <c r="E1146" s="617"/>
      <c r="F1146" s="1143"/>
      <c r="G1146" s="1921"/>
      <c r="H1146" s="1146"/>
      <c r="I1146" s="1146"/>
      <c r="J1146" s="617"/>
      <c r="K1146" s="1143">
        <v>1.657</v>
      </c>
      <c r="L1146" s="1921" t="s">
        <v>495</v>
      </c>
      <c r="M1146" s="1143">
        <v>1.3803172825590004</v>
      </c>
      <c r="N1146" s="1921" t="s">
        <v>495</v>
      </c>
      <c r="O1146" s="1143">
        <v>1.3496999999999999</v>
      </c>
      <c r="P1146" s="1921" t="s">
        <v>495</v>
      </c>
      <c r="Q1146" s="1143">
        <v>4.3870172825590004</v>
      </c>
      <c r="R1146" s="1921" t="s">
        <v>495</v>
      </c>
      <c r="S1146" s="1146">
        <v>0</v>
      </c>
      <c r="T1146" s="1648"/>
      <c r="U1146" s="1146">
        <v>0</v>
      </c>
      <c r="V1146" s="1648"/>
      <c r="W1146" s="1146">
        <v>0</v>
      </c>
      <c r="X1146" s="1648"/>
      <c r="Y1146" s="1146">
        <v>0</v>
      </c>
      <c r="Z1146" s="2114">
        <f>C1146-'Blocking-Step2'!C1146</f>
        <v>0</v>
      </c>
      <c r="AA1146" s="2114">
        <f>D1146-'Blocking-Step2'!D1146</f>
        <v>0</v>
      </c>
      <c r="AC1146" s="2114">
        <f>F1146-'Blocking-Step2'!F1146</f>
        <v>0</v>
      </c>
      <c r="AE1146" s="2114">
        <f>H1146-'Blocking-Step2'!H1146</f>
        <v>0</v>
      </c>
      <c r="AF1146" s="2114">
        <f>I1146-'Blocking-Step2'!I1146</f>
        <v>0</v>
      </c>
      <c r="AH1146" s="2136">
        <f>K1146-'Blocking-Step2'!K1146</f>
        <v>-2.2955000000000001</v>
      </c>
      <c r="AJ1146" s="2136">
        <f>M1146-'Blocking-Step2'!M1146</f>
        <v>2.2955000000000001</v>
      </c>
      <c r="AL1146" s="2136">
        <f>O1146-'Blocking-Step2'!O1146</f>
        <v>0</v>
      </c>
      <c r="AN1146" s="2137">
        <f>Q1146-'Blocking-Step2'!Q1146</f>
        <v>0</v>
      </c>
      <c r="AP1146" s="2127">
        <f>S1146-'Blocking-Step2'!S1146</f>
        <v>0</v>
      </c>
      <c r="AR1146" s="2127">
        <f>U1146-'Blocking-Step2'!U1146</f>
        <v>0</v>
      </c>
      <c r="AT1146" s="2127">
        <f>W1146-'Blocking-Step2'!W1146</f>
        <v>0</v>
      </c>
      <c r="AV1146" s="2128">
        <f>Y1146-'Blocking-Step2'!Y1146</f>
        <v>0</v>
      </c>
    </row>
    <row r="1147" spans="1:48">
      <c r="A1147" s="1116" t="s">
        <v>1912</v>
      </c>
      <c r="C1147" s="1105">
        <v>13895.672297448593</v>
      </c>
      <c r="D1147" s="1105">
        <v>0</v>
      </c>
      <c r="E1147" s="617"/>
      <c r="F1147" s="1143"/>
      <c r="G1147" s="1921"/>
      <c r="H1147" s="1146"/>
      <c r="I1147" s="1146"/>
      <c r="J1147" s="617"/>
      <c r="K1147" s="1143">
        <v>1.657</v>
      </c>
      <c r="L1147" s="1921" t="s">
        <v>495</v>
      </c>
      <c r="M1147" s="1143">
        <v>16.951500000000003</v>
      </c>
      <c r="N1147" s="1921" t="s">
        <v>495</v>
      </c>
      <c r="O1147" s="1143">
        <v>1.1943999999999999</v>
      </c>
      <c r="P1147" s="1921" t="s">
        <v>495</v>
      </c>
      <c r="Q1147" s="1143">
        <v>19.802900000000001</v>
      </c>
      <c r="R1147" s="1921" t="s">
        <v>495</v>
      </c>
      <c r="S1147" s="1146">
        <v>0</v>
      </c>
      <c r="T1147" s="1648"/>
      <c r="U1147" s="1146">
        <v>0</v>
      </c>
      <c r="V1147" s="1648"/>
      <c r="W1147" s="1146">
        <v>0</v>
      </c>
      <c r="X1147" s="1648"/>
      <c r="Y1147" s="1146">
        <v>0</v>
      </c>
      <c r="Z1147" s="2114">
        <f>C1147-'Blocking-Step2'!C1147</f>
        <v>0</v>
      </c>
      <c r="AA1147" s="2114">
        <f>D1147-'Blocking-Step2'!D1147</f>
        <v>0</v>
      </c>
      <c r="AC1147" s="2114">
        <f>F1147-'Blocking-Step2'!F1147</f>
        <v>0</v>
      </c>
      <c r="AE1147" s="2114">
        <f>H1147-'Blocking-Step2'!H1147</f>
        <v>0</v>
      </c>
      <c r="AF1147" s="2114">
        <f>I1147-'Blocking-Step2'!I1147</f>
        <v>0</v>
      </c>
      <c r="AH1147" s="2136">
        <f>K1147-'Blocking-Step2'!K1147</f>
        <v>-2.2955000000000001</v>
      </c>
      <c r="AJ1147" s="2136">
        <f>M1147-'Blocking-Step2'!M1147</f>
        <v>2.2955000000000023</v>
      </c>
      <c r="AL1147" s="2136">
        <f>O1147-'Blocking-Step2'!O1147</f>
        <v>0</v>
      </c>
      <c r="AN1147" s="2137">
        <f>Q1147-'Blocking-Step2'!Q1147</f>
        <v>0</v>
      </c>
      <c r="AP1147" s="2127">
        <f>S1147-'Blocking-Step2'!S1147</f>
        <v>0</v>
      </c>
      <c r="AR1147" s="2127">
        <f>U1147-'Blocking-Step2'!U1147</f>
        <v>0</v>
      </c>
      <c r="AT1147" s="2127">
        <f>W1147-'Blocking-Step2'!W1147</f>
        <v>0</v>
      </c>
      <c r="AV1147" s="2128">
        <f>Y1147-'Blocking-Step2'!Y1147</f>
        <v>0</v>
      </c>
    </row>
    <row r="1148" spans="1:48">
      <c r="A1148" s="1116" t="s">
        <v>1913</v>
      </c>
      <c r="C1148" s="1105">
        <v>68636.435521739491</v>
      </c>
      <c r="D1148" s="1105">
        <v>0</v>
      </c>
      <c r="E1148" s="617"/>
      <c r="F1148" s="1143"/>
      <c r="G1148" s="1921"/>
      <c r="H1148" s="1146"/>
      <c r="I1148" s="1146"/>
      <c r="J1148" s="617"/>
      <c r="K1148" s="1143">
        <v>1.657</v>
      </c>
      <c r="L1148" s="1921" t="s">
        <v>495</v>
      </c>
      <c r="M1148" s="1143">
        <v>1.0308999999999999</v>
      </c>
      <c r="N1148" s="1921" t="s">
        <v>495</v>
      </c>
      <c r="O1148" s="1143">
        <v>1.1943999999999999</v>
      </c>
      <c r="P1148" s="1921" t="s">
        <v>495</v>
      </c>
      <c r="Q1148" s="1143">
        <v>3.8822999999999999</v>
      </c>
      <c r="R1148" s="1921" t="s">
        <v>495</v>
      </c>
      <c r="S1148" s="1146">
        <v>0</v>
      </c>
      <c r="T1148" s="1648"/>
      <c r="U1148" s="1146">
        <v>0</v>
      </c>
      <c r="V1148" s="1648"/>
      <c r="W1148" s="1146">
        <v>0</v>
      </c>
      <c r="X1148" s="1648"/>
      <c r="Y1148" s="1146">
        <v>0</v>
      </c>
      <c r="Z1148" s="2114">
        <f>C1148-'Blocking-Step2'!C1148</f>
        <v>0</v>
      </c>
      <c r="AA1148" s="2114">
        <f>D1148-'Blocking-Step2'!D1148</f>
        <v>0</v>
      </c>
      <c r="AC1148" s="2114">
        <f>F1148-'Blocking-Step2'!F1148</f>
        <v>0</v>
      </c>
      <c r="AE1148" s="2114">
        <f>H1148-'Blocking-Step2'!H1148</f>
        <v>0</v>
      </c>
      <c r="AF1148" s="2114">
        <f>I1148-'Blocking-Step2'!I1148</f>
        <v>0</v>
      </c>
      <c r="AH1148" s="2136">
        <f>K1148-'Blocking-Step2'!K1148</f>
        <v>-2.2955000000000001</v>
      </c>
      <c r="AJ1148" s="2136">
        <f>M1148-'Blocking-Step2'!M1148</f>
        <v>2.2955000000000001</v>
      </c>
      <c r="AL1148" s="2136">
        <f>O1148-'Blocking-Step2'!O1148</f>
        <v>0</v>
      </c>
      <c r="AN1148" s="2137">
        <f>Q1148-'Blocking-Step2'!Q1148</f>
        <v>0</v>
      </c>
      <c r="AP1148" s="2127">
        <f>S1148-'Blocking-Step2'!S1148</f>
        <v>0</v>
      </c>
      <c r="AR1148" s="2127">
        <f>U1148-'Blocking-Step2'!U1148</f>
        <v>0</v>
      </c>
      <c r="AT1148" s="2127">
        <f>W1148-'Blocking-Step2'!W1148</f>
        <v>0</v>
      </c>
      <c r="AV1148" s="2128">
        <f>Y1148-'Blocking-Step2'!Y1148</f>
        <v>0</v>
      </c>
    </row>
    <row r="1149" spans="1:48">
      <c r="A1149" s="1116" t="s">
        <v>1906</v>
      </c>
      <c r="C1149" s="1105">
        <v>34787.289603337464</v>
      </c>
      <c r="D1149" s="1105">
        <v>0</v>
      </c>
      <c r="E1149" s="617"/>
      <c r="F1149" s="1143"/>
      <c r="G1149" s="1921"/>
      <c r="H1149" s="1146"/>
      <c r="I1149" s="1146"/>
      <c r="J1149" s="617"/>
      <c r="K1149" s="1143">
        <v>0</v>
      </c>
      <c r="L1149" s="1921" t="s">
        <v>495</v>
      </c>
      <c r="M1149" s="1143">
        <v>0</v>
      </c>
      <c r="N1149" s="1921" t="s">
        <v>495</v>
      </c>
      <c r="O1149" s="1143">
        <v>6</v>
      </c>
      <c r="P1149" s="1921" t="s">
        <v>495</v>
      </c>
      <c r="Q1149" s="1143">
        <v>6</v>
      </c>
      <c r="R1149" s="1921" t="s">
        <v>495</v>
      </c>
      <c r="S1149" s="1146">
        <v>0</v>
      </c>
      <c r="T1149" s="1648"/>
      <c r="U1149" s="1146">
        <v>0</v>
      </c>
      <c r="V1149" s="1648"/>
      <c r="W1149" s="1146">
        <v>0</v>
      </c>
      <c r="X1149" s="1648"/>
      <c r="Y1149" s="1146">
        <v>0</v>
      </c>
      <c r="Z1149" s="2114">
        <f>C1149-'Blocking-Step2'!C1149</f>
        <v>0</v>
      </c>
      <c r="AA1149" s="2114">
        <f>D1149-'Blocking-Step2'!D1149</f>
        <v>0</v>
      </c>
      <c r="AC1149" s="2114">
        <f>F1149-'Blocking-Step2'!F1149</f>
        <v>0</v>
      </c>
      <c r="AE1149" s="2114">
        <f>H1149-'Blocking-Step2'!H1149</f>
        <v>0</v>
      </c>
      <c r="AF1149" s="2114">
        <f>I1149-'Blocking-Step2'!I1149</f>
        <v>0</v>
      </c>
      <c r="AH1149" s="2136">
        <f>K1149-'Blocking-Step2'!K1149</f>
        <v>0</v>
      </c>
      <c r="AJ1149" s="2136">
        <f>M1149-'Blocking-Step2'!M1149</f>
        <v>0</v>
      </c>
      <c r="AL1149" s="2136">
        <f>O1149-'Blocking-Step2'!O1149</f>
        <v>0</v>
      </c>
      <c r="AN1149" s="2137">
        <f>Q1149-'Blocking-Step2'!Q1149</f>
        <v>0</v>
      </c>
      <c r="AP1149" s="2127">
        <f>S1149-'Blocking-Step2'!S1149</f>
        <v>0</v>
      </c>
      <c r="AR1149" s="2127">
        <f>U1149-'Blocking-Step2'!U1149</f>
        <v>0</v>
      </c>
      <c r="AT1149" s="2127">
        <f>W1149-'Blocking-Step2'!W1149</f>
        <v>0</v>
      </c>
      <c r="AV1149" s="2128">
        <f>Y1149-'Blocking-Step2'!Y1149</f>
        <v>0</v>
      </c>
    </row>
    <row r="1150" spans="1:48">
      <c r="A1150" s="1116" t="s">
        <v>1907</v>
      </c>
      <c r="C1150" s="1105">
        <v>32140.490937832117</v>
      </c>
      <c r="D1150" s="1105">
        <v>0</v>
      </c>
      <c r="E1150" s="617"/>
      <c r="F1150" s="1143"/>
      <c r="G1150" s="1921"/>
      <c r="H1150" s="1146"/>
      <c r="I1150" s="1146"/>
      <c r="J1150" s="617"/>
      <c r="K1150" s="1143">
        <v>0</v>
      </c>
      <c r="L1150" s="1921" t="s">
        <v>495</v>
      </c>
      <c r="M1150" s="1143">
        <v>0</v>
      </c>
      <c r="N1150" s="1921" t="s">
        <v>495</v>
      </c>
      <c r="O1150" s="1143">
        <v>-2.3358000000000008</v>
      </c>
      <c r="P1150" s="1921" t="s">
        <v>495</v>
      </c>
      <c r="Q1150" s="1143">
        <v>-2.3358000000000008</v>
      </c>
      <c r="R1150" s="1921" t="s">
        <v>495</v>
      </c>
      <c r="S1150" s="1146">
        <v>0</v>
      </c>
      <c r="T1150" s="1648"/>
      <c r="U1150" s="1146">
        <v>0</v>
      </c>
      <c r="V1150" s="1648"/>
      <c r="W1150" s="1146">
        <v>0</v>
      </c>
      <c r="X1150" s="1648"/>
      <c r="Y1150" s="1146">
        <v>0</v>
      </c>
      <c r="Z1150" s="2114">
        <f>C1150-'Blocking-Step2'!C1150</f>
        <v>0</v>
      </c>
      <c r="AA1150" s="2114">
        <f>D1150-'Blocking-Step2'!D1150</f>
        <v>0</v>
      </c>
      <c r="AC1150" s="2114">
        <f>F1150-'Blocking-Step2'!F1150</f>
        <v>0</v>
      </c>
      <c r="AE1150" s="2114">
        <f>H1150-'Blocking-Step2'!H1150</f>
        <v>0</v>
      </c>
      <c r="AF1150" s="2114">
        <f>I1150-'Blocking-Step2'!I1150</f>
        <v>0</v>
      </c>
      <c r="AH1150" s="2136">
        <f>K1150-'Blocking-Step2'!K1150</f>
        <v>0</v>
      </c>
      <c r="AJ1150" s="2136">
        <f>M1150-'Blocking-Step2'!M1150</f>
        <v>0</v>
      </c>
      <c r="AL1150" s="2136">
        <f>O1150-'Blocking-Step2'!O1150</f>
        <v>0</v>
      </c>
      <c r="AN1150" s="2137">
        <f>Q1150-'Blocking-Step2'!Q1150</f>
        <v>0</v>
      </c>
      <c r="AP1150" s="2127">
        <f>S1150-'Blocking-Step2'!S1150</f>
        <v>0</v>
      </c>
      <c r="AR1150" s="2127">
        <f>U1150-'Blocking-Step2'!U1150</f>
        <v>0</v>
      </c>
      <c r="AT1150" s="2127">
        <f>W1150-'Blocking-Step2'!W1150</f>
        <v>0</v>
      </c>
      <c r="AV1150" s="2128">
        <f>Y1150-'Blocking-Step2'!Y1150</f>
        <v>0</v>
      </c>
    </row>
    <row r="1151" spans="1:48">
      <c r="A1151" s="1116" t="s">
        <v>1908</v>
      </c>
      <c r="C1151" s="1105">
        <v>40510.527629505144</v>
      </c>
      <c r="D1151" s="1105">
        <v>0</v>
      </c>
      <c r="E1151" s="617"/>
      <c r="F1151" s="1143"/>
      <c r="G1151" s="1921"/>
      <c r="H1151" s="1146"/>
      <c r="I1151" s="1146"/>
      <c r="J1151" s="617"/>
      <c r="K1151" s="1143">
        <v>0</v>
      </c>
      <c r="L1151" s="1921" t="s">
        <v>495</v>
      </c>
      <c r="M1151" s="1143">
        <v>0</v>
      </c>
      <c r="N1151" s="1921" t="s">
        <v>495</v>
      </c>
      <c r="O1151" s="1143">
        <v>5.3097000000000003</v>
      </c>
      <c r="P1151" s="1921" t="s">
        <v>495</v>
      </c>
      <c r="Q1151" s="1143">
        <v>5.3097000000000003</v>
      </c>
      <c r="R1151" s="1921" t="s">
        <v>495</v>
      </c>
      <c r="S1151" s="1146">
        <v>0</v>
      </c>
      <c r="T1151" s="1648"/>
      <c r="U1151" s="1146">
        <v>0</v>
      </c>
      <c r="V1151" s="1648"/>
      <c r="W1151" s="1146">
        <v>0</v>
      </c>
      <c r="X1151" s="1648"/>
      <c r="Y1151" s="1146">
        <v>0</v>
      </c>
      <c r="Z1151" s="2114">
        <f>C1151-'Blocking-Step2'!C1151</f>
        <v>0</v>
      </c>
      <c r="AA1151" s="2114">
        <f>D1151-'Blocking-Step2'!D1151</f>
        <v>0</v>
      </c>
      <c r="AC1151" s="2114">
        <f>F1151-'Blocking-Step2'!F1151</f>
        <v>0</v>
      </c>
      <c r="AE1151" s="2114">
        <f>H1151-'Blocking-Step2'!H1151</f>
        <v>0</v>
      </c>
      <c r="AF1151" s="2114">
        <f>I1151-'Blocking-Step2'!I1151</f>
        <v>0</v>
      </c>
      <c r="AH1151" s="2136">
        <f>K1151-'Blocking-Step2'!K1151</f>
        <v>0</v>
      </c>
      <c r="AJ1151" s="2136">
        <f>M1151-'Blocking-Step2'!M1151</f>
        <v>0</v>
      </c>
      <c r="AL1151" s="2136">
        <f>O1151-'Blocking-Step2'!O1151</f>
        <v>0</v>
      </c>
      <c r="AN1151" s="2137">
        <f>Q1151-'Blocking-Step2'!Q1151</f>
        <v>0</v>
      </c>
      <c r="AP1151" s="2127">
        <f>S1151-'Blocking-Step2'!S1151</f>
        <v>0</v>
      </c>
      <c r="AR1151" s="2127">
        <f>U1151-'Blocking-Step2'!U1151</f>
        <v>0</v>
      </c>
      <c r="AT1151" s="2127">
        <f>W1151-'Blocking-Step2'!W1151</f>
        <v>0</v>
      </c>
      <c r="AV1151" s="2128">
        <f>Y1151-'Blocking-Step2'!Y1151</f>
        <v>0</v>
      </c>
    </row>
    <row r="1152" spans="1:48">
      <c r="A1152" s="1116" t="s">
        <v>1909</v>
      </c>
      <c r="C1152" s="1105">
        <v>42021.580189682936</v>
      </c>
      <c r="D1152" s="1105">
        <v>0</v>
      </c>
      <c r="E1152" s="617"/>
      <c r="F1152" s="1143"/>
      <c r="G1152" s="1921"/>
      <c r="H1152" s="1146"/>
      <c r="I1152" s="1146"/>
      <c r="J1152" s="617"/>
      <c r="K1152" s="1143">
        <v>0</v>
      </c>
      <c r="L1152" s="1921" t="s">
        <v>495</v>
      </c>
      <c r="M1152" s="1143">
        <v>0</v>
      </c>
      <c r="N1152" s="1921" t="s">
        <v>495</v>
      </c>
      <c r="O1152" s="1143">
        <v>-2.0670999999999999</v>
      </c>
      <c r="P1152" s="1921" t="s">
        <v>495</v>
      </c>
      <c r="Q1152" s="1143">
        <v>-2.0670999999999999</v>
      </c>
      <c r="R1152" s="1921" t="s">
        <v>495</v>
      </c>
      <c r="S1152" s="1146">
        <v>0</v>
      </c>
      <c r="T1152" s="1648"/>
      <c r="U1152" s="1146">
        <v>0</v>
      </c>
      <c r="V1152" s="1648"/>
      <c r="W1152" s="1146">
        <v>0</v>
      </c>
      <c r="X1152" s="1648"/>
      <c r="Y1152" s="1146">
        <v>0</v>
      </c>
      <c r="Z1152" s="2114">
        <f>C1152-'Blocking-Step2'!C1152</f>
        <v>0</v>
      </c>
      <c r="AA1152" s="2114">
        <f>D1152-'Blocking-Step2'!D1152</f>
        <v>0</v>
      </c>
      <c r="AC1152" s="2114">
        <f>F1152-'Blocking-Step2'!F1152</f>
        <v>0</v>
      </c>
      <c r="AE1152" s="2114">
        <f>H1152-'Blocking-Step2'!H1152</f>
        <v>0</v>
      </c>
      <c r="AF1152" s="2114">
        <f>I1152-'Blocking-Step2'!I1152</f>
        <v>0</v>
      </c>
      <c r="AH1152" s="2136">
        <f>K1152-'Blocking-Step2'!K1152</f>
        <v>0</v>
      </c>
      <c r="AJ1152" s="2136">
        <f>M1152-'Blocking-Step2'!M1152</f>
        <v>0</v>
      </c>
      <c r="AL1152" s="2136">
        <f>O1152-'Blocking-Step2'!O1152</f>
        <v>0</v>
      </c>
      <c r="AN1152" s="2137">
        <f>Q1152-'Blocking-Step2'!Q1152</f>
        <v>0</v>
      </c>
      <c r="AP1152" s="2127">
        <f>S1152-'Blocking-Step2'!S1152</f>
        <v>0</v>
      </c>
      <c r="AR1152" s="2127">
        <f>U1152-'Blocking-Step2'!U1152</f>
        <v>0</v>
      </c>
      <c r="AT1152" s="2127">
        <f>W1152-'Blocking-Step2'!W1152</f>
        <v>0</v>
      </c>
      <c r="AV1152" s="2128">
        <f>Y1152-'Blocking-Step2'!Y1152</f>
        <v>0</v>
      </c>
    </row>
    <row r="1153" spans="1:48">
      <c r="A1153" s="1116" t="s">
        <v>240</v>
      </c>
      <c r="C1153" s="1105">
        <v>14.6</v>
      </c>
      <c r="D1153" s="1105">
        <v>0</v>
      </c>
      <c r="F1153" s="1142">
        <v>54</v>
      </c>
      <c r="G1153" s="617"/>
      <c r="H1153" s="1146">
        <v>788</v>
      </c>
      <c r="I1153" s="1146">
        <v>0</v>
      </c>
      <c r="K1153" s="1142">
        <v>54</v>
      </c>
      <c r="L1153" s="617"/>
      <c r="M1153" s="1142">
        <v>0</v>
      </c>
      <c r="N1153" s="617"/>
      <c r="O1153" s="1142">
        <v>0</v>
      </c>
      <c r="P1153" s="617"/>
      <c r="Q1153" s="1142">
        <v>54</v>
      </c>
      <c r="R1153" s="617"/>
      <c r="S1153" s="1146">
        <v>0</v>
      </c>
      <c r="T1153" s="1629"/>
      <c r="U1153" s="1146">
        <v>0</v>
      </c>
      <c r="V1153" s="1629"/>
      <c r="W1153" s="1146">
        <v>0</v>
      </c>
      <c r="X1153" s="1114"/>
      <c r="Y1153" s="1146">
        <v>0</v>
      </c>
      <c r="Z1153" s="2114">
        <f>C1153-'Blocking-Step2'!C1153</f>
        <v>0</v>
      </c>
      <c r="AA1153" s="2114">
        <f>D1153-'Blocking-Step2'!D1153</f>
        <v>0</v>
      </c>
      <c r="AC1153" s="2114">
        <f>F1153-'Blocking-Step2'!F1153</f>
        <v>0</v>
      </c>
      <c r="AE1153" s="2114">
        <f>H1153-'Blocking-Step2'!H1153</f>
        <v>0</v>
      </c>
      <c r="AF1153" s="2114">
        <f>I1153-'Blocking-Step2'!I1153</f>
        <v>0</v>
      </c>
      <c r="AH1153" s="2136">
        <f>K1153-'Blocking-Step2'!K1153</f>
        <v>0</v>
      </c>
      <c r="AJ1153" s="2136">
        <f>M1153-'Blocking-Step2'!M1153</f>
        <v>0</v>
      </c>
      <c r="AL1153" s="2136">
        <f>O1153-'Blocking-Step2'!O1153</f>
        <v>0</v>
      </c>
      <c r="AN1153" s="2137">
        <f>Q1153-'Blocking-Step2'!Q1153</f>
        <v>0</v>
      </c>
      <c r="AP1153" s="2127">
        <f>S1153-'Blocking-Step2'!S1153</f>
        <v>0</v>
      </c>
      <c r="AR1153" s="2127">
        <f>U1153-'Blocking-Step2'!U1153</f>
        <v>0</v>
      </c>
      <c r="AT1153" s="2127">
        <f>W1153-'Blocking-Step2'!W1153</f>
        <v>0</v>
      </c>
      <c r="AV1153" s="2128">
        <f>Y1153-'Blocking-Step2'!Y1153</f>
        <v>0</v>
      </c>
    </row>
    <row r="1154" spans="1:48">
      <c r="A1154" s="1116" t="s">
        <v>157</v>
      </c>
      <c r="C1154" s="1105">
        <v>610.87423312883402</v>
      </c>
      <c r="D1154" s="1105">
        <v>0</v>
      </c>
      <c r="F1154" s="1142">
        <v>6.52</v>
      </c>
      <c r="G1154" s="617"/>
      <c r="H1154" s="1146">
        <v>3983</v>
      </c>
      <c r="I1154" s="1146">
        <v>0</v>
      </c>
      <c r="K1154" s="1142"/>
      <c r="L1154" s="617"/>
      <c r="M1154" s="1142"/>
      <c r="N1154" s="617"/>
      <c r="O1154" s="1142"/>
      <c r="P1154" s="617"/>
      <c r="Q1154" s="1142"/>
      <c r="R1154" s="617"/>
      <c r="S1154" s="1146"/>
      <c r="T1154" s="1114"/>
      <c r="U1154" s="1146"/>
      <c r="V1154" s="1114"/>
      <c r="W1154" s="1146"/>
      <c r="X1154" s="1114"/>
      <c r="Y1154" s="1146"/>
      <c r="Z1154" s="2114">
        <f>C1154-'Blocking-Step2'!C1154</f>
        <v>0</v>
      </c>
      <c r="AA1154" s="2114">
        <f>D1154-'Blocking-Step2'!D1154</f>
        <v>0</v>
      </c>
      <c r="AC1154" s="2114">
        <f>F1154-'Blocking-Step2'!F1154</f>
        <v>0</v>
      </c>
      <c r="AE1154" s="2114">
        <f>H1154-'Blocking-Step2'!H1154</f>
        <v>0</v>
      </c>
      <c r="AF1154" s="2114">
        <f>I1154-'Blocking-Step2'!I1154</f>
        <v>0</v>
      </c>
      <c r="AH1154" s="2136">
        <f>K1154-'Blocking-Step2'!K1154</f>
        <v>0</v>
      </c>
      <c r="AJ1154" s="2136">
        <f>M1154-'Blocking-Step2'!M1154</f>
        <v>0</v>
      </c>
      <c r="AL1154" s="2136">
        <f>O1154-'Blocking-Step2'!O1154</f>
        <v>0</v>
      </c>
      <c r="AN1154" s="2137">
        <f>Q1154-'Blocking-Step2'!Q1154</f>
        <v>0</v>
      </c>
      <c r="AP1154" s="2127">
        <f>S1154-'Blocking-Step2'!S1154</f>
        <v>0</v>
      </c>
      <c r="AR1154" s="2127">
        <f>U1154-'Blocking-Step2'!U1154</f>
        <v>0</v>
      </c>
      <c r="AT1154" s="2127">
        <f>W1154-'Blocking-Step2'!W1154</f>
        <v>0</v>
      </c>
      <c r="AV1154" s="2128">
        <f>Y1154-'Blocking-Step2'!Y1154</f>
        <v>0</v>
      </c>
    </row>
    <row r="1155" spans="1:48">
      <c r="A1155" s="1116" t="s">
        <v>162</v>
      </c>
      <c r="C1155" s="1105">
        <v>476.79341864716599</v>
      </c>
      <c r="D1155" s="1105">
        <v>0</v>
      </c>
      <c r="F1155" s="1142">
        <v>5.47</v>
      </c>
      <c r="G1155" s="617"/>
      <c r="H1155" s="1146">
        <v>2608</v>
      </c>
      <c r="I1155" s="1146">
        <v>0</v>
      </c>
      <c r="K1155" s="1142"/>
      <c r="L1155" s="617"/>
      <c r="M1155" s="1142"/>
      <c r="N1155" s="617"/>
      <c r="O1155" s="1142"/>
      <c r="P1155" s="617"/>
      <c r="Q1155" s="1142"/>
      <c r="R1155" s="617"/>
      <c r="S1155" s="1146"/>
      <c r="T1155" s="1114"/>
      <c r="U1155" s="1146"/>
      <c r="V1155" s="1114"/>
      <c r="W1155" s="1146"/>
      <c r="X1155" s="1114"/>
      <c r="Y1155" s="1146"/>
      <c r="Z1155" s="2114">
        <f>C1155-'Blocking-Step2'!C1155</f>
        <v>0</v>
      </c>
      <c r="AA1155" s="2114">
        <f>D1155-'Blocking-Step2'!D1155</f>
        <v>0</v>
      </c>
      <c r="AC1155" s="2114">
        <f>F1155-'Blocking-Step2'!F1155</f>
        <v>0</v>
      </c>
      <c r="AE1155" s="2114">
        <f>H1155-'Blocking-Step2'!H1155</f>
        <v>0</v>
      </c>
      <c r="AF1155" s="2114">
        <f>I1155-'Blocking-Step2'!I1155</f>
        <v>0</v>
      </c>
      <c r="AH1155" s="2136">
        <f>K1155-'Blocking-Step2'!K1155</f>
        <v>0</v>
      </c>
      <c r="AJ1155" s="2136">
        <f>M1155-'Blocking-Step2'!M1155</f>
        <v>0</v>
      </c>
      <c r="AL1155" s="2136">
        <f>O1155-'Blocking-Step2'!O1155</f>
        <v>0</v>
      </c>
      <c r="AN1155" s="2137">
        <f>Q1155-'Blocking-Step2'!Q1155</f>
        <v>0</v>
      </c>
      <c r="AP1155" s="2127">
        <f>S1155-'Blocking-Step2'!S1155</f>
        <v>0</v>
      </c>
      <c r="AR1155" s="2127">
        <f>U1155-'Blocking-Step2'!U1155</f>
        <v>0</v>
      </c>
      <c r="AT1155" s="2127">
        <f>W1155-'Blocking-Step2'!W1155</f>
        <v>0</v>
      </c>
      <c r="AV1155" s="2128">
        <f>Y1155-'Blocking-Step2'!Y1155</f>
        <v>0</v>
      </c>
    </row>
    <row r="1156" spans="1:48">
      <c r="A1156" s="1116" t="s">
        <v>261</v>
      </c>
      <c r="C1156" s="1105">
        <v>0</v>
      </c>
      <c r="D1156" s="1105">
        <v>0</v>
      </c>
      <c r="F1156" s="1142">
        <v>-0.61</v>
      </c>
      <c r="G1156" s="617"/>
      <c r="H1156" s="1146">
        <v>0</v>
      </c>
      <c r="I1156" s="1146">
        <v>0</v>
      </c>
      <c r="K1156" s="1142">
        <v>-0.61</v>
      </c>
      <c r="L1156" s="617"/>
      <c r="M1156" s="1142">
        <v>0</v>
      </c>
      <c r="N1156" s="617"/>
      <c r="O1156" s="1142">
        <v>0</v>
      </c>
      <c r="P1156" s="617"/>
      <c r="Q1156" s="1142">
        <v>-0.61</v>
      </c>
      <c r="R1156" s="617"/>
      <c r="S1156" s="1146">
        <v>0</v>
      </c>
      <c r="T1156" s="1114"/>
      <c r="U1156" s="1146">
        <v>0</v>
      </c>
      <c r="V1156" s="1114"/>
      <c r="W1156" s="1146">
        <v>0</v>
      </c>
      <c r="X1156" s="1114"/>
      <c r="Y1156" s="1146">
        <v>0</v>
      </c>
      <c r="Z1156" s="2114">
        <f>C1156-'Blocking-Step2'!C1156</f>
        <v>0</v>
      </c>
      <c r="AA1156" s="2114">
        <f>D1156-'Blocking-Step2'!D1156</f>
        <v>0</v>
      </c>
      <c r="AC1156" s="2114">
        <f>F1156-'Blocking-Step2'!F1156</f>
        <v>0</v>
      </c>
      <c r="AE1156" s="2114">
        <f>H1156-'Blocking-Step2'!H1156</f>
        <v>0</v>
      </c>
      <c r="AF1156" s="2114">
        <f>I1156-'Blocking-Step2'!I1156</f>
        <v>0</v>
      </c>
      <c r="AH1156" s="2136">
        <f>K1156-'Blocking-Step2'!K1156</f>
        <v>0</v>
      </c>
      <c r="AJ1156" s="2136">
        <f>M1156-'Blocking-Step2'!M1156</f>
        <v>0</v>
      </c>
      <c r="AL1156" s="2136">
        <f>O1156-'Blocking-Step2'!O1156</f>
        <v>0</v>
      </c>
      <c r="AN1156" s="2137">
        <f>Q1156-'Blocking-Step2'!Q1156</f>
        <v>0</v>
      </c>
      <c r="AP1156" s="2127">
        <f>S1156-'Blocking-Step2'!S1156</f>
        <v>0</v>
      </c>
      <c r="AR1156" s="2127">
        <f>U1156-'Blocking-Step2'!U1156</f>
        <v>0</v>
      </c>
      <c r="AT1156" s="2127">
        <f>W1156-'Blocking-Step2'!W1156</f>
        <v>0</v>
      </c>
      <c r="AV1156" s="2128">
        <f>Y1156-'Blocking-Step2'!Y1156</f>
        <v>0</v>
      </c>
    </row>
    <row r="1157" spans="1:48">
      <c r="A1157" s="1116" t="s">
        <v>188</v>
      </c>
      <c r="C1157" s="1105">
        <v>76746.183037327341</v>
      </c>
      <c r="D1157" s="1105">
        <v>0</v>
      </c>
      <c r="F1157" s="1143">
        <v>11.926600000000001</v>
      </c>
      <c r="G1157" s="1921" t="s">
        <v>495</v>
      </c>
      <c r="H1157" s="1146">
        <v>9153</v>
      </c>
      <c r="I1157" s="1146">
        <v>0</v>
      </c>
      <c r="K1157" s="1143"/>
      <c r="L1157" s="1921"/>
      <c r="M1157" s="1143"/>
      <c r="N1157" s="1921"/>
      <c r="O1157" s="1143"/>
      <c r="P1157" s="1921"/>
      <c r="Q1157" s="1143"/>
      <c r="R1157" s="1921"/>
      <c r="S1157" s="1648"/>
      <c r="T1157" s="1648"/>
      <c r="U1157" s="1648"/>
      <c r="V1157" s="1648"/>
      <c r="W1157" s="1648"/>
      <c r="X1157" s="1648"/>
      <c r="Y1157" s="1146"/>
      <c r="Z1157" s="2114">
        <f>C1157-'Blocking-Step2'!C1157</f>
        <v>0</v>
      </c>
      <c r="AA1157" s="2114">
        <f>D1157-'Blocking-Step2'!D1157</f>
        <v>0</v>
      </c>
      <c r="AC1157" s="2114">
        <f>F1157-'Blocking-Step2'!F1157</f>
        <v>0</v>
      </c>
      <c r="AE1157" s="2114">
        <f>H1157-'Blocking-Step2'!H1157</f>
        <v>0</v>
      </c>
      <c r="AF1157" s="2114">
        <f>I1157-'Blocking-Step2'!I1157</f>
        <v>0</v>
      </c>
      <c r="AH1157" s="2136">
        <f>K1157-'Blocking-Step2'!K1157</f>
        <v>0</v>
      </c>
      <c r="AJ1157" s="2136">
        <f>M1157-'Blocking-Step2'!M1157</f>
        <v>0</v>
      </c>
      <c r="AL1157" s="2136">
        <f>O1157-'Blocking-Step2'!O1157</f>
        <v>0</v>
      </c>
      <c r="AN1157" s="2137">
        <f>Q1157-'Blocking-Step2'!Q1157</f>
        <v>0</v>
      </c>
      <c r="AP1157" s="2127">
        <f>S1157-'Blocking-Step2'!S1157</f>
        <v>0</v>
      </c>
      <c r="AR1157" s="2127">
        <f>U1157-'Blocking-Step2'!U1157</f>
        <v>0</v>
      </c>
      <c r="AT1157" s="2127">
        <f>W1157-'Blocking-Step2'!W1157</f>
        <v>0</v>
      </c>
      <c r="AV1157" s="2128">
        <f>Y1157-'Blocking-Step2'!Y1157</f>
        <v>0</v>
      </c>
    </row>
    <row r="1158" spans="1:48">
      <c r="A1158" s="1116" t="s">
        <v>189</v>
      </c>
      <c r="C1158" s="1105">
        <v>70349.781849994804</v>
      </c>
      <c r="D1158" s="1105">
        <v>0</v>
      </c>
      <c r="E1158" s="617"/>
      <c r="F1158" s="1143">
        <v>3.5908000000000002</v>
      </c>
      <c r="G1158" s="1921" t="s">
        <v>495</v>
      </c>
      <c r="H1158" s="1146">
        <v>2526</v>
      </c>
      <c r="I1158" s="1146">
        <v>0</v>
      </c>
      <c r="J1158" s="617"/>
      <c r="K1158" s="1143"/>
      <c r="L1158" s="1921"/>
      <c r="M1158" s="1143"/>
      <c r="N1158" s="1921"/>
      <c r="O1158" s="1143"/>
      <c r="P1158" s="1921"/>
      <c r="Q1158" s="1143"/>
      <c r="R1158" s="1921"/>
      <c r="S1158" s="1648"/>
      <c r="T1158" s="1648"/>
      <c r="U1158" s="1648"/>
      <c r="V1158" s="1648"/>
      <c r="W1158" s="1648"/>
      <c r="X1158" s="1648"/>
      <c r="Y1158" s="1146"/>
      <c r="Z1158" s="2114">
        <f>C1158-'Blocking-Step2'!C1158</f>
        <v>0</v>
      </c>
      <c r="AA1158" s="2114">
        <f>D1158-'Blocking-Step2'!D1158</f>
        <v>0</v>
      </c>
      <c r="AC1158" s="2114">
        <f>F1158-'Blocking-Step2'!F1158</f>
        <v>0</v>
      </c>
      <c r="AE1158" s="2114">
        <f>H1158-'Blocking-Step2'!H1158</f>
        <v>0</v>
      </c>
      <c r="AF1158" s="2114">
        <f>I1158-'Blocking-Step2'!I1158</f>
        <v>0</v>
      </c>
      <c r="AH1158" s="2136">
        <f>K1158-'Blocking-Step2'!K1158</f>
        <v>0</v>
      </c>
      <c r="AJ1158" s="2136">
        <f>M1158-'Blocking-Step2'!M1158</f>
        <v>0</v>
      </c>
      <c r="AL1158" s="2136">
        <f>O1158-'Blocking-Step2'!O1158</f>
        <v>0</v>
      </c>
      <c r="AN1158" s="2137">
        <f>Q1158-'Blocking-Step2'!Q1158</f>
        <v>0</v>
      </c>
      <c r="AP1158" s="2127">
        <f>S1158-'Blocking-Step2'!S1158</f>
        <v>0</v>
      </c>
      <c r="AR1158" s="2127">
        <f>U1158-'Blocking-Step2'!U1158</f>
        <v>0</v>
      </c>
      <c r="AT1158" s="2127">
        <f>W1158-'Blocking-Step2'!W1158</f>
        <v>0</v>
      </c>
      <c r="AV1158" s="2128">
        <f>Y1158-'Blocking-Step2'!Y1158</f>
        <v>0</v>
      </c>
    </row>
    <row r="1159" spans="1:48">
      <c r="A1159" s="1116" t="s">
        <v>163</v>
      </c>
      <c r="C1159" s="1105">
        <v>73676.63419551526</v>
      </c>
      <c r="D1159" s="1105">
        <v>0</v>
      </c>
      <c r="F1159" s="1143">
        <v>9.9693000000000005</v>
      </c>
      <c r="G1159" s="1921" t="s">
        <v>495</v>
      </c>
      <c r="H1159" s="1146">
        <v>7345</v>
      </c>
      <c r="I1159" s="1146">
        <v>0</v>
      </c>
      <c r="K1159" s="1143"/>
      <c r="L1159" s="1921"/>
      <c r="M1159" s="1143"/>
      <c r="N1159" s="1921"/>
      <c r="O1159" s="1143"/>
      <c r="P1159" s="1921"/>
      <c r="Q1159" s="1143"/>
      <c r="R1159" s="1921"/>
      <c r="S1159" s="1648"/>
      <c r="T1159" s="1648"/>
      <c r="U1159" s="1648"/>
      <c r="V1159" s="1648"/>
      <c r="W1159" s="1648"/>
      <c r="X1159" s="1648"/>
      <c r="Y1159" s="1146"/>
      <c r="Z1159" s="2114">
        <f>C1159-'Blocking-Step2'!C1159</f>
        <v>0</v>
      </c>
      <c r="AA1159" s="2114">
        <f>D1159-'Blocking-Step2'!D1159</f>
        <v>0</v>
      </c>
      <c r="AC1159" s="2114">
        <f>F1159-'Blocking-Step2'!F1159</f>
        <v>0</v>
      </c>
      <c r="AE1159" s="2114">
        <f>H1159-'Blocking-Step2'!H1159</f>
        <v>0</v>
      </c>
      <c r="AF1159" s="2114">
        <f>I1159-'Blocking-Step2'!I1159</f>
        <v>0</v>
      </c>
      <c r="AH1159" s="2136">
        <f>K1159-'Blocking-Step2'!K1159</f>
        <v>0</v>
      </c>
      <c r="AJ1159" s="2136">
        <f>M1159-'Blocking-Step2'!M1159</f>
        <v>0</v>
      </c>
      <c r="AL1159" s="2136">
        <f>O1159-'Blocking-Step2'!O1159</f>
        <v>0</v>
      </c>
      <c r="AN1159" s="2137">
        <f>Q1159-'Blocking-Step2'!Q1159</f>
        <v>0</v>
      </c>
      <c r="AP1159" s="2127">
        <f>S1159-'Blocking-Step2'!S1159</f>
        <v>0</v>
      </c>
      <c r="AR1159" s="2127">
        <f>U1159-'Blocking-Step2'!U1159</f>
        <v>0</v>
      </c>
      <c r="AT1159" s="2127">
        <f>W1159-'Blocking-Step2'!W1159</f>
        <v>0</v>
      </c>
      <c r="AV1159" s="2128">
        <f>Y1159-'Blocking-Step2'!Y1159</f>
        <v>0</v>
      </c>
    </row>
    <row r="1160" spans="1:48">
      <c r="A1160" s="1116" t="s">
        <v>164</v>
      </c>
      <c r="C1160" s="1105">
        <v>77835.789277520249</v>
      </c>
      <c r="D1160" s="1105">
        <v>0</v>
      </c>
      <c r="E1160" s="617"/>
      <c r="F1160" s="1143">
        <v>3.0059999999999998</v>
      </c>
      <c r="G1160" s="1921" t="s">
        <v>495</v>
      </c>
      <c r="H1160" s="1146">
        <v>2340</v>
      </c>
      <c r="I1160" s="1146">
        <v>0</v>
      </c>
      <c r="J1160" s="617"/>
      <c r="K1160" s="1143"/>
      <c r="L1160" s="1921"/>
      <c r="M1160" s="1143"/>
      <c r="N1160" s="1921"/>
      <c r="O1160" s="1143"/>
      <c r="P1160" s="1921"/>
      <c r="Q1160" s="1143"/>
      <c r="R1160" s="1921"/>
      <c r="S1160" s="1648"/>
      <c r="T1160" s="1648"/>
      <c r="U1160" s="1648"/>
      <c r="V1160" s="1648"/>
      <c r="W1160" s="1648"/>
      <c r="X1160" s="1648"/>
      <c r="Y1160" s="1146"/>
      <c r="Z1160" s="2114">
        <f>C1160-'Blocking-Step2'!C1160</f>
        <v>0</v>
      </c>
      <c r="AA1160" s="2114">
        <f>D1160-'Blocking-Step2'!D1160</f>
        <v>0</v>
      </c>
      <c r="AC1160" s="2114">
        <f>F1160-'Blocking-Step2'!F1160</f>
        <v>0</v>
      </c>
      <c r="AE1160" s="2114">
        <f>H1160-'Blocking-Step2'!H1160</f>
        <v>0</v>
      </c>
      <c r="AF1160" s="2114">
        <f>I1160-'Blocking-Step2'!I1160</f>
        <v>0</v>
      </c>
      <c r="AH1160" s="2136">
        <f>K1160-'Blocking-Step2'!K1160</f>
        <v>0</v>
      </c>
      <c r="AJ1160" s="2136">
        <f>M1160-'Blocking-Step2'!M1160</f>
        <v>0</v>
      </c>
      <c r="AL1160" s="2136">
        <f>O1160-'Blocking-Step2'!O1160</f>
        <v>0</v>
      </c>
      <c r="AN1160" s="2137">
        <f>Q1160-'Blocking-Step2'!Q1160</f>
        <v>0</v>
      </c>
      <c r="AP1160" s="2127">
        <f>S1160-'Blocking-Step2'!S1160</f>
        <v>0</v>
      </c>
      <c r="AR1160" s="2127">
        <f>U1160-'Blocking-Step2'!U1160</f>
        <v>0</v>
      </c>
      <c r="AT1160" s="2127">
        <f>W1160-'Blocking-Step2'!W1160</f>
        <v>0</v>
      </c>
      <c r="AV1160" s="2128">
        <f>Y1160-'Blocking-Step2'!Y1160</f>
        <v>0</v>
      </c>
    </row>
    <row r="1161" spans="1:48">
      <c r="A1161" s="1116" t="s">
        <v>246</v>
      </c>
      <c r="C1161" s="1940">
        <v>1583</v>
      </c>
      <c r="D1161" s="1940">
        <v>0</v>
      </c>
      <c r="H1161" s="1147">
        <v>163</v>
      </c>
      <c r="I1161" s="1147">
        <v>0</v>
      </c>
      <c r="Y1161" s="1147"/>
      <c r="Z1161" s="2114">
        <f>C1161-'Blocking-Step2'!C1161</f>
        <v>0</v>
      </c>
      <c r="AA1161" s="2114">
        <f>D1161-'Blocking-Step2'!D1161</f>
        <v>0</v>
      </c>
      <c r="AC1161" s="2114">
        <f>F1161-'Blocking-Step2'!F1161</f>
        <v>0</v>
      </c>
      <c r="AE1161" s="2114">
        <f>H1161-'Blocking-Step2'!H1161</f>
        <v>0</v>
      </c>
      <c r="AF1161" s="2114">
        <f>I1161-'Blocking-Step2'!I1161</f>
        <v>0</v>
      </c>
      <c r="AH1161" s="2136">
        <f>K1161-'Blocking-Step2'!K1161</f>
        <v>0</v>
      </c>
      <c r="AJ1161" s="2136">
        <f>M1161-'Blocking-Step2'!M1161</f>
        <v>0</v>
      </c>
      <c r="AL1161" s="2136">
        <f>O1161-'Blocking-Step2'!O1161</f>
        <v>0</v>
      </c>
      <c r="AN1161" s="2137">
        <f>Q1161-'Blocking-Step2'!Q1161</f>
        <v>0</v>
      </c>
      <c r="AP1161" s="2127">
        <f>S1161-'Blocking-Step2'!S1161</f>
        <v>0</v>
      </c>
      <c r="AR1161" s="2127">
        <f>U1161-'Blocking-Step2'!U1161</f>
        <v>0</v>
      </c>
      <c r="AT1161" s="2127">
        <f>W1161-'Blocking-Step2'!W1161</f>
        <v>0</v>
      </c>
      <c r="AV1161" s="2128">
        <f>Y1161-'Blocking-Step2'!Y1161</f>
        <v>0</v>
      </c>
    </row>
    <row r="1162" spans="1:48">
      <c r="A1162" s="1116" t="s">
        <v>1240</v>
      </c>
      <c r="C1162" s="1024"/>
      <c r="D1162" s="1024"/>
      <c r="F1162" s="2076">
        <v>-4.99E-2</v>
      </c>
      <c r="G1162" s="617"/>
      <c r="H1162" s="1146">
        <v>-1066.0636</v>
      </c>
      <c r="I1162" s="1146">
        <v>0</v>
      </c>
      <c r="K1162" s="2076"/>
      <c r="L1162" s="617"/>
      <c r="M1162" s="2076"/>
      <c r="N1162" s="617"/>
      <c r="O1162" s="2077" t="s">
        <v>2323</v>
      </c>
      <c r="P1162" s="617"/>
      <c r="Q1162" s="2076">
        <v>-3.0599999999999999E-2</v>
      </c>
      <c r="R1162" s="617"/>
      <c r="S1162" s="1114"/>
      <c r="T1162" s="1114"/>
      <c r="U1162" s="1114"/>
      <c r="V1162" s="1114"/>
      <c r="W1162" s="1114"/>
      <c r="X1162" s="1114"/>
      <c r="Y1162" s="1146">
        <v>0</v>
      </c>
      <c r="Z1162" s="2114">
        <f>C1162-'Blocking-Step2'!C1162</f>
        <v>0</v>
      </c>
      <c r="AA1162" s="2114">
        <f>D1162-'Blocking-Step2'!D1162</f>
        <v>0</v>
      </c>
      <c r="AC1162" s="2114">
        <f>F1162-'Blocking-Step2'!F1162</f>
        <v>0</v>
      </c>
      <c r="AE1162" s="2114">
        <f>H1162-'Blocking-Step2'!H1162</f>
        <v>0</v>
      </c>
      <c r="AF1162" s="2114">
        <f>I1162-'Blocking-Step2'!I1162</f>
        <v>0</v>
      </c>
      <c r="AH1162" s="2136">
        <f>K1162-'Blocking-Step2'!K1162</f>
        <v>0</v>
      </c>
      <c r="AJ1162" s="2136">
        <f>M1162-'Blocking-Step2'!M1162</f>
        <v>0</v>
      </c>
      <c r="AL1162" s="2136" t="e">
        <f>O1162-'Blocking-Step2'!O1162</f>
        <v>#VALUE!</v>
      </c>
      <c r="AN1162" s="2137">
        <f>Q1162-'Blocking-Step2'!Q1162</f>
        <v>0</v>
      </c>
      <c r="AP1162" s="2127">
        <f>S1162-'Blocking-Step2'!S1162</f>
        <v>0</v>
      </c>
      <c r="AR1162" s="2127">
        <f>U1162-'Blocking-Step2'!U1162</f>
        <v>0</v>
      </c>
      <c r="AT1162" s="2127">
        <f>W1162-'Blocking-Step2'!W1162</f>
        <v>0</v>
      </c>
      <c r="AV1162" s="2128">
        <f>Y1162-'Blocking-Step2'!Y1162</f>
        <v>0</v>
      </c>
    </row>
    <row r="1163" spans="1:48">
      <c r="A1163" s="1116"/>
      <c r="C1163" s="1024"/>
      <c r="D1163" s="1024"/>
      <c r="F1163" s="2076"/>
      <c r="G1163" s="617"/>
      <c r="H1163" s="1146"/>
      <c r="I1163" s="1146"/>
      <c r="K1163" s="2076"/>
      <c r="L1163" s="617"/>
      <c r="M1163" s="2076"/>
      <c r="N1163" s="617"/>
      <c r="O1163" s="2077" t="s">
        <v>2324</v>
      </c>
      <c r="P1163" s="617"/>
      <c r="Q1163" s="2076">
        <v>-1.66E-2</v>
      </c>
      <c r="R1163" s="617"/>
      <c r="S1163" s="1114"/>
      <c r="T1163" s="1114"/>
      <c r="U1163" s="1114"/>
      <c r="V1163" s="1114"/>
      <c r="W1163" s="1114"/>
      <c r="X1163" s="1114"/>
      <c r="Y1163" s="1146">
        <v>0</v>
      </c>
      <c r="Z1163" s="2114">
        <f>C1163-'Blocking-Step2'!C1163</f>
        <v>0</v>
      </c>
      <c r="AA1163" s="2114">
        <f>D1163-'Blocking-Step2'!D1163</f>
        <v>0</v>
      </c>
      <c r="AC1163" s="2114">
        <f>F1163-'Blocking-Step2'!F1163</f>
        <v>0</v>
      </c>
      <c r="AE1163" s="2114">
        <f>H1163-'Blocking-Step2'!H1163</f>
        <v>0</v>
      </c>
      <c r="AF1163" s="2114">
        <f>I1163-'Blocking-Step2'!I1163</f>
        <v>0</v>
      </c>
      <c r="AH1163" s="2136">
        <f>K1163-'Blocking-Step2'!K1163</f>
        <v>0</v>
      </c>
      <c r="AJ1163" s="2136">
        <f>M1163-'Blocking-Step2'!M1163</f>
        <v>0</v>
      </c>
      <c r="AL1163" s="2136" t="e">
        <f>O1163-'Blocking-Step2'!O1163</f>
        <v>#VALUE!</v>
      </c>
      <c r="AN1163" s="2137">
        <f>Q1163-'Blocking-Step2'!Q1163</f>
        <v>0</v>
      </c>
      <c r="AP1163" s="2127">
        <f>S1163-'Blocking-Step2'!S1163</f>
        <v>0</v>
      </c>
      <c r="AR1163" s="2127">
        <f>U1163-'Blocking-Step2'!U1163</f>
        <v>0</v>
      </c>
      <c r="AT1163" s="2127">
        <f>W1163-'Blocking-Step2'!W1163</f>
        <v>0</v>
      </c>
      <c r="AV1163" s="2128">
        <f>Y1163-'Blocking-Step2'!Y1163</f>
        <v>0</v>
      </c>
    </row>
    <row r="1164" spans="1:48" ht="16.5" thickBot="1">
      <c r="A1164" s="1116" t="s">
        <v>247</v>
      </c>
      <c r="C1164" s="1138">
        <v>300191.38836035767</v>
      </c>
      <c r="D1164" s="1138">
        <v>0</v>
      </c>
      <c r="F1164" s="1145"/>
      <c r="H1164" s="1149">
        <v>27839.936399999999</v>
      </c>
      <c r="I1164" s="1149">
        <v>0</v>
      </c>
      <c r="K1164" s="1145"/>
      <c r="M1164" s="1145"/>
      <c r="O1164" s="1145"/>
      <c r="Q1164" s="1145"/>
      <c r="S1164" s="1149">
        <v>0</v>
      </c>
      <c r="U1164" s="1149">
        <v>0</v>
      </c>
      <c r="W1164" s="1149">
        <v>0</v>
      </c>
      <c r="Y1164" s="1149">
        <v>0</v>
      </c>
      <c r="Z1164" s="2114">
        <f>C1164-'Blocking-Step2'!C1164</f>
        <v>0</v>
      </c>
      <c r="AA1164" s="2114">
        <f>D1164-'Blocking-Step2'!D1164</f>
        <v>0</v>
      </c>
      <c r="AC1164" s="2114">
        <f>F1164-'Blocking-Step2'!F1164</f>
        <v>0</v>
      </c>
      <c r="AE1164" s="2114">
        <f>H1164-'Blocking-Step2'!H1164</f>
        <v>0</v>
      </c>
      <c r="AF1164" s="2114">
        <f>I1164-'Blocking-Step2'!I1164</f>
        <v>0</v>
      </c>
      <c r="AH1164" s="2136">
        <f>K1164-'Blocking-Step2'!K1164</f>
        <v>0</v>
      </c>
      <c r="AJ1164" s="2136">
        <f>M1164-'Blocking-Step2'!M1164</f>
        <v>0</v>
      </c>
      <c r="AL1164" s="2136">
        <f>O1164-'Blocking-Step2'!O1164</f>
        <v>0</v>
      </c>
      <c r="AN1164" s="2137">
        <f>Q1164-'Blocking-Step2'!Q1164</f>
        <v>0</v>
      </c>
      <c r="AP1164" s="2127">
        <f>S1164-'Blocking-Step2'!S1164</f>
        <v>0</v>
      </c>
      <c r="AR1164" s="2127">
        <f>U1164-'Blocking-Step2'!U1164</f>
        <v>0</v>
      </c>
      <c r="AT1164" s="2127">
        <f>W1164-'Blocking-Step2'!W1164</f>
        <v>0</v>
      </c>
      <c r="AV1164" s="2128">
        <f>Y1164-'Blocking-Step2'!Y1164</f>
        <v>0</v>
      </c>
    </row>
    <row r="1165" spans="1:48" ht="16.5" thickTop="1">
      <c r="C1165" s="1105"/>
      <c r="D1165" s="1105"/>
      <c r="Z1165" s="2114">
        <f>C1165-'Blocking-Step2'!C1165</f>
        <v>0</v>
      </c>
      <c r="AA1165" s="2114">
        <f>D1165-'Blocking-Step2'!D1165</f>
        <v>0</v>
      </c>
      <c r="AC1165" s="2114">
        <f>F1165-'Blocking-Step2'!F1165</f>
        <v>0</v>
      </c>
      <c r="AE1165" s="2114">
        <f>H1165-'Blocking-Step2'!H1165</f>
        <v>0</v>
      </c>
      <c r="AF1165" s="2114">
        <f>I1165-'Blocking-Step2'!I1165</f>
        <v>0</v>
      </c>
      <c r="AH1165" s="2136">
        <f>K1165-'Blocking-Step2'!K1165</f>
        <v>0</v>
      </c>
      <c r="AJ1165" s="2136">
        <f>M1165-'Blocking-Step2'!M1165</f>
        <v>0</v>
      </c>
      <c r="AL1165" s="2136">
        <f>O1165-'Blocking-Step2'!O1165</f>
        <v>0</v>
      </c>
      <c r="AN1165" s="2137">
        <f>Q1165-'Blocking-Step2'!Q1165</f>
        <v>0</v>
      </c>
      <c r="AP1165" s="2127">
        <f>S1165-'Blocking-Step2'!S1165</f>
        <v>0</v>
      </c>
      <c r="AR1165" s="2127">
        <f>U1165-'Blocking-Step2'!U1165</f>
        <v>0</v>
      </c>
      <c r="AT1165" s="2127">
        <f>W1165-'Blocking-Step2'!W1165</f>
        <v>0</v>
      </c>
      <c r="AV1165" s="2128">
        <f>Y1165-'Blocking-Step2'!Y1165</f>
        <v>0</v>
      </c>
    </row>
    <row r="1166" spans="1:48">
      <c r="A1166" s="1115" t="s">
        <v>910</v>
      </c>
      <c r="C1166" s="1105"/>
      <c r="D1166" s="1105"/>
      <c r="Z1166" s="2114">
        <f>C1166-'Blocking-Step2'!C1166</f>
        <v>0</v>
      </c>
      <c r="AA1166" s="2114">
        <f>D1166-'Blocking-Step2'!D1166</f>
        <v>0</v>
      </c>
      <c r="AC1166" s="2114">
        <f>F1166-'Blocking-Step2'!F1166</f>
        <v>0</v>
      </c>
      <c r="AE1166" s="2114">
        <f>H1166-'Blocking-Step2'!H1166</f>
        <v>0</v>
      </c>
      <c r="AF1166" s="2114">
        <f>I1166-'Blocking-Step2'!I1166</f>
        <v>0</v>
      </c>
      <c r="AH1166" s="2136">
        <f>K1166-'Blocking-Step2'!K1166</f>
        <v>0</v>
      </c>
      <c r="AJ1166" s="2136">
        <f>M1166-'Blocking-Step2'!M1166</f>
        <v>0</v>
      </c>
      <c r="AL1166" s="2136">
        <f>O1166-'Blocking-Step2'!O1166</f>
        <v>0</v>
      </c>
      <c r="AN1166" s="2137">
        <f>Q1166-'Blocking-Step2'!Q1166</f>
        <v>0</v>
      </c>
      <c r="AP1166" s="2127">
        <f>S1166-'Blocking-Step2'!S1166</f>
        <v>0</v>
      </c>
      <c r="AR1166" s="2127">
        <f>U1166-'Blocking-Step2'!U1166</f>
        <v>0</v>
      </c>
      <c r="AT1166" s="2127">
        <f>W1166-'Blocking-Step2'!W1166</f>
        <v>0</v>
      </c>
      <c r="AV1166" s="2128">
        <f>Y1166-'Blocking-Step2'!Y1166</f>
        <v>0</v>
      </c>
    </row>
    <row r="1167" spans="1:48">
      <c r="A1167" s="1977" t="s">
        <v>264</v>
      </c>
      <c r="C1167" s="1105"/>
      <c r="D1167" s="1105"/>
      <c r="H1167" s="1146"/>
      <c r="I1167" s="1146"/>
      <c r="Y1167" s="1146"/>
      <c r="Z1167" s="2114">
        <f>C1167-'Blocking-Step2'!C1167</f>
        <v>0</v>
      </c>
      <c r="AA1167" s="2114">
        <f>D1167-'Blocking-Step2'!D1167</f>
        <v>0</v>
      </c>
      <c r="AC1167" s="2114">
        <f>F1167-'Blocking-Step2'!F1167</f>
        <v>0</v>
      </c>
      <c r="AE1167" s="2114">
        <f>H1167-'Blocking-Step2'!H1167</f>
        <v>0</v>
      </c>
      <c r="AF1167" s="2114">
        <f>I1167-'Blocking-Step2'!I1167</f>
        <v>0</v>
      </c>
      <c r="AH1167" s="2136">
        <f>K1167-'Blocking-Step2'!K1167</f>
        <v>0</v>
      </c>
      <c r="AJ1167" s="2136">
        <f>M1167-'Blocking-Step2'!M1167</f>
        <v>0</v>
      </c>
      <c r="AL1167" s="2136">
        <f>O1167-'Blocking-Step2'!O1167</f>
        <v>0</v>
      </c>
      <c r="AN1167" s="2137">
        <f>Q1167-'Blocking-Step2'!Q1167</f>
        <v>0</v>
      </c>
      <c r="AP1167" s="2127">
        <f>S1167-'Blocking-Step2'!S1167</f>
        <v>0</v>
      </c>
      <c r="AR1167" s="2127">
        <f>U1167-'Blocking-Step2'!U1167</f>
        <v>0</v>
      </c>
      <c r="AT1167" s="2127">
        <f>W1167-'Blocking-Step2'!W1167</f>
        <v>0</v>
      </c>
      <c r="AV1167" s="2128">
        <f>Y1167-'Blocking-Step2'!Y1167</f>
        <v>0</v>
      </c>
    </row>
    <row r="1168" spans="1:48">
      <c r="A1168" s="1116" t="s">
        <v>265</v>
      </c>
      <c r="B1168" s="1104">
        <v>29</v>
      </c>
      <c r="C1168" s="1105">
        <v>0</v>
      </c>
      <c r="D1168" s="1105">
        <v>0</v>
      </c>
      <c r="F1168" s="1907">
        <v>5.68</v>
      </c>
      <c r="G1168" s="1110"/>
      <c r="H1168" s="1146">
        <v>0</v>
      </c>
      <c r="I1168" s="1146">
        <v>0</v>
      </c>
      <c r="K1168" s="1907"/>
      <c r="L1168" s="1110"/>
      <c r="M1168" s="1907"/>
      <c r="N1168" s="1110"/>
      <c r="O1168" s="1907"/>
      <c r="P1168" s="1110"/>
      <c r="Q1168" s="1907"/>
      <c r="R1168" s="1110"/>
      <c r="S1168" s="1629"/>
      <c r="T1168" s="1629"/>
      <c r="U1168" s="1629"/>
      <c r="V1168" s="1629"/>
      <c r="W1168" s="1629"/>
      <c r="X1168" s="1629"/>
      <c r="Y1168" s="1146"/>
      <c r="Z1168" s="2114">
        <f>C1168-'Blocking-Step2'!C1168</f>
        <v>0</v>
      </c>
      <c r="AA1168" s="2114">
        <f>D1168-'Blocking-Step2'!D1168</f>
        <v>0</v>
      </c>
      <c r="AC1168" s="2114">
        <f>F1168-'Blocking-Step2'!F1168</f>
        <v>0</v>
      </c>
      <c r="AE1168" s="2114">
        <f>H1168-'Blocking-Step2'!H1168</f>
        <v>0</v>
      </c>
      <c r="AF1168" s="2114">
        <f>I1168-'Blocking-Step2'!I1168</f>
        <v>0</v>
      </c>
      <c r="AH1168" s="2136">
        <f>K1168-'Blocking-Step2'!K1168</f>
        <v>0</v>
      </c>
      <c r="AJ1168" s="2136">
        <f>M1168-'Blocking-Step2'!M1168</f>
        <v>0</v>
      </c>
      <c r="AL1168" s="2136">
        <f>O1168-'Blocking-Step2'!O1168</f>
        <v>0</v>
      </c>
      <c r="AN1168" s="2137">
        <f>Q1168-'Blocking-Step2'!Q1168</f>
        <v>0</v>
      </c>
      <c r="AP1168" s="2127">
        <f>S1168-'Blocking-Step2'!S1168</f>
        <v>0</v>
      </c>
      <c r="AR1168" s="2127">
        <f>U1168-'Blocking-Step2'!U1168</f>
        <v>0</v>
      </c>
      <c r="AT1168" s="2127">
        <f>W1168-'Blocking-Step2'!W1168</f>
        <v>0</v>
      </c>
      <c r="AV1168" s="2128">
        <f>Y1168-'Blocking-Step2'!Y1168</f>
        <v>0</v>
      </c>
    </row>
    <row r="1169" spans="1:48">
      <c r="A1169" s="1116" t="s">
        <v>266</v>
      </c>
      <c r="B1169" s="1104">
        <v>1</v>
      </c>
      <c r="C1169" s="1105">
        <v>37029.915140415185</v>
      </c>
      <c r="D1169" s="1105">
        <v>36084</v>
      </c>
      <c r="F1169" s="1907">
        <v>16.38</v>
      </c>
      <c r="G1169" s="1110"/>
      <c r="H1169" s="1146">
        <v>606550</v>
      </c>
      <c r="I1169" s="1146">
        <v>591056</v>
      </c>
      <c r="K1169" s="1907"/>
      <c r="L1169" s="1110"/>
      <c r="M1169" s="1907"/>
      <c r="N1169" s="1110"/>
      <c r="O1169" s="1907"/>
      <c r="P1169" s="1110"/>
      <c r="Q1169" s="1907"/>
      <c r="R1169" s="1110"/>
      <c r="S1169" s="1629"/>
      <c r="T1169" s="1629"/>
      <c r="U1169" s="1629"/>
      <c r="V1169" s="1629"/>
      <c r="W1169" s="1629"/>
      <c r="X1169" s="1629"/>
      <c r="Y1169" s="1146"/>
      <c r="Z1169" s="2114">
        <f>C1169-'Blocking-Step2'!C1169</f>
        <v>0</v>
      </c>
      <c r="AA1169" s="2114">
        <f>D1169-'Blocking-Step2'!D1169</f>
        <v>0</v>
      </c>
      <c r="AC1169" s="2114">
        <f>F1169-'Blocking-Step2'!F1169</f>
        <v>0</v>
      </c>
      <c r="AE1169" s="2114">
        <f>H1169-'Blocking-Step2'!H1169</f>
        <v>0</v>
      </c>
      <c r="AF1169" s="2114">
        <f>I1169-'Blocking-Step2'!I1169</f>
        <v>0</v>
      </c>
      <c r="AH1169" s="2136">
        <f>K1169-'Blocking-Step2'!K1169</f>
        <v>0</v>
      </c>
      <c r="AJ1169" s="2136">
        <f>M1169-'Blocking-Step2'!M1169</f>
        <v>0</v>
      </c>
      <c r="AL1169" s="2136">
        <f>O1169-'Blocking-Step2'!O1169</f>
        <v>0</v>
      </c>
      <c r="AN1169" s="2137">
        <f>Q1169-'Blocking-Step2'!Q1169</f>
        <v>0</v>
      </c>
      <c r="AP1169" s="2127">
        <f>S1169-'Blocking-Step2'!S1169</f>
        <v>0</v>
      </c>
      <c r="AR1169" s="2127">
        <f>U1169-'Blocking-Step2'!U1169</f>
        <v>0</v>
      </c>
      <c r="AT1169" s="2127">
        <f>W1169-'Blocking-Step2'!W1169</f>
        <v>0</v>
      </c>
      <c r="AV1169" s="2128">
        <f>Y1169-'Blocking-Step2'!Y1169</f>
        <v>0</v>
      </c>
    </row>
    <row r="1170" spans="1:48">
      <c r="A1170" s="1116" t="s">
        <v>267</v>
      </c>
      <c r="B1170" s="1104">
        <v>40</v>
      </c>
      <c r="C1170" s="1105">
        <v>0</v>
      </c>
      <c r="D1170" s="1105">
        <v>0</v>
      </c>
      <c r="F1170" s="1907">
        <v>8.0500000000000007</v>
      </c>
      <c r="G1170" s="1110"/>
      <c r="H1170" s="1146">
        <v>0</v>
      </c>
      <c r="I1170" s="1146">
        <v>0</v>
      </c>
      <c r="K1170" s="1907"/>
      <c r="L1170" s="1110"/>
      <c r="M1170" s="1907"/>
      <c r="N1170" s="1110"/>
      <c r="O1170" s="1907"/>
      <c r="P1170" s="1110"/>
      <c r="Q1170" s="1907"/>
      <c r="R1170" s="1110"/>
      <c r="S1170" s="1629"/>
      <c r="T1170" s="1629"/>
      <c r="U1170" s="1629"/>
      <c r="V1170" s="1629"/>
      <c r="W1170" s="1629"/>
      <c r="X1170" s="1629"/>
      <c r="Y1170" s="1146"/>
      <c r="Z1170" s="2114">
        <f>C1170-'Blocking-Step2'!C1170</f>
        <v>0</v>
      </c>
      <c r="AA1170" s="2114">
        <f>D1170-'Blocking-Step2'!D1170</f>
        <v>0</v>
      </c>
      <c r="AC1170" s="2114">
        <f>F1170-'Blocking-Step2'!F1170</f>
        <v>0</v>
      </c>
      <c r="AE1170" s="2114">
        <f>H1170-'Blocking-Step2'!H1170</f>
        <v>0</v>
      </c>
      <c r="AF1170" s="2114">
        <f>I1170-'Blocking-Step2'!I1170</f>
        <v>0</v>
      </c>
      <c r="AH1170" s="2136">
        <f>K1170-'Blocking-Step2'!K1170</f>
        <v>0</v>
      </c>
      <c r="AJ1170" s="2136">
        <f>M1170-'Blocking-Step2'!M1170</f>
        <v>0</v>
      </c>
      <c r="AL1170" s="2136">
        <f>O1170-'Blocking-Step2'!O1170</f>
        <v>0</v>
      </c>
      <c r="AN1170" s="2137">
        <f>Q1170-'Blocking-Step2'!Q1170</f>
        <v>0</v>
      </c>
      <c r="AP1170" s="2127">
        <f>S1170-'Blocking-Step2'!S1170</f>
        <v>0</v>
      </c>
      <c r="AR1170" s="2127">
        <f>U1170-'Blocking-Step2'!U1170</f>
        <v>0</v>
      </c>
      <c r="AT1170" s="2127">
        <f>W1170-'Blocking-Step2'!W1170</f>
        <v>0</v>
      </c>
      <c r="AV1170" s="2128">
        <f>Y1170-'Blocking-Step2'!Y1170</f>
        <v>0</v>
      </c>
    </row>
    <row r="1171" spans="1:48">
      <c r="A1171" s="1116" t="s">
        <v>268</v>
      </c>
      <c r="B1171" s="1104">
        <v>2</v>
      </c>
      <c r="C1171" s="1105">
        <v>9098.6105302464457</v>
      </c>
      <c r="D1171" s="1105">
        <v>8903</v>
      </c>
      <c r="F1171" s="1907">
        <v>26.78</v>
      </c>
      <c r="G1171" s="1110"/>
      <c r="H1171" s="1146">
        <v>243661</v>
      </c>
      <c r="I1171" s="1146">
        <v>238422</v>
      </c>
      <c r="K1171" s="1907"/>
      <c r="L1171" s="1110"/>
      <c r="M1171" s="1907"/>
      <c r="N1171" s="1110"/>
      <c r="O1171" s="1907"/>
      <c r="P1171" s="1110"/>
      <c r="Q1171" s="1907"/>
      <c r="R1171" s="1110"/>
      <c r="S1171" s="1629"/>
      <c r="T1171" s="1629"/>
      <c r="U1171" s="1629"/>
      <c r="V1171" s="1629"/>
      <c r="W1171" s="1629"/>
      <c r="X1171" s="1629"/>
      <c r="Y1171" s="1146"/>
      <c r="Z1171" s="2114">
        <f>C1171-'Blocking-Step2'!C1171</f>
        <v>0</v>
      </c>
      <c r="AA1171" s="2114">
        <f>D1171-'Blocking-Step2'!D1171</f>
        <v>0</v>
      </c>
      <c r="AC1171" s="2114">
        <f>F1171-'Blocking-Step2'!F1171</f>
        <v>0</v>
      </c>
      <c r="AE1171" s="2114">
        <f>H1171-'Blocking-Step2'!H1171</f>
        <v>0</v>
      </c>
      <c r="AF1171" s="2114">
        <f>I1171-'Blocking-Step2'!I1171</f>
        <v>0</v>
      </c>
      <c r="AH1171" s="2136">
        <f>K1171-'Blocking-Step2'!K1171</f>
        <v>0</v>
      </c>
      <c r="AJ1171" s="2136">
        <f>M1171-'Blocking-Step2'!M1171</f>
        <v>0</v>
      </c>
      <c r="AL1171" s="2136">
        <f>O1171-'Blocking-Step2'!O1171</f>
        <v>0</v>
      </c>
      <c r="AN1171" s="2137">
        <f>Q1171-'Blocking-Step2'!Q1171</f>
        <v>0</v>
      </c>
      <c r="AP1171" s="2127">
        <f>S1171-'Blocking-Step2'!S1171</f>
        <v>0</v>
      </c>
      <c r="AR1171" s="2127">
        <f>U1171-'Blocking-Step2'!U1171</f>
        <v>0</v>
      </c>
      <c r="AT1171" s="2127">
        <f>W1171-'Blocking-Step2'!W1171</f>
        <v>0</v>
      </c>
      <c r="AV1171" s="2128">
        <f>Y1171-'Blocking-Step2'!Y1171</f>
        <v>0</v>
      </c>
    </row>
    <row r="1172" spans="1:48">
      <c r="A1172" s="1977" t="s">
        <v>269</v>
      </c>
      <c r="C1172" s="1105"/>
      <c r="D1172" s="1105"/>
      <c r="H1172" s="1146"/>
      <c r="I1172" s="1146"/>
      <c r="Y1172" s="1146"/>
      <c r="Z1172" s="2114">
        <f>C1172-'Blocking-Step2'!C1172</f>
        <v>0</v>
      </c>
      <c r="AA1172" s="2114">
        <f>D1172-'Blocking-Step2'!D1172</f>
        <v>0</v>
      </c>
      <c r="AC1172" s="2114">
        <f>F1172-'Blocking-Step2'!F1172</f>
        <v>0</v>
      </c>
      <c r="AE1172" s="2114">
        <f>H1172-'Blocking-Step2'!H1172</f>
        <v>0</v>
      </c>
      <c r="AF1172" s="2114">
        <f>I1172-'Blocking-Step2'!I1172</f>
        <v>0</v>
      </c>
      <c r="AH1172" s="2136">
        <f>K1172-'Blocking-Step2'!K1172</f>
        <v>0</v>
      </c>
      <c r="AJ1172" s="2136">
        <f>M1172-'Blocking-Step2'!M1172</f>
        <v>0</v>
      </c>
      <c r="AL1172" s="2136">
        <f>O1172-'Blocking-Step2'!O1172</f>
        <v>0</v>
      </c>
      <c r="AN1172" s="2137">
        <f>Q1172-'Blocking-Step2'!Q1172</f>
        <v>0</v>
      </c>
      <c r="AP1172" s="2127">
        <f>S1172-'Blocking-Step2'!S1172</f>
        <v>0</v>
      </c>
      <c r="AR1172" s="2127">
        <f>U1172-'Blocking-Step2'!U1172</f>
        <v>0</v>
      </c>
      <c r="AT1172" s="2127">
        <f>W1172-'Blocking-Step2'!W1172</f>
        <v>0</v>
      </c>
      <c r="AV1172" s="2128">
        <f>Y1172-'Blocking-Step2'!Y1172</f>
        <v>0</v>
      </c>
    </row>
    <row r="1173" spans="1:48">
      <c r="A1173" s="1116" t="s">
        <v>270</v>
      </c>
      <c r="B1173" s="1104">
        <v>3</v>
      </c>
      <c r="C1173" s="1105">
        <v>3544.3636986301349</v>
      </c>
      <c r="D1173" s="1105">
        <v>3408</v>
      </c>
      <c r="F1173" s="1907">
        <v>14.6</v>
      </c>
      <c r="G1173" s="1110"/>
      <c r="H1173" s="1146">
        <v>51748</v>
      </c>
      <c r="I1173" s="1146">
        <v>49757</v>
      </c>
      <c r="K1173" s="1907"/>
      <c r="L1173" s="1110"/>
      <c r="M1173" s="1907"/>
      <c r="N1173" s="1110"/>
      <c r="O1173" s="1907"/>
      <c r="P1173" s="1110"/>
      <c r="Q1173" s="1907"/>
      <c r="R1173" s="1110"/>
      <c r="S1173" s="1629"/>
      <c r="T1173" s="1629"/>
      <c r="U1173" s="1629"/>
      <c r="V1173" s="1629"/>
      <c r="W1173" s="1629"/>
      <c r="X1173" s="1629"/>
      <c r="Y1173" s="1146"/>
      <c r="Z1173" s="2114">
        <f>C1173-'Blocking-Step2'!C1173</f>
        <v>0</v>
      </c>
      <c r="AA1173" s="2114">
        <f>D1173-'Blocking-Step2'!D1173</f>
        <v>0</v>
      </c>
      <c r="AC1173" s="2114">
        <f>F1173-'Blocking-Step2'!F1173</f>
        <v>0</v>
      </c>
      <c r="AE1173" s="2114">
        <f>H1173-'Blocking-Step2'!H1173</f>
        <v>0</v>
      </c>
      <c r="AF1173" s="2114">
        <f>I1173-'Blocking-Step2'!I1173</f>
        <v>0</v>
      </c>
      <c r="AH1173" s="2136">
        <f>K1173-'Blocking-Step2'!K1173</f>
        <v>0</v>
      </c>
      <c r="AJ1173" s="2136">
        <f>M1173-'Blocking-Step2'!M1173</f>
        <v>0</v>
      </c>
      <c r="AL1173" s="2136">
        <f>O1173-'Blocking-Step2'!O1173</f>
        <v>0</v>
      </c>
      <c r="AN1173" s="2137">
        <f>Q1173-'Blocking-Step2'!Q1173</f>
        <v>0</v>
      </c>
      <c r="AP1173" s="2127">
        <f>S1173-'Blocking-Step2'!S1173</f>
        <v>0</v>
      </c>
      <c r="AR1173" s="2127">
        <f>U1173-'Blocking-Step2'!U1173</f>
        <v>0</v>
      </c>
      <c r="AT1173" s="2127">
        <f>W1173-'Blocking-Step2'!W1173</f>
        <v>0</v>
      </c>
      <c r="AV1173" s="2128">
        <f>Y1173-'Blocking-Step2'!Y1173</f>
        <v>0</v>
      </c>
    </row>
    <row r="1174" spans="1:48">
      <c r="A1174" s="1116" t="s">
        <v>271</v>
      </c>
      <c r="B1174" s="1104">
        <v>4</v>
      </c>
      <c r="C1174" s="1105">
        <v>1432.432542927228</v>
      </c>
      <c r="D1174" s="1105">
        <v>1393</v>
      </c>
      <c r="F1174" s="1907">
        <v>12.23</v>
      </c>
      <c r="G1174" s="1110"/>
      <c r="H1174" s="1146">
        <v>17519</v>
      </c>
      <c r="I1174" s="1146">
        <v>17036</v>
      </c>
      <c r="K1174" s="1907"/>
      <c r="L1174" s="1110"/>
      <c r="M1174" s="1907"/>
      <c r="N1174" s="1110"/>
      <c r="O1174" s="1907"/>
      <c r="P1174" s="1110"/>
      <c r="Q1174" s="1907"/>
      <c r="R1174" s="1110"/>
      <c r="S1174" s="1629"/>
      <c r="T1174" s="1629"/>
      <c r="U1174" s="1629"/>
      <c r="V1174" s="1629"/>
      <c r="W1174" s="1629"/>
      <c r="X1174" s="1629"/>
      <c r="Y1174" s="1146"/>
      <c r="Z1174" s="2114">
        <f>C1174-'Blocking-Step2'!C1174</f>
        <v>0</v>
      </c>
      <c r="AA1174" s="2114">
        <f>D1174-'Blocking-Step2'!D1174</f>
        <v>0</v>
      </c>
      <c r="AC1174" s="2114">
        <f>F1174-'Blocking-Step2'!F1174</f>
        <v>0</v>
      </c>
      <c r="AE1174" s="2114">
        <f>H1174-'Blocking-Step2'!H1174</f>
        <v>0</v>
      </c>
      <c r="AF1174" s="2114">
        <f>I1174-'Blocking-Step2'!I1174</f>
        <v>0</v>
      </c>
      <c r="AH1174" s="2136">
        <f>K1174-'Blocking-Step2'!K1174</f>
        <v>0</v>
      </c>
      <c r="AJ1174" s="2136">
        <f>M1174-'Blocking-Step2'!M1174</f>
        <v>0</v>
      </c>
      <c r="AL1174" s="2136">
        <f>O1174-'Blocking-Step2'!O1174</f>
        <v>0</v>
      </c>
      <c r="AN1174" s="2137">
        <f>Q1174-'Blocking-Step2'!Q1174</f>
        <v>0</v>
      </c>
      <c r="AP1174" s="2127">
        <f>S1174-'Blocking-Step2'!S1174</f>
        <v>0</v>
      </c>
      <c r="AR1174" s="2127">
        <f>U1174-'Blocking-Step2'!U1174</f>
        <v>0</v>
      </c>
      <c r="AT1174" s="2127">
        <f>W1174-'Blocking-Step2'!W1174</f>
        <v>0</v>
      </c>
      <c r="AV1174" s="2128">
        <f>Y1174-'Blocking-Step2'!Y1174</f>
        <v>0</v>
      </c>
    </row>
    <row r="1175" spans="1:48">
      <c r="A1175" s="1116" t="s">
        <v>272</v>
      </c>
      <c r="B1175" s="1104">
        <v>5</v>
      </c>
      <c r="C1175" s="1105">
        <v>22685.572721396195</v>
      </c>
      <c r="D1175" s="1105">
        <v>21807</v>
      </c>
      <c r="F1175" s="1907">
        <v>15.47</v>
      </c>
      <c r="G1175" s="1110"/>
      <c r="H1175" s="1146">
        <v>350946</v>
      </c>
      <c r="I1175" s="1146">
        <v>337354</v>
      </c>
      <c r="K1175" s="1907"/>
      <c r="L1175" s="1110"/>
      <c r="M1175" s="1907"/>
      <c r="N1175" s="1110"/>
      <c r="O1175" s="1907"/>
      <c r="P1175" s="1110"/>
      <c r="Q1175" s="1907"/>
      <c r="R1175" s="1110"/>
      <c r="S1175" s="1629"/>
      <c r="T1175" s="1629"/>
      <c r="U1175" s="1629"/>
      <c r="V1175" s="1629"/>
      <c r="W1175" s="1629"/>
      <c r="X1175" s="1629"/>
      <c r="Y1175" s="1146"/>
      <c r="Z1175" s="2114">
        <f>C1175-'Blocking-Step2'!C1175</f>
        <v>0</v>
      </c>
      <c r="AA1175" s="2114">
        <f>D1175-'Blocking-Step2'!D1175</f>
        <v>0</v>
      </c>
      <c r="AC1175" s="2114">
        <f>F1175-'Blocking-Step2'!F1175</f>
        <v>0</v>
      </c>
      <c r="AE1175" s="2114">
        <f>H1175-'Blocking-Step2'!H1175</f>
        <v>0</v>
      </c>
      <c r="AF1175" s="2114">
        <f>I1175-'Blocking-Step2'!I1175</f>
        <v>0</v>
      </c>
      <c r="AH1175" s="2136">
        <f>K1175-'Blocking-Step2'!K1175</f>
        <v>0</v>
      </c>
      <c r="AJ1175" s="2136">
        <f>M1175-'Blocking-Step2'!M1175</f>
        <v>0</v>
      </c>
      <c r="AL1175" s="2136">
        <f>O1175-'Blocking-Step2'!O1175</f>
        <v>0</v>
      </c>
      <c r="AN1175" s="2137">
        <f>Q1175-'Blocking-Step2'!Q1175</f>
        <v>0</v>
      </c>
      <c r="AP1175" s="2127">
        <f>S1175-'Blocking-Step2'!S1175</f>
        <v>0</v>
      </c>
      <c r="AR1175" s="2127">
        <f>U1175-'Blocking-Step2'!U1175</f>
        <v>0</v>
      </c>
      <c r="AT1175" s="2127">
        <f>W1175-'Blocking-Step2'!W1175</f>
        <v>0</v>
      </c>
      <c r="AV1175" s="2128">
        <f>Y1175-'Blocking-Step2'!Y1175</f>
        <v>0</v>
      </c>
    </row>
    <row r="1176" spans="1:48">
      <c r="A1176" s="1116" t="s">
        <v>273</v>
      </c>
      <c r="B1176" s="1104">
        <v>6</v>
      </c>
      <c r="C1176" s="1105">
        <v>17865.860255447038</v>
      </c>
      <c r="D1176" s="1105">
        <v>17345</v>
      </c>
      <c r="F1176" s="1907">
        <v>13.31</v>
      </c>
      <c r="G1176" s="1110"/>
      <c r="H1176" s="1146">
        <v>237795</v>
      </c>
      <c r="I1176" s="1146">
        <v>230862</v>
      </c>
      <c r="K1176" s="1907"/>
      <c r="L1176" s="1110"/>
      <c r="M1176" s="1907"/>
      <c r="N1176" s="1110"/>
      <c r="O1176" s="1907"/>
      <c r="P1176" s="1110"/>
      <c r="Q1176" s="1907"/>
      <c r="R1176" s="1110"/>
      <c r="S1176" s="1629"/>
      <c r="T1176" s="1629"/>
      <c r="U1176" s="1629"/>
      <c r="V1176" s="1629"/>
      <c r="W1176" s="1629"/>
      <c r="X1176" s="1629"/>
      <c r="Y1176" s="1146"/>
      <c r="Z1176" s="2114">
        <f>C1176-'Blocking-Step2'!C1176</f>
        <v>0</v>
      </c>
      <c r="AA1176" s="2114">
        <f>D1176-'Blocking-Step2'!D1176</f>
        <v>0</v>
      </c>
      <c r="AC1176" s="2114">
        <f>F1176-'Blocking-Step2'!F1176</f>
        <v>0</v>
      </c>
      <c r="AE1176" s="2114">
        <f>H1176-'Blocking-Step2'!H1176</f>
        <v>0</v>
      </c>
      <c r="AF1176" s="2114">
        <f>I1176-'Blocking-Step2'!I1176</f>
        <v>0</v>
      </c>
      <c r="AH1176" s="2136">
        <f>K1176-'Blocking-Step2'!K1176</f>
        <v>0</v>
      </c>
      <c r="AJ1176" s="2136">
        <f>M1176-'Blocking-Step2'!M1176</f>
        <v>0</v>
      </c>
      <c r="AL1176" s="2136">
        <f>O1176-'Blocking-Step2'!O1176</f>
        <v>0</v>
      </c>
      <c r="AN1176" s="2137">
        <f>Q1176-'Blocking-Step2'!Q1176</f>
        <v>0</v>
      </c>
      <c r="AP1176" s="2127">
        <f>S1176-'Blocking-Step2'!S1176</f>
        <v>0</v>
      </c>
      <c r="AR1176" s="2127">
        <f>U1176-'Blocking-Step2'!U1176</f>
        <v>0</v>
      </c>
      <c r="AT1176" s="2127">
        <f>W1176-'Blocking-Step2'!W1176</f>
        <v>0</v>
      </c>
      <c r="AV1176" s="2128">
        <f>Y1176-'Blocking-Step2'!Y1176</f>
        <v>0</v>
      </c>
    </row>
    <row r="1177" spans="1:48">
      <c r="A1177" s="1116" t="s">
        <v>274</v>
      </c>
      <c r="B1177" s="1104">
        <v>7</v>
      </c>
      <c r="C1177" s="1105">
        <v>3186.1654676258945</v>
      </c>
      <c r="D1177" s="1105">
        <v>3018</v>
      </c>
      <c r="F1177" s="1907">
        <v>19.46</v>
      </c>
      <c r="G1177" s="1110"/>
      <c r="H1177" s="1146">
        <v>62003</v>
      </c>
      <c r="I1177" s="1146">
        <v>58730</v>
      </c>
      <c r="K1177" s="1907"/>
      <c r="L1177" s="1110"/>
      <c r="M1177" s="1907"/>
      <c r="N1177" s="1110"/>
      <c r="O1177" s="1907"/>
      <c r="P1177" s="1110"/>
      <c r="Q1177" s="1907"/>
      <c r="R1177" s="1110"/>
      <c r="S1177" s="1629"/>
      <c r="T1177" s="1629"/>
      <c r="U1177" s="1629"/>
      <c r="V1177" s="1629"/>
      <c r="W1177" s="1629"/>
      <c r="X1177" s="1629"/>
      <c r="Y1177" s="1146"/>
      <c r="Z1177" s="2114">
        <f>C1177-'Blocking-Step2'!C1177</f>
        <v>0</v>
      </c>
      <c r="AA1177" s="2114">
        <f>D1177-'Blocking-Step2'!D1177</f>
        <v>0</v>
      </c>
      <c r="AC1177" s="2114">
        <f>F1177-'Blocking-Step2'!F1177</f>
        <v>0</v>
      </c>
      <c r="AE1177" s="2114">
        <f>H1177-'Blocking-Step2'!H1177</f>
        <v>0</v>
      </c>
      <c r="AF1177" s="2114">
        <f>I1177-'Blocking-Step2'!I1177</f>
        <v>0</v>
      </c>
      <c r="AH1177" s="2136">
        <f>K1177-'Blocking-Step2'!K1177</f>
        <v>0</v>
      </c>
      <c r="AJ1177" s="2136">
        <f>M1177-'Blocking-Step2'!M1177</f>
        <v>0</v>
      </c>
      <c r="AL1177" s="2136">
        <f>O1177-'Blocking-Step2'!O1177</f>
        <v>0</v>
      </c>
      <c r="AN1177" s="2137">
        <f>Q1177-'Blocking-Step2'!Q1177</f>
        <v>0</v>
      </c>
      <c r="AP1177" s="2127">
        <f>S1177-'Blocking-Step2'!S1177</f>
        <v>0</v>
      </c>
      <c r="AR1177" s="2127">
        <f>U1177-'Blocking-Step2'!U1177</f>
        <v>0</v>
      </c>
      <c r="AT1177" s="2127">
        <f>W1177-'Blocking-Step2'!W1177</f>
        <v>0</v>
      </c>
      <c r="AV1177" s="2128">
        <f>Y1177-'Blocking-Step2'!Y1177</f>
        <v>0</v>
      </c>
    </row>
    <row r="1178" spans="1:48">
      <c r="A1178" s="1116" t="s">
        <v>275</v>
      </c>
      <c r="B1178" s="1104">
        <v>8</v>
      </c>
      <c r="C1178" s="1105">
        <v>2284.6351430239388</v>
      </c>
      <c r="D1178" s="1105">
        <v>2209</v>
      </c>
      <c r="F1178" s="1907">
        <v>17.13</v>
      </c>
      <c r="G1178" s="1110"/>
      <c r="H1178" s="1146">
        <v>39136</v>
      </c>
      <c r="I1178" s="1146">
        <v>37840</v>
      </c>
      <c r="K1178" s="1907"/>
      <c r="L1178" s="1110"/>
      <c r="M1178" s="1907"/>
      <c r="N1178" s="1110"/>
      <c r="O1178" s="1907"/>
      <c r="P1178" s="1110"/>
      <c r="Q1178" s="1907"/>
      <c r="R1178" s="1110"/>
      <c r="S1178" s="1629"/>
      <c r="T1178" s="1629"/>
      <c r="U1178" s="1629"/>
      <c r="V1178" s="1629"/>
      <c r="W1178" s="1629"/>
      <c r="X1178" s="1629"/>
      <c r="Y1178" s="1146"/>
      <c r="Z1178" s="2114">
        <f>C1178-'Blocking-Step2'!C1178</f>
        <v>0</v>
      </c>
      <c r="AA1178" s="2114">
        <f>D1178-'Blocking-Step2'!D1178</f>
        <v>0</v>
      </c>
      <c r="AC1178" s="2114">
        <f>F1178-'Blocking-Step2'!F1178</f>
        <v>0</v>
      </c>
      <c r="AE1178" s="2114">
        <f>H1178-'Blocking-Step2'!H1178</f>
        <v>0</v>
      </c>
      <c r="AF1178" s="2114">
        <f>I1178-'Blocking-Step2'!I1178</f>
        <v>0</v>
      </c>
      <c r="AH1178" s="2136">
        <f>K1178-'Blocking-Step2'!K1178</f>
        <v>0</v>
      </c>
      <c r="AJ1178" s="2136">
        <f>M1178-'Blocking-Step2'!M1178</f>
        <v>0</v>
      </c>
      <c r="AL1178" s="2136">
        <f>O1178-'Blocking-Step2'!O1178</f>
        <v>0</v>
      </c>
      <c r="AN1178" s="2137">
        <f>Q1178-'Blocking-Step2'!Q1178</f>
        <v>0</v>
      </c>
      <c r="AP1178" s="2127">
        <f>S1178-'Blocking-Step2'!S1178</f>
        <v>0</v>
      </c>
      <c r="AR1178" s="2127">
        <f>U1178-'Blocking-Step2'!U1178</f>
        <v>0</v>
      </c>
      <c r="AT1178" s="2127">
        <f>W1178-'Blocking-Step2'!W1178</f>
        <v>0</v>
      </c>
      <c r="AV1178" s="2128">
        <f>Y1178-'Blocking-Step2'!Y1178</f>
        <v>0</v>
      </c>
    </row>
    <row r="1179" spans="1:48">
      <c r="A1179" s="1116" t="s">
        <v>276</v>
      </c>
      <c r="B1179" s="1104">
        <v>9</v>
      </c>
      <c r="C1179" s="1105">
        <v>96.233507356430906</v>
      </c>
      <c r="D1179" s="1105">
        <v>90</v>
      </c>
      <c r="F1179" s="1907">
        <v>21.07</v>
      </c>
      <c r="G1179" s="1110"/>
      <c r="H1179" s="1146">
        <v>2028</v>
      </c>
      <c r="I1179" s="1146">
        <v>1896</v>
      </c>
      <c r="K1179" s="1907"/>
      <c r="L1179" s="1110"/>
      <c r="M1179" s="1907"/>
      <c r="N1179" s="1110"/>
      <c r="O1179" s="1907"/>
      <c r="P1179" s="1110"/>
      <c r="Q1179" s="1907"/>
      <c r="R1179" s="1110"/>
      <c r="S1179" s="1629"/>
      <c r="T1179" s="1629"/>
      <c r="U1179" s="1629"/>
      <c r="V1179" s="1629"/>
      <c r="W1179" s="1629"/>
      <c r="X1179" s="1629"/>
      <c r="Y1179" s="1146"/>
      <c r="Z1179" s="2114">
        <f>C1179-'Blocking-Step2'!C1179</f>
        <v>0</v>
      </c>
      <c r="AA1179" s="2114">
        <f>D1179-'Blocking-Step2'!D1179</f>
        <v>0</v>
      </c>
      <c r="AC1179" s="2114">
        <f>F1179-'Blocking-Step2'!F1179</f>
        <v>0</v>
      </c>
      <c r="AE1179" s="2114">
        <f>H1179-'Blocking-Step2'!H1179</f>
        <v>0</v>
      </c>
      <c r="AF1179" s="2114">
        <f>I1179-'Blocking-Step2'!I1179</f>
        <v>0</v>
      </c>
      <c r="AH1179" s="2136">
        <f>K1179-'Blocking-Step2'!K1179</f>
        <v>0</v>
      </c>
      <c r="AJ1179" s="2136">
        <f>M1179-'Blocking-Step2'!M1179</f>
        <v>0</v>
      </c>
      <c r="AL1179" s="2136">
        <f>O1179-'Blocking-Step2'!O1179</f>
        <v>0</v>
      </c>
      <c r="AN1179" s="2137">
        <f>Q1179-'Blocking-Step2'!Q1179</f>
        <v>0</v>
      </c>
      <c r="AP1179" s="2127">
        <f>S1179-'Blocking-Step2'!S1179</f>
        <v>0</v>
      </c>
      <c r="AR1179" s="2127">
        <f>U1179-'Blocking-Step2'!U1179</f>
        <v>0</v>
      </c>
      <c r="AT1179" s="2127">
        <f>W1179-'Blocking-Step2'!W1179</f>
        <v>0</v>
      </c>
      <c r="AV1179" s="2128">
        <f>Y1179-'Blocking-Step2'!Y1179</f>
        <v>0</v>
      </c>
    </row>
    <row r="1180" spans="1:48">
      <c r="A1180" s="1116" t="s">
        <v>277</v>
      </c>
      <c r="B1180" s="1104">
        <v>10</v>
      </c>
      <c r="C1180" s="1105">
        <v>3256.3994045087184</v>
      </c>
      <c r="D1180" s="1105">
        <v>3084</v>
      </c>
      <c r="F1180" s="1907">
        <v>23.51</v>
      </c>
      <c r="G1180" s="1110"/>
      <c r="H1180" s="1146">
        <v>76558</v>
      </c>
      <c r="I1180" s="1146">
        <v>72505</v>
      </c>
      <c r="K1180" s="1907"/>
      <c r="L1180" s="1110"/>
      <c r="M1180" s="1907"/>
      <c r="N1180" s="1110"/>
      <c r="O1180" s="1907"/>
      <c r="P1180" s="1110"/>
      <c r="Q1180" s="1907"/>
      <c r="R1180" s="1110"/>
      <c r="S1180" s="1629"/>
      <c r="T1180" s="1629"/>
      <c r="U1180" s="1629"/>
      <c r="V1180" s="1629"/>
      <c r="W1180" s="1629"/>
      <c r="X1180" s="1629"/>
      <c r="Y1180" s="1146"/>
      <c r="Z1180" s="2114">
        <f>C1180-'Blocking-Step2'!C1180</f>
        <v>0</v>
      </c>
      <c r="AA1180" s="2114">
        <f>D1180-'Blocking-Step2'!D1180</f>
        <v>0</v>
      </c>
      <c r="AC1180" s="2114">
        <f>F1180-'Blocking-Step2'!F1180</f>
        <v>0</v>
      </c>
      <c r="AE1180" s="2114">
        <f>H1180-'Blocking-Step2'!H1180</f>
        <v>0</v>
      </c>
      <c r="AF1180" s="2114">
        <f>I1180-'Blocking-Step2'!I1180</f>
        <v>0</v>
      </c>
      <c r="AH1180" s="2136">
        <f>K1180-'Blocking-Step2'!K1180</f>
        <v>0</v>
      </c>
      <c r="AJ1180" s="2136">
        <f>M1180-'Blocking-Step2'!M1180</f>
        <v>0</v>
      </c>
      <c r="AL1180" s="2136">
        <f>O1180-'Blocking-Step2'!O1180</f>
        <v>0</v>
      </c>
      <c r="AN1180" s="2137">
        <f>Q1180-'Blocking-Step2'!Q1180</f>
        <v>0</v>
      </c>
      <c r="AP1180" s="2127">
        <f>S1180-'Blocking-Step2'!S1180</f>
        <v>0</v>
      </c>
      <c r="AR1180" s="2127">
        <f>U1180-'Blocking-Step2'!U1180</f>
        <v>0</v>
      </c>
      <c r="AT1180" s="2127">
        <f>W1180-'Blocking-Step2'!W1180</f>
        <v>0</v>
      </c>
      <c r="AV1180" s="2128">
        <f>Y1180-'Blocking-Step2'!Y1180</f>
        <v>0</v>
      </c>
    </row>
    <row r="1181" spans="1:48">
      <c r="A1181" s="1116" t="s">
        <v>278</v>
      </c>
      <c r="B1181" s="1104">
        <v>11</v>
      </c>
      <c r="C1181" s="1105">
        <v>3903.236457842675</v>
      </c>
      <c r="D1181" s="1105">
        <v>3792</v>
      </c>
      <c r="F1181" s="1907">
        <v>21.23</v>
      </c>
      <c r="G1181" s="1110"/>
      <c r="H1181" s="1146">
        <v>82866</v>
      </c>
      <c r="I1181" s="1146">
        <v>80504</v>
      </c>
      <c r="K1181" s="1907"/>
      <c r="L1181" s="1110"/>
      <c r="M1181" s="1907"/>
      <c r="N1181" s="1110"/>
      <c r="O1181" s="1907"/>
      <c r="P1181" s="1110"/>
      <c r="Q1181" s="1907"/>
      <c r="R1181" s="1110"/>
      <c r="S1181" s="1629"/>
      <c r="T1181" s="1629"/>
      <c r="U1181" s="1629"/>
      <c r="V1181" s="1629"/>
      <c r="W1181" s="1629"/>
      <c r="X1181" s="1629"/>
      <c r="Y1181" s="1146"/>
      <c r="Z1181" s="2114">
        <f>C1181-'Blocking-Step2'!C1181</f>
        <v>0</v>
      </c>
      <c r="AA1181" s="2114">
        <f>D1181-'Blocking-Step2'!D1181</f>
        <v>0</v>
      </c>
      <c r="AC1181" s="2114">
        <f>F1181-'Blocking-Step2'!F1181</f>
        <v>0</v>
      </c>
      <c r="AE1181" s="2114">
        <f>H1181-'Blocking-Step2'!H1181</f>
        <v>0</v>
      </c>
      <c r="AF1181" s="2114">
        <f>I1181-'Blocking-Step2'!I1181</f>
        <v>0</v>
      </c>
      <c r="AH1181" s="2136">
        <f>K1181-'Blocking-Step2'!K1181</f>
        <v>0</v>
      </c>
      <c r="AJ1181" s="2136">
        <f>M1181-'Blocking-Step2'!M1181</f>
        <v>0</v>
      </c>
      <c r="AL1181" s="2136">
        <f>O1181-'Blocking-Step2'!O1181</f>
        <v>0</v>
      </c>
      <c r="AN1181" s="2137">
        <f>Q1181-'Blocking-Step2'!Q1181</f>
        <v>0</v>
      </c>
      <c r="AP1181" s="2127">
        <f>S1181-'Blocking-Step2'!S1181</f>
        <v>0</v>
      </c>
      <c r="AR1181" s="2127">
        <f>U1181-'Blocking-Step2'!U1181</f>
        <v>0</v>
      </c>
      <c r="AT1181" s="2127">
        <f>W1181-'Blocking-Step2'!W1181</f>
        <v>0</v>
      </c>
      <c r="AV1181" s="2128">
        <f>Y1181-'Blocking-Step2'!Y1181</f>
        <v>0</v>
      </c>
    </row>
    <row r="1182" spans="1:48">
      <c r="A1182" s="1116" t="s">
        <v>279</v>
      </c>
      <c r="B1182" s="1104">
        <v>12</v>
      </c>
      <c r="C1182" s="1105">
        <v>2083.0886925795062</v>
      </c>
      <c r="D1182" s="1105">
        <v>1972</v>
      </c>
      <c r="F1182" s="1907">
        <v>28.3</v>
      </c>
      <c r="G1182" s="1110"/>
      <c r="H1182" s="1146">
        <v>58951</v>
      </c>
      <c r="I1182" s="1146">
        <v>55808</v>
      </c>
      <c r="K1182" s="1907"/>
      <c r="L1182" s="1110"/>
      <c r="M1182" s="1907"/>
      <c r="N1182" s="1110"/>
      <c r="O1182" s="1907"/>
      <c r="P1182" s="1110"/>
      <c r="Q1182" s="1907"/>
      <c r="R1182" s="1110"/>
      <c r="S1182" s="1629"/>
      <c r="T1182" s="1629"/>
      <c r="U1182" s="1629"/>
      <c r="V1182" s="1629"/>
      <c r="W1182" s="1629"/>
      <c r="X1182" s="1629"/>
      <c r="Y1182" s="1146"/>
      <c r="Z1182" s="2114">
        <f>C1182-'Blocking-Step2'!C1182</f>
        <v>0</v>
      </c>
      <c r="AA1182" s="2114">
        <f>D1182-'Blocking-Step2'!D1182</f>
        <v>0</v>
      </c>
      <c r="AC1182" s="2114">
        <f>F1182-'Blocking-Step2'!F1182</f>
        <v>0</v>
      </c>
      <c r="AE1182" s="2114">
        <f>H1182-'Blocking-Step2'!H1182</f>
        <v>0</v>
      </c>
      <c r="AF1182" s="2114">
        <f>I1182-'Blocking-Step2'!I1182</f>
        <v>0</v>
      </c>
      <c r="AH1182" s="2136">
        <f>K1182-'Blocking-Step2'!K1182</f>
        <v>0</v>
      </c>
      <c r="AJ1182" s="2136">
        <f>M1182-'Blocking-Step2'!M1182</f>
        <v>0</v>
      </c>
      <c r="AL1182" s="2136">
        <f>O1182-'Blocking-Step2'!O1182</f>
        <v>0</v>
      </c>
      <c r="AN1182" s="2137">
        <f>Q1182-'Blocking-Step2'!Q1182</f>
        <v>0</v>
      </c>
      <c r="AP1182" s="2127">
        <f>S1182-'Blocking-Step2'!S1182</f>
        <v>0</v>
      </c>
      <c r="AR1182" s="2127">
        <f>U1182-'Blocking-Step2'!U1182</f>
        <v>0</v>
      </c>
      <c r="AT1182" s="2127">
        <f>W1182-'Blocking-Step2'!W1182</f>
        <v>0</v>
      </c>
      <c r="AV1182" s="2128">
        <f>Y1182-'Blocking-Step2'!Y1182</f>
        <v>0</v>
      </c>
    </row>
    <row r="1183" spans="1:48">
      <c r="A1183" s="1116" t="s">
        <v>280</v>
      </c>
      <c r="B1183" s="1104">
        <v>13</v>
      </c>
      <c r="C1183" s="1105">
        <v>2142.9330511735266</v>
      </c>
      <c r="D1183" s="1105">
        <v>2067</v>
      </c>
      <c r="F1183" s="1907">
        <v>25.99</v>
      </c>
      <c r="G1183" s="1110"/>
      <c r="H1183" s="1146">
        <v>55695</v>
      </c>
      <c r="I1183" s="1146">
        <v>53721</v>
      </c>
      <c r="K1183" s="1907"/>
      <c r="L1183" s="1110"/>
      <c r="M1183" s="1907"/>
      <c r="N1183" s="1110"/>
      <c r="O1183" s="1907"/>
      <c r="P1183" s="1110"/>
      <c r="Q1183" s="1907"/>
      <c r="R1183" s="1110"/>
      <c r="S1183" s="1629"/>
      <c r="T1183" s="1629"/>
      <c r="U1183" s="1629"/>
      <c r="V1183" s="1629"/>
      <c r="W1183" s="1629"/>
      <c r="X1183" s="1629"/>
      <c r="Y1183" s="1146"/>
      <c r="Z1183" s="2114">
        <f>C1183-'Blocking-Step2'!C1183</f>
        <v>0</v>
      </c>
      <c r="AA1183" s="2114">
        <f>D1183-'Blocking-Step2'!D1183</f>
        <v>0</v>
      </c>
      <c r="AC1183" s="2114">
        <f>F1183-'Blocking-Step2'!F1183</f>
        <v>0</v>
      </c>
      <c r="AE1183" s="2114">
        <f>H1183-'Blocking-Step2'!H1183</f>
        <v>0</v>
      </c>
      <c r="AF1183" s="2114">
        <f>I1183-'Blocking-Step2'!I1183</f>
        <v>0</v>
      </c>
      <c r="AH1183" s="2136">
        <f>K1183-'Blocking-Step2'!K1183</f>
        <v>0</v>
      </c>
      <c r="AJ1183" s="2136">
        <f>M1183-'Blocking-Step2'!M1183</f>
        <v>0</v>
      </c>
      <c r="AL1183" s="2136">
        <f>O1183-'Blocking-Step2'!O1183</f>
        <v>0</v>
      </c>
      <c r="AN1183" s="2137">
        <f>Q1183-'Blocking-Step2'!Q1183</f>
        <v>0</v>
      </c>
      <c r="AP1183" s="2127">
        <f>S1183-'Blocking-Step2'!S1183</f>
        <v>0</v>
      </c>
      <c r="AR1183" s="2127">
        <f>U1183-'Blocking-Step2'!U1183</f>
        <v>0</v>
      </c>
      <c r="AT1183" s="2127">
        <f>W1183-'Blocking-Step2'!W1183</f>
        <v>0</v>
      </c>
      <c r="AV1183" s="2128">
        <f>Y1183-'Blocking-Step2'!Y1183</f>
        <v>0</v>
      </c>
    </row>
    <row r="1184" spans="1:48">
      <c r="A1184" s="1977" t="s">
        <v>281</v>
      </c>
      <c r="C1184" s="1105"/>
      <c r="D1184" s="1105"/>
      <c r="H1184" s="1146"/>
      <c r="I1184" s="1146"/>
      <c r="Y1184" s="1146"/>
      <c r="Z1184" s="2114">
        <f>C1184-'Blocking-Step2'!C1184</f>
        <v>0</v>
      </c>
      <c r="AA1184" s="2114">
        <f>D1184-'Blocking-Step2'!D1184</f>
        <v>0</v>
      </c>
      <c r="AC1184" s="2114">
        <f>F1184-'Blocking-Step2'!F1184</f>
        <v>0</v>
      </c>
      <c r="AE1184" s="2114">
        <f>H1184-'Blocking-Step2'!H1184</f>
        <v>0</v>
      </c>
      <c r="AF1184" s="2114">
        <f>I1184-'Blocking-Step2'!I1184</f>
        <v>0</v>
      </c>
      <c r="AH1184" s="2136">
        <f>K1184-'Blocking-Step2'!K1184</f>
        <v>0</v>
      </c>
      <c r="AJ1184" s="2136">
        <f>M1184-'Blocking-Step2'!M1184</f>
        <v>0</v>
      </c>
      <c r="AL1184" s="2136">
        <f>O1184-'Blocking-Step2'!O1184</f>
        <v>0</v>
      </c>
      <c r="AN1184" s="2137">
        <f>Q1184-'Blocking-Step2'!Q1184</f>
        <v>0</v>
      </c>
      <c r="AP1184" s="2127">
        <f>S1184-'Blocking-Step2'!S1184</f>
        <v>0</v>
      </c>
      <c r="AR1184" s="2127">
        <f>U1184-'Blocking-Step2'!U1184</f>
        <v>0</v>
      </c>
      <c r="AT1184" s="2127">
        <f>W1184-'Blocking-Step2'!W1184</f>
        <v>0</v>
      </c>
      <c r="AV1184" s="2128">
        <f>Y1184-'Blocking-Step2'!Y1184</f>
        <v>0</v>
      </c>
    </row>
    <row r="1185" spans="1:48">
      <c r="A1185" s="1116" t="s">
        <v>274</v>
      </c>
      <c r="B1185" s="1104">
        <v>14</v>
      </c>
      <c r="C1185" s="1105">
        <v>4218.9188078108982</v>
      </c>
      <c r="D1185" s="1105">
        <v>4104</v>
      </c>
      <c r="F1185" s="1907">
        <v>19.46</v>
      </c>
      <c r="G1185" s="1110"/>
      <c r="H1185" s="1146">
        <v>82100</v>
      </c>
      <c r="I1185" s="1146">
        <v>79864</v>
      </c>
      <c r="K1185" s="1907"/>
      <c r="L1185" s="1110"/>
      <c r="M1185" s="1907"/>
      <c r="N1185" s="1110"/>
      <c r="O1185" s="1907"/>
      <c r="P1185" s="1110"/>
      <c r="Q1185" s="1907"/>
      <c r="R1185" s="1110"/>
      <c r="S1185" s="1629"/>
      <c r="T1185" s="1629"/>
      <c r="U1185" s="1629"/>
      <c r="V1185" s="1629"/>
      <c r="W1185" s="1629"/>
      <c r="X1185" s="1629"/>
      <c r="Y1185" s="1146"/>
      <c r="Z1185" s="2114">
        <f>C1185-'Blocking-Step2'!C1185</f>
        <v>0</v>
      </c>
      <c r="AA1185" s="2114">
        <f>D1185-'Blocking-Step2'!D1185</f>
        <v>0</v>
      </c>
      <c r="AC1185" s="2114">
        <f>F1185-'Blocking-Step2'!F1185</f>
        <v>0</v>
      </c>
      <c r="AE1185" s="2114">
        <f>H1185-'Blocking-Step2'!H1185</f>
        <v>0</v>
      </c>
      <c r="AF1185" s="2114">
        <f>I1185-'Blocking-Step2'!I1185</f>
        <v>0</v>
      </c>
      <c r="AH1185" s="2136">
        <f>K1185-'Blocking-Step2'!K1185</f>
        <v>0</v>
      </c>
      <c r="AJ1185" s="2136">
        <f>M1185-'Blocking-Step2'!M1185</f>
        <v>0</v>
      </c>
      <c r="AL1185" s="2136">
        <f>O1185-'Blocking-Step2'!O1185</f>
        <v>0</v>
      </c>
      <c r="AN1185" s="2137">
        <f>Q1185-'Blocking-Step2'!Q1185</f>
        <v>0</v>
      </c>
      <c r="AP1185" s="2127">
        <f>S1185-'Blocking-Step2'!S1185</f>
        <v>0</v>
      </c>
      <c r="AR1185" s="2127">
        <f>U1185-'Blocking-Step2'!U1185</f>
        <v>0</v>
      </c>
      <c r="AT1185" s="2127">
        <f>W1185-'Blocking-Step2'!W1185</f>
        <v>0</v>
      </c>
      <c r="AV1185" s="2128">
        <f>Y1185-'Blocking-Step2'!Y1185</f>
        <v>0</v>
      </c>
    </row>
    <row r="1186" spans="1:48">
      <c r="A1186" s="1116" t="s">
        <v>275</v>
      </c>
      <c r="B1186" s="1104">
        <v>15</v>
      </c>
      <c r="C1186" s="1105">
        <v>4637.4354932866354</v>
      </c>
      <c r="D1186" s="1105">
        <v>4494</v>
      </c>
      <c r="F1186" s="1907">
        <v>17.13</v>
      </c>
      <c r="G1186" s="1110"/>
      <c r="H1186" s="1146">
        <v>79439</v>
      </c>
      <c r="I1186" s="1146">
        <v>76982</v>
      </c>
      <c r="K1186" s="1907"/>
      <c r="L1186" s="1110"/>
      <c r="M1186" s="1907"/>
      <c r="N1186" s="1110"/>
      <c r="O1186" s="1907"/>
      <c r="P1186" s="1110"/>
      <c r="Q1186" s="1907"/>
      <c r="R1186" s="1110"/>
      <c r="S1186" s="1629"/>
      <c r="T1186" s="1629"/>
      <c r="U1186" s="1629"/>
      <c r="V1186" s="1629"/>
      <c r="W1186" s="1629"/>
      <c r="X1186" s="1629"/>
      <c r="Y1186" s="1146"/>
      <c r="Z1186" s="2114">
        <f>C1186-'Blocking-Step2'!C1186</f>
        <v>0</v>
      </c>
      <c r="AA1186" s="2114">
        <f>D1186-'Blocking-Step2'!D1186</f>
        <v>0</v>
      </c>
      <c r="AC1186" s="2114">
        <f>F1186-'Blocking-Step2'!F1186</f>
        <v>0</v>
      </c>
      <c r="AE1186" s="2114">
        <f>H1186-'Blocking-Step2'!H1186</f>
        <v>0</v>
      </c>
      <c r="AF1186" s="2114">
        <f>I1186-'Blocking-Step2'!I1186</f>
        <v>0</v>
      </c>
      <c r="AH1186" s="2136">
        <f>K1186-'Blocking-Step2'!K1186</f>
        <v>0</v>
      </c>
      <c r="AJ1186" s="2136">
        <f>M1186-'Blocking-Step2'!M1186</f>
        <v>0</v>
      </c>
      <c r="AL1186" s="2136">
        <f>O1186-'Blocking-Step2'!O1186</f>
        <v>0</v>
      </c>
      <c r="AN1186" s="2137">
        <f>Q1186-'Blocking-Step2'!Q1186</f>
        <v>0</v>
      </c>
      <c r="AP1186" s="2127">
        <f>S1186-'Blocking-Step2'!S1186</f>
        <v>0</v>
      </c>
      <c r="AR1186" s="2127">
        <f>U1186-'Blocking-Step2'!U1186</f>
        <v>0</v>
      </c>
      <c r="AT1186" s="2127">
        <f>W1186-'Blocking-Step2'!W1186</f>
        <v>0</v>
      </c>
      <c r="AV1186" s="2128">
        <f>Y1186-'Blocking-Step2'!Y1186</f>
        <v>0</v>
      </c>
    </row>
    <row r="1187" spans="1:48">
      <c r="A1187" s="1116" t="s">
        <v>277</v>
      </c>
      <c r="B1187" s="1104">
        <v>16</v>
      </c>
      <c r="C1187" s="1105">
        <v>943.19906422798852</v>
      </c>
      <c r="D1187" s="1105">
        <v>906</v>
      </c>
      <c r="F1187" s="1907">
        <v>23.51</v>
      </c>
      <c r="G1187" s="1110"/>
      <c r="H1187" s="1146">
        <v>22175</v>
      </c>
      <c r="I1187" s="1146">
        <v>21300</v>
      </c>
      <c r="K1187" s="1907"/>
      <c r="L1187" s="1110"/>
      <c r="M1187" s="1907"/>
      <c r="N1187" s="1110"/>
      <c r="O1187" s="1907"/>
      <c r="P1187" s="1110"/>
      <c r="Q1187" s="1907"/>
      <c r="R1187" s="1110"/>
      <c r="S1187" s="1629"/>
      <c r="T1187" s="1629"/>
      <c r="U1187" s="1629"/>
      <c r="V1187" s="1629"/>
      <c r="W1187" s="1629"/>
      <c r="X1187" s="1629"/>
      <c r="Y1187" s="1146"/>
      <c r="Z1187" s="2114">
        <f>C1187-'Blocking-Step2'!C1187</f>
        <v>0</v>
      </c>
      <c r="AA1187" s="2114">
        <f>D1187-'Blocking-Step2'!D1187</f>
        <v>0</v>
      </c>
      <c r="AC1187" s="2114">
        <f>F1187-'Blocking-Step2'!F1187</f>
        <v>0</v>
      </c>
      <c r="AE1187" s="2114">
        <f>H1187-'Blocking-Step2'!H1187</f>
        <v>0</v>
      </c>
      <c r="AF1187" s="2114">
        <f>I1187-'Blocking-Step2'!I1187</f>
        <v>0</v>
      </c>
      <c r="AH1187" s="2136">
        <f>K1187-'Blocking-Step2'!K1187</f>
        <v>0</v>
      </c>
      <c r="AJ1187" s="2136">
        <f>M1187-'Blocking-Step2'!M1187</f>
        <v>0</v>
      </c>
      <c r="AL1187" s="2136">
        <f>O1187-'Blocking-Step2'!O1187</f>
        <v>0</v>
      </c>
      <c r="AN1187" s="2137">
        <f>Q1187-'Blocking-Step2'!Q1187</f>
        <v>0</v>
      </c>
      <c r="AP1187" s="2127">
        <f>S1187-'Blocking-Step2'!S1187</f>
        <v>0</v>
      </c>
      <c r="AR1187" s="2127">
        <f>U1187-'Blocking-Step2'!U1187</f>
        <v>0</v>
      </c>
      <c r="AT1187" s="2127">
        <f>W1187-'Blocking-Step2'!W1187</f>
        <v>0</v>
      </c>
      <c r="AV1187" s="2128">
        <f>Y1187-'Blocking-Step2'!Y1187</f>
        <v>0</v>
      </c>
    </row>
    <row r="1188" spans="1:48">
      <c r="A1188" s="1116" t="s">
        <v>278</v>
      </c>
      <c r="B1188" s="1104">
        <v>17</v>
      </c>
      <c r="C1188" s="1105">
        <v>1248.0325011775799</v>
      </c>
      <c r="D1188" s="1105">
        <v>1206</v>
      </c>
      <c r="F1188" s="1907">
        <v>21.23</v>
      </c>
      <c r="G1188" s="1110"/>
      <c r="H1188" s="1146">
        <v>26496</v>
      </c>
      <c r="I1188" s="1146">
        <v>25603</v>
      </c>
      <c r="K1188" s="1907"/>
      <c r="L1188" s="1110"/>
      <c r="M1188" s="1907"/>
      <c r="N1188" s="1110"/>
      <c r="O1188" s="1907"/>
      <c r="P1188" s="1110"/>
      <c r="Q1188" s="1907"/>
      <c r="R1188" s="1110"/>
      <c r="S1188" s="1629"/>
      <c r="T1188" s="1629"/>
      <c r="U1188" s="1629"/>
      <c r="V1188" s="1629"/>
      <c r="W1188" s="1629"/>
      <c r="X1188" s="1629"/>
      <c r="Y1188" s="1146"/>
      <c r="Z1188" s="2114">
        <f>C1188-'Blocking-Step2'!C1188</f>
        <v>0</v>
      </c>
      <c r="AA1188" s="2114">
        <f>D1188-'Blocking-Step2'!D1188</f>
        <v>0</v>
      </c>
      <c r="AC1188" s="2114">
        <f>F1188-'Blocking-Step2'!F1188</f>
        <v>0</v>
      </c>
      <c r="AE1188" s="2114">
        <f>H1188-'Blocking-Step2'!H1188</f>
        <v>0</v>
      </c>
      <c r="AF1188" s="2114">
        <f>I1188-'Blocking-Step2'!I1188</f>
        <v>0</v>
      </c>
      <c r="AH1188" s="2136">
        <f>K1188-'Blocking-Step2'!K1188</f>
        <v>0</v>
      </c>
      <c r="AJ1188" s="2136">
        <f>M1188-'Blocking-Step2'!M1188</f>
        <v>0</v>
      </c>
      <c r="AL1188" s="2136">
        <f>O1188-'Blocking-Step2'!O1188</f>
        <v>0</v>
      </c>
      <c r="AN1188" s="2137">
        <f>Q1188-'Blocking-Step2'!Q1188</f>
        <v>0</v>
      </c>
      <c r="AP1188" s="2127">
        <f>S1188-'Blocking-Step2'!S1188</f>
        <v>0</v>
      </c>
      <c r="AR1188" s="2127">
        <f>U1188-'Blocking-Step2'!U1188</f>
        <v>0</v>
      </c>
      <c r="AT1188" s="2127">
        <f>W1188-'Blocking-Step2'!W1188</f>
        <v>0</v>
      </c>
      <c r="AV1188" s="2128">
        <f>Y1188-'Blocking-Step2'!Y1188</f>
        <v>0</v>
      </c>
    </row>
    <row r="1189" spans="1:48">
      <c r="A1189" s="1116" t="s">
        <v>279</v>
      </c>
      <c r="B1189" s="1104">
        <v>18</v>
      </c>
      <c r="C1189" s="1105">
        <v>8440.1773851590024</v>
      </c>
      <c r="D1189" s="1105">
        <v>8226</v>
      </c>
      <c r="F1189" s="1907">
        <v>28.3</v>
      </c>
      <c r="G1189" s="1110"/>
      <c r="H1189" s="1146">
        <v>238857</v>
      </c>
      <c r="I1189" s="1146">
        <v>232796</v>
      </c>
      <c r="K1189" s="1907"/>
      <c r="L1189" s="1110"/>
      <c r="M1189" s="1907"/>
      <c r="N1189" s="1110"/>
      <c r="O1189" s="1907"/>
      <c r="P1189" s="1110"/>
      <c r="Q1189" s="1907"/>
      <c r="R1189" s="1110"/>
      <c r="S1189" s="1629"/>
      <c r="T1189" s="1629"/>
      <c r="U1189" s="1629"/>
      <c r="V1189" s="1629"/>
      <c r="W1189" s="1629"/>
      <c r="X1189" s="1629"/>
      <c r="Y1189" s="1146"/>
      <c r="Z1189" s="2114">
        <f>C1189-'Blocking-Step2'!C1189</f>
        <v>0</v>
      </c>
      <c r="AA1189" s="2114">
        <f>D1189-'Blocking-Step2'!D1189</f>
        <v>0</v>
      </c>
      <c r="AC1189" s="2114">
        <f>F1189-'Blocking-Step2'!F1189</f>
        <v>0</v>
      </c>
      <c r="AE1189" s="2114">
        <f>H1189-'Blocking-Step2'!H1189</f>
        <v>0</v>
      </c>
      <c r="AF1189" s="2114">
        <f>I1189-'Blocking-Step2'!I1189</f>
        <v>0</v>
      </c>
      <c r="AH1189" s="2136">
        <f>K1189-'Blocking-Step2'!K1189</f>
        <v>0</v>
      </c>
      <c r="AJ1189" s="2136">
        <f>M1189-'Blocking-Step2'!M1189</f>
        <v>0</v>
      </c>
      <c r="AL1189" s="2136">
        <f>O1189-'Blocking-Step2'!O1189</f>
        <v>0</v>
      </c>
      <c r="AN1189" s="2137">
        <f>Q1189-'Blocking-Step2'!Q1189</f>
        <v>0</v>
      </c>
      <c r="AP1189" s="2127">
        <f>S1189-'Blocking-Step2'!S1189</f>
        <v>0</v>
      </c>
      <c r="AR1189" s="2127">
        <f>U1189-'Blocking-Step2'!U1189</f>
        <v>0</v>
      </c>
      <c r="AT1189" s="2127">
        <f>W1189-'Blocking-Step2'!W1189</f>
        <v>0</v>
      </c>
      <c r="AV1189" s="2128">
        <f>Y1189-'Blocking-Step2'!Y1189</f>
        <v>0</v>
      </c>
    </row>
    <row r="1190" spans="1:48">
      <c r="A1190" s="1116" t="s">
        <v>280</v>
      </c>
      <c r="B1190" s="1104">
        <v>19</v>
      </c>
      <c r="C1190" s="1105">
        <v>9563.0681031165896</v>
      </c>
      <c r="D1190" s="1105">
        <v>9308</v>
      </c>
      <c r="F1190" s="1907">
        <v>25.99</v>
      </c>
      <c r="G1190" s="1110"/>
      <c r="H1190" s="1146">
        <v>248544</v>
      </c>
      <c r="I1190" s="1146">
        <v>241915</v>
      </c>
      <c r="K1190" s="1907"/>
      <c r="L1190" s="1110"/>
      <c r="M1190" s="1907"/>
      <c r="N1190" s="1110"/>
      <c r="O1190" s="1907"/>
      <c r="P1190" s="1110"/>
      <c r="Q1190" s="1907"/>
      <c r="R1190" s="1110"/>
      <c r="S1190" s="1629"/>
      <c r="T1190" s="1629"/>
      <c r="U1190" s="1629"/>
      <c r="V1190" s="1629"/>
      <c r="W1190" s="1629"/>
      <c r="X1190" s="1629"/>
      <c r="Y1190" s="1146"/>
      <c r="Z1190" s="2114">
        <f>C1190-'Blocking-Step2'!C1190</f>
        <v>0</v>
      </c>
      <c r="AA1190" s="2114">
        <f>D1190-'Blocking-Step2'!D1190</f>
        <v>0</v>
      </c>
      <c r="AC1190" s="2114">
        <f>F1190-'Blocking-Step2'!F1190</f>
        <v>0</v>
      </c>
      <c r="AE1190" s="2114">
        <f>H1190-'Blocking-Step2'!H1190</f>
        <v>0</v>
      </c>
      <c r="AF1190" s="2114">
        <f>I1190-'Blocking-Step2'!I1190</f>
        <v>0</v>
      </c>
      <c r="AH1190" s="2136">
        <f>K1190-'Blocking-Step2'!K1190</f>
        <v>0</v>
      </c>
      <c r="AJ1190" s="2136">
        <f>M1190-'Blocking-Step2'!M1190</f>
        <v>0</v>
      </c>
      <c r="AL1190" s="2136">
        <f>O1190-'Blocking-Step2'!O1190</f>
        <v>0</v>
      </c>
      <c r="AN1190" s="2137">
        <f>Q1190-'Blocking-Step2'!Q1190</f>
        <v>0</v>
      </c>
      <c r="AP1190" s="2127">
        <f>S1190-'Blocking-Step2'!S1190</f>
        <v>0</v>
      </c>
      <c r="AR1190" s="2127">
        <f>U1190-'Blocking-Step2'!U1190</f>
        <v>0</v>
      </c>
      <c r="AT1190" s="2127">
        <f>W1190-'Blocking-Step2'!W1190</f>
        <v>0</v>
      </c>
      <c r="AV1190" s="2128">
        <f>Y1190-'Blocking-Step2'!Y1190</f>
        <v>0</v>
      </c>
    </row>
    <row r="1191" spans="1:48">
      <c r="A1191" s="1977" t="s">
        <v>289</v>
      </c>
      <c r="C1191" s="1105"/>
      <c r="D1191" s="1105"/>
      <c r="Z1191" s="2114">
        <f>C1191-'Blocking-Step2'!C1191</f>
        <v>0</v>
      </c>
      <c r="AA1191" s="2114">
        <f>D1191-'Blocking-Step2'!D1191</f>
        <v>0</v>
      </c>
      <c r="AC1191" s="2114">
        <f>F1191-'Blocking-Step2'!F1191</f>
        <v>0</v>
      </c>
      <c r="AE1191" s="2114">
        <f>H1191-'Blocking-Step2'!H1191</f>
        <v>0</v>
      </c>
      <c r="AF1191" s="2114">
        <f>I1191-'Blocking-Step2'!I1191</f>
        <v>0</v>
      </c>
      <c r="AH1191" s="2136">
        <f>K1191-'Blocking-Step2'!K1191</f>
        <v>0</v>
      </c>
      <c r="AJ1191" s="2136">
        <f>M1191-'Blocking-Step2'!M1191</f>
        <v>0</v>
      </c>
      <c r="AL1191" s="2136">
        <f>O1191-'Blocking-Step2'!O1191</f>
        <v>0</v>
      </c>
      <c r="AN1191" s="2137">
        <f>Q1191-'Blocking-Step2'!Q1191</f>
        <v>0</v>
      </c>
      <c r="AP1191" s="2127">
        <f>S1191-'Blocking-Step2'!S1191</f>
        <v>0</v>
      </c>
      <c r="AR1191" s="2127">
        <f>U1191-'Blocking-Step2'!U1191</f>
        <v>0</v>
      </c>
      <c r="AT1191" s="2127">
        <f>W1191-'Blocking-Step2'!W1191</f>
        <v>0</v>
      </c>
      <c r="AV1191" s="2128">
        <f>Y1191-'Blocking-Step2'!Y1191</f>
        <v>0</v>
      </c>
    </row>
    <row r="1192" spans="1:48">
      <c r="A1192" s="1116" t="s">
        <v>290</v>
      </c>
      <c r="B1192" s="1104">
        <v>20</v>
      </c>
      <c r="C1192" s="1105">
        <v>0</v>
      </c>
      <c r="D1192" s="1105">
        <v>0</v>
      </c>
      <c r="F1192" s="1907">
        <v>29.4</v>
      </c>
      <c r="G1192" s="1110"/>
      <c r="H1192" s="1146">
        <v>0</v>
      </c>
      <c r="I1192" s="1146">
        <v>0</v>
      </c>
      <c r="K1192" s="1907"/>
      <c r="L1192" s="1110"/>
      <c r="M1192" s="1907"/>
      <c r="N1192" s="1110"/>
      <c r="O1192" s="1907"/>
      <c r="P1192" s="1110"/>
      <c r="Q1192" s="1907"/>
      <c r="R1192" s="1110"/>
      <c r="S1192" s="1629"/>
      <c r="T1192" s="1629"/>
      <c r="U1192" s="1629"/>
      <c r="V1192" s="1629"/>
      <c r="W1192" s="1629"/>
      <c r="X1192" s="1629"/>
      <c r="Y1192" s="1146"/>
      <c r="Z1192" s="2114">
        <f>C1192-'Blocking-Step2'!C1192</f>
        <v>0</v>
      </c>
      <c r="AA1192" s="2114">
        <f>D1192-'Blocking-Step2'!D1192</f>
        <v>0</v>
      </c>
      <c r="AC1192" s="2114">
        <f>F1192-'Blocking-Step2'!F1192</f>
        <v>0</v>
      </c>
      <c r="AE1192" s="2114">
        <f>H1192-'Blocking-Step2'!H1192</f>
        <v>0</v>
      </c>
      <c r="AF1192" s="2114">
        <f>I1192-'Blocking-Step2'!I1192</f>
        <v>0</v>
      </c>
      <c r="AH1192" s="2136">
        <f>K1192-'Blocking-Step2'!K1192</f>
        <v>0</v>
      </c>
      <c r="AJ1192" s="2136">
        <f>M1192-'Blocking-Step2'!M1192</f>
        <v>0</v>
      </c>
      <c r="AL1192" s="2136">
        <f>O1192-'Blocking-Step2'!O1192</f>
        <v>0</v>
      </c>
      <c r="AN1192" s="2137">
        <f>Q1192-'Blocking-Step2'!Q1192</f>
        <v>0</v>
      </c>
      <c r="AP1192" s="2127">
        <f>S1192-'Blocking-Step2'!S1192</f>
        <v>0</v>
      </c>
      <c r="AR1192" s="2127">
        <f>U1192-'Blocking-Step2'!U1192</f>
        <v>0</v>
      </c>
      <c r="AT1192" s="2127">
        <f>W1192-'Blocking-Step2'!W1192</f>
        <v>0</v>
      </c>
      <c r="AV1192" s="2128">
        <f>Y1192-'Blocking-Step2'!Y1192</f>
        <v>0</v>
      </c>
    </row>
    <row r="1193" spans="1:48">
      <c r="A1193" s="1116" t="s">
        <v>291</v>
      </c>
      <c r="B1193" s="1104">
        <v>21</v>
      </c>
      <c r="C1193" s="1105">
        <v>294.36622303809088</v>
      </c>
      <c r="D1193" s="1105">
        <v>280</v>
      </c>
      <c r="F1193" s="1907">
        <v>21.79</v>
      </c>
      <c r="G1193" s="1110"/>
      <c r="H1193" s="1146">
        <v>6414</v>
      </c>
      <c r="I1193" s="1146">
        <v>6101</v>
      </c>
      <c r="K1193" s="1907"/>
      <c r="L1193" s="1110"/>
      <c r="M1193" s="1907"/>
      <c r="N1193" s="1110"/>
      <c r="O1193" s="1907"/>
      <c r="P1193" s="1110"/>
      <c r="Q1193" s="1907"/>
      <c r="R1193" s="1110"/>
      <c r="S1193" s="1629"/>
      <c r="T1193" s="1629"/>
      <c r="U1193" s="1629"/>
      <c r="V1193" s="1629"/>
      <c r="W1193" s="1629"/>
      <c r="X1193" s="1629"/>
      <c r="Y1193" s="1146"/>
      <c r="Z1193" s="2114">
        <f>C1193-'Blocking-Step2'!C1193</f>
        <v>0</v>
      </c>
      <c r="AA1193" s="2114">
        <f>D1193-'Blocking-Step2'!D1193</f>
        <v>0</v>
      </c>
      <c r="AC1193" s="2114">
        <f>F1193-'Blocking-Step2'!F1193</f>
        <v>0</v>
      </c>
      <c r="AE1193" s="2114">
        <f>H1193-'Blocking-Step2'!H1193</f>
        <v>0</v>
      </c>
      <c r="AF1193" s="2114">
        <f>I1193-'Blocking-Step2'!I1193</f>
        <v>0</v>
      </c>
      <c r="AH1193" s="2136">
        <f>K1193-'Blocking-Step2'!K1193</f>
        <v>0</v>
      </c>
      <c r="AJ1193" s="2136">
        <f>M1193-'Blocking-Step2'!M1193</f>
        <v>0</v>
      </c>
      <c r="AL1193" s="2136">
        <f>O1193-'Blocking-Step2'!O1193</f>
        <v>0</v>
      </c>
      <c r="AN1193" s="2137">
        <f>Q1193-'Blocking-Step2'!Q1193</f>
        <v>0</v>
      </c>
      <c r="AP1193" s="2127">
        <f>S1193-'Blocking-Step2'!S1193</f>
        <v>0</v>
      </c>
      <c r="AR1193" s="2127">
        <f>U1193-'Blocking-Step2'!U1193</f>
        <v>0</v>
      </c>
      <c r="AT1193" s="2127">
        <f>W1193-'Blocking-Step2'!W1193</f>
        <v>0</v>
      </c>
      <c r="AV1193" s="2128">
        <f>Y1193-'Blocking-Step2'!Y1193</f>
        <v>0</v>
      </c>
    </row>
    <row r="1194" spans="1:48">
      <c r="A1194" s="1116" t="s">
        <v>292</v>
      </c>
      <c r="B1194" s="1104">
        <v>22</v>
      </c>
      <c r="C1194" s="1105">
        <v>108</v>
      </c>
      <c r="D1194" s="1105">
        <v>108</v>
      </c>
      <c r="F1194" s="1907">
        <v>34.340000000000003</v>
      </c>
      <c r="G1194" s="1110"/>
      <c r="H1194" s="1146">
        <v>3709</v>
      </c>
      <c r="I1194" s="1146">
        <v>3709</v>
      </c>
      <c r="K1194" s="1907"/>
      <c r="L1194" s="1110"/>
      <c r="M1194" s="1907"/>
      <c r="N1194" s="1110"/>
      <c r="O1194" s="1907"/>
      <c r="P1194" s="1110"/>
      <c r="Q1194" s="1907"/>
      <c r="R1194" s="1110"/>
      <c r="S1194" s="1629"/>
      <c r="T1194" s="1629"/>
      <c r="U1194" s="1629"/>
      <c r="V1194" s="1629"/>
      <c r="W1194" s="1629"/>
      <c r="X1194" s="1629"/>
      <c r="Y1194" s="1146"/>
      <c r="Z1194" s="2114">
        <f>C1194-'Blocking-Step2'!C1194</f>
        <v>0</v>
      </c>
      <c r="AA1194" s="2114">
        <f>D1194-'Blocking-Step2'!D1194</f>
        <v>0</v>
      </c>
      <c r="AC1194" s="2114">
        <f>F1194-'Blocking-Step2'!F1194</f>
        <v>0</v>
      </c>
      <c r="AE1194" s="2114">
        <f>H1194-'Blocking-Step2'!H1194</f>
        <v>0</v>
      </c>
      <c r="AF1194" s="2114">
        <f>I1194-'Blocking-Step2'!I1194</f>
        <v>0</v>
      </c>
      <c r="AH1194" s="2136">
        <f>K1194-'Blocking-Step2'!K1194</f>
        <v>0</v>
      </c>
      <c r="AJ1194" s="2136">
        <f>M1194-'Blocking-Step2'!M1194</f>
        <v>0</v>
      </c>
      <c r="AL1194" s="2136">
        <f>O1194-'Blocking-Step2'!O1194</f>
        <v>0</v>
      </c>
      <c r="AN1194" s="2137">
        <f>Q1194-'Blocking-Step2'!Q1194</f>
        <v>0</v>
      </c>
      <c r="AP1194" s="2127">
        <f>S1194-'Blocking-Step2'!S1194</f>
        <v>0</v>
      </c>
      <c r="AR1194" s="2127">
        <f>U1194-'Blocking-Step2'!U1194</f>
        <v>0</v>
      </c>
      <c r="AT1194" s="2127">
        <f>W1194-'Blocking-Step2'!W1194</f>
        <v>0</v>
      </c>
      <c r="AV1194" s="2128">
        <f>Y1194-'Blocking-Step2'!Y1194</f>
        <v>0</v>
      </c>
    </row>
    <row r="1195" spans="1:48">
      <c r="A1195" s="1116" t="s">
        <v>293</v>
      </c>
      <c r="B1195" s="1104">
        <v>23</v>
      </c>
      <c r="C1195" s="1105">
        <v>96</v>
      </c>
      <c r="D1195" s="1105">
        <v>94</v>
      </c>
      <c r="F1195" s="1907">
        <v>27.43</v>
      </c>
      <c r="G1195" s="1110"/>
      <c r="H1195" s="1146">
        <v>2633</v>
      </c>
      <c r="I1195" s="1146">
        <v>2578</v>
      </c>
      <c r="K1195" s="1907"/>
      <c r="L1195" s="1110"/>
      <c r="M1195" s="1907"/>
      <c r="N1195" s="1110"/>
      <c r="O1195" s="1907"/>
      <c r="P1195" s="1110"/>
      <c r="Q1195" s="1907"/>
      <c r="R1195" s="1110"/>
      <c r="S1195" s="1629"/>
      <c r="T1195" s="1629"/>
      <c r="U1195" s="1629"/>
      <c r="V1195" s="1629"/>
      <c r="W1195" s="1629"/>
      <c r="X1195" s="1629"/>
      <c r="Y1195" s="1146"/>
      <c r="Z1195" s="2114">
        <f>C1195-'Blocking-Step2'!C1195</f>
        <v>0</v>
      </c>
      <c r="AA1195" s="2114">
        <f>D1195-'Blocking-Step2'!D1195</f>
        <v>0</v>
      </c>
      <c r="AC1195" s="2114">
        <f>F1195-'Blocking-Step2'!F1195</f>
        <v>0</v>
      </c>
      <c r="AE1195" s="2114">
        <f>H1195-'Blocking-Step2'!H1195</f>
        <v>0</v>
      </c>
      <c r="AF1195" s="2114">
        <f>I1195-'Blocking-Step2'!I1195</f>
        <v>0</v>
      </c>
      <c r="AH1195" s="2136">
        <f>K1195-'Blocking-Step2'!K1195</f>
        <v>0</v>
      </c>
      <c r="AJ1195" s="2136">
        <f>M1195-'Blocking-Step2'!M1195</f>
        <v>0</v>
      </c>
      <c r="AL1195" s="2136">
        <f>O1195-'Blocking-Step2'!O1195</f>
        <v>0</v>
      </c>
      <c r="AN1195" s="2137">
        <f>Q1195-'Blocking-Step2'!Q1195</f>
        <v>0</v>
      </c>
      <c r="AP1195" s="2127">
        <f>S1195-'Blocking-Step2'!S1195</f>
        <v>0</v>
      </c>
      <c r="AR1195" s="2127">
        <f>U1195-'Blocking-Step2'!U1195</f>
        <v>0</v>
      </c>
      <c r="AT1195" s="2127">
        <f>W1195-'Blocking-Step2'!W1195</f>
        <v>0</v>
      </c>
      <c r="AV1195" s="2128">
        <f>Y1195-'Blocking-Step2'!Y1195</f>
        <v>0</v>
      </c>
    </row>
    <row r="1196" spans="1:48">
      <c r="A1196" s="1116" t="s">
        <v>294</v>
      </c>
      <c r="B1196" s="1104">
        <v>24</v>
      </c>
      <c r="C1196" s="1105">
        <v>326.76669392204963</v>
      </c>
      <c r="D1196" s="1105">
        <v>304</v>
      </c>
      <c r="F1196" s="1907">
        <v>36.69</v>
      </c>
      <c r="G1196" s="1110"/>
      <c r="H1196" s="1146">
        <v>11989</v>
      </c>
      <c r="I1196" s="1146">
        <v>11154</v>
      </c>
      <c r="K1196" s="1907"/>
      <c r="L1196" s="1110"/>
      <c r="M1196" s="1907"/>
      <c r="N1196" s="1110"/>
      <c r="O1196" s="1907"/>
      <c r="P1196" s="1110"/>
      <c r="Q1196" s="1907"/>
      <c r="R1196" s="1110"/>
      <c r="S1196" s="1629"/>
      <c r="T1196" s="1629"/>
      <c r="U1196" s="1629"/>
      <c r="V1196" s="1629"/>
      <c r="W1196" s="1629"/>
      <c r="X1196" s="1629"/>
      <c r="Y1196" s="1146"/>
      <c r="Z1196" s="2114">
        <f>C1196-'Blocking-Step2'!C1196</f>
        <v>0</v>
      </c>
      <c r="AA1196" s="2114">
        <f>D1196-'Blocking-Step2'!D1196</f>
        <v>0</v>
      </c>
      <c r="AC1196" s="2114">
        <f>F1196-'Blocking-Step2'!F1196</f>
        <v>0</v>
      </c>
      <c r="AE1196" s="2114">
        <f>H1196-'Blocking-Step2'!H1196</f>
        <v>0</v>
      </c>
      <c r="AF1196" s="2114">
        <f>I1196-'Blocking-Step2'!I1196</f>
        <v>0</v>
      </c>
      <c r="AH1196" s="2136">
        <f>K1196-'Blocking-Step2'!K1196</f>
        <v>0</v>
      </c>
      <c r="AJ1196" s="2136">
        <f>M1196-'Blocking-Step2'!M1196</f>
        <v>0</v>
      </c>
      <c r="AL1196" s="2136">
        <f>O1196-'Blocking-Step2'!O1196</f>
        <v>0</v>
      </c>
      <c r="AN1196" s="2137">
        <f>Q1196-'Blocking-Step2'!Q1196</f>
        <v>0</v>
      </c>
      <c r="AP1196" s="2127">
        <f>S1196-'Blocking-Step2'!S1196</f>
        <v>0</v>
      </c>
      <c r="AR1196" s="2127">
        <f>U1196-'Blocking-Step2'!U1196</f>
        <v>0</v>
      </c>
      <c r="AT1196" s="2127">
        <f>W1196-'Blocking-Step2'!W1196</f>
        <v>0</v>
      </c>
      <c r="AV1196" s="2128">
        <f>Y1196-'Blocking-Step2'!Y1196</f>
        <v>0</v>
      </c>
    </row>
    <row r="1197" spans="1:48">
      <c r="A1197" s="1116" t="s">
        <v>297</v>
      </c>
      <c r="B1197" s="1104">
        <v>25</v>
      </c>
      <c r="C1197" s="1105">
        <v>573.43304172274532</v>
      </c>
      <c r="D1197" s="1105">
        <v>553</v>
      </c>
      <c r="F1197" s="1907">
        <v>29.72</v>
      </c>
      <c r="G1197" s="1110"/>
      <c r="H1197" s="1146">
        <v>17042</v>
      </c>
      <c r="I1197" s="1146">
        <v>16435</v>
      </c>
      <c r="K1197" s="1907"/>
      <c r="L1197" s="1110"/>
      <c r="M1197" s="1907"/>
      <c r="N1197" s="1110"/>
      <c r="O1197" s="1907"/>
      <c r="P1197" s="1110"/>
      <c r="Q1197" s="1907"/>
      <c r="R1197" s="1110"/>
      <c r="S1197" s="1629"/>
      <c r="T1197" s="1629"/>
      <c r="U1197" s="1629"/>
      <c r="V1197" s="1629"/>
      <c r="W1197" s="1629"/>
      <c r="X1197" s="1629"/>
      <c r="Y1197" s="1146"/>
      <c r="Z1197" s="2114">
        <f>C1197-'Blocking-Step2'!C1197</f>
        <v>0</v>
      </c>
      <c r="AA1197" s="2114">
        <f>D1197-'Blocking-Step2'!D1197</f>
        <v>0</v>
      </c>
      <c r="AC1197" s="2114">
        <f>F1197-'Blocking-Step2'!F1197</f>
        <v>0</v>
      </c>
      <c r="AE1197" s="2114">
        <f>H1197-'Blocking-Step2'!H1197</f>
        <v>0</v>
      </c>
      <c r="AF1197" s="2114">
        <f>I1197-'Blocking-Step2'!I1197</f>
        <v>0</v>
      </c>
      <c r="AH1197" s="2136">
        <f>K1197-'Blocking-Step2'!K1197</f>
        <v>0</v>
      </c>
      <c r="AJ1197" s="2136">
        <f>M1197-'Blocking-Step2'!M1197</f>
        <v>0</v>
      </c>
      <c r="AL1197" s="2136">
        <f>O1197-'Blocking-Step2'!O1197</f>
        <v>0</v>
      </c>
      <c r="AN1197" s="2137">
        <f>Q1197-'Blocking-Step2'!Q1197</f>
        <v>0</v>
      </c>
      <c r="AP1197" s="2127">
        <f>S1197-'Blocking-Step2'!S1197</f>
        <v>0</v>
      </c>
      <c r="AR1197" s="2127">
        <f>U1197-'Blocking-Step2'!U1197</f>
        <v>0</v>
      </c>
      <c r="AT1197" s="2127">
        <f>W1197-'Blocking-Step2'!W1197</f>
        <v>0</v>
      </c>
      <c r="AV1197" s="2128">
        <f>Y1197-'Blocking-Step2'!Y1197</f>
        <v>0</v>
      </c>
    </row>
    <row r="1198" spans="1:48">
      <c r="A1198" s="1116" t="s">
        <v>298</v>
      </c>
      <c r="B1198" s="1104">
        <v>26</v>
      </c>
      <c r="C1198" s="1105">
        <v>12</v>
      </c>
      <c r="D1198" s="1105">
        <v>12</v>
      </c>
      <c r="F1198" s="1907">
        <v>57.58</v>
      </c>
      <c r="G1198" s="1110"/>
      <c r="H1198" s="1146">
        <v>691</v>
      </c>
      <c r="I1198" s="1146">
        <v>691</v>
      </c>
      <c r="K1198" s="1907"/>
      <c r="L1198" s="1110"/>
      <c r="M1198" s="1907"/>
      <c r="N1198" s="1110"/>
      <c r="O1198" s="1907"/>
      <c r="P1198" s="1110"/>
      <c r="Q1198" s="1907"/>
      <c r="R1198" s="1110"/>
      <c r="S1198" s="1629"/>
      <c r="T1198" s="1629"/>
      <c r="U1198" s="1629"/>
      <c r="V1198" s="1629"/>
      <c r="W1198" s="1629"/>
      <c r="X1198" s="1629"/>
      <c r="Y1198" s="1146"/>
      <c r="Z1198" s="2114">
        <f>C1198-'Blocking-Step2'!C1198</f>
        <v>0</v>
      </c>
      <c r="AA1198" s="2114">
        <f>D1198-'Blocking-Step2'!D1198</f>
        <v>0</v>
      </c>
      <c r="AC1198" s="2114">
        <f>F1198-'Blocking-Step2'!F1198</f>
        <v>0</v>
      </c>
      <c r="AE1198" s="2114">
        <f>H1198-'Blocking-Step2'!H1198</f>
        <v>0</v>
      </c>
      <c r="AF1198" s="2114">
        <f>I1198-'Blocking-Step2'!I1198</f>
        <v>0</v>
      </c>
      <c r="AH1198" s="2136">
        <f>K1198-'Blocking-Step2'!K1198</f>
        <v>0</v>
      </c>
      <c r="AJ1198" s="2136">
        <f>M1198-'Blocking-Step2'!M1198</f>
        <v>0</v>
      </c>
      <c r="AL1198" s="2136">
        <f>O1198-'Blocking-Step2'!O1198</f>
        <v>0</v>
      </c>
      <c r="AN1198" s="2137">
        <f>Q1198-'Blocking-Step2'!Q1198</f>
        <v>0</v>
      </c>
      <c r="AP1198" s="2127">
        <f>S1198-'Blocking-Step2'!S1198</f>
        <v>0</v>
      </c>
      <c r="AR1198" s="2127">
        <f>U1198-'Blocking-Step2'!U1198</f>
        <v>0</v>
      </c>
      <c r="AT1198" s="2127">
        <f>W1198-'Blocking-Step2'!W1198</f>
        <v>0</v>
      </c>
      <c r="AV1198" s="2128">
        <f>Y1198-'Blocking-Step2'!Y1198</f>
        <v>0</v>
      </c>
    </row>
    <row r="1199" spans="1:48">
      <c r="A1199" s="1116" t="s">
        <v>300</v>
      </c>
      <c r="B1199" s="1104">
        <v>27</v>
      </c>
      <c r="C1199" s="1105">
        <v>33.733401221995898</v>
      </c>
      <c r="D1199" s="1105">
        <v>33</v>
      </c>
      <c r="F1199" s="1907">
        <v>49.1</v>
      </c>
      <c r="G1199" s="1110"/>
      <c r="H1199" s="1146">
        <v>1656</v>
      </c>
      <c r="I1199" s="1146">
        <v>1620</v>
      </c>
      <c r="K1199" s="1907"/>
      <c r="L1199" s="1110"/>
      <c r="M1199" s="1907"/>
      <c r="N1199" s="1110"/>
      <c r="O1199" s="1907"/>
      <c r="P1199" s="1110"/>
      <c r="Q1199" s="1907"/>
      <c r="R1199" s="1110"/>
      <c r="S1199" s="1629"/>
      <c r="T1199" s="1629"/>
      <c r="U1199" s="1629"/>
      <c r="V1199" s="1629"/>
      <c r="W1199" s="1629"/>
      <c r="X1199" s="1629"/>
      <c r="Y1199" s="1146"/>
      <c r="Z1199" s="2114">
        <f>C1199-'Blocking-Step2'!C1199</f>
        <v>0</v>
      </c>
      <c r="AA1199" s="2114">
        <f>D1199-'Blocking-Step2'!D1199</f>
        <v>0</v>
      </c>
      <c r="AC1199" s="2114">
        <f>F1199-'Blocking-Step2'!F1199</f>
        <v>0</v>
      </c>
      <c r="AE1199" s="2114">
        <f>H1199-'Blocking-Step2'!H1199</f>
        <v>0</v>
      </c>
      <c r="AF1199" s="2114">
        <f>I1199-'Blocking-Step2'!I1199</f>
        <v>0</v>
      </c>
      <c r="AH1199" s="2136">
        <f>K1199-'Blocking-Step2'!K1199</f>
        <v>0</v>
      </c>
      <c r="AJ1199" s="2136">
        <f>M1199-'Blocking-Step2'!M1199</f>
        <v>0</v>
      </c>
      <c r="AL1199" s="2136">
        <f>O1199-'Blocking-Step2'!O1199</f>
        <v>0</v>
      </c>
      <c r="AN1199" s="2137">
        <f>Q1199-'Blocking-Step2'!Q1199</f>
        <v>0</v>
      </c>
      <c r="AP1199" s="2127">
        <f>S1199-'Blocking-Step2'!S1199</f>
        <v>0</v>
      </c>
      <c r="AR1199" s="2127">
        <f>U1199-'Blocking-Step2'!U1199</f>
        <v>0</v>
      </c>
      <c r="AT1199" s="2127">
        <f>W1199-'Blocking-Step2'!W1199</f>
        <v>0</v>
      </c>
      <c r="AV1199" s="2128">
        <f>Y1199-'Blocking-Step2'!Y1199</f>
        <v>0</v>
      </c>
    </row>
    <row r="1200" spans="1:48">
      <c r="A1200" s="1116" t="s">
        <v>130</v>
      </c>
      <c r="C1200" s="1105">
        <v>139104.57732785653</v>
      </c>
      <c r="D1200" s="1105">
        <v>134800</v>
      </c>
      <c r="H1200" s="1146">
        <v>2627201</v>
      </c>
      <c r="I1200" s="1146">
        <v>2546239</v>
      </c>
      <c r="Y1200" s="1146"/>
      <c r="Z1200" s="2114">
        <f>C1200-'Blocking-Step2'!C1200</f>
        <v>0</v>
      </c>
      <c r="AA1200" s="2114">
        <f>D1200-'Blocking-Step2'!D1200</f>
        <v>0</v>
      </c>
      <c r="AC1200" s="2114">
        <f>F1200-'Blocking-Step2'!F1200</f>
        <v>0</v>
      </c>
      <c r="AE1200" s="2114">
        <f>H1200-'Blocking-Step2'!H1200</f>
        <v>0</v>
      </c>
      <c r="AF1200" s="2114">
        <f>I1200-'Blocking-Step2'!I1200</f>
        <v>0</v>
      </c>
      <c r="AH1200" s="2136">
        <f>K1200-'Blocking-Step2'!K1200</f>
        <v>0</v>
      </c>
      <c r="AJ1200" s="2136">
        <f>M1200-'Blocking-Step2'!M1200</f>
        <v>0</v>
      </c>
      <c r="AL1200" s="2136">
        <f>O1200-'Blocking-Step2'!O1200</f>
        <v>0</v>
      </c>
      <c r="AN1200" s="2137">
        <f>Q1200-'Blocking-Step2'!Q1200</f>
        <v>0</v>
      </c>
      <c r="AP1200" s="2127">
        <f>S1200-'Blocking-Step2'!S1200</f>
        <v>0</v>
      </c>
      <c r="AR1200" s="2127">
        <f>U1200-'Blocking-Step2'!U1200</f>
        <v>0</v>
      </c>
      <c r="AT1200" s="2127">
        <f>W1200-'Blocking-Step2'!W1200</f>
        <v>0</v>
      </c>
      <c r="AV1200" s="2128">
        <f>Y1200-'Blocking-Step2'!Y1200</f>
        <v>0</v>
      </c>
    </row>
    <row r="1201" spans="1:48">
      <c r="A1201" s="1116" t="s">
        <v>36</v>
      </c>
      <c r="C1201" s="1896">
        <v>10821359.950480232</v>
      </c>
      <c r="D1201" s="1896">
        <v>10497984.469308628</v>
      </c>
      <c r="H1201" s="1146"/>
      <c r="I1201" s="1146"/>
      <c r="Y1201" s="1146"/>
      <c r="Z1201" s="2114">
        <f>C1201-'Blocking-Step2'!C1201</f>
        <v>0</v>
      </c>
      <c r="AA1201" s="2114">
        <f>D1201-'Blocking-Step2'!D1201</f>
        <v>0</v>
      </c>
      <c r="AC1201" s="2114">
        <f>F1201-'Blocking-Step2'!F1201</f>
        <v>0</v>
      </c>
      <c r="AE1201" s="2114">
        <f>H1201-'Blocking-Step2'!H1201</f>
        <v>0</v>
      </c>
      <c r="AF1201" s="2114">
        <f>I1201-'Blocking-Step2'!I1201</f>
        <v>0</v>
      </c>
      <c r="AH1201" s="2136">
        <f>K1201-'Blocking-Step2'!K1201</f>
        <v>0</v>
      </c>
      <c r="AJ1201" s="2136">
        <f>M1201-'Blocking-Step2'!M1201</f>
        <v>0</v>
      </c>
      <c r="AL1201" s="2136">
        <f>O1201-'Blocking-Step2'!O1201</f>
        <v>0</v>
      </c>
      <c r="AN1201" s="2137">
        <f>Q1201-'Blocking-Step2'!Q1201</f>
        <v>0</v>
      </c>
      <c r="AP1201" s="2127">
        <f>S1201-'Blocking-Step2'!S1201</f>
        <v>0</v>
      </c>
      <c r="AR1201" s="2127">
        <f>U1201-'Blocking-Step2'!U1201</f>
        <v>0</v>
      </c>
      <c r="AT1201" s="2127">
        <f>W1201-'Blocking-Step2'!W1201</f>
        <v>0</v>
      </c>
      <c r="AV1201" s="2128">
        <f>Y1201-'Blocking-Step2'!Y1201</f>
        <v>0</v>
      </c>
    </row>
    <row r="1202" spans="1:48">
      <c r="A1202" s="1116" t="s">
        <v>136</v>
      </c>
      <c r="C1202" s="2081">
        <v>21913</v>
      </c>
      <c r="D1202" s="2081">
        <v>0</v>
      </c>
      <c r="F1202" s="2082"/>
      <c r="H1202" s="1148">
        <v>7198</v>
      </c>
      <c r="I1202" s="1148">
        <v>0</v>
      </c>
      <c r="K1202" s="2082"/>
      <c r="M1202" s="2082"/>
      <c r="O1202" s="2082"/>
      <c r="Q1202" s="2082"/>
      <c r="Y1202" s="1148"/>
      <c r="Z1202" s="2114">
        <f>C1202-'Blocking-Step2'!C1202</f>
        <v>0</v>
      </c>
      <c r="AA1202" s="2114">
        <f>D1202-'Blocking-Step2'!D1202</f>
        <v>0</v>
      </c>
      <c r="AC1202" s="2114">
        <f>F1202-'Blocking-Step2'!F1202</f>
        <v>0</v>
      </c>
      <c r="AE1202" s="2114">
        <f>H1202-'Blocking-Step2'!H1202</f>
        <v>0</v>
      </c>
      <c r="AF1202" s="2114">
        <f>I1202-'Blocking-Step2'!I1202</f>
        <v>0</v>
      </c>
      <c r="AH1202" s="2136">
        <f>K1202-'Blocking-Step2'!K1202</f>
        <v>0</v>
      </c>
      <c r="AJ1202" s="2136">
        <f>M1202-'Blocking-Step2'!M1202</f>
        <v>0</v>
      </c>
      <c r="AL1202" s="2136">
        <f>O1202-'Blocking-Step2'!O1202</f>
        <v>0</v>
      </c>
      <c r="AN1202" s="2137">
        <f>Q1202-'Blocking-Step2'!Q1202</f>
        <v>0</v>
      </c>
      <c r="AP1202" s="2127">
        <f>S1202-'Blocking-Step2'!S1202</f>
        <v>0</v>
      </c>
      <c r="AR1202" s="2127">
        <f>U1202-'Blocking-Step2'!U1202</f>
        <v>0</v>
      </c>
      <c r="AT1202" s="2127">
        <f>W1202-'Blocking-Step2'!W1202</f>
        <v>0</v>
      </c>
      <c r="AV1202" s="2128">
        <f>Y1202-'Blocking-Step2'!Y1202</f>
        <v>0</v>
      </c>
    </row>
    <row r="1203" spans="1:48">
      <c r="A1203" s="1116" t="s">
        <v>1240</v>
      </c>
      <c r="C1203" s="1024"/>
      <c r="D1203" s="1024"/>
      <c r="F1203" s="2076">
        <v>-1.9800000000000002E-2</v>
      </c>
      <c r="G1203" s="617"/>
      <c r="H1203" s="1146">
        <v>-52018.579800000007</v>
      </c>
      <c r="I1203" s="1146">
        <v>-50415.532200000001</v>
      </c>
      <c r="K1203" s="2076"/>
      <c r="L1203" s="617"/>
      <c r="M1203" s="2076"/>
      <c r="N1203" s="617"/>
      <c r="O1203" s="2077" t="s">
        <v>2323</v>
      </c>
      <c r="P1203" s="617"/>
      <c r="Q1203" s="2076">
        <v>-1.8700000000000001E-2</v>
      </c>
      <c r="R1203" s="617"/>
      <c r="S1203" s="1114"/>
      <c r="T1203" s="1114"/>
      <c r="U1203" s="1114"/>
      <c r="V1203" s="1114"/>
      <c r="W1203" s="1114"/>
      <c r="X1203" s="1114"/>
      <c r="Y1203" s="1146">
        <v>-25867.090479218921</v>
      </c>
      <c r="Z1203" s="2114">
        <f>C1203-'Blocking-Step2'!C1203</f>
        <v>0</v>
      </c>
      <c r="AA1203" s="2114">
        <f>D1203-'Blocking-Step2'!D1203</f>
        <v>0</v>
      </c>
      <c r="AC1203" s="2114">
        <f>F1203-'Blocking-Step2'!F1203</f>
        <v>0</v>
      </c>
      <c r="AE1203" s="2114">
        <f>H1203-'Blocking-Step2'!H1203</f>
        <v>0</v>
      </c>
      <c r="AF1203" s="2114">
        <f>I1203-'Blocking-Step2'!I1203</f>
        <v>0</v>
      </c>
      <c r="AH1203" s="2136">
        <f>K1203-'Blocking-Step2'!K1203</f>
        <v>0</v>
      </c>
      <c r="AJ1203" s="2136">
        <f>M1203-'Blocking-Step2'!M1203</f>
        <v>0</v>
      </c>
      <c r="AL1203" s="2136" t="e">
        <f>O1203-'Blocking-Step2'!O1203</f>
        <v>#VALUE!</v>
      </c>
      <c r="AN1203" s="2137">
        <f>Q1203-'Blocking-Step2'!Q1203</f>
        <v>0</v>
      </c>
      <c r="AP1203" s="2127">
        <f>S1203-'Blocking-Step2'!S1203</f>
        <v>0</v>
      </c>
      <c r="AR1203" s="2127">
        <f>U1203-'Blocking-Step2'!U1203</f>
        <v>0</v>
      </c>
      <c r="AT1203" s="2127">
        <f>W1203-'Blocking-Step2'!W1203</f>
        <v>0</v>
      </c>
      <c r="AV1203" s="2128">
        <f>Y1203-'Blocking-Step2'!Y1203</f>
        <v>0</v>
      </c>
    </row>
    <row r="1204" spans="1:48">
      <c r="A1204" s="1116"/>
      <c r="C1204" s="1024"/>
      <c r="D1204" s="1024"/>
      <c r="F1204" s="2076"/>
      <c r="G1204" s="617"/>
      <c r="H1204" s="1146"/>
      <c r="I1204" s="1146"/>
      <c r="K1204" s="2076"/>
      <c r="L1204" s="617"/>
      <c r="M1204" s="2076"/>
      <c r="N1204" s="617"/>
      <c r="O1204" s="2077" t="s">
        <v>2324</v>
      </c>
      <c r="P1204" s="617"/>
      <c r="Q1204" s="2076">
        <v>-1.0200000000000001E-2</v>
      </c>
      <c r="R1204" s="617"/>
      <c r="S1204" s="1114"/>
      <c r="T1204" s="1114"/>
      <c r="U1204" s="1114"/>
      <c r="V1204" s="1114"/>
      <c r="W1204" s="1114"/>
      <c r="X1204" s="1114"/>
      <c r="Y1204" s="1146">
        <v>-14109.322079573956</v>
      </c>
      <c r="Z1204" s="2114">
        <f>C1204-'Blocking-Step2'!C1204</f>
        <v>0</v>
      </c>
      <c r="AA1204" s="2114">
        <f>D1204-'Blocking-Step2'!D1204</f>
        <v>0</v>
      </c>
      <c r="AC1204" s="2114">
        <f>F1204-'Blocking-Step2'!F1204</f>
        <v>0</v>
      </c>
      <c r="AE1204" s="2114">
        <f>H1204-'Blocking-Step2'!H1204</f>
        <v>0</v>
      </c>
      <c r="AF1204" s="2114">
        <f>I1204-'Blocking-Step2'!I1204</f>
        <v>0</v>
      </c>
      <c r="AH1204" s="2136">
        <f>K1204-'Blocking-Step2'!K1204</f>
        <v>0</v>
      </c>
      <c r="AJ1204" s="2136">
        <f>M1204-'Blocking-Step2'!M1204</f>
        <v>0</v>
      </c>
      <c r="AL1204" s="2136" t="e">
        <f>O1204-'Blocking-Step2'!O1204</f>
        <v>#VALUE!</v>
      </c>
      <c r="AN1204" s="2137">
        <f>Q1204-'Blocking-Step2'!Q1204</f>
        <v>0</v>
      </c>
      <c r="AP1204" s="2127">
        <f>S1204-'Blocking-Step2'!S1204</f>
        <v>0</v>
      </c>
      <c r="AR1204" s="2127">
        <f>U1204-'Blocking-Step2'!U1204</f>
        <v>0</v>
      </c>
      <c r="AT1204" s="2127">
        <f>W1204-'Blocking-Step2'!W1204</f>
        <v>0</v>
      </c>
      <c r="AV1204" s="2128">
        <f>Y1204-'Blocking-Step2'!Y1204</f>
        <v>0</v>
      </c>
    </row>
    <row r="1205" spans="1:48">
      <c r="A1205" s="1116" t="s">
        <v>141</v>
      </c>
      <c r="C1205" s="1105">
        <v>6725.8333333333267</v>
      </c>
      <c r="D1205" s="1105">
        <v>6491</v>
      </c>
      <c r="Z1205" s="2114">
        <f>C1205-'Blocking-Step2'!C1205</f>
        <v>0</v>
      </c>
      <c r="AA1205" s="2114">
        <f>D1205-'Blocking-Step2'!D1205</f>
        <v>0</v>
      </c>
      <c r="AC1205" s="2114">
        <f>F1205-'Blocking-Step2'!F1205</f>
        <v>0</v>
      </c>
      <c r="AE1205" s="2114">
        <f>H1205-'Blocking-Step2'!H1205</f>
        <v>0</v>
      </c>
      <c r="AF1205" s="2114">
        <f>I1205-'Blocking-Step2'!I1205</f>
        <v>0</v>
      </c>
      <c r="AH1205" s="2136">
        <f>K1205-'Blocking-Step2'!K1205</f>
        <v>0</v>
      </c>
      <c r="AJ1205" s="2136">
        <f>M1205-'Blocking-Step2'!M1205</f>
        <v>0</v>
      </c>
      <c r="AL1205" s="2136">
        <f>O1205-'Blocking-Step2'!O1205</f>
        <v>0</v>
      </c>
      <c r="AN1205" s="2137">
        <f>Q1205-'Blocking-Step2'!Q1205</f>
        <v>0</v>
      </c>
      <c r="AP1205" s="2127">
        <f>S1205-'Blocking-Step2'!S1205</f>
        <v>0</v>
      </c>
      <c r="AR1205" s="2127">
        <f>U1205-'Blocking-Step2'!U1205</f>
        <v>0</v>
      </c>
      <c r="AT1205" s="2127">
        <f>W1205-'Blocking-Step2'!W1205</f>
        <v>0</v>
      </c>
      <c r="AV1205" s="2128">
        <f>Y1205-'Blocking-Step2'!Y1205</f>
        <v>0</v>
      </c>
    </row>
    <row r="1206" spans="1:48" ht="16.5" thickBot="1">
      <c r="A1206" s="1116" t="s">
        <v>302</v>
      </c>
      <c r="C1206" s="2083">
        <v>10843272.950480232</v>
      </c>
      <c r="D1206" s="2083">
        <v>10497984.469308628</v>
      </c>
      <c r="F1206" s="2078"/>
      <c r="H1206" s="1154">
        <v>2582380.4202000001</v>
      </c>
      <c r="I1206" s="1154">
        <v>2495823.4678000002</v>
      </c>
      <c r="K1206" s="2078"/>
      <c r="M1206" s="2078"/>
      <c r="O1206" s="2078"/>
      <c r="Q1206" s="2078"/>
      <c r="S1206" s="1628">
        <v>940887.28183815151</v>
      </c>
      <c r="U1206" s="1628">
        <v>224172.65834928016</v>
      </c>
      <c r="W1206" s="1628">
        <v>218206.93035903454</v>
      </c>
      <c r="Y1206" s="1154">
        <v>1383266.8705464662</v>
      </c>
      <c r="Z1206" s="2114">
        <f>C1206-'Blocking-Step2'!C1206</f>
        <v>0</v>
      </c>
      <c r="AA1206" s="2114">
        <f>D1206-'Blocking-Step2'!D1206</f>
        <v>0</v>
      </c>
      <c r="AC1206" s="2114">
        <f>F1206-'Blocking-Step2'!F1206</f>
        <v>0</v>
      </c>
      <c r="AE1206" s="2114">
        <f>H1206-'Blocking-Step2'!H1206</f>
        <v>0</v>
      </c>
      <c r="AF1206" s="2114">
        <f>I1206-'Blocking-Step2'!I1206</f>
        <v>0</v>
      </c>
      <c r="AH1206" s="2136">
        <f>K1206-'Blocking-Step2'!K1206</f>
        <v>0</v>
      </c>
      <c r="AJ1206" s="2136">
        <f>M1206-'Blocking-Step2'!M1206</f>
        <v>0</v>
      </c>
      <c r="AL1206" s="2136">
        <f>O1206-'Blocking-Step2'!O1206</f>
        <v>0</v>
      </c>
      <c r="AN1206" s="2137">
        <f>Q1206-'Blocking-Step2'!Q1206</f>
        <v>0</v>
      </c>
      <c r="AP1206" s="2127">
        <f>S1206-'Blocking-Step2'!S1206</f>
        <v>-74041.661101365462</v>
      </c>
      <c r="AR1206" s="2127">
        <f>U1206-'Blocking-Step2'!U1206</f>
        <v>74041.661101365491</v>
      </c>
      <c r="AT1206" s="2127">
        <f>W1206-'Blocking-Step2'!W1206</f>
        <v>0</v>
      </c>
      <c r="AV1206" s="2128">
        <f>Y1206-'Blocking-Step2'!Y1206</f>
        <v>0</v>
      </c>
    </row>
    <row r="1207" spans="1:48" ht="16.5" hidden="1" thickTop="1">
      <c r="E1207" s="617"/>
      <c r="J1207" s="617"/>
      <c r="Z1207" s="2114">
        <f>C1207-'Blocking-Step2'!C1207</f>
        <v>0</v>
      </c>
      <c r="AA1207" s="2114">
        <f>D1207-'Blocking-Step2'!D1207</f>
        <v>0</v>
      </c>
      <c r="AC1207" s="2114">
        <f>F1207-'Blocking-Step2'!F1207</f>
        <v>0</v>
      </c>
      <c r="AE1207" s="2114">
        <f>H1207-'Blocking-Step2'!H1207</f>
        <v>0</v>
      </c>
      <c r="AF1207" s="2114">
        <f>I1207-'Blocking-Step2'!I1207</f>
        <v>0</v>
      </c>
      <c r="AH1207" s="2136">
        <f>K1207-'Blocking-Step2'!K1207</f>
        <v>0</v>
      </c>
      <c r="AJ1207" s="2136">
        <f>M1207-'Blocking-Step2'!M1207</f>
        <v>0</v>
      </c>
      <c r="AL1207" s="2136">
        <f>O1207-'Blocking-Step2'!O1207</f>
        <v>0</v>
      </c>
      <c r="AN1207" s="2137">
        <f>Q1207-'Blocking-Step2'!Q1207</f>
        <v>0</v>
      </c>
      <c r="AP1207" s="2127">
        <f>S1207-'Blocking-Step2'!S1207</f>
        <v>0</v>
      </c>
      <c r="AR1207" s="2127">
        <f>U1207-'Blocking-Step2'!U1207</f>
        <v>0</v>
      </c>
      <c r="AT1207" s="2127">
        <f>W1207-'Blocking-Step2'!W1207</f>
        <v>0</v>
      </c>
      <c r="AV1207" s="2128">
        <f>Y1207-'Blocking-Step2'!Y1207</f>
        <v>0</v>
      </c>
    </row>
    <row r="1208" spans="1:48" ht="16.5" hidden="1" thickTop="1">
      <c r="A1208" s="1115" t="s">
        <v>911</v>
      </c>
      <c r="C1208" s="1105"/>
      <c r="D1208" s="1105"/>
      <c r="Z1208" s="2114">
        <f>C1208-'Blocking-Step2'!C1208</f>
        <v>0</v>
      </c>
      <c r="AA1208" s="2114">
        <f>D1208-'Blocking-Step2'!D1208</f>
        <v>0</v>
      </c>
      <c r="AC1208" s="2114">
        <f>F1208-'Blocking-Step2'!F1208</f>
        <v>0</v>
      </c>
      <c r="AE1208" s="2114">
        <f>H1208-'Blocking-Step2'!H1208</f>
        <v>0</v>
      </c>
      <c r="AF1208" s="2114">
        <f>I1208-'Blocking-Step2'!I1208</f>
        <v>0</v>
      </c>
      <c r="AH1208" s="2136">
        <f>K1208-'Blocking-Step2'!K1208</f>
        <v>0</v>
      </c>
      <c r="AJ1208" s="2136">
        <f>M1208-'Blocking-Step2'!M1208</f>
        <v>0</v>
      </c>
      <c r="AL1208" s="2136">
        <f>O1208-'Blocking-Step2'!O1208</f>
        <v>0</v>
      </c>
      <c r="AN1208" s="2137">
        <f>Q1208-'Blocking-Step2'!Q1208</f>
        <v>0</v>
      </c>
      <c r="AP1208" s="2127">
        <f>S1208-'Blocking-Step2'!S1208</f>
        <v>0</v>
      </c>
      <c r="AR1208" s="2127">
        <f>U1208-'Blocking-Step2'!U1208</f>
        <v>0</v>
      </c>
      <c r="AT1208" s="2127">
        <f>W1208-'Blocking-Step2'!W1208</f>
        <v>0</v>
      </c>
      <c r="AV1208" s="2128">
        <f>Y1208-'Blocking-Step2'!Y1208</f>
        <v>0</v>
      </c>
    </row>
    <row r="1209" spans="1:48" ht="16.5" hidden="1" thickTop="1">
      <c r="A1209" s="1977" t="s">
        <v>264</v>
      </c>
      <c r="C1209" s="1105" t="s">
        <v>428</v>
      </c>
      <c r="D1209" s="1105"/>
      <c r="H1209" s="1146"/>
      <c r="I1209" s="1146"/>
      <c r="Y1209" s="1146"/>
      <c r="Z1209" s="2114" t="e">
        <f>C1209-'Blocking-Step2'!C1209</f>
        <v>#VALUE!</v>
      </c>
      <c r="AA1209" s="2114">
        <f>D1209-'Blocking-Step2'!D1209</f>
        <v>0</v>
      </c>
      <c r="AC1209" s="2114">
        <f>F1209-'Blocking-Step2'!F1209</f>
        <v>0</v>
      </c>
      <c r="AE1209" s="2114">
        <f>H1209-'Blocking-Step2'!H1209</f>
        <v>0</v>
      </c>
      <c r="AF1209" s="2114">
        <f>I1209-'Blocking-Step2'!I1209</f>
        <v>0</v>
      </c>
      <c r="AH1209" s="2136">
        <f>K1209-'Blocking-Step2'!K1209</f>
        <v>0</v>
      </c>
      <c r="AJ1209" s="2136">
        <f>M1209-'Blocking-Step2'!M1209</f>
        <v>0</v>
      </c>
      <c r="AL1209" s="2136">
        <f>O1209-'Blocking-Step2'!O1209</f>
        <v>0</v>
      </c>
      <c r="AN1209" s="2137">
        <f>Q1209-'Blocking-Step2'!Q1209</f>
        <v>0</v>
      </c>
      <c r="AP1209" s="2127">
        <f>S1209-'Blocking-Step2'!S1209</f>
        <v>0</v>
      </c>
      <c r="AR1209" s="2127">
        <f>U1209-'Blocking-Step2'!U1209</f>
        <v>0</v>
      </c>
      <c r="AT1209" s="2127">
        <f>W1209-'Blocking-Step2'!W1209</f>
        <v>0</v>
      </c>
      <c r="AV1209" s="2128">
        <f>Y1209-'Blocking-Step2'!Y1209</f>
        <v>0</v>
      </c>
    </row>
    <row r="1210" spans="1:48" ht="16.5" hidden="1" thickTop="1">
      <c r="A1210" s="1116" t="s">
        <v>265</v>
      </c>
      <c r="B1210" s="1104">
        <v>29</v>
      </c>
      <c r="C1210" s="1105">
        <v>0</v>
      </c>
      <c r="D1210" s="1105">
        <v>0</v>
      </c>
      <c r="F1210" s="1907">
        <v>5.68</v>
      </c>
      <c r="G1210" s="1110"/>
      <c r="H1210" s="1146">
        <v>0</v>
      </c>
      <c r="I1210" s="1146">
        <v>0</v>
      </c>
      <c r="K1210" s="1907"/>
      <c r="L1210" s="1110"/>
      <c r="M1210" s="1907"/>
      <c r="N1210" s="1110"/>
      <c r="O1210" s="1907"/>
      <c r="P1210" s="1110"/>
      <c r="Q1210" s="1907"/>
      <c r="R1210" s="1110"/>
      <c r="S1210" s="1629"/>
      <c r="T1210" s="1629"/>
      <c r="U1210" s="1629"/>
      <c r="V1210" s="1629"/>
      <c r="W1210" s="1629"/>
      <c r="X1210" s="1629"/>
      <c r="Y1210" s="1146"/>
      <c r="Z1210" s="2114">
        <f>C1210-'Blocking-Step2'!C1210</f>
        <v>0</v>
      </c>
      <c r="AA1210" s="2114">
        <f>D1210-'Blocking-Step2'!D1210</f>
        <v>0</v>
      </c>
      <c r="AC1210" s="2114">
        <f>F1210-'Blocking-Step2'!F1210</f>
        <v>0</v>
      </c>
      <c r="AE1210" s="2114">
        <f>H1210-'Blocking-Step2'!H1210</f>
        <v>0</v>
      </c>
      <c r="AF1210" s="2114">
        <f>I1210-'Blocking-Step2'!I1210</f>
        <v>0</v>
      </c>
      <c r="AH1210" s="2136">
        <f>K1210-'Blocking-Step2'!K1210</f>
        <v>0</v>
      </c>
      <c r="AJ1210" s="2136">
        <f>M1210-'Blocking-Step2'!M1210</f>
        <v>0</v>
      </c>
      <c r="AL1210" s="2136">
        <f>O1210-'Blocking-Step2'!O1210</f>
        <v>0</v>
      </c>
      <c r="AN1210" s="2137">
        <f>Q1210-'Blocking-Step2'!Q1210</f>
        <v>0</v>
      </c>
      <c r="AP1210" s="2127">
        <f>S1210-'Blocking-Step2'!S1210</f>
        <v>0</v>
      </c>
      <c r="AR1210" s="2127">
        <f>U1210-'Blocking-Step2'!U1210</f>
        <v>0</v>
      </c>
      <c r="AT1210" s="2127">
        <f>W1210-'Blocking-Step2'!W1210</f>
        <v>0</v>
      </c>
      <c r="AV1210" s="2128">
        <f>Y1210-'Blocking-Step2'!Y1210</f>
        <v>0</v>
      </c>
    </row>
    <row r="1211" spans="1:48" ht="16.5" hidden="1" thickTop="1">
      <c r="A1211" s="1116" t="s">
        <v>266</v>
      </c>
      <c r="B1211" s="1104">
        <v>1</v>
      </c>
      <c r="C1211" s="1105">
        <v>12068.206959707</v>
      </c>
      <c r="D1211" s="1105">
        <v>11765</v>
      </c>
      <c r="F1211" s="1907">
        <v>16.38</v>
      </c>
      <c r="G1211" s="1110"/>
      <c r="H1211" s="1146">
        <v>197677</v>
      </c>
      <c r="I1211" s="1146">
        <v>192711</v>
      </c>
      <c r="K1211" s="1907"/>
      <c r="L1211" s="1110"/>
      <c r="M1211" s="1907"/>
      <c r="N1211" s="1110"/>
      <c r="O1211" s="1907"/>
      <c r="P1211" s="1110"/>
      <c r="Q1211" s="1907"/>
      <c r="R1211" s="1110"/>
      <c r="S1211" s="1629"/>
      <c r="T1211" s="1629"/>
      <c r="U1211" s="1629"/>
      <c r="V1211" s="1629"/>
      <c r="W1211" s="1629"/>
      <c r="X1211" s="1629"/>
      <c r="Y1211" s="1146"/>
      <c r="Z1211" s="2114">
        <f>C1211-'Blocking-Step2'!C1211</f>
        <v>0</v>
      </c>
      <c r="AA1211" s="2114">
        <f>D1211-'Blocking-Step2'!D1211</f>
        <v>0</v>
      </c>
      <c r="AC1211" s="2114">
        <f>F1211-'Blocking-Step2'!F1211</f>
        <v>0</v>
      </c>
      <c r="AE1211" s="2114">
        <f>H1211-'Blocking-Step2'!H1211</f>
        <v>0</v>
      </c>
      <c r="AF1211" s="2114">
        <f>I1211-'Blocking-Step2'!I1211</f>
        <v>0</v>
      </c>
      <c r="AH1211" s="2136">
        <f>K1211-'Blocking-Step2'!K1211</f>
        <v>0</v>
      </c>
      <c r="AJ1211" s="2136">
        <f>M1211-'Blocking-Step2'!M1211</f>
        <v>0</v>
      </c>
      <c r="AL1211" s="2136">
        <f>O1211-'Blocking-Step2'!O1211</f>
        <v>0</v>
      </c>
      <c r="AN1211" s="2137">
        <f>Q1211-'Blocking-Step2'!Q1211</f>
        <v>0</v>
      </c>
      <c r="AP1211" s="2127">
        <f>S1211-'Blocking-Step2'!S1211</f>
        <v>0</v>
      </c>
      <c r="AR1211" s="2127">
        <f>U1211-'Blocking-Step2'!U1211</f>
        <v>0</v>
      </c>
      <c r="AT1211" s="2127">
        <f>W1211-'Blocking-Step2'!W1211</f>
        <v>0</v>
      </c>
      <c r="AV1211" s="2128">
        <f>Y1211-'Blocking-Step2'!Y1211</f>
        <v>0</v>
      </c>
    </row>
    <row r="1212" spans="1:48" ht="16.5" hidden="1" thickTop="1">
      <c r="A1212" s="1116" t="s">
        <v>267</v>
      </c>
      <c r="B1212" s="1104">
        <v>40</v>
      </c>
      <c r="C1212" s="1105">
        <v>0</v>
      </c>
      <c r="D1212" s="1105">
        <v>0</v>
      </c>
      <c r="F1212" s="1907">
        <v>8.0500000000000007</v>
      </c>
      <c r="G1212" s="1110"/>
      <c r="H1212" s="1146">
        <v>0</v>
      </c>
      <c r="I1212" s="1146">
        <v>0</v>
      </c>
      <c r="K1212" s="1907"/>
      <c r="L1212" s="1110"/>
      <c r="M1212" s="1907"/>
      <c r="N1212" s="1110"/>
      <c r="O1212" s="1907"/>
      <c r="P1212" s="1110"/>
      <c r="Q1212" s="1907"/>
      <c r="R1212" s="1110"/>
      <c r="S1212" s="1629"/>
      <c r="T1212" s="1629"/>
      <c r="U1212" s="1629"/>
      <c r="V1212" s="1629"/>
      <c r="W1212" s="1629"/>
      <c r="X1212" s="1629"/>
      <c r="Y1212" s="1146"/>
      <c r="Z1212" s="2114">
        <f>C1212-'Blocking-Step2'!C1212</f>
        <v>0</v>
      </c>
      <c r="AA1212" s="2114">
        <f>D1212-'Blocking-Step2'!D1212</f>
        <v>0</v>
      </c>
      <c r="AC1212" s="2114">
        <f>F1212-'Blocking-Step2'!F1212</f>
        <v>0</v>
      </c>
      <c r="AE1212" s="2114">
        <f>H1212-'Blocking-Step2'!H1212</f>
        <v>0</v>
      </c>
      <c r="AF1212" s="2114">
        <f>I1212-'Blocking-Step2'!I1212</f>
        <v>0</v>
      </c>
      <c r="AH1212" s="2136">
        <f>K1212-'Blocking-Step2'!K1212</f>
        <v>0</v>
      </c>
      <c r="AJ1212" s="2136">
        <f>M1212-'Blocking-Step2'!M1212</f>
        <v>0</v>
      </c>
      <c r="AL1212" s="2136">
        <f>O1212-'Blocking-Step2'!O1212</f>
        <v>0</v>
      </c>
      <c r="AN1212" s="2137">
        <f>Q1212-'Blocking-Step2'!Q1212</f>
        <v>0</v>
      </c>
      <c r="AP1212" s="2127">
        <f>S1212-'Blocking-Step2'!S1212</f>
        <v>0</v>
      </c>
      <c r="AR1212" s="2127">
        <f>U1212-'Blocking-Step2'!U1212</f>
        <v>0</v>
      </c>
      <c r="AT1212" s="2127">
        <f>W1212-'Blocking-Step2'!W1212</f>
        <v>0</v>
      </c>
      <c r="AV1212" s="2128">
        <f>Y1212-'Blocking-Step2'!Y1212</f>
        <v>0</v>
      </c>
    </row>
    <row r="1213" spans="1:48" ht="16.5" hidden="1" thickTop="1">
      <c r="A1213" s="1116" t="s">
        <v>268</v>
      </c>
      <c r="B1213" s="1104">
        <v>2</v>
      </c>
      <c r="C1213" s="1105">
        <v>762.60156833457802</v>
      </c>
      <c r="D1213" s="1105">
        <v>743</v>
      </c>
      <c r="F1213" s="1907">
        <v>26.78</v>
      </c>
      <c r="G1213" s="1110"/>
      <c r="H1213" s="1146">
        <v>20422</v>
      </c>
      <c r="I1213" s="1146">
        <v>19898</v>
      </c>
      <c r="K1213" s="1907"/>
      <c r="L1213" s="1110"/>
      <c r="M1213" s="1907"/>
      <c r="N1213" s="1110"/>
      <c r="O1213" s="1907"/>
      <c r="P1213" s="1110"/>
      <c r="Q1213" s="1907"/>
      <c r="R1213" s="1110"/>
      <c r="S1213" s="1629"/>
      <c r="T1213" s="1629"/>
      <c r="U1213" s="1629"/>
      <c r="V1213" s="1629"/>
      <c r="W1213" s="1629"/>
      <c r="X1213" s="1629"/>
      <c r="Y1213" s="1146"/>
      <c r="Z1213" s="2114">
        <f>C1213-'Blocking-Step2'!C1213</f>
        <v>0</v>
      </c>
      <c r="AA1213" s="2114">
        <f>D1213-'Blocking-Step2'!D1213</f>
        <v>0</v>
      </c>
      <c r="AC1213" s="2114">
        <f>F1213-'Blocking-Step2'!F1213</f>
        <v>0</v>
      </c>
      <c r="AE1213" s="2114">
        <f>H1213-'Blocking-Step2'!H1213</f>
        <v>0</v>
      </c>
      <c r="AF1213" s="2114">
        <f>I1213-'Blocking-Step2'!I1213</f>
        <v>0</v>
      </c>
      <c r="AH1213" s="2136">
        <f>K1213-'Blocking-Step2'!K1213</f>
        <v>0</v>
      </c>
      <c r="AJ1213" s="2136">
        <f>M1213-'Blocking-Step2'!M1213</f>
        <v>0</v>
      </c>
      <c r="AL1213" s="2136">
        <f>O1213-'Blocking-Step2'!O1213</f>
        <v>0</v>
      </c>
      <c r="AN1213" s="2137">
        <f>Q1213-'Blocking-Step2'!Q1213</f>
        <v>0</v>
      </c>
      <c r="AP1213" s="2127">
        <f>S1213-'Blocking-Step2'!S1213</f>
        <v>0</v>
      </c>
      <c r="AR1213" s="2127">
        <f>U1213-'Blocking-Step2'!U1213</f>
        <v>0</v>
      </c>
      <c r="AT1213" s="2127">
        <f>W1213-'Blocking-Step2'!W1213</f>
        <v>0</v>
      </c>
      <c r="AV1213" s="2128">
        <f>Y1213-'Blocking-Step2'!Y1213</f>
        <v>0</v>
      </c>
    </row>
    <row r="1214" spans="1:48" ht="16.5" hidden="1" thickTop="1">
      <c r="A1214" s="1977" t="s">
        <v>269</v>
      </c>
      <c r="C1214" s="1105"/>
      <c r="D1214" s="1105"/>
      <c r="H1214" s="1146"/>
      <c r="I1214" s="1146"/>
      <c r="Y1214" s="1146"/>
      <c r="Z1214" s="2114">
        <f>C1214-'Blocking-Step2'!C1214</f>
        <v>0</v>
      </c>
      <c r="AA1214" s="2114">
        <f>D1214-'Blocking-Step2'!D1214</f>
        <v>0</v>
      </c>
      <c r="AC1214" s="2114">
        <f>F1214-'Blocking-Step2'!F1214</f>
        <v>0</v>
      </c>
      <c r="AE1214" s="2114">
        <f>H1214-'Blocking-Step2'!H1214</f>
        <v>0</v>
      </c>
      <c r="AF1214" s="2114">
        <f>I1214-'Blocking-Step2'!I1214</f>
        <v>0</v>
      </c>
      <c r="AH1214" s="2136">
        <f>K1214-'Blocking-Step2'!K1214</f>
        <v>0</v>
      </c>
      <c r="AJ1214" s="2136">
        <f>M1214-'Blocking-Step2'!M1214</f>
        <v>0</v>
      </c>
      <c r="AL1214" s="2136">
        <f>O1214-'Blocking-Step2'!O1214</f>
        <v>0</v>
      </c>
      <c r="AN1214" s="2137">
        <f>Q1214-'Blocking-Step2'!Q1214</f>
        <v>0</v>
      </c>
      <c r="AP1214" s="2127">
        <f>S1214-'Blocking-Step2'!S1214</f>
        <v>0</v>
      </c>
      <c r="AR1214" s="2127">
        <f>U1214-'Blocking-Step2'!U1214</f>
        <v>0</v>
      </c>
      <c r="AT1214" s="2127">
        <f>W1214-'Blocking-Step2'!W1214</f>
        <v>0</v>
      </c>
      <c r="AV1214" s="2128">
        <f>Y1214-'Blocking-Step2'!Y1214</f>
        <v>0</v>
      </c>
    </row>
    <row r="1215" spans="1:48" ht="16.5" hidden="1" thickTop="1">
      <c r="A1215" s="1116" t="s">
        <v>270</v>
      </c>
      <c r="B1215" s="1104">
        <v>3</v>
      </c>
      <c r="C1215" s="1105">
        <v>2326.39726027397</v>
      </c>
      <c r="D1215" s="1105">
        <v>2268</v>
      </c>
      <c r="F1215" s="1907">
        <v>14.6</v>
      </c>
      <c r="G1215" s="1110"/>
      <c r="H1215" s="1146">
        <v>33965</v>
      </c>
      <c r="I1215" s="1146">
        <v>33113</v>
      </c>
      <c r="K1215" s="1907"/>
      <c r="L1215" s="1110"/>
      <c r="M1215" s="1907"/>
      <c r="N1215" s="1110"/>
      <c r="O1215" s="1907"/>
      <c r="P1215" s="1110"/>
      <c r="Q1215" s="1907"/>
      <c r="R1215" s="1110"/>
      <c r="S1215" s="1629"/>
      <c r="T1215" s="1629"/>
      <c r="U1215" s="1629"/>
      <c r="V1215" s="1629"/>
      <c r="W1215" s="1629"/>
      <c r="X1215" s="1629"/>
      <c r="Y1215" s="1146"/>
      <c r="Z1215" s="2114">
        <f>C1215-'Blocking-Step2'!C1215</f>
        <v>0</v>
      </c>
      <c r="AA1215" s="2114">
        <f>D1215-'Blocking-Step2'!D1215</f>
        <v>0</v>
      </c>
      <c r="AC1215" s="2114">
        <f>F1215-'Blocking-Step2'!F1215</f>
        <v>0</v>
      </c>
      <c r="AE1215" s="2114">
        <f>H1215-'Blocking-Step2'!H1215</f>
        <v>0</v>
      </c>
      <c r="AF1215" s="2114">
        <f>I1215-'Blocking-Step2'!I1215</f>
        <v>0</v>
      </c>
      <c r="AH1215" s="2136">
        <f>K1215-'Blocking-Step2'!K1215</f>
        <v>0</v>
      </c>
      <c r="AJ1215" s="2136">
        <f>M1215-'Blocking-Step2'!M1215</f>
        <v>0</v>
      </c>
      <c r="AL1215" s="2136">
        <f>O1215-'Blocking-Step2'!O1215</f>
        <v>0</v>
      </c>
      <c r="AN1215" s="2137">
        <f>Q1215-'Blocking-Step2'!Q1215</f>
        <v>0</v>
      </c>
      <c r="AP1215" s="2127">
        <f>S1215-'Blocking-Step2'!S1215</f>
        <v>0</v>
      </c>
      <c r="AR1215" s="2127">
        <f>U1215-'Blocking-Step2'!U1215</f>
        <v>0</v>
      </c>
      <c r="AT1215" s="2127">
        <f>W1215-'Blocking-Step2'!W1215</f>
        <v>0</v>
      </c>
      <c r="AV1215" s="2128">
        <f>Y1215-'Blocking-Step2'!Y1215</f>
        <v>0</v>
      </c>
    </row>
    <row r="1216" spans="1:48" ht="16.5" hidden="1" thickTop="1">
      <c r="A1216" s="1116" t="s">
        <v>271</v>
      </c>
      <c r="B1216" s="1104">
        <v>4</v>
      </c>
      <c r="C1216" s="1105">
        <v>838.19869174161897</v>
      </c>
      <c r="D1216" s="1105">
        <v>817</v>
      </c>
      <c r="F1216" s="1907">
        <v>12.23</v>
      </c>
      <c r="G1216" s="1110"/>
      <c r="H1216" s="1146">
        <v>10251</v>
      </c>
      <c r="I1216" s="1146">
        <v>9992</v>
      </c>
      <c r="K1216" s="1907"/>
      <c r="L1216" s="1110"/>
      <c r="M1216" s="1907"/>
      <c r="N1216" s="1110"/>
      <c r="O1216" s="1907"/>
      <c r="P1216" s="1110"/>
      <c r="Q1216" s="1907"/>
      <c r="R1216" s="1110"/>
      <c r="S1216" s="1629"/>
      <c r="T1216" s="1629"/>
      <c r="U1216" s="1629"/>
      <c r="V1216" s="1629"/>
      <c r="W1216" s="1629"/>
      <c r="X1216" s="1629"/>
      <c r="Y1216" s="1146"/>
      <c r="Z1216" s="2114">
        <f>C1216-'Blocking-Step2'!C1216</f>
        <v>0</v>
      </c>
      <c r="AA1216" s="2114">
        <f>D1216-'Blocking-Step2'!D1216</f>
        <v>0</v>
      </c>
      <c r="AC1216" s="2114">
        <f>F1216-'Blocking-Step2'!F1216</f>
        <v>0</v>
      </c>
      <c r="AE1216" s="2114">
        <f>H1216-'Blocking-Step2'!H1216</f>
        <v>0</v>
      </c>
      <c r="AF1216" s="2114">
        <f>I1216-'Blocking-Step2'!I1216</f>
        <v>0</v>
      </c>
      <c r="AH1216" s="2136">
        <f>K1216-'Blocking-Step2'!K1216</f>
        <v>0</v>
      </c>
      <c r="AJ1216" s="2136">
        <f>M1216-'Blocking-Step2'!M1216</f>
        <v>0</v>
      </c>
      <c r="AL1216" s="2136">
        <f>O1216-'Blocking-Step2'!O1216</f>
        <v>0</v>
      </c>
      <c r="AN1216" s="2137">
        <f>Q1216-'Blocking-Step2'!Q1216</f>
        <v>0</v>
      </c>
      <c r="AP1216" s="2127">
        <f>S1216-'Blocking-Step2'!S1216</f>
        <v>0</v>
      </c>
      <c r="AR1216" s="2127">
        <f>U1216-'Blocking-Step2'!U1216</f>
        <v>0</v>
      </c>
      <c r="AT1216" s="2127">
        <f>W1216-'Blocking-Step2'!W1216</f>
        <v>0</v>
      </c>
      <c r="AV1216" s="2128">
        <f>Y1216-'Blocking-Step2'!Y1216</f>
        <v>0</v>
      </c>
    </row>
    <row r="1217" spans="1:48" ht="16.5" hidden="1" thickTop="1">
      <c r="A1217" s="1116" t="s">
        <v>272</v>
      </c>
      <c r="B1217" s="1104">
        <v>5</v>
      </c>
      <c r="C1217" s="1105">
        <v>8663.8209437621099</v>
      </c>
      <c r="D1217" s="1105">
        <v>8446</v>
      </c>
      <c r="F1217" s="1907">
        <v>15.47</v>
      </c>
      <c r="G1217" s="1110"/>
      <c r="H1217" s="1146">
        <v>134029</v>
      </c>
      <c r="I1217" s="1146">
        <v>130660</v>
      </c>
      <c r="K1217" s="1907"/>
      <c r="L1217" s="1110"/>
      <c r="M1217" s="1907"/>
      <c r="N1217" s="1110"/>
      <c r="O1217" s="1907"/>
      <c r="P1217" s="1110"/>
      <c r="Q1217" s="1907"/>
      <c r="R1217" s="1110"/>
      <c r="S1217" s="1629"/>
      <c r="T1217" s="1629"/>
      <c r="U1217" s="1629"/>
      <c r="V1217" s="1629"/>
      <c r="W1217" s="1629"/>
      <c r="X1217" s="1629"/>
      <c r="Y1217" s="1146"/>
      <c r="Z1217" s="2114">
        <f>C1217-'Blocking-Step2'!C1217</f>
        <v>0</v>
      </c>
      <c r="AA1217" s="2114">
        <f>D1217-'Blocking-Step2'!D1217</f>
        <v>0</v>
      </c>
      <c r="AC1217" s="2114">
        <f>F1217-'Blocking-Step2'!F1217</f>
        <v>0</v>
      </c>
      <c r="AE1217" s="2114">
        <f>H1217-'Blocking-Step2'!H1217</f>
        <v>0</v>
      </c>
      <c r="AF1217" s="2114">
        <f>I1217-'Blocking-Step2'!I1217</f>
        <v>0</v>
      </c>
      <c r="AH1217" s="2136">
        <f>K1217-'Blocking-Step2'!K1217</f>
        <v>0</v>
      </c>
      <c r="AJ1217" s="2136">
        <f>M1217-'Blocking-Step2'!M1217</f>
        <v>0</v>
      </c>
      <c r="AL1217" s="2136">
        <f>O1217-'Blocking-Step2'!O1217</f>
        <v>0</v>
      </c>
      <c r="AN1217" s="2137">
        <f>Q1217-'Blocking-Step2'!Q1217</f>
        <v>0</v>
      </c>
      <c r="AP1217" s="2127">
        <f>S1217-'Blocking-Step2'!S1217</f>
        <v>0</v>
      </c>
      <c r="AR1217" s="2127">
        <f>U1217-'Blocking-Step2'!U1217</f>
        <v>0</v>
      </c>
      <c r="AT1217" s="2127">
        <f>W1217-'Blocking-Step2'!W1217</f>
        <v>0</v>
      </c>
      <c r="AV1217" s="2128">
        <f>Y1217-'Blocking-Step2'!Y1217</f>
        <v>0</v>
      </c>
    </row>
    <row r="1218" spans="1:48" ht="16.5" hidden="1" thickTop="1">
      <c r="A1218" s="1116" t="s">
        <v>273</v>
      </c>
      <c r="B1218" s="1104">
        <v>6</v>
      </c>
      <c r="C1218" s="1105">
        <v>7765.4440270473397</v>
      </c>
      <c r="D1218" s="1105">
        <v>7570</v>
      </c>
      <c r="F1218" s="1907">
        <v>13.31</v>
      </c>
      <c r="G1218" s="1110"/>
      <c r="H1218" s="1146">
        <v>103358</v>
      </c>
      <c r="I1218" s="1146">
        <v>100757</v>
      </c>
      <c r="K1218" s="1907"/>
      <c r="L1218" s="1110"/>
      <c r="M1218" s="1907"/>
      <c r="N1218" s="1110"/>
      <c r="O1218" s="1907"/>
      <c r="P1218" s="1110"/>
      <c r="Q1218" s="1907"/>
      <c r="R1218" s="1110"/>
      <c r="S1218" s="1629"/>
      <c r="T1218" s="1629"/>
      <c r="U1218" s="1629"/>
      <c r="V1218" s="1629"/>
      <c r="W1218" s="1629"/>
      <c r="X1218" s="1629"/>
      <c r="Y1218" s="1146"/>
      <c r="Z1218" s="2114">
        <f>C1218-'Blocking-Step2'!C1218</f>
        <v>0</v>
      </c>
      <c r="AA1218" s="2114">
        <f>D1218-'Blocking-Step2'!D1218</f>
        <v>0</v>
      </c>
      <c r="AC1218" s="2114">
        <f>F1218-'Blocking-Step2'!F1218</f>
        <v>0</v>
      </c>
      <c r="AE1218" s="2114">
        <f>H1218-'Blocking-Step2'!H1218</f>
        <v>0</v>
      </c>
      <c r="AF1218" s="2114">
        <f>I1218-'Blocking-Step2'!I1218</f>
        <v>0</v>
      </c>
      <c r="AH1218" s="2136">
        <f>K1218-'Blocking-Step2'!K1218</f>
        <v>0</v>
      </c>
      <c r="AJ1218" s="2136">
        <f>M1218-'Blocking-Step2'!M1218</f>
        <v>0</v>
      </c>
      <c r="AL1218" s="2136">
        <f>O1218-'Blocking-Step2'!O1218</f>
        <v>0</v>
      </c>
      <c r="AN1218" s="2137">
        <f>Q1218-'Blocking-Step2'!Q1218</f>
        <v>0</v>
      </c>
      <c r="AP1218" s="2127">
        <f>S1218-'Blocking-Step2'!S1218</f>
        <v>0</v>
      </c>
      <c r="AR1218" s="2127">
        <f>U1218-'Blocking-Step2'!U1218</f>
        <v>0</v>
      </c>
      <c r="AT1218" s="2127">
        <f>W1218-'Blocking-Step2'!W1218</f>
        <v>0</v>
      </c>
      <c r="AV1218" s="2128">
        <f>Y1218-'Blocking-Step2'!Y1218</f>
        <v>0</v>
      </c>
    </row>
    <row r="1219" spans="1:48" ht="16.5" hidden="1" thickTop="1">
      <c r="A1219" s="1116" t="s">
        <v>274</v>
      </c>
      <c r="B1219" s="1104">
        <v>7</v>
      </c>
      <c r="C1219" s="1105">
        <v>1029.5328879753299</v>
      </c>
      <c r="D1219" s="1105">
        <v>1004</v>
      </c>
      <c r="F1219" s="1907">
        <v>19.46</v>
      </c>
      <c r="G1219" s="1110"/>
      <c r="H1219" s="1146">
        <v>20035</v>
      </c>
      <c r="I1219" s="1146">
        <v>19538</v>
      </c>
      <c r="K1219" s="1907"/>
      <c r="L1219" s="1110"/>
      <c r="M1219" s="1907"/>
      <c r="N1219" s="1110"/>
      <c r="O1219" s="1907"/>
      <c r="P1219" s="1110"/>
      <c r="Q1219" s="1907"/>
      <c r="R1219" s="1110"/>
      <c r="S1219" s="1629"/>
      <c r="T1219" s="1629"/>
      <c r="U1219" s="1629"/>
      <c r="V1219" s="1629"/>
      <c r="W1219" s="1629"/>
      <c r="X1219" s="1629"/>
      <c r="Y1219" s="1146"/>
      <c r="Z1219" s="2114">
        <f>C1219-'Blocking-Step2'!C1219</f>
        <v>0</v>
      </c>
      <c r="AA1219" s="2114">
        <f>D1219-'Blocking-Step2'!D1219</f>
        <v>0</v>
      </c>
      <c r="AC1219" s="2114">
        <f>F1219-'Blocking-Step2'!F1219</f>
        <v>0</v>
      </c>
      <c r="AE1219" s="2114">
        <f>H1219-'Blocking-Step2'!H1219</f>
        <v>0</v>
      </c>
      <c r="AF1219" s="2114">
        <f>I1219-'Blocking-Step2'!I1219</f>
        <v>0</v>
      </c>
      <c r="AH1219" s="2136">
        <f>K1219-'Blocking-Step2'!K1219</f>
        <v>0</v>
      </c>
      <c r="AJ1219" s="2136">
        <f>M1219-'Blocking-Step2'!M1219</f>
        <v>0</v>
      </c>
      <c r="AL1219" s="2136">
        <f>O1219-'Blocking-Step2'!O1219</f>
        <v>0</v>
      </c>
      <c r="AN1219" s="2137">
        <f>Q1219-'Blocking-Step2'!Q1219</f>
        <v>0</v>
      </c>
      <c r="AP1219" s="2127">
        <f>S1219-'Blocking-Step2'!S1219</f>
        <v>0</v>
      </c>
      <c r="AR1219" s="2127">
        <f>U1219-'Blocking-Step2'!U1219</f>
        <v>0</v>
      </c>
      <c r="AT1219" s="2127">
        <f>W1219-'Blocking-Step2'!W1219</f>
        <v>0</v>
      </c>
      <c r="AV1219" s="2128">
        <f>Y1219-'Blocking-Step2'!Y1219</f>
        <v>0</v>
      </c>
    </row>
    <row r="1220" spans="1:48" ht="16.5" hidden="1" thickTop="1">
      <c r="A1220" s="1116" t="s">
        <v>275</v>
      </c>
      <c r="B1220" s="1104">
        <v>8</v>
      </c>
      <c r="C1220" s="1105">
        <v>448.83537653239898</v>
      </c>
      <c r="D1220" s="1105">
        <v>438</v>
      </c>
      <c r="F1220" s="1907">
        <v>17.13</v>
      </c>
      <c r="G1220" s="1110"/>
      <c r="H1220" s="1146">
        <v>7689</v>
      </c>
      <c r="I1220" s="1146">
        <v>7503</v>
      </c>
      <c r="K1220" s="1907"/>
      <c r="L1220" s="1110"/>
      <c r="M1220" s="1907"/>
      <c r="N1220" s="1110"/>
      <c r="O1220" s="1907"/>
      <c r="P1220" s="1110"/>
      <c r="Q1220" s="1907"/>
      <c r="R1220" s="1110"/>
      <c r="S1220" s="1629"/>
      <c r="T1220" s="1629"/>
      <c r="U1220" s="1629"/>
      <c r="V1220" s="1629"/>
      <c r="W1220" s="1629"/>
      <c r="X1220" s="1629"/>
      <c r="Y1220" s="1146"/>
      <c r="Z1220" s="2114">
        <f>C1220-'Blocking-Step2'!C1220</f>
        <v>0</v>
      </c>
      <c r="AA1220" s="2114">
        <f>D1220-'Blocking-Step2'!D1220</f>
        <v>0</v>
      </c>
      <c r="AC1220" s="2114">
        <f>F1220-'Blocking-Step2'!F1220</f>
        <v>0</v>
      </c>
      <c r="AE1220" s="2114">
        <f>H1220-'Blocking-Step2'!H1220</f>
        <v>0</v>
      </c>
      <c r="AF1220" s="2114">
        <f>I1220-'Blocking-Step2'!I1220</f>
        <v>0</v>
      </c>
      <c r="AH1220" s="2136">
        <f>K1220-'Blocking-Step2'!K1220</f>
        <v>0</v>
      </c>
      <c r="AJ1220" s="2136">
        <f>M1220-'Blocking-Step2'!M1220</f>
        <v>0</v>
      </c>
      <c r="AL1220" s="2136">
        <f>O1220-'Blocking-Step2'!O1220</f>
        <v>0</v>
      </c>
      <c r="AN1220" s="2137">
        <f>Q1220-'Blocking-Step2'!Q1220</f>
        <v>0</v>
      </c>
      <c r="AP1220" s="2127">
        <f>S1220-'Blocking-Step2'!S1220</f>
        <v>0</v>
      </c>
      <c r="AR1220" s="2127">
        <f>U1220-'Blocking-Step2'!U1220</f>
        <v>0</v>
      </c>
      <c r="AT1220" s="2127">
        <f>W1220-'Blocking-Step2'!W1220</f>
        <v>0</v>
      </c>
      <c r="AV1220" s="2128">
        <f>Y1220-'Blocking-Step2'!Y1220</f>
        <v>0</v>
      </c>
    </row>
    <row r="1221" spans="1:48" ht="16.5" hidden="1" thickTop="1">
      <c r="A1221" s="1116" t="s">
        <v>276</v>
      </c>
      <c r="B1221" s="1104">
        <v>9</v>
      </c>
      <c r="C1221" s="1105">
        <v>72.233507356430906</v>
      </c>
      <c r="D1221" s="1105">
        <v>70</v>
      </c>
      <c r="F1221" s="1907">
        <v>21.07</v>
      </c>
      <c r="G1221" s="1110"/>
      <c r="H1221" s="1146">
        <v>1522</v>
      </c>
      <c r="I1221" s="1146">
        <v>1475</v>
      </c>
      <c r="K1221" s="1907"/>
      <c r="L1221" s="1110"/>
      <c r="M1221" s="1907"/>
      <c r="N1221" s="1110"/>
      <c r="O1221" s="1907"/>
      <c r="P1221" s="1110"/>
      <c r="Q1221" s="1907"/>
      <c r="R1221" s="1110"/>
      <c r="S1221" s="1629"/>
      <c r="T1221" s="1629"/>
      <c r="U1221" s="1629"/>
      <c r="V1221" s="1629"/>
      <c r="W1221" s="1629"/>
      <c r="X1221" s="1629"/>
      <c r="Y1221" s="1146"/>
      <c r="Z1221" s="2114">
        <f>C1221-'Blocking-Step2'!C1221</f>
        <v>0</v>
      </c>
      <c r="AA1221" s="2114">
        <f>D1221-'Blocking-Step2'!D1221</f>
        <v>0</v>
      </c>
      <c r="AC1221" s="2114">
        <f>F1221-'Blocking-Step2'!F1221</f>
        <v>0</v>
      </c>
      <c r="AE1221" s="2114">
        <f>H1221-'Blocking-Step2'!H1221</f>
        <v>0</v>
      </c>
      <c r="AF1221" s="2114">
        <f>I1221-'Blocking-Step2'!I1221</f>
        <v>0</v>
      </c>
      <c r="AH1221" s="2136">
        <f>K1221-'Blocking-Step2'!K1221</f>
        <v>0</v>
      </c>
      <c r="AJ1221" s="2136">
        <f>M1221-'Blocking-Step2'!M1221</f>
        <v>0</v>
      </c>
      <c r="AL1221" s="2136">
        <f>O1221-'Blocking-Step2'!O1221</f>
        <v>0</v>
      </c>
      <c r="AN1221" s="2137">
        <f>Q1221-'Blocking-Step2'!Q1221</f>
        <v>0</v>
      </c>
      <c r="AP1221" s="2127">
        <f>S1221-'Blocking-Step2'!S1221</f>
        <v>0</v>
      </c>
      <c r="AR1221" s="2127">
        <f>U1221-'Blocking-Step2'!U1221</f>
        <v>0</v>
      </c>
      <c r="AT1221" s="2127">
        <f>W1221-'Blocking-Step2'!W1221</f>
        <v>0</v>
      </c>
      <c r="AV1221" s="2128">
        <f>Y1221-'Blocking-Step2'!Y1221</f>
        <v>0</v>
      </c>
    </row>
    <row r="1222" spans="1:48" ht="16.5" hidden="1" thickTop="1">
      <c r="A1222" s="1116" t="s">
        <v>277</v>
      </c>
      <c r="B1222" s="1104">
        <v>10</v>
      </c>
      <c r="C1222" s="1105">
        <v>430.90131858783502</v>
      </c>
      <c r="D1222" s="1105">
        <v>420</v>
      </c>
      <c r="F1222" s="1907">
        <v>23.51</v>
      </c>
      <c r="G1222" s="1110"/>
      <c r="H1222" s="1146">
        <v>10130</v>
      </c>
      <c r="I1222" s="1146">
        <v>9874</v>
      </c>
      <c r="K1222" s="1907"/>
      <c r="L1222" s="1110"/>
      <c r="M1222" s="1907"/>
      <c r="N1222" s="1110"/>
      <c r="O1222" s="1907"/>
      <c r="P1222" s="1110"/>
      <c r="Q1222" s="1907"/>
      <c r="R1222" s="1110"/>
      <c r="S1222" s="1629"/>
      <c r="T1222" s="1629"/>
      <c r="U1222" s="1629"/>
      <c r="V1222" s="1629"/>
      <c r="W1222" s="1629"/>
      <c r="X1222" s="1629"/>
      <c r="Y1222" s="1146"/>
      <c r="Z1222" s="2114">
        <f>C1222-'Blocking-Step2'!C1222</f>
        <v>0</v>
      </c>
      <c r="AA1222" s="2114">
        <f>D1222-'Blocking-Step2'!D1222</f>
        <v>0</v>
      </c>
      <c r="AC1222" s="2114">
        <f>F1222-'Blocking-Step2'!F1222</f>
        <v>0</v>
      </c>
      <c r="AE1222" s="2114">
        <f>H1222-'Blocking-Step2'!H1222</f>
        <v>0</v>
      </c>
      <c r="AF1222" s="2114">
        <f>I1222-'Blocking-Step2'!I1222</f>
        <v>0</v>
      </c>
      <c r="AH1222" s="2136">
        <f>K1222-'Blocking-Step2'!K1222</f>
        <v>0</v>
      </c>
      <c r="AJ1222" s="2136">
        <f>M1222-'Blocking-Step2'!M1222</f>
        <v>0</v>
      </c>
      <c r="AL1222" s="2136">
        <f>O1222-'Blocking-Step2'!O1222</f>
        <v>0</v>
      </c>
      <c r="AN1222" s="2137">
        <f>Q1222-'Blocking-Step2'!Q1222</f>
        <v>0</v>
      </c>
      <c r="AP1222" s="2127">
        <f>S1222-'Blocking-Step2'!S1222</f>
        <v>0</v>
      </c>
      <c r="AR1222" s="2127">
        <f>U1222-'Blocking-Step2'!U1222</f>
        <v>0</v>
      </c>
      <c r="AT1222" s="2127">
        <f>W1222-'Blocking-Step2'!W1222</f>
        <v>0</v>
      </c>
      <c r="AV1222" s="2128">
        <f>Y1222-'Blocking-Step2'!Y1222</f>
        <v>0</v>
      </c>
    </row>
    <row r="1223" spans="1:48" ht="16.5" hidden="1" thickTop="1">
      <c r="A1223" s="1116" t="s">
        <v>278</v>
      </c>
      <c r="B1223" s="1104">
        <v>11</v>
      </c>
      <c r="C1223" s="1105">
        <v>447.55204898728198</v>
      </c>
      <c r="D1223" s="1105">
        <v>436</v>
      </c>
      <c r="F1223" s="1907">
        <v>21.23</v>
      </c>
      <c r="G1223" s="1110"/>
      <c r="H1223" s="1146">
        <v>9502</v>
      </c>
      <c r="I1223" s="1146">
        <v>9256</v>
      </c>
      <c r="K1223" s="1907"/>
      <c r="L1223" s="1110"/>
      <c r="M1223" s="1907"/>
      <c r="N1223" s="1110"/>
      <c r="O1223" s="1907"/>
      <c r="P1223" s="1110"/>
      <c r="Q1223" s="1907"/>
      <c r="R1223" s="1110"/>
      <c r="S1223" s="1629"/>
      <c r="T1223" s="1629"/>
      <c r="U1223" s="1629"/>
      <c r="V1223" s="1629"/>
      <c r="W1223" s="1629"/>
      <c r="X1223" s="1629"/>
      <c r="Y1223" s="1146"/>
      <c r="Z1223" s="2114">
        <f>C1223-'Blocking-Step2'!C1223</f>
        <v>0</v>
      </c>
      <c r="AA1223" s="2114">
        <f>D1223-'Blocking-Step2'!D1223</f>
        <v>0</v>
      </c>
      <c r="AC1223" s="2114">
        <f>F1223-'Blocking-Step2'!F1223</f>
        <v>0</v>
      </c>
      <c r="AE1223" s="2114">
        <f>H1223-'Blocking-Step2'!H1223</f>
        <v>0</v>
      </c>
      <c r="AF1223" s="2114">
        <f>I1223-'Blocking-Step2'!I1223</f>
        <v>0</v>
      </c>
      <c r="AH1223" s="2136">
        <f>K1223-'Blocking-Step2'!K1223</f>
        <v>0</v>
      </c>
      <c r="AJ1223" s="2136">
        <f>M1223-'Blocking-Step2'!M1223</f>
        <v>0</v>
      </c>
      <c r="AL1223" s="2136">
        <f>O1223-'Blocking-Step2'!O1223</f>
        <v>0</v>
      </c>
      <c r="AN1223" s="2137">
        <f>Q1223-'Blocking-Step2'!Q1223</f>
        <v>0</v>
      </c>
      <c r="AP1223" s="2127">
        <f>S1223-'Blocking-Step2'!S1223</f>
        <v>0</v>
      </c>
      <c r="AR1223" s="2127">
        <f>U1223-'Blocking-Step2'!U1223</f>
        <v>0</v>
      </c>
      <c r="AT1223" s="2127">
        <f>W1223-'Blocking-Step2'!W1223</f>
        <v>0</v>
      </c>
      <c r="AV1223" s="2128">
        <f>Y1223-'Blocking-Step2'!Y1223</f>
        <v>0</v>
      </c>
    </row>
    <row r="1224" spans="1:48" ht="16.5" hidden="1" thickTop="1">
      <c r="A1224" s="1116" t="s">
        <v>279</v>
      </c>
      <c r="B1224" s="1104">
        <v>12</v>
      </c>
      <c r="C1224" s="1105">
        <v>444</v>
      </c>
      <c r="D1224" s="1105">
        <v>433</v>
      </c>
      <c r="F1224" s="1907">
        <v>28.3</v>
      </c>
      <c r="G1224" s="1110"/>
      <c r="H1224" s="1146">
        <v>12565</v>
      </c>
      <c r="I1224" s="1146">
        <v>12254</v>
      </c>
      <c r="K1224" s="1907"/>
      <c r="L1224" s="1110"/>
      <c r="M1224" s="1907"/>
      <c r="N1224" s="1110"/>
      <c r="O1224" s="1907"/>
      <c r="P1224" s="1110"/>
      <c r="Q1224" s="1907"/>
      <c r="R1224" s="1110"/>
      <c r="S1224" s="1629"/>
      <c r="T1224" s="1629"/>
      <c r="U1224" s="1629"/>
      <c r="V1224" s="1629"/>
      <c r="W1224" s="1629"/>
      <c r="X1224" s="1629"/>
      <c r="Y1224" s="1146"/>
      <c r="Z1224" s="2114">
        <f>C1224-'Blocking-Step2'!C1224</f>
        <v>0</v>
      </c>
      <c r="AA1224" s="2114">
        <f>D1224-'Blocking-Step2'!D1224</f>
        <v>0</v>
      </c>
      <c r="AC1224" s="2114">
        <f>F1224-'Blocking-Step2'!F1224</f>
        <v>0</v>
      </c>
      <c r="AE1224" s="2114">
        <f>H1224-'Blocking-Step2'!H1224</f>
        <v>0</v>
      </c>
      <c r="AF1224" s="2114">
        <f>I1224-'Blocking-Step2'!I1224</f>
        <v>0</v>
      </c>
      <c r="AH1224" s="2136">
        <f>K1224-'Blocking-Step2'!K1224</f>
        <v>0</v>
      </c>
      <c r="AJ1224" s="2136">
        <f>M1224-'Blocking-Step2'!M1224</f>
        <v>0</v>
      </c>
      <c r="AL1224" s="2136">
        <f>O1224-'Blocking-Step2'!O1224</f>
        <v>0</v>
      </c>
      <c r="AN1224" s="2137">
        <f>Q1224-'Blocking-Step2'!Q1224</f>
        <v>0</v>
      </c>
      <c r="AP1224" s="2127">
        <f>S1224-'Blocking-Step2'!S1224</f>
        <v>0</v>
      </c>
      <c r="AR1224" s="2127">
        <f>U1224-'Blocking-Step2'!U1224</f>
        <v>0</v>
      </c>
      <c r="AT1224" s="2127">
        <f>W1224-'Blocking-Step2'!W1224</f>
        <v>0</v>
      </c>
      <c r="AV1224" s="2128">
        <f>Y1224-'Blocking-Step2'!Y1224</f>
        <v>0</v>
      </c>
    </row>
    <row r="1225" spans="1:48" ht="16.5" hidden="1" thickTop="1">
      <c r="A1225" s="1116" t="s">
        <v>280</v>
      </c>
      <c r="B1225" s="1104">
        <v>13</v>
      </c>
      <c r="C1225" s="1105">
        <v>272.66641015775298</v>
      </c>
      <c r="D1225" s="1105">
        <v>266</v>
      </c>
      <c r="F1225" s="1907">
        <v>25.99</v>
      </c>
      <c r="G1225" s="1110"/>
      <c r="H1225" s="1146">
        <v>7087</v>
      </c>
      <c r="I1225" s="1146">
        <v>6913</v>
      </c>
      <c r="K1225" s="1907"/>
      <c r="L1225" s="1110"/>
      <c r="M1225" s="1907"/>
      <c r="N1225" s="1110"/>
      <c r="O1225" s="1907"/>
      <c r="P1225" s="1110"/>
      <c r="Q1225" s="1907"/>
      <c r="R1225" s="1110"/>
      <c r="S1225" s="1629"/>
      <c r="T1225" s="1629"/>
      <c r="U1225" s="1629"/>
      <c r="V1225" s="1629"/>
      <c r="W1225" s="1629"/>
      <c r="X1225" s="1629"/>
      <c r="Y1225" s="1146"/>
      <c r="Z1225" s="2114">
        <f>C1225-'Blocking-Step2'!C1225</f>
        <v>0</v>
      </c>
      <c r="AA1225" s="2114">
        <f>D1225-'Blocking-Step2'!D1225</f>
        <v>0</v>
      </c>
      <c r="AC1225" s="2114">
        <f>F1225-'Blocking-Step2'!F1225</f>
        <v>0</v>
      </c>
      <c r="AE1225" s="2114">
        <f>H1225-'Blocking-Step2'!H1225</f>
        <v>0</v>
      </c>
      <c r="AF1225" s="2114">
        <f>I1225-'Blocking-Step2'!I1225</f>
        <v>0</v>
      </c>
      <c r="AH1225" s="2136">
        <f>K1225-'Blocking-Step2'!K1225</f>
        <v>0</v>
      </c>
      <c r="AJ1225" s="2136">
        <f>M1225-'Blocking-Step2'!M1225</f>
        <v>0</v>
      </c>
      <c r="AL1225" s="2136">
        <f>O1225-'Blocking-Step2'!O1225</f>
        <v>0</v>
      </c>
      <c r="AN1225" s="2137">
        <f>Q1225-'Blocking-Step2'!Q1225</f>
        <v>0</v>
      </c>
      <c r="AP1225" s="2127">
        <f>S1225-'Blocking-Step2'!S1225</f>
        <v>0</v>
      </c>
      <c r="AR1225" s="2127">
        <f>U1225-'Blocking-Step2'!U1225</f>
        <v>0</v>
      </c>
      <c r="AT1225" s="2127">
        <f>W1225-'Blocking-Step2'!W1225</f>
        <v>0</v>
      </c>
      <c r="AV1225" s="2128">
        <f>Y1225-'Blocking-Step2'!Y1225</f>
        <v>0</v>
      </c>
    </row>
    <row r="1226" spans="1:48" ht="16.5" hidden="1" thickTop="1">
      <c r="A1226" s="1977" t="s">
        <v>281</v>
      </c>
      <c r="C1226" s="1105"/>
      <c r="D1226" s="1105"/>
      <c r="H1226" s="1146"/>
      <c r="I1226" s="1146"/>
      <c r="Y1226" s="1146"/>
      <c r="Z1226" s="2114">
        <f>C1226-'Blocking-Step2'!C1226</f>
        <v>0</v>
      </c>
      <c r="AA1226" s="2114">
        <f>D1226-'Blocking-Step2'!D1226</f>
        <v>0</v>
      </c>
      <c r="AC1226" s="2114">
        <f>F1226-'Blocking-Step2'!F1226</f>
        <v>0</v>
      </c>
      <c r="AE1226" s="2114">
        <f>H1226-'Blocking-Step2'!H1226</f>
        <v>0</v>
      </c>
      <c r="AF1226" s="2114">
        <f>I1226-'Blocking-Step2'!I1226</f>
        <v>0</v>
      </c>
      <c r="AH1226" s="2136">
        <f>K1226-'Blocking-Step2'!K1226</f>
        <v>0</v>
      </c>
      <c r="AJ1226" s="2136">
        <f>M1226-'Blocking-Step2'!M1226</f>
        <v>0</v>
      </c>
      <c r="AL1226" s="2136">
        <f>O1226-'Blocking-Step2'!O1226</f>
        <v>0</v>
      </c>
      <c r="AN1226" s="2137">
        <f>Q1226-'Blocking-Step2'!Q1226</f>
        <v>0</v>
      </c>
      <c r="AP1226" s="2127">
        <f>S1226-'Blocking-Step2'!S1226</f>
        <v>0</v>
      </c>
      <c r="AR1226" s="2127">
        <f>U1226-'Blocking-Step2'!U1226</f>
        <v>0</v>
      </c>
      <c r="AT1226" s="2127">
        <f>W1226-'Blocking-Step2'!W1226</f>
        <v>0</v>
      </c>
      <c r="AV1226" s="2128">
        <f>Y1226-'Blocking-Step2'!Y1226</f>
        <v>0</v>
      </c>
    </row>
    <row r="1227" spans="1:48" ht="16.5" hidden="1" thickTop="1">
      <c r="A1227" s="1116" t="s">
        <v>274</v>
      </c>
      <c r="B1227" s="1104">
        <v>14</v>
      </c>
      <c r="C1227" s="1105">
        <v>1019.1341212744099</v>
      </c>
      <c r="D1227" s="1105">
        <v>993</v>
      </c>
      <c r="F1227" s="1907">
        <v>19.46</v>
      </c>
      <c r="G1227" s="1110"/>
      <c r="H1227" s="1146">
        <v>19832</v>
      </c>
      <c r="I1227" s="1146">
        <v>19324</v>
      </c>
      <c r="K1227" s="1907"/>
      <c r="L1227" s="1110"/>
      <c r="M1227" s="1907"/>
      <c r="N1227" s="1110"/>
      <c r="O1227" s="1907"/>
      <c r="P1227" s="1110"/>
      <c r="Q1227" s="1907"/>
      <c r="R1227" s="1110"/>
      <c r="S1227" s="1629"/>
      <c r="T1227" s="1629"/>
      <c r="U1227" s="1629"/>
      <c r="V1227" s="1629"/>
      <c r="W1227" s="1629"/>
      <c r="X1227" s="1629"/>
      <c r="Y1227" s="1146"/>
      <c r="Z1227" s="2114">
        <f>C1227-'Blocking-Step2'!C1227</f>
        <v>0</v>
      </c>
      <c r="AA1227" s="2114">
        <f>D1227-'Blocking-Step2'!D1227</f>
        <v>0</v>
      </c>
      <c r="AC1227" s="2114">
        <f>F1227-'Blocking-Step2'!F1227</f>
        <v>0</v>
      </c>
      <c r="AE1227" s="2114">
        <f>H1227-'Blocking-Step2'!H1227</f>
        <v>0</v>
      </c>
      <c r="AF1227" s="2114">
        <f>I1227-'Blocking-Step2'!I1227</f>
        <v>0</v>
      </c>
      <c r="AH1227" s="2136">
        <f>K1227-'Blocking-Step2'!K1227</f>
        <v>0</v>
      </c>
      <c r="AJ1227" s="2136">
        <f>M1227-'Blocking-Step2'!M1227</f>
        <v>0</v>
      </c>
      <c r="AL1227" s="2136">
        <f>O1227-'Blocking-Step2'!O1227</f>
        <v>0</v>
      </c>
      <c r="AN1227" s="2137">
        <f>Q1227-'Blocking-Step2'!Q1227</f>
        <v>0</v>
      </c>
      <c r="AP1227" s="2127">
        <f>S1227-'Blocking-Step2'!S1227</f>
        <v>0</v>
      </c>
      <c r="AR1227" s="2127">
        <f>U1227-'Blocking-Step2'!U1227</f>
        <v>0</v>
      </c>
      <c r="AT1227" s="2127">
        <f>W1227-'Blocking-Step2'!W1227</f>
        <v>0</v>
      </c>
      <c r="AV1227" s="2128">
        <f>Y1227-'Blocking-Step2'!Y1227</f>
        <v>0</v>
      </c>
    </row>
    <row r="1228" spans="1:48" ht="16.5" hidden="1" thickTop="1">
      <c r="A1228" s="1116" t="s">
        <v>275</v>
      </c>
      <c r="B1228" s="1104">
        <v>15</v>
      </c>
      <c r="C1228" s="1105">
        <v>990.43432574430801</v>
      </c>
      <c r="D1228" s="1105">
        <v>966</v>
      </c>
      <c r="F1228" s="1907">
        <v>17.13</v>
      </c>
      <c r="G1228" s="1110"/>
      <c r="H1228" s="1146">
        <v>16966</v>
      </c>
      <c r="I1228" s="1146">
        <v>16548</v>
      </c>
      <c r="K1228" s="1907"/>
      <c r="L1228" s="1110"/>
      <c r="M1228" s="1907"/>
      <c r="N1228" s="1110"/>
      <c r="O1228" s="1907"/>
      <c r="P1228" s="1110"/>
      <c r="Q1228" s="1907"/>
      <c r="R1228" s="1110"/>
      <c r="S1228" s="1629"/>
      <c r="T1228" s="1629"/>
      <c r="U1228" s="1629"/>
      <c r="V1228" s="1629"/>
      <c r="W1228" s="1629"/>
      <c r="X1228" s="1629"/>
      <c r="Y1228" s="1146"/>
      <c r="Z1228" s="2114">
        <f>C1228-'Blocking-Step2'!C1228</f>
        <v>0</v>
      </c>
      <c r="AA1228" s="2114">
        <f>D1228-'Blocking-Step2'!D1228</f>
        <v>0</v>
      </c>
      <c r="AC1228" s="2114">
        <f>F1228-'Blocking-Step2'!F1228</f>
        <v>0</v>
      </c>
      <c r="AE1228" s="2114">
        <f>H1228-'Blocking-Step2'!H1228</f>
        <v>0</v>
      </c>
      <c r="AF1228" s="2114">
        <f>I1228-'Blocking-Step2'!I1228</f>
        <v>0</v>
      </c>
      <c r="AH1228" s="2136">
        <f>K1228-'Blocking-Step2'!K1228</f>
        <v>0</v>
      </c>
      <c r="AJ1228" s="2136">
        <f>M1228-'Blocking-Step2'!M1228</f>
        <v>0</v>
      </c>
      <c r="AL1228" s="2136">
        <f>O1228-'Blocking-Step2'!O1228</f>
        <v>0</v>
      </c>
      <c r="AN1228" s="2137">
        <f>Q1228-'Blocking-Step2'!Q1228</f>
        <v>0</v>
      </c>
      <c r="AP1228" s="2127">
        <f>S1228-'Blocking-Step2'!S1228</f>
        <v>0</v>
      </c>
      <c r="AR1228" s="2127">
        <f>U1228-'Blocking-Step2'!U1228</f>
        <v>0</v>
      </c>
      <c r="AT1228" s="2127">
        <f>W1228-'Blocking-Step2'!W1228</f>
        <v>0</v>
      </c>
      <c r="AV1228" s="2128">
        <f>Y1228-'Blocking-Step2'!Y1228</f>
        <v>0</v>
      </c>
    </row>
    <row r="1229" spans="1:48" ht="16.5" hidden="1" thickTop="1">
      <c r="A1229" s="1116" t="s">
        <v>277</v>
      </c>
      <c r="B1229" s="1104">
        <v>16</v>
      </c>
      <c r="C1229" s="1105">
        <v>115.83283709059999</v>
      </c>
      <c r="D1229" s="1105">
        <v>113</v>
      </c>
      <c r="F1229" s="1907">
        <v>23.51</v>
      </c>
      <c r="G1229" s="1110"/>
      <c r="H1229" s="1146">
        <v>2723</v>
      </c>
      <c r="I1229" s="1146">
        <v>2657</v>
      </c>
      <c r="K1229" s="1907"/>
      <c r="L1229" s="1110"/>
      <c r="M1229" s="1907"/>
      <c r="N1229" s="1110"/>
      <c r="O1229" s="1907"/>
      <c r="P1229" s="1110"/>
      <c r="Q1229" s="1907"/>
      <c r="R1229" s="1110"/>
      <c r="S1229" s="1629"/>
      <c r="T1229" s="1629"/>
      <c r="U1229" s="1629"/>
      <c r="V1229" s="1629"/>
      <c r="W1229" s="1629"/>
      <c r="X1229" s="1629"/>
      <c r="Y1229" s="1146"/>
      <c r="Z1229" s="2114">
        <f>C1229-'Blocking-Step2'!C1229</f>
        <v>0</v>
      </c>
      <c r="AA1229" s="2114">
        <f>D1229-'Blocking-Step2'!D1229</f>
        <v>0</v>
      </c>
      <c r="AC1229" s="2114">
        <f>F1229-'Blocking-Step2'!F1229</f>
        <v>0</v>
      </c>
      <c r="AE1229" s="2114">
        <f>H1229-'Blocking-Step2'!H1229</f>
        <v>0</v>
      </c>
      <c r="AF1229" s="2114">
        <f>I1229-'Blocking-Step2'!I1229</f>
        <v>0</v>
      </c>
      <c r="AH1229" s="2136">
        <f>K1229-'Blocking-Step2'!K1229</f>
        <v>0</v>
      </c>
      <c r="AJ1229" s="2136">
        <f>M1229-'Blocking-Step2'!M1229</f>
        <v>0</v>
      </c>
      <c r="AL1229" s="2136">
        <f>O1229-'Blocking-Step2'!O1229</f>
        <v>0</v>
      </c>
      <c r="AN1229" s="2137">
        <f>Q1229-'Blocking-Step2'!Q1229</f>
        <v>0</v>
      </c>
      <c r="AP1229" s="2127">
        <f>S1229-'Blocking-Step2'!S1229</f>
        <v>0</v>
      </c>
      <c r="AR1229" s="2127">
        <f>U1229-'Blocking-Step2'!U1229</f>
        <v>0</v>
      </c>
      <c r="AT1229" s="2127">
        <f>W1229-'Blocking-Step2'!W1229</f>
        <v>0</v>
      </c>
      <c r="AV1229" s="2128">
        <f>Y1229-'Blocking-Step2'!Y1229</f>
        <v>0</v>
      </c>
    </row>
    <row r="1230" spans="1:48" ht="16.5" hidden="1" thickTop="1">
      <c r="A1230" s="1116" t="s">
        <v>278</v>
      </c>
      <c r="B1230" s="1104">
        <v>17</v>
      </c>
      <c r="C1230" s="1105">
        <v>108</v>
      </c>
      <c r="D1230" s="1105">
        <v>105</v>
      </c>
      <c r="F1230" s="1907">
        <v>21.23</v>
      </c>
      <c r="G1230" s="1110"/>
      <c r="H1230" s="1146">
        <v>2293</v>
      </c>
      <c r="I1230" s="1146">
        <v>2229</v>
      </c>
      <c r="K1230" s="1907"/>
      <c r="L1230" s="1110"/>
      <c r="M1230" s="1907"/>
      <c r="N1230" s="1110"/>
      <c r="O1230" s="1907"/>
      <c r="P1230" s="1110"/>
      <c r="Q1230" s="1907"/>
      <c r="R1230" s="1110"/>
      <c r="S1230" s="1629"/>
      <c r="T1230" s="1629"/>
      <c r="U1230" s="1629"/>
      <c r="V1230" s="1629"/>
      <c r="W1230" s="1629"/>
      <c r="X1230" s="1629"/>
      <c r="Y1230" s="1146"/>
      <c r="Z1230" s="2114">
        <f>C1230-'Blocking-Step2'!C1230</f>
        <v>0</v>
      </c>
      <c r="AA1230" s="2114">
        <f>D1230-'Blocking-Step2'!D1230</f>
        <v>0</v>
      </c>
      <c r="AC1230" s="2114">
        <f>F1230-'Blocking-Step2'!F1230</f>
        <v>0</v>
      </c>
      <c r="AE1230" s="2114">
        <f>H1230-'Blocking-Step2'!H1230</f>
        <v>0</v>
      </c>
      <c r="AF1230" s="2114">
        <f>I1230-'Blocking-Step2'!I1230</f>
        <v>0</v>
      </c>
      <c r="AH1230" s="2136">
        <f>K1230-'Blocking-Step2'!K1230</f>
        <v>0</v>
      </c>
      <c r="AJ1230" s="2136">
        <f>M1230-'Blocking-Step2'!M1230</f>
        <v>0</v>
      </c>
      <c r="AL1230" s="2136">
        <f>O1230-'Blocking-Step2'!O1230</f>
        <v>0</v>
      </c>
      <c r="AN1230" s="2137">
        <f>Q1230-'Blocking-Step2'!Q1230</f>
        <v>0</v>
      </c>
      <c r="AP1230" s="2127">
        <f>S1230-'Blocking-Step2'!S1230</f>
        <v>0</v>
      </c>
      <c r="AR1230" s="2127">
        <f>U1230-'Blocking-Step2'!U1230</f>
        <v>0</v>
      </c>
      <c r="AT1230" s="2127">
        <f>W1230-'Blocking-Step2'!W1230</f>
        <v>0</v>
      </c>
      <c r="AV1230" s="2128">
        <f>Y1230-'Blocking-Step2'!Y1230</f>
        <v>0</v>
      </c>
    </row>
    <row r="1231" spans="1:48" ht="16.5" hidden="1" thickTop="1">
      <c r="A1231" s="1116" t="s">
        <v>279</v>
      </c>
      <c r="B1231" s="1104">
        <v>18</v>
      </c>
      <c r="C1231" s="1105">
        <v>427.00035335689</v>
      </c>
      <c r="D1231" s="1105">
        <v>416</v>
      </c>
      <c r="F1231" s="1907">
        <v>28.3</v>
      </c>
      <c r="G1231" s="1110"/>
      <c r="H1231" s="1146">
        <v>12084</v>
      </c>
      <c r="I1231" s="1146">
        <v>11773</v>
      </c>
      <c r="K1231" s="1907"/>
      <c r="L1231" s="1110"/>
      <c r="M1231" s="1907"/>
      <c r="N1231" s="1110"/>
      <c r="O1231" s="1907"/>
      <c r="P1231" s="1110"/>
      <c r="Q1231" s="1907"/>
      <c r="R1231" s="1110"/>
      <c r="S1231" s="1629"/>
      <c r="T1231" s="1629"/>
      <c r="U1231" s="1629"/>
      <c r="V1231" s="1629"/>
      <c r="W1231" s="1629"/>
      <c r="X1231" s="1629"/>
      <c r="Y1231" s="1146"/>
      <c r="Z1231" s="2114">
        <f>C1231-'Blocking-Step2'!C1231</f>
        <v>0</v>
      </c>
      <c r="AA1231" s="2114">
        <f>D1231-'Blocking-Step2'!D1231</f>
        <v>0</v>
      </c>
      <c r="AC1231" s="2114">
        <f>F1231-'Blocking-Step2'!F1231</f>
        <v>0</v>
      </c>
      <c r="AE1231" s="2114">
        <f>H1231-'Blocking-Step2'!H1231</f>
        <v>0</v>
      </c>
      <c r="AF1231" s="2114">
        <f>I1231-'Blocking-Step2'!I1231</f>
        <v>0</v>
      </c>
      <c r="AH1231" s="2136">
        <f>K1231-'Blocking-Step2'!K1231</f>
        <v>0</v>
      </c>
      <c r="AJ1231" s="2136">
        <f>M1231-'Blocking-Step2'!M1231</f>
        <v>0</v>
      </c>
      <c r="AL1231" s="2136">
        <f>O1231-'Blocking-Step2'!O1231</f>
        <v>0</v>
      </c>
      <c r="AN1231" s="2137">
        <f>Q1231-'Blocking-Step2'!Q1231</f>
        <v>0</v>
      </c>
      <c r="AP1231" s="2127">
        <f>S1231-'Blocking-Step2'!S1231</f>
        <v>0</v>
      </c>
      <c r="AR1231" s="2127">
        <f>U1231-'Blocking-Step2'!U1231</f>
        <v>0</v>
      </c>
      <c r="AT1231" s="2127">
        <f>W1231-'Blocking-Step2'!W1231</f>
        <v>0</v>
      </c>
      <c r="AV1231" s="2128">
        <f>Y1231-'Blocking-Step2'!Y1231</f>
        <v>0</v>
      </c>
    </row>
    <row r="1232" spans="1:48" ht="16.5" hidden="1" thickTop="1">
      <c r="A1232" s="1116" t="s">
        <v>280</v>
      </c>
      <c r="B1232" s="1104">
        <v>19</v>
      </c>
      <c r="C1232" s="1105">
        <v>593.96614082339397</v>
      </c>
      <c r="D1232" s="1105">
        <v>579</v>
      </c>
      <c r="F1232" s="1907">
        <v>25.99</v>
      </c>
      <c r="G1232" s="1110"/>
      <c r="H1232" s="1146">
        <v>15437</v>
      </c>
      <c r="I1232" s="1146">
        <v>15048</v>
      </c>
      <c r="K1232" s="1907"/>
      <c r="L1232" s="1110"/>
      <c r="M1232" s="1907"/>
      <c r="N1232" s="1110"/>
      <c r="O1232" s="1907"/>
      <c r="P1232" s="1110"/>
      <c r="Q1232" s="1907"/>
      <c r="R1232" s="1110"/>
      <c r="S1232" s="1629"/>
      <c r="T1232" s="1629"/>
      <c r="U1232" s="1629"/>
      <c r="V1232" s="1629"/>
      <c r="W1232" s="1629"/>
      <c r="X1232" s="1629"/>
      <c r="Y1232" s="1146"/>
      <c r="Z1232" s="2114">
        <f>C1232-'Blocking-Step2'!C1232</f>
        <v>0</v>
      </c>
      <c r="AA1232" s="2114">
        <f>D1232-'Blocking-Step2'!D1232</f>
        <v>0</v>
      </c>
      <c r="AC1232" s="2114">
        <f>F1232-'Blocking-Step2'!F1232</f>
        <v>0</v>
      </c>
      <c r="AE1232" s="2114">
        <f>H1232-'Blocking-Step2'!H1232</f>
        <v>0</v>
      </c>
      <c r="AF1232" s="2114">
        <f>I1232-'Blocking-Step2'!I1232</f>
        <v>0</v>
      </c>
      <c r="AH1232" s="2136">
        <f>K1232-'Blocking-Step2'!K1232</f>
        <v>0</v>
      </c>
      <c r="AJ1232" s="2136">
        <f>M1232-'Blocking-Step2'!M1232</f>
        <v>0</v>
      </c>
      <c r="AL1232" s="2136">
        <f>O1232-'Blocking-Step2'!O1232</f>
        <v>0</v>
      </c>
      <c r="AN1232" s="2137">
        <f>Q1232-'Blocking-Step2'!Q1232</f>
        <v>0</v>
      </c>
      <c r="AP1232" s="2127">
        <f>S1232-'Blocking-Step2'!S1232</f>
        <v>0</v>
      </c>
      <c r="AR1232" s="2127">
        <f>U1232-'Blocking-Step2'!U1232</f>
        <v>0</v>
      </c>
      <c r="AT1232" s="2127">
        <f>W1232-'Blocking-Step2'!W1232</f>
        <v>0</v>
      </c>
      <c r="AV1232" s="2128">
        <f>Y1232-'Blocking-Step2'!Y1232</f>
        <v>0</v>
      </c>
    </row>
    <row r="1233" spans="1:48" ht="16.5" hidden="1" thickTop="1">
      <c r="A1233" s="1977" t="s">
        <v>289</v>
      </c>
      <c r="C1233" s="1105"/>
      <c r="D1233" s="1105"/>
      <c r="Z1233" s="2114">
        <f>C1233-'Blocking-Step2'!C1233</f>
        <v>0</v>
      </c>
      <c r="AA1233" s="2114">
        <f>D1233-'Blocking-Step2'!D1233</f>
        <v>0</v>
      </c>
      <c r="AC1233" s="2114">
        <f>F1233-'Blocking-Step2'!F1233</f>
        <v>0</v>
      </c>
      <c r="AE1233" s="2114">
        <f>H1233-'Blocking-Step2'!H1233</f>
        <v>0</v>
      </c>
      <c r="AF1233" s="2114">
        <f>I1233-'Blocking-Step2'!I1233</f>
        <v>0</v>
      </c>
      <c r="AH1233" s="2136">
        <f>K1233-'Blocking-Step2'!K1233</f>
        <v>0</v>
      </c>
      <c r="AJ1233" s="2136">
        <f>M1233-'Blocking-Step2'!M1233</f>
        <v>0</v>
      </c>
      <c r="AL1233" s="2136">
        <f>O1233-'Blocking-Step2'!O1233</f>
        <v>0</v>
      </c>
      <c r="AN1233" s="2137">
        <f>Q1233-'Blocking-Step2'!Q1233</f>
        <v>0</v>
      </c>
      <c r="AP1233" s="2127">
        <f>S1233-'Blocking-Step2'!S1233</f>
        <v>0</v>
      </c>
      <c r="AR1233" s="2127">
        <f>U1233-'Blocking-Step2'!U1233</f>
        <v>0</v>
      </c>
      <c r="AT1233" s="2127">
        <f>W1233-'Blocking-Step2'!W1233</f>
        <v>0</v>
      </c>
      <c r="AV1233" s="2128">
        <f>Y1233-'Blocking-Step2'!Y1233</f>
        <v>0</v>
      </c>
    </row>
    <row r="1234" spans="1:48" ht="16.5" hidden="1" thickTop="1">
      <c r="A1234" s="1116" t="s">
        <v>290</v>
      </c>
      <c r="B1234" s="1104">
        <v>20</v>
      </c>
      <c r="C1234" s="1105">
        <v>0</v>
      </c>
      <c r="D1234" s="1105">
        <v>0</v>
      </c>
      <c r="F1234" s="1907">
        <v>29.4</v>
      </c>
      <c r="G1234" s="1110"/>
      <c r="H1234" s="1146">
        <v>0</v>
      </c>
      <c r="I1234" s="1146">
        <v>0</v>
      </c>
      <c r="K1234" s="1907"/>
      <c r="L1234" s="1110"/>
      <c r="M1234" s="1907"/>
      <c r="N1234" s="1110"/>
      <c r="O1234" s="1907"/>
      <c r="P1234" s="1110"/>
      <c r="Q1234" s="1907"/>
      <c r="R1234" s="1110"/>
      <c r="S1234" s="1629"/>
      <c r="T1234" s="1629"/>
      <c r="U1234" s="1629"/>
      <c r="V1234" s="1629"/>
      <c r="W1234" s="1629"/>
      <c r="X1234" s="1629"/>
      <c r="Y1234" s="1146"/>
      <c r="Z1234" s="2114">
        <f>C1234-'Blocking-Step2'!C1234</f>
        <v>0</v>
      </c>
      <c r="AA1234" s="2114">
        <f>D1234-'Blocking-Step2'!D1234</f>
        <v>0</v>
      </c>
      <c r="AC1234" s="2114">
        <f>F1234-'Blocking-Step2'!F1234</f>
        <v>0</v>
      </c>
      <c r="AE1234" s="2114">
        <f>H1234-'Blocking-Step2'!H1234</f>
        <v>0</v>
      </c>
      <c r="AF1234" s="2114">
        <f>I1234-'Blocking-Step2'!I1234</f>
        <v>0</v>
      </c>
      <c r="AH1234" s="2136">
        <f>K1234-'Blocking-Step2'!K1234</f>
        <v>0</v>
      </c>
      <c r="AJ1234" s="2136">
        <f>M1234-'Blocking-Step2'!M1234</f>
        <v>0</v>
      </c>
      <c r="AL1234" s="2136">
        <f>O1234-'Blocking-Step2'!O1234</f>
        <v>0</v>
      </c>
      <c r="AN1234" s="2137">
        <f>Q1234-'Blocking-Step2'!Q1234</f>
        <v>0</v>
      </c>
      <c r="AP1234" s="2127">
        <f>S1234-'Blocking-Step2'!S1234</f>
        <v>0</v>
      </c>
      <c r="AR1234" s="2127">
        <f>U1234-'Blocking-Step2'!U1234</f>
        <v>0</v>
      </c>
      <c r="AT1234" s="2127">
        <f>W1234-'Blocking-Step2'!W1234</f>
        <v>0</v>
      </c>
      <c r="AV1234" s="2128">
        <f>Y1234-'Blocking-Step2'!Y1234</f>
        <v>0</v>
      </c>
    </row>
    <row r="1235" spans="1:48" ht="16.5" hidden="1" thickTop="1">
      <c r="A1235" s="1116" t="s">
        <v>291</v>
      </c>
      <c r="B1235" s="1104">
        <v>21</v>
      </c>
      <c r="C1235" s="1105">
        <v>0</v>
      </c>
      <c r="D1235" s="1105">
        <v>0</v>
      </c>
      <c r="F1235" s="1907">
        <v>21.79</v>
      </c>
      <c r="G1235" s="1110"/>
      <c r="H1235" s="1146">
        <v>0</v>
      </c>
      <c r="I1235" s="1146">
        <v>0</v>
      </c>
      <c r="K1235" s="1907"/>
      <c r="L1235" s="1110"/>
      <c r="M1235" s="1907"/>
      <c r="N1235" s="1110"/>
      <c r="O1235" s="1907"/>
      <c r="P1235" s="1110"/>
      <c r="Q1235" s="1907"/>
      <c r="R1235" s="1110"/>
      <c r="S1235" s="1629"/>
      <c r="T1235" s="1629"/>
      <c r="U1235" s="1629"/>
      <c r="V1235" s="1629"/>
      <c r="W1235" s="1629"/>
      <c r="X1235" s="1629"/>
      <c r="Y1235" s="1146"/>
      <c r="Z1235" s="2114">
        <f>C1235-'Blocking-Step2'!C1235</f>
        <v>0</v>
      </c>
      <c r="AA1235" s="2114">
        <f>D1235-'Blocking-Step2'!D1235</f>
        <v>0</v>
      </c>
      <c r="AC1235" s="2114">
        <f>F1235-'Blocking-Step2'!F1235</f>
        <v>0</v>
      </c>
      <c r="AE1235" s="2114">
        <f>H1235-'Blocking-Step2'!H1235</f>
        <v>0</v>
      </c>
      <c r="AF1235" s="2114">
        <f>I1235-'Blocking-Step2'!I1235</f>
        <v>0</v>
      </c>
      <c r="AH1235" s="2136">
        <f>K1235-'Blocking-Step2'!K1235</f>
        <v>0</v>
      </c>
      <c r="AJ1235" s="2136">
        <f>M1235-'Blocking-Step2'!M1235</f>
        <v>0</v>
      </c>
      <c r="AL1235" s="2136">
        <f>O1235-'Blocking-Step2'!O1235</f>
        <v>0</v>
      </c>
      <c r="AN1235" s="2137">
        <f>Q1235-'Blocking-Step2'!Q1235</f>
        <v>0</v>
      </c>
      <c r="AP1235" s="2127">
        <f>S1235-'Blocking-Step2'!S1235</f>
        <v>0</v>
      </c>
      <c r="AR1235" s="2127">
        <f>U1235-'Blocking-Step2'!U1235</f>
        <v>0</v>
      </c>
      <c r="AT1235" s="2127">
        <f>W1235-'Blocking-Step2'!W1235</f>
        <v>0</v>
      </c>
      <c r="AV1235" s="2128">
        <f>Y1235-'Blocking-Step2'!Y1235</f>
        <v>0</v>
      </c>
    </row>
    <row r="1236" spans="1:48" ht="16.5" hidden="1" thickTop="1">
      <c r="A1236" s="1116" t="s">
        <v>292</v>
      </c>
      <c r="B1236" s="1104">
        <v>22</v>
      </c>
      <c r="C1236" s="1105">
        <v>0</v>
      </c>
      <c r="D1236" s="1105">
        <v>0</v>
      </c>
      <c r="F1236" s="1907">
        <v>34.340000000000003</v>
      </c>
      <c r="G1236" s="1110"/>
      <c r="H1236" s="1146">
        <v>0</v>
      </c>
      <c r="I1236" s="1146">
        <v>0</v>
      </c>
      <c r="K1236" s="1907"/>
      <c r="L1236" s="1110"/>
      <c r="M1236" s="1907"/>
      <c r="N1236" s="1110"/>
      <c r="O1236" s="1907"/>
      <c r="P1236" s="1110"/>
      <c r="Q1236" s="1907"/>
      <c r="R1236" s="1110"/>
      <c r="S1236" s="1629"/>
      <c r="T1236" s="1629"/>
      <c r="U1236" s="1629"/>
      <c r="V1236" s="1629"/>
      <c r="W1236" s="1629"/>
      <c r="X1236" s="1629"/>
      <c r="Y1236" s="1146"/>
      <c r="Z1236" s="2114">
        <f>C1236-'Blocking-Step2'!C1236</f>
        <v>0</v>
      </c>
      <c r="AA1236" s="2114">
        <f>D1236-'Blocking-Step2'!D1236</f>
        <v>0</v>
      </c>
      <c r="AC1236" s="2114">
        <f>F1236-'Blocking-Step2'!F1236</f>
        <v>0</v>
      </c>
      <c r="AE1236" s="2114">
        <f>H1236-'Blocking-Step2'!H1236</f>
        <v>0</v>
      </c>
      <c r="AF1236" s="2114">
        <f>I1236-'Blocking-Step2'!I1236</f>
        <v>0</v>
      </c>
      <c r="AH1236" s="2136">
        <f>K1236-'Blocking-Step2'!K1236</f>
        <v>0</v>
      </c>
      <c r="AJ1236" s="2136">
        <f>M1236-'Blocking-Step2'!M1236</f>
        <v>0</v>
      </c>
      <c r="AL1236" s="2136">
        <f>O1236-'Blocking-Step2'!O1236</f>
        <v>0</v>
      </c>
      <c r="AN1236" s="2137">
        <f>Q1236-'Blocking-Step2'!Q1236</f>
        <v>0</v>
      </c>
      <c r="AP1236" s="2127">
        <f>S1236-'Blocking-Step2'!S1236</f>
        <v>0</v>
      </c>
      <c r="AR1236" s="2127">
        <f>U1236-'Blocking-Step2'!U1236</f>
        <v>0</v>
      </c>
      <c r="AT1236" s="2127">
        <f>W1236-'Blocking-Step2'!W1236</f>
        <v>0</v>
      </c>
      <c r="AV1236" s="2128">
        <f>Y1236-'Blocking-Step2'!Y1236</f>
        <v>0</v>
      </c>
    </row>
    <row r="1237" spans="1:48" ht="16.5" hidden="1" thickTop="1">
      <c r="A1237" s="1116" t="s">
        <v>293</v>
      </c>
      <c r="B1237" s="1104">
        <v>23</v>
      </c>
      <c r="C1237" s="1105">
        <v>0</v>
      </c>
      <c r="D1237" s="1105">
        <v>0</v>
      </c>
      <c r="F1237" s="1907">
        <v>27.43</v>
      </c>
      <c r="G1237" s="1110"/>
      <c r="H1237" s="1146">
        <v>0</v>
      </c>
      <c r="I1237" s="1146">
        <v>0</v>
      </c>
      <c r="K1237" s="1907"/>
      <c r="L1237" s="1110"/>
      <c r="M1237" s="1907"/>
      <c r="N1237" s="1110"/>
      <c r="O1237" s="1907"/>
      <c r="P1237" s="1110"/>
      <c r="Q1237" s="1907"/>
      <c r="R1237" s="1110"/>
      <c r="S1237" s="1629"/>
      <c r="T1237" s="1629"/>
      <c r="U1237" s="1629"/>
      <c r="V1237" s="1629"/>
      <c r="W1237" s="1629"/>
      <c r="X1237" s="1629"/>
      <c r="Y1237" s="1146"/>
      <c r="Z1237" s="2114">
        <f>C1237-'Blocking-Step2'!C1237</f>
        <v>0</v>
      </c>
      <c r="AA1237" s="2114">
        <f>D1237-'Blocking-Step2'!D1237</f>
        <v>0</v>
      </c>
      <c r="AC1237" s="2114">
        <f>F1237-'Blocking-Step2'!F1237</f>
        <v>0</v>
      </c>
      <c r="AE1237" s="2114">
        <f>H1237-'Blocking-Step2'!H1237</f>
        <v>0</v>
      </c>
      <c r="AF1237" s="2114">
        <f>I1237-'Blocking-Step2'!I1237</f>
        <v>0</v>
      </c>
      <c r="AH1237" s="2136">
        <f>K1237-'Blocking-Step2'!K1237</f>
        <v>0</v>
      </c>
      <c r="AJ1237" s="2136">
        <f>M1237-'Blocking-Step2'!M1237</f>
        <v>0</v>
      </c>
      <c r="AL1237" s="2136">
        <f>O1237-'Blocking-Step2'!O1237</f>
        <v>0</v>
      </c>
      <c r="AN1237" s="2137">
        <f>Q1237-'Blocking-Step2'!Q1237</f>
        <v>0</v>
      </c>
      <c r="AP1237" s="2127">
        <f>S1237-'Blocking-Step2'!S1237</f>
        <v>0</v>
      </c>
      <c r="AR1237" s="2127">
        <f>U1237-'Blocking-Step2'!U1237</f>
        <v>0</v>
      </c>
      <c r="AT1237" s="2127">
        <f>W1237-'Blocking-Step2'!W1237</f>
        <v>0</v>
      </c>
      <c r="AV1237" s="2128">
        <f>Y1237-'Blocking-Step2'!Y1237</f>
        <v>0</v>
      </c>
    </row>
    <row r="1238" spans="1:48" ht="16.5" hidden="1" thickTop="1">
      <c r="A1238" s="1116" t="s">
        <v>294</v>
      </c>
      <c r="B1238" s="1104">
        <v>24</v>
      </c>
      <c r="C1238" s="1105">
        <v>0</v>
      </c>
      <c r="D1238" s="1105">
        <v>0</v>
      </c>
      <c r="F1238" s="1907">
        <v>36.69</v>
      </c>
      <c r="G1238" s="1110"/>
      <c r="H1238" s="1146">
        <v>0</v>
      </c>
      <c r="I1238" s="1146">
        <v>0</v>
      </c>
      <c r="K1238" s="1907"/>
      <c r="L1238" s="1110"/>
      <c r="M1238" s="1907"/>
      <c r="N1238" s="1110"/>
      <c r="O1238" s="1907"/>
      <c r="P1238" s="1110"/>
      <c r="Q1238" s="1907"/>
      <c r="R1238" s="1110"/>
      <c r="S1238" s="1629"/>
      <c r="T1238" s="1629"/>
      <c r="U1238" s="1629"/>
      <c r="V1238" s="1629"/>
      <c r="W1238" s="1629"/>
      <c r="X1238" s="1629"/>
      <c r="Y1238" s="1146"/>
      <c r="Z1238" s="2114">
        <f>C1238-'Blocking-Step2'!C1238</f>
        <v>0</v>
      </c>
      <c r="AA1238" s="2114">
        <f>D1238-'Blocking-Step2'!D1238</f>
        <v>0</v>
      </c>
      <c r="AC1238" s="2114">
        <f>F1238-'Blocking-Step2'!F1238</f>
        <v>0</v>
      </c>
      <c r="AE1238" s="2114">
        <f>H1238-'Blocking-Step2'!H1238</f>
        <v>0</v>
      </c>
      <c r="AF1238" s="2114">
        <f>I1238-'Blocking-Step2'!I1238</f>
        <v>0</v>
      </c>
      <c r="AH1238" s="2136">
        <f>K1238-'Blocking-Step2'!K1238</f>
        <v>0</v>
      </c>
      <c r="AJ1238" s="2136">
        <f>M1238-'Blocking-Step2'!M1238</f>
        <v>0</v>
      </c>
      <c r="AL1238" s="2136">
        <f>O1238-'Blocking-Step2'!O1238</f>
        <v>0</v>
      </c>
      <c r="AN1238" s="2137">
        <f>Q1238-'Blocking-Step2'!Q1238</f>
        <v>0</v>
      </c>
      <c r="AP1238" s="2127">
        <f>S1238-'Blocking-Step2'!S1238</f>
        <v>0</v>
      </c>
      <c r="AR1238" s="2127">
        <f>U1238-'Blocking-Step2'!U1238</f>
        <v>0</v>
      </c>
      <c r="AT1238" s="2127">
        <f>W1238-'Blocking-Step2'!W1238</f>
        <v>0</v>
      </c>
      <c r="AV1238" s="2128">
        <f>Y1238-'Blocking-Step2'!Y1238</f>
        <v>0</v>
      </c>
    </row>
    <row r="1239" spans="1:48" ht="16.5" hidden="1" thickTop="1">
      <c r="A1239" s="1116" t="s">
        <v>297</v>
      </c>
      <c r="B1239" s="1104">
        <v>25</v>
      </c>
      <c r="C1239" s="1105">
        <v>0</v>
      </c>
      <c r="D1239" s="1105">
        <v>0</v>
      </c>
      <c r="F1239" s="1907">
        <v>29.72</v>
      </c>
      <c r="G1239" s="1110"/>
      <c r="H1239" s="1146">
        <v>0</v>
      </c>
      <c r="I1239" s="1146">
        <v>0</v>
      </c>
      <c r="K1239" s="1907"/>
      <c r="L1239" s="1110"/>
      <c r="M1239" s="1907"/>
      <c r="N1239" s="1110"/>
      <c r="O1239" s="1907"/>
      <c r="P1239" s="1110"/>
      <c r="Q1239" s="1907"/>
      <c r="R1239" s="1110"/>
      <c r="S1239" s="1629"/>
      <c r="T1239" s="1629"/>
      <c r="U1239" s="1629"/>
      <c r="V1239" s="1629"/>
      <c r="W1239" s="1629"/>
      <c r="X1239" s="1629"/>
      <c r="Y1239" s="1146"/>
      <c r="Z1239" s="2114">
        <f>C1239-'Blocking-Step2'!C1239</f>
        <v>0</v>
      </c>
      <c r="AA1239" s="2114">
        <f>D1239-'Blocking-Step2'!D1239</f>
        <v>0</v>
      </c>
      <c r="AC1239" s="2114">
        <f>F1239-'Blocking-Step2'!F1239</f>
        <v>0</v>
      </c>
      <c r="AE1239" s="2114">
        <f>H1239-'Blocking-Step2'!H1239</f>
        <v>0</v>
      </c>
      <c r="AF1239" s="2114">
        <f>I1239-'Blocking-Step2'!I1239</f>
        <v>0</v>
      </c>
      <c r="AH1239" s="2136">
        <f>K1239-'Blocking-Step2'!K1239</f>
        <v>0</v>
      </c>
      <c r="AJ1239" s="2136">
        <f>M1239-'Blocking-Step2'!M1239</f>
        <v>0</v>
      </c>
      <c r="AL1239" s="2136">
        <f>O1239-'Blocking-Step2'!O1239</f>
        <v>0</v>
      </c>
      <c r="AN1239" s="2137">
        <f>Q1239-'Blocking-Step2'!Q1239</f>
        <v>0</v>
      </c>
      <c r="AP1239" s="2127">
        <f>S1239-'Blocking-Step2'!S1239</f>
        <v>0</v>
      </c>
      <c r="AR1239" s="2127">
        <f>U1239-'Blocking-Step2'!U1239</f>
        <v>0</v>
      </c>
      <c r="AT1239" s="2127">
        <f>W1239-'Blocking-Step2'!W1239</f>
        <v>0</v>
      </c>
      <c r="AV1239" s="2128">
        <f>Y1239-'Blocking-Step2'!Y1239</f>
        <v>0</v>
      </c>
    </row>
    <row r="1240" spans="1:48" ht="16.5" hidden="1" thickTop="1">
      <c r="A1240" s="1116" t="s">
        <v>298</v>
      </c>
      <c r="B1240" s="1104">
        <v>26</v>
      </c>
      <c r="C1240" s="1105">
        <v>0</v>
      </c>
      <c r="D1240" s="1105">
        <v>0</v>
      </c>
      <c r="F1240" s="1907">
        <v>57.58</v>
      </c>
      <c r="G1240" s="1110"/>
      <c r="H1240" s="1146">
        <v>0</v>
      </c>
      <c r="I1240" s="1146">
        <v>0</v>
      </c>
      <c r="K1240" s="1907"/>
      <c r="L1240" s="1110"/>
      <c r="M1240" s="1907"/>
      <c r="N1240" s="1110"/>
      <c r="O1240" s="1907"/>
      <c r="P1240" s="1110"/>
      <c r="Q1240" s="1907"/>
      <c r="R1240" s="1110"/>
      <c r="S1240" s="1629"/>
      <c r="T1240" s="1629"/>
      <c r="U1240" s="1629"/>
      <c r="V1240" s="1629"/>
      <c r="W1240" s="1629"/>
      <c r="X1240" s="1629"/>
      <c r="Y1240" s="1146"/>
      <c r="Z1240" s="2114">
        <f>C1240-'Blocking-Step2'!C1240</f>
        <v>0</v>
      </c>
      <c r="AA1240" s="2114">
        <f>D1240-'Blocking-Step2'!D1240</f>
        <v>0</v>
      </c>
      <c r="AC1240" s="2114">
        <f>F1240-'Blocking-Step2'!F1240</f>
        <v>0</v>
      </c>
      <c r="AE1240" s="2114">
        <f>H1240-'Blocking-Step2'!H1240</f>
        <v>0</v>
      </c>
      <c r="AF1240" s="2114">
        <f>I1240-'Blocking-Step2'!I1240</f>
        <v>0</v>
      </c>
      <c r="AH1240" s="2136">
        <f>K1240-'Blocking-Step2'!K1240</f>
        <v>0</v>
      </c>
      <c r="AJ1240" s="2136">
        <f>M1240-'Blocking-Step2'!M1240</f>
        <v>0</v>
      </c>
      <c r="AL1240" s="2136">
        <f>O1240-'Blocking-Step2'!O1240</f>
        <v>0</v>
      </c>
      <c r="AN1240" s="2137">
        <f>Q1240-'Blocking-Step2'!Q1240</f>
        <v>0</v>
      </c>
      <c r="AP1240" s="2127">
        <f>S1240-'Blocking-Step2'!S1240</f>
        <v>0</v>
      </c>
      <c r="AR1240" s="2127">
        <f>U1240-'Blocking-Step2'!U1240</f>
        <v>0</v>
      </c>
      <c r="AT1240" s="2127">
        <f>W1240-'Blocking-Step2'!W1240</f>
        <v>0</v>
      </c>
      <c r="AV1240" s="2128">
        <f>Y1240-'Blocking-Step2'!Y1240</f>
        <v>0</v>
      </c>
    </row>
    <row r="1241" spans="1:48" ht="16.5" hidden="1" thickTop="1">
      <c r="A1241" s="1116" t="s">
        <v>300</v>
      </c>
      <c r="B1241" s="1104">
        <v>27</v>
      </c>
      <c r="C1241" s="1105">
        <v>0</v>
      </c>
      <c r="D1241" s="1105">
        <v>0</v>
      </c>
      <c r="F1241" s="1907">
        <v>49.1</v>
      </c>
      <c r="G1241" s="1110"/>
      <c r="H1241" s="1146">
        <v>0</v>
      </c>
      <c r="I1241" s="1146">
        <v>0</v>
      </c>
      <c r="K1241" s="1907"/>
      <c r="L1241" s="1110"/>
      <c r="M1241" s="1907"/>
      <c r="N1241" s="1110"/>
      <c r="O1241" s="1907"/>
      <c r="P1241" s="1110"/>
      <c r="Q1241" s="1907"/>
      <c r="R1241" s="1110"/>
      <c r="S1241" s="1629"/>
      <c r="T1241" s="1629"/>
      <c r="U1241" s="1629"/>
      <c r="V1241" s="1629"/>
      <c r="W1241" s="1629"/>
      <c r="X1241" s="1629"/>
      <c r="Y1241" s="1146"/>
      <c r="Z1241" s="2114">
        <f>C1241-'Blocking-Step2'!C1241</f>
        <v>0</v>
      </c>
      <c r="AA1241" s="2114">
        <f>D1241-'Blocking-Step2'!D1241</f>
        <v>0</v>
      </c>
      <c r="AC1241" s="2114">
        <f>F1241-'Blocking-Step2'!F1241</f>
        <v>0</v>
      </c>
      <c r="AE1241" s="2114">
        <f>H1241-'Blocking-Step2'!H1241</f>
        <v>0</v>
      </c>
      <c r="AF1241" s="2114">
        <f>I1241-'Blocking-Step2'!I1241</f>
        <v>0</v>
      </c>
      <c r="AH1241" s="2136">
        <f>K1241-'Blocking-Step2'!K1241</f>
        <v>0</v>
      </c>
      <c r="AJ1241" s="2136">
        <f>M1241-'Blocking-Step2'!M1241</f>
        <v>0</v>
      </c>
      <c r="AL1241" s="2136">
        <f>O1241-'Blocking-Step2'!O1241</f>
        <v>0</v>
      </c>
      <c r="AN1241" s="2137">
        <f>Q1241-'Blocking-Step2'!Q1241</f>
        <v>0</v>
      </c>
      <c r="AP1241" s="2127">
        <f>S1241-'Blocking-Step2'!S1241</f>
        <v>0</v>
      </c>
      <c r="AR1241" s="2127">
        <f>U1241-'Blocking-Step2'!U1241</f>
        <v>0</v>
      </c>
      <c r="AT1241" s="2127">
        <f>W1241-'Blocking-Step2'!W1241</f>
        <v>0</v>
      </c>
      <c r="AV1241" s="2128">
        <f>Y1241-'Blocking-Step2'!Y1241</f>
        <v>0</v>
      </c>
    </row>
    <row r="1242" spans="1:48" ht="16.5" hidden="1" thickTop="1">
      <c r="A1242" s="1116" t="s">
        <v>130</v>
      </c>
      <c r="C1242" s="1105">
        <v>38824.758778753254</v>
      </c>
      <c r="D1242" s="1105">
        <v>37848</v>
      </c>
      <c r="H1242" s="1146">
        <v>637567</v>
      </c>
      <c r="I1242" s="1146">
        <v>621523</v>
      </c>
      <c r="Y1242" s="1146"/>
      <c r="Z1242" s="2114">
        <f>C1242-'Blocking-Step2'!C1242</f>
        <v>0</v>
      </c>
      <c r="AA1242" s="2114">
        <f>D1242-'Blocking-Step2'!D1242</f>
        <v>0</v>
      </c>
      <c r="AC1242" s="2114">
        <f>F1242-'Blocking-Step2'!F1242</f>
        <v>0</v>
      </c>
      <c r="AE1242" s="2114">
        <f>H1242-'Blocking-Step2'!H1242</f>
        <v>0</v>
      </c>
      <c r="AF1242" s="2114">
        <f>I1242-'Blocking-Step2'!I1242</f>
        <v>0</v>
      </c>
      <c r="AH1242" s="2136">
        <f>K1242-'Blocking-Step2'!K1242</f>
        <v>0</v>
      </c>
      <c r="AJ1242" s="2136">
        <f>M1242-'Blocking-Step2'!M1242</f>
        <v>0</v>
      </c>
      <c r="AL1242" s="2136">
        <f>O1242-'Blocking-Step2'!O1242</f>
        <v>0</v>
      </c>
      <c r="AN1242" s="2137">
        <f>Q1242-'Blocking-Step2'!Q1242</f>
        <v>0</v>
      </c>
      <c r="AP1242" s="2127">
        <f>S1242-'Blocking-Step2'!S1242</f>
        <v>0</v>
      </c>
      <c r="AR1242" s="2127">
        <f>U1242-'Blocking-Step2'!U1242</f>
        <v>0</v>
      </c>
      <c r="AT1242" s="2127">
        <f>W1242-'Blocking-Step2'!W1242</f>
        <v>0</v>
      </c>
      <c r="AV1242" s="2128">
        <f>Y1242-'Blocking-Step2'!Y1242</f>
        <v>0</v>
      </c>
    </row>
    <row r="1243" spans="1:48" ht="16.5" hidden="1" thickTop="1">
      <c r="A1243" s="1116" t="s">
        <v>36</v>
      </c>
      <c r="C1243" s="1896">
        <v>2246900.6861753906</v>
      </c>
      <c r="D1243" s="1896">
        <v>2190362.1297112624</v>
      </c>
      <c r="H1243" s="1146"/>
      <c r="I1243" s="1146"/>
      <c r="Y1243" s="1146"/>
      <c r="Z1243" s="2114">
        <f>C1243-'Blocking-Step2'!C1243</f>
        <v>0</v>
      </c>
      <c r="AA1243" s="2114">
        <f>D1243-'Blocking-Step2'!D1243</f>
        <v>0</v>
      </c>
      <c r="AC1243" s="2114">
        <f>F1243-'Blocking-Step2'!F1243</f>
        <v>0</v>
      </c>
      <c r="AE1243" s="2114">
        <f>H1243-'Blocking-Step2'!H1243</f>
        <v>0</v>
      </c>
      <c r="AF1243" s="2114">
        <f>I1243-'Blocking-Step2'!I1243</f>
        <v>0</v>
      </c>
      <c r="AH1243" s="2136">
        <f>K1243-'Blocking-Step2'!K1243</f>
        <v>0</v>
      </c>
      <c r="AJ1243" s="2136">
        <f>M1243-'Blocking-Step2'!M1243</f>
        <v>0</v>
      </c>
      <c r="AL1243" s="2136">
        <f>O1243-'Blocking-Step2'!O1243</f>
        <v>0</v>
      </c>
      <c r="AN1243" s="2137">
        <f>Q1243-'Blocking-Step2'!Q1243</f>
        <v>0</v>
      </c>
      <c r="AP1243" s="2127">
        <f>S1243-'Blocking-Step2'!S1243</f>
        <v>0</v>
      </c>
      <c r="AR1243" s="2127">
        <f>U1243-'Blocking-Step2'!U1243</f>
        <v>0</v>
      </c>
      <c r="AT1243" s="2127">
        <f>W1243-'Blocking-Step2'!W1243</f>
        <v>0</v>
      </c>
      <c r="AV1243" s="2128">
        <f>Y1243-'Blocking-Step2'!Y1243</f>
        <v>0</v>
      </c>
    </row>
    <row r="1244" spans="1:48" ht="16.5" hidden="1" thickTop="1">
      <c r="A1244" s="1116" t="s">
        <v>136</v>
      </c>
      <c r="C1244" s="2081">
        <v>12711</v>
      </c>
      <c r="D1244" s="2081">
        <v>0</v>
      </c>
      <c r="F1244" s="2082"/>
      <c r="H1244" s="1148">
        <v>3843</v>
      </c>
      <c r="I1244" s="1147">
        <v>0</v>
      </c>
      <c r="K1244" s="2082"/>
      <c r="M1244" s="2082"/>
      <c r="O1244" s="2082"/>
      <c r="Q1244" s="2082"/>
      <c r="Y1244" s="1147"/>
      <c r="Z1244" s="2114">
        <f>C1244-'Blocking-Step2'!C1244</f>
        <v>0</v>
      </c>
      <c r="AA1244" s="2114">
        <f>D1244-'Blocking-Step2'!D1244</f>
        <v>0</v>
      </c>
      <c r="AC1244" s="2114">
        <f>F1244-'Blocking-Step2'!F1244</f>
        <v>0</v>
      </c>
      <c r="AE1244" s="2114">
        <f>H1244-'Blocking-Step2'!H1244</f>
        <v>0</v>
      </c>
      <c r="AF1244" s="2114">
        <f>I1244-'Blocking-Step2'!I1244</f>
        <v>0</v>
      </c>
      <c r="AH1244" s="2136">
        <f>K1244-'Blocking-Step2'!K1244</f>
        <v>0</v>
      </c>
      <c r="AJ1244" s="2136">
        <f>M1244-'Blocking-Step2'!M1244</f>
        <v>0</v>
      </c>
      <c r="AL1244" s="2136">
        <f>O1244-'Blocking-Step2'!O1244</f>
        <v>0</v>
      </c>
      <c r="AN1244" s="2137">
        <f>Q1244-'Blocking-Step2'!Q1244</f>
        <v>0</v>
      </c>
      <c r="AP1244" s="2127">
        <f>S1244-'Blocking-Step2'!S1244</f>
        <v>0</v>
      </c>
      <c r="AR1244" s="2127">
        <f>U1244-'Blocking-Step2'!U1244</f>
        <v>0</v>
      </c>
      <c r="AT1244" s="2127">
        <f>W1244-'Blocking-Step2'!W1244</f>
        <v>0</v>
      </c>
      <c r="AV1244" s="2128">
        <f>Y1244-'Blocking-Step2'!Y1244</f>
        <v>0</v>
      </c>
    </row>
    <row r="1245" spans="1:48" ht="16.5" hidden="1" thickTop="1">
      <c r="A1245" s="1116" t="s">
        <v>1240</v>
      </c>
      <c r="C1245" s="1024"/>
      <c r="D1245" s="1024"/>
      <c r="F1245" s="2076">
        <v>-1.9800000000000002E-2</v>
      </c>
      <c r="G1245" s="617"/>
      <c r="H1245" s="1146">
        <v>-12623.8266</v>
      </c>
      <c r="I1245" s="1146">
        <v>-12306.155400000001</v>
      </c>
      <c r="K1245" s="2076"/>
      <c r="L1245" s="617"/>
      <c r="M1245" s="2076"/>
      <c r="N1245" s="617"/>
      <c r="O1245" s="2077" t="s">
        <v>2323</v>
      </c>
      <c r="P1245" s="617"/>
      <c r="Q1245" s="2076">
        <v>-1.8700000000000001E-2</v>
      </c>
      <c r="R1245" s="617"/>
      <c r="S1245" s="1114"/>
      <c r="T1245" s="1114"/>
      <c r="U1245" s="1114"/>
      <c r="V1245" s="1114"/>
      <c r="W1245" s="1114"/>
      <c r="X1245" s="1114"/>
      <c r="Y1245" s="1146">
        <v>-6314.0151713627738</v>
      </c>
      <c r="Z1245" s="2114">
        <f>C1245-'Blocking-Step2'!C1245</f>
        <v>0</v>
      </c>
      <c r="AA1245" s="2114">
        <f>D1245-'Blocking-Step2'!D1245</f>
        <v>0</v>
      </c>
      <c r="AC1245" s="2114">
        <f>F1245-'Blocking-Step2'!F1245</f>
        <v>0</v>
      </c>
      <c r="AE1245" s="2114">
        <f>H1245-'Blocking-Step2'!H1245</f>
        <v>0</v>
      </c>
      <c r="AF1245" s="2114">
        <f>I1245-'Blocking-Step2'!I1245</f>
        <v>0</v>
      </c>
      <c r="AH1245" s="2136">
        <f>K1245-'Blocking-Step2'!K1245</f>
        <v>0</v>
      </c>
      <c r="AJ1245" s="2136">
        <f>M1245-'Blocking-Step2'!M1245</f>
        <v>0</v>
      </c>
      <c r="AL1245" s="2136" t="e">
        <f>O1245-'Blocking-Step2'!O1245</f>
        <v>#VALUE!</v>
      </c>
      <c r="AN1245" s="2137">
        <f>Q1245-'Blocking-Step2'!Q1245</f>
        <v>0</v>
      </c>
      <c r="AP1245" s="2127">
        <f>S1245-'Blocking-Step2'!S1245</f>
        <v>0</v>
      </c>
      <c r="AR1245" s="2127">
        <f>U1245-'Blocking-Step2'!U1245</f>
        <v>0</v>
      </c>
      <c r="AT1245" s="2127">
        <f>W1245-'Blocking-Step2'!W1245</f>
        <v>0</v>
      </c>
      <c r="AV1245" s="2128">
        <f>Y1245-'Blocking-Step2'!Y1245</f>
        <v>0</v>
      </c>
    </row>
    <row r="1246" spans="1:48" ht="16.5" hidden="1" thickTop="1">
      <c r="A1246" s="1116"/>
      <c r="C1246" s="1024"/>
      <c r="D1246" s="1024"/>
      <c r="F1246" s="2076"/>
      <c r="G1246" s="617"/>
      <c r="H1246" s="1146"/>
      <c r="I1246" s="1146"/>
      <c r="K1246" s="2076"/>
      <c r="L1246" s="617"/>
      <c r="M1246" s="2076"/>
      <c r="N1246" s="617"/>
      <c r="O1246" s="2077" t="s">
        <v>2324</v>
      </c>
      <c r="P1246" s="617"/>
      <c r="Q1246" s="2076">
        <v>-1.0200000000000001E-2</v>
      </c>
      <c r="R1246" s="617"/>
      <c r="S1246" s="1114"/>
      <c r="T1246" s="1114"/>
      <c r="U1246" s="1114"/>
      <c r="V1246" s="1114"/>
      <c r="W1246" s="1114"/>
      <c r="X1246" s="1114"/>
      <c r="Y1246" s="1146">
        <v>-3444.0082752887861</v>
      </c>
      <c r="Z1246" s="2114">
        <f>C1246-'Blocking-Step2'!C1246</f>
        <v>0</v>
      </c>
      <c r="AA1246" s="2114">
        <f>D1246-'Blocking-Step2'!D1246</f>
        <v>0</v>
      </c>
      <c r="AC1246" s="2114">
        <f>F1246-'Blocking-Step2'!F1246</f>
        <v>0</v>
      </c>
      <c r="AE1246" s="2114">
        <f>H1246-'Blocking-Step2'!H1246</f>
        <v>0</v>
      </c>
      <c r="AF1246" s="2114">
        <f>I1246-'Blocking-Step2'!I1246</f>
        <v>0</v>
      </c>
      <c r="AH1246" s="2136">
        <f>K1246-'Blocking-Step2'!K1246</f>
        <v>0</v>
      </c>
      <c r="AJ1246" s="2136">
        <f>M1246-'Blocking-Step2'!M1246</f>
        <v>0</v>
      </c>
      <c r="AL1246" s="2136" t="e">
        <f>O1246-'Blocking-Step2'!O1246</f>
        <v>#VALUE!</v>
      </c>
      <c r="AN1246" s="2137">
        <f>Q1246-'Blocking-Step2'!Q1246</f>
        <v>0</v>
      </c>
      <c r="AP1246" s="2127">
        <f>S1246-'Blocking-Step2'!S1246</f>
        <v>0</v>
      </c>
      <c r="AR1246" s="2127">
        <f>U1246-'Blocking-Step2'!U1246</f>
        <v>0</v>
      </c>
      <c r="AT1246" s="2127">
        <f>W1246-'Blocking-Step2'!W1246</f>
        <v>0</v>
      </c>
      <c r="AV1246" s="2128">
        <f>Y1246-'Blocking-Step2'!Y1246</f>
        <v>0</v>
      </c>
    </row>
    <row r="1247" spans="1:48" ht="16.5" hidden="1" thickTop="1">
      <c r="A1247" s="1116" t="s">
        <v>141</v>
      </c>
      <c r="C1247" s="1105">
        <v>2277.3333333333298</v>
      </c>
      <c r="D1247" s="1105">
        <v>2205</v>
      </c>
      <c r="Z1247" s="2114">
        <f>C1247-'Blocking-Step2'!C1247</f>
        <v>0</v>
      </c>
      <c r="AA1247" s="2114">
        <f>D1247-'Blocking-Step2'!D1247</f>
        <v>0</v>
      </c>
      <c r="AC1247" s="2114">
        <f>F1247-'Blocking-Step2'!F1247</f>
        <v>0</v>
      </c>
      <c r="AE1247" s="2114">
        <f>H1247-'Blocking-Step2'!H1247</f>
        <v>0</v>
      </c>
      <c r="AF1247" s="2114">
        <f>I1247-'Blocking-Step2'!I1247</f>
        <v>0</v>
      </c>
      <c r="AH1247" s="2136">
        <f>K1247-'Blocking-Step2'!K1247</f>
        <v>0</v>
      </c>
      <c r="AJ1247" s="2136">
        <f>M1247-'Blocking-Step2'!M1247</f>
        <v>0</v>
      </c>
      <c r="AL1247" s="2136">
        <f>O1247-'Blocking-Step2'!O1247</f>
        <v>0</v>
      </c>
      <c r="AN1247" s="2137">
        <f>Q1247-'Blocking-Step2'!Q1247</f>
        <v>0</v>
      </c>
      <c r="AP1247" s="2127">
        <f>S1247-'Blocking-Step2'!S1247</f>
        <v>0</v>
      </c>
      <c r="AR1247" s="2127">
        <f>U1247-'Blocking-Step2'!U1247</f>
        <v>0</v>
      </c>
      <c r="AT1247" s="2127">
        <f>W1247-'Blocking-Step2'!W1247</f>
        <v>0</v>
      </c>
      <c r="AV1247" s="2128">
        <f>Y1247-'Blocking-Step2'!Y1247</f>
        <v>0</v>
      </c>
    </row>
    <row r="1248" spans="1:48" ht="17.25" hidden="1" thickTop="1" thickBot="1">
      <c r="A1248" s="1116" t="s">
        <v>302</v>
      </c>
      <c r="C1248" s="2083">
        <v>2259611.6861753906</v>
      </c>
      <c r="D1248" s="2083">
        <v>2190362.1297112624</v>
      </c>
      <c r="F1248" s="2078"/>
      <c r="H1248" s="1154">
        <v>628786.17339999997</v>
      </c>
      <c r="I1248" s="1154">
        <v>609216.84459999995</v>
      </c>
      <c r="K1248" s="2078"/>
      <c r="M1248" s="2078"/>
      <c r="O1248" s="2078"/>
      <c r="Q1248" s="2078"/>
      <c r="S1248" s="1154">
        <v>229665.43441911516</v>
      </c>
      <c r="U1248" s="1154">
        <v>54719.318624535888</v>
      </c>
      <c r="W1248" s="1154">
        <v>53263.11708270049</v>
      </c>
      <c r="Y1248" s="1154">
        <v>337647.87012635154</v>
      </c>
      <c r="Z1248" s="2114">
        <f>C1248-'Blocking-Step2'!C1248</f>
        <v>0</v>
      </c>
      <c r="AA1248" s="2114">
        <f>D1248-'Blocking-Step2'!D1248</f>
        <v>0</v>
      </c>
      <c r="AC1248" s="2114">
        <f>F1248-'Blocking-Step2'!F1248</f>
        <v>0</v>
      </c>
      <c r="AE1248" s="2114">
        <f>H1248-'Blocking-Step2'!H1248</f>
        <v>0</v>
      </c>
      <c r="AF1248" s="2114">
        <f>I1248-'Blocking-Step2'!I1248</f>
        <v>0</v>
      </c>
      <c r="AH1248" s="2136">
        <f>K1248-'Blocking-Step2'!K1248</f>
        <v>0</v>
      </c>
      <c r="AJ1248" s="2136">
        <f>M1248-'Blocking-Step2'!M1248</f>
        <v>0</v>
      </c>
      <c r="AL1248" s="2136">
        <f>O1248-'Blocking-Step2'!O1248</f>
        <v>0</v>
      </c>
      <c r="AN1248" s="2137">
        <f>Q1248-'Blocking-Step2'!Q1248</f>
        <v>0</v>
      </c>
      <c r="AP1248" s="2127">
        <f>S1248-'Blocking-Step2'!S1248</f>
        <v>-18073.164118805813</v>
      </c>
      <c r="AR1248" s="2127">
        <f>U1248-'Blocking-Step2'!U1248</f>
        <v>18073.164118805806</v>
      </c>
      <c r="AT1248" s="2127">
        <f>W1248-'Blocking-Step2'!W1248</f>
        <v>0</v>
      </c>
      <c r="AV1248" s="2128">
        <f>Y1248-'Blocking-Step2'!Y1248</f>
        <v>0</v>
      </c>
    </row>
    <row r="1249" spans="1:48" ht="16.5" hidden="1" thickTop="1">
      <c r="E1249" s="617"/>
      <c r="J1249" s="617"/>
      <c r="Z1249" s="2114">
        <f>C1249-'Blocking-Step2'!C1249</f>
        <v>0</v>
      </c>
      <c r="AA1249" s="2114">
        <f>D1249-'Blocking-Step2'!D1249</f>
        <v>0</v>
      </c>
      <c r="AC1249" s="2114">
        <f>F1249-'Blocking-Step2'!F1249</f>
        <v>0</v>
      </c>
      <c r="AE1249" s="2114">
        <f>H1249-'Blocking-Step2'!H1249</f>
        <v>0</v>
      </c>
      <c r="AF1249" s="2114">
        <f>I1249-'Blocking-Step2'!I1249</f>
        <v>0</v>
      </c>
      <c r="AH1249" s="2136">
        <f>K1249-'Blocking-Step2'!K1249</f>
        <v>0</v>
      </c>
      <c r="AJ1249" s="2136">
        <f>M1249-'Blocking-Step2'!M1249</f>
        <v>0</v>
      </c>
      <c r="AL1249" s="2136">
        <f>O1249-'Blocking-Step2'!O1249</f>
        <v>0</v>
      </c>
      <c r="AN1249" s="2137">
        <f>Q1249-'Blocking-Step2'!Q1249</f>
        <v>0</v>
      </c>
      <c r="AP1249" s="2127">
        <f>S1249-'Blocking-Step2'!S1249</f>
        <v>0</v>
      </c>
      <c r="AR1249" s="2127">
        <f>U1249-'Blocking-Step2'!U1249</f>
        <v>0</v>
      </c>
      <c r="AT1249" s="2127">
        <f>W1249-'Blocking-Step2'!W1249</f>
        <v>0</v>
      </c>
      <c r="AV1249" s="2128">
        <f>Y1249-'Blocking-Step2'!Y1249</f>
        <v>0</v>
      </c>
    </row>
    <row r="1250" spans="1:48" ht="16.5" hidden="1" thickTop="1">
      <c r="A1250" s="1115" t="s">
        <v>914</v>
      </c>
      <c r="C1250" s="1105"/>
      <c r="D1250" s="1105"/>
      <c r="Z1250" s="2114">
        <f>C1250-'Blocking-Step2'!C1250</f>
        <v>0</v>
      </c>
      <c r="AA1250" s="2114">
        <f>D1250-'Blocking-Step2'!D1250</f>
        <v>0</v>
      </c>
      <c r="AC1250" s="2114">
        <f>F1250-'Blocking-Step2'!F1250</f>
        <v>0</v>
      </c>
      <c r="AE1250" s="2114">
        <f>H1250-'Blocking-Step2'!H1250</f>
        <v>0</v>
      </c>
      <c r="AF1250" s="2114">
        <f>I1250-'Blocking-Step2'!I1250</f>
        <v>0</v>
      </c>
      <c r="AH1250" s="2136">
        <f>K1250-'Blocking-Step2'!K1250</f>
        <v>0</v>
      </c>
      <c r="AJ1250" s="2136">
        <f>M1250-'Blocking-Step2'!M1250</f>
        <v>0</v>
      </c>
      <c r="AL1250" s="2136">
        <f>O1250-'Blocking-Step2'!O1250</f>
        <v>0</v>
      </c>
      <c r="AN1250" s="2137">
        <f>Q1250-'Blocking-Step2'!Q1250</f>
        <v>0</v>
      </c>
      <c r="AP1250" s="2127">
        <f>S1250-'Blocking-Step2'!S1250</f>
        <v>0</v>
      </c>
      <c r="AR1250" s="2127">
        <f>U1250-'Blocking-Step2'!U1250</f>
        <v>0</v>
      </c>
      <c r="AT1250" s="2127">
        <f>W1250-'Blocking-Step2'!W1250</f>
        <v>0</v>
      </c>
      <c r="AV1250" s="2128">
        <f>Y1250-'Blocking-Step2'!Y1250</f>
        <v>0</v>
      </c>
    </row>
    <row r="1251" spans="1:48" ht="16.5" hidden="1" thickTop="1">
      <c r="A1251" s="1977" t="s">
        <v>264</v>
      </c>
      <c r="C1251" s="1105" t="s">
        <v>429</v>
      </c>
      <c r="D1251" s="1105"/>
      <c r="H1251" s="1146"/>
      <c r="I1251" s="1146"/>
      <c r="Y1251" s="1146"/>
      <c r="Z1251" s="2114" t="e">
        <f>C1251-'Blocking-Step2'!C1251</f>
        <v>#VALUE!</v>
      </c>
      <c r="AA1251" s="2114">
        <f>D1251-'Blocking-Step2'!D1251</f>
        <v>0</v>
      </c>
      <c r="AC1251" s="2114">
        <f>F1251-'Blocking-Step2'!F1251</f>
        <v>0</v>
      </c>
      <c r="AE1251" s="2114">
        <f>H1251-'Blocking-Step2'!H1251</f>
        <v>0</v>
      </c>
      <c r="AF1251" s="2114">
        <f>I1251-'Blocking-Step2'!I1251</f>
        <v>0</v>
      </c>
      <c r="AH1251" s="2136">
        <f>K1251-'Blocking-Step2'!K1251</f>
        <v>0</v>
      </c>
      <c r="AJ1251" s="2136">
        <f>M1251-'Blocking-Step2'!M1251</f>
        <v>0</v>
      </c>
      <c r="AL1251" s="2136">
        <f>O1251-'Blocking-Step2'!O1251</f>
        <v>0</v>
      </c>
      <c r="AN1251" s="2137">
        <f>Q1251-'Blocking-Step2'!Q1251</f>
        <v>0</v>
      </c>
      <c r="AP1251" s="2127">
        <f>S1251-'Blocking-Step2'!S1251</f>
        <v>0</v>
      </c>
      <c r="AR1251" s="2127">
        <f>U1251-'Blocking-Step2'!U1251</f>
        <v>0</v>
      </c>
      <c r="AT1251" s="2127">
        <f>W1251-'Blocking-Step2'!W1251</f>
        <v>0</v>
      </c>
      <c r="AV1251" s="2128">
        <f>Y1251-'Blocking-Step2'!Y1251</f>
        <v>0</v>
      </c>
    </row>
    <row r="1252" spans="1:48" ht="16.5" hidden="1" thickTop="1">
      <c r="A1252" s="1116" t="s">
        <v>265</v>
      </c>
      <c r="B1252" s="1104">
        <v>29</v>
      </c>
      <c r="C1252" s="1105">
        <v>0</v>
      </c>
      <c r="D1252" s="1105">
        <v>0</v>
      </c>
      <c r="F1252" s="1907">
        <v>5.68</v>
      </c>
      <c r="G1252" s="1110"/>
      <c r="H1252" s="1146">
        <v>0</v>
      </c>
      <c r="I1252" s="1146">
        <v>0</v>
      </c>
      <c r="K1252" s="1907"/>
      <c r="L1252" s="1110"/>
      <c r="M1252" s="1907"/>
      <c r="N1252" s="1110"/>
      <c r="O1252" s="1907"/>
      <c r="P1252" s="1110"/>
      <c r="Q1252" s="1907"/>
      <c r="R1252" s="1110"/>
      <c r="S1252" s="1629"/>
      <c r="T1252" s="1629"/>
      <c r="U1252" s="1629"/>
      <c r="V1252" s="1629"/>
      <c r="W1252" s="1629"/>
      <c r="X1252" s="1629"/>
      <c r="Y1252" s="1146"/>
      <c r="Z1252" s="2114">
        <f>C1252-'Blocking-Step2'!C1252</f>
        <v>0</v>
      </c>
      <c r="AA1252" s="2114">
        <f>D1252-'Blocking-Step2'!D1252</f>
        <v>0</v>
      </c>
      <c r="AC1252" s="2114">
        <f>F1252-'Blocking-Step2'!F1252</f>
        <v>0</v>
      </c>
      <c r="AE1252" s="2114">
        <f>H1252-'Blocking-Step2'!H1252</f>
        <v>0</v>
      </c>
      <c r="AF1252" s="2114">
        <f>I1252-'Blocking-Step2'!I1252</f>
        <v>0</v>
      </c>
      <c r="AH1252" s="2136">
        <f>K1252-'Blocking-Step2'!K1252</f>
        <v>0</v>
      </c>
      <c r="AJ1252" s="2136">
        <f>M1252-'Blocking-Step2'!M1252</f>
        <v>0</v>
      </c>
      <c r="AL1252" s="2136">
        <f>O1252-'Blocking-Step2'!O1252</f>
        <v>0</v>
      </c>
      <c r="AN1252" s="2137">
        <f>Q1252-'Blocking-Step2'!Q1252</f>
        <v>0</v>
      </c>
      <c r="AP1252" s="2127">
        <f>S1252-'Blocking-Step2'!S1252</f>
        <v>0</v>
      </c>
      <c r="AR1252" s="2127">
        <f>U1252-'Blocking-Step2'!U1252</f>
        <v>0</v>
      </c>
      <c r="AT1252" s="2127">
        <f>W1252-'Blocking-Step2'!W1252</f>
        <v>0</v>
      </c>
      <c r="AV1252" s="2128">
        <f>Y1252-'Blocking-Step2'!Y1252</f>
        <v>0</v>
      </c>
    </row>
    <row r="1253" spans="1:48" ht="16.5" hidden="1" thickTop="1">
      <c r="A1253" s="1116" t="s">
        <v>266</v>
      </c>
      <c r="B1253" s="1104">
        <v>1</v>
      </c>
      <c r="C1253" s="1105">
        <v>21854.609890109899</v>
      </c>
      <c r="D1253" s="1105">
        <v>21101</v>
      </c>
      <c r="F1253" s="1907">
        <v>16.38</v>
      </c>
      <c r="G1253" s="1110"/>
      <c r="H1253" s="1146">
        <v>357979</v>
      </c>
      <c r="I1253" s="1146">
        <v>345634</v>
      </c>
      <c r="K1253" s="1907"/>
      <c r="L1253" s="1110"/>
      <c r="M1253" s="1907"/>
      <c r="N1253" s="1110"/>
      <c r="O1253" s="1907"/>
      <c r="P1253" s="1110"/>
      <c r="Q1253" s="1907"/>
      <c r="R1253" s="1110"/>
      <c r="S1253" s="1629"/>
      <c r="T1253" s="1629"/>
      <c r="U1253" s="1629"/>
      <c r="V1253" s="1629"/>
      <c r="W1253" s="1629"/>
      <c r="X1253" s="1629"/>
      <c r="Y1253" s="1146"/>
      <c r="Z1253" s="2114">
        <f>C1253-'Blocking-Step2'!C1253</f>
        <v>0</v>
      </c>
      <c r="AA1253" s="2114">
        <f>D1253-'Blocking-Step2'!D1253</f>
        <v>0</v>
      </c>
      <c r="AC1253" s="2114">
        <f>F1253-'Blocking-Step2'!F1253</f>
        <v>0</v>
      </c>
      <c r="AE1253" s="2114">
        <f>H1253-'Blocking-Step2'!H1253</f>
        <v>0</v>
      </c>
      <c r="AF1253" s="2114">
        <f>I1253-'Blocking-Step2'!I1253</f>
        <v>0</v>
      </c>
      <c r="AH1253" s="2136">
        <f>K1253-'Blocking-Step2'!K1253</f>
        <v>0</v>
      </c>
      <c r="AJ1253" s="2136">
        <f>M1253-'Blocking-Step2'!M1253</f>
        <v>0</v>
      </c>
      <c r="AL1253" s="2136">
        <f>O1253-'Blocking-Step2'!O1253</f>
        <v>0</v>
      </c>
      <c r="AN1253" s="2137">
        <f>Q1253-'Blocking-Step2'!Q1253</f>
        <v>0</v>
      </c>
      <c r="AP1253" s="2127">
        <f>S1253-'Blocking-Step2'!S1253</f>
        <v>0</v>
      </c>
      <c r="AR1253" s="2127">
        <f>U1253-'Blocking-Step2'!U1253</f>
        <v>0</v>
      </c>
      <c r="AT1253" s="2127">
        <f>W1253-'Blocking-Step2'!W1253</f>
        <v>0</v>
      </c>
      <c r="AV1253" s="2128">
        <f>Y1253-'Blocking-Step2'!Y1253</f>
        <v>0</v>
      </c>
    </row>
    <row r="1254" spans="1:48" ht="16.5" hidden="1" thickTop="1">
      <c r="A1254" s="1116" t="s">
        <v>267</v>
      </c>
      <c r="B1254" s="1104">
        <v>40</v>
      </c>
      <c r="C1254" s="1105">
        <v>0</v>
      </c>
      <c r="D1254" s="1105">
        <v>0</v>
      </c>
      <c r="F1254" s="1907">
        <v>8.0500000000000007</v>
      </c>
      <c r="G1254" s="1110"/>
      <c r="H1254" s="1146">
        <v>0</v>
      </c>
      <c r="I1254" s="1146">
        <v>0</v>
      </c>
      <c r="K1254" s="1907"/>
      <c r="L1254" s="1110"/>
      <c r="M1254" s="1907"/>
      <c r="N1254" s="1110"/>
      <c r="O1254" s="1907"/>
      <c r="P1254" s="1110"/>
      <c r="Q1254" s="1907"/>
      <c r="R1254" s="1110"/>
      <c r="S1254" s="1629"/>
      <c r="T1254" s="1629"/>
      <c r="U1254" s="1629"/>
      <c r="V1254" s="1629"/>
      <c r="W1254" s="1629"/>
      <c r="X1254" s="1629"/>
      <c r="Y1254" s="1146"/>
      <c r="Z1254" s="2114">
        <f>C1254-'Blocking-Step2'!C1254</f>
        <v>0</v>
      </c>
      <c r="AA1254" s="2114">
        <f>D1254-'Blocking-Step2'!D1254</f>
        <v>0</v>
      </c>
      <c r="AC1254" s="2114">
        <f>F1254-'Blocking-Step2'!F1254</f>
        <v>0</v>
      </c>
      <c r="AE1254" s="2114">
        <f>H1254-'Blocking-Step2'!H1254</f>
        <v>0</v>
      </c>
      <c r="AF1254" s="2114">
        <f>I1254-'Blocking-Step2'!I1254</f>
        <v>0</v>
      </c>
      <c r="AH1254" s="2136">
        <f>K1254-'Blocking-Step2'!K1254</f>
        <v>0</v>
      </c>
      <c r="AJ1254" s="2136">
        <f>M1254-'Blocking-Step2'!M1254</f>
        <v>0</v>
      </c>
      <c r="AL1254" s="2136">
        <f>O1254-'Blocking-Step2'!O1254</f>
        <v>0</v>
      </c>
      <c r="AN1254" s="2137">
        <f>Q1254-'Blocking-Step2'!Q1254</f>
        <v>0</v>
      </c>
      <c r="AP1254" s="2127">
        <f>S1254-'Blocking-Step2'!S1254</f>
        <v>0</v>
      </c>
      <c r="AR1254" s="2127">
        <f>U1254-'Blocking-Step2'!U1254</f>
        <v>0</v>
      </c>
      <c r="AT1254" s="2127">
        <f>W1254-'Blocking-Step2'!W1254</f>
        <v>0</v>
      </c>
      <c r="AV1254" s="2128">
        <f>Y1254-'Blocking-Step2'!Y1254</f>
        <v>0</v>
      </c>
    </row>
    <row r="1255" spans="1:48" ht="16.5" hidden="1" thickTop="1">
      <c r="A1255" s="1116" t="s">
        <v>268</v>
      </c>
      <c r="B1255" s="1104">
        <v>2</v>
      </c>
      <c r="C1255" s="1105">
        <v>6704.2098581030596</v>
      </c>
      <c r="D1255" s="1105">
        <v>6473</v>
      </c>
      <c r="F1255" s="1907">
        <v>26.78</v>
      </c>
      <c r="G1255" s="1110"/>
      <c r="H1255" s="1146">
        <v>179539</v>
      </c>
      <c r="I1255" s="1146">
        <v>173347</v>
      </c>
      <c r="K1255" s="1907"/>
      <c r="L1255" s="1110"/>
      <c r="M1255" s="1907"/>
      <c r="N1255" s="1110"/>
      <c r="O1255" s="1907"/>
      <c r="P1255" s="1110"/>
      <c r="Q1255" s="1907"/>
      <c r="R1255" s="1110"/>
      <c r="S1255" s="1629"/>
      <c r="T1255" s="1629"/>
      <c r="U1255" s="1629"/>
      <c r="V1255" s="1629"/>
      <c r="W1255" s="1629"/>
      <c r="X1255" s="1629"/>
      <c r="Y1255" s="1146"/>
      <c r="Z1255" s="2114">
        <f>C1255-'Blocking-Step2'!C1255</f>
        <v>0</v>
      </c>
      <c r="AA1255" s="2114">
        <f>D1255-'Blocking-Step2'!D1255</f>
        <v>0</v>
      </c>
      <c r="AC1255" s="2114">
        <f>F1255-'Blocking-Step2'!F1255</f>
        <v>0</v>
      </c>
      <c r="AE1255" s="2114">
        <f>H1255-'Blocking-Step2'!H1255</f>
        <v>0</v>
      </c>
      <c r="AF1255" s="2114">
        <f>I1255-'Blocking-Step2'!I1255</f>
        <v>0</v>
      </c>
      <c r="AH1255" s="2136">
        <f>K1255-'Blocking-Step2'!K1255</f>
        <v>0</v>
      </c>
      <c r="AJ1255" s="2136">
        <f>M1255-'Blocking-Step2'!M1255</f>
        <v>0</v>
      </c>
      <c r="AL1255" s="2136">
        <f>O1255-'Blocking-Step2'!O1255</f>
        <v>0</v>
      </c>
      <c r="AN1255" s="2137">
        <f>Q1255-'Blocking-Step2'!Q1255</f>
        <v>0</v>
      </c>
      <c r="AP1255" s="2127">
        <f>S1255-'Blocking-Step2'!S1255</f>
        <v>0</v>
      </c>
      <c r="AR1255" s="2127">
        <f>U1255-'Blocking-Step2'!U1255</f>
        <v>0</v>
      </c>
      <c r="AT1255" s="2127">
        <f>W1255-'Blocking-Step2'!W1255</f>
        <v>0</v>
      </c>
      <c r="AV1255" s="2128">
        <f>Y1255-'Blocking-Step2'!Y1255</f>
        <v>0</v>
      </c>
    </row>
    <row r="1256" spans="1:48" ht="16.5" hidden="1" thickTop="1">
      <c r="A1256" s="1977" t="s">
        <v>269</v>
      </c>
      <c r="C1256" s="1105"/>
      <c r="D1256" s="1105"/>
      <c r="H1256" s="1146"/>
      <c r="I1256" s="1146"/>
      <c r="K1256" s="1907"/>
      <c r="M1256" s="1907"/>
      <c r="O1256" s="1907"/>
      <c r="Q1256" s="1907"/>
      <c r="Y1256" s="1146"/>
      <c r="Z1256" s="2114">
        <f>C1256-'Blocking-Step2'!C1256</f>
        <v>0</v>
      </c>
      <c r="AA1256" s="2114">
        <f>D1256-'Blocking-Step2'!D1256</f>
        <v>0</v>
      </c>
      <c r="AC1256" s="2114">
        <f>F1256-'Blocking-Step2'!F1256</f>
        <v>0</v>
      </c>
      <c r="AE1256" s="2114">
        <f>H1256-'Blocking-Step2'!H1256</f>
        <v>0</v>
      </c>
      <c r="AF1256" s="2114">
        <f>I1256-'Blocking-Step2'!I1256</f>
        <v>0</v>
      </c>
      <c r="AH1256" s="2136">
        <f>K1256-'Blocking-Step2'!K1256</f>
        <v>0</v>
      </c>
      <c r="AJ1256" s="2136">
        <f>M1256-'Blocking-Step2'!M1256</f>
        <v>0</v>
      </c>
      <c r="AL1256" s="2136">
        <f>O1256-'Blocking-Step2'!O1256</f>
        <v>0</v>
      </c>
      <c r="AN1256" s="2137">
        <f>Q1256-'Blocking-Step2'!Q1256</f>
        <v>0</v>
      </c>
      <c r="AP1256" s="2127">
        <f>S1256-'Blocking-Step2'!S1256</f>
        <v>0</v>
      </c>
      <c r="AR1256" s="2127">
        <f>U1256-'Blocking-Step2'!U1256</f>
        <v>0</v>
      </c>
      <c r="AT1256" s="2127">
        <f>W1256-'Blocking-Step2'!W1256</f>
        <v>0</v>
      </c>
      <c r="AV1256" s="2128">
        <f>Y1256-'Blocking-Step2'!Y1256</f>
        <v>0</v>
      </c>
    </row>
    <row r="1257" spans="1:48" ht="16.5" hidden="1" thickTop="1">
      <c r="A1257" s="1116" t="s">
        <v>270</v>
      </c>
      <c r="B1257" s="1104">
        <v>3</v>
      </c>
      <c r="C1257" s="1105">
        <v>967.46575342465803</v>
      </c>
      <c r="D1257" s="1105">
        <v>934</v>
      </c>
      <c r="F1257" s="1907">
        <v>14.6</v>
      </c>
      <c r="G1257" s="1110"/>
      <c r="H1257" s="1146">
        <v>14125</v>
      </c>
      <c r="I1257" s="1146">
        <v>13636</v>
      </c>
      <c r="K1257" s="1907"/>
      <c r="L1257" s="1110"/>
      <c r="M1257" s="1907"/>
      <c r="N1257" s="1110"/>
      <c r="O1257" s="1907"/>
      <c r="P1257" s="1110"/>
      <c r="Q1257" s="1907"/>
      <c r="R1257" s="1110"/>
      <c r="S1257" s="1629"/>
      <c r="T1257" s="1629"/>
      <c r="U1257" s="1629"/>
      <c r="V1257" s="1629"/>
      <c r="W1257" s="1629"/>
      <c r="X1257" s="1629"/>
      <c r="Y1257" s="1146"/>
      <c r="Z1257" s="2114">
        <f>C1257-'Blocking-Step2'!C1257</f>
        <v>0</v>
      </c>
      <c r="AA1257" s="2114">
        <f>D1257-'Blocking-Step2'!D1257</f>
        <v>0</v>
      </c>
      <c r="AC1257" s="2114">
        <f>F1257-'Blocking-Step2'!F1257</f>
        <v>0</v>
      </c>
      <c r="AE1257" s="2114">
        <f>H1257-'Blocking-Step2'!H1257</f>
        <v>0</v>
      </c>
      <c r="AF1257" s="2114">
        <f>I1257-'Blocking-Step2'!I1257</f>
        <v>0</v>
      </c>
      <c r="AH1257" s="2136">
        <f>K1257-'Blocking-Step2'!K1257</f>
        <v>0</v>
      </c>
      <c r="AJ1257" s="2136">
        <f>M1257-'Blocking-Step2'!M1257</f>
        <v>0</v>
      </c>
      <c r="AL1257" s="2136">
        <f>O1257-'Blocking-Step2'!O1257</f>
        <v>0</v>
      </c>
      <c r="AN1257" s="2137">
        <f>Q1257-'Blocking-Step2'!Q1257</f>
        <v>0</v>
      </c>
      <c r="AP1257" s="2127">
        <f>S1257-'Blocking-Step2'!S1257</f>
        <v>0</v>
      </c>
      <c r="AR1257" s="2127">
        <f>U1257-'Blocking-Step2'!U1257</f>
        <v>0</v>
      </c>
      <c r="AT1257" s="2127">
        <f>W1257-'Blocking-Step2'!W1257</f>
        <v>0</v>
      </c>
      <c r="AV1257" s="2128">
        <f>Y1257-'Blocking-Step2'!Y1257</f>
        <v>0</v>
      </c>
    </row>
    <row r="1258" spans="1:48" ht="16.5" hidden="1" thickTop="1">
      <c r="A1258" s="1116" t="s">
        <v>271</v>
      </c>
      <c r="B1258" s="1104">
        <v>4</v>
      </c>
      <c r="C1258" s="1105">
        <v>534.23385118560896</v>
      </c>
      <c r="D1258" s="1105">
        <v>516</v>
      </c>
      <c r="F1258" s="1907">
        <v>12.23</v>
      </c>
      <c r="G1258" s="1110"/>
      <c r="H1258" s="1146">
        <v>6534</v>
      </c>
      <c r="I1258" s="1146">
        <v>6311</v>
      </c>
      <c r="K1258" s="1907"/>
      <c r="L1258" s="1110"/>
      <c r="M1258" s="1907"/>
      <c r="N1258" s="1110"/>
      <c r="O1258" s="1907"/>
      <c r="P1258" s="1110"/>
      <c r="Q1258" s="1907"/>
      <c r="R1258" s="1110"/>
      <c r="S1258" s="1629"/>
      <c r="T1258" s="1629"/>
      <c r="U1258" s="1629"/>
      <c r="V1258" s="1629"/>
      <c r="W1258" s="1629"/>
      <c r="X1258" s="1629"/>
      <c r="Y1258" s="1146"/>
      <c r="Z1258" s="2114">
        <f>C1258-'Blocking-Step2'!C1258</f>
        <v>0</v>
      </c>
      <c r="AA1258" s="2114">
        <f>D1258-'Blocking-Step2'!D1258</f>
        <v>0</v>
      </c>
      <c r="AC1258" s="2114">
        <f>F1258-'Blocking-Step2'!F1258</f>
        <v>0</v>
      </c>
      <c r="AE1258" s="2114">
        <f>H1258-'Blocking-Step2'!H1258</f>
        <v>0</v>
      </c>
      <c r="AF1258" s="2114">
        <f>I1258-'Blocking-Step2'!I1258</f>
        <v>0</v>
      </c>
      <c r="AH1258" s="2136">
        <f>K1258-'Blocking-Step2'!K1258</f>
        <v>0</v>
      </c>
      <c r="AJ1258" s="2136">
        <f>M1258-'Blocking-Step2'!M1258</f>
        <v>0</v>
      </c>
      <c r="AL1258" s="2136">
        <f>O1258-'Blocking-Step2'!O1258</f>
        <v>0</v>
      </c>
      <c r="AN1258" s="2137">
        <f>Q1258-'Blocking-Step2'!Q1258</f>
        <v>0</v>
      </c>
      <c r="AP1258" s="2127">
        <f>S1258-'Blocking-Step2'!S1258</f>
        <v>0</v>
      </c>
      <c r="AR1258" s="2127">
        <f>U1258-'Blocking-Step2'!U1258</f>
        <v>0</v>
      </c>
      <c r="AT1258" s="2127">
        <f>W1258-'Blocking-Step2'!W1258</f>
        <v>0</v>
      </c>
      <c r="AV1258" s="2128">
        <f>Y1258-'Blocking-Step2'!Y1258</f>
        <v>0</v>
      </c>
    </row>
    <row r="1259" spans="1:48" ht="16.5" hidden="1" thickTop="1">
      <c r="A1259" s="1116" t="s">
        <v>272</v>
      </c>
      <c r="B1259" s="1104">
        <v>5</v>
      </c>
      <c r="C1259" s="1105">
        <v>11633.5837104072</v>
      </c>
      <c r="D1259" s="1105">
        <v>11232</v>
      </c>
      <c r="F1259" s="1907">
        <v>15.47</v>
      </c>
      <c r="G1259" s="1110"/>
      <c r="H1259" s="1146">
        <v>179972</v>
      </c>
      <c r="I1259" s="1146">
        <v>173759</v>
      </c>
      <c r="K1259" s="1907"/>
      <c r="L1259" s="1110"/>
      <c r="M1259" s="1907"/>
      <c r="N1259" s="1110"/>
      <c r="O1259" s="1907"/>
      <c r="P1259" s="1110"/>
      <c r="Q1259" s="1907"/>
      <c r="R1259" s="1110"/>
      <c r="S1259" s="1629"/>
      <c r="T1259" s="1629"/>
      <c r="U1259" s="1629"/>
      <c r="V1259" s="1629"/>
      <c r="W1259" s="1629"/>
      <c r="X1259" s="1629"/>
      <c r="Y1259" s="1146"/>
      <c r="Z1259" s="2114">
        <f>C1259-'Blocking-Step2'!C1259</f>
        <v>0</v>
      </c>
      <c r="AA1259" s="2114">
        <f>D1259-'Blocking-Step2'!D1259</f>
        <v>0</v>
      </c>
      <c r="AC1259" s="2114">
        <f>F1259-'Blocking-Step2'!F1259</f>
        <v>0</v>
      </c>
      <c r="AE1259" s="2114">
        <f>H1259-'Blocking-Step2'!H1259</f>
        <v>0</v>
      </c>
      <c r="AF1259" s="2114">
        <f>I1259-'Blocking-Step2'!I1259</f>
        <v>0</v>
      </c>
      <c r="AH1259" s="2136">
        <f>K1259-'Blocking-Step2'!K1259</f>
        <v>0</v>
      </c>
      <c r="AJ1259" s="2136">
        <f>M1259-'Blocking-Step2'!M1259</f>
        <v>0</v>
      </c>
      <c r="AL1259" s="2136">
        <f>O1259-'Blocking-Step2'!O1259</f>
        <v>0</v>
      </c>
      <c r="AN1259" s="2137">
        <f>Q1259-'Blocking-Step2'!Q1259</f>
        <v>0</v>
      </c>
      <c r="AP1259" s="2127">
        <f>S1259-'Blocking-Step2'!S1259</f>
        <v>0</v>
      </c>
      <c r="AR1259" s="2127">
        <f>U1259-'Blocking-Step2'!U1259</f>
        <v>0</v>
      </c>
      <c r="AT1259" s="2127">
        <f>W1259-'Blocking-Step2'!W1259</f>
        <v>0</v>
      </c>
      <c r="AV1259" s="2128">
        <f>Y1259-'Blocking-Step2'!Y1259</f>
        <v>0</v>
      </c>
    </row>
    <row r="1260" spans="1:48" ht="16.5" hidden="1" thickTop="1">
      <c r="A1260" s="1116" t="s">
        <v>273</v>
      </c>
      <c r="B1260" s="1104">
        <v>6</v>
      </c>
      <c r="C1260" s="1105">
        <v>9374.8159278737803</v>
      </c>
      <c r="D1260" s="1105">
        <v>9051</v>
      </c>
      <c r="F1260" s="1907">
        <v>13.31</v>
      </c>
      <c r="G1260" s="1110"/>
      <c r="H1260" s="1146">
        <v>124779</v>
      </c>
      <c r="I1260" s="1146">
        <v>120469</v>
      </c>
      <c r="K1260" s="1907"/>
      <c r="L1260" s="1110"/>
      <c r="M1260" s="1907"/>
      <c r="N1260" s="1110"/>
      <c r="O1260" s="1907"/>
      <c r="P1260" s="1110"/>
      <c r="Q1260" s="1907"/>
      <c r="R1260" s="1110"/>
      <c r="S1260" s="1629"/>
      <c r="T1260" s="1629"/>
      <c r="U1260" s="1629"/>
      <c r="V1260" s="1629"/>
      <c r="W1260" s="1629"/>
      <c r="X1260" s="1629"/>
      <c r="Y1260" s="1146"/>
      <c r="Z1260" s="2114">
        <f>C1260-'Blocking-Step2'!C1260</f>
        <v>0</v>
      </c>
      <c r="AA1260" s="2114">
        <f>D1260-'Blocking-Step2'!D1260</f>
        <v>0</v>
      </c>
      <c r="AC1260" s="2114">
        <f>F1260-'Blocking-Step2'!F1260</f>
        <v>0</v>
      </c>
      <c r="AE1260" s="2114">
        <f>H1260-'Blocking-Step2'!H1260</f>
        <v>0</v>
      </c>
      <c r="AF1260" s="2114">
        <f>I1260-'Blocking-Step2'!I1260</f>
        <v>0</v>
      </c>
      <c r="AH1260" s="2136">
        <f>K1260-'Blocking-Step2'!K1260</f>
        <v>0</v>
      </c>
      <c r="AJ1260" s="2136">
        <f>M1260-'Blocking-Step2'!M1260</f>
        <v>0</v>
      </c>
      <c r="AL1260" s="2136">
        <f>O1260-'Blocking-Step2'!O1260</f>
        <v>0</v>
      </c>
      <c r="AN1260" s="2137">
        <f>Q1260-'Blocking-Step2'!Q1260</f>
        <v>0</v>
      </c>
      <c r="AP1260" s="2127">
        <f>S1260-'Blocking-Step2'!S1260</f>
        <v>0</v>
      </c>
      <c r="AR1260" s="2127">
        <f>U1260-'Blocking-Step2'!U1260</f>
        <v>0</v>
      </c>
      <c r="AT1260" s="2127">
        <f>W1260-'Blocking-Step2'!W1260</f>
        <v>0</v>
      </c>
      <c r="AV1260" s="2128">
        <f>Y1260-'Blocking-Step2'!Y1260</f>
        <v>0</v>
      </c>
    </row>
    <row r="1261" spans="1:48" ht="16.5" hidden="1" thickTop="1">
      <c r="A1261" s="1116" t="s">
        <v>274</v>
      </c>
      <c r="B1261" s="1104">
        <v>7</v>
      </c>
      <c r="C1261" s="1105">
        <v>1431.1330935251799</v>
      </c>
      <c r="D1261" s="1105">
        <v>1382</v>
      </c>
      <c r="F1261" s="1907">
        <v>19.46</v>
      </c>
      <c r="G1261" s="1110"/>
      <c r="H1261" s="1146">
        <v>27850</v>
      </c>
      <c r="I1261" s="1146">
        <v>26894</v>
      </c>
      <c r="K1261" s="1907"/>
      <c r="L1261" s="1110"/>
      <c r="M1261" s="1907"/>
      <c r="N1261" s="1110"/>
      <c r="O1261" s="1907"/>
      <c r="P1261" s="1110"/>
      <c r="Q1261" s="1907"/>
      <c r="R1261" s="1110"/>
      <c r="S1261" s="1629"/>
      <c r="T1261" s="1629"/>
      <c r="U1261" s="1629"/>
      <c r="V1261" s="1629"/>
      <c r="W1261" s="1629"/>
      <c r="X1261" s="1629"/>
      <c r="Y1261" s="1146"/>
      <c r="Z1261" s="2114">
        <f>C1261-'Blocking-Step2'!C1261</f>
        <v>0</v>
      </c>
      <c r="AA1261" s="2114">
        <f>D1261-'Blocking-Step2'!D1261</f>
        <v>0</v>
      </c>
      <c r="AC1261" s="2114">
        <f>F1261-'Blocking-Step2'!F1261</f>
        <v>0</v>
      </c>
      <c r="AE1261" s="2114">
        <f>H1261-'Blocking-Step2'!H1261</f>
        <v>0</v>
      </c>
      <c r="AF1261" s="2114">
        <f>I1261-'Blocking-Step2'!I1261</f>
        <v>0</v>
      </c>
      <c r="AH1261" s="2136">
        <f>K1261-'Blocking-Step2'!K1261</f>
        <v>0</v>
      </c>
      <c r="AJ1261" s="2136">
        <f>M1261-'Blocking-Step2'!M1261</f>
        <v>0</v>
      </c>
      <c r="AL1261" s="2136">
        <f>O1261-'Blocking-Step2'!O1261</f>
        <v>0</v>
      </c>
      <c r="AN1261" s="2137">
        <f>Q1261-'Blocking-Step2'!Q1261</f>
        <v>0</v>
      </c>
      <c r="AP1261" s="2127">
        <f>S1261-'Blocking-Step2'!S1261</f>
        <v>0</v>
      </c>
      <c r="AR1261" s="2127">
        <f>U1261-'Blocking-Step2'!U1261</f>
        <v>0</v>
      </c>
      <c r="AT1261" s="2127">
        <f>W1261-'Blocking-Step2'!W1261</f>
        <v>0</v>
      </c>
      <c r="AV1261" s="2128">
        <f>Y1261-'Blocking-Step2'!Y1261</f>
        <v>0</v>
      </c>
    </row>
    <row r="1262" spans="1:48" ht="16.5" hidden="1" thickTop="1">
      <c r="A1262" s="1116" t="s">
        <v>275</v>
      </c>
      <c r="B1262" s="1104">
        <v>8</v>
      </c>
      <c r="C1262" s="1105">
        <v>1655.7997664915399</v>
      </c>
      <c r="D1262" s="1105">
        <v>1599</v>
      </c>
      <c r="F1262" s="1907">
        <v>17.13</v>
      </c>
      <c r="G1262" s="1110"/>
      <c r="H1262" s="1146">
        <v>28364</v>
      </c>
      <c r="I1262" s="1146">
        <v>27391</v>
      </c>
      <c r="K1262" s="1907"/>
      <c r="L1262" s="1110"/>
      <c r="M1262" s="1907"/>
      <c r="N1262" s="1110"/>
      <c r="O1262" s="1907"/>
      <c r="P1262" s="1110"/>
      <c r="Q1262" s="1907"/>
      <c r="R1262" s="1110"/>
      <c r="S1262" s="1629"/>
      <c r="T1262" s="1629"/>
      <c r="U1262" s="1629"/>
      <c r="V1262" s="1629"/>
      <c r="W1262" s="1629"/>
      <c r="X1262" s="1629"/>
      <c r="Y1262" s="1146"/>
      <c r="Z1262" s="2114">
        <f>C1262-'Blocking-Step2'!C1262</f>
        <v>0</v>
      </c>
      <c r="AA1262" s="2114">
        <f>D1262-'Blocking-Step2'!D1262</f>
        <v>0</v>
      </c>
      <c r="AC1262" s="2114">
        <f>F1262-'Blocking-Step2'!F1262</f>
        <v>0</v>
      </c>
      <c r="AE1262" s="2114">
        <f>H1262-'Blocking-Step2'!H1262</f>
        <v>0</v>
      </c>
      <c r="AF1262" s="2114">
        <f>I1262-'Blocking-Step2'!I1262</f>
        <v>0</v>
      </c>
      <c r="AH1262" s="2136">
        <f>K1262-'Blocking-Step2'!K1262</f>
        <v>0</v>
      </c>
      <c r="AJ1262" s="2136">
        <f>M1262-'Blocking-Step2'!M1262</f>
        <v>0</v>
      </c>
      <c r="AL1262" s="2136">
        <f>O1262-'Blocking-Step2'!O1262</f>
        <v>0</v>
      </c>
      <c r="AN1262" s="2137">
        <f>Q1262-'Blocking-Step2'!Q1262</f>
        <v>0</v>
      </c>
      <c r="AP1262" s="2127">
        <f>S1262-'Blocking-Step2'!S1262</f>
        <v>0</v>
      </c>
      <c r="AR1262" s="2127">
        <f>U1262-'Blocking-Step2'!U1262</f>
        <v>0</v>
      </c>
      <c r="AT1262" s="2127">
        <f>W1262-'Blocking-Step2'!W1262</f>
        <v>0</v>
      </c>
      <c r="AV1262" s="2128">
        <f>Y1262-'Blocking-Step2'!Y1262</f>
        <v>0</v>
      </c>
    </row>
    <row r="1263" spans="1:48" ht="16.5" hidden="1" thickTop="1">
      <c r="A1263" s="1116" t="s">
        <v>276</v>
      </c>
      <c r="B1263" s="1104">
        <v>9</v>
      </c>
      <c r="C1263" s="1105">
        <v>0</v>
      </c>
      <c r="D1263" s="1105">
        <v>0</v>
      </c>
      <c r="F1263" s="1907">
        <v>21.07</v>
      </c>
      <c r="G1263" s="1110"/>
      <c r="H1263" s="1146">
        <v>0</v>
      </c>
      <c r="I1263" s="1146">
        <v>0</v>
      </c>
      <c r="K1263" s="1907"/>
      <c r="L1263" s="1110"/>
      <c r="M1263" s="1907"/>
      <c r="N1263" s="1110"/>
      <c r="O1263" s="1907"/>
      <c r="P1263" s="1110"/>
      <c r="Q1263" s="1907"/>
      <c r="R1263" s="1110"/>
      <c r="S1263" s="1629"/>
      <c r="T1263" s="1629"/>
      <c r="U1263" s="1629"/>
      <c r="V1263" s="1629"/>
      <c r="W1263" s="1629"/>
      <c r="X1263" s="1629"/>
      <c r="Y1263" s="1146"/>
      <c r="Z1263" s="2114">
        <f>C1263-'Blocking-Step2'!C1263</f>
        <v>0</v>
      </c>
      <c r="AA1263" s="2114">
        <f>D1263-'Blocking-Step2'!D1263</f>
        <v>0</v>
      </c>
      <c r="AC1263" s="2114">
        <f>F1263-'Blocking-Step2'!F1263</f>
        <v>0</v>
      </c>
      <c r="AE1263" s="2114">
        <f>H1263-'Blocking-Step2'!H1263</f>
        <v>0</v>
      </c>
      <c r="AF1263" s="2114">
        <f>I1263-'Blocking-Step2'!I1263</f>
        <v>0</v>
      </c>
      <c r="AH1263" s="2136">
        <f>K1263-'Blocking-Step2'!K1263</f>
        <v>0</v>
      </c>
      <c r="AJ1263" s="2136">
        <f>M1263-'Blocking-Step2'!M1263</f>
        <v>0</v>
      </c>
      <c r="AL1263" s="2136">
        <f>O1263-'Blocking-Step2'!O1263</f>
        <v>0</v>
      </c>
      <c r="AN1263" s="2137">
        <f>Q1263-'Blocking-Step2'!Q1263</f>
        <v>0</v>
      </c>
      <c r="AP1263" s="2127">
        <f>S1263-'Blocking-Step2'!S1263</f>
        <v>0</v>
      </c>
      <c r="AR1263" s="2127">
        <f>U1263-'Blocking-Step2'!U1263</f>
        <v>0</v>
      </c>
      <c r="AT1263" s="2127">
        <f>W1263-'Blocking-Step2'!W1263</f>
        <v>0</v>
      </c>
      <c r="AV1263" s="2128">
        <f>Y1263-'Blocking-Step2'!Y1263</f>
        <v>0</v>
      </c>
    </row>
    <row r="1264" spans="1:48" ht="16.5" hidden="1" thickTop="1">
      <c r="A1264" s="1116" t="s">
        <v>277</v>
      </c>
      <c r="B1264" s="1104">
        <v>10</v>
      </c>
      <c r="C1264" s="1105">
        <v>1981.86601446193</v>
      </c>
      <c r="D1264" s="1105">
        <v>1913</v>
      </c>
      <c r="F1264" s="1907">
        <v>23.51</v>
      </c>
      <c r="G1264" s="1110"/>
      <c r="H1264" s="1146">
        <v>46594</v>
      </c>
      <c r="I1264" s="1146">
        <v>44975</v>
      </c>
      <c r="K1264" s="1907"/>
      <c r="L1264" s="1110"/>
      <c r="M1264" s="1907"/>
      <c r="N1264" s="1110"/>
      <c r="O1264" s="1907"/>
      <c r="P1264" s="1110"/>
      <c r="Q1264" s="1907"/>
      <c r="R1264" s="1110"/>
      <c r="S1264" s="1629"/>
      <c r="T1264" s="1629"/>
      <c r="U1264" s="1629"/>
      <c r="V1264" s="1629"/>
      <c r="W1264" s="1629"/>
      <c r="X1264" s="1629"/>
      <c r="Y1264" s="1146"/>
      <c r="Z1264" s="2114">
        <f>C1264-'Blocking-Step2'!C1264</f>
        <v>0</v>
      </c>
      <c r="AA1264" s="2114">
        <f>D1264-'Blocking-Step2'!D1264</f>
        <v>0</v>
      </c>
      <c r="AC1264" s="2114">
        <f>F1264-'Blocking-Step2'!F1264</f>
        <v>0</v>
      </c>
      <c r="AE1264" s="2114">
        <f>H1264-'Blocking-Step2'!H1264</f>
        <v>0</v>
      </c>
      <c r="AF1264" s="2114">
        <f>I1264-'Blocking-Step2'!I1264</f>
        <v>0</v>
      </c>
      <c r="AH1264" s="2136">
        <f>K1264-'Blocking-Step2'!K1264</f>
        <v>0</v>
      </c>
      <c r="AJ1264" s="2136">
        <f>M1264-'Blocking-Step2'!M1264</f>
        <v>0</v>
      </c>
      <c r="AL1264" s="2136">
        <f>O1264-'Blocking-Step2'!O1264</f>
        <v>0</v>
      </c>
      <c r="AN1264" s="2137">
        <f>Q1264-'Blocking-Step2'!Q1264</f>
        <v>0</v>
      </c>
      <c r="AP1264" s="2127">
        <f>S1264-'Blocking-Step2'!S1264</f>
        <v>0</v>
      </c>
      <c r="AR1264" s="2127">
        <f>U1264-'Blocking-Step2'!U1264</f>
        <v>0</v>
      </c>
      <c r="AT1264" s="2127">
        <f>W1264-'Blocking-Step2'!W1264</f>
        <v>0</v>
      </c>
      <c r="AV1264" s="2128">
        <f>Y1264-'Blocking-Step2'!Y1264</f>
        <v>0</v>
      </c>
    </row>
    <row r="1265" spans="1:48" ht="16.5" hidden="1" thickTop="1">
      <c r="A1265" s="1116" t="s">
        <v>278</v>
      </c>
      <c r="B1265" s="1104">
        <v>11</v>
      </c>
      <c r="C1265" s="1105">
        <v>3148.3509185115399</v>
      </c>
      <c r="D1265" s="1105">
        <v>3040</v>
      </c>
      <c r="F1265" s="1907">
        <v>21.23</v>
      </c>
      <c r="G1265" s="1110"/>
      <c r="H1265" s="1146">
        <v>66839</v>
      </c>
      <c r="I1265" s="1146">
        <v>64539</v>
      </c>
      <c r="K1265" s="1907"/>
      <c r="L1265" s="1110"/>
      <c r="M1265" s="1907"/>
      <c r="N1265" s="1110"/>
      <c r="O1265" s="1907"/>
      <c r="P1265" s="1110"/>
      <c r="Q1265" s="1907"/>
      <c r="R1265" s="1110"/>
      <c r="S1265" s="1629"/>
      <c r="T1265" s="1629"/>
      <c r="U1265" s="1629"/>
      <c r="V1265" s="1629"/>
      <c r="W1265" s="1629"/>
      <c r="X1265" s="1629"/>
      <c r="Y1265" s="1146"/>
      <c r="Z1265" s="2114">
        <f>C1265-'Blocking-Step2'!C1265</f>
        <v>0</v>
      </c>
      <c r="AA1265" s="2114">
        <f>D1265-'Blocking-Step2'!D1265</f>
        <v>0</v>
      </c>
      <c r="AC1265" s="2114">
        <f>F1265-'Blocking-Step2'!F1265</f>
        <v>0</v>
      </c>
      <c r="AE1265" s="2114">
        <f>H1265-'Blocking-Step2'!H1265</f>
        <v>0</v>
      </c>
      <c r="AF1265" s="2114">
        <f>I1265-'Blocking-Step2'!I1265</f>
        <v>0</v>
      </c>
      <c r="AH1265" s="2136">
        <f>K1265-'Blocking-Step2'!K1265</f>
        <v>0</v>
      </c>
      <c r="AJ1265" s="2136">
        <f>M1265-'Blocking-Step2'!M1265</f>
        <v>0</v>
      </c>
      <c r="AL1265" s="2136">
        <f>O1265-'Blocking-Step2'!O1265</f>
        <v>0</v>
      </c>
      <c r="AN1265" s="2137">
        <f>Q1265-'Blocking-Step2'!Q1265</f>
        <v>0</v>
      </c>
      <c r="AP1265" s="2127">
        <f>S1265-'Blocking-Step2'!S1265</f>
        <v>0</v>
      </c>
      <c r="AR1265" s="2127">
        <f>U1265-'Blocking-Step2'!U1265</f>
        <v>0</v>
      </c>
      <c r="AT1265" s="2127">
        <f>W1265-'Blocking-Step2'!W1265</f>
        <v>0</v>
      </c>
      <c r="AV1265" s="2128">
        <f>Y1265-'Blocking-Step2'!Y1265</f>
        <v>0</v>
      </c>
    </row>
    <row r="1266" spans="1:48" ht="16.5" hidden="1" thickTop="1">
      <c r="A1266" s="1116" t="s">
        <v>279</v>
      </c>
      <c r="B1266" s="1104">
        <v>12</v>
      </c>
      <c r="C1266" s="1105">
        <v>999.25053003533606</v>
      </c>
      <c r="D1266" s="1105">
        <v>965</v>
      </c>
      <c r="F1266" s="1907">
        <v>28.3</v>
      </c>
      <c r="G1266" s="1110"/>
      <c r="H1266" s="1146">
        <v>28279</v>
      </c>
      <c r="I1266" s="1146">
        <v>27310</v>
      </c>
      <c r="K1266" s="1907"/>
      <c r="L1266" s="1110"/>
      <c r="M1266" s="1907"/>
      <c r="N1266" s="1110"/>
      <c r="O1266" s="1907"/>
      <c r="P1266" s="1110"/>
      <c r="Q1266" s="1907"/>
      <c r="R1266" s="1110"/>
      <c r="S1266" s="1629"/>
      <c r="T1266" s="1629"/>
      <c r="U1266" s="1629"/>
      <c r="V1266" s="1629"/>
      <c r="W1266" s="1629"/>
      <c r="X1266" s="1629"/>
      <c r="Y1266" s="1146"/>
      <c r="Z1266" s="2114">
        <f>C1266-'Blocking-Step2'!C1266</f>
        <v>0</v>
      </c>
      <c r="AA1266" s="2114">
        <f>D1266-'Blocking-Step2'!D1266</f>
        <v>0</v>
      </c>
      <c r="AC1266" s="2114">
        <f>F1266-'Blocking-Step2'!F1266</f>
        <v>0</v>
      </c>
      <c r="AE1266" s="2114">
        <f>H1266-'Blocking-Step2'!H1266</f>
        <v>0</v>
      </c>
      <c r="AF1266" s="2114">
        <f>I1266-'Blocking-Step2'!I1266</f>
        <v>0</v>
      </c>
      <c r="AH1266" s="2136">
        <f>K1266-'Blocking-Step2'!K1266</f>
        <v>0</v>
      </c>
      <c r="AJ1266" s="2136">
        <f>M1266-'Blocking-Step2'!M1266</f>
        <v>0</v>
      </c>
      <c r="AL1266" s="2136">
        <f>O1266-'Blocking-Step2'!O1266</f>
        <v>0</v>
      </c>
      <c r="AN1266" s="2137">
        <f>Q1266-'Blocking-Step2'!Q1266</f>
        <v>0</v>
      </c>
      <c r="AP1266" s="2127">
        <f>S1266-'Blocking-Step2'!S1266</f>
        <v>0</v>
      </c>
      <c r="AR1266" s="2127">
        <f>U1266-'Blocking-Step2'!U1266</f>
        <v>0</v>
      </c>
      <c r="AT1266" s="2127">
        <f>W1266-'Blocking-Step2'!W1266</f>
        <v>0</v>
      </c>
      <c r="AV1266" s="2128">
        <f>Y1266-'Blocking-Step2'!Y1266</f>
        <v>0</v>
      </c>
    </row>
    <row r="1267" spans="1:48" ht="16.5" hidden="1" thickTop="1">
      <c r="A1267" s="1116" t="s">
        <v>280</v>
      </c>
      <c r="B1267" s="1104">
        <v>13</v>
      </c>
      <c r="C1267" s="1105">
        <v>1681.83339746056</v>
      </c>
      <c r="D1267" s="1105">
        <v>1624</v>
      </c>
      <c r="F1267" s="1907">
        <v>25.99</v>
      </c>
      <c r="G1267" s="1110"/>
      <c r="H1267" s="1146">
        <v>43711</v>
      </c>
      <c r="I1267" s="1146">
        <v>42208</v>
      </c>
      <c r="K1267" s="1907"/>
      <c r="L1267" s="1110"/>
      <c r="M1267" s="1907"/>
      <c r="N1267" s="1110"/>
      <c r="O1267" s="1907"/>
      <c r="P1267" s="1110"/>
      <c r="Q1267" s="1907"/>
      <c r="R1267" s="1110"/>
      <c r="S1267" s="1629"/>
      <c r="T1267" s="1629"/>
      <c r="U1267" s="1629"/>
      <c r="V1267" s="1629"/>
      <c r="W1267" s="1629"/>
      <c r="X1267" s="1629"/>
      <c r="Y1267" s="1146"/>
      <c r="Z1267" s="2114">
        <f>C1267-'Blocking-Step2'!C1267</f>
        <v>0</v>
      </c>
      <c r="AA1267" s="2114">
        <f>D1267-'Blocking-Step2'!D1267</f>
        <v>0</v>
      </c>
      <c r="AC1267" s="2114">
        <f>F1267-'Blocking-Step2'!F1267</f>
        <v>0</v>
      </c>
      <c r="AE1267" s="2114">
        <f>H1267-'Blocking-Step2'!H1267</f>
        <v>0</v>
      </c>
      <c r="AF1267" s="2114">
        <f>I1267-'Blocking-Step2'!I1267</f>
        <v>0</v>
      </c>
      <c r="AH1267" s="2136">
        <f>K1267-'Blocking-Step2'!K1267</f>
        <v>0</v>
      </c>
      <c r="AJ1267" s="2136">
        <f>M1267-'Blocking-Step2'!M1267</f>
        <v>0</v>
      </c>
      <c r="AL1267" s="2136">
        <f>O1267-'Blocking-Step2'!O1267</f>
        <v>0</v>
      </c>
      <c r="AN1267" s="2137">
        <f>Q1267-'Blocking-Step2'!Q1267</f>
        <v>0</v>
      </c>
      <c r="AP1267" s="2127">
        <f>S1267-'Blocking-Step2'!S1267</f>
        <v>0</v>
      </c>
      <c r="AR1267" s="2127">
        <f>U1267-'Blocking-Step2'!U1267</f>
        <v>0</v>
      </c>
      <c r="AT1267" s="2127">
        <f>W1267-'Blocking-Step2'!W1267</f>
        <v>0</v>
      </c>
      <c r="AV1267" s="2128">
        <f>Y1267-'Blocking-Step2'!Y1267</f>
        <v>0</v>
      </c>
    </row>
    <row r="1268" spans="1:48" ht="16.5" hidden="1" thickTop="1">
      <c r="A1268" s="1977" t="s">
        <v>281</v>
      </c>
      <c r="C1268" s="1105"/>
      <c r="D1268" s="1105"/>
      <c r="H1268" s="1146"/>
      <c r="I1268" s="1146"/>
      <c r="K1268" s="1907"/>
      <c r="M1268" s="1907"/>
      <c r="O1268" s="1907"/>
      <c r="Q1268" s="1907"/>
      <c r="Y1268" s="1146"/>
      <c r="Z1268" s="2114">
        <f>C1268-'Blocking-Step2'!C1268</f>
        <v>0</v>
      </c>
      <c r="AA1268" s="2114">
        <f>D1268-'Blocking-Step2'!D1268</f>
        <v>0</v>
      </c>
      <c r="AC1268" s="2114">
        <f>F1268-'Blocking-Step2'!F1268</f>
        <v>0</v>
      </c>
      <c r="AE1268" s="2114">
        <f>H1268-'Blocking-Step2'!H1268</f>
        <v>0</v>
      </c>
      <c r="AF1268" s="2114">
        <f>I1268-'Blocking-Step2'!I1268</f>
        <v>0</v>
      </c>
      <c r="AH1268" s="2136">
        <f>K1268-'Blocking-Step2'!K1268</f>
        <v>0</v>
      </c>
      <c r="AJ1268" s="2136">
        <f>M1268-'Blocking-Step2'!M1268</f>
        <v>0</v>
      </c>
      <c r="AL1268" s="2136">
        <f>O1268-'Blocking-Step2'!O1268</f>
        <v>0</v>
      </c>
      <c r="AN1268" s="2137">
        <f>Q1268-'Blocking-Step2'!Q1268</f>
        <v>0</v>
      </c>
      <c r="AP1268" s="2127">
        <f>S1268-'Blocking-Step2'!S1268</f>
        <v>0</v>
      </c>
      <c r="AR1268" s="2127">
        <f>U1268-'Blocking-Step2'!U1268</f>
        <v>0</v>
      </c>
      <c r="AT1268" s="2127">
        <f>W1268-'Blocking-Step2'!W1268</f>
        <v>0</v>
      </c>
      <c r="AV1268" s="2128">
        <f>Y1268-'Blocking-Step2'!Y1268</f>
        <v>0</v>
      </c>
    </row>
    <row r="1269" spans="1:48" ht="16.5" hidden="1" thickTop="1">
      <c r="A1269" s="1116" t="s">
        <v>274</v>
      </c>
      <c r="B1269" s="1104">
        <v>14</v>
      </c>
      <c r="C1269" s="1105">
        <v>2911.1181911613598</v>
      </c>
      <c r="D1269" s="1105">
        <v>2811</v>
      </c>
      <c r="F1269" s="1907">
        <v>19.46</v>
      </c>
      <c r="G1269" s="1110"/>
      <c r="H1269" s="1146">
        <v>56650</v>
      </c>
      <c r="I1269" s="1146">
        <v>54702</v>
      </c>
      <c r="K1269" s="1907"/>
      <c r="L1269" s="1110"/>
      <c r="M1269" s="1907"/>
      <c r="N1269" s="1110"/>
      <c r="O1269" s="1907"/>
      <c r="P1269" s="1110"/>
      <c r="Q1269" s="1907"/>
      <c r="R1269" s="1110"/>
      <c r="S1269" s="1629"/>
      <c r="T1269" s="1629"/>
      <c r="U1269" s="1629"/>
      <c r="V1269" s="1629"/>
      <c r="W1269" s="1629"/>
      <c r="X1269" s="1629"/>
      <c r="Y1269" s="1146"/>
      <c r="Z1269" s="2114">
        <f>C1269-'Blocking-Step2'!C1269</f>
        <v>0</v>
      </c>
      <c r="AA1269" s="2114">
        <f>D1269-'Blocking-Step2'!D1269</f>
        <v>0</v>
      </c>
      <c r="AC1269" s="2114">
        <f>F1269-'Blocking-Step2'!F1269</f>
        <v>0</v>
      </c>
      <c r="AE1269" s="2114">
        <f>H1269-'Blocking-Step2'!H1269</f>
        <v>0</v>
      </c>
      <c r="AF1269" s="2114">
        <f>I1269-'Blocking-Step2'!I1269</f>
        <v>0</v>
      </c>
      <c r="AH1269" s="2136">
        <f>K1269-'Blocking-Step2'!K1269</f>
        <v>0</v>
      </c>
      <c r="AJ1269" s="2136">
        <f>M1269-'Blocking-Step2'!M1269</f>
        <v>0</v>
      </c>
      <c r="AL1269" s="2136">
        <f>O1269-'Blocking-Step2'!O1269</f>
        <v>0</v>
      </c>
      <c r="AN1269" s="2137">
        <f>Q1269-'Blocking-Step2'!Q1269</f>
        <v>0</v>
      </c>
      <c r="AP1269" s="2127">
        <f>S1269-'Blocking-Step2'!S1269</f>
        <v>0</v>
      </c>
      <c r="AR1269" s="2127">
        <f>U1269-'Blocking-Step2'!U1269</f>
        <v>0</v>
      </c>
      <c r="AT1269" s="2127">
        <f>W1269-'Blocking-Step2'!W1269</f>
        <v>0</v>
      </c>
      <c r="AV1269" s="2128">
        <f>Y1269-'Blocking-Step2'!Y1269</f>
        <v>0</v>
      </c>
    </row>
    <row r="1270" spans="1:48" ht="16.5" hidden="1" thickTop="1">
      <c r="A1270" s="1116" t="s">
        <v>275</v>
      </c>
      <c r="B1270" s="1104">
        <v>15</v>
      </c>
      <c r="C1270" s="1105">
        <v>3562.9678925861099</v>
      </c>
      <c r="D1270" s="1105">
        <v>3440</v>
      </c>
      <c r="F1270" s="1907">
        <v>17.13</v>
      </c>
      <c r="G1270" s="1110"/>
      <c r="H1270" s="1146">
        <v>61034</v>
      </c>
      <c r="I1270" s="1146">
        <v>58927</v>
      </c>
      <c r="K1270" s="1907"/>
      <c r="L1270" s="1110"/>
      <c r="M1270" s="1907"/>
      <c r="N1270" s="1110"/>
      <c r="O1270" s="1907"/>
      <c r="P1270" s="1110"/>
      <c r="Q1270" s="1907"/>
      <c r="R1270" s="1110"/>
      <c r="S1270" s="1629"/>
      <c r="T1270" s="1629"/>
      <c r="U1270" s="1629"/>
      <c r="V1270" s="1629"/>
      <c r="W1270" s="1629"/>
      <c r="X1270" s="1629"/>
      <c r="Y1270" s="1146"/>
      <c r="Z1270" s="2114">
        <f>C1270-'Blocking-Step2'!C1270</f>
        <v>0</v>
      </c>
      <c r="AA1270" s="2114">
        <f>D1270-'Blocking-Step2'!D1270</f>
        <v>0</v>
      </c>
      <c r="AC1270" s="2114">
        <f>F1270-'Blocking-Step2'!F1270</f>
        <v>0</v>
      </c>
      <c r="AE1270" s="2114">
        <f>H1270-'Blocking-Step2'!H1270</f>
        <v>0</v>
      </c>
      <c r="AF1270" s="2114">
        <f>I1270-'Blocking-Step2'!I1270</f>
        <v>0</v>
      </c>
      <c r="AH1270" s="2136">
        <f>K1270-'Blocking-Step2'!K1270</f>
        <v>0</v>
      </c>
      <c r="AJ1270" s="2136">
        <f>M1270-'Blocking-Step2'!M1270</f>
        <v>0</v>
      </c>
      <c r="AL1270" s="2136">
        <f>O1270-'Blocking-Step2'!O1270</f>
        <v>0</v>
      </c>
      <c r="AN1270" s="2137">
        <f>Q1270-'Blocking-Step2'!Q1270</f>
        <v>0</v>
      </c>
      <c r="AP1270" s="2127">
        <f>S1270-'Blocking-Step2'!S1270</f>
        <v>0</v>
      </c>
      <c r="AR1270" s="2127">
        <f>U1270-'Blocking-Step2'!U1270</f>
        <v>0</v>
      </c>
      <c r="AT1270" s="2127">
        <f>W1270-'Blocking-Step2'!W1270</f>
        <v>0</v>
      </c>
      <c r="AV1270" s="2128">
        <f>Y1270-'Blocking-Step2'!Y1270</f>
        <v>0</v>
      </c>
    </row>
    <row r="1271" spans="1:48" ht="16.5" hidden="1" thickTop="1">
      <c r="A1271" s="1116" t="s">
        <v>277</v>
      </c>
      <c r="B1271" s="1104">
        <v>16</v>
      </c>
      <c r="C1271" s="1105">
        <v>732.46618460229695</v>
      </c>
      <c r="D1271" s="1105">
        <v>707</v>
      </c>
      <c r="F1271" s="1907">
        <v>23.51</v>
      </c>
      <c r="G1271" s="1110"/>
      <c r="H1271" s="1146">
        <v>17220</v>
      </c>
      <c r="I1271" s="1146">
        <v>16622</v>
      </c>
      <c r="K1271" s="1907"/>
      <c r="L1271" s="1110"/>
      <c r="M1271" s="1907"/>
      <c r="N1271" s="1110"/>
      <c r="O1271" s="1907"/>
      <c r="P1271" s="1110"/>
      <c r="Q1271" s="1907"/>
      <c r="R1271" s="1110"/>
      <c r="S1271" s="1629"/>
      <c r="T1271" s="1629"/>
      <c r="U1271" s="1629"/>
      <c r="V1271" s="1629"/>
      <c r="W1271" s="1629"/>
      <c r="X1271" s="1629"/>
      <c r="Y1271" s="1146"/>
      <c r="Z1271" s="2114">
        <f>C1271-'Blocking-Step2'!C1271</f>
        <v>0</v>
      </c>
      <c r="AA1271" s="2114">
        <f>D1271-'Blocking-Step2'!D1271</f>
        <v>0</v>
      </c>
      <c r="AC1271" s="2114">
        <f>F1271-'Blocking-Step2'!F1271</f>
        <v>0</v>
      </c>
      <c r="AE1271" s="2114">
        <f>H1271-'Blocking-Step2'!H1271</f>
        <v>0</v>
      </c>
      <c r="AF1271" s="2114">
        <f>I1271-'Blocking-Step2'!I1271</f>
        <v>0</v>
      </c>
      <c r="AH1271" s="2136">
        <f>K1271-'Blocking-Step2'!K1271</f>
        <v>0</v>
      </c>
      <c r="AJ1271" s="2136">
        <f>M1271-'Blocking-Step2'!M1271</f>
        <v>0</v>
      </c>
      <c r="AL1271" s="2136">
        <f>O1271-'Blocking-Step2'!O1271</f>
        <v>0</v>
      </c>
      <c r="AN1271" s="2137">
        <f>Q1271-'Blocking-Step2'!Q1271</f>
        <v>0</v>
      </c>
      <c r="AP1271" s="2127">
        <f>S1271-'Blocking-Step2'!S1271</f>
        <v>0</v>
      </c>
      <c r="AR1271" s="2127">
        <f>U1271-'Blocking-Step2'!U1271</f>
        <v>0</v>
      </c>
      <c r="AT1271" s="2127">
        <f>W1271-'Blocking-Step2'!W1271</f>
        <v>0</v>
      </c>
      <c r="AV1271" s="2128">
        <f>Y1271-'Blocking-Step2'!Y1271</f>
        <v>0</v>
      </c>
    </row>
    <row r="1272" spans="1:48" ht="16.5" hidden="1" thickTop="1">
      <c r="A1272" s="1116" t="s">
        <v>278</v>
      </c>
      <c r="B1272" s="1104">
        <v>17</v>
      </c>
      <c r="C1272" s="1105">
        <v>1140.0325011775799</v>
      </c>
      <c r="D1272" s="1105">
        <v>1101</v>
      </c>
      <c r="F1272" s="1907">
        <v>21.23</v>
      </c>
      <c r="G1272" s="1110"/>
      <c r="H1272" s="1146">
        <v>24203</v>
      </c>
      <c r="I1272" s="1146">
        <v>23374</v>
      </c>
      <c r="K1272" s="1907"/>
      <c r="L1272" s="1110"/>
      <c r="M1272" s="1907"/>
      <c r="N1272" s="1110"/>
      <c r="O1272" s="1907"/>
      <c r="P1272" s="1110"/>
      <c r="Q1272" s="1907"/>
      <c r="R1272" s="1110"/>
      <c r="S1272" s="1629"/>
      <c r="T1272" s="1629"/>
      <c r="U1272" s="1629"/>
      <c r="V1272" s="1629"/>
      <c r="W1272" s="1629"/>
      <c r="X1272" s="1629"/>
      <c r="Y1272" s="1146"/>
      <c r="Z1272" s="2114">
        <f>C1272-'Blocking-Step2'!C1272</f>
        <v>0</v>
      </c>
      <c r="AA1272" s="2114">
        <f>D1272-'Blocking-Step2'!D1272</f>
        <v>0</v>
      </c>
      <c r="AC1272" s="2114">
        <f>F1272-'Blocking-Step2'!F1272</f>
        <v>0</v>
      </c>
      <c r="AE1272" s="2114">
        <f>H1272-'Blocking-Step2'!H1272</f>
        <v>0</v>
      </c>
      <c r="AF1272" s="2114">
        <f>I1272-'Blocking-Step2'!I1272</f>
        <v>0</v>
      </c>
      <c r="AH1272" s="2136">
        <f>K1272-'Blocking-Step2'!K1272</f>
        <v>0</v>
      </c>
      <c r="AJ1272" s="2136">
        <f>M1272-'Blocking-Step2'!M1272</f>
        <v>0</v>
      </c>
      <c r="AL1272" s="2136">
        <f>O1272-'Blocking-Step2'!O1272</f>
        <v>0</v>
      </c>
      <c r="AN1272" s="2137">
        <f>Q1272-'Blocking-Step2'!Q1272</f>
        <v>0</v>
      </c>
      <c r="AP1272" s="2127">
        <f>S1272-'Blocking-Step2'!S1272</f>
        <v>0</v>
      </c>
      <c r="AR1272" s="2127">
        <f>U1272-'Blocking-Step2'!U1272</f>
        <v>0</v>
      </c>
      <c r="AT1272" s="2127">
        <f>W1272-'Blocking-Step2'!W1272</f>
        <v>0</v>
      </c>
      <c r="AV1272" s="2128">
        <f>Y1272-'Blocking-Step2'!Y1272</f>
        <v>0</v>
      </c>
    </row>
    <row r="1273" spans="1:48" ht="16.5" hidden="1" thickTop="1">
      <c r="A1273" s="1116" t="s">
        <v>279</v>
      </c>
      <c r="B1273" s="1104">
        <v>18</v>
      </c>
      <c r="C1273" s="1105">
        <v>6225.63356890459</v>
      </c>
      <c r="D1273" s="1105">
        <v>6011</v>
      </c>
      <c r="F1273" s="1907">
        <v>28.3</v>
      </c>
      <c r="G1273" s="1110"/>
      <c r="H1273" s="1146">
        <v>176185</v>
      </c>
      <c r="I1273" s="1146">
        <v>170111</v>
      </c>
      <c r="K1273" s="1907"/>
      <c r="L1273" s="1110"/>
      <c r="M1273" s="1907"/>
      <c r="N1273" s="1110"/>
      <c r="O1273" s="1907"/>
      <c r="P1273" s="1110"/>
      <c r="Q1273" s="1907"/>
      <c r="R1273" s="1110"/>
      <c r="S1273" s="1629"/>
      <c r="T1273" s="1629"/>
      <c r="U1273" s="1629"/>
      <c r="V1273" s="1629"/>
      <c r="W1273" s="1629"/>
      <c r="X1273" s="1629"/>
      <c r="Y1273" s="1146"/>
      <c r="Z1273" s="2114">
        <f>C1273-'Blocking-Step2'!C1273</f>
        <v>0</v>
      </c>
      <c r="AA1273" s="2114">
        <f>D1273-'Blocking-Step2'!D1273</f>
        <v>0</v>
      </c>
      <c r="AC1273" s="2114">
        <f>F1273-'Blocking-Step2'!F1273</f>
        <v>0</v>
      </c>
      <c r="AE1273" s="2114">
        <f>H1273-'Blocking-Step2'!H1273</f>
        <v>0</v>
      </c>
      <c r="AF1273" s="2114">
        <f>I1273-'Blocking-Step2'!I1273</f>
        <v>0</v>
      </c>
      <c r="AH1273" s="2136">
        <f>K1273-'Blocking-Step2'!K1273</f>
        <v>0</v>
      </c>
      <c r="AJ1273" s="2136">
        <f>M1273-'Blocking-Step2'!M1273</f>
        <v>0</v>
      </c>
      <c r="AL1273" s="2136">
        <f>O1273-'Blocking-Step2'!O1273</f>
        <v>0</v>
      </c>
      <c r="AN1273" s="2137">
        <f>Q1273-'Blocking-Step2'!Q1273</f>
        <v>0</v>
      </c>
      <c r="AP1273" s="2127">
        <f>S1273-'Blocking-Step2'!S1273</f>
        <v>0</v>
      </c>
      <c r="AR1273" s="2127">
        <f>U1273-'Blocking-Step2'!U1273</f>
        <v>0</v>
      </c>
      <c r="AT1273" s="2127">
        <f>W1273-'Blocking-Step2'!W1273</f>
        <v>0</v>
      </c>
      <c r="AV1273" s="2128">
        <f>Y1273-'Blocking-Step2'!Y1273</f>
        <v>0</v>
      </c>
    </row>
    <row r="1274" spans="1:48" ht="16.5" hidden="1" thickTop="1">
      <c r="A1274" s="1116" t="s">
        <v>280</v>
      </c>
      <c r="B1274" s="1104">
        <v>19</v>
      </c>
      <c r="C1274" s="1105">
        <v>7943.3012697191298</v>
      </c>
      <c r="D1274" s="1105">
        <v>7669</v>
      </c>
      <c r="F1274" s="1907">
        <v>25.99</v>
      </c>
      <c r="G1274" s="1110"/>
      <c r="H1274" s="1146">
        <v>206446</v>
      </c>
      <c r="I1274" s="1146">
        <v>199317</v>
      </c>
      <c r="K1274" s="1907"/>
      <c r="L1274" s="1110"/>
      <c r="M1274" s="1907"/>
      <c r="N1274" s="1110"/>
      <c r="O1274" s="1907"/>
      <c r="P1274" s="1110"/>
      <c r="Q1274" s="1907"/>
      <c r="R1274" s="1110"/>
      <c r="S1274" s="1629"/>
      <c r="T1274" s="1629"/>
      <c r="U1274" s="1629"/>
      <c r="V1274" s="1629"/>
      <c r="W1274" s="1629"/>
      <c r="X1274" s="1629"/>
      <c r="Y1274" s="1146"/>
      <c r="Z1274" s="2114">
        <f>C1274-'Blocking-Step2'!C1274</f>
        <v>0</v>
      </c>
      <c r="AA1274" s="2114">
        <f>D1274-'Blocking-Step2'!D1274</f>
        <v>0</v>
      </c>
      <c r="AC1274" s="2114">
        <f>F1274-'Blocking-Step2'!F1274</f>
        <v>0</v>
      </c>
      <c r="AE1274" s="2114">
        <f>H1274-'Blocking-Step2'!H1274</f>
        <v>0</v>
      </c>
      <c r="AF1274" s="2114">
        <f>I1274-'Blocking-Step2'!I1274</f>
        <v>0</v>
      </c>
      <c r="AH1274" s="2136">
        <f>K1274-'Blocking-Step2'!K1274</f>
        <v>0</v>
      </c>
      <c r="AJ1274" s="2136">
        <f>M1274-'Blocking-Step2'!M1274</f>
        <v>0</v>
      </c>
      <c r="AL1274" s="2136">
        <f>O1274-'Blocking-Step2'!O1274</f>
        <v>0</v>
      </c>
      <c r="AN1274" s="2137">
        <f>Q1274-'Blocking-Step2'!Q1274</f>
        <v>0</v>
      </c>
      <c r="AP1274" s="2127">
        <f>S1274-'Blocking-Step2'!S1274</f>
        <v>0</v>
      </c>
      <c r="AR1274" s="2127">
        <f>U1274-'Blocking-Step2'!U1274</f>
        <v>0</v>
      </c>
      <c r="AT1274" s="2127">
        <f>W1274-'Blocking-Step2'!W1274</f>
        <v>0</v>
      </c>
      <c r="AV1274" s="2128">
        <f>Y1274-'Blocking-Step2'!Y1274</f>
        <v>0</v>
      </c>
    </row>
    <row r="1275" spans="1:48" ht="16.5" hidden="1" thickTop="1">
      <c r="A1275" s="1977" t="s">
        <v>289</v>
      </c>
      <c r="C1275" s="1105"/>
      <c r="D1275" s="1105"/>
      <c r="K1275" s="1907"/>
      <c r="M1275" s="1907"/>
      <c r="O1275" s="1907"/>
      <c r="Q1275" s="1907"/>
      <c r="Z1275" s="2114">
        <f>C1275-'Blocking-Step2'!C1275</f>
        <v>0</v>
      </c>
      <c r="AA1275" s="2114">
        <f>D1275-'Blocking-Step2'!D1275</f>
        <v>0</v>
      </c>
      <c r="AC1275" s="2114">
        <f>F1275-'Blocking-Step2'!F1275</f>
        <v>0</v>
      </c>
      <c r="AE1275" s="2114">
        <f>H1275-'Blocking-Step2'!H1275</f>
        <v>0</v>
      </c>
      <c r="AF1275" s="2114">
        <f>I1275-'Blocking-Step2'!I1275</f>
        <v>0</v>
      </c>
      <c r="AH1275" s="2136">
        <f>K1275-'Blocking-Step2'!K1275</f>
        <v>0</v>
      </c>
      <c r="AJ1275" s="2136">
        <f>M1275-'Blocking-Step2'!M1275</f>
        <v>0</v>
      </c>
      <c r="AL1275" s="2136">
        <f>O1275-'Blocking-Step2'!O1275</f>
        <v>0</v>
      </c>
      <c r="AN1275" s="2137">
        <f>Q1275-'Blocking-Step2'!Q1275</f>
        <v>0</v>
      </c>
      <c r="AP1275" s="2127">
        <f>S1275-'Blocking-Step2'!S1275</f>
        <v>0</v>
      </c>
      <c r="AR1275" s="2127">
        <f>U1275-'Blocking-Step2'!U1275</f>
        <v>0</v>
      </c>
      <c r="AT1275" s="2127">
        <f>W1275-'Blocking-Step2'!W1275</f>
        <v>0</v>
      </c>
      <c r="AV1275" s="2128">
        <f>Y1275-'Blocking-Step2'!Y1275</f>
        <v>0</v>
      </c>
    </row>
    <row r="1276" spans="1:48" ht="16.5" hidden="1" thickTop="1">
      <c r="A1276" s="1116" t="s">
        <v>290</v>
      </c>
      <c r="B1276" s="1104">
        <v>20</v>
      </c>
      <c r="C1276" s="1105">
        <v>0</v>
      </c>
      <c r="D1276" s="1105">
        <v>0</v>
      </c>
      <c r="F1276" s="1907">
        <v>29.4</v>
      </c>
      <c r="G1276" s="1110"/>
      <c r="H1276" s="1146">
        <v>0</v>
      </c>
      <c r="I1276" s="1146">
        <v>0</v>
      </c>
      <c r="K1276" s="1907"/>
      <c r="L1276" s="1110"/>
      <c r="M1276" s="1907"/>
      <c r="N1276" s="1110"/>
      <c r="O1276" s="1907"/>
      <c r="P1276" s="1110"/>
      <c r="Q1276" s="1907"/>
      <c r="R1276" s="1110"/>
      <c r="S1276" s="1629"/>
      <c r="T1276" s="1629"/>
      <c r="U1276" s="1629"/>
      <c r="V1276" s="1629"/>
      <c r="W1276" s="1629"/>
      <c r="X1276" s="1629"/>
      <c r="Y1276" s="1146"/>
      <c r="Z1276" s="2114">
        <f>C1276-'Blocking-Step2'!C1276</f>
        <v>0</v>
      </c>
      <c r="AA1276" s="2114">
        <f>D1276-'Blocking-Step2'!D1276</f>
        <v>0</v>
      </c>
      <c r="AC1276" s="2114">
        <f>F1276-'Blocking-Step2'!F1276</f>
        <v>0</v>
      </c>
      <c r="AE1276" s="2114">
        <f>H1276-'Blocking-Step2'!H1276</f>
        <v>0</v>
      </c>
      <c r="AF1276" s="2114">
        <f>I1276-'Blocking-Step2'!I1276</f>
        <v>0</v>
      </c>
      <c r="AH1276" s="2136">
        <f>K1276-'Blocking-Step2'!K1276</f>
        <v>0</v>
      </c>
      <c r="AJ1276" s="2136">
        <f>M1276-'Blocking-Step2'!M1276</f>
        <v>0</v>
      </c>
      <c r="AL1276" s="2136">
        <f>O1276-'Blocking-Step2'!O1276</f>
        <v>0</v>
      </c>
      <c r="AN1276" s="2137">
        <f>Q1276-'Blocking-Step2'!Q1276</f>
        <v>0</v>
      </c>
      <c r="AP1276" s="2127">
        <f>S1276-'Blocking-Step2'!S1276</f>
        <v>0</v>
      </c>
      <c r="AR1276" s="2127">
        <f>U1276-'Blocking-Step2'!U1276</f>
        <v>0</v>
      </c>
      <c r="AT1276" s="2127">
        <f>W1276-'Blocking-Step2'!W1276</f>
        <v>0</v>
      </c>
      <c r="AV1276" s="2128">
        <f>Y1276-'Blocking-Step2'!Y1276</f>
        <v>0</v>
      </c>
    </row>
    <row r="1277" spans="1:48" ht="16.5" hidden="1" thickTop="1">
      <c r="A1277" s="1116" t="s">
        <v>291</v>
      </c>
      <c r="B1277" s="1104">
        <v>21</v>
      </c>
      <c r="C1277" s="1105">
        <v>264</v>
      </c>
      <c r="D1277" s="1105">
        <v>255</v>
      </c>
      <c r="F1277" s="1907">
        <v>21.79</v>
      </c>
      <c r="G1277" s="1110"/>
      <c r="H1277" s="1146">
        <v>5753</v>
      </c>
      <c r="I1277" s="1146">
        <v>5556</v>
      </c>
      <c r="K1277" s="1907"/>
      <c r="L1277" s="1110"/>
      <c r="M1277" s="1907"/>
      <c r="N1277" s="1110"/>
      <c r="O1277" s="1907"/>
      <c r="P1277" s="1110"/>
      <c r="Q1277" s="1907"/>
      <c r="R1277" s="1110"/>
      <c r="S1277" s="1629"/>
      <c r="T1277" s="1629"/>
      <c r="U1277" s="1629"/>
      <c r="V1277" s="1629"/>
      <c r="W1277" s="1629"/>
      <c r="X1277" s="1629"/>
      <c r="Y1277" s="1146"/>
      <c r="Z1277" s="2114">
        <f>C1277-'Blocking-Step2'!C1277</f>
        <v>0</v>
      </c>
      <c r="AA1277" s="2114">
        <f>D1277-'Blocking-Step2'!D1277</f>
        <v>0</v>
      </c>
      <c r="AC1277" s="2114">
        <f>F1277-'Blocking-Step2'!F1277</f>
        <v>0</v>
      </c>
      <c r="AE1277" s="2114">
        <f>H1277-'Blocking-Step2'!H1277</f>
        <v>0</v>
      </c>
      <c r="AF1277" s="2114">
        <f>I1277-'Blocking-Step2'!I1277</f>
        <v>0</v>
      </c>
      <c r="AH1277" s="2136">
        <f>K1277-'Blocking-Step2'!K1277</f>
        <v>0</v>
      </c>
      <c r="AJ1277" s="2136">
        <f>M1277-'Blocking-Step2'!M1277</f>
        <v>0</v>
      </c>
      <c r="AL1277" s="2136">
        <f>O1277-'Blocking-Step2'!O1277</f>
        <v>0</v>
      </c>
      <c r="AN1277" s="2137">
        <f>Q1277-'Blocking-Step2'!Q1277</f>
        <v>0</v>
      </c>
      <c r="AP1277" s="2127">
        <f>S1277-'Blocking-Step2'!S1277</f>
        <v>0</v>
      </c>
      <c r="AR1277" s="2127">
        <f>U1277-'Blocking-Step2'!U1277</f>
        <v>0</v>
      </c>
      <c r="AT1277" s="2127">
        <f>W1277-'Blocking-Step2'!W1277</f>
        <v>0</v>
      </c>
      <c r="AV1277" s="2128">
        <f>Y1277-'Blocking-Step2'!Y1277</f>
        <v>0</v>
      </c>
    </row>
    <row r="1278" spans="1:48" ht="16.5" hidden="1" thickTop="1">
      <c r="A1278" s="1116" t="s">
        <v>292</v>
      </c>
      <c r="B1278" s="1104">
        <v>22</v>
      </c>
      <c r="C1278" s="1105">
        <v>72</v>
      </c>
      <c r="D1278" s="1105">
        <v>70</v>
      </c>
      <c r="F1278" s="1907">
        <v>34.340000000000003</v>
      </c>
      <c r="G1278" s="1110"/>
      <c r="H1278" s="1146">
        <v>2472</v>
      </c>
      <c r="I1278" s="1146">
        <v>2404</v>
      </c>
      <c r="K1278" s="1907"/>
      <c r="L1278" s="1110"/>
      <c r="M1278" s="1907"/>
      <c r="N1278" s="1110"/>
      <c r="O1278" s="1907"/>
      <c r="P1278" s="1110"/>
      <c r="Q1278" s="1907"/>
      <c r="R1278" s="1110"/>
      <c r="S1278" s="1629"/>
      <c r="T1278" s="1629"/>
      <c r="U1278" s="1629"/>
      <c r="V1278" s="1629"/>
      <c r="W1278" s="1629"/>
      <c r="X1278" s="1629"/>
      <c r="Y1278" s="1146"/>
      <c r="Z1278" s="2114">
        <f>C1278-'Blocking-Step2'!C1278</f>
        <v>0</v>
      </c>
      <c r="AA1278" s="2114">
        <f>D1278-'Blocking-Step2'!D1278</f>
        <v>0</v>
      </c>
      <c r="AC1278" s="2114">
        <f>F1278-'Blocking-Step2'!F1278</f>
        <v>0</v>
      </c>
      <c r="AE1278" s="2114">
        <f>H1278-'Blocking-Step2'!H1278</f>
        <v>0</v>
      </c>
      <c r="AF1278" s="2114">
        <f>I1278-'Blocking-Step2'!I1278</f>
        <v>0</v>
      </c>
      <c r="AH1278" s="2136">
        <f>K1278-'Blocking-Step2'!K1278</f>
        <v>0</v>
      </c>
      <c r="AJ1278" s="2136">
        <f>M1278-'Blocking-Step2'!M1278</f>
        <v>0</v>
      </c>
      <c r="AL1278" s="2136">
        <f>O1278-'Blocking-Step2'!O1278</f>
        <v>0</v>
      </c>
      <c r="AN1278" s="2137">
        <f>Q1278-'Blocking-Step2'!Q1278</f>
        <v>0</v>
      </c>
      <c r="AP1278" s="2127">
        <f>S1278-'Blocking-Step2'!S1278</f>
        <v>0</v>
      </c>
      <c r="AR1278" s="2127">
        <f>U1278-'Blocking-Step2'!U1278</f>
        <v>0</v>
      </c>
      <c r="AT1278" s="2127">
        <f>W1278-'Blocking-Step2'!W1278</f>
        <v>0</v>
      </c>
      <c r="AV1278" s="2128">
        <f>Y1278-'Blocking-Step2'!Y1278</f>
        <v>0</v>
      </c>
    </row>
    <row r="1279" spans="1:48" ht="16.5" hidden="1" thickTop="1">
      <c r="A1279" s="1116" t="s">
        <v>293</v>
      </c>
      <c r="B1279" s="1104">
        <v>23</v>
      </c>
      <c r="C1279" s="1105">
        <v>84</v>
      </c>
      <c r="D1279" s="1105">
        <v>81</v>
      </c>
      <c r="F1279" s="1907">
        <v>27.43</v>
      </c>
      <c r="G1279" s="1110"/>
      <c r="H1279" s="1146">
        <v>2304</v>
      </c>
      <c r="I1279" s="1146">
        <v>2222</v>
      </c>
      <c r="K1279" s="1907"/>
      <c r="L1279" s="1110"/>
      <c r="M1279" s="1907"/>
      <c r="N1279" s="1110"/>
      <c r="O1279" s="1907"/>
      <c r="P1279" s="1110"/>
      <c r="Q1279" s="1907"/>
      <c r="R1279" s="1110"/>
      <c r="S1279" s="1629"/>
      <c r="T1279" s="1629"/>
      <c r="U1279" s="1629"/>
      <c r="V1279" s="1629"/>
      <c r="W1279" s="1629"/>
      <c r="X1279" s="1629"/>
      <c r="Y1279" s="1146"/>
      <c r="Z1279" s="2114">
        <f>C1279-'Blocking-Step2'!C1279</f>
        <v>0</v>
      </c>
      <c r="AA1279" s="2114">
        <f>D1279-'Blocking-Step2'!D1279</f>
        <v>0</v>
      </c>
      <c r="AC1279" s="2114">
        <f>F1279-'Blocking-Step2'!F1279</f>
        <v>0</v>
      </c>
      <c r="AE1279" s="2114">
        <f>H1279-'Blocking-Step2'!H1279</f>
        <v>0</v>
      </c>
      <c r="AF1279" s="2114">
        <f>I1279-'Blocking-Step2'!I1279</f>
        <v>0</v>
      </c>
      <c r="AH1279" s="2136">
        <f>K1279-'Blocking-Step2'!K1279</f>
        <v>0</v>
      </c>
      <c r="AJ1279" s="2136">
        <f>M1279-'Blocking-Step2'!M1279</f>
        <v>0</v>
      </c>
      <c r="AL1279" s="2136">
        <f>O1279-'Blocking-Step2'!O1279</f>
        <v>0</v>
      </c>
      <c r="AN1279" s="2137">
        <f>Q1279-'Blocking-Step2'!Q1279</f>
        <v>0</v>
      </c>
      <c r="AP1279" s="2127">
        <f>S1279-'Blocking-Step2'!S1279</f>
        <v>0</v>
      </c>
      <c r="AR1279" s="2127">
        <f>U1279-'Blocking-Step2'!U1279</f>
        <v>0</v>
      </c>
      <c r="AT1279" s="2127">
        <f>W1279-'Blocking-Step2'!W1279</f>
        <v>0</v>
      </c>
      <c r="AV1279" s="2128">
        <f>Y1279-'Blocking-Step2'!Y1279</f>
        <v>0</v>
      </c>
    </row>
    <row r="1280" spans="1:48" ht="16.5" hidden="1" thickTop="1">
      <c r="A1280" s="1116" t="s">
        <v>294</v>
      </c>
      <c r="B1280" s="1104">
        <v>24</v>
      </c>
      <c r="C1280" s="1105">
        <v>252</v>
      </c>
      <c r="D1280" s="1105">
        <v>243</v>
      </c>
      <c r="F1280" s="1907">
        <v>36.69</v>
      </c>
      <c r="G1280" s="1110"/>
      <c r="H1280" s="1146">
        <v>9246</v>
      </c>
      <c r="I1280" s="1146">
        <v>8916</v>
      </c>
      <c r="K1280" s="1907"/>
      <c r="L1280" s="1110"/>
      <c r="M1280" s="1907"/>
      <c r="N1280" s="1110"/>
      <c r="O1280" s="1907"/>
      <c r="P1280" s="1110"/>
      <c r="Q1280" s="1907"/>
      <c r="R1280" s="1110"/>
      <c r="S1280" s="1629"/>
      <c r="T1280" s="1629"/>
      <c r="U1280" s="1629"/>
      <c r="V1280" s="1629"/>
      <c r="W1280" s="1629"/>
      <c r="X1280" s="1629"/>
      <c r="Y1280" s="1146"/>
      <c r="Z1280" s="2114">
        <f>C1280-'Blocking-Step2'!C1280</f>
        <v>0</v>
      </c>
      <c r="AA1280" s="2114">
        <f>D1280-'Blocking-Step2'!D1280</f>
        <v>0</v>
      </c>
      <c r="AC1280" s="2114">
        <f>F1280-'Blocking-Step2'!F1280</f>
        <v>0</v>
      </c>
      <c r="AE1280" s="2114">
        <f>H1280-'Blocking-Step2'!H1280</f>
        <v>0</v>
      </c>
      <c r="AF1280" s="2114">
        <f>I1280-'Blocking-Step2'!I1280</f>
        <v>0</v>
      </c>
      <c r="AH1280" s="2136">
        <f>K1280-'Blocking-Step2'!K1280</f>
        <v>0</v>
      </c>
      <c r="AJ1280" s="2136">
        <f>M1280-'Blocking-Step2'!M1280</f>
        <v>0</v>
      </c>
      <c r="AL1280" s="2136">
        <f>O1280-'Blocking-Step2'!O1280</f>
        <v>0</v>
      </c>
      <c r="AN1280" s="2137">
        <f>Q1280-'Blocking-Step2'!Q1280</f>
        <v>0</v>
      </c>
      <c r="AP1280" s="2127">
        <f>S1280-'Blocking-Step2'!S1280</f>
        <v>0</v>
      </c>
      <c r="AR1280" s="2127">
        <f>U1280-'Blocking-Step2'!U1280</f>
        <v>0</v>
      </c>
      <c r="AT1280" s="2127">
        <f>W1280-'Blocking-Step2'!W1280</f>
        <v>0</v>
      </c>
      <c r="AV1280" s="2128">
        <f>Y1280-'Blocking-Step2'!Y1280</f>
        <v>0</v>
      </c>
    </row>
    <row r="1281" spans="1:48" ht="16.5" hidden="1" thickTop="1">
      <c r="A1281" s="1116" t="s">
        <v>297</v>
      </c>
      <c r="B1281" s="1104">
        <v>25</v>
      </c>
      <c r="C1281" s="1105">
        <v>563.06628532974401</v>
      </c>
      <c r="D1281" s="1105">
        <v>544</v>
      </c>
      <c r="F1281" s="1907">
        <v>29.72</v>
      </c>
      <c r="G1281" s="1110"/>
      <c r="H1281" s="1146">
        <v>16734</v>
      </c>
      <c r="I1281" s="1146">
        <v>16168</v>
      </c>
      <c r="K1281" s="1907"/>
      <c r="L1281" s="1110"/>
      <c r="M1281" s="1907"/>
      <c r="N1281" s="1110"/>
      <c r="O1281" s="1907"/>
      <c r="P1281" s="1110"/>
      <c r="Q1281" s="1907"/>
      <c r="R1281" s="1110"/>
      <c r="S1281" s="1629"/>
      <c r="T1281" s="1629"/>
      <c r="U1281" s="1629"/>
      <c r="V1281" s="1629"/>
      <c r="W1281" s="1629"/>
      <c r="X1281" s="1629"/>
      <c r="Y1281" s="1146"/>
      <c r="Z1281" s="2114">
        <f>C1281-'Blocking-Step2'!C1281</f>
        <v>0</v>
      </c>
      <c r="AA1281" s="2114">
        <f>D1281-'Blocking-Step2'!D1281</f>
        <v>0</v>
      </c>
      <c r="AC1281" s="2114">
        <f>F1281-'Blocking-Step2'!F1281</f>
        <v>0</v>
      </c>
      <c r="AE1281" s="2114">
        <f>H1281-'Blocking-Step2'!H1281</f>
        <v>0</v>
      </c>
      <c r="AF1281" s="2114">
        <f>I1281-'Blocking-Step2'!I1281</f>
        <v>0</v>
      </c>
      <c r="AH1281" s="2136">
        <f>K1281-'Blocking-Step2'!K1281</f>
        <v>0</v>
      </c>
      <c r="AJ1281" s="2136">
        <f>M1281-'Blocking-Step2'!M1281</f>
        <v>0</v>
      </c>
      <c r="AL1281" s="2136">
        <f>O1281-'Blocking-Step2'!O1281</f>
        <v>0</v>
      </c>
      <c r="AN1281" s="2137">
        <f>Q1281-'Blocking-Step2'!Q1281</f>
        <v>0</v>
      </c>
      <c r="AP1281" s="2127">
        <f>S1281-'Blocking-Step2'!S1281</f>
        <v>0</v>
      </c>
      <c r="AR1281" s="2127">
        <f>U1281-'Blocking-Step2'!U1281</f>
        <v>0</v>
      </c>
      <c r="AT1281" s="2127">
        <f>W1281-'Blocking-Step2'!W1281</f>
        <v>0</v>
      </c>
      <c r="AV1281" s="2128">
        <f>Y1281-'Blocking-Step2'!Y1281</f>
        <v>0</v>
      </c>
    </row>
    <row r="1282" spans="1:48" ht="16.5" hidden="1" thickTop="1">
      <c r="A1282" s="1116" t="s">
        <v>298</v>
      </c>
      <c r="B1282" s="1104">
        <v>26</v>
      </c>
      <c r="C1282" s="1105">
        <v>12</v>
      </c>
      <c r="D1282" s="1105">
        <v>12</v>
      </c>
      <c r="F1282" s="1907">
        <v>57.58</v>
      </c>
      <c r="G1282" s="1110"/>
      <c r="H1282" s="1146">
        <v>691</v>
      </c>
      <c r="I1282" s="1146">
        <v>691</v>
      </c>
      <c r="K1282" s="1907"/>
      <c r="L1282" s="1110"/>
      <c r="M1282" s="1907"/>
      <c r="N1282" s="1110"/>
      <c r="O1282" s="1907"/>
      <c r="P1282" s="1110"/>
      <c r="Q1282" s="1907"/>
      <c r="R1282" s="1110"/>
      <c r="S1282" s="1629"/>
      <c r="T1282" s="1629"/>
      <c r="U1282" s="1629"/>
      <c r="V1282" s="1629"/>
      <c r="W1282" s="1629"/>
      <c r="X1282" s="1629"/>
      <c r="Y1282" s="1146"/>
      <c r="Z1282" s="2114">
        <f>C1282-'Blocking-Step2'!C1282</f>
        <v>0</v>
      </c>
      <c r="AA1282" s="2114">
        <f>D1282-'Blocking-Step2'!D1282</f>
        <v>0</v>
      </c>
      <c r="AC1282" s="2114">
        <f>F1282-'Blocking-Step2'!F1282</f>
        <v>0</v>
      </c>
      <c r="AE1282" s="2114">
        <f>H1282-'Blocking-Step2'!H1282</f>
        <v>0</v>
      </c>
      <c r="AF1282" s="2114">
        <f>I1282-'Blocking-Step2'!I1282</f>
        <v>0</v>
      </c>
      <c r="AH1282" s="2136">
        <f>K1282-'Blocking-Step2'!K1282</f>
        <v>0</v>
      </c>
      <c r="AJ1282" s="2136">
        <f>M1282-'Blocking-Step2'!M1282</f>
        <v>0</v>
      </c>
      <c r="AL1282" s="2136">
        <f>O1282-'Blocking-Step2'!O1282</f>
        <v>0</v>
      </c>
      <c r="AN1282" s="2137">
        <f>Q1282-'Blocking-Step2'!Q1282</f>
        <v>0</v>
      </c>
      <c r="AP1282" s="2127">
        <f>S1282-'Blocking-Step2'!S1282</f>
        <v>0</v>
      </c>
      <c r="AR1282" s="2127">
        <f>U1282-'Blocking-Step2'!U1282</f>
        <v>0</v>
      </c>
      <c r="AT1282" s="2127">
        <f>W1282-'Blocking-Step2'!W1282</f>
        <v>0</v>
      </c>
      <c r="AV1282" s="2128">
        <f>Y1282-'Blocking-Step2'!Y1282</f>
        <v>0</v>
      </c>
    </row>
    <row r="1283" spans="1:48" ht="16.5" hidden="1" thickTop="1">
      <c r="A1283" s="1116" t="s">
        <v>300</v>
      </c>
      <c r="B1283" s="1104">
        <v>27</v>
      </c>
      <c r="C1283" s="1105">
        <v>33.733401221995898</v>
      </c>
      <c r="D1283" s="1105">
        <v>33</v>
      </c>
      <c r="F1283" s="1907">
        <v>49.1</v>
      </c>
      <c r="G1283" s="1110"/>
      <c r="H1283" s="1146">
        <v>1656</v>
      </c>
      <c r="I1283" s="1146">
        <v>1620</v>
      </c>
      <c r="K1283" s="1907"/>
      <c r="L1283" s="1110"/>
      <c r="M1283" s="1907"/>
      <c r="N1283" s="1110"/>
      <c r="O1283" s="1907"/>
      <c r="P1283" s="1110"/>
      <c r="Q1283" s="1907"/>
      <c r="R1283" s="1110"/>
      <c r="S1283" s="1629"/>
      <c r="T1283" s="1629"/>
      <c r="U1283" s="1629"/>
      <c r="V1283" s="1629"/>
      <c r="W1283" s="1629"/>
      <c r="X1283" s="1629"/>
      <c r="Y1283" s="1146"/>
      <c r="Z1283" s="2114">
        <f>C1283-'Blocking-Step2'!C1283</f>
        <v>0</v>
      </c>
      <c r="AA1283" s="2114">
        <f>D1283-'Blocking-Step2'!D1283</f>
        <v>0</v>
      </c>
      <c r="AC1283" s="2114">
        <f>F1283-'Blocking-Step2'!F1283</f>
        <v>0</v>
      </c>
      <c r="AE1283" s="2114">
        <f>H1283-'Blocking-Step2'!H1283</f>
        <v>0</v>
      </c>
      <c r="AF1283" s="2114">
        <f>I1283-'Blocking-Step2'!I1283</f>
        <v>0</v>
      </c>
      <c r="AH1283" s="2136">
        <f>K1283-'Blocking-Step2'!K1283</f>
        <v>0</v>
      </c>
      <c r="AJ1283" s="2136">
        <f>M1283-'Blocking-Step2'!M1283</f>
        <v>0</v>
      </c>
      <c r="AL1283" s="2136">
        <f>O1283-'Blocking-Step2'!O1283</f>
        <v>0</v>
      </c>
      <c r="AN1283" s="2137">
        <f>Q1283-'Blocking-Step2'!Q1283</f>
        <v>0</v>
      </c>
      <c r="AP1283" s="2127">
        <f>S1283-'Blocking-Step2'!S1283</f>
        <v>0</v>
      </c>
      <c r="AR1283" s="2127">
        <f>U1283-'Blocking-Step2'!U1283</f>
        <v>0</v>
      </c>
      <c r="AT1283" s="2127">
        <f>W1283-'Blocking-Step2'!W1283</f>
        <v>0</v>
      </c>
      <c r="AV1283" s="2128">
        <f>Y1283-'Blocking-Step2'!Y1283</f>
        <v>0</v>
      </c>
    </row>
    <row r="1284" spans="1:48" ht="16.5" hidden="1" thickTop="1">
      <c r="A1284" s="1116" t="s">
        <v>130</v>
      </c>
      <c r="C1284" s="1105">
        <v>85763.472006293101</v>
      </c>
      <c r="D1284" s="1105">
        <v>82807</v>
      </c>
      <c r="H1284" s="1146">
        <v>1685159</v>
      </c>
      <c r="I1284" s="1146">
        <v>1627103</v>
      </c>
      <c r="Y1284" s="1146"/>
      <c r="Z1284" s="2114">
        <f>C1284-'Blocking-Step2'!C1284</f>
        <v>0</v>
      </c>
      <c r="AA1284" s="2114">
        <f>D1284-'Blocking-Step2'!D1284</f>
        <v>0</v>
      </c>
      <c r="AC1284" s="2114">
        <f>F1284-'Blocking-Step2'!F1284</f>
        <v>0</v>
      </c>
      <c r="AE1284" s="2114">
        <f>H1284-'Blocking-Step2'!H1284</f>
        <v>0</v>
      </c>
      <c r="AF1284" s="2114">
        <f>I1284-'Blocking-Step2'!I1284</f>
        <v>0</v>
      </c>
      <c r="AH1284" s="2136">
        <f>K1284-'Blocking-Step2'!K1284</f>
        <v>0</v>
      </c>
      <c r="AJ1284" s="2136">
        <f>M1284-'Blocking-Step2'!M1284</f>
        <v>0</v>
      </c>
      <c r="AL1284" s="2136">
        <f>O1284-'Blocking-Step2'!O1284</f>
        <v>0</v>
      </c>
      <c r="AN1284" s="2137">
        <f>Q1284-'Blocking-Step2'!Q1284</f>
        <v>0</v>
      </c>
      <c r="AP1284" s="2127">
        <f>S1284-'Blocking-Step2'!S1284</f>
        <v>0</v>
      </c>
      <c r="AR1284" s="2127">
        <f>U1284-'Blocking-Step2'!U1284</f>
        <v>0</v>
      </c>
      <c r="AT1284" s="2127">
        <f>W1284-'Blocking-Step2'!W1284</f>
        <v>0</v>
      </c>
      <c r="AV1284" s="2128">
        <f>Y1284-'Blocking-Step2'!Y1284</f>
        <v>0</v>
      </c>
    </row>
    <row r="1285" spans="1:48" ht="16.5" hidden="1" thickTop="1">
      <c r="A1285" s="1116" t="s">
        <v>36</v>
      </c>
      <c r="C1285" s="1896">
        <v>7238624.0497356383</v>
      </c>
      <c r="D1285" s="1896">
        <v>6988898.6263882052</v>
      </c>
      <c r="H1285" s="1146"/>
      <c r="I1285" s="1146"/>
      <c r="Y1285" s="1146"/>
      <c r="Z1285" s="2114">
        <f>C1285-'Blocking-Step2'!C1285</f>
        <v>0</v>
      </c>
      <c r="AA1285" s="2114">
        <f>D1285-'Blocking-Step2'!D1285</f>
        <v>0</v>
      </c>
      <c r="AC1285" s="2114">
        <f>F1285-'Blocking-Step2'!F1285</f>
        <v>0</v>
      </c>
      <c r="AE1285" s="2114">
        <f>H1285-'Blocking-Step2'!H1285</f>
        <v>0</v>
      </c>
      <c r="AF1285" s="2114">
        <f>I1285-'Blocking-Step2'!I1285</f>
        <v>0</v>
      </c>
      <c r="AH1285" s="2136">
        <f>K1285-'Blocking-Step2'!K1285</f>
        <v>0</v>
      </c>
      <c r="AJ1285" s="2136">
        <f>M1285-'Blocking-Step2'!M1285</f>
        <v>0</v>
      </c>
      <c r="AL1285" s="2136">
        <f>O1285-'Blocking-Step2'!O1285</f>
        <v>0</v>
      </c>
      <c r="AN1285" s="2137">
        <f>Q1285-'Blocking-Step2'!Q1285</f>
        <v>0</v>
      </c>
      <c r="AP1285" s="2127">
        <f>S1285-'Blocking-Step2'!S1285</f>
        <v>0</v>
      </c>
      <c r="AR1285" s="2127">
        <f>U1285-'Blocking-Step2'!U1285</f>
        <v>0</v>
      </c>
      <c r="AT1285" s="2127">
        <f>W1285-'Blocking-Step2'!W1285</f>
        <v>0</v>
      </c>
      <c r="AV1285" s="2128">
        <f>Y1285-'Blocking-Step2'!Y1285</f>
        <v>0</v>
      </c>
    </row>
    <row r="1286" spans="1:48" ht="16.5" hidden="1" thickTop="1">
      <c r="A1286" s="1116" t="s">
        <v>136</v>
      </c>
      <c r="C1286" s="2081">
        <v>38396</v>
      </c>
      <c r="D1286" s="2081">
        <v>0</v>
      </c>
      <c r="F1286" s="2082"/>
      <c r="H1286" s="1147">
        <v>9758</v>
      </c>
      <c r="I1286" s="1147">
        <v>0</v>
      </c>
      <c r="K1286" s="2082"/>
      <c r="M1286" s="2082"/>
      <c r="O1286" s="2082"/>
      <c r="Q1286" s="2082"/>
      <c r="Y1286" s="1147"/>
      <c r="Z1286" s="2114">
        <f>C1286-'Blocking-Step2'!C1286</f>
        <v>0</v>
      </c>
      <c r="AA1286" s="2114">
        <f>D1286-'Blocking-Step2'!D1286</f>
        <v>0</v>
      </c>
      <c r="AC1286" s="2114">
        <f>F1286-'Blocking-Step2'!F1286</f>
        <v>0</v>
      </c>
      <c r="AE1286" s="2114">
        <f>H1286-'Blocking-Step2'!H1286</f>
        <v>0</v>
      </c>
      <c r="AF1286" s="2114">
        <f>I1286-'Blocking-Step2'!I1286</f>
        <v>0</v>
      </c>
      <c r="AH1286" s="2136">
        <f>K1286-'Blocking-Step2'!K1286</f>
        <v>0</v>
      </c>
      <c r="AJ1286" s="2136">
        <f>M1286-'Blocking-Step2'!M1286</f>
        <v>0</v>
      </c>
      <c r="AL1286" s="2136">
        <f>O1286-'Blocking-Step2'!O1286</f>
        <v>0</v>
      </c>
      <c r="AN1286" s="2137">
        <f>Q1286-'Blocking-Step2'!Q1286</f>
        <v>0</v>
      </c>
      <c r="AP1286" s="2127">
        <f>S1286-'Blocking-Step2'!S1286</f>
        <v>0</v>
      </c>
      <c r="AR1286" s="2127">
        <f>U1286-'Blocking-Step2'!U1286</f>
        <v>0</v>
      </c>
      <c r="AT1286" s="2127">
        <f>W1286-'Blocking-Step2'!W1286</f>
        <v>0</v>
      </c>
      <c r="AV1286" s="2128">
        <f>Y1286-'Blocking-Step2'!Y1286</f>
        <v>0</v>
      </c>
    </row>
    <row r="1287" spans="1:48" ht="16.5" hidden="1" thickTop="1">
      <c r="A1287" s="1116" t="s">
        <v>1240</v>
      </c>
      <c r="C1287" s="1024"/>
      <c r="D1287" s="1024"/>
      <c r="F1287" s="2076">
        <v>-1.9800000000000002E-2</v>
      </c>
      <c r="G1287" s="617"/>
      <c r="H1287" s="1146">
        <v>-33366.148200000003</v>
      </c>
      <c r="I1287" s="1146">
        <v>-32216.639400000004</v>
      </c>
      <c r="K1287" s="2076"/>
      <c r="L1287" s="617"/>
      <c r="M1287" s="2076"/>
      <c r="N1287" s="617"/>
      <c r="O1287" s="2077" t="s">
        <v>2323</v>
      </c>
      <c r="P1287" s="617"/>
      <c r="Q1287" s="2076">
        <v>-1.8700000000000001E-2</v>
      </c>
      <c r="R1287" s="617"/>
      <c r="S1287" s="1114"/>
      <c r="T1287" s="1114"/>
      <c r="U1287" s="1114"/>
      <c r="V1287" s="1114"/>
      <c r="W1287" s="1114"/>
      <c r="X1287" s="1114"/>
      <c r="Y1287" s="1146">
        <v>-16529.642551232835</v>
      </c>
      <c r="Z1287" s="2114">
        <f>C1287-'Blocking-Step2'!C1287</f>
        <v>0</v>
      </c>
      <c r="AA1287" s="2114">
        <f>D1287-'Blocking-Step2'!D1287</f>
        <v>0</v>
      </c>
      <c r="AC1287" s="2114">
        <f>F1287-'Blocking-Step2'!F1287</f>
        <v>0</v>
      </c>
      <c r="AE1287" s="2114">
        <f>H1287-'Blocking-Step2'!H1287</f>
        <v>0</v>
      </c>
      <c r="AF1287" s="2114">
        <f>I1287-'Blocking-Step2'!I1287</f>
        <v>0</v>
      </c>
      <c r="AH1287" s="2136">
        <f>K1287-'Blocking-Step2'!K1287</f>
        <v>0</v>
      </c>
      <c r="AJ1287" s="2136">
        <f>M1287-'Blocking-Step2'!M1287</f>
        <v>0</v>
      </c>
      <c r="AL1287" s="2136" t="e">
        <f>O1287-'Blocking-Step2'!O1287</f>
        <v>#VALUE!</v>
      </c>
      <c r="AN1287" s="2137">
        <f>Q1287-'Blocking-Step2'!Q1287</f>
        <v>0</v>
      </c>
      <c r="AP1287" s="2127">
        <f>S1287-'Blocking-Step2'!S1287</f>
        <v>0</v>
      </c>
      <c r="AR1287" s="2127">
        <f>U1287-'Blocking-Step2'!U1287</f>
        <v>0</v>
      </c>
      <c r="AT1287" s="2127">
        <f>W1287-'Blocking-Step2'!W1287</f>
        <v>0</v>
      </c>
      <c r="AV1287" s="2128">
        <f>Y1287-'Blocking-Step2'!Y1287</f>
        <v>0</v>
      </c>
    </row>
    <row r="1288" spans="1:48" ht="16.5" hidden="1" thickTop="1">
      <c r="A1288" s="1116"/>
      <c r="C1288" s="1024"/>
      <c r="D1288" s="1024"/>
      <c r="F1288" s="2076"/>
      <c r="G1288" s="617"/>
      <c r="H1288" s="1146"/>
      <c r="I1288" s="1146"/>
      <c r="K1288" s="2076"/>
      <c r="L1288" s="617"/>
      <c r="M1288" s="2076"/>
      <c r="N1288" s="617"/>
      <c r="O1288" s="2077" t="s">
        <v>2324</v>
      </c>
      <c r="P1288" s="617"/>
      <c r="Q1288" s="2076">
        <v>-1.0200000000000001E-2</v>
      </c>
      <c r="R1288" s="617"/>
      <c r="S1288" s="1114"/>
      <c r="T1288" s="1114"/>
      <c r="U1288" s="1114"/>
      <c r="V1288" s="1114"/>
      <c r="W1288" s="1114"/>
      <c r="X1288" s="1114"/>
      <c r="Y1288" s="1146">
        <v>-9016.1686643088178</v>
      </c>
      <c r="Z1288" s="2114">
        <f>C1288-'Blocking-Step2'!C1288</f>
        <v>0</v>
      </c>
      <c r="AA1288" s="2114">
        <f>D1288-'Blocking-Step2'!D1288</f>
        <v>0</v>
      </c>
      <c r="AC1288" s="2114">
        <f>F1288-'Blocking-Step2'!F1288</f>
        <v>0</v>
      </c>
      <c r="AE1288" s="2114">
        <f>H1288-'Blocking-Step2'!H1288</f>
        <v>0</v>
      </c>
      <c r="AF1288" s="2114">
        <f>I1288-'Blocking-Step2'!I1288</f>
        <v>0</v>
      </c>
      <c r="AH1288" s="2136">
        <f>K1288-'Blocking-Step2'!K1288</f>
        <v>0</v>
      </c>
      <c r="AJ1288" s="2136">
        <f>M1288-'Blocking-Step2'!M1288</f>
        <v>0</v>
      </c>
      <c r="AL1288" s="2136" t="e">
        <f>O1288-'Blocking-Step2'!O1288</f>
        <v>#VALUE!</v>
      </c>
      <c r="AN1288" s="2137">
        <f>Q1288-'Blocking-Step2'!Q1288</f>
        <v>0</v>
      </c>
      <c r="AP1288" s="2127">
        <f>S1288-'Blocking-Step2'!S1288</f>
        <v>0</v>
      </c>
      <c r="AR1288" s="2127">
        <f>U1288-'Blocking-Step2'!U1288</f>
        <v>0</v>
      </c>
      <c r="AT1288" s="2127">
        <f>W1288-'Blocking-Step2'!W1288</f>
        <v>0</v>
      </c>
      <c r="AV1288" s="2128">
        <f>Y1288-'Blocking-Step2'!Y1288</f>
        <v>0</v>
      </c>
    </row>
    <row r="1289" spans="1:48" ht="16.5" hidden="1" thickTop="1">
      <c r="A1289" s="1116" t="s">
        <v>141</v>
      </c>
      <c r="C1289" s="1105">
        <v>3860.5833333333298</v>
      </c>
      <c r="D1289" s="1105">
        <v>3720</v>
      </c>
      <c r="Z1289" s="2114">
        <f>C1289-'Blocking-Step2'!C1289</f>
        <v>0</v>
      </c>
      <c r="AA1289" s="2114">
        <f>D1289-'Blocking-Step2'!D1289</f>
        <v>0</v>
      </c>
      <c r="AC1289" s="2114">
        <f>F1289-'Blocking-Step2'!F1289</f>
        <v>0</v>
      </c>
      <c r="AE1289" s="2114">
        <f>H1289-'Blocking-Step2'!H1289</f>
        <v>0</v>
      </c>
      <c r="AF1289" s="2114">
        <f>I1289-'Blocking-Step2'!I1289</f>
        <v>0</v>
      </c>
      <c r="AH1289" s="2136">
        <f>K1289-'Blocking-Step2'!K1289</f>
        <v>0</v>
      </c>
      <c r="AJ1289" s="2136">
        <f>M1289-'Blocking-Step2'!M1289</f>
        <v>0</v>
      </c>
      <c r="AL1289" s="2136">
        <f>O1289-'Blocking-Step2'!O1289</f>
        <v>0</v>
      </c>
      <c r="AN1289" s="2137">
        <f>Q1289-'Blocking-Step2'!Q1289</f>
        <v>0</v>
      </c>
      <c r="AP1289" s="2127">
        <f>S1289-'Blocking-Step2'!S1289</f>
        <v>0</v>
      </c>
      <c r="AR1289" s="2127">
        <f>U1289-'Blocking-Step2'!U1289</f>
        <v>0</v>
      </c>
      <c r="AT1289" s="2127">
        <f>W1289-'Blocking-Step2'!W1289</f>
        <v>0</v>
      </c>
      <c r="AV1289" s="2128">
        <f>Y1289-'Blocking-Step2'!Y1289</f>
        <v>0</v>
      </c>
    </row>
    <row r="1290" spans="1:48" ht="17.25" hidden="1" thickTop="1" thickBot="1">
      <c r="A1290" s="1116" t="s">
        <v>302</v>
      </c>
      <c r="C1290" s="2083">
        <v>7277020.0497356383</v>
      </c>
      <c r="D1290" s="2083">
        <v>6988898.6263882052</v>
      </c>
      <c r="F1290" s="2078"/>
      <c r="H1290" s="1154">
        <v>1661550.8518000001</v>
      </c>
      <c r="I1290" s="1154">
        <v>1594886.3606</v>
      </c>
      <c r="K1290" s="2078"/>
      <c r="M1290" s="2078"/>
      <c r="O1290" s="2078"/>
      <c r="Q1290" s="2078"/>
      <c r="S1290" s="1628">
        <v>146761.28884195298</v>
      </c>
      <c r="U1290" s="1628">
        <v>34966.854050989794</v>
      </c>
      <c r="W1290" s="1628">
        <v>702209.96145105886</v>
      </c>
      <c r="Y1290" s="1154">
        <v>883938.10434400174</v>
      </c>
      <c r="Z1290" s="2114">
        <f>C1290-'Blocking-Step2'!C1290</f>
        <v>0</v>
      </c>
      <c r="AA1290" s="2114">
        <f>D1290-'Blocking-Step2'!D1290</f>
        <v>0</v>
      </c>
      <c r="AC1290" s="2114">
        <f>F1290-'Blocking-Step2'!F1290</f>
        <v>0</v>
      </c>
      <c r="AE1290" s="2114">
        <f>H1290-'Blocking-Step2'!H1290</f>
        <v>0</v>
      </c>
      <c r="AF1290" s="2114">
        <f>I1290-'Blocking-Step2'!I1290</f>
        <v>0</v>
      </c>
      <c r="AH1290" s="2136">
        <f>K1290-'Blocking-Step2'!K1290</f>
        <v>0</v>
      </c>
      <c r="AJ1290" s="2136">
        <f>M1290-'Blocking-Step2'!M1290</f>
        <v>0</v>
      </c>
      <c r="AL1290" s="2136">
        <f>O1290-'Blocking-Step2'!O1290</f>
        <v>0</v>
      </c>
      <c r="AN1290" s="2137">
        <f>Q1290-'Blocking-Step2'!Q1290</f>
        <v>0</v>
      </c>
      <c r="AP1290" s="2127">
        <f>S1290-'Blocking-Step2'!S1290</f>
        <v>-11549.151339368109</v>
      </c>
      <c r="AR1290" s="2127">
        <f>U1290-'Blocking-Step2'!U1290</f>
        <v>11549.151339368094</v>
      </c>
      <c r="AT1290" s="2127">
        <f>W1290-'Blocking-Step2'!W1290</f>
        <v>0</v>
      </c>
      <c r="AV1290" s="2128">
        <f>Y1290-'Blocking-Step2'!Y1290</f>
        <v>0</v>
      </c>
    </row>
    <row r="1291" spans="1:48" ht="16.5" hidden="1" thickTop="1">
      <c r="E1291" s="617"/>
      <c r="J1291" s="617"/>
      <c r="Z1291" s="2114">
        <f>C1291-'Blocking-Step2'!C1291</f>
        <v>0</v>
      </c>
      <c r="AA1291" s="2114">
        <f>D1291-'Blocking-Step2'!D1291</f>
        <v>0</v>
      </c>
      <c r="AC1291" s="2114">
        <f>F1291-'Blocking-Step2'!F1291</f>
        <v>0</v>
      </c>
      <c r="AE1291" s="2114">
        <f>H1291-'Blocking-Step2'!H1291</f>
        <v>0</v>
      </c>
      <c r="AF1291" s="2114">
        <f>I1291-'Blocking-Step2'!I1291</f>
        <v>0</v>
      </c>
      <c r="AH1291" s="2136">
        <f>K1291-'Blocking-Step2'!K1291</f>
        <v>0</v>
      </c>
      <c r="AJ1291" s="2136">
        <f>M1291-'Blocking-Step2'!M1291</f>
        <v>0</v>
      </c>
      <c r="AL1291" s="2136">
        <f>O1291-'Blocking-Step2'!O1291</f>
        <v>0</v>
      </c>
      <c r="AN1291" s="2137">
        <f>Q1291-'Blocking-Step2'!Q1291</f>
        <v>0</v>
      </c>
      <c r="AP1291" s="2127">
        <f>S1291-'Blocking-Step2'!S1291</f>
        <v>0</v>
      </c>
      <c r="AR1291" s="2127">
        <f>U1291-'Blocking-Step2'!U1291</f>
        <v>0</v>
      </c>
      <c r="AT1291" s="2127">
        <f>W1291-'Blocking-Step2'!W1291</f>
        <v>0</v>
      </c>
      <c r="AV1291" s="2128">
        <f>Y1291-'Blocking-Step2'!Y1291</f>
        <v>0</v>
      </c>
    </row>
    <row r="1292" spans="1:48" ht="16.5" hidden="1" thickTop="1">
      <c r="A1292" s="1115" t="s">
        <v>912</v>
      </c>
      <c r="C1292" s="1105"/>
      <c r="D1292" s="1105"/>
      <c r="Z1292" s="2114">
        <f>C1292-'Blocking-Step2'!C1292</f>
        <v>0</v>
      </c>
      <c r="AA1292" s="2114">
        <f>D1292-'Blocking-Step2'!D1292</f>
        <v>0</v>
      </c>
      <c r="AC1292" s="2114">
        <f>F1292-'Blocking-Step2'!F1292</f>
        <v>0</v>
      </c>
      <c r="AE1292" s="2114">
        <f>H1292-'Blocking-Step2'!H1292</f>
        <v>0</v>
      </c>
      <c r="AF1292" s="2114">
        <f>I1292-'Blocking-Step2'!I1292</f>
        <v>0</v>
      </c>
      <c r="AH1292" s="2136">
        <f>K1292-'Blocking-Step2'!K1292</f>
        <v>0</v>
      </c>
      <c r="AJ1292" s="2136">
        <f>M1292-'Blocking-Step2'!M1292</f>
        <v>0</v>
      </c>
      <c r="AL1292" s="2136">
        <f>O1292-'Blocking-Step2'!O1292</f>
        <v>0</v>
      </c>
      <c r="AN1292" s="2137">
        <f>Q1292-'Blocking-Step2'!Q1292</f>
        <v>0</v>
      </c>
      <c r="AP1292" s="2127">
        <f>S1292-'Blocking-Step2'!S1292</f>
        <v>0</v>
      </c>
      <c r="AR1292" s="2127">
        <f>U1292-'Blocking-Step2'!U1292</f>
        <v>0</v>
      </c>
      <c r="AT1292" s="2127">
        <f>W1292-'Blocking-Step2'!W1292</f>
        <v>0</v>
      </c>
      <c r="AV1292" s="2128">
        <f>Y1292-'Blocking-Step2'!Y1292</f>
        <v>0</v>
      </c>
    </row>
    <row r="1293" spans="1:48" ht="16.5" hidden="1" thickTop="1">
      <c r="A1293" s="1977" t="s">
        <v>264</v>
      </c>
      <c r="C1293" s="1105" t="s">
        <v>438</v>
      </c>
      <c r="D1293" s="1105"/>
      <c r="H1293" s="1146"/>
      <c r="I1293" s="1146"/>
      <c r="Y1293" s="1146"/>
      <c r="Z1293" s="2114" t="e">
        <f>C1293-'Blocking-Step2'!C1293</f>
        <v>#VALUE!</v>
      </c>
      <c r="AA1293" s="2114">
        <f>D1293-'Blocking-Step2'!D1293</f>
        <v>0</v>
      </c>
      <c r="AC1293" s="2114">
        <f>F1293-'Blocking-Step2'!F1293</f>
        <v>0</v>
      </c>
      <c r="AE1293" s="2114">
        <f>H1293-'Blocking-Step2'!H1293</f>
        <v>0</v>
      </c>
      <c r="AF1293" s="2114">
        <f>I1293-'Blocking-Step2'!I1293</f>
        <v>0</v>
      </c>
      <c r="AH1293" s="2136">
        <f>K1293-'Blocking-Step2'!K1293</f>
        <v>0</v>
      </c>
      <c r="AJ1293" s="2136">
        <f>M1293-'Blocking-Step2'!M1293</f>
        <v>0</v>
      </c>
      <c r="AL1293" s="2136">
        <f>O1293-'Blocking-Step2'!O1293</f>
        <v>0</v>
      </c>
      <c r="AN1293" s="2137">
        <f>Q1293-'Blocking-Step2'!Q1293</f>
        <v>0</v>
      </c>
      <c r="AP1293" s="2127">
        <f>S1293-'Blocking-Step2'!S1293</f>
        <v>0</v>
      </c>
      <c r="AR1293" s="2127">
        <f>U1293-'Blocking-Step2'!U1293</f>
        <v>0</v>
      </c>
      <c r="AT1293" s="2127">
        <f>W1293-'Blocking-Step2'!W1293</f>
        <v>0</v>
      </c>
      <c r="AV1293" s="2128">
        <f>Y1293-'Blocking-Step2'!Y1293</f>
        <v>0</v>
      </c>
    </row>
    <row r="1294" spans="1:48" ht="16.5" hidden="1" thickTop="1">
      <c r="A1294" s="1116" t="s">
        <v>265</v>
      </c>
      <c r="B1294" s="1104">
        <v>29</v>
      </c>
      <c r="C1294" s="1105">
        <v>0</v>
      </c>
      <c r="D1294" s="1105">
        <v>0</v>
      </c>
      <c r="F1294" s="1907">
        <v>5.68</v>
      </c>
      <c r="G1294" s="1110"/>
      <c r="H1294" s="1146">
        <v>0</v>
      </c>
      <c r="I1294" s="1146">
        <v>0</v>
      </c>
      <c r="K1294" s="1907"/>
      <c r="L1294" s="1110"/>
      <c r="M1294" s="1907"/>
      <c r="N1294" s="1110"/>
      <c r="O1294" s="1907"/>
      <c r="P1294" s="1110"/>
      <c r="Q1294" s="1907"/>
      <c r="R1294" s="1110"/>
      <c r="S1294" s="1629"/>
      <c r="T1294" s="1629"/>
      <c r="U1294" s="1629"/>
      <c r="V1294" s="1629"/>
      <c r="W1294" s="1629"/>
      <c r="X1294" s="1629"/>
      <c r="Y1294" s="1146"/>
      <c r="Z1294" s="2114">
        <f>C1294-'Blocking-Step2'!C1294</f>
        <v>0</v>
      </c>
      <c r="AA1294" s="2114">
        <f>D1294-'Blocking-Step2'!D1294</f>
        <v>0</v>
      </c>
      <c r="AC1294" s="2114">
        <f>F1294-'Blocking-Step2'!F1294</f>
        <v>0</v>
      </c>
      <c r="AE1294" s="2114">
        <f>H1294-'Blocking-Step2'!H1294</f>
        <v>0</v>
      </c>
      <c r="AF1294" s="2114">
        <f>I1294-'Blocking-Step2'!I1294</f>
        <v>0</v>
      </c>
      <c r="AH1294" s="2136">
        <f>K1294-'Blocking-Step2'!K1294</f>
        <v>0</v>
      </c>
      <c r="AJ1294" s="2136">
        <f>M1294-'Blocking-Step2'!M1294</f>
        <v>0</v>
      </c>
      <c r="AL1294" s="2136">
        <f>O1294-'Blocking-Step2'!O1294</f>
        <v>0</v>
      </c>
      <c r="AN1294" s="2137">
        <f>Q1294-'Blocking-Step2'!Q1294</f>
        <v>0</v>
      </c>
      <c r="AP1294" s="2127">
        <f>S1294-'Blocking-Step2'!S1294</f>
        <v>0</v>
      </c>
      <c r="AR1294" s="2127">
        <f>U1294-'Blocking-Step2'!U1294</f>
        <v>0</v>
      </c>
      <c r="AT1294" s="2127">
        <f>W1294-'Blocking-Step2'!W1294</f>
        <v>0</v>
      </c>
      <c r="AV1294" s="2128">
        <f>Y1294-'Blocking-Step2'!Y1294</f>
        <v>0</v>
      </c>
    </row>
    <row r="1295" spans="1:48" ht="16.5" hidden="1" thickTop="1">
      <c r="A1295" s="1116" t="s">
        <v>266</v>
      </c>
      <c r="B1295" s="1104">
        <v>1</v>
      </c>
      <c r="C1295" s="1105">
        <v>2928.8315018315002</v>
      </c>
      <c r="D1295" s="1105">
        <v>3072</v>
      </c>
      <c r="F1295" s="1907">
        <v>16.38</v>
      </c>
      <c r="G1295" s="1110"/>
      <c r="H1295" s="1146">
        <v>47974</v>
      </c>
      <c r="I1295" s="1146">
        <v>50319</v>
      </c>
      <c r="K1295" s="1907"/>
      <c r="L1295" s="1110"/>
      <c r="M1295" s="1907"/>
      <c r="N1295" s="1110"/>
      <c r="O1295" s="1907"/>
      <c r="P1295" s="1110"/>
      <c r="Q1295" s="1907"/>
      <c r="R1295" s="1110"/>
      <c r="S1295" s="1629"/>
      <c r="T1295" s="1629"/>
      <c r="U1295" s="1629"/>
      <c r="V1295" s="1629"/>
      <c r="W1295" s="1629"/>
      <c r="X1295" s="1629"/>
      <c r="Y1295" s="1146"/>
      <c r="Z1295" s="2114">
        <f>C1295-'Blocking-Step2'!C1295</f>
        <v>0</v>
      </c>
      <c r="AA1295" s="2114">
        <f>D1295-'Blocking-Step2'!D1295</f>
        <v>0</v>
      </c>
      <c r="AC1295" s="2114">
        <f>F1295-'Blocking-Step2'!F1295</f>
        <v>0</v>
      </c>
      <c r="AE1295" s="2114">
        <f>H1295-'Blocking-Step2'!H1295</f>
        <v>0</v>
      </c>
      <c r="AF1295" s="2114">
        <f>I1295-'Blocking-Step2'!I1295</f>
        <v>0</v>
      </c>
      <c r="AH1295" s="2136">
        <f>K1295-'Blocking-Step2'!K1295</f>
        <v>0</v>
      </c>
      <c r="AJ1295" s="2136">
        <f>M1295-'Blocking-Step2'!M1295</f>
        <v>0</v>
      </c>
      <c r="AL1295" s="2136">
        <f>O1295-'Blocking-Step2'!O1295</f>
        <v>0</v>
      </c>
      <c r="AN1295" s="2137">
        <f>Q1295-'Blocking-Step2'!Q1295</f>
        <v>0</v>
      </c>
      <c r="AP1295" s="2127">
        <f>S1295-'Blocking-Step2'!S1295</f>
        <v>0</v>
      </c>
      <c r="AR1295" s="2127">
        <f>U1295-'Blocking-Step2'!U1295</f>
        <v>0</v>
      </c>
      <c r="AT1295" s="2127">
        <f>W1295-'Blocking-Step2'!W1295</f>
        <v>0</v>
      </c>
      <c r="AV1295" s="2128">
        <f>Y1295-'Blocking-Step2'!Y1295</f>
        <v>0</v>
      </c>
    </row>
    <row r="1296" spans="1:48" ht="16.5" hidden="1" thickTop="1">
      <c r="A1296" s="1116" t="s">
        <v>267</v>
      </c>
      <c r="B1296" s="1104">
        <v>40</v>
      </c>
      <c r="C1296" s="1105">
        <v>0</v>
      </c>
      <c r="D1296" s="1105">
        <v>0</v>
      </c>
      <c r="F1296" s="1907">
        <v>8.0500000000000007</v>
      </c>
      <c r="G1296" s="1110"/>
      <c r="H1296" s="1146">
        <v>0</v>
      </c>
      <c r="I1296" s="1146">
        <v>0</v>
      </c>
      <c r="K1296" s="1907"/>
      <c r="L1296" s="1110"/>
      <c r="M1296" s="1907"/>
      <c r="N1296" s="1110"/>
      <c r="O1296" s="1907"/>
      <c r="P1296" s="1110"/>
      <c r="Q1296" s="1907"/>
      <c r="R1296" s="1110"/>
      <c r="S1296" s="1629"/>
      <c r="T1296" s="1629"/>
      <c r="U1296" s="1629"/>
      <c r="V1296" s="1629"/>
      <c r="W1296" s="1629"/>
      <c r="X1296" s="1629"/>
      <c r="Y1296" s="1146"/>
      <c r="Z1296" s="2114">
        <f>C1296-'Blocking-Step2'!C1296</f>
        <v>0</v>
      </c>
      <c r="AA1296" s="2114">
        <f>D1296-'Blocking-Step2'!D1296</f>
        <v>0</v>
      </c>
      <c r="AC1296" s="2114">
        <f>F1296-'Blocking-Step2'!F1296</f>
        <v>0</v>
      </c>
      <c r="AE1296" s="2114">
        <f>H1296-'Blocking-Step2'!H1296</f>
        <v>0</v>
      </c>
      <c r="AF1296" s="2114">
        <f>I1296-'Blocking-Step2'!I1296</f>
        <v>0</v>
      </c>
      <c r="AH1296" s="2136">
        <f>K1296-'Blocking-Step2'!K1296</f>
        <v>0</v>
      </c>
      <c r="AJ1296" s="2136">
        <f>M1296-'Blocking-Step2'!M1296</f>
        <v>0</v>
      </c>
      <c r="AL1296" s="2136">
        <f>O1296-'Blocking-Step2'!O1296</f>
        <v>0</v>
      </c>
      <c r="AN1296" s="2137">
        <f>Q1296-'Blocking-Step2'!Q1296</f>
        <v>0</v>
      </c>
      <c r="AP1296" s="2127">
        <f>S1296-'Blocking-Step2'!S1296</f>
        <v>0</v>
      </c>
      <c r="AR1296" s="2127">
        <f>U1296-'Blocking-Step2'!U1296</f>
        <v>0</v>
      </c>
      <c r="AT1296" s="2127">
        <f>W1296-'Blocking-Step2'!W1296</f>
        <v>0</v>
      </c>
      <c r="AV1296" s="2128">
        <f>Y1296-'Blocking-Step2'!Y1296</f>
        <v>0</v>
      </c>
    </row>
    <row r="1297" spans="1:48" ht="16.5" hidden="1" thickTop="1">
      <c r="A1297" s="1116" t="s">
        <v>268</v>
      </c>
      <c r="B1297" s="1104">
        <v>2</v>
      </c>
      <c r="C1297" s="1105">
        <v>1525.76624346527</v>
      </c>
      <c r="D1297" s="1105">
        <v>1600</v>
      </c>
      <c r="F1297" s="1907">
        <v>26.78</v>
      </c>
      <c r="G1297" s="1110"/>
      <c r="H1297" s="1146">
        <v>40860</v>
      </c>
      <c r="I1297" s="1146">
        <v>42848</v>
      </c>
      <c r="K1297" s="1907"/>
      <c r="L1297" s="1110"/>
      <c r="M1297" s="1907"/>
      <c r="N1297" s="1110"/>
      <c r="O1297" s="1907"/>
      <c r="P1297" s="1110"/>
      <c r="Q1297" s="1907"/>
      <c r="R1297" s="1110"/>
      <c r="S1297" s="1629"/>
      <c r="T1297" s="1629"/>
      <c r="U1297" s="1629"/>
      <c r="V1297" s="1629"/>
      <c r="W1297" s="1629"/>
      <c r="X1297" s="1629"/>
      <c r="Y1297" s="1146"/>
      <c r="Z1297" s="2114">
        <f>C1297-'Blocking-Step2'!C1297</f>
        <v>0</v>
      </c>
      <c r="AA1297" s="2114">
        <f>D1297-'Blocking-Step2'!D1297</f>
        <v>0</v>
      </c>
      <c r="AC1297" s="2114">
        <f>F1297-'Blocking-Step2'!F1297</f>
        <v>0</v>
      </c>
      <c r="AE1297" s="2114">
        <f>H1297-'Blocking-Step2'!H1297</f>
        <v>0</v>
      </c>
      <c r="AF1297" s="2114">
        <f>I1297-'Blocking-Step2'!I1297</f>
        <v>0</v>
      </c>
      <c r="AH1297" s="2136">
        <f>K1297-'Blocking-Step2'!K1297</f>
        <v>0</v>
      </c>
      <c r="AJ1297" s="2136">
        <f>M1297-'Blocking-Step2'!M1297</f>
        <v>0</v>
      </c>
      <c r="AL1297" s="2136">
        <f>O1297-'Blocking-Step2'!O1297</f>
        <v>0</v>
      </c>
      <c r="AN1297" s="2137">
        <f>Q1297-'Blocking-Step2'!Q1297</f>
        <v>0</v>
      </c>
      <c r="AP1297" s="2127">
        <f>S1297-'Blocking-Step2'!S1297</f>
        <v>0</v>
      </c>
      <c r="AR1297" s="2127">
        <f>U1297-'Blocking-Step2'!U1297</f>
        <v>0</v>
      </c>
      <c r="AT1297" s="2127">
        <f>W1297-'Blocking-Step2'!W1297</f>
        <v>0</v>
      </c>
      <c r="AV1297" s="2128">
        <f>Y1297-'Blocking-Step2'!Y1297</f>
        <v>0</v>
      </c>
    </row>
    <row r="1298" spans="1:48" ht="16.5" hidden="1" thickTop="1">
      <c r="A1298" s="1977" t="s">
        <v>269</v>
      </c>
      <c r="C1298" s="1105"/>
      <c r="D1298" s="1105"/>
      <c r="H1298" s="1146"/>
      <c r="I1298" s="1146"/>
      <c r="K1298" s="1907"/>
      <c r="M1298" s="1907"/>
      <c r="O1298" s="1907"/>
      <c r="Q1298" s="1907"/>
      <c r="Y1298" s="1146"/>
      <c r="Z1298" s="2114">
        <f>C1298-'Blocking-Step2'!C1298</f>
        <v>0</v>
      </c>
      <c r="AA1298" s="2114">
        <f>D1298-'Blocking-Step2'!D1298</f>
        <v>0</v>
      </c>
      <c r="AC1298" s="2114">
        <f>F1298-'Blocking-Step2'!F1298</f>
        <v>0</v>
      </c>
      <c r="AE1298" s="2114">
        <f>H1298-'Blocking-Step2'!H1298</f>
        <v>0</v>
      </c>
      <c r="AF1298" s="2114">
        <f>I1298-'Blocking-Step2'!I1298</f>
        <v>0</v>
      </c>
      <c r="AH1298" s="2136">
        <f>K1298-'Blocking-Step2'!K1298</f>
        <v>0</v>
      </c>
      <c r="AJ1298" s="2136">
        <f>M1298-'Blocking-Step2'!M1298</f>
        <v>0</v>
      </c>
      <c r="AL1298" s="2136">
        <f>O1298-'Blocking-Step2'!O1298</f>
        <v>0</v>
      </c>
      <c r="AN1298" s="2137">
        <f>Q1298-'Blocking-Step2'!Q1298</f>
        <v>0</v>
      </c>
      <c r="AP1298" s="2127">
        <f>S1298-'Blocking-Step2'!S1298</f>
        <v>0</v>
      </c>
      <c r="AR1298" s="2127">
        <f>U1298-'Blocking-Step2'!U1298</f>
        <v>0</v>
      </c>
      <c r="AT1298" s="2127">
        <f>W1298-'Blocking-Step2'!W1298</f>
        <v>0</v>
      </c>
      <c r="AV1298" s="2128">
        <f>Y1298-'Blocking-Step2'!Y1298</f>
        <v>0</v>
      </c>
    </row>
    <row r="1299" spans="1:48" ht="16.5" hidden="1" thickTop="1">
      <c r="A1299" s="1116" t="s">
        <v>270</v>
      </c>
      <c r="B1299" s="1104">
        <v>3</v>
      </c>
      <c r="C1299" s="1105">
        <v>0</v>
      </c>
      <c r="D1299" s="1105">
        <v>0</v>
      </c>
      <c r="F1299" s="1907">
        <v>14.6</v>
      </c>
      <c r="G1299" s="1110"/>
      <c r="H1299" s="1146">
        <v>0</v>
      </c>
      <c r="I1299" s="1146">
        <v>0</v>
      </c>
      <c r="K1299" s="1907"/>
      <c r="L1299" s="1110"/>
      <c r="M1299" s="1907"/>
      <c r="N1299" s="1110"/>
      <c r="O1299" s="1907"/>
      <c r="P1299" s="1110"/>
      <c r="Q1299" s="1907"/>
      <c r="R1299" s="1110"/>
      <c r="S1299" s="1629"/>
      <c r="T1299" s="1629"/>
      <c r="U1299" s="1629"/>
      <c r="V1299" s="1629"/>
      <c r="W1299" s="1629"/>
      <c r="X1299" s="1629"/>
      <c r="Y1299" s="1146"/>
      <c r="Z1299" s="2114">
        <f>C1299-'Blocking-Step2'!C1299</f>
        <v>0</v>
      </c>
      <c r="AA1299" s="2114">
        <f>D1299-'Blocking-Step2'!D1299</f>
        <v>0</v>
      </c>
      <c r="AC1299" s="2114">
        <f>F1299-'Blocking-Step2'!F1299</f>
        <v>0</v>
      </c>
      <c r="AE1299" s="2114">
        <f>H1299-'Blocking-Step2'!H1299</f>
        <v>0</v>
      </c>
      <c r="AF1299" s="2114">
        <f>I1299-'Blocking-Step2'!I1299</f>
        <v>0</v>
      </c>
      <c r="AH1299" s="2136">
        <f>K1299-'Blocking-Step2'!K1299</f>
        <v>0</v>
      </c>
      <c r="AJ1299" s="2136">
        <f>M1299-'Blocking-Step2'!M1299</f>
        <v>0</v>
      </c>
      <c r="AL1299" s="2136">
        <f>O1299-'Blocking-Step2'!O1299</f>
        <v>0</v>
      </c>
      <c r="AN1299" s="2137">
        <f>Q1299-'Blocking-Step2'!Q1299</f>
        <v>0</v>
      </c>
      <c r="AP1299" s="2127">
        <f>S1299-'Blocking-Step2'!S1299</f>
        <v>0</v>
      </c>
      <c r="AR1299" s="2127">
        <f>U1299-'Blocking-Step2'!U1299</f>
        <v>0</v>
      </c>
      <c r="AT1299" s="2127">
        <f>W1299-'Blocking-Step2'!W1299</f>
        <v>0</v>
      </c>
      <c r="AV1299" s="2128">
        <f>Y1299-'Blocking-Step2'!Y1299</f>
        <v>0</v>
      </c>
    </row>
    <row r="1300" spans="1:48" ht="16.5" hidden="1" thickTop="1">
      <c r="A1300" s="1116" t="s">
        <v>271</v>
      </c>
      <c r="B1300" s="1104">
        <v>4</v>
      </c>
      <c r="C1300" s="1105">
        <v>48</v>
      </c>
      <c r="D1300" s="1105">
        <v>50</v>
      </c>
      <c r="F1300" s="1907">
        <v>12.23</v>
      </c>
      <c r="G1300" s="1110"/>
      <c r="H1300" s="1146">
        <v>587</v>
      </c>
      <c r="I1300" s="1146">
        <v>612</v>
      </c>
      <c r="K1300" s="1907"/>
      <c r="L1300" s="1110"/>
      <c r="M1300" s="1907"/>
      <c r="N1300" s="1110"/>
      <c r="O1300" s="1907"/>
      <c r="P1300" s="1110"/>
      <c r="Q1300" s="1907"/>
      <c r="R1300" s="1110"/>
      <c r="S1300" s="1629"/>
      <c r="T1300" s="1629"/>
      <c r="U1300" s="1629"/>
      <c r="V1300" s="1629"/>
      <c r="W1300" s="1629"/>
      <c r="X1300" s="1629"/>
      <c r="Y1300" s="1146"/>
      <c r="Z1300" s="2114">
        <f>C1300-'Blocking-Step2'!C1300</f>
        <v>0</v>
      </c>
      <c r="AA1300" s="2114">
        <f>D1300-'Blocking-Step2'!D1300</f>
        <v>0</v>
      </c>
      <c r="AC1300" s="2114">
        <f>F1300-'Blocking-Step2'!F1300</f>
        <v>0</v>
      </c>
      <c r="AE1300" s="2114">
        <f>H1300-'Blocking-Step2'!H1300</f>
        <v>0</v>
      </c>
      <c r="AF1300" s="2114">
        <f>I1300-'Blocking-Step2'!I1300</f>
        <v>0</v>
      </c>
      <c r="AH1300" s="2136">
        <f>K1300-'Blocking-Step2'!K1300</f>
        <v>0</v>
      </c>
      <c r="AJ1300" s="2136">
        <f>M1300-'Blocking-Step2'!M1300</f>
        <v>0</v>
      </c>
      <c r="AL1300" s="2136">
        <f>O1300-'Blocking-Step2'!O1300</f>
        <v>0</v>
      </c>
      <c r="AN1300" s="2137">
        <f>Q1300-'Blocking-Step2'!Q1300</f>
        <v>0</v>
      </c>
      <c r="AP1300" s="2127">
        <f>S1300-'Blocking-Step2'!S1300</f>
        <v>0</v>
      </c>
      <c r="AR1300" s="2127">
        <f>U1300-'Blocking-Step2'!U1300</f>
        <v>0</v>
      </c>
      <c r="AT1300" s="2127">
        <f>W1300-'Blocking-Step2'!W1300</f>
        <v>0</v>
      </c>
      <c r="AV1300" s="2128">
        <f>Y1300-'Blocking-Step2'!Y1300</f>
        <v>0</v>
      </c>
    </row>
    <row r="1301" spans="1:48" ht="16.5" hidden="1" thickTop="1">
      <c r="A1301" s="1116" t="s">
        <v>272</v>
      </c>
      <c r="B1301" s="1104">
        <v>5</v>
      </c>
      <c r="C1301" s="1105">
        <v>737.599870717518</v>
      </c>
      <c r="D1301" s="1105">
        <v>774</v>
      </c>
      <c r="F1301" s="1907">
        <v>15.47</v>
      </c>
      <c r="G1301" s="1110"/>
      <c r="H1301" s="1146">
        <v>11411</v>
      </c>
      <c r="I1301" s="1146">
        <v>11974</v>
      </c>
      <c r="K1301" s="1907"/>
      <c r="L1301" s="1110"/>
      <c r="M1301" s="1907"/>
      <c r="N1301" s="1110"/>
      <c r="O1301" s="1907"/>
      <c r="P1301" s="1110"/>
      <c r="Q1301" s="1907"/>
      <c r="R1301" s="1110"/>
      <c r="S1301" s="1629"/>
      <c r="T1301" s="1629"/>
      <c r="U1301" s="1629"/>
      <c r="V1301" s="1629"/>
      <c r="W1301" s="1629"/>
      <c r="X1301" s="1629"/>
      <c r="Y1301" s="1146"/>
      <c r="Z1301" s="2114">
        <f>C1301-'Blocking-Step2'!C1301</f>
        <v>0</v>
      </c>
      <c r="AA1301" s="2114">
        <f>D1301-'Blocking-Step2'!D1301</f>
        <v>0</v>
      </c>
      <c r="AC1301" s="2114">
        <f>F1301-'Blocking-Step2'!F1301</f>
        <v>0</v>
      </c>
      <c r="AE1301" s="2114">
        <f>H1301-'Blocking-Step2'!H1301</f>
        <v>0</v>
      </c>
      <c r="AF1301" s="2114">
        <f>I1301-'Blocking-Step2'!I1301</f>
        <v>0</v>
      </c>
      <c r="AH1301" s="2136">
        <f>K1301-'Blocking-Step2'!K1301</f>
        <v>0</v>
      </c>
      <c r="AJ1301" s="2136">
        <f>M1301-'Blocking-Step2'!M1301</f>
        <v>0</v>
      </c>
      <c r="AL1301" s="2136">
        <f>O1301-'Blocking-Step2'!O1301</f>
        <v>0</v>
      </c>
      <c r="AN1301" s="2137">
        <f>Q1301-'Blocking-Step2'!Q1301</f>
        <v>0</v>
      </c>
      <c r="AP1301" s="2127">
        <f>S1301-'Blocking-Step2'!S1301</f>
        <v>0</v>
      </c>
      <c r="AR1301" s="2127">
        <f>U1301-'Blocking-Step2'!U1301</f>
        <v>0</v>
      </c>
      <c r="AT1301" s="2127">
        <f>W1301-'Blocking-Step2'!W1301</f>
        <v>0</v>
      </c>
      <c r="AV1301" s="2128">
        <f>Y1301-'Blocking-Step2'!Y1301</f>
        <v>0</v>
      </c>
    </row>
    <row r="1302" spans="1:48" ht="16.5" hidden="1" thickTop="1">
      <c r="A1302" s="1116" t="s">
        <v>273</v>
      </c>
      <c r="B1302" s="1104">
        <v>6</v>
      </c>
      <c r="C1302" s="1105">
        <v>563.13373403456001</v>
      </c>
      <c r="D1302" s="1105">
        <v>591</v>
      </c>
      <c r="F1302" s="1907">
        <v>13.31</v>
      </c>
      <c r="G1302" s="1110"/>
      <c r="H1302" s="1146">
        <v>7495</v>
      </c>
      <c r="I1302" s="1146">
        <v>7866</v>
      </c>
      <c r="K1302" s="1907"/>
      <c r="L1302" s="1110"/>
      <c r="M1302" s="1907"/>
      <c r="N1302" s="1110"/>
      <c r="O1302" s="1907"/>
      <c r="P1302" s="1110"/>
      <c r="Q1302" s="1907"/>
      <c r="R1302" s="1110"/>
      <c r="S1302" s="1629"/>
      <c r="T1302" s="1629"/>
      <c r="U1302" s="1629"/>
      <c r="V1302" s="1629"/>
      <c r="W1302" s="1629"/>
      <c r="X1302" s="1629"/>
      <c r="Y1302" s="1146"/>
      <c r="Z1302" s="2114">
        <f>C1302-'Blocking-Step2'!C1302</f>
        <v>0</v>
      </c>
      <c r="AA1302" s="2114">
        <f>D1302-'Blocking-Step2'!D1302</f>
        <v>0</v>
      </c>
      <c r="AC1302" s="2114">
        <f>F1302-'Blocking-Step2'!F1302</f>
        <v>0</v>
      </c>
      <c r="AE1302" s="2114">
        <f>H1302-'Blocking-Step2'!H1302</f>
        <v>0</v>
      </c>
      <c r="AF1302" s="2114">
        <f>I1302-'Blocking-Step2'!I1302</f>
        <v>0</v>
      </c>
      <c r="AH1302" s="2136">
        <f>K1302-'Blocking-Step2'!K1302</f>
        <v>0</v>
      </c>
      <c r="AJ1302" s="2136">
        <f>M1302-'Blocking-Step2'!M1302</f>
        <v>0</v>
      </c>
      <c r="AL1302" s="2136">
        <f>O1302-'Blocking-Step2'!O1302</f>
        <v>0</v>
      </c>
      <c r="AN1302" s="2137">
        <f>Q1302-'Blocking-Step2'!Q1302</f>
        <v>0</v>
      </c>
      <c r="AP1302" s="2127">
        <f>S1302-'Blocking-Step2'!S1302</f>
        <v>0</v>
      </c>
      <c r="AR1302" s="2127">
        <f>U1302-'Blocking-Step2'!U1302</f>
        <v>0</v>
      </c>
      <c r="AT1302" s="2127">
        <f>W1302-'Blocking-Step2'!W1302</f>
        <v>0</v>
      </c>
      <c r="AV1302" s="2128">
        <f>Y1302-'Blocking-Step2'!Y1302</f>
        <v>0</v>
      </c>
    </row>
    <row r="1303" spans="1:48" ht="16.5" hidden="1" thickTop="1">
      <c r="A1303" s="1116" t="s">
        <v>274</v>
      </c>
      <c r="B1303" s="1104">
        <v>7</v>
      </c>
      <c r="C1303" s="1105">
        <v>156</v>
      </c>
      <c r="D1303" s="1105">
        <v>164</v>
      </c>
      <c r="F1303" s="1907">
        <v>19.46</v>
      </c>
      <c r="G1303" s="1110"/>
      <c r="H1303" s="1146">
        <v>3036</v>
      </c>
      <c r="I1303" s="1146">
        <v>3191</v>
      </c>
      <c r="K1303" s="1907"/>
      <c r="L1303" s="1110"/>
      <c r="M1303" s="1907"/>
      <c r="N1303" s="1110"/>
      <c r="O1303" s="1907"/>
      <c r="P1303" s="1110"/>
      <c r="Q1303" s="1907"/>
      <c r="R1303" s="1110"/>
      <c r="S1303" s="1629"/>
      <c r="T1303" s="1629"/>
      <c r="U1303" s="1629"/>
      <c r="V1303" s="1629"/>
      <c r="W1303" s="1629"/>
      <c r="X1303" s="1629"/>
      <c r="Y1303" s="1146"/>
      <c r="Z1303" s="2114">
        <f>C1303-'Blocking-Step2'!C1303</f>
        <v>0</v>
      </c>
      <c r="AA1303" s="2114">
        <f>D1303-'Blocking-Step2'!D1303</f>
        <v>0</v>
      </c>
      <c r="AC1303" s="2114">
        <f>F1303-'Blocking-Step2'!F1303</f>
        <v>0</v>
      </c>
      <c r="AE1303" s="2114">
        <f>H1303-'Blocking-Step2'!H1303</f>
        <v>0</v>
      </c>
      <c r="AF1303" s="2114">
        <f>I1303-'Blocking-Step2'!I1303</f>
        <v>0</v>
      </c>
      <c r="AH1303" s="2136">
        <f>K1303-'Blocking-Step2'!K1303</f>
        <v>0</v>
      </c>
      <c r="AJ1303" s="2136">
        <f>M1303-'Blocking-Step2'!M1303</f>
        <v>0</v>
      </c>
      <c r="AL1303" s="2136">
        <f>O1303-'Blocking-Step2'!O1303</f>
        <v>0</v>
      </c>
      <c r="AN1303" s="2137">
        <f>Q1303-'Blocking-Step2'!Q1303</f>
        <v>0</v>
      </c>
      <c r="AP1303" s="2127">
        <f>S1303-'Blocking-Step2'!S1303</f>
        <v>0</v>
      </c>
      <c r="AR1303" s="2127">
        <f>U1303-'Blocking-Step2'!U1303</f>
        <v>0</v>
      </c>
      <c r="AT1303" s="2127">
        <f>W1303-'Blocking-Step2'!W1303</f>
        <v>0</v>
      </c>
      <c r="AV1303" s="2128">
        <f>Y1303-'Blocking-Step2'!Y1303</f>
        <v>0</v>
      </c>
    </row>
    <row r="1304" spans="1:48" ht="16.5" hidden="1" thickTop="1">
      <c r="A1304" s="1116" t="s">
        <v>275</v>
      </c>
      <c r="B1304" s="1104">
        <v>8</v>
      </c>
      <c r="C1304" s="1105">
        <v>108</v>
      </c>
      <c r="D1304" s="1105">
        <v>113</v>
      </c>
      <c r="F1304" s="1907">
        <v>17.13</v>
      </c>
      <c r="G1304" s="1110"/>
      <c r="H1304" s="1146">
        <v>1850</v>
      </c>
      <c r="I1304" s="1146">
        <v>1936</v>
      </c>
      <c r="K1304" s="1907"/>
      <c r="L1304" s="1110"/>
      <c r="M1304" s="1907"/>
      <c r="N1304" s="1110"/>
      <c r="O1304" s="1907"/>
      <c r="P1304" s="1110"/>
      <c r="Q1304" s="1907"/>
      <c r="R1304" s="1110"/>
      <c r="S1304" s="1629"/>
      <c r="T1304" s="1629"/>
      <c r="U1304" s="1629"/>
      <c r="V1304" s="1629"/>
      <c r="W1304" s="1629"/>
      <c r="X1304" s="1629"/>
      <c r="Y1304" s="1146"/>
      <c r="Z1304" s="2114">
        <f>C1304-'Blocking-Step2'!C1304</f>
        <v>0</v>
      </c>
      <c r="AA1304" s="2114">
        <f>D1304-'Blocking-Step2'!D1304</f>
        <v>0</v>
      </c>
      <c r="AC1304" s="2114">
        <f>F1304-'Blocking-Step2'!F1304</f>
        <v>0</v>
      </c>
      <c r="AE1304" s="2114">
        <f>H1304-'Blocking-Step2'!H1304</f>
        <v>0</v>
      </c>
      <c r="AF1304" s="2114">
        <f>I1304-'Blocking-Step2'!I1304</f>
        <v>0</v>
      </c>
      <c r="AH1304" s="2136">
        <f>K1304-'Blocking-Step2'!K1304</f>
        <v>0</v>
      </c>
      <c r="AJ1304" s="2136">
        <f>M1304-'Blocking-Step2'!M1304</f>
        <v>0</v>
      </c>
      <c r="AL1304" s="2136">
        <f>O1304-'Blocking-Step2'!O1304</f>
        <v>0</v>
      </c>
      <c r="AN1304" s="2137">
        <f>Q1304-'Blocking-Step2'!Q1304</f>
        <v>0</v>
      </c>
      <c r="AP1304" s="2127">
        <f>S1304-'Blocking-Step2'!S1304</f>
        <v>0</v>
      </c>
      <c r="AR1304" s="2127">
        <f>U1304-'Blocking-Step2'!U1304</f>
        <v>0</v>
      </c>
      <c r="AT1304" s="2127">
        <f>W1304-'Blocking-Step2'!W1304</f>
        <v>0</v>
      </c>
      <c r="AV1304" s="2128">
        <f>Y1304-'Blocking-Step2'!Y1304</f>
        <v>0</v>
      </c>
    </row>
    <row r="1305" spans="1:48" ht="16.5" hidden="1" thickTop="1">
      <c r="A1305" s="1116" t="s">
        <v>276</v>
      </c>
      <c r="B1305" s="1104">
        <v>9</v>
      </c>
      <c r="C1305" s="1105">
        <v>0</v>
      </c>
      <c r="D1305" s="1105">
        <v>0</v>
      </c>
      <c r="F1305" s="1907">
        <v>21.07</v>
      </c>
      <c r="G1305" s="1110"/>
      <c r="H1305" s="1146">
        <v>0</v>
      </c>
      <c r="I1305" s="1146">
        <v>0</v>
      </c>
      <c r="K1305" s="1907"/>
      <c r="L1305" s="1110"/>
      <c r="M1305" s="1907"/>
      <c r="N1305" s="1110"/>
      <c r="O1305" s="1907"/>
      <c r="P1305" s="1110"/>
      <c r="Q1305" s="1907"/>
      <c r="R1305" s="1110"/>
      <c r="S1305" s="1629"/>
      <c r="T1305" s="1629"/>
      <c r="U1305" s="1629"/>
      <c r="V1305" s="1629"/>
      <c r="W1305" s="1629"/>
      <c r="X1305" s="1629"/>
      <c r="Y1305" s="1146"/>
      <c r="Z1305" s="2114">
        <f>C1305-'Blocking-Step2'!C1305</f>
        <v>0</v>
      </c>
      <c r="AA1305" s="2114">
        <f>D1305-'Blocking-Step2'!D1305</f>
        <v>0</v>
      </c>
      <c r="AC1305" s="2114">
        <f>F1305-'Blocking-Step2'!F1305</f>
        <v>0</v>
      </c>
      <c r="AE1305" s="2114">
        <f>H1305-'Blocking-Step2'!H1305</f>
        <v>0</v>
      </c>
      <c r="AF1305" s="2114">
        <f>I1305-'Blocking-Step2'!I1305</f>
        <v>0</v>
      </c>
      <c r="AH1305" s="2136">
        <f>K1305-'Blocking-Step2'!K1305</f>
        <v>0</v>
      </c>
      <c r="AJ1305" s="2136">
        <f>M1305-'Blocking-Step2'!M1305</f>
        <v>0</v>
      </c>
      <c r="AL1305" s="2136">
        <f>O1305-'Blocking-Step2'!O1305</f>
        <v>0</v>
      </c>
      <c r="AN1305" s="2137">
        <f>Q1305-'Blocking-Step2'!Q1305</f>
        <v>0</v>
      </c>
      <c r="AP1305" s="2127">
        <f>S1305-'Blocking-Step2'!S1305</f>
        <v>0</v>
      </c>
      <c r="AR1305" s="2127">
        <f>U1305-'Blocking-Step2'!U1305</f>
        <v>0</v>
      </c>
      <c r="AT1305" s="2127">
        <f>W1305-'Blocking-Step2'!W1305</f>
        <v>0</v>
      </c>
      <c r="AV1305" s="2128">
        <f>Y1305-'Blocking-Step2'!Y1305</f>
        <v>0</v>
      </c>
    </row>
    <row r="1306" spans="1:48" ht="16.5" hidden="1" thickTop="1">
      <c r="A1306" s="1116" t="s">
        <v>277</v>
      </c>
      <c r="B1306" s="1104">
        <v>10</v>
      </c>
      <c r="C1306" s="1105">
        <v>256.199914929817</v>
      </c>
      <c r="D1306" s="1105">
        <v>269</v>
      </c>
      <c r="F1306" s="1907">
        <v>23.51</v>
      </c>
      <c r="G1306" s="1110"/>
      <c r="H1306" s="1146">
        <v>6023</v>
      </c>
      <c r="I1306" s="1146">
        <v>6324</v>
      </c>
      <c r="K1306" s="1907"/>
      <c r="L1306" s="1110"/>
      <c r="M1306" s="1907"/>
      <c r="N1306" s="1110"/>
      <c r="O1306" s="1907"/>
      <c r="P1306" s="1110"/>
      <c r="Q1306" s="1907"/>
      <c r="R1306" s="1110"/>
      <c r="S1306" s="1629"/>
      <c r="T1306" s="1629"/>
      <c r="U1306" s="1629"/>
      <c r="V1306" s="1629"/>
      <c r="W1306" s="1629"/>
      <c r="X1306" s="1629"/>
      <c r="Y1306" s="1146"/>
      <c r="Z1306" s="2114">
        <f>C1306-'Blocking-Step2'!C1306</f>
        <v>0</v>
      </c>
      <c r="AA1306" s="2114">
        <f>D1306-'Blocking-Step2'!D1306</f>
        <v>0</v>
      </c>
      <c r="AC1306" s="2114">
        <f>F1306-'Blocking-Step2'!F1306</f>
        <v>0</v>
      </c>
      <c r="AE1306" s="2114">
        <f>H1306-'Blocking-Step2'!H1306</f>
        <v>0</v>
      </c>
      <c r="AF1306" s="2114">
        <f>I1306-'Blocking-Step2'!I1306</f>
        <v>0</v>
      </c>
      <c r="AH1306" s="2136">
        <f>K1306-'Blocking-Step2'!K1306</f>
        <v>0</v>
      </c>
      <c r="AJ1306" s="2136">
        <f>M1306-'Blocking-Step2'!M1306</f>
        <v>0</v>
      </c>
      <c r="AL1306" s="2136">
        <f>O1306-'Blocking-Step2'!O1306</f>
        <v>0</v>
      </c>
      <c r="AN1306" s="2137">
        <f>Q1306-'Blocking-Step2'!Q1306</f>
        <v>0</v>
      </c>
      <c r="AP1306" s="2127">
        <f>S1306-'Blocking-Step2'!S1306</f>
        <v>0</v>
      </c>
      <c r="AR1306" s="2127">
        <f>U1306-'Blocking-Step2'!U1306</f>
        <v>0</v>
      </c>
      <c r="AT1306" s="2127">
        <f>W1306-'Blocking-Step2'!W1306</f>
        <v>0</v>
      </c>
      <c r="AV1306" s="2128">
        <f>Y1306-'Blocking-Step2'!Y1306</f>
        <v>0</v>
      </c>
    </row>
    <row r="1307" spans="1:48" ht="16.5" hidden="1" thickTop="1">
      <c r="A1307" s="1116" t="s">
        <v>278</v>
      </c>
      <c r="B1307" s="1104">
        <v>11</v>
      </c>
      <c r="C1307" s="1105">
        <v>276</v>
      </c>
      <c r="D1307" s="1105">
        <v>290</v>
      </c>
      <c r="F1307" s="1907">
        <v>21.23</v>
      </c>
      <c r="G1307" s="1110"/>
      <c r="H1307" s="1146">
        <v>5859</v>
      </c>
      <c r="I1307" s="1146">
        <v>6157</v>
      </c>
      <c r="K1307" s="1907"/>
      <c r="L1307" s="1110"/>
      <c r="M1307" s="1907"/>
      <c r="N1307" s="1110"/>
      <c r="O1307" s="1907"/>
      <c r="P1307" s="1110"/>
      <c r="Q1307" s="1907"/>
      <c r="R1307" s="1110"/>
      <c r="S1307" s="1629"/>
      <c r="T1307" s="1629"/>
      <c r="U1307" s="1629"/>
      <c r="V1307" s="1629"/>
      <c r="W1307" s="1629"/>
      <c r="X1307" s="1629"/>
      <c r="Y1307" s="1146"/>
      <c r="Z1307" s="2114">
        <f>C1307-'Blocking-Step2'!C1307</f>
        <v>0</v>
      </c>
      <c r="AA1307" s="2114">
        <f>D1307-'Blocking-Step2'!D1307</f>
        <v>0</v>
      </c>
      <c r="AC1307" s="2114">
        <f>F1307-'Blocking-Step2'!F1307</f>
        <v>0</v>
      </c>
      <c r="AE1307" s="2114">
        <f>H1307-'Blocking-Step2'!H1307</f>
        <v>0</v>
      </c>
      <c r="AF1307" s="2114">
        <f>I1307-'Blocking-Step2'!I1307</f>
        <v>0</v>
      </c>
      <c r="AH1307" s="2136">
        <f>K1307-'Blocking-Step2'!K1307</f>
        <v>0</v>
      </c>
      <c r="AJ1307" s="2136">
        <f>M1307-'Blocking-Step2'!M1307</f>
        <v>0</v>
      </c>
      <c r="AL1307" s="2136">
        <f>O1307-'Blocking-Step2'!O1307</f>
        <v>0</v>
      </c>
      <c r="AN1307" s="2137">
        <f>Q1307-'Blocking-Step2'!Q1307</f>
        <v>0</v>
      </c>
      <c r="AP1307" s="2127">
        <f>S1307-'Blocking-Step2'!S1307</f>
        <v>0</v>
      </c>
      <c r="AR1307" s="2127">
        <f>U1307-'Blocking-Step2'!U1307</f>
        <v>0</v>
      </c>
      <c r="AT1307" s="2127">
        <f>W1307-'Blocking-Step2'!W1307</f>
        <v>0</v>
      </c>
      <c r="AV1307" s="2128">
        <f>Y1307-'Blocking-Step2'!Y1307</f>
        <v>0</v>
      </c>
    </row>
    <row r="1308" spans="1:48" ht="16.5" hidden="1" thickTop="1">
      <c r="A1308" s="1116" t="s">
        <v>279</v>
      </c>
      <c r="B1308" s="1104">
        <v>12</v>
      </c>
      <c r="C1308" s="1105">
        <v>215.4</v>
      </c>
      <c r="D1308" s="1105">
        <v>226</v>
      </c>
      <c r="F1308" s="1907">
        <v>28.3</v>
      </c>
      <c r="G1308" s="1110"/>
      <c r="H1308" s="1146">
        <v>6096</v>
      </c>
      <c r="I1308" s="1146">
        <v>6396</v>
      </c>
      <c r="K1308" s="1907"/>
      <c r="L1308" s="1110"/>
      <c r="M1308" s="1907"/>
      <c r="N1308" s="1110"/>
      <c r="O1308" s="1907"/>
      <c r="P1308" s="1110"/>
      <c r="Q1308" s="1907"/>
      <c r="R1308" s="1110"/>
      <c r="S1308" s="1629"/>
      <c r="T1308" s="1629"/>
      <c r="U1308" s="1629"/>
      <c r="V1308" s="1629"/>
      <c r="W1308" s="1629"/>
      <c r="X1308" s="1629"/>
      <c r="Y1308" s="1146"/>
      <c r="Z1308" s="2114">
        <f>C1308-'Blocking-Step2'!C1308</f>
        <v>0</v>
      </c>
      <c r="AA1308" s="2114">
        <f>D1308-'Blocking-Step2'!D1308</f>
        <v>0</v>
      </c>
      <c r="AC1308" s="2114">
        <f>F1308-'Blocking-Step2'!F1308</f>
        <v>0</v>
      </c>
      <c r="AE1308" s="2114">
        <f>H1308-'Blocking-Step2'!H1308</f>
        <v>0</v>
      </c>
      <c r="AF1308" s="2114">
        <f>I1308-'Blocking-Step2'!I1308</f>
        <v>0</v>
      </c>
      <c r="AH1308" s="2136">
        <f>K1308-'Blocking-Step2'!K1308</f>
        <v>0</v>
      </c>
      <c r="AJ1308" s="2136">
        <f>M1308-'Blocking-Step2'!M1308</f>
        <v>0</v>
      </c>
      <c r="AL1308" s="2136">
        <f>O1308-'Blocking-Step2'!O1308</f>
        <v>0</v>
      </c>
      <c r="AN1308" s="2137">
        <f>Q1308-'Blocking-Step2'!Q1308</f>
        <v>0</v>
      </c>
      <c r="AP1308" s="2127">
        <f>S1308-'Blocking-Step2'!S1308</f>
        <v>0</v>
      </c>
      <c r="AR1308" s="2127">
        <f>U1308-'Blocking-Step2'!U1308</f>
        <v>0</v>
      </c>
      <c r="AT1308" s="2127">
        <f>W1308-'Blocking-Step2'!W1308</f>
        <v>0</v>
      </c>
      <c r="AV1308" s="2128">
        <f>Y1308-'Blocking-Step2'!Y1308</f>
        <v>0</v>
      </c>
    </row>
    <row r="1309" spans="1:48" ht="16.5" hidden="1" thickTop="1">
      <c r="A1309" s="1116" t="s">
        <v>280</v>
      </c>
      <c r="B1309" s="1104">
        <v>13</v>
      </c>
      <c r="C1309" s="1105">
        <v>96</v>
      </c>
      <c r="D1309" s="1105">
        <v>101</v>
      </c>
      <c r="F1309" s="1907">
        <v>25.99</v>
      </c>
      <c r="G1309" s="1110"/>
      <c r="H1309" s="1146">
        <v>2495</v>
      </c>
      <c r="I1309" s="1146">
        <v>2625</v>
      </c>
      <c r="K1309" s="1907"/>
      <c r="L1309" s="1110"/>
      <c r="M1309" s="1907"/>
      <c r="N1309" s="1110"/>
      <c r="O1309" s="1907"/>
      <c r="P1309" s="1110"/>
      <c r="Q1309" s="1907"/>
      <c r="R1309" s="1110"/>
      <c r="S1309" s="1629"/>
      <c r="T1309" s="1629"/>
      <c r="U1309" s="1629"/>
      <c r="V1309" s="1629"/>
      <c r="W1309" s="1629"/>
      <c r="X1309" s="1629"/>
      <c r="Y1309" s="1146"/>
      <c r="Z1309" s="2114">
        <f>C1309-'Blocking-Step2'!C1309</f>
        <v>0</v>
      </c>
      <c r="AA1309" s="2114">
        <f>D1309-'Blocking-Step2'!D1309</f>
        <v>0</v>
      </c>
      <c r="AC1309" s="2114">
        <f>F1309-'Blocking-Step2'!F1309</f>
        <v>0</v>
      </c>
      <c r="AE1309" s="2114">
        <f>H1309-'Blocking-Step2'!H1309</f>
        <v>0</v>
      </c>
      <c r="AF1309" s="2114">
        <f>I1309-'Blocking-Step2'!I1309</f>
        <v>0</v>
      </c>
      <c r="AH1309" s="2136">
        <f>K1309-'Blocking-Step2'!K1309</f>
        <v>0</v>
      </c>
      <c r="AJ1309" s="2136">
        <f>M1309-'Blocking-Step2'!M1309</f>
        <v>0</v>
      </c>
      <c r="AL1309" s="2136">
        <f>O1309-'Blocking-Step2'!O1309</f>
        <v>0</v>
      </c>
      <c r="AN1309" s="2137">
        <f>Q1309-'Blocking-Step2'!Q1309</f>
        <v>0</v>
      </c>
      <c r="AP1309" s="2127">
        <f>S1309-'Blocking-Step2'!S1309</f>
        <v>0</v>
      </c>
      <c r="AR1309" s="2127">
        <f>U1309-'Blocking-Step2'!U1309</f>
        <v>0</v>
      </c>
      <c r="AT1309" s="2127">
        <f>W1309-'Blocking-Step2'!W1309</f>
        <v>0</v>
      </c>
      <c r="AV1309" s="2128">
        <f>Y1309-'Blocking-Step2'!Y1309</f>
        <v>0</v>
      </c>
    </row>
    <row r="1310" spans="1:48" ht="16.5" hidden="1" thickTop="1">
      <c r="A1310" s="1977" t="s">
        <v>281</v>
      </c>
      <c r="C1310" s="1105"/>
      <c r="D1310" s="1105"/>
      <c r="H1310" s="1146"/>
      <c r="I1310" s="1146"/>
      <c r="K1310" s="1907"/>
      <c r="M1310" s="1907"/>
      <c r="O1310" s="1907"/>
      <c r="Q1310" s="1907"/>
      <c r="Y1310" s="1146"/>
      <c r="Z1310" s="2114">
        <f>C1310-'Blocking-Step2'!C1310</f>
        <v>0</v>
      </c>
      <c r="AA1310" s="2114">
        <f>D1310-'Blocking-Step2'!D1310</f>
        <v>0</v>
      </c>
      <c r="AC1310" s="2114">
        <f>F1310-'Blocking-Step2'!F1310</f>
        <v>0</v>
      </c>
      <c r="AE1310" s="2114">
        <f>H1310-'Blocking-Step2'!H1310</f>
        <v>0</v>
      </c>
      <c r="AF1310" s="2114">
        <f>I1310-'Blocking-Step2'!I1310</f>
        <v>0</v>
      </c>
      <c r="AH1310" s="2136">
        <f>K1310-'Blocking-Step2'!K1310</f>
        <v>0</v>
      </c>
      <c r="AJ1310" s="2136">
        <f>M1310-'Blocking-Step2'!M1310</f>
        <v>0</v>
      </c>
      <c r="AL1310" s="2136">
        <f>O1310-'Blocking-Step2'!O1310</f>
        <v>0</v>
      </c>
      <c r="AN1310" s="2137">
        <f>Q1310-'Blocking-Step2'!Q1310</f>
        <v>0</v>
      </c>
      <c r="AP1310" s="2127">
        <f>S1310-'Blocking-Step2'!S1310</f>
        <v>0</v>
      </c>
      <c r="AR1310" s="2127">
        <f>U1310-'Blocking-Step2'!U1310</f>
        <v>0</v>
      </c>
      <c r="AT1310" s="2127">
        <f>W1310-'Blocking-Step2'!W1310</f>
        <v>0</v>
      </c>
      <c r="AV1310" s="2128">
        <f>Y1310-'Blocking-Step2'!Y1310</f>
        <v>0</v>
      </c>
    </row>
    <row r="1311" spans="1:48" ht="16.5" hidden="1" thickTop="1">
      <c r="A1311" s="1116" t="s">
        <v>274</v>
      </c>
      <c r="B1311" s="1104">
        <v>14</v>
      </c>
      <c r="C1311" s="1105">
        <v>276.66649537512802</v>
      </c>
      <c r="D1311" s="1105">
        <v>290</v>
      </c>
      <c r="F1311" s="1907">
        <v>19.46</v>
      </c>
      <c r="G1311" s="1110"/>
      <c r="H1311" s="1146">
        <v>5384</v>
      </c>
      <c r="I1311" s="1146">
        <v>5643</v>
      </c>
      <c r="K1311" s="1907"/>
      <c r="L1311" s="1110"/>
      <c r="M1311" s="1907"/>
      <c r="N1311" s="1110"/>
      <c r="O1311" s="1907"/>
      <c r="P1311" s="1110"/>
      <c r="Q1311" s="1907"/>
      <c r="R1311" s="1110"/>
      <c r="S1311" s="1629"/>
      <c r="T1311" s="1629"/>
      <c r="U1311" s="1629"/>
      <c r="V1311" s="1629"/>
      <c r="W1311" s="1629"/>
      <c r="X1311" s="1629"/>
      <c r="Y1311" s="1146"/>
      <c r="Z1311" s="2114">
        <f>C1311-'Blocking-Step2'!C1311</f>
        <v>0</v>
      </c>
      <c r="AA1311" s="2114">
        <f>D1311-'Blocking-Step2'!D1311</f>
        <v>0</v>
      </c>
      <c r="AC1311" s="2114">
        <f>F1311-'Blocking-Step2'!F1311</f>
        <v>0</v>
      </c>
      <c r="AE1311" s="2114">
        <f>H1311-'Blocking-Step2'!H1311</f>
        <v>0</v>
      </c>
      <c r="AF1311" s="2114">
        <f>I1311-'Blocking-Step2'!I1311</f>
        <v>0</v>
      </c>
      <c r="AH1311" s="2136">
        <f>K1311-'Blocking-Step2'!K1311</f>
        <v>0</v>
      </c>
      <c r="AJ1311" s="2136">
        <f>M1311-'Blocking-Step2'!M1311</f>
        <v>0</v>
      </c>
      <c r="AL1311" s="2136">
        <f>O1311-'Blocking-Step2'!O1311</f>
        <v>0</v>
      </c>
      <c r="AN1311" s="2137">
        <f>Q1311-'Blocking-Step2'!Q1311</f>
        <v>0</v>
      </c>
      <c r="AP1311" s="2127">
        <f>S1311-'Blocking-Step2'!S1311</f>
        <v>0</v>
      </c>
      <c r="AR1311" s="2127">
        <f>U1311-'Blocking-Step2'!U1311</f>
        <v>0</v>
      </c>
      <c r="AT1311" s="2127">
        <f>W1311-'Blocking-Step2'!W1311</f>
        <v>0</v>
      </c>
      <c r="AV1311" s="2128">
        <f>Y1311-'Blocking-Step2'!Y1311</f>
        <v>0</v>
      </c>
    </row>
    <row r="1312" spans="1:48" ht="16.5" hidden="1" thickTop="1">
      <c r="A1312" s="1116" t="s">
        <v>275</v>
      </c>
      <c r="B1312" s="1104">
        <v>15</v>
      </c>
      <c r="C1312" s="1105">
        <v>84.033274956217198</v>
      </c>
      <c r="D1312" s="1105">
        <v>88</v>
      </c>
      <c r="F1312" s="1907">
        <v>17.13</v>
      </c>
      <c r="G1312" s="1110"/>
      <c r="H1312" s="1146">
        <v>1439</v>
      </c>
      <c r="I1312" s="1146">
        <v>1507</v>
      </c>
      <c r="K1312" s="1907"/>
      <c r="L1312" s="1110"/>
      <c r="M1312" s="1907"/>
      <c r="N1312" s="1110"/>
      <c r="O1312" s="1907"/>
      <c r="P1312" s="1110"/>
      <c r="Q1312" s="1907"/>
      <c r="R1312" s="1110"/>
      <c r="S1312" s="1629"/>
      <c r="T1312" s="1629"/>
      <c r="U1312" s="1629"/>
      <c r="V1312" s="1629"/>
      <c r="W1312" s="1629"/>
      <c r="X1312" s="1629"/>
      <c r="Y1312" s="1146"/>
      <c r="Z1312" s="2114">
        <f>C1312-'Blocking-Step2'!C1312</f>
        <v>0</v>
      </c>
      <c r="AA1312" s="2114">
        <f>D1312-'Blocking-Step2'!D1312</f>
        <v>0</v>
      </c>
      <c r="AC1312" s="2114">
        <f>F1312-'Blocking-Step2'!F1312</f>
        <v>0</v>
      </c>
      <c r="AE1312" s="2114">
        <f>H1312-'Blocking-Step2'!H1312</f>
        <v>0</v>
      </c>
      <c r="AF1312" s="2114">
        <f>I1312-'Blocking-Step2'!I1312</f>
        <v>0</v>
      </c>
      <c r="AH1312" s="2136">
        <f>K1312-'Blocking-Step2'!K1312</f>
        <v>0</v>
      </c>
      <c r="AJ1312" s="2136">
        <f>M1312-'Blocking-Step2'!M1312</f>
        <v>0</v>
      </c>
      <c r="AL1312" s="2136">
        <f>O1312-'Blocking-Step2'!O1312</f>
        <v>0</v>
      </c>
      <c r="AN1312" s="2137">
        <f>Q1312-'Blocking-Step2'!Q1312</f>
        <v>0</v>
      </c>
      <c r="AP1312" s="2127">
        <f>S1312-'Blocking-Step2'!S1312</f>
        <v>0</v>
      </c>
      <c r="AR1312" s="2127">
        <f>U1312-'Blocking-Step2'!U1312</f>
        <v>0</v>
      </c>
      <c r="AT1312" s="2127">
        <f>W1312-'Blocking-Step2'!W1312</f>
        <v>0</v>
      </c>
      <c r="AV1312" s="2128">
        <f>Y1312-'Blocking-Step2'!Y1312</f>
        <v>0</v>
      </c>
    </row>
    <row r="1313" spans="1:48" ht="16.5" hidden="1" thickTop="1">
      <c r="A1313" s="1116" t="s">
        <v>277</v>
      </c>
      <c r="B1313" s="1104">
        <v>16</v>
      </c>
      <c r="C1313" s="1105">
        <v>36</v>
      </c>
      <c r="D1313" s="1105">
        <v>38</v>
      </c>
      <c r="F1313" s="1907">
        <v>23.51</v>
      </c>
      <c r="G1313" s="1110"/>
      <c r="H1313" s="1146">
        <v>846</v>
      </c>
      <c r="I1313" s="1146">
        <v>893</v>
      </c>
      <c r="K1313" s="1907"/>
      <c r="L1313" s="1110"/>
      <c r="M1313" s="1907"/>
      <c r="N1313" s="1110"/>
      <c r="O1313" s="1907"/>
      <c r="P1313" s="1110"/>
      <c r="Q1313" s="1907"/>
      <c r="R1313" s="1110"/>
      <c r="S1313" s="1629"/>
      <c r="T1313" s="1629"/>
      <c r="U1313" s="1629"/>
      <c r="V1313" s="1629"/>
      <c r="W1313" s="1629"/>
      <c r="X1313" s="1629"/>
      <c r="Y1313" s="1146"/>
      <c r="Z1313" s="2114">
        <f>C1313-'Blocking-Step2'!C1313</f>
        <v>0</v>
      </c>
      <c r="AA1313" s="2114">
        <f>D1313-'Blocking-Step2'!D1313</f>
        <v>0</v>
      </c>
      <c r="AC1313" s="2114">
        <f>F1313-'Blocking-Step2'!F1313</f>
        <v>0</v>
      </c>
      <c r="AE1313" s="2114">
        <f>H1313-'Blocking-Step2'!H1313</f>
        <v>0</v>
      </c>
      <c r="AF1313" s="2114">
        <f>I1313-'Blocking-Step2'!I1313</f>
        <v>0</v>
      </c>
      <c r="AH1313" s="2136">
        <f>K1313-'Blocking-Step2'!K1313</f>
        <v>0</v>
      </c>
      <c r="AJ1313" s="2136">
        <f>M1313-'Blocking-Step2'!M1313</f>
        <v>0</v>
      </c>
      <c r="AL1313" s="2136">
        <f>O1313-'Blocking-Step2'!O1313</f>
        <v>0</v>
      </c>
      <c r="AN1313" s="2137">
        <f>Q1313-'Blocking-Step2'!Q1313</f>
        <v>0</v>
      </c>
      <c r="AP1313" s="2127">
        <f>S1313-'Blocking-Step2'!S1313</f>
        <v>0</v>
      </c>
      <c r="AR1313" s="2127">
        <f>U1313-'Blocking-Step2'!U1313</f>
        <v>0</v>
      </c>
      <c r="AT1313" s="2127">
        <f>W1313-'Blocking-Step2'!W1313</f>
        <v>0</v>
      </c>
      <c r="AV1313" s="2128">
        <f>Y1313-'Blocking-Step2'!Y1313</f>
        <v>0</v>
      </c>
    </row>
    <row r="1314" spans="1:48" ht="16.5" hidden="1" thickTop="1">
      <c r="A1314" s="1116" t="s">
        <v>278</v>
      </c>
      <c r="B1314" s="1104">
        <v>17</v>
      </c>
      <c r="C1314" s="1105">
        <v>0</v>
      </c>
      <c r="D1314" s="1105">
        <v>0</v>
      </c>
      <c r="F1314" s="1907">
        <v>21.23</v>
      </c>
      <c r="G1314" s="1110"/>
      <c r="H1314" s="1146">
        <v>0</v>
      </c>
      <c r="I1314" s="1146">
        <v>0</v>
      </c>
      <c r="K1314" s="1907"/>
      <c r="L1314" s="1110"/>
      <c r="M1314" s="1907"/>
      <c r="N1314" s="1110"/>
      <c r="O1314" s="1907"/>
      <c r="P1314" s="1110"/>
      <c r="Q1314" s="1907"/>
      <c r="R1314" s="1110"/>
      <c r="S1314" s="1629"/>
      <c r="T1314" s="1629"/>
      <c r="U1314" s="1629"/>
      <c r="V1314" s="1629"/>
      <c r="W1314" s="1629"/>
      <c r="X1314" s="1629"/>
      <c r="Y1314" s="1146"/>
      <c r="Z1314" s="2114">
        <f>C1314-'Blocking-Step2'!C1314</f>
        <v>0</v>
      </c>
      <c r="AA1314" s="2114">
        <f>D1314-'Blocking-Step2'!D1314</f>
        <v>0</v>
      </c>
      <c r="AC1314" s="2114">
        <f>F1314-'Blocking-Step2'!F1314</f>
        <v>0</v>
      </c>
      <c r="AE1314" s="2114">
        <f>H1314-'Blocking-Step2'!H1314</f>
        <v>0</v>
      </c>
      <c r="AF1314" s="2114">
        <f>I1314-'Blocking-Step2'!I1314</f>
        <v>0</v>
      </c>
      <c r="AH1314" s="2136">
        <f>K1314-'Blocking-Step2'!K1314</f>
        <v>0</v>
      </c>
      <c r="AJ1314" s="2136">
        <f>M1314-'Blocking-Step2'!M1314</f>
        <v>0</v>
      </c>
      <c r="AL1314" s="2136">
        <f>O1314-'Blocking-Step2'!O1314</f>
        <v>0</v>
      </c>
      <c r="AN1314" s="2137">
        <f>Q1314-'Blocking-Step2'!Q1314</f>
        <v>0</v>
      </c>
      <c r="AP1314" s="2127">
        <f>S1314-'Blocking-Step2'!S1314</f>
        <v>0</v>
      </c>
      <c r="AR1314" s="2127">
        <f>U1314-'Blocking-Step2'!U1314</f>
        <v>0</v>
      </c>
      <c r="AT1314" s="2127">
        <f>W1314-'Blocking-Step2'!W1314</f>
        <v>0</v>
      </c>
      <c r="AV1314" s="2128">
        <f>Y1314-'Blocking-Step2'!Y1314</f>
        <v>0</v>
      </c>
    </row>
    <row r="1315" spans="1:48" ht="16.5" hidden="1" thickTop="1">
      <c r="A1315" s="1116" t="s">
        <v>279</v>
      </c>
      <c r="B1315" s="1104">
        <v>18</v>
      </c>
      <c r="C1315" s="1105">
        <v>1450.7102473498201</v>
      </c>
      <c r="D1315" s="1105">
        <v>1522</v>
      </c>
      <c r="F1315" s="1907">
        <v>28.3</v>
      </c>
      <c r="G1315" s="1110"/>
      <c r="H1315" s="1146">
        <v>41055</v>
      </c>
      <c r="I1315" s="1146">
        <v>43073</v>
      </c>
      <c r="K1315" s="1907"/>
      <c r="L1315" s="1110"/>
      <c r="M1315" s="1907"/>
      <c r="N1315" s="1110"/>
      <c r="O1315" s="1907"/>
      <c r="P1315" s="1110"/>
      <c r="Q1315" s="1907"/>
      <c r="R1315" s="1110"/>
      <c r="S1315" s="1629"/>
      <c r="T1315" s="1629"/>
      <c r="U1315" s="1629"/>
      <c r="V1315" s="1629"/>
      <c r="W1315" s="1629"/>
      <c r="X1315" s="1629"/>
      <c r="Y1315" s="1146"/>
      <c r="Z1315" s="2114">
        <f>C1315-'Blocking-Step2'!C1315</f>
        <v>0</v>
      </c>
      <c r="AA1315" s="2114">
        <f>D1315-'Blocking-Step2'!D1315</f>
        <v>0</v>
      </c>
      <c r="AC1315" s="2114">
        <f>F1315-'Blocking-Step2'!F1315</f>
        <v>0</v>
      </c>
      <c r="AE1315" s="2114">
        <f>H1315-'Blocking-Step2'!H1315</f>
        <v>0</v>
      </c>
      <c r="AF1315" s="2114">
        <f>I1315-'Blocking-Step2'!I1315</f>
        <v>0</v>
      </c>
      <c r="AH1315" s="2136">
        <f>K1315-'Blocking-Step2'!K1315</f>
        <v>0</v>
      </c>
      <c r="AJ1315" s="2136">
        <f>M1315-'Blocking-Step2'!M1315</f>
        <v>0</v>
      </c>
      <c r="AL1315" s="2136">
        <f>O1315-'Blocking-Step2'!O1315</f>
        <v>0</v>
      </c>
      <c r="AN1315" s="2137">
        <f>Q1315-'Blocking-Step2'!Q1315</f>
        <v>0</v>
      </c>
      <c r="AP1315" s="2127">
        <f>S1315-'Blocking-Step2'!S1315</f>
        <v>0</v>
      </c>
      <c r="AR1315" s="2127">
        <f>U1315-'Blocking-Step2'!U1315</f>
        <v>0</v>
      </c>
      <c r="AT1315" s="2127">
        <f>W1315-'Blocking-Step2'!W1315</f>
        <v>0</v>
      </c>
      <c r="AV1315" s="2128">
        <f>Y1315-'Blocking-Step2'!Y1315</f>
        <v>0</v>
      </c>
    </row>
    <row r="1316" spans="1:48" ht="16.5" hidden="1" thickTop="1">
      <c r="A1316" s="1116" t="s">
        <v>280</v>
      </c>
      <c r="B1316" s="1104">
        <v>19</v>
      </c>
      <c r="C1316" s="1105">
        <v>959.43401308195496</v>
      </c>
      <c r="D1316" s="1105">
        <v>1006</v>
      </c>
      <c r="F1316" s="1907">
        <v>25.99</v>
      </c>
      <c r="G1316" s="1110"/>
      <c r="H1316" s="1146">
        <v>24936</v>
      </c>
      <c r="I1316" s="1146">
        <v>26146</v>
      </c>
      <c r="K1316" s="1907"/>
      <c r="L1316" s="1110"/>
      <c r="M1316" s="1907"/>
      <c r="N1316" s="1110"/>
      <c r="O1316" s="1907"/>
      <c r="P1316" s="1110"/>
      <c r="Q1316" s="1907"/>
      <c r="R1316" s="1110"/>
      <c r="S1316" s="1629"/>
      <c r="T1316" s="1629"/>
      <c r="U1316" s="1629"/>
      <c r="V1316" s="1629"/>
      <c r="W1316" s="1629"/>
      <c r="X1316" s="1629"/>
      <c r="Y1316" s="1146"/>
      <c r="Z1316" s="2114">
        <f>C1316-'Blocking-Step2'!C1316</f>
        <v>0</v>
      </c>
      <c r="AA1316" s="2114">
        <f>D1316-'Blocking-Step2'!D1316</f>
        <v>0</v>
      </c>
      <c r="AC1316" s="2114">
        <f>F1316-'Blocking-Step2'!F1316</f>
        <v>0</v>
      </c>
      <c r="AE1316" s="2114">
        <f>H1316-'Blocking-Step2'!H1316</f>
        <v>0</v>
      </c>
      <c r="AF1316" s="2114">
        <f>I1316-'Blocking-Step2'!I1316</f>
        <v>0</v>
      </c>
      <c r="AH1316" s="2136">
        <f>K1316-'Blocking-Step2'!K1316</f>
        <v>0</v>
      </c>
      <c r="AJ1316" s="2136">
        <f>M1316-'Blocking-Step2'!M1316</f>
        <v>0</v>
      </c>
      <c r="AL1316" s="2136">
        <f>O1316-'Blocking-Step2'!O1316</f>
        <v>0</v>
      </c>
      <c r="AN1316" s="2137">
        <f>Q1316-'Blocking-Step2'!Q1316</f>
        <v>0</v>
      </c>
      <c r="AP1316" s="2127">
        <f>S1316-'Blocking-Step2'!S1316</f>
        <v>0</v>
      </c>
      <c r="AR1316" s="2127">
        <f>U1316-'Blocking-Step2'!U1316</f>
        <v>0</v>
      </c>
      <c r="AT1316" s="2127">
        <f>W1316-'Blocking-Step2'!W1316</f>
        <v>0</v>
      </c>
      <c r="AV1316" s="2128">
        <f>Y1316-'Blocking-Step2'!Y1316</f>
        <v>0</v>
      </c>
    </row>
    <row r="1317" spans="1:48" ht="16.5" hidden="1" thickTop="1">
      <c r="A1317" s="1977" t="s">
        <v>289</v>
      </c>
      <c r="C1317" s="1105"/>
      <c r="D1317" s="1105"/>
      <c r="K1317" s="1907"/>
      <c r="M1317" s="1907"/>
      <c r="O1317" s="1907"/>
      <c r="Q1317" s="1907"/>
      <c r="Z1317" s="2114">
        <f>C1317-'Blocking-Step2'!C1317</f>
        <v>0</v>
      </c>
      <c r="AA1317" s="2114">
        <f>D1317-'Blocking-Step2'!D1317</f>
        <v>0</v>
      </c>
      <c r="AC1317" s="2114">
        <f>F1317-'Blocking-Step2'!F1317</f>
        <v>0</v>
      </c>
      <c r="AE1317" s="2114">
        <f>H1317-'Blocking-Step2'!H1317</f>
        <v>0</v>
      </c>
      <c r="AF1317" s="2114">
        <f>I1317-'Blocking-Step2'!I1317</f>
        <v>0</v>
      </c>
      <c r="AH1317" s="2136">
        <f>K1317-'Blocking-Step2'!K1317</f>
        <v>0</v>
      </c>
      <c r="AJ1317" s="2136">
        <f>M1317-'Blocking-Step2'!M1317</f>
        <v>0</v>
      </c>
      <c r="AL1317" s="2136">
        <f>O1317-'Blocking-Step2'!O1317</f>
        <v>0</v>
      </c>
      <c r="AN1317" s="2137">
        <f>Q1317-'Blocking-Step2'!Q1317</f>
        <v>0</v>
      </c>
      <c r="AP1317" s="2127">
        <f>S1317-'Blocking-Step2'!S1317</f>
        <v>0</v>
      </c>
      <c r="AR1317" s="2127">
        <f>U1317-'Blocking-Step2'!U1317</f>
        <v>0</v>
      </c>
      <c r="AT1317" s="2127">
        <f>W1317-'Blocking-Step2'!W1317</f>
        <v>0</v>
      </c>
      <c r="AV1317" s="2128">
        <f>Y1317-'Blocking-Step2'!Y1317</f>
        <v>0</v>
      </c>
    </row>
    <row r="1318" spans="1:48" ht="16.5" hidden="1" thickTop="1">
      <c r="A1318" s="1116" t="s">
        <v>290</v>
      </c>
      <c r="B1318" s="1104">
        <v>20</v>
      </c>
      <c r="C1318" s="1105">
        <v>0</v>
      </c>
      <c r="D1318" s="1105">
        <v>0</v>
      </c>
      <c r="F1318" s="1907">
        <v>29.4</v>
      </c>
      <c r="G1318" s="1110"/>
      <c r="H1318" s="1146">
        <v>0</v>
      </c>
      <c r="I1318" s="1146">
        <v>0</v>
      </c>
      <c r="K1318" s="1907"/>
      <c r="L1318" s="1110"/>
      <c r="M1318" s="1907"/>
      <c r="N1318" s="1110"/>
      <c r="O1318" s="1907"/>
      <c r="P1318" s="1110"/>
      <c r="Q1318" s="1907"/>
      <c r="R1318" s="1110"/>
      <c r="S1318" s="1629"/>
      <c r="T1318" s="1629"/>
      <c r="U1318" s="1629"/>
      <c r="V1318" s="1629"/>
      <c r="W1318" s="1629"/>
      <c r="X1318" s="1629"/>
      <c r="Y1318" s="1146"/>
      <c r="Z1318" s="2114">
        <f>C1318-'Blocking-Step2'!C1318</f>
        <v>0</v>
      </c>
      <c r="AA1318" s="2114">
        <f>D1318-'Blocking-Step2'!D1318</f>
        <v>0</v>
      </c>
      <c r="AC1318" s="2114">
        <f>F1318-'Blocking-Step2'!F1318</f>
        <v>0</v>
      </c>
      <c r="AE1318" s="2114">
        <f>H1318-'Blocking-Step2'!H1318</f>
        <v>0</v>
      </c>
      <c r="AF1318" s="2114">
        <f>I1318-'Blocking-Step2'!I1318</f>
        <v>0</v>
      </c>
      <c r="AH1318" s="2136">
        <f>K1318-'Blocking-Step2'!K1318</f>
        <v>0</v>
      </c>
      <c r="AJ1318" s="2136">
        <f>M1318-'Blocking-Step2'!M1318</f>
        <v>0</v>
      </c>
      <c r="AL1318" s="2136">
        <f>O1318-'Blocking-Step2'!O1318</f>
        <v>0</v>
      </c>
      <c r="AN1318" s="2137">
        <f>Q1318-'Blocking-Step2'!Q1318</f>
        <v>0</v>
      </c>
      <c r="AP1318" s="2127">
        <f>S1318-'Blocking-Step2'!S1318</f>
        <v>0</v>
      </c>
      <c r="AR1318" s="2127">
        <f>U1318-'Blocking-Step2'!U1318</f>
        <v>0</v>
      </c>
      <c r="AT1318" s="2127">
        <f>W1318-'Blocking-Step2'!W1318</f>
        <v>0</v>
      </c>
      <c r="AV1318" s="2128">
        <f>Y1318-'Blocking-Step2'!Y1318</f>
        <v>0</v>
      </c>
    </row>
    <row r="1319" spans="1:48" ht="16.5" hidden="1" thickTop="1">
      <c r="A1319" s="1116" t="s">
        <v>291</v>
      </c>
      <c r="B1319" s="1104">
        <v>21</v>
      </c>
      <c r="C1319" s="1105">
        <v>0</v>
      </c>
      <c r="D1319" s="1105">
        <v>0</v>
      </c>
      <c r="F1319" s="1907">
        <v>21.79</v>
      </c>
      <c r="G1319" s="1110"/>
      <c r="H1319" s="1146">
        <v>0</v>
      </c>
      <c r="I1319" s="1146">
        <v>0</v>
      </c>
      <c r="K1319" s="1907"/>
      <c r="L1319" s="1110"/>
      <c r="M1319" s="1907"/>
      <c r="N1319" s="1110"/>
      <c r="O1319" s="1907"/>
      <c r="P1319" s="1110"/>
      <c r="Q1319" s="1907"/>
      <c r="R1319" s="1110"/>
      <c r="S1319" s="1629"/>
      <c r="T1319" s="1629"/>
      <c r="U1319" s="1629"/>
      <c r="V1319" s="1629"/>
      <c r="W1319" s="1629"/>
      <c r="X1319" s="1629"/>
      <c r="Y1319" s="1146"/>
      <c r="Z1319" s="2114">
        <f>C1319-'Blocking-Step2'!C1319</f>
        <v>0</v>
      </c>
      <c r="AA1319" s="2114">
        <f>D1319-'Blocking-Step2'!D1319</f>
        <v>0</v>
      </c>
      <c r="AC1319" s="2114">
        <f>F1319-'Blocking-Step2'!F1319</f>
        <v>0</v>
      </c>
      <c r="AE1319" s="2114">
        <f>H1319-'Blocking-Step2'!H1319</f>
        <v>0</v>
      </c>
      <c r="AF1319" s="2114">
        <f>I1319-'Blocking-Step2'!I1319</f>
        <v>0</v>
      </c>
      <c r="AH1319" s="2136">
        <f>K1319-'Blocking-Step2'!K1319</f>
        <v>0</v>
      </c>
      <c r="AJ1319" s="2136">
        <f>M1319-'Blocking-Step2'!M1319</f>
        <v>0</v>
      </c>
      <c r="AL1319" s="2136">
        <f>O1319-'Blocking-Step2'!O1319</f>
        <v>0</v>
      </c>
      <c r="AN1319" s="2137">
        <f>Q1319-'Blocking-Step2'!Q1319</f>
        <v>0</v>
      </c>
      <c r="AP1319" s="2127">
        <f>S1319-'Blocking-Step2'!S1319</f>
        <v>0</v>
      </c>
      <c r="AR1319" s="2127">
        <f>U1319-'Blocking-Step2'!U1319</f>
        <v>0</v>
      </c>
      <c r="AT1319" s="2127">
        <f>W1319-'Blocking-Step2'!W1319</f>
        <v>0</v>
      </c>
      <c r="AV1319" s="2128">
        <f>Y1319-'Blocking-Step2'!Y1319</f>
        <v>0</v>
      </c>
    </row>
    <row r="1320" spans="1:48" ht="16.5" hidden="1" thickTop="1">
      <c r="A1320" s="1116" t="s">
        <v>292</v>
      </c>
      <c r="B1320" s="1104">
        <v>22</v>
      </c>
      <c r="C1320" s="1105">
        <v>36</v>
      </c>
      <c r="D1320" s="1105">
        <v>38</v>
      </c>
      <c r="F1320" s="1907">
        <v>34.340000000000003</v>
      </c>
      <c r="G1320" s="1110"/>
      <c r="H1320" s="1146">
        <v>1236</v>
      </c>
      <c r="I1320" s="1146">
        <v>1305</v>
      </c>
      <c r="K1320" s="1907"/>
      <c r="L1320" s="1110"/>
      <c r="M1320" s="1907"/>
      <c r="N1320" s="1110"/>
      <c r="O1320" s="1907"/>
      <c r="P1320" s="1110"/>
      <c r="Q1320" s="1907"/>
      <c r="R1320" s="1110"/>
      <c r="S1320" s="1629"/>
      <c r="T1320" s="1629"/>
      <c r="U1320" s="1629"/>
      <c r="V1320" s="1629"/>
      <c r="W1320" s="1629"/>
      <c r="X1320" s="1629"/>
      <c r="Y1320" s="1146"/>
      <c r="Z1320" s="2114">
        <f>C1320-'Blocking-Step2'!C1320</f>
        <v>0</v>
      </c>
      <c r="AA1320" s="2114">
        <f>D1320-'Blocking-Step2'!D1320</f>
        <v>0</v>
      </c>
      <c r="AC1320" s="2114">
        <f>F1320-'Blocking-Step2'!F1320</f>
        <v>0</v>
      </c>
      <c r="AE1320" s="2114">
        <f>H1320-'Blocking-Step2'!H1320</f>
        <v>0</v>
      </c>
      <c r="AF1320" s="2114">
        <f>I1320-'Blocking-Step2'!I1320</f>
        <v>0</v>
      </c>
      <c r="AH1320" s="2136">
        <f>K1320-'Blocking-Step2'!K1320</f>
        <v>0</v>
      </c>
      <c r="AJ1320" s="2136">
        <f>M1320-'Blocking-Step2'!M1320</f>
        <v>0</v>
      </c>
      <c r="AL1320" s="2136">
        <f>O1320-'Blocking-Step2'!O1320</f>
        <v>0</v>
      </c>
      <c r="AN1320" s="2137">
        <f>Q1320-'Blocking-Step2'!Q1320</f>
        <v>0</v>
      </c>
      <c r="AP1320" s="2127">
        <f>S1320-'Blocking-Step2'!S1320</f>
        <v>0</v>
      </c>
      <c r="AR1320" s="2127">
        <f>U1320-'Blocking-Step2'!U1320</f>
        <v>0</v>
      </c>
      <c r="AT1320" s="2127">
        <f>W1320-'Blocking-Step2'!W1320</f>
        <v>0</v>
      </c>
      <c r="AV1320" s="2128">
        <f>Y1320-'Blocking-Step2'!Y1320</f>
        <v>0</v>
      </c>
    </row>
    <row r="1321" spans="1:48" ht="16.5" hidden="1" thickTop="1">
      <c r="A1321" s="1116" t="s">
        <v>293</v>
      </c>
      <c r="B1321" s="1104">
        <v>23</v>
      </c>
      <c r="C1321" s="1105">
        <v>12</v>
      </c>
      <c r="D1321" s="1105">
        <v>13</v>
      </c>
      <c r="F1321" s="1907">
        <v>27.43</v>
      </c>
      <c r="G1321" s="1110"/>
      <c r="H1321" s="1146">
        <v>329</v>
      </c>
      <c r="I1321" s="1146">
        <v>357</v>
      </c>
      <c r="K1321" s="1907"/>
      <c r="L1321" s="1110"/>
      <c r="M1321" s="1907"/>
      <c r="N1321" s="1110"/>
      <c r="O1321" s="1907"/>
      <c r="P1321" s="1110"/>
      <c r="Q1321" s="1907"/>
      <c r="R1321" s="1110"/>
      <c r="S1321" s="1629"/>
      <c r="T1321" s="1629"/>
      <c r="U1321" s="1629"/>
      <c r="V1321" s="1629"/>
      <c r="W1321" s="1629"/>
      <c r="X1321" s="1629"/>
      <c r="Y1321" s="1146"/>
      <c r="Z1321" s="2114">
        <f>C1321-'Blocking-Step2'!C1321</f>
        <v>0</v>
      </c>
      <c r="AA1321" s="2114">
        <f>D1321-'Blocking-Step2'!D1321</f>
        <v>0</v>
      </c>
      <c r="AC1321" s="2114">
        <f>F1321-'Blocking-Step2'!F1321</f>
        <v>0</v>
      </c>
      <c r="AE1321" s="2114">
        <f>H1321-'Blocking-Step2'!H1321</f>
        <v>0</v>
      </c>
      <c r="AF1321" s="2114">
        <f>I1321-'Blocking-Step2'!I1321</f>
        <v>0</v>
      </c>
      <c r="AH1321" s="2136">
        <f>K1321-'Blocking-Step2'!K1321</f>
        <v>0</v>
      </c>
      <c r="AJ1321" s="2136">
        <f>M1321-'Blocking-Step2'!M1321</f>
        <v>0</v>
      </c>
      <c r="AL1321" s="2136">
        <f>O1321-'Blocking-Step2'!O1321</f>
        <v>0</v>
      </c>
      <c r="AN1321" s="2137">
        <f>Q1321-'Blocking-Step2'!Q1321</f>
        <v>0</v>
      </c>
      <c r="AP1321" s="2127">
        <f>S1321-'Blocking-Step2'!S1321</f>
        <v>0</v>
      </c>
      <c r="AR1321" s="2127">
        <f>U1321-'Blocking-Step2'!U1321</f>
        <v>0</v>
      </c>
      <c r="AT1321" s="2127">
        <f>W1321-'Blocking-Step2'!W1321</f>
        <v>0</v>
      </c>
      <c r="AV1321" s="2128">
        <f>Y1321-'Blocking-Step2'!Y1321</f>
        <v>0</v>
      </c>
    </row>
    <row r="1322" spans="1:48" ht="16.5" hidden="1" thickTop="1">
      <c r="A1322" s="1116" t="s">
        <v>294</v>
      </c>
      <c r="B1322" s="1104">
        <v>24</v>
      </c>
      <c r="C1322" s="1105">
        <v>0</v>
      </c>
      <c r="D1322" s="1105">
        <v>0</v>
      </c>
      <c r="F1322" s="1907">
        <v>36.69</v>
      </c>
      <c r="G1322" s="1110"/>
      <c r="H1322" s="1146">
        <v>0</v>
      </c>
      <c r="I1322" s="1146">
        <v>0</v>
      </c>
      <c r="K1322" s="1907"/>
      <c r="L1322" s="1110"/>
      <c r="M1322" s="1907"/>
      <c r="N1322" s="1110"/>
      <c r="O1322" s="1907"/>
      <c r="P1322" s="1110"/>
      <c r="Q1322" s="1907"/>
      <c r="R1322" s="1110"/>
      <c r="S1322" s="1629"/>
      <c r="T1322" s="1629"/>
      <c r="U1322" s="1629"/>
      <c r="V1322" s="1629"/>
      <c r="W1322" s="1629"/>
      <c r="X1322" s="1629"/>
      <c r="Y1322" s="1146"/>
      <c r="Z1322" s="2114">
        <f>C1322-'Blocking-Step2'!C1322</f>
        <v>0</v>
      </c>
      <c r="AA1322" s="2114">
        <f>D1322-'Blocking-Step2'!D1322</f>
        <v>0</v>
      </c>
      <c r="AC1322" s="2114">
        <f>F1322-'Blocking-Step2'!F1322</f>
        <v>0</v>
      </c>
      <c r="AE1322" s="2114">
        <f>H1322-'Blocking-Step2'!H1322</f>
        <v>0</v>
      </c>
      <c r="AF1322" s="2114">
        <f>I1322-'Blocking-Step2'!I1322</f>
        <v>0</v>
      </c>
      <c r="AH1322" s="2136">
        <f>K1322-'Blocking-Step2'!K1322</f>
        <v>0</v>
      </c>
      <c r="AJ1322" s="2136">
        <f>M1322-'Blocking-Step2'!M1322</f>
        <v>0</v>
      </c>
      <c r="AL1322" s="2136">
        <f>O1322-'Blocking-Step2'!O1322</f>
        <v>0</v>
      </c>
      <c r="AN1322" s="2137">
        <f>Q1322-'Blocking-Step2'!Q1322</f>
        <v>0</v>
      </c>
      <c r="AP1322" s="2127">
        <f>S1322-'Blocking-Step2'!S1322</f>
        <v>0</v>
      </c>
      <c r="AR1322" s="2127">
        <f>U1322-'Blocking-Step2'!U1322</f>
        <v>0</v>
      </c>
      <c r="AT1322" s="2127">
        <f>W1322-'Blocking-Step2'!W1322</f>
        <v>0</v>
      </c>
      <c r="AV1322" s="2128">
        <f>Y1322-'Blocking-Step2'!Y1322</f>
        <v>0</v>
      </c>
    </row>
    <row r="1323" spans="1:48" ht="16.5" hidden="1" thickTop="1">
      <c r="A1323" s="1116" t="s">
        <v>297</v>
      </c>
      <c r="B1323" s="1104">
        <v>25</v>
      </c>
      <c r="C1323" s="1105">
        <v>0</v>
      </c>
      <c r="D1323" s="1105">
        <v>0</v>
      </c>
      <c r="F1323" s="1907">
        <v>29.72</v>
      </c>
      <c r="G1323" s="1110"/>
      <c r="H1323" s="1146">
        <v>0</v>
      </c>
      <c r="I1323" s="1146">
        <v>0</v>
      </c>
      <c r="K1323" s="1907"/>
      <c r="L1323" s="1110"/>
      <c r="M1323" s="1907"/>
      <c r="N1323" s="1110"/>
      <c r="O1323" s="1907"/>
      <c r="P1323" s="1110"/>
      <c r="Q1323" s="1907"/>
      <c r="R1323" s="1110"/>
      <c r="S1323" s="1629"/>
      <c r="T1323" s="1629"/>
      <c r="U1323" s="1629"/>
      <c r="V1323" s="1629"/>
      <c r="W1323" s="1629"/>
      <c r="X1323" s="1629"/>
      <c r="Y1323" s="1146"/>
      <c r="Z1323" s="2114">
        <f>C1323-'Blocking-Step2'!C1323</f>
        <v>0</v>
      </c>
      <c r="AA1323" s="2114">
        <f>D1323-'Blocking-Step2'!D1323</f>
        <v>0</v>
      </c>
      <c r="AC1323" s="2114">
        <f>F1323-'Blocking-Step2'!F1323</f>
        <v>0</v>
      </c>
      <c r="AE1323" s="2114">
        <f>H1323-'Blocking-Step2'!H1323</f>
        <v>0</v>
      </c>
      <c r="AF1323" s="2114">
        <f>I1323-'Blocking-Step2'!I1323</f>
        <v>0</v>
      </c>
      <c r="AH1323" s="2136">
        <f>K1323-'Blocking-Step2'!K1323</f>
        <v>0</v>
      </c>
      <c r="AJ1323" s="2136">
        <f>M1323-'Blocking-Step2'!M1323</f>
        <v>0</v>
      </c>
      <c r="AL1323" s="2136">
        <f>O1323-'Blocking-Step2'!O1323</f>
        <v>0</v>
      </c>
      <c r="AN1323" s="2137">
        <f>Q1323-'Blocking-Step2'!Q1323</f>
        <v>0</v>
      </c>
      <c r="AP1323" s="2127">
        <f>S1323-'Blocking-Step2'!S1323</f>
        <v>0</v>
      </c>
      <c r="AR1323" s="2127">
        <f>U1323-'Blocking-Step2'!U1323</f>
        <v>0</v>
      </c>
      <c r="AT1323" s="2127">
        <f>W1323-'Blocking-Step2'!W1323</f>
        <v>0</v>
      </c>
      <c r="AV1323" s="2128">
        <f>Y1323-'Blocking-Step2'!Y1323</f>
        <v>0</v>
      </c>
    </row>
    <row r="1324" spans="1:48" ht="16.5" hidden="1" thickTop="1">
      <c r="A1324" s="1116" t="s">
        <v>298</v>
      </c>
      <c r="B1324" s="1104">
        <v>26</v>
      </c>
      <c r="C1324" s="1105">
        <v>0</v>
      </c>
      <c r="D1324" s="1105">
        <v>0</v>
      </c>
      <c r="F1324" s="1907">
        <v>57.58</v>
      </c>
      <c r="G1324" s="1110"/>
      <c r="H1324" s="1146">
        <v>0</v>
      </c>
      <c r="I1324" s="1146">
        <v>0</v>
      </c>
      <c r="K1324" s="1907"/>
      <c r="L1324" s="1110"/>
      <c r="M1324" s="1907"/>
      <c r="N1324" s="1110"/>
      <c r="O1324" s="1907"/>
      <c r="P1324" s="1110"/>
      <c r="Q1324" s="1907"/>
      <c r="R1324" s="1110"/>
      <c r="S1324" s="1629"/>
      <c r="T1324" s="1629"/>
      <c r="U1324" s="1629"/>
      <c r="V1324" s="1629"/>
      <c r="W1324" s="1629"/>
      <c r="X1324" s="1629"/>
      <c r="Y1324" s="1146"/>
      <c r="Z1324" s="2114">
        <f>C1324-'Blocking-Step2'!C1324</f>
        <v>0</v>
      </c>
      <c r="AA1324" s="2114">
        <f>D1324-'Blocking-Step2'!D1324</f>
        <v>0</v>
      </c>
      <c r="AC1324" s="2114">
        <f>F1324-'Blocking-Step2'!F1324</f>
        <v>0</v>
      </c>
      <c r="AE1324" s="2114">
        <f>H1324-'Blocking-Step2'!H1324</f>
        <v>0</v>
      </c>
      <c r="AF1324" s="2114">
        <f>I1324-'Blocking-Step2'!I1324</f>
        <v>0</v>
      </c>
      <c r="AH1324" s="2136">
        <f>K1324-'Blocking-Step2'!K1324</f>
        <v>0</v>
      </c>
      <c r="AJ1324" s="2136">
        <f>M1324-'Blocking-Step2'!M1324</f>
        <v>0</v>
      </c>
      <c r="AL1324" s="2136">
        <f>O1324-'Blocking-Step2'!O1324</f>
        <v>0</v>
      </c>
      <c r="AN1324" s="2137">
        <f>Q1324-'Blocking-Step2'!Q1324</f>
        <v>0</v>
      </c>
      <c r="AP1324" s="2127">
        <f>S1324-'Blocking-Step2'!S1324</f>
        <v>0</v>
      </c>
      <c r="AR1324" s="2127">
        <f>U1324-'Blocking-Step2'!U1324</f>
        <v>0</v>
      </c>
      <c r="AT1324" s="2127">
        <f>W1324-'Blocking-Step2'!W1324</f>
        <v>0</v>
      </c>
      <c r="AV1324" s="2128">
        <f>Y1324-'Blocking-Step2'!Y1324</f>
        <v>0</v>
      </c>
    </row>
    <row r="1325" spans="1:48" ht="16.5" hidden="1" thickTop="1">
      <c r="A1325" s="1116" t="s">
        <v>300</v>
      </c>
      <c r="B1325" s="1104">
        <v>27</v>
      </c>
      <c r="C1325" s="1105">
        <v>0</v>
      </c>
      <c r="D1325" s="1105">
        <v>0</v>
      </c>
      <c r="F1325" s="1907">
        <v>49.1</v>
      </c>
      <c r="G1325" s="1110"/>
      <c r="H1325" s="1146">
        <v>0</v>
      </c>
      <c r="I1325" s="1146">
        <v>0</v>
      </c>
      <c r="K1325" s="1907"/>
      <c r="L1325" s="1110"/>
      <c r="M1325" s="1907"/>
      <c r="N1325" s="1110"/>
      <c r="O1325" s="1907"/>
      <c r="P1325" s="1110"/>
      <c r="Q1325" s="1907"/>
      <c r="R1325" s="1110"/>
      <c r="S1325" s="1629"/>
      <c r="T1325" s="1629"/>
      <c r="U1325" s="1629"/>
      <c r="V1325" s="1629"/>
      <c r="W1325" s="1629"/>
      <c r="X1325" s="1629"/>
      <c r="Y1325" s="1146"/>
      <c r="Z1325" s="2114">
        <f>C1325-'Blocking-Step2'!C1325</f>
        <v>0</v>
      </c>
      <c r="AA1325" s="2114">
        <f>D1325-'Blocking-Step2'!D1325</f>
        <v>0</v>
      </c>
      <c r="AC1325" s="2114">
        <f>F1325-'Blocking-Step2'!F1325</f>
        <v>0</v>
      </c>
      <c r="AE1325" s="2114">
        <f>H1325-'Blocking-Step2'!H1325</f>
        <v>0</v>
      </c>
      <c r="AF1325" s="2114">
        <f>I1325-'Blocking-Step2'!I1325</f>
        <v>0</v>
      </c>
      <c r="AH1325" s="2136">
        <f>K1325-'Blocking-Step2'!K1325</f>
        <v>0</v>
      </c>
      <c r="AJ1325" s="2136">
        <f>M1325-'Blocking-Step2'!M1325</f>
        <v>0</v>
      </c>
      <c r="AL1325" s="2136">
        <f>O1325-'Blocking-Step2'!O1325</f>
        <v>0</v>
      </c>
      <c r="AN1325" s="2137">
        <f>Q1325-'Blocking-Step2'!Q1325</f>
        <v>0</v>
      </c>
      <c r="AP1325" s="2127">
        <f>S1325-'Blocking-Step2'!S1325</f>
        <v>0</v>
      </c>
      <c r="AR1325" s="2127">
        <f>U1325-'Blocking-Step2'!U1325</f>
        <v>0</v>
      </c>
      <c r="AT1325" s="2127">
        <f>W1325-'Blocking-Step2'!W1325</f>
        <v>0</v>
      </c>
      <c r="AV1325" s="2128">
        <f>Y1325-'Blocking-Step2'!Y1325</f>
        <v>0</v>
      </c>
    </row>
    <row r="1326" spans="1:48" ht="16.5" hidden="1" thickTop="1">
      <c r="A1326" s="1116" t="s">
        <v>130</v>
      </c>
      <c r="C1326" s="1105">
        <v>9765.7752957417852</v>
      </c>
      <c r="D1326" s="1105">
        <v>10245</v>
      </c>
      <c r="H1326" s="1146">
        <v>208911</v>
      </c>
      <c r="I1326" s="1146">
        <v>219172</v>
      </c>
      <c r="Y1326" s="1146"/>
      <c r="Z1326" s="2114">
        <f>C1326-'Blocking-Step2'!C1326</f>
        <v>0</v>
      </c>
      <c r="AA1326" s="2114">
        <f>D1326-'Blocking-Step2'!D1326</f>
        <v>0</v>
      </c>
      <c r="AC1326" s="2114">
        <f>F1326-'Blocking-Step2'!F1326</f>
        <v>0</v>
      </c>
      <c r="AE1326" s="2114">
        <f>H1326-'Blocking-Step2'!H1326</f>
        <v>0</v>
      </c>
      <c r="AF1326" s="2114">
        <f>I1326-'Blocking-Step2'!I1326</f>
        <v>0</v>
      </c>
      <c r="AH1326" s="2136">
        <f>K1326-'Blocking-Step2'!K1326</f>
        <v>0</v>
      </c>
      <c r="AJ1326" s="2136">
        <f>M1326-'Blocking-Step2'!M1326</f>
        <v>0</v>
      </c>
      <c r="AL1326" s="2136">
        <f>O1326-'Blocking-Step2'!O1326</f>
        <v>0</v>
      </c>
      <c r="AN1326" s="2137">
        <f>Q1326-'Blocking-Step2'!Q1326</f>
        <v>0</v>
      </c>
      <c r="AP1326" s="2127">
        <f>S1326-'Blocking-Step2'!S1326</f>
        <v>0</v>
      </c>
      <c r="AR1326" s="2127">
        <f>U1326-'Blocking-Step2'!U1326</f>
        <v>0</v>
      </c>
      <c r="AT1326" s="2127">
        <f>W1326-'Blocking-Step2'!W1326</f>
        <v>0</v>
      </c>
      <c r="AV1326" s="2128">
        <f>Y1326-'Blocking-Step2'!Y1326</f>
        <v>0</v>
      </c>
    </row>
    <row r="1327" spans="1:48" ht="16.5" hidden="1" thickTop="1">
      <c r="A1327" s="1116" t="s">
        <v>36</v>
      </c>
      <c r="C1327" s="1896">
        <v>974055.11834088468</v>
      </c>
      <c r="D1327" s="1896">
        <v>1021723.7132091596</v>
      </c>
      <c r="H1327" s="1146"/>
      <c r="I1327" s="1146"/>
      <c r="Y1327" s="1146"/>
      <c r="Z1327" s="2114">
        <f>C1327-'Blocking-Step2'!C1327</f>
        <v>0</v>
      </c>
      <c r="AA1327" s="2114">
        <f>D1327-'Blocking-Step2'!D1327</f>
        <v>0</v>
      </c>
      <c r="AC1327" s="2114">
        <f>F1327-'Blocking-Step2'!F1327</f>
        <v>0</v>
      </c>
      <c r="AE1327" s="2114">
        <f>H1327-'Blocking-Step2'!H1327</f>
        <v>0</v>
      </c>
      <c r="AF1327" s="2114">
        <f>I1327-'Blocking-Step2'!I1327</f>
        <v>0</v>
      </c>
      <c r="AH1327" s="2136">
        <f>K1327-'Blocking-Step2'!K1327</f>
        <v>0</v>
      </c>
      <c r="AJ1327" s="2136">
        <f>M1327-'Blocking-Step2'!M1327</f>
        <v>0</v>
      </c>
      <c r="AL1327" s="2136">
        <f>O1327-'Blocking-Step2'!O1327</f>
        <v>0</v>
      </c>
      <c r="AN1327" s="2137">
        <f>Q1327-'Blocking-Step2'!Q1327</f>
        <v>0</v>
      </c>
      <c r="AP1327" s="2127">
        <f>S1327-'Blocking-Step2'!S1327</f>
        <v>0</v>
      </c>
      <c r="AR1327" s="2127">
        <f>U1327-'Blocking-Step2'!U1327</f>
        <v>0</v>
      </c>
      <c r="AT1327" s="2127">
        <f>W1327-'Blocking-Step2'!W1327</f>
        <v>0</v>
      </c>
      <c r="AV1327" s="2128">
        <f>Y1327-'Blocking-Step2'!Y1327</f>
        <v>0</v>
      </c>
    </row>
    <row r="1328" spans="1:48" ht="16.5" hidden="1" thickTop="1">
      <c r="A1328" s="1116" t="s">
        <v>136</v>
      </c>
      <c r="C1328" s="2081">
        <v>-15790</v>
      </c>
      <c r="D1328" s="2081">
        <v>0</v>
      </c>
      <c r="F1328" s="2082"/>
      <c r="H1328" s="1148">
        <v>-3114</v>
      </c>
      <c r="I1328" s="1147">
        <v>0</v>
      </c>
      <c r="K1328" s="2082"/>
      <c r="M1328" s="2082"/>
      <c r="O1328" s="2082"/>
      <c r="Q1328" s="2082"/>
      <c r="Y1328" s="1147"/>
      <c r="Z1328" s="2114">
        <f>C1328-'Blocking-Step2'!C1328</f>
        <v>0</v>
      </c>
      <c r="AA1328" s="2114">
        <f>D1328-'Blocking-Step2'!D1328</f>
        <v>0</v>
      </c>
      <c r="AC1328" s="2114">
        <f>F1328-'Blocking-Step2'!F1328</f>
        <v>0</v>
      </c>
      <c r="AE1328" s="2114">
        <f>H1328-'Blocking-Step2'!H1328</f>
        <v>0</v>
      </c>
      <c r="AF1328" s="2114">
        <f>I1328-'Blocking-Step2'!I1328</f>
        <v>0</v>
      </c>
      <c r="AH1328" s="2136">
        <f>K1328-'Blocking-Step2'!K1328</f>
        <v>0</v>
      </c>
      <c r="AJ1328" s="2136">
        <f>M1328-'Blocking-Step2'!M1328</f>
        <v>0</v>
      </c>
      <c r="AL1328" s="2136">
        <f>O1328-'Blocking-Step2'!O1328</f>
        <v>0</v>
      </c>
      <c r="AN1328" s="2137">
        <f>Q1328-'Blocking-Step2'!Q1328</f>
        <v>0</v>
      </c>
      <c r="AP1328" s="2127">
        <f>S1328-'Blocking-Step2'!S1328</f>
        <v>0</v>
      </c>
      <c r="AR1328" s="2127">
        <f>U1328-'Blocking-Step2'!U1328</f>
        <v>0</v>
      </c>
      <c r="AT1328" s="2127">
        <f>W1328-'Blocking-Step2'!W1328</f>
        <v>0</v>
      </c>
      <c r="AV1328" s="2128">
        <f>Y1328-'Blocking-Step2'!Y1328</f>
        <v>0</v>
      </c>
    </row>
    <row r="1329" spans="1:48" ht="16.5" hidden="1" thickTop="1">
      <c r="A1329" s="1116" t="s">
        <v>1240</v>
      </c>
      <c r="C1329" s="1024"/>
      <c r="D1329" s="1024"/>
      <c r="F1329" s="2076">
        <v>-1.9800000000000002E-2</v>
      </c>
      <c r="G1329" s="617"/>
      <c r="H1329" s="1146">
        <v>-4136.4378000000006</v>
      </c>
      <c r="I1329" s="1146">
        <v>-4339.6056000000008</v>
      </c>
      <c r="K1329" s="2076"/>
      <c r="L1329" s="617"/>
      <c r="M1329" s="2076"/>
      <c r="N1329" s="617"/>
      <c r="O1329" s="2077" t="s">
        <v>2323</v>
      </c>
      <c r="P1329" s="617"/>
      <c r="Q1329" s="2076">
        <v>-1.8700000000000001E-2</v>
      </c>
      <c r="R1329" s="617"/>
      <c r="S1329" s="1114"/>
      <c r="T1329" s="1114"/>
      <c r="U1329" s="1114"/>
      <c r="V1329" s="1114"/>
      <c r="W1329" s="1114"/>
      <c r="X1329" s="1114"/>
      <c r="Y1329" s="1146">
        <v>-2226.555305496212</v>
      </c>
      <c r="Z1329" s="2114">
        <f>C1329-'Blocking-Step2'!C1329</f>
        <v>0</v>
      </c>
      <c r="AA1329" s="2114">
        <f>D1329-'Blocking-Step2'!D1329</f>
        <v>0</v>
      </c>
      <c r="AC1329" s="2114">
        <f>F1329-'Blocking-Step2'!F1329</f>
        <v>0</v>
      </c>
      <c r="AE1329" s="2114">
        <f>H1329-'Blocking-Step2'!H1329</f>
        <v>0</v>
      </c>
      <c r="AF1329" s="2114">
        <f>I1329-'Blocking-Step2'!I1329</f>
        <v>0</v>
      </c>
      <c r="AH1329" s="2136">
        <f>K1329-'Blocking-Step2'!K1329</f>
        <v>0</v>
      </c>
      <c r="AJ1329" s="2136">
        <f>M1329-'Blocking-Step2'!M1329</f>
        <v>0</v>
      </c>
      <c r="AL1329" s="2136" t="e">
        <f>O1329-'Blocking-Step2'!O1329</f>
        <v>#VALUE!</v>
      </c>
      <c r="AN1329" s="2137">
        <f>Q1329-'Blocking-Step2'!Q1329</f>
        <v>0</v>
      </c>
      <c r="AP1329" s="2127">
        <f>S1329-'Blocking-Step2'!S1329</f>
        <v>0</v>
      </c>
      <c r="AR1329" s="2127">
        <f>U1329-'Blocking-Step2'!U1329</f>
        <v>0</v>
      </c>
      <c r="AT1329" s="2127">
        <f>W1329-'Blocking-Step2'!W1329</f>
        <v>0</v>
      </c>
      <c r="AV1329" s="2128">
        <f>Y1329-'Blocking-Step2'!Y1329</f>
        <v>0</v>
      </c>
    </row>
    <row r="1330" spans="1:48" ht="16.5" hidden="1" thickTop="1">
      <c r="A1330" s="1116"/>
      <c r="C1330" s="1024"/>
      <c r="D1330" s="1024"/>
      <c r="F1330" s="2076"/>
      <c r="G1330" s="617"/>
      <c r="H1330" s="1146"/>
      <c r="I1330" s="1146"/>
      <c r="K1330" s="2076"/>
      <c r="L1330" s="617"/>
      <c r="M1330" s="2076"/>
      <c r="N1330" s="617"/>
      <c r="O1330" s="2077" t="s">
        <v>2324</v>
      </c>
      <c r="P1330" s="617"/>
      <c r="Q1330" s="2076">
        <v>-1.0200000000000001E-2</v>
      </c>
      <c r="R1330" s="617"/>
      <c r="S1330" s="1114"/>
      <c r="T1330" s="1114"/>
      <c r="U1330" s="1114"/>
      <c r="V1330" s="1114"/>
      <c r="W1330" s="1114"/>
      <c r="X1330" s="1114"/>
      <c r="Y1330" s="1146">
        <v>-1214.4847120888428</v>
      </c>
      <c r="Z1330" s="2114">
        <f>C1330-'Blocking-Step2'!C1330</f>
        <v>0</v>
      </c>
      <c r="AA1330" s="2114">
        <f>D1330-'Blocking-Step2'!D1330</f>
        <v>0</v>
      </c>
      <c r="AC1330" s="2114">
        <f>F1330-'Blocking-Step2'!F1330</f>
        <v>0</v>
      </c>
      <c r="AE1330" s="2114">
        <f>H1330-'Blocking-Step2'!H1330</f>
        <v>0</v>
      </c>
      <c r="AF1330" s="2114">
        <f>I1330-'Blocking-Step2'!I1330</f>
        <v>0</v>
      </c>
      <c r="AH1330" s="2136">
        <f>K1330-'Blocking-Step2'!K1330</f>
        <v>0</v>
      </c>
      <c r="AJ1330" s="2136">
        <f>M1330-'Blocking-Step2'!M1330</f>
        <v>0</v>
      </c>
      <c r="AL1330" s="2136" t="e">
        <f>O1330-'Blocking-Step2'!O1330</f>
        <v>#VALUE!</v>
      </c>
      <c r="AN1330" s="2137">
        <f>Q1330-'Blocking-Step2'!Q1330</f>
        <v>0</v>
      </c>
      <c r="AP1330" s="2127">
        <f>S1330-'Blocking-Step2'!S1330</f>
        <v>0</v>
      </c>
      <c r="AR1330" s="2127">
        <f>U1330-'Blocking-Step2'!U1330</f>
        <v>0</v>
      </c>
      <c r="AT1330" s="2127">
        <f>W1330-'Blocking-Step2'!W1330</f>
        <v>0</v>
      </c>
      <c r="AV1330" s="2128">
        <f>Y1330-'Blocking-Step2'!Y1330</f>
        <v>0</v>
      </c>
    </row>
    <row r="1331" spans="1:48" ht="16.5" hidden="1" thickTop="1">
      <c r="A1331" s="1116" t="s">
        <v>141</v>
      </c>
      <c r="C1331" s="1105">
        <v>394</v>
      </c>
      <c r="D1331" s="1105">
        <v>403</v>
      </c>
      <c r="Z1331" s="2114">
        <f>C1331-'Blocking-Step2'!C1331</f>
        <v>0</v>
      </c>
      <c r="AA1331" s="2114">
        <f>D1331-'Blocking-Step2'!D1331</f>
        <v>0</v>
      </c>
      <c r="AC1331" s="2114">
        <f>F1331-'Blocking-Step2'!F1331</f>
        <v>0</v>
      </c>
      <c r="AE1331" s="2114">
        <f>H1331-'Blocking-Step2'!H1331</f>
        <v>0</v>
      </c>
      <c r="AF1331" s="2114">
        <f>I1331-'Blocking-Step2'!I1331</f>
        <v>0</v>
      </c>
      <c r="AH1331" s="2136">
        <f>K1331-'Blocking-Step2'!K1331</f>
        <v>0</v>
      </c>
      <c r="AJ1331" s="2136">
        <f>M1331-'Blocking-Step2'!M1331</f>
        <v>0</v>
      </c>
      <c r="AL1331" s="2136">
        <f>O1331-'Blocking-Step2'!O1331</f>
        <v>0</v>
      </c>
      <c r="AN1331" s="2137">
        <f>Q1331-'Blocking-Step2'!Q1331</f>
        <v>0</v>
      </c>
      <c r="AP1331" s="2127">
        <f>S1331-'Blocking-Step2'!S1331</f>
        <v>0</v>
      </c>
      <c r="AR1331" s="2127">
        <f>U1331-'Blocking-Step2'!U1331</f>
        <v>0</v>
      </c>
      <c r="AT1331" s="2127">
        <f>W1331-'Blocking-Step2'!W1331</f>
        <v>0</v>
      </c>
      <c r="AV1331" s="2128">
        <f>Y1331-'Blocking-Step2'!Y1331</f>
        <v>0</v>
      </c>
    </row>
    <row r="1332" spans="1:48" ht="17.25" hidden="1" thickTop="1" thickBot="1">
      <c r="A1332" s="1116" t="s">
        <v>302</v>
      </c>
      <c r="C1332" s="2083">
        <v>958265.11834088468</v>
      </c>
      <c r="D1332" s="2083">
        <v>1021723.7132091596</v>
      </c>
      <c r="F1332" s="2078"/>
      <c r="H1332" s="1154">
        <v>201660.56219999999</v>
      </c>
      <c r="I1332" s="1154">
        <v>214832.39439999999</v>
      </c>
      <c r="K1332" s="2078"/>
      <c r="M1332" s="2078"/>
      <c r="O1332" s="2078"/>
      <c r="Q1332" s="2078"/>
      <c r="S1332" s="1628">
        <v>12632.736046407474</v>
      </c>
      <c r="U1332" s="1628">
        <v>3009.833458706561</v>
      </c>
      <c r="W1332" s="1628">
        <v>103424.55913104702</v>
      </c>
      <c r="Y1332" s="1154">
        <v>119067.12863616105</v>
      </c>
      <c r="Z1332" s="2114">
        <f>C1332-'Blocking-Step2'!C1332</f>
        <v>0</v>
      </c>
      <c r="AA1332" s="2114">
        <f>D1332-'Blocking-Step2'!D1332</f>
        <v>0</v>
      </c>
      <c r="AC1332" s="2114">
        <f>F1332-'Blocking-Step2'!F1332</f>
        <v>0</v>
      </c>
      <c r="AE1332" s="2114">
        <f>H1332-'Blocking-Step2'!H1332</f>
        <v>0</v>
      </c>
      <c r="AF1332" s="2114">
        <f>I1332-'Blocking-Step2'!I1332</f>
        <v>0</v>
      </c>
      <c r="AH1332" s="2136">
        <f>K1332-'Blocking-Step2'!K1332</f>
        <v>0</v>
      </c>
      <c r="AJ1332" s="2136">
        <f>M1332-'Blocking-Step2'!M1332</f>
        <v>0</v>
      </c>
      <c r="AL1332" s="2136">
        <f>O1332-'Blocking-Step2'!O1332</f>
        <v>0</v>
      </c>
      <c r="AN1332" s="2137">
        <f>Q1332-'Blocking-Step2'!Q1332</f>
        <v>0</v>
      </c>
      <c r="AP1332" s="2127">
        <f>S1332-'Blocking-Step2'!S1332</f>
        <v>-994.1135130488492</v>
      </c>
      <c r="AR1332" s="2127">
        <f>U1332-'Blocking-Step2'!U1332</f>
        <v>994.11351304884738</v>
      </c>
      <c r="AT1332" s="2127">
        <f>W1332-'Blocking-Step2'!W1332</f>
        <v>0</v>
      </c>
      <c r="AV1332" s="2128">
        <f>Y1332-'Blocking-Step2'!Y1332</f>
        <v>0</v>
      </c>
    </row>
    <row r="1333" spans="1:48" ht="16.5" hidden="1" thickTop="1">
      <c r="E1333" s="617"/>
      <c r="J1333" s="617"/>
      <c r="Z1333" s="2114">
        <f>C1333-'Blocking-Step2'!C1333</f>
        <v>0</v>
      </c>
      <c r="AA1333" s="2114">
        <f>D1333-'Blocking-Step2'!D1333</f>
        <v>0</v>
      </c>
      <c r="AC1333" s="2114">
        <f>F1333-'Blocking-Step2'!F1333</f>
        <v>0</v>
      </c>
      <c r="AE1333" s="2114">
        <f>H1333-'Blocking-Step2'!H1333</f>
        <v>0</v>
      </c>
      <c r="AF1333" s="2114">
        <f>I1333-'Blocking-Step2'!I1333</f>
        <v>0</v>
      </c>
      <c r="AH1333" s="2136">
        <f>K1333-'Blocking-Step2'!K1333</f>
        <v>0</v>
      </c>
      <c r="AJ1333" s="2136">
        <f>M1333-'Blocking-Step2'!M1333</f>
        <v>0</v>
      </c>
      <c r="AL1333" s="2136">
        <f>O1333-'Blocking-Step2'!O1333</f>
        <v>0</v>
      </c>
      <c r="AN1333" s="2137">
        <f>Q1333-'Blocking-Step2'!Q1333</f>
        <v>0</v>
      </c>
      <c r="AP1333" s="2127">
        <f>S1333-'Blocking-Step2'!S1333</f>
        <v>0</v>
      </c>
      <c r="AR1333" s="2127">
        <f>U1333-'Blocking-Step2'!U1333</f>
        <v>0</v>
      </c>
      <c r="AT1333" s="2127">
        <f>W1333-'Blocking-Step2'!W1333</f>
        <v>0</v>
      </c>
      <c r="AV1333" s="2128">
        <f>Y1333-'Blocking-Step2'!Y1333</f>
        <v>0</v>
      </c>
    </row>
    <row r="1334" spans="1:48" ht="16.5" hidden="1" thickTop="1">
      <c r="A1334" s="1115" t="s">
        <v>913</v>
      </c>
      <c r="C1334" s="1105"/>
      <c r="D1334" s="1105"/>
      <c r="Z1334" s="2114">
        <f>C1334-'Blocking-Step2'!C1334</f>
        <v>0</v>
      </c>
      <c r="AA1334" s="2114">
        <f>D1334-'Blocking-Step2'!D1334</f>
        <v>0</v>
      </c>
      <c r="AC1334" s="2114">
        <f>F1334-'Blocking-Step2'!F1334</f>
        <v>0</v>
      </c>
      <c r="AE1334" s="2114">
        <f>H1334-'Blocking-Step2'!H1334</f>
        <v>0</v>
      </c>
      <c r="AF1334" s="2114">
        <f>I1334-'Blocking-Step2'!I1334</f>
        <v>0</v>
      </c>
      <c r="AH1334" s="2136">
        <f>K1334-'Blocking-Step2'!K1334</f>
        <v>0</v>
      </c>
      <c r="AJ1334" s="2136">
        <f>M1334-'Blocking-Step2'!M1334</f>
        <v>0</v>
      </c>
      <c r="AL1334" s="2136">
        <f>O1334-'Blocking-Step2'!O1334</f>
        <v>0</v>
      </c>
      <c r="AN1334" s="2137">
        <f>Q1334-'Blocking-Step2'!Q1334</f>
        <v>0</v>
      </c>
      <c r="AP1334" s="2127">
        <f>S1334-'Blocking-Step2'!S1334</f>
        <v>0</v>
      </c>
      <c r="AR1334" s="2127">
        <f>U1334-'Blocking-Step2'!U1334</f>
        <v>0</v>
      </c>
      <c r="AT1334" s="2127">
        <f>W1334-'Blocking-Step2'!W1334</f>
        <v>0</v>
      </c>
      <c r="AV1334" s="2128">
        <f>Y1334-'Blocking-Step2'!Y1334</f>
        <v>0</v>
      </c>
    </row>
    <row r="1335" spans="1:48" ht="16.5" hidden="1" thickTop="1">
      <c r="A1335" s="1977" t="s">
        <v>264</v>
      </c>
      <c r="C1335" s="1105" t="s">
        <v>441</v>
      </c>
      <c r="D1335" s="1105"/>
      <c r="H1335" s="1146"/>
      <c r="I1335" s="1146"/>
      <c r="Y1335" s="1146"/>
      <c r="Z1335" s="2114" t="e">
        <f>C1335-'Blocking-Step2'!C1335</f>
        <v>#VALUE!</v>
      </c>
      <c r="AA1335" s="2114">
        <f>D1335-'Blocking-Step2'!D1335</f>
        <v>0</v>
      </c>
      <c r="AC1335" s="2114">
        <f>F1335-'Blocking-Step2'!F1335</f>
        <v>0</v>
      </c>
      <c r="AE1335" s="2114">
        <f>H1335-'Blocking-Step2'!H1335</f>
        <v>0</v>
      </c>
      <c r="AF1335" s="2114">
        <f>I1335-'Blocking-Step2'!I1335</f>
        <v>0</v>
      </c>
      <c r="AH1335" s="2136">
        <f>K1335-'Blocking-Step2'!K1335</f>
        <v>0</v>
      </c>
      <c r="AJ1335" s="2136">
        <f>M1335-'Blocking-Step2'!M1335</f>
        <v>0</v>
      </c>
      <c r="AL1335" s="2136">
        <f>O1335-'Blocking-Step2'!O1335</f>
        <v>0</v>
      </c>
      <c r="AN1335" s="2137">
        <f>Q1335-'Blocking-Step2'!Q1335</f>
        <v>0</v>
      </c>
      <c r="AP1335" s="2127">
        <f>S1335-'Blocking-Step2'!S1335</f>
        <v>0</v>
      </c>
      <c r="AR1335" s="2127">
        <f>U1335-'Blocking-Step2'!U1335</f>
        <v>0</v>
      </c>
      <c r="AT1335" s="2127">
        <f>W1335-'Blocking-Step2'!W1335</f>
        <v>0</v>
      </c>
      <c r="AV1335" s="2128">
        <f>Y1335-'Blocking-Step2'!Y1335</f>
        <v>0</v>
      </c>
    </row>
    <row r="1336" spans="1:48" ht="16.5" hidden="1" thickTop="1">
      <c r="A1336" s="1116" t="s">
        <v>265</v>
      </c>
      <c r="B1336" s="1104">
        <v>29</v>
      </c>
      <c r="C1336" s="1105">
        <v>0</v>
      </c>
      <c r="D1336" s="1105">
        <v>0</v>
      </c>
      <c r="F1336" s="1907">
        <v>5.68</v>
      </c>
      <c r="G1336" s="1110"/>
      <c r="H1336" s="1146">
        <v>0</v>
      </c>
      <c r="I1336" s="1146">
        <v>0</v>
      </c>
      <c r="K1336" s="1907"/>
      <c r="L1336" s="1110"/>
      <c r="M1336" s="1907"/>
      <c r="N1336" s="1110"/>
      <c r="O1336" s="1907"/>
      <c r="P1336" s="1110"/>
      <c r="Q1336" s="1907"/>
      <c r="R1336" s="1110"/>
      <c r="S1336" s="1629"/>
      <c r="T1336" s="1629"/>
      <c r="U1336" s="1629"/>
      <c r="V1336" s="1629"/>
      <c r="W1336" s="1629"/>
      <c r="X1336" s="1629"/>
      <c r="Y1336" s="1146"/>
      <c r="Z1336" s="2114">
        <f>C1336-'Blocking-Step2'!C1336</f>
        <v>0</v>
      </c>
      <c r="AA1336" s="2114">
        <f>D1336-'Blocking-Step2'!D1336</f>
        <v>0</v>
      </c>
      <c r="AC1336" s="2114">
        <f>F1336-'Blocking-Step2'!F1336</f>
        <v>0</v>
      </c>
      <c r="AE1336" s="2114">
        <f>H1336-'Blocking-Step2'!H1336</f>
        <v>0</v>
      </c>
      <c r="AF1336" s="2114">
        <f>I1336-'Blocking-Step2'!I1336</f>
        <v>0</v>
      </c>
      <c r="AH1336" s="2136">
        <f>K1336-'Blocking-Step2'!K1336</f>
        <v>0</v>
      </c>
      <c r="AJ1336" s="2136">
        <f>M1336-'Blocking-Step2'!M1336</f>
        <v>0</v>
      </c>
      <c r="AL1336" s="2136">
        <f>O1336-'Blocking-Step2'!O1336</f>
        <v>0</v>
      </c>
      <c r="AN1336" s="2137">
        <f>Q1336-'Blocking-Step2'!Q1336</f>
        <v>0</v>
      </c>
      <c r="AP1336" s="2127">
        <f>S1336-'Blocking-Step2'!S1336</f>
        <v>0</v>
      </c>
      <c r="AR1336" s="2127">
        <f>U1336-'Blocking-Step2'!U1336</f>
        <v>0</v>
      </c>
      <c r="AT1336" s="2127">
        <f>W1336-'Blocking-Step2'!W1336</f>
        <v>0</v>
      </c>
      <c r="AV1336" s="2128">
        <f>Y1336-'Blocking-Step2'!Y1336</f>
        <v>0</v>
      </c>
    </row>
    <row r="1337" spans="1:48" ht="16.5" hidden="1" thickTop="1">
      <c r="A1337" s="1116" t="s">
        <v>266</v>
      </c>
      <c r="B1337" s="1104">
        <v>1</v>
      </c>
      <c r="C1337" s="1105">
        <v>178.26678876678901</v>
      </c>
      <c r="D1337" s="1105">
        <v>146</v>
      </c>
      <c r="F1337" s="1907">
        <v>16.38</v>
      </c>
      <c r="G1337" s="1110"/>
      <c r="H1337" s="1146">
        <v>2920</v>
      </c>
      <c r="I1337" s="1146">
        <v>2391</v>
      </c>
      <c r="K1337" s="1907"/>
      <c r="L1337" s="1110"/>
      <c r="M1337" s="1907"/>
      <c r="N1337" s="1110"/>
      <c r="O1337" s="1907"/>
      <c r="P1337" s="1110"/>
      <c r="Q1337" s="1907"/>
      <c r="R1337" s="1110"/>
      <c r="S1337" s="1629"/>
      <c r="T1337" s="1629"/>
      <c r="U1337" s="1629"/>
      <c r="V1337" s="1629"/>
      <c r="W1337" s="1629"/>
      <c r="X1337" s="1629"/>
      <c r="Y1337" s="1146"/>
      <c r="Z1337" s="2114">
        <f>C1337-'Blocking-Step2'!C1337</f>
        <v>0</v>
      </c>
      <c r="AA1337" s="2114">
        <f>D1337-'Blocking-Step2'!D1337</f>
        <v>0</v>
      </c>
      <c r="AC1337" s="2114">
        <f>F1337-'Blocking-Step2'!F1337</f>
        <v>0</v>
      </c>
      <c r="AE1337" s="2114">
        <f>H1337-'Blocking-Step2'!H1337</f>
        <v>0</v>
      </c>
      <c r="AF1337" s="2114">
        <f>I1337-'Blocking-Step2'!I1337</f>
        <v>0</v>
      </c>
      <c r="AH1337" s="2136">
        <f>K1337-'Blocking-Step2'!K1337</f>
        <v>0</v>
      </c>
      <c r="AJ1337" s="2136">
        <f>M1337-'Blocking-Step2'!M1337</f>
        <v>0</v>
      </c>
      <c r="AL1337" s="2136">
        <f>O1337-'Blocking-Step2'!O1337</f>
        <v>0</v>
      </c>
      <c r="AN1337" s="2137">
        <f>Q1337-'Blocking-Step2'!Q1337</f>
        <v>0</v>
      </c>
      <c r="AP1337" s="2127">
        <f>S1337-'Blocking-Step2'!S1337</f>
        <v>0</v>
      </c>
      <c r="AR1337" s="2127">
        <f>U1337-'Blocking-Step2'!U1337</f>
        <v>0</v>
      </c>
      <c r="AT1337" s="2127">
        <f>W1337-'Blocking-Step2'!W1337</f>
        <v>0</v>
      </c>
      <c r="AV1337" s="2128">
        <f>Y1337-'Blocking-Step2'!Y1337</f>
        <v>0</v>
      </c>
    </row>
    <row r="1338" spans="1:48" ht="16.5" hidden="1" thickTop="1">
      <c r="A1338" s="1116" t="s">
        <v>267</v>
      </c>
      <c r="B1338" s="1104">
        <v>40</v>
      </c>
      <c r="C1338" s="1105">
        <v>0</v>
      </c>
      <c r="D1338" s="1105">
        <v>0</v>
      </c>
      <c r="F1338" s="1907">
        <v>8.0500000000000007</v>
      </c>
      <c r="G1338" s="1110"/>
      <c r="H1338" s="1146">
        <v>0</v>
      </c>
      <c r="I1338" s="1146">
        <v>0</v>
      </c>
      <c r="K1338" s="1907"/>
      <c r="L1338" s="1110"/>
      <c r="M1338" s="1907"/>
      <c r="N1338" s="1110"/>
      <c r="O1338" s="1907"/>
      <c r="P1338" s="1110"/>
      <c r="Q1338" s="1907"/>
      <c r="R1338" s="1110"/>
      <c r="S1338" s="1629"/>
      <c r="T1338" s="1629"/>
      <c r="U1338" s="1629"/>
      <c r="V1338" s="1629"/>
      <c r="W1338" s="1629"/>
      <c r="X1338" s="1629"/>
      <c r="Y1338" s="1146"/>
      <c r="Z1338" s="2114">
        <f>C1338-'Blocking-Step2'!C1338</f>
        <v>0</v>
      </c>
      <c r="AA1338" s="2114">
        <f>D1338-'Blocking-Step2'!D1338</f>
        <v>0</v>
      </c>
      <c r="AC1338" s="2114">
        <f>F1338-'Blocking-Step2'!F1338</f>
        <v>0</v>
      </c>
      <c r="AE1338" s="2114">
        <f>H1338-'Blocking-Step2'!H1338</f>
        <v>0</v>
      </c>
      <c r="AF1338" s="2114">
        <f>I1338-'Blocking-Step2'!I1338</f>
        <v>0</v>
      </c>
      <c r="AH1338" s="2136">
        <f>K1338-'Blocking-Step2'!K1338</f>
        <v>0</v>
      </c>
      <c r="AJ1338" s="2136">
        <f>M1338-'Blocking-Step2'!M1338</f>
        <v>0</v>
      </c>
      <c r="AL1338" s="2136">
        <f>O1338-'Blocking-Step2'!O1338</f>
        <v>0</v>
      </c>
      <c r="AN1338" s="2137">
        <f>Q1338-'Blocking-Step2'!Q1338</f>
        <v>0</v>
      </c>
      <c r="AP1338" s="2127">
        <f>S1338-'Blocking-Step2'!S1338</f>
        <v>0</v>
      </c>
      <c r="AR1338" s="2127">
        <f>U1338-'Blocking-Step2'!U1338</f>
        <v>0</v>
      </c>
      <c r="AT1338" s="2127">
        <f>W1338-'Blocking-Step2'!W1338</f>
        <v>0</v>
      </c>
      <c r="AV1338" s="2128">
        <f>Y1338-'Blocking-Step2'!Y1338</f>
        <v>0</v>
      </c>
    </row>
    <row r="1339" spans="1:48" ht="16.5" hidden="1" thickTop="1">
      <c r="A1339" s="1116" t="s">
        <v>268</v>
      </c>
      <c r="B1339" s="1104">
        <v>2</v>
      </c>
      <c r="C1339" s="1105">
        <v>106.03286034353999</v>
      </c>
      <c r="D1339" s="1105">
        <v>87</v>
      </c>
      <c r="F1339" s="1907">
        <v>26.78</v>
      </c>
      <c r="G1339" s="1110"/>
      <c r="H1339" s="1146">
        <v>2840</v>
      </c>
      <c r="I1339" s="1146">
        <v>2330</v>
      </c>
      <c r="K1339" s="1907"/>
      <c r="L1339" s="1110"/>
      <c r="M1339" s="1907"/>
      <c r="N1339" s="1110"/>
      <c r="O1339" s="1907"/>
      <c r="P1339" s="1110"/>
      <c r="Q1339" s="1907"/>
      <c r="R1339" s="1110"/>
      <c r="S1339" s="1629"/>
      <c r="T1339" s="1629"/>
      <c r="U1339" s="1629"/>
      <c r="V1339" s="1629"/>
      <c r="W1339" s="1629"/>
      <c r="X1339" s="1629"/>
      <c r="Y1339" s="1146"/>
      <c r="Z1339" s="2114">
        <f>C1339-'Blocking-Step2'!C1339</f>
        <v>0</v>
      </c>
      <c r="AA1339" s="2114">
        <f>D1339-'Blocking-Step2'!D1339</f>
        <v>0</v>
      </c>
      <c r="AC1339" s="2114">
        <f>F1339-'Blocking-Step2'!F1339</f>
        <v>0</v>
      </c>
      <c r="AE1339" s="2114">
        <f>H1339-'Blocking-Step2'!H1339</f>
        <v>0</v>
      </c>
      <c r="AF1339" s="2114">
        <f>I1339-'Blocking-Step2'!I1339</f>
        <v>0</v>
      </c>
      <c r="AH1339" s="2136">
        <f>K1339-'Blocking-Step2'!K1339</f>
        <v>0</v>
      </c>
      <c r="AJ1339" s="2136">
        <f>M1339-'Blocking-Step2'!M1339</f>
        <v>0</v>
      </c>
      <c r="AL1339" s="2136">
        <f>O1339-'Blocking-Step2'!O1339</f>
        <v>0</v>
      </c>
      <c r="AN1339" s="2137">
        <f>Q1339-'Blocking-Step2'!Q1339</f>
        <v>0</v>
      </c>
      <c r="AP1339" s="2127">
        <f>S1339-'Blocking-Step2'!S1339</f>
        <v>0</v>
      </c>
      <c r="AR1339" s="2127">
        <f>U1339-'Blocking-Step2'!U1339</f>
        <v>0</v>
      </c>
      <c r="AT1339" s="2127">
        <f>W1339-'Blocking-Step2'!W1339</f>
        <v>0</v>
      </c>
      <c r="AV1339" s="2128">
        <f>Y1339-'Blocking-Step2'!Y1339</f>
        <v>0</v>
      </c>
    </row>
    <row r="1340" spans="1:48" ht="16.5" hidden="1" thickTop="1">
      <c r="A1340" s="1977" t="s">
        <v>269</v>
      </c>
      <c r="C1340" s="1105"/>
      <c r="D1340" s="1105"/>
      <c r="H1340" s="1146"/>
      <c r="I1340" s="1146"/>
      <c r="K1340" s="1907"/>
      <c r="M1340" s="1907"/>
      <c r="O1340" s="1907"/>
      <c r="Q1340" s="1907"/>
      <c r="Y1340" s="1146"/>
      <c r="Z1340" s="2114">
        <f>C1340-'Blocking-Step2'!C1340</f>
        <v>0</v>
      </c>
      <c r="AA1340" s="2114">
        <f>D1340-'Blocking-Step2'!D1340</f>
        <v>0</v>
      </c>
      <c r="AC1340" s="2114">
        <f>F1340-'Blocking-Step2'!F1340</f>
        <v>0</v>
      </c>
      <c r="AE1340" s="2114">
        <f>H1340-'Blocking-Step2'!H1340</f>
        <v>0</v>
      </c>
      <c r="AF1340" s="2114">
        <f>I1340-'Blocking-Step2'!I1340</f>
        <v>0</v>
      </c>
      <c r="AH1340" s="2136">
        <f>K1340-'Blocking-Step2'!K1340</f>
        <v>0</v>
      </c>
      <c r="AJ1340" s="2136">
        <f>M1340-'Blocking-Step2'!M1340</f>
        <v>0</v>
      </c>
      <c r="AL1340" s="2136">
        <f>O1340-'Blocking-Step2'!O1340</f>
        <v>0</v>
      </c>
      <c r="AN1340" s="2137">
        <f>Q1340-'Blocking-Step2'!Q1340</f>
        <v>0</v>
      </c>
      <c r="AP1340" s="2127">
        <f>S1340-'Blocking-Step2'!S1340</f>
        <v>0</v>
      </c>
      <c r="AR1340" s="2127">
        <f>U1340-'Blocking-Step2'!U1340</f>
        <v>0</v>
      </c>
      <c r="AT1340" s="2127">
        <f>W1340-'Blocking-Step2'!W1340</f>
        <v>0</v>
      </c>
      <c r="AV1340" s="2128">
        <f>Y1340-'Blocking-Step2'!Y1340</f>
        <v>0</v>
      </c>
    </row>
    <row r="1341" spans="1:48" ht="16.5" hidden="1" thickTop="1">
      <c r="A1341" s="1116" t="s">
        <v>270</v>
      </c>
      <c r="B1341" s="1104">
        <v>3</v>
      </c>
      <c r="C1341" s="1105">
        <v>250.50068493150701</v>
      </c>
      <c r="D1341" s="1105">
        <v>206</v>
      </c>
      <c r="F1341" s="1907">
        <v>14.6</v>
      </c>
      <c r="G1341" s="1110"/>
      <c r="H1341" s="1146">
        <v>3657</v>
      </c>
      <c r="I1341" s="1146">
        <v>3008</v>
      </c>
      <c r="K1341" s="1907"/>
      <c r="L1341" s="1110"/>
      <c r="M1341" s="1907"/>
      <c r="N1341" s="1110"/>
      <c r="O1341" s="1907"/>
      <c r="P1341" s="1110"/>
      <c r="Q1341" s="1907"/>
      <c r="R1341" s="1110"/>
      <c r="S1341" s="1629"/>
      <c r="T1341" s="1629"/>
      <c r="U1341" s="1629"/>
      <c r="V1341" s="1629"/>
      <c r="W1341" s="1629"/>
      <c r="X1341" s="1629"/>
      <c r="Y1341" s="1146"/>
      <c r="Z1341" s="2114">
        <f>C1341-'Blocking-Step2'!C1341</f>
        <v>0</v>
      </c>
      <c r="AA1341" s="2114">
        <f>D1341-'Blocking-Step2'!D1341</f>
        <v>0</v>
      </c>
      <c r="AC1341" s="2114">
        <f>F1341-'Blocking-Step2'!F1341</f>
        <v>0</v>
      </c>
      <c r="AE1341" s="2114">
        <f>H1341-'Blocking-Step2'!H1341</f>
        <v>0</v>
      </c>
      <c r="AF1341" s="2114">
        <f>I1341-'Blocking-Step2'!I1341</f>
        <v>0</v>
      </c>
      <c r="AH1341" s="2136">
        <f>K1341-'Blocking-Step2'!K1341</f>
        <v>0</v>
      </c>
      <c r="AJ1341" s="2136">
        <f>M1341-'Blocking-Step2'!M1341</f>
        <v>0</v>
      </c>
      <c r="AL1341" s="2136">
        <f>O1341-'Blocking-Step2'!O1341</f>
        <v>0</v>
      </c>
      <c r="AN1341" s="2137">
        <f>Q1341-'Blocking-Step2'!Q1341</f>
        <v>0</v>
      </c>
      <c r="AP1341" s="2127">
        <f>S1341-'Blocking-Step2'!S1341</f>
        <v>0</v>
      </c>
      <c r="AR1341" s="2127">
        <f>U1341-'Blocking-Step2'!U1341</f>
        <v>0</v>
      </c>
      <c r="AT1341" s="2127">
        <f>W1341-'Blocking-Step2'!W1341</f>
        <v>0</v>
      </c>
      <c r="AV1341" s="2128">
        <f>Y1341-'Blocking-Step2'!Y1341</f>
        <v>0</v>
      </c>
    </row>
    <row r="1342" spans="1:48" ht="16.5" hidden="1" thickTop="1">
      <c r="A1342" s="1116" t="s">
        <v>271</v>
      </c>
      <c r="B1342" s="1104">
        <v>4</v>
      </c>
      <c r="C1342" s="1105">
        <v>12</v>
      </c>
      <c r="D1342" s="1105">
        <v>10</v>
      </c>
      <c r="F1342" s="1907">
        <v>12.23</v>
      </c>
      <c r="G1342" s="1110"/>
      <c r="H1342" s="1146">
        <v>147</v>
      </c>
      <c r="I1342" s="1146">
        <v>122</v>
      </c>
      <c r="K1342" s="1907"/>
      <c r="L1342" s="1110"/>
      <c r="M1342" s="1907"/>
      <c r="N1342" s="1110"/>
      <c r="O1342" s="1907"/>
      <c r="P1342" s="1110"/>
      <c r="Q1342" s="1907"/>
      <c r="R1342" s="1110"/>
      <c r="S1342" s="1629"/>
      <c r="T1342" s="1629"/>
      <c r="U1342" s="1629"/>
      <c r="V1342" s="1629"/>
      <c r="W1342" s="1629"/>
      <c r="X1342" s="1629"/>
      <c r="Y1342" s="1146"/>
      <c r="Z1342" s="2114">
        <f>C1342-'Blocking-Step2'!C1342</f>
        <v>0</v>
      </c>
      <c r="AA1342" s="2114">
        <f>D1342-'Blocking-Step2'!D1342</f>
        <v>0</v>
      </c>
      <c r="AC1342" s="2114">
        <f>F1342-'Blocking-Step2'!F1342</f>
        <v>0</v>
      </c>
      <c r="AE1342" s="2114">
        <f>H1342-'Blocking-Step2'!H1342</f>
        <v>0</v>
      </c>
      <c r="AF1342" s="2114">
        <f>I1342-'Blocking-Step2'!I1342</f>
        <v>0</v>
      </c>
      <c r="AH1342" s="2136">
        <f>K1342-'Blocking-Step2'!K1342</f>
        <v>0</v>
      </c>
      <c r="AJ1342" s="2136">
        <f>M1342-'Blocking-Step2'!M1342</f>
        <v>0</v>
      </c>
      <c r="AL1342" s="2136">
        <f>O1342-'Blocking-Step2'!O1342</f>
        <v>0</v>
      </c>
      <c r="AN1342" s="2137">
        <f>Q1342-'Blocking-Step2'!Q1342</f>
        <v>0</v>
      </c>
      <c r="AP1342" s="2127">
        <f>S1342-'Blocking-Step2'!S1342</f>
        <v>0</v>
      </c>
      <c r="AR1342" s="2127">
        <f>U1342-'Blocking-Step2'!U1342</f>
        <v>0</v>
      </c>
      <c r="AT1342" s="2127">
        <f>W1342-'Blocking-Step2'!W1342</f>
        <v>0</v>
      </c>
      <c r="AV1342" s="2128">
        <f>Y1342-'Blocking-Step2'!Y1342</f>
        <v>0</v>
      </c>
    </row>
    <row r="1343" spans="1:48" ht="16.5" hidden="1" thickTop="1">
      <c r="A1343" s="1116" t="s">
        <v>272</v>
      </c>
      <c r="B1343" s="1104">
        <v>5</v>
      </c>
      <c r="C1343" s="1105">
        <v>1650.56819650937</v>
      </c>
      <c r="D1343" s="1105">
        <v>1355</v>
      </c>
      <c r="F1343" s="1907">
        <v>15.47</v>
      </c>
      <c r="G1343" s="1110"/>
      <c r="H1343" s="1146">
        <v>25534</v>
      </c>
      <c r="I1343" s="1146">
        <v>20962</v>
      </c>
      <c r="K1343" s="1907"/>
      <c r="L1343" s="1110"/>
      <c r="M1343" s="1907"/>
      <c r="N1343" s="1110"/>
      <c r="O1343" s="1907"/>
      <c r="P1343" s="1110"/>
      <c r="Q1343" s="1907"/>
      <c r="R1343" s="1110"/>
      <c r="S1343" s="1629"/>
      <c r="T1343" s="1629"/>
      <c r="U1343" s="1629"/>
      <c r="V1343" s="1629"/>
      <c r="W1343" s="1629"/>
      <c r="X1343" s="1629"/>
      <c r="Y1343" s="1146"/>
      <c r="Z1343" s="2114">
        <f>C1343-'Blocking-Step2'!C1343</f>
        <v>0</v>
      </c>
      <c r="AA1343" s="2114">
        <f>D1343-'Blocking-Step2'!D1343</f>
        <v>0</v>
      </c>
      <c r="AC1343" s="2114">
        <f>F1343-'Blocking-Step2'!F1343</f>
        <v>0</v>
      </c>
      <c r="AE1343" s="2114">
        <f>H1343-'Blocking-Step2'!H1343</f>
        <v>0</v>
      </c>
      <c r="AF1343" s="2114">
        <f>I1343-'Blocking-Step2'!I1343</f>
        <v>0</v>
      </c>
      <c r="AH1343" s="2136">
        <f>K1343-'Blocking-Step2'!K1343</f>
        <v>0</v>
      </c>
      <c r="AJ1343" s="2136">
        <f>M1343-'Blocking-Step2'!M1343</f>
        <v>0</v>
      </c>
      <c r="AL1343" s="2136">
        <f>O1343-'Blocking-Step2'!O1343</f>
        <v>0</v>
      </c>
      <c r="AN1343" s="2137">
        <f>Q1343-'Blocking-Step2'!Q1343</f>
        <v>0</v>
      </c>
      <c r="AP1343" s="2127">
        <f>S1343-'Blocking-Step2'!S1343</f>
        <v>0</v>
      </c>
      <c r="AR1343" s="2127">
        <f>U1343-'Blocking-Step2'!U1343</f>
        <v>0</v>
      </c>
      <c r="AT1343" s="2127">
        <f>W1343-'Blocking-Step2'!W1343</f>
        <v>0</v>
      </c>
      <c r="AV1343" s="2128">
        <f>Y1343-'Blocking-Step2'!Y1343</f>
        <v>0</v>
      </c>
    </row>
    <row r="1344" spans="1:48" ht="16.5" hidden="1" thickTop="1">
      <c r="A1344" s="1116" t="s">
        <v>273</v>
      </c>
      <c r="B1344" s="1104">
        <v>6</v>
      </c>
      <c r="C1344" s="1105">
        <v>162.46656649136</v>
      </c>
      <c r="D1344" s="1105">
        <v>133</v>
      </c>
      <c r="F1344" s="1907">
        <v>13.31</v>
      </c>
      <c r="G1344" s="1110"/>
      <c r="H1344" s="1146">
        <v>2162</v>
      </c>
      <c r="I1344" s="1146">
        <v>1770</v>
      </c>
      <c r="K1344" s="1907"/>
      <c r="L1344" s="1110"/>
      <c r="M1344" s="1907"/>
      <c r="N1344" s="1110"/>
      <c r="O1344" s="1907"/>
      <c r="P1344" s="1110"/>
      <c r="Q1344" s="1907"/>
      <c r="R1344" s="1110"/>
      <c r="S1344" s="1629"/>
      <c r="T1344" s="1629"/>
      <c r="U1344" s="1629"/>
      <c r="V1344" s="1629"/>
      <c r="W1344" s="1629"/>
      <c r="X1344" s="1629"/>
      <c r="Y1344" s="1146"/>
      <c r="Z1344" s="2114">
        <f>C1344-'Blocking-Step2'!C1344</f>
        <v>0</v>
      </c>
      <c r="AA1344" s="2114">
        <f>D1344-'Blocking-Step2'!D1344</f>
        <v>0</v>
      </c>
      <c r="AC1344" s="2114">
        <f>F1344-'Blocking-Step2'!F1344</f>
        <v>0</v>
      </c>
      <c r="AE1344" s="2114">
        <f>H1344-'Blocking-Step2'!H1344</f>
        <v>0</v>
      </c>
      <c r="AF1344" s="2114">
        <f>I1344-'Blocking-Step2'!I1344</f>
        <v>0</v>
      </c>
      <c r="AH1344" s="2136">
        <f>K1344-'Blocking-Step2'!K1344</f>
        <v>0</v>
      </c>
      <c r="AJ1344" s="2136">
        <f>M1344-'Blocking-Step2'!M1344</f>
        <v>0</v>
      </c>
      <c r="AL1344" s="2136">
        <f>O1344-'Blocking-Step2'!O1344</f>
        <v>0</v>
      </c>
      <c r="AN1344" s="2137">
        <f>Q1344-'Blocking-Step2'!Q1344</f>
        <v>0</v>
      </c>
      <c r="AP1344" s="2127">
        <f>S1344-'Blocking-Step2'!S1344</f>
        <v>0</v>
      </c>
      <c r="AR1344" s="2127">
        <f>U1344-'Blocking-Step2'!U1344</f>
        <v>0</v>
      </c>
      <c r="AT1344" s="2127">
        <f>W1344-'Blocking-Step2'!W1344</f>
        <v>0</v>
      </c>
      <c r="AV1344" s="2128">
        <f>Y1344-'Blocking-Step2'!Y1344</f>
        <v>0</v>
      </c>
    </row>
    <row r="1345" spans="1:48" ht="16.5" hidden="1" thickTop="1">
      <c r="A1345" s="1116" t="s">
        <v>274</v>
      </c>
      <c r="B1345" s="1104">
        <v>7</v>
      </c>
      <c r="C1345" s="1105">
        <v>569.49948612538503</v>
      </c>
      <c r="D1345" s="1105">
        <v>468</v>
      </c>
      <c r="F1345" s="1907">
        <v>19.46</v>
      </c>
      <c r="G1345" s="1110"/>
      <c r="H1345" s="1146">
        <v>11082</v>
      </c>
      <c r="I1345" s="1146">
        <v>9107</v>
      </c>
      <c r="K1345" s="1907"/>
      <c r="L1345" s="1110"/>
      <c r="M1345" s="1907"/>
      <c r="N1345" s="1110"/>
      <c r="O1345" s="1907"/>
      <c r="P1345" s="1110"/>
      <c r="Q1345" s="1907"/>
      <c r="R1345" s="1110"/>
      <c r="S1345" s="1629"/>
      <c r="T1345" s="1629"/>
      <c r="U1345" s="1629"/>
      <c r="V1345" s="1629"/>
      <c r="W1345" s="1629"/>
      <c r="X1345" s="1629"/>
      <c r="Y1345" s="1146"/>
      <c r="Z1345" s="2114">
        <f>C1345-'Blocking-Step2'!C1345</f>
        <v>0</v>
      </c>
      <c r="AA1345" s="2114">
        <f>D1345-'Blocking-Step2'!D1345</f>
        <v>0</v>
      </c>
      <c r="AC1345" s="2114">
        <f>F1345-'Blocking-Step2'!F1345</f>
        <v>0</v>
      </c>
      <c r="AE1345" s="2114">
        <f>H1345-'Blocking-Step2'!H1345</f>
        <v>0</v>
      </c>
      <c r="AF1345" s="2114">
        <f>I1345-'Blocking-Step2'!I1345</f>
        <v>0</v>
      </c>
      <c r="AH1345" s="2136">
        <f>K1345-'Blocking-Step2'!K1345</f>
        <v>0</v>
      </c>
      <c r="AJ1345" s="2136">
        <f>M1345-'Blocking-Step2'!M1345</f>
        <v>0</v>
      </c>
      <c r="AL1345" s="2136">
        <f>O1345-'Blocking-Step2'!O1345</f>
        <v>0</v>
      </c>
      <c r="AN1345" s="2137">
        <f>Q1345-'Blocking-Step2'!Q1345</f>
        <v>0</v>
      </c>
      <c r="AP1345" s="2127">
        <f>S1345-'Blocking-Step2'!S1345</f>
        <v>0</v>
      </c>
      <c r="AR1345" s="2127">
        <f>U1345-'Blocking-Step2'!U1345</f>
        <v>0</v>
      </c>
      <c r="AT1345" s="2127">
        <f>W1345-'Blocking-Step2'!W1345</f>
        <v>0</v>
      </c>
      <c r="AV1345" s="2128">
        <f>Y1345-'Blocking-Step2'!Y1345</f>
        <v>0</v>
      </c>
    </row>
    <row r="1346" spans="1:48" ht="16.5" hidden="1" thickTop="1">
      <c r="A1346" s="1116" t="s">
        <v>275</v>
      </c>
      <c r="B1346" s="1104">
        <v>8</v>
      </c>
      <c r="C1346" s="1105">
        <v>72</v>
      </c>
      <c r="D1346" s="1105">
        <v>59</v>
      </c>
      <c r="F1346" s="1907">
        <v>17.13</v>
      </c>
      <c r="G1346" s="1110"/>
      <c r="H1346" s="1146">
        <v>1233</v>
      </c>
      <c r="I1346" s="1146">
        <v>1011</v>
      </c>
      <c r="K1346" s="1907"/>
      <c r="L1346" s="1110"/>
      <c r="M1346" s="1907"/>
      <c r="N1346" s="1110"/>
      <c r="O1346" s="1907"/>
      <c r="P1346" s="1110"/>
      <c r="Q1346" s="1907"/>
      <c r="R1346" s="1110"/>
      <c r="S1346" s="1629"/>
      <c r="T1346" s="1629"/>
      <c r="U1346" s="1629"/>
      <c r="V1346" s="1629"/>
      <c r="W1346" s="1629"/>
      <c r="X1346" s="1629"/>
      <c r="Y1346" s="1146"/>
      <c r="Z1346" s="2114">
        <f>C1346-'Blocking-Step2'!C1346</f>
        <v>0</v>
      </c>
      <c r="AA1346" s="2114">
        <f>D1346-'Blocking-Step2'!D1346</f>
        <v>0</v>
      </c>
      <c r="AC1346" s="2114">
        <f>F1346-'Blocking-Step2'!F1346</f>
        <v>0</v>
      </c>
      <c r="AE1346" s="2114">
        <f>H1346-'Blocking-Step2'!H1346</f>
        <v>0</v>
      </c>
      <c r="AF1346" s="2114">
        <f>I1346-'Blocking-Step2'!I1346</f>
        <v>0</v>
      </c>
      <c r="AH1346" s="2136">
        <f>K1346-'Blocking-Step2'!K1346</f>
        <v>0</v>
      </c>
      <c r="AJ1346" s="2136">
        <f>M1346-'Blocking-Step2'!M1346</f>
        <v>0</v>
      </c>
      <c r="AL1346" s="2136">
        <f>O1346-'Blocking-Step2'!O1346</f>
        <v>0</v>
      </c>
      <c r="AN1346" s="2137">
        <f>Q1346-'Blocking-Step2'!Q1346</f>
        <v>0</v>
      </c>
      <c r="AP1346" s="2127">
        <f>S1346-'Blocking-Step2'!S1346</f>
        <v>0</v>
      </c>
      <c r="AR1346" s="2127">
        <f>U1346-'Blocking-Step2'!U1346</f>
        <v>0</v>
      </c>
      <c r="AT1346" s="2127">
        <f>W1346-'Blocking-Step2'!W1346</f>
        <v>0</v>
      </c>
      <c r="AV1346" s="2128">
        <f>Y1346-'Blocking-Step2'!Y1346</f>
        <v>0</v>
      </c>
    </row>
    <row r="1347" spans="1:48" ht="16.5" hidden="1" thickTop="1">
      <c r="A1347" s="1116" t="s">
        <v>276</v>
      </c>
      <c r="B1347" s="1104">
        <v>9</v>
      </c>
      <c r="C1347" s="1105">
        <v>24</v>
      </c>
      <c r="D1347" s="1105">
        <v>20</v>
      </c>
      <c r="F1347" s="1907">
        <v>21.07</v>
      </c>
      <c r="G1347" s="1110"/>
      <c r="H1347" s="1146">
        <v>506</v>
      </c>
      <c r="I1347" s="1146">
        <v>421</v>
      </c>
      <c r="K1347" s="1907"/>
      <c r="L1347" s="1110"/>
      <c r="M1347" s="1907"/>
      <c r="N1347" s="1110"/>
      <c r="O1347" s="1907"/>
      <c r="P1347" s="1110"/>
      <c r="Q1347" s="1907"/>
      <c r="R1347" s="1110"/>
      <c r="S1347" s="1629"/>
      <c r="T1347" s="1629"/>
      <c r="U1347" s="1629"/>
      <c r="V1347" s="1629"/>
      <c r="W1347" s="1629"/>
      <c r="X1347" s="1629"/>
      <c r="Y1347" s="1146"/>
      <c r="Z1347" s="2114">
        <f>C1347-'Blocking-Step2'!C1347</f>
        <v>0</v>
      </c>
      <c r="AA1347" s="2114">
        <f>D1347-'Blocking-Step2'!D1347</f>
        <v>0</v>
      </c>
      <c r="AC1347" s="2114">
        <f>F1347-'Blocking-Step2'!F1347</f>
        <v>0</v>
      </c>
      <c r="AE1347" s="2114">
        <f>H1347-'Blocking-Step2'!H1347</f>
        <v>0</v>
      </c>
      <c r="AF1347" s="2114">
        <f>I1347-'Blocking-Step2'!I1347</f>
        <v>0</v>
      </c>
      <c r="AH1347" s="2136">
        <f>K1347-'Blocking-Step2'!K1347</f>
        <v>0</v>
      </c>
      <c r="AJ1347" s="2136">
        <f>M1347-'Blocking-Step2'!M1347</f>
        <v>0</v>
      </c>
      <c r="AL1347" s="2136">
        <f>O1347-'Blocking-Step2'!O1347</f>
        <v>0</v>
      </c>
      <c r="AN1347" s="2137">
        <f>Q1347-'Blocking-Step2'!Q1347</f>
        <v>0</v>
      </c>
      <c r="AP1347" s="2127">
        <f>S1347-'Blocking-Step2'!S1347</f>
        <v>0</v>
      </c>
      <c r="AR1347" s="2127">
        <f>U1347-'Blocking-Step2'!U1347</f>
        <v>0</v>
      </c>
      <c r="AT1347" s="2127">
        <f>W1347-'Blocking-Step2'!W1347</f>
        <v>0</v>
      </c>
      <c r="AV1347" s="2128">
        <f>Y1347-'Blocking-Step2'!Y1347</f>
        <v>0</v>
      </c>
    </row>
    <row r="1348" spans="1:48" ht="16.5" hidden="1" thickTop="1">
      <c r="A1348" s="1116" t="s">
        <v>277</v>
      </c>
      <c r="B1348" s="1104">
        <v>10</v>
      </c>
      <c r="C1348" s="1105">
        <v>587.43215652913602</v>
      </c>
      <c r="D1348" s="1105">
        <v>482</v>
      </c>
      <c r="F1348" s="1907">
        <v>23.51</v>
      </c>
      <c r="G1348" s="1110"/>
      <c r="H1348" s="1146">
        <v>13811</v>
      </c>
      <c r="I1348" s="1146">
        <v>11332</v>
      </c>
      <c r="K1348" s="1907"/>
      <c r="L1348" s="1110"/>
      <c r="M1348" s="1907"/>
      <c r="N1348" s="1110"/>
      <c r="O1348" s="1907"/>
      <c r="P1348" s="1110"/>
      <c r="Q1348" s="1907"/>
      <c r="R1348" s="1110"/>
      <c r="S1348" s="1629"/>
      <c r="T1348" s="1629"/>
      <c r="U1348" s="1629"/>
      <c r="V1348" s="1629"/>
      <c r="W1348" s="1629"/>
      <c r="X1348" s="1629"/>
      <c r="Y1348" s="1146"/>
      <c r="Z1348" s="2114">
        <f>C1348-'Blocking-Step2'!C1348</f>
        <v>0</v>
      </c>
      <c r="AA1348" s="2114">
        <f>D1348-'Blocking-Step2'!D1348</f>
        <v>0</v>
      </c>
      <c r="AC1348" s="2114">
        <f>F1348-'Blocking-Step2'!F1348</f>
        <v>0</v>
      </c>
      <c r="AE1348" s="2114">
        <f>H1348-'Blocking-Step2'!H1348</f>
        <v>0</v>
      </c>
      <c r="AF1348" s="2114">
        <f>I1348-'Blocking-Step2'!I1348</f>
        <v>0</v>
      </c>
      <c r="AH1348" s="2136">
        <f>K1348-'Blocking-Step2'!K1348</f>
        <v>0</v>
      </c>
      <c r="AJ1348" s="2136">
        <f>M1348-'Blocking-Step2'!M1348</f>
        <v>0</v>
      </c>
      <c r="AL1348" s="2136">
        <f>O1348-'Blocking-Step2'!O1348</f>
        <v>0</v>
      </c>
      <c r="AN1348" s="2137">
        <f>Q1348-'Blocking-Step2'!Q1348</f>
        <v>0</v>
      </c>
      <c r="AP1348" s="2127">
        <f>S1348-'Blocking-Step2'!S1348</f>
        <v>0</v>
      </c>
      <c r="AR1348" s="2127">
        <f>U1348-'Blocking-Step2'!U1348</f>
        <v>0</v>
      </c>
      <c r="AT1348" s="2127">
        <f>W1348-'Blocking-Step2'!W1348</f>
        <v>0</v>
      </c>
      <c r="AV1348" s="2128">
        <f>Y1348-'Blocking-Step2'!Y1348</f>
        <v>0</v>
      </c>
    </row>
    <row r="1349" spans="1:48" ht="16.5" hidden="1" thickTop="1">
      <c r="A1349" s="1116" t="s">
        <v>278</v>
      </c>
      <c r="B1349" s="1104">
        <v>11</v>
      </c>
      <c r="C1349" s="1105">
        <v>31.333490343853001</v>
      </c>
      <c r="D1349" s="1105">
        <v>26</v>
      </c>
      <c r="F1349" s="1907">
        <v>21.23</v>
      </c>
      <c r="G1349" s="1110"/>
      <c r="H1349" s="1146">
        <v>665</v>
      </c>
      <c r="I1349" s="1146">
        <v>552</v>
      </c>
      <c r="K1349" s="1907"/>
      <c r="L1349" s="1110"/>
      <c r="M1349" s="1907"/>
      <c r="N1349" s="1110"/>
      <c r="O1349" s="1907"/>
      <c r="P1349" s="1110"/>
      <c r="Q1349" s="1907"/>
      <c r="R1349" s="1110"/>
      <c r="S1349" s="1629"/>
      <c r="T1349" s="1629"/>
      <c r="U1349" s="1629"/>
      <c r="V1349" s="1629"/>
      <c r="W1349" s="1629"/>
      <c r="X1349" s="1629"/>
      <c r="Y1349" s="1146"/>
      <c r="Z1349" s="2114">
        <f>C1349-'Blocking-Step2'!C1349</f>
        <v>0</v>
      </c>
      <c r="AA1349" s="2114">
        <f>D1349-'Blocking-Step2'!D1349</f>
        <v>0</v>
      </c>
      <c r="AC1349" s="2114">
        <f>F1349-'Blocking-Step2'!F1349</f>
        <v>0</v>
      </c>
      <c r="AE1349" s="2114">
        <f>H1349-'Blocking-Step2'!H1349</f>
        <v>0</v>
      </c>
      <c r="AF1349" s="2114">
        <f>I1349-'Blocking-Step2'!I1349</f>
        <v>0</v>
      </c>
      <c r="AH1349" s="2136">
        <f>K1349-'Blocking-Step2'!K1349</f>
        <v>0</v>
      </c>
      <c r="AJ1349" s="2136">
        <f>M1349-'Blocking-Step2'!M1349</f>
        <v>0</v>
      </c>
      <c r="AL1349" s="2136">
        <f>O1349-'Blocking-Step2'!O1349</f>
        <v>0</v>
      </c>
      <c r="AN1349" s="2137">
        <f>Q1349-'Blocking-Step2'!Q1349</f>
        <v>0</v>
      </c>
      <c r="AP1349" s="2127">
        <f>S1349-'Blocking-Step2'!S1349</f>
        <v>0</v>
      </c>
      <c r="AR1349" s="2127">
        <f>U1349-'Blocking-Step2'!U1349</f>
        <v>0</v>
      </c>
      <c r="AT1349" s="2127">
        <f>W1349-'Blocking-Step2'!W1349</f>
        <v>0</v>
      </c>
      <c r="AV1349" s="2128">
        <f>Y1349-'Blocking-Step2'!Y1349</f>
        <v>0</v>
      </c>
    </row>
    <row r="1350" spans="1:48" ht="16.5" hidden="1" thickTop="1">
      <c r="A1350" s="1116" t="s">
        <v>279</v>
      </c>
      <c r="B1350" s="1104">
        <v>12</v>
      </c>
      <c r="C1350" s="1105">
        <v>424.43816254416998</v>
      </c>
      <c r="D1350" s="1105">
        <v>348</v>
      </c>
      <c r="F1350" s="1907">
        <v>28.3</v>
      </c>
      <c r="G1350" s="1110"/>
      <c r="H1350" s="1146">
        <v>12012</v>
      </c>
      <c r="I1350" s="1146">
        <v>9848</v>
      </c>
      <c r="K1350" s="1907"/>
      <c r="L1350" s="1110"/>
      <c r="M1350" s="1907"/>
      <c r="N1350" s="1110"/>
      <c r="O1350" s="1907"/>
      <c r="P1350" s="1110"/>
      <c r="Q1350" s="1907"/>
      <c r="R1350" s="1110"/>
      <c r="S1350" s="1629"/>
      <c r="T1350" s="1629"/>
      <c r="U1350" s="1629"/>
      <c r="V1350" s="1629"/>
      <c r="W1350" s="1629"/>
      <c r="X1350" s="1629"/>
      <c r="Y1350" s="1146"/>
      <c r="Z1350" s="2114">
        <f>C1350-'Blocking-Step2'!C1350</f>
        <v>0</v>
      </c>
      <c r="AA1350" s="2114">
        <f>D1350-'Blocking-Step2'!D1350</f>
        <v>0</v>
      </c>
      <c r="AC1350" s="2114">
        <f>F1350-'Blocking-Step2'!F1350</f>
        <v>0</v>
      </c>
      <c r="AE1350" s="2114">
        <f>H1350-'Blocking-Step2'!H1350</f>
        <v>0</v>
      </c>
      <c r="AF1350" s="2114">
        <f>I1350-'Blocking-Step2'!I1350</f>
        <v>0</v>
      </c>
      <c r="AH1350" s="2136">
        <f>K1350-'Blocking-Step2'!K1350</f>
        <v>0</v>
      </c>
      <c r="AJ1350" s="2136">
        <f>M1350-'Blocking-Step2'!M1350</f>
        <v>0</v>
      </c>
      <c r="AL1350" s="2136">
        <f>O1350-'Blocking-Step2'!O1350</f>
        <v>0</v>
      </c>
      <c r="AN1350" s="2137">
        <f>Q1350-'Blocking-Step2'!Q1350</f>
        <v>0</v>
      </c>
      <c r="AP1350" s="2127">
        <f>S1350-'Blocking-Step2'!S1350</f>
        <v>0</v>
      </c>
      <c r="AR1350" s="2127">
        <f>U1350-'Blocking-Step2'!U1350</f>
        <v>0</v>
      </c>
      <c r="AT1350" s="2127">
        <f>W1350-'Blocking-Step2'!W1350</f>
        <v>0</v>
      </c>
      <c r="AV1350" s="2128">
        <f>Y1350-'Blocking-Step2'!Y1350</f>
        <v>0</v>
      </c>
    </row>
    <row r="1351" spans="1:48" ht="16.5" hidden="1" thickTop="1">
      <c r="A1351" s="1116" t="s">
        <v>280</v>
      </c>
      <c r="B1351" s="1104">
        <v>13</v>
      </c>
      <c r="C1351" s="1105">
        <v>92.433243555213593</v>
      </c>
      <c r="D1351" s="1105">
        <v>76</v>
      </c>
      <c r="F1351" s="1907">
        <v>25.99</v>
      </c>
      <c r="G1351" s="1110"/>
      <c r="H1351" s="1146">
        <v>2402</v>
      </c>
      <c r="I1351" s="1146">
        <v>1975</v>
      </c>
      <c r="K1351" s="1907"/>
      <c r="L1351" s="1110"/>
      <c r="M1351" s="1907"/>
      <c r="N1351" s="1110"/>
      <c r="O1351" s="1907"/>
      <c r="P1351" s="1110"/>
      <c r="Q1351" s="1907"/>
      <c r="R1351" s="1110"/>
      <c r="S1351" s="1629"/>
      <c r="T1351" s="1629"/>
      <c r="U1351" s="1629"/>
      <c r="V1351" s="1629"/>
      <c r="W1351" s="1629"/>
      <c r="X1351" s="1629"/>
      <c r="Y1351" s="1146"/>
      <c r="Z1351" s="2114">
        <f>C1351-'Blocking-Step2'!C1351</f>
        <v>0</v>
      </c>
      <c r="AA1351" s="2114">
        <f>D1351-'Blocking-Step2'!D1351</f>
        <v>0</v>
      </c>
      <c r="AC1351" s="2114">
        <f>F1351-'Blocking-Step2'!F1351</f>
        <v>0</v>
      </c>
      <c r="AE1351" s="2114">
        <f>H1351-'Blocking-Step2'!H1351</f>
        <v>0</v>
      </c>
      <c r="AF1351" s="2114">
        <f>I1351-'Blocking-Step2'!I1351</f>
        <v>0</v>
      </c>
      <c r="AH1351" s="2136">
        <f>K1351-'Blocking-Step2'!K1351</f>
        <v>0</v>
      </c>
      <c r="AJ1351" s="2136">
        <f>M1351-'Blocking-Step2'!M1351</f>
        <v>0</v>
      </c>
      <c r="AL1351" s="2136">
        <f>O1351-'Blocking-Step2'!O1351</f>
        <v>0</v>
      </c>
      <c r="AN1351" s="2137">
        <f>Q1351-'Blocking-Step2'!Q1351</f>
        <v>0</v>
      </c>
      <c r="AP1351" s="2127">
        <f>S1351-'Blocking-Step2'!S1351</f>
        <v>0</v>
      </c>
      <c r="AR1351" s="2127">
        <f>U1351-'Blocking-Step2'!U1351</f>
        <v>0</v>
      </c>
      <c r="AT1351" s="2127">
        <f>W1351-'Blocking-Step2'!W1351</f>
        <v>0</v>
      </c>
      <c r="AV1351" s="2128">
        <f>Y1351-'Blocking-Step2'!Y1351</f>
        <v>0</v>
      </c>
    </row>
    <row r="1352" spans="1:48" ht="16.5" hidden="1" thickTop="1">
      <c r="A1352" s="1977" t="s">
        <v>281</v>
      </c>
      <c r="C1352" s="1105"/>
      <c r="D1352" s="1105"/>
      <c r="H1352" s="1146"/>
      <c r="I1352" s="1146"/>
      <c r="K1352" s="1907"/>
      <c r="M1352" s="1907"/>
      <c r="O1352" s="1907"/>
      <c r="Q1352" s="1907"/>
      <c r="Y1352" s="1146"/>
      <c r="Z1352" s="2114">
        <f>C1352-'Blocking-Step2'!C1352</f>
        <v>0</v>
      </c>
      <c r="AA1352" s="2114">
        <f>D1352-'Blocking-Step2'!D1352</f>
        <v>0</v>
      </c>
      <c r="AC1352" s="2114">
        <f>F1352-'Blocking-Step2'!F1352</f>
        <v>0</v>
      </c>
      <c r="AE1352" s="2114">
        <f>H1352-'Blocking-Step2'!H1352</f>
        <v>0</v>
      </c>
      <c r="AF1352" s="2114">
        <f>I1352-'Blocking-Step2'!I1352</f>
        <v>0</v>
      </c>
      <c r="AH1352" s="2136">
        <f>K1352-'Blocking-Step2'!K1352</f>
        <v>0</v>
      </c>
      <c r="AJ1352" s="2136">
        <f>M1352-'Blocking-Step2'!M1352</f>
        <v>0</v>
      </c>
      <c r="AL1352" s="2136">
        <f>O1352-'Blocking-Step2'!O1352</f>
        <v>0</v>
      </c>
      <c r="AN1352" s="2137">
        <f>Q1352-'Blocking-Step2'!Q1352</f>
        <v>0</v>
      </c>
      <c r="AP1352" s="2127">
        <f>S1352-'Blocking-Step2'!S1352</f>
        <v>0</v>
      </c>
      <c r="AR1352" s="2127">
        <f>U1352-'Blocking-Step2'!U1352</f>
        <v>0</v>
      </c>
      <c r="AT1352" s="2127">
        <f>W1352-'Blocking-Step2'!W1352</f>
        <v>0</v>
      </c>
      <c r="AV1352" s="2128">
        <f>Y1352-'Blocking-Step2'!Y1352</f>
        <v>0</v>
      </c>
    </row>
    <row r="1353" spans="1:48" ht="16.5" hidden="1" thickTop="1">
      <c r="A1353" s="1116" t="s">
        <v>274</v>
      </c>
      <c r="B1353" s="1104">
        <v>14</v>
      </c>
      <c r="C1353" s="1105">
        <v>12</v>
      </c>
      <c r="D1353" s="1105">
        <v>10</v>
      </c>
      <c r="F1353" s="1907">
        <v>19.46</v>
      </c>
      <c r="G1353" s="1110"/>
      <c r="H1353" s="1146">
        <v>234</v>
      </c>
      <c r="I1353" s="1146">
        <v>195</v>
      </c>
      <c r="K1353" s="1907"/>
      <c r="L1353" s="1110"/>
      <c r="M1353" s="1907"/>
      <c r="N1353" s="1110"/>
      <c r="O1353" s="1907"/>
      <c r="P1353" s="1110"/>
      <c r="Q1353" s="1907"/>
      <c r="R1353" s="1110"/>
      <c r="S1353" s="1629"/>
      <c r="T1353" s="1629"/>
      <c r="U1353" s="1629"/>
      <c r="V1353" s="1629"/>
      <c r="W1353" s="1629"/>
      <c r="X1353" s="1629"/>
      <c r="Y1353" s="1146"/>
      <c r="Z1353" s="2114">
        <f>C1353-'Blocking-Step2'!C1353</f>
        <v>0</v>
      </c>
      <c r="AA1353" s="2114">
        <f>D1353-'Blocking-Step2'!D1353</f>
        <v>0</v>
      </c>
      <c r="AC1353" s="2114">
        <f>F1353-'Blocking-Step2'!F1353</f>
        <v>0</v>
      </c>
      <c r="AE1353" s="2114">
        <f>H1353-'Blocking-Step2'!H1353</f>
        <v>0</v>
      </c>
      <c r="AF1353" s="2114">
        <f>I1353-'Blocking-Step2'!I1353</f>
        <v>0</v>
      </c>
      <c r="AH1353" s="2136">
        <f>K1353-'Blocking-Step2'!K1353</f>
        <v>0</v>
      </c>
      <c r="AJ1353" s="2136">
        <f>M1353-'Blocking-Step2'!M1353</f>
        <v>0</v>
      </c>
      <c r="AL1353" s="2136">
        <f>O1353-'Blocking-Step2'!O1353</f>
        <v>0</v>
      </c>
      <c r="AN1353" s="2137">
        <f>Q1353-'Blocking-Step2'!Q1353</f>
        <v>0</v>
      </c>
      <c r="AP1353" s="2127">
        <f>S1353-'Blocking-Step2'!S1353</f>
        <v>0</v>
      </c>
      <c r="AR1353" s="2127">
        <f>U1353-'Blocking-Step2'!U1353</f>
        <v>0</v>
      </c>
      <c r="AT1353" s="2127">
        <f>W1353-'Blocking-Step2'!W1353</f>
        <v>0</v>
      </c>
      <c r="AV1353" s="2128">
        <f>Y1353-'Blocking-Step2'!Y1353</f>
        <v>0</v>
      </c>
    </row>
    <row r="1354" spans="1:48" ht="16.5" hidden="1" thickTop="1">
      <c r="A1354" s="1116" t="s">
        <v>275</v>
      </c>
      <c r="B1354" s="1104">
        <v>15</v>
      </c>
      <c r="C1354" s="1105">
        <v>0</v>
      </c>
      <c r="D1354" s="1105">
        <v>0</v>
      </c>
      <c r="F1354" s="1907">
        <v>17.13</v>
      </c>
      <c r="G1354" s="1110"/>
      <c r="H1354" s="1146">
        <v>0</v>
      </c>
      <c r="I1354" s="1146">
        <v>0</v>
      </c>
      <c r="K1354" s="1907"/>
      <c r="L1354" s="1110"/>
      <c r="M1354" s="1907"/>
      <c r="N1354" s="1110"/>
      <c r="O1354" s="1907"/>
      <c r="P1354" s="1110"/>
      <c r="Q1354" s="1907"/>
      <c r="R1354" s="1110"/>
      <c r="S1354" s="1629"/>
      <c r="T1354" s="1629"/>
      <c r="U1354" s="1629"/>
      <c r="V1354" s="1629"/>
      <c r="W1354" s="1629"/>
      <c r="X1354" s="1629"/>
      <c r="Y1354" s="1146"/>
      <c r="Z1354" s="2114">
        <f>C1354-'Blocking-Step2'!C1354</f>
        <v>0</v>
      </c>
      <c r="AA1354" s="2114">
        <f>D1354-'Blocking-Step2'!D1354</f>
        <v>0</v>
      </c>
      <c r="AC1354" s="2114">
        <f>F1354-'Blocking-Step2'!F1354</f>
        <v>0</v>
      </c>
      <c r="AE1354" s="2114">
        <f>H1354-'Blocking-Step2'!H1354</f>
        <v>0</v>
      </c>
      <c r="AF1354" s="2114">
        <f>I1354-'Blocking-Step2'!I1354</f>
        <v>0</v>
      </c>
      <c r="AH1354" s="2136">
        <f>K1354-'Blocking-Step2'!K1354</f>
        <v>0</v>
      </c>
      <c r="AJ1354" s="2136">
        <f>M1354-'Blocking-Step2'!M1354</f>
        <v>0</v>
      </c>
      <c r="AL1354" s="2136">
        <f>O1354-'Blocking-Step2'!O1354</f>
        <v>0</v>
      </c>
      <c r="AN1354" s="2137">
        <f>Q1354-'Blocking-Step2'!Q1354</f>
        <v>0</v>
      </c>
      <c r="AP1354" s="2127">
        <f>S1354-'Blocking-Step2'!S1354</f>
        <v>0</v>
      </c>
      <c r="AR1354" s="2127">
        <f>U1354-'Blocking-Step2'!U1354</f>
        <v>0</v>
      </c>
      <c r="AT1354" s="2127">
        <f>W1354-'Blocking-Step2'!W1354</f>
        <v>0</v>
      </c>
      <c r="AV1354" s="2128">
        <f>Y1354-'Blocking-Step2'!Y1354</f>
        <v>0</v>
      </c>
    </row>
    <row r="1355" spans="1:48" ht="16.5" hidden="1" thickTop="1">
      <c r="A1355" s="1116" t="s">
        <v>277</v>
      </c>
      <c r="B1355" s="1104">
        <v>16</v>
      </c>
      <c r="C1355" s="1105">
        <v>58.900042535091501</v>
      </c>
      <c r="D1355" s="1105">
        <v>48</v>
      </c>
      <c r="F1355" s="1907">
        <v>23.51</v>
      </c>
      <c r="G1355" s="1110"/>
      <c r="H1355" s="1146">
        <v>1385</v>
      </c>
      <c r="I1355" s="1146">
        <v>1128</v>
      </c>
      <c r="K1355" s="1907"/>
      <c r="L1355" s="1110"/>
      <c r="M1355" s="1907"/>
      <c r="N1355" s="1110"/>
      <c r="O1355" s="1907"/>
      <c r="P1355" s="1110"/>
      <c r="Q1355" s="1907"/>
      <c r="R1355" s="1110"/>
      <c r="S1355" s="1629"/>
      <c r="T1355" s="1629"/>
      <c r="U1355" s="1629"/>
      <c r="V1355" s="1629"/>
      <c r="W1355" s="1629"/>
      <c r="X1355" s="1629"/>
      <c r="Y1355" s="1146"/>
      <c r="Z1355" s="2114">
        <f>C1355-'Blocking-Step2'!C1355</f>
        <v>0</v>
      </c>
      <c r="AA1355" s="2114">
        <f>D1355-'Blocking-Step2'!D1355</f>
        <v>0</v>
      </c>
      <c r="AC1355" s="2114">
        <f>F1355-'Blocking-Step2'!F1355</f>
        <v>0</v>
      </c>
      <c r="AE1355" s="2114">
        <f>H1355-'Blocking-Step2'!H1355</f>
        <v>0</v>
      </c>
      <c r="AF1355" s="2114">
        <f>I1355-'Blocking-Step2'!I1355</f>
        <v>0</v>
      </c>
      <c r="AH1355" s="2136">
        <f>K1355-'Blocking-Step2'!K1355</f>
        <v>0</v>
      </c>
      <c r="AJ1355" s="2136">
        <f>M1355-'Blocking-Step2'!M1355</f>
        <v>0</v>
      </c>
      <c r="AL1355" s="2136">
        <f>O1355-'Blocking-Step2'!O1355</f>
        <v>0</v>
      </c>
      <c r="AN1355" s="2137">
        <f>Q1355-'Blocking-Step2'!Q1355</f>
        <v>0</v>
      </c>
      <c r="AP1355" s="2127">
        <f>S1355-'Blocking-Step2'!S1355</f>
        <v>0</v>
      </c>
      <c r="AR1355" s="2127">
        <f>U1355-'Blocking-Step2'!U1355</f>
        <v>0</v>
      </c>
      <c r="AT1355" s="2127">
        <f>W1355-'Blocking-Step2'!W1355</f>
        <v>0</v>
      </c>
      <c r="AV1355" s="2128">
        <f>Y1355-'Blocking-Step2'!Y1355</f>
        <v>0</v>
      </c>
    </row>
    <row r="1356" spans="1:48" ht="16.5" hidden="1" thickTop="1">
      <c r="A1356" s="1116" t="s">
        <v>278</v>
      </c>
      <c r="B1356" s="1104">
        <v>17</v>
      </c>
      <c r="C1356" s="1105">
        <v>0</v>
      </c>
      <c r="D1356" s="1105">
        <v>0</v>
      </c>
      <c r="F1356" s="1907">
        <v>21.23</v>
      </c>
      <c r="G1356" s="1110"/>
      <c r="H1356" s="1146">
        <v>0</v>
      </c>
      <c r="I1356" s="1146">
        <v>0</v>
      </c>
      <c r="K1356" s="1907"/>
      <c r="L1356" s="1110"/>
      <c r="M1356" s="1907"/>
      <c r="N1356" s="1110"/>
      <c r="O1356" s="1907"/>
      <c r="P1356" s="1110"/>
      <c r="Q1356" s="1907"/>
      <c r="R1356" s="1110"/>
      <c r="S1356" s="1629"/>
      <c r="T1356" s="1629"/>
      <c r="U1356" s="1629"/>
      <c r="V1356" s="1629"/>
      <c r="W1356" s="1629"/>
      <c r="X1356" s="1629"/>
      <c r="Y1356" s="1146"/>
      <c r="Z1356" s="2114">
        <f>C1356-'Blocking-Step2'!C1356</f>
        <v>0</v>
      </c>
      <c r="AA1356" s="2114">
        <f>D1356-'Blocking-Step2'!D1356</f>
        <v>0</v>
      </c>
      <c r="AC1356" s="2114">
        <f>F1356-'Blocking-Step2'!F1356</f>
        <v>0</v>
      </c>
      <c r="AE1356" s="2114">
        <f>H1356-'Blocking-Step2'!H1356</f>
        <v>0</v>
      </c>
      <c r="AF1356" s="2114">
        <f>I1356-'Blocking-Step2'!I1356</f>
        <v>0</v>
      </c>
      <c r="AH1356" s="2136">
        <f>K1356-'Blocking-Step2'!K1356</f>
        <v>0</v>
      </c>
      <c r="AJ1356" s="2136">
        <f>M1356-'Blocking-Step2'!M1356</f>
        <v>0</v>
      </c>
      <c r="AL1356" s="2136">
        <f>O1356-'Blocking-Step2'!O1356</f>
        <v>0</v>
      </c>
      <c r="AN1356" s="2137">
        <f>Q1356-'Blocking-Step2'!Q1356</f>
        <v>0</v>
      </c>
      <c r="AP1356" s="2127">
        <f>S1356-'Blocking-Step2'!S1356</f>
        <v>0</v>
      </c>
      <c r="AR1356" s="2127">
        <f>U1356-'Blocking-Step2'!U1356</f>
        <v>0</v>
      </c>
      <c r="AT1356" s="2127">
        <f>W1356-'Blocking-Step2'!W1356</f>
        <v>0</v>
      </c>
      <c r="AV1356" s="2128">
        <f>Y1356-'Blocking-Step2'!Y1356</f>
        <v>0</v>
      </c>
    </row>
    <row r="1357" spans="1:48" ht="16.5" hidden="1" thickTop="1">
      <c r="A1357" s="1116" t="s">
        <v>279</v>
      </c>
      <c r="B1357" s="1104">
        <v>18</v>
      </c>
      <c r="C1357" s="1105">
        <v>336.83321554770299</v>
      </c>
      <c r="D1357" s="1105">
        <v>277</v>
      </c>
      <c r="F1357" s="1907">
        <v>28.3</v>
      </c>
      <c r="G1357" s="1110"/>
      <c r="H1357" s="1146">
        <v>9532</v>
      </c>
      <c r="I1357" s="1146">
        <v>7839</v>
      </c>
      <c r="K1357" s="1907"/>
      <c r="L1357" s="1110"/>
      <c r="M1357" s="1907"/>
      <c r="N1357" s="1110"/>
      <c r="O1357" s="1907"/>
      <c r="P1357" s="1110"/>
      <c r="Q1357" s="1907"/>
      <c r="R1357" s="1110"/>
      <c r="S1357" s="1629"/>
      <c r="T1357" s="1629"/>
      <c r="U1357" s="1629"/>
      <c r="V1357" s="1629"/>
      <c r="W1357" s="1629"/>
      <c r="X1357" s="1629"/>
      <c r="Y1357" s="1146"/>
      <c r="Z1357" s="2114">
        <f>C1357-'Blocking-Step2'!C1357</f>
        <v>0</v>
      </c>
      <c r="AA1357" s="2114">
        <f>D1357-'Blocking-Step2'!D1357</f>
        <v>0</v>
      </c>
      <c r="AC1357" s="2114">
        <f>F1357-'Blocking-Step2'!F1357</f>
        <v>0</v>
      </c>
      <c r="AE1357" s="2114">
        <f>H1357-'Blocking-Step2'!H1357</f>
        <v>0</v>
      </c>
      <c r="AF1357" s="2114">
        <f>I1357-'Blocking-Step2'!I1357</f>
        <v>0</v>
      </c>
      <c r="AH1357" s="2136">
        <f>K1357-'Blocking-Step2'!K1357</f>
        <v>0</v>
      </c>
      <c r="AJ1357" s="2136">
        <f>M1357-'Blocking-Step2'!M1357</f>
        <v>0</v>
      </c>
      <c r="AL1357" s="2136">
        <f>O1357-'Blocking-Step2'!O1357</f>
        <v>0</v>
      </c>
      <c r="AN1357" s="2137">
        <f>Q1357-'Blocking-Step2'!Q1357</f>
        <v>0</v>
      </c>
      <c r="AP1357" s="2127">
        <f>S1357-'Blocking-Step2'!S1357</f>
        <v>0</v>
      </c>
      <c r="AR1357" s="2127">
        <f>U1357-'Blocking-Step2'!U1357</f>
        <v>0</v>
      </c>
      <c r="AT1357" s="2127">
        <f>W1357-'Blocking-Step2'!W1357</f>
        <v>0</v>
      </c>
      <c r="AV1357" s="2128">
        <f>Y1357-'Blocking-Step2'!Y1357</f>
        <v>0</v>
      </c>
    </row>
    <row r="1358" spans="1:48" ht="16.5" hidden="1" thickTop="1">
      <c r="A1358" s="1116" t="s">
        <v>280</v>
      </c>
      <c r="B1358" s="1104">
        <v>19</v>
      </c>
      <c r="C1358" s="1105">
        <v>66.366679492112397</v>
      </c>
      <c r="D1358" s="1105">
        <v>54</v>
      </c>
      <c r="F1358" s="1907">
        <v>25.99</v>
      </c>
      <c r="G1358" s="1110"/>
      <c r="H1358" s="1146">
        <v>1725</v>
      </c>
      <c r="I1358" s="1146">
        <v>1403</v>
      </c>
      <c r="K1358" s="1907"/>
      <c r="L1358" s="1110"/>
      <c r="M1358" s="1907"/>
      <c r="N1358" s="1110"/>
      <c r="O1358" s="1907"/>
      <c r="P1358" s="1110"/>
      <c r="Q1358" s="1907"/>
      <c r="R1358" s="1110"/>
      <c r="S1358" s="1629"/>
      <c r="T1358" s="1629"/>
      <c r="U1358" s="1629"/>
      <c r="V1358" s="1629"/>
      <c r="W1358" s="1629"/>
      <c r="X1358" s="1629"/>
      <c r="Y1358" s="1146"/>
      <c r="Z1358" s="2114">
        <f>C1358-'Blocking-Step2'!C1358</f>
        <v>0</v>
      </c>
      <c r="AA1358" s="2114">
        <f>D1358-'Blocking-Step2'!D1358</f>
        <v>0</v>
      </c>
      <c r="AC1358" s="2114">
        <f>F1358-'Blocking-Step2'!F1358</f>
        <v>0</v>
      </c>
      <c r="AE1358" s="2114">
        <f>H1358-'Blocking-Step2'!H1358</f>
        <v>0</v>
      </c>
      <c r="AF1358" s="2114">
        <f>I1358-'Blocking-Step2'!I1358</f>
        <v>0</v>
      </c>
      <c r="AH1358" s="2136">
        <f>K1358-'Blocking-Step2'!K1358</f>
        <v>0</v>
      </c>
      <c r="AJ1358" s="2136">
        <f>M1358-'Blocking-Step2'!M1358</f>
        <v>0</v>
      </c>
      <c r="AL1358" s="2136">
        <f>O1358-'Blocking-Step2'!O1358</f>
        <v>0</v>
      </c>
      <c r="AN1358" s="2137">
        <f>Q1358-'Blocking-Step2'!Q1358</f>
        <v>0</v>
      </c>
      <c r="AP1358" s="2127">
        <f>S1358-'Blocking-Step2'!S1358</f>
        <v>0</v>
      </c>
      <c r="AR1358" s="2127">
        <f>U1358-'Blocking-Step2'!U1358</f>
        <v>0</v>
      </c>
      <c r="AT1358" s="2127">
        <f>W1358-'Blocking-Step2'!W1358</f>
        <v>0</v>
      </c>
      <c r="AV1358" s="2128">
        <f>Y1358-'Blocking-Step2'!Y1358</f>
        <v>0</v>
      </c>
    </row>
    <row r="1359" spans="1:48" ht="16.5" hidden="1" thickTop="1">
      <c r="A1359" s="1977" t="s">
        <v>289</v>
      </c>
      <c r="C1359" s="1105"/>
      <c r="D1359" s="1105"/>
      <c r="K1359" s="1907"/>
      <c r="M1359" s="1907"/>
      <c r="O1359" s="1907"/>
      <c r="Q1359" s="1907"/>
      <c r="Z1359" s="2114">
        <f>C1359-'Blocking-Step2'!C1359</f>
        <v>0</v>
      </c>
      <c r="AA1359" s="2114">
        <f>D1359-'Blocking-Step2'!D1359</f>
        <v>0</v>
      </c>
      <c r="AC1359" s="2114">
        <f>F1359-'Blocking-Step2'!F1359</f>
        <v>0</v>
      </c>
      <c r="AE1359" s="2114">
        <f>H1359-'Blocking-Step2'!H1359</f>
        <v>0</v>
      </c>
      <c r="AF1359" s="2114">
        <f>I1359-'Blocking-Step2'!I1359</f>
        <v>0</v>
      </c>
      <c r="AH1359" s="2136">
        <f>K1359-'Blocking-Step2'!K1359</f>
        <v>0</v>
      </c>
      <c r="AJ1359" s="2136">
        <f>M1359-'Blocking-Step2'!M1359</f>
        <v>0</v>
      </c>
      <c r="AL1359" s="2136">
        <f>O1359-'Blocking-Step2'!O1359</f>
        <v>0</v>
      </c>
      <c r="AN1359" s="2137">
        <f>Q1359-'Blocking-Step2'!Q1359</f>
        <v>0</v>
      </c>
      <c r="AP1359" s="2127">
        <f>S1359-'Blocking-Step2'!S1359</f>
        <v>0</v>
      </c>
      <c r="AR1359" s="2127">
        <f>U1359-'Blocking-Step2'!U1359</f>
        <v>0</v>
      </c>
      <c r="AT1359" s="2127">
        <f>W1359-'Blocking-Step2'!W1359</f>
        <v>0</v>
      </c>
      <c r="AV1359" s="2128">
        <f>Y1359-'Blocking-Step2'!Y1359</f>
        <v>0</v>
      </c>
    </row>
    <row r="1360" spans="1:48" ht="16.5" hidden="1" thickTop="1">
      <c r="A1360" s="1116" t="s">
        <v>290</v>
      </c>
      <c r="B1360" s="1104">
        <v>20</v>
      </c>
      <c r="C1360" s="1105">
        <v>0</v>
      </c>
      <c r="D1360" s="1105">
        <v>0</v>
      </c>
      <c r="F1360" s="1907">
        <v>29.4</v>
      </c>
      <c r="G1360" s="1110"/>
      <c r="H1360" s="1146">
        <v>0</v>
      </c>
      <c r="I1360" s="1146">
        <v>0</v>
      </c>
      <c r="K1360" s="1907"/>
      <c r="L1360" s="1110"/>
      <c r="M1360" s="1907"/>
      <c r="N1360" s="1110"/>
      <c r="O1360" s="1907"/>
      <c r="P1360" s="1110"/>
      <c r="Q1360" s="1907"/>
      <c r="R1360" s="1110"/>
      <c r="S1360" s="1629"/>
      <c r="T1360" s="1629"/>
      <c r="U1360" s="1629"/>
      <c r="V1360" s="1629"/>
      <c r="W1360" s="1629"/>
      <c r="X1360" s="1629"/>
      <c r="Y1360" s="1146"/>
      <c r="Z1360" s="2114">
        <f>C1360-'Blocking-Step2'!C1360</f>
        <v>0</v>
      </c>
      <c r="AA1360" s="2114">
        <f>D1360-'Blocking-Step2'!D1360</f>
        <v>0</v>
      </c>
      <c r="AC1360" s="2114">
        <f>F1360-'Blocking-Step2'!F1360</f>
        <v>0</v>
      </c>
      <c r="AE1360" s="2114">
        <f>H1360-'Blocking-Step2'!H1360</f>
        <v>0</v>
      </c>
      <c r="AF1360" s="2114">
        <f>I1360-'Blocking-Step2'!I1360</f>
        <v>0</v>
      </c>
      <c r="AH1360" s="2136">
        <f>K1360-'Blocking-Step2'!K1360</f>
        <v>0</v>
      </c>
      <c r="AJ1360" s="2136">
        <f>M1360-'Blocking-Step2'!M1360</f>
        <v>0</v>
      </c>
      <c r="AL1360" s="2136">
        <f>O1360-'Blocking-Step2'!O1360</f>
        <v>0</v>
      </c>
      <c r="AN1360" s="2137">
        <f>Q1360-'Blocking-Step2'!Q1360</f>
        <v>0</v>
      </c>
      <c r="AP1360" s="2127">
        <f>S1360-'Blocking-Step2'!S1360</f>
        <v>0</v>
      </c>
      <c r="AR1360" s="2127">
        <f>U1360-'Blocking-Step2'!U1360</f>
        <v>0</v>
      </c>
      <c r="AT1360" s="2127">
        <f>W1360-'Blocking-Step2'!W1360</f>
        <v>0</v>
      </c>
      <c r="AV1360" s="2128">
        <f>Y1360-'Blocking-Step2'!Y1360</f>
        <v>0</v>
      </c>
    </row>
    <row r="1361" spans="1:48" ht="16.5" hidden="1" thickTop="1">
      <c r="A1361" s="1116" t="s">
        <v>291</v>
      </c>
      <c r="B1361" s="1104">
        <v>21</v>
      </c>
      <c r="C1361" s="1105">
        <v>30.366223038090901</v>
      </c>
      <c r="D1361" s="1105">
        <v>25</v>
      </c>
      <c r="F1361" s="1907">
        <v>21.79</v>
      </c>
      <c r="G1361" s="1110"/>
      <c r="H1361" s="1146">
        <v>662</v>
      </c>
      <c r="I1361" s="1146">
        <v>545</v>
      </c>
      <c r="K1361" s="1907"/>
      <c r="L1361" s="1110"/>
      <c r="M1361" s="1907"/>
      <c r="N1361" s="1110"/>
      <c r="O1361" s="1907"/>
      <c r="P1361" s="1110"/>
      <c r="Q1361" s="1907"/>
      <c r="R1361" s="1110"/>
      <c r="S1361" s="1629"/>
      <c r="T1361" s="1629"/>
      <c r="U1361" s="1629"/>
      <c r="V1361" s="1629"/>
      <c r="W1361" s="1629"/>
      <c r="X1361" s="1629"/>
      <c r="Y1361" s="1146"/>
      <c r="Z1361" s="2114">
        <f>C1361-'Blocking-Step2'!C1361</f>
        <v>0</v>
      </c>
      <c r="AA1361" s="2114">
        <f>D1361-'Blocking-Step2'!D1361</f>
        <v>0</v>
      </c>
      <c r="AC1361" s="2114">
        <f>F1361-'Blocking-Step2'!F1361</f>
        <v>0</v>
      </c>
      <c r="AE1361" s="2114">
        <f>H1361-'Blocking-Step2'!H1361</f>
        <v>0</v>
      </c>
      <c r="AF1361" s="2114">
        <f>I1361-'Blocking-Step2'!I1361</f>
        <v>0</v>
      </c>
      <c r="AH1361" s="2136">
        <f>K1361-'Blocking-Step2'!K1361</f>
        <v>0</v>
      </c>
      <c r="AJ1361" s="2136">
        <f>M1361-'Blocking-Step2'!M1361</f>
        <v>0</v>
      </c>
      <c r="AL1361" s="2136">
        <f>O1361-'Blocking-Step2'!O1361</f>
        <v>0</v>
      </c>
      <c r="AN1361" s="2137">
        <f>Q1361-'Blocking-Step2'!Q1361</f>
        <v>0</v>
      </c>
      <c r="AP1361" s="2127">
        <f>S1361-'Blocking-Step2'!S1361</f>
        <v>0</v>
      </c>
      <c r="AR1361" s="2127">
        <f>U1361-'Blocking-Step2'!U1361</f>
        <v>0</v>
      </c>
      <c r="AT1361" s="2127">
        <f>W1361-'Blocking-Step2'!W1361</f>
        <v>0</v>
      </c>
      <c r="AV1361" s="2128">
        <f>Y1361-'Blocking-Step2'!Y1361</f>
        <v>0</v>
      </c>
    </row>
    <row r="1362" spans="1:48" ht="16.5" hidden="1" thickTop="1">
      <c r="A1362" s="1116" t="s">
        <v>292</v>
      </c>
      <c r="B1362" s="1104">
        <v>22</v>
      </c>
      <c r="C1362" s="1105">
        <v>0</v>
      </c>
      <c r="D1362" s="1105">
        <v>0</v>
      </c>
      <c r="F1362" s="1907">
        <v>34.340000000000003</v>
      </c>
      <c r="G1362" s="1110"/>
      <c r="H1362" s="1146">
        <v>0</v>
      </c>
      <c r="I1362" s="1146">
        <v>0</v>
      </c>
      <c r="K1362" s="1907"/>
      <c r="L1362" s="1110"/>
      <c r="M1362" s="1907"/>
      <c r="N1362" s="1110"/>
      <c r="O1362" s="1907"/>
      <c r="P1362" s="1110"/>
      <c r="Q1362" s="1907"/>
      <c r="R1362" s="1110"/>
      <c r="S1362" s="1629"/>
      <c r="T1362" s="1629"/>
      <c r="U1362" s="1629"/>
      <c r="V1362" s="1629"/>
      <c r="W1362" s="1629"/>
      <c r="X1362" s="1629"/>
      <c r="Y1362" s="1146"/>
      <c r="Z1362" s="2114">
        <f>C1362-'Blocking-Step2'!C1362</f>
        <v>0</v>
      </c>
      <c r="AA1362" s="2114">
        <f>D1362-'Blocking-Step2'!D1362</f>
        <v>0</v>
      </c>
      <c r="AC1362" s="2114">
        <f>F1362-'Blocking-Step2'!F1362</f>
        <v>0</v>
      </c>
      <c r="AE1362" s="2114">
        <f>H1362-'Blocking-Step2'!H1362</f>
        <v>0</v>
      </c>
      <c r="AF1362" s="2114">
        <f>I1362-'Blocking-Step2'!I1362</f>
        <v>0</v>
      </c>
      <c r="AH1362" s="2136">
        <f>K1362-'Blocking-Step2'!K1362</f>
        <v>0</v>
      </c>
      <c r="AJ1362" s="2136">
        <f>M1362-'Blocking-Step2'!M1362</f>
        <v>0</v>
      </c>
      <c r="AL1362" s="2136">
        <f>O1362-'Blocking-Step2'!O1362</f>
        <v>0</v>
      </c>
      <c r="AN1362" s="2137">
        <f>Q1362-'Blocking-Step2'!Q1362</f>
        <v>0</v>
      </c>
      <c r="AP1362" s="2127">
        <f>S1362-'Blocking-Step2'!S1362</f>
        <v>0</v>
      </c>
      <c r="AR1362" s="2127">
        <f>U1362-'Blocking-Step2'!U1362</f>
        <v>0</v>
      </c>
      <c r="AT1362" s="2127">
        <f>W1362-'Blocking-Step2'!W1362</f>
        <v>0</v>
      </c>
      <c r="AV1362" s="2128">
        <f>Y1362-'Blocking-Step2'!Y1362</f>
        <v>0</v>
      </c>
    </row>
    <row r="1363" spans="1:48" ht="16.5" hidden="1" thickTop="1">
      <c r="A1363" s="1116" t="s">
        <v>293</v>
      </c>
      <c r="B1363" s="1104">
        <v>23</v>
      </c>
      <c r="C1363" s="1105">
        <v>0</v>
      </c>
      <c r="D1363" s="1105">
        <v>0</v>
      </c>
      <c r="F1363" s="1907">
        <v>27.43</v>
      </c>
      <c r="G1363" s="1110"/>
      <c r="H1363" s="1146">
        <v>0</v>
      </c>
      <c r="I1363" s="1146">
        <v>0</v>
      </c>
      <c r="K1363" s="1907"/>
      <c r="L1363" s="1110"/>
      <c r="M1363" s="1907"/>
      <c r="N1363" s="1110"/>
      <c r="O1363" s="1907"/>
      <c r="P1363" s="1110"/>
      <c r="Q1363" s="1907"/>
      <c r="R1363" s="1110"/>
      <c r="S1363" s="1629"/>
      <c r="T1363" s="1629"/>
      <c r="U1363" s="1629"/>
      <c r="V1363" s="1629"/>
      <c r="W1363" s="1629"/>
      <c r="X1363" s="1629"/>
      <c r="Y1363" s="1146"/>
      <c r="Z1363" s="2114">
        <f>C1363-'Blocking-Step2'!C1363</f>
        <v>0</v>
      </c>
      <c r="AA1363" s="2114">
        <f>D1363-'Blocking-Step2'!D1363</f>
        <v>0</v>
      </c>
      <c r="AC1363" s="2114">
        <f>F1363-'Blocking-Step2'!F1363</f>
        <v>0</v>
      </c>
      <c r="AE1363" s="2114">
        <f>H1363-'Blocking-Step2'!H1363</f>
        <v>0</v>
      </c>
      <c r="AF1363" s="2114">
        <f>I1363-'Blocking-Step2'!I1363</f>
        <v>0</v>
      </c>
      <c r="AH1363" s="2136">
        <f>K1363-'Blocking-Step2'!K1363</f>
        <v>0</v>
      </c>
      <c r="AJ1363" s="2136">
        <f>M1363-'Blocking-Step2'!M1363</f>
        <v>0</v>
      </c>
      <c r="AL1363" s="2136">
        <f>O1363-'Blocking-Step2'!O1363</f>
        <v>0</v>
      </c>
      <c r="AN1363" s="2137">
        <f>Q1363-'Blocking-Step2'!Q1363</f>
        <v>0</v>
      </c>
      <c r="AP1363" s="2127">
        <f>S1363-'Blocking-Step2'!S1363</f>
        <v>0</v>
      </c>
      <c r="AR1363" s="2127">
        <f>U1363-'Blocking-Step2'!U1363</f>
        <v>0</v>
      </c>
      <c r="AT1363" s="2127">
        <f>W1363-'Blocking-Step2'!W1363</f>
        <v>0</v>
      </c>
      <c r="AV1363" s="2128">
        <f>Y1363-'Blocking-Step2'!Y1363</f>
        <v>0</v>
      </c>
    </row>
    <row r="1364" spans="1:48" ht="16.5" hidden="1" thickTop="1">
      <c r="A1364" s="1116" t="s">
        <v>294</v>
      </c>
      <c r="B1364" s="1104">
        <v>24</v>
      </c>
      <c r="C1364" s="1105">
        <v>74.766693922049598</v>
      </c>
      <c r="D1364" s="1105">
        <v>61</v>
      </c>
      <c r="F1364" s="1907">
        <v>36.69</v>
      </c>
      <c r="G1364" s="1110"/>
      <c r="H1364" s="1146">
        <v>2743</v>
      </c>
      <c r="I1364" s="1146">
        <v>2238</v>
      </c>
      <c r="K1364" s="1907"/>
      <c r="L1364" s="1110"/>
      <c r="M1364" s="1907"/>
      <c r="N1364" s="1110"/>
      <c r="O1364" s="1907"/>
      <c r="P1364" s="1110"/>
      <c r="Q1364" s="1907"/>
      <c r="R1364" s="1110"/>
      <c r="S1364" s="1629"/>
      <c r="T1364" s="1629"/>
      <c r="U1364" s="1629"/>
      <c r="V1364" s="1629"/>
      <c r="W1364" s="1629"/>
      <c r="X1364" s="1629"/>
      <c r="Y1364" s="1146"/>
      <c r="Z1364" s="2114">
        <f>C1364-'Blocking-Step2'!C1364</f>
        <v>0</v>
      </c>
      <c r="AA1364" s="2114">
        <f>D1364-'Blocking-Step2'!D1364</f>
        <v>0</v>
      </c>
      <c r="AC1364" s="2114">
        <f>F1364-'Blocking-Step2'!F1364</f>
        <v>0</v>
      </c>
      <c r="AE1364" s="2114">
        <f>H1364-'Blocking-Step2'!H1364</f>
        <v>0</v>
      </c>
      <c r="AF1364" s="2114">
        <f>I1364-'Blocking-Step2'!I1364</f>
        <v>0</v>
      </c>
      <c r="AH1364" s="2136">
        <f>K1364-'Blocking-Step2'!K1364</f>
        <v>0</v>
      </c>
      <c r="AJ1364" s="2136">
        <f>M1364-'Blocking-Step2'!M1364</f>
        <v>0</v>
      </c>
      <c r="AL1364" s="2136">
        <f>O1364-'Blocking-Step2'!O1364</f>
        <v>0</v>
      </c>
      <c r="AN1364" s="2137">
        <f>Q1364-'Blocking-Step2'!Q1364</f>
        <v>0</v>
      </c>
      <c r="AP1364" s="2127">
        <f>S1364-'Blocking-Step2'!S1364</f>
        <v>0</v>
      </c>
      <c r="AR1364" s="2127">
        <f>U1364-'Blocking-Step2'!U1364</f>
        <v>0</v>
      </c>
      <c r="AT1364" s="2127">
        <f>W1364-'Blocking-Step2'!W1364</f>
        <v>0</v>
      </c>
      <c r="AV1364" s="2128">
        <f>Y1364-'Blocking-Step2'!Y1364</f>
        <v>0</v>
      </c>
    </row>
    <row r="1365" spans="1:48" ht="16.5" hidden="1" thickTop="1">
      <c r="A1365" s="1116" t="s">
        <v>297</v>
      </c>
      <c r="B1365" s="1104">
        <v>25</v>
      </c>
      <c r="C1365" s="1105">
        <v>10.3667563930013</v>
      </c>
      <c r="D1365" s="1105">
        <v>9</v>
      </c>
      <c r="F1365" s="1907">
        <v>29.72</v>
      </c>
      <c r="G1365" s="1110"/>
      <c r="H1365" s="1146">
        <v>308</v>
      </c>
      <c r="I1365" s="1146">
        <v>267</v>
      </c>
      <c r="K1365" s="1907"/>
      <c r="L1365" s="1110"/>
      <c r="M1365" s="1907"/>
      <c r="N1365" s="1110"/>
      <c r="O1365" s="1907"/>
      <c r="P1365" s="1110"/>
      <c r="Q1365" s="1907"/>
      <c r="R1365" s="1110"/>
      <c r="S1365" s="1629"/>
      <c r="T1365" s="1629"/>
      <c r="U1365" s="1629"/>
      <c r="V1365" s="1629"/>
      <c r="W1365" s="1629"/>
      <c r="X1365" s="1629"/>
      <c r="Y1365" s="1146"/>
      <c r="Z1365" s="2114">
        <f>C1365-'Blocking-Step2'!C1365</f>
        <v>0</v>
      </c>
      <c r="AA1365" s="2114">
        <f>D1365-'Blocking-Step2'!D1365</f>
        <v>0</v>
      </c>
      <c r="AC1365" s="2114">
        <f>F1365-'Blocking-Step2'!F1365</f>
        <v>0</v>
      </c>
      <c r="AE1365" s="2114">
        <f>H1365-'Blocking-Step2'!H1365</f>
        <v>0</v>
      </c>
      <c r="AF1365" s="2114">
        <f>I1365-'Blocking-Step2'!I1365</f>
        <v>0</v>
      </c>
      <c r="AH1365" s="2136">
        <f>K1365-'Blocking-Step2'!K1365</f>
        <v>0</v>
      </c>
      <c r="AJ1365" s="2136">
        <f>M1365-'Blocking-Step2'!M1365</f>
        <v>0</v>
      </c>
      <c r="AL1365" s="2136">
        <f>O1365-'Blocking-Step2'!O1365</f>
        <v>0</v>
      </c>
      <c r="AN1365" s="2137">
        <f>Q1365-'Blocking-Step2'!Q1365</f>
        <v>0</v>
      </c>
      <c r="AP1365" s="2127">
        <f>S1365-'Blocking-Step2'!S1365</f>
        <v>0</v>
      </c>
      <c r="AR1365" s="2127">
        <f>U1365-'Blocking-Step2'!U1365</f>
        <v>0</v>
      </c>
      <c r="AT1365" s="2127">
        <f>W1365-'Blocking-Step2'!W1365</f>
        <v>0</v>
      </c>
      <c r="AV1365" s="2128">
        <f>Y1365-'Blocking-Step2'!Y1365</f>
        <v>0</v>
      </c>
    </row>
    <row r="1366" spans="1:48" ht="16.5" hidden="1" thickTop="1">
      <c r="A1366" s="1116" t="s">
        <v>298</v>
      </c>
      <c r="B1366" s="1104">
        <v>26</v>
      </c>
      <c r="C1366" s="1105">
        <v>0</v>
      </c>
      <c r="D1366" s="1105">
        <v>0</v>
      </c>
      <c r="F1366" s="1907">
        <v>57.58</v>
      </c>
      <c r="G1366" s="1110"/>
      <c r="H1366" s="1146">
        <v>0</v>
      </c>
      <c r="I1366" s="1146">
        <v>0</v>
      </c>
      <c r="K1366" s="1907"/>
      <c r="L1366" s="1110"/>
      <c r="M1366" s="1907"/>
      <c r="N1366" s="1110"/>
      <c r="O1366" s="1907"/>
      <c r="P1366" s="1110"/>
      <c r="Q1366" s="1907"/>
      <c r="R1366" s="1110"/>
      <c r="S1366" s="1629"/>
      <c r="T1366" s="1629"/>
      <c r="U1366" s="1629"/>
      <c r="V1366" s="1629"/>
      <c r="W1366" s="1629"/>
      <c r="X1366" s="1629"/>
      <c r="Y1366" s="1146"/>
      <c r="Z1366" s="2114">
        <f>C1366-'Blocking-Step2'!C1366</f>
        <v>0</v>
      </c>
      <c r="AA1366" s="2114">
        <f>D1366-'Blocking-Step2'!D1366</f>
        <v>0</v>
      </c>
      <c r="AC1366" s="2114">
        <f>F1366-'Blocking-Step2'!F1366</f>
        <v>0</v>
      </c>
      <c r="AE1366" s="2114">
        <f>H1366-'Blocking-Step2'!H1366</f>
        <v>0</v>
      </c>
      <c r="AF1366" s="2114">
        <f>I1366-'Blocking-Step2'!I1366</f>
        <v>0</v>
      </c>
      <c r="AH1366" s="2136">
        <f>K1366-'Blocking-Step2'!K1366</f>
        <v>0</v>
      </c>
      <c r="AJ1366" s="2136">
        <f>M1366-'Blocking-Step2'!M1366</f>
        <v>0</v>
      </c>
      <c r="AL1366" s="2136">
        <f>O1366-'Blocking-Step2'!O1366</f>
        <v>0</v>
      </c>
      <c r="AN1366" s="2137">
        <f>Q1366-'Blocking-Step2'!Q1366</f>
        <v>0</v>
      </c>
      <c r="AP1366" s="2127">
        <f>S1366-'Blocking-Step2'!S1366</f>
        <v>0</v>
      </c>
      <c r="AR1366" s="2127">
        <f>U1366-'Blocking-Step2'!U1366</f>
        <v>0</v>
      </c>
      <c r="AT1366" s="2127">
        <f>W1366-'Blocking-Step2'!W1366</f>
        <v>0</v>
      </c>
      <c r="AV1366" s="2128">
        <f>Y1366-'Blocking-Step2'!Y1366</f>
        <v>0</v>
      </c>
    </row>
    <row r="1367" spans="1:48" ht="16.5" hidden="1" thickTop="1">
      <c r="A1367" s="1116" t="s">
        <v>300</v>
      </c>
      <c r="B1367" s="1104">
        <v>27</v>
      </c>
      <c r="C1367" s="1105">
        <v>0</v>
      </c>
      <c r="D1367" s="1105">
        <v>0</v>
      </c>
      <c r="F1367" s="1907">
        <v>49.1</v>
      </c>
      <c r="G1367" s="1110"/>
      <c r="H1367" s="1146">
        <v>0</v>
      </c>
      <c r="I1367" s="1146">
        <v>0</v>
      </c>
      <c r="K1367" s="1907"/>
      <c r="L1367" s="1110"/>
      <c r="M1367" s="1907"/>
      <c r="N1367" s="1110"/>
      <c r="O1367" s="1907"/>
      <c r="P1367" s="1110"/>
      <c r="Q1367" s="1907"/>
      <c r="R1367" s="1110"/>
      <c r="S1367" s="1629"/>
      <c r="T1367" s="1629"/>
      <c r="U1367" s="1629"/>
      <c r="V1367" s="1629"/>
      <c r="W1367" s="1629"/>
      <c r="X1367" s="1629"/>
      <c r="Y1367" s="1146"/>
      <c r="Z1367" s="2114">
        <f>C1367-'Blocking-Step2'!C1367</f>
        <v>0</v>
      </c>
      <c r="AA1367" s="2114">
        <f>D1367-'Blocking-Step2'!D1367</f>
        <v>0</v>
      </c>
      <c r="AC1367" s="2114">
        <f>F1367-'Blocking-Step2'!F1367</f>
        <v>0</v>
      </c>
      <c r="AE1367" s="2114">
        <f>H1367-'Blocking-Step2'!H1367</f>
        <v>0</v>
      </c>
      <c r="AF1367" s="2114">
        <f>I1367-'Blocking-Step2'!I1367</f>
        <v>0</v>
      </c>
      <c r="AH1367" s="2136">
        <f>K1367-'Blocking-Step2'!K1367</f>
        <v>0</v>
      </c>
      <c r="AJ1367" s="2136">
        <f>M1367-'Blocking-Step2'!M1367</f>
        <v>0</v>
      </c>
      <c r="AL1367" s="2136">
        <f>O1367-'Blocking-Step2'!O1367</f>
        <v>0</v>
      </c>
      <c r="AN1367" s="2137">
        <f>Q1367-'Blocking-Step2'!Q1367</f>
        <v>0</v>
      </c>
      <c r="AP1367" s="2127">
        <f>S1367-'Blocking-Step2'!S1367</f>
        <v>0</v>
      </c>
      <c r="AR1367" s="2127">
        <f>U1367-'Blocking-Step2'!U1367</f>
        <v>0</v>
      </c>
      <c r="AT1367" s="2127">
        <f>W1367-'Blocking-Step2'!W1367</f>
        <v>0</v>
      </c>
      <c r="AV1367" s="2128">
        <f>Y1367-'Blocking-Step2'!Y1367</f>
        <v>0</v>
      </c>
    </row>
    <row r="1368" spans="1:48" ht="16.5" hidden="1" thickTop="1">
      <c r="A1368" s="1116" t="s">
        <v>130</v>
      </c>
      <c r="C1368" s="1105">
        <v>4750.5712470683729</v>
      </c>
      <c r="D1368" s="1105">
        <v>3900</v>
      </c>
      <c r="H1368" s="1146">
        <v>95560</v>
      </c>
      <c r="I1368" s="1146">
        <v>78444</v>
      </c>
      <c r="Y1368" s="1146"/>
      <c r="Z1368" s="2114">
        <f>C1368-'Blocking-Step2'!C1368</f>
        <v>0</v>
      </c>
      <c r="AA1368" s="2114">
        <f>D1368-'Blocking-Step2'!D1368</f>
        <v>0</v>
      </c>
      <c r="AC1368" s="2114">
        <f>F1368-'Blocking-Step2'!F1368</f>
        <v>0</v>
      </c>
      <c r="AE1368" s="2114">
        <f>H1368-'Blocking-Step2'!H1368</f>
        <v>0</v>
      </c>
      <c r="AF1368" s="2114">
        <f>I1368-'Blocking-Step2'!I1368</f>
        <v>0</v>
      </c>
      <c r="AH1368" s="2136">
        <f>K1368-'Blocking-Step2'!K1368</f>
        <v>0</v>
      </c>
      <c r="AJ1368" s="2136">
        <f>M1368-'Blocking-Step2'!M1368</f>
        <v>0</v>
      </c>
      <c r="AL1368" s="2136">
        <f>O1368-'Blocking-Step2'!O1368</f>
        <v>0</v>
      </c>
      <c r="AN1368" s="2137">
        <f>Q1368-'Blocking-Step2'!Q1368</f>
        <v>0</v>
      </c>
      <c r="AP1368" s="2127">
        <f>S1368-'Blocking-Step2'!S1368</f>
        <v>0</v>
      </c>
      <c r="AR1368" s="2127">
        <f>U1368-'Blocking-Step2'!U1368</f>
        <v>0</v>
      </c>
      <c r="AT1368" s="2127">
        <f>W1368-'Blocking-Step2'!W1368</f>
        <v>0</v>
      </c>
      <c r="AV1368" s="2128">
        <f>Y1368-'Blocking-Step2'!Y1368</f>
        <v>0</v>
      </c>
    </row>
    <row r="1369" spans="1:48" ht="16.5" hidden="1" thickTop="1">
      <c r="A1369" s="1116" t="s">
        <v>36</v>
      </c>
      <c r="C1369" s="1896">
        <v>361780.09622831794</v>
      </c>
      <c r="D1369" s="1896">
        <v>297000</v>
      </c>
      <c r="H1369" s="1146"/>
      <c r="I1369" s="1146"/>
      <c r="Y1369" s="1146"/>
      <c r="Z1369" s="2114">
        <f>C1369-'Blocking-Step2'!C1369</f>
        <v>0</v>
      </c>
      <c r="AA1369" s="2114">
        <f>D1369-'Blocking-Step2'!D1369</f>
        <v>0</v>
      </c>
      <c r="AC1369" s="2114">
        <f>F1369-'Blocking-Step2'!F1369</f>
        <v>0</v>
      </c>
      <c r="AE1369" s="2114">
        <f>H1369-'Blocking-Step2'!H1369</f>
        <v>0</v>
      </c>
      <c r="AF1369" s="2114">
        <f>I1369-'Blocking-Step2'!I1369</f>
        <v>0</v>
      </c>
      <c r="AH1369" s="2136">
        <f>K1369-'Blocking-Step2'!K1369</f>
        <v>0</v>
      </c>
      <c r="AJ1369" s="2136">
        <f>M1369-'Blocking-Step2'!M1369</f>
        <v>0</v>
      </c>
      <c r="AL1369" s="2136">
        <f>O1369-'Blocking-Step2'!O1369</f>
        <v>0</v>
      </c>
      <c r="AN1369" s="2137">
        <f>Q1369-'Blocking-Step2'!Q1369</f>
        <v>0</v>
      </c>
      <c r="AP1369" s="2127">
        <f>S1369-'Blocking-Step2'!S1369</f>
        <v>0</v>
      </c>
      <c r="AR1369" s="2127">
        <f>U1369-'Blocking-Step2'!U1369</f>
        <v>0</v>
      </c>
      <c r="AT1369" s="2127">
        <f>W1369-'Blocking-Step2'!W1369</f>
        <v>0</v>
      </c>
      <c r="AV1369" s="2128">
        <f>Y1369-'Blocking-Step2'!Y1369</f>
        <v>0</v>
      </c>
    </row>
    <row r="1370" spans="1:48" ht="16.5" hidden="1" thickTop="1">
      <c r="A1370" s="1116" t="s">
        <v>136</v>
      </c>
      <c r="C1370" s="2081">
        <v>-13404</v>
      </c>
      <c r="D1370" s="2081">
        <v>0</v>
      </c>
      <c r="F1370" s="2082"/>
      <c r="H1370" s="1148">
        <v>-3289</v>
      </c>
      <c r="I1370" s="1147">
        <v>0</v>
      </c>
      <c r="K1370" s="2082"/>
      <c r="M1370" s="2082"/>
      <c r="O1370" s="2082"/>
      <c r="Q1370" s="2082"/>
      <c r="Y1370" s="1147"/>
      <c r="Z1370" s="2114">
        <f>C1370-'Blocking-Step2'!C1370</f>
        <v>0</v>
      </c>
      <c r="AA1370" s="2114">
        <f>D1370-'Blocking-Step2'!D1370</f>
        <v>0</v>
      </c>
      <c r="AC1370" s="2114">
        <f>F1370-'Blocking-Step2'!F1370</f>
        <v>0</v>
      </c>
      <c r="AE1370" s="2114">
        <f>H1370-'Blocking-Step2'!H1370</f>
        <v>0</v>
      </c>
      <c r="AF1370" s="2114">
        <f>I1370-'Blocking-Step2'!I1370</f>
        <v>0</v>
      </c>
      <c r="AH1370" s="2136">
        <f>K1370-'Blocking-Step2'!K1370</f>
        <v>0</v>
      </c>
      <c r="AJ1370" s="2136">
        <f>M1370-'Blocking-Step2'!M1370</f>
        <v>0</v>
      </c>
      <c r="AL1370" s="2136">
        <f>O1370-'Blocking-Step2'!O1370</f>
        <v>0</v>
      </c>
      <c r="AN1370" s="2137">
        <f>Q1370-'Blocking-Step2'!Q1370</f>
        <v>0</v>
      </c>
      <c r="AP1370" s="2127">
        <f>S1370-'Blocking-Step2'!S1370</f>
        <v>0</v>
      </c>
      <c r="AR1370" s="2127">
        <f>U1370-'Blocking-Step2'!U1370</f>
        <v>0</v>
      </c>
      <c r="AT1370" s="2127">
        <f>W1370-'Blocking-Step2'!W1370</f>
        <v>0</v>
      </c>
      <c r="AV1370" s="2128">
        <f>Y1370-'Blocking-Step2'!Y1370</f>
        <v>0</v>
      </c>
    </row>
    <row r="1371" spans="1:48" ht="16.5" hidden="1" thickTop="1">
      <c r="A1371" s="1116" t="s">
        <v>1240</v>
      </c>
      <c r="C1371" s="1024"/>
      <c r="D1371" s="1024"/>
      <c r="F1371" s="2076">
        <v>-1.9800000000000002E-2</v>
      </c>
      <c r="G1371" s="617"/>
      <c r="H1371" s="1146">
        <v>-1892.0880000000002</v>
      </c>
      <c r="I1371" s="1146">
        <v>-1553.1912000000002</v>
      </c>
      <c r="K1371" s="2076"/>
      <c r="L1371" s="617"/>
      <c r="M1371" s="2076"/>
      <c r="N1371" s="617"/>
      <c r="O1371" s="2077" t="s">
        <v>2323</v>
      </c>
      <c r="P1371" s="617"/>
      <c r="Q1371" s="2076">
        <v>-1.8700000000000001E-2</v>
      </c>
      <c r="R1371" s="617"/>
      <c r="S1371" s="1114"/>
      <c r="T1371" s="1114"/>
      <c r="U1371" s="1114"/>
      <c r="V1371" s="1114"/>
      <c r="W1371" s="1114"/>
      <c r="X1371" s="1114"/>
      <c r="Y1371" s="1146">
        <v>-796.90792794857384</v>
      </c>
      <c r="Z1371" s="2114">
        <f>C1371-'Blocking-Step2'!C1371</f>
        <v>0</v>
      </c>
      <c r="AA1371" s="2114">
        <f>D1371-'Blocking-Step2'!D1371</f>
        <v>0</v>
      </c>
      <c r="AC1371" s="2114">
        <f>F1371-'Blocking-Step2'!F1371</f>
        <v>0</v>
      </c>
      <c r="AE1371" s="2114">
        <f>H1371-'Blocking-Step2'!H1371</f>
        <v>0</v>
      </c>
      <c r="AF1371" s="2114">
        <f>I1371-'Blocking-Step2'!I1371</f>
        <v>0</v>
      </c>
      <c r="AH1371" s="2136">
        <f>K1371-'Blocking-Step2'!K1371</f>
        <v>0</v>
      </c>
      <c r="AJ1371" s="2136">
        <f>M1371-'Blocking-Step2'!M1371</f>
        <v>0</v>
      </c>
      <c r="AL1371" s="2136" t="e">
        <f>O1371-'Blocking-Step2'!O1371</f>
        <v>#VALUE!</v>
      </c>
      <c r="AN1371" s="2137">
        <f>Q1371-'Blocking-Step2'!Q1371</f>
        <v>0</v>
      </c>
      <c r="AP1371" s="2127">
        <f>S1371-'Blocking-Step2'!S1371</f>
        <v>0</v>
      </c>
      <c r="AR1371" s="2127">
        <f>U1371-'Blocking-Step2'!U1371</f>
        <v>0</v>
      </c>
      <c r="AT1371" s="2127">
        <f>W1371-'Blocking-Step2'!W1371</f>
        <v>0</v>
      </c>
      <c r="AV1371" s="2128">
        <f>Y1371-'Blocking-Step2'!Y1371</f>
        <v>0</v>
      </c>
    </row>
    <row r="1372" spans="1:48" ht="16.5" hidden="1" thickTop="1">
      <c r="A1372" s="1116"/>
      <c r="C1372" s="1024"/>
      <c r="D1372" s="1024"/>
      <c r="F1372" s="2076"/>
      <c r="G1372" s="617"/>
      <c r="H1372" s="1146"/>
      <c r="I1372" s="1146"/>
      <c r="K1372" s="2076"/>
      <c r="L1372" s="617"/>
      <c r="M1372" s="2076"/>
      <c r="N1372" s="617"/>
      <c r="O1372" s="2077" t="s">
        <v>2324</v>
      </c>
      <c r="P1372" s="617"/>
      <c r="Q1372" s="2076">
        <v>-1.0200000000000001E-2</v>
      </c>
      <c r="R1372" s="617"/>
      <c r="S1372" s="1114"/>
      <c r="T1372" s="1114"/>
      <c r="U1372" s="1114"/>
      <c r="V1372" s="1114"/>
      <c r="W1372" s="1114"/>
      <c r="X1372" s="1114"/>
      <c r="Y1372" s="1146">
        <v>-434.67705160831304</v>
      </c>
      <c r="Z1372" s="2114">
        <f>C1372-'Blocking-Step2'!C1372</f>
        <v>0</v>
      </c>
      <c r="AA1372" s="2114">
        <f>D1372-'Blocking-Step2'!D1372</f>
        <v>0</v>
      </c>
      <c r="AC1372" s="2114">
        <f>F1372-'Blocking-Step2'!F1372</f>
        <v>0</v>
      </c>
      <c r="AE1372" s="2114">
        <f>H1372-'Blocking-Step2'!H1372</f>
        <v>0</v>
      </c>
      <c r="AF1372" s="2114">
        <f>I1372-'Blocking-Step2'!I1372</f>
        <v>0</v>
      </c>
      <c r="AH1372" s="2136">
        <f>K1372-'Blocking-Step2'!K1372</f>
        <v>0</v>
      </c>
      <c r="AJ1372" s="2136">
        <f>M1372-'Blocking-Step2'!M1372</f>
        <v>0</v>
      </c>
      <c r="AL1372" s="2136" t="e">
        <f>O1372-'Blocking-Step2'!O1372</f>
        <v>#VALUE!</v>
      </c>
      <c r="AN1372" s="2137">
        <f>Q1372-'Blocking-Step2'!Q1372</f>
        <v>0</v>
      </c>
      <c r="AP1372" s="2127">
        <f>S1372-'Blocking-Step2'!S1372</f>
        <v>0</v>
      </c>
      <c r="AR1372" s="2127">
        <f>U1372-'Blocking-Step2'!U1372</f>
        <v>0</v>
      </c>
      <c r="AT1372" s="2127">
        <f>W1372-'Blocking-Step2'!W1372</f>
        <v>0</v>
      </c>
      <c r="AV1372" s="2128">
        <f>Y1372-'Blocking-Step2'!Y1372</f>
        <v>0</v>
      </c>
    </row>
    <row r="1373" spans="1:48" ht="16.5" hidden="1" thickTop="1">
      <c r="A1373" s="1116" t="s">
        <v>141</v>
      </c>
      <c r="C1373" s="1105">
        <v>193.916666666667</v>
      </c>
      <c r="D1373" s="1105">
        <v>163</v>
      </c>
      <c r="Z1373" s="2114">
        <f>C1373-'Blocking-Step2'!C1373</f>
        <v>0</v>
      </c>
      <c r="AA1373" s="2114">
        <f>D1373-'Blocking-Step2'!D1373</f>
        <v>0</v>
      </c>
      <c r="AC1373" s="2114">
        <f>F1373-'Blocking-Step2'!F1373</f>
        <v>0</v>
      </c>
      <c r="AE1373" s="2114">
        <f>H1373-'Blocking-Step2'!H1373</f>
        <v>0</v>
      </c>
      <c r="AF1373" s="2114">
        <f>I1373-'Blocking-Step2'!I1373</f>
        <v>0</v>
      </c>
      <c r="AH1373" s="2136">
        <f>K1373-'Blocking-Step2'!K1373</f>
        <v>0</v>
      </c>
      <c r="AJ1373" s="2136">
        <f>M1373-'Blocking-Step2'!M1373</f>
        <v>0</v>
      </c>
      <c r="AL1373" s="2136">
        <f>O1373-'Blocking-Step2'!O1373</f>
        <v>0</v>
      </c>
      <c r="AN1373" s="2137">
        <f>Q1373-'Blocking-Step2'!Q1373</f>
        <v>0</v>
      </c>
      <c r="AP1373" s="2127">
        <f>S1373-'Blocking-Step2'!S1373</f>
        <v>0</v>
      </c>
      <c r="AR1373" s="2127">
        <f>U1373-'Blocking-Step2'!U1373</f>
        <v>0</v>
      </c>
      <c r="AT1373" s="2127">
        <f>W1373-'Blocking-Step2'!W1373</f>
        <v>0</v>
      </c>
      <c r="AV1373" s="2128">
        <f>Y1373-'Blocking-Step2'!Y1373</f>
        <v>0</v>
      </c>
    </row>
    <row r="1374" spans="1:48" ht="17.25" hidden="1" thickTop="1" thickBot="1">
      <c r="A1374" s="1116" t="s">
        <v>302</v>
      </c>
      <c r="C1374" s="2083">
        <v>348376.09622831794</v>
      </c>
      <c r="D1374" s="2083">
        <v>297000</v>
      </c>
      <c r="F1374" s="2078"/>
      <c r="H1374" s="1154">
        <v>90378.911999999997</v>
      </c>
      <c r="I1374" s="1154">
        <v>76890.808799999999</v>
      </c>
      <c r="K1374" s="2078"/>
      <c r="M1374" s="2078"/>
      <c r="O1374" s="2078"/>
      <c r="Q1374" s="2078"/>
      <c r="S1374" s="1628">
        <v>389.1866970949655</v>
      </c>
      <c r="U1374" s="1628">
        <v>92.726321384118876</v>
      </c>
      <c r="W1374" s="1628">
        <v>42133.48419802219</v>
      </c>
      <c r="Y1374" s="1154">
        <v>42615.397216501275</v>
      </c>
      <c r="Z1374" s="2114">
        <f>C1374-'Blocking-Step2'!C1374</f>
        <v>0</v>
      </c>
      <c r="AA1374" s="2114">
        <f>D1374-'Blocking-Step2'!D1374</f>
        <v>0</v>
      </c>
      <c r="AC1374" s="2114">
        <f>F1374-'Blocking-Step2'!F1374</f>
        <v>0</v>
      </c>
      <c r="AE1374" s="2114">
        <f>H1374-'Blocking-Step2'!H1374</f>
        <v>0</v>
      </c>
      <c r="AF1374" s="2114">
        <f>I1374-'Blocking-Step2'!I1374</f>
        <v>0</v>
      </c>
      <c r="AH1374" s="2136">
        <f>K1374-'Blocking-Step2'!K1374</f>
        <v>0</v>
      </c>
      <c r="AJ1374" s="2136">
        <f>M1374-'Blocking-Step2'!M1374</f>
        <v>0</v>
      </c>
      <c r="AL1374" s="2136">
        <f>O1374-'Blocking-Step2'!O1374</f>
        <v>0</v>
      </c>
      <c r="AN1374" s="2137">
        <f>Q1374-'Blocking-Step2'!Q1374</f>
        <v>0</v>
      </c>
      <c r="AP1374" s="2127">
        <f>S1374-'Blocking-Step2'!S1374</f>
        <v>-30.626441750991887</v>
      </c>
      <c r="AR1374" s="2127">
        <f>U1374-'Blocking-Step2'!U1374</f>
        <v>30.626441750991866</v>
      </c>
      <c r="AT1374" s="2127">
        <f>W1374-'Blocking-Step2'!W1374</f>
        <v>0</v>
      </c>
      <c r="AV1374" s="2128">
        <f>Y1374-'Blocking-Step2'!Y1374</f>
        <v>0</v>
      </c>
    </row>
    <row r="1375" spans="1:48" ht="16.5" thickTop="1">
      <c r="C1375" s="1105"/>
      <c r="D1375" s="1105"/>
      <c r="Z1375" s="2114">
        <f>C1375-'Blocking-Step2'!C1375</f>
        <v>0</v>
      </c>
      <c r="AA1375" s="2114">
        <f>D1375-'Blocking-Step2'!D1375</f>
        <v>0</v>
      </c>
      <c r="AC1375" s="2114">
        <f>F1375-'Blocking-Step2'!F1375</f>
        <v>0</v>
      </c>
      <c r="AE1375" s="2114">
        <f>H1375-'Blocking-Step2'!H1375</f>
        <v>0</v>
      </c>
      <c r="AF1375" s="2114">
        <f>I1375-'Blocking-Step2'!I1375</f>
        <v>0</v>
      </c>
      <c r="AH1375" s="2136">
        <f>K1375-'Blocking-Step2'!K1375</f>
        <v>0</v>
      </c>
      <c r="AJ1375" s="2136">
        <f>M1375-'Blocking-Step2'!M1375</f>
        <v>0</v>
      </c>
      <c r="AL1375" s="2136">
        <f>O1375-'Blocking-Step2'!O1375</f>
        <v>0</v>
      </c>
      <c r="AN1375" s="2137">
        <f>Q1375-'Blocking-Step2'!Q1375</f>
        <v>0</v>
      </c>
      <c r="AP1375" s="2127">
        <f>S1375-'Blocking-Step2'!S1375</f>
        <v>0</v>
      </c>
      <c r="AR1375" s="2127">
        <f>U1375-'Blocking-Step2'!U1375</f>
        <v>0</v>
      </c>
      <c r="AT1375" s="2127">
        <f>W1375-'Blocking-Step2'!W1375</f>
        <v>0</v>
      </c>
      <c r="AV1375" s="2128">
        <f>Y1375-'Blocking-Step2'!Y1375</f>
        <v>0</v>
      </c>
    </row>
    <row r="1376" spans="1:48">
      <c r="A1376" s="1115" t="s">
        <v>557</v>
      </c>
      <c r="C1376" s="1105"/>
      <c r="D1376" s="1105"/>
      <c r="Z1376" s="2114">
        <f>C1376-'Blocking-Step2'!C1376</f>
        <v>0</v>
      </c>
      <c r="AA1376" s="2114">
        <f>D1376-'Blocking-Step2'!D1376</f>
        <v>0</v>
      </c>
      <c r="AC1376" s="2114">
        <f>F1376-'Blocking-Step2'!F1376</f>
        <v>0</v>
      </c>
      <c r="AE1376" s="2114">
        <f>H1376-'Blocking-Step2'!H1376</f>
        <v>0</v>
      </c>
      <c r="AF1376" s="2114">
        <f>I1376-'Blocking-Step2'!I1376</f>
        <v>0</v>
      </c>
      <c r="AH1376" s="2136">
        <f>K1376-'Blocking-Step2'!K1376</f>
        <v>0</v>
      </c>
      <c r="AJ1376" s="2136">
        <f>M1376-'Blocking-Step2'!M1376</f>
        <v>0</v>
      </c>
      <c r="AL1376" s="2136">
        <f>O1376-'Blocking-Step2'!O1376</f>
        <v>0</v>
      </c>
      <c r="AN1376" s="2137">
        <f>Q1376-'Blocking-Step2'!Q1376</f>
        <v>0</v>
      </c>
      <c r="AP1376" s="2127">
        <f>S1376-'Blocking-Step2'!S1376</f>
        <v>0</v>
      </c>
      <c r="AR1376" s="2127">
        <f>U1376-'Blocking-Step2'!U1376</f>
        <v>0</v>
      </c>
      <c r="AT1376" s="2127">
        <f>W1376-'Blocking-Step2'!W1376</f>
        <v>0</v>
      </c>
      <c r="AV1376" s="2128">
        <f>Y1376-'Blocking-Step2'!Y1376</f>
        <v>0</v>
      </c>
    </row>
    <row r="1377" spans="1:48">
      <c r="A1377" s="1116" t="s">
        <v>240</v>
      </c>
      <c r="C1377" s="1105">
        <v>2791.4995714285697</v>
      </c>
      <c r="D1377" s="1105">
        <v>2823</v>
      </c>
      <c r="F1377" s="1907">
        <v>70</v>
      </c>
      <c r="G1377" s="1110"/>
      <c r="H1377" s="1146">
        <v>195405</v>
      </c>
      <c r="I1377" s="1146">
        <v>197610</v>
      </c>
      <c r="K1377" s="1907">
        <v>71</v>
      </c>
      <c r="L1377" s="1110"/>
      <c r="M1377" s="1907"/>
      <c r="N1377" s="1110"/>
      <c r="O1377" s="1907"/>
      <c r="P1377" s="1110"/>
      <c r="Q1377" s="1907">
        <v>71</v>
      </c>
      <c r="R1377" s="1110"/>
      <c r="S1377" s="1629">
        <v>200433</v>
      </c>
      <c r="T1377" s="1629"/>
      <c r="U1377" s="1629"/>
      <c r="V1377" s="1629"/>
      <c r="W1377" s="1629"/>
      <c r="X1377" s="1629"/>
      <c r="Y1377" s="1146">
        <v>200433</v>
      </c>
      <c r="Z1377" s="2114">
        <f>C1377-'Blocking-Step2'!C1377</f>
        <v>0</v>
      </c>
      <c r="AA1377" s="2114">
        <f>D1377-'Blocking-Step2'!D1377</f>
        <v>0</v>
      </c>
      <c r="AC1377" s="2114">
        <f>F1377-'Blocking-Step2'!F1377</f>
        <v>0</v>
      </c>
      <c r="AE1377" s="2114">
        <f>H1377-'Blocking-Step2'!H1377</f>
        <v>0</v>
      </c>
      <c r="AF1377" s="2114">
        <f>I1377-'Blocking-Step2'!I1377</f>
        <v>0</v>
      </c>
      <c r="AH1377" s="2136">
        <f>K1377-'Blocking-Step2'!K1377</f>
        <v>0</v>
      </c>
      <c r="AJ1377" s="2136">
        <f>M1377-'Blocking-Step2'!M1377</f>
        <v>0</v>
      </c>
      <c r="AL1377" s="2136">
        <f>O1377-'Blocking-Step2'!O1377</f>
        <v>0</v>
      </c>
      <c r="AN1377" s="2137">
        <f>Q1377-'Blocking-Step2'!Q1377</f>
        <v>0</v>
      </c>
      <c r="AP1377" s="2127">
        <f>S1377-'Blocking-Step2'!S1377</f>
        <v>0</v>
      </c>
      <c r="AR1377" s="2127">
        <f>U1377-'Blocking-Step2'!U1377</f>
        <v>0</v>
      </c>
      <c r="AT1377" s="2127">
        <f>W1377-'Blocking-Step2'!W1377</f>
        <v>0</v>
      </c>
      <c r="AV1377" s="2128">
        <f>Y1377-'Blocking-Step2'!Y1377</f>
        <v>0</v>
      </c>
    </row>
    <row r="1378" spans="1:48">
      <c r="A1378" s="1116" t="s">
        <v>168</v>
      </c>
      <c r="C1378" s="1105">
        <v>4200189.0693277307</v>
      </c>
      <c r="D1378" s="1105">
        <v>4249794</v>
      </c>
      <c r="F1378" s="1907">
        <v>4.76</v>
      </c>
      <c r="G1378" s="1110"/>
      <c r="H1378" s="1146">
        <v>19992900</v>
      </c>
      <c r="I1378" s="1146">
        <v>20229019</v>
      </c>
      <c r="K1378" s="1907">
        <v>4.84</v>
      </c>
      <c r="L1378" s="1110"/>
      <c r="M1378" s="1907"/>
      <c r="N1378" s="1110"/>
      <c r="O1378" s="1907"/>
      <c r="P1378" s="1110"/>
      <c r="Q1378" s="1907">
        <v>4.84</v>
      </c>
      <c r="R1378" s="1110"/>
      <c r="S1378" s="1629">
        <v>20364140.999474354</v>
      </c>
      <c r="T1378" s="1629"/>
      <c r="U1378" s="1629">
        <v>204862.00052564591</v>
      </c>
      <c r="V1378" s="1629"/>
      <c r="W1378" s="1629"/>
      <c r="X1378" s="1629"/>
      <c r="Y1378" s="1146">
        <v>20569003</v>
      </c>
      <c r="Z1378" s="2114">
        <f>C1378-'Blocking-Step2'!C1378</f>
        <v>0</v>
      </c>
      <c r="AA1378" s="2114">
        <f>D1378-'Blocking-Step2'!D1378</f>
        <v>0</v>
      </c>
      <c r="AC1378" s="2114">
        <f>F1378-'Blocking-Step2'!F1378</f>
        <v>0</v>
      </c>
      <c r="AE1378" s="2114">
        <f>H1378-'Blocking-Step2'!H1378</f>
        <v>0</v>
      </c>
      <c r="AF1378" s="2114">
        <f>I1378-'Blocking-Step2'!I1378</f>
        <v>0</v>
      </c>
      <c r="AH1378" s="2136">
        <f>K1378-'Blocking-Step2'!K1378</f>
        <v>0</v>
      </c>
      <c r="AJ1378" s="2136">
        <f>M1378-'Blocking-Step2'!M1378</f>
        <v>0</v>
      </c>
      <c r="AL1378" s="2136">
        <f>O1378-'Blocking-Step2'!O1378</f>
        <v>0</v>
      </c>
      <c r="AN1378" s="2137">
        <f>Q1378-'Blocking-Step2'!Q1378</f>
        <v>0</v>
      </c>
      <c r="AP1378" s="2127">
        <f>S1378-'Blocking-Step2'!S1378</f>
        <v>-204862.00052564591</v>
      </c>
      <c r="AR1378" s="2127">
        <f>U1378-'Blocking-Step2'!U1378</f>
        <v>204862.00052564591</v>
      </c>
      <c r="AT1378" s="2127">
        <f>W1378-'Blocking-Step2'!W1378</f>
        <v>0</v>
      </c>
      <c r="AV1378" s="2128">
        <f>Y1378-'Blocking-Step2'!Y1378</f>
        <v>0</v>
      </c>
    </row>
    <row r="1379" spans="1:48">
      <c r="A1379" s="1116" t="s">
        <v>1651</v>
      </c>
      <c r="C1379" s="1105">
        <v>1425364.3681954143</v>
      </c>
      <c r="D1379" s="1105">
        <v>1442193</v>
      </c>
      <c r="F1379" s="1142"/>
      <c r="G1379" s="617"/>
      <c r="H1379" s="1146"/>
      <c r="I1379" s="1146"/>
      <c r="K1379" s="1142">
        <v>0</v>
      </c>
      <c r="L1379" s="617"/>
      <c r="M1379" s="1142">
        <v>15.83</v>
      </c>
      <c r="N1379" s="617"/>
      <c r="O1379" s="1142"/>
      <c r="P1379" s="617"/>
      <c r="Q1379" s="1142">
        <v>15.83</v>
      </c>
      <c r="R1379" s="617"/>
      <c r="S1379" s="1114">
        <v>0</v>
      </c>
      <c r="T1379" s="1114"/>
      <c r="U1379" s="1114">
        <v>22829915</v>
      </c>
      <c r="V1379" s="1114"/>
      <c r="W1379" s="1114">
        <v>0</v>
      </c>
      <c r="X1379" s="1114"/>
      <c r="Y1379" s="1146">
        <v>22829915</v>
      </c>
      <c r="Z1379" s="2114">
        <f>C1379-'Blocking-Step2'!C1379</f>
        <v>0</v>
      </c>
      <c r="AA1379" s="2114">
        <f>D1379-'Blocking-Step2'!D1379</f>
        <v>0</v>
      </c>
      <c r="AC1379" s="2114">
        <f>F1379-'Blocking-Step2'!F1379</f>
        <v>0</v>
      </c>
      <c r="AE1379" s="2114">
        <f>H1379-'Blocking-Step2'!H1379</f>
        <v>0</v>
      </c>
      <c r="AF1379" s="2114">
        <f>I1379-'Blocking-Step2'!I1379</f>
        <v>0</v>
      </c>
      <c r="AH1379" s="2136">
        <f>K1379-'Blocking-Step2'!K1379</f>
        <v>-7.23</v>
      </c>
      <c r="AJ1379" s="2136">
        <f>M1379-'Blocking-Step2'!M1379</f>
        <v>7.23</v>
      </c>
      <c r="AL1379" s="2136">
        <f>O1379-'Blocking-Step2'!O1379</f>
        <v>0</v>
      </c>
      <c r="AN1379" s="2137">
        <f>Q1379-'Blocking-Step2'!Q1379</f>
        <v>0</v>
      </c>
      <c r="AP1379" s="2127">
        <f>S1379-'Blocking-Step2'!S1379</f>
        <v>-10422230.63618565</v>
      </c>
      <c r="AR1379" s="2127">
        <f>U1379-'Blocking-Step2'!U1379</f>
        <v>10422230.636185648</v>
      </c>
      <c r="AT1379" s="2127">
        <f>W1379-'Blocking-Step2'!W1379</f>
        <v>0</v>
      </c>
      <c r="AV1379" s="2128">
        <f>Y1379-'Blocking-Step2'!Y1379</f>
        <v>0</v>
      </c>
    </row>
    <row r="1380" spans="1:48">
      <c r="A1380" s="1116" t="s">
        <v>1652</v>
      </c>
      <c r="C1380" s="1105">
        <v>2567346.9177186969</v>
      </c>
      <c r="D1380" s="1105">
        <v>2597774</v>
      </c>
      <c r="F1380" s="1142"/>
      <c r="G1380" s="617"/>
      <c r="H1380" s="1146"/>
      <c r="I1380" s="1146"/>
      <c r="K1380" s="1142">
        <v>0</v>
      </c>
      <c r="L1380" s="617"/>
      <c r="M1380" s="1142">
        <v>14.01</v>
      </c>
      <c r="N1380" s="617"/>
      <c r="O1380" s="1142"/>
      <c r="P1380" s="617"/>
      <c r="Q1380" s="1142">
        <v>14.01</v>
      </c>
      <c r="R1380" s="617"/>
      <c r="S1380" s="1114">
        <v>0</v>
      </c>
      <c r="T1380" s="1114"/>
      <c r="U1380" s="1114">
        <v>36394814</v>
      </c>
      <c r="V1380" s="1114"/>
      <c r="W1380" s="1114">
        <v>0</v>
      </c>
      <c r="X1380" s="1114"/>
      <c r="Y1380" s="1146">
        <v>36394814</v>
      </c>
      <c r="Z1380" s="2114">
        <f>C1380-'Blocking-Step2'!C1380</f>
        <v>0</v>
      </c>
      <c r="AA1380" s="2114">
        <f>D1380-'Blocking-Step2'!D1380</f>
        <v>0</v>
      </c>
      <c r="AC1380" s="2114">
        <f>F1380-'Blocking-Step2'!F1380</f>
        <v>0</v>
      </c>
      <c r="AE1380" s="2114">
        <f>H1380-'Blocking-Step2'!H1380</f>
        <v>0</v>
      </c>
      <c r="AF1380" s="2114">
        <f>I1380-'Blocking-Step2'!I1380</f>
        <v>0</v>
      </c>
      <c r="AH1380" s="2136">
        <f>K1380-'Blocking-Step2'!K1380</f>
        <v>-6.4</v>
      </c>
      <c r="AJ1380" s="2136">
        <f>M1380-'Blocking-Step2'!M1380</f>
        <v>6.4</v>
      </c>
      <c r="AL1380" s="2136">
        <f>O1380-'Blocking-Step2'!O1380</f>
        <v>0</v>
      </c>
      <c r="AN1380" s="2137">
        <f>Q1380-'Blocking-Step2'!Q1380</f>
        <v>0</v>
      </c>
      <c r="AP1380" s="2127">
        <f>S1380-'Blocking-Step2'!S1380</f>
        <v>-16614829.510713395</v>
      </c>
      <c r="AR1380" s="2127">
        <f>U1380-'Blocking-Step2'!U1380</f>
        <v>16614829.510713391</v>
      </c>
      <c r="AT1380" s="2127">
        <f>W1380-'Blocking-Step2'!W1380</f>
        <v>0</v>
      </c>
      <c r="AV1380" s="2128">
        <f>Y1380-'Blocking-Step2'!Y1380</f>
        <v>0</v>
      </c>
    </row>
    <row r="1381" spans="1:48">
      <c r="A1381" s="1116" t="s">
        <v>1532</v>
      </c>
      <c r="C1381" s="1105">
        <v>185154109.36040783</v>
      </c>
      <c r="D1381" s="1105">
        <v>186186148.05356526</v>
      </c>
      <c r="F1381" s="1106"/>
      <c r="G1381" s="1921"/>
      <c r="H1381" s="1146"/>
      <c r="I1381" s="1146"/>
      <c r="K1381" s="1924"/>
      <c r="L1381" s="1921"/>
      <c r="M1381" s="1924">
        <v>1.4166000000000001</v>
      </c>
      <c r="N1381" s="1921" t="s">
        <v>495</v>
      </c>
      <c r="O1381" s="1922">
        <v>4.4476704152740005</v>
      </c>
      <c r="P1381" s="1921" t="s">
        <v>495</v>
      </c>
      <c r="Q1381" s="1106">
        <v>5.8642704152740004</v>
      </c>
      <c r="R1381" s="1921" t="s">
        <v>495</v>
      </c>
      <c r="S1381" s="1648"/>
      <c r="T1381" s="1648"/>
      <c r="U1381" s="1114">
        <v>4563913.0670937113</v>
      </c>
      <c r="V1381" s="1648"/>
      <c r="W1381" s="1114">
        <v>6354545.9329062887</v>
      </c>
      <c r="X1381" s="1648"/>
      <c r="Y1381" s="1146">
        <v>10918459</v>
      </c>
      <c r="Z1381" s="2114">
        <f>C1381-'Blocking-Step2'!C1381</f>
        <v>0</v>
      </c>
      <c r="AA1381" s="2114">
        <f>D1381-'Blocking-Step2'!D1381</f>
        <v>0</v>
      </c>
      <c r="AC1381" s="2114">
        <f>F1381-'Blocking-Step2'!F1381</f>
        <v>0</v>
      </c>
      <c r="AE1381" s="2114">
        <f>H1381-'Blocking-Step2'!H1381</f>
        <v>0</v>
      </c>
      <c r="AF1381" s="2114">
        <f>I1381-'Blocking-Step2'!I1381</f>
        <v>0</v>
      </c>
      <c r="AH1381" s="2136">
        <f>K1381-'Blocking-Step2'!K1381</f>
        <v>0</v>
      </c>
      <c r="AJ1381" s="2136">
        <f>M1381-'Blocking-Step2'!M1381</f>
        <v>0</v>
      </c>
      <c r="AL1381" s="2136">
        <f>O1381-'Blocking-Step2'!O1381</f>
        <v>0</v>
      </c>
      <c r="AN1381" s="2137">
        <f>Q1381-'Blocking-Step2'!Q1381</f>
        <v>0</v>
      </c>
      <c r="AP1381" s="2127">
        <f>S1381-'Blocking-Step2'!S1381</f>
        <v>0</v>
      </c>
      <c r="AR1381" s="2127">
        <f>U1381-'Blocking-Step2'!U1381</f>
        <v>-164.87865664530545</v>
      </c>
      <c r="AT1381" s="2127">
        <f>W1381-'Blocking-Step2'!W1381</f>
        <v>164.87865664530545</v>
      </c>
      <c r="AV1381" s="2128">
        <f>Y1381-'Blocking-Step2'!Y1381</f>
        <v>0</v>
      </c>
    </row>
    <row r="1382" spans="1:48">
      <c r="A1382" s="1116" t="s">
        <v>1653</v>
      </c>
      <c r="C1382" s="1105">
        <v>268735247.57796174</v>
      </c>
      <c r="D1382" s="1105">
        <v>270238556</v>
      </c>
      <c r="F1382" s="1106"/>
      <c r="G1382" s="1921"/>
      <c r="H1382" s="1146"/>
      <c r="I1382" s="1146"/>
      <c r="K1382" s="1924"/>
      <c r="L1382" s="1921"/>
      <c r="M1382" s="1924">
        <v>1.4166000000000001</v>
      </c>
      <c r="N1382" s="1921" t="s">
        <v>495</v>
      </c>
      <c r="O1382" s="1922">
        <v>3.7730198365260001</v>
      </c>
      <c r="P1382" s="1921" t="s">
        <v>495</v>
      </c>
      <c r="Q1382" s="1106">
        <v>5.189619836526</v>
      </c>
      <c r="R1382" s="1921" t="s">
        <v>495</v>
      </c>
      <c r="S1382" s="1648"/>
      <c r="T1382" s="1648"/>
      <c r="U1382" s="1114">
        <v>5862176.382046951</v>
      </c>
      <c r="V1382" s="1648"/>
      <c r="W1382" s="1114">
        <v>8162177.617953049</v>
      </c>
      <c r="X1382" s="1648"/>
      <c r="Y1382" s="1146">
        <v>14024354</v>
      </c>
      <c r="Z1382" s="2114">
        <f>C1382-'Blocking-Step2'!C1382</f>
        <v>0</v>
      </c>
      <c r="AA1382" s="2114">
        <f>D1382-'Blocking-Step2'!D1382</f>
        <v>0</v>
      </c>
      <c r="AC1382" s="2114">
        <f>F1382-'Blocking-Step2'!F1382</f>
        <v>0</v>
      </c>
      <c r="AE1382" s="2114">
        <f>H1382-'Blocking-Step2'!H1382</f>
        <v>0</v>
      </c>
      <c r="AF1382" s="2114">
        <f>I1382-'Blocking-Step2'!I1382</f>
        <v>0</v>
      </c>
      <c r="AH1382" s="2136">
        <f>K1382-'Blocking-Step2'!K1382</f>
        <v>0</v>
      </c>
      <c r="AJ1382" s="2136">
        <f>M1382-'Blocking-Step2'!M1382</f>
        <v>0</v>
      </c>
      <c r="AL1382" s="2136">
        <f>O1382-'Blocking-Step2'!O1382</f>
        <v>0</v>
      </c>
      <c r="AN1382" s="2137">
        <f>Q1382-'Blocking-Step2'!Q1382</f>
        <v>0</v>
      </c>
      <c r="AP1382" s="2127">
        <f>S1382-'Blocking-Step2'!S1382</f>
        <v>0</v>
      </c>
      <c r="AR1382" s="2127">
        <f>U1382-'Blocking-Step2'!U1382</f>
        <v>-211.78049464896321</v>
      </c>
      <c r="AT1382" s="2127">
        <f>W1382-'Blocking-Step2'!W1382</f>
        <v>211.78049464896321</v>
      </c>
      <c r="AV1382" s="2128">
        <f>Y1382-'Blocking-Step2'!Y1382</f>
        <v>0</v>
      </c>
    </row>
    <row r="1383" spans="1:48">
      <c r="A1383" s="1116" t="s">
        <v>1533</v>
      </c>
      <c r="C1383" s="1105">
        <v>521811126.72784448</v>
      </c>
      <c r="D1383" s="1105">
        <v>524787623</v>
      </c>
      <c r="F1383" s="1106"/>
      <c r="G1383" s="1921"/>
      <c r="H1383" s="1146"/>
      <c r="I1383" s="1146"/>
      <c r="K1383" s="1924"/>
      <c r="L1383" s="1921"/>
      <c r="M1383" s="1924">
        <v>1.4166000000000001</v>
      </c>
      <c r="N1383" s="1921" t="s">
        <v>495</v>
      </c>
      <c r="O1383" s="1922">
        <v>1.5641055047420001</v>
      </c>
      <c r="P1383" s="1921" t="s">
        <v>495</v>
      </c>
      <c r="Q1383" s="1106">
        <v>2.9807055047420001</v>
      </c>
      <c r="R1383" s="1921" t="s">
        <v>495</v>
      </c>
      <c r="S1383" s="1648"/>
      <c r="T1383" s="1648"/>
      <c r="U1383" s="1114">
        <v>6538508.3278663168</v>
      </c>
      <c r="V1383" s="1648"/>
      <c r="W1383" s="1114">
        <v>9103865.6721336842</v>
      </c>
      <c r="X1383" s="1648"/>
      <c r="Y1383" s="1146">
        <v>15642374</v>
      </c>
      <c r="Z1383" s="2114">
        <f>C1383-'Blocking-Step2'!C1383</f>
        <v>0</v>
      </c>
      <c r="AA1383" s="2114">
        <f>D1383-'Blocking-Step2'!D1383</f>
        <v>0</v>
      </c>
      <c r="AC1383" s="2114">
        <f>F1383-'Blocking-Step2'!F1383</f>
        <v>0</v>
      </c>
      <c r="AE1383" s="2114">
        <f>H1383-'Blocking-Step2'!H1383</f>
        <v>0</v>
      </c>
      <c r="AF1383" s="2114">
        <f>I1383-'Blocking-Step2'!I1383</f>
        <v>0</v>
      </c>
      <c r="AH1383" s="2136">
        <f>K1383-'Blocking-Step2'!K1383</f>
        <v>0</v>
      </c>
      <c r="AJ1383" s="2136">
        <f>M1383-'Blocking-Step2'!M1383</f>
        <v>0</v>
      </c>
      <c r="AL1383" s="2136">
        <f>O1383-'Blocking-Step2'!O1383</f>
        <v>0</v>
      </c>
      <c r="AN1383" s="2137">
        <f>Q1383-'Blocking-Step2'!Q1383</f>
        <v>0</v>
      </c>
      <c r="AP1383" s="2127">
        <f>S1383-'Blocking-Step2'!S1383</f>
        <v>0</v>
      </c>
      <c r="AR1383" s="2127">
        <f>U1383-'Blocking-Step2'!U1383</f>
        <v>-236.21406755782664</v>
      </c>
      <c r="AT1383" s="2127">
        <f>W1383-'Blocking-Step2'!W1383</f>
        <v>236.21406755968928</v>
      </c>
      <c r="AV1383" s="2128">
        <f>Y1383-'Blocking-Step2'!Y1383</f>
        <v>0</v>
      </c>
    </row>
    <row r="1384" spans="1:48">
      <c r="A1384" s="1116" t="s">
        <v>2177</v>
      </c>
      <c r="C1384" s="1105">
        <v>970674891.32886767</v>
      </c>
      <c r="D1384" s="1105">
        <v>976265495</v>
      </c>
      <c r="F1384" s="1106"/>
      <c r="G1384" s="1921"/>
      <c r="H1384" s="1146"/>
      <c r="I1384" s="1146"/>
      <c r="K1384" s="1924"/>
      <c r="L1384" s="1921"/>
      <c r="M1384" s="1924">
        <v>1.4166000000000001</v>
      </c>
      <c r="N1384" s="1921" t="s">
        <v>495</v>
      </c>
      <c r="O1384" s="1922">
        <v>1.2211924820729998</v>
      </c>
      <c r="P1384" s="1921" t="s">
        <v>495</v>
      </c>
      <c r="Q1384" s="1106">
        <v>2.6377924820729999</v>
      </c>
      <c r="R1384" s="1921" t="s">
        <v>495</v>
      </c>
      <c r="S1384" s="1648"/>
      <c r="T1384" s="1656"/>
      <c r="U1384" s="1114">
        <v>10764270.052041385</v>
      </c>
      <c r="V1384" s="1656"/>
      <c r="W1384" s="1114">
        <v>14987587.947958615</v>
      </c>
      <c r="X1384" s="1648"/>
      <c r="Y1384" s="1146">
        <v>25751858</v>
      </c>
      <c r="Z1384" s="2114">
        <f>C1384-'Blocking-Step2'!C1384</f>
        <v>0</v>
      </c>
      <c r="AA1384" s="2114">
        <f>D1384-'Blocking-Step2'!D1384</f>
        <v>0</v>
      </c>
      <c r="AC1384" s="2114">
        <f>F1384-'Blocking-Step2'!F1384</f>
        <v>0</v>
      </c>
      <c r="AE1384" s="2114">
        <f>H1384-'Blocking-Step2'!H1384</f>
        <v>0</v>
      </c>
      <c r="AF1384" s="2114">
        <f>I1384-'Blocking-Step2'!I1384</f>
        <v>0</v>
      </c>
      <c r="AH1384" s="2136">
        <f>K1384-'Blocking-Step2'!K1384</f>
        <v>0</v>
      </c>
      <c r="AJ1384" s="2136">
        <f>M1384-'Blocking-Step2'!M1384</f>
        <v>0</v>
      </c>
      <c r="AL1384" s="2136">
        <f>O1384-'Blocking-Step2'!O1384</f>
        <v>0</v>
      </c>
      <c r="AN1384" s="2137">
        <f>Q1384-'Blocking-Step2'!Q1384</f>
        <v>0</v>
      </c>
      <c r="AP1384" s="2127">
        <f>S1384-'Blocking-Step2'!S1384</f>
        <v>0</v>
      </c>
      <c r="AR1384" s="2127">
        <f>U1384-'Blocking-Step2'!U1384</f>
        <v>-388.87646628171206</v>
      </c>
      <c r="AT1384" s="2127">
        <f>W1384-'Blocking-Step2'!W1384</f>
        <v>388.87646628171206</v>
      </c>
      <c r="AV1384" s="2128">
        <f>Y1384-'Blocking-Step2'!Y1384</f>
        <v>0</v>
      </c>
    </row>
    <row r="1385" spans="1:48">
      <c r="A1385" s="1116" t="s">
        <v>18</v>
      </c>
      <c r="C1385" s="1105">
        <v>1763929.8329048851</v>
      </c>
      <c r="D1385" s="1105">
        <v>1784756</v>
      </c>
      <c r="F1385" s="1907">
        <v>15.56</v>
      </c>
      <c r="G1385" s="1110"/>
      <c r="H1385" s="1146">
        <v>27446748</v>
      </c>
      <c r="I1385" s="1146">
        <v>27770803</v>
      </c>
      <c r="K1385" s="1907"/>
      <c r="L1385" s="1110"/>
      <c r="M1385" s="1907"/>
      <c r="N1385" s="1110"/>
      <c r="O1385" s="1907"/>
      <c r="P1385" s="1110"/>
      <c r="Q1385" s="1907"/>
      <c r="R1385" s="1110"/>
      <c r="S1385" s="1629"/>
      <c r="T1385" s="1629"/>
      <c r="U1385" s="1629"/>
      <c r="V1385" s="1629"/>
      <c r="W1385" s="1629"/>
      <c r="X1385" s="1629"/>
      <c r="Y1385" s="1146"/>
      <c r="Z1385" s="2114">
        <f>C1385-'Blocking-Step2'!C1385</f>
        <v>0</v>
      </c>
      <c r="AA1385" s="2114">
        <f>D1385-'Blocking-Step2'!D1385</f>
        <v>0</v>
      </c>
      <c r="AC1385" s="2114">
        <f>F1385-'Blocking-Step2'!F1385</f>
        <v>0</v>
      </c>
      <c r="AE1385" s="2114">
        <f>H1385-'Blocking-Step2'!H1385</f>
        <v>0</v>
      </c>
      <c r="AF1385" s="2114">
        <f>I1385-'Blocking-Step2'!I1385</f>
        <v>0</v>
      </c>
      <c r="AH1385" s="2136">
        <f>K1385-'Blocking-Step2'!K1385</f>
        <v>0</v>
      </c>
      <c r="AJ1385" s="2136">
        <f>M1385-'Blocking-Step2'!M1385</f>
        <v>0</v>
      </c>
      <c r="AL1385" s="2136">
        <f>O1385-'Blocking-Step2'!O1385</f>
        <v>0</v>
      </c>
      <c r="AN1385" s="2137">
        <f>Q1385-'Blocking-Step2'!Q1385</f>
        <v>0</v>
      </c>
      <c r="AP1385" s="2127">
        <f>S1385-'Blocking-Step2'!S1385</f>
        <v>0</v>
      </c>
      <c r="AR1385" s="2127">
        <f>U1385-'Blocking-Step2'!U1385</f>
        <v>0</v>
      </c>
      <c r="AT1385" s="2127">
        <f>W1385-'Blocking-Step2'!W1385</f>
        <v>0</v>
      </c>
      <c r="AV1385" s="2128">
        <f>Y1385-'Blocking-Step2'!Y1385</f>
        <v>0</v>
      </c>
    </row>
    <row r="1386" spans="1:48">
      <c r="A1386" s="1116" t="s">
        <v>166</v>
      </c>
      <c r="C1386" s="1105">
        <v>2327490.8087578244</v>
      </c>
      <c r="D1386" s="1105">
        <v>2355074</v>
      </c>
      <c r="F1386" s="1907">
        <v>11.19</v>
      </c>
      <c r="G1386" s="1110"/>
      <c r="H1386" s="1146">
        <v>26044622</v>
      </c>
      <c r="I1386" s="1146">
        <v>26353278</v>
      </c>
      <c r="K1386" s="1907"/>
      <c r="L1386" s="1110"/>
      <c r="M1386" s="1907"/>
      <c r="N1386" s="1110"/>
      <c r="O1386" s="1907"/>
      <c r="P1386" s="1110"/>
      <c r="Q1386" s="1907"/>
      <c r="R1386" s="1110"/>
      <c r="S1386" s="1629"/>
      <c r="T1386" s="1629"/>
      <c r="U1386" s="1629"/>
      <c r="V1386" s="1629"/>
      <c r="W1386" s="1629"/>
      <c r="X1386" s="1629"/>
      <c r="Y1386" s="1146"/>
      <c r="Z1386" s="2114">
        <f>C1386-'Blocking-Step2'!C1386</f>
        <v>0</v>
      </c>
      <c r="AA1386" s="2114">
        <f>D1386-'Blocking-Step2'!D1386</f>
        <v>0</v>
      </c>
      <c r="AC1386" s="2114">
        <f>F1386-'Blocking-Step2'!F1386</f>
        <v>0</v>
      </c>
      <c r="AE1386" s="2114">
        <f>H1386-'Blocking-Step2'!H1386</f>
        <v>0</v>
      </c>
      <c r="AF1386" s="2114">
        <f>I1386-'Blocking-Step2'!I1386</f>
        <v>0</v>
      </c>
      <c r="AH1386" s="2136">
        <f>K1386-'Blocking-Step2'!K1386</f>
        <v>0</v>
      </c>
      <c r="AJ1386" s="2136">
        <f>M1386-'Blocking-Step2'!M1386</f>
        <v>0</v>
      </c>
      <c r="AL1386" s="2136">
        <f>O1386-'Blocking-Step2'!O1386</f>
        <v>0</v>
      </c>
      <c r="AN1386" s="2137">
        <f>Q1386-'Blocking-Step2'!Q1386</f>
        <v>0</v>
      </c>
      <c r="AP1386" s="2127">
        <f>S1386-'Blocking-Step2'!S1386</f>
        <v>0</v>
      </c>
      <c r="AR1386" s="2127">
        <f>U1386-'Blocking-Step2'!U1386</f>
        <v>0</v>
      </c>
      <c r="AT1386" s="2127">
        <f>W1386-'Blocking-Step2'!W1386</f>
        <v>0</v>
      </c>
      <c r="AV1386" s="2128">
        <f>Y1386-'Blocking-Step2'!Y1386</f>
        <v>0</v>
      </c>
    </row>
    <row r="1387" spans="1:48">
      <c r="A1387" s="1116" t="s">
        <v>261</v>
      </c>
      <c r="C1387" s="1105">
        <v>1864418.008849557</v>
      </c>
      <c r="D1387" s="1105">
        <v>1886120</v>
      </c>
      <c r="F1387" s="1907">
        <v>-1.1299999999999999</v>
      </c>
      <c r="G1387" s="1110"/>
      <c r="H1387" s="1146">
        <v>-2106792</v>
      </c>
      <c r="I1387" s="1146">
        <v>-2131316</v>
      </c>
      <c r="K1387" s="1142">
        <v>-1.1299999999999999</v>
      </c>
      <c r="L1387" s="617"/>
      <c r="M1387" s="1142"/>
      <c r="N1387" s="617"/>
      <c r="O1387" s="1142"/>
      <c r="P1387" s="1110"/>
      <c r="Q1387" s="1907">
        <v>-1.1299999999999999</v>
      </c>
      <c r="R1387" s="1110"/>
      <c r="S1387" s="1629">
        <v>-2131316</v>
      </c>
      <c r="T1387" s="1629"/>
      <c r="U1387" s="1629"/>
      <c r="V1387" s="1629"/>
      <c r="W1387" s="1629"/>
      <c r="X1387" s="1629"/>
      <c r="Y1387" s="1146">
        <v>-2131316</v>
      </c>
      <c r="Z1387" s="2114">
        <f>C1387-'Blocking-Step2'!C1387</f>
        <v>0</v>
      </c>
      <c r="AA1387" s="2114">
        <f>D1387-'Blocking-Step2'!D1387</f>
        <v>0</v>
      </c>
      <c r="AC1387" s="2114">
        <f>F1387-'Blocking-Step2'!F1387</f>
        <v>0</v>
      </c>
      <c r="AE1387" s="2114">
        <f>H1387-'Blocking-Step2'!H1387</f>
        <v>0</v>
      </c>
      <c r="AF1387" s="2114">
        <f>I1387-'Blocking-Step2'!I1387</f>
        <v>0</v>
      </c>
      <c r="AH1387" s="2136">
        <f>K1387-'Blocking-Step2'!K1387</f>
        <v>0</v>
      </c>
      <c r="AJ1387" s="2136">
        <f>M1387-'Blocking-Step2'!M1387</f>
        <v>0</v>
      </c>
      <c r="AL1387" s="2136">
        <f>O1387-'Blocking-Step2'!O1387</f>
        <v>0</v>
      </c>
      <c r="AN1387" s="2137">
        <f>Q1387-'Blocking-Step2'!Q1387</f>
        <v>0</v>
      </c>
      <c r="AP1387" s="2127">
        <f>S1387-'Blocking-Step2'!S1387</f>
        <v>0</v>
      </c>
      <c r="AR1387" s="2127">
        <f>U1387-'Blocking-Step2'!U1387</f>
        <v>0</v>
      </c>
      <c r="AT1387" s="2127">
        <f>W1387-'Blocking-Step2'!W1387</f>
        <v>0</v>
      </c>
      <c r="AV1387" s="2128">
        <f>Y1387-'Blocking-Step2'!Y1387</f>
        <v>0</v>
      </c>
    </row>
    <row r="1388" spans="1:48">
      <c r="A1388" s="1116" t="s">
        <v>188</v>
      </c>
      <c r="C1388" s="1105">
        <v>232225090.33673632</v>
      </c>
      <c r="D1388" s="1105">
        <v>233519498.05356526</v>
      </c>
      <c r="F1388" s="2084">
        <v>5.0473999999999997</v>
      </c>
      <c r="G1388" s="1921" t="s">
        <v>495</v>
      </c>
      <c r="H1388" s="1146">
        <v>11721329</v>
      </c>
      <c r="I1388" s="1146">
        <v>11786663</v>
      </c>
      <c r="K1388" s="2084"/>
      <c r="L1388" s="1921"/>
      <c r="M1388" s="2084"/>
      <c r="N1388" s="1921"/>
      <c r="O1388" s="2084"/>
      <c r="P1388" s="1921"/>
      <c r="Q1388" s="2084"/>
      <c r="R1388" s="1921"/>
      <c r="S1388" s="1648"/>
      <c r="T1388" s="1648"/>
      <c r="U1388" s="1648"/>
      <c r="V1388" s="1648"/>
      <c r="W1388" s="1648"/>
      <c r="X1388" s="1648"/>
      <c r="Y1388" s="1146"/>
      <c r="Z1388" s="2114">
        <f>C1388-'Blocking-Step2'!C1388</f>
        <v>0</v>
      </c>
      <c r="AA1388" s="2114">
        <f>D1388-'Blocking-Step2'!D1388</f>
        <v>0</v>
      </c>
      <c r="AC1388" s="2114">
        <f>F1388-'Blocking-Step2'!F1388</f>
        <v>0</v>
      </c>
      <c r="AE1388" s="2114">
        <f>H1388-'Blocking-Step2'!H1388</f>
        <v>0</v>
      </c>
      <c r="AF1388" s="2114">
        <f>I1388-'Blocking-Step2'!I1388</f>
        <v>0</v>
      </c>
      <c r="AH1388" s="2136">
        <f>K1388-'Blocking-Step2'!K1388</f>
        <v>0</v>
      </c>
      <c r="AJ1388" s="2136">
        <f>M1388-'Blocking-Step2'!M1388</f>
        <v>0</v>
      </c>
      <c r="AL1388" s="2136">
        <f>O1388-'Blocking-Step2'!O1388</f>
        <v>0</v>
      </c>
      <c r="AN1388" s="2137">
        <f>Q1388-'Blocking-Step2'!Q1388</f>
        <v>0</v>
      </c>
      <c r="AP1388" s="2127">
        <f>S1388-'Blocking-Step2'!S1388</f>
        <v>0</v>
      </c>
      <c r="AR1388" s="2127">
        <f>U1388-'Blocking-Step2'!U1388</f>
        <v>0</v>
      </c>
      <c r="AT1388" s="2127">
        <f>W1388-'Blocking-Step2'!W1388</f>
        <v>0</v>
      </c>
      <c r="AV1388" s="2128">
        <f>Y1388-'Blocking-Step2'!Y1388</f>
        <v>0</v>
      </c>
    </row>
    <row r="1389" spans="1:48">
      <c r="A1389" s="1116" t="s">
        <v>163</v>
      </c>
      <c r="C1389" s="1105">
        <v>544895526.36305022</v>
      </c>
      <c r="D1389" s="1105">
        <v>547943680</v>
      </c>
      <c r="F1389" s="2084">
        <v>3.9510999999999998</v>
      </c>
      <c r="G1389" s="1921" t="s">
        <v>495</v>
      </c>
      <c r="H1389" s="1146">
        <v>21529367</v>
      </c>
      <c r="I1389" s="1146">
        <v>21649803</v>
      </c>
      <c r="K1389" s="2084"/>
      <c r="L1389" s="1921"/>
      <c r="M1389" s="2084"/>
      <c r="N1389" s="1921"/>
      <c r="O1389" s="2084"/>
      <c r="P1389" s="1921"/>
      <c r="Q1389" s="2084"/>
      <c r="R1389" s="1921"/>
      <c r="S1389" s="1648"/>
      <c r="T1389" s="1648"/>
      <c r="U1389" s="1648"/>
      <c r="V1389" s="1648"/>
      <c r="W1389" s="1648"/>
      <c r="X1389" s="1648"/>
      <c r="Y1389" s="1146"/>
      <c r="Z1389" s="2114">
        <f>C1389-'Blocking-Step2'!C1389</f>
        <v>0</v>
      </c>
      <c r="AA1389" s="2114">
        <f>D1389-'Blocking-Step2'!D1389</f>
        <v>0</v>
      </c>
      <c r="AC1389" s="2114">
        <f>F1389-'Blocking-Step2'!F1389</f>
        <v>0</v>
      </c>
      <c r="AE1389" s="2114">
        <f>H1389-'Blocking-Step2'!H1389</f>
        <v>0</v>
      </c>
      <c r="AF1389" s="2114">
        <f>I1389-'Blocking-Step2'!I1389</f>
        <v>0</v>
      </c>
      <c r="AH1389" s="2136">
        <f>K1389-'Blocking-Step2'!K1389</f>
        <v>0</v>
      </c>
      <c r="AJ1389" s="2136">
        <f>M1389-'Blocking-Step2'!M1389</f>
        <v>0</v>
      </c>
      <c r="AL1389" s="2136">
        <f>O1389-'Blocking-Step2'!O1389</f>
        <v>0</v>
      </c>
      <c r="AN1389" s="2137">
        <f>Q1389-'Blocking-Step2'!Q1389</f>
        <v>0</v>
      </c>
      <c r="AP1389" s="2127">
        <f>S1389-'Blocking-Step2'!S1389</f>
        <v>0</v>
      </c>
      <c r="AR1389" s="2127">
        <f>U1389-'Blocking-Step2'!U1389</f>
        <v>0</v>
      </c>
      <c r="AT1389" s="2127">
        <f>W1389-'Blocking-Step2'!W1389</f>
        <v>0</v>
      </c>
      <c r="AV1389" s="2128">
        <f>Y1389-'Blocking-Step2'!Y1389</f>
        <v>0</v>
      </c>
    </row>
    <row r="1390" spans="1:48">
      <c r="A1390" s="1116" t="s">
        <v>249</v>
      </c>
      <c r="C1390" s="1105">
        <v>1169254758.2952952</v>
      </c>
      <c r="D1390" s="1105">
        <v>1176014644</v>
      </c>
      <c r="F1390" s="2084">
        <v>3.4001999999999999</v>
      </c>
      <c r="G1390" s="1921" t="s">
        <v>495</v>
      </c>
      <c r="H1390" s="1146">
        <v>39757000</v>
      </c>
      <c r="I1390" s="1146">
        <v>39986850</v>
      </c>
      <c r="K1390" s="2084"/>
      <c r="L1390" s="1921"/>
      <c r="M1390" s="2084"/>
      <c r="N1390" s="1921"/>
      <c r="O1390" s="2084"/>
      <c r="P1390" s="1921"/>
      <c r="Q1390" s="2084"/>
      <c r="R1390" s="1921"/>
      <c r="S1390" s="1648"/>
      <c r="T1390" s="1648"/>
      <c r="U1390" s="1648"/>
      <c r="V1390" s="1648"/>
      <c r="W1390" s="1648"/>
      <c r="X1390" s="1648"/>
      <c r="Y1390" s="1146"/>
      <c r="Z1390" s="2114">
        <f>C1390-'Blocking-Step2'!C1390</f>
        <v>0</v>
      </c>
      <c r="AA1390" s="2114">
        <f>D1390-'Blocking-Step2'!D1390</f>
        <v>0</v>
      </c>
      <c r="AC1390" s="2114">
        <f>F1390-'Blocking-Step2'!F1390</f>
        <v>0</v>
      </c>
      <c r="AE1390" s="2114">
        <f>H1390-'Blocking-Step2'!H1390</f>
        <v>0</v>
      </c>
      <c r="AF1390" s="2114">
        <f>I1390-'Blocking-Step2'!I1390</f>
        <v>0</v>
      </c>
      <c r="AH1390" s="2136">
        <f>K1390-'Blocking-Step2'!K1390</f>
        <v>0</v>
      </c>
      <c r="AJ1390" s="2136">
        <f>M1390-'Blocking-Step2'!M1390</f>
        <v>0</v>
      </c>
      <c r="AL1390" s="2136">
        <f>O1390-'Blocking-Step2'!O1390</f>
        <v>0</v>
      </c>
      <c r="AN1390" s="2137">
        <f>Q1390-'Blocking-Step2'!Q1390</f>
        <v>0</v>
      </c>
      <c r="AP1390" s="2127">
        <f>S1390-'Blocking-Step2'!S1390</f>
        <v>0</v>
      </c>
      <c r="AR1390" s="2127">
        <f>U1390-'Blocking-Step2'!U1390</f>
        <v>0</v>
      </c>
      <c r="AT1390" s="2127">
        <f>W1390-'Blocking-Step2'!W1390</f>
        <v>0</v>
      </c>
      <c r="AV1390" s="2128">
        <f>Y1390-'Blocking-Step2'!Y1390</f>
        <v>0</v>
      </c>
    </row>
    <row r="1391" spans="1:48">
      <c r="A1391" s="1116" t="s">
        <v>246</v>
      </c>
      <c r="C1391" s="1940">
        <v>-11458760</v>
      </c>
      <c r="D1391" s="1940">
        <v>0</v>
      </c>
      <c r="H1391" s="1147">
        <v>-736380</v>
      </c>
      <c r="I1391" s="1147">
        <v>0</v>
      </c>
      <c r="U1391" s="1648"/>
      <c r="W1391" s="1648"/>
      <c r="Y1391" s="1147">
        <v>0</v>
      </c>
      <c r="Z1391" s="2114">
        <f>C1391-'Blocking-Step2'!C1391</f>
        <v>0</v>
      </c>
      <c r="AA1391" s="2114">
        <f>D1391-'Blocking-Step2'!D1391</f>
        <v>0</v>
      </c>
      <c r="AC1391" s="2114">
        <f>F1391-'Blocking-Step2'!F1391</f>
        <v>0</v>
      </c>
      <c r="AE1391" s="2114">
        <f>H1391-'Blocking-Step2'!H1391</f>
        <v>0</v>
      </c>
      <c r="AF1391" s="2114">
        <f>I1391-'Blocking-Step2'!I1391</f>
        <v>0</v>
      </c>
      <c r="AH1391" s="2136">
        <f>K1391-'Blocking-Step2'!K1391</f>
        <v>0</v>
      </c>
      <c r="AJ1391" s="2136">
        <f>M1391-'Blocking-Step2'!M1391</f>
        <v>0</v>
      </c>
      <c r="AL1391" s="2136">
        <f>O1391-'Blocking-Step2'!O1391</f>
        <v>0</v>
      </c>
      <c r="AN1391" s="2137">
        <f>Q1391-'Blocking-Step2'!Q1391</f>
        <v>0</v>
      </c>
      <c r="AP1391" s="2127">
        <f>S1391-'Blocking-Step2'!S1391</f>
        <v>0</v>
      </c>
      <c r="AR1391" s="2127">
        <f>U1391-'Blocking-Step2'!U1391</f>
        <v>0</v>
      </c>
      <c r="AT1391" s="2127">
        <f>W1391-'Blocking-Step2'!W1391</f>
        <v>0</v>
      </c>
      <c r="AV1391" s="2128">
        <f>Y1391-'Blocking-Step2'!Y1391</f>
        <v>0</v>
      </c>
    </row>
    <row r="1392" spans="1:48">
      <c r="A1392" s="1116" t="s">
        <v>1240</v>
      </c>
      <c r="C1392" s="1024"/>
      <c r="D1392" s="1024"/>
      <c r="F1392" s="2076">
        <v>-3.1800000000000002E-2</v>
      </c>
      <c r="G1392" s="617"/>
      <c r="H1392" s="1146">
        <v>-4022670.2988000005</v>
      </c>
      <c r="I1392" s="1146">
        <v>-4056007.2246000003</v>
      </c>
      <c r="K1392" s="2076"/>
      <c r="L1392" s="617"/>
      <c r="M1392" s="2076"/>
      <c r="N1392" s="617"/>
      <c r="O1392" s="2077" t="s">
        <v>2323</v>
      </c>
      <c r="P1392" s="617"/>
      <c r="Q1392" s="2076">
        <v>-2.6499999999999999E-2</v>
      </c>
      <c r="R1392" s="617"/>
      <c r="S1392" s="1114"/>
      <c r="T1392" s="1114"/>
      <c r="U1392" s="1114"/>
      <c r="V1392" s="1114"/>
      <c r="W1392" s="1114"/>
      <c r="X1392" s="1114"/>
      <c r="Y1392" s="1146">
        <v>-3327387.0109999999</v>
      </c>
      <c r="Z1392" s="2114">
        <f>C1392-'Blocking-Step2'!C1392</f>
        <v>0</v>
      </c>
      <c r="AA1392" s="2114">
        <f>D1392-'Blocking-Step2'!D1392</f>
        <v>0</v>
      </c>
      <c r="AC1392" s="2114">
        <f>F1392-'Blocking-Step2'!F1392</f>
        <v>0</v>
      </c>
      <c r="AE1392" s="2114">
        <f>H1392-'Blocking-Step2'!H1392</f>
        <v>0</v>
      </c>
      <c r="AF1392" s="2114">
        <f>I1392-'Blocking-Step2'!I1392</f>
        <v>0</v>
      </c>
      <c r="AH1392" s="2136">
        <f>K1392-'Blocking-Step2'!K1392</f>
        <v>0</v>
      </c>
      <c r="AJ1392" s="2136">
        <f>M1392-'Blocking-Step2'!M1392</f>
        <v>0</v>
      </c>
      <c r="AL1392" s="2136" t="e">
        <f>O1392-'Blocking-Step2'!O1392</f>
        <v>#VALUE!</v>
      </c>
      <c r="AN1392" s="2137">
        <f>Q1392-'Blocking-Step2'!Q1392</f>
        <v>0</v>
      </c>
      <c r="AP1392" s="2127">
        <f>S1392-'Blocking-Step2'!S1392</f>
        <v>0</v>
      </c>
      <c r="AR1392" s="2127">
        <f>U1392-'Blocking-Step2'!U1392</f>
        <v>0</v>
      </c>
      <c r="AT1392" s="2127">
        <f>W1392-'Blocking-Step2'!W1392</f>
        <v>0</v>
      </c>
      <c r="AV1392" s="2128">
        <f>Y1392-'Blocking-Step2'!Y1392</f>
        <v>0</v>
      </c>
    </row>
    <row r="1393" spans="1:48">
      <c r="A1393" s="1116"/>
      <c r="C1393" s="1024"/>
      <c r="D1393" s="1024"/>
      <c r="F1393" s="2076"/>
      <c r="G1393" s="617"/>
      <c r="H1393" s="1146"/>
      <c r="I1393" s="1146"/>
      <c r="K1393" s="2076"/>
      <c r="L1393" s="617"/>
      <c r="M1393" s="2076"/>
      <c r="N1393" s="617"/>
      <c r="O1393" s="2077" t="s">
        <v>2324</v>
      </c>
      <c r="P1393" s="617"/>
      <c r="Q1393" s="2076">
        <v>-1.44E-2</v>
      </c>
      <c r="R1393" s="617"/>
      <c r="S1393" s="1114"/>
      <c r="T1393" s="1114"/>
      <c r="U1393" s="1114"/>
      <c r="V1393" s="1114"/>
      <c r="W1393" s="1114"/>
      <c r="X1393" s="1114"/>
      <c r="Y1393" s="1146">
        <v>-1808089.5455999998</v>
      </c>
      <c r="Z1393" s="2114">
        <f>C1393-'Blocking-Step2'!C1393</f>
        <v>0</v>
      </c>
      <c r="AA1393" s="2114">
        <f>D1393-'Blocking-Step2'!D1393</f>
        <v>0</v>
      </c>
      <c r="AC1393" s="2114">
        <f>F1393-'Blocking-Step2'!F1393</f>
        <v>0</v>
      </c>
      <c r="AE1393" s="2114">
        <f>H1393-'Blocking-Step2'!H1393</f>
        <v>0</v>
      </c>
      <c r="AF1393" s="2114">
        <f>I1393-'Blocking-Step2'!I1393</f>
        <v>0</v>
      </c>
      <c r="AH1393" s="2136">
        <f>K1393-'Blocking-Step2'!K1393</f>
        <v>0</v>
      </c>
      <c r="AJ1393" s="2136">
        <f>M1393-'Blocking-Step2'!M1393</f>
        <v>0</v>
      </c>
      <c r="AL1393" s="2136" t="e">
        <f>O1393-'Blocking-Step2'!O1393</f>
        <v>#VALUE!</v>
      </c>
      <c r="AN1393" s="2137">
        <f>Q1393-'Blocking-Step2'!Q1393</f>
        <v>0</v>
      </c>
      <c r="AP1393" s="2127">
        <f>S1393-'Blocking-Step2'!S1393</f>
        <v>0</v>
      </c>
      <c r="AR1393" s="2127">
        <f>U1393-'Blocking-Step2'!U1393</f>
        <v>0</v>
      </c>
      <c r="AT1393" s="2127">
        <f>W1393-'Blocking-Step2'!W1393</f>
        <v>0</v>
      </c>
      <c r="AV1393" s="2128">
        <f>Y1393-'Blocking-Step2'!Y1393</f>
        <v>0</v>
      </c>
    </row>
    <row r="1394" spans="1:48" ht="16.5" thickBot="1">
      <c r="A1394" s="1116" t="s">
        <v>247</v>
      </c>
      <c r="C1394" s="1138">
        <v>1934916614.9950819</v>
      </c>
      <c r="D1394" s="1138">
        <v>1957477822.0535653</v>
      </c>
      <c r="F1394" s="1145"/>
      <c r="H1394" s="1149">
        <v>139821528.70120001</v>
      </c>
      <c r="I1394" s="1149">
        <v>141786702.77540001</v>
      </c>
      <c r="K1394" s="1145"/>
      <c r="M1394" s="1145"/>
      <c r="O1394" s="2078"/>
      <c r="Q1394" s="2078"/>
      <c r="S1394" s="1154">
        <v>18433257.999474354</v>
      </c>
      <c r="T1394" s="1154"/>
      <c r="U1394" s="1154">
        <v>87158458.829574019</v>
      </c>
      <c r="V1394" s="1154"/>
      <c r="W1394" s="1154">
        <v>38608177.170951635</v>
      </c>
      <c r="Y1394" s="1154">
        <v>144199894</v>
      </c>
      <c r="Z1394" s="2114">
        <f>C1394-'Blocking-Step2'!C1394</f>
        <v>0</v>
      </c>
      <c r="AA1394" s="2114">
        <f>D1394-'Blocking-Step2'!D1394</f>
        <v>0</v>
      </c>
      <c r="AC1394" s="2114">
        <f>F1394-'Blocking-Step2'!F1394</f>
        <v>0</v>
      </c>
      <c r="AE1394" s="2114">
        <f>H1394-'Blocking-Step2'!H1394</f>
        <v>0</v>
      </c>
      <c r="AF1394" s="2114">
        <f>I1394-'Blocking-Step2'!I1394</f>
        <v>0</v>
      </c>
      <c r="AH1394" s="2136">
        <f>K1394-'Blocking-Step2'!K1394</f>
        <v>0</v>
      </c>
      <c r="AJ1394" s="2136">
        <f>M1394-'Blocking-Step2'!M1394</f>
        <v>0</v>
      </c>
      <c r="AL1394" s="2136">
        <f>O1394-'Blocking-Step2'!O1394</f>
        <v>0</v>
      </c>
      <c r="AN1394" s="2137">
        <f>Q1394-'Blocking-Step2'!Q1394</f>
        <v>0</v>
      </c>
      <c r="AP1394" s="2127">
        <f>S1394-'Blocking-Step2'!S1394</f>
        <v>-27241922.14742469</v>
      </c>
      <c r="AR1394" s="2127">
        <f>U1394-'Blocking-Step2'!U1394</f>
        <v>27240920.397739559</v>
      </c>
      <c r="AT1394" s="2127">
        <f>W1394-'Blocking-Step2'!W1394</f>
        <v>1001.749685138464</v>
      </c>
      <c r="AV1394" s="2128">
        <f>Y1394-'Blocking-Step2'!Y1394</f>
        <v>0</v>
      </c>
    </row>
    <row r="1395" spans="1:48" ht="16.5" hidden="1" thickTop="1">
      <c r="M1395" s="2085" t="s">
        <v>2309</v>
      </c>
      <c r="O1395" s="1104">
        <v>2.1743000000000001</v>
      </c>
      <c r="P1395" s="1921" t="s">
        <v>495</v>
      </c>
      <c r="Z1395" s="2114">
        <f>C1395-'Blocking-Step2'!C1395</f>
        <v>0</v>
      </c>
      <c r="AA1395" s="2114">
        <f>D1395-'Blocking-Step2'!D1395</f>
        <v>0</v>
      </c>
      <c r="AC1395" s="2114">
        <f>F1395-'Blocking-Step2'!F1395</f>
        <v>0</v>
      </c>
      <c r="AE1395" s="2114">
        <f>H1395-'Blocking-Step2'!H1395</f>
        <v>0</v>
      </c>
      <c r="AF1395" s="2114">
        <f>I1395-'Blocking-Step2'!I1395</f>
        <v>0</v>
      </c>
      <c r="AH1395" s="2136">
        <f>K1395-'Blocking-Step2'!K1395</f>
        <v>0</v>
      </c>
      <c r="AJ1395" s="2136" t="e">
        <f>M1395-'Blocking-Step2'!M1395</f>
        <v>#VALUE!</v>
      </c>
      <c r="AL1395" s="2136">
        <f>O1395-'Blocking-Step2'!O1395</f>
        <v>1.0000000000021103E-4</v>
      </c>
      <c r="AN1395" s="2137">
        <f>Q1395-'Blocking-Step2'!Q1395</f>
        <v>0</v>
      </c>
      <c r="AP1395" s="2127">
        <f>S1395-'Blocking-Step2'!S1395</f>
        <v>0</v>
      </c>
      <c r="AR1395" s="2127">
        <f>U1395-'Blocking-Step2'!U1395</f>
        <v>0</v>
      </c>
      <c r="AT1395" s="2127">
        <f>W1395-'Blocking-Step2'!W1395</f>
        <v>0</v>
      </c>
      <c r="AV1395" s="2128">
        <f>Y1395-'Blocking-Step2'!Y1395</f>
        <v>0</v>
      </c>
    </row>
    <row r="1396" spans="1:48" ht="16.5" hidden="1" thickTop="1">
      <c r="M1396" s="2085" t="s">
        <v>2309</v>
      </c>
      <c r="O1396" s="1104">
        <v>1.8572</v>
      </c>
      <c r="P1396" s="1921" t="s">
        <v>495</v>
      </c>
      <c r="Z1396" s="2114">
        <f>C1396-'Blocking-Step2'!C1396</f>
        <v>0</v>
      </c>
      <c r="AA1396" s="2114">
        <f>D1396-'Blocking-Step2'!D1396</f>
        <v>0</v>
      </c>
      <c r="AC1396" s="2114">
        <f>F1396-'Blocking-Step2'!F1396</f>
        <v>0</v>
      </c>
      <c r="AE1396" s="2114">
        <f>H1396-'Blocking-Step2'!H1396</f>
        <v>0</v>
      </c>
      <c r="AF1396" s="2114">
        <f>I1396-'Blocking-Step2'!I1396</f>
        <v>0</v>
      </c>
      <c r="AH1396" s="2136">
        <f>K1396-'Blocking-Step2'!K1396</f>
        <v>0</v>
      </c>
      <c r="AJ1396" s="2136" t="e">
        <f>M1396-'Blocking-Step2'!M1396</f>
        <v>#VALUE!</v>
      </c>
      <c r="AL1396" s="2136">
        <f>O1396-'Blocking-Step2'!O1396</f>
        <v>9.9999999999988987E-5</v>
      </c>
      <c r="AN1396" s="2137">
        <f>Q1396-'Blocking-Step2'!Q1396</f>
        <v>0</v>
      </c>
      <c r="AP1396" s="2127">
        <f>S1396-'Blocking-Step2'!S1396</f>
        <v>0</v>
      </c>
      <c r="AR1396" s="2127">
        <f>U1396-'Blocking-Step2'!U1396</f>
        <v>0</v>
      </c>
      <c r="AT1396" s="2127">
        <f>W1396-'Blocking-Step2'!W1396</f>
        <v>0</v>
      </c>
      <c r="AV1396" s="2128">
        <f>Y1396-'Blocking-Step2'!Y1396</f>
        <v>0</v>
      </c>
    </row>
    <row r="1397" spans="1:48" ht="16.5" hidden="1" thickTop="1">
      <c r="Z1397" s="2114">
        <f>C1397-'Blocking-Step2'!C1397</f>
        <v>0</v>
      </c>
      <c r="AA1397" s="2114">
        <f>D1397-'Blocking-Step2'!D1397</f>
        <v>0</v>
      </c>
      <c r="AC1397" s="2114">
        <f>F1397-'Blocking-Step2'!F1397</f>
        <v>0</v>
      </c>
      <c r="AE1397" s="2114">
        <f>H1397-'Blocking-Step2'!H1397</f>
        <v>0</v>
      </c>
      <c r="AF1397" s="2114">
        <f>I1397-'Blocking-Step2'!I1397</f>
        <v>0</v>
      </c>
      <c r="AH1397" s="2136">
        <f>K1397-'Blocking-Step2'!K1397</f>
        <v>0</v>
      </c>
      <c r="AJ1397" s="2136">
        <f>M1397-'Blocking-Step2'!M1397</f>
        <v>0</v>
      </c>
      <c r="AL1397" s="2136">
        <f>O1397-'Blocking-Step2'!O1397</f>
        <v>0</v>
      </c>
      <c r="AN1397" s="2137">
        <f>Q1397-'Blocking-Step2'!Q1397</f>
        <v>0</v>
      </c>
      <c r="AP1397" s="2127">
        <f>S1397-'Blocking-Step2'!S1397</f>
        <v>0</v>
      </c>
      <c r="AR1397" s="2127">
        <f>U1397-'Blocking-Step2'!U1397</f>
        <v>0</v>
      </c>
      <c r="AT1397" s="2127">
        <f>W1397-'Blocking-Step2'!W1397</f>
        <v>0</v>
      </c>
      <c r="AV1397" s="2128">
        <f>Y1397-'Blocking-Step2'!Y1397</f>
        <v>0</v>
      </c>
    </row>
    <row r="1398" spans="1:48" ht="16.5" hidden="1" thickTop="1">
      <c r="A1398" s="1115" t="s">
        <v>558</v>
      </c>
      <c r="Z1398" s="2114">
        <f>C1398-'Blocking-Step2'!C1398</f>
        <v>0</v>
      </c>
      <c r="AA1398" s="2114">
        <f>D1398-'Blocking-Step2'!D1398</f>
        <v>0</v>
      </c>
      <c r="AC1398" s="2114">
        <f>F1398-'Blocking-Step2'!F1398</f>
        <v>0</v>
      </c>
      <c r="AE1398" s="2114">
        <f>H1398-'Blocking-Step2'!H1398</f>
        <v>0</v>
      </c>
      <c r="AF1398" s="2114">
        <f>I1398-'Blocking-Step2'!I1398</f>
        <v>0</v>
      </c>
      <c r="AH1398" s="2136">
        <f>K1398-'Blocking-Step2'!K1398</f>
        <v>0</v>
      </c>
      <c r="AJ1398" s="2136">
        <f>M1398-'Blocking-Step2'!M1398</f>
        <v>0</v>
      </c>
      <c r="AL1398" s="2136">
        <f>O1398-'Blocking-Step2'!O1398</f>
        <v>0</v>
      </c>
      <c r="AN1398" s="2137">
        <f>Q1398-'Blocking-Step2'!Q1398</f>
        <v>0</v>
      </c>
      <c r="AP1398" s="2127">
        <f>S1398-'Blocking-Step2'!S1398</f>
        <v>0</v>
      </c>
      <c r="AR1398" s="2127">
        <f>U1398-'Blocking-Step2'!U1398</f>
        <v>0</v>
      </c>
      <c r="AT1398" s="2127">
        <f>W1398-'Blocking-Step2'!W1398</f>
        <v>0</v>
      </c>
      <c r="AV1398" s="2128">
        <f>Y1398-'Blocking-Step2'!Y1398</f>
        <v>0</v>
      </c>
    </row>
    <row r="1399" spans="1:48" ht="16.5" hidden="1" thickTop="1">
      <c r="A1399" s="1116" t="s">
        <v>240</v>
      </c>
      <c r="C1399" s="1105">
        <v>1541.43314285714</v>
      </c>
      <c r="D1399" s="1105">
        <v>1587</v>
      </c>
      <c r="F1399" s="1142">
        <v>70</v>
      </c>
      <c r="G1399" s="617"/>
      <c r="H1399" s="1146">
        <v>107900</v>
      </c>
      <c r="I1399" s="1146">
        <v>111090</v>
      </c>
      <c r="K1399" s="1142">
        <v>71</v>
      </c>
      <c r="L1399" s="617"/>
      <c r="M1399" s="1142">
        <v>0</v>
      </c>
      <c r="N1399" s="617"/>
      <c r="O1399" s="1142">
        <v>0</v>
      </c>
      <c r="P1399" s="617"/>
      <c r="Q1399" s="1142">
        <v>71</v>
      </c>
      <c r="R1399" s="617"/>
      <c r="S1399" s="1114">
        <v>112677</v>
      </c>
      <c r="T1399" s="1114"/>
      <c r="U1399" s="1114"/>
      <c r="V1399" s="1114"/>
      <c r="W1399" s="1114"/>
      <c r="X1399" s="1114"/>
      <c r="Y1399" s="1146">
        <v>112677</v>
      </c>
      <c r="Z1399" s="2114">
        <f>C1399-'Blocking-Step2'!C1399</f>
        <v>0</v>
      </c>
      <c r="AA1399" s="2114">
        <f>D1399-'Blocking-Step2'!D1399</f>
        <v>0</v>
      </c>
      <c r="AC1399" s="2114">
        <f>F1399-'Blocking-Step2'!F1399</f>
        <v>0</v>
      </c>
      <c r="AE1399" s="2114">
        <f>H1399-'Blocking-Step2'!H1399</f>
        <v>0</v>
      </c>
      <c r="AF1399" s="2114">
        <f>I1399-'Blocking-Step2'!I1399</f>
        <v>0</v>
      </c>
      <c r="AH1399" s="2136">
        <f>K1399-'Blocking-Step2'!K1399</f>
        <v>0</v>
      </c>
      <c r="AJ1399" s="2136">
        <f>M1399-'Blocking-Step2'!M1399</f>
        <v>0</v>
      </c>
      <c r="AL1399" s="2136">
        <f>O1399-'Blocking-Step2'!O1399</f>
        <v>0</v>
      </c>
      <c r="AN1399" s="2137">
        <f>Q1399-'Blocking-Step2'!Q1399</f>
        <v>0</v>
      </c>
      <c r="AP1399" s="2127">
        <f>S1399-'Blocking-Step2'!S1399</f>
        <v>0</v>
      </c>
      <c r="AR1399" s="2127">
        <f>U1399-'Blocking-Step2'!U1399</f>
        <v>0</v>
      </c>
      <c r="AT1399" s="2127">
        <f>W1399-'Blocking-Step2'!W1399</f>
        <v>0</v>
      </c>
      <c r="AV1399" s="2128">
        <f>Y1399-'Blocking-Step2'!Y1399</f>
        <v>0</v>
      </c>
    </row>
    <row r="1400" spans="1:48" ht="16.5" hidden="1" thickTop="1">
      <c r="A1400" s="1116" t="s">
        <v>168</v>
      </c>
      <c r="C1400" s="1105">
        <v>1960629.3991596601</v>
      </c>
      <c r="D1400" s="1105">
        <v>1975309</v>
      </c>
      <c r="F1400" s="1142">
        <v>4.76</v>
      </c>
      <c r="G1400" s="617"/>
      <c r="H1400" s="1146">
        <v>9332596</v>
      </c>
      <c r="I1400" s="1146">
        <v>9402471</v>
      </c>
      <c r="K1400" s="1142">
        <v>4.84</v>
      </c>
      <c r="L1400" s="617"/>
      <c r="M1400" s="1142">
        <v>0</v>
      </c>
      <c r="N1400" s="617"/>
      <c r="O1400" s="1142">
        <v>0</v>
      </c>
      <c r="P1400" s="617"/>
      <c r="Q1400" s="1142">
        <v>4.84</v>
      </c>
      <c r="R1400" s="617"/>
      <c r="S1400" s="1114">
        <v>9560496</v>
      </c>
      <c r="T1400" s="1114"/>
      <c r="U1400" s="1114"/>
      <c r="V1400" s="1114"/>
      <c r="W1400" s="1114"/>
      <c r="X1400" s="1114"/>
      <c r="Y1400" s="1146">
        <v>9560496</v>
      </c>
      <c r="Z1400" s="2114">
        <f>C1400-'Blocking-Step2'!C1400</f>
        <v>0</v>
      </c>
      <c r="AA1400" s="2114">
        <f>D1400-'Blocking-Step2'!D1400</f>
        <v>0</v>
      </c>
      <c r="AC1400" s="2114">
        <f>F1400-'Blocking-Step2'!F1400</f>
        <v>0</v>
      </c>
      <c r="AE1400" s="2114">
        <f>H1400-'Blocking-Step2'!H1400</f>
        <v>0</v>
      </c>
      <c r="AF1400" s="2114">
        <f>I1400-'Blocking-Step2'!I1400</f>
        <v>0</v>
      </c>
      <c r="AH1400" s="2136">
        <f>K1400-'Blocking-Step2'!K1400</f>
        <v>0</v>
      </c>
      <c r="AJ1400" s="2136">
        <f>M1400-'Blocking-Step2'!M1400</f>
        <v>0</v>
      </c>
      <c r="AL1400" s="2136">
        <f>O1400-'Blocking-Step2'!O1400</f>
        <v>0</v>
      </c>
      <c r="AN1400" s="2137">
        <f>Q1400-'Blocking-Step2'!Q1400</f>
        <v>0</v>
      </c>
      <c r="AP1400" s="2127">
        <f>S1400-'Blocking-Step2'!S1400</f>
        <v>0</v>
      </c>
      <c r="AR1400" s="2127">
        <f>U1400-'Blocking-Step2'!U1400</f>
        <v>0</v>
      </c>
      <c r="AT1400" s="2127">
        <f>W1400-'Blocking-Step2'!W1400</f>
        <v>0</v>
      </c>
      <c r="AV1400" s="2128">
        <f>Y1400-'Blocking-Step2'!Y1400</f>
        <v>0</v>
      </c>
    </row>
    <row r="1401" spans="1:48" ht="16.5" hidden="1" thickTop="1">
      <c r="A1401" s="1116" t="s">
        <v>1651</v>
      </c>
      <c r="C1401" s="1105">
        <v>665999.77967805869</v>
      </c>
      <c r="D1401" s="1105">
        <v>670986</v>
      </c>
      <c r="F1401" s="1142"/>
      <c r="G1401" s="617"/>
      <c r="H1401" s="1146"/>
      <c r="I1401" s="1146"/>
      <c r="K1401" s="1142">
        <v>0</v>
      </c>
      <c r="L1401" s="617"/>
      <c r="M1401" s="1142">
        <v>15.83</v>
      </c>
      <c r="N1401" s="617"/>
      <c r="O1401" s="1142">
        <v>0</v>
      </c>
      <c r="P1401" s="617"/>
      <c r="Q1401" s="1142">
        <v>15.83</v>
      </c>
      <c r="R1401" s="617"/>
      <c r="S1401" s="1146">
        <v>0</v>
      </c>
      <c r="T1401" s="1146"/>
      <c r="U1401" s="1146">
        <v>10621708</v>
      </c>
      <c r="V1401" s="1146"/>
      <c r="W1401" s="1146">
        <v>0</v>
      </c>
      <c r="X1401" s="1114"/>
      <c r="Y1401" s="1146">
        <v>10621708</v>
      </c>
      <c r="Z1401" s="2114">
        <f>C1401-'Blocking-Step2'!C1401</f>
        <v>0</v>
      </c>
      <c r="AA1401" s="2114">
        <f>D1401-'Blocking-Step2'!D1401</f>
        <v>0</v>
      </c>
      <c r="AC1401" s="2114">
        <f>F1401-'Blocking-Step2'!F1401</f>
        <v>0</v>
      </c>
      <c r="AE1401" s="2114">
        <f>H1401-'Blocking-Step2'!H1401</f>
        <v>0</v>
      </c>
      <c r="AF1401" s="2114">
        <f>I1401-'Blocking-Step2'!I1401</f>
        <v>0</v>
      </c>
      <c r="AH1401" s="2136">
        <f>K1401-'Blocking-Step2'!K1401</f>
        <v>-7.23</v>
      </c>
      <c r="AJ1401" s="2136">
        <f>M1401-'Blocking-Step2'!M1401</f>
        <v>7.23</v>
      </c>
      <c r="AL1401" s="2136">
        <f>O1401-'Blocking-Step2'!O1401</f>
        <v>0</v>
      </c>
      <c r="AN1401" s="2137">
        <f>Q1401-'Blocking-Step2'!Q1401</f>
        <v>0</v>
      </c>
      <c r="AP1401" s="2127">
        <f>S1401-'Blocking-Step2'!S1401</f>
        <v>-4851229</v>
      </c>
      <c r="AR1401" s="2127">
        <f>U1401-'Blocking-Step2'!U1401</f>
        <v>4851228</v>
      </c>
      <c r="AT1401" s="2127">
        <f>W1401-'Blocking-Step2'!W1401</f>
        <v>0</v>
      </c>
      <c r="AV1401" s="2128">
        <f>Y1401-'Blocking-Step2'!Y1401</f>
        <v>0</v>
      </c>
    </row>
    <row r="1402" spans="1:48" ht="16.5" hidden="1" thickTop="1">
      <c r="A1402" s="1116" t="s">
        <v>1652</v>
      </c>
      <c r="C1402" s="1105">
        <v>1185414.0959307961</v>
      </c>
      <c r="D1402" s="1105">
        <v>1194290</v>
      </c>
      <c r="F1402" s="1142"/>
      <c r="G1402" s="617"/>
      <c r="H1402" s="1146"/>
      <c r="I1402" s="1146"/>
      <c r="K1402" s="1142">
        <v>0</v>
      </c>
      <c r="L1402" s="617"/>
      <c r="M1402" s="1142">
        <v>14.01</v>
      </c>
      <c r="N1402" s="617"/>
      <c r="O1402" s="1142">
        <v>0</v>
      </c>
      <c r="P1402" s="617"/>
      <c r="Q1402" s="1142">
        <v>14.01</v>
      </c>
      <c r="R1402" s="617"/>
      <c r="S1402" s="1146">
        <v>0</v>
      </c>
      <c r="T1402" s="1146"/>
      <c r="U1402" s="1146">
        <v>16732003</v>
      </c>
      <c r="V1402" s="1146"/>
      <c r="W1402" s="1146">
        <v>0</v>
      </c>
      <c r="X1402" s="1114"/>
      <c r="Y1402" s="1146">
        <v>16732003</v>
      </c>
      <c r="Z1402" s="2114">
        <f>C1402-'Blocking-Step2'!C1402</f>
        <v>0</v>
      </c>
      <c r="AA1402" s="2114">
        <f>D1402-'Blocking-Step2'!D1402</f>
        <v>0</v>
      </c>
      <c r="AC1402" s="2114">
        <f>F1402-'Blocking-Step2'!F1402</f>
        <v>0</v>
      </c>
      <c r="AE1402" s="2114">
        <f>H1402-'Blocking-Step2'!H1402</f>
        <v>0</v>
      </c>
      <c r="AF1402" s="2114">
        <f>I1402-'Blocking-Step2'!I1402</f>
        <v>0</v>
      </c>
      <c r="AH1402" s="2136">
        <f>K1402-'Blocking-Step2'!K1402</f>
        <v>-6.4</v>
      </c>
      <c r="AJ1402" s="2136">
        <f>M1402-'Blocking-Step2'!M1402</f>
        <v>6.4</v>
      </c>
      <c r="AL1402" s="2136">
        <f>O1402-'Blocking-Step2'!O1402</f>
        <v>0</v>
      </c>
      <c r="AN1402" s="2137">
        <f>Q1402-'Blocking-Step2'!Q1402</f>
        <v>0</v>
      </c>
      <c r="AP1402" s="2127">
        <f>S1402-'Blocking-Step2'!S1402</f>
        <v>-7643456</v>
      </c>
      <c r="AR1402" s="2127">
        <f>U1402-'Blocking-Step2'!U1402</f>
        <v>7643456</v>
      </c>
      <c r="AT1402" s="2127">
        <f>W1402-'Blocking-Step2'!W1402</f>
        <v>0</v>
      </c>
      <c r="AV1402" s="2128">
        <f>Y1402-'Blocking-Step2'!Y1402</f>
        <v>0</v>
      </c>
    </row>
    <row r="1403" spans="1:48" ht="16.5" hidden="1" thickTop="1">
      <c r="A1403" s="1116" t="s">
        <v>1532</v>
      </c>
      <c r="C1403" s="1105">
        <v>87099065.8190483</v>
      </c>
      <c r="D1403" s="1105">
        <v>88216247.274568319</v>
      </c>
      <c r="F1403" s="1106"/>
      <c r="G1403" s="1921"/>
      <c r="H1403" s="1146"/>
      <c r="I1403" s="1146"/>
      <c r="K1403" s="1106">
        <v>0</v>
      </c>
      <c r="L1403" s="1921" t="s">
        <v>495</v>
      </c>
      <c r="M1403" s="1106">
        <v>1.4166000000000001</v>
      </c>
      <c r="N1403" s="1921" t="s">
        <v>495</v>
      </c>
      <c r="O1403" s="1106">
        <v>4.4476704152740005</v>
      </c>
      <c r="P1403" s="1921" t="s">
        <v>495</v>
      </c>
      <c r="Q1403" s="1106">
        <v>5.8642704152740004</v>
      </c>
      <c r="R1403" s="1921" t="s">
        <v>495</v>
      </c>
      <c r="S1403" s="1146">
        <v>0</v>
      </c>
      <c r="T1403" s="1146"/>
      <c r="U1403" s="1146">
        <v>1249671</v>
      </c>
      <c r="V1403" s="1146"/>
      <c r="W1403" s="1146">
        <v>3923568</v>
      </c>
      <c r="X1403" s="1648"/>
      <c r="Y1403" s="1146">
        <v>5173239</v>
      </c>
      <c r="Z1403" s="2114">
        <f>C1403-'Blocking-Step2'!C1403</f>
        <v>0</v>
      </c>
      <c r="AA1403" s="2114">
        <f>D1403-'Blocking-Step2'!D1403</f>
        <v>0</v>
      </c>
      <c r="AC1403" s="2114">
        <f>F1403-'Blocking-Step2'!F1403</f>
        <v>0</v>
      </c>
      <c r="AE1403" s="2114">
        <f>H1403-'Blocking-Step2'!H1403</f>
        <v>0</v>
      </c>
      <c r="AF1403" s="2114">
        <f>I1403-'Blocking-Step2'!I1403</f>
        <v>0</v>
      </c>
      <c r="AH1403" s="2136">
        <f>K1403-'Blocking-Step2'!K1403</f>
        <v>0</v>
      </c>
      <c r="AJ1403" s="2136">
        <f>M1403-'Blocking-Step2'!M1403</f>
        <v>0</v>
      </c>
      <c r="AL1403" s="2136">
        <f>O1403-'Blocking-Step2'!O1403</f>
        <v>0</v>
      </c>
      <c r="AN1403" s="2137">
        <f>Q1403-'Blocking-Step2'!Q1403</f>
        <v>0</v>
      </c>
      <c r="AP1403" s="2127">
        <f>S1403-'Blocking-Step2'!S1403</f>
        <v>0</v>
      </c>
      <c r="AR1403" s="2127">
        <f>U1403-'Blocking-Step2'!U1403</f>
        <v>0</v>
      </c>
      <c r="AT1403" s="2127">
        <f>W1403-'Blocking-Step2'!W1403</f>
        <v>0</v>
      </c>
      <c r="AV1403" s="2128">
        <f>Y1403-'Blocking-Step2'!Y1403</f>
        <v>0</v>
      </c>
    </row>
    <row r="1404" spans="1:48" ht="16.5" hidden="1" thickTop="1">
      <c r="A1404" s="1116" t="s">
        <v>1653</v>
      </c>
      <c r="C1404" s="1105">
        <v>126810760.2110763</v>
      </c>
      <c r="D1404" s="1105">
        <v>128437305</v>
      </c>
      <c r="F1404" s="1106"/>
      <c r="G1404" s="1921"/>
      <c r="H1404" s="1146"/>
      <c r="I1404" s="1146"/>
      <c r="K1404" s="1106">
        <v>0</v>
      </c>
      <c r="L1404" s="1921" t="s">
        <v>495</v>
      </c>
      <c r="M1404" s="1106">
        <v>1.4166000000000001</v>
      </c>
      <c r="N1404" s="1921" t="s">
        <v>495</v>
      </c>
      <c r="O1404" s="1106">
        <v>3.7730198365260001</v>
      </c>
      <c r="P1404" s="1921" t="s">
        <v>495</v>
      </c>
      <c r="Q1404" s="1106">
        <v>5.189619836526</v>
      </c>
      <c r="R1404" s="1921" t="s">
        <v>495</v>
      </c>
      <c r="S1404" s="1146">
        <v>0</v>
      </c>
      <c r="T1404" s="1146"/>
      <c r="U1404" s="1146">
        <v>1819443</v>
      </c>
      <c r="V1404" s="1146"/>
      <c r="W1404" s="1146">
        <v>4845965</v>
      </c>
      <c r="X1404" s="1648"/>
      <c r="Y1404" s="1146">
        <v>6665408</v>
      </c>
      <c r="Z1404" s="2114">
        <f>C1404-'Blocking-Step2'!C1404</f>
        <v>0</v>
      </c>
      <c r="AA1404" s="2114">
        <f>D1404-'Blocking-Step2'!D1404</f>
        <v>0</v>
      </c>
      <c r="AC1404" s="2114">
        <f>F1404-'Blocking-Step2'!F1404</f>
        <v>0</v>
      </c>
      <c r="AE1404" s="2114">
        <f>H1404-'Blocking-Step2'!H1404</f>
        <v>0</v>
      </c>
      <c r="AF1404" s="2114">
        <f>I1404-'Blocking-Step2'!I1404</f>
        <v>0</v>
      </c>
      <c r="AH1404" s="2136">
        <f>K1404-'Blocking-Step2'!K1404</f>
        <v>0</v>
      </c>
      <c r="AJ1404" s="2136">
        <f>M1404-'Blocking-Step2'!M1404</f>
        <v>0</v>
      </c>
      <c r="AL1404" s="2136">
        <f>O1404-'Blocking-Step2'!O1404</f>
        <v>0</v>
      </c>
      <c r="AN1404" s="2137">
        <f>Q1404-'Blocking-Step2'!Q1404</f>
        <v>0</v>
      </c>
      <c r="AP1404" s="2127">
        <f>S1404-'Blocking-Step2'!S1404</f>
        <v>0</v>
      </c>
      <c r="AR1404" s="2127">
        <f>U1404-'Blocking-Step2'!U1404</f>
        <v>0</v>
      </c>
      <c r="AT1404" s="2127">
        <f>W1404-'Blocking-Step2'!W1404</f>
        <v>0</v>
      </c>
      <c r="AV1404" s="2128">
        <f>Y1404-'Blocking-Step2'!Y1404</f>
        <v>0</v>
      </c>
    </row>
    <row r="1405" spans="1:48" ht="16.5" hidden="1" thickTop="1">
      <c r="A1405" s="1116" t="s">
        <v>1533</v>
      </c>
      <c r="C1405" s="1105">
        <v>250429218.18203184</v>
      </c>
      <c r="D1405" s="1105">
        <v>253641362</v>
      </c>
      <c r="F1405" s="1106"/>
      <c r="G1405" s="1921"/>
      <c r="H1405" s="1146"/>
      <c r="I1405" s="1146"/>
      <c r="K1405" s="1106">
        <v>0</v>
      </c>
      <c r="L1405" s="1921" t="s">
        <v>495</v>
      </c>
      <c r="M1405" s="1106">
        <v>1.4166000000000001</v>
      </c>
      <c r="N1405" s="1921" t="s">
        <v>495</v>
      </c>
      <c r="O1405" s="1106">
        <v>1.5641055047420001</v>
      </c>
      <c r="P1405" s="1921" t="s">
        <v>495</v>
      </c>
      <c r="Q1405" s="1106">
        <v>2.9807055047420001</v>
      </c>
      <c r="R1405" s="1921" t="s">
        <v>495</v>
      </c>
      <c r="S1405" s="1146">
        <v>0</v>
      </c>
      <c r="T1405" s="1146"/>
      <c r="U1405" s="1146">
        <v>3593084</v>
      </c>
      <c r="V1405" s="1146"/>
      <c r="W1405" s="1146">
        <v>3967219</v>
      </c>
      <c r="X1405" s="1648"/>
      <c r="Y1405" s="1146">
        <v>7560302</v>
      </c>
      <c r="Z1405" s="2114">
        <f>C1405-'Blocking-Step2'!C1405</f>
        <v>0</v>
      </c>
      <c r="AA1405" s="2114">
        <f>D1405-'Blocking-Step2'!D1405</f>
        <v>0</v>
      </c>
      <c r="AC1405" s="2114">
        <f>F1405-'Blocking-Step2'!F1405</f>
        <v>0</v>
      </c>
      <c r="AE1405" s="2114">
        <f>H1405-'Blocking-Step2'!H1405</f>
        <v>0</v>
      </c>
      <c r="AF1405" s="2114">
        <f>I1405-'Blocking-Step2'!I1405</f>
        <v>0</v>
      </c>
      <c r="AH1405" s="2136">
        <f>K1405-'Blocking-Step2'!K1405</f>
        <v>0</v>
      </c>
      <c r="AJ1405" s="2136">
        <f>M1405-'Blocking-Step2'!M1405</f>
        <v>0</v>
      </c>
      <c r="AL1405" s="2136">
        <f>O1405-'Blocking-Step2'!O1405</f>
        <v>0</v>
      </c>
      <c r="AN1405" s="2137">
        <f>Q1405-'Blocking-Step2'!Q1405</f>
        <v>0</v>
      </c>
      <c r="AP1405" s="2127">
        <f>S1405-'Blocking-Step2'!S1405</f>
        <v>0</v>
      </c>
      <c r="AR1405" s="2127">
        <f>U1405-'Blocking-Step2'!U1405</f>
        <v>0</v>
      </c>
      <c r="AT1405" s="2127">
        <f>W1405-'Blocking-Step2'!W1405</f>
        <v>0</v>
      </c>
      <c r="AV1405" s="2128">
        <f>Y1405-'Blocking-Step2'!Y1405</f>
        <v>0</v>
      </c>
    </row>
    <row r="1406" spans="1:48" ht="16.5" hidden="1" thickTop="1">
      <c r="A1406" s="1116" t="s">
        <v>2177</v>
      </c>
      <c r="C1406" s="1105">
        <v>469771476.78292525</v>
      </c>
      <c r="D1406" s="1105">
        <v>475797027</v>
      </c>
      <c r="F1406" s="1106"/>
      <c r="G1406" s="1921"/>
      <c r="H1406" s="1146"/>
      <c r="I1406" s="1146"/>
      <c r="K1406" s="1106">
        <v>0</v>
      </c>
      <c r="L1406" s="1921" t="s">
        <v>495</v>
      </c>
      <c r="M1406" s="1106">
        <v>1.4166000000000001</v>
      </c>
      <c r="N1406" s="1921" t="s">
        <v>495</v>
      </c>
      <c r="O1406" s="1106">
        <v>1.2211924820729998</v>
      </c>
      <c r="P1406" s="1921" t="s">
        <v>495</v>
      </c>
      <c r="Q1406" s="1106">
        <v>2.6377924820729999</v>
      </c>
      <c r="R1406" s="1921" t="s">
        <v>495</v>
      </c>
      <c r="S1406" s="1146">
        <v>0</v>
      </c>
      <c r="T1406" s="1146"/>
      <c r="U1406" s="1146">
        <v>6740141</v>
      </c>
      <c r="V1406" s="1146"/>
      <c r="W1406" s="1146">
        <v>5810398</v>
      </c>
      <c r="X1406" s="1648"/>
      <c r="Y1406" s="1146">
        <v>12550538</v>
      </c>
      <c r="Z1406" s="2114">
        <f>C1406-'Blocking-Step2'!C1406</f>
        <v>0</v>
      </c>
      <c r="AA1406" s="2114">
        <f>D1406-'Blocking-Step2'!D1406</f>
        <v>0</v>
      </c>
      <c r="AC1406" s="2114">
        <f>F1406-'Blocking-Step2'!F1406</f>
        <v>0</v>
      </c>
      <c r="AE1406" s="2114">
        <f>H1406-'Blocking-Step2'!H1406</f>
        <v>0</v>
      </c>
      <c r="AF1406" s="2114">
        <f>I1406-'Blocking-Step2'!I1406</f>
        <v>0</v>
      </c>
      <c r="AH1406" s="2136">
        <f>K1406-'Blocking-Step2'!K1406</f>
        <v>0</v>
      </c>
      <c r="AJ1406" s="2136">
        <f>M1406-'Blocking-Step2'!M1406</f>
        <v>0</v>
      </c>
      <c r="AL1406" s="2136">
        <f>O1406-'Blocking-Step2'!O1406</f>
        <v>0</v>
      </c>
      <c r="AN1406" s="2137">
        <f>Q1406-'Blocking-Step2'!Q1406</f>
        <v>0</v>
      </c>
      <c r="AP1406" s="2127">
        <f>S1406-'Blocking-Step2'!S1406</f>
        <v>0</v>
      </c>
      <c r="AR1406" s="2127">
        <f>U1406-'Blocking-Step2'!U1406</f>
        <v>0</v>
      </c>
      <c r="AT1406" s="2127">
        <f>W1406-'Blocking-Step2'!W1406</f>
        <v>0</v>
      </c>
      <c r="AV1406" s="2128">
        <f>Y1406-'Blocking-Step2'!Y1406</f>
        <v>0</v>
      </c>
    </row>
    <row r="1407" spans="1:48" ht="16.5" hidden="1" thickTop="1">
      <c r="A1407" s="1116" t="s">
        <v>18</v>
      </c>
      <c r="C1407" s="1105">
        <v>824194.08419023221</v>
      </c>
      <c r="D1407" s="1105">
        <v>830365</v>
      </c>
      <c r="F1407" s="1142">
        <v>15.56</v>
      </c>
      <c r="G1407" s="617"/>
      <c r="H1407" s="1146">
        <v>12824460</v>
      </c>
      <c r="I1407" s="1146">
        <v>12920479</v>
      </c>
      <c r="K1407" s="1142"/>
      <c r="L1407" s="617"/>
      <c r="M1407" s="1142"/>
      <c r="N1407" s="617"/>
      <c r="O1407" s="1142"/>
      <c r="P1407" s="617"/>
      <c r="Q1407" s="1142"/>
      <c r="R1407" s="617"/>
      <c r="S1407" s="1114"/>
      <c r="T1407" s="1114"/>
      <c r="U1407" s="1114"/>
      <c r="V1407" s="1114"/>
      <c r="W1407" s="1114"/>
      <c r="X1407" s="1114"/>
      <c r="Y1407" s="1146"/>
      <c r="Z1407" s="2114">
        <f>C1407-'Blocking-Step2'!C1407</f>
        <v>0</v>
      </c>
      <c r="AA1407" s="2114">
        <f>D1407-'Blocking-Step2'!D1407</f>
        <v>0</v>
      </c>
      <c r="AC1407" s="2114">
        <f>F1407-'Blocking-Step2'!F1407</f>
        <v>0</v>
      </c>
      <c r="AE1407" s="2114">
        <f>H1407-'Blocking-Step2'!H1407</f>
        <v>0</v>
      </c>
      <c r="AF1407" s="2114">
        <f>I1407-'Blocking-Step2'!I1407</f>
        <v>0</v>
      </c>
      <c r="AH1407" s="2136">
        <f>K1407-'Blocking-Step2'!K1407</f>
        <v>0</v>
      </c>
      <c r="AJ1407" s="2136">
        <f>M1407-'Blocking-Step2'!M1407</f>
        <v>0</v>
      </c>
      <c r="AL1407" s="2136">
        <f>O1407-'Blocking-Step2'!O1407</f>
        <v>0</v>
      </c>
      <c r="AN1407" s="2137">
        <f>Q1407-'Blocking-Step2'!Q1407</f>
        <v>0</v>
      </c>
      <c r="AP1407" s="2127">
        <f>S1407-'Blocking-Step2'!S1407</f>
        <v>0</v>
      </c>
      <c r="AR1407" s="2127">
        <f>U1407-'Blocking-Step2'!U1407</f>
        <v>0</v>
      </c>
      <c r="AT1407" s="2127">
        <f>W1407-'Blocking-Step2'!W1407</f>
        <v>0</v>
      </c>
      <c r="AV1407" s="2128">
        <f>Y1407-'Blocking-Step2'!Y1407</f>
        <v>0</v>
      </c>
    </row>
    <row r="1408" spans="1:48" ht="16.5" hidden="1" thickTop="1">
      <c r="A1408" s="1116" t="s">
        <v>166</v>
      </c>
      <c r="C1408" s="1105">
        <v>1074665.9883824866</v>
      </c>
      <c r="D1408" s="1105">
        <v>1082712</v>
      </c>
      <c r="F1408" s="1142">
        <v>11.19</v>
      </c>
      <c r="G1408" s="617"/>
      <c r="H1408" s="1146">
        <v>12025512</v>
      </c>
      <c r="I1408" s="1146">
        <v>12115547</v>
      </c>
      <c r="K1408" s="1142"/>
      <c r="L1408" s="617"/>
      <c r="M1408" s="1142"/>
      <c r="N1408" s="617"/>
      <c r="O1408" s="1142"/>
      <c r="P1408" s="617"/>
      <c r="Q1408" s="1142"/>
      <c r="R1408" s="617"/>
      <c r="S1408" s="1114"/>
      <c r="T1408" s="1114"/>
      <c r="U1408" s="1114"/>
      <c r="V1408" s="1114"/>
      <c r="W1408" s="1114"/>
      <c r="X1408" s="1114"/>
      <c r="Y1408" s="1146"/>
      <c r="Z1408" s="2114">
        <f>C1408-'Blocking-Step2'!C1408</f>
        <v>0</v>
      </c>
      <c r="AA1408" s="2114">
        <f>D1408-'Blocking-Step2'!D1408</f>
        <v>0</v>
      </c>
      <c r="AC1408" s="2114">
        <f>F1408-'Blocking-Step2'!F1408</f>
        <v>0</v>
      </c>
      <c r="AE1408" s="2114">
        <f>H1408-'Blocking-Step2'!H1408</f>
        <v>0</v>
      </c>
      <c r="AF1408" s="2114">
        <f>I1408-'Blocking-Step2'!I1408</f>
        <v>0</v>
      </c>
      <c r="AH1408" s="2136">
        <f>K1408-'Blocking-Step2'!K1408</f>
        <v>0</v>
      </c>
      <c r="AJ1408" s="2136">
        <f>M1408-'Blocking-Step2'!M1408</f>
        <v>0</v>
      </c>
      <c r="AL1408" s="2136">
        <f>O1408-'Blocking-Step2'!O1408</f>
        <v>0</v>
      </c>
      <c r="AN1408" s="2137">
        <f>Q1408-'Blocking-Step2'!Q1408</f>
        <v>0</v>
      </c>
      <c r="AP1408" s="2127">
        <f>S1408-'Blocking-Step2'!S1408</f>
        <v>0</v>
      </c>
      <c r="AR1408" s="2127">
        <f>U1408-'Blocking-Step2'!U1408</f>
        <v>0</v>
      </c>
      <c r="AT1408" s="2127">
        <f>W1408-'Blocking-Step2'!W1408</f>
        <v>0</v>
      </c>
      <c r="AV1408" s="2128">
        <f>Y1408-'Blocking-Step2'!Y1408</f>
        <v>0</v>
      </c>
    </row>
    <row r="1409" spans="1:48" ht="16.5" hidden="1" thickTop="1">
      <c r="A1409" s="1116" t="s">
        <v>261</v>
      </c>
      <c r="C1409" s="1105">
        <v>909425.07079646003</v>
      </c>
      <c r="D1409" s="1105">
        <v>916234</v>
      </c>
      <c r="F1409" s="1142">
        <v>-1.1299999999999999</v>
      </c>
      <c r="G1409" s="617"/>
      <c r="H1409" s="1146">
        <v>-1027650</v>
      </c>
      <c r="I1409" s="1146">
        <v>-1035344</v>
      </c>
      <c r="K1409" s="1142">
        <v>-1.1299999999999999</v>
      </c>
      <c r="L1409" s="617"/>
      <c r="M1409" s="1142">
        <v>0</v>
      </c>
      <c r="N1409" s="617"/>
      <c r="O1409" s="1142">
        <v>0</v>
      </c>
      <c r="P1409" s="617"/>
      <c r="Q1409" s="1142">
        <v>-1.1299999999999999</v>
      </c>
      <c r="R1409" s="617"/>
      <c r="S1409" s="1146">
        <v>-1035344</v>
      </c>
      <c r="T1409" s="1146"/>
      <c r="U1409" s="1146">
        <v>0</v>
      </c>
      <c r="V1409" s="1146"/>
      <c r="W1409" s="1146">
        <v>0</v>
      </c>
      <c r="X1409" s="1114"/>
      <c r="Y1409" s="1146">
        <v>-1035344</v>
      </c>
      <c r="Z1409" s="2114">
        <f>C1409-'Blocking-Step2'!C1409</f>
        <v>0</v>
      </c>
      <c r="AA1409" s="2114">
        <f>D1409-'Blocking-Step2'!D1409</f>
        <v>0</v>
      </c>
      <c r="AC1409" s="2114">
        <f>F1409-'Blocking-Step2'!F1409</f>
        <v>0</v>
      </c>
      <c r="AE1409" s="2114">
        <f>H1409-'Blocking-Step2'!H1409</f>
        <v>0</v>
      </c>
      <c r="AF1409" s="2114">
        <f>I1409-'Blocking-Step2'!I1409</f>
        <v>0</v>
      </c>
      <c r="AH1409" s="2136">
        <f>K1409-'Blocking-Step2'!K1409</f>
        <v>0</v>
      </c>
      <c r="AJ1409" s="2136">
        <f>M1409-'Blocking-Step2'!M1409</f>
        <v>0</v>
      </c>
      <c r="AL1409" s="2136">
        <f>O1409-'Blocking-Step2'!O1409</f>
        <v>0</v>
      </c>
      <c r="AN1409" s="2137">
        <f>Q1409-'Blocking-Step2'!Q1409</f>
        <v>0</v>
      </c>
      <c r="AP1409" s="2127">
        <f>S1409-'Blocking-Step2'!S1409</f>
        <v>0</v>
      </c>
      <c r="AR1409" s="2127">
        <f>U1409-'Blocking-Step2'!U1409</f>
        <v>0</v>
      </c>
      <c r="AT1409" s="2127">
        <f>W1409-'Blocking-Step2'!W1409</f>
        <v>0</v>
      </c>
      <c r="AV1409" s="2128">
        <f>Y1409-'Blocking-Step2'!Y1409</f>
        <v>0</v>
      </c>
    </row>
    <row r="1410" spans="1:48" ht="16.5" hidden="1" thickTop="1">
      <c r="A1410" s="1116" t="s">
        <v>188</v>
      </c>
      <c r="C1410" s="1105">
        <v>109241909.33673634</v>
      </c>
      <c r="D1410" s="1105">
        <v>110643106.27456832</v>
      </c>
      <c r="F1410" s="1106">
        <v>5.0473999999999997</v>
      </c>
      <c r="G1410" s="1921" t="s">
        <v>495</v>
      </c>
      <c r="H1410" s="1146">
        <v>5513876</v>
      </c>
      <c r="I1410" s="1146">
        <v>5584600</v>
      </c>
      <c r="K1410" s="1106"/>
      <c r="L1410" s="1921"/>
      <c r="M1410" s="1106"/>
      <c r="N1410" s="1921"/>
      <c r="O1410" s="1106"/>
      <c r="P1410" s="1921"/>
      <c r="Q1410" s="1106"/>
      <c r="R1410" s="1921"/>
      <c r="S1410" s="1648"/>
      <c r="T1410" s="1648"/>
      <c r="U1410" s="1648"/>
      <c r="V1410" s="1648"/>
      <c r="W1410" s="1648"/>
      <c r="X1410" s="1648"/>
      <c r="Y1410" s="1146"/>
      <c r="Z1410" s="2114">
        <f>C1410-'Blocking-Step2'!C1410</f>
        <v>0</v>
      </c>
      <c r="AA1410" s="2114">
        <f>D1410-'Blocking-Step2'!D1410</f>
        <v>0</v>
      </c>
      <c r="AC1410" s="2114">
        <f>F1410-'Blocking-Step2'!F1410</f>
        <v>0</v>
      </c>
      <c r="AE1410" s="2114">
        <f>H1410-'Blocking-Step2'!H1410</f>
        <v>0</v>
      </c>
      <c r="AF1410" s="2114">
        <f>I1410-'Blocking-Step2'!I1410</f>
        <v>0</v>
      </c>
      <c r="AH1410" s="2136">
        <f>K1410-'Blocking-Step2'!K1410</f>
        <v>0</v>
      </c>
      <c r="AJ1410" s="2136">
        <f>M1410-'Blocking-Step2'!M1410</f>
        <v>0</v>
      </c>
      <c r="AL1410" s="2136">
        <f>O1410-'Blocking-Step2'!O1410</f>
        <v>0</v>
      </c>
      <c r="AN1410" s="2137">
        <f>Q1410-'Blocking-Step2'!Q1410</f>
        <v>0</v>
      </c>
      <c r="AP1410" s="2127">
        <f>S1410-'Blocking-Step2'!S1410</f>
        <v>0</v>
      </c>
      <c r="AR1410" s="2127">
        <f>U1410-'Blocking-Step2'!U1410</f>
        <v>0</v>
      </c>
      <c r="AT1410" s="2127">
        <f>W1410-'Blocking-Step2'!W1410</f>
        <v>0</v>
      </c>
      <c r="AV1410" s="2128">
        <f>Y1410-'Blocking-Step2'!Y1410</f>
        <v>0</v>
      </c>
    </row>
    <row r="1411" spans="1:48" ht="16.5" hidden="1" thickTop="1">
      <c r="A1411" s="1116" t="s">
        <v>163</v>
      </c>
      <c r="C1411" s="1105">
        <v>257125243.36305025</v>
      </c>
      <c r="D1411" s="1105">
        <v>260423275</v>
      </c>
      <c r="F1411" s="1106">
        <v>3.9510999999999998</v>
      </c>
      <c r="G1411" s="1921" t="s">
        <v>495</v>
      </c>
      <c r="H1411" s="1146">
        <v>10159275</v>
      </c>
      <c r="I1411" s="1146">
        <v>10289584</v>
      </c>
      <c r="K1411" s="1106"/>
      <c r="L1411" s="1921"/>
      <c r="M1411" s="1106"/>
      <c r="N1411" s="1921"/>
      <c r="O1411" s="1106"/>
      <c r="P1411" s="1921"/>
      <c r="Q1411" s="1106"/>
      <c r="R1411" s="1921"/>
      <c r="S1411" s="1648"/>
      <c r="T1411" s="1648"/>
      <c r="U1411" s="1648"/>
      <c r="V1411" s="1648"/>
      <c r="W1411" s="1648"/>
      <c r="X1411" s="1648"/>
      <c r="Y1411" s="1146"/>
      <c r="Z1411" s="2114">
        <f>C1411-'Blocking-Step2'!C1411</f>
        <v>0</v>
      </c>
      <c r="AA1411" s="2114">
        <f>D1411-'Blocking-Step2'!D1411</f>
        <v>0</v>
      </c>
      <c r="AC1411" s="2114">
        <f>F1411-'Blocking-Step2'!F1411</f>
        <v>0</v>
      </c>
      <c r="AE1411" s="2114">
        <f>H1411-'Blocking-Step2'!H1411</f>
        <v>0</v>
      </c>
      <c r="AF1411" s="2114">
        <f>I1411-'Blocking-Step2'!I1411</f>
        <v>0</v>
      </c>
      <c r="AH1411" s="2136">
        <f>K1411-'Blocking-Step2'!K1411</f>
        <v>0</v>
      </c>
      <c r="AJ1411" s="2136">
        <f>M1411-'Blocking-Step2'!M1411</f>
        <v>0</v>
      </c>
      <c r="AL1411" s="2136">
        <f>O1411-'Blocking-Step2'!O1411</f>
        <v>0</v>
      </c>
      <c r="AN1411" s="2137">
        <f>Q1411-'Blocking-Step2'!Q1411</f>
        <v>0</v>
      </c>
      <c r="AP1411" s="2127">
        <f>S1411-'Blocking-Step2'!S1411</f>
        <v>0</v>
      </c>
      <c r="AR1411" s="2127">
        <f>U1411-'Blocking-Step2'!U1411</f>
        <v>0</v>
      </c>
      <c r="AT1411" s="2127">
        <f>W1411-'Blocking-Step2'!W1411</f>
        <v>0</v>
      </c>
      <c r="AV1411" s="2128">
        <f>Y1411-'Blocking-Step2'!Y1411</f>
        <v>0</v>
      </c>
    </row>
    <row r="1412" spans="1:48" ht="16.5" hidden="1" thickTop="1">
      <c r="A1412" s="1116" t="s">
        <v>249</v>
      </c>
      <c r="C1412" s="1105">
        <v>567743368.29529512</v>
      </c>
      <c r="D1412" s="1105">
        <v>575025560</v>
      </c>
      <c r="F1412" s="1106">
        <v>3.4001999999999999</v>
      </c>
      <c r="G1412" s="1921" t="s">
        <v>495</v>
      </c>
      <c r="H1412" s="1146">
        <v>19304410</v>
      </c>
      <c r="I1412" s="1146">
        <v>19552019</v>
      </c>
      <c r="K1412" s="1106"/>
      <c r="L1412" s="1921"/>
      <c r="M1412" s="1106"/>
      <c r="N1412" s="1921"/>
      <c r="O1412" s="1106"/>
      <c r="P1412" s="1921"/>
      <c r="Q1412" s="1106"/>
      <c r="R1412" s="1921"/>
      <c r="S1412" s="1648"/>
      <c r="T1412" s="1648"/>
      <c r="U1412" s="1648"/>
      <c r="V1412" s="1648"/>
      <c r="W1412" s="1648"/>
      <c r="X1412" s="1648"/>
      <c r="Y1412" s="1146"/>
      <c r="Z1412" s="2114">
        <f>C1412-'Blocking-Step2'!C1412</f>
        <v>0</v>
      </c>
      <c r="AA1412" s="2114">
        <f>D1412-'Blocking-Step2'!D1412</f>
        <v>0</v>
      </c>
      <c r="AC1412" s="2114">
        <f>F1412-'Blocking-Step2'!F1412</f>
        <v>0</v>
      </c>
      <c r="AE1412" s="2114">
        <f>H1412-'Blocking-Step2'!H1412</f>
        <v>0</v>
      </c>
      <c r="AF1412" s="2114">
        <f>I1412-'Blocking-Step2'!I1412</f>
        <v>0</v>
      </c>
      <c r="AH1412" s="2136">
        <f>K1412-'Blocking-Step2'!K1412</f>
        <v>0</v>
      </c>
      <c r="AJ1412" s="2136">
        <f>M1412-'Blocking-Step2'!M1412</f>
        <v>0</v>
      </c>
      <c r="AL1412" s="2136">
        <f>O1412-'Blocking-Step2'!O1412</f>
        <v>0</v>
      </c>
      <c r="AN1412" s="2137">
        <f>Q1412-'Blocking-Step2'!Q1412</f>
        <v>0</v>
      </c>
      <c r="AP1412" s="2127">
        <f>S1412-'Blocking-Step2'!S1412</f>
        <v>0</v>
      </c>
      <c r="AR1412" s="2127">
        <f>U1412-'Blocking-Step2'!U1412</f>
        <v>0</v>
      </c>
      <c r="AT1412" s="2127">
        <f>W1412-'Blocking-Step2'!W1412</f>
        <v>0</v>
      </c>
      <c r="AV1412" s="2128">
        <f>Y1412-'Blocking-Step2'!Y1412</f>
        <v>0</v>
      </c>
    </row>
    <row r="1413" spans="1:48" ht="16.5" hidden="1" thickTop="1">
      <c r="A1413" s="1116" t="s">
        <v>246</v>
      </c>
      <c r="C1413" s="1940">
        <v>4950427</v>
      </c>
      <c r="D1413" s="1940">
        <v>0</v>
      </c>
      <c r="H1413" s="1147">
        <v>391601</v>
      </c>
      <c r="I1413" s="1147">
        <v>0</v>
      </c>
      <c r="Y1413" s="1147">
        <v>0</v>
      </c>
      <c r="Z1413" s="2114">
        <f>C1413-'Blocking-Step2'!C1413</f>
        <v>0</v>
      </c>
      <c r="AA1413" s="2114">
        <f>D1413-'Blocking-Step2'!D1413</f>
        <v>0</v>
      </c>
      <c r="AC1413" s="2114">
        <f>F1413-'Blocking-Step2'!F1413</f>
        <v>0</v>
      </c>
      <c r="AE1413" s="2114">
        <f>H1413-'Blocking-Step2'!H1413</f>
        <v>0</v>
      </c>
      <c r="AF1413" s="2114">
        <f>I1413-'Blocking-Step2'!I1413</f>
        <v>0</v>
      </c>
      <c r="AH1413" s="2136">
        <f>K1413-'Blocking-Step2'!K1413</f>
        <v>0</v>
      </c>
      <c r="AJ1413" s="2136">
        <f>M1413-'Blocking-Step2'!M1413</f>
        <v>0</v>
      </c>
      <c r="AL1413" s="2136">
        <f>O1413-'Blocking-Step2'!O1413</f>
        <v>0</v>
      </c>
      <c r="AN1413" s="2137">
        <f>Q1413-'Blocking-Step2'!Q1413</f>
        <v>0</v>
      </c>
      <c r="AP1413" s="2127">
        <f>S1413-'Blocking-Step2'!S1413</f>
        <v>0</v>
      </c>
      <c r="AR1413" s="2127">
        <f>U1413-'Blocking-Step2'!U1413</f>
        <v>0</v>
      </c>
      <c r="AT1413" s="2127">
        <f>W1413-'Blocking-Step2'!W1413</f>
        <v>0</v>
      </c>
      <c r="AV1413" s="2128">
        <f>Y1413-'Blocking-Step2'!Y1413</f>
        <v>0</v>
      </c>
    </row>
    <row r="1414" spans="1:48" ht="16.5" hidden="1" thickTop="1">
      <c r="A1414" s="1116" t="s">
        <v>1240</v>
      </c>
      <c r="C1414" s="1024"/>
      <c r="D1414" s="1024"/>
      <c r="F1414" s="2076">
        <v>-3.1800000000000002E-2</v>
      </c>
      <c r="G1414" s="617"/>
      <c r="H1414" s="1146">
        <v>-1902515.5494000001</v>
      </c>
      <c r="I1414" s="1146">
        <v>-1922698.8822000001</v>
      </c>
      <c r="K1414" s="2076"/>
      <c r="L1414" s="617"/>
      <c r="M1414" s="2076"/>
      <c r="N1414" s="617"/>
      <c r="O1414" s="2077" t="s">
        <v>2323</v>
      </c>
      <c r="P1414" s="617"/>
      <c r="Q1414" s="2076">
        <v>-2.6499999999999999E-2</v>
      </c>
      <c r="R1414" s="617"/>
      <c r="S1414" s="1114"/>
      <c r="T1414" s="1114"/>
      <c r="U1414" s="1114"/>
      <c r="V1414" s="1114"/>
      <c r="W1414" s="1114"/>
      <c r="X1414" s="1114"/>
      <c r="Y1414" s="1146">
        <v>-1571534.747</v>
      </c>
      <c r="Z1414" s="2114">
        <f>C1414-'Blocking-Step2'!C1414</f>
        <v>0</v>
      </c>
      <c r="AA1414" s="2114">
        <f>D1414-'Blocking-Step2'!D1414</f>
        <v>0</v>
      </c>
      <c r="AC1414" s="2114">
        <f>F1414-'Blocking-Step2'!F1414</f>
        <v>0</v>
      </c>
      <c r="AE1414" s="2114">
        <f>H1414-'Blocking-Step2'!H1414</f>
        <v>0</v>
      </c>
      <c r="AF1414" s="2114">
        <f>I1414-'Blocking-Step2'!I1414</f>
        <v>0</v>
      </c>
      <c r="AH1414" s="2136">
        <f>K1414-'Blocking-Step2'!K1414</f>
        <v>0</v>
      </c>
      <c r="AJ1414" s="2136">
        <f>M1414-'Blocking-Step2'!M1414</f>
        <v>0</v>
      </c>
      <c r="AL1414" s="2136" t="e">
        <f>O1414-'Blocking-Step2'!O1414</f>
        <v>#VALUE!</v>
      </c>
      <c r="AN1414" s="2137">
        <f>Q1414-'Blocking-Step2'!Q1414</f>
        <v>0</v>
      </c>
      <c r="AP1414" s="2127">
        <f>S1414-'Blocking-Step2'!S1414</f>
        <v>0</v>
      </c>
      <c r="AR1414" s="2127">
        <f>U1414-'Blocking-Step2'!U1414</f>
        <v>0</v>
      </c>
      <c r="AT1414" s="2127">
        <f>W1414-'Blocking-Step2'!W1414</f>
        <v>0</v>
      </c>
      <c r="AV1414" s="2128">
        <f>Y1414-'Blocking-Step2'!Y1414</f>
        <v>0</v>
      </c>
    </row>
    <row r="1415" spans="1:48" ht="16.5" hidden="1" thickTop="1">
      <c r="A1415" s="1116"/>
      <c r="C1415" s="1024"/>
      <c r="D1415" s="1024"/>
      <c r="F1415" s="2076"/>
      <c r="G1415" s="617"/>
      <c r="H1415" s="1146"/>
      <c r="I1415" s="1146"/>
      <c r="K1415" s="2076"/>
      <c r="L1415" s="617"/>
      <c r="M1415" s="2076"/>
      <c r="N1415" s="617"/>
      <c r="O1415" s="2077" t="s">
        <v>2324</v>
      </c>
      <c r="P1415" s="617"/>
      <c r="Q1415" s="2076">
        <v>-1.44E-2</v>
      </c>
      <c r="R1415" s="617"/>
      <c r="S1415" s="1114"/>
      <c r="T1415" s="1114"/>
      <c r="U1415" s="1114"/>
      <c r="V1415" s="1114"/>
      <c r="W1415" s="1114"/>
      <c r="X1415" s="1114"/>
      <c r="Y1415" s="1146">
        <v>-853966.05119999999</v>
      </c>
      <c r="Z1415" s="2114">
        <f>C1415-'Blocking-Step2'!C1415</f>
        <v>0</v>
      </c>
      <c r="AA1415" s="2114">
        <f>D1415-'Blocking-Step2'!D1415</f>
        <v>0</v>
      </c>
      <c r="AC1415" s="2114">
        <f>F1415-'Blocking-Step2'!F1415</f>
        <v>0</v>
      </c>
      <c r="AE1415" s="2114">
        <f>H1415-'Blocking-Step2'!H1415</f>
        <v>0</v>
      </c>
      <c r="AF1415" s="2114">
        <f>I1415-'Blocking-Step2'!I1415</f>
        <v>0</v>
      </c>
      <c r="AH1415" s="2136">
        <f>K1415-'Blocking-Step2'!K1415</f>
        <v>0</v>
      </c>
      <c r="AJ1415" s="2136">
        <f>M1415-'Blocking-Step2'!M1415</f>
        <v>0</v>
      </c>
      <c r="AL1415" s="2136" t="e">
        <f>O1415-'Blocking-Step2'!O1415</f>
        <v>#VALUE!</v>
      </c>
      <c r="AN1415" s="2137">
        <f>Q1415-'Blocking-Step2'!Q1415</f>
        <v>0</v>
      </c>
      <c r="AP1415" s="2127">
        <f>S1415-'Blocking-Step2'!S1415</f>
        <v>0</v>
      </c>
      <c r="AR1415" s="2127">
        <f>U1415-'Blocking-Step2'!U1415</f>
        <v>0</v>
      </c>
      <c r="AT1415" s="2127">
        <f>W1415-'Blocking-Step2'!W1415</f>
        <v>0</v>
      </c>
      <c r="AV1415" s="2128">
        <f>Y1415-'Blocking-Step2'!Y1415</f>
        <v>0</v>
      </c>
    </row>
    <row r="1416" spans="1:48" ht="17.25" hidden="1" thickTop="1" thickBot="1">
      <c r="A1416" s="1116" t="s">
        <v>247</v>
      </c>
      <c r="C1416" s="1138">
        <v>939060947.99508166</v>
      </c>
      <c r="D1416" s="1138">
        <v>946091941.27456832</v>
      </c>
      <c r="F1416" s="1145"/>
      <c r="H1416" s="1149">
        <v>66729464.450599998</v>
      </c>
      <c r="I1416" s="1149">
        <v>67017747.117799997</v>
      </c>
      <c r="K1416" s="1145"/>
      <c r="M1416" s="1145"/>
      <c r="O1416" s="1145"/>
      <c r="Q1416" s="1145"/>
      <c r="S1416" s="1149">
        <v>8637829</v>
      </c>
      <c r="U1416" s="1149">
        <v>40756050</v>
      </c>
      <c r="W1416" s="1149">
        <v>18547150</v>
      </c>
      <c r="Y1416" s="1149">
        <v>67941027</v>
      </c>
      <c r="Z1416" s="2114">
        <f>C1416-'Blocking-Step2'!C1416</f>
        <v>0</v>
      </c>
      <c r="AA1416" s="2114">
        <f>D1416-'Blocking-Step2'!D1416</f>
        <v>0</v>
      </c>
      <c r="AC1416" s="2114">
        <f>F1416-'Blocking-Step2'!F1416</f>
        <v>0</v>
      </c>
      <c r="AE1416" s="2114">
        <f>H1416-'Blocking-Step2'!H1416</f>
        <v>0</v>
      </c>
      <c r="AF1416" s="2114">
        <f>I1416-'Blocking-Step2'!I1416</f>
        <v>0</v>
      </c>
      <c r="AH1416" s="2136">
        <f>K1416-'Blocking-Step2'!K1416</f>
        <v>0</v>
      </c>
      <c r="AJ1416" s="2136">
        <f>M1416-'Blocking-Step2'!M1416</f>
        <v>0</v>
      </c>
      <c r="AL1416" s="2136">
        <f>O1416-'Blocking-Step2'!O1416</f>
        <v>0</v>
      </c>
      <c r="AN1416" s="2137">
        <f>Q1416-'Blocking-Step2'!Q1416</f>
        <v>0</v>
      </c>
      <c r="AP1416" s="2127">
        <f>S1416-'Blocking-Step2'!S1416</f>
        <v>-12494685</v>
      </c>
      <c r="AR1416" s="2127">
        <f>U1416-'Blocking-Step2'!U1416</f>
        <v>12494684</v>
      </c>
      <c r="AT1416" s="2127">
        <f>W1416-'Blocking-Step2'!W1416</f>
        <v>0</v>
      </c>
      <c r="AV1416" s="2128">
        <f>Y1416-'Blocking-Step2'!Y1416</f>
        <v>0</v>
      </c>
    </row>
    <row r="1417" spans="1:48" ht="16.5" hidden="1" thickTop="1">
      <c r="Z1417" s="2114">
        <f>C1417-'Blocking-Step2'!C1417</f>
        <v>0</v>
      </c>
      <c r="AA1417" s="2114">
        <f>D1417-'Blocking-Step2'!D1417</f>
        <v>0</v>
      </c>
      <c r="AC1417" s="2114">
        <f>F1417-'Blocking-Step2'!F1417</f>
        <v>0</v>
      </c>
      <c r="AE1417" s="2114">
        <f>H1417-'Blocking-Step2'!H1417</f>
        <v>0</v>
      </c>
      <c r="AF1417" s="2114">
        <f>I1417-'Blocking-Step2'!I1417</f>
        <v>0</v>
      </c>
      <c r="AH1417" s="2136">
        <f>K1417-'Blocking-Step2'!K1417</f>
        <v>0</v>
      </c>
      <c r="AJ1417" s="2136">
        <f>M1417-'Blocking-Step2'!M1417</f>
        <v>0</v>
      </c>
      <c r="AL1417" s="2136">
        <f>O1417-'Blocking-Step2'!O1417</f>
        <v>0</v>
      </c>
      <c r="AN1417" s="2137">
        <f>Q1417-'Blocking-Step2'!Q1417</f>
        <v>0</v>
      </c>
      <c r="AP1417" s="2127">
        <f>S1417-'Blocking-Step2'!S1417</f>
        <v>0</v>
      </c>
      <c r="AR1417" s="2127">
        <f>U1417-'Blocking-Step2'!U1417</f>
        <v>0</v>
      </c>
      <c r="AT1417" s="2127">
        <f>W1417-'Blocking-Step2'!W1417</f>
        <v>0</v>
      </c>
      <c r="AV1417" s="2128">
        <f>Y1417-'Blocking-Step2'!Y1417</f>
        <v>0</v>
      </c>
    </row>
    <row r="1418" spans="1:48" ht="16.5" hidden="1" thickTop="1">
      <c r="A1418" s="1115" t="s">
        <v>559</v>
      </c>
      <c r="Z1418" s="2114">
        <f>C1418-'Blocking-Step2'!C1418</f>
        <v>0</v>
      </c>
      <c r="AA1418" s="2114">
        <f>D1418-'Blocking-Step2'!D1418</f>
        <v>0</v>
      </c>
      <c r="AC1418" s="2114">
        <f>F1418-'Blocking-Step2'!F1418</f>
        <v>0</v>
      </c>
      <c r="AE1418" s="2114">
        <f>H1418-'Blocking-Step2'!H1418</f>
        <v>0</v>
      </c>
      <c r="AF1418" s="2114">
        <f>I1418-'Blocking-Step2'!I1418</f>
        <v>0</v>
      </c>
      <c r="AH1418" s="2136">
        <f>K1418-'Blocking-Step2'!K1418</f>
        <v>0</v>
      </c>
      <c r="AJ1418" s="2136">
        <f>M1418-'Blocking-Step2'!M1418</f>
        <v>0</v>
      </c>
      <c r="AL1418" s="2136">
        <f>O1418-'Blocking-Step2'!O1418</f>
        <v>0</v>
      </c>
      <c r="AN1418" s="2137">
        <f>Q1418-'Blocking-Step2'!Q1418</f>
        <v>0</v>
      </c>
      <c r="AP1418" s="2127">
        <f>S1418-'Blocking-Step2'!S1418</f>
        <v>0</v>
      </c>
      <c r="AR1418" s="2127">
        <f>U1418-'Blocking-Step2'!U1418</f>
        <v>0</v>
      </c>
      <c r="AT1418" s="2127">
        <f>W1418-'Blocking-Step2'!W1418</f>
        <v>0</v>
      </c>
      <c r="AV1418" s="2128">
        <f>Y1418-'Blocking-Step2'!Y1418</f>
        <v>0</v>
      </c>
    </row>
    <row r="1419" spans="1:48" ht="16.5" hidden="1" thickTop="1">
      <c r="A1419" s="1116" t="s">
        <v>240</v>
      </c>
      <c r="C1419" s="1105">
        <v>1250.0664285714299</v>
      </c>
      <c r="D1419" s="1105">
        <v>1236</v>
      </c>
      <c r="F1419" s="1142">
        <v>70</v>
      </c>
      <c r="G1419" s="617"/>
      <c r="H1419" s="1146">
        <v>87505</v>
      </c>
      <c r="I1419" s="1146">
        <v>86520</v>
      </c>
      <c r="K1419" s="1142">
        <v>71</v>
      </c>
      <c r="L1419" s="617"/>
      <c r="M1419" s="1142">
        <v>0</v>
      </c>
      <c r="N1419" s="617"/>
      <c r="O1419" s="1142">
        <v>0</v>
      </c>
      <c r="P1419" s="617"/>
      <c r="Q1419" s="1142">
        <v>71</v>
      </c>
      <c r="R1419" s="617"/>
      <c r="S1419" s="1114">
        <v>87756</v>
      </c>
      <c r="T1419" s="1114"/>
      <c r="U1419" s="1114"/>
      <c r="V1419" s="1114"/>
      <c r="W1419" s="1114"/>
      <c r="X1419" s="1114"/>
      <c r="Y1419" s="1146">
        <v>87756</v>
      </c>
      <c r="Z1419" s="2114">
        <f>C1419-'Blocking-Step2'!C1419</f>
        <v>0</v>
      </c>
      <c r="AA1419" s="2114">
        <f>D1419-'Blocking-Step2'!D1419</f>
        <v>0</v>
      </c>
      <c r="AC1419" s="2114">
        <f>F1419-'Blocking-Step2'!F1419</f>
        <v>0</v>
      </c>
      <c r="AE1419" s="2114">
        <f>H1419-'Blocking-Step2'!H1419</f>
        <v>0</v>
      </c>
      <c r="AF1419" s="2114">
        <f>I1419-'Blocking-Step2'!I1419</f>
        <v>0</v>
      </c>
      <c r="AH1419" s="2136">
        <f>K1419-'Blocking-Step2'!K1419</f>
        <v>0</v>
      </c>
      <c r="AJ1419" s="2136">
        <f>M1419-'Blocking-Step2'!M1419</f>
        <v>0</v>
      </c>
      <c r="AL1419" s="2136">
        <f>O1419-'Blocking-Step2'!O1419</f>
        <v>0</v>
      </c>
      <c r="AN1419" s="2137">
        <f>Q1419-'Blocking-Step2'!Q1419</f>
        <v>0</v>
      </c>
      <c r="AP1419" s="2127">
        <f>S1419-'Blocking-Step2'!S1419</f>
        <v>0</v>
      </c>
      <c r="AR1419" s="2127">
        <f>U1419-'Blocking-Step2'!U1419</f>
        <v>0</v>
      </c>
      <c r="AT1419" s="2127">
        <f>W1419-'Blocking-Step2'!W1419</f>
        <v>0</v>
      </c>
      <c r="AV1419" s="2128">
        <f>Y1419-'Blocking-Step2'!Y1419</f>
        <v>0</v>
      </c>
    </row>
    <row r="1420" spans="1:48" ht="16.5" hidden="1" thickTop="1">
      <c r="A1420" s="1116" t="s">
        <v>168</v>
      </c>
      <c r="C1420" s="1105">
        <v>2239559.6701680701</v>
      </c>
      <c r="D1420" s="1105">
        <v>2274485</v>
      </c>
      <c r="F1420" s="1142">
        <v>4.76</v>
      </c>
      <c r="G1420" s="617"/>
      <c r="H1420" s="1146">
        <v>10660304</v>
      </c>
      <c r="I1420" s="1146">
        <v>10826549</v>
      </c>
      <c r="K1420" s="1142">
        <v>4.84</v>
      </c>
      <c r="L1420" s="617"/>
      <c r="M1420" s="1142">
        <v>0</v>
      </c>
      <c r="N1420" s="617"/>
      <c r="O1420" s="1142">
        <v>0</v>
      </c>
      <c r="P1420" s="617"/>
      <c r="Q1420" s="1142">
        <v>4.84</v>
      </c>
      <c r="R1420" s="617"/>
      <c r="S1420" s="1114">
        <v>11008507</v>
      </c>
      <c r="T1420" s="1114"/>
      <c r="U1420" s="1114"/>
      <c r="V1420" s="1114"/>
      <c r="W1420" s="1114"/>
      <c r="X1420" s="1114"/>
      <c r="Y1420" s="1146">
        <v>11008507</v>
      </c>
      <c r="Z1420" s="2114">
        <f>C1420-'Blocking-Step2'!C1420</f>
        <v>0</v>
      </c>
      <c r="AA1420" s="2114">
        <f>D1420-'Blocking-Step2'!D1420</f>
        <v>0</v>
      </c>
      <c r="AC1420" s="2114">
        <f>F1420-'Blocking-Step2'!F1420</f>
        <v>0</v>
      </c>
      <c r="AE1420" s="2114">
        <f>H1420-'Blocking-Step2'!H1420</f>
        <v>0</v>
      </c>
      <c r="AF1420" s="2114">
        <f>I1420-'Blocking-Step2'!I1420</f>
        <v>0</v>
      </c>
      <c r="AH1420" s="2136">
        <f>K1420-'Blocking-Step2'!K1420</f>
        <v>0</v>
      </c>
      <c r="AJ1420" s="2136">
        <f>M1420-'Blocking-Step2'!M1420</f>
        <v>0</v>
      </c>
      <c r="AL1420" s="2136">
        <f>O1420-'Blocking-Step2'!O1420</f>
        <v>0</v>
      </c>
      <c r="AN1420" s="2137">
        <f>Q1420-'Blocking-Step2'!Q1420</f>
        <v>0</v>
      </c>
      <c r="AP1420" s="2127">
        <f>S1420-'Blocking-Step2'!S1420</f>
        <v>0</v>
      </c>
      <c r="AR1420" s="2127">
        <f>U1420-'Blocking-Step2'!U1420</f>
        <v>0</v>
      </c>
      <c r="AT1420" s="2127">
        <f>W1420-'Blocking-Step2'!W1420</f>
        <v>0</v>
      </c>
      <c r="AV1420" s="2128">
        <f>Y1420-'Blocking-Step2'!Y1420</f>
        <v>0</v>
      </c>
    </row>
    <row r="1421" spans="1:48" ht="16.5" hidden="1" thickTop="1">
      <c r="A1421" s="1116" t="s">
        <v>1651</v>
      </c>
      <c r="C1421" s="1105">
        <v>759364.58851735562</v>
      </c>
      <c r="D1421" s="1105">
        <v>771207</v>
      </c>
      <c r="F1421" s="1142"/>
      <c r="G1421" s="617"/>
      <c r="H1421" s="1146"/>
      <c r="I1421" s="1146"/>
      <c r="K1421" s="1142">
        <v>0</v>
      </c>
      <c r="L1421" s="617"/>
      <c r="M1421" s="1142">
        <v>15.83</v>
      </c>
      <c r="N1421" s="617"/>
      <c r="O1421" s="1142">
        <v>0</v>
      </c>
      <c r="P1421" s="617"/>
      <c r="Q1421" s="1142">
        <v>15.83</v>
      </c>
      <c r="R1421" s="617"/>
      <c r="S1421" s="1146">
        <v>0</v>
      </c>
      <c r="T1421" s="1146"/>
      <c r="U1421" s="1146">
        <v>12208207</v>
      </c>
      <c r="V1421" s="1146"/>
      <c r="W1421" s="1146">
        <v>0</v>
      </c>
      <c r="X1421" s="1114"/>
      <c r="Y1421" s="1146">
        <v>12208207</v>
      </c>
      <c r="Z1421" s="2114">
        <f>C1421-'Blocking-Step2'!C1421</f>
        <v>0</v>
      </c>
      <c r="AA1421" s="2114">
        <f>D1421-'Blocking-Step2'!D1421</f>
        <v>0</v>
      </c>
      <c r="AC1421" s="2114">
        <f>F1421-'Blocking-Step2'!F1421</f>
        <v>0</v>
      </c>
      <c r="AE1421" s="2114">
        <f>H1421-'Blocking-Step2'!H1421</f>
        <v>0</v>
      </c>
      <c r="AF1421" s="2114">
        <f>I1421-'Blocking-Step2'!I1421</f>
        <v>0</v>
      </c>
      <c r="AH1421" s="2136">
        <f>K1421-'Blocking-Step2'!K1421</f>
        <v>-7.23</v>
      </c>
      <c r="AJ1421" s="2136">
        <f>M1421-'Blocking-Step2'!M1421</f>
        <v>7.23</v>
      </c>
      <c r="AL1421" s="2136">
        <f>O1421-'Blocking-Step2'!O1421</f>
        <v>0</v>
      </c>
      <c r="AN1421" s="2137">
        <f>Q1421-'Blocking-Step2'!Q1421</f>
        <v>0</v>
      </c>
      <c r="AP1421" s="2127">
        <f>S1421-'Blocking-Step2'!S1421</f>
        <v>-5575827</v>
      </c>
      <c r="AR1421" s="2127">
        <f>U1421-'Blocking-Step2'!U1421</f>
        <v>5575827</v>
      </c>
      <c r="AT1421" s="2127">
        <f>W1421-'Blocking-Step2'!W1421</f>
        <v>0</v>
      </c>
      <c r="AV1421" s="2128">
        <f>Y1421-'Blocking-Step2'!Y1421</f>
        <v>0</v>
      </c>
    </row>
    <row r="1422" spans="1:48" ht="16.5" hidden="1" thickTop="1">
      <c r="A1422" s="1116" t="s">
        <v>1652</v>
      </c>
      <c r="C1422" s="1105">
        <v>1381932.8217879008</v>
      </c>
      <c r="D1422" s="1105">
        <v>1403484</v>
      </c>
      <c r="F1422" s="1142"/>
      <c r="G1422" s="617"/>
      <c r="H1422" s="1146"/>
      <c r="I1422" s="1146"/>
      <c r="K1422" s="1142">
        <v>0</v>
      </c>
      <c r="L1422" s="617"/>
      <c r="M1422" s="1142">
        <v>14.01</v>
      </c>
      <c r="N1422" s="617"/>
      <c r="O1422" s="1142">
        <v>0</v>
      </c>
      <c r="P1422" s="617"/>
      <c r="Q1422" s="1142">
        <v>14.01</v>
      </c>
      <c r="R1422" s="617"/>
      <c r="S1422" s="1146">
        <v>0</v>
      </c>
      <c r="T1422" s="1146"/>
      <c r="U1422" s="1146">
        <v>19662811</v>
      </c>
      <c r="V1422" s="1146"/>
      <c r="W1422" s="1146">
        <v>0</v>
      </c>
      <c r="X1422" s="1114"/>
      <c r="Y1422" s="1146">
        <v>19662811</v>
      </c>
      <c r="Z1422" s="2114">
        <f>C1422-'Blocking-Step2'!C1422</f>
        <v>0</v>
      </c>
      <c r="AA1422" s="2114">
        <f>D1422-'Blocking-Step2'!D1422</f>
        <v>0</v>
      </c>
      <c r="AC1422" s="2114">
        <f>F1422-'Blocking-Step2'!F1422</f>
        <v>0</v>
      </c>
      <c r="AE1422" s="2114">
        <f>H1422-'Blocking-Step2'!H1422</f>
        <v>0</v>
      </c>
      <c r="AF1422" s="2114">
        <f>I1422-'Blocking-Step2'!I1422</f>
        <v>0</v>
      </c>
      <c r="AH1422" s="2136">
        <f>K1422-'Blocking-Step2'!K1422</f>
        <v>-6.4</v>
      </c>
      <c r="AJ1422" s="2136">
        <f>M1422-'Blocking-Step2'!M1422</f>
        <v>6.4</v>
      </c>
      <c r="AL1422" s="2136">
        <f>O1422-'Blocking-Step2'!O1422</f>
        <v>0</v>
      </c>
      <c r="AN1422" s="2137">
        <f>Q1422-'Blocking-Step2'!Q1422</f>
        <v>0</v>
      </c>
      <c r="AP1422" s="2127">
        <f>S1422-'Blocking-Step2'!S1422</f>
        <v>-8982298</v>
      </c>
      <c r="AR1422" s="2127">
        <f>U1422-'Blocking-Step2'!U1422</f>
        <v>8982298</v>
      </c>
      <c r="AT1422" s="2127">
        <f>W1422-'Blocking-Step2'!W1422</f>
        <v>0</v>
      </c>
      <c r="AV1422" s="2128">
        <f>Y1422-'Blocking-Step2'!Y1422</f>
        <v>0</v>
      </c>
    </row>
    <row r="1423" spans="1:48" ht="16.5" hidden="1" thickTop="1">
      <c r="A1423" s="1116" t="s">
        <v>1532</v>
      </c>
      <c r="C1423" s="1105">
        <v>98055043.541359529</v>
      </c>
      <c r="D1423" s="1105">
        <v>97969900.778996944</v>
      </c>
      <c r="F1423" s="1106"/>
      <c r="G1423" s="1921"/>
      <c r="H1423" s="1146"/>
      <c r="I1423" s="1146"/>
      <c r="K1423" s="1106">
        <v>0</v>
      </c>
      <c r="L1423" s="1921" t="s">
        <v>495</v>
      </c>
      <c r="M1423" s="1106">
        <v>1.4166000000000001</v>
      </c>
      <c r="N1423" s="1921" t="s">
        <v>495</v>
      </c>
      <c r="O1423" s="1106">
        <v>4.4476704152740005</v>
      </c>
      <c r="P1423" s="1921" t="s">
        <v>495</v>
      </c>
      <c r="Q1423" s="1106">
        <v>5.8642704152740004</v>
      </c>
      <c r="R1423" s="1921" t="s">
        <v>495</v>
      </c>
      <c r="S1423" s="1146">
        <v>0</v>
      </c>
      <c r="T1423" s="1146"/>
      <c r="U1423" s="1146">
        <v>1387842</v>
      </c>
      <c r="V1423" s="1146"/>
      <c r="W1423" s="1146">
        <v>4357378</v>
      </c>
      <c r="X1423" s="1648"/>
      <c r="Y1423" s="1146">
        <v>5745220</v>
      </c>
      <c r="Z1423" s="2114">
        <f>C1423-'Blocking-Step2'!C1423</f>
        <v>0</v>
      </c>
      <c r="AA1423" s="2114">
        <f>D1423-'Blocking-Step2'!D1423</f>
        <v>0</v>
      </c>
      <c r="AC1423" s="2114">
        <f>F1423-'Blocking-Step2'!F1423</f>
        <v>0</v>
      </c>
      <c r="AE1423" s="2114">
        <f>H1423-'Blocking-Step2'!H1423</f>
        <v>0</v>
      </c>
      <c r="AF1423" s="2114">
        <f>I1423-'Blocking-Step2'!I1423</f>
        <v>0</v>
      </c>
      <c r="AH1423" s="2136">
        <f>K1423-'Blocking-Step2'!K1423</f>
        <v>0</v>
      </c>
      <c r="AJ1423" s="2136">
        <f>M1423-'Blocking-Step2'!M1423</f>
        <v>0</v>
      </c>
      <c r="AL1423" s="2136">
        <f>O1423-'Blocking-Step2'!O1423</f>
        <v>0</v>
      </c>
      <c r="AN1423" s="2137">
        <f>Q1423-'Blocking-Step2'!Q1423</f>
        <v>0</v>
      </c>
      <c r="AP1423" s="2127">
        <f>S1423-'Blocking-Step2'!S1423</f>
        <v>0</v>
      </c>
      <c r="AR1423" s="2127">
        <f>U1423-'Blocking-Step2'!U1423</f>
        <v>0</v>
      </c>
      <c r="AT1423" s="2127">
        <f>W1423-'Blocking-Step2'!W1423</f>
        <v>0</v>
      </c>
      <c r="AV1423" s="2128">
        <f>Y1423-'Blocking-Step2'!Y1423</f>
        <v>0</v>
      </c>
    </row>
    <row r="1424" spans="1:48" ht="16.5" hidden="1" thickTop="1">
      <c r="A1424" s="1116" t="s">
        <v>1653</v>
      </c>
      <c r="C1424" s="1105">
        <v>141924487.36688542</v>
      </c>
      <c r="D1424" s="1105">
        <v>141801251</v>
      </c>
      <c r="F1424" s="1106"/>
      <c r="G1424" s="1921"/>
      <c r="H1424" s="1146"/>
      <c r="I1424" s="1146"/>
      <c r="K1424" s="1106">
        <v>0</v>
      </c>
      <c r="L1424" s="1921" t="s">
        <v>495</v>
      </c>
      <c r="M1424" s="1106">
        <v>1.4166000000000001</v>
      </c>
      <c r="N1424" s="1921" t="s">
        <v>495</v>
      </c>
      <c r="O1424" s="1106">
        <v>3.7730198365260001</v>
      </c>
      <c r="P1424" s="1921" t="s">
        <v>495</v>
      </c>
      <c r="Q1424" s="1106">
        <v>5.189619836526</v>
      </c>
      <c r="R1424" s="1921" t="s">
        <v>495</v>
      </c>
      <c r="S1424" s="1146">
        <v>0</v>
      </c>
      <c r="T1424" s="1146"/>
      <c r="U1424" s="1146">
        <v>2008757</v>
      </c>
      <c r="V1424" s="1146"/>
      <c r="W1424" s="1146">
        <v>5350189</v>
      </c>
      <c r="X1424" s="1648"/>
      <c r="Y1424" s="1146">
        <v>7358946</v>
      </c>
      <c r="Z1424" s="2114">
        <f>C1424-'Blocking-Step2'!C1424</f>
        <v>0</v>
      </c>
      <c r="AA1424" s="2114">
        <f>D1424-'Blocking-Step2'!D1424</f>
        <v>0</v>
      </c>
      <c r="AC1424" s="2114">
        <f>F1424-'Blocking-Step2'!F1424</f>
        <v>0</v>
      </c>
      <c r="AE1424" s="2114">
        <f>H1424-'Blocking-Step2'!H1424</f>
        <v>0</v>
      </c>
      <c r="AF1424" s="2114">
        <f>I1424-'Blocking-Step2'!I1424</f>
        <v>0</v>
      </c>
      <c r="AH1424" s="2136">
        <f>K1424-'Blocking-Step2'!K1424</f>
        <v>0</v>
      </c>
      <c r="AJ1424" s="2136">
        <f>M1424-'Blocking-Step2'!M1424</f>
        <v>0</v>
      </c>
      <c r="AL1424" s="2136">
        <f>O1424-'Blocking-Step2'!O1424</f>
        <v>0</v>
      </c>
      <c r="AN1424" s="2137">
        <f>Q1424-'Blocking-Step2'!Q1424</f>
        <v>0</v>
      </c>
      <c r="AP1424" s="2127">
        <f>S1424-'Blocking-Step2'!S1424</f>
        <v>0</v>
      </c>
      <c r="AR1424" s="2127">
        <f>U1424-'Blocking-Step2'!U1424</f>
        <v>0</v>
      </c>
      <c r="AT1424" s="2127">
        <f>W1424-'Blocking-Step2'!W1424</f>
        <v>0</v>
      </c>
      <c r="AV1424" s="2128">
        <f>Y1424-'Blocking-Step2'!Y1424</f>
        <v>0</v>
      </c>
    </row>
    <row r="1425" spans="1:48" ht="16.5" hidden="1" thickTop="1">
      <c r="A1425" s="1116" t="s">
        <v>1533</v>
      </c>
      <c r="C1425" s="1105">
        <v>271381908.54581261</v>
      </c>
      <c r="D1425" s="1105">
        <v>271146261</v>
      </c>
      <c r="F1425" s="1106"/>
      <c r="G1425" s="1921"/>
      <c r="H1425" s="1146"/>
      <c r="I1425" s="1146"/>
      <c r="K1425" s="1106">
        <v>0</v>
      </c>
      <c r="L1425" s="1921" t="s">
        <v>495</v>
      </c>
      <c r="M1425" s="1106">
        <v>1.4166000000000001</v>
      </c>
      <c r="N1425" s="1921" t="s">
        <v>495</v>
      </c>
      <c r="O1425" s="1106">
        <v>1.5641055047420001</v>
      </c>
      <c r="P1425" s="1921" t="s">
        <v>495</v>
      </c>
      <c r="Q1425" s="1106">
        <v>2.9807055047420001</v>
      </c>
      <c r="R1425" s="1921" t="s">
        <v>495</v>
      </c>
      <c r="S1425" s="1146">
        <v>0</v>
      </c>
      <c r="T1425" s="1146"/>
      <c r="U1425" s="1146">
        <v>3841058</v>
      </c>
      <c r="V1425" s="1146"/>
      <c r="W1425" s="1146">
        <v>4241014</v>
      </c>
      <c r="X1425" s="1648"/>
      <c r="Y1425" s="1146">
        <v>8082072</v>
      </c>
      <c r="Z1425" s="2114">
        <f>C1425-'Blocking-Step2'!C1425</f>
        <v>0</v>
      </c>
      <c r="AA1425" s="2114">
        <f>D1425-'Blocking-Step2'!D1425</f>
        <v>0</v>
      </c>
      <c r="AC1425" s="2114">
        <f>F1425-'Blocking-Step2'!F1425</f>
        <v>0</v>
      </c>
      <c r="AE1425" s="2114">
        <f>H1425-'Blocking-Step2'!H1425</f>
        <v>0</v>
      </c>
      <c r="AF1425" s="2114">
        <f>I1425-'Blocking-Step2'!I1425</f>
        <v>0</v>
      </c>
      <c r="AH1425" s="2136">
        <f>K1425-'Blocking-Step2'!K1425</f>
        <v>0</v>
      </c>
      <c r="AJ1425" s="2136">
        <f>M1425-'Blocking-Step2'!M1425</f>
        <v>0</v>
      </c>
      <c r="AL1425" s="2136">
        <f>O1425-'Blocking-Step2'!O1425</f>
        <v>0</v>
      </c>
      <c r="AN1425" s="2137">
        <f>Q1425-'Blocking-Step2'!Q1425</f>
        <v>0</v>
      </c>
      <c r="AP1425" s="2127">
        <f>S1425-'Blocking-Step2'!S1425</f>
        <v>0</v>
      </c>
      <c r="AR1425" s="2127">
        <f>U1425-'Blocking-Step2'!U1425</f>
        <v>0</v>
      </c>
      <c r="AT1425" s="2127">
        <f>W1425-'Blocking-Step2'!W1425</f>
        <v>0</v>
      </c>
      <c r="AV1425" s="2128">
        <f>Y1425-'Blocking-Step2'!Y1425</f>
        <v>0</v>
      </c>
    </row>
    <row r="1426" spans="1:48" ht="16.5" hidden="1" thickTop="1">
      <c r="A1426" s="1116" t="s">
        <v>2177</v>
      </c>
      <c r="C1426" s="1105">
        <v>500903414.54594243</v>
      </c>
      <c r="D1426" s="1105">
        <v>500468468</v>
      </c>
      <c r="F1426" s="1106"/>
      <c r="G1426" s="1921"/>
      <c r="H1426" s="1146"/>
      <c r="I1426" s="1146"/>
      <c r="K1426" s="1106">
        <v>0</v>
      </c>
      <c r="L1426" s="1921" t="s">
        <v>495</v>
      </c>
      <c r="M1426" s="1106">
        <v>1.4166000000000001</v>
      </c>
      <c r="N1426" s="1921" t="s">
        <v>495</v>
      </c>
      <c r="O1426" s="1106">
        <v>1.2211924820729998</v>
      </c>
      <c r="P1426" s="1921" t="s">
        <v>495</v>
      </c>
      <c r="Q1426" s="1106">
        <v>2.6377924820729999</v>
      </c>
      <c r="R1426" s="1921" t="s">
        <v>495</v>
      </c>
      <c r="S1426" s="1146">
        <v>0</v>
      </c>
      <c r="T1426" s="1146"/>
      <c r="U1426" s="1146">
        <v>7089636</v>
      </c>
      <c r="V1426" s="1146"/>
      <c r="W1426" s="1146">
        <v>6111683</v>
      </c>
      <c r="X1426" s="1648"/>
      <c r="Y1426" s="1146">
        <v>13201320</v>
      </c>
      <c r="Z1426" s="2114">
        <f>C1426-'Blocking-Step2'!C1426</f>
        <v>0</v>
      </c>
      <c r="AA1426" s="2114">
        <f>D1426-'Blocking-Step2'!D1426</f>
        <v>0</v>
      </c>
      <c r="AC1426" s="2114">
        <f>F1426-'Blocking-Step2'!F1426</f>
        <v>0</v>
      </c>
      <c r="AE1426" s="2114">
        <f>H1426-'Blocking-Step2'!H1426</f>
        <v>0</v>
      </c>
      <c r="AF1426" s="2114">
        <f>I1426-'Blocking-Step2'!I1426</f>
        <v>0</v>
      </c>
      <c r="AH1426" s="2136">
        <f>K1426-'Blocking-Step2'!K1426</f>
        <v>0</v>
      </c>
      <c r="AJ1426" s="2136">
        <f>M1426-'Blocking-Step2'!M1426</f>
        <v>0</v>
      </c>
      <c r="AL1426" s="2136">
        <f>O1426-'Blocking-Step2'!O1426</f>
        <v>0</v>
      </c>
      <c r="AN1426" s="2137">
        <f>Q1426-'Blocking-Step2'!Q1426</f>
        <v>0</v>
      </c>
      <c r="AP1426" s="2127">
        <f>S1426-'Blocking-Step2'!S1426</f>
        <v>0</v>
      </c>
      <c r="AR1426" s="2127">
        <f>U1426-'Blocking-Step2'!U1426</f>
        <v>0</v>
      </c>
      <c r="AT1426" s="2127">
        <f>W1426-'Blocking-Step2'!W1426</f>
        <v>0</v>
      </c>
      <c r="AV1426" s="2128">
        <f>Y1426-'Blocking-Step2'!Y1426</f>
        <v>0</v>
      </c>
    </row>
    <row r="1427" spans="1:48" ht="16.5" hidden="1" thickTop="1">
      <c r="A1427" s="1116" t="s">
        <v>18</v>
      </c>
      <c r="C1427" s="1105">
        <v>939735.74871465296</v>
      </c>
      <c r="D1427" s="1105">
        <v>954391</v>
      </c>
      <c r="F1427" s="1142">
        <v>15.56</v>
      </c>
      <c r="G1427" s="617"/>
      <c r="H1427" s="1146">
        <v>14622288</v>
      </c>
      <c r="I1427" s="1146">
        <v>14850324</v>
      </c>
      <c r="K1427" s="1142"/>
      <c r="L1427" s="617"/>
      <c r="M1427" s="1142"/>
      <c r="N1427" s="617"/>
      <c r="O1427" s="1142"/>
      <c r="P1427" s="617"/>
      <c r="Q1427" s="1142"/>
      <c r="R1427" s="617"/>
      <c r="S1427" s="1114"/>
      <c r="T1427" s="1114"/>
      <c r="U1427" s="1114"/>
      <c r="V1427" s="1114"/>
      <c r="W1427" s="1114"/>
      <c r="X1427" s="1114"/>
      <c r="Y1427" s="1146"/>
      <c r="Z1427" s="2114">
        <f>C1427-'Blocking-Step2'!C1427</f>
        <v>0</v>
      </c>
      <c r="AA1427" s="2114">
        <f>D1427-'Blocking-Step2'!D1427</f>
        <v>0</v>
      </c>
      <c r="AC1427" s="2114">
        <f>F1427-'Blocking-Step2'!F1427</f>
        <v>0</v>
      </c>
      <c r="AE1427" s="2114">
        <f>H1427-'Blocking-Step2'!H1427</f>
        <v>0</v>
      </c>
      <c r="AF1427" s="2114">
        <f>I1427-'Blocking-Step2'!I1427</f>
        <v>0</v>
      </c>
      <c r="AH1427" s="2136">
        <f>K1427-'Blocking-Step2'!K1427</f>
        <v>0</v>
      </c>
      <c r="AJ1427" s="2136">
        <f>M1427-'Blocking-Step2'!M1427</f>
        <v>0</v>
      </c>
      <c r="AL1427" s="2136">
        <f>O1427-'Blocking-Step2'!O1427</f>
        <v>0</v>
      </c>
      <c r="AN1427" s="2137">
        <f>Q1427-'Blocking-Step2'!Q1427</f>
        <v>0</v>
      </c>
      <c r="AP1427" s="2127">
        <f>S1427-'Blocking-Step2'!S1427</f>
        <v>0</v>
      </c>
      <c r="AR1427" s="2127">
        <f>U1427-'Blocking-Step2'!U1427</f>
        <v>0</v>
      </c>
      <c r="AT1427" s="2127">
        <f>W1427-'Blocking-Step2'!W1427</f>
        <v>0</v>
      </c>
      <c r="AV1427" s="2128">
        <f>Y1427-'Blocking-Step2'!Y1427</f>
        <v>0</v>
      </c>
    </row>
    <row r="1428" spans="1:48" ht="16.5" hidden="1" thickTop="1">
      <c r="A1428" s="1116" t="s">
        <v>166</v>
      </c>
      <c r="C1428" s="1105">
        <v>1252824.8203753377</v>
      </c>
      <c r="D1428" s="1105">
        <v>1272362</v>
      </c>
      <c r="F1428" s="1142">
        <v>11.19</v>
      </c>
      <c r="G1428" s="617"/>
      <c r="H1428" s="1146">
        <v>14019110</v>
      </c>
      <c r="I1428" s="1146">
        <v>14237731</v>
      </c>
      <c r="K1428" s="1142"/>
      <c r="L1428" s="617"/>
      <c r="M1428" s="1142"/>
      <c r="N1428" s="617"/>
      <c r="O1428" s="1142"/>
      <c r="P1428" s="617"/>
      <c r="Q1428" s="1142"/>
      <c r="R1428" s="617"/>
      <c r="S1428" s="1114"/>
      <c r="T1428" s="1114"/>
      <c r="U1428" s="1114"/>
      <c r="V1428" s="1114"/>
      <c r="W1428" s="1114"/>
      <c r="X1428" s="1114"/>
      <c r="Y1428" s="1146"/>
      <c r="Z1428" s="2114">
        <f>C1428-'Blocking-Step2'!C1428</f>
        <v>0</v>
      </c>
      <c r="AA1428" s="2114">
        <f>D1428-'Blocking-Step2'!D1428</f>
        <v>0</v>
      </c>
      <c r="AC1428" s="2114">
        <f>F1428-'Blocking-Step2'!F1428</f>
        <v>0</v>
      </c>
      <c r="AE1428" s="2114">
        <f>H1428-'Blocking-Step2'!H1428</f>
        <v>0</v>
      </c>
      <c r="AF1428" s="2114">
        <f>I1428-'Blocking-Step2'!I1428</f>
        <v>0</v>
      </c>
      <c r="AH1428" s="2136">
        <f>K1428-'Blocking-Step2'!K1428</f>
        <v>0</v>
      </c>
      <c r="AJ1428" s="2136">
        <f>M1428-'Blocking-Step2'!M1428</f>
        <v>0</v>
      </c>
      <c r="AL1428" s="2136">
        <f>O1428-'Blocking-Step2'!O1428</f>
        <v>0</v>
      </c>
      <c r="AN1428" s="2137">
        <f>Q1428-'Blocking-Step2'!Q1428</f>
        <v>0</v>
      </c>
      <c r="AP1428" s="2127">
        <f>S1428-'Blocking-Step2'!S1428</f>
        <v>0</v>
      </c>
      <c r="AR1428" s="2127">
        <f>U1428-'Blocking-Step2'!U1428</f>
        <v>0</v>
      </c>
      <c r="AT1428" s="2127">
        <f>W1428-'Blocking-Step2'!W1428</f>
        <v>0</v>
      </c>
      <c r="AV1428" s="2128">
        <f>Y1428-'Blocking-Step2'!Y1428</f>
        <v>0</v>
      </c>
    </row>
    <row r="1429" spans="1:48" ht="16.5" hidden="1" thickTop="1">
      <c r="A1429" s="1116" t="s">
        <v>261</v>
      </c>
      <c r="C1429" s="1105">
        <v>954992.93805309699</v>
      </c>
      <c r="D1429" s="1105">
        <v>969886</v>
      </c>
      <c r="F1429" s="1142">
        <v>-1.1299999999999999</v>
      </c>
      <c r="G1429" s="617"/>
      <c r="H1429" s="1146">
        <v>-1079142</v>
      </c>
      <c r="I1429" s="1146">
        <v>-1095971</v>
      </c>
      <c r="K1429" s="1142">
        <v>-1.1299999999999999</v>
      </c>
      <c r="L1429" s="617"/>
      <c r="M1429" s="1142">
        <v>0</v>
      </c>
      <c r="N1429" s="617"/>
      <c r="O1429" s="1142">
        <v>0</v>
      </c>
      <c r="P1429" s="617"/>
      <c r="Q1429" s="1142">
        <v>-1.1299999999999999</v>
      </c>
      <c r="R1429" s="617"/>
      <c r="S1429" s="1146">
        <v>-1095971</v>
      </c>
      <c r="T1429" s="1146"/>
      <c r="U1429" s="1146">
        <v>0</v>
      </c>
      <c r="V1429" s="1146"/>
      <c r="W1429" s="1146">
        <v>0</v>
      </c>
      <c r="X1429" s="1114"/>
      <c r="Y1429" s="1146">
        <v>-1095971</v>
      </c>
      <c r="Z1429" s="2114">
        <f>C1429-'Blocking-Step2'!C1429</f>
        <v>0</v>
      </c>
      <c r="AA1429" s="2114">
        <f>D1429-'Blocking-Step2'!D1429</f>
        <v>0</v>
      </c>
      <c r="AC1429" s="2114">
        <f>F1429-'Blocking-Step2'!F1429</f>
        <v>0</v>
      </c>
      <c r="AE1429" s="2114">
        <f>H1429-'Blocking-Step2'!H1429</f>
        <v>0</v>
      </c>
      <c r="AF1429" s="2114">
        <f>I1429-'Blocking-Step2'!I1429</f>
        <v>0</v>
      </c>
      <c r="AH1429" s="2136">
        <f>K1429-'Blocking-Step2'!K1429</f>
        <v>0</v>
      </c>
      <c r="AJ1429" s="2136">
        <f>M1429-'Blocking-Step2'!M1429</f>
        <v>0</v>
      </c>
      <c r="AL1429" s="2136">
        <f>O1429-'Blocking-Step2'!O1429</f>
        <v>0</v>
      </c>
      <c r="AN1429" s="2137">
        <f>Q1429-'Blocking-Step2'!Q1429</f>
        <v>0</v>
      </c>
      <c r="AP1429" s="2127">
        <f>S1429-'Blocking-Step2'!S1429</f>
        <v>0</v>
      </c>
      <c r="AR1429" s="2127">
        <f>U1429-'Blocking-Step2'!U1429</f>
        <v>0</v>
      </c>
      <c r="AT1429" s="2127">
        <f>W1429-'Blocking-Step2'!W1429</f>
        <v>0</v>
      </c>
      <c r="AV1429" s="2128">
        <f>Y1429-'Blocking-Step2'!Y1429</f>
        <v>0</v>
      </c>
    </row>
    <row r="1430" spans="1:48" ht="16.5" hidden="1" thickTop="1">
      <c r="A1430" s="1116" t="s">
        <v>188</v>
      </c>
      <c r="C1430" s="1105">
        <v>122983181</v>
      </c>
      <c r="D1430" s="1105">
        <v>122876391.77899694</v>
      </c>
      <c r="F1430" s="1106">
        <v>5.0473999999999997</v>
      </c>
      <c r="G1430" s="1921" t="s">
        <v>495</v>
      </c>
      <c r="H1430" s="1146">
        <v>6207453</v>
      </c>
      <c r="I1430" s="1146">
        <v>6202063</v>
      </c>
      <c r="K1430" s="1106"/>
      <c r="L1430" s="1921"/>
      <c r="M1430" s="1106"/>
      <c r="N1430" s="1921"/>
      <c r="O1430" s="1106"/>
      <c r="P1430" s="1921"/>
      <c r="Q1430" s="1106"/>
      <c r="R1430" s="1921"/>
      <c r="S1430" s="1648"/>
      <c r="T1430" s="1648"/>
      <c r="U1430" s="1648"/>
      <c r="V1430" s="1648"/>
      <c r="W1430" s="1648"/>
      <c r="X1430" s="1648"/>
      <c r="Y1430" s="1146"/>
      <c r="Z1430" s="2114">
        <f>C1430-'Blocking-Step2'!C1430</f>
        <v>0</v>
      </c>
      <c r="AA1430" s="2114">
        <f>D1430-'Blocking-Step2'!D1430</f>
        <v>0</v>
      </c>
      <c r="AC1430" s="2114">
        <f>F1430-'Blocking-Step2'!F1430</f>
        <v>0</v>
      </c>
      <c r="AE1430" s="2114">
        <f>H1430-'Blocking-Step2'!H1430</f>
        <v>0</v>
      </c>
      <c r="AF1430" s="2114">
        <f>I1430-'Blocking-Step2'!I1430</f>
        <v>0</v>
      </c>
      <c r="AH1430" s="2136">
        <f>K1430-'Blocking-Step2'!K1430</f>
        <v>0</v>
      </c>
      <c r="AJ1430" s="2136">
        <f>M1430-'Blocking-Step2'!M1430</f>
        <v>0</v>
      </c>
      <c r="AL1430" s="2136">
        <f>O1430-'Blocking-Step2'!O1430</f>
        <v>0</v>
      </c>
      <c r="AN1430" s="2137">
        <f>Q1430-'Blocking-Step2'!Q1430</f>
        <v>0</v>
      </c>
      <c r="AP1430" s="2127">
        <f>S1430-'Blocking-Step2'!S1430</f>
        <v>0</v>
      </c>
      <c r="AR1430" s="2127">
        <f>U1430-'Blocking-Step2'!U1430</f>
        <v>0</v>
      </c>
      <c r="AT1430" s="2127">
        <f>W1430-'Blocking-Step2'!W1430</f>
        <v>0</v>
      </c>
      <c r="AV1430" s="2128">
        <f>Y1430-'Blocking-Step2'!Y1430</f>
        <v>0</v>
      </c>
    </row>
    <row r="1431" spans="1:48" ht="16.5" hidden="1" thickTop="1">
      <c r="A1431" s="1116" t="s">
        <v>163</v>
      </c>
      <c r="C1431" s="1105">
        <v>287770283</v>
      </c>
      <c r="D1431" s="1105">
        <v>287520405</v>
      </c>
      <c r="F1431" s="1106">
        <v>3.9510999999999998</v>
      </c>
      <c r="G1431" s="1921" t="s">
        <v>495</v>
      </c>
      <c r="H1431" s="1146">
        <v>11370092</v>
      </c>
      <c r="I1431" s="1146">
        <v>11360219</v>
      </c>
      <c r="K1431" s="1106"/>
      <c r="L1431" s="1921"/>
      <c r="M1431" s="1106"/>
      <c r="N1431" s="1921"/>
      <c r="O1431" s="1106"/>
      <c r="P1431" s="1921"/>
      <c r="Q1431" s="1106"/>
      <c r="R1431" s="1921"/>
      <c r="S1431" s="1648"/>
      <c r="T1431" s="1648"/>
      <c r="U1431" s="1648"/>
      <c r="V1431" s="1648"/>
      <c r="W1431" s="1648"/>
      <c r="X1431" s="1648"/>
      <c r="Y1431" s="1146"/>
      <c r="Z1431" s="2114">
        <f>C1431-'Blocking-Step2'!C1431</f>
        <v>0</v>
      </c>
      <c r="AA1431" s="2114">
        <f>D1431-'Blocking-Step2'!D1431</f>
        <v>0</v>
      </c>
      <c r="AC1431" s="2114">
        <f>F1431-'Blocking-Step2'!F1431</f>
        <v>0</v>
      </c>
      <c r="AE1431" s="2114">
        <f>H1431-'Blocking-Step2'!H1431</f>
        <v>0</v>
      </c>
      <c r="AF1431" s="2114">
        <f>I1431-'Blocking-Step2'!I1431</f>
        <v>0</v>
      </c>
      <c r="AH1431" s="2136">
        <f>K1431-'Blocking-Step2'!K1431</f>
        <v>0</v>
      </c>
      <c r="AJ1431" s="2136">
        <f>M1431-'Blocking-Step2'!M1431</f>
        <v>0</v>
      </c>
      <c r="AL1431" s="2136">
        <f>O1431-'Blocking-Step2'!O1431</f>
        <v>0</v>
      </c>
      <c r="AN1431" s="2137">
        <f>Q1431-'Blocking-Step2'!Q1431</f>
        <v>0</v>
      </c>
      <c r="AP1431" s="2127">
        <f>S1431-'Blocking-Step2'!S1431</f>
        <v>0</v>
      </c>
      <c r="AR1431" s="2127">
        <f>U1431-'Blocking-Step2'!U1431</f>
        <v>0</v>
      </c>
      <c r="AT1431" s="2127">
        <f>W1431-'Blocking-Step2'!W1431</f>
        <v>0</v>
      </c>
      <c r="AV1431" s="2128">
        <f>Y1431-'Blocking-Step2'!Y1431</f>
        <v>0</v>
      </c>
    </row>
    <row r="1432" spans="1:48" ht="16.5" hidden="1" thickTop="1">
      <c r="A1432" s="1116" t="s">
        <v>249</v>
      </c>
      <c r="C1432" s="1105">
        <v>601511390</v>
      </c>
      <c r="D1432" s="1105">
        <v>600989084</v>
      </c>
      <c r="F1432" s="1106">
        <v>3.4001999999999999</v>
      </c>
      <c r="G1432" s="1921" t="s">
        <v>495</v>
      </c>
      <c r="H1432" s="1146">
        <v>20452590</v>
      </c>
      <c r="I1432" s="1146">
        <v>20434831</v>
      </c>
      <c r="K1432" s="1106"/>
      <c r="L1432" s="1921"/>
      <c r="M1432" s="1106"/>
      <c r="N1432" s="1921"/>
      <c r="O1432" s="1106"/>
      <c r="P1432" s="1921"/>
      <c r="Q1432" s="1106"/>
      <c r="R1432" s="1921"/>
      <c r="S1432" s="1648"/>
      <c r="T1432" s="1648"/>
      <c r="U1432" s="1648"/>
      <c r="V1432" s="1648"/>
      <c r="W1432" s="1648"/>
      <c r="X1432" s="1648"/>
      <c r="Y1432" s="1146"/>
      <c r="Z1432" s="2114">
        <f>C1432-'Blocking-Step2'!C1432</f>
        <v>0</v>
      </c>
      <c r="AA1432" s="2114">
        <f>D1432-'Blocking-Step2'!D1432</f>
        <v>0</v>
      </c>
      <c r="AC1432" s="2114">
        <f>F1432-'Blocking-Step2'!F1432</f>
        <v>0</v>
      </c>
      <c r="AE1432" s="2114">
        <f>H1432-'Blocking-Step2'!H1432</f>
        <v>0</v>
      </c>
      <c r="AF1432" s="2114">
        <f>I1432-'Blocking-Step2'!I1432</f>
        <v>0</v>
      </c>
      <c r="AH1432" s="2136">
        <f>K1432-'Blocking-Step2'!K1432</f>
        <v>0</v>
      </c>
      <c r="AJ1432" s="2136">
        <f>M1432-'Blocking-Step2'!M1432</f>
        <v>0</v>
      </c>
      <c r="AL1432" s="2136">
        <f>O1432-'Blocking-Step2'!O1432</f>
        <v>0</v>
      </c>
      <c r="AN1432" s="2137">
        <f>Q1432-'Blocking-Step2'!Q1432</f>
        <v>0</v>
      </c>
      <c r="AP1432" s="2127">
        <f>S1432-'Blocking-Step2'!S1432</f>
        <v>0</v>
      </c>
      <c r="AR1432" s="2127">
        <f>U1432-'Blocking-Step2'!U1432</f>
        <v>0</v>
      </c>
      <c r="AT1432" s="2127">
        <f>W1432-'Blocking-Step2'!W1432</f>
        <v>0</v>
      </c>
      <c r="AV1432" s="2128">
        <f>Y1432-'Blocking-Step2'!Y1432</f>
        <v>0</v>
      </c>
    </row>
    <row r="1433" spans="1:48" s="1966" customFormat="1" ht="16.5" hidden="1" thickTop="1">
      <c r="A1433" s="1116" t="s">
        <v>246</v>
      </c>
      <c r="B1433" s="1104"/>
      <c r="C1433" s="1940">
        <v>-16409187</v>
      </c>
      <c r="D1433" s="1940">
        <v>0</v>
      </c>
      <c r="E1433" s="1109"/>
      <c r="F1433" s="1104"/>
      <c r="G1433" s="1109"/>
      <c r="H1433" s="1147">
        <v>-1127981</v>
      </c>
      <c r="I1433" s="1147">
        <v>0</v>
      </c>
      <c r="J1433" s="1109"/>
      <c r="K1433" s="1104"/>
      <c r="L1433" s="1109"/>
      <c r="M1433" s="1104"/>
      <c r="N1433" s="1109"/>
      <c r="O1433" s="1104"/>
      <c r="P1433" s="1109"/>
      <c r="Q1433" s="1104"/>
      <c r="R1433" s="1109"/>
      <c r="S1433" s="1628"/>
      <c r="T1433" s="1628"/>
      <c r="U1433" s="1628"/>
      <c r="V1433" s="1628"/>
      <c r="W1433" s="1628"/>
      <c r="X1433" s="1628"/>
      <c r="Y1433" s="1147">
        <v>0</v>
      </c>
      <c r="Z1433" s="2114">
        <f>C1433-'Blocking-Step2'!C1433</f>
        <v>0</v>
      </c>
      <c r="AA1433" s="2114">
        <f>D1433-'Blocking-Step2'!D1433</f>
        <v>0</v>
      </c>
      <c r="AB1433" s="2114"/>
      <c r="AC1433" s="2114">
        <f>F1433-'Blocking-Step2'!F1433</f>
        <v>0</v>
      </c>
      <c r="AD1433" s="2114"/>
      <c r="AE1433" s="2114">
        <f>H1433-'Blocking-Step2'!H1433</f>
        <v>0</v>
      </c>
      <c r="AF1433" s="2114">
        <f>I1433-'Blocking-Step2'!I1433</f>
        <v>0</v>
      </c>
      <c r="AG1433" s="2114"/>
      <c r="AH1433" s="2136">
        <f>K1433-'Blocking-Step2'!K1433</f>
        <v>0</v>
      </c>
      <c r="AI1433" s="2136"/>
      <c r="AJ1433" s="2136">
        <f>M1433-'Blocking-Step2'!M1433</f>
        <v>0</v>
      </c>
      <c r="AK1433" s="2136"/>
      <c r="AL1433" s="2136">
        <f>O1433-'Blocking-Step2'!O1433</f>
        <v>0</v>
      </c>
      <c r="AM1433" s="2136"/>
      <c r="AN1433" s="2137">
        <f>Q1433-'Blocking-Step2'!Q1433</f>
        <v>0</v>
      </c>
      <c r="AO1433" s="2114"/>
      <c r="AP1433" s="2127">
        <f>S1433-'Blocking-Step2'!S1433</f>
        <v>0</v>
      </c>
      <c r="AQ1433" s="2127"/>
      <c r="AR1433" s="2127">
        <f>U1433-'Blocking-Step2'!U1433</f>
        <v>0</v>
      </c>
      <c r="AS1433" s="2127"/>
      <c r="AT1433" s="2127">
        <f>W1433-'Blocking-Step2'!W1433</f>
        <v>0</v>
      </c>
      <c r="AU1433" s="2127"/>
      <c r="AV1433" s="2128">
        <f>Y1433-'Blocking-Step2'!Y1433</f>
        <v>0</v>
      </c>
    </row>
    <row r="1434" spans="1:48" ht="16.5" hidden="1" thickTop="1">
      <c r="A1434" s="1116" t="s">
        <v>1240</v>
      </c>
      <c r="C1434" s="1024"/>
      <c r="D1434" s="1024"/>
      <c r="F1434" s="2076">
        <v>-3.1800000000000002E-2</v>
      </c>
      <c r="G1434" s="617"/>
      <c r="H1434" s="1146">
        <v>-2120154.7494000001</v>
      </c>
      <c r="I1434" s="1146">
        <v>-2133308.3424</v>
      </c>
      <c r="K1434" s="2076"/>
      <c r="L1434" s="617"/>
      <c r="M1434" s="2076"/>
      <c r="N1434" s="617"/>
      <c r="O1434" s="2077" t="s">
        <v>2323</v>
      </c>
      <c r="P1434" s="617"/>
      <c r="Q1434" s="2076">
        <v>-2.6499999999999999E-2</v>
      </c>
      <c r="R1434" s="617"/>
      <c r="S1434" s="1114"/>
      <c r="T1434" s="1114"/>
      <c r="U1434" s="1114"/>
      <c r="V1434" s="1114"/>
      <c r="W1434" s="1114"/>
      <c r="X1434" s="1114"/>
      <c r="Y1434" s="1146">
        <v>-1755852.264</v>
      </c>
      <c r="Z1434" s="2114">
        <f>C1434-'Blocking-Step2'!C1434</f>
        <v>0</v>
      </c>
      <c r="AA1434" s="2114">
        <f>D1434-'Blocking-Step2'!D1434</f>
        <v>0</v>
      </c>
      <c r="AC1434" s="2114">
        <f>F1434-'Blocking-Step2'!F1434</f>
        <v>0</v>
      </c>
      <c r="AE1434" s="2114">
        <f>H1434-'Blocking-Step2'!H1434</f>
        <v>0</v>
      </c>
      <c r="AF1434" s="2114">
        <f>I1434-'Blocking-Step2'!I1434</f>
        <v>0</v>
      </c>
      <c r="AH1434" s="2136">
        <f>K1434-'Blocking-Step2'!K1434</f>
        <v>0</v>
      </c>
      <c r="AJ1434" s="2136">
        <f>M1434-'Blocking-Step2'!M1434</f>
        <v>0</v>
      </c>
      <c r="AL1434" s="2136" t="e">
        <f>O1434-'Blocking-Step2'!O1434</f>
        <v>#VALUE!</v>
      </c>
      <c r="AN1434" s="2137">
        <f>Q1434-'Blocking-Step2'!Q1434</f>
        <v>0</v>
      </c>
      <c r="AP1434" s="2127">
        <f>S1434-'Blocking-Step2'!S1434</f>
        <v>0</v>
      </c>
      <c r="AR1434" s="2127">
        <f>U1434-'Blocking-Step2'!U1434</f>
        <v>0</v>
      </c>
      <c r="AT1434" s="2127">
        <f>W1434-'Blocking-Step2'!W1434</f>
        <v>0</v>
      </c>
      <c r="AV1434" s="2128">
        <f>Y1434-'Blocking-Step2'!Y1434</f>
        <v>0</v>
      </c>
    </row>
    <row r="1435" spans="1:48" ht="16.5" hidden="1" thickTop="1">
      <c r="A1435" s="1116"/>
      <c r="C1435" s="1024"/>
      <c r="D1435" s="1024"/>
      <c r="F1435" s="2076"/>
      <c r="G1435" s="617"/>
      <c r="H1435" s="1146"/>
      <c r="I1435" s="1146"/>
      <c r="K1435" s="2076"/>
      <c r="L1435" s="617"/>
      <c r="M1435" s="2076"/>
      <c r="N1435" s="617"/>
      <c r="O1435" s="2077" t="s">
        <v>2324</v>
      </c>
      <c r="P1435" s="617"/>
      <c r="Q1435" s="2076">
        <v>-1.44E-2</v>
      </c>
      <c r="R1435" s="617"/>
      <c r="S1435" s="1114"/>
      <c r="T1435" s="1114"/>
      <c r="U1435" s="1114"/>
      <c r="V1435" s="1114"/>
      <c r="W1435" s="1114"/>
      <c r="X1435" s="1114"/>
      <c r="Y1435" s="1146">
        <v>-954123.49439999997</v>
      </c>
      <c r="Z1435" s="2114">
        <f>C1435-'Blocking-Step2'!C1435</f>
        <v>0</v>
      </c>
      <c r="AA1435" s="2114">
        <f>D1435-'Blocking-Step2'!D1435</f>
        <v>0</v>
      </c>
      <c r="AC1435" s="2114">
        <f>F1435-'Blocking-Step2'!F1435</f>
        <v>0</v>
      </c>
      <c r="AE1435" s="2114">
        <f>H1435-'Blocking-Step2'!H1435</f>
        <v>0</v>
      </c>
      <c r="AF1435" s="2114">
        <f>I1435-'Blocking-Step2'!I1435</f>
        <v>0</v>
      </c>
      <c r="AH1435" s="2136">
        <f>K1435-'Blocking-Step2'!K1435</f>
        <v>0</v>
      </c>
      <c r="AJ1435" s="2136">
        <f>M1435-'Blocking-Step2'!M1435</f>
        <v>0</v>
      </c>
      <c r="AL1435" s="2136" t="e">
        <f>O1435-'Blocking-Step2'!O1435</f>
        <v>#VALUE!</v>
      </c>
      <c r="AN1435" s="2137">
        <f>Q1435-'Blocking-Step2'!Q1435</f>
        <v>0</v>
      </c>
      <c r="AP1435" s="2127">
        <f>S1435-'Blocking-Step2'!S1435</f>
        <v>0</v>
      </c>
      <c r="AR1435" s="2127">
        <f>U1435-'Blocking-Step2'!U1435</f>
        <v>0</v>
      </c>
      <c r="AT1435" s="2127">
        <f>W1435-'Blocking-Step2'!W1435</f>
        <v>0</v>
      </c>
      <c r="AV1435" s="2128">
        <f>Y1435-'Blocking-Step2'!Y1435</f>
        <v>0</v>
      </c>
    </row>
    <row r="1436" spans="1:48" ht="17.25" hidden="1" thickTop="1" thickBot="1">
      <c r="A1436" s="1116" t="s">
        <v>247</v>
      </c>
      <c r="C1436" s="1138">
        <v>995855667</v>
      </c>
      <c r="D1436" s="1138">
        <v>1011385880.7789969</v>
      </c>
      <c r="F1436" s="1145"/>
      <c r="H1436" s="1149">
        <v>73092064.250599995</v>
      </c>
      <c r="I1436" s="1149">
        <v>74768957.657600001</v>
      </c>
      <c r="K1436" s="1145"/>
      <c r="M1436" s="1145"/>
      <c r="O1436" s="1145"/>
      <c r="Q1436" s="1145"/>
      <c r="S1436" s="1149">
        <v>10000292</v>
      </c>
      <c r="U1436" s="1149">
        <v>46198311</v>
      </c>
      <c r="W1436" s="1149">
        <v>20060264</v>
      </c>
      <c r="Y1436" s="1149">
        <v>76258868</v>
      </c>
      <c r="Z1436" s="2114">
        <f>C1436-'Blocking-Step2'!C1436</f>
        <v>0</v>
      </c>
      <c r="AA1436" s="2114">
        <f>D1436-'Blocking-Step2'!D1436</f>
        <v>0</v>
      </c>
      <c r="AC1436" s="2114">
        <f>F1436-'Blocking-Step2'!F1436</f>
        <v>0</v>
      </c>
      <c r="AE1436" s="2114">
        <f>H1436-'Blocking-Step2'!H1436</f>
        <v>0</v>
      </c>
      <c r="AF1436" s="2114">
        <f>I1436-'Blocking-Step2'!I1436</f>
        <v>0</v>
      </c>
      <c r="AH1436" s="2136">
        <f>K1436-'Blocking-Step2'!K1436</f>
        <v>0</v>
      </c>
      <c r="AJ1436" s="2136">
        <f>M1436-'Blocking-Step2'!M1436</f>
        <v>0</v>
      </c>
      <c r="AL1436" s="2136">
        <f>O1436-'Blocking-Step2'!O1436</f>
        <v>0</v>
      </c>
      <c r="AN1436" s="2137">
        <f>Q1436-'Blocking-Step2'!Q1436</f>
        <v>0</v>
      </c>
      <c r="AP1436" s="2127">
        <f>S1436-'Blocking-Step2'!S1436</f>
        <v>-14558125</v>
      </c>
      <c r="AR1436" s="2127">
        <f>U1436-'Blocking-Step2'!U1436</f>
        <v>14558125</v>
      </c>
      <c r="AT1436" s="2127">
        <f>W1436-'Blocking-Step2'!W1436</f>
        <v>0</v>
      </c>
      <c r="AV1436" s="2128">
        <f>Y1436-'Blocking-Step2'!Y1436</f>
        <v>0</v>
      </c>
    </row>
    <row r="1437" spans="1:48" ht="16.5" thickTop="1">
      <c r="A1437" s="1966"/>
      <c r="B1437" s="1966"/>
      <c r="C1437" s="1967"/>
      <c r="D1437" s="1967"/>
      <c r="E1437" s="1968"/>
      <c r="F1437" s="1966"/>
      <c r="G1437" s="1968"/>
      <c r="H1437" s="1871"/>
      <c r="I1437" s="1871"/>
      <c r="J1437" s="1968"/>
      <c r="K1437" s="1966"/>
      <c r="L1437" s="1968"/>
      <c r="M1437" s="1966"/>
      <c r="N1437" s="1968"/>
      <c r="O1437" s="1966"/>
      <c r="P1437" s="1968"/>
      <c r="Q1437" s="1966"/>
      <c r="R1437" s="1968"/>
      <c r="S1437" s="1870"/>
      <c r="T1437" s="1870"/>
      <c r="U1437" s="1870"/>
      <c r="V1437" s="1870"/>
      <c r="W1437" s="1870"/>
      <c r="X1437" s="1870"/>
      <c r="Y1437" s="1871"/>
      <c r="Z1437" s="2114">
        <f>C1437-'Blocking-Step2'!C1437</f>
        <v>0</v>
      </c>
      <c r="AA1437" s="2114">
        <f>D1437-'Blocking-Step2'!D1437</f>
        <v>0</v>
      </c>
      <c r="AC1437" s="2114">
        <f>F1437-'Blocking-Step2'!F1437</f>
        <v>0</v>
      </c>
      <c r="AE1437" s="2114">
        <f>H1437-'Blocking-Step2'!H1437</f>
        <v>0</v>
      </c>
      <c r="AF1437" s="2114">
        <f>I1437-'Blocking-Step2'!I1437</f>
        <v>0</v>
      </c>
      <c r="AH1437" s="2136">
        <f>K1437-'Blocking-Step2'!K1437</f>
        <v>0</v>
      </c>
      <c r="AJ1437" s="2136">
        <f>M1437-'Blocking-Step2'!M1437</f>
        <v>0</v>
      </c>
      <c r="AL1437" s="2136">
        <f>O1437-'Blocking-Step2'!O1437</f>
        <v>0</v>
      </c>
      <c r="AN1437" s="2137">
        <f>Q1437-'Blocking-Step2'!Q1437</f>
        <v>0</v>
      </c>
      <c r="AP1437" s="2127">
        <f>S1437-'Blocking-Step2'!S1437</f>
        <v>0</v>
      </c>
      <c r="AR1437" s="2127">
        <f>U1437-'Blocking-Step2'!U1437</f>
        <v>0</v>
      </c>
      <c r="AT1437" s="2127">
        <f>W1437-'Blocking-Step2'!W1437</f>
        <v>0</v>
      </c>
      <c r="AV1437" s="2128">
        <f>Y1437-'Blocking-Step2'!Y1437</f>
        <v>0</v>
      </c>
    </row>
    <row r="1438" spans="1:48">
      <c r="A1438" s="1115" t="s">
        <v>990</v>
      </c>
      <c r="Z1438" s="2114">
        <f>C1438-'Blocking-Step2'!C1438</f>
        <v>0</v>
      </c>
      <c r="AA1438" s="2114">
        <f>D1438-'Blocking-Step2'!D1438</f>
        <v>0</v>
      </c>
      <c r="AC1438" s="2114">
        <f>F1438-'Blocking-Step2'!F1438</f>
        <v>0</v>
      </c>
      <c r="AE1438" s="2114">
        <f>H1438-'Blocking-Step2'!H1438</f>
        <v>0</v>
      </c>
      <c r="AF1438" s="2114">
        <f>I1438-'Blocking-Step2'!I1438</f>
        <v>0</v>
      </c>
      <c r="AH1438" s="2136">
        <f>K1438-'Blocking-Step2'!K1438</f>
        <v>0</v>
      </c>
      <c r="AJ1438" s="2136">
        <f>M1438-'Blocking-Step2'!M1438</f>
        <v>0</v>
      </c>
      <c r="AL1438" s="2136">
        <f>O1438-'Blocking-Step2'!O1438</f>
        <v>0</v>
      </c>
      <c r="AN1438" s="2137">
        <f>Q1438-'Blocking-Step2'!Q1438</f>
        <v>0</v>
      </c>
      <c r="AP1438" s="2127">
        <f>S1438-'Blocking-Step2'!S1438</f>
        <v>0</v>
      </c>
      <c r="AR1438" s="2127">
        <f>U1438-'Blocking-Step2'!U1438</f>
        <v>0</v>
      </c>
      <c r="AT1438" s="2127">
        <f>W1438-'Blocking-Step2'!W1438</f>
        <v>0</v>
      </c>
      <c r="AV1438" s="2128">
        <f>Y1438-'Blocking-Step2'!Y1438</f>
        <v>0</v>
      </c>
    </row>
    <row r="1439" spans="1:48">
      <c r="A1439" s="1116" t="s">
        <v>240</v>
      </c>
      <c r="C1439" s="1105">
        <v>135.63328571428599</v>
      </c>
      <c r="D1439" s="1105">
        <v>168</v>
      </c>
      <c r="F1439" s="1142">
        <v>70</v>
      </c>
      <c r="G1439" s="617"/>
      <c r="H1439" s="1146">
        <v>9494</v>
      </c>
      <c r="I1439" s="1146">
        <v>11760</v>
      </c>
      <c r="K1439" s="1142">
        <v>71</v>
      </c>
      <c r="L1439" s="617"/>
      <c r="M1439" s="1142">
        <v>0</v>
      </c>
      <c r="N1439" s="617"/>
      <c r="O1439" s="1142">
        <v>0</v>
      </c>
      <c r="P1439" s="617"/>
      <c r="Q1439" s="1142">
        <v>71</v>
      </c>
      <c r="R1439" s="617"/>
      <c r="S1439" s="1114">
        <v>11928</v>
      </c>
      <c r="T1439" s="1114"/>
      <c r="U1439" s="1114"/>
      <c r="V1439" s="1114"/>
      <c r="W1439" s="1114"/>
      <c r="X1439" s="1114"/>
      <c r="Y1439" s="1146">
        <v>11928</v>
      </c>
      <c r="Z1439" s="2114">
        <f>C1439-'Blocking-Step2'!C1439</f>
        <v>0</v>
      </c>
      <c r="AA1439" s="2114">
        <f>D1439-'Blocking-Step2'!D1439</f>
        <v>0</v>
      </c>
      <c r="AC1439" s="2114">
        <f>F1439-'Blocking-Step2'!F1439</f>
        <v>0</v>
      </c>
      <c r="AE1439" s="2114">
        <f>H1439-'Blocking-Step2'!H1439</f>
        <v>0</v>
      </c>
      <c r="AF1439" s="2114">
        <f>I1439-'Blocking-Step2'!I1439</f>
        <v>0</v>
      </c>
      <c r="AH1439" s="2136">
        <f>K1439-'Blocking-Step2'!K1439</f>
        <v>0</v>
      </c>
      <c r="AJ1439" s="2136">
        <f>M1439-'Blocking-Step2'!M1439</f>
        <v>0</v>
      </c>
      <c r="AL1439" s="2136">
        <f>O1439-'Blocking-Step2'!O1439</f>
        <v>0</v>
      </c>
      <c r="AN1439" s="2137">
        <f>Q1439-'Blocking-Step2'!Q1439</f>
        <v>0</v>
      </c>
      <c r="AP1439" s="2127">
        <f>S1439-'Blocking-Step2'!S1439</f>
        <v>0</v>
      </c>
      <c r="AR1439" s="2127">
        <f>U1439-'Blocking-Step2'!U1439</f>
        <v>0</v>
      </c>
      <c r="AT1439" s="2127">
        <f>W1439-'Blocking-Step2'!W1439</f>
        <v>0</v>
      </c>
      <c r="AV1439" s="2128">
        <f>Y1439-'Blocking-Step2'!Y1439</f>
        <v>0</v>
      </c>
    </row>
    <row r="1440" spans="1:48">
      <c r="A1440" s="1116" t="s">
        <v>168</v>
      </c>
      <c r="C1440" s="1105">
        <v>137123.266806723</v>
      </c>
      <c r="D1440" s="1105">
        <v>150062</v>
      </c>
      <c r="F1440" s="1142">
        <v>4.76</v>
      </c>
      <c r="G1440" s="617"/>
      <c r="H1440" s="1146">
        <v>652707</v>
      </c>
      <c r="I1440" s="1146">
        <v>714295</v>
      </c>
      <c r="K1440" s="1142">
        <v>4.84</v>
      </c>
      <c r="L1440" s="617"/>
      <c r="M1440" s="1142">
        <v>0</v>
      </c>
      <c r="N1440" s="617"/>
      <c r="O1440" s="1142">
        <v>0</v>
      </c>
      <c r="P1440" s="617"/>
      <c r="Q1440" s="1142">
        <v>4.84</v>
      </c>
      <c r="R1440" s="617"/>
      <c r="S1440" s="1114">
        <v>726300</v>
      </c>
      <c r="T1440" s="1114"/>
      <c r="U1440" s="1114"/>
      <c r="V1440" s="1114"/>
      <c r="W1440" s="1114"/>
      <c r="X1440" s="1114"/>
      <c r="Y1440" s="1146">
        <v>726300</v>
      </c>
      <c r="Z1440" s="2114">
        <f>C1440-'Blocking-Step2'!C1440</f>
        <v>0</v>
      </c>
      <c r="AA1440" s="2114">
        <f>D1440-'Blocking-Step2'!D1440</f>
        <v>0</v>
      </c>
      <c r="AC1440" s="2114">
        <f>F1440-'Blocking-Step2'!F1440</f>
        <v>0</v>
      </c>
      <c r="AE1440" s="2114">
        <f>H1440-'Blocking-Step2'!H1440</f>
        <v>0</v>
      </c>
      <c r="AF1440" s="2114">
        <f>I1440-'Blocking-Step2'!I1440</f>
        <v>0</v>
      </c>
      <c r="AH1440" s="2136">
        <f>K1440-'Blocking-Step2'!K1440</f>
        <v>0</v>
      </c>
      <c r="AJ1440" s="2136">
        <f>M1440-'Blocking-Step2'!M1440</f>
        <v>0</v>
      </c>
      <c r="AL1440" s="2136">
        <f>O1440-'Blocking-Step2'!O1440</f>
        <v>0</v>
      </c>
      <c r="AN1440" s="2137">
        <f>Q1440-'Blocking-Step2'!Q1440</f>
        <v>0</v>
      </c>
      <c r="AP1440" s="2127">
        <f>S1440-'Blocking-Step2'!S1440</f>
        <v>0</v>
      </c>
      <c r="AR1440" s="2127">
        <f>U1440-'Blocking-Step2'!U1440</f>
        <v>0</v>
      </c>
      <c r="AT1440" s="2127">
        <f>W1440-'Blocking-Step2'!W1440</f>
        <v>0</v>
      </c>
      <c r="AV1440" s="2128">
        <f>Y1440-'Blocking-Step2'!Y1440</f>
        <v>0</v>
      </c>
    </row>
    <row r="1441" spans="1:48">
      <c r="A1441" s="1116" t="s">
        <v>1651</v>
      </c>
      <c r="C1441" s="1105">
        <v>46334.006172912683</v>
      </c>
      <c r="D1441" s="1105">
        <v>50706</v>
      </c>
      <c r="F1441" s="1142"/>
      <c r="G1441" s="617"/>
      <c r="H1441" s="1146"/>
      <c r="I1441" s="1146"/>
      <c r="K1441" s="1142">
        <v>0</v>
      </c>
      <c r="L1441" s="617"/>
      <c r="M1441" s="1142">
        <v>15.83</v>
      </c>
      <c r="N1441" s="617"/>
      <c r="O1441" s="1142">
        <v>0</v>
      </c>
      <c r="P1441" s="617"/>
      <c r="Q1441" s="1142">
        <v>15.83</v>
      </c>
      <c r="R1441" s="617"/>
      <c r="S1441" s="1146">
        <v>0</v>
      </c>
      <c r="T1441" s="1146"/>
      <c r="U1441" s="1146">
        <v>802676</v>
      </c>
      <c r="V1441" s="1146"/>
      <c r="W1441" s="1146">
        <v>0</v>
      </c>
      <c r="X1441" s="1114"/>
      <c r="Y1441" s="1146">
        <v>802676</v>
      </c>
      <c r="Z1441" s="2114">
        <f>C1441-'Blocking-Step2'!C1441</f>
        <v>0</v>
      </c>
      <c r="AA1441" s="2114">
        <f>D1441-'Blocking-Step2'!D1441</f>
        <v>0</v>
      </c>
      <c r="AC1441" s="2114">
        <f>F1441-'Blocking-Step2'!F1441</f>
        <v>0</v>
      </c>
      <c r="AE1441" s="2114">
        <f>H1441-'Blocking-Step2'!H1441</f>
        <v>0</v>
      </c>
      <c r="AF1441" s="2114">
        <f>I1441-'Blocking-Step2'!I1441</f>
        <v>0</v>
      </c>
      <c r="AH1441" s="2136">
        <f>K1441-'Blocking-Step2'!K1441</f>
        <v>-7.23</v>
      </c>
      <c r="AJ1441" s="2136">
        <f>M1441-'Blocking-Step2'!M1441</f>
        <v>7.23</v>
      </c>
      <c r="AL1441" s="2136">
        <f>O1441-'Blocking-Step2'!O1441</f>
        <v>0</v>
      </c>
      <c r="AN1441" s="2137">
        <f>Q1441-'Blocking-Step2'!Q1441</f>
        <v>0</v>
      </c>
      <c r="AP1441" s="2127">
        <f>S1441-'Blocking-Step2'!S1441</f>
        <v>-366604</v>
      </c>
      <c r="AR1441" s="2127">
        <f>U1441-'Blocking-Step2'!U1441</f>
        <v>366604</v>
      </c>
      <c r="AT1441" s="2127">
        <f>W1441-'Blocking-Step2'!W1441</f>
        <v>0</v>
      </c>
      <c r="AV1441" s="2128">
        <f>Y1441-'Blocking-Step2'!Y1441</f>
        <v>0</v>
      </c>
    </row>
    <row r="1442" spans="1:48">
      <c r="A1442" s="1116" t="s">
        <v>1652</v>
      </c>
      <c r="C1442" s="1105">
        <v>83916.986488279334</v>
      </c>
      <c r="D1442" s="1105">
        <v>91835</v>
      </c>
      <c r="F1442" s="1142"/>
      <c r="G1442" s="617"/>
      <c r="H1442" s="1146"/>
      <c r="I1442" s="1146"/>
      <c r="K1442" s="1142">
        <v>0</v>
      </c>
      <c r="L1442" s="617"/>
      <c r="M1442" s="1142">
        <v>14.01</v>
      </c>
      <c r="N1442" s="617"/>
      <c r="O1442" s="1142">
        <v>0</v>
      </c>
      <c r="P1442" s="617"/>
      <c r="Q1442" s="1142">
        <v>14.01</v>
      </c>
      <c r="R1442" s="617"/>
      <c r="S1442" s="1146">
        <v>0</v>
      </c>
      <c r="T1442" s="1146"/>
      <c r="U1442" s="1146">
        <v>1286608</v>
      </c>
      <c r="V1442" s="1146"/>
      <c r="W1442" s="1146">
        <v>0</v>
      </c>
      <c r="X1442" s="1114"/>
      <c r="Y1442" s="1146">
        <v>1286608</v>
      </c>
      <c r="Z1442" s="2114">
        <f>C1442-'Blocking-Step2'!C1442</f>
        <v>0</v>
      </c>
      <c r="AA1442" s="2114">
        <f>D1442-'Blocking-Step2'!D1442</f>
        <v>0</v>
      </c>
      <c r="AC1442" s="2114">
        <f>F1442-'Blocking-Step2'!F1442</f>
        <v>0</v>
      </c>
      <c r="AE1442" s="2114">
        <f>H1442-'Blocking-Step2'!H1442</f>
        <v>0</v>
      </c>
      <c r="AF1442" s="2114">
        <f>I1442-'Blocking-Step2'!I1442</f>
        <v>0</v>
      </c>
      <c r="AH1442" s="2136">
        <f>K1442-'Blocking-Step2'!K1442</f>
        <v>-6.4</v>
      </c>
      <c r="AJ1442" s="2136">
        <f>M1442-'Blocking-Step2'!M1442</f>
        <v>6.4</v>
      </c>
      <c r="AL1442" s="2136">
        <f>O1442-'Blocking-Step2'!O1442</f>
        <v>0</v>
      </c>
      <c r="AN1442" s="2137">
        <f>Q1442-'Blocking-Step2'!Q1442</f>
        <v>0</v>
      </c>
      <c r="AP1442" s="2127">
        <f>S1442-'Blocking-Step2'!S1442</f>
        <v>-587744</v>
      </c>
      <c r="AR1442" s="2127">
        <f>U1442-'Blocking-Step2'!U1442</f>
        <v>587744</v>
      </c>
      <c r="AT1442" s="2127">
        <f>W1442-'Blocking-Step2'!W1442</f>
        <v>0</v>
      </c>
      <c r="AV1442" s="2128">
        <f>Y1442-'Blocking-Step2'!Y1442</f>
        <v>0</v>
      </c>
    </row>
    <row r="1443" spans="1:48">
      <c r="A1443" s="1116" t="s">
        <v>1532</v>
      </c>
      <c r="C1443" s="1105">
        <v>5344083.4211376049</v>
      </c>
      <c r="D1443" s="1105">
        <v>5879321.1969696805</v>
      </c>
      <c r="F1443" s="1106"/>
      <c r="G1443" s="1921"/>
      <c r="H1443" s="1146"/>
      <c r="I1443" s="1146"/>
      <c r="K1443" s="1106">
        <v>0</v>
      </c>
      <c r="L1443" s="1921" t="s">
        <v>495</v>
      </c>
      <c r="M1443" s="1106">
        <v>1.4166000000000001</v>
      </c>
      <c r="N1443" s="1921" t="s">
        <v>495</v>
      </c>
      <c r="O1443" s="1106">
        <v>4.4476704152740005</v>
      </c>
      <c r="P1443" s="1921" t="s">
        <v>495</v>
      </c>
      <c r="Q1443" s="1106">
        <v>5.8642704152740004</v>
      </c>
      <c r="R1443" s="1921" t="s">
        <v>495</v>
      </c>
      <c r="S1443" s="1146">
        <v>0</v>
      </c>
      <c r="T1443" s="1146"/>
      <c r="U1443" s="1146">
        <v>83286</v>
      </c>
      <c r="V1443" s="1146"/>
      <c r="W1443" s="1146">
        <v>261493</v>
      </c>
      <c r="X1443" s="1648"/>
      <c r="Y1443" s="1146">
        <v>344779</v>
      </c>
      <c r="Z1443" s="2114">
        <f>C1443-'Blocking-Step2'!C1443</f>
        <v>0</v>
      </c>
      <c r="AA1443" s="2114">
        <f>D1443-'Blocking-Step2'!D1443</f>
        <v>0</v>
      </c>
      <c r="AC1443" s="2114">
        <f>F1443-'Blocking-Step2'!F1443</f>
        <v>0</v>
      </c>
      <c r="AE1443" s="2114">
        <f>H1443-'Blocking-Step2'!H1443</f>
        <v>0</v>
      </c>
      <c r="AF1443" s="2114">
        <f>I1443-'Blocking-Step2'!I1443</f>
        <v>0</v>
      </c>
      <c r="AH1443" s="2136">
        <f>K1443-'Blocking-Step2'!K1443</f>
        <v>0</v>
      </c>
      <c r="AJ1443" s="2136">
        <f>M1443-'Blocking-Step2'!M1443</f>
        <v>0</v>
      </c>
      <c r="AL1443" s="2136">
        <f>O1443-'Blocking-Step2'!O1443</f>
        <v>0</v>
      </c>
      <c r="AN1443" s="2137">
        <f>Q1443-'Blocking-Step2'!Q1443</f>
        <v>0</v>
      </c>
      <c r="AP1443" s="2127">
        <f>S1443-'Blocking-Step2'!S1443</f>
        <v>0</v>
      </c>
      <c r="AR1443" s="2127">
        <f>U1443-'Blocking-Step2'!U1443</f>
        <v>0</v>
      </c>
      <c r="AT1443" s="2127">
        <f>W1443-'Blocking-Step2'!W1443</f>
        <v>0</v>
      </c>
      <c r="AV1443" s="2128">
        <f>Y1443-'Blocking-Step2'!Y1443</f>
        <v>0</v>
      </c>
    </row>
    <row r="1444" spans="1:48">
      <c r="A1444" s="1116" t="s">
        <v>1653</v>
      </c>
      <c r="C1444" s="1105">
        <v>7982184.139345699</v>
      </c>
      <c r="D1444" s="1105">
        <v>8781642</v>
      </c>
      <c r="F1444" s="1106"/>
      <c r="G1444" s="1921"/>
      <c r="H1444" s="1146"/>
      <c r="I1444" s="1146"/>
      <c r="K1444" s="1106">
        <v>0</v>
      </c>
      <c r="L1444" s="1921" t="s">
        <v>495</v>
      </c>
      <c r="M1444" s="1106">
        <v>1.4166000000000001</v>
      </c>
      <c r="N1444" s="1921" t="s">
        <v>495</v>
      </c>
      <c r="O1444" s="1106">
        <v>3.7730198365260001</v>
      </c>
      <c r="P1444" s="1921" t="s">
        <v>495</v>
      </c>
      <c r="Q1444" s="1106">
        <v>5.189619836526</v>
      </c>
      <c r="R1444" s="1921" t="s">
        <v>495</v>
      </c>
      <c r="S1444" s="1146">
        <v>0</v>
      </c>
      <c r="T1444" s="1146"/>
      <c r="U1444" s="1146">
        <v>124401</v>
      </c>
      <c r="V1444" s="1146"/>
      <c r="W1444" s="1146">
        <v>331333</v>
      </c>
      <c r="X1444" s="1648"/>
      <c r="Y1444" s="1146">
        <v>455734</v>
      </c>
      <c r="Z1444" s="2114">
        <f>C1444-'Blocking-Step2'!C1444</f>
        <v>0</v>
      </c>
      <c r="AA1444" s="2114">
        <f>D1444-'Blocking-Step2'!D1444</f>
        <v>0</v>
      </c>
      <c r="AC1444" s="2114">
        <f>F1444-'Blocking-Step2'!F1444</f>
        <v>0</v>
      </c>
      <c r="AE1444" s="2114">
        <f>H1444-'Blocking-Step2'!H1444</f>
        <v>0</v>
      </c>
      <c r="AF1444" s="2114">
        <f>I1444-'Blocking-Step2'!I1444</f>
        <v>0</v>
      </c>
      <c r="AH1444" s="2136">
        <f>K1444-'Blocking-Step2'!K1444</f>
        <v>0</v>
      </c>
      <c r="AJ1444" s="2136">
        <f>M1444-'Blocking-Step2'!M1444</f>
        <v>0</v>
      </c>
      <c r="AL1444" s="2136">
        <f>O1444-'Blocking-Step2'!O1444</f>
        <v>0</v>
      </c>
      <c r="AN1444" s="2137">
        <f>Q1444-'Blocking-Step2'!Q1444</f>
        <v>0</v>
      </c>
      <c r="AP1444" s="2127">
        <f>S1444-'Blocking-Step2'!S1444</f>
        <v>0</v>
      </c>
      <c r="AR1444" s="2127">
        <f>U1444-'Blocking-Step2'!U1444</f>
        <v>0</v>
      </c>
      <c r="AT1444" s="2127">
        <f>W1444-'Blocking-Step2'!W1444</f>
        <v>0</v>
      </c>
      <c r="AV1444" s="2128">
        <f>Y1444-'Blocking-Step2'!Y1444</f>
        <v>0</v>
      </c>
    </row>
    <row r="1445" spans="1:48">
      <c r="A1445" s="1116" t="s">
        <v>1533</v>
      </c>
      <c r="C1445" s="1105">
        <v>15407276.072655506</v>
      </c>
      <c r="D1445" s="1105">
        <v>16950396</v>
      </c>
      <c r="F1445" s="1106"/>
      <c r="G1445" s="1921"/>
      <c r="H1445" s="1146"/>
      <c r="I1445" s="1146"/>
      <c r="K1445" s="1106">
        <v>0</v>
      </c>
      <c r="L1445" s="1921" t="s">
        <v>495</v>
      </c>
      <c r="M1445" s="1106">
        <v>1.4166000000000001</v>
      </c>
      <c r="N1445" s="1921" t="s">
        <v>495</v>
      </c>
      <c r="O1445" s="1106">
        <v>1.5641055047420001</v>
      </c>
      <c r="P1445" s="1921" t="s">
        <v>495</v>
      </c>
      <c r="Q1445" s="1106">
        <v>2.9807055047420001</v>
      </c>
      <c r="R1445" s="1921" t="s">
        <v>495</v>
      </c>
      <c r="S1445" s="1146">
        <v>0</v>
      </c>
      <c r="T1445" s="1146"/>
      <c r="U1445" s="1146">
        <v>240119</v>
      </c>
      <c r="V1445" s="1146"/>
      <c r="W1445" s="1146">
        <v>265122</v>
      </c>
      <c r="X1445" s="1648"/>
      <c r="Y1445" s="1146">
        <v>505241</v>
      </c>
      <c r="Z1445" s="2114">
        <f>C1445-'Blocking-Step2'!C1445</f>
        <v>0</v>
      </c>
      <c r="AA1445" s="2114">
        <f>D1445-'Blocking-Step2'!D1445</f>
        <v>0</v>
      </c>
      <c r="AC1445" s="2114">
        <f>F1445-'Blocking-Step2'!F1445</f>
        <v>0</v>
      </c>
      <c r="AE1445" s="2114">
        <f>H1445-'Blocking-Step2'!H1445</f>
        <v>0</v>
      </c>
      <c r="AF1445" s="2114">
        <f>I1445-'Blocking-Step2'!I1445</f>
        <v>0</v>
      </c>
      <c r="AH1445" s="2136">
        <f>K1445-'Blocking-Step2'!K1445</f>
        <v>0</v>
      </c>
      <c r="AJ1445" s="2136">
        <f>M1445-'Blocking-Step2'!M1445</f>
        <v>0</v>
      </c>
      <c r="AL1445" s="2136">
        <f>O1445-'Blocking-Step2'!O1445</f>
        <v>0</v>
      </c>
      <c r="AN1445" s="2137">
        <f>Q1445-'Blocking-Step2'!Q1445</f>
        <v>0</v>
      </c>
      <c r="AP1445" s="2127">
        <f>S1445-'Blocking-Step2'!S1445</f>
        <v>0</v>
      </c>
      <c r="AR1445" s="2127">
        <f>U1445-'Blocking-Step2'!U1445</f>
        <v>0</v>
      </c>
      <c r="AT1445" s="2127">
        <f>W1445-'Blocking-Step2'!W1445</f>
        <v>0</v>
      </c>
      <c r="AV1445" s="2128">
        <f>Y1445-'Blocking-Step2'!Y1445</f>
        <v>0</v>
      </c>
    </row>
    <row r="1446" spans="1:48">
      <c r="A1446" s="1116" t="s">
        <v>2177</v>
      </c>
      <c r="C1446" s="1105">
        <v>28736182.878094282</v>
      </c>
      <c r="D1446" s="1105">
        <v>31614263</v>
      </c>
      <c r="F1446" s="1106"/>
      <c r="G1446" s="1921"/>
      <c r="H1446" s="1146"/>
      <c r="I1446" s="1146"/>
      <c r="K1446" s="1106">
        <v>0</v>
      </c>
      <c r="L1446" s="1921" t="s">
        <v>495</v>
      </c>
      <c r="M1446" s="1106">
        <v>1.4166000000000001</v>
      </c>
      <c r="N1446" s="1921" t="s">
        <v>495</v>
      </c>
      <c r="O1446" s="1106">
        <v>1.2211924820729998</v>
      </c>
      <c r="P1446" s="1921" t="s">
        <v>495</v>
      </c>
      <c r="Q1446" s="1106">
        <v>2.6377924820729999</v>
      </c>
      <c r="R1446" s="1921" t="s">
        <v>495</v>
      </c>
      <c r="S1446" s="1146">
        <v>0</v>
      </c>
      <c r="T1446" s="1146"/>
      <c r="U1446" s="1146">
        <v>447848</v>
      </c>
      <c r="V1446" s="1146"/>
      <c r="W1446" s="1146">
        <v>386071</v>
      </c>
      <c r="X1446" s="1648"/>
      <c r="Y1446" s="1146">
        <v>833919</v>
      </c>
      <c r="Z1446" s="2114">
        <f>C1446-'Blocking-Step2'!C1446</f>
        <v>0</v>
      </c>
      <c r="AA1446" s="2114">
        <f>D1446-'Blocking-Step2'!D1446</f>
        <v>0</v>
      </c>
      <c r="AC1446" s="2114">
        <f>F1446-'Blocking-Step2'!F1446</f>
        <v>0</v>
      </c>
      <c r="AE1446" s="2114">
        <f>H1446-'Blocking-Step2'!H1446</f>
        <v>0</v>
      </c>
      <c r="AF1446" s="2114">
        <f>I1446-'Blocking-Step2'!I1446</f>
        <v>0</v>
      </c>
      <c r="AH1446" s="2136">
        <f>K1446-'Blocking-Step2'!K1446</f>
        <v>0</v>
      </c>
      <c r="AJ1446" s="2136">
        <f>M1446-'Blocking-Step2'!M1446</f>
        <v>0</v>
      </c>
      <c r="AL1446" s="2136">
        <f>O1446-'Blocking-Step2'!O1446</f>
        <v>0</v>
      </c>
      <c r="AN1446" s="2137">
        <f>Q1446-'Blocking-Step2'!Q1446</f>
        <v>0</v>
      </c>
      <c r="AP1446" s="2127">
        <f>S1446-'Blocking-Step2'!S1446</f>
        <v>0</v>
      </c>
      <c r="AR1446" s="2127">
        <f>U1446-'Blocking-Step2'!U1446</f>
        <v>0</v>
      </c>
      <c r="AT1446" s="2127">
        <f>W1446-'Blocking-Step2'!W1446</f>
        <v>0</v>
      </c>
      <c r="AV1446" s="2128">
        <f>Y1446-'Blocking-Step2'!Y1446</f>
        <v>0</v>
      </c>
    </row>
    <row r="1447" spans="1:48">
      <c r="A1447" s="1116" t="s">
        <v>18</v>
      </c>
      <c r="C1447" s="1105">
        <v>57339.679305912599</v>
      </c>
      <c r="D1447" s="1105">
        <v>62750</v>
      </c>
      <c r="F1447" s="1142">
        <v>15.56</v>
      </c>
      <c r="G1447" s="617"/>
      <c r="H1447" s="1146">
        <v>892205</v>
      </c>
      <c r="I1447" s="1146">
        <v>976390</v>
      </c>
      <c r="K1447" s="1142"/>
      <c r="L1447" s="617"/>
      <c r="M1447" s="1142"/>
      <c r="N1447" s="617"/>
      <c r="O1447" s="1142"/>
      <c r="P1447" s="617"/>
      <c r="Q1447" s="1142"/>
      <c r="R1447" s="617"/>
      <c r="S1447" s="1114"/>
      <c r="T1447" s="1114"/>
      <c r="U1447" s="1114"/>
      <c r="V1447" s="1114"/>
      <c r="W1447" s="1114"/>
      <c r="X1447" s="1114"/>
      <c r="Y1447" s="1146"/>
      <c r="Z1447" s="2114">
        <f>C1447-'Blocking-Step2'!C1447</f>
        <v>0</v>
      </c>
      <c r="AA1447" s="2114">
        <f>D1447-'Blocking-Step2'!D1447</f>
        <v>0</v>
      </c>
      <c r="AC1447" s="2114">
        <f>F1447-'Blocking-Step2'!F1447</f>
        <v>0</v>
      </c>
      <c r="AE1447" s="2114">
        <f>H1447-'Blocking-Step2'!H1447</f>
        <v>0</v>
      </c>
      <c r="AF1447" s="2114">
        <f>I1447-'Blocking-Step2'!I1447</f>
        <v>0</v>
      </c>
      <c r="AH1447" s="2136">
        <f>K1447-'Blocking-Step2'!K1447</f>
        <v>0</v>
      </c>
      <c r="AJ1447" s="2136">
        <f>M1447-'Blocking-Step2'!M1447</f>
        <v>0</v>
      </c>
      <c r="AL1447" s="2136">
        <f>O1447-'Blocking-Step2'!O1447</f>
        <v>0</v>
      </c>
      <c r="AN1447" s="2137">
        <f>Q1447-'Blocking-Step2'!Q1447</f>
        <v>0</v>
      </c>
      <c r="AP1447" s="2127">
        <f>S1447-'Blocking-Step2'!S1447</f>
        <v>0</v>
      </c>
      <c r="AR1447" s="2127">
        <f>U1447-'Blocking-Step2'!U1447</f>
        <v>0</v>
      </c>
      <c r="AT1447" s="2127">
        <f>W1447-'Blocking-Step2'!W1447</f>
        <v>0</v>
      </c>
      <c r="AV1447" s="2128">
        <f>Y1447-'Blocking-Step2'!Y1447</f>
        <v>0</v>
      </c>
    </row>
    <row r="1448" spans="1:48">
      <c r="A1448" s="1116" t="s">
        <v>166</v>
      </c>
      <c r="C1448" s="1105">
        <v>76076.985701519196</v>
      </c>
      <c r="D1448" s="1105">
        <v>83255</v>
      </c>
      <c r="F1448" s="1142">
        <v>11.19</v>
      </c>
      <c r="G1448" s="617"/>
      <c r="H1448" s="1146">
        <v>851301</v>
      </c>
      <c r="I1448" s="1146">
        <v>931623</v>
      </c>
      <c r="K1448" s="1142"/>
      <c r="L1448" s="617"/>
      <c r="M1448" s="1142"/>
      <c r="N1448" s="617"/>
      <c r="O1448" s="1142"/>
      <c r="P1448" s="617"/>
      <c r="Q1448" s="1142"/>
      <c r="R1448" s="617"/>
      <c r="S1448" s="1114"/>
      <c r="T1448" s="1114"/>
      <c r="U1448" s="1114"/>
      <c r="V1448" s="1114"/>
      <c r="W1448" s="1114"/>
      <c r="X1448" s="1114"/>
      <c r="Y1448" s="1146"/>
      <c r="Z1448" s="2114">
        <f>C1448-'Blocking-Step2'!C1448</f>
        <v>0</v>
      </c>
      <c r="AA1448" s="2114">
        <f>D1448-'Blocking-Step2'!D1448</f>
        <v>0</v>
      </c>
      <c r="AC1448" s="2114">
        <f>F1448-'Blocking-Step2'!F1448</f>
        <v>0</v>
      </c>
      <c r="AE1448" s="2114">
        <f>H1448-'Blocking-Step2'!H1448</f>
        <v>0</v>
      </c>
      <c r="AF1448" s="2114">
        <f>I1448-'Blocking-Step2'!I1448</f>
        <v>0</v>
      </c>
      <c r="AH1448" s="2136">
        <f>K1448-'Blocking-Step2'!K1448</f>
        <v>0</v>
      </c>
      <c r="AJ1448" s="2136">
        <f>M1448-'Blocking-Step2'!M1448</f>
        <v>0</v>
      </c>
      <c r="AL1448" s="2136">
        <f>O1448-'Blocking-Step2'!O1448</f>
        <v>0</v>
      </c>
      <c r="AN1448" s="2137">
        <f>Q1448-'Blocking-Step2'!Q1448</f>
        <v>0</v>
      </c>
      <c r="AP1448" s="2127">
        <f>S1448-'Blocking-Step2'!S1448</f>
        <v>0</v>
      </c>
      <c r="AR1448" s="2127">
        <f>U1448-'Blocking-Step2'!U1448</f>
        <v>0</v>
      </c>
      <c r="AT1448" s="2127">
        <f>W1448-'Blocking-Step2'!W1448</f>
        <v>0</v>
      </c>
      <c r="AV1448" s="2128">
        <f>Y1448-'Blocking-Step2'!Y1448</f>
        <v>0</v>
      </c>
    </row>
    <row r="1449" spans="1:48">
      <c r="A1449" s="1116" t="s">
        <v>261</v>
      </c>
      <c r="C1449" s="1105">
        <v>78554.203539822993</v>
      </c>
      <c r="D1449" s="1105">
        <v>85966</v>
      </c>
      <c r="F1449" s="1142">
        <v>-1.1299999999999999</v>
      </c>
      <c r="G1449" s="617"/>
      <c r="H1449" s="1146">
        <v>-88766</v>
      </c>
      <c r="I1449" s="1146">
        <v>-97142</v>
      </c>
      <c r="K1449" s="1142">
        <v>-1.1299999999999999</v>
      </c>
      <c r="L1449" s="617"/>
      <c r="M1449" s="1142">
        <v>0</v>
      </c>
      <c r="N1449" s="617"/>
      <c r="O1449" s="1142">
        <v>0</v>
      </c>
      <c r="P1449" s="617"/>
      <c r="Q1449" s="1142">
        <v>-1.1299999999999999</v>
      </c>
      <c r="R1449" s="617"/>
      <c r="S1449" s="1146">
        <v>-97142</v>
      </c>
      <c r="T1449" s="1146"/>
      <c r="U1449" s="1146">
        <v>0</v>
      </c>
      <c r="V1449" s="1146"/>
      <c r="W1449" s="1146">
        <v>0</v>
      </c>
      <c r="X1449" s="1114"/>
      <c r="Y1449" s="1146">
        <v>-97142</v>
      </c>
      <c r="Z1449" s="2114">
        <f>C1449-'Blocking-Step2'!C1449</f>
        <v>0</v>
      </c>
      <c r="AA1449" s="2114">
        <f>D1449-'Blocking-Step2'!D1449</f>
        <v>0</v>
      </c>
      <c r="AC1449" s="2114">
        <f>F1449-'Blocking-Step2'!F1449</f>
        <v>0</v>
      </c>
      <c r="AE1449" s="2114">
        <f>H1449-'Blocking-Step2'!H1449</f>
        <v>0</v>
      </c>
      <c r="AF1449" s="2114">
        <f>I1449-'Blocking-Step2'!I1449</f>
        <v>0</v>
      </c>
      <c r="AH1449" s="2136">
        <f>K1449-'Blocking-Step2'!K1449</f>
        <v>0</v>
      </c>
      <c r="AJ1449" s="2136">
        <f>M1449-'Blocking-Step2'!M1449</f>
        <v>0</v>
      </c>
      <c r="AL1449" s="2136">
        <f>O1449-'Blocking-Step2'!O1449</f>
        <v>0</v>
      </c>
      <c r="AN1449" s="2137">
        <f>Q1449-'Blocking-Step2'!Q1449</f>
        <v>0</v>
      </c>
      <c r="AP1449" s="2127">
        <f>S1449-'Blocking-Step2'!S1449</f>
        <v>0</v>
      </c>
      <c r="AR1449" s="2127">
        <f>U1449-'Blocking-Step2'!U1449</f>
        <v>0</v>
      </c>
      <c r="AT1449" s="2127">
        <f>W1449-'Blocking-Step2'!W1449</f>
        <v>0</v>
      </c>
      <c r="AV1449" s="2128">
        <f>Y1449-'Blocking-Step2'!Y1449</f>
        <v>0</v>
      </c>
    </row>
    <row r="1450" spans="1:48">
      <c r="A1450" s="1116" t="s">
        <v>188</v>
      </c>
      <c r="C1450" s="1105">
        <v>6702688.1527378578</v>
      </c>
      <c r="D1450" s="1105">
        <v>7373997.1969696805</v>
      </c>
      <c r="F1450" s="1106">
        <v>5.0473999999999997</v>
      </c>
      <c r="G1450" s="1921" t="s">
        <v>495</v>
      </c>
      <c r="H1450" s="1146">
        <v>338311</v>
      </c>
      <c r="I1450" s="1146">
        <v>372195</v>
      </c>
      <c r="K1450" s="1106"/>
      <c r="L1450" s="1921"/>
      <c r="M1450" s="1106"/>
      <c r="N1450" s="1921"/>
      <c r="O1450" s="1106"/>
      <c r="P1450" s="1921"/>
      <c r="Q1450" s="1106"/>
      <c r="R1450" s="1921"/>
      <c r="S1450" s="1648"/>
      <c r="T1450" s="1648"/>
      <c r="U1450" s="1648"/>
      <c r="V1450" s="1648"/>
      <c r="W1450" s="1648"/>
      <c r="X1450" s="1648"/>
      <c r="Y1450" s="1146"/>
      <c r="Z1450" s="2114">
        <f>C1450-'Blocking-Step2'!C1450</f>
        <v>0</v>
      </c>
      <c r="AA1450" s="2114">
        <f>D1450-'Blocking-Step2'!D1450</f>
        <v>0</v>
      </c>
      <c r="AC1450" s="2114">
        <f>F1450-'Blocking-Step2'!F1450</f>
        <v>0</v>
      </c>
      <c r="AE1450" s="2114">
        <f>H1450-'Blocking-Step2'!H1450</f>
        <v>0</v>
      </c>
      <c r="AF1450" s="2114">
        <f>I1450-'Blocking-Step2'!I1450</f>
        <v>0</v>
      </c>
      <c r="AH1450" s="2136">
        <f>K1450-'Blocking-Step2'!K1450</f>
        <v>0</v>
      </c>
      <c r="AJ1450" s="2136">
        <f>M1450-'Blocking-Step2'!M1450</f>
        <v>0</v>
      </c>
      <c r="AL1450" s="2136">
        <f>O1450-'Blocking-Step2'!O1450</f>
        <v>0</v>
      </c>
      <c r="AN1450" s="2137">
        <f>Q1450-'Blocking-Step2'!Q1450</f>
        <v>0</v>
      </c>
      <c r="AP1450" s="2127">
        <f>S1450-'Blocking-Step2'!S1450</f>
        <v>0</v>
      </c>
      <c r="AR1450" s="2127">
        <f>U1450-'Blocking-Step2'!U1450</f>
        <v>0</v>
      </c>
      <c r="AT1450" s="2127">
        <f>W1450-'Blocking-Step2'!W1450</f>
        <v>0</v>
      </c>
      <c r="AV1450" s="2128">
        <f>Y1450-'Blocking-Step2'!Y1450</f>
        <v>0</v>
      </c>
    </row>
    <row r="1451" spans="1:48">
      <c r="A1451" s="1116" t="s">
        <v>163</v>
      </c>
      <c r="C1451" s="1105">
        <v>16184912.352719054</v>
      </c>
      <c r="D1451" s="1105">
        <v>17805917</v>
      </c>
      <c r="F1451" s="1106">
        <v>3.9510999999999998</v>
      </c>
      <c r="G1451" s="1921" t="s">
        <v>495</v>
      </c>
      <c r="H1451" s="1146">
        <v>639482</v>
      </c>
      <c r="I1451" s="1146">
        <v>703530</v>
      </c>
      <c r="K1451" s="1106"/>
      <c r="L1451" s="1921"/>
      <c r="M1451" s="1106"/>
      <c r="N1451" s="1921"/>
      <c r="O1451" s="1106"/>
      <c r="P1451" s="1921"/>
      <c r="Q1451" s="1106"/>
      <c r="R1451" s="1921"/>
      <c r="S1451" s="1648"/>
      <c r="T1451" s="1648"/>
      <c r="U1451" s="1648"/>
      <c r="V1451" s="1648"/>
      <c r="W1451" s="1648"/>
      <c r="X1451" s="1648"/>
      <c r="Y1451" s="1146"/>
      <c r="Z1451" s="2114">
        <f>C1451-'Blocking-Step2'!C1451</f>
        <v>0</v>
      </c>
      <c r="AA1451" s="2114">
        <f>D1451-'Blocking-Step2'!D1451</f>
        <v>0</v>
      </c>
      <c r="AC1451" s="2114">
        <f>F1451-'Blocking-Step2'!F1451</f>
        <v>0</v>
      </c>
      <c r="AE1451" s="2114">
        <f>H1451-'Blocking-Step2'!H1451</f>
        <v>0</v>
      </c>
      <c r="AF1451" s="2114">
        <f>I1451-'Blocking-Step2'!I1451</f>
        <v>0</v>
      </c>
      <c r="AH1451" s="2136">
        <f>K1451-'Blocking-Step2'!K1451</f>
        <v>0</v>
      </c>
      <c r="AJ1451" s="2136">
        <f>M1451-'Blocking-Step2'!M1451</f>
        <v>0</v>
      </c>
      <c r="AL1451" s="2136">
        <f>O1451-'Blocking-Step2'!O1451</f>
        <v>0</v>
      </c>
      <c r="AN1451" s="2137">
        <f>Q1451-'Blocking-Step2'!Q1451</f>
        <v>0</v>
      </c>
      <c r="AP1451" s="2127">
        <f>S1451-'Blocking-Step2'!S1451</f>
        <v>0</v>
      </c>
      <c r="AR1451" s="2127">
        <f>U1451-'Blocking-Step2'!U1451</f>
        <v>0</v>
      </c>
      <c r="AT1451" s="2127">
        <f>W1451-'Blocking-Step2'!W1451</f>
        <v>0</v>
      </c>
      <c r="AV1451" s="2128">
        <f>Y1451-'Blocking-Step2'!Y1451</f>
        <v>0</v>
      </c>
    </row>
    <row r="1452" spans="1:48">
      <c r="A1452" s="1116" t="s">
        <v>249</v>
      </c>
      <c r="C1452" s="1105">
        <v>34582126.005776182</v>
      </c>
      <c r="D1452" s="1105">
        <v>38045708</v>
      </c>
      <c r="F1452" s="1106">
        <v>3.4001999999999999</v>
      </c>
      <c r="G1452" s="1921" t="s">
        <v>495</v>
      </c>
      <c r="H1452" s="1146">
        <v>1175861</v>
      </c>
      <c r="I1452" s="1146">
        <v>1293630</v>
      </c>
      <c r="K1452" s="1106"/>
      <c r="L1452" s="1921"/>
      <c r="M1452" s="1106"/>
      <c r="N1452" s="1921"/>
      <c r="O1452" s="1106"/>
      <c r="P1452" s="1921"/>
      <c r="Q1452" s="1106"/>
      <c r="R1452" s="1921"/>
      <c r="S1452" s="1648"/>
      <c r="T1452" s="1648"/>
      <c r="U1452" s="1648"/>
      <c r="V1452" s="1648"/>
      <c r="W1452" s="1648"/>
      <c r="X1452" s="1648"/>
      <c r="Y1452" s="1146"/>
      <c r="Z1452" s="2114">
        <f>C1452-'Blocking-Step2'!C1452</f>
        <v>0</v>
      </c>
      <c r="AA1452" s="2114">
        <f>D1452-'Blocking-Step2'!D1452</f>
        <v>0</v>
      </c>
      <c r="AC1452" s="2114">
        <f>F1452-'Blocking-Step2'!F1452</f>
        <v>0</v>
      </c>
      <c r="AE1452" s="2114">
        <f>H1452-'Blocking-Step2'!H1452</f>
        <v>0</v>
      </c>
      <c r="AF1452" s="2114">
        <f>I1452-'Blocking-Step2'!I1452</f>
        <v>0</v>
      </c>
      <c r="AH1452" s="2136">
        <f>K1452-'Blocking-Step2'!K1452</f>
        <v>0</v>
      </c>
      <c r="AJ1452" s="2136">
        <f>M1452-'Blocking-Step2'!M1452</f>
        <v>0</v>
      </c>
      <c r="AL1452" s="2136">
        <f>O1452-'Blocking-Step2'!O1452</f>
        <v>0</v>
      </c>
      <c r="AN1452" s="2137">
        <f>Q1452-'Blocking-Step2'!Q1452</f>
        <v>0</v>
      </c>
      <c r="AP1452" s="2127">
        <f>S1452-'Blocking-Step2'!S1452</f>
        <v>0</v>
      </c>
      <c r="AR1452" s="2127">
        <f>U1452-'Blocking-Step2'!U1452</f>
        <v>0</v>
      </c>
      <c r="AT1452" s="2127">
        <f>W1452-'Blocking-Step2'!W1452</f>
        <v>0</v>
      </c>
      <c r="AV1452" s="2128">
        <f>Y1452-'Blocking-Step2'!Y1452</f>
        <v>0</v>
      </c>
    </row>
    <row r="1453" spans="1:48">
      <c r="A1453" s="1116" t="s">
        <v>246</v>
      </c>
      <c r="C1453" s="1940">
        <v>304568</v>
      </c>
      <c r="D1453" s="1940">
        <v>0</v>
      </c>
      <c r="H1453" s="1147">
        <v>25662</v>
      </c>
      <c r="I1453" s="1147">
        <v>0</v>
      </c>
      <c r="Y1453" s="1147">
        <v>0</v>
      </c>
      <c r="Z1453" s="2114">
        <f>C1453-'Blocking-Step2'!C1453</f>
        <v>0</v>
      </c>
      <c r="AA1453" s="2114">
        <f>D1453-'Blocking-Step2'!D1453</f>
        <v>0</v>
      </c>
      <c r="AC1453" s="2114">
        <f>F1453-'Blocking-Step2'!F1453</f>
        <v>0</v>
      </c>
      <c r="AE1453" s="2114">
        <f>H1453-'Blocking-Step2'!H1453</f>
        <v>0</v>
      </c>
      <c r="AF1453" s="2114">
        <f>I1453-'Blocking-Step2'!I1453</f>
        <v>0</v>
      </c>
      <c r="AH1453" s="2136">
        <f>K1453-'Blocking-Step2'!K1453</f>
        <v>0</v>
      </c>
      <c r="AJ1453" s="2136">
        <f>M1453-'Blocking-Step2'!M1453</f>
        <v>0</v>
      </c>
      <c r="AL1453" s="2136">
        <f>O1453-'Blocking-Step2'!O1453</f>
        <v>0</v>
      </c>
      <c r="AN1453" s="2137">
        <f>Q1453-'Blocking-Step2'!Q1453</f>
        <v>0</v>
      </c>
      <c r="AP1453" s="2127">
        <f>S1453-'Blocking-Step2'!S1453</f>
        <v>0</v>
      </c>
      <c r="AR1453" s="2127">
        <f>U1453-'Blocking-Step2'!U1453</f>
        <v>0</v>
      </c>
      <c r="AT1453" s="2127">
        <f>W1453-'Blocking-Step2'!W1453</f>
        <v>0</v>
      </c>
      <c r="AV1453" s="2128">
        <f>Y1453-'Blocking-Step2'!Y1453</f>
        <v>0</v>
      </c>
    </row>
    <row r="1454" spans="1:48">
      <c r="A1454" s="1116" t="s">
        <v>1240</v>
      </c>
      <c r="C1454" s="1024"/>
      <c r="D1454" s="1024"/>
      <c r="F1454" s="2076">
        <v>-3.1800000000000002E-2</v>
      </c>
      <c r="G1454" s="617"/>
      <c r="H1454" s="1146">
        <v>-123929.68800000001</v>
      </c>
      <c r="I1454" s="1146">
        <v>-136020.30240000002</v>
      </c>
      <c r="K1454" s="2076"/>
      <c r="L1454" s="617"/>
      <c r="M1454" s="2076"/>
      <c r="N1454" s="617"/>
      <c r="O1454" s="2077" t="s">
        <v>2323</v>
      </c>
      <c r="P1454" s="617"/>
      <c r="Q1454" s="2076">
        <v>-2.6499999999999999E-2</v>
      </c>
      <c r="R1454" s="617"/>
      <c r="S1454" s="1114"/>
      <c r="T1454" s="1114"/>
      <c r="U1454" s="1114"/>
      <c r="V1454" s="1114"/>
      <c r="W1454" s="1114"/>
      <c r="X1454" s="1114"/>
      <c r="Y1454" s="1146">
        <v>-112067.3605</v>
      </c>
      <c r="Z1454" s="2114">
        <f>C1454-'Blocking-Step2'!C1454</f>
        <v>0</v>
      </c>
      <c r="AA1454" s="2114">
        <f>D1454-'Blocking-Step2'!D1454</f>
        <v>0</v>
      </c>
      <c r="AC1454" s="2114">
        <f>F1454-'Blocking-Step2'!F1454</f>
        <v>0</v>
      </c>
      <c r="AE1454" s="2114">
        <f>H1454-'Blocking-Step2'!H1454</f>
        <v>0</v>
      </c>
      <c r="AF1454" s="2114">
        <f>I1454-'Blocking-Step2'!I1454</f>
        <v>0</v>
      </c>
      <c r="AH1454" s="2136">
        <f>K1454-'Blocking-Step2'!K1454</f>
        <v>0</v>
      </c>
      <c r="AJ1454" s="2136">
        <f>M1454-'Blocking-Step2'!M1454</f>
        <v>0</v>
      </c>
      <c r="AL1454" s="2136" t="e">
        <f>O1454-'Blocking-Step2'!O1454</f>
        <v>#VALUE!</v>
      </c>
      <c r="AN1454" s="2137">
        <f>Q1454-'Blocking-Step2'!Q1454</f>
        <v>0</v>
      </c>
      <c r="AP1454" s="2127">
        <f>S1454-'Blocking-Step2'!S1454</f>
        <v>0</v>
      </c>
      <c r="AR1454" s="2127">
        <f>U1454-'Blocking-Step2'!U1454</f>
        <v>0</v>
      </c>
      <c r="AT1454" s="2127">
        <f>W1454-'Blocking-Step2'!W1454</f>
        <v>0</v>
      </c>
      <c r="AV1454" s="2128">
        <f>Y1454-'Blocking-Step2'!Y1454</f>
        <v>0</v>
      </c>
    </row>
    <row r="1455" spans="1:48">
      <c r="A1455" s="1116"/>
      <c r="C1455" s="1024"/>
      <c r="D1455" s="1024"/>
      <c r="F1455" s="2076"/>
      <c r="G1455" s="617"/>
      <c r="H1455" s="1146"/>
      <c r="I1455" s="1146"/>
      <c r="K1455" s="2076"/>
      <c r="L1455" s="617"/>
      <c r="M1455" s="2076"/>
      <c r="N1455" s="617"/>
      <c r="O1455" s="2077" t="s">
        <v>2324</v>
      </c>
      <c r="P1455" s="617"/>
      <c r="Q1455" s="2076">
        <v>-1.44E-2</v>
      </c>
      <c r="R1455" s="617"/>
      <c r="S1455" s="1114"/>
      <c r="T1455" s="1114"/>
      <c r="U1455" s="1114"/>
      <c r="V1455" s="1114"/>
      <c r="W1455" s="1114"/>
      <c r="X1455" s="1114"/>
      <c r="Y1455" s="1146">
        <v>-60896.980799999998</v>
      </c>
      <c r="Z1455" s="2114">
        <f>C1455-'Blocking-Step2'!C1455</f>
        <v>0</v>
      </c>
      <c r="AA1455" s="2114">
        <f>D1455-'Blocking-Step2'!D1455</f>
        <v>0</v>
      </c>
      <c r="AC1455" s="2114">
        <f>F1455-'Blocking-Step2'!F1455</f>
        <v>0</v>
      </c>
      <c r="AE1455" s="2114">
        <f>H1455-'Blocking-Step2'!H1455</f>
        <v>0</v>
      </c>
      <c r="AF1455" s="2114">
        <f>I1455-'Blocking-Step2'!I1455</f>
        <v>0</v>
      </c>
      <c r="AH1455" s="2136">
        <f>K1455-'Blocking-Step2'!K1455</f>
        <v>0</v>
      </c>
      <c r="AJ1455" s="2136">
        <f>M1455-'Blocking-Step2'!M1455</f>
        <v>0</v>
      </c>
      <c r="AL1455" s="2136" t="e">
        <f>O1455-'Blocking-Step2'!O1455</f>
        <v>#VALUE!</v>
      </c>
      <c r="AN1455" s="2137">
        <f>Q1455-'Blocking-Step2'!Q1455</f>
        <v>0</v>
      </c>
      <c r="AP1455" s="2127">
        <f>S1455-'Blocking-Step2'!S1455</f>
        <v>0</v>
      </c>
      <c r="AR1455" s="2127">
        <f>U1455-'Blocking-Step2'!U1455</f>
        <v>0</v>
      </c>
      <c r="AT1455" s="2127">
        <f>W1455-'Blocking-Step2'!W1455</f>
        <v>0</v>
      </c>
      <c r="AV1455" s="2128">
        <f>Y1455-'Blocking-Step2'!Y1455</f>
        <v>0</v>
      </c>
    </row>
    <row r="1456" spans="1:48" ht="16.5" thickBot="1">
      <c r="A1456" s="1116" t="s">
        <v>247</v>
      </c>
      <c r="C1456" s="1138">
        <v>57774294.511233091</v>
      </c>
      <c r="D1456" s="1138">
        <v>63225622.19696968</v>
      </c>
      <c r="F1456" s="1145"/>
      <c r="H1456" s="1149">
        <v>4372327.3119999999</v>
      </c>
      <c r="I1456" s="1149">
        <v>4770260.6975999996</v>
      </c>
      <c r="K1456" s="1145"/>
      <c r="M1456" s="1145"/>
      <c r="O1456" s="1145"/>
      <c r="Q1456" s="1145"/>
      <c r="S1456" s="1149">
        <v>641086</v>
      </c>
      <c r="U1456" s="1149">
        <v>2984938</v>
      </c>
      <c r="W1456" s="1149">
        <v>1244019</v>
      </c>
      <c r="Y1456" s="1149">
        <v>4870043</v>
      </c>
      <c r="Z1456" s="2114">
        <f>C1456-'Blocking-Step2'!C1456</f>
        <v>0</v>
      </c>
      <c r="AA1456" s="2114">
        <f>D1456-'Blocking-Step2'!D1456</f>
        <v>0</v>
      </c>
      <c r="AC1456" s="2114">
        <f>F1456-'Blocking-Step2'!F1456</f>
        <v>0</v>
      </c>
      <c r="AE1456" s="2114">
        <f>H1456-'Blocking-Step2'!H1456</f>
        <v>0</v>
      </c>
      <c r="AF1456" s="2114">
        <f>I1456-'Blocking-Step2'!I1456</f>
        <v>0</v>
      </c>
      <c r="AH1456" s="2136">
        <f>K1456-'Blocking-Step2'!K1456</f>
        <v>0</v>
      </c>
      <c r="AJ1456" s="2136">
        <f>M1456-'Blocking-Step2'!M1456</f>
        <v>0</v>
      </c>
      <c r="AL1456" s="2136">
        <f>O1456-'Blocking-Step2'!O1456</f>
        <v>0</v>
      </c>
      <c r="AN1456" s="2137">
        <f>Q1456-'Blocking-Step2'!Q1456</f>
        <v>0</v>
      </c>
      <c r="AP1456" s="2127">
        <f>S1456-'Blocking-Step2'!S1456</f>
        <v>-954348</v>
      </c>
      <c r="AR1456" s="2127">
        <f>U1456-'Blocking-Step2'!U1456</f>
        <v>954348</v>
      </c>
      <c r="AT1456" s="2127">
        <f>W1456-'Blocking-Step2'!W1456</f>
        <v>0</v>
      </c>
      <c r="AV1456" s="2128">
        <f>Y1456-'Blocking-Step2'!Y1456</f>
        <v>0</v>
      </c>
    </row>
    <row r="1457" spans="1:48" ht="16.5" thickTop="1">
      <c r="A1457" s="1966"/>
      <c r="B1457" s="1966"/>
      <c r="C1457" s="1967"/>
      <c r="D1457" s="1967"/>
      <c r="E1457" s="1968"/>
      <c r="F1457" s="1966"/>
      <c r="G1457" s="1968"/>
      <c r="H1457" s="1871"/>
      <c r="I1457" s="1871"/>
      <c r="J1457" s="1968"/>
      <c r="K1457" s="1966"/>
      <c r="L1457" s="1968"/>
      <c r="M1457" s="1966"/>
      <c r="N1457" s="1968"/>
      <c r="O1457" s="1966"/>
      <c r="P1457" s="1968"/>
      <c r="Q1457" s="1966"/>
      <c r="R1457" s="1968"/>
      <c r="S1457" s="1870"/>
      <c r="T1457" s="1870"/>
      <c r="U1457" s="1870"/>
      <c r="V1457" s="1870"/>
      <c r="W1457" s="1870"/>
      <c r="X1457" s="1870"/>
      <c r="Y1457" s="1871"/>
      <c r="Z1457" s="2114">
        <f>C1457-'Blocking-Step2'!C1457</f>
        <v>0</v>
      </c>
      <c r="AA1457" s="2114">
        <f>D1457-'Blocking-Step2'!D1457</f>
        <v>0</v>
      </c>
      <c r="AC1457" s="2114">
        <f>F1457-'Blocking-Step2'!F1457</f>
        <v>0</v>
      </c>
      <c r="AE1457" s="2114">
        <f>H1457-'Blocking-Step2'!H1457</f>
        <v>0</v>
      </c>
      <c r="AF1457" s="2114">
        <f>I1457-'Blocking-Step2'!I1457</f>
        <v>0</v>
      </c>
      <c r="AH1457" s="2136">
        <f>K1457-'Blocking-Step2'!K1457</f>
        <v>0</v>
      </c>
      <c r="AJ1457" s="2136">
        <f>M1457-'Blocking-Step2'!M1457</f>
        <v>0</v>
      </c>
      <c r="AL1457" s="2136">
        <f>O1457-'Blocking-Step2'!O1457</f>
        <v>0</v>
      </c>
      <c r="AN1457" s="2137">
        <f>Q1457-'Blocking-Step2'!Q1457</f>
        <v>0</v>
      </c>
      <c r="AP1457" s="2127">
        <f>S1457-'Blocking-Step2'!S1457</f>
        <v>0</v>
      </c>
      <c r="AR1457" s="2127">
        <f>U1457-'Blocking-Step2'!U1457</f>
        <v>0</v>
      </c>
      <c r="AT1457" s="2127">
        <f>W1457-'Blocking-Step2'!W1457</f>
        <v>0</v>
      </c>
      <c r="AV1457" s="2128">
        <f>Y1457-'Blocking-Step2'!Y1457</f>
        <v>0</v>
      </c>
    </row>
    <row r="1458" spans="1:48">
      <c r="A1458" s="1115" t="s">
        <v>1560</v>
      </c>
      <c r="Z1458" s="2114">
        <f>C1458-'Blocking-Step2'!C1458</f>
        <v>0</v>
      </c>
      <c r="AA1458" s="2114">
        <f>D1458-'Blocking-Step2'!D1458</f>
        <v>0</v>
      </c>
      <c r="AC1458" s="2114">
        <f>F1458-'Blocking-Step2'!F1458</f>
        <v>0</v>
      </c>
      <c r="AE1458" s="2114">
        <f>H1458-'Blocking-Step2'!H1458</f>
        <v>0</v>
      </c>
      <c r="AF1458" s="2114">
        <f>I1458-'Blocking-Step2'!I1458</f>
        <v>0</v>
      </c>
      <c r="AH1458" s="2136">
        <f>K1458-'Blocking-Step2'!K1458</f>
        <v>0</v>
      </c>
      <c r="AJ1458" s="2136">
        <f>M1458-'Blocking-Step2'!M1458</f>
        <v>0</v>
      </c>
      <c r="AL1458" s="2136">
        <f>O1458-'Blocking-Step2'!O1458</f>
        <v>0</v>
      </c>
      <c r="AN1458" s="2137">
        <f>Q1458-'Blocking-Step2'!Q1458</f>
        <v>0</v>
      </c>
      <c r="AP1458" s="2127">
        <f>S1458-'Blocking-Step2'!S1458</f>
        <v>0</v>
      </c>
      <c r="AR1458" s="2127">
        <f>U1458-'Blocking-Step2'!U1458</f>
        <v>0</v>
      </c>
      <c r="AT1458" s="2127">
        <f>W1458-'Blocking-Step2'!W1458</f>
        <v>0</v>
      </c>
      <c r="AV1458" s="2128">
        <f>Y1458-'Blocking-Step2'!Y1458</f>
        <v>0</v>
      </c>
    </row>
    <row r="1459" spans="1:48">
      <c r="A1459" s="1116" t="s">
        <v>240</v>
      </c>
      <c r="C1459" s="1105">
        <v>6</v>
      </c>
      <c r="D1459" s="1105">
        <v>0</v>
      </c>
      <c r="F1459" s="1142">
        <v>70</v>
      </c>
      <c r="G1459" s="617"/>
      <c r="H1459" s="1146">
        <v>420</v>
      </c>
      <c r="I1459" s="1146">
        <v>0</v>
      </c>
      <c r="K1459" s="1142">
        <v>71</v>
      </c>
      <c r="L1459" s="617"/>
      <c r="M1459" s="1142">
        <v>0</v>
      </c>
      <c r="N1459" s="617"/>
      <c r="O1459" s="1142">
        <v>0</v>
      </c>
      <c r="P1459" s="617"/>
      <c r="Q1459" s="1142">
        <v>71</v>
      </c>
      <c r="R1459" s="617"/>
      <c r="S1459" s="1114">
        <v>0</v>
      </c>
      <c r="T1459" s="1114"/>
      <c r="U1459" s="1114"/>
      <c r="V1459" s="1114"/>
      <c r="W1459" s="1114"/>
      <c r="X1459" s="1114"/>
      <c r="Y1459" s="1146">
        <v>0</v>
      </c>
      <c r="Z1459" s="2114">
        <f>C1459-'Blocking-Step2'!C1459</f>
        <v>0</v>
      </c>
      <c r="AA1459" s="2114">
        <f>D1459-'Blocking-Step2'!D1459</f>
        <v>0</v>
      </c>
      <c r="AC1459" s="2114">
        <f>F1459-'Blocking-Step2'!F1459</f>
        <v>0</v>
      </c>
      <c r="AE1459" s="2114">
        <f>H1459-'Blocking-Step2'!H1459</f>
        <v>0</v>
      </c>
      <c r="AF1459" s="2114">
        <f>I1459-'Blocking-Step2'!I1459</f>
        <v>0</v>
      </c>
      <c r="AH1459" s="2136">
        <f>K1459-'Blocking-Step2'!K1459</f>
        <v>0</v>
      </c>
      <c r="AJ1459" s="2136">
        <f>M1459-'Blocking-Step2'!M1459</f>
        <v>0</v>
      </c>
      <c r="AL1459" s="2136">
        <f>O1459-'Blocking-Step2'!O1459</f>
        <v>0</v>
      </c>
      <c r="AN1459" s="2137">
        <f>Q1459-'Blocking-Step2'!Q1459</f>
        <v>0</v>
      </c>
      <c r="AP1459" s="2127">
        <f>S1459-'Blocking-Step2'!S1459</f>
        <v>0</v>
      </c>
      <c r="AR1459" s="2127">
        <f>U1459-'Blocking-Step2'!U1459</f>
        <v>0</v>
      </c>
      <c r="AT1459" s="2127">
        <f>W1459-'Blocking-Step2'!W1459</f>
        <v>0</v>
      </c>
      <c r="AV1459" s="2128">
        <f>Y1459-'Blocking-Step2'!Y1459</f>
        <v>0</v>
      </c>
    </row>
    <row r="1460" spans="1:48">
      <c r="A1460" s="1116" t="s">
        <v>168</v>
      </c>
      <c r="C1460" s="1105">
        <v>4549.6659663865503</v>
      </c>
      <c r="D1460" s="1105">
        <v>0</v>
      </c>
      <c r="F1460" s="1142">
        <v>4.76</v>
      </c>
      <c r="G1460" s="617"/>
      <c r="H1460" s="1146">
        <v>21656</v>
      </c>
      <c r="I1460" s="1146">
        <v>0</v>
      </c>
      <c r="K1460" s="1142">
        <v>4.84</v>
      </c>
      <c r="L1460" s="617"/>
      <c r="M1460" s="1142">
        <v>0</v>
      </c>
      <c r="N1460" s="617"/>
      <c r="O1460" s="1142">
        <v>0</v>
      </c>
      <c r="P1460" s="617"/>
      <c r="Q1460" s="1142">
        <v>4.84</v>
      </c>
      <c r="R1460" s="617"/>
      <c r="S1460" s="1114">
        <v>0</v>
      </c>
      <c r="T1460" s="1114"/>
      <c r="U1460" s="1114"/>
      <c r="V1460" s="1114"/>
      <c r="W1460" s="1114"/>
      <c r="X1460" s="1114"/>
      <c r="Y1460" s="1146">
        <v>0</v>
      </c>
      <c r="Z1460" s="2114">
        <f>C1460-'Blocking-Step2'!C1460</f>
        <v>0</v>
      </c>
      <c r="AA1460" s="2114">
        <f>D1460-'Blocking-Step2'!D1460</f>
        <v>0</v>
      </c>
      <c r="AC1460" s="2114">
        <f>F1460-'Blocking-Step2'!F1460</f>
        <v>0</v>
      </c>
      <c r="AE1460" s="2114">
        <f>H1460-'Blocking-Step2'!H1460</f>
        <v>0</v>
      </c>
      <c r="AF1460" s="2114">
        <f>I1460-'Blocking-Step2'!I1460</f>
        <v>0</v>
      </c>
      <c r="AH1460" s="2136">
        <f>K1460-'Blocking-Step2'!K1460</f>
        <v>0</v>
      </c>
      <c r="AJ1460" s="2136">
        <f>M1460-'Blocking-Step2'!M1460</f>
        <v>0</v>
      </c>
      <c r="AL1460" s="2136">
        <f>O1460-'Blocking-Step2'!O1460</f>
        <v>0</v>
      </c>
      <c r="AN1460" s="2137">
        <f>Q1460-'Blocking-Step2'!Q1460</f>
        <v>0</v>
      </c>
      <c r="AP1460" s="2127">
        <f>S1460-'Blocking-Step2'!S1460</f>
        <v>0</v>
      </c>
      <c r="AR1460" s="2127">
        <f>U1460-'Blocking-Step2'!U1460</f>
        <v>0</v>
      </c>
      <c r="AT1460" s="2127">
        <f>W1460-'Blocking-Step2'!W1460</f>
        <v>0</v>
      </c>
      <c r="AV1460" s="2128">
        <f>Y1460-'Blocking-Step2'!Y1460</f>
        <v>0</v>
      </c>
    </row>
    <row r="1461" spans="1:48">
      <c r="A1461" s="1116" t="s">
        <v>1651</v>
      </c>
      <c r="C1461" s="1105">
        <v>2238.0430456319273</v>
      </c>
      <c r="D1461" s="1105">
        <v>0</v>
      </c>
      <c r="F1461" s="1142"/>
      <c r="G1461" s="617"/>
      <c r="H1461" s="1146"/>
      <c r="I1461" s="1146"/>
      <c r="K1461" s="1142">
        <v>0</v>
      </c>
      <c r="L1461" s="617"/>
      <c r="M1461" s="1142">
        <v>15.83</v>
      </c>
      <c r="N1461" s="617"/>
      <c r="O1461" s="1142">
        <v>0</v>
      </c>
      <c r="P1461" s="617"/>
      <c r="Q1461" s="1142">
        <v>15.83</v>
      </c>
      <c r="R1461" s="617"/>
      <c r="S1461" s="1146">
        <v>0</v>
      </c>
      <c r="T1461" s="1146"/>
      <c r="U1461" s="1146">
        <v>0</v>
      </c>
      <c r="V1461" s="1146"/>
      <c r="W1461" s="1146">
        <v>0</v>
      </c>
      <c r="X1461" s="1114"/>
      <c r="Y1461" s="1146">
        <v>0</v>
      </c>
      <c r="Z1461" s="2114">
        <f>C1461-'Blocking-Step2'!C1461</f>
        <v>0</v>
      </c>
      <c r="AA1461" s="2114">
        <f>D1461-'Blocking-Step2'!D1461</f>
        <v>0</v>
      </c>
      <c r="AC1461" s="2114">
        <f>F1461-'Blocking-Step2'!F1461</f>
        <v>0</v>
      </c>
      <c r="AE1461" s="2114">
        <f>H1461-'Blocking-Step2'!H1461</f>
        <v>0</v>
      </c>
      <c r="AF1461" s="2114">
        <f>I1461-'Blocking-Step2'!I1461</f>
        <v>0</v>
      </c>
      <c r="AH1461" s="2136">
        <f>K1461-'Blocking-Step2'!K1461</f>
        <v>-7.23</v>
      </c>
      <c r="AJ1461" s="2136">
        <f>M1461-'Blocking-Step2'!M1461</f>
        <v>7.23</v>
      </c>
      <c r="AL1461" s="2136">
        <f>O1461-'Blocking-Step2'!O1461</f>
        <v>0</v>
      </c>
      <c r="AN1461" s="2137">
        <f>Q1461-'Blocking-Step2'!Q1461</f>
        <v>0</v>
      </c>
      <c r="AP1461" s="2127">
        <f>S1461-'Blocking-Step2'!S1461</f>
        <v>0</v>
      </c>
      <c r="AR1461" s="2127">
        <f>U1461-'Blocking-Step2'!U1461</f>
        <v>0</v>
      </c>
      <c r="AT1461" s="2127">
        <f>W1461-'Blocking-Step2'!W1461</f>
        <v>0</v>
      </c>
      <c r="AV1461" s="2128">
        <f>Y1461-'Blocking-Step2'!Y1461</f>
        <v>0</v>
      </c>
    </row>
    <row r="1462" spans="1:48">
      <c r="A1462" s="1116" t="s">
        <v>1652</v>
      </c>
      <c r="C1462" s="1105">
        <v>1836.2420474444675</v>
      </c>
      <c r="D1462" s="1105">
        <v>0</v>
      </c>
      <c r="F1462" s="1142"/>
      <c r="G1462" s="617"/>
      <c r="H1462" s="1146"/>
      <c r="I1462" s="1146"/>
      <c r="K1462" s="1142">
        <v>0</v>
      </c>
      <c r="L1462" s="617"/>
      <c r="M1462" s="1142">
        <v>14.01</v>
      </c>
      <c r="N1462" s="617"/>
      <c r="O1462" s="1142">
        <v>0</v>
      </c>
      <c r="P1462" s="617"/>
      <c r="Q1462" s="1142">
        <v>14.01</v>
      </c>
      <c r="R1462" s="617"/>
      <c r="S1462" s="1146">
        <v>0</v>
      </c>
      <c r="T1462" s="1146"/>
      <c r="U1462" s="1146">
        <v>0</v>
      </c>
      <c r="V1462" s="1146"/>
      <c r="W1462" s="1146">
        <v>0</v>
      </c>
      <c r="X1462" s="1114"/>
      <c r="Y1462" s="1146">
        <v>0</v>
      </c>
      <c r="Z1462" s="2114">
        <f>C1462-'Blocking-Step2'!C1462</f>
        <v>0</v>
      </c>
      <c r="AA1462" s="2114">
        <f>D1462-'Blocking-Step2'!D1462</f>
        <v>0</v>
      </c>
      <c r="AC1462" s="2114">
        <f>F1462-'Blocking-Step2'!F1462</f>
        <v>0</v>
      </c>
      <c r="AE1462" s="2114">
        <f>H1462-'Blocking-Step2'!H1462</f>
        <v>0</v>
      </c>
      <c r="AF1462" s="2114">
        <f>I1462-'Blocking-Step2'!I1462</f>
        <v>0</v>
      </c>
      <c r="AH1462" s="2136">
        <f>K1462-'Blocking-Step2'!K1462</f>
        <v>-6.4</v>
      </c>
      <c r="AJ1462" s="2136">
        <f>M1462-'Blocking-Step2'!M1462</f>
        <v>6.4</v>
      </c>
      <c r="AL1462" s="2136">
        <f>O1462-'Blocking-Step2'!O1462</f>
        <v>0</v>
      </c>
      <c r="AN1462" s="2137">
        <f>Q1462-'Blocking-Step2'!Q1462</f>
        <v>0</v>
      </c>
      <c r="AP1462" s="2127">
        <f>S1462-'Blocking-Step2'!S1462</f>
        <v>0</v>
      </c>
      <c r="AR1462" s="2127">
        <f>U1462-'Blocking-Step2'!U1462</f>
        <v>0</v>
      </c>
      <c r="AT1462" s="2127">
        <f>W1462-'Blocking-Step2'!W1462</f>
        <v>0</v>
      </c>
      <c r="AV1462" s="2128">
        <f>Y1462-'Blocking-Step2'!Y1462</f>
        <v>0</v>
      </c>
    </row>
    <row r="1463" spans="1:48">
      <c r="A1463" s="1116" t="s">
        <v>1532</v>
      </c>
      <c r="C1463" s="1105">
        <v>230965.96629601138</v>
      </c>
      <c r="D1463" s="1105">
        <v>0</v>
      </c>
      <c r="F1463" s="1106"/>
      <c r="G1463" s="1921"/>
      <c r="H1463" s="1146"/>
      <c r="I1463" s="1146"/>
      <c r="K1463" s="1106">
        <v>0</v>
      </c>
      <c r="L1463" s="1921" t="s">
        <v>495</v>
      </c>
      <c r="M1463" s="1106">
        <v>1.4166000000000001</v>
      </c>
      <c r="N1463" s="1921" t="s">
        <v>495</v>
      </c>
      <c r="O1463" s="1106">
        <v>4.4476704152740005</v>
      </c>
      <c r="P1463" s="1921" t="s">
        <v>495</v>
      </c>
      <c r="Q1463" s="1106">
        <v>5.8642704152740004</v>
      </c>
      <c r="R1463" s="1921" t="s">
        <v>495</v>
      </c>
      <c r="S1463" s="1146">
        <v>0</v>
      </c>
      <c r="T1463" s="1146"/>
      <c r="U1463" s="1146">
        <v>0</v>
      </c>
      <c r="V1463" s="1146"/>
      <c r="W1463" s="1146">
        <v>0</v>
      </c>
      <c r="X1463" s="1648"/>
      <c r="Y1463" s="1146">
        <v>0</v>
      </c>
      <c r="Z1463" s="2114">
        <f>C1463-'Blocking-Step2'!C1463</f>
        <v>0</v>
      </c>
      <c r="AA1463" s="2114">
        <f>D1463-'Blocking-Step2'!D1463</f>
        <v>0</v>
      </c>
      <c r="AC1463" s="2114">
        <f>F1463-'Blocking-Step2'!F1463</f>
        <v>0</v>
      </c>
      <c r="AE1463" s="2114">
        <f>H1463-'Blocking-Step2'!H1463</f>
        <v>0</v>
      </c>
      <c r="AF1463" s="2114">
        <f>I1463-'Blocking-Step2'!I1463</f>
        <v>0</v>
      </c>
      <c r="AH1463" s="2136">
        <f>K1463-'Blocking-Step2'!K1463</f>
        <v>0</v>
      </c>
      <c r="AJ1463" s="2136">
        <f>M1463-'Blocking-Step2'!M1463</f>
        <v>0</v>
      </c>
      <c r="AL1463" s="2136">
        <f>O1463-'Blocking-Step2'!O1463</f>
        <v>0</v>
      </c>
      <c r="AN1463" s="2137">
        <f>Q1463-'Blocking-Step2'!Q1463</f>
        <v>0</v>
      </c>
      <c r="AP1463" s="2127">
        <f>S1463-'Blocking-Step2'!S1463</f>
        <v>0</v>
      </c>
      <c r="AR1463" s="2127">
        <f>U1463-'Blocking-Step2'!U1463</f>
        <v>0</v>
      </c>
      <c r="AT1463" s="2127">
        <f>W1463-'Blocking-Step2'!W1463</f>
        <v>0</v>
      </c>
      <c r="AV1463" s="2128">
        <f>Y1463-'Blocking-Step2'!Y1463</f>
        <v>0</v>
      </c>
    </row>
    <row r="1464" spans="1:48">
      <c r="A1464" s="1116" t="s">
        <v>1653</v>
      </c>
      <c r="C1464" s="1105">
        <v>189381.87509176272</v>
      </c>
      <c r="D1464" s="1105">
        <v>0</v>
      </c>
      <c r="F1464" s="1106"/>
      <c r="G1464" s="1921"/>
      <c r="H1464" s="1146"/>
      <c r="I1464" s="1146"/>
      <c r="K1464" s="1106">
        <v>0</v>
      </c>
      <c r="L1464" s="1921" t="s">
        <v>495</v>
      </c>
      <c r="M1464" s="1106">
        <v>1.4166000000000001</v>
      </c>
      <c r="N1464" s="1921" t="s">
        <v>495</v>
      </c>
      <c r="O1464" s="1106">
        <v>3.7730198365260001</v>
      </c>
      <c r="P1464" s="1921" t="s">
        <v>495</v>
      </c>
      <c r="Q1464" s="1106">
        <v>5.189619836526</v>
      </c>
      <c r="R1464" s="1921" t="s">
        <v>495</v>
      </c>
      <c r="S1464" s="1146">
        <v>0</v>
      </c>
      <c r="T1464" s="1146"/>
      <c r="U1464" s="1146">
        <v>0</v>
      </c>
      <c r="V1464" s="1146"/>
      <c r="W1464" s="1146">
        <v>0</v>
      </c>
      <c r="X1464" s="1648"/>
      <c r="Y1464" s="1146">
        <v>0</v>
      </c>
      <c r="Z1464" s="2114">
        <f>C1464-'Blocking-Step2'!C1464</f>
        <v>0</v>
      </c>
      <c r="AA1464" s="2114">
        <f>D1464-'Blocking-Step2'!D1464</f>
        <v>0</v>
      </c>
      <c r="AC1464" s="2114">
        <f>F1464-'Blocking-Step2'!F1464</f>
        <v>0</v>
      </c>
      <c r="AE1464" s="2114">
        <f>H1464-'Blocking-Step2'!H1464</f>
        <v>0</v>
      </c>
      <c r="AF1464" s="2114">
        <f>I1464-'Blocking-Step2'!I1464</f>
        <v>0</v>
      </c>
      <c r="AH1464" s="2136">
        <f>K1464-'Blocking-Step2'!K1464</f>
        <v>0</v>
      </c>
      <c r="AJ1464" s="2136">
        <f>M1464-'Blocking-Step2'!M1464</f>
        <v>0</v>
      </c>
      <c r="AL1464" s="2136">
        <f>O1464-'Blocking-Step2'!O1464</f>
        <v>0</v>
      </c>
      <c r="AN1464" s="2137">
        <f>Q1464-'Blocking-Step2'!Q1464</f>
        <v>0</v>
      </c>
      <c r="AP1464" s="2127">
        <f>S1464-'Blocking-Step2'!S1464</f>
        <v>0</v>
      </c>
      <c r="AR1464" s="2127">
        <f>U1464-'Blocking-Step2'!U1464</f>
        <v>0</v>
      </c>
      <c r="AT1464" s="2127">
        <f>W1464-'Blocking-Step2'!W1464</f>
        <v>0</v>
      </c>
      <c r="AV1464" s="2128">
        <f>Y1464-'Blocking-Step2'!Y1464</f>
        <v>0</v>
      </c>
    </row>
    <row r="1465" spans="1:48">
      <c r="A1465" s="1116" t="s">
        <v>1533</v>
      </c>
      <c r="C1465" s="1105">
        <v>431146.08244347939</v>
      </c>
      <c r="D1465" s="1105">
        <v>0</v>
      </c>
      <c r="F1465" s="1106"/>
      <c r="G1465" s="1921"/>
      <c r="H1465" s="1146"/>
      <c r="I1465" s="1146"/>
      <c r="K1465" s="1106">
        <v>0</v>
      </c>
      <c r="L1465" s="1921" t="s">
        <v>495</v>
      </c>
      <c r="M1465" s="1106">
        <v>1.4166000000000001</v>
      </c>
      <c r="N1465" s="1921" t="s">
        <v>495</v>
      </c>
      <c r="O1465" s="1106">
        <v>1.5641055047420001</v>
      </c>
      <c r="P1465" s="1921" t="s">
        <v>495</v>
      </c>
      <c r="Q1465" s="1106">
        <v>2.9807055047420001</v>
      </c>
      <c r="R1465" s="1921" t="s">
        <v>495</v>
      </c>
      <c r="S1465" s="1146">
        <v>0</v>
      </c>
      <c r="T1465" s="1146"/>
      <c r="U1465" s="1146">
        <v>0</v>
      </c>
      <c r="V1465" s="1146"/>
      <c r="W1465" s="1146">
        <v>0</v>
      </c>
      <c r="X1465" s="1648"/>
      <c r="Y1465" s="1146">
        <v>0</v>
      </c>
      <c r="Z1465" s="2114">
        <f>C1465-'Blocking-Step2'!C1465</f>
        <v>0</v>
      </c>
      <c r="AA1465" s="2114">
        <f>D1465-'Blocking-Step2'!D1465</f>
        <v>0</v>
      </c>
      <c r="AC1465" s="2114">
        <f>F1465-'Blocking-Step2'!F1465</f>
        <v>0</v>
      </c>
      <c r="AE1465" s="2114">
        <f>H1465-'Blocking-Step2'!H1465</f>
        <v>0</v>
      </c>
      <c r="AF1465" s="2114">
        <f>I1465-'Blocking-Step2'!I1465</f>
        <v>0</v>
      </c>
      <c r="AH1465" s="2136">
        <f>K1465-'Blocking-Step2'!K1465</f>
        <v>0</v>
      </c>
      <c r="AJ1465" s="2136">
        <f>M1465-'Blocking-Step2'!M1465</f>
        <v>0</v>
      </c>
      <c r="AL1465" s="2136">
        <f>O1465-'Blocking-Step2'!O1465</f>
        <v>0</v>
      </c>
      <c r="AN1465" s="2137">
        <f>Q1465-'Blocking-Step2'!Q1465</f>
        <v>0</v>
      </c>
      <c r="AP1465" s="2127">
        <f>S1465-'Blocking-Step2'!S1465</f>
        <v>0</v>
      </c>
      <c r="AR1465" s="2127">
        <f>U1465-'Blocking-Step2'!U1465</f>
        <v>0</v>
      </c>
      <c r="AT1465" s="2127">
        <f>W1465-'Blocking-Step2'!W1465</f>
        <v>0</v>
      </c>
      <c r="AV1465" s="2128">
        <f>Y1465-'Blocking-Step2'!Y1465</f>
        <v>0</v>
      </c>
    </row>
    <row r="1466" spans="1:48">
      <c r="A1466" s="1116" t="s">
        <v>2177</v>
      </c>
      <c r="C1466" s="1105">
        <v>756697.38315723441</v>
      </c>
      <c r="D1466" s="1105">
        <v>0</v>
      </c>
      <c r="F1466" s="1106"/>
      <c r="G1466" s="1921"/>
      <c r="H1466" s="1146"/>
      <c r="I1466" s="1146"/>
      <c r="K1466" s="1106">
        <v>0</v>
      </c>
      <c r="L1466" s="1921" t="s">
        <v>495</v>
      </c>
      <c r="M1466" s="1106">
        <v>1.4166000000000001</v>
      </c>
      <c r="N1466" s="1921" t="s">
        <v>495</v>
      </c>
      <c r="O1466" s="1106">
        <v>1.2211924820729998</v>
      </c>
      <c r="P1466" s="1921" t="s">
        <v>495</v>
      </c>
      <c r="Q1466" s="1106">
        <v>2.6377924820729999</v>
      </c>
      <c r="R1466" s="1921" t="s">
        <v>495</v>
      </c>
      <c r="S1466" s="1146">
        <v>0</v>
      </c>
      <c r="T1466" s="1146"/>
      <c r="U1466" s="1146">
        <v>0</v>
      </c>
      <c r="V1466" s="1146"/>
      <c r="W1466" s="1146">
        <v>0</v>
      </c>
      <c r="X1466" s="1648"/>
      <c r="Y1466" s="1146">
        <v>0</v>
      </c>
      <c r="Z1466" s="2114">
        <f>C1466-'Blocking-Step2'!C1466</f>
        <v>0</v>
      </c>
      <c r="AA1466" s="2114">
        <f>D1466-'Blocking-Step2'!D1466</f>
        <v>0</v>
      </c>
      <c r="AC1466" s="2114">
        <f>F1466-'Blocking-Step2'!F1466</f>
        <v>0</v>
      </c>
      <c r="AE1466" s="2114">
        <f>H1466-'Blocking-Step2'!H1466</f>
        <v>0</v>
      </c>
      <c r="AF1466" s="2114">
        <f>I1466-'Blocking-Step2'!I1466</f>
        <v>0</v>
      </c>
      <c r="AH1466" s="2136">
        <f>K1466-'Blocking-Step2'!K1466</f>
        <v>0</v>
      </c>
      <c r="AJ1466" s="2136">
        <f>M1466-'Blocking-Step2'!M1466</f>
        <v>0</v>
      </c>
      <c r="AL1466" s="2136">
        <f>O1466-'Blocking-Step2'!O1466</f>
        <v>0</v>
      </c>
      <c r="AN1466" s="2137">
        <f>Q1466-'Blocking-Step2'!Q1466</f>
        <v>0</v>
      </c>
      <c r="AP1466" s="2127">
        <f>S1466-'Blocking-Step2'!S1466</f>
        <v>0</v>
      </c>
      <c r="AR1466" s="2127">
        <f>U1466-'Blocking-Step2'!U1466</f>
        <v>0</v>
      </c>
      <c r="AT1466" s="2127">
        <f>W1466-'Blocking-Step2'!W1466</f>
        <v>0</v>
      </c>
      <c r="AV1466" s="2128">
        <f>Y1466-'Blocking-Step2'!Y1466</f>
        <v>0</v>
      </c>
    </row>
    <row r="1467" spans="1:48">
      <c r="A1467" s="1116" t="s">
        <v>18</v>
      </c>
      <c r="C1467" s="1105">
        <v>2769.6433161953701</v>
      </c>
      <c r="D1467" s="1105">
        <v>0</v>
      </c>
      <c r="F1467" s="1142">
        <v>15.56</v>
      </c>
      <c r="G1467" s="617"/>
      <c r="H1467" s="1146">
        <v>43096</v>
      </c>
      <c r="I1467" s="1146">
        <v>0</v>
      </c>
      <c r="K1467" s="1142"/>
      <c r="L1467" s="617"/>
      <c r="M1467" s="1142"/>
      <c r="N1467" s="617"/>
      <c r="O1467" s="1142"/>
      <c r="P1467" s="617"/>
      <c r="Q1467" s="1142"/>
      <c r="R1467" s="617"/>
      <c r="S1467" s="1114"/>
      <c r="T1467" s="1114"/>
      <c r="U1467" s="1114"/>
      <c r="V1467" s="1114"/>
      <c r="W1467" s="1114"/>
      <c r="X1467" s="1114"/>
      <c r="Y1467" s="1146"/>
      <c r="Z1467" s="2114">
        <f>C1467-'Blocking-Step2'!C1467</f>
        <v>0</v>
      </c>
      <c r="AA1467" s="2114">
        <f>D1467-'Blocking-Step2'!D1467</f>
        <v>0</v>
      </c>
      <c r="AC1467" s="2114">
        <f>F1467-'Blocking-Step2'!F1467</f>
        <v>0</v>
      </c>
      <c r="AE1467" s="2114">
        <f>H1467-'Blocking-Step2'!H1467</f>
        <v>0</v>
      </c>
      <c r="AF1467" s="2114">
        <f>I1467-'Blocking-Step2'!I1467</f>
        <v>0</v>
      </c>
      <c r="AH1467" s="2136">
        <f>K1467-'Blocking-Step2'!K1467</f>
        <v>0</v>
      </c>
      <c r="AJ1467" s="2136">
        <f>M1467-'Blocking-Step2'!M1467</f>
        <v>0</v>
      </c>
      <c r="AL1467" s="2136">
        <f>O1467-'Blocking-Step2'!O1467</f>
        <v>0</v>
      </c>
      <c r="AN1467" s="2137">
        <f>Q1467-'Blocking-Step2'!Q1467</f>
        <v>0</v>
      </c>
      <c r="AP1467" s="2127">
        <f>S1467-'Blocking-Step2'!S1467</f>
        <v>0</v>
      </c>
      <c r="AR1467" s="2127">
        <f>U1467-'Blocking-Step2'!U1467</f>
        <v>0</v>
      </c>
      <c r="AT1467" s="2127">
        <f>W1467-'Blocking-Step2'!W1467</f>
        <v>0</v>
      </c>
      <c r="AV1467" s="2128">
        <f>Y1467-'Blocking-Step2'!Y1467</f>
        <v>0</v>
      </c>
    </row>
    <row r="1468" spans="1:48">
      <c r="A1468" s="1116" t="s">
        <v>166</v>
      </c>
      <c r="C1468" s="1105">
        <v>1664.6899016979401</v>
      </c>
      <c r="D1468" s="1105">
        <v>0</v>
      </c>
      <c r="F1468" s="1142">
        <v>11.19</v>
      </c>
      <c r="G1468" s="617"/>
      <c r="H1468" s="1146">
        <v>18628</v>
      </c>
      <c r="I1468" s="1146">
        <v>0</v>
      </c>
      <c r="K1468" s="1142"/>
      <c r="L1468" s="617"/>
      <c r="M1468" s="1142"/>
      <c r="N1468" s="617"/>
      <c r="O1468" s="1142"/>
      <c r="P1468" s="617"/>
      <c r="Q1468" s="1142"/>
      <c r="R1468" s="617"/>
      <c r="S1468" s="1114"/>
      <c r="T1468" s="1114"/>
      <c r="U1468" s="1114"/>
      <c r="V1468" s="1114"/>
      <c r="W1468" s="1114"/>
      <c r="X1468" s="1114"/>
      <c r="Y1468" s="1146"/>
      <c r="Z1468" s="2114">
        <f>C1468-'Blocking-Step2'!C1468</f>
        <v>0</v>
      </c>
      <c r="AA1468" s="2114">
        <f>D1468-'Blocking-Step2'!D1468</f>
        <v>0</v>
      </c>
      <c r="AC1468" s="2114">
        <f>F1468-'Blocking-Step2'!F1468</f>
        <v>0</v>
      </c>
      <c r="AE1468" s="2114">
        <f>H1468-'Blocking-Step2'!H1468</f>
        <v>0</v>
      </c>
      <c r="AF1468" s="2114">
        <f>I1468-'Blocking-Step2'!I1468</f>
        <v>0</v>
      </c>
      <c r="AH1468" s="2136">
        <f>K1468-'Blocking-Step2'!K1468</f>
        <v>0</v>
      </c>
      <c r="AJ1468" s="2136">
        <f>M1468-'Blocking-Step2'!M1468</f>
        <v>0</v>
      </c>
      <c r="AL1468" s="2136">
        <f>O1468-'Blocking-Step2'!O1468</f>
        <v>0</v>
      </c>
      <c r="AN1468" s="2137">
        <f>Q1468-'Blocking-Step2'!Q1468</f>
        <v>0</v>
      </c>
      <c r="AP1468" s="2127">
        <f>S1468-'Blocking-Step2'!S1468</f>
        <v>0</v>
      </c>
      <c r="AR1468" s="2127">
        <f>U1468-'Blocking-Step2'!U1468</f>
        <v>0</v>
      </c>
      <c r="AT1468" s="2127">
        <f>W1468-'Blocking-Step2'!W1468</f>
        <v>0</v>
      </c>
      <c r="AV1468" s="2128">
        <f>Y1468-'Blocking-Step2'!Y1468</f>
        <v>0</v>
      </c>
    </row>
    <row r="1469" spans="1:48">
      <c r="A1469" s="1116" t="s">
        <v>261</v>
      </c>
      <c r="C1469" s="1105">
        <v>4434.3274336283203</v>
      </c>
      <c r="D1469" s="1105">
        <v>0</v>
      </c>
      <c r="F1469" s="1142">
        <v>-1.1299999999999999</v>
      </c>
      <c r="G1469" s="617"/>
      <c r="H1469" s="1146">
        <v>-5011</v>
      </c>
      <c r="I1469" s="1146">
        <v>0</v>
      </c>
      <c r="K1469" s="1142">
        <v>-1.1299999999999999</v>
      </c>
      <c r="L1469" s="617"/>
      <c r="M1469" s="1142">
        <v>0</v>
      </c>
      <c r="N1469" s="617"/>
      <c r="O1469" s="1142">
        <v>0</v>
      </c>
      <c r="P1469" s="617"/>
      <c r="Q1469" s="1142">
        <v>-1.1299999999999999</v>
      </c>
      <c r="R1469" s="617"/>
      <c r="S1469" s="1146">
        <v>0</v>
      </c>
      <c r="T1469" s="1146"/>
      <c r="U1469" s="1146">
        <v>0</v>
      </c>
      <c r="V1469" s="1146"/>
      <c r="W1469" s="1146">
        <v>0</v>
      </c>
      <c r="X1469" s="1114"/>
      <c r="Y1469" s="1146">
        <v>0</v>
      </c>
      <c r="Z1469" s="2114">
        <f>C1469-'Blocking-Step2'!C1469</f>
        <v>0</v>
      </c>
      <c r="AA1469" s="2114">
        <f>D1469-'Blocking-Step2'!D1469</f>
        <v>0</v>
      </c>
      <c r="AC1469" s="2114">
        <f>F1469-'Blocking-Step2'!F1469</f>
        <v>0</v>
      </c>
      <c r="AE1469" s="2114">
        <f>H1469-'Blocking-Step2'!H1469</f>
        <v>0</v>
      </c>
      <c r="AF1469" s="2114">
        <f>I1469-'Blocking-Step2'!I1469</f>
        <v>0</v>
      </c>
      <c r="AH1469" s="2136">
        <f>K1469-'Blocking-Step2'!K1469</f>
        <v>0</v>
      </c>
      <c r="AJ1469" s="2136">
        <f>M1469-'Blocking-Step2'!M1469</f>
        <v>0</v>
      </c>
      <c r="AL1469" s="2136">
        <f>O1469-'Blocking-Step2'!O1469</f>
        <v>0</v>
      </c>
      <c r="AN1469" s="2137">
        <f>Q1469-'Blocking-Step2'!Q1469</f>
        <v>0</v>
      </c>
      <c r="AP1469" s="2127">
        <f>S1469-'Blocking-Step2'!S1469</f>
        <v>0</v>
      </c>
      <c r="AR1469" s="2127">
        <f>U1469-'Blocking-Step2'!U1469</f>
        <v>0</v>
      </c>
      <c r="AT1469" s="2127">
        <f>W1469-'Blocking-Step2'!W1469</f>
        <v>0</v>
      </c>
      <c r="AV1469" s="2128">
        <f>Y1469-'Blocking-Step2'!Y1469</f>
        <v>0</v>
      </c>
    </row>
    <row r="1470" spans="1:48">
      <c r="A1470" s="1116" t="s">
        <v>188</v>
      </c>
      <c r="C1470" s="1105">
        <v>289683.51052581088</v>
      </c>
      <c r="D1470" s="1105">
        <v>0</v>
      </c>
      <c r="F1470" s="1106">
        <v>5.0473999999999997</v>
      </c>
      <c r="G1470" s="1921" t="s">
        <v>495</v>
      </c>
      <c r="H1470" s="1146">
        <v>14621</v>
      </c>
      <c r="I1470" s="1146">
        <v>0</v>
      </c>
      <c r="K1470" s="1106"/>
      <c r="L1470" s="1921"/>
      <c r="M1470" s="1106"/>
      <c r="N1470" s="1921"/>
      <c r="O1470" s="1106"/>
      <c r="P1470" s="1921"/>
      <c r="Q1470" s="1106"/>
      <c r="R1470" s="1921"/>
      <c r="S1470" s="1648"/>
      <c r="T1470" s="1648"/>
      <c r="U1470" s="1648"/>
      <c r="V1470" s="1648"/>
      <c r="W1470" s="1648"/>
      <c r="X1470" s="1648"/>
      <c r="Y1470" s="1146"/>
      <c r="Z1470" s="2114">
        <f>C1470-'Blocking-Step2'!C1470</f>
        <v>0</v>
      </c>
      <c r="AA1470" s="2114">
        <f>D1470-'Blocking-Step2'!D1470</f>
        <v>0</v>
      </c>
      <c r="AC1470" s="2114">
        <f>F1470-'Blocking-Step2'!F1470</f>
        <v>0</v>
      </c>
      <c r="AE1470" s="2114">
        <f>H1470-'Blocking-Step2'!H1470</f>
        <v>0</v>
      </c>
      <c r="AF1470" s="2114">
        <f>I1470-'Blocking-Step2'!I1470</f>
        <v>0</v>
      </c>
      <c r="AH1470" s="2136">
        <f>K1470-'Blocking-Step2'!K1470</f>
        <v>0</v>
      </c>
      <c r="AJ1470" s="2136">
        <f>M1470-'Blocking-Step2'!M1470</f>
        <v>0</v>
      </c>
      <c r="AL1470" s="2136">
        <f>O1470-'Blocking-Step2'!O1470</f>
        <v>0</v>
      </c>
      <c r="AN1470" s="2137">
        <f>Q1470-'Blocking-Step2'!Q1470</f>
        <v>0</v>
      </c>
      <c r="AP1470" s="2127">
        <f>S1470-'Blocking-Step2'!S1470</f>
        <v>0</v>
      </c>
      <c r="AR1470" s="2127">
        <f>U1470-'Blocking-Step2'!U1470</f>
        <v>0</v>
      </c>
      <c r="AT1470" s="2127">
        <f>W1470-'Blocking-Step2'!W1470</f>
        <v>0</v>
      </c>
      <c r="AV1470" s="2128">
        <f>Y1470-'Blocking-Step2'!Y1470</f>
        <v>0</v>
      </c>
    </row>
    <row r="1471" spans="1:48">
      <c r="A1471" s="1116" t="s">
        <v>163</v>
      </c>
      <c r="C1471" s="1105">
        <v>383996.2842306738</v>
      </c>
      <c r="D1471" s="1105">
        <v>0</v>
      </c>
      <c r="F1471" s="1106">
        <v>3.9510999999999998</v>
      </c>
      <c r="G1471" s="1921" t="s">
        <v>495</v>
      </c>
      <c r="H1471" s="1146">
        <v>15172</v>
      </c>
      <c r="I1471" s="1146">
        <v>0</v>
      </c>
      <c r="K1471" s="1106"/>
      <c r="L1471" s="1921"/>
      <c r="M1471" s="1106"/>
      <c r="N1471" s="1921"/>
      <c r="O1471" s="1106"/>
      <c r="P1471" s="1921"/>
      <c r="Q1471" s="1106"/>
      <c r="R1471" s="1921"/>
      <c r="S1471" s="1648"/>
      <c r="T1471" s="1648"/>
      <c r="U1471" s="1648"/>
      <c r="V1471" s="1648"/>
      <c r="W1471" s="1648"/>
      <c r="X1471" s="1648"/>
      <c r="Y1471" s="1146"/>
      <c r="Z1471" s="2114">
        <f>C1471-'Blocking-Step2'!C1471</f>
        <v>0</v>
      </c>
      <c r="AA1471" s="2114">
        <f>D1471-'Blocking-Step2'!D1471</f>
        <v>0</v>
      </c>
      <c r="AC1471" s="2114">
        <f>F1471-'Blocking-Step2'!F1471</f>
        <v>0</v>
      </c>
      <c r="AE1471" s="2114">
        <f>H1471-'Blocking-Step2'!H1471</f>
        <v>0</v>
      </c>
      <c r="AF1471" s="2114">
        <f>I1471-'Blocking-Step2'!I1471</f>
        <v>0</v>
      </c>
      <c r="AH1471" s="2136">
        <f>K1471-'Blocking-Step2'!K1471</f>
        <v>0</v>
      </c>
      <c r="AJ1471" s="2136">
        <f>M1471-'Blocking-Step2'!M1471</f>
        <v>0</v>
      </c>
      <c r="AL1471" s="2136">
        <f>O1471-'Blocking-Step2'!O1471</f>
        <v>0</v>
      </c>
      <c r="AN1471" s="2137">
        <f>Q1471-'Blocking-Step2'!Q1471</f>
        <v>0</v>
      </c>
      <c r="AP1471" s="2127">
        <f>S1471-'Blocking-Step2'!S1471</f>
        <v>0</v>
      </c>
      <c r="AR1471" s="2127">
        <f>U1471-'Blocking-Step2'!U1471</f>
        <v>0</v>
      </c>
      <c r="AT1471" s="2127">
        <f>W1471-'Blocking-Step2'!W1471</f>
        <v>0</v>
      </c>
      <c r="AV1471" s="2128">
        <f>Y1471-'Blocking-Step2'!Y1471</f>
        <v>0</v>
      </c>
    </row>
    <row r="1472" spans="1:48">
      <c r="A1472" s="1116" t="s">
        <v>249</v>
      </c>
      <c r="C1472" s="1105">
        <v>934511.51223200338</v>
      </c>
      <c r="D1472" s="1105">
        <v>0</v>
      </c>
      <c r="F1472" s="1106">
        <v>3.4001999999999999</v>
      </c>
      <c r="G1472" s="1921" t="s">
        <v>495</v>
      </c>
      <c r="H1472" s="1146">
        <v>31775</v>
      </c>
      <c r="I1472" s="1146">
        <v>0</v>
      </c>
      <c r="K1472" s="1106"/>
      <c r="L1472" s="1921"/>
      <c r="M1472" s="1106"/>
      <c r="N1472" s="1921"/>
      <c r="O1472" s="1106"/>
      <c r="P1472" s="1921"/>
      <c r="Q1472" s="1106"/>
      <c r="R1472" s="1921"/>
      <c r="S1472" s="1648"/>
      <c r="T1472" s="1648"/>
      <c r="U1472" s="1648"/>
      <c r="V1472" s="1648"/>
      <c r="W1472" s="1648"/>
      <c r="X1472" s="1648"/>
      <c r="Y1472" s="1146"/>
      <c r="Z1472" s="2114">
        <f>C1472-'Blocking-Step2'!C1472</f>
        <v>0</v>
      </c>
      <c r="AA1472" s="2114">
        <f>D1472-'Blocking-Step2'!D1472</f>
        <v>0</v>
      </c>
      <c r="AC1472" s="2114">
        <f>F1472-'Blocking-Step2'!F1472</f>
        <v>0</v>
      </c>
      <c r="AE1472" s="2114">
        <f>H1472-'Blocking-Step2'!H1472</f>
        <v>0</v>
      </c>
      <c r="AF1472" s="2114">
        <f>I1472-'Blocking-Step2'!I1472</f>
        <v>0</v>
      </c>
      <c r="AH1472" s="2136">
        <f>K1472-'Blocking-Step2'!K1472</f>
        <v>0</v>
      </c>
      <c r="AJ1472" s="2136">
        <f>M1472-'Blocking-Step2'!M1472</f>
        <v>0</v>
      </c>
      <c r="AL1472" s="2136">
        <f>O1472-'Blocking-Step2'!O1472</f>
        <v>0</v>
      </c>
      <c r="AN1472" s="2137">
        <f>Q1472-'Blocking-Step2'!Q1472</f>
        <v>0</v>
      </c>
      <c r="AP1472" s="2127">
        <f>S1472-'Blocking-Step2'!S1472</f>
        <v>0</v>
      </c>
      <c r="AR1472" s="2127">
        <f>U1472-'Blocking-Step2'!U1472</f>
        <v>0</v>
      </c>
      <c r="AT1472" s="2127">
        <f>W1472-'Blocking-Step2'!W1472</f>
        <v>0</v>
      </c>
      <c r="AV1472" s="2128">
        <f>Y1472-'Blocking-Step2'!Y1472</f>
        <v>0</v>
      </c>
    </row>
    <row r="1473" spans="1:48">
      <c r="A1473" s="1116" t="s">
        <v>246</v>
      </c>
      <c r="C1473" s="1940">
        <v>8531</v>
      </c>
      <c r="D1473" s="1940">
        <v>0</v>
      </c>
      <c r="H1473" s="1147">
        <v>806</v>
      </c>
      <c r="I1473" s="1147">
        <v>0</v>
      </c>
      <c r="Y1473" s="1147"/>
      <c r="Z1473" s="2114">
        <f>C1473-'Blocking-Step2'!C1473</f>
        <v>0</v>
      </c>
      <c r="AA1473" s="2114">
        <f>D1473-'Blocking-Step2'!D1473</f>
        <v>0</v>
      </c>
      <c r="AC1473" s="2114">
        <f>F1473-'Blocking-Step2'!F1473</f>
        <v>0</v>
      </c>
      <c r="AE1473" s="2114">
        <f>H1473-'Blocking-Step2'!H1473</f>
        <v>0</v>
      </c>
      <c r="AF1473" s="2114">
        <f>I1473-'Blocking-Step2'!I1473</f>
        <v>0</v>
      </c>
      <c r="AH1473" s="2136">
        <f>K1473-'Blocking-Step2'!K1473</f>
        <v>0</v>
      </c>
      <c r="AJ1473" s="2136">
        <f>M1473-'Blocking-Step2'!M1473</f>
        <v>0</v>
      </c>
      <c r="AL1473" s="2136">
        <f>O1473-'Blocking-Step2'!O1473</f>
        <v>0</v>
      </c>
      <c r="AN1473" s="2137">
        <f>Q1473-'Blocking-Step2'!Q1473</f>
        <v>0</v>
      </c>
      <c r="AP1473" s="2127">
        <f>S1473-'Blocking-Step2'!S1473</f>
        <v>0</v>
      </c>
      <c r="AR1473" s="2127">
        <f>U1473-'Blocking-Step2'!U1473</f>
        <v>0</v>
      </c>
      <c r="AT1473" s="2127">
        <f>W1473-'Blocking-Step2'!W1473</f>
        <v>0</v>
      </c>
      <c r="AV1473" s="2128">
        <f>Y1473-'Blocking-Step2'!Y1473</f>
        <v>0</v>
      </c>
    </row>
    <row r="1474" spans="1:48">
      <c r="A1474" s="1116" t="s">
        <v>1240</v>
      </c>
      <c r="C1474" s="1024"/>
      <c r="D1474" s="1024"/>
      <c r="F1474" s="2076">
        <v>-3.1800000000000002E-2</v>
      </c>
      <c r="G1474" s="617"/>
      <c r="H1474" s="1146">
        <v>-3920.6856000000002</v>
      </c>
      <c r="I1474" s="1146">
        <v>0</v>
      </c>
      <c r="K1474" s="2076"/>
      <c r="L1474" s="617"/>
      <c r="M1474" s="2076"/>
      <c r="N1474" s="617"/>
      <c r="O1474" s="2077" t="s">
        <v>2323</v>
      </c>
      <c r="P1474" s="617"/>
      <c r="Q1474" s="2076">
        <v>-2.6499999999999999E-2</v>
      </c>
      <c r="R1474" s="617"/>
      <c r="S1474" s="1114"/>
      <c r="T1474" s="1114"/>
      <c r="U1474" s="1114"/>
      <c r="V1474" s="1114"/>
      <c r="W1474" s="1114"/>
      <c r="X1474" s="1114"/>
      <c r="Y1474" s="1146">
        <v>0</v>
      </c>
      <c r="Z1474" s="2114">
        <f>C1474-'Blocking-Step2'!C1474</f>
        <v>0</v>
      </c>
      <c r="AA1474" s="2114">
        <f>D1474-'Blocking-Step2'!D1474</f>
        <v>0</v>
      </c>
      <c r="AC1474" s="2114">
        <f>F1474-'Blocking-Step2'!F1474</f>
        <v>0</v>
      </c>
      <c r="AE1474" s="2114">
        <f>H1474-'Blocking-Step2'!H1474</f>
        <v>0</v>
      </c>
      <c r="AF1474" s="2114">
        <f>I1474-'Blocking-Step2'!I1474</f>
        <v>0</v>
      </c>
      <c r="AH1474" s="2136">
        <f>K1474-'Blocking-Step2'!K1474</f>
        <v>0</v>
      </c>
      <c r="AJ1474" s="2136">
        <f>M1474-'Blocking-Step2'!M1474</f>
        <v>0</v>
      </c>
      <c r="AL1474" s="2136" t="e">
        <f>O1474-'Blocking-Step2'!O1474</f>
        <v>#VALUE!</v>
      </c>
      <c r="AN1474" s="2137">
        <f>Q1474-'Blocking-Step2'!Q1474</f>
        <v>0</v>
      </c>
      <c r="AP1474" s="2127">
        <f>S1474-'Blocking-Step2'!S1474</f>
        <v>0</v>
      </c>
      <c r="AR1474" s="2127">
        <f>U1474-'Blocking-Step2'!U1474</f>
        <v>0</v>
      </c>
      <c r="AT1474" s="2127">
        <f>W1474-'Blocking-Step2'!W1474</f>
        <v>0</v>
      </c>
      <c r="AV1474" s="2128">
        <f>Y1474-'Blocking-Step2'!Y1474</f>
        <v>0</v>
      </c>
    </row>
    <row r="1475" spans="1:48">
      <c r="A1475" s="1116"/>
      <c r="C1475" s="1024"/>
      <c r="D1475" s="1024"/>
      <c r="F1475" s="2076"/>
      <c r="G1475" s="617"/>
      <c r="H1475" s="1146"/>
      <c r="I1475" s="1146"/>
      <c r="K1475" s="2076"/>
      <c r="L1475" s="617"/>
      <c r="M1475" s="2076"/>
      <c r="N1475" s="617"/>
      <c r="O1475" s="2077" t="s">
        <v>2324</v>
      </c>
      <c r="P1475" s="617"/>
      <c r="Q1475" s="2076">
        <v>-1.44E-2</v>
      </c>
      <c r="R1475" s="617"/>
      <c r="S1475" s="1114"/>
      <c r="T1475" s="1114"/>
      <c r="U1475" s="1114"/>
      <c r="V1475" s="1114"/>
      <c r="W1475" s="1114"/>
      <c r="X1475" s="1114"/>
      <c r="Y1475" s="1146">
        <v>0</v>
      </c>
      <c r="Z1475" s="2114">
        <f>C1475-'Blocking-Step2'!C1475</f>
        <v>0</v>
      </c>
      <c r="AA1475" s="2114">
        <f>D1475-'Blocking-Step2'!D1475</f>
        <v>0</v>
      </c>
      <c r="AC1475" s="2114">
        <f>F1475-'Blocking-Step2'!F1475</f>
        <v>0</v>
      </c>
      <c r="AE1475" s="2114">
        <f>H1475-'Blocking-Step2'!H1475</f>
        <v>0</v>
      </c>
      <c r="AF1475" s="2114">
        <f>I1475-'Blocking-Step2'!I1475</f>
        <v>0</v>
      </c>
      <c r="AH1475" s="2136">
        <f>K1475-'Blocking-Step2'!K1475</f>
        <v>0</v>
      </c>
      <c r="AJ1475" s="2136">
        <f>M1475-'Blocking-Step2'!M1475</f>
        <v>0</v>
      </c>
      <c r="AL1475" s="2136" t="e">
        <f>O1475-'Blocking-Step2'!O1475</f>
        <v>#VALUE!</v>
      </c>
      <c r="AN1475" s="2137">
        <f>Q1475-'Blocking-Step2'!Q1475</f>
        <v>0</v>
      </c>
      <c r="AP1475" s="2127">
        <f>S1475-'Blocking-Step2'!S1475</f>
        <v>0</v>
      </c>
      <c r="AR1475" s="2127">
        <f>U1475-'Blocking-Step2'!U1475</f>
        <v>0</v>
      </c>
      <c r="AT1475" s="2127">
        <f>W1475-'Blocking-Step2'!W1475</f>
        <v>0</v>
      </c>
      <c r="AV1475" s="2128">
        <f>Y1475-'Blocking-Step2'!Y1475</f>
        <v>0</v>
      </c>
    </row>
    <row r="1476" spans="1:48" ht="16.5" thickBot="1">
      <c r="A1476" s="1116" t="s">
        <v>247</v>
      </c>
      <c r="C1476" s="1138">
        <v>1616722.306988488</v>
      </c>
      <c r="D1476" s="1138">
        <v>0</v>
      </c>
      <c r="F1476" s="1145"/>
      <c r="H1476" s="1149">
        <v>137242.3144</v>
      </c>
      <c r="I1476" s="1149">
        <v>0</v>
      </c>
      <c r="K1476" s="1145"/>
      <c r="M1476" s="1145"/>
      <c r="O1476" s="1145"/>
      <c r="Q1476" s="1145"/>
      <c r="S1476" s="1149">
        <v>0</v>
      </c>
      <c r="U1476" s="1149">
        <v>0</v>
      </c>
      <c r="W1476" s="1149">
        <v>0</v>
      </c>
      <c r="Y1476" s="1149">
        <v>0</v>
      </c>
      <c r="Z1476" s="2114">
        <f>C1476-'Blocking-Step2'!C1476</f>
        <v>0</v>
      </c>
      <c r="AA1476" s="2114">
        <f>D1476-'Blocking-Step2'!D1476</f>
        <v>0</v>
      </c>
      <c r="AC1476" s="2114">
        <f>F1476-'Blocking-Step2'!F1476</f>
        <v>0</v>
      </c>
      <c r="AE1476" s="2114">
        <f>H1476-'Blocking-Step2'!H1476</f>
        <v>0</v>
      </c>
      <c r="AF1476" s="2114">
        <f>I1476-'Blocking-Step2'!I1476</f>
        <v>0</v>
      </c>
      <c r="AH1476" s="2136">
        <f>K1476-'Blocking-Step2'!K1476</f>
        <v>0</v>
      </c>
      <c r="AJ1476" s="2136">
        <f>M1476-'Blocking-Step2'!M1476</f>
        <v>0</v>
      </c>
      <c r="AL1476" s="2136">
        <f>O1476-'Blocking-Step2'!O1476</f>
        <v>0</v>
      </c>
      <c r="AN1476" s="2137">
        <f>Q1476-'Blocking-Step2'!Q1476</f>
        <v>0</v>
      </c>
      <c r="AP1476" s="2127">
        <f>S1476-'Blocking-Step2'!S1476</f>
        <v>0</v>
      </c>
      <c r="AR1476" s="2127">
        <f>U1476-'Blocking-Step2'!U1476</f>
        <v>0</v>
      </c>
      <c r="AT1476" s="2127">
        <f>W1476-'Blocking-Step2'!W1476</f>
        <v>0</v>
      </c>
      <c r="AV1476" s="2128">
        <f>Y1476-'Blocking-Step2'!Y1476</f>
        <v>0</v>
      </c>
    </row>
    <row r="1477" spans="1:48">
      <c r="Z1477" s="2114">
        <f>C1477-'Blocking-Step2'!C1477</f>
        <v>0</v>
      </c>
      <c r="AA1477" s="2114">
        <f>D1477-'Blocking-Step2'!D1477</f>
        <v>0</v>
      </c>
      <c r="AC1477" s="2114">
        <f>F1477-'Blocking-Step2'!F1477</f>
        <v>0</v>
      </c>
      <c r="AE1477" s="2114">
        <f>H1477-'Blocking-Step2'!H1477</f>
        <v>0</v>
      </c>
      <c r="AF1477" s="2114">
        <f>I1477-'Blocking-Step2'!I1477</f>
        <v>0</v>
      </c>
      <c r="AH1477" s="2136">
        <f>K1477-'Blocking-Step2'!K1477</f>
        <v>0</v>
      </c>
      <c r="AJ1477" s="2136">
        <f>M1477-'Blocking-Step2'!M1477</f>
        <v>0</v>
      </c>
      <c r="AL1477" s="2136">
        <f>O1477-'Blocking-Step2'!O1477</f>
        <v>0</v>
      </c>
      <c r="AN1477" s="2137">
        <f>Q1477-'Blocking-Step2'!Q1477</f>
        <v>0</v>
      </c>
      <c r="AP1477" s="2127">
        <f>S1477-'Blocking-Step2'!S1477</f>
        <v>0</v>
      </c>
      <c r="AR1477" s="2127">
        <f>U1477-'Blocking-Step2'!U1477</f>
        <v>0</v>
      </c>
      <c r="AT1477" s="2127">
        <f>W1477-'Blocking-Step2'!W1477</f>
        <v>0</v>
      </c>
      <c r="AV1477" s="2128">
        <f>Y1477-'Blocking-Step2'!Y1477</f>
        <v>0</v>
      </c>
    </row>
    <row r="1478" spans="1:48">
      <c r="A1478" s="1115" t="s">
        <v>560</v>
      </c>
      <c r="C1478" s="1105"/>
      <c r="D1478" s="1105"/>
      <c r="Z1478" s="2114">
        <f>C1478-'Blocking-Step2'!C1478</f>
        <v>0</v>
      </c>
      <c r="AA1478" s="2114">
        <f>D1478-'Blocking-Step2'!D1478</f>
        <v>0</v>
      </c>
      <c r="AC1478" s="2114">
        <f>F1478-'Blocking-Step2'!F1478</f>
        <v>0</v>
      </c>
      <c r="AE1478" s="2114">
        <f>H1478-'Blocking-Step2'!H1478</f>
        <v>0</v>
      </c>
      <c r="AF1478" s="2114">
        <f>I1478-'Blocking-Step2'!I1478</f>
        <v>0</v>
      </c>
      <c r="AH1478" s="2136">
        <f>K1478-'Blocking-Step2'!K1478</f>
        <v>0</v>
      </c>
      <c r="AJ1478" s="2136">
        <f>M1478-'Blocking-Step2'!M1478</f>
        <v>0</v>
      </c>
      <c r="AL1478" s="2136">
        <f>O1478-'Blocking-Step2'!O1478</f>
        <v>0</v>
      </c>
      <c r="AN1478" s="2137">
        <f>Q1478-'Blocking-Step2'!Q1478</f>
        <v>0</v>
      </c>
      <c r="AP1478" s="2127">
        <f>S1478-'Blocking-Step2'!S1478</f>
        <v>0</v>
      </c>
      <c r="AR1478" s="2127">
        <f>U1478-'Blocking-Step2'!U1478</f>
        <v>0</v>
      </c>
      <c r="AT1478" s="2127">
        <f>W1478-'Blocking-Step2'!W1478</f>
        <v>0</v>
      </c>
      <c r="AV1478" s="2128">
        <f>Y1478-'Blocking-Step2'!Y1478</f>
        <v>0</v>
      </c>
    </row>
    <row r="1479" spans="1:48">
      <c r="A1479" s="1116" t="s">
        <v>240</v>
      </c>
      <c r="C1479" s="1105">
        <v>1822.5331274131279</v>
      </c>
      <c r="D1479" s="1105">
        <v>1872</v>
      </c>
      <c r="F1479" s="1907">
        <v>259</v>
      </c>
      <c r="G1479" s="1110"/>
      <c r="H1479" s="1146">
        <v>472036</v>
      </c>
      <c r="I1479" s="1146">
        <v>484848</v>
      </c>
      <c r="K1479" s="1907">
        <v>-42.09</v>
      </c>
      <c r="L1479" s="1110"/>
      <c r="M1479" s="1907">
        <v>311.09000000000003</v>
      </c>
      <c r="N1479" s="1110"/>
      <c r="O1479" s="1907"/>
      <c r="P1479" s="1110"/>
      <c r="Q1479" s="1907">
        <v>269</v>
      </c>
      <c r="R1479" s="1110"/>
      <c r="S1479" s="1629">
        <v>-78784.0034253583</v>
      </c>
      <c r="T1479" s="1629"/>
      <c r="U1479" s="1629">
        <v>582352.00342535833</v>
      </c>
      <c r="V1479" s="1629"/>
      <c r="W1479" s="1629">
        <v>0</v>
      </c>
      <c r="X1479" s="1629"/>
      <c r="Y1479" s="1146">
        <v>503568</v>
      </c>
      <c r="Z1479" s="2114">
        <f>C1479-'Blocking-Step2'!C1479</f>
        <v>0</v>
      </c>
      <c r="AA1479" s="2114">
        <f>D1479-'Blocking-Step2'!D1479</f>
        <v>0</v>
      </c>
      <c r="AC1479" s="2114">
        <f>F1479-'Blocking-Step2'!F1479</f>
        <v>0</v>
      </c>
      <c r="AE1479" s="2114">
        <f>H1479-'Blocking-Step2'!H1479</f>
        <v>0</v>
      </c>
      <c r="AF1479" s="2114">
        <f>I1479-'Blocking-Step2'!I1479</f>
        <v>0</v>
      </c>
      <c r="AH1479" s="2136">
        <f>K1479-'Blocking-Step2'!K1479</f>
        <v>-311.09000000000003</v>
      </c>
      <c r="AJ1479" s="2136">
        <f>M1479-'Blocking-Step2'!M1479</f>
        <v>311.09000000000003</v>
      </c>
      <c r="AL1479" s="2136">
        <f>O1479-'Blocking-Step2'!O1479</f>
        <v>0</v>
      </c>
      <c r="AN1479" s="2137">
        <f>Q1479-'Blocking-Step2'!Q1479</f>
        <v>0</v>
      </c>
      <c r="AP1479" s="2127">
        <f>S1479-'Blocking-Step2'!S1479</f>
        <v>-582352.00342535833</v>
      </c>
      <c r="AR1479" s="2127">
        <f>U1479-'Blocking-Step2'!U1479</f>
        <v>582352.00342535833</v>
      </c>
      <c r="AT1479" s="2127">
        <f>W1479-'Blocking-Step2'!W1479</f>
        <v>0</v>
      </c>
      <c r="AV1479" s="2128">
        <f>Y1479-'Blocking-Step2'!Y1479</f>
        <v>0</v>
      </c>
    </row>
    <row r="1480" spans="1:48">
      <c r="A1480" s="1116" t="s">
        <v>168</v>
      </c>
      <c r="C1480" s="1105">
        <v>8204516.3288288303</v>
      </c>
      <c r="D1480" s="1105">
        <v>8792631</v>
      </c>
      <c r="F1480" s="1907">
        <v>2.2200000000000002</v>
      </c>
      <c r="G1480" s="1110"/>
      <c r="H1480" s="1146">
        <v>18214026</v>
      </c>
      <c r="I1480" s="1146">
        <v>19519641</v>
      </c>
      <c r="K1480" s="1907">
        <v>0</v>
      </c>
      <c r="L1480" s="1110"/>
      <c r="M1480" s="1907">
        <v>2.2999999999999998</v>
      </c>
      <c r="N1480" s="1110"/>
      <c r="O1480" s="1907"/>
      <c r="P1480" s="1110"/>
      <c r="Q1480" s="1907">
        <v>2.2999999999999998</v>
      </c>
      <c r="R1480" s="1110"/>
      <c r="S1480" s="1629"/>
      <c r="T1480" s="1629"/>
      <c r="U1480" s="1629">
        <v>20223051</v>
      </c>
      <c r="V1480" s="1629"/>
      <c r="W1480" s="1629">
        <v>0</v>
      </c>
      <c r="X1480" s="1629"/>
      <c r="Y1480" s="1146">
        <v>20223051</v>
      </c>
      <c r="Z1480" s="2114">
        <f>C1480-'Blocking-Step2'!C1480</f>
        <v>0</v>
      </c>
      <c r="AA1480" s="2114">
        <f>D1480-'Blocking-Step2'!D1480</f>
        <v>0</v>
      </c>
      <c r="AC1480" s="2114">
        <f>F1480-'Blocking-Step2'!F1480</f>
        <v>0</v>
      </c>
      <c r="AE1480" s="2114">
        <f>H1480-'Blocking-Step2'!H1480</f>
        <v>0</v>
      </c>
      <c r="AF1480" s="2114">
        <f>I1480-'Blocking-Step2'!I1480</f>
        <v>0</v>
      </c>
      <c r="AH1480" s="2136">
        <f>K1480-'Blocking-Step2'!K1480</f>
        <v>-2.2999999999999998</v>
      </c>
      <c r="AJ1480" s="2136">
        <f>M1480-'Blocking-Step2'!M1480</f>
        <v>2.2999999999999998</v>
      </c>
      <c r="AL1480" s="2136">
        <f>O1480-'Blocking-Step2'!O1480</f>
        <v>0</v>
      </c>
      <c r="AN1480" s="2137">
        <f>Q1480-'Blocking-Step2'!Q1480</f>
        <v>0</v>
      </c>
      <c r="AP1480" s="2127">
        <f>S1480-'Blocking-Step2'!S1480</f>
        <v>-20223051</v>
      </c>
      <c r="AR1480" s="2127">
        <f>U1480-'Blocking-Step2'!U1480</f>
        <v>20223051</v>
      </c>
      <c r="AT1480" s="2127">
        <f>W1480-'Blocking-Step2'!W1480</f>
        <v>0</v>
      </c>
      <c r="AV1480" s="2128">
        <f>Y1480-'Blocking-Step2'!Y1480</f>
        <v>0</v>
      </c>
    </row>
    <row r="1481" spans="1:48">
      <c r="A1481" s="1116" t="s">
        <v>1651</v>
      </c>
      <c r="C1481" s="1105">
        <v>2671934.0893816734</v>
      </c>
      <c r="D1481" s="1105">
        <v>2857444</v>
      </c>
      <c r="F1481" s="1142"/>
      <c r="G1481" s="617"/>
      <c r="H1481" s="1146"/>
      <c r="I1481" s="1146"/>
      <c r="K1481" s="1142">
        <v>0</v>
      </c>
      <c r="L1481" s="617"/>
      <c r="M1481" s="1142">
        <v>14.48</v>
      </c>
      <c r="N1481" s="617"/>
      <c r="O1481" s="1142"/>
      <c r="P1481" s="617"/>
      <c r="Q1481" s="1142">
        <v>14.48</v>
      </c>
      <c r="R1481" s="617"/>
      <c r="S1481" s="1114"/>
      <c r="T1481" s="1114"/>
      <c r="U1481" s="1114">
        <v>41375789</v>
      </c>
      <c r="V1481" s="1114"/>
      <c r="W1481" s="1114">
        <v>0</v>
      </c>
      <c r="X1481" s="1114"/>
      <c r="Y1481" s="1146">
        <v>41375789</v>
      </c>
      <c r="Z1481" s="2114">
        <f>C1481-'Blocking-Step2'!C1481</f>
        <v>0</v>
      </c>
      <c r="AA1481" s="2114">
        <f>D1481-'Blocking-Step2'!D1481</f>
        <v>0</v>
      </c>
      <c r="AC1481" s="2114">
        <f>F1481-'Blocking-Step2'!F1481</f>
        <v>0</v>
      </c>
      <c r="AE1481" s="2114">
        <f>H1481-'Blocking-Step2'!H1481</f>
        <v>0</v>
      </c>
      <c r="AF1481" s="2114">
        <f>I1481-'Blocking-Step2'!I1481</f>
        <v>0</v>
      </c>
      <c r="AH1481" s="2136">
        <f>K1481-'Blocking-Step2'!K1481</f>
        <v>-4.8</v>
      </c>
      <c r="AJ1481" s="2136">
        <f>M1481-'Blocking-Step2'!M1481</f>
        <v>4.8000000000000007</v>
      </c>
      <c r="AL1481" s="2136">
        <f>O1481-'Blocking-Step2'!O1481</f>
        <v>0</v>
      </c>
      <c r="AN1481" s="2137">
        <f>Q1481-'Blocking-Step2'!Q1481</f>
        <v>0</v>
      </c>
      <c r="AP1481" s="2127">
        <f>S1481-'Blocking-Step2'!S1481</f>
        <v>-13711331.037548821</v>
      </c>
      <c r="AR1481" s="2127">
        <f>U1481-'Blocking-Step2'!U1481</f>
        <v>13711331.037548821</v>
      </c>
      <c r="AT1481" s="2127">
        <f>W1481-'Blocking-Step2'!W1481</f>
        <v>0</v>
      </c>
      <c r="AV1481" s="2128">
        <f>Y1481-'Blocking-Step2'!Y1481</f>
        <v>0</v>
      </c>
    </row>
    <row r="1482" spans="1:48">
      <c r="A1482" s="1116" t="s">
        <v>1652</v>
      </c>
      <c r="C1482" s="1105">
        <v>5230705.6305531329</v>
      </c>
      <c r="D1482" s="1105">
        <v>5600405</v>
      </c>
      <c r="F1482" s="1142"/>
      <c r="G1482" s="617"/>
      <c r="H1482" s="1146"/>
      <c r="I1482" s="1146"/>
      <c r="K1482" s="1142">
        <v>0</v>
      </c>
      <c r="L1482" s="617"/>
      <c r="M1482" s="1142">
        <v>12.81</v>
      </c>
      <c r="N1482" s="617"/>
      <c r="O1482" s="1142"/>
      <c r="P1482" s="617"/>
      <c r="Q1482" s="1142">
        <v>12.81</v>
      </c>
      <c r="R1482" s="617"/>
      <c r="S1482" s="1114"/>
      <c r="T1482" s="1114"/>
      <c r="U1482" s="1114">
        <v>71741188</v>
      </c>
      <c r="V1482" s="1114"/>
      <c r="W1482" s="1114">
        <v>0</v>
      </c>
      <c r="X1482" s="1114"/>
      <c r="Y1482" s="1146">
        <v>71741188</v>
      </c>
      <c r="Z1482" s="2114">
        <f>C1482-'Blocking-Step2'!C1482</f>
        <v>0</v>
      </c>
      <c r="AA1482" s="2114">
        <f>D1482-'Blocking-Step2'!D1482</f>
        <v>0</v>
      </c>
      <c r="AC1482" s="2114">
        <f>F1482-'Blocking-Step2'!F1482</f>
        <v>0</v>
      </c>
      <c r="AE1482" s="2114">
        <f>H1482-'Blocking-Step2'!H1482</f>
        <v>0</v>
      </c>
      <c r="AF1482" s="2114">
        <f>I1482-'Blocking-Step2'!I1482</f>
        <v>0</v>
      </c>
      <c r="AH1482" s="2136">
        <f>K1482-'Blocking-Step2'!K1482</f>
        <v>-4.25</v>
      </c>
      <c r="AJ1482" s="2136">
        <f>M1482-'Blocking-Step2'!M1482</f>
        <v>4.25</v>
      </c>
      <c r="AL1482" s="2136">
        <f>O1482-'Blocking-Step2'!O1482</f>
        <v>0</v>
      </c>
      <c r="AN1482" s="2137">
        <f>Q1482-'Blocking-Step2'!Q1482</f>
        <v>0</v>
      </c>
      <c r="AP1482" s="2127">
        <f>S1482-'Blocking-Step2'!S1482</f>
        <v>-23773979.940177698</v>
      </c>
      <c r="AR1482" s="2127">
        <f>U1482-'Blocking-Step2'!U1482</f>
        <v>23773979.940177694</v>
      </c>
      <c r="AT1482" s="2127">
        <f>W1482-'Blocking-Step2'!W1482</f>
        <v>0</v>
      </c>
      <c r="AV1482" s="2128">
        <f>Y1482-'Blocking-Step2'!Y1482</f>
        <v>0</v>
      </c>
    </row>
    <row r="1483" spans="1:48">
      <c r="A1483" s="1116" t="s">
        <v>1532</v>
      </c>
      <c r="C1483" s="1105">
        <v>319244318.2292161</v>
      </c>
      <c r="D1483" s="1105">
        <v>337257779</v>
      </c>
      <c r="F1483" s="1106"/>
      <c r="G1483" s="1921"/>
      <c r="H1483" s="1146"/>
      <c r="I1483" s="1146"/>
      <c r="K1483" s="1924"/>
      <c r="L1483" s="1921"/>
      <c r="M1483" s="1924">
        <v>1.0927</v>
      </c>
      <c r="N1483" s="1921" t="s">
        <v>495</v>
      </c>
      <c r="O1483" s="1922">
        <v>4.1108761607000002</v>
      </c>
      <c r="P1483" s="1921" t="s">
        <v>495</v>
      </c>
      <c r="Q1483" s="1106">
        <v>5.2035761607</v>
      </c>
      <c r="R1483" s="1921" t="s">
        <v>495</v>
      </c>
      <c r="S1483" s="1648"/>
      <c r="T1483" s="1648"/>
      <c r="U1483" s="1114">
        <v>6549685.9083412215</v>
      </c>
      <c r="V1483" s="1648"/>
      <c r="W1483" s="1114">
        <v>10999779.091658778</v>
      </c>
      <c r="X1483" s="1648"/>
      <c r="Y1483" s="1146">
        <v>17549465</v>
      </c>
      <c r="Z1483" s="2114">
        <f>C1483-'Blocking-Step2'!C1483</f>
        <v>0</v>
      </c>
      <c r="AA1483" s="2114">
        <f>D1483-'Blocking-Step2'!D1483</f>
        <v>0</v>
      </c>
      <c r="AC1483" s="2114">
        <f>F1483-'Blocking-Step2'!F1483</f>
        <v>0</v>
      </c>
      <c r="AE1483" s="2114">
        <f>H1483-'Blocking-Step2'!H1483</f>
        <v>0</v>
      </c>
      <c r="AF1483" s="2114">
        <f>I1483-'Blocking-Step2'!I1483</f>
        <v>0</v>
      </c>
      <c r="AH1483" s="2136">
        <f>K1483-'Blocking-Step2'!K1483</f>
        <v>0</v>
      </c>
      <c r="AJ1483" s="2136">
        <f>M1483-'Blocking-Step2'!M1483</f>
        <v>0</v>
      </c>
      <c r="AL1483" s="2136">
        <f>O1483-'Blocking-Step2'!O1483</f>
        <v>0</v>
      </c>
      <c r="AN1483" s="2137">
        <f>Q1483-'Blocking-Step2'!Q1483</f>
        <v>0</v>
      </c>
      <c r="AP1483" s="2127">
        <f>S1483-'Blocking-Step2'!S1483</f>
        <v>0</v>
      </c>
      <c r="AR1483" s="2127">
        <f>U1483-'Blocking-Step2'!U1483</f>
        <v>-219.15970428101718</v>
      </c>
      <c r="AT1483" s="2127">
        <f>W1483-'Blocking-Step2'!W1483</f>
        <v>219.15970428101718</v>
      </c>
      <c r="AV1483" s="2128">
        <f>Y1483-'Blocking-Step2'!Y1483</f>
        <v>0</v>
      </c>
    </row>
    <row r="1484" spans="1:48">
      <c r="A1484" s="1116" t="s">
        <v>1653</v>
      </c>
      <c r="C1484" s="1105">
        <v>617810732.40477073</v>
      </c>
      <c r="D1484" s="1105">
        <v>653220065</v>
      </c>
      <c r="F1484" s="1106"/>
      <c r="G1484" s="1921"/>
      <c r="H1484" s="1146"/>
      <c r="I1484" s="1146"/>
      <c r="K1484" s="1924"/>
      <c r="L1484" s="1921"/>
      <c r="M1484" s="1924">
        <v>1.0927</v>
      </c>
      <c r="N1484" s="1921" t="s">
        <v>495</v>
      </c>
      <c r="O1484" s="1922">
        <v>3.5122346554870001</v>
      </c>
      <c r="P1484" s="1921" t="s">
        <v>495</v>
      </c>
      <c r="Q1484" s="1106">
        <v>4.6049346554869999</v>
      </c>
      <c r="R1484" s="1921" t="s">
        <v>495</v>
      </c>
      <c r="S1484" s="1648"/>
      <c r="T1484" s="1648"/>
      <c r="U1484" s="1114">
        <v>11226375.867342578</v>
      </c>
      <c r="V1484" s="1648"/>
      <c r="W1484" s="1114">
        <v>18853981.132657424</v>
      </c>
      <c r="X1484" s="1648"/>
      <c r="Y1484" s="1146">
        <v>30080357</v>
      </c>
      <c r="Z1484" s="2114">
        <f>C1484-'Blocking-Step2'!C1484</f>
        <v>0</v>
      </c>
      <c r="AA1484" s="2114">
        <f>D1484-'Blocking-Step2'!D1484</f>
        <v>0</v>
      </c>
      <c r="AC1484" s="2114">
        <f>F1484-'Blocking-Step2'!F1484</f>
        <v>0</v>
      </c>
      <c r="AE1484" s="2114">
        <f>H1484-'Blocking-Step2'!H1484</f>
        <v>0</v>
      </c>
      <c r="AF1484" s="2114">
        <f>I1484-'Blocking-Step2'!I1484</f>
        <v>0</v>
      </c>
      <c r="AH1484" s="2136">
        <f>K1484-'Blocking-Step2'!K1484</f>
        <v>0</v>
      </c>
      <c r="AJ1484" s="2136">
        <f>M1484-'Blocking-Step2'!M1484</f>
        <v>0</v>
      </c>
      <c r="AL1484" s="2136">
        <f>O1484-'Blocking-Step2'!O1484</f>
        <v>0</v>
      </c>
      <c r="AN1484" s="2137">
        <f>Q1484-'Blocking-Step2'!Q1484</f>
        <v>0</v>
      </c>
      <c r="AP1484" s="2127">
        <f>S1484-'Blocking-Step2'!S1484</f>
        <v>0</v>
      </c>
      <c r="AR1484" s="2127">
        <f>U1484-'Blocking-Step2'!U1484</f>
        <v>-375.64690119028091</v>
      </c>
      <c r="AT1484" s="2127">
        <f>W1484-'Blocking-Step2'!W1484</f>
        <v>375.64690119028091</v>
      </c>
      <c r="AV1484" s="2128">
        <f>Y1484-'Blocking-Step2'!Y1484</f>
        <v>0</v>
      </c>
    </row>
    <row r="1485" spans="1:48">
      <c r="A1485" s="1116" t="s">
        <v>1533</v>
      </c>
      <c r="C1485" s="1105">
        <v>1249749246.2891898</v>
      </c>
      <c r="D1485" s="1105">
        <v>1318310247</v>
      </c>
      <c r="F1485" s="1106"/>
      <c r="G1485" s="1921"/>
      <c r="H1485" s="1146"/>
      <c r="I1485" s="1146"/>
      <c r="K1485" s="1924"/>
      <c r="L1485" s="1921"/>
      <c r="M1485" s="1924">
        <v>1.0927</v>
      </c>
      <c r="N1485" s="1921" t="s">
        <v>495</v>
      </c>
      <c r="O1485" s="1922">
        <v>1.5521862361710002</v>
      </c>
      <c r="P1485" s="1921" t="s">
        <v>495</v>
      </c>
      <c r="Q1485" s="1106">
        <v>2.6448862361710002</v>
      </c>
      <c r="R1485" s="1921" t="s">
        <v>495</v>
      </c>
      <c r="S1485" s="1648"/>
      <c r="T1485" s="1648"/>
      <c r="U1485" s="1114">
        <v>13013113.369152591</v>
      </c>
      <c r="V1485" s="1648"/>
      <c r="W1485" s="1114">
        <v>21854692.630847409</v>
      </c>
      <c r="X1485" s="1648"/>
      <c r="Y1485" s="1146">
        <v>34867806</v>
      </c>
      <c r="Z1485" s="2114">
        <f>C1485-'Blocking-Step2'!C1485</f>
        <v>0</v>
      </c>
      <c r="AA1485" s="2114">
        <f>D1485-'Blocking-Step2'!D1485</f>
        <v>0</v>
      </c>
      <c r="AC1485" s="2114">
        <f>F1485-'Blocking-Step2'!F1485</f>
        <v>0</v>
      </c>
      <c r="AE1485" s="2114">
        <f>H1485-'Blocking-Step2'!H1485</f>
        <v>0</v>
      </c>
      <c r="AF1485" s="2114">
        <f>I1485-'Blocking-Step2'!I1485</f>
        <v>0</v>
      </c>
      <c r="AH1485" s="2136">
        <f>K1485-'Blocking-Step2'!K1485</f>
        <v>0</v>
      </c>
      <c r="AJ1485" s="2136">
        <f>M1485-'Blocking-Step2'!M1485</f>
        <v>0</v>
      </c>
      <c r="AL1485" s="2136">
        <f>O1485-'Blocking-Step2'!O1485</f>
        <v>0</v>
      </c>
      <c r="AN1485" s="2137">
        <f>Q1485-'Blocking-Step2'!Q1485</f>
        <v>0</v>
      </c>
      <c r="AP1485" s="2127">
        <f>S1485-'Blocking-Step2'!S1485</f>
        <v>0</v>
      </c>
      <c r="AR1485" s="2127">
        <f>U1485-'Blocking-Step2'!U1485</f>
        <v>-435.43310590460896</v>
      </c>
      <c r="AT1485" s="2127">
        <f>W1485-'Blocking-Step2'!W1485</f>
        <v>435.43310590460896</v>
      </c>
      <c r="AV1485" s="2128">
        <f>Y1485-'Blocking-Step2'!Y1485</f>
        <v>0</v>
      </c>
    </row>
    <row r="1486" spans="1:48">
      <c r="A1486" s="1116" t="s">
        <v>2177</v>
      </c>
      <c r="C1486" s="1105">
        <v>2408433787.0768232</v>
      </c>
      <c r="D1486" s="1105">
        <v>2538543863.3051271</v>
      </c>
      <c r="F1486" s="1106"/>
      <c r="G1486" s="1921"/>
      <c r="H1486" s="1146"/>
      <c r="I1486" s="1146"/>
      <c r="K1486" s="1924"/>
      <c r="L1486" s="1921"/>
      <c r="M1486" s="1924">
        <v>1.0927</v>
      </c>
      <c r="N1486" s="1921" t="s">
        <v>495</v>
      </c>
      <c r="O1486" s="1922">
        <v>1.247907288647</v>
      </c>
      <c r="P1486" s="1921" t="s">
        <v>495</v>
      </c>
      <c r="Q1486" s="1106">
        <v>2.340607288647</v>
      </c>
      <c r="R1486" s="1921" t="s">
        <v>495</v>
      </c>
      <c r="S1486" s="1648"/>
      <c r="T1486" s="1656"/>
      <c r="U1486" s="1114">
        <v>22175316.122638319</v>
      </c>
      <c r="V1486" s="1656"/>
      <c r="W1486" s="1114">
        <v>37242026.877361685</v>
      </c>
      <c r="X1486" s="1648"/>
      <c r="Y1486" s="1146">
        <v>59417343</v>
      </c>
      <c r="Z1486" s="2114">
        <f>C1486-'Blocking-Step2'!C1486</f>
        <v>0</v>
      </c>
      <c r="AA1486" s="2114">
        <f>D1486-'Blocking-Step2'!D1486</f>
        <v>0</v>
      </c>
      <c r="AC1486" s="2114">
        <f>F1486-'Blocking-Step2'!F1486</f>
        <v>0</v>
      </c>
      <c r="AE1486" s="2114">
        <f>H1486-'Blocking-Step2'!H1486</f>
        <v>0</v>
      </c>
      <c r="AF1486" s="2114">
        <f>I1486-'Blocking-Step2'!I1486</f>
        <v>0</v>
      </c>
      <c r="AH1486" s="2136">
        <f>K1486-'Blocking-Step2'!K1486</f>
        <v>0</v>
      </c>
      <c r="AJ1486" s="2136">
        <f>M1486-'Blocking-Step2'!M1486</f>
        <v>0</v>
      </c>
      <c r="AL1486" s="2136">
        <f>O1486-'Blocking-Step2'!O1486</f>
        <v>0</v>
      </c>
      <c r="AN1486" s="2137">
        <f>Q1486-'Blocking-Step2'!Q1486</f>
        <v>0</v>
      </c>
      <c r="AP1486" s="2127">
        <f>S1486-'Blocking-Step2'!S1486</f>
        <v>0</v>
      </c>
      <c r="AR1486" s="2127">
        <f>U1486-'Blocking-Step2'!U1486</f>
        <v>-742.0105012357235</v>
      </c>
      <c r="AT1486" s="2127">
        <f>W1486-'Blocking-Step2'!W1486</f>
        <v>742.0105012357235</v>
      </c>
      <c r="AV1486" s="2128">
        <f>Y1486-'Blocking-Step2'!Y1486</f>
        <v>0</v>
      </c>
    </row>
    <row r="1487" spans="1:48">
      <c r="A1487" s="1116" t="s">
        <v>18</v>
      </c>
      <c r="C1487" s="1105">
        <v>3292870.7134670513</v>
      </c>
      <c r="D1487" s="1105">
        <v>3521492</v>
      </c>
      <c r="F1487" s="1907">
        <v>13.96</v>
      </c>
      <c r="G1487" s="1110"/>
      <c r="H1487" s="1146">
        <v>45968475</v>
      </c>
      <c r="I1487" s="1146">
        <v>49160028</v>
      </c>
      <c r="K1487" s="1907"/>
      <c r="L1487" s="1110"/>
      <c r="M1487" s="1907"/>
      <c r="N1487" s="1110"/>
      <c r="O1487" s="1907"/>
      <c r="P1487" s="1110"/>
      <c r="Q1487" s="1907"/>
      <c r="R1487" s="1110"/>
      <c r="S1487" s="1629"/>
      <c r="T1487" s="1629"/>
      <c r="U1487" s="1629"/>
      <c r="V1487" s="1629"/>
      <c r="W1487" s="1629"/>
      <c r="X1487" s="1629"/>
      <c r="Y1487" s="1146"/>
      <c r="Z1487" s="2114">
        <f>C1487-'Blocking-Step2'!C1487</f>
        <v>0</v>
      </c>
      <c r="AA1487" s="2114">
        <f>D1487-'Blocking-Step2'!D1487</f>
        <v>0</v>
      </c>
      <c r="AC1487" s="2114">
        <f>F1487-'Blocking-Step2'!F1487</f>
        <v>0</v>
      </c>
      <c r="AE1487" s="2114">
        <f>H1487-'Blocking-Step2'!H1487</f>
        <v>0</v>
      </c>
      <c r="AF1487" s="2114">
        <f>I1487-'Blocking-Step2'!I1487</f>
        <v>0</v>
      </c>
      <c r="AH1487" s="2136">
        <f>K1487-'Blocking-Step2'!K1487</f>
        <v>0</v>
      </c>
      <c r="AJ1487" s="2136">
        <f>M1487-'Blocking-Step2'!M1487</f>
        <v>0</v>
      </c>
      <c r="AL1487" s="2136">
        <f>O1487-'Blocking-Step2'!O1487</f>
        <v>0</v>
      </c>
      <c r="AN1487" s="2137">
        <f>Q1487-'Blocking-Step2'!Q1487</f>
        <v>0</v>
      </c>
      <c r="AP1487" s="2127">
        <f>S1487-'Blocking-Step2'!S1487</f>
        <v>0</v>
      </c>
      <c r="AR1487" s="2127">
        <f>U1487-'Blocking-Step2'!U1487</f>
        <v>0</v>
      </c>
      <c r="AT1487" s="2127">
        <f>W1487-'Blocking-Step2'!W1487</f>
        <v>0</v>
      </c>
      <c r="AV1487" s="2128">
        <f>Y1487-'Blocking-Step2'!Y1487</f>
        <v>0</v>
      </c>
    </row>
    <row r="1488" spans="1:48">
      <c r="A1488" s="1116" t="s">
        <v>166</v>
      </c>
      <c r="C1488" s="1105">
        <v>4604756.4213305144</v>
      </c>
      <c r="D1488" s="1105">
        <v>4930214</v>
      </c>
      <c r="F1488" s="1907">
        <v>9.4700000000000006</v>
      </c>
      <c r="G1488" s="1110"/>
      <c r="H1488" s="1146">
        <v>43607043</v>
      </c>
      <c r="I1488" s="1146">
        <v>46689127</v>
      </c>
      <c r="K1488" s="1907"/>
      <c r="L1488" s="1110"/>
      <c r="M1488" s="1907"/>
      <c r="N1488" s="1110"/>
      <c r="O1488" s="1907"/>
      <c r="P1488" s="1110"/>
      <c r="Q1488" s="1907"/>
      <c r="R1488" s="1110"/>
      <c r="S1488" s="1629"/>
      <c r="T1488" s="1629"/>
      <c r="U1488" s="1629"/>
      <c r="V1488" s="1629"/>
      <c r="W1488" s="1629"/>
      <c r="X1488" s="1629"/>
      <c r="Y1488" s="1146"/>
      <c r="Z1488" s="2114">
        <f>C1488-'Blocking-Step2'!C1488</f>
        <v>0</v>
      </c>
      <c r="AA1488" s="2114">
        <f>D1488-'Blocking-Step2'!D1488</f>
        <v>0</v>
      </c>
      <c r="AC1488" s="2114">
        <f>F1488-'Blocking-Step2'!F1488</f>
        <v>0</v>
      </c>
      <c r="AE1488" s="2114">
        <f>H1488-'Blocking-Step2'!H1488</f>
        <v>0</v>
      </c>
      <c r="AF1488" s="2114">
        <f>I1488-'Blocking-Step2'!I1488</f>
        <v>0</v>
      </c>
      <c r="AH1488" s="2136">
        <f>K1488-'Blocking-Step2'!K1488</f>
        <v>0</v>
      </c>
      <c r="AJ1488" s="2136">
        <f>M1488-'Blocking-Step2'!M1488</f>
        <v>0</v>
      </c>
      <c r="AL1488" s="2136">
        <f>O1488-'Blocking-Step2'!O1488</f>
        <v>0</v>
      </c>
      <c r="AN1488" s="2137">
        <f>Q1488-'Blocking-Step2'!Q1488</f>
        <v>0</v>
      </c>
      <c r="AP1488" s="2127">
        <f>S1488-'Blocking-Step2'!S1488</f>
        <v>0</v>
      </c>
      <c r="AR1488" s="2127">
        <f>U1488-'Blocking-Step2'!U1488</f>
        <v>0</v>
      </c>
      <c r="AT1488" s="2127">
        <f>W1488-'Blocking-Step2'!W1488</f>
        <v>0</v>
      </c>
      <c r="AV1488" s="2128">
        <f>Y1488-'Blocking-Step2'!Y1488</f>
        <v>0</v>
      </c>
    </row>
    <row r="1489" spans="1:48">
      <c r="A1489" s="1116" t="s">
        <v>19</v>
      </c>
      <c r="C1489" s="1105">
        <v>461574942</v>
      </c>
      <c r="D1489" s="1105">
        <v>487619452.30512714</v>
      </c>
      <c r="F1489" s="2086">
        <v>4.6531000000000002</v>
      </c>
      <c r="G1489" s="1921" t="s">
        <v>495</v>
      </c>
      <c r="H1489" s="1146">
        <v>21477544</v>
      </c>
      <c r="I1489" s="1146">
        <v>22689421</v>
      </c>
      <c r="K1489" s="2086"/>
      <c r="L1489" s="1921"/>
      <c r="M1489" s="2086"/>
      <c r="N1489" s="1921"/>
      <c r="O1489" s="2086"/>
      <c r="P1489" s="1921"/>
      <c r="Q1489" s="2086"/>
      <c r="R1489" s="1921"/>
      <c r="S1489" s="1648"/>
      <c r="T1489" s="1648"/>
      <c r="U1489" s="1648"/>
      <c r="V1489" s="1648"/>
      <c r="W1489" s="1648"/>
      <c r="X1489" s="1648"/>
      <c r="Y1489" s="1146"/>
      <c r="Z1489" s="2114">
        <f>C1489-'Blocking-Step2'!C1489</f>
        <v>0</v>
      </c>
      <c r="AA1489" s="2114">
        <f>D1489-'Blocking-Step2'!D1489</f>
        <v>0</v>
      </c>
      <c r="AC1489" s="2114">
        <f>F1489-'Blocking-Step2'!F1489</f>
        <v>0</v>
      </c>
      <c r="AE1489" s="2114">
        <f>H1489-'Blocking-Step2'!H1489</f>
        <v>0</v>
      </c>
      <c r="AF1489" s="2114">
        <f>I1489-'Blocking-Step2'!I1489</f>
        <v>0</v>
      </c>
      <c r="AH1489" s="2136">
        <f>K1489-'Blocking-Step2'!K1489</f>
        <v>0</v>
      </c>
      <c r="AJ1489" s="2136">
        <f>M1489-'Blocking-Step2'!M1489</f>
        <v>0</v>
      </c>
      <c r="AL1489" s="2136">
        <f>O1489-'Blocking-Step2'!O1489</f>
        <v>0</v>
      </c>
      <c r="AN1489" s="2137">
        <f>Q1489-'Blocking-Step2'!Q1489</f>
        <v>0</v>
      </c>
      <c r="AP1489" s="2127">
        <f>S1489-'Blocking-Step2'!S1489</f>
        <v>0</v>
      </c>
      <c r="AR1489" s="2127">
        <f>U1489-'Blocking-Step2'!U1489</f>
        <v>0</v>
      </c>
      <c r="AT1489" s="2127">
        <f>W1489-'Blocking-Step2'!W1489</f>
        <v>0</v>
      </c>
      <c r="AV1489" s="2128">
        <f>Y1489-'Blocking-Step2'!Y1489</f>
        <v>0</v>
      </c>
    </row>
    <row r="1490" spans="1:48">
      <c r="A1490" s="1116" t="s">
        <v>257</v>
      </c>
      <c r="C1490" s="1105">
        <v>1236552267</v>
      </c>
      <c r="D1490" s="1105">
        <v>1307424280</v>
      </c>
      <c r="F1490" s="2086">
        <v>3.4988999999999999</v>
      </c>
      <c r="G1490" s="1921" t="s">
        <v>495</v>
      </c>
      <c r="H1490" s="1146">
        <v>43265727</v>
      </c>
      <c r="I1490" s="1146">
        <v>45745468</v>
      </c>
      <c r="K1490" s="2086"/>
      <c r="L1490" s="1921"/>
      <c r="M1490" s="2086"/>
      <c r="N1490" s="1921"/>
      <c r="O1490" s="2086"/>
      <c r="P1490" s="1921"/>
      <c r="Q1490" s="2086"/>
      <c r="R1490" s="1921"/>
      <c r="S1490" s="1648"/>
      <c r="T1490" s="1648"/>
      <c r="U1490" s="1648"/>
      <c r="V1490" s="1648"/>
      <c r="W1490" s="1648"/>
      <c r="X1490" s="1648"/>
      <c r="Y1490" s="1146"/>
      <c r="Z1490" s="2114">
        <f>C1490-'Blocking-Step2'!C1490</f>
        <v>0</v>
      </c>
      <c r="AA1490" s="2114">
        <f>D1490-'Blocking-Step2'!D1490</f>
        <v>0</v>
      </c>
      <c r="AC1490" s="2114">
        <f>F1490-'Blocking-Step2'!F1490</f>
        <v>0</v>
      </c>
      <c r="AE1490" s="2114">
        <f>H1490-'Blocking-Step2'!H1490</f>
        <v>0</v>
      </c>
      <c r="AF1490" s="2114">
        <f>I1490-'Blocking-Step2'!I1490</f>
        <v>0</v>
      </c>
      <c r="AH1490" s="2136">
        <f>K1490-'Blocking-Step2'!K1490</f>
        <v>0</v>
      </c>
      <c r="AJ1490" s="2136">
        <f>M1490-'Blocking-Step2'!M1490</f>
        <v>0</v>
      </c>
      <c r="AL1490" s="2136">
        <f>O1490-'Blocking-Step2'!O1490</f>
        <v>0</v>
      </c>
      <c r="AN1490" s="2137">
        <f>Q1490-'Blocking-Step2'!Q1490</f>
        <v>0</v>
      </c>
      <c r="AP1490" s="2127">
        <f>S1490-'Blocking-Step2'!S1490</f>
        <v>0</v>
      </c>
      <c r="AR1490" s="2127">
        <f>U1490-'Blocking-Step2'!U1490</f>
        <v>0</v>
      </c>
      <c r="AT1490" s="2127">
        <f>W1490-'Blocking-Step2'!W1490</f>
        <v>0</v>
      </c>
      <c r="AV1490" s="2128">
        <f>Y1490-'Blocking-Step2'!Y1490</f>
        <v>0</v>
      </c>
    </row>
    <row r="1491" spans="1:48">
      <c r="A1491" s="1116" t="s">
        <v>249</v>
      </c>
      <c r="C1491" s="1105">
        <v>2897110875</v>
      </c>
      <c r="D1491" s="1105">
        <v>3052288222</v>
      </c>
      <c r="F1491" s="2087">
        <v>2.9224999999999999</v>
      </c>
      <c r="G1491" s="1921" t="s">
        <v>495</v>
      </c>
      <c r="H1491" s="1146">
        <v>84668065</v>
      </c>
      <c r="I1491" s="1146">
        <v>89203123</v>
      </c>
      <c r="K1491" s="2087"/>
      <c r="L1491" s="1921"/>
      <c r="M1491" s="2087"/>
      <c r="N1491" s="1921"/>
      <c r="O1491" s="2087"/>
      <c r="P1491" s="1921"/>
      <c r="Q1491" s="2087"/>
      <c r="R1491" s="1921"/>
      <c r="S1491" s="1648"/>
      <c r="T1491" s="1648"/>
      <c r="U1491" s="1648"/>
      <c r="V1491" s="1648"/>
      <c r="W1491" s="1648"/>
      <c r="X1491" s="1648"/>
      <c r="Y1491" s="1146"/>
      <c r="Z1491" s="2114">
        <f>C1491-'Blocking-Step2'!C1491</f>
        <v>0</v>
      </c>
      <c r="AA1491" s="2114">
        <f>D1491-'Blocking-Step2'!D1491</f>
        <v>0</v>
      </c>
      <c r="AC1491" s="2114">
        <f>F1491-'Blocking-Step2'!F1491</f>
        <v>0</v>
      </c>
      <c r="AE1491" s="2114">
        <f>H1491-'Blocking-Step2'!H1491</f>
        <v>0</v>
      </c>
      <c r="AF1491" s="2114">
        <f>I1491-'Blocking-Step2'!I1491</f>
        <v>0</v>
      </c>
      <c r="AH1491" s="2136">
        <f>K1491-'Blocking-Step2'!K1491</f>
        <v>0</v>
      </c>
      <c r="AJ1491" s="2136">
        <f>M1491-'Blocking-Step2'!M1491</f>
        <v>0</v>
      </c>
      <c r="AL1491" s="2136">
        <f>O1491-'Blocking-Step2'!O1491</f>
        <v>0</v>
      </c>
      <c r="AN1491" s="2137">
        <f>Q1491-'Blocking-Step2'!Q1491</f>
        <v>0</v>
      </c>
      <c r="AP1491" s="2127">
        <f>S1491-'Blocking-Step2'!S1491</f>
        <v>0</v>
      </c>
      <c r="AR1491" s="2127">
        <f>U1491-'Blocking-Step2'!U1491</f>
        <v>0</v>
      </c>
      <c r="AT1491" s="2127">
        <f>W1491-'Blocking-Step2'!W1491</f>
        <v>0</v>
      </c>
      <c r="AV1491" s="2128">
        <f>Y1491-'Blocking-Step2'!Y1491</f>
        <v>0</v>
      </c>
    </row>
    <row r="1492" spans="1:48">
      <c r="A1492" s="1116" t="s">
        <v>246</v>
      </c>
      <c r="C1492" s="1940">
        <v>-53797825</v>
      </c>
      <c r="D1492" s="1940">
        <v>0</v>
      </c>
      <c r="H1492" s="1147">
        <v>-2671415</v>
      </c>
      <c r="I1492" s="1147">
        <v>0</v>
      </c>
      <c r="Y1492" s="1147">
        <v>0</v>
      </c>
      <c r="Z1492" s="2114">
        <f>C1492-'Blocking-Step2'!C1492</f>
        <v>0</v>
      </c>
      <c r="AA1492" s="2114">
        <f>D1492-'Blocking-Step2'!D1492</f>
        <v>0</v>
      </c>
      <c r="AC1492" s="2114">
        <f>F1492-'Blocking-Step2'!F1492</f>
        <v>0</v>
      </c>
      <c r="AE1492" s="2114">
        <f>H1492-'Blocking-Step2'!H1492</f>
        <v>0</v>
      </c>
      <c r="AF1492" s="2114">
        <f>I1492-'Blocking-Step2'!I1492</f>
        <v>0</v>
      </c>
      <c r="AH1492" s="2136">
        <f>K1492-'Blocking-Step2'!K1492</f>
        <v>0</v>
      </c>
      <c r="AJ1492" s="2136">
        <f>M1492-'Blocking-Step2'!M1492</f>
        <v>0</v>
      </c>
      <c r="AL1492" s="2136">
        <f>O1492-'Blocking-Step2'!O1492</f>
        <v>0</v>
      </c>
      <c r="AN1492" s="2137">
        <f>Q1492-'Blocking-Step2'!Q1492</f>
        <v>0</v>
      </c>
      <c r="AP1492" s="2127">
        <f>S1492-'Blocking-Step2'!S1492</f>
        <v>0</v>
      </c>
      <c r="AR1492" s="2127">
        <f>U1492-'Blocking-Step2'!U1492</f>
        <v>0</v>
      </c>
      <c r="AT1492" s="2127">
        <f>W1492-'Blocking-Step2'!W1492</f>
        <v>0</v>
      </c>
      <c r="AV1492" s="2128">
        <f>Y1492-'Blocking-Step2'!Y1492</f>
        <v>0</v>
      </c>
    </row>
    <row r="1493" spans="1:48">
      <c r="A1493" s="1116" t="s">
        <v>1240</v>
      </c>
      <c r="C1493" s="1024"/>
      <c r="D1493" s="1024"/>
      <c r="F1493" s="2076">
        <v>-3.0700000000000002E-2</v>
      </c>
      <c r="G1493" s="617"/>
      <c r="H1493" s="1146">
        <v>-7336896.4177999999</v>
      </c>
      <c r="I1493" s="1146">
        <v>-7782056.0268999999</v>
      </c>
      <c r="K1493" s="2076"/>
      <c r="L1493" s="617"/>
      <c r="M1493" s="2076"/>
      <c r="N1493" s="617"/>
      <c r="O1493" s="2077" t="s">
        <v>2323</v>
      </c>
      <c r="P1493" s="617"/>
      <c r="Q1493" s="2076">
        <v>-2.5700000000000001E-2</v>
      </c>
      <c r="R1493" s="617"/>
      <c r="S1493" s="1114"/>
      <c r="T1493" s="1114"/>
      <c r="U1493" s="1114"/>
      <c r="V1493" s="1114"/>
      <c r="W1493" s="1114"/>
      <c r="X1493" s="1114"/>
      <c r="Y1493" s="1146">
        <v>-6554321.0636</v>
      </c>
      <c r="Z1493" s="2114">
        <f>C1493-'Blocking-Step2'!C1493</f>
        <v>0</v>
      </c>
      <c r="AA1493" s="2114">
        <f>D1493-'Blocking-Step2'!D1493</f>
        <v>0</v>
      </c>
      <c r="AC1493" s="2114">
        <f>F1493-'Blocking-Step2'!F1493</f>
        <v>0</v>
      </c>
      <c r="AE1493" s="2114">
        <f>H1493-'Blocking-Step2'!H1493</f>
        <v>0</v>
      </c>
      <c r="AF1493" s="2114">
        <f>I1493-'Blocking-Step2'!I1493</f>
        <v>0</v>
      </c>
      <c r="AH1493" s="2136">
        <f>K1493-'Blocking-Step2'!K1493</f>
        <v>0</v>
      </c>
      <c r="AJ1493" s="2136">
        <f>M1493-'Blocking-Step2'!M1493</f>
        <v>0</v>
      </c>
      <c r="AL1493" s="2136" t="e">
        <f>O1493-'Blocking-Step2'!O1493</f>
        <v>#VALUE!</v>
      </c>
      <c r="AN1493" s="2137">
        <f>Q1493-'Blocking-Step2'!Q1493</f>
        <v>0</v>
      </c>
      <c r="AP1493" s="2127">
        <f>S1493-'Blocking-Step2'!S1493</f>
        <v>0</v>
      </c>
      <c r="AR1493" s="2127">
        <f>U1493-'Blocking-Step2'!U1493</f>
        <v>0</v>
      </c>
      <c r="AT1493" s="2127">
        <f>W1493-'Blocking-Step2'!W1493</f>
        <v>0</v>
      </c>
      <c r="AV1493" s="2128">
        <f>Y1493-'Blocking-Step2'!Y1493</f>
        <v>0</v>
      </c>
    </row>
    <row r="1494" spans="1:48">
      <c r="A1494" s="1116"/>
      <c r="C1494" s="1024"/>
      <c r="D1494" s="1024"/>
      <c r="F1494" s="2076"/>
      <c r="G1494" s="617"/>
      <c r="H1494" s="1146"/>
      <c r="I1494" s="1146"/>
      <c r="K1494" s="2076"/>
      <c r="L1494" s="617"/>
      <c r="M1494" s="2076"/>
      <c r="N1494" s="617"/>
      <c r="O1494" s="2077" t="s">
        <v>2324</v>
      </c>
      <c r="P1494" s="617"/>
      <c r="Q1494" s="2076">
        <v>-1.3899999999999999E-2</v>
      </c>
      <c r="R1494" s="617"/>
      <c r="S1494" s="1114"/>
      <c r="T1494" s="1114"/>
      <c r="U1494" s="1114"/>
      <c r="V1494" s="1114"/>
      <c r="W1494" s="1114"/>
      <c r="X1494" s="1114"/>
      <c r="Y1494" s="1146">
        <v>-3544944.0771999997</v>
      </c>
      <c r="Z1494" s="2114">
        <f>C1494-'Blocking-Step2'!C1494</f>
        <v>0</v>
      </c>
      <c r="AA1494" s="2114">
        <f>D1494-'Blocking-Step2'!D1494</f>
        <v>0</v>
      </c>
      <c r="AC1494" s="2114">
        <f>F1494-'Blocking-Step2'!F1494</f>
        <v>0</v>
      </c>
      <c r="AE1494" s="2114">
        <f>H1494-'Blocking-Step2'!H1494</f>
        <v>0</v>
      </c>
      <c r="AF1494" s="2114">
        <f>I1494-'Blocking-Step2'!I1494</f>
        <v>0</v>
      </c>
      <c r="AH1494" s="2136">
        <f>K1494-'Blocking-Step2'!K1494</f>
        <v>0</v>
      </c>
      <c r="AJ1494" s="2136">
        <f>M1494-'Blocking-Step2'!M1494</f>
        <v>0</v>
      </c>
      <c r="AL1494" s="2136" t="e">
        <f>O1494-'Blocking-Step2'!O1494</f>
        <v>#VALUE!</v>
      </c>
      <c r="AN1494" s="2137">
        <f>Q1494-'Blocking-Step2'!Q1494</f>
        <v>0</v>
      </c>
      <c r="AP1494" s="2127">
        <f>S1494-'Blocking-Step2'!S1494</f>
        <v>0</v>
      </c>
      <c r="AR1494" s="2127">
        <f>U1494-'Blocking-Step2'!U1494</f>
        <v>0</v>
      </c>
      <c r="AT1494" s="2127">
        <f>W1494-'Blocking-Step2'!W1494</f>
        <v>0</v>
      </c>
      <c r="AV1494" s="2128">
        <f>Y1494-'Blocking-Step2'!Y1494</f>
        <v>0</v>
      </c>
    </row>
    <row r="1495" spans="1:48" ht="16.5" thickBot="1">
      <c r="A1495" s="1116" t="s">
        <v>247</v>
      </c>
      <c r="C1495" s="1138">
        <v>4541440259</v>
      </c>
      <c r="D1495" s="1138">
        <v>4847331954.3051271</v>
      </c>
      <c r="F1495" s="1145"/>
      <c r="H1495" s="1149">
        <v>247664604.58219999</v>
      </c>
      <c r="I1495" s="1149">
        <v>265709599.97310001</v>
      </c>
      <c r="K1495" s="1145"/>
      <c r="M1495" s="1145"/>
      <c r="O1495" s="1145"/>
      <c r="Q1495" s="1145"/>
      <c r="S1495" s="1154">
        <v>-78784.0034253583</v>
      </c>
      <c r="T1495" s="1154"/>
      <c r="U1495" s="1154">
        <v>186886871.27090007</v>
      </c>
      <c r="V1495" s="1154"/>
      <c r="W1495" s="1154">
        <v>88950479.732525289</v>
      </c>
      <c r="Y1495" s="1149">
        <v>275758567</v>
      </c>
      <c r="Z1495" s="2114">
        <f>C1495-'Blocking-Step2'!C1495</f>
        <v>0</v>
      </c>
      <c r="AA1495" s="2114">
        <f>D1495-'Blocking-Step2'!D1495</f>
        <v>0</v>
      </c>
      <c r="AC1495" s="2114">
        <f>F1495-'Blocking-Step2'!F1495</f>
        <v>0</v>
      </c>
      <c r="AE1495" s="2114">
        <f>H1495-'Blocking-Step2'!H1495</f>
        <v>0</v>
      </c>
      <c r="AF1495" s="2114">
        <f>I1495-'Blocking-Step2'!I1495</f>
        <v>0</v>
      </c>
      <c r="AH1495" s="2136">
        <f>K1495-'Blocking-Step2'!K1495</f>
        <v>0</v>
      </c>
      <c r="AJ1495" s="2136">
        <f>M1495-'Blocking-Step2'!M1495</f>
        <v>0</v>
      </c>
      <c r="AL1495" s="2136">
        <f>O1495-'Blocking-Step2'!O1495</f>
        <v>0</v>
      </c>
      <c r="AN1495" s="2137">
        <f>Q1495-'Blocking-Step2'!Q1495</f>
        <v>0</v>
      </c>
      <c r="AP1495" s="2127">
        <f>S1495-'Blocking-Step2'!S1495</f>
        <v>-58290713.981151879</v>
      </c>
      <c r="AR1495" s="2127">
        <f>U1495-'Blocking-Step2'!U1495</f>
        <v>58288941.730939269</v>
      </c>
      <c r="AT1495" s="2127">
        <f>W1495-'Blocking-Step2'!W1495</f>
        <v>1772.2502126097679</v>
      </c>
      <c r="AV1495" s="2128">
        <f>Y1495-'Blocking-Step2'!Y1495</f>
        <v>0</v>
      </c>
    </row>
    <row r="1496" spans="1:48" ht="16.5" hidden="1" thickTop="1">
      <c r="C1496" s="1105"/>
      <c r="D1496" s="1105"/>
      <c r="M1496" s="2085" t="s">
        <v>2309</v>
      </c>
      <c r="O1496" s="1104">
        <v>1.9844999999999999</v>
      </c>
      <c r="P1496" s="1921" t="s">
        <v>495</v>
      </c>
      <c r="Z1496" s="2114">
        <f>C1496-'Blocking-Step2'!C1496</f>
        <v>0</v>
      </c>
      <c r="AA1496" s="2114">
        <f>D1496-'Blocking-Step2'!D1496</f>
        <v>0</v>
      </c>
      <c r="AC1496" s="2114">
        <f>F1496-'Blocking-Step2'!F1496</f>
        <v>0</v>
      </c>
      <c r="AE1496" s="2114">
        <f>H1496-'Blocking-Step2'!H1496</f>
        <v>0</v>
      </c>
      <c r="AF1496" s="2114">
        <f>I1496-'Blocking-Step2'!I1496</f>
        <v>0</v>
      </c>
      <c r="AH1496" s="2136">
        <f>K1496-'Blocking-Step2'!K1496</f>
        <v>0</v>
      </c>
      <c r="AJ1496" s="2136" t="e">
        <f>M1496-'Blocking-Step2'!M1496</f>
        <v>#VALUE!</v>
      </c>
      <c r="AL1496" s="2136">
        <f>O1496-'Blocking-Step2'!O1496</f>
        <v>9.9999999999988987E-5</v>
      </c>
      <c r="AN1496" s="2137">
        <f>Q1496-'Blocking-Step2'!Q1496</f>
        <v>0</v>
      </c>
      <c r="AP1496" s="2127">
        <f>S1496-'Blocking-Step2'!S1496</f>
        <v>0</v>
      </c>
      <c r="AR1496" s="2127">
        <f>U1496-'Blocking-Step2'!U1496</f>
        <v>0</v>
      </c>
      <c r="AT1496" s="2127">
        <f>W1496-'Blocking-Step2'!W1496</f>
        <v>0</v>
      </c>
      <c r="AV1496" s="2128">
        <f>Y1496-'Blocking-Step2'!Y1496</f>
        <v>0</v>
      </c>
    </row>
    <row r="1497" spans="1:48" ht="16.5" hidden="1" thickTop="1">
      <c r="C1497" s="1105"/>
      <c r="D1497" s="1105"/>
      <c r="M1497" s="2085" t="s">
        <v>2309</v>
      </c>
      <c r="O1497" s="1104">
        <v>1.7575000000000001</v>
      </c>
      <c r="P1497" s="1921" t="s">
        <v>495</v>
      </c>
      <c r="Z1497" s="2114">
        <f>C1497-'Blocking-Step2'!C1497</f>
        <v>0</v>
      </c>
      <c r="AA1497" s="2114">
        <f>D1497-'Blocking-Step2'!D1497</f>
        <v>0</v>
      </c>
      <c r="AC1497" s="2114">
        <f>F1497-'Blocking-Step2'!F1497</f>
        <v>0</v>
      </c>
      <c r="AE1497" s="2114">
        <f>H1497-'Blocking-Step2'!H1497</f>
        <v>0</v>
      </c>
      <c r="AF1497" s="2114">
        <f>I1497-'Blocking-Step2'!I1497</f>
        <v>0</v>
      </c>
      <c r="AH1497" s="2136">
        <f>K1497-'Blocking-Step2'!K1497</f>
        <v>0</v>
      </c>
      <c r="AJ1497" s="2136" t="e">
        <f>M1497-'Blocking-Step2'!M1497</f>
        <v>#VALUE!</v>
      </c>
      <c r="AL1497" s="2136">
        <f>O1497-'Blocking-Step2'!O1497</f>
        <v>0</v>
      </c>
      <c r="AN1497" s="2137">
        <f>Q1497-'Blocking-Step2'!Q1497</f>
        <v>0</v>
      </c>
      <c r="AP1497" s="2127">
        <f>S1497-'Blocking-Step2'!S1497</f>
        <v>0</v>
      </c>
      <c r="AR1497" s="2127">
        <f>U1497-'Blocking-Step2'!U1497</f>
        <v>0</v>
      </c>
      <c r="AT1497" s="2127">
        <f>W1497-'Blocking-Step2'!W1497</f>
        <v>0</v>
      </c>
      <c r="AV1497" s="2128">
        <f>Y1497-'Blocking-Step2'!Y1497</f>
        <v>0</v>
      </c>
    </row>
    <row r="1498" spans="1:48" ht="16.5" hidden="1" thickTop="1">
      <c r="C1498" s="1105"/>
      <c r="D1498" s="1105"/>
      <c r="Z1498" s="2114">
        <f>C1498-'Blocking-Step2'!C1498</f>
        <v>0</v>
      </c>
      <c r="AA1498" s="2114">
        <f>D1498-'Blocking-Step2'!D1498</f>
        <v>0</v>
      </c>
      <c r="AC1498" s="2114">
        <f>F1498-'Blocking-Step2'!F1498</f>
        <v>0</v>
      </c>
      <c r="AE1498" s="2114">
        <f>H1498-'Blocking-Step2'!H1498</f>
        <v>0</v>
      </c>
      <c r="AF1498" s="2114">
        <f>I1498-'Blocking-Step2'!I1498</f>
        <v>0</v>
      </c>
      <c r="AH1498" s="2136">
        <f>K1498-'Blocking-Step2'!K1498</f>
        <v>0</v>
      </c>
      <c r="AJ1498" s="2136">
        <f>M1498-'Blocking-Step2'!M1498</f>
        <v>0</v>
      </c>
      <c r="AL1498" s="2136">
        <f>O1498-'Blocking-Step2'!O1498</f>
        <v>0</v>
      </c>
      <c r="AN1498" s="2137">
        <f>Q1498-'Blocking-Step2'!Q1498</f>
        <v>0</v>
      </c>
      <c r="AP1498" s="2127">
        <f>S1498-'Blocking-Step2'!S1498</f>
        <v>0</v>
      </c>
      <c r="AR1498" s="2127">
        <f>U1498-'Blocking-Step2'!U1498</f>
        <v>0</v>
      </c>
      <c r="AT1498" s="2127">
        <f>W1498-'Blocking-Step2'!W1498</f>
        <v>0</v>
      </c>
      <c r="AV1498" s="2128">
        <f>Y1498-'Blocking-Step2'!Y1498</f>
        <v>0</v>
      </c>
    </row>
    <row r="1499" spans="1:48" ht="16.5" hidden="1" thickTop="1">
      <c r="A1499" s="1115" t="s">
        <v>561</v>
      </c>
      <c r="C1499" s="1105"/>
      <c r="D1499" s="1105"/>
      <c r="Z1499" s="2114">
        <f>C1499-'Blocking-Step2'!C1499</f>
        <v>0</v>
      </c>
      <c r="AA1499" s="2114">
        <f>D1499-'Blocking-Step2'!D1499</f>
        <v>0</v>
      </c>
      <c r="AC1499" s="2114">
        <f>F1499-'Blocking-Step2'!F1499</f>
        <v>0</v>
      </c>
      <c r="AE1499" s="2114">
        <f>H1499-'Blocking-Step2'!H1499</f>
        <v>0</v>
      </c>
      <c r="AF1499" s="2114">
        <f>I1499-'Blocking-Step2'!I1499</f>
        <v>0</v>
      </c>
      <c r="AH1499" s="2136">
        <f>K1499-'Blocking-Step2'!K1499</f>
        <v>0</v>
      </c>
      <c r="AJ1499" s="2136">
        <f>M1499-'Blocking-Step2'!M1499</f>
        <v>0</v>
      </c>
      <c r="AL1499" s="2136">
        <f>O1499-'Blocking-Step2'!O1499</f>
        <v>0</v>
      </c>
      <c r="AN1499" s="2137">
        <f>Q1499-'Blocking-Step2'!Q1499</f>
        <v>0</v>
      </c>
      <c r="AP1499" s="2127">
        <f>S1499-'Blocking-Step2'!S1499</f>
        <v>0</v>
      </c>
      <c r="AR1499" s="2127">
        <f>U1499-'Blocking-Step2'!U1499</f>
        <v>0</v>
      </c>
      <c r="AT1499" s="2127">
        <f>W1499-'Blocking-Step2'!W1499</f>
        <v>0</v>
      </c>
      <c r="AV1499" s="2128">
        <f>Y1499-'Blocking-Step2'!Y1499</f>
        <v>0</v>
      </c>
    </row>
    <row r="1500" spans="1:48" ht="16.5" hidden="1" thickTop="1">
      <c r="A1500" s="1116" t="s">
        <v>240</v>
      </c>
      <c r="C1500" s="1105">
        <v>469.39992277992297</v>
      </c>
      <c r="D1500" s="1105">
        <v>492</v>
      </c>
      <c r="F1500" s="1142">
        <v>259</v>
      </c>
      <c r="G1500" s="617"/>
      <c r="H1500" s="1146">
        <v>121575</v>
      </c>
      <c r="I1500" s="1146">
        <v>127428</v>
      </c>
      <c r="K1500" s="1142">
        <v>-42.09</v>
      </c>
      <c r="L1500" s="617"/>
      <c r="M1500" s="1142">
        <v>311.09000000000003</v>
      </c>
      <c r="N1500" s="617"/>
      <c r="O1500" s="1142">
        <v>0</v>
      </c>
      <c r="P1500" s="617"/>
      <c r="Q1500" s="1142">
        <v>269</v>
      </c>
      <c r="R1500" s="617"/>
      <c r="S1500" s="1146">
        <v>-20708</v>
      </c>
      <c r="T1500" s="1114"/>
      <c r="U1500" s="1146">
        <v>153056</v>
      </c>
      <c r="V1500" s="1114"/>
      <c r="W1500" s="1146">
        <v>0</v>
      </c>
      <c r="X1500" s="1114"/>
      <c r="Y1500" s="1146">
        <v>132348</v>
      </c>
      <c r="Z1500" s="2114">
        <f>C1500-'Blocking-Step2'!C1500</f>
        <v>0</v>
      </c>
      <c r="AA1500" s="2114">
        <f>D1500-'Blocking-Step2'!D1500</f>
        <v>0</v>
      </c>
      <c r="AC1500" s="2114">
        <f>F1500-'Blocking-Step2'!F1500</f>
        <v>0</v>
      </c>
      <c r="AE1500" s="2114">
        <f>H1500-'Blocking-Step2'!H1500</f>
        <v>0</v>
      </c>
      <c r="AF1500" s="2114">
        <f>I1500-'Blocking-Step2'!I1500</f>
        <v>0</v>
      </c>
      <c r="AH1500" s="2136">
        <f>K1500-'Blocking-Step2'!K1500</f>
        <v>-311.09000000000003</v>
      </c>
      <c r="AJ1500" s="2136">
        <f>M1500-'Blocking-Step2'!M1500</f>
        <v>311.09000000000003</v>
      </c>
      <c r="AL1500" s="2136">
        <f>O1500-'Blocking-Step2'!O1500</f>
        <v>0</v>
      </c>
      <c r="AN1500" s="2137">
        <f>Q1500-'Blocking-Step2'!Q1500</f>
        <v>0</v>
      </c>
      <c r="AP1500" s="2127">
        <f>S1500-'Blocking-Step2'!S1500</f>
        <v>-153056</v>
      </c>
      <c r="AR1500" s="2127">
        <f>U1500-'Blocking-Step2'!U1500</f>
        <v>153056</v>
      </c>
      <c r="AT1500" s="2127">
        <f>W1500-'Blocking-Step2'!W1500</f>
        <v>0</v>
      </c>
      <c r="AV1500" s="2128">
        <f>Y1500-'Blocking-Step2'!Y1500</f>
        <v>0</v>
      </c>
    </row>
    <row r="1501" spans="1:48" ht="16.5" hidden="1" thickTop="1">
      <c r="A1501" s="1116" t="s">
        <v>168</v>
      </c>
      <c r="C1501" s="1105">
        <v>1842774.7972973001</v>
      </c>
      <c r="D1501" s="1105">
        <v>2502776</v>
      </c>
      <c r="F1501" s="1142">
        <v>2.2200000000000002</v>
      </c>
      <c r="G1501" s="617"/>
      <c r="H1501" s="1146">
        <v>4090960</v>
      </c>
      <c r="I1501" s="1146">
        <v>5556163</v>
      </c>
      <c r="K1501" s="1142">
        <v>0</v>
      </c>
      <c r="L1501" s="617"/>
      <c r="M1501" s="1142">
        <v>2.2999999999999998</v>
      </c>
      <c r="N1501" s="617"/>
      <c r="O1501" s="1142">
        <v>0</v>
      </c>
      <c r="P1501" s="617"/>
      <c r="Q1501" s="1142">
        <v>2.2999999999999998</v>
      </c>
      <c r="R1501" s="617"/>
      <c r="S1501" s="1146">
        <v>0</v>
      </c>
      <c r="T1501" s="1114"/>
      <c r="U1501" s="1146">
        <v>5756385</v>
      </c>
      <c r="V1501" s="1114"/>
      <c r="W1501" s="1146">
        <v>0</v>
      </c>
      <c r="X1501" s="1114"/>
      <c r="Y1501" s="1146">
        <v>5756385</v>
      </c>
      <c r="Z1501" s="2114">
        <f>C1501-'Blocking-Step2'!C1501</f>
        <v>0</v>
      </c>
      <c r="AA1501" s="2114">
        <f>D1501-'Blocking-Step2'!D1501</f>
        <v>0</v>
      </c>
      <c r="AC1501" s="2114">
        <f>F1501-'Blocking-Step2'!F1501</f>
        <v>0</v>
      </c>
      <c r="AE1501" s="2114">
        <f>H1501-'Blocking-Step2'!H1501</f>
        <v>0</v>
      </c>
      <c r="AF1501" s="2114">
        <f>I1501-'Blocking-Step2'!I1501</f>
        <v>0</v>
      </c>
      <c r="AH1501" s="2136">
        <f>K1501-'Blocking-Step2'!K1501</f>
        <v>-2.2999999999999998</v>
      </c>
      <c r="AJ1501" s="2136">
        <f>M1501-'Blocking-Step2'!M1501</f>
        <v>2.2999999999999998</v>
      </c>
      <c r="AL1501" s="2136">
        <f>O1501-'Blocking-Step2'!O1501</f>
        <v>0</v>
      </c>
      <c r="AN1501" s="2137">
        <f>Q1501-'Blocking-Step2'!Q1501</f>
        <v>0</v>
      </c>
      <c r="AP1501" s="2127">
        <f>S1501-'Blocking-Step2'!S1501</f>
        <v>-5756385</v>
      </c>
      <c r="AR1501" s="2127">
        <f>U1501-'Blocking-Step2'!U1501</f>
        <v>5756385</v>
      </c>
      <c r="AT1501" s="2127">
        <f>W1501-'Blocking-Step2'!W1501</f>
        <v>0</v>
      </c>
      <c r="AV1501" s="2128">
        <f>Y1501-'Blocking-Step2'!Y1501</f>
        <v>0</v>
      </c>
    </row>
    <row r="1502" spans="1:48" ht="16.5" hidden="1" thickTop="1">
      <c r="A1502" s="1116" t="s">
        <v>1651</v>
      </c>
      <c r="C1502" s="1105">
        <v>583838.49794073892</v>
      </c>
      <c r="D1502" s="1105">
        <v>792944</v>
      </c>
      <c r="F1502" s="1142"/>
      <c r="G1502" s="617"/>
      <c r="H1502" s="1146"/>
      <c r="I1502" s="1146"/>
      <c r="K1502" s="1142">
        <v>0</v>
      </c>
      <c r="L1502" s="617"/>
      <c r="M1502" s="1142">
        <v>14.48</v>
      </c>
      <c r="N1502" s="617"/>
      <c r="O1502" s="1142">
        <v>0</v>
      </c>
      <c r="P1502" s="617"/>
      <c r="Q1502" s="1142">
        <v>14.48</v>
      </c>
      <c r="R1502" s="617"/>
      <c r="S1502" s="1146">
        <v>0</v>
      </c>
      <c r="T1502" s="1146"/>
      <c r="U1502" s="1146">
        <v>11481829</v>
      </c>
      <c r="V1502" s="1146"/>
      <c r="W1502" s="1146">
        <v>0</v>
      </c>
      <c r="X1502" s="1114"/>
      <c r="Y1502" s="1146">
        <v>11481829</v>
      </c>
      <c r="Z1502" s="2114">
        <f>C1502-'Blocking-Step2'!C1502</f>
        <v>0</v>
      </c>
      <c r="AA1502" s="2114">
        <f>D1502-'Blocking-Step2'!D1502</f>
        <v>0</v>
      </c>
      <c r="AC1502" s="2114">
        <f>F1502-'Blocking-Step2'!F1502</f>
        <v>0</v>
      </c>
      <c r="AE1502" s="2114">
        <f>H1502-'Blocking-Step2'!H1502</f>
        <v>0</v>
      </c>
      <c r="AF1502" s="2114">
        <f>I1502-'Blocking-Step2'!I1502</f>
        <v>0</v>
      </c>
      <c r="AH1502" s="2136">
        <f>K1502-'Blocking-Step2'!K1502</f>
        <v>-4.8</v>
      </c>
      <c r="AJ1502" s="2136">
        <f>M1502-'Blocking-Step2'!M1502</f>
        <v>4.8000000000000007</v>
      </c>
      <c r="AL1502" s="2136">
        <f>O1502-'Blocking-Step2'!O1502</f>
        <v>0</v>
      </c>
      <c r="AN1502" s="2137">
        <f>Q1502-'Blocking-Step2'!Q1502</f>
        <v>0</v>
      </c>
      <c r="AP1502" s="2127">
        <f>S1502-'Blocking-Step2'!S1502</f>
        <v>-3806131</v>
      </c>
      <c r="AR1502" s="2127">
        <f>U1502-'Blocking-Step2'!U1502</f>
        <v>3806131</v>
      </c>
      <c r="AT1502" s="2127">
        <f>W1502-'Blocking-Step2'!W1502</f>
        <v>0</v>
      </c>
      <c r="AV1502" s="2128">
        <f>Y1502-'Blocking-Step2'!Y1502</f>
        <v>0</v>
      </c>
    </row>
    <row r="1503" spans="1:48" ht="16.5" hidden="1" thickTop="1">
      <c r="A1503" s="1116" t="s">
        <v>1652</v>
      </c>
      <c r="C1503" s="1105">
        <v>1160640.393116374</v>
      </c>
      <c r="D1503" s="1105">
        <v>1576331</v>
      </c>
      <c r="F1503" s="1142"/>
      <c r="G1503" s="617"/>
      <c r="H1503" s="1146"/>
      <c r="I1503" s="1146"/>
      <c r="K1503" s="1142">
        <v>0</v>
      </c>
      <c r="L1503" s="617"/>
      <c r="M1503" s="1142">
        <v>12.81</v>
      </c>
      <c r="N1503" s="617"/>
      <c r="O1503" s="1142">
        <v>0</v>
      </c>
      <c r="P1503" s="617"/>
      <c r="Q1503" s="1142">
        <v>12.81</v>
      </c>
      <c r="R1503" s="617"/>
      <c r="S1503" s="1146">
        <v>0</v>
      </c>
      <c r="T1503" s="1146"/>
      <c r="U1503" s="1146">
        <v>20192800</v>
      </c>
      <c r="V1503" s="1146"/>
      <c r="W1503" s="1146">
        <v>0</v>
      </c>
      <c r="X1503" s="1114"/>
      <c r="Y1503" s="1146">
        <v>20192800</v>
      </c>
      <c r="Z1503" s="2114">
        <f>C1503-'Blocking-Step2'!C1503</f>
        <v>0</v>
      </c>
      <c r="AA1503" s="2114">
        <f>D1503-'Blocking-Step2'!D1503</f>
        <v>0</v>
      </c>
      <c r="AC1503" s="2114">
        <f>F1503-'Blocking-Step2'!F1503</f>
        <v>0</v>
      </c>
      <c r="AE1503" s="2114">
        <f>H1503-'Blocking-Step2'!H1503</f>
        <v>0</v>
      </c>
      <c r="AF1503" s="2114">
        <f>I1503-'Blocking-Step2'!I1503</f>
        <v>0</v>
      </c>
      <c r="AH1503" s="2136">
        <f>K1503-'Blocking-Step2'!K1503</f>
        <v>-4.25</v>
      </c>
      <c r="AJ1503" s="2136">
        <f>M1503-'Blocking-Step2'!M1503</f>
        <v>4.25</v>
      </c>
      <c r="AL1503" s="2136">
        <f>O1503-'Blocking-Step2'!O1503</f>
        <v>0</v>
      </c>
      <c r="AN1503" s="2137">
        <f>Q1503-'Blocking-Step2'!Q1503</f>
        <v>0</v>
      </c>
      <c r="AP1503" s="2127">
        <f>S1503-'Blocking-Step2'!S1503</f>
        <v>-6699407</v>
      </c>
      <c r="AR1503" s="2127">
        <f>U1503-'Blocking-Step2'!U1503</f>
        <v>6699407</v>
      </c>
      <c r="AT1503" s="2127">
        <f>W1503-'Blocking-Step2'!W1503</f>
        <v>0</v>
      </c>
      <c r="AV1503" s="2128">
        <f>Y1503-'Blocking-Step2'!Y1503</f>
        <v>0</v>
      </c>
    </row>
    <row r="1504" spans="1:48" ht="16.5" hidden="1" thickTop="1">
      <c r="A1504" s="1116" t="s">
        <v>1532</v>
      </c>
      <c r="C1504" s="1105">
        <v>68088242.39647606</v>
      </c>
      <c r="D1504" s="1105">
        <v>92965066</v>
      </c>
      <c r="F1504" s="1106"/>
      <c r="G1504" s="1921"/>
      <c r="H1504" s="1146"/>
      <c r="I1504" s="1146"/>
      <c r="K1504" s="1106">
        <v>0</v>
      </c>
      <c r="L1504" s="1921" t="s">
        <v>495</v>
      </c>
      <c r="M1504" s="1106">
        <v>1.0927</v>
      </c>
      <c r="N1504" s="1921" t="s">
        <v>495</v>
      </c>
      <c r="O1504" s="1106">
        <v>4.1108761607000002</v>
      </c>
      <c r="P1504" s="1921" t="s">
        <v>495</v>
      </c>
      <c r="Q1504" s="1106">
        <v>5.2035761607</v>
      </c>
      <c r="R1504" s="1921" t="s">
        <v>495</v>
      </c>
      <c r="S1504" s="1146">
        <v>0</v>
      </c>
      <c r="T1504" s="1146"/>
      <c r="U1504" s="1146">
        <v>1015829</v>
      </c>
      <c r="V1504" s="1146"/>
      <c r="W1504" s="1146">
        <v>3821679</v>
      </c>
      <c r="X1504" s="1648"/>
      <c r="Y1504" s="1146">
        <v>4837508</v>
      </c>
      <c r="Z1504" s="2114">
        <f>C1504-'Blocking-Step2'!C1504</f>
        <v>0</v>
      </c>
      <c r="AA1504" s="2114">
        <f>D1504-'Blocking-Step2'!D1504</f>
        <v>0</v>
      </c>
      <c r="AC1504" s="2114">
        <f>F1504-'Blocking-Step2'!F1504</f>
        <v>0</v>
      </c>
      <c r="AE1504" s="2114">
        <f>H1504-'Blocking-Step2'!H1504</f>
        <v>0</v>
      </c>
      <c r="AF1504" s="2114">
        <f>I1504-'Blocking-Step2'!I1504</f>
        <v>0</v>
      </c>
      <c r="AH1504" s="2136">
        <f>K1504-'Blocking-Step2'!K1504</f>
        <v>0</v>
      </c>
      <c r="AJ1504" s="2136">
        <f>M1504-'Blocking-Step2'!M1504</f>
        <v>0</v>
      </c>
      <c r="AL1504" s="2136">
        <f>O1504-'Blocking-Step2'!O1504</f>
        <v>0</v>
      </c>
      <c r="AN1504" s="2137">
        <f>Q1504-'Blocking-Step2'!Q1504</f>
        <v>0</v>
      </c>
      <c r="AP1504" s="2127">
        <f>S1504-'Blocking-Step2'!S1504</f>
        <v>0</v>
      </c>
      <c r="AR1504" s="2127">
        <f>U1504-'Blocking-Step2'!U1504</f>
        <v>0</v>
      </c>
      <c r="AT1504" s="2127">
        <f>W1504-'Blocking-Step2'!W1504</f>
        <v>0</v>
      </c>
      <c r="AV1504" s="2128">
        <f>Y1504-'Blocking-Step2'!Y1504</f>
        <v>0</v>
      </c>
    </row>
    <row r="1505" spans="1:48" ht="16.5" hidden="1" thickTop="1">
      <c r="A1505" s="1116" t="s">
        <v>1653</v>
      </c>
      <c r="C1505" s="1105">
        <v>133164797.03791294</v>
      </c>
      <c r="D1505" s="1105">
        <v>181818090</v>
      </c>
      <c r="F1505" s="1106"/>
      <c r="G1505" s="1921"/>
      <c r="H1505" s="1146"/>
      <c r="I1505" s="1146"/>
      <c r="K1505" s="1106">
        <v>0</v>
      </c>
      <c r="L1505" s="1921" t="s">
        <v>495</v>
      </c>
      <c r="M1505" s="1106">
        <v>1.0927</v>
      </c>
      <c r="N1505" s="1921" t="s">
        <v>495</v>
      </c>
      <c r="O1505" s="1106">
        <v>3.5122346554870001</v>
      </c>
      <c r="P1505" s="1921" t="s">
        <v>495</v>
      </c>
      <c r="Q1505" s="1106">
        <v>4.6049346554869999</v>
      </c>
      <c r="R1505" s="1921" t="s">
        <v>495</v>
      </c>
      <c r="S1505" s="1146">
        <v>0</v>
      </c>
      <c r="T1505" s="1146"/>
      <c r="U1505" s="1146">
        <v>1986726</v>
      </c>
      <c r="V1505" s="1146"/>
      <c r="W1505" s="1146">
        <v>6385878</v>
      </c>
      <c r="X1505" s="1648"/>
      <c r="Y1505" s="1146">
        <v>8372604</v>
      </c>
      <c r="Z1505" s="2114">
        <f>C1505-'Blocking-Step2'!C1505</f>
        <v>0</v>
      </c>
      <c r="AA1505" s="2114">
        <f>D1505-'Blocking-Step2'!D1505</f>
        <v>0</v>
      </c>
      <c r="AC1505" s="2114">
        <f>F1505-'Blocking-Step2'!F1505</f>
        <v>0</v>
      </c>
      <c r="AE1505" s="2114">
        <f>H1505-'Blocking-Step2'!H1505</f>
        <v>0</v>
      </c>
      <c r="AF1505" s="2114">
        <f>I1505-'Blocking-Step2'!I1505</f>
        <v>0</v>
      </c>
      <c r="AH1505" s="2136">
        <f>K1505-'Blocking-Step2'!K1505</f>
        <v>0</v>
      </c>
      <c r="AJ1505" s="2136">
        <f>M1505-'Blocking-Step2'!M1505</f>
        <v>0</v>
      </c>
      <c r="AL1505" s="2136">
        <f>O1505-'Blocking-Step2'!O1505</f>
        <v>0</v>
      </c>
      <c r="AN1505" s="2137">
        <f>Q1505-'Blocking-Step2'!Q1505</f>
        <v>0</v>
      </c>
      <c r="AP1505" s="2127">
        <f>S1505-'Blocking-Step2'!S1505</f>
        <v>0</v>
      </c>
      <c r="AR1505" s="2127">
        <f>U1505-'Blocking-Step2'!U1505</f>
        <v>0</v>
      </c>
      <c r="AT1505" s="2127">
        <f>W1505-'Blocking-Step2'!W1505</f>
        <v>0</v>
      </c>
      <c r="AV1505" s="2128">
        <f>Y1505-'Blocking-Step2'!Y1505</f>
        <v>0</v>
      </c>
    </row>
    <row r="1506" spans="1:48" ht="16.5" hidden="1" thickTop="1">
      <c r="A1506" s="1116" t="s">
        <v>1533</v>
      </c>
      <c r="C1506" s="1105">
        <v>261563495.32008475</v>
      </c>
      <c r="D1506" s="1105">
        <v>357128731</v>
      </c>
      <c r="F1506" s="1106"/>
      <c r="G1506" s="1921"/>
      <c r="H1506" s="1146"/>
      <c r="I1506" s="1146"/>
      <c r="K1506" s="1106">
        <v>0</v>
      </c>
      <c r="L1506" s="1921" t="s">
        <v>495</v>
      </c>
      <c r="M1506" s="1106">
        <v>1.0927</v>
      </c>
      <c r="N1506" s="1921" t="s">
        <v>495</v>
      </c>
      <c r="O1506" s="1106">
        <v>1.5521862361710002</v>
      </c>
      <c r="P1506" s="1921" t="s">
        <v>495</v>
      </c>
      <c r="Q1506" s="1106">
        <v>2.6448862361710002</v>
      </c>
      <c r="R1506" s="1921" t="s">
        <v>495</v>
      </c>
      <c r="S1506" s="1146">
        <v>0</v>
      </c>
      <c r="T1506" s="1146"/>
      <c r="U1506" s="1146">
        <v>3902346</v>
      </c>
      <c r="V1506" s="1146"/>
      <c r="W1506" s="1146">
        <v>5543303</v>
      </c>
      <c r="X1506" s="1648"/>
      <c r="Y1506" s="1146">
        <v>9445649</v>
      </c>
      <c r="Z1506" s="2114">
        <f>C1506-'Blocking-Step2'!C1506</f>
        <v>0</v>
      </c>
      <c r="AA1506" s="2114">
        <f>D1506-'Blocking-Step2'!D1506</f>
        <v>0</v>
      </c>
      <c r="AC1506" s="2114">
        <f>F1506-'Blocking-Step2'!F1506</f>
        <v>0</v>
      </c>
      <c r="AE1506" s="2114">
        <f>H1506-'Blocking-Step2'!H1506</f>
        <v>0</v>
      </c>
      <c r="AF1506" s="2114">
        <f>I1506-'Blocking-Step2'!I1506</f>
        <v>0</v>
      </c>
      <c r="AH1506" s="2136">
        <f>K1506-'Blocking-Step2'!K1506</f>
        <v>0</v>
      </c>
      <c r="AJ1506" s="2136">
        <f>M1506-'Blocking-Step2'!M1506</f>
        <v>0</v>
      </c>
      <c r="AL1506" s="2136">
        <f>O1506-'Blocking-Step2'!O1506</f>
        <v>0</v>
      </c>
      <c r="AN1506" s="2137">
        <f>Q1506-'Blocking-Step2'!Q1506</f>
        <v>0</v>
      </c>
      <c r="AP1506" s="2127">
        <f>S1506-'Blocking-Step2'!S1506</f>
        <v>0</v>
      </c>
      <c r="AR1506" s="2127">
        <f>U1506-'Blocking-Step2'!U1506</f>
        <v>0</v>
      </c>
      <c r="AT1506" s="2127">
        <f>W1506-'Blocking-Step2'!W1506</f>
        <v>0</v>
      </c>
      <c r="AV1506" s="2128">
        <f>Y1506-'Blocking-Step2'!Y1506</f>
        <v>0</v>
      </c>
    </row>
    <row r="1507" spans="1:48" ht="16.5" hidden="1" thickTop="1">
      <c r="A1507" s="1116" t="s">
        <v>2177</v>
      </c>
      <c r="C1507" s="1105">
        <v>498933623.24552625</v>
      </c>
      <c r="D1507" s="1105">
        <v>681224769.90915966</v>
      </c>
      <c r="F1507" s="1106"/>
      <c r="G1507" s="1921"/>
      <c r="H1507" s="1146"/>
      <c r="I1507" s="1146"/>
      <c r="K1507" s="1106">
        <v>0</v>
      </c>
      <c r="L1507" s="1921" t="s">
        <v>495</v>
      </c>
      <c r="M1507" s="1106">
        <v>1.0927</v>
      </c>
      <c r="N1507" s="1921" t="s">
        <v>495</v>
      </c>
      <c r="O1507" s="1106">
        <v>1.247907288647</v>
      </c>
      <c r="P1507" s="1921" t="s">
        <v>495</v>
      </c>
      <c r="Q1507" s="1106">
        <v>2.340607288647</v>
      </c>
      <c r="R1507" s="1921" t="s">
        <v>495</v>
      </c>
      <c r="S1507" s="1146">
        <v>0</v>
      </c>
      <c r="T1507" s="1146"/>
      <c r="U1507" s="1146">
        <v>7443743</v>
      </c>
      <c r="V1507" s="1146"/>
      <c r="W1507" s="1146">
        <v>8501054</v>
      </c>
      <c r="X1507" s="1648"/>
      <c r="Y1507" s="1146">
        <v>15944797</v>
      </c>
      <c r="Z1507" s="2114">
        <f>C1507-'Blocking-Step2'!C1507</f>
        <v>0</v>
      </c>
      <c r="AA1507" s="2114">
        <f>D1507-'Blocking-Step2'!D1507</f>
        <v>0</v>
      </c>
      <c r="AC1507" s="2114">
        <f>F1507-'Blocking-Step2'!F1507</f>
        <v>0</v>
      </c>
      <c r="AE1507" s="2114">
        <f>H1507-'Blocking-Step2'!H1507</f>
        <v>0</v>
      </c>
      <c r="AF1507" s="2114">
        <f>I1507-'Blocking-Step2'!I1507</f>
        <v>0</v>
      </c>
      <c r="AH1507" s="2136">
        <f>K1507-'Blocking-Step2'!K1507</f>
        <v>0</v>
      </c>
      <c r="AJ1507" s="2136">
        <f>M1507-'Blocking-Step2'!M1507</f>
        <v>0</v>
      </c>
      <c r="AL1507" s="2136">
        <f>O1507-'Blocking-Step2'!O1507</f>
        <v>0</v>
      </c>
      <c r="AN1507" s="2137">
        <f>Q1507-'Blocking-Step2'!Q1507</f>
        <v>0</v>
      </c>
      <c r="AP1507" s="2127">
        <f>S1507-'Blocking-Step2'!S1507</f>
        <v>0</v>
      </c>
      <c r="AR1507" s="2127">
        <f>U1507-'Blocking-Step2'!U1507</f>
        <v>0</v>
      </c>
      <c r="AT1507" s="2127">
        <f>W1507-'Blocking-Step2'!W1507</f>
        <v>0</v>
      </c>
      <c r="AV1507" s="2128">
        <f>Y1507-'Blocking-Step2'!Y1507</f>
        <v>0</v>
      </c>
    </row>
    <row r="1508" spans="1:48" ht="16.5" hidden="1" thickTop="1">
      <c r="A1508" s="1116" t="s">
        <v>18</v>
      </c>
      <c r="C1508" s="1105">
        <v>719518.00716332404</v>
      </c>
      <c r="D1508" s="1105">
        <v>977218</v>
      </c>
      <c r="F1508" s="1142">
        <v>13.96</v>
      </c>
      <c r="G1508" s="617"/>
      <c r="H1508" s="1146">
        <v>10044471</v>
      </c>
      <c r="I1508" s="1146">
        <v>13641963</v>
      </c>
      <c r="K1508" s="1142"/>
      <c r="L1508" s="617"/>
      <c r="M1508" s="1142"/>
      <c r="N1508" s="617"/>
      <c r="O1508" s="1142"/>
      <c r="P1508" s="617"/>
      <c r="Q1508" s="1142"/>
      <c r="R1508" s="617"/>
      <c r="S1508" s="1114"/>
      <c r="T1508" s="1114"/>
      <c r="U1508" s="1114"/>
      <c r="V1508" s="1114"/>
      <c r="W1508" s="1114"/>
      <c r="X1508" s="1114"/>
      <c r="Y1508" s="1146"/>
      <c r="Z1508" s="2114">
        <f>C1508-'Blocking-Step2'!C1508</f>
        <v>0</v>
      </c>
      <c r="AA1508" s="2114">
        <f>D1508-'Blocking-Step2'!D1508</f>
        <v>0</v>
      </c>
      <c r="AC1508" s="2114">
        <f>F1508-'Blocking-Step2'!F1508</f>
        <v>0</v>
      </c>
      <c r="AE1508" s="2114">
        <f>H1508-'Blocking-Step2'!H1508</f>
        <v>0</v>
      </c>
      <c r="AF1508" s="2114">
        <f>I1508-'Blocking-Step2'!I1508</f>
        <v>0</v>
      </c>
      <c r="AH1508" s="2136">
        <f>K1508-'Blocking-Step2'!K1508</f>
        <v>0</v>
      </c>
      <c r="AJ1508" s="2136">
        <f>M1508-'Blocking-Step2'!M1508</f>
        <v>0</v>
      </c>
      <c r="AL1508" s="2136">
        <f>O1508-'Blocking-Step2'!O1508</f>
        <v>0</v>
      </c>
      <c r="AN1508" s="2137">
        <f>Q1508-'Blocking-Step2'!Q1508</f>
        <v>0</v>
      </c>
      <c r="AP1508" s="2127">
        <f>S1508-'Blocking-Step2'!S1508</f>
        <v>0</v>
      </c>
      <c r="AR1508" s="2127">
        <f>U1508-'Blocking-Step2'!U1508</f>
        <v>0</v>
      </c>
      <c r="AT1508" s="2127">
        <f>W1508-'Blocking-Step2'!W1508</f>
        <v>0</v>
      </c>
      <c r="AV1508" s="2128">
        <f>Y1508-'Blocking-Step2'!Y1508</f>
        <v>0</v>
      </c>
    </row>
    <row r="1509" spans="1:48" ht="16.5" hidden="1" thickTop="1">
      <c r="A1509" s="1116" t="s">
        <v>166</v>
      </c>
      <c r="C1509" s="1105">
        <v>1021748.628299894</v>
      </c>
      <c r="D1509" s="1105">
        <v>1387694</v>
      </c>
      <c r="F1509" s="1142">
        <v>9.4700000000000006</v>
      </c>
      <c r="G1509" s="617"/>
      <c r="H1509" s="1146">
        <v>9675960</v>
      </c>
      <c r="I1509" s="1146">
        <v>13141462</v>
      </c>
      <c r="K1509" s="1142"/>
      <c r="L1509" s="617"/>
      <c r="M1509" s="1142"/>
      <c r="N1509" s="617"/>
      <c r="O1509" s="1142"/>
      <c r="P1509" s="617"/>
      <c r="Q1509" s="1142"/>
      <c r="R1509" s="617"/>
      <c r="S1509" s="1114"/>
      <c r="T1509" s="1114"/>
      <c r="U1509" s="1114"/>
      <c r="V1509" s="1114"/>
      <c r="W1509" s="1114"/>
      <c r="X1509" s="1114"/>
      <c r="Y1509" s="1146"/>
      <c r="Z1509" s="2114">
        <f>C1509-'Blocking-Step2'!C1509</f>
        <v>0</v>
      </c>
      <c r="AA1509" s="2114">
        <f>D1509-'Blocking-Step2'!D1509</f>
        <v>0</v>
      </c>
      <c r="AC1509" s="2114">
        <f>F1509-'Blocking-Step2'!F1509</f>
        <v>0</v>
      </c>
      <c r="AE1509" s="2114">
        <f>H1509-'Blocking-Step2'!H1509</f>
        <v>0</v>
      </c>
      <c r="AF1509" s="2114">
        <f>I1509-'Blocking-Step2'!I1509</f>
        <v>0</v>
      </c>
      <c r="AH1509" s="2136">
        <f>K1509-'Blocking-Step2'!K1509</f>
        <v>0</v>
      </c>
      <c r="AJ1509" s="2136">
        <f>M1509-'Blocking-Step2'!M1509</f>
        <v>0</v>
      </c>
      <c r="AL1509" s="2136">
        <f>O1509-'Blocking-Step2'!O1509</f>
        <v>0</v>
      </c>
      <c r="AN1509" s="2137">
        <f>Q1509-'Blocking-Step2'!Q1509</f>
        <v>0</v>
      </c>
      <c r="AP1509" s="2127">
        <f>S1509-'Blocking-Step2'!S1509</f>
        <v>0</v>
      </c>
      <c r="AR1509" s="2127">
        <f>U1509-'Blocking-Step2'!U1509</f>
        <v>0</v>
      </c>
      <c r="AT1509" s="2127">
        <f>W1509-'Blocking-Step2'!W1509</f>
        <v>0</v>
      </c>
      <c r="AV1509" s="2128">
        <f>Y1509-'Blocking-Step2'!Y1509</f>
        <v>0</v>
      </c>
    </row>
    <row r="1510" spans="1:48" ht="16.5" hidden="1" thickTop="1">
      <c r="A1510" s="1116" t="s">
        <v>19</v>
      </c>
      <c r="C1510" s="1105">
        <v>98444435</v>
      </c>
      <c r="D1510" s="1105">
        <v>134412242.90915966</v>
      </c>
      <c r="F1510" s="1143">
        <v>4.6531000000000002</v>
      </c>
      <c r="G1510" s="1921" t="s">
        <v>495</v>
      </c>
      <c r="H1510" s="1146">
        <v>4580718</v>
      </c>
      <c r="I1510" s="1146">
        <v>6254336</v>
      </c>
      <c r="K1510" s="1143"/>
      <c r="L1510" s="1921"/>
      <c r="M1510" s="1143"/>
      <c r="N1510" s="1921"/>
      <c r="O1510" s="1143"/>
      <c r="P1510" s="1921"/>
      <c r="Q1510" s="1143"/>
      <c r="R1510" s="1921"/>
      <c r="S1510" s="1648"/>
      <c r="T1510" s="1648"/>
      <c r="U1510" s="1648"/>
      <c r="V1510" s="1648"/>
      <c r="W1510" s="1648"/>
      <c r="X1510" s="1648"/>
      <c r="Y1510" s="1146"/>
      <c r="Z1510" s="2114">
        <f>C1510-'Blocking-Step2'!C1510</f>
        <v>0</v>
      </c>
      <c r="AA1510" s="2114">
        <f>D1510-'Blocking-Step2'!D1510</f>
        <v>0</v>
      </c>
      <c r="AC1510" s="2114">
        <f>F1510-'Blocking-Step2'!F1510</f>
        <v>0</v>
      </c>
      <c r="AE1510" s="2114">
        <f>H1510-'Blocking-Step2'!H1510</f>
        <v>0</v>
      </c>
      <c r="AF1510" s="2114">
        <f>I1510-'Blocking-Step2'!I1510</f>
        <v>0</v>
      </c>
      <c r="AH1510" s="2136">
        <f>K1510-'Blocking-Step2'!K1510</f>
        <v>0</v>
      </c>
      <c r="AJ1510" s="2136">
        <f>M1510-'Blocking-Step2'!M1510</f>
        <v>0</v>
      </c>
      <c r="AL1510" s="2136">
        <f>O1510-'Blocking-Step2'!O1510</f>
        <v>0</v>
      </c>
      <c r="AN1510" s="2137">
        <f>Q1510-'Blocking-Step2'!Q1510</f>
        <v>0</v>
      </c>
      <c r="AP1510" s="2127">
        <f>S1510-'Blocking-Step2'!S1510</f>
        <v>0</v>
      </c>
      <c r="AR1510" s="2127">
        <f>U1510-'Blocking-Step2'!U1510</f>
        <v>0</v>
      </c>
      <c r="AT1510" s="2127">
        <f>W1510-'Blocking-Step2'!W1510</f>
        <v>0</v>
      </c>
      <c r="AV1510" s="2128">
        <f>Y1510-'Blocking-Step2'!Y1510</f>
        <v>0</v>
      </c>
    </row>
    <row r="1511" spans="1:48" ht="16.5" hidden="1" thickTop="1">
      <c r="A1511" s="1116" t="s">
        <v>257</v>
      </c>
      <c r="C1511" s="1105">
        <v>266530222</v>
      </c>
      <c r="D1511" s="1105">
        <v>363910109</v>
      </c>
      <c r="F1511" s="1143">
        <v>3.4988999999999999</v>
      </c>
      <c r="G1511" s="1921" t="s">
        <v>495</v>
      </c>
      <c r="H1511" s="1146">
        <v>9325626</v>
      </c>
      <c r="I1511" s="1146">
        <v>12732851</v>
      </c>
      <c r="K1511" s="1143"/>
      <c r="L1511" s="1921"/>
      <c r="M1511" s="1143"/>
      <c r="N1511" s="1921"/>
      <c r="O1511" s="1143"/>
      <c r="P1511" s="1921"/>
      <c r="Q1511" s="1143"/>
      <c r="R1511" s="1921"/>
      <c r="S1511" s="1648"/>
      <c r="T1511" s="1648"/>
      <c r="U1511" s="1648"/>
      <c r="V1511" s="1648"/>
      <c r="W1511" s="1648"/>
      <c r="X1511" s="1648"/>
      <c r="Y1511" s="1146"/>
      <c r="Z1511" s="2114">
        <f>C1511-'Blocking-Step2'!C1511</f>
        <v>0</v>
      </c>
      <c r="AA1511" s="2114">
        <f>D1511-'Blocking-Step2'!D1511</f>
        <v>0</v>
      </c>
      <c r="AC1511" s="2114">
        <f>F1511-'Blocking-Step2'!F1511</f>
        <v>0</v>
      </c>
      <c r="AE1511" s="2114">
        <f>H1511-'Blocking-Step2'!H1511</f>
        <v>0</v>
      </c>
      <c r="AF1511" s="2114">
        <f>I1511-'Blocking-Step2'!I1511</f>
        <v>0</v>
      </c>
      <c r="AH1511" s="2136">
        <f>K1511-'Blocking-Step2'!K1511</f>
        <v>0</v>
      </c>
      <c r="AJ1511" s="2136">
        <f>M1511-'Blocking-Step2'!M1511</f>
        <v>0</v>
      </c>
      <c r="AL1511" s="2136">
        <f>O1511-'Blocking-Step2'!O1511</f>
        <v>0</v>
      </c>
      <c r="AN1511" s="2137">
        <f>Q1511-'Blocking-Step2'!Q1511</f>
        <v>0</v>
      </c>
      <c r="AP1511" s="2127">
        <f>S1511-'Blocking-Step2'!S1511</f>
        <v>0</v>
      </c>
      <c r="AR1511" s="2127">
        <f>U1511-'Blocking-Step2'!U1511</f>
        <v>0</v>
      </c>
      <c r="AT1511" s="2127">
        <f>W1511-'Blocking-Step2'!W1511</f>
        <v>0</v>
      </c>
      <c r="AV1511" s="2128">
        <f>Y1511-'Blocking-Step2'!Y1511</f>
        <v>0</v>
      </c>
    </row>
    <row r="1512" spans="1:48" ht="16.5" hidden="1" thickTop="1">
      <c r="A1512" s="1116" t="s">
        <v>249</v>
      </c>
      <c r="C1512" s="1105">
        <v>596775501</v>
      </c>
      <c r="D1512" s="1105">
        <v>814814305</v>
      </c>
      <c r="F1512" s="1143">
        <v>2.9224999999999999</v>
      </c>
      <c r="G1512" s="1921" t="s">
        <v>495</v>
      </c>
      <c r="H1512" s="1146">
        <v>17440764</v>
      </c>
      <c r="I1512" s="1146">
        <v>23812948</v>
      </c>
      <c r="K1512" s="1143"/>
      <c r="L1512" s="1921"/>
      <c r="M1512" s="1143"/>
      <c r="N1512" s="1921"/>
      <c r="O1512" s="1143"/>
      <c r="P1512" s="1921"/>
      <c r="Q1512" s="1143"/>
      <c r="R1512" s="1921"/>
      <c r="S1512" s="1648"/>
      <c r="T1512" s="1648"/>
      <c r="U1512" s="1648"/>
      <c r="V1512" s="1648"/>
      <c r="W1512" s="1648"/>
      <c r="X1512" s="1648"/>
      <c r="Y1512" s="1146"/>
      <c r="Z1512" s="2114">
        <f>C1512-'Blocking-Step2'!C1512</f>
        <v>0</v>
      </c>
      <c r="AA1512" s="2114">
        <f>D1512-'Blocking-Step2'!D1512</f>
        <v>0</v>
      </c>
      <c r="AC1512" s="2114">
        <f>F1512-'Blocking-Step2'!F1512</f>
        <v>0</v>
      </c>
      <c r="AE1512" s="2114">
        <f>H1512-'Blocking-Step2'!H1512</f>
        <v>0</v>
      </c>
      <c r="AF1512" s="2114">
        <f>I1512-'Blocking-Step2'!I1512</f>
        <v>0</v>
      </c>
      <c r="AH1512" s="2136">
        <f>K1512-'Blocking-Step2'!K1512</f>
        <v>0</v>
      </c>
      <c r="AJ1512" s="2136">
        <f>M1512-'Blocking-Step2'!M1512</f>
        <v>0</v>
      </c>
      <c r="AL1512" s="2136">
        <f>O1512-'Blocking-Step2'!O1512</f>
        <v>0</v>
      </c>
      <c r="AN1512" s="2137">
        <f>Q1512-'Blocking-Step2'!Q1512</f>
        <v>0</v>
      </c>
      <c r="AP1512" s="2127">
        <f>S1512-'Blocking-Step2'!S1512</f>
        <v>0</v>
      </c>
      <c r="AR1512" s="2127">
        <f>U1512-'Blocking-Step2'!U1512</f>
        <v>0</v>
      </c>
      <c r="AT1512" s="2127">
        <f>W1512-'Blocking-Step2'!W1512</f>
        <v>0</v>
      </c>
      <c r="AV1512" s="2128">
        <f>Y1512-'Blocking-Step2'!Y1512</f>
        <v>0</v>
      </c>
    </row>
    <row r="1513" spans="1:48" ht="16.5" hidden="1" thickTop="1">
      <c r="A1513" s="1116" t="s">
        <v>246</v>
      </c>
      <c r="C1513" s="1940">
        <v>5102355</v>
      </c>
      <c r="D1513" s="1940">
        <v>0</v>
      </c>
      <c r="H1513" s="1147">
        <v>317097</v>
      </c>
      <c r="I1513" s="1147">
        <v>0</v>
      </c>
      <c r="Y1513" s="1147">
        <v>0</v>
      </c>
      <c r="Z1513" s="2114">
        <f>C1513-'Blocking-Step2'!C1513</f>
        <v>0</v>
      </c>
      <c r="AA1513" s="2114">
        <f>D1513-'Blocking-Step2'!D1513</f>
        <v>0</v>
      </c>
      <c r="AC1513" s="2114">
        <f>F1513-'Blocking-Step2'!F1513</f>
        <v>0</v>
      </c>
      <c r="AE1513" s="2114">
        <f>H1513-'Blocking-Step2'!H1513</f>
        <v>0</v>
      </c>
      <c r="AF1513" s="2114">
        <f>I1513-'Blocking-Step2'!I1513</f>
        <v>0</v>
      </c>
      <c r="AH1513" s="2136">
        <f>K1513-'Blocking-Step2'!K1513</f>
        <v>0</v>
      </c>
      <c r="AJ1513" s="2136">
        <f>M1513-'Blocking-Step2'!M1513</f>
        <v>0</v>
      </c>
      <c r="AL1513" s="2136">
        <f>O1513-'Blocking-Step2'!O1513</f>
        <v>0</v>
      </c>
      <c r="AN1513" s="2137">
        <f>Q1513-'Blocking-Step2'!Q1513</f>
        <v>0</v>
      </c>
      <c r="AP1513" s="2127">
        <f>S1513-'Blocking-Step2'!S1513</f>
        <v>0</v>
      </c>
      <c r="AR1513" s="2127">
        <f>U1513-'Blocking-Step2'!U1513</f>
        <v>0</v>
      </c>
      <c r="AT1513" s="2127">
        <f>W1513-'Blocking-Step2'!W1513</f>
        <v>0</v>
      </c>
      <c r="AV1513" s="2128">
        <f>Y1513-'Blocking-Step2'!Y1513</f>
        <v>0</v>
      </c>
    </row>
    <row r="1514" spans="1:48" ht="16.5" hidden="1" thickTop="1">
      <c r="A1514" s="1116" t="s">
        <v>1240</v>
      </c>
      <c r="C1514" s="1024"/>
      <c r="D1514" s="1024"/>
      <c r="F1514" s="2076">
        <v>-3.0700000000000002E-2</v>
      </c>
      <c r="G1514" s="617"/>
      <c r="H1514" s="1146">
        <v>-1567773.4473000001</v>
      </c>
      <c r="I1514" s="1146">
        <v>-2136215.2919999999</v>
      </c>
      <c r="K1514" s="2076"/>
      <c r="L1514" s="617"/>
      <c r="M1514" s="2076"/>
      <c r="N1514" s="617"/>
      <c r="O1514" s="2077" t="s">
        <v>2323</v>
      </c>
      <c r="P1514" s="617"/>
      <c r="Q1514" s="2076">
        <v>-2.5700000000000001E-2</v>
      </c>
      <c r="R1514" s="617"/>
      <c r="S1514" s="1114"/>
      <c r="T1514" s="1114"/>
      <c r="U1514" s="1114"/>
      <c r="V1514" s="1114"/>
      <c r="W1514" s="1114"/>
      <c r="X1514" s="1114"/>
      <c r="Y1514" s="1146">
        <v>-1806072.3059</v>
      </c>
      <c r="Z1514" s="2114">
        <f>C1514-'Blocking-Step2'!C1514</f>
        <v>0</v>
      </c>
      <c r="AA1514" s="2114">
        <f>D1514-'Blocking-Step2'!D1514</f>
        <v>0</v>
      </c>
      <c r="AC1514" s="2114">
        <f>F1514-'Blocking-Step2'!F1514</f>
        <v>0</v>
      </c>
      <c r="AE1514" s="2114">
        <f>H1514-'Blocking-Step2'!H1514</f>
        <v>0</v>
      </c>
      <c r="AF1514" s="2114">
        <f>I1514-'Blocking-Step2'!I1514</f>
        <v>0</v>
      </c>
      <c r="AH1514" s="2136">
        <f>K1514-'Blocking-Step2'!K1514</f>
        <v>0</v>
      </c>
      <c r="AJ1514" s="2136">
        <f>M1514-'Blocking-Step2'!M1514</f>
        <v>0</v>
      </c>
      <c r="AL1514" s="2136" t="e">
        <f>O1514-'Blocking-Step2'!O1514</f>
        <v>#VALUE!</v>
      </c>
      <c r="AN1514" s="2137">
        <f>Q1514-'Blocking-Step2'!Q1514</f>
        <v>0</v>
      </c>
      <c r="AP1514" s="2127">
        <f>S1514-'Blocking-Step2'!S1514</f>
        <v>0</v>
      </c>
      <c r="AR1514" s="2127">
        <f>U1514-'Blocking-Step2'!U1514</f>
        <v>0</v>
      </c>
      <c r="AT1514" s="2127">
        <f>W1514-'Blocking-Step2'!W1514</f>
        <v>0</v>
      </c>
      <c r="AV1514" s="2128">
        <f>Y1514-'Blocking-Step2'!Y1514</f>
        <v>0</v>
      </c>
    </row>
    <row r="1515" spans="1:48" ht="16.5" hidden="1" thickTop="1">
      <c r="A1515" s="1116"/>
      <c r="C1515" s="1024"/>
      <c r="D1515" s="1024"/>
      <c r="F1515" s="2076"/>
      <c r="G1515" s="617"/>
      <c r="H1515" s="1146"/>
      <c r="I1515" s="1146"/>
      <c r="K1515" s="2076"/>
      <c r="L1515" s="617"/>
      <c r="M1515" s="2076"/>
      <c r="N1515" s="617"/>
      <c r="O1515" s="2077" t="s">
        <v>2324</v>
      </c>
      <c r="P1515" s="617"/>
      <c r="Q1515" s="2076">
        <v>-1.3899999999999999E-2</v>
      </c>
      <c r="R1515" s="617"/>
      <c r="S1515" s="1114"/>
      <c r="T1515" s="1114"/>
      <c r="U1515" s="1114"/>
      <c r="V1515" s="1114"/>
      <c r="W1515" s="1114"/>
      <c r="X1515" s="1114"/>
      <c r="Y1515" s="1146">
        <v>-976825.09929999989</v>
      </c>
      <c r="Z1515" s="2114">
        <f>C1515-'Blocking-Step2'!C1515</f>
        <v>0</v>
      </c>
      <c r="AA1515" s="2114">
        <f>D1515-'Blocking-Step2'!D1515</f>
        <v>0</v>
      </c>
      <c r="AC1515" s="2114">
        <f>F1515-'Blocking-Step2'!F1515</f>
        <v>0</v>
      </c>
      <c r="AE1515" s="2114">
        <f>H1515-'Blocking-Step2'!H1515</f>
        <v>0</v>
      </c>
      <c r="AF1515" s="2114">
        <f>I1515-'Blocking-Step2'!I1515</f>
        <v>0</v>
      </c>
      <c r="AH1515" s="2136">
        <f>K1515-'Blocking-Step2'!K1515</f>
        <v>0</v>
      </c>
      <c r="AJ1515" s="2136">
        <f>M1515-'Blocking-Step2'!M1515</f>
        <v>0</v>
      </c>
      <c r="AL1515" s="2136" t="e">
        <f>O1515-'Blocking-Step2'!O1515</f>
        <v>#VALUE!</v>
      </c>
      <c r="AN1515" s="2137">
        <f>Q1515-'Blocking-Step2'!Q1515</f>
        <v>0</v>
      </c>
      <c r="AP1515" s="2127">
        <f>S1515-'Blocking-Step2'!S1515</f>
        <v>0</v>
      </c>
      <c r="AR1515" s="2127">
        <f>U1515-'Blocking-Step2'!U1515</f>
        <v>0</v>
      </c>
      <c r="AT1515" s="2127">
        <f>W1515-'Blocking-Step2'!W1515</f>
        <v>0</v>
      </c>
      <c r="AV1515" s="2128">
        <f>Y1515-'Blocking-Step2'!Y1515</f>
        <v>0</v>
      </c>
    </row>
    <row r="1516" spans="1:48" ht="17.25" hidden="1" thickTop="1" thickBot="1">
      <c r="A1516" s="1116" t="s">
        <v>247</v>
      </c>
      <c r="C1516" s="1138">
        <v>966852513</v>
      </c>
      <c r="D1516" s="1138">
        <v>1313136656.9091597</v>
      </c>
      <c r="F1516" s="1145"/>
      <c r="H1516" s="1149">
        <v>54029397.552699998</v>
      </c>
      <c r="I1516" s="1149">
        <v>73130935.708000004</v>
      </c>
      <c r="K1516" s="1145"/>
      <c r="M1516" s="1145"/>
      <c r="O1516" s="1145"/>
      <c r="Q1516" s="1145"/>
      <c r="S1516" s="1149">
        <v>-20708</v>
      </c>
      <c r="U1516" s="1149">
        <v>51932714</v>
      </c>
      <c r="W1516" s="1149">
        <v>24251914</v>
      </c>
      <c r="Y1516" s="1149">
        <v>76163920</v>
      </c>
      <c r="Z1516" s="2114">
        <f>C1516-'Blocking-Step2'!C1516</f>
        <v>0</v>
      </c>
      <c r="AA1516" s="2114">
        <f>D1516-'Blocking-Step2'!D1516</f>
        <v>0</v>
      </c>
      <c r="AC1516" s="2114">
        <f>F1516-'Blocking-Step2'!F1516</f>
        <v>0</v>
      </c>
      <c r="AE1516" s="2114">
        <f>H1516-'Blocking-Step2'!H1516</f>
        <v>0</v>
      </c>
      <c r="AF1516" s="2114">
        <f>I1516-'Blocking-Step2'!I1516</f>
        <v>0</v>
      </c>
      <c r="AH1516" s="2136">
        <f>K1516-'Blocking-Step2'!K1516</f>
        <v>0</v>
      </c>
      <c r="AJ1516" s="2136">
        <f>M1516-'Blocking-Step2'!M1516</f>
        <v>0</v>
      </c>
      <c r="AL1516" s="2136">
        <f>O1516-'Blocking-Step2'!O1516</f>
        <v>0</v>
      </c>
      <c r="AN1516" s="2137">
        <f>Q1516-'Blocking-Step2'!Q1516</f>
        <v>0</v>
      </c>
      <c r="AP1516" s="2127">
        <f>S1516-'Blocking-Step2'!S1516</f>
        <v>-16414979</v>
      </c>
      <c r="AR1516" s="2127">
        <f>U1516-'Blocking-Step2'!U1516</f>
        <v>16414979</v>
      </c>
      <c r="AT1516" s="2127">
        <f>W1516-'Blocking-Step2'!W1516</f>
        <v>0</v>
      </c>
      <c r="AV1516" s="2128">
        <f>Y1516-'Blocking-Step2'!Y1516</f>
        <v>0</v>
      </c>
    </row>
    <row r="1517" spans="1:48" ht="16.5" hidden="1" thickTop="1">
      <c r="C1517" s="1105"/>
      <c r="D1517" s="1105"/>
      <c r="Z1517" s="2114">
        <f>C1517-'Blocking-Step2'!C1517</f>
        <v>0</v>
      </c>
      <c r="AA1517" s="2114">
        <f>D1517-'Blocking-Step2'!D1517</f>
        <v>0</v>
      </c>
      <c r="AC1517" s="2114">
        <f>F1517-'Blocking-Step2'!F1517</f>
        <v>0</v>
      </c>
      <c r="AE1517" s="2114">
        <f>H1517-'Blocking-Step2'!H1517</f>
        <v>0</v>
      </c>
      <c r="AF1517" s="2114">
        <f>I1517-'Blocking-Step2'!I1517</f>
        <v>0</v>
      </c>
      <c r="AH1517" s="2136">
        <f>K1517-'Blocking-Step2'!K1517</f>
        <v>0</v>
      </c>
      <c r="AJ1517" s="2136">
        <f>M1517-'Blocking-Step2'!M1517</f>
        <v>0</v>
      </c>
      <c r="AL1517" s="2136">
        <f>O1517-'Blocking-Step2'!O1517</f>
        <v>0</v>
      </c>
      <c r="AN1517" s="2137">
        <f>Q1517-'Blocking-Step2'!Q1517</f>
        <v>0</v>
      </c>
      <c r="AP1517" s="2127">
        <f>S1517-'Blocking-Step2'!S1517</f>
        <v>0</v>
      </c>
      <c r="AR1517" s="2127">
        <f>U1517-'Blocking-Step2'!U1517</f>
        <v>0</v>
      </c>
      <c r="AT1517" s="2127">
        <f>W1517-'Blocking-Step2'!W1517</f>
        <v>0</v>
      </c>
      <c r="AV1517" s="2128">
        <f>Y1517-'Blocking-Step2'!Y1517</f>
        <v>0</v>
      </c>
    </row>
    <row r="1518" spans="1:48" ht="16.5" hidden="1" thickTop="1">
      <c r="A1518" s="1115" t="s">
        <v>563</v>
      </c>
      <c r="C1518" s="1105"/>
      <c r="D1518" s="1105"/>
      <c r="Z1518" s="2114">
        <f>C1518-'Blocking-Step2'!C1518</f>
        <v>0</v>
      </c>
      <c r="AA1518" s="2114">
        <f>D1518-'Blocking-Step2'!D1518</f>
        <v>0</v>
      </c>
      <c r="AC1518" s="2114">
        <f>F1518-'Blocking-Step2'!F1518</f>
        <v>0</v>
      </c>
      <c r="AE1518" s="2114">
        <f>H1518-'Blocking-Step2'!H1518</f>
        <v>0</v>
      </c>
      <c r="AF1518" s="2114">
        <f>I1518-'Blocking-Step2'!I1518</f>
        <v>0</v>
      </c>
      <c r="AH1518" s="2136">
        <f>K1518-'Blocking-Step2'!K1518</f>
        <v>0</v>
      </c>
      <c r="AJ1518" s="2136">
        <f>M1518-'Blocking-Step2'!M1518</f>
        <v>0</v>
      </c>
      <c r="AL1518" s="2136">
        <f>O1518-'Blocking-Step2'!O1518</f>
        <v>0</v>
      </c>
      <c r="AN1518" s="2137">
        <f>Q1518-'Blocking-Step2'!Q1518</f>
        <v>0</v>
      </c>
      <c r="AP1518" s="2127">
        <f>S1518-'Blocking-Step2'!S1518</f>
        <v>0</v>
      </c>
      <c r="AR1518" s="2127">
        <f>U1518-'Blocking-Step2'!U1518</f>
        <v>0</v>
      </c>
      <c r="AT1518" s="2127">
        <f>W1518-'Blocking-Step2'!W1518</f>
        <v>0</v>
      </c>
      <c r="AV1518" s="2128">
        <f>Y1518-'Blocking-Step2'!Y1518</f>
        <v>0</v>
      </c>
    </row>
    <row r="1519" spans="1:48" ht="16.5" hidden="1" thickTop="1">
      <c r="A1519" s="1116" t="s">
        <v>240</v>
      </c>
      <c r="C1519" s="1105">
        <v>1353.133204633205</v>
      </c>
      <c r="D1519" s="1105">
        <v>1380</v>
      </c>
      <c r="F1519" s="1142">
        <v>259</v>
      </c>
      <c r="G1519" s="617"/>
      <c r="H1519" s="1146">
        <v>350462</v>
      </c>
      <c r="I1519" s="1146">
        <v>357420</v>
      </c>
      <c r="K1519" s="1142">
        <v>-42.09</v>
      </c>
      <c r="L1519" s="617"/>
      <c r="M1519" s="1142">
        <v>311.09000000000003</v>
      </c>
      <c r="N1519" s="617"/>
      <c r="O1519" s="1142">
        <v>0</v>
      </c>
      <c r="P1519" s="617"/>
      <c r="Q1519" s="1142">
        <v>269</v>
      </c>
      <c r="R1519" s="617"/>
      <c r="S1519" s="1146">
        <v>-58084</v>
      </c>
      <c r="T1519" s="1114"/>
      <c r="U1519" s="1146">
        <v>429304</v>
      </c>
      <c r="V1519" s="1114"/>
      <c r="W1519" s="1146">
        <v>0</v>
      </c>
      <c r="X1519" s="1114"/>
      <c r="Y1519" s="1146">
        <v>371220</v>
      </c>
      <c r="Z1519" s="2114">
        <f>C1519-'Blocking-Step2'!C1519</f>
        <v>0</v>
      </c>
      <c r="AA1519" s="2114">
        <f>D1519-'Blocking-Step2'!D1519</f>
        <v>0</v>
      </c>
      <c r="AC1519" s="2114">
        <f>F1519-'Blocking-Step2'!F1519</f>
        <v>0</v>
      </c>
      <c r="AE1519" s="2114">
        <f>H1519-'Blocking-Step2'!H1519</f>
        <v>0</v>
      </c>
      <c r="AF1519" s="2114">
        <f>I1519-'Blocking-Step2'!I1519</f>
        <v>0</v>
      </c>
      <c r="AH1519" s="2136">
        <f>K1519-'Blocking-Step2'!K1519</f>
        <v>-311.09000000000003</v>
      </c>
      <c r="AJ1519" s="2136">
        <f>M1519-'Blocking-Step2'!M1519</f>
        <v>311.09000000000003</v>
      </c>
      <c r="AL1519" s="2136">
        <f>O1519-'Blocking-Step2'!O1519</f>
        <v>0</v>
      </c>
      <c r="AN1519" s="2137">
        <f>Q1519-'Blocking-Step2'!Q1519</f>
        <v>0</v>
      </c>
      <c r="AP1519" s="2127">
        <f>S1519-'Blocking-Step2'!S1519</f>
        <v>-429304</v>
      </c>
      <c r="AR1519" s="2127">
        <f>U1519-'Blocking-Step2'!U1519</f>
        <v>429304</v>
      </c>
      <c r="AT1519" s="2127">
        <f>W1519-'Blocking-Step2'!W1519</f>
        <v>0</v>
      </c>
      <c r="AV1519" s="2128">
        <f>Y1519-'Blocking-Step2'!Y1519</f>
        <v>0</v>
      </c>
    </row>
    <row r="1520" spans="1:48" ht="16.5" hidden="1" thickTop="1">
      <c r="A1520" s="1116" t="s">
        <v>168</v>
      </c>
      <c r="C1520" s="1105">
        <v>6361741.5315315304</v>
      </c>
      <c r="D1520" s="1105">
        <v>6289855</v>
      </c>
      <c r="F1520" s="1142">
        <v>2.2200000000000002</v>
      </c>
      <c r="G1520" s="617"/>
      <c r="H1520" s="1146">
        <v>14123066</v>
      </c>
      <c r="I1520" s="1146">
        <v>13963478</v>
      </c>
      <c r="K1520" s="1142">
        <v>0</v>
      </c>
      <c r="L1520" s="617"/>
      <c r="M1520" s="1142">
        <v>2.2999999999999998</v>
      </c>
      <c r="N1520" s="617"/>
      <c r="O1520" s="1142">
        <v>0</v>
      </c>
      <c r="P1520" s="617"/>
      <c r="Q1520" s="1142">
        <v>2.2999999999999998</v>
      </c>
      <c r="R1520" s="617"/>
      <c r="S1520" s="1146">
        <v>0</v>
      </c>
      <c r="T1520" s="1114"/>
      <c r="U1520" s="1146">
        <v>14466667</v>
      </c>
      <c r="V1520" s="1114"/>
      <c r="W1520" s="1146">
        <v>0</v>
      </c>
      <c r="X1520" s="1114"/>
      <c r="Y1520" s="1146">
        <v>14466667</v>
      </c>
      <c r="Z1520" s="2114">
        <f>C1520-'Blocking-Step2'!C1520</f>
        <v>0</v>
      </c>
      <c r="AA1520" s="2114">
        <f>D1520-'Blocking-Step2'!D1520</f>
        <v>0</v>
      </c>
      <c r="AC1520" s="2114">
        <f>F1520-'Blocking-Step2'!F1520</f>
        <v>0</v>
      </c>
      <c r="AE1520" s="2114">
        <f>H1520-'Blocking-Step2'!H1520</f>
        <v>0</v>
      </c>
      <c r="AF1520" s="2114">
        <f>I1520-'Blocking-Step2'!I1520</f>
        <v>0</v>
      </c>
      <c r="AH1520" s="2136">
        <f>K1520-'Blocking-Step2'!K1520</f>
        <v>-2.2999999999999998</v>
      </c>
      <c r="AJ1520" s="2136">
        <f>M1520-'Blocking-Step2'!M1520</f>
        <v>2.2999999999999998</v>
      </c>
      <c r="AL1520" s="2136">
        <f>O1520-'Blocking-Step2'!O1520</f>
        <v>0</v>
      </c>
      <c r="AN1520" s="2137">
        <f>Q1520-'Blocking-Step2'!Q1520</f>
        <v>0</v>
      </c>
      <c r="AP1520" s="2127">
        <f>S1520-'Blocking-Step2'!S1520</f>
        <v>-14466667</v>
      </c>
      <c r="AR1520" s="2127">
        <f>U1520-'Blocking-Step2'!U1520</f>
        <v>14466667</v>
      </c>
      <c r="AT1520" s="2127">
        <f>W1520-'Blocking-Step2'!W1520</f>
        <v>0</v>
      </c>
      <c r="AV1520" s="2128">
        <f>Y1520-'Blocking-Step2'!Y1520</f>
        <v>0</v>
      </c>
    </row>
    <row r="1521" spans="1:48" ht="16.5" hidden="1" thickTop="1">
      <c r="A1521" s="1116" t="s">
        <v>1651</v>
      </c>
      <c r="C1521" s="1105">
        <v>2088095.5914409345</v>
      </c>
      <c r="D1521" s="1105">
        <v>2064500</v>
      </c>
      <c r="F1521" s="1142"/>
      <c r="G1521" s="617"/>
      <c r="H1521" s="1146"/>
      <c r="I1521" s="1146"/>
      <c r="K1521" s="1142">
        <v>0</v>
      </c>
      <c r="L1521" s="617"/>
      <c r="M1521" s="1142">
        <v>14.48</v>
      </c>
      <c r="N1521" s="617"/>
      <c r="O1521" s="1142">
        <v>0</v>
      </c>
      <c r="P1521" s="617"/>
      <c r="Q1521" s="1142">
        <v>14.48</v>
      </c>
      <c r="R1521" s="617"/>
      <c r="S1521" s="1146">
        <v>0</v>
      </c>
      <c r="T1521" s="1146"/>
      <c r="U1521" s="1146">
        <v>29893960</v>
      </c>
      <c r="V1521" s="1146"/>
      <c r="W1521" s="1146">
        <v>0</v>
      </c>
      <c r="X1521" s="1114"/>
      <c r="Y1521" s="1146">
        <v>29893960</v>
      </c>
      <c r="Z1521" s="2114">
        <f>C1521-'Blocking-Step2'!C1521</f>
        <v>0</v>
      </c>
      <c r="AA1521" s="2114">
        <f>D1521-'Blocking-Step2'!D1521</f>
        <v>0</v>
      </c>
      <c r="AC1521" s="2114">
        <f>F1521-'Blocking-Step2'!F1521</f>
        <v>0</v>
      </c>
      <c r="AE1521" s="2114">
        <f>H1521-'Blocking-Step2'!H1521</f>
        <v>0</v>
      </c>
      <c r="AF1521" s="2114">
        <f>I1521-'Blocking-Step2'!I1521</f>
        <v>0</v>
      </c>
      <c r="AH1521" s="2136">
        <f>K1521-'Blocking-Step2'!K1521</f>
        <v>-4.8</v>
      </c>
      <c r="AJ1521" s="2136">
        <f>M1521-'Blocking-Step2'!M1521</f>
        <v>4.8000000000000007</v>
      </c>
      <c r="AL1521" s="2136">
        <f>O1521-'Blocking-Step2'!O1521</f>
        <v>0</v>
      </c>
      <c r="AN1521" s="2137">
        <f>Q1521-'Blocking-Step2'!Q1521</f>
        <v>0</v>
      </c>
      <c r="AP1521" s="2127">
        <f>S1521-'Blocking-Step2'!S1521</f>
        <v>-9909600</v>
      </c>
      <c r="AR1521" s="2127">
        <f>U1521-'Blocking-Step2'!U1521</f>
        <v>9909600</v>
      </c>
      <c r="AT1521" s="2127">
        <f>W1521-'Blocking-Step2'!W1521</f>
        <v>0</v>
      </c>
      <c r="AV1521" s="2128">
        <f>Y1521-'Blocking-Step2'!Y1521</f>
        <v>0</v>
      </c>
    </row>
    <row r="1522" spans="1:48" ht="16.5" hidden="1" thickTop="1">
      <c r="A1522" s="1116" t="s">
        <v>1652</v>
      </c>
      <c r="C1522" s="1105">
        <v>4070065.2374367588</v>
      </c>
      <c r="D1522" s="1105">
        <v>4024074</v>
      </c>
      <c r="F1522" s="1142"/>
      <c r="G1522" s="617"/>
      <c r="H1522" s="1146"/>
      <c r="I1522" s="1146"/>
      <c r="K1522" s="1142">
        <v>0</v>
      </c>
      <c r="L1522" s="617"/>
      <c r="M1522" s="1142">
        <v>12.81</v>
      </c>
      <c r="N1522" s="617"/>
      <c r="O1522" s="1142">
        <v>0</v>
      </c>
      <c r="P1522" s="617"/>
      <c r="Q1522" s="1142">
        <v>12.81</v>
      </c>
      <c r="R1522" s="617"/>
      <c r="S1522" s="1146">
        <v>0</v>
      </c>
      <c r="T1522" s="1146"/>
      <c r="U1522" s="1146">
        <v>51548388</v>
      </c>
      <c r="V1522" s="1146"/>
      <c r="W1522" s="1146">
        <v>0</v>
      </c>
      <c r="X1522" s="1114"/>
      <c r="Y1522" s="1146">
        <v>51548388</v>
      </c>
      <c r="Z1522" s="2114">
        <f>C1522-'Blocking-Step2'!C1522</f>
        <v>0</v>
      </c>
      <c r="AA1522" s="2114">
        <f>D1522-'Blocking-Step2'!D1522</f>
        <v>0</v>
      </c>
      <c r="AC1522" s="2114">
        <f>F1522-'Blocking-Step2'!F1522</f>
        <v>0</v>
      </c>
      <c r="AE1522" s="2114">
        <f>H1522-'Blocking-Step2'!H1522</f>
        <v>0</v>
      </c>
      <c r="AF1522" s="2114">
        <f>I1522-'Blocking-Step2'!I1522</f>
        <v>0</v>
      </c>
      <c r="AH1522" s="2136">
        <f>K1522-'Blocking-Step2'!K1522</f>
        <v>-4.25</v>
      </c>
      <c r="AJ1522" s="2136">
        <f>M1522-'Blocking-Step2'!M1522</f>
        <v>4.25</v>
      </c>
      <c r="AL1522" s="2136">
        <f>O1522-'Blocking-Step2'!O1522</f>
        <v>0</v>
      </c>
      <c r="AN1522" s="2137">
        <f>Q1522-'Blocking-Step2'!Q1522</f>
        <v>0</v>
      </c>
      <c r="AP1522" s="2127">
        <f>S1522-'Blocking-Step2'!S1522</f>
        <v>-17102315</v>
      </c>
      <c r="AR1522" s="2127">
        <f>U1522-'Blocking-Step2'!U1522</f>
        <v>17102315</v>
      </c>
      <c r="AT1522" s="2127">
        <f>W1522-'Blocking-Step2'!W1522</f>
        <v>0</v>
      </c>
      <c r="AV1522" s="2128">
        <f>Y1522-'Blocking-Step2'!Y1522</f>
        <v>0</v>
      </c>
    </row>
    <row r="1523" spans="1:48" ht="16.5" hidden="1" thickTop="1">
      <c r="A1523" s="1116" t="s">
        <v>1532</v>
      </c>
      <c r="C1523" s="1105">
        <v>251156075.83274001</v>
      </c>
      <c r="D1523" s="1105">
        <v>244292713</v>
      </c>
      <c r="F1523" s="1106"/>
      <c r="G1523" s="1921"/>
      <c r="H1523" s="1146"/>
      <c r="I1523" s="1146"/>
      <c r="K1523" s="1106">
        <v>0</v>
      </c>
      <c r="L1523" s="1921" t="s">
        <v>495</v>
      </c>
      <c r="M1523" s="1106">
        <v>1.0927</v>
      </c>
      <c r="N1523" s="1921" t="s">
        <v>495</v>
      </c>
      <c r="O1523" s="1106">
        <v>4.1108761607000002</v>
      </c>
      <c r="P1523" s="1921" t="s">
        <v>495</v>
      </c>
      <c r="Q1523" s="1106">
        <v>5.2035761607</v>
      </c>
      <c r="R1523" s="1921" t="s">
        <v>495</v>
      </c>
      <c r="S1523" s="1146">
        <v>0</v>
      </c>
      <c r="T1523" s="1146"/>
      <c r="U1523" s="1146">
        <v>2669386</v>
      </c>
      <c r="V1523" s="1146"/>
      <c r="W1523" s="1146">
        <v>10042571</v>
      </c>
      <c r="X1523" s="1648"/>
      <c r="Y1523" s="1146">
        <v>12711957</v>
      </c>
      <c r="Z1523" s="2114">
        <f>C1523-'Blocking-Step2'!C1523</f>
        <v>0</v>
      </c>
      <c r="AA1523" s="2114">
        <f>D1523-'Blocking-Step2'!D1523</f>
        <v>0</v>
      </c>
      <c r="AC1523" s="2114">
        <f>F1523-'Blocking-Step2'!F1523</f>
        <v>0</v>
      </c>
      <c r="AE1523" s="2114">
        <f>H1523-'Blocking-Step2'!H1523</f>
        <v>0</v>
      </c>
      <c r="AF1523" s="2114">
        <f>I1523-'Blocking-Step2'!I1523</f>
        <v>0</v>
      </c>
      <c r="AH1523" s="2136">
        <f>K1523-'Blocking-Step2'!K1523</f>
        <v>0</v>
      </c>
      <c r="AJ1523" s="2136">
        <f>M1523-'Blocking-Step2'!M1523</f>
        <v>0</v>
      </c>
      <c r="AL1523" s="2136">
        <f>O1523-'Blocking-Step2'!O1523</f>
        <v>0</v>
      </c>
      <c r="AN1523" s="2137">
        <f>Q1523-'Blocking-Step2'!Q1523</f>
        <v>0</v>
      </c>
      <c r="AP1523" s="2127">
        <f>S1523-'Blocking-Step2'!S1523</f>
        <v>0</v>
      </c>
      <c r="AR1523" s="2127">
        <f>U1523-'Blocking-Step2'!U1523</f>
        <v>0</v>
      </c>
      <c r="AT1523" s="2127">
        <f>W1523-'Blocking-Step2'!W1523</f>
        <v>0</v>
      </c>
      <c r="AV1523" s="2128">
        <f>Y1523-'Blocking-Step2'!Y1523</f>
        <v>0</v>
      </c>
    </row>
    <row r="1524" spans="1:48" ht="16.5" hidden="1" thickTop="1">
      <c r="A1524" s="1116" t="s">
        <v>1653</v>
      </c>
      <c r="C1524" s="1105">
        <v>484645935.36685777</v>
      </c>
      <c r="D1524" s="1105">
        <v>471401975</v>
      </c>
      <c r="F1524" s="1106"/>
      <c r="G1524" s="1921"/>
      <c r="H1524" s="1146"/>
      <c r="I1524" s="1146"/>
      <c r="K1524" s="1106">
        <v>0</v>
      </c>
      <c r="L1524" s="1921" t="s">
        <v>495</v>
      </c>
      <c r="M1524" s="1106">
        <v>1.0927</v>
      </c>
      <c r="N1524" s="1921" t="s">
        <v>495</v>
      </c>
      <c r="O1524" s="1106">
        <v>3.5122346554870001</v>
      </c>
      <c r="P1524" s="1921" t="s">
        <v>495</v>
      </c>
      <c r="Q1524" s="1106">
        <v>4.6049346554869999</v>
      </c>
      <c r="R1524" s="1921" t="s">
        <v>495</v>
      </c>
      <c r="S1524" s="1146">
        <v>0</v>
      </c>
      <c r="T1524" s="1146"/>
      <c r="U1524" s="1146">
        <v>5151009</v>
      </c>
      <c r="V1524" s="1146"/>
      <c r="W1524" s="1146">
        <v>16556744</v>
      </c>
      <c r="X1524" s="1648"/>
      <c r="Y1524" s="1146">
        <v>21707753</v>
      </c>
      <c r="Z1524" s="2114">
        <f>C1524-'Blocking-Step2'!C1524</f>
        <v>0</v>
      </c>
      <c r="AA1524" s="2114">
        <f>D1524-'Blocking-Step2'!D1524</f>
        <v>0</v>
      </c>
      <c r="AC1524" s="2114">
        <f>F1524-'Blocking-Step2'!F1524</f>
        <v>0</v>
      </c>
      <c r="AE1524" s="2114">
        <f>H1524-'Blocking-Step2'!H1524</f>
        <v>0</v>
      </c>
      <c r="AF1524" s="2114">
        <f>I1524-'Blocking-Step2'!I1524</f>
        <v>0</v>
      </c>
      <c r="AH1524" s="2136">
        <f>K1524-'Blocking-Step2'!K1524</f>
        <v>0</v>
      </c>
      <c r="AJ1524" s="2136">
        <f>M1524-'Blocking-Step2'!M1524</f>
        <v>0</v>
      </c>
      <c r="AL1524" s="2136">
        <f>O1524-'Blocking-Step2'!O1524</f>
        <v>0</v>
      </c>
      <c r="AN1524" s="2137">
        <f>Q1524-'Blocking-Step2'!Q1524</f>
        <v>0</v>
      </c>
      <c r="AP1524" s="2127">
        <f>S1524-'Blocking-Step2'!S1524</f>
        <v>0</v>
      </c>
      <c r="AR1524" s="2127">
        <f>U1524-'Blocking-Step2'!U1524</f>
        <v>0</v>
      </c>
      <c r="AT1524" s="2127">
        <f>W1524-'Blocking-Step2'!W1524</f>
        <v>0</v>
      </c>
      <c r="AV1524" s="2128">
        <f>Y1524-'Blocking-Step2'!Y1524</f>
        <v>0</v>
      </c>
    </row>
    <row r="1525" spans="1:48" ht="16.5" hidden="1" thickTop="1">
      <c r="A1525" s="1116" t="s">
        <v>1533</v>
      </c>
      <c r="C1525" s="1105">
        <v>988185750.96910501</v>
      </c>
      <c r="D1525" s="1105">
        <v>961181516</v>
      </c>
      <c r="F1525" s="1106"/>
      <c r="G1525" s="1921"/>
      <c r="H1525" s="1146"/>
      <c r="I1525" s="1146"/>
      <c r="K1525" s="1106">
        <v>0</v>
      </c>
      <c r="L1525" s="1921" t="s">
        <v>495</v>
      </c>
      <c r="M1525" s="1106">
        <v>1.0927</v>
      </c>
      <c r="N1525" s="1921" t="s">
        <v>495</v>
      </c>
      <c r="O1525" s="1106">
        <v>1.5521862361710002</v>
      </c>
      <c r="P1525" s="1921" t="s">
        <v>495</v>
      </c>
      <c r="Q1525" s="1106">
        <v>2.6448862361710002</v>
      </c>
      <c r="R1525" s="1921" t="s">
        <v>495</v>
      </c>
      <c r="S1525" s="1146">
        <v>0</v>
      </c>
      <c r="T1525" s="1146"/>
      <c r="U1525" s="1146">
        <v>10502830</v>
      </c>
      <c r="V1525" s="1146"/>
      <c r="W1525" s="1146">
        <v>14919327</v>
      </c>
      <c r="X1525" s="1648"/>
      <c r="Y1525" s="1146">
        <v>25422158</v>
      </c>
      <c r="Z1525" s="2114">
        <f>C1525-'Blocking-Step2'!C1525</f>
        <v>0</v>
      </c>
      <c r="AA1525" s="2114">
        <f>D1525-'Blocking-Step2'!D1525</f>
        <v>0</v>
      </c>
      <c r="AC1525" s="2114">
        <f>F1525-'Blocking-Step2'!F1525</f>
        <v>0</v>
      </c>
      <c r="AE1525" s="2114">
        <f>H1525-'Blocking-Step2'!H1525</f>
        <v>0</v>
      </c>
      <c r="AF1525" s="2114">
        <f>I1525-'Blocking-Step2'!I1525</f>
        <v>0</v>
      </c>
      <c r="AH1525" s="2136">
        <f>K1525-'Blocking-Step2'!K1525</f>
        <v>0</v>
      </c>
      <c r="AJ1525" s="2136">
        <f>M1525-'Blocking-Step2'!M1525</f>
        <v>0</v>
      </c>
      <c r="AL1525" s="2136">
        <f>O1525-'Blocking-Step2'!O1525</f>
        <v>0</v>
      </c>
      <c r="AN1525" s="2137">
        <f>Q1525-'Blocking-Step2'!Q1525</f>
        <v>0</v>
      </c>
      <c r="AP1525" s="2127">
        <f>S1525-'Blocking-Step2'!S1525</f>
        <v>0</v>
      </c>
      <c r="AR1525" s="2127">
        <f>U1525-'Blocking-Step2'!U1525</f>
        <v>0</v>
      </c>
      <c r="AT1525" s="2127">
        <f>W1525-'Blocking-Step2'!W1525</f>
        <v>0</v>
      </c>
      <c r="AV1525" s="2128">
        <f>Y1525-'Blocking-Step2'!Y1525</f>
        <v>0</v>
      </c>
    </row>
    <row r="1526" spans="1:48" ht="16.5" hidden="1" thickTop="1">
      <c r="A1526" s="1116" t="s">
        <v>2177</v>
      </c>
      <c r="C1526" s="1105">
        <v>1909500163.8312972</v>
      </c>
      <c r="D1526" s="1105">
        <v>1857319093.3959675</v>
      </c>
      <c r="F1526" s="1106"/>
      <c r="G1526" s="1921"/>
      <c r="H1526" s="1146"/>
      <c r="I1526" s="1146"/>
      <c r="K1526" s="1106">
        <v>0</v>
      </c>
      <c r="L1526" s="1921" t="s">
        <v>495</v>
      </c>
      <c r="M1526" s="1106">
        <v>1.0927</v>
      </c>
      <c r="N1526" s="1921" t="s">
        <v>495</v>
      </c>
      <c r="O1526" s="1106">
        <v>1.247907288647</v>
      </c>
      <c r="P1526" s="1921" t="s">
        <v>495</v>
      </c>
      <c r="Q1526" s="1106">
        <v>2.340607288647</v>
      </c>
      <c r="R1526" s="1921" t="s">
        <v>495</v>
      </c>
      <c r="S1526" s="1146">
        <v>0</v>
      </c>
      <c r="T1526" s="1146"/>
      <c r="U1526" s="1146">
        <v>20294926</v>
      </c>
      <c r="V1526" s="1146"/>
      <c r="W1526" s="1146">
        <v>23177620</v>
      </c>
      <c r="X1526" s="1648"/>
      <c r="Y1526" s="1146">
        <v>43472546</v>
      </c>
      <c r="Z1526" s="2114">
        <f>C1526-'Blocking-Step2'!C1526</f>
        <v>0</v>
      </c>
      <c r="AA1526" s="2114">
        <f>D1526-'Blocking-Step2'!D1526</f>
        <v>0</v>
      </c>
      <c r="AC1526" s="2114">
        <f>F1526-'Blocking-Step2'!F1526</f>
        <v>0</v>
      </c>
      <c r="AE1526" s="2114">
        <f>H1526-'Blocking-Step2'!H1526</f>
        <v>0</v>
      </c>
      <c r="AF1526" s="2114">
        <f>I1526-'Blocking-Step2'!I1526</f>
        <v>0</v>
      </c>
      <c r="AH1526" s="2136">
        <f>K1526-'Blocking-Step2'!K1526</f>
        <v>0</v>
      </c>
      <c r="AJ1526" s="2136">
        <f>M1526-'Blocking-Step2'!M1526</f>
        <v>0</v>
      </c>
      <c r="AL1526" s="2136">
        <f>O1526-'Blocking-Step2'!O1526</f>
        <v>0</v>
      </c>
      <c r="AN1526" s="2137">
        <f>Q1526-'Blocking-Step2'!Q1526</f>
        <v>0</v>
      </c>
      <c r="AP1526" s="2127">
        <f>S1526-'Blocking-Step2'!S1526</f>
        <v>0</v>
      </c>
      <c r="AR1526" s="2127">
        <f>U1526-'Blocking-Step2'!U1526</f>
        <v>0</v>
      </c>
      <c r="AT1526" s="2127">
        <f>W1526-'Blocking-Step2'!W1526</f>
        <v>0</v>
      </c>
      <c r="AV1526" s="2128">
        <f>Y1526-'Blocking-Step2'!Y1526</f>
        <v>0</v>
      </c>
    </row>
    <row r="1527" spans="1:48" ht="16.5" hidden="1" thickTop="1">
      <c r="A1527" s="1116" t="s">
        <v>18</v>
      </c>
      <c r="C1527" s="1105">
        <v>2573352.7063037273</v>
      </c>
      <c r="D1527" s="1105">
        <v>2544274</v>
      </c>
      <c r="F1527" s="1142">
        <v>13.96</v>
      </c>
      <c r="G1527" s="617"/>
      <c r="H1527" s="1146">
        <v>35924004</v>
      </c>
      <c r="I1527" s="1146">
        <v>35518065</v>
      </c>
      <c r="K1527" s="1142"/>
      <c r="L1527" s="617"/>
      <c r="M1527" s="1142"/>
      <c r="N1527" s="617"/>
      <c r="O1527" s="1142"/>
      <c r="P1527" s="617"/>
      <c r="Q1527" s="1142"/>
      <c r="R1527" s="617"/>
      <c r="S1527" s="1114"/>
      <c r="T1527" s="1114"/>
      <c r="U1527" s="1114"/>
      <c r="V1527" s="1114"/>
      <c r="W1527" s="1114"/>
      <c r="X1527" s="1114"/>
      <c r="Y1527" s="1146"/>
      <c r="Z1527" s="2114">
        <f>C1527-'Blocking-Step2'!C1527</f>
        <v>0</v>
      </c>
      <c r="AA1527" s="2114">
        <f>D1527-'Blocking-Step2'!D1527</f>
        <v>0</v>
      </c>
      <c r="AC1527" s="2114">
        <f>F1527-'Blocking-Step2'!F1527</f>
        <v>0</v>
      </c>
      <c r="AE1527" s="2114">
        <f>H1527-'Blocking-Step2'!H1527</f>
        <v>0</v>
      </c>
      <c r="AF1527" s="2114">
        <f>I1527-'Blocking-Step2'!I1527</f>
        <v>0</v>
      </c>
      <c r="AH1527" s="2136">
        <f>K1527-'Blocking-Step2'!K1527</f>
        <v>0</v>
      </c>
      <c r="AJ1527" s="2136">
        <f>M1527-'Blocking-Step2'!M1527</f>
        <v>0</v>
      </c>
      <c r="AL1527" s="2136">
        <f>O1527-'Blocking-Step2'!O1527</f>
        <v>0</v>
      </c>
      <c r="AN1527" s="2137">
        <f>Q1527-'Blocking-Step2'!Q1527</f>
        <v>0</v>
      </c>
      <c r="AP1527" s="2127">
        <f>S1527-'Blocking-Step2'!S1527</f>
        <v>0</v>
      </c>
      <c r="AR1527" s="2127">
        <f>U1527-'Blocking-Step2'!U1527</f>
        <v>0</v>
      </c>
      <c r="AT1527" s="2127">
        <f>W1527-'Blocking-Step2'!W1527</f>
        <v>0</v>
      </c>
      <c r="AV1527" s="2128">
        <f>Y1527-'Blocking-Step2'!Y1527</f>
        <v>0</v>
      </c>
    </row>
    <row r="1528" spans="1:48" ht="16.5" hidden="1" thickTop="1">
      <c r="A1528" s="1116" t="s">
        <v>166</v>
      </c>
      <c r="C1528" s="1105">
        <v>3583007.7930306201</v>
      </c>
      <c r="D1528" s="1105">
        <v>3542520</v>
      </c>
      <c r="F1528" s="1142">
        <v>9.4700000000000006</v>
      </c>
      <c r="G1528" s="617"/>
      <c r="H1528" s="1146">
        <v>33931084</v>
      </c>
      <c r="I1528" s="1146">
        <v>33547664</v>
      </c>
      <c r="K1528" s="1142"/>
      <c r="L1528" s="617"/>
      <c r="M1528" s="1142"/>
      <c r="N1528" s="617"/>
      <c r="O1528" s="1142"/>
      <c r="P1528" s="617"/>
      <c r="Q1528" s="1142"/>
      <c r="R1528" s="617"/>
      <c r="S1528" s="1114"/>
      <c r="T1528" s="1114"/>
      <c r="U1528" s="1114"/>
      <c r="V1528" s="1114"/>
      <c r="W1528" s="1114"/>
      <c r="X1528" s="1114"/>
      <c r="Y1528" s="1146"/>
      <c r="Z1528" s="2114">
        <f>C1528-'Blocking-Step2'!C1528</f>
        <v>0</v>
      </c>
      <c r="AA1528" s="2114">
        <f>D1528-'Blocking-Step2'!D1528</f>
        <v>0</v>
      </c>
      <c r="AC1528" s="2114">
        <f>F1528-'Blocking-Step2'!F1528</f>
        <v>0</v>
      </c>
      <c r="AE1528" s="2114">
        <f>H1528-'Blocking-Step2'!H1528</f>
        <v>0</v>
      </c>
      <c r="AF1528" s="2114">
        <f>I1528-'Blocking-Step2'!I1528</f>
        <v>0</v>
      </c>
      <c r="AH1528" s="2136">
        <f>K1528-'Blocking-Step2'!K1528</f>
        <v>0</v>
      </c>
      <c r="AJ1528" s="2136">
        <f>M1528-'Blocking-Step2'!M1528</f>
        <v>0</v>
      </c>
      <c r="AL1528" s="2136">
        <f>O1528-'Blocking-Step2'!O1528</f>
        <v>0</v>
      </c>
      <c r="AN1528" s="2137">
        <f>Q1528-'Blocking-Step2'!Q1528</f>
        <v>0</v>
      </c>
      <c r="AP1528" s="2127">
        <f>S1528-'Blocking-Step2'!S1528</f>
        <v>0</v>
      </c>
      <c r="AR1528" s="2127">
        <f>U1528-'Blocking-Step2'!U1528</f>
        <v>0</v>
      </c>
      <c r="AT1528" s="2127">
        <f>W1528-'Blocking-Step2'!W1528</f>
        <v>0</v>
      </c>
      <c r="AV1528" s="2128">
        <f>Y1528-'Blocking-Step2'!Y1528</f>
        <v>0</v>
      </c>
    </row>
    <row r="1529" spans="1:48" ht="16.5" hidden="1" thickTop="1">
      <c r="A1529" s="1116" t="s">
        <v>19</v>
      </c>
      <c r="C1529" s="1105">
        <v>363130507</v>
      </c>
      <c r="D1529" s="1105">
        <v>353207209.39596748</v>
      </c>
      <c r="F1529" s="1143">
        <v>4.6531000000000002</v>
      </c>
      <c r="G1529" s="1921" t="s">
        <v>495</v>
      </c>
      <c r="H1529" s="1146">
        <v>16896826</v>
      </c>
      <c r="I1529" s="1146">
        <v>16435085</v>
      </c>
      <c r="K1529" s="1143"/>
      <c r="L1529" s="1921"/>
      <c r="M1529" s="1143"/>
      <c r="N1529" s="1921"/>
      <c r="O1529" s="1143"/>
      <c r="P1529" s="1921"/>
      <c r="Q1529" s="1143"/>
      <c r="R1529" s="1921"/>
      <c r="S1529" s="1648"/>
      <c r="T1529" s="1648"/>
      <c r="U1529" s="1648"/>
      <c r="V1529" s="1648"/>
      <c r="W1529" s="1648"/>
      <c r="X1529" s="1648"/>
      <c r="Y1529" s="1146"/>
      <c r="Z1529" s="2114">
        <f>C1529-'Blocking-Step2'!C1529</f>
        <v>0</v>
      </c>
      <c r="AA1529" s="2114">
        <f>D1529-'Blocking-Step2'!D1529</f>
        <v>0</v>
      </c>
      <c r="AC1529" s="2114">
        <f>F1529-'Blocking-Step2'!F1529</f>
        <v>0</v>
      </c>
      <c r="AE1529" s="2114">
        <f>H1529-'Blocking-Step2'!H1529</f>
        <v>0</v>
      </c>
      <c r="AF1529" s="2114">
        <f>I1529-'Blocking-Step2'!I1529</f>
        <v>0</v>
      </c>
      <c r="AH1529" s="2136">
        <f>K1529-'Blocking-Step2'!K1529</f>
        <v>0</v>
      </c>
      <c r="AJ1529" s="2136">
        <f>M1529-'Blocking-Step2'!M1529</f>
        <v>0</v>
      </c>
      <c r="AL1529" s="2136">
        <f>O1529-'Blocking-Step2'!O1529</f>
        <v>0</v>
      </c>
      <c r="AN1529" s="2137">
        <f>Q1529-'Blocking-Step2'!Q1529</f>
        <v>0</v>
      </c>
      <c r="AP1529" s="2127">
        <f>S1529-'Blocking-Step2'!S1529</f>
        <v>0</v>
      </c>
      <c r="AR1529" s="2127">
        <f>U1529-'Blocking-Step2'!U1529</f>
        <v>0</v>
      </c>
      <c r="AT1529" s="2127">
        <f>W1529-'Blocking-Step2'!W1529</f>
        <v>0</v>
      </c>
      <c r="AV1529" s="2128">
        <f>Y1529-'Blocking-Step2'!Y1529</f>
        <v>0</v>
      </c>
    </row>
    <row r="1530" spans="1:48" ht="16.5" hidden="1" thickTop="1">
      <c r="A1530" s="1116" t="s">
        <v>257</v>
      </c>
      <c r="C1530" s="1105">
        <v>970022045</v>
      </c>
      <c r="D1530" s="1105">
        <v>943514171</v>
      </c>
      <c r="F1530" s="1143">
        <v>3.4988999999999999</v>
      </c>
      <c r="G1530" s="1921" t="s">
        <v>495</v>
      </c>
      <c r="H1530" s="1146">
        <v>33940101</v>
      </c>
      <c r="I1530" s="1146">
        <v>33012617</v>
      </c>
      <c r="K1530" s="1143"/>
      <c r="L1530" s="1921"/>
      <c r="M1530" s="1143"/>
      <c r="N1530" s="1921"/>
      <c r="O1530" s="1143"/>
      <c r="P1530" s="1921"/>
      <c r="Q1530" s="1143"/>
      <c r="R1530" s="1921"/>
      <c r="S1530" s="1648"/>
      <c r="T1530" s="1648"/>
      <c r="U1530" s="1648"/>
      <c r="V1530" s="1648"/>
      <c r="W1530" s="1648"/>
      <c r="X1530" s="1648"/>
      <c r="Y1530" s="1146"/>
      <c r="Z1530" s="2114">
        <f>C1530-'Blocking-Step2'!C1530</f>
        <v>0</v>
      </c>
      <c r="AA1530" s="2114">
        <f>D1530-'Blocking-Step2'!D1530</f>
        <v>0</v>
      </c>
      <c r="AC1530" s="2114">
        <f>F1530-'Blocking-Step2'!F1530</f>
        <v>0</v>
      </c>
      <c r="AE1530" s="2114">
        <f>H1530-'Blocking-Step2'!H1530</f>
        <v>0</v>
      </c>
      <c r="AF1530" s="2114">
        <f>I1530-'Blocking-Step2'!I1530</f>
        <v>0</v>
      </c>
      <c r="AH1530" s="2136">
        <f>K1530-'Blocking-Step2'!K1530</f>
        <v>0</v>
      </c>
      <c r="AJ1530" s="2136">
        <f>M1530-'Blocking-Step2'!M1530</f>
        <v>0</v>
      </c>
      <c r="AL1530" s="2136">
        <f>O1530-'Blocking-Step2'!O1530</f>
        <v>0</v>
      </c>
      <c r="AN1530" s="2137">
        <f>Q1530-'Blocking-Step2'!Q1530</f>
        <v>0</v>
      </c>
      <c r="AP1530" s="2127">
        <f>S1530-'Blocking-Step2'!S1530</f>
        <v>0</v>
      </c>
      <c r="AR1530" s="2127">
        <f>U1530-'Blocking-Step2'!U1530</f>
        <v>0</v>
      </c>
      <c r="AT1530" s="2127">
        <f>W1530-'Blocking-Step2'!W1530</f>
        <v>0</v>
      </c>
      <c r="AV1530" s="2128">
        <f>Y1530-'Blocking-Step2'!Y1530</f>
        <v>0</v>
      </c>
    </row>
    <row r="1531" spans="1:48" ht="16.5" hidden="1" thickTop="1">
      <c r="A1531" s="1116" t="s">
        <v>249</v>
      </c>
      <c r="C1531" s="1105">
        <v>2300335374</v>
      </c>
      <c r="D1531" s="1105">
        <v>2237473917</v>
      </c>
      <c r="F1531" s="1143">
        <v>2.9224999999999999</v>
      </c>
      <c r="G1531" s="1921" t="s">
        <v>495</v>
      </c>
      <c r="H1531" s="1146">
        <v>67227301</v>
      </c>
      <c r="I1531" s="1146">
        <v>65390175</v>
      </c>
      <c r="K1531" s="1143"/>
      <c r="L1531" s="1921"/>
      <c r="M1531" s="1143"/>
      <c r="N1531" s="1921"/>
      <c r="O1531" s="1143"/>
      <c r="P1531" s="1921"/>
      <c r="Q1531" s="1143"/>
      <c r="R1531" s="1921"/>
      <c r="S1531" s="1648"/>
      <c r="T1531" s="1648"/>
      <c r="U1531" s="1648"/>
      <c r="V1531" s="1648"/>
      <c r="W1531" s="1648"/>
      <c r="X1531" s="1648"/>
      <c r="Y1531" s="1146"/>
      <c r="Z1531" s="2114">
        <f>C1531-'Blocking-Step2'!C1531</f>
        <v>0</v>
      </c>
      <c r="AA1531" s="2114">
        <f>D1531-'Blocking-Step2'!D1531</f>
        <v>0</v>
      </c>
      <c r="AC1531" s="2114">
        <f>F1531-'Blocking-Step2'!F1531</f>
        <v>0</v>
      </c>
      <c r="AE1531" s="2114">
        <f>H1531-'Blocking-Step2'!H1531</f>
        <v>0</v>
      </c>
      <c r="AF1531" s="2114">
        <f>I1531-'Blocking-Step2'!I1531</f>
        <v>0</v>
      </c>
      <c r="AH1531" s="2136">
        <f>K1531-'Blocking-Step2'!K1531</f>
        <v>0</v>
      </c>
      <c r="AJ1531" s="2136">
        <f>M1531-'Blocking-Step2'!M1531</f>
        <v>0</v>
      </c>
      <c r="AL1531" s="2136">
        <f>O1531-'Blocking-Step2'!O1531</f>
        <v>0</v>
      </c>
      <c r="AN1531" s="2137">
        <f>Q1531-'Blocking-Step2'!Q1531</f>
        <v>0</v>
      </c>
      <c r="AP1531" s="2127">
        <f>S1531-'Blocking-Step2'!S1531</f>
        <v>0</v>
      </c>
      <c r="AR1531" s="2127">
        <f>U1531-'Blocking-Step2'!U1531</f>
        <v>0</v>
      </c>
      <c r="AT1531" s="2127">
        <f>W1531-'Blocking-Step2'!W1531</f>
        <v>0</v>
      </c>
      <c r="AV1531" s="2128">
        <f>Y1531-'Blocking-Step2'!Y1531</f>
        <v>0</v>
      </c>
    </row>
    <row r="1532" spans="1:48" ht="16.5" hidden="1" thickTop="1">
      <c r="A1532" s="1116" t="s">
        <v>246</v>
      </c>
      <c r="C1532" s="1940">
        <v>-58900180</v>
      </c>
      <c r="D1532" s="1940">
        <v>0</v>
      </c>
      <c r="H1532" s="1147">
        <v>-2988512</v>
      </c>
      <c r="I1532" s="1147">
        <v>0</v>
      </c>
      <c r="Y1532" s="1147">
        <v>0</v>
      </c>
      <c r="Z1532" s="2114">
        <f>C1532-'Blocking-Step2'!C1532</f>
        <v>0</v>
      </c>
      <c r="AA1532" s="2114">
        <f>D1532-'Blocking-Step2'!D1532</f>
        <v>0</v>
      </c>
      <c r="AC1532" s="2114">
        <f>F1532-'Blocking-Step2'!F1532</f>
        <v>0</v>
      </c>
      <c r="AE1532" s="2114">
        <f>H1532-'Blocking-Step2'!H1532</f>
        <v>0</v>
      </c>
      <c r="AF1532" s="2114">
        <f>I1532-'Blocking-Step2'!I1532</f>
        <v>0</v>
      </c>
      <c r="AH1532" s="2136">
        <f>K1532-'Blocking-Step2'!K1532</f>
        <v>0</v>
      </c>
      <c r="AJ1532" s="2136">
        <f>M1532-'Blocking-Step2'!M1532</f>
        <v>0</v>
      </c>
      <c r="AL1532" s="2136">
        <f>O1532-'Blocking-Step2'!O1532</f>
        <v>0</v>
      </c>
      <c r="AN1532" s="2137">
        <f>Q1532-'Blocking-Step2'!Q1532</f>
        <v>0</v>
      </c>
      <c r="AP1532" s="2127">
        <f>S1532-'Blocking-Step2'!S1532</f>
        <v>0</v>
      </c>
      <c r="AR1532" s="2127">
        <f>U1532-'Blocking-Step2'!U1532</f>
        <v>0</v>
      </c>
      <c r="AT1532" s="2127">
        <f>W1532-'Blocking-Step2'!W1532</f>
        <v>0</v>
      </c>
      <c r="AV1532" s="2128">
        <f>Y1532-'Blocking-Step2'!Y1532</f>
        <v>0</v>
      </c>
    </row>
    <row r="1533" spans="1:48" ht="16.5" hidden="1" thickTop="1">
      <c r="A1533" s="1116" t="s">
        <v>1240</v>
      </c>
      <c r="C1533" s="1024"/>
      <c r="D1533" s="1024"/>
      <c r="F1533" s="2076">
        <v>-3.0700000000000002E-2</v>
      </c>
      <c r="G1533" s="617"/>
      <c r="H1533" s="1146">
        <v>-5769123.0012000008</v>
      </c>
      <c r="I1533" s="1146">
        <v>-5645840.7042000005</v>
      </c>
      <c r="K1533" s="2076"/>
      <c r="L1533" s="617"/>
      <c r="M1533" s="2076"/>
      <c r="N1533" s="617"/>
      <c r="O1533" s="2077" t="s">
        <v>2323</v>
      </c>
      <c r="P1533" s="617"/>
      <c r="Q1533" s="2076">
        <v>-2.5700000000000001E-2</v>
      </c>
      <c r="R1533" s="617"/>
      <c r="S1533" s="1114"/>
      <c r="T1533" s="1114"/>
      <c r="U1533" s="1114"/>
      <c r="V1533" s="1114"/>
      <c r="W1533" s="1114"/>
      <c r="X1533" s="1114"/>
      <c r="Y1533" s="1146">
        <v>-4748248.7834000001</v>
      </c>
      <c r="Z1533" s="2114">
        <f>C1533-'Blocking-Step2'!C1533</f>
        <v>0</v>
      </c>
      <c r="AA1533" s="2114">
        <f>D1533-'Blocking-Step2'!D1533</f>
        <v>0</v>
      </c>
      <c r="AC1533" s="2114">
        <f>F1533-'Blocking-Step2'!F1533</f>
        <v>0</v>
      </c>
      <c r="AE1533" s="2114">
        <f>H1533-'Blocking-Step2'!H1533</f>
        <v>0</v>
      </c>
      <c r="AF1533" s="2114">
        <f>I1533-'Blocking-Step2'!I1533</f>
        <v>0</v>
      </c>
      <c r="AH1533" s="2136">
        <f>K1533-'Blocking-Step2'!K1533</f>
        <v>0</v>
      </c>
      <c r="AJ1533" s="2136">
        <f>M1533-'Blocking-Step2'!M1533</f>
        <v>0</v>
      </c>
      <c r="AL1533" s="2136" t="e">
        <f>O1533-'Blocking-Step2'!O1533</f>
        <v>#VALUE!</v>
      </c>
      <c r="AN1533" s="2137">
        <f>Q1533-'Blocking-Step2'!Q1533</f>
        <v>0</v>
      </c>
      <c r="AP1533" s="2127">
        <f>S1533-'Blocking-Step2'!S1533</f>
        <v>0</v>
      </c>
      <c r="AR1533" s="2127">
        <f>U1533-'Blocking-Step2'!U1533</f>
        <v>0</v>
      </c>
      <c r="AT1533" s="2127">
        <f>W1533-'Blocking-Step2'!W1533</f>
        <v>0</v>
      </c>
      <c r="AV1533" s="2128">
        <f>Y1533-'Blocking-Step2'!Y1533</f>
        <v>0</v>
      </c>
    </row>
    <row r="1534" spans="1:48" ht="16.5" hidden="1" thickTop="1">
      <c r="A1534" s="1116"/>
      <c r="C1534" s="1024"/>
      <c r="D1534" s="1024"/>
      <c r="F1534" s="2076"/>
      <c r="G1534" s="617"/>
      <c r="H1534" s="1146"/>
      <c r="I1534" s="1146"/>
      <c r="K1534" s="2076"/>
      <c r="L1534" s="617"/>
      <c r="M1534" s="2076"/>
      <c r="N1534" s="617"/>
      <c r="O1534" s="2077" t="s">
        <v>2324</v>
      </c>
      <c r="P1534" s="617"/>
      <c r="Q1534" s="2076">
        <v>-1.3899999999999999E-2</v>
      </c>
      <c r="R1534" s="617"/>
      <c r="S1534" s="1114"/>
      <c r="T1534" s="1114"/>
      <c r="U1534" s="1114"/>
      <c r="V1534" s="1114"/>
      <c r="W1534" s="1114"/>
      <c r="X1534" s="1114"/>
      <c r="Y1534" s="1146">
        <v>-2568118.9918</v>
      </c>
      <c r="Z1534" s="2114">
        <f>C1534-'Blocking-Step2'!C1534</f>
        <v>0</v>
      </c>
      <c r="AA1534" s="2114">
        <f>D1534-'Blocking-Step2'!D1534</f>
        <v>0</v>
      </c>
      <c r="AC1534" s="2114">
        <f>F1534-'Blocking-Step2'!F1534</f>
        <v>0</v>
      </c>
      <c r="AE1534" s="2114">
        <f>H1534-'Blocking-Step2'!H1534</f>
        <v>0</v>
      </c>
      <c r="AF1534" s="2114">
        <f>I1534-'Blocking-Step2'!I1534</f>
        <v>0</v>
      </c>
      <c r="AH1534" s="2136">
        <f>K1534-'Blocking-Step2'!K1534</f>
        <v>0</v>
      </c>
      <c r="AJ1534" s="2136">
        <f>M1534-'Blocking-Step2'!M1534</f>
        <v>0</v>
      </c>
      <c r="AL1534" s="2136" t="e">
        <f>O1534-'Blocking-Step2'!O1534</f>
        <v>#VALUE!</v>
      </c>
      <c r="AN1534" s="2137">
        <f>Q1534-'Blocking-Step2'!Q1534</f>
        <v>0</v>
      </c>
      <c r="AP1534" s="2127">
        <f>S1534-'Blocking-Step2'!S1534</f>
        <v>0</v>
      </c>
      <c r="AR1534" s="2127">
        <f>U1534-'Blocking-Step2'!U1534</f>
        <v>0</v>
      </c>
      <c r="AT1534" s="2127">
        <f>W1534-'Blocking-Step2'!W1534</f>
        <v>0</v>
      </c>
      <c r="AV1534" s="2128">
        <f>Y1534-'Blocking-Step2'!Y1534</f>
        <v>0</v>
      </c>
    </row>
    <row r="1535" spans="1:48" ht="17.25" hidden="1" thickTop="1" thickBot="1">
      <c r="A1535" s="1116" t="s">
        <v>247</v>
      </c>
      <c r="C1535" s="1138">
        <v>3574587746</v>
      </c>
      <c r="D1535" s="1138">
        <v>3534195297.3959675</v>
      </c>
      <c r="F1535" s="1145"/>
      <c r="H1535" s="1149">
        <v>193635208.99880001</v>
      </c>
      <c r="I1535" s="1149">
        <v>192578663.2958</v>
      </c>
      <c r="K1535" s="1145"/>
      <c r="M1535" s="1145"/>
      <c r="O1535" s="1145"/>
      <c r="Q1535" s="1145"/>
      <c r="S1535" s="1149">
        <v>-58084</v>
      </c>
      <c r="U1535" s="1149">
        <v>134956470</v>
      </c>
      <c r="W1535" s="1149">
        <v>64696262</v>
      </c>
      <c r="Y1535" s="1149">
        <v>199594649</v>
      </c>
      <c r="Z1535" s="2114">
        <f>C1535-'Blocking-Step2'!C1535</f>
        <v>0</v>
      </c>
      <c r="AA1535" s="2114">
        <f>D1535-'Blocking-Step2'!D1535</f>
        <v>0</v>
      </c>
      <c r="AC1535" s="2114">
        <f>F1535-'Blocking-Step2'!F1535</f>
        <v>0</v>
      </c>
      <c r="AE1535" s="2114">
        <f>H1535-'Blocking-Step2'!H1535</f>
        <v>0</v>
      </c>
      <c r="AF1535" s="2114">
        <f>I1535-'Blocking-Step2'!I1535</f>
        <v>0</v>
      </c>
      <c r="AH1535" s="2136">
        <f>K1535-'Blocking-Step2'!K1535</f>
        <v>0</v>
      </c>
      <c r="AJ1535" s="2136">
        <f>M1535-'Blocking-Step2'!M1535</f>
        <v>0</v>
      </c>
      <c r="AL1535" s="2136">
        <f>O1535-'Blocking-Step2'!O1535</f>
        <v>0</v>
      </c>
      <c r="AN1535" s="2137">
        <f>Q1535-'Blocking-Step2'!Q1535</f>
        <v>0</v>
      </c>
      <c r="AP1535" s="2127">
        <f>S1535-'Blocking-Step2'!S1535</f>
        <v>-41907886</v>
      </c>
      <c r="AR1535" s="2127">
        <f>U1535-'Blocking-Step2'!U1535</f>
        <v>41907886</v>
      </c>
      <c r="AT1535" s="2127">
        <f>W1535-'Blocking-Step2'!W1535</f>
        <v>0</v>
      </c>
      <c r="AV1535" s="2128">
        <f>Y1535-'Blocking-Step2'!Y1535</f>
        <v>0</v>
      </c>
    </row>
    <row r="1536" spans="1:48" ht="16.5" thickTop="1">
      <c r="C1536" s="1105"/>
      <c r="D1536" s="1105"/>
      <c r="Z1536" s="2114">
        <f>C1536-'Blocking-Step2'!C1536</f>
        <v>0</v>
      </c>
      <c r="AA1536" s="2114">
        <f>D1536-'Blocking-Step2'!D1536</f>
        <v>0</v>
      </c>
      <c r="AC1536" s="2114">
        <f>F1536-'Blocking-Step2'!F1536</f>
        <v>0</v>
      </c>
      <c r="AE1536" s="2114">
        <f>H1536-'Blocking-Step2'!H1536</f>
        <v>0</v>
      </c>
      <c r="AF1536" s="2114">
        <f>I1536-'Blocking-Step2'!I1536</f>
        <v>0</v>
      </c>
      <c r="AH1536" s="2136">
        <f>K1536-'Blocking-Step2'!K1536</f>
        <v>0</v>
      </c>
      <c r="AJ1536" s="2136">
        <f>M1536-'Blocking-Step2'!M1536</f>
        <v>0</v>
      </c>
      <c r="AL1536" s="2136">
        <f>O1536-'Blocking-Step2'!O1536</f>
        <v>0</v>
      </c>
      <c r="AN1536" s="2137">
        <f>Q1536-'Blocking-Step2'!Q1536</f>
        <v>0</v>
      </c>
      <c r="AP1536" s="2127">
        <f>S1536-'Blocking-Step2'!S1536</f>
        <v>0</v>
      </c>
      <c r="AR1536" s="2127">
        <f>U1536-'Blocking-Step2'!U1536</f>
        <v>0</v>
      </c>
      <c r="AT1536" s="2127">
        <f>W1536-'Blocking-Step2'!W1536</f>
        <v>0</v>
      </c>
      <c r="AV1536" s="2128">
        <f>Y1536-'Blocking-Step2'!Y1536</f>
        <v>0</v>
      </c>
    </row>
    <row r="1537" spans="1:48">
      <c r="A1537" s="1115" t="s">
        <v>768</v>
      </c>
      <c r="C1537" s="1105"/>
      <c r="D1537" s="1105"/>
      <c r="F1537" s="1106"/>
      <c r="G1537" s="1107"/>
      <c r="K1537" s="1106"/>
      <c r="L1537" s="1107"/>
      <c r="M1537" s="1106"/>
      <c r="N1537" s="1107"/>
      <c r="O1537" s="1106"/>
      <c r="P1537" s="1107"/>
      <c r="Q1537" s="1106"/>
      <c r="R1537" s="1107"/>
      <c r="S1537" s="1114"/>
      <c r="T1537" s="1114"/>
      <c r="U1537" s="1114"/>
      <c r="V1537" s="1114"/>
      <c r="W1537" s="1114"/>
      <c r="X1537" s="1114"/>
      <c r="Z1537" s="2114">
        <f>C1537-'Blocking-Step2'!C1537</f>
        <v>0</v>
      </c>
      <c r="AA1537" s="2114">
        <f>D1537-'Blocking-Step2'!D1537</f>
        <v>0</v>
      </c>
      <c r="AC1537" s="2114">
        <f>F1537-'Blocking-Step2'!F1537</f>
        <v>0</v>
      </c>
      <c r="AE1537" s="2114">
        <f>H1537-'Blocking-Step2'!H1537</f>
        <v>0</v>
      </c>
      <c r="AF1537" s="2114">
        <f>I1537-'Blocking-Step2'!I1537</f>
        <v>0</v>
      </c>
      <c r="AH1537" s="2136">
        <f>K1537-'Blocking-Step2'!K1537</f>
        <v>0</v>
      </c>
      <c r="AJ1537" s="2136">
        <f>M1537-'Blocking-Step2'!M1537</f>
        <v>0</v>
      </c>
      <c r="AL1537" s="2136">
        <f>O1537-'Blocking-Step2'!O1537</f>
        <v>0</v>
      </c>
      <c r="AN1537" s="2137">
        <f>Q1537-'Blocking-Step2'!Q1537</f>
        <v>0</v>
      </c>
      <c r="AP1537" s="2127">
        <f>S1537-'Blocking-Step2'!S1537</f>
        <v>0</v>
      </c>
      <c r="AR1537" s="2127">
        <f>U1537-'Blocking-Step2'!U1537</f>
        <v>0</v>
      </c>
      <c r="AT1537" s="2127">
        <f>W1537-'Blocking-Step2'!W1537</f>
        <v>0</v>
      </c>
      <c r="AV1537" s="2128">
        <f>Y1537-'Blocking-Step2'!Y1537</f>
        <v>0</v>
      </c>
    </row>
    <row r="1538" spans="1:48">
      <c r="A1538" s="1116" t="s">
        <v>240</v>
      </c>
      <c r="C1538" s="1105">
        <v>108</v>
      </c>
      <c r="D1538" s="1105">
        <v>108</v>
      </c>
      <c r="F1538" s="1907">
        <v>259</v>
      </c>
      <c r="G1538" s="1110"/>
      <c r="H1538" s="1146">
        <v>27972</v>
      </c>
      <c r="I1538" s="1146">
        <v>27972</v>
      </c>
      <c r="K1538" s="1907">
        <v>-42.09</v>
      </c>
      <c r="L1538" s="1110"/>
      <c r="M1538" s="1907">
        <v>311.09000000000003</v>
      </c>
      <c r="N1538" s="1110"/>
      <c r="O1538" s="1907">
        <v>0</v>
      </c>
      <c r="P1538" s="1110"/>
      <c r="Q1538" s="1907">
        <v>269</v>
      </c>
      <c r="R1538" s="1110"/>
      <c r="S1538" s="1146">
        <v>-4546</v>
      </c>
      <c r="T1538" s="1146"/>
      <c r="U1538" s="1146">
        <v>33598</v>
      </c>
      <c r="V1538" s="1146"/>
      <c r="W1538" s="1146">
        <v>0</v>
      </c>
      <c r="X1538" s="1629"/>
      <c r="Y1538" s="1146">
        <v>29052</v>
      </c>
      <c r="Z1538" s="2114">
        <f>C1538-'Blocking-Step2'!C1538</f>
        <v>0</v>
      </c>
      <c r="AA1538" s="2114">
        <f>D1538-'Blocking-Step2'!D1538</f>
        <v>0</v>
      </c>
      <c r="AC1538" s="2114">
        <f>F1538-'Blocking-Step2'!F1538</f>
        <v>0</v>
      </c>
      <c r="AE1538" s="2114">
        <f>H1538-'Blocking-Step2'!H1538</f>
        <v>0</v>
      </c>
      <c r="AF1538" s="2114">
        <f>I1538-'Blocking-Step2'!I1538</f>
        <v>0</v>
      </c>
      <c r="AH1538" s="2136">
        <f>K1538-'Blocking-Step2'!K1538</f>
        <v>-311.09000000000003</v>
      </c>
      <c r="AJ1538" s="2136">
        <f>M1538-'Blocking-Step2'!M1538</f>
        <v>311.09000000000003</v>
      </c>
      <c r="AL1538" s="2136">
        <f>O1538-'Blocking-Step2'!O1538</f>
        <v>0</v>
      </c>
      <c r="AN1538" s="2137">
        <f>Q1538-'Blocking-Step2'!Q1538</f>
        <v>0</v>
      </c>
      <c r="AP1538" s="2127">
        <f>S1538-'Blocking-Step2'!S1538</f>
        <v>-33598</v>
      </c>
      <c r="AR1538" s="2127">
        <f>U1538-'Blocking-Step2'!U1538</f>
        <v>33598</v>
      </c>
      <c r="AT1538" s="2127">
        <f>W1538-'Blocking-Step2'!W1538</f>
        <v>0</v>
      </c>
      <c r="AV1538" s="2128">
        <f>Y1538-'Blocking-Step2'!Y1538</f>
        <v>0</v>
      </c>
    </row>
    <row r="1539" spans="1:48">
      <c r="A1539" s="1116" t="s">
        <v>305</v>
      </c>
      <c r="C1539" s="1105">
        <v>234406</v>
      </c>
      <c r="D1539" s="1105">
        <v>243087</v>
      </c>
      <c r="F1539" s="1907">
        <v>2.2200000000000002</v>
      </c>
      <c r="G1539" s="1110"/>
      <c r="H1539" s="1146">
        <v>520381</v>
      </c>
      <c r="I1539" s="1146">
        <v>539653</v>
      </c>
      <c r="K1539" s="1907">
        <v>0</v>
      </c>
      <c r="L1539" s="1110"/>
      <c r="M1539" s="1907">
        <v>2.2999999999999998</v>
      </c>
      <c r="N1539" s="1110"/>
      <c r="O1539" s="1907">
        <v>0</v>
      </c>
      <c r="P1539" s="1110"/>
      <c r="Q1539" s="1907">
        <v>2.2999999999999998</v>
      </c>
      <c r="R1539" s="1110"/>
      <c r="S1539" s="1146">
        <v>0</v>
      </c>
      <c r="T1539" s="1146"/>
      <c r="U1539" s="1146">
        <v>559100</v>
      </c>
      <c r="V1539" s="1146"/>
      <c r="W1539" s="1146">
        <v>0</v>
      </c>
      <c r="X1539" s="1629"/>
      <c r="Y1539" s="1146">
        <v>559100</v>
      </c>
      <c r="Z1539" s="2114">
        <f>C1539-'Blocking-Step2'!C1539</f>
        <v>0</v>
      </c>
      <c r="AA1539" s="2114">
        <f>D1539-'Blocking-Step2'!D1539</f>
        <v>0</v>
      </c>
      <c r="AC1539" s="2114">
        <f>F1539-'Blocking-Step2'!F1539</f>
        <v>0</v>
      </c>
      <c r="AE1539" s="2114">
        <f>H1539-'Blocking-Step2'!H1539</f>
        <v>0</v>
      </c>
      <c r="AF1539" s="2114">
        <f>I1539-'Blocking-Step2'!I1539</f>
        <v>0</v>
      </c>
      <c r="AH1539" s="2136">
        <f>K1539-'Blocking-Step2'!K1539</f>
        <v>-2.2999999999999998</v>
      </c>
      <c r="AJ1539" s="2136">
        <f>M1539-'Blocking-Step2'!M1539</f>
        <v>2.2999999999999998</v>
      </c>
      <c r="AL1539" s="2136">
        <f>O1539-'Blocking-Step2'!O1539</f>
        <v>0</v>
      </c>
      <c r="AN1539" s="2137">
        <f>Q1539-'Blocking-Step2'!Q1539</f>
        <v>0</v>
      </c>
      <c r="AP1539" s="2127">
        <f>S1539-'Blocking-Step2'!S1539</f>
        <v>-559100</v>
      </c>
      <c r="AR1539" s="2127">
        <f>U1539-'Blocking-Step2'!U1539</f>
        <v>559100</v>
      </c>
      <c r="AT1539" s="2127">
        <f>W1539-'Blocking-Step2'!W1539</f>
        <v>0</v>
      </c>
      <c r="AV1539" s="2128">
        <f>Y1539-'Blocking-Step2'!Y1539</f>
        <v>0</v>
      </c>
    </row>
    <row r="1540" spans="1:48">
      <c r="A1540" s="1116" t="s">
        <v>1651</v>
      </c>
      <c r="C1540" s="1105">
        <v>73367.066484446143</v>
      </c>
      <c r="D1540" s="1105">
        <v>76062</v>
      </c>
      <c r="F1540" s="1142"/>
      <c r="G1540" s="617"/>
      <c r="H1540" s="1146"/>
      <c r="I1540" s="1146"/>
      <c r="K1540" s="1142">
        <v>0</v>
      </c>
      <c r="L1540" s="617"/>
      <c r="M1540" s="1142">
        <v>4.7784000000000004</v>
      </c>
      <c r="N1540" s="617"/>
      <c r="O1540" s="1142">
        <v>0</v>
      </c>
      <c r="P1540" s="617"/>
      <c r="Q1540" s="1142">
        <v>4.7784000000000004</v>
      </c>
      <c r="R1540" s="617"/>
      <c r="S1540" s="1146">
        <v>0</v>
      </c>
      <c r="T1540" s="1146"/>
      <c r="U1540" s="1146">
        <v>363455</v>
      </c>
      <c r="V1540" s="1146"/>
      <c r="W1540" s="1146">
        <v>0</v>
      </c>
      <c r="X1540" s="1114"/>
      <c r="Y1540" s="1146">
        <v>363455</v>
      </c>
      <c r="Z1540" s="2114">
        <f>C1540-'Blocking-Step2'!C1540</f>
        <v>0</v>
      </c>
      <c r="AA1540" s="2114">
        <f>D1540-'Blocking-Step2'!D1540</f>
        <v>0</v>
      </c>
      <c r="AC1540" s="2114">
        <f>F1540-'Blocking-Step2'!F1540</f>
        <v>0</v>
      </c>
      <c r="AE1540" s="2114">
        <f>H1540-'Blocking-Step2'!H1540</f>
        <v>0</v>
      </c>
      <c r="AF1540" s="2114">
        <f>I1540-'Blocking-Step2'!I1540</f>
        <v>0</v>
      </c>
      <c r="AH1540" s="2136">
        <f>K1540-'Blocking-Step2'!K1540</f>
        <v>-1.5840000000000001</v>
      </c>
      <c r="AJ1540" s="2136">
        <f>M1540-'Blocking-Step2'!M1540</f>
        <v>1.5840000000000005</v>
      </c>
      <c r="AL1540" s="2136">
        <f>O1540-'Blocking-Step2'!O1540</f>
        <v>0</v>
      </c>
      <c r="AN1540" s="2137">
        <f>Q1540-'Blocking-Step2'!Q1540</f>
        <v>0</v>
      </c>
      <c r="AP1540" s="2127">
        <f>S1540-'Blocking-Step2'!S1540</f>
        <v>-120482</v>
      </c>
      <c r="AR1540" s="2127">
        <f>U1540-'Blocking-Step2'!U1540</f>
        <v>120483</v>
      </c>
      <c r="AT1540" s="2127">
        <f>W1540-'Blocking-Step2'!W1540</f>
        <v>0</v>
      </c>
      <c r="AV1540" s="2128">
        <f>Y1540-'Blocking-Step2'!Y1540</f>
        <v>0</v>
      </c>
    </row>
    <row r="1541" spans="1:48">
      <c r="A1541" s="1116" t="s">
        <v>1652</v>
      </c>
      <c r="C1541" s="1105">
        <v>163562.19615631551</v>
      </c>
      <c r="D1541" s="1105">
        <v>169650</v>
      </c>
      <c r="F1541" s="1142"/>
      <c r="G1541" s="617"/>
      <c r="H1541" s="1146"/>
      <c r="I1541" s="1146"/>
      <c r="K1541" s="1142">
        <v>0</v>
      </c>
      <c r="L1541" s="617"/>
      <c r="M1541" s="1142">
        <v>4.2273000000000005</v>
      </c>
      <c r="N1541" s="617"/>
      <c r="O1541" s="1142">
        <v>0</v>
      </c>
      <c r="P1541" s="617"/>
      <c r="Q1541" s="1142">
        <v>4.2273000000000005</v>
      </c>
      <c r="R1541" s="617"/>
      <c r="S1541" s="1146">
        <v>0</v>
      </c>
      <c r="T1541" s="1146"/>
      <c r="U1541" s="1146">
        <v>717161</v>
      </c>
      <c r="V1541" s="1146"/>
      <c r="W1541" s="1146">
        <v>0</v>
      </c>
      <c r="X1541" s="1114"/>
      <c r="Y1541" s="1146">
        <v>717161</v>
      </c>
      <c r="Z1541" s="2114">
        <f>C1541-'Blocking-Step2'!C1541</f>
        <v>0</v>
      </c>
      <c r="AA1541" s="2114">
        <f>D1541-'Blocking-Step2'!D1541</f>
        <v>0</v>
      </c>
      <c r="AC1541" s="2114">
        <f>F1541-'Blocking-Step2'!F1541</f>
        <v>0</v>
      </c>
      <c r="AE1541" s="2114">
        <f>H1541-'Blocking-Step2'!H1541</f>
        <v>0</v>
      </c>
      <c r="AF1541" s="2114">
        <f>I1541-'Blocking-Step2'!I1541</f>
        <v>0</v>
      </c>
      <c r="AH1541" s="2136">
        <f>K1541-'Blocking-Step2'!K1541</f>
        <v>-1.4025000000000001</v>
      </c>
      <c r="AJ1541" s="2136">
        <f>M1541-'Blocking-Step2'!M1541</f>
        <v>1.4025000000000003</v>
      </c>
      <c r="AL1541" s="2136">
        <f>O1541-'Blocking-Step2'!O1541</f>
        <v>0</v>
      </c>
      <c r="AN1541" s="2137">
        <f>Q1541-'Blocking-Step2'!Q1541</f>
        <v>0</v>
      </c>
      <c r="AP1541" s="2127">
        <f>S1541-'Blocking-Step2'!S1541</f>
        <v>-237934</v>
      </c>
      <c r="AR1541" s="2127">
        <f>U1541-'Blocking-Step2'!U1541</f>
        <v>237934</v>
      </c>
      <c r="AT1541" s="2127">
        <f>W1541-'Blocking-Step2'!W1541</f>
        <v>0</v>
      </c>
      <c r="AV1541" s="2128">
        <f>Y1541-'Blocking-Step2'!Y1541</f>
        <v>0</v>
      </c>
    </row>
    <row r="1542" spans="1:48">
      <c r="A1542" s="1116" t="s">
        <v>1532</v>
      </c>
      <c r="C1542" s="1105">
        <v>6528826.7241609599</v>
      </c>
      <c r="D1542" s="1105">
        <v>6818306</v>
      </c>
      <c r="F1542" s="1106"/>
      <c r="G1542" s="1921"/>
      <c r="H1542" s="1146"/>
      <c r="I1542" s="1146"/>
      <c r="K1542" s="1106">
        <v>0</v>
      </c>
      <c r="L1542" s="1921" t="s">
        <v>495</v>
      </c>
      <c r="M1542" s="1106">
        <v>1.0927</v>
      </c>
      <c r="N1542" s="1921" t="s">
        <v>495</v>
      </c>
      <c r="O1542" s="1106">
        <v>4.1108761607000002</v>
      </c>
      <c r="P1542" s="1921" t="s">
        <v>495</v>
      </c>
      <c r="Q1542" s="1106">
        <v>5.2035761607</v>
      </c>
      <c r="R1542" s="1921" t="s">
        <v>495</v>
      </c>
      <c r="S1542" s="1146">
        <v>0</v>
      </c>
      <c r="T1542" s="1146"/>
      <c r="U1542" s="1146">
        <v>74504</v>
      </c>
      <c r="V1542" s="1146"/>
      <c r="W1542" s="1146">
        <v>280292</v>
      </c>
      <c r="X1542" s="1648"/>
      <c r="Y1542" s="1146">
        <v>354796</v>
      </c>
      <c r="Z1542" s="2114">
        <f>C1542-'Blocking-Step2'!C1542</f>
        <v>0</v>
      </c>
      <c r="AA1542" s="2114">
        <f>D1542-'Blocking-Step2'!D1542</f>
        <v>0</v>
      </c>
      <c r="AC1542" s="2114">
        <f>F1542-'Blocking-Step2'!F1542</f>
        <v>0</v>
      </c>
      <c r="AE1542" s="2114">
        <f>H1542-'Blocking-Step2'!H1542</f>
        <v>0</v>
      </c>
      <c r="AF1542" s="2114">
        <f>I1542-'Blocking-Step2'!I1542</f>
        <v>0</v>
      </c>
      <c r="AH1542" s="2136">
        <f>K1542-'Blocking-Step2'!K1542</f>
        <v>0</v>
      </c>
      <c r="AJ1542" s="2136">
        <f>M1542-'Blocking-Step2'!M1542</f>
        <v>0</v>
      </c>
      <c r="AL1542" s="2136">
        <f>O1542-'Blocking-Step2'!O1542</f>
        <v>0</v>
      </c>
      <c r="AN1542" s="2137">
        <f>Q1542-'Blocking-Step2'!Q1542</f>
        <v>0</v>
      </c>
      <c r="AP1542" s="2127">
        <f>S1542-'Blocking-Step2'!S1542</f>
        <v>0</v>
      </c>
      <c r="AR1542" s="2127">
        <f>U1542-'Blocking-Step2'!U1542</f>
        <v>0</v>
      </c>
      <c r="AT1542" s="2127">
        <f>W1542-'Blocking-Step2'!W1542</f>
        <v>0</v>
      </c>
      <c r="AV1542" s="2128">
        <f>Y1542-'Blocking-Step2'!Y1542</f>
        <v>0</v>
      </c>
    </row>
    <row r="1543" spans="1:48">
      <c r="A1543" s="1116" t="s">
        <v>1653</v>
      </c>
      <c r="C1543" s="1105">
        <v>6832346.1464205012</v>
      </c>
      <c r="D1543" s="1105">
        <v>7138084</v>
      </c>
      <c r="F1543" s="1106"/>
      <c r="G1543" s="1921"/>
      <c r="H1543" s="1146"/>
      <c r="I1543" s="1146"/>
      <c r="K1543" s="1106">
        <v>0</v>
      </c>
      <c r="L1543" s="1921" t="s">
        <v>495</v>
      </c>
      <c r="M1543" s="1106">
        <v>1.0927</v>
      </c>
      <c r="N1543" s="1921" t="s">
        <v>495</v>
      </c>
      <c r="O1543" s="1106">
        <v>3.5122346554870001</v>
      </c>
      <c r="P1543" s="1921" t="s">
        <v>495</v>
      </c>
      <c r="Q1543" s="1106">
        <v>4.6049346554869999</v>
      </c>
      <c r="R1543" s="1921" t="s">
        <v>495</v>
      </c>
      <c r="S1543" s="1146">
        <v>0</v>
      </c>
      <c r="T1543" s="1146"/>
      <c r="U1543" s="1146">
        <v>77998</v>
      </c>
      <c r="V1543" s="1146"/>
      <c r="W1543" s="1146">
        <v>250706</v>
      </c>
      <c r="X1543" s="1648"/>
      <c r="Y1543" s="1146">
        <v>328704</v>
      </c>
      <c r="Z1543" s="2114">
        <f>C1543-'Blocking-Step2'!C1543</f>
        <v>0</v>
      </c>
      <c r="AA1543" s="2114">
        <f>D1543-'Blocking-Step2'!D1543</f>
        <v>0</v>
      </c>
      <c r="AC1543" s="2114">
        <f>F1543-'Blocking-Step2'!F1543</f>
        <v>0</v>
      </c>
      <c r="AE1543" s="2114">
        <f>H1543-'Blocking-Step2'!H1543</f>
        <v>0</v>
      </c>
      <c r="AF1543" s="2114">
        <f>I1543-'Blocking-Step2'!I1543</f>
        <v>0</v>
      </c>
      <c r="AH1543" s="2136">
        <f>K1543-'Blocking-Step2'!K1543</f>
        <v>0</v>
      </c>
      <c r="AJ1543" s="2136">
        <f>M1543-'Blocking-Step2'!M1543</f>
        <v>0</v>
      </c>
      <c r="AL1543" s="2136">
        <f>O1543-'Blocking-Step2'!O1543</f>
        <v>0</v>
      </c>
      <c r="AN1543" s="2137">
        <f>Q1543-'Blocking-Step2'!Q1543</f>
        <v>0</v>
      </c>
      <c r="AP1543" s="2127">
        <f>S1543-'Blocking-Step2'!S1543</f>
        <v>0</v>
      </c>
      <c r="AR1543" s="2127">
        <f>U1543-'Blocking-Step2'!U1543</f>
        <v>0</v>
      </c>
      <c r="AT1543" s="2127">
        <f>W1543-'Blocking-Step2'!W1543</f>
        <v>0</v>
      </c>
      <c r="AV1543" s="2128">
        <f>Y1543-'Blocking-Step2'!Y1543</f>
        <v>0</v>
      </c>
    </row>
    <row r="1544" spans="1:48">
      <c r="A1544" s="1116" t="s">
        <v>1533</v>
      </c>
      <c r="C1544" s="1105">
        <v>5462224.7361181956</v>
      </c>
      <c r="D1544" s="1105">
        <v>5708900</v>
      </c>
      <c r="F1544" s="1106"/>
      <c r="G1544" s="1921"/>
      <c r="H1544" s="1146"/>
      <c r="I1544" s="1146"/>
      <c r="K1544" s="1106">
        <v>0</v>
      </c>
      <c r="L1544" s="1921" t="s">
        <v>495</v>
      </c>
      <c r="M1544" s="1106">
        <v>1.0927</v>
      </c>
      <c r="N1544" s="1921" t="s">
        <v>495</v>
      </c>
      <c r="O1544" s="1106">
        <v>1.5521862361710002</v>
      </c>
      <c r="P1544" s="1921" t="s">
        <v>495</v>
      </c>
      <c r="Q1544" s="1106">
        <v>2.6448862361710002</v>
      </c>
      <c r="R1544" s="1921" t="s">
        <v>495</v>
      </c>
      <c r="S1544" s="1146">
        <v>0</v>
      </c>
      <c r="T1544" s="1146"/>
      <c r="U1544" s="1146">
        <v>62381</v>
      </c>
      <c r="V1544" s="1146"/>
      <c r="W1544" s="1146">
        <v>88613</v>
      </c>
      <c r="X1544" s="1648"/>
      <c r="Y1544" s="1146">
        <v>150994</v>
      </c>
      <c r="Z1544" s="2114">
        <f>C1544-'Blocking-Step2'!C1544</f>
        <v>0</v>
      </c>
      <c r="AA1544" s="2114">
        <f>D1544-'Blocking-Step2'!D1544</f>
        <v>0</v>
      </c>
      <c r="AC1544" s="2114">
        <f>F1544-'Blocking-Step2'!F1544</f>
        <v>0</v>
      </c>
      <c r="AE1544" s="2114">
        <f>H1544-'Blocking-Step2'!H1544</f>
        <v>0</v>
      </c>
      <c r="AF1544" s="2114">
        <f>I1544-'Blocking-Step2'!I1544</f>
        <v>0</v>
      </c>
      <c r="AH1544" s="2136">
        <f>K1544-'Blocking-Step2'!K1544</f>
        <v>0</v>
      </c>
      <c r="AJ1544" s="2136">
        <f>M1544-'Blocking-Step2'!M1544</f>
        <v>0</v>
      </c>
      <c r="AL1544" s="2136">
        <f>O1544-'Blocking-Step2'!O1544</f>
        <v>0</v>
      </c>
      <c r="AN1544" s="2137">
        <f>Q1544-'Blocking-Step2'!Q1544</f>
        <v>0</v>
      </c>
      <c r="AP1544" s="2127">
        <f>S1544-'Blocking-Step2'!S1544</f>
        <v>0</v>
      </c>
      <c r="AR1544" s="2127">
        <f>U1544-'Blocking-Step2'!U1544</f>
        <v>0</v>
      </c>
      <c r="AT1544" s="2127">
        <f>W1544-'Blocking-Step2'!W1544</f>
        <v>0</v>
      </c>
      <c r="AV1544" s="2128">
        <f>Y1544-'Blocking-Step2'!Y1544</f>
        <v>0</v>
      </c>
    </row>
    <row r="1545" spans="1:48">
      <c r="A1545" s="1116" t="s">
        <v>2177</v>
      </c>
      <c r="C1545" s="1105">
        <v>21717553.393300343</v>
      </c>
      <c r="D1545" s="1105">
        <v>22274997.423445866</v>
      </c>
      <c r="F1545" s="1106"/>
      <c r="G1545" s="1921"/>
      <c r="H1545" s="1146"/>
      <c r="I1545" s="1146"/>
      <c r="K1545" s="1106">
        <v>0</v>
      </c>
      <c r="L1545" s="1921" t="s">
        <v>495</v>
      </c>
      <c r="M1545" s="1106">
        <v>1.0927</v>
      </c>
      <c r="N1545" s="1921" t="s">
        <v>495</v>
      </c>
      <c r="O1545" s="1106">
        <v>1.247907288647</v>
      </c>
      <c r="P1545" s="1921" t="s">
        <v>495</v>
      </c>
      <c r="Q1545" s="1106">
        <v>2.340607288647</v>
      </c>
      <c r="R1545" s="1921" t="s">
        <v>495</v>
      </c>
      <c r="S1545" s="1146">
        <v>0</v>
      </c>
      <c r="T1545" s="1146"/>
      <c r="U1545" s="1146">
        <v>243399</v>
      </c>
      <c r="V1545" s="1146"/>
      <c r="W1545" s="1146">
        <v>277971</v>
      </c>
      <c r="X1545" s="1648"/>
      <c r="Y1545" s="1146">
        <v>521370</v>
      </c>
      <c r="Z1545" s="2114">
        <f>C1545-'Blocking-Step2'!C1545</f>
        <v>0</v>
      </c>
      <c r="AA1545" s="2114">
        <f>D1545-'Blocking-Step2'!D1545</f>
        <v>0</v>
      </c>
      <c r="AC1545" s="2114">
        <f>F1545-'Blocking-Step2'!F1545</f>
        <v>0</v>
      </c>
      <c r="AE1545" s="2114">
        <f>H1545-'Blocking-Step2'!H1545</f>
        <v>0</v>
      </c>
      <c r="AF1545" s="2114">
        <f>I1545-'Blocking-Step2'!I1545</f>
        <v>0</v>
      </c>
      <c r="AH1545" s="2136">
        <f>K1545-'Blocking-Step2'!K1545</f>
        <v>0</v>
      </c>
      <c r="AJ1545" s="2136">
        <f>M1545-'Blocking-Step2'!M1545</f>
        <v>0</v>
      </c>
      <c r="AL1545" s="2136">
        <f>O1545-'Blocking-Step2'!O1545</f>
        <v>0</v>
      </c>
      <c r="AN1545" s="2137">
        <f>Q1545-'Blocking-Step2'!Q1545</f>
        <v>0</v>
      </c>
      <c r="AP1545" s="2127">
        <f>S1545-'Blocking-Step2'!S1545</f>
        <v>0</v>
      </c>
      <c r="AR1545" s="2127">
        <f>U1545-'Blocking-Step2'!U1545</f>
        <v>0</v>
      </c>
      <c r="AT1545" s="2127">
        <f>W1545-'Blocking-Step2'!W1545</f>
        <v>0</v>
      </c>
      <c r="AV1545" s="2128">
        <f>Y1545-'Blocking-Step2'!Y1545</f>
        <v>0</v>
      </c>
    </row>
    <row r="1546" spans="1:48">
      <c r="A1546" s="1116" t="s">
        <v>2185</v>
      </c>
      <c r="C1546" s="1105">
        <v>90417</v>
      </c>
      <c r="D1546" s="1105">
        <v>0</v>
      </c>
      <c r="F1546" s="1106"/>
      <c r="G1546" s="1921"/>
      <c r="H1546" s="1146"/>
      <c r="I1546" s="1146"/>
      <c r="K1546" s="1106"/>
      <c r="L1546" s="1921"/>
      <c r="M1546" s="1106"/>
      <c r="N1546" s="1921"/>
      <c r="O1546" s="1106"/>
      <c r="P1546" s="1921"/>
      <c r="Q1546" s="1106"/>
      <c r="R1546" s="1921"/>
      <c r="S1546" s="1648"/>
      <c r="T1546" s="1648"/>
      <c r="U1546" s="1648"/>
      <c r="V1546" s="1648"/>
      <c r="W1546" s="1648"/>
      <c r="X1546" s="1648"/>
      <c r="Y1546" s="1146"/>
      <c r="Z1546" s="2114">
        <f>C1546-'Blocking-Step2'!C1546</f>
        <v>0</v>
      </c>
      <c r="AA1546" s="2114">
        <f>D1546-'Blocking-Step2'!D1546</f>
        <v>0</v>
      </c>
      <c r="AC1546" s="2114">
        <f>F1546-'Blocking-Step2'!F1546</f>
        <v>0</v>
      </c>
      <c r="AE1546" s="2114">
        <f>H1546-'Blocking-Step2'!H1546</f>
        <v>0</v>
      </c>
      <c r="AF1546" s="2114">
        <f>I1546-'Blocking-Step2'!I1546</f>
        <v>0</v>
      </c>
      <c r="AH1546" s="2136">
        <f>K1546-'Blocking-Step2'!K1546</f>
        <v>0</v>
      </c>
      <c r="AJ1546" s="2136">
        <f>M1546-'Blocking-Step2'!M1546</f>
        <v>0</v>
      </c>
      <c r="AL1546" s="2136">
        <f>O1546-'Blocking-Step2'!O1546</f>
        <v>0</v>
      </c>
      <c r="AN1546" s="2137">
        <f>Q1546-'Blocking-Step2'!Q1546</f>
        <v>0</v>
      </c>
      <c r="AP1546" s="2127">
        <f>S1546-'Blocking-Step2'!S1546</f>
        <v>0</v>
      </c>
      <c r="AR1546" s="2127">
        <f>U1546-'Blocking-Step2'!U1546</f>
        <v>0</v>
      </c>
      <c r="AT1546" s="2127">
        <f>W1546-'Blocking-Step2'!W1546</f>
        <v>0</v>
      </c>
      <c r="AV1546" s="2128">
        <f>Y1546-'Blocking-Step2'!Y1546</f>
        <v>0</v>
      </c>
    </row>
    <row r="1547" spans="1:48">
      <c r="A1547" s="1116" t="s">
        <v>2186</v>
      </c>
      <c r="C1547" s="1105">
        <v>143989</v>
      </c>
      <c r="D1547" s="1105">
        <v>0</v>
      </c>
      <c r="F1547" s="1106"/>
      <c r="G1547" s="1921"/>
      <c r="H1547" s="1146"/>
      <c r="I1547" s="1146"/>
      <c r="K1547" s="1106"/>
      <c r="L1547" s="1921"/>
      <c r="M1547" s="1106"/>
      <c r="N1547" s="1921"/>
      <c r="O1547" s="1106"/>
      <c r="P1547" s="1921"/>
      <c r="Q1547" s="1106"/>
      <c r="R1547" s="1921"/>
      <c r="S1547" s="1648"/>
      <c r="T1547" s="1648"/>
      <c r="U1547" s="1648"/>
      <c r="V1547" s="1648"/>
      <c r="W1547" s="1648"/>
      <c r="X1547" s="1648"/>
      <c r="Y1547" s="1146"/>
      <c r="Z1547" s="2114">
        <f>C1547-'Blocking-Step2'!C1547</f>
        <v>0</v>
      </c>
      <c r="AA1547" s="2114">
        <f>D1547-'Blocking-Step2'!D1547</f>
        <v>0</v>
      </c>
      <c r="AC1547" s="2114">
        <f>F1547-'Blocking-Step2'!F1547</f>
        <v>0</v>
      </c>
      <c r="AE1547" s="2114">
        <f>H1547-'Blocking-Step2'!H1547</f>
        <v>0</v>
      </c>
      <c r="AF1547" s="2114">
        <f>I1547-'Blocking-Step2'!I1547</f>
        <v>0</v>
      </c>
      <c r="AH1547" s="2136">
        <f>K1547-'Blocking-Step2'!K1547</f>
        <v>0</v>
      </c>
      <c r="AJ1547" s="2136">
        <f>M1547-'Blocking-Step2'!M1547</f>
        <v>0</v>
      </c>
      <c r="AL1547" s="2136">
        <f>O1547-'Blocking-Step2'!O1547</f>
        <v>0</v>
      </c>
      <c r="AN1547" s="2137">
        <f>Q1547-'Blocking-Step2'!Q1547</f>
        <v>0</v>
      </c>
      <c r="AP1547" s="2127">
        <f>S1547-'Blocking-Step2'!S1547</f>
        <v>0</v>
      </c>
      <c r="AR1547" s="2127">
        <f>U1547-'Blocking-Step2'!U1547</f>
        <v>0</v>
      </c>
      <c r="AT1547" s="2127">
        <f>W1547-'Blocking-Step2'!W1547</f>
        <v>0</v>
      </c>
      <c r="AV1547" s="2128">
        <f>Y1547-'Blocking-Step2'!Y1547</f>
        <v>0</v>
      </c>
    </row>
    <row r="1548" spans="1:48">
      <c r="A1548" s="1116" t="s">
        <v>2187</v>
      </c>
      <c r="C1548" s="1105">
        <v>9439613</v>
      </c>
      <c r="D1548" s="1105">
        <v>0</v>
      </c>
      <c r="F1548" s="1106"/>
      <c r="G1548" s="1921"/>
      <c r="H1548" s="1146"/>
      <c r="I1548" s="1146"/>
      <c r="K1548" s="1106"/>
      <c r="L1548" s="1921"/>
      <c r="M1548" s="1106"/>
      <c r="N1548" s="1921"/>
      <c r="O1548" s="1106"/>
      <c r="P1548" s="1921"/>
      <c r="Q1548" s="1106"/>
      <c r="R1548" s="1921"/>
      <c r="S1548" s="1648"/>
      <c r="T1548" s="1648"/>
      <c r="U1548" s="1648"/>
      <c r="V1548" s="1648"/>
      <c r="W1548" s="1648"/>
      <c r="X1548" s="1648"/>
      <c r="Y1548" s="1146"/>
      <c r="Z1548" s="2114">
        <f>C1548-'Blocking-Step2'!C1548</f>
        <v>0</v>
      </c>
      <c r="AA1548" s="2114">
        <f>D1548-'Blocking-Step2'!D1548</f>
        <v>0</v>
      </c>
      <c r="AC1548" s="2114">
        <f>F1548-'Blocking-Step2'!F1548</f>
        <v>0</v>
      </c>
      <c r="AE1548" s="2114">
        <f>H1548-'Blocking-Step2'!H1548</f>
        <v>0</v>
      </c>
      <c r="AF1548" s="2114">
        <f>I1548-'Blocking-Step2'!I1548</f>
        <v>0</v>
      </c>
      <c r="AH1548" s="2136">
        <f>K1548-'Blocking-Step2'!K1548</f>
        <v>0</v>
      </c>
      <c r="AJ1548" s="2136">
        <f>M1548-'Blocking-Step2'!M1548</f>
        <v>0</v>
      </c>
      <c r="AL1548" s="2136">
        <f>O1548-'Blocking-Step2'!O1548</f>
        <v>0</v>
      </c>
      <c r="AN1548" s="2137">
        <f>Q1548-'Blocking-Step2'!Q1548</f>
        <v>0</v>
      </c>
      <c r="AP1548" s="2127">
        <f>S1548-'Blocking-Step2'!S1548</f>
        <v>0</v>
      </c>
      <c r="AR1548" s="2127">
        <f>U1548-'Blocking-Step2'!U1548</f>
        <v>0</v>
      </c>
      <c r="AT1548" s="2127">
        <f>W1548-'Blocking-Step2'!W1548</f>
        <v>0</v>
      </c>
      <c r="AV1548" s="2128">
        <f>Y1548-'Blocking-Step2'!Y1548</f>
        <v>0</v>
      </c>
    </row>
    <row r="1549" spans="1:48">
      <c r="A1549" s="1116" t="s">
        <v>2188</v>
      </c>
      <c r="C1549" s="1105">
        <v>13674986</v>
      </c>
      <c r="D1549" s="1105">
        <v>0</v>
      </c>
      <c r="F1549" s="1106"/>
      <c r="G1549" s="1921"/>
      <c r="H1549" s="1146"/>
      <c r="I1549" s="1146"/>
      <c r="K1549" s="1106"/>
      <c r="L1549" s="1921"/>
      <c r="M1549" s="1106"/>
      <c r="N1549" s="1921"/>
      <c r="O1549" s="1106"/>
      <c r="P1549" s="1921"/>
      <c r="Q1549" s="1106"/>
      <c r="R1549" s="1921"/>
      <c r="S1549" s="1648"/>
      <c r="T1549" s="1648"/>
      <c r="U1549" s="1648"/>
      <c r="V1549" s="1648"/>
      <c r="W1549" s="1648"/>
      <c r="X1549" s="1648"/>
      <c r="Y1549" s="1146"/>
      <c r="Z1549" s="2114">
        <f>C1549-'Blocking-Step2'!C1549</f>
        <v>0</v>
      </c>
      <c r="AA1549" s="2114">
        <f>D1549-'Blocking-Step2'!D1549</f>
        <v>0</v>
      </c>
      <c r="AC1549" s="2114">
        <f>F1549-'Blocking-Step2'!F1549</f>
        <v>0</v>
      </c>
      <c r="AE1549" s="2114">
        <f>H1549-'Blocking-Step2'!H1549</f>
        <v>0</v>
      </c>
      <c r="AF1549" s="2114">
        <f>I1549-'Blocking-Step2'!I1549</f>
        <v>0</v>
      </c>
      <c r="AH1549" s="2136">
        <f>K1549-'Blocking-Step2'!K1549</f>
        <v>0</v>
      </c>
      <c r="AJ1549" s="2136">
        <f>M1549-'Blocking-Step2'!M1549</f>
        <v>0</v>
      </c>
      <c r="AL1549" s="2136">
        <f>O1549-'Blocking-Step2'!O1549</f>
        <v>0</v>
      </c>
      <c r="AN1549" s="2137">
        <f>Q1549-'Blocking-Step2'!Q1549</f>
        <v>0</v>
      </c>
      <c r="AP1549" s="2127">
        <f>S1549-'Blocking-Step2'!S1549</f>
        <v>0</v>
      </c>
      <c r="AR1549" s="2127">
        <f>U1549-'Blocking-Step2'!U1549</f>
        <v>0</v>
      </c>
      <c r="AT1549" s="2127">
        <f>W1549-'Blocking-Step2'!W1549</f>
        <v>0</v>
      </c>
      <c r="AV1549" s="2128">
        <f>Y1549-'Blocking-Step2'!Y1549</f>
        <v>0</v>
      </c>
    </row>
    <row r="1550" spans="1:48">
      <c r="A1550" s="1116" t="s">
        <v>2189</v>
      </c>
      <c r="C1550" s="1105">
        <v>6528100</v>
      </c>
      <c r="D1550" s="1105">
        <v>0</v>
      </c>
      <c r="F1550" s="1106"/>
      <c r="G1550" s="1921"/>
      <c r="H1550" s="1146"/>
      <c r="I1550" s="1146"/>
      <c r="K1550" s="1106"/>
      <c r="L1550" s="1921"/>
      <c r="M1550" s="1106"/>
      <c r="N1550" s="1921"/>
      <c r="O1550" s="1106"/>
      <c r="P1550" s="1921"/>
      <c r="Q1550" s="1106"/>
      <c r="R1550" s="1921"/>
      <c r="S1550" s="1648"/>
      <c r="T1550" s="1648"/>
      <c r="U1550" s="1648"/>
      <c r="V1550" s="1648"/>
      <c r="W1550" s="1648"/>
      <c r="X1550" s="1648"/>
      <c r="Y1550" s="1146"/>
      <c r="Z1550" s="2114">
        <f>C1550-'Blocking-Step2'!C1550</f>
        <v>0</v>
      </c>
      <c r="AA1550" s="2114">
        <f>D1550-'Blocking-Step2'!D1550</f>
        <v>0</v>
      </c>
      <c r="AC1550" s="2114">
        <f>F1550-'Blocking-Step2'!F1550</f>
        <v>0</v>
      </c>
      <c r="AE1550" s="2114">
        <f>H1550-'Blocking-Step2'!H1550</f>
        <v>0</v>
      </c>
      <c r="AF1550" s="2114">
        <f>I1550-'Blocking-Step2'!I1550</f>
        <v>0</v>
      </c>
      <c r="AH1550" s="2136">
        <f>K1550-'Blocking-Step2'!K1550</f>
        <v>0</v>
      </c>
      <c r="AJ1550" s="2136">
        <f>M1550-'Blocking-Step2'!M1550</f>
        <v>0</v>
      </c>
      <c r="AL1550" s="2136">
        <f>O1550-'Blocking-Step2'!O1550</f>
        <v>0</v>
      </c>
      <c r="AN1550" s="2137">
        <f>Q1550-'Blocking-Step2'!Q1550</f>
        <v>0</v>
      </c>
      <c r="AP1550" s="2127">
        <f>S1550-'Blocking-Step2'!S1550</f>
        <v>0</v>
      </c>
      <c r="AR1550" s="2127">
        <f>U1550-'Blocking-Step2'!U1550</f>
        <v>0</v>
      </c>
      <c r="AT1550" s="2127">
        <f>W1550-'Blocking-Step2'!W1550</f>
        <v>0</v>
      </c>
      <c r="AV1550" s="2128">
        <f>Y1550-'Blocking-Step2'!Y1550</f>
        <v>0</v>
      </c>
    </row>
    <row r="1551" spans="1:48">
      <c r="A1551" s="1116" t="s">
        <v>2190</v>
      </c>
      <c r="C1551" s="1105">
        <v>10898252</v>
      </c>
      <c r="D1551" s="1105">
        <v>0</v>
      </c>
      <c r="F1551" s="1106"/>
      <c r="G1551" s="1921"/>
      <c r="H1551" s="1146"/>
      <c r="I1551" s="1146"/>
      <c r="K1551" s="1106"/>
      <c r="L1551" s="1921"/>
      <c r="M1551" s="1106"/>
      <c r="N1551" s="1921"/>
      <c r="O1551" s="1106"/>
      <c r="P1551" s="1921"/>
      <c r="Q1551" s="1106"/>
      <c r="R1551" s="1921"/>
      <c r="S1551" s="1648"/>
      <c r="T1551" s="1648"/>
      <c r="U1551" s="1648"/>
      <c r="V1551" s="1648"/>
      <c r="W1551" s="1648"/>
      <c r="X1551" s="1648"/>
      <c r="Y1551" s="1146"/>
      <c r="Z1551" s="2114">
        <f>C1551-'Blocking-Step2'!C1551</f>
        <v>0</v>
      </c>
      <c r="AA1551" s="2114">
        <f>D1551-'Blocking-Step2'!D1551</f>
        <v>0</v>
      </c>
      <c r="AC1551" s="2114">
        <f>F1551-'Blocking-Step2'!F1551</f>
        <v>0</v>
      </c>
      <c r="AE1551" s="2114">
        <f>H1551-'Blocking-Step2'!H1551</f>
        <v>0</v>
      </c>
      <c r="AF1551" s="2114">
        <f>I1551-'Blocking-Step2'!I1551</f>
        <v>0</v>
      </c>
      <c r="AH1551" s="2136">
        <f>K1551-'Blocking-Step2'!K1551</f>
        <v>0</v>
      </c>
      <c r="AJ1551" s="2136">
        <f>M1551-'Blocking-Step2'!M1551</f>
        <v>0</v>
      </c>
      <c r="AL1551" s="2136">
        <f>O1551-'Blocking-Step2'!O1551</f>
        <v>0</v>
      </c>
      <c r="AN1551" s="2137">
        <f>Q1551-'Blocking-Step2'!Q1551</f>
        <v>0</v>
      </c>
      <c r="AP1551" s="2127">
        <f>S1551-'Blocking-Step2'!S1551</f>
        <v>0</v>
      </c>
      <c r="AR1551" s="2127">
        <f>U1551-'Blocking-Step2'!U1551</f>
        <v>0</v>
      </c>
      <c r="AT1551" s="2127">
        <f>W1551-'Blocking-Step2'!W1551</f>
        <v>0</v>
      </c>
      <c r="AV1551" s="2128">
        <f>Y1551-'Blocking-Step2'!Y1551</f>
        <v>0</v>
      </c>
    </row>
    <row r="1552" spans="1:48">
      <c r="A1552" s="1116" t="s">
        <v>248</v>
      </c>
      <c r="C1552" s="1105">
        <v>23114599</v>
      </c>
      <c r="D1552" s="1105">
        <v>23854513</v>
      </c>
      <c r="F1552" s="1922">
        <v>8.6029</v>
      </c>
      <c r="G1552" s="1921" t="s">
        <v>495</v>
      </c>
      <c r="H1552" s="1146">
        <v>1988526</v>
      </c>
      <c r="I1552" s="1146">
        <v>2052180</v>
      </c>
      <c r="K1552" s="1922"/>
      <c r="L1552" s="1921"/>
      <c r="M1552" s="1922"/>
      <c r="N1552" s="1921"/>
      <c r="O1552" s="1922"/>
      <c r="P1552" s="1921"/>
      <c r="Q1552" s="1922"/>
      <c r="R1552" s="1921"/>
      <c r="S1552" s="1648"/>
      <c r="T1552" s="1648"/>
      <c r="U1552" s="1648"/>
      <c r="V1552" s="1648"/>
      <c r="W1552" s="1648"/>
      <c r="X1552" s="1648"/>
      <c r="Y1552" s="1146"/>
      <c r="Z1552" s="2114">
        <f>C1552-'Blocking-Step2'!C1552</f>
        <v>0</v>
      </c>
      <c r="AA1552" s="2114">
        <f>D1552-'Blocking-Step2'!D1552</f>
        <v>0</v>
      </c>
      <c r="AC1552" s="2114">
        <f>F1552-'Blocking-Step2'!F1552</f>
        <v>0</v>
      </c>
      <c r="AE1552" s="2114">
        <f>H1552-'Blocking-Step2'!H1552</f>
        <v>0</v>
      </c>
      <c r="AF1552" s="2114">
        <f>I1552-'Blocking-Step2'!I1552</f>
        <v>0</v>
      </c>
      <c r="AH1552" s="2136">
        <f>K1552-'Blocking-Step2'!K1552</f>
        <v>0</v>
      </c>
      <c r="AJ1552" s="2136">
        <f>M1552-'Blocking-Step2'!M1552</f>
        <v>0</v>
      </c>
      <c r="AL1552" s="2136">
        <f>O1552-'Blocking-Step2'!O1552</f>
        <v>0</v>
      </c>
      <c r="AN1552" s="2137">
        <f>Q1552-'Blocking-Step2'!Q1552</f>
        <v>0</v>
      </c>
      <c r="AP1552" s="2127">
        <f>S1552-'Blocking-Step2'!S1552</f>
        <v>0</v>
      </c>
      <c r="AR1552" s="2127">
        <f>U1552-'Blocking-Step2'!U1552</f>
        <v>0</v>
      </c>
      <c r="AT1552" s="2127">
        <f>W1552-'Blocking-Step2'!W1552</f>
        <v>0</v>
      </c>
      <c r="AV1552" s="2128">
        <f>Y1552-'Blocking-Step2'!Y1552</f>
        <v>0</v>
      </c>
    </row>
    <row r="1553" spans="1:48">
      <c r="A1553" s="1116" t="s">
        <v>249</v>
      </c>
      <c r="C1553" s="1105">
        <v>17426352</v>
      </c>
      <c r="D1553" s="1105">
        <v>18085775</v>
      </c>
      <c r="F1553" s="1922">
        <v>3.6981000000000002</v>
      </c>
      <c r="G1553" s="1921" t="s">
        <v>495</v>
      </c>
      <c r="H1553" s="1146">
        <v>644444</v>
      </c>
      <c r="I1553" s="1146">
        <v>668830</v>
      </c>
      <c r="K1553" s="1922"/>
      <c r="L1553" s="1921"/>
      <c r="M1553" s="1922"/>
      <c r="N1553" s="1921"/>
      <c r="O1553" s="1922"/>
      <c r="P1553" s="1921"/>
      <c r="Q1553" s="1922"/>
      <c r="R1553" s="1921"/>
      <c r="S1553" s="1648"/>
      <c r="T1553" s="1648"/>
      <c r="U1553" s="1648"/>
      <c r="V1553" s="1648"/>
      <c r="W1553" s="1648"/>
      <c r="X1553" s="1648"/>
      <c r="Y1553" s="1146"/>
      <c r="Z1553" s="2114">
        <f>C1553-'Blocking-Step2'!C1553</f>
        <v>0</v>
      </c>
      <c r="AA1553" s="2114">
        <f>D1553-'Blocking-Step2'!D1553</f>
        <v>0</v>
      </c>
      <c r="AC1553" s="2114">
        <f>F1553-'Blocking-Step2'!F1553</f>
        <v>0</v>
      </c>
      <c r="AE1553" s="2114">
        <f>H1553-'Blocking-Step2'!H1553</f>
        <v>0</v>
      </c>
      <c r="AF1553" s="2114">
        <f>I1553-'Blocking-Step2'!I1553</f>
        <v>0</v>
      </c>
      <c r="AH1553" s="2136">
        <f>K1553-'Blocking-Step2'!K1553</f>
        <v>0</v>
      </c>
      <c r="AJ1553" s="2136">
        <f>M1553-'Blocking-Step2'!M1553</f>
        <v>0</v>
      </c>
      <c r="AL1553" s="2136">
        <f>O1553-'Blocking-Step2'!O1553</f>
        <v>0</v>
      </c>
      <c r="AN1553" s="2137">
        <f>Q1553-'Blocking-Step2'!Q1553</f>
        <v>0</v>
      </c>
      <c r="AP1553" s="2127">
        <f>S1553-'Blocking-Step2'!S1553</f>
        <v>0</v>
      </c>
      <c r="AR1553" s="2127">
        <f>U1553-'Blocking-Step2'!U1553</f>
        <v>0</v>
      </c>
      <c r="AT1553" s="2127">
        <f>W1553-'Blocking-Step2'!W1553</f>
        <v>0</v>
      </c>
      <c r="AV1553" s="2128">
        <f>Y1553-'Blocking-Step2'!Y1553</f>
        <v>0</v>
      </c>
    </row>
    <row r="1554" spans="1:48">
      <c r="A1554" s="1116" t="s">
        <v>246</v>
      </c>
      <c r="C1554" s="1940">
        <v>-164095</v>
      </c>
      <c r="D1554" s="1940">
        <v>0</v>
      </c>
      <c r="H1554" s="1147">
        <v>-14979</v>
      </c>
      <c r="I1554" s="1147">
        <v>0</v>
      </c>
      <c r="Y1554" s="1147"/>
      <c r="Z1554" s="2114">
        <f>C1554-'Blocking-Step2'!C1554</f>
        <v>0</v>
      </c>
      <c r="AA1554" s="2114">
        <f>D1554-'Blocking-Step2'!D1554</f>
        <v>0</v>
      </c>
      <c r="AC1554" s="2114">
        <f>F1554-'Blocking-Step2'!F1554</f>
        <v>0</v>
      </c>
      <c r="AE1554" s="2114">
        <f>H1554-'Blocking-Step2'!H1554</f>
        <v>0</v>
      </c>
      <c r="AF1554" s="2114">
        <f>I1554-'Blocking-Step2'!I1554</f>
        <v>0</v>
      </c>
      <c r="AH1554" s="2136">
        <f>K1554-'Blocking-Step2'!K1554</f>
        <v>0</v>
      </c>
      <c r="AJ1554" s="2136">
        <f>M1554-'Blocking-Step2'!M1554</f>
        <v>0</v>
      </c>
      <c r="AL1554" s="2136">
        <f>O1554-'Blocking-Step2'!O1554</f>
        <v>0</v>
      </c>
      <c r="AN1554" s="2137">
        <f>Q1554-'Blocking-Step2'!Q1554</f>
        <v>0</v>
      </c>
      <c r="AP1554" s="2127">
        <f>S1554-'Blocking-Step2'!S1554</f>
        <v>0</v>
      </c>
      <c r="AR1554" s="2127">
        <f>U1554-'Blocking-Step2'!U1554</f>
        <v>0</v>
      </c>
      <c r="AT1554" s="2127">
        <f>W1554-'Blocking-Step2'!W1554</f>
        <v>0</v>
      </c>
      <c r="AV1554" s="2128">
        <f>Y1554-'Blocking-Step2'!Y1554</f>
        <v>0</v>
      </c>
    </row>
    <row r="1555" spans="1:48">
      <c r="A1555" s="1116" t="s">
        <v>1240</v>
      </c>
      <c r="C1555" s="1024"/>
      <c r="D1555" s="1024"/>
      <c r="F1555" s="2076">
        <v>-3.4099999999999998E-2</v>
      </c>
      <c r="G1555" s="617"/>
      <c r="H1555" s="1146">
        <v>-89784.277000000002</v>
      </c>
      <c r="I1555" s="1146">
        <v>-92786.440999999992</v>
      </c>
      <c r="K1555" s="2076"/>
      <c r="L1555" s="617"/>
      <c r="M1555" s="2076"/>
      <c r="N1555" s="617"/>
      <c r="O1555" s="2077" t="s">
        <v>2323</v>
      </c>
      <c r="P1555" s="617"/>
      <c r="Q1555" s="2076">
        <v>-2.5700000000000001E-2</v>
      </c>
      <c r="R1555" s="617"/>
      <c r="S1555" s="1114"/>
      <c r="T1555" s="1114"/>
      <c r="U1555" s="1114"/>
      <c r="V1555" s="1114"/>
      <c r="W1555" s="1114"/>
      <c r="X1555" s="1114"/>
      <c r="Y1555" s="1146">
        <v>-62617.536</v>
      </c>
      <c r="Z1555" s="2114">
        <f>C1555-'Blocking-Step2'!C1555</f>
        <v>0</v>
      </c>
      <c r="AA1555" s="2114">
        <f>D1555-'Blocking-Step2'!D1555</f>
        <v>0</v>
      </c>
      <c r="AC1555" s="2114">
        <f>F1555-'Blocking-Step2'!F1555</f>
        <v>0</v>
      </c>
      <c r="AE1555" s="2114">
        <f>H1555-'Blocking-Step2'!H1555</f>
        <v>0</v>
      </c>
      <c r="AF1555" s="2114">
        <f>I1555-'Blocking-Step2'!I1555</f>
        <v>0</v>
      </c>
      <c r="AH1555" s="2136">
        <f>K1555-'Blocking-Step2'!K1555</f>
        <v>0</v>
      </c>
      <c r="AJ1555" s="2136">
        <f>M1555-'Blocking-Step2'!M1555</f>
        <v>0</v>
      </c>
      <c r="AL1555" s="2136" t="e">
        <f>O1555-'Blocking-Step2'!O1555</f>
        <v>#VALUE!</v>
      </c>
      <c r="AN1555" s="2137">
        <f>Q1555-'Blocking-Step2'!Q1555</f>
        <v>0</v>
      </c>
      <c r="AP1555" s="2127">
        <f>S1555-'Blocking-Step2'!S1555</f>
        <v>0</v>
      </c>
      <c r="AR1555" s="2127">
        <f>U1555-'Blocking-Step2'!U1555</f>
        <v>0</v>
      </c>
      <c r="AT1555" s="2127">
        <f>W1555-'Blocking-Step2'!W1555</f>
        <v>0</v>
      </c>
      <c r="AV1555" s="2128">
        <f>Y1555-'Blocking-Step2'!Y1555</f>
        <v>0</v>
      </c>
    </row>
    <row r="1556" spans="1:48">
      <c r="A1556" s="1116"/>
      <c r="C1556" s="1024"/>
      <c r="D1556" s="1024"/>
      <c r="F1556" s="2076"/>
      <c r="G1556" s="617"/>
      <c r="H1556" s="1146"/>
      <c r="I1556" s="1146"/>
      <c r="K1556" s="2076"/>
      <c r="L1556" s="617"/>
      <c r="M1556" s="2076"/>
      <c r="N1556" s="617"/>
      <c r="O1556" s="2077" t="s">
        <v>2324</v>
      </c>
      <c r="P1556" s="617"/>
      <c r="Q1556" s="2076">
        <v>-1.3899999999999999E-2</v>
      </c>
      <c r="R1556" s="617"/>
      <c r="S1556" s="1114"/>
      <c r="T1556" s="1114"/>
      <c r="U1556" s="1114"/>
      <c r="V1556" s="1114"/>
      <c r="W1556" s="1114"/>
      <c r="X1556" s="1114"/>
      <c r="Y1556" s="1146">
        <v>-33867.072</v>
      </c>
      <c r="Z1556" s="2114">
        <f>C1556-'Blocking-Step2'!C1556</f>
        <v>0</v>
      </c>
      <c r="AA1556" s="2114">
        <f>D1556-'Blocking-Step2'!D1556</f>
        <v>0</v>
      </c>
      <c r="AC1556" s="2114">
        <f>F1556-'Blocking-Step2'!F1556</f>
        <v>0</v>
      </c>
      <c r="AE1556" s="2114">
        <f>H1556-'Blocking-Step2'!H1556</f>
        <v>0</v>
      </c>
      <c r="AF1556" s="2114">
        <f>I1556-'Blocking-Step2'!I1556</f>
        <v>0</v>
      </c>
      <c r="AH1556" s="2136">
        <f>K1556-'Blocking-Step2'!K1556</f>
        <v>0</v>
      </c>
      <c r="AJ1556" s="2136">
        <f>M1556-'Blocking-Step2'!M1556</f>
        <v>0</v>
      </c>
      <c r="AL1556" s="2136" t="e">
        <f>O1556-'Blocking-Step2'!O1556</f>
        <v>#VALUE!</v>
      </c>
      <c r="AN1556" s="2137">
        <f>Q1556-'Blocking-Step2'!Q1556</f>
        <v>0</v>
      </c>
      <c r="AP1556" s="2127">
        <f>S1556-'Blocking-Step2'!S1556</f>
        <v>0</v>
      </c>
      <c r="AR1556" s="2127">
        <f>U1556-'Blocking-Step2'!U1556</f>
        <v>0</v>
      </c>
      <c r="AT1556" s="2127">
        <f>W1556-'Blocking-Step2'!W1556</f>
        <v>0</v>
      </c>
      <c r="AV1556" s="2128">
        <f>Y1556-'Blocking-Step2'!Y1556</f>
        <v>0</v>
      </c>
    </row>
    <row r="1557" spans="1:48" ht="16.5" thickBot="1">
      <c r="A1557" s="1116" t="s">
        <v>247</v>
      </c>
      <c r="C1557" s="1138">
        <v>40376856</v>
      </c>
      <c r="D1557" s="1138">
        <v>41940288</v>
      </c>
      <c r="F1557" s="1145"/>
      <c r="H1557" s="1149">
        <v>3076559.7230000002</v>
      </c>
      <c r="I1557" s="1149">
        <v>3195848.5589999999</v>
      </c>
      <c r="K1557" s="1145"/>
      <c r="M1557" s="1145"/>
      <c r="O1557" s="1145"/>
      <c r="Q1557" s="1145"/>
      <c r="S1557" s="1149">
        <v>-4546</v>
      </c>
      <c r="U1557" s="1149">
        <v>2131596</v>
      </c>
      <c r="W1557" s="1149">
        <v>897582</v>
      </c>
      <c r="Y1557" s="1149">
        <v>3024632</v>
      </c>
      <c r="Z1557" s="2114">
        <f>C1557-'Blocking-Step2'!C1557</f>
        <v>0</v>
      </c>
      <c r="AA1557" s="2114">
        <f>D1557-'Blocking-Step2'!D1557</f>
        <v>0</v>
      </c>
      <c r="AC1557" s="2114">
        <f>F1557-'Blocking-Step2'!F1557</f>
        <v>0</v>
      </c>
      <c r="AE1557" s="2114">
        <f>H1557-'Blocking-Step2'!H1557</f>
        <v>0</v>
      </c>
      <c r="AF1557" s="2114">
        <f>I1557-'Blocking-Step2'!I1557</f>
        <v>0</v>
      </c>
      <c r="AH1557" s="2136">
        <f>K1557-'Blocking-Step2'!K1557</f>
        <v>0</v>
      </c>
      <c r="AJ1557" s="2136">
        <f>M1557-'Blocking-Step2'!M1557</f>
        <v>0</v>
      </c>
      <c r="AL1557" s="2136">
        <f>O1557-'Blocking-Step2'!O1557</f>
        <v>0</v>
      </c>
      <c r="AN1557" s="2137">
        <f>Q1557-'Blocking-Step2'!Q1557</f>
        <v>0</v>
      </c>
      <c r="AP1557" s="2127">
        <f>S1557-'Blocking-Step2'!S1557</f>
        <v>-951114</v>
      </c>
      <c r="AR1557" s="2127">
        <f>U1557-'Blocking-Step2'!U1557</f>
        <v>951115</v>
      </c>
      <c r="AT1557" s="2127">
        <f>W1557-'Blocking-Step2'!W1557</f>
        <v>0</v>
      </c>
      <c r="AV1557" s="2128">
        <f>Y1557-'Blocking-Step2'!Y1557</f>
        <v>0</v>
      </c>
    </row>
    <row r="1558" spans="1:48" ht="16.5" hidden="1" thickTop="1">
      <c r="C1558" s="1105"/>
      <c r="D1558" s="1105"/>
      <c r="Z1558" s="2114">
        <f>C1558-'Blocking-Step2'!C1558</f>
        <v>0</v>
      </c>
      <c r="AA1558" s="2114">
        <f>D1558-'Blocking-Step2'!D1558</f>
        <v>0</v>
      </c>
      <c r="AC1558" s="2114">
        <f>F1558-'Blocking-Step2'!F1558</f>
        <v>0</v>
      </c>
      <c r="AE1558" s="2114">
        <f>H1558-'Blocking-Step2'!H1558</f>
        <v>0</v>
      </c>
      <c r="AF1558" s="2114">
        <f>I1558-'Blocking-Step2'!I1558</f>
        <v>0</v>
      </c>
      <c r="AH1558" s="2136">
        <f>K1558-'Blocking-Step2'!K1558</f>
        <v>0</v>
      </c>
      <c r="AJ1558" s="2136">
        <f>M1558-'Blocking-Step2'!M1558</f>
        <v>0</v>
      </c>
      <c r="AL1558" s="2136">
        <f>O1558-'Blocking-Step2'!O1558</f>
        <v>0</v>
      </c>
      <c r="AN1558" s="2137">
        <f>Q1558-'Blocking-Step2'!Q1558</f>
        <v>0</v>
      </c>
      <c r="AP1558" s="2127">
        <f>S1558-'Blocking-Step2'!S1558</f>
        <v>0</v>
      </c>
      <c r="AR1558" s="2127">
        <f>U1558-'Blocking-Step2'!U1558</f>
        <v>0</v>
      </c>
      <c r="AT1558" s="2127">
        <f>W1558-'Blocking-Step2'!W1558</f>
        <v>0</v>
      </c>
      <c r="AV1558" s="2128">
        <f>Y1558-'Blocking-Step2'!Y1558</f>
        <v>0</v>
      </c>
    </row>
    <row r="1559" spans="1:48" ht="16.5" hidden="1" thickTop="1">
      <c r="A1559" s="1115" t="s">
        <v>564</v>
      </c>
      <c r="C1559" s="1105"/>
      <c r="D1559" s="1105"/>
      <c r="F1559" s="1106"/>
      <c r="G1559" s="1107"/>
      <c r="K1559" s="1106"/>
      <c r="L1559" s="1107"/>
      <c r="M1559" s="1106"/>
      <c r="N1559" s="1107"/>
      <c r="O1559" s="1106"/>
      <c r="P1559" s="1107"/>
      <c r="Q1559" s="1106"/>
      <c r="R1559" s="1107"/>
      <c r="S1559" s="1114"/>
      <c r="T1559" s="1114"/>
      <c r="U1559" s="1114"/>
      <c r="V1559" s="1114"/>
      <c r="W1559" s="1114"/>
      <c r="X1559" s="1114"/>
      <c r="Z1559" s="2114">
        <f>C1559-'Blocking-Step2'!C1559</f>
        <v>0</v>
      </c>
      <c r="AA1559" s="2114">
        <f>D1559-'Blocking-Step2'!D1559</f>
        <v>0</v>
      </c>
      <c r="AC1559" s="2114">
        <f>F1559-'Blocking-Step2'!F1559</f>
        <v>0</v>
      </c>
      <c r="AE1559" s="2114">
        <f>H1559-'Blocking-Step2'!H1559</f>
        <v>0</v>
      </c>
      <c r="AF1559" s="2114">
        <f>I1559-'Blocking-Step2'!I1559</f>
        <v>0</v>
      </c>
      <c r="AH1559" s="2136">
        <f>K1559-'Blocking-Step2'!K1559</f>
        <v>0</v>
      </c>
      <c r="AJ1559" s="2136">
        <f>M1559-'Blocking-Step2'!M1559</f>
        <v>0</v>
      </c>
      <c r="AL1559" s="2136">
        <f>O1559-'Blocking-Step2'!O1559</f>
        <v>0</v>
      </c>
      <c r="AN1559" s="2137">
        <f>Q1559-'Blocking-Step2'!Q1559</f>
        <v>0</v>
      </c>
      <c r="AP1559" s="2127">
        <f>S1559-'Blocking-Step2'!S1559</f>
        <v>0</v>
      </c>
      <c r="AR1559" s="2127">
        <f>U1559-'Blocking-Step2'!U1559</f>
        <v>0</v>
      </c>
      <c r="AT1559" s="2127">
        <f>W1559-'Blocking-Step2'!W1559</f>
        <v>0</v>
      </c>
      <c r="AV1559" s="2128">
        <f>Y1559-'Blocking-Step2'!Y1559</f>
        <v>0</v>
      </c>
    </row>
    <row r="1560" spans="1:48" ht="16.5" hidden="1" thickTop="1">
      <c r="A1560" s="1116" t="s">
        <v>240</v>
      </c>
      <c r="C1560" s="1105">
        <v>24</v>
      </c>
      <c r="D1560" s="1105">
        <v>24</v>
      </c>
      <c r="F1560" s="1907">
        <v>259</v>
      </c>
      <c r="G1560" s="1110"/>
      <c r="H1560" s="1146">
        <v>6216</v>
      </c>
      <c r="I1560" s="1146">
        <v>6216</v>
      </c>
      <c r="K1560" s="1907">
        <v>-42.09</v>
      </c>
      <c r="L1560" s="1110"/>
      <c r="M1560" s="1907">
        <v>311.09000000000003</v>
      </c>
      <c r="N1560" s="1110"/>
      <c r="O1560" s="1907">
        <v>0</v>
      </c>
      <c r="P1560" s="1110"/>
      <c r="Q1560" s="1907">
        <v>269</v>
      </c>
      <c r="R1560" s="1110"/>
      <c r="S1560" s="1146">
        <v>-1010</v>
      </c>
      <c r="T1560" s="1146"/>
      <c r="U1560" s="1146">
        <v>7466</v>
      </c>
      <c r="V1560" s="1146"/>
      <c r="W1560" s="1146">
        <v>0</v>
      </c>
      <c r="X1560" s="1629"/>
      <c r="Y1560" s="1146">
        <v>6456</v>
      </c>
      <c r="Z1560" s="2114">
        <f>C1560-'Blocking-Step2'!C1560</f>
        <v>0</v>
      </c>
      <c r="AA1560" s="2114">
        <f>D1560-'Blocking-Step2'!D1560</f>
        <v>0</v>
      </c>
      <c r="AC1560" s="2114">
        <f>F1560-'Blocking-Step2'!F1560</f>
        <v>0</v>
      </c>
      <c r="AE1560" s="2114">
        <f>H1560-'Blocking-Step2'!H1560</f>
        <v>0</v>
      </c>
      <c r="AF1560" s="2114">
        <f>I1560-'Blocking-Step2'!I1560</f>
        <v>0</v>
      </c>
      <c r="AH1560" s="2136">
        <f>K1560-'Blocking-Step2'!K1560</f>
        <v>-311.09000000000003</v>
      </c>
      <c r="AJ1560" s="2136">
        <f>M1560-'Blocking-Step2'!M1560</f>
        <v>311.09000000000003</v>
      </c>
      <c r="AL1560" s="2136">
        <f>O1560-'Blocking-Step2'!O1560</f>
        <v>0</v>
      </c>
      <c r="AN1560" s="2137">
        <f>Q1560-'Blocking-Step2'!Q1560</f>
        <v>0</v>
      </c>
      <c r="AP1560" s="2127">
        <f>S1560-'Blocking-Step2'!S1560</f>
        <v>-7466</v>
      </c>
      <c r="AR1560" s="2127">
        <f>U1560-'Blocking-Step2'!U1560</f>
        <v>7466</v>
      </c>
      <c r="AT1560" s="2127">
        <f>W1560-'Blocking-Step2'!W1560</f>
        <v>0</v>
      </c>
      <c r="AV1560" s="2128">
        <f>Y1560-'Blocking-Step2'!Y1560</f>
        <v>0</v>
      </c>
    </row>
    <row r="1561" spans="1:48" ht="16.5" hidden="1" thickTop="1">
      <c r="A1561" s="1116" t="s">
        <v>305</v>
      </c>
      <c r="C1561" s="1105">
        <v>72449</v>
      </c>
      <c r="D1561" s="1105">
        <v>75455</v>
      </c>
      <c r="F1561" s="1907">
        <v>2.2200000000000002</v>
      </c>
      <c r="G1561" s="1110"/>
      <c r="H1561" s="1146">
        <v>160837</v>
      </c>
      <c r="I1561" s="1146">
        <v>167510</v>
      </c>
      <c r="K1561" s="1907">
        <v>0</v>
      </c>
      <c r="L1561" s="1110"/>
      <c r="M1561" s="1907">
        <v>2.2999999999999998</v>
      </c>
      <c r="N1561" s="1110"/>
      <c r="O1561" s="1907">
        <v>0</v>
      </c>
      <c r="P1561" s="1110"/>
      <c r="Q1561" s="1907">
        <v>2.2999999999999998</v>
      </c>
      <c r="R1561" s="1110"/>
      <c r="S1561" s="1146">
        <v>0</v>
      </c>
      <c r="T1561" s="1146"/>
      <c r="U1561" s="1146">
        <v>173547</v>
      </c>
      <c r="V1561" s="1146"/>
      <c r="W1561" s="1146">
        <v>0</v>
      </c>
      <c r="X1561" s="1629"/>
      <c r="Y1561" s="1146">
        <v>173547</v>
      </c>
      <c r="Z1561" s="2114">
        <f>C1561-'Blocking-Step2'!C1561</f>
        <v>0</v>
      </c>
      <c r="AA1561" s="2114">
        <f>D1561-'Blocking-Step2'!D1561</f>
        <v>0</v>
      </c>
      <c r="AC1561" s="2114">
        <f>F1561-'Blocking-Step2'!F1561</f>
        <v>0</v>
      </c>
      <c r="AE1561" s="2114">
        <f>H1561-'Blocking-Step2'!H1561</f>
        <v>0</v>
      </c>
      <c r="AF1561" s="2114">
        <f>I1561-'Blocking-Step2'!I1561</f>
        <v>0</v>
      </c>
      <c r="AH1561" s="2136">
        <f>K1561-'Blocking-Step2'!K1561</f>
        <v>-2.2999999999999998</v>
      </c>
      <c r="AJ1561" s="2136">
        <f>M1561-'Blocking-Step2'!M1561</f>
        <v>2.2999999999999998</v>
      </c>
      <c r="AL1561" s="2136">
        <f>O1561-'Blocking-Step2'!O1561</f>
        <v>0</v>
      </c>
      <c r="AN1561" s="2137">
        <f>Q1561-'Blocking-Step2'!Q1561</f>
        <v>0</v>
      </c>
      <c r="AP1561" s="2127">
        <f>S1561-'Blocking-Step2'!S1561</f>
        <v>-173547</v>
      </c>
      <c r="AR1561" s="2127">
        <f>U1561-'Blocking-Step2'!U1561</f>
        <v>173547</v>
      </c>
      <c r="AT1561" s="2127">
        <f>W1561-'Blocking-Step2'!W1561</f>
        <v>0</v>
      </c>
      <c r="AV1561" s="2128">
        <f>Y1561-'Blocking-Step2'!Y1561</f>
        <v>0</v>
      </c>
    </row>
    <row r="1562" spans="1:48" ht="16.5" hidden="1" thickTop="1">
      <c r="A1562" s="1116" t="s">
        <v>1651</v>
      </c>
      <c r="C1562" s="1105">
        <v>19256.85680578736</v>
      </c>
      <c r="D1562" s="1105">
        <v>20056</v>
      </c>
      <c r="F1562" s="1142"/>
      <c r="G1562" s="617"/>
      <c r="H1562" s="1146"/>
      <c r="I1562" s="1146"/>
      <c r="K1562" s="1142">
        <v>0</v>
      </c>
      <c r="L1562" s="617"/>
      <c r="M1562" s="1142">
        <v>4.7784000000000004</v>
      </c>
      <c r="N1562" s="617"/>
      <c r="O1562" s="1142">
        <v>0</v>
      </c>
      <c r="P1562" s="617"/>
      <c r="Q1562" s="1142">
        <v>4.7784000000000004</v>
      </c>
      <c r="R1562" s="617"/>
      <c r="S1562" s="1146">
        <v>0</v>
      </c>
      <c r="T1562" s="1146"/>
      <c r="U1562" s="1146">
        <v>95836</v>
      </c>
      <c r="V1562" s="1146"/>
      <c r="W1562" s="1146">
        <v>0</v>
      </c>
      <c r="X1562" s="1114"/>
      <c r="Y1562" s="1146">
        <v>95836</v>
      </c>
      <c r="Z1562" s="2114">
        <f>C1562-'Blocking-Step2'!C1562</f>
        <v>0</v>
      </c>
      <c r="AA1562" s="2114">
        <f>D1562-'Blocking-Step2'!D1562</f>
        <v>0</v>
      </c>
      <c r="AC1562" s="2114">
        <f>F1562-'Blocking-Step2'!F1562</f>
        <v>0</v>
      </c>
      <c r="AE1562" s="2114">
        <f>H1562-'Blocking-Step2'!H1562</f>
        <v>0</v>
      </c>
      <c r="AF1562" s="2114">
        <f>I1562-'Blocking-Step2'!I1562</f>
        <v>0</v>
      </c>
      <c r="AH1562" s="2136">
        <f>K1562-'Blocking-Step2'!K1562</f>
        <v>-1.5840000000000001</v>
      </c>
      <c r="AJ1562" s="2136">
        <f>M1562-'Blocking-Step2'!M1562</f>
        <v>1.5840000000000005</v>
      </c>
      <c r="AL1562" s="2136">
        <f>O1562-'Blocking-Step2'!O1562</f>
        <v>0</v>
      </c>
      <c r="AN1562" s="2137">
        <f>Q1562-'Blocking-Step2'!Q1562</f>
        <v>0</v>
      </c>
      <c r="AP1562" s="2127">
        <f>S1562-'Blocking-Step2'!S1562</f>
        <v>-31769</v>
      </c>
      <c r="AR1562" s="2127">
        <f>U1562-'Blocking-Step2'!U1562</f>
        <v>31769</v>
      </c>
      <c r="AT1562" s="2127">
        <f>W1562-'Blocking-Step2'!W1562</f>
        <v>0</v>
      </c>
      <c r="AV1562" s="2128">
        <f>Y1562-'Blocking-Step2'!Y1562</f>
        <v>0</v>
      </c>
    </row>
    <row r="1563" spans="1:48" ht="16.5" hidden="1" thickTop="1">
      <c r="A1563" s="1116" t="s">
        <v>1652</v>
      </c>
      <c r="C1563" s="1105">
        <v>55339.362799569572</v>
      </c>
      <c r="D1563" s="1105">
        <v>57635</v>
      </c>
      <c r="F1563" s="1142"/>
      <c r="G1563" s="617"/>
      <c r="H1563" s="1146"/>
      <c r="I1563" s="1146"/>
      <c r="K1563" s="1142">
        <v>0</v>
      </c>
      <c r="L1563" s="617"/>
      <c r="M1563" s="1142">
        <v>4.2273000000000005</v>
      </c>
      <c r="N1563" s="617"/>
      <c r="O1563" s="1142">
        <v>0</v>
      </c>
      <c r="P1563" s="617"/>
      <c r="Q1563" s="1142">
        <v>4.2273000000000005</v>
      </c>
      <c r="R1563" s="617"/>
      <c r="S1563" s="1146">
        <v>0</v>
      </c>
      <c r="T1563" s="1146"/>
      <c r="U1563" s="1146">
        <v>243640</v>
      </c>
      <c r="V1563" s="1146"/>
      <c r="W1563" s="1146">
        <v>0</v>
      </c>
      <c r="X1563" s="1114"/>
      <c r="Y1563" s="1146">
        <v>243640</v>
      </c>
      <c r="Z1563" s="2114">
        <f>C1563-'Blocking-Step2'!C1563</f>
        <v>0</v>
      </c>
      <c r="AA1563" s="2114">
        <f>D1563-'Blocking-Step2'!D1563</f>
        <v>0</v>
      </c>
      <c r="AC1563" s="2114">
        <f>F1563-'Blocking-Step2'!F1563</f>
        <v>0</v>
      </c>
      <c r="AE1563" s="2114">
        <f>H1563-'Blocking-Step2'!H1563</f>
        <v>0</v>
      </c>
      <c r="AF1563" s="2114">
        <f>I1563-'Blocking-Step2'!I1563</f>
        <v>0</v>
      </c>
      <c r="AH1563" s="2136">
        <f>K1563-'Blocking-Step2'!K1563</f>
        <v>-1.4025000000000001</v>
      </c>
      <c r="AJ1563" s="2136">
        <f>M1563-'Blocking-Step2'!M1563</f>
        <v>1.4025000000000003</v>
      </c>
      <c r="AL1563" s="2136">
        <f>O1563-'Blocking-Step2'!O1563</f>
        <v>0</v>
      </c>
      <c r="AN1563" s="2137">
        <f>Q1563-'Blocking-Step2'!Q1563</f>
        <v>0</v>
      </c>
      <c r="AP1563" s="2127">
        <f>S1563-'Blocking-Step2'!S1563</f>
        <v>-80833</v>
      </c>
      <c r="AR1563" s="2127">
        <f>U1563-'Blocking-Step2'!U1563</f>
        <v>80833</v>
      </c>
      <c r="AT1563" s="2127">
        <f>W1563-'Blocking-Step2'!W1563</f>
        <v>0</v>
      </c>
      <c r="AV1563" s="2128">
        <f>Y1563-'Blocking-Step2'!Y1563</f>
        <v>0</v>
      </c>
    </row>
    <row r="1564" spans="1:48" ht="16.5" hidden="1" thickTop="1">
      <c r="A1564" s="1116" t="s">
        <v>1532</v>
      </c>
      <c r="C1564" s="1105">
        <v>2782302.3349684644</v>
      </c>
      <c r="D1564" s="1105">
        <v>2913115</v>
      </c>
      <c r="F1564" s="1106"/>
      <c r="G1564" s="1921"/>
      <c r="H1564" s="1146"/>
      <c r="I1564" s="1146"/>
      <c r="K1564" s="1106">
        <v>0</v>
      </c>
      <c r="L1564" s="1921" t="s">
        <v>495</v>
      </c>
      <c r="M1564" s="1106">
        <v>1.0927</v>
      </c>
      <c r="N1564" s="1921" t="s">
        <v>495</v>
      </c>
      <c r="O1564" s="1106">
        <v>4.1108761607000002</v>
      </c>
      <c r="P1564" s="1921" t="s">
        <v>495</v>
      </c>
      <c r="Q1564" s="1106">
        <v>5.2035761607</v>
      </c>
      <c r="R1564" s="1921" t="s">
        <v>495</v>
      </c>
      <c r="S1564" s="1146">
        <v>0</v>
      </c>
      <c r="T1564" s="1146"/>
      <c r="U1564" s="1146">
        <v>31832</v>
      </c>
      <c r="V1564" s="1146"/>
      <c r="W1564" s="1146">
        <v>119755</v>
      </c>
      <c r="X1564" s="1648"/>
      <c r="Y1564" s="1146">
        <v>151586</v>
      </c>
      <c r="Z1564" s="2114">
        <f>C1564-'Blocking-Step2'!C1564</f>
        <v>0</v>
      </c>
      <c r="AA1564" s="2114">
        <f>D1564-'Blocking-Step2'!D1564</f>
        <v>0</v>
      </c>
      <c r="AC1564" s="2114">
        <f>F1564-'Blocking-Step2'!F1564</f>
        <v>0</v>
      </c>
      <c r="AE1564" s="2114">
        <f>H1564-'Blocking-Step2'!H1564</f>
        <v>0</v>
      </c>
      <c r="AF1564" s="2114">
        <f>I1564-'Blocking-Step2'!I1564</f>
        <v>0</v>
      </c>
      <c r="AH1564" s="2136">
        <f>K1564-'Blocking-Step2'!K1564</f>
        <v>0</v>
      </c>
      <c r="AJ1564" s="2136">
        <f>M1564-'Blocking-Step2'!M1564</f>
        <v>0</v>
      </c>
      <c r="AL1564" s="2136">
        <f>O1564-'Blocking-Step2'!O1564</f>
        <v>0</v>
      </c>
      <c r="AN1564" s="2137">
        <f>Q1564-'Blocking-Step2'!Q1564</f>
        <v>0</v>
      </c>
      <c r="AP1564" s="2127">
        <f>S1564-'Blocking-Step2'!S1564</f>
        <v>0</v>
      </c>
      <c r="AR1564" s="2127">
        <f>U1564-'Blocking-Step2'!U1564</f>
        <v>0</v>
      </c>
      <c r="AT1564" s="2127">
        <f>W1564-'Blocking-Step2'!W1564</f>
        <v>0</v>
      </c>
      <c r="AV1564" s="2128">
        <f>Y1564-'Blocking-Step2'!Y1564</f>
        <v>0</v>
      </c>
    </row>
    <row r="1565" spans="1:48" ht="16.5" hidden="1" thickTop="1">
      <c r="A1565" s="1116" t="s">
        <v>1653</v>
      </c>
      <c r="C1565" s="1105">
        <v>3512037.3579818872</v>
      </c>
      <c r="D1565" s="1105">
        <v>3677159</v>
      </c>
      <c r="F1565" s="1106"/>
      <c r="G1565" s="1921"/>
      <c r="H1565" s="1146"/>
      <c r="I1565" s="1146"/>
      <c r="K1565" s="1106">
        <v>0</v>
      </c>
      <c r="L1565" s="1921" t="s">
        <v>495</v>
      </c>
      <c r="M1565" s="1106">
        <v>1.0927</v>
      </c>
      <c r="N1565" s="1921" t="s">
        <v>495</v>
      </c>
      <c r="O1565" s="1106">
        <v>3.5122346554870001</v>
      </c>
      <c r="P1565" s="1921" t="s">
        <v>495</v>
      </c>
      <c r="Q1565" s="1106">
        <v>4.6049346554869999</v>
      </c>
      <c r="R1565" s="1921" t="s">
        <v>495</v>
      </c>
      <c r="S1565" s="1146">
        <v>0</v>
      </c>
      <c r="T1565" s="1146"/>
      <c r="U1565" s="1146">
        <v>40180</v>
      </c>
      <c r="V1565" s="1146"/>
      <c r="W1565" s="1146">
        <v>129150</v>
      </c>
      <c r="X1565" s="1648"/>
      <c r="Y1565" s="1146">
        <v>169331</v>
      </c>
      <c r="Z1565" s="2114">
        <f>C1565-'Blocking-Step2'!C1565</f>
        <v>0</v>
      </c>
      <c r="AA1565" s="2114">
        <f>D1565-'Blocking-Step2'!D1565</f>
        <v>0</v>
      </c>
      <c r="AC1565" s="2114">
        <f>F1565-'Blocking-Step2'!F1565</f>
        <v>0</v>
      </c>
      <c r="AE1565" s="2114">
        <f>H1565-'Blocking-Step2'!H1565</f>
        <v>0</v>
      </c>
      <c r="AF1565" s="2114">
        <f>I1565-'Blocking-Step2'!I1565</f>
        <v>0</v>
      </c>
      <c r="AH1565" s="2136">
        <f>K1565-'Blocking-Step2'!K1565</f>
        <v>0</v>
      </c>
      <c r="AJ1565" s="2136">
        <f>M1565-'Blocking-Step2'!M1565</f>
        <v>0</v>
      </c>
      <c r="AL1565" s="2136">
        <f>O1565-'Blocking-Step2'!O1565</f>
        <v>0</v>
      </c>
      <c r="AN1565" s="2137">
        <f>Q1565-'Blocking-Step2'!Q1565</f>
        <v>0</v>
      </c>
      <c r="AP1565" s="2127">
        <f>S1565-'Blocking-Step2'!S1565</f>
        <v>0</v>
      </c>
      <c r="AR1565" s="2127">
        <f>U1565-'Blocking-Step2'!U1565</f>
        <v>0</v>
      </c>
      <c r="AT1565" s="2127">
        <f>W1565-'Blocking-Step2'!W1565</f>
        <v>0</v>
      </c>
      <c r="AV1565" s="2128">
        <f>Y1565-'Blocking-Step2'!Y1565</f>
        <v>0</v>
      </c>
    </row>
    <row r="1566" spans="1:48" ht="16.5" hidden="1" thickTop="1">
      <c r="A1566" s="1116" t="s">
        <v>1533</v>
      </c>
      <c r="C1566" s="1105">
        <v>3289467.3547564573</v>
      </c>
      <c r="D1566" s="1105">
        <v>3444125</v>
      </c>
      <c r="F1566" s="1106"/>
      <c r="G1566" s="1921"/>
      <c r="H1566" s="1146"/>
      <c r="I1566" s="1146"/>
      <c r="K1566" s="1106">
        <v>0</v>
      </c>
      <c r="L1566" s="1921" t="s">
        <v>495</v>
      </c>
      <c r="M1566" s="1106">
        <v>1.0927</v>
      </c>
      <c r="N1566" s="1921" t="s">
        <v>495</v>
      </c>
      <c r="O1566" s="1106">
        <v>1.5521862361710002</v>
      </c>
      <c r="P1566" s="1921" t="s">
        <v>495</v>
      </c>
      <c r="Q1566" s="1106">
        <v>2.6448862361710002</v>
      </c>
      <c r="R1566" s="1921" t="s">
        <v>495</v>
      </c>
      <c r="S1566" s="1146">
        <v>0</v>
      </c>
      <c r="T1566" s="1146"/>
      <c r="U1566" s="1146">
        <v>37634</v>
      </c>
      <c r="V1566" s="1146"/>
      <c r="W1566" s="1146">
        <v>53459</v>
      </c>
      <c r="X1566" s="1648"/>
      <c r="Y1566" s="1146">
        <v>91093</v>
      </c>
      <c r="Z1566" s="2114">
        <f>C1566-'Blocking-Step2'!C1566</f>
        <v>0</v>
      </c>
      <c r="AA1566" s="2114">
        <f>D1566-'Blocking-Step2'!D1566</f>
        <v>0</v>
      </c>
      <c r="AC1566" s="2114">
        <f>F1566-'Blocking-Step2'!F1566</f>
        <v>0</v>
      </c>
      <c r="AE1566" s="2114">
        <f>H1566-'Blocking-Step2'!H1566</f>
        <v>0</v>
      </c>
      <c r="AF1566" s="2114">
        <f>I1566-'Blocking-Step2'!I1566</f>
        <v>0</v>
      </c>
      <c r="AH1566" s="2136">
        <f>K1566-'Blocking-Step2'!K1566</f>
        <v>0</v>
      </c>
      <c r="AJ1566" s="2136">
        <f>M1566-'Blocking-Step2'!M1566</f>
        <v>0</v>
      </c>
      <c r="AL1566" s="2136">
        <f>O1566-'Blocking-Step2'!O1566</f>
        <v>0</v>
      </c>
      <c r="AN1566" s="2137">
        <f>Q1566-'Blocking-Step2'!Q1566</f>
        <v>0</v>
      </c>
      <c r="AP1566" s="2127">
        <f>S1566-'Blocking-Step2'!S1566</f>
        <v>0</v>
      </c>
      <c r="AR1566" s="2127">
        <f>U1566-'Blocking-Step2'!U1566</f>
        <v>0</v>
      </c>
      <c r="AT1566" s="2127">
        <f>W1566-'Blocking-Step2'!W1566</f>
        <v>0</v>
      </c>
      <c r="AV1566" s="2128">
        <f>Y1566-'Blocking-Step2'!Y1566</f>
        <v>0</v>
      </c>
    </row>
    <row r="1567" spans="1:48" ht="16.5" hidden="1" thickTop="1">
      <c r="A1567" s="1116" t="s">
        <v>2177</v>
      </c>
      <c r="C1567" s="1105">
        <v>13333883.952293191</v>
      </c>
      <c r="D1567" s="1105">
        <v>13960788.423445866</v>
      </c>
      <c r="F1567" s="1106"/>
      <c r="G1567" s="1921"/>
      <c r="H1567" s="1146"/>
      <c r="I1567" s="1146"/>
      <c r="K1567" s="1106">
        <v>0</v>
      </c>
      <c r="L1567" s="1921" t="s">
        <v>495</v>
      </c>
      <c r="M1567" s="1106">
        <v>1.0927</v>
      </c>
      <c r="N1567" s="1921" t="s">
        <v>495</v>
      </c>
      <c r="O1567" s="1106">
        <v>1.247907288647</v>
      </c>
      <c r="P1567" s="1921" t="s">
        <v>495</v>
      </c>
      <c r="Q1567" s="1106">
        <v>2.340607288647</v>
      </c>
      <c r="R1567" s="1921" t="s">
        <v>495</v>
      </c>
      <c r="S1567" s="1146">
        <v>0</v>
      </c>
      <c r="T1567" s="1146"/>
      <c r="U1567" s="1146">
        <v>152550</v>
      </c>
      <c r="V1567" s="1146"/>
      <c r="W1567" s="1146">
        <v>174218</v>
      </c>
      <c r="X1567" s="1648"/>
      <c r="Y1567" s="1146">
        <v>326767</v>
      </c>
      <c r="Z1567" s="2114">
        <f>C1567-'Blocking-Step2'!C1567</f>
        <v>0</v>
      </c>
      <c r="AA1567" s="2114">
        <f>D1567-'Blocking-Step2'!D1567</f>
        <v>0</v>
      </c>
      <c r="AC1567" s="2114">
        <f>F1567-'Blocking-Step2'!F1567</f>
        <v>0</v>
      </c>
      <c r="AE1567" s="2114">
        <f>H1567-'Blocking-Step2'!H1567</f>
        <v>0</v>
      </c>
      <c r="AF1567" s="2114">
        <f>I1567-'Blocking-Step2'!I1567</f>
        <v>0</v>
      </c>
      <c r="AH1567" s="2136">
        <f>K1567-'Blocking-Step2'!K1567</f>
        <v>0</v>
      </c>
      <c r="AJ1567" s="2136">
        <f>M1567-'Blocking-Step2'!M1567</f>
        <v>0</v>
      </c>
      <c r="AL1567" s="2136">
        <f>O1567-'Blocking-Step2'!O1567</f>
        <v>0</v>
      </c>
      <c r="AN1567" s="2137">
        <f>Q1567-'Blocking-Step2'!Q1567</f>
        <v>0</v>
      </c>
      <c r="AP1567" s="2127">
        <f>S1567-'Blocking-Step2'!S1567</f>
        <v>0</v>
      </c>
      <c r="AR1567" s="2127">
        <f>U1567-'Blocking-Step2'!U1567</f>
        <v>0</v>
      </c>
      <c r="AT1567" s="2127">
        <f>W1567-'Blocking-Step2'!W1567</f>
        <v>0</v>
      </c>
      <c r="AV1567" s="2128">
        <f>Y1567-'Blocking-Step2'!Y1567</f>
        <v>0</v>
      </c>
    </row>
    <row r="1568" spans="1:48" ht="16.5" hidden="1" thickTop="1">
      <c r="A1568" s="1116" t="s">
        <v>2185</v>
      </c>
      <c r="C1568" s="1105">
        <v>23732</v>
      </c>
      <c r="D1568" s="1105"/>
      <c r="F1568" s="1106"/>
      <c r="G1568" s="1921"/>
      <c r="H1568" s="1146"/>
      <c r="I1568" s="1146"/>
      <c r="K1568" s="1106"/>
      <c r="L1568" s="1921"/>
      <c r="M1568" s="1106"/>
      <c r="N1568" s="1921"/>
      <c r="O1568" s="1106"/>
      <c r="P1568" s="1921"/>
      <c r="Q1568" s="1106"/>
      <c r="R1568" s="1921"/>
      <c r="S1568" s="1648"/>
      <c r="T1568" s="1648"/>
      <c r="U1568" s="1648"/>
      <c r="V1568" s="1648"/>
      <c r="W1568" s="1648"/>
      <c r="X1568" s="1648"/>
      <c r="Y1568" s="1146"/>
      <c r="Z1568" s="2114">
        <f>C1568-'Blocking-Step2'!C1568</f>
        <v>0</v>
      </c>
      <c r="AA1568" s="2114">
        <f>D1568-'Blocking-Step2'!D1568</f>
        <v>0</v>
      </c>
      <c r="AC1568" s="2114">
        <f>F1568-'Blocking-Step2'!F1568</f>
        <v>0</v>
      </c>
      <c r="AE1568" s="2114">
        <f>H1568-'Blocking-Step2'!H1568</f>
        <v>0</v>
      </c>
      <c r="AF1568" s="2114">
        <f>I1568-'Blocking-Step2'!I1568</f>
        <v>0</v>
      </c>
      <c r="AH1568" s="2136">
        <f>K1568-'Blocking-Step2'!K1568</f>
        <v>0</v>
      </c>
      <c r="AJ1568" s="2136">
        <f>M1568-'Blocking-Step2'!M1568</f>
        <v>0</v>
      </c>
      <c r="AL1568" s="2136">
        <f>O1568-'Blocking-Step2'!O1568</f>
        <v>0</v>
      </c>
      <c r="AN1568" s="2137">
        <f>Q1568-'Blocking-Step2'!Q1568</f>
        <v>0</v>
      </c>
      <c r="AP1568" s="2127">
        <f>S1568-'Blocking-Step2'!S1568</f>
        <v>0</v>
      </c>
      <c r="AR1568" s="2127">
        <f>U1568-'Blocking-Step2'!U1568</f>
        <v>0</v>
      </c>
      <c r="AT1568" s="2127">
        <f>W1568-'Blocking-Step2'!W1568</f>
        <v>0</v>
      </c>
      <c r="AV1568" s="2128">
        <f>Y1568-'Blocking-Step2'!Y1568</f>
        <v>0</v>
      </c>
    </row>
    <row r="1569" spans="1:48" ht="16.5" hidden="1" thickTop="1">
      <c r="A1569" s="1116" t="s">
        <v>2186</v>
      </c>
      <c r="C1569" s="1105">
        <v>48717</v>
      </c>
      <c r="D1569" s="1105"/>
      <c r="F1569" s="1106"/>
      <c r="G1569" s="1921"/>
      <c r="H1569" s="1146"/>
      <c r="I1569" s="1146"/>
      <c r="K1569" s="1106"/>
      <c r="L1569" s="1921"/>
      <c r="M1569" s="1106"/>
      <c r="N1569" s="1921"/>
      <c r="O1569" s="1106"/>
      <c r="P1569" s="1921"/>
      <c r="Q1569" s="1106"/>
      <c r="R1569" s="1921"/>
      <c r="S1569" s="1648"/>
      <c r="T1569" s="1648"/>
      <c r="U1569" s="1648"/>
      <c r="V1569" s="1648"/>
      <c r="W1569" s="1648"/>
      <c r="X1569" s="1648"/>
      <c r="Y1569" s="1146"/>
      <c r="Z1569" s="2114">
        <f>C1569-'Blocking-Step2'!C1569</f>
        <v>0</v>
      </c>
      <c r="AA1569" s="2114">
        <f>D1569-'Blocking-Step2'!D1569</f>
        <v>0</v>
      </c>
      <c r="AC1569" s="2114">
        <f>F1569-'Blocking-Step2'!F1569</f>
        <v>0</v>
      </c>
      <c r="AE1569" s="2114">
        <f>H1569-'Blocking-Step2'!H1569</f>
        <v>0</v>
      </c>
      <c r="AF1569" s="2114">
        <f>I1569-'Blocking-Step2'!I1569</f>
        <v>0</v>
      </c>
      <c r="AH1569" s="2136">
        <f>K1569-'Blocking-Step2'!K1569</f>
        <v>0</v>
      </c>
      <c r="AJ1569" s="2136">
        <f>M1569-'Blocking-Step2'!M1569</f>
        <v>0</v>
      </c>
      <c r="AL1569" s="2136">
        <f>O1569-'Blocking-Step2'!O1569</f>
        <v>0</v>
      </c>
      <c r="AN1569" s="2137">
        <f>Q1569-'Blocking-Step2'!Q1569</f>
        <v>0</v>
      </c>
      <c r="AP1569" s="2127">
        <f>S1569-'Blocking-Step2'!S1569</f>
        <v>0</v>
      </c>
      <c r="AR1569" s="2127">
        <f>U1569-'Blocking-Step2'!U1569</f>
        <v>0</v>
      </c>
      <c r="AT1569" s="2127">
        <f>W1569-'Blocking-Step2'!W1569</f>
        <v>0</v>
      </c>
      <c r="AV1569" s="2128">
        <f>Y1569-'Blocking-Step2'!Y1569</f>
        <v>0</v>
      </c>
    </row>
    <row r="1570" spans="1:48" ht="16.5" hidden="1" thickTop="1">
      <c r="A1570" s="1116" t="s">
        <v>2187</v>
      </c>
      <c r="C1570" s="1105">
        <v>4022753</v>
      </c>
      <c r="D1570" s="1105"/>
      <c r="F1570" s="1106"/>
      <c r="G1570" s="1921"/>
      <c r="H1570" s="1146"/>
      <c r="I1570" s="1146"/>
      <c r="K1570" s="1106"/>
      <c r="L1570" s="1921"/>
      <c r="M1570" s="1106"/>
      <c r="N1570" s="1921"/>
      <c r="O1570" s="1106"/>
      <c r="P1570" s="1921"/>
      <c r="Q1570" s="1106"/>
      <c r="R1570" s="1921"/>
      <c r="S1570" s="1648"/>
      <c r="T1570" s="1648"/>
      <c r="U1570" s="1648"/>
      <c r="V1570" s="1648"/>
      <c r="W1570" s="1648"/>
      <c r="X1570" s="1648"/>
      <c r="Y1570" s="1146"/>
      <c r="Z1570" s="2114">
        <f>C1570-'Blocking-Step2'!C1570</f>
        <v>0</v>
      </c>
      <c r="AA1570" s="2114">
        <f>D1570-'Blocking-Step2'!D1570</f>
        <v>0</v>
      </c>
      <c r="AC1570" s="2114">
        <f>F1570-'Blocking-Step2'!F1570</f>
        <v>0</v>
      </c>
      <c r="AE1570" s="2114">
        <f>H1570-'Blocking-Step2'!H1570</f>
        <v>0</v>
      </c>
      <c r="AF1570" s="2114">
        <f>I1570-'Blocking-Step2'!I1570</f>
        <v>0</v>
      </c>
      <c r="AH1570" s="2136">
        <f>K1570-'Blocking-Step2'!K1570</f>
        <v>0</v>
      </c>
      <c r="AJ1570" s="2136">
        <f>M1570-'Blocking-Step2'!M1570</f>
        <v>0</v>
      </c>
      <c r="AL1570" s="2136">
        <f>O1570-'Blocking-Step2'!O1570</f>
        <v>0</v>
      </c>
      <c r="AN1570" s="2137">
        <f>Q1570-'Blocking-Step2'!Q1570</f>
        <v>0</v>
      </c>
      <c r="AP1570" s="2127">
        <f>S1570-'Blocking-Step2'!S1570</f>
        <v>0</v>
      </c>
      <c r="AR1570" s="2127">
        <f>U1570-'Blocking-Step2'!U1570</f>
        <v>0</v>
      </c>
      <c r="AT1570" s="2127">
        <f>W1570-'Blocking-Step2'!W1570</f>
        <v>0</v>
      </c>
      <c r="AV1570" s="2128">
        <f>Y1570-'Blocking-Step2'!Y1570</f>
        <v>0</v>
      </c>
    </row>
    <row r="1571" spans="1:48" ht="16.5" hidden="1" thickTop="1">
      <c r="A1571" s="1116" t="s">
        <v>2188</v>
      </c>
      <c r="C1571" s="1105">
        <v>7029366</v>
      </c>
      <c r="D1571" s="1105"/>
      <c r="F1571" s="1106"/>
      <c r="G1571" s="1921"/>
      <c r="H1571" s="1146"/>
      <c r="I1571" s="1146"/>
      <c r="K1571" s="1106"/>
      <c r="L1571" s="1921"/>
      <c r="M1571" s="1106"/>
      <c r="N1571" s="1921"/>
      <c r="O1571" s="1106"/>
      <c r="P1571" s="1921"/>
      <c r="Q1571" s="1106"/>
      <c r="R1571" s="1921"/>
      <c r="S1571" s="1648"/>
      <c r="T1571" s="1648"/>
      <c r="U1571" s="1648"/>
      <c r="V1571" s="1648"/>
      <c r="W1571" s="1648"/>
      <c r="X1571" s="1648"/>
      <c r="Y1571" s="1146"/>
      <c r="Z1571" s="2114">
        <f>C1571-'Blocking-Step2'!C1571</f>
        <v>0</v>
      </c>
      <c r="AA1571" s="2114">
        <f>D1571-'Blocking-Step2'!D1571</f>
        <v>0</v>
      </c>
      <c r="AC1571" s="2114">
        <f>F1571-'Blocking-Step2'!F1571</f>
        <v>0</v>
      </c>
      <c r="AE1571" s="2114">
        <f>H1571-'Blocking-Step2'!H1571</f>
        <v>0</v>
      </c>
      <c r="AF1571" s="2114">
        <f>I1571-'Blocking-Step2'!I1571</f>
        <v>0</v>
      </c>
      <c r="AH1571" s="2136">
        <f>K1571-'Blocking-Step2'!K1571</f>
        <v>0</v>
      </c>
      <c r="AJ1571" s="2136">
        <f>M1571-'Blocking-Step2'!M1571</f>
        <v>0</v>
      </c>
      <c r="AL1571" s="2136">
        <f>O1571-'Blocking-Step2'!O1571</f>
        <v>0</v>
      </c>
      <c r="AN1571" s="2137">
        <f>Q1571-'Blocking-Step2'!Q1571</f>
        <v>0</v>
      </c>
      <c r="AP1571" s="2127">
        <f>S1571-'Blocking-Step2'!S1571</f>
        <v>0</v>
      </c>
      <c r="AR1571" s="2127">
        <f>U1571-'Blocking-Step2'!U1571</f>
        <v>0</v>
      </c>
      <c r="AT1571" s="2127">
        <f>W1571-'Blocking-Step2'!W1571</f>
        <v>0</v>
      </c>
      <c r="AV1571" s="2128">
        <f>Y1571-'Blocking-Step2'!Y1571</f>
        <v>0</v>
      </c>
    </row>
    <row r="1572" spans="1:48" ht="16.5" hidden="1" thickTop="1">
      <c r="A1572" s="1116" t="s">
        <v>2189</v>
      </c>
      <c r="C1572" s="1105">
        <v>3931360</v>
      </c>
      <c r="D1572" s="1105"/>
      <c r="F1572" s="1106"/>
      <c r="G1572" s="1921"/>
      <c r="H1572" s="1146"/>
      <c r="I1572" s="1146"/>
      <c r="K1572" s="1106"/>
      <c r="L1572" s="1921"/>
      <c r="M1572" s="1106"/>
      <c r="N1572" s="1921"/>
      <c r="O1572" s="1106"/>
      <c r="P1572" s="1921"/>
      <c r="Q1572" s="1106"/>
      <c r="R1572" s="1921"/>
      <c r="S1572" s="1648"/>
      <c r="T1572" s="1648"/>
      <c r="U1572" s="1648"/>
      <c r="V1572" s="1648"/>
      <c r="W1572" s="1648"/>
      <c r="X1572" s="1648"/>
      <c r="Y1572" s="1146"/>
      <c r="Z1572" s="2114">
        <f>C1572-'Blocking-Step2'!C1572</f>
        <v>0</v>
      </c>
      <c r="AA1572" s="2114">
        <f>D1572-'Blocking-Step2'!D1572</f>
        <v>0</v>
      </c>
      <c r="AC1572" s="2114">
        <f>F1572-'Blocking-Step2'!F1572</f>
        <v>0</v>
      </c>
      <c r="AE1572" s="2114">
        <f>H1572-'Blocking-Step2'!H1572</f>
        <v>0</v>
      </c>
      <c r="AF1572" s="2114">
        <f>I1572-'Blocking-Step2'!I1572</f>
        <v>0</v>
      </c>
      <c r="AH1572" s="2136">
        <f>K1572-'Blocking-Step2'!K1572</f>
        <v>0</v>
      </c>
      <c r="AJ1572" s="2136">
        <f>M1572-'Blocking-Step2'!M1572</f>
        <v>0</v>
      </c>
      <c r="AL1572" s="2136">
        <f>O1572-'Blocking-Step2'!O1572</f>
        <v>0</v>
      </c>
      <c r="AN1572" s="2137">
        <f>Q1572-'Blocking-Step2'!Q1572</f>
        <v>0</v>
      </c>
      <c r="AP1572" s="2127">
        <f>S1572-'Blocking-Step2'!S1572</f>
        <v>0</v>
      </c>
      <c r="AR1572" s="2127">
        <f>U1572-'Blocking-Step2'!U1572</f>
        <v>0</v>
      </c>
      <c r="AT1572" s="2127">
        <f>W1572-'Blocking-Step2'!W1572</f>
        <v>0</v>
      </c>
      <c r="AV1572" s="2128">
        <f>Y1572-'Blocking-Step2'!Y1572</f>
        <v>0</v>
      </c>
    </row>
    <row r="1573" spans="1:48" ht="16.5" hidden="1" thickTop="1">
      <c r="A1573" s="1116" t="s">
        <v>2190</v>
      </c>
      <c r="C1573" s="1105">
        <v>7934212</v>
      </c>
      <c r="D1573" s="1105"/>
      <c r="F1573" s="1106"/>
      <c r="G1573" s="1921"/>
      <c r="H1573" s="1146"/>
      <c r="I1573" s="1146"/>
      <c r="K1573" s="1106"/>
      <c r="L1573" s="1921"/>
      <c r="M1573" s="1106"/>
      <c r="N1573" s="1921"/>
      <c r="O1573" s="1106"/>
      <c r="P1573" s="1921"/>
      <c r="Q1573" s="1106"/>
      <c r="R1573" s="1921"/>
      <c r="S1573" s="1648"/>
      <c r="T1573" s="1648"/>
      <c r="U1573" s="1648"/>
      <c r="V1573" s="1648"/>
      <c r="W1573" s="1648"/>
      <c r="X1573" s="1648"/>
      <c r="Y1573" s="1146"/>
      <c r="Z1573" s="2114">
        <f>C1573-'Blocking-Step2'!C1573</f>
        <v>0</v>
      </c>
      <c r="AA1573" s="2114">
        <f>D1573-'Blocking-Step2'!D1573</f>
        <v>0</v>
      </c>
      <c r="AC1573" s="2114">
        <f>F1573-'Blocking-Step2'!F1573</f>
        <v>0</v>
      </c>
      <c r="AE1573" s="2114">
        <f>H1573-'Blocking-Step2'!H1573</f>
        <v>0</v>
      </c>
      <c r="AF1573" s="2114">
        <f>I1573-'Blocking-Step2'!I1573</f>
        <v>0</v>
      </c>
      <c r="AH1573" s="2136">
        <f>K1573-'Blocking-Step2'!K1573</f>
        <v>0</v>
      </c>
      <c r="AJ1573" s="2136">
        <f>M1573-'Blocking-Step2'!M1573</f>
        <v>0</v>
      </c>
      <c r="AL1573" s="2136">
        <f>O1573-'Blocking-Step2'!O1573</f>
        <v>0</v>
      </c>
      <c r="AN1573" s="2137">
        <f>Q1573-'Blocking-Step2'!Q1573</f>
        <v>0</v>
      </c>
      <c r="AP1573" s="2127">
        <f>S1573-'Blocking-Step2'!S1573</f>
        <v>0</v>
      </c>
      <c r="AR1573" s="2127">
        <f>U1573-'Blocking-Step2'!U1573</f>
        <v>0</v>
      </c>
      <c r="AT1573" s="2127">
        <f>W1573-'Blocking-Step2'!W1573</f>
        <v>0</v>
      </c>
      <c r="AV1573" s="2128">
        <f>Y1573-'Blocking-Step2'!Y1573</f>
        <v>0</v>
      </c>
    </row>
    <row r="1574" spans="1:48" ht="16.5" hidden="1" thickTop="1">
      <c r="A1574" s="1116" t="s">
        <v>248</v>
      </c>
      <c r="C1574" s="1105">
        <v>11052119</v>
      </c>
      <c r="D1574" s="1105">
        <v>11571745</v>
      </c>
      <c r="F1574" s="1922">
        <v>8.6029</v>
      </c>
      <c r="G1574" s="1921" t="s">
        <v>495</v>
      </c>
      <c r="H1574" s="1146">
        <v>950803</v>
      </c>
      <c r="I1574" s="1146">
        <v>995506</v>
      </c>
      <c r="K1574" s="1922"/>
      <c r="L1574" s="1921"/>
      <c r="M1574" s="1922"/>
      <c r="N1574" s="1921"/>
      <c r="O1574" s="1922"/>
      <c r="P1574" s="1921"/>
      <c r="Q1574" s="1922"/>
      <c r="R1574" s="1921"/>
      <c r="S1574" s="1648"/>
      <c r="T1574" s="1648"/>
      <c r="U1574" s="1648"/>
      <c r="V1574" s="1648"/>
      <c r="W1574" s="1648"/>
      <c r="X1574" s="1648"/>
      <c r="Y1574" s="1146"/>
      <c r="Z1574" s="2114">
        <f>C1574-'Blocking-Step2'!C1574</f>
        <v>0</v>
      </c>
      <c r="AA1574" s="2114">
        <f>D1574-'Blocking-Step2'!D1574</f>
        <v>0</v>
      </c>
      <c r="AC1574" s="2114">
        <f>F1574-'Blocking-Step2'!F1574</f>
        <v>0</v>
      </c>
      <c r="AE1574" s="2114">
        <f>H1574-'Blocking-Step2'!H1574</f>
        <v>0</v>
      </c>
      <c r="AF1574" s="2114">
        <f>I1574-'Blocking-Step2'!I1574</f>
        <v>0</v>
      </c>
      <c r="AH1574" s="2136">
        <f>K1574-'Blocking-Step2'!K1574</f>
        <v>0</v>
      </c>
      <c r="AJ1574" s="2136">
        <f>M1574-'Blocking-Step2'!M1574</f>
        <v>0</v>
      </c>
      <c r="AL1574" s="2136">
        <f>O1574-'Blocking-Step2'!O1574</f>
        <v>0</v>
      </c>
      <c r="AN1574" s="2137">
        <f>Q1574-'Blocking-Step2'!Q1574</f>
        <v>0</v>
      </c>
      <c r="AP1574" s="2127">
        <f>S1574-'Blocking-Step2'!S1574</f>
        <v>0</v>
      </c>
      <c r="AR1574" s="2127">
        <f>U1574-'Blocking-Step2'!U1574</f>
        <v>0</v>
      </c>
      <c r="AT1574" s="2127">
        <f>W1574-'Blocking-Step2'!W1574</f>
        <v>0</v>
      </c>
      <c r="AV1574" s="2128">
        <f>Y1574-'Blocking-Step2'!Y1574</f>
        <v>0</v>
      </c>
    </row>
    <row r="1575" spans="1:48" ht="16.5" hidden="1" thickTop="1">
      <c r="A1575" s="1116" t="s">
        <v>249</v>
      </c>
      <c r="C1575" s="1105">
        <v>11865572</v>
      </c>
      <c r="D1575" s="1105">
        <v>12423443</v>
      </c>
      <c r="F1575" s="1922">
        <v>3.6981000000000002</v>
      </c>
      <c r="G1575" s="1921" t="s">
        <v>495</v>
      </c>
      <c r="H1575" s="1146">
        <v>438801</v>
      </c>
      <c r="I1575" s="1146">
        <v>459431</v>
      </c>
      <c r="K1575" s="1922"/>
      <c r="L1575" s="1921"/>
      <c r="M1575" s="1922"/>
      <c r="N1575" s="1921"/>
      <c r="O1575" s="1922"/>
      <c r="P1575" s="1921"/>
      <c r="Q1575" s="1922"/>
      <c r="R1575" s="1921"/>
      <c r="S1575" s="1648"/>
      <c r="T1575" s="1648"/>
      <c r="U1575" s="1648"/>
      <c r="V1575" s="1648"/>
      <c r="W1575" s="1648"/>
      <c r="X1575" s="1648"/>
      <c r="Y1575" s="1146"/>
      <c r="Z1575" s="2114">
        <f>C1575-'Blocking-Step2'!C1575</f>
        <v>0</v>
      </c>
      <c r="AA1575" s="2114">
        <f>D1575-'Blocking-Step2'!D1575</f>
        <v>0</v>
      </c>
      <c r="AC1575" s="2114">
        <f>F1575-'Blocking-Step2'!F1575</f>
        <v>0</v>
      </c>
      <c r="AE1575" s="2114">
        <f>H1575-'Blocking-Step2'!H1575</f>
        <v>0</v>
      </c>
      <c r="AF1575" s="2114">
        <f>I1575-'Blocking-Step2'!I1575</f>
        <v>0</v>
      </c>
      <c r="AH1575" s="2136">
        <f>K1575-'Blocking-Step2'!K1575</f>
        <v>0</v>
      </c>
      <c r="AJ1575" s="2136">
        <f>M1575-'Blocking-Step2'!M1575</f>
        <v>0</v>
      </c>
      <c r="AL1575" s="2136">
        <f>O1575-'Blocking-Step2'!O1575</f>
        <v>0</v>
      </c>
      <c r="AN1575" s="2137">
        <f>Q1575-'Blocking-Step2'!Q1575</f>
        <v>0</v>
      </c>
      <c r="AP1575" s="2127">
        <f>S1575-'Blocking-Step2'!S1575</f>
        <v>0</v>
      </c>
      <c r="AR1575" s="2127">
        <f>U1575-'Blocking-Step2'!U1575</f>
        <v>0</v>
      </c>
      <c r="AT1575" s="2127">
        <f>W1575-'Blocking-Step2'!W1575</f>
        <v>0</v>
      </c>
      <c r="AV1575" s="2128">
        <f>Y1575-'Blocking-Step2'!Y1575</f>
        <v>0</v>
      </c>
    </row>
    <row r="1576" spans="1:48" ht="16.5" hidden="1" thickTop="1">
      <c r="A1576" s="1116" t="s">
        <v>246</v>
      </c>
      <c r="C1576" s="1940">
        <v>121585</v>
      </c>
      <c r="D1576" s="1940">
        <v>0</v>
      </c>
      <c r="H1576" s="1147">
        <v>8886</v>
      </c>
      <c r="I1576" s="1147">
        <v>0</v>
      </c>
      <c r="Y1576" s="1147"/>
      <c r="Z1576" s="2114">
        <f>C1576-'Blocking-Step2'!C1576</f>
        <v>0</v>
      </c>
      <c r="AA1576" s="2114">
        <f>D1576-'Blocking-Step2'!D1576</f>
        <v>0</v>
      </c>
      <c r="AC1576" s="2114">
        <f>F1576-'Blocking-Step2'!F1576</f>
        <v>0</v>
      </c>
      <c r="AE1576" s="2114">
        <f>H1576-'Blocking-Step2'!H1576</f>
        <v>0</v>
      </c>
      <c r="AF1576" s="2114">
        <f>I1576-'Blocking-Step2'!I1576</f>
        <v>0</v>
      </c>
      <c r="AH1576" s="2136">
        <f>K1576-'Blocking-Step2'!K1576</f>
        <v>0</v>
      </c>
      <c r="AJ1576" s="2136">
        <f>M1576-'Blocking-Step2'!M1576</f>
        <v>0</v>
      </c>
      <c r="AL1576" s="2136">
        <f>O1576-'Blocking-Step2'!O1576</f>
        <v>0</v>
      </c>
      <c r="AN1576" s="2137">
        <f>Q1576-'Blocking-Step2'!Q1576</f>
        <v>0</v>
      </c>
      <c r="AP1576" s="2127">
        <f>S1576-'Blocking-Step2'!S1576</f>
        <v>0</v>
      </c>
      <c r="AR1576" s="2127">
        <f>U1576-'Blocking-Step2'!U1576</f>
        <v>0</v>
      </c>
      <c r="AT1576" s="2127">
        <f>W1576-'Blocking-Step2'!W1576</f>
        <v>0</v>
      </c>
      <c r="AV1576" s="2128">
        <f>Y1576-'Blocking-Step2'!Y1576</f>
        <v>0</v>
      </c>
    </row>
    <row r="1577" spans="1:48" ht="16.5" hidden="1" thickTop="1">
      <c r="A1577" s="1116" t="s">
        <v>1240</v>
      </c>
      <c r="C1577" s="1024"/>
      <c r="D1577" s="1024"/>
      <c r="F1577" s="2076">
        <v>-3.4099999999999998E-2</v>
      </c>
      <c r="G1577" s="617"/>
      <c r="H1577" s="1146">
        <v>-47385.496399999996</v>
      </c>
      <c r="I1577" s="1146">
        <v>-49613.351699999999</v>
      </c>
      <c r="K1577" s="2076"/>
      <c r="L1577" s="617"/>
      <c r="M1577" s="2076"/>
      <c r="N1577" s="617"/>
      <c r="O1577" s="2077" t="s">
        <v>2323</v>
      </c>
      <c r="P1577" s="617"/>
      <c r="Q1577" s="2076">
        <v>-2.5700000000000001E-2</v>
      </c>
      <c r="R1577" s="617"/>
      <c r="S1577" s="1114"/>
      <c r="T1577" s="1114"/>
      <c r="U1577" s="1114"/>
      <c r="V1577" s="1114"/>
      <c r="W1577" s="1114"/>
      <c r="X1577" s="1114"/>
      <c r="Y1577" s="1146">
        <v>-27711.1021</v>
      </c>
      <c r="Z1577" s="2114">
        <f>C1577-'Blocking-Step2'!C1577</f>
        <v>0</v>
      </c>
      <c r="AA1577" s="2114">
        <f>D1577-'Blocking-Step2'!D1577</f>
        <v>0</v>
      </c>
      <c r="AC1577" s="2114">
        <f>F1577-'Blocking-Step2'!F1577</f>
        <v>0</v>
      </c>
      <c r="AE1577" s="2114">
        <f>H1577-'Blocking-Step2'!H1577</f>
        <v>0</v>
      </c>
      <c r="AF1577" s="2114">
        <f>I1577-'Blocking-Step2'!I1577</f>
        <v>0</v>
      </c>
      <c r="AH1577" s="2136">
        <f>K1577-'Blocking-Step2'!K1577</f>
        <v>0</v>
      </c>
      <c r="AJ1577" s="2136">
        <f>M1577-'Blocking-Step2'!M1577</f>
        <v>0</v>
      </c>
      <c r="AL1577" s="2136" t="e">
        <f>O1577-'Blocking-Step2'!O1577</f>
        <v>#VALUE!</v>
      </c>
      <c r="AN1577" s="2137">
        <f>Q1577-'Blocking-Step2'!Q1577</f>
        <v>0</v>
      </c>
      <c r="AP1577" s="2127">
        <f>S1577-'Blocking-Step2'!S1577</f>
        <v>0</v>
      </c>
      <c r="AR1577" s="2127">
        <f>U1577-'Blocking-Step2'!U1577</f>
        <v>0</v>
      </c>
      <c r="AT1577" s="2127">
        <f>W1577-'Blocking-Step2'!W1577</f>
        <v>0</v>
      </c>
      <c r="AV1577" s="2128">
        <f>Y1577-'Blocking-Step2'!Y1577</f>
        <v>0</v>
      </c>
    </row>
    <row r="1578" spans="1:48" ht="16.5" hidden="1" thickTop="1">
      <c r="A1578" s="1116"/>
      <c r="C1578" s="1024"/>
      <c r="D1578" s="1024"/>
      <c r="F1578" s="2076"/>
      <c r="G1578" s="617"/>
      <c r="H1578" s="1146"/>
      <c r="I1578" s="1146"/>
      <c r="K1578" s="2076"/>
      <c r="L1578" s="617"/>
      <c r="M1578" s="2076"/>
      <c r="N1578" s="617"/>
      <c r="O1578" s="2077" t="s">
        <v>2324</v>
      </c>
      <c r="P1578" s="617"/>
      <c r="Q1578" s="2076">
        <v>-1.3899999999999999E-2</v>
      </c>
      <c r="R1578" s="617"/>
      <c r="S1578" s="1114"/>
      <c r="T1578" s="1114"/>
      <c r="U1578" s="1114"/>
      <c r="V1578" s="1114"/>
      <c r="W1578" s="1114"/>
      <c r="X1578" s="1114"/>
      <c r="Y1578" s="1146">
        <v>-14987.716699999999</v>
      </c>
      <c r="Z1578" s="2114">
        <f>C1578-'Blocking-Step2'!C1578</f>
        <v>0</v>
      </c>
      <c r="AA1578" s="2114">
        <f>D1578-'Blocking-Step2'!D1578</f>
        <v>0</v>
      </c>
      <c r="AC1578" s="2114">
        <f>F1578-'Blocking-Step2'!F1578</f>
        <v>0</v>
      </c>
      <c r="AE1578" s="2114">
        <f>H1578-'Blocking-Step2'!H1578</f>
        <v>0</v>
      </c>
      <c r="AF1578" s="2114">
        <f>I1578-'Blocking-Step2'!I1578</f>
        <v>0</v>
      </c>
      <c r="AH1578" s="2136">
        <f>K1578-'Blocking-Step2'!K1578</f>
        <v>0</v>
      </c>
      <c r="AJ1578" s="2136">
        <f>M1578-'Blocking-Step2'!M1578</f>
        <v>0</v>
      </c>
      <c r="AL1578" s="2136" t="e">
        <f>O1578-'Blocking-Step2'!O1578</f>
        <v>#VALUE!</v>
      </c>
      <c r="AN1578" s="2137">
        <f>Q1578-'Blocking-Step2'!Q1578</f>
        <v>0</v>
      </c>
      <c r="AP1578" s="2127">
        <f>S1578-'Blocking-Step2'!S1578</f>
        <v>0</v>
      </c>
      <c r="AR1578" s="2127">
        <f>U1578-'Blocking-Step2'!U1578</f>
        <v>0</v>
      </c>
      <c r="AT1578" s="2127">
        <f>W1578-'Blocking-Step2'!W1578</f>
        <v>0</v>
      </c>
      <c r="AV1578" s="2128">
        <f>Y1578-'Blocking-Step2'!Y1578</f>
        <v>0</v>
      </c>
    </row>
    <row r="1579" spans="1:48" ht="17.25" hidden="1" thickTop="1" thickBot="1">
      <c r="A1579" s="1116" t="s">
        <v>247</v>
      </c>
      <c r="C1579" s="1138">
        <v>23039276</v>
      </c>
      <c r="D1579" s="1138">
        <v>23995187.423445866</v>
      </c>
      <c r="F1579" s="1145"/>
      <c r="H1579" s="1149">
        <v>1518157.5035999999</v>
      </c>
      <c r="I1579" s="1149">
        <v>1579049.6483</v>
      </c>
      <c r="K1579" s="1145"/>
      <c r="M1579" s="1145"/>
      <c r="O1579" s="1145"/>
      <c r="Q1579" s="1145"/>
      <c r="S1579" s="1149">
        <v>-1010</v>
      </c>
      <c r="U1579" s="1149">
        <v>782685</v>
      </c>
      <c r="W1579" s="1149">
        <v>476582</v>
      </c>
      <c r="Y1579" s="1149">
        <v>1258256</v>
      </c>
      <c r="Z1579" s="2114">
        <f>C1579-'Blocking-Step2'!C1579</f>
        <v>0</v>
      </c>
      <c r="AA1579" s="2114">
        <f>D1579-'Blocking-Step2'!D1579</f>
        <v>0</v>
      </c>
      <c r="AC1579" s="2114">
        <f>F1579-'Blocking-Step2'!F1579</f>
        <v>0</v>
      </c>
      <c r="AE1579" s="2114">
        <f>H1579-'Blocking-Step2'!H1579</f>
        <v>0</v>
      </c>
      <c r="AF1579" s="2114">
        <f>I1579-'Blocking-Step2'!I1579</f>
        <v>0</v>
      </c>
      <c r="AH1579" s="2136">
        <f>K1579-'Blocking-Step2'!K1579</f>
        <v>0</v>
      </c>
      <c r="AJ1579" s="2136">
        <f>M1579-'Blocking-Step2'!M1579</f>
        <v>0</v>
      </c>
      <c r="AL1579" s="2136">
        <f>O1579-'Blocking-Step2'!O1579</f>
        <v>0</v>
      </c>
      <c r="AN1579" s="2137">
        <f>Q1579-'Blocking-Step2'!Q1579</f>
        <v>0</v>
      </c>
      <c r="AP1579" s="2127">
        <f>S1579-'Blocking-Step2'!S1579</f>
        <v>-293615</v>
      </c>
      <c r="AR1579" s="2127">
        <f>U1579-'Blocking-Step2'!U1579</f>
        <v>293615</v>
      </c>
      <c r="AT1579" s="2127">
        <f>W1579-'Blocking-Step2'!W1579</f>
        <v>0</v>
      </c>
      <c r="AV1579" s="2128">
        <f>Y1579-'Blocking-Step2'!Y1579</f>
        <v>0</v>
      </c>
    </row>
    <row r="1580" spans="1:48" ht="16.5" hidden="1" thickTop="1">
      <c r="C1580" s="1105"/>
      <c r="D1580" s="1105"/>
      <c r="Z1580" s="2114">
        <f>C1580-'Blocking-Step2'!C1580</f>
        <v>0</v>
      </c>
      <c r="AA1580" s="2114">
        <f>D1580-'Blocking-Step2'!D1580</f>
        <v>0</v>
      </c>
      <c r="AC1580" s="2114">
        <f>F1580-'Blocking-Step2'!F1580</f>
        <v>0</v>
      </c>
      <c r="AE1580" s="2114">
        <f>H1580-'Blocking-Step2'!H1580</f>
        <v>0</v>
      </c>
      <c r="AF1580" s="2114">
        <f>I1580-'Blocking-Step2'!I1580</f>
        <v>0</v>
      </c>
      <c r="AH1580" s="2136">
        <f>K1580-'Blocking-Step2'!K1580</f>
        <v>0</v>
      </c>
      <c r="AJ1580" s="2136">
        <f>M1580-'Blocking-Step2'!M1580</f>
        <v>0</v>
      </c>
      <c r="AL1580" s="2136">
        <f>O1580-'Blocking-Step2'!O1580</f>
        <v>0</v>
      </c>
      <c r="AN1580" s="2137">
        <f>Q1580-'Blocking-Step2'!Q1580</f>
        <v>0</v>
      </c>
      <c r="AP1580" s="2127">
        <f>S1580-'Blocking-Step2'!S1580</f>
        <v>0</v>
      </c>
      <c r="AR1580" s="2127">
        <f>U1580-'Blocking-Step2'!U1580</f>
        <v>0</v>
      </c>
      <c r="AT1580" s="2127">
        <f>W1580-'Blocking-Step2'!W1580</f>
        <v>0</v>
      </c>
      <c r="AV1580" s="2128">
        <f>Y1580-'Blocking-Step2'!Y1580</f>
        <v>0</v>
      </c>
    </row>
    <row r="1581" spans="1:48" ht="16.5" hidden="1" thickTop="1">
      <c r="A1581" s="1115" t="s">
        <v>565</v>
      </c>
      <c r="C1581" s="1105"/>
      <c r="D1581" s="1105"/>
      <c r="F1581" s="1106"/>
      <c r="G1581" s="1107"/>
      <c r="K1581" s="1106"/>
      <c r="L1581" s="1107"/>
      <c r="M1581" s="1106"/>
      <c r="N1581" s="1107"/>
      <c r="O1581" s="1106"/>
      <c r="P1581" s="1107"/>
      <c r="Q1581" s="1106"/>
      <c r="R1581" s="1107"/>
      <c r="S1581" s="1114"/>
      <c r="T1581" s="1114"/>
      <c r="U1581" s="1114"/>
      <c r="V1581" s="1114"/>
      <c r="W1581" s="1114"/>
      <c r="X1581" s="1114"/>
      <c r="Z1581" s="2114">
        <f>C1581-'Blocking-Step2'!C1581</f>
        <v>0</v>
      </c>
      <c r="AA1581" s="2114">
        <f>D1581-'Blocking-Step2'!D1581</f>
        <v>0</v>
      </c>
      <c r="AC1581" s="2114">
        <f>F1581-'Blocking-Step2'!F1581</f>
        <v>0</v>
      </c>
      <c r="AE1581" s="2114">
        <f>H1581-'Blocking-Step2'!H1581</f>
        <v>0</v>
      </c>
      <c r="AF1581" s="2114">
        <f>I1581-'Blocking-Step2'!I1581</f>
        <v>0</v>
      </c>
      <c r="AH1581" s="2136">
        <f>K1581-'Blocking-Step2'!K1581</f>
        <v>0</v>
      </c>
      <c r="AJ1581" s="2136">
        <f>M1581-'Blocking-Step2'!M1581</f>
        <v>0</v>
      </c>
      <c r="AL1581" s="2136">
        <f>O1581-'Blocking-Step2'!O1581</f>
        <v>0</v>
      </c>
      <c r="AN1581" s="2137">
        <f>Q1581-'Blocking-Step2'!Q1581</f>
        <v>0</v>
      </c>
      <c r="AP1581" s="2127">
        <f>S1581-'Blocking-Step2'!S1581</f>
        <v>0</v>
      </c>
      <c r="AR1581" s="2127">
        <f>U1581-'Blocking-Step2'!U1581</f>
        <v>0</v>
      </c>
      <c r="AT1581" s="2127">
        <f>W1581-'Blocking-Step2'!W1581</f>
        <v>0</v>
      </c>
      <c r="AV1581" s="2128">
        <f>Y1581-'Blocking-Step2'!Y1581</f>
        <v>0</v>
      </c>
    </row>
    <row r="1582" spans="1:48" ht="16.5" hidden="1" thickTop="1">
      <c r="A1582" s="1116" t="s">
        <v>240</v>
      </c>
      <c r="C1582" s="1105">
        <v>84</v>
      </c>
      <c r="D1582" s="1105">
        <v>84</v>
      </c>
      <c r="F1582" s="1142">
        <v>259</v>
      </c>
      <c r="G1582" s="617"/>
      <c r="H1582" s="1146">
        <v>21756</v>
      </c>
      <c r="I1582" s="1146">
        <v>21756</v>
      </c>
      <c r="K1582" s="1142">
        <v>-42.09</v>
      </c>
      <c r="L1582" s="617"/>
      <c r="M1582" s="1142">
        <v>311.09000000000003</v>
      </c>
      <c r="N1582" s="617"/>
      <c r="O1582" s="1142">
        <v>0</v>
      </c>
      <c r="P1582" s="617"/>
      <c r="Q1582" s="1142">
        <v>269</v>
      </c>
      <c r="R1582" s="617"/>
      <c r="S1582" s="1146">
        <v>-3536</v>
      </c>
      <c r="T1582" s="1146"/>
      <c r="U1582" s="1146">
        <v>26132</v>
      </c>
      <c r="V1582" s="1146"/>
      <c r="W1582" s="1146">
        <v>0</v>
      </c>
      <c r="X1582" s="1114"/>
      <c r="Y1582" s="1146">
        <v>22596</v>
      </c>
      <c r="Z1582" s="2114">
        <f>C1582-'Blocking-Step2'!C1582</f>
        <v>0</v>
      </c>
      <c r="AA1582" s="2114">
        <f>D1582-'Blocking-Step2'!D1582</f>
        <v>0</v>
      </c>
      <c r="AC1582" s="2114">
        <f>F1582-'Blocking-Step2'!F1582</f>
        <v>0</v>
      </c>
      <c r="AE1582" s="2114">
        <f>H1582-'Blocking-Step2'!H1582</f>
        <v>0</v>
      </c>
      <c r="AF1582" s="2114">
        <f>I1582-'Blocking-Step2'!I1582</f>
        <v>0</v>
      </c>
      <c r="AH1582" s="2136">
        <f>K1582-'Blocking-Step2'!K1582</f>
        <v>-311.09000000000003</v>
      </c>
      <c r="AJ1582" s="2136">
        <f>M1582-'Blocking-Step2'!M1582</f>
        <v>311.09000000000003</v>
      </c>
      <c r="AL1582" s="2136">
        <f>O1582-'Blocking-Step2'!O1582</f>
        <v>0</v>
      </c>
      <c r="AN1582" s="2137">
        <f>Q1582-'Blocking-Step2'!Q1582</f>
        <v>0</v>
      </c>
      <c r="AP1582" s="2127">
        <f>S1582-'Blocking-Step2'!S1582</f>
        <v>-26132</v>
      </c>
      <c r="AR1582" s="2127">
        <f>U1582-'Blocking-Step2'!U1582</f>
        <v>26132</v>
      </c>
      <c r="AT1582" s="2127">
        <f>W1582-'Blocking-Step2'!W1582</f>
        <v>0</v>
      </c>
      <c r="AV1582" s="2128">
        <f>Y1582-'Blocking-Step2'!Y1582</f>
        <v>0</v>
      </c>
    </row>
    <row r="1583" spans="1:48" ht="16.5" hidden="1" thickTop="1">
      <c r="A1583" s="1116" t="s">
        <v>305</v>
      </c>
      <c r="C1583" s="1105">
        <v>161957</v>
      </c>
      <c r="D1583" s="1105">
        <v>167632</v>
      </c>
      <c r="F1583" s="1142">
        <v>2.2200000000000002</v>
      </c>
      <c r="G1583" s="617"/>
      <c r="H1583" s="1146">
        <v>359545</v>
      </c>
      <c r="I1583" s="1146">
        <v>372143</v>
      </c>
      <c r="K1583" s="1142">
        <v>0</v>
      </c>
      <c r="L1583" s="617"/>
      <c r="M1583" s="1142">
        <v>2.2999999999999998</v>
      </c>
      <c r="N1583" s="617"/>
      <c r="O1583" s="1142">
        <v>0</v>
      </c>
      <c r="P1583" s="617"/>
      <c r="Q1583" s="1142">
        <v>2.2999999999999998</v>
      </c>
      <c r="R1583" s="617"/>
      <c r="S1583" s="1146">
        <v>0</v>
      </c>
      <c r="T1583" s="1146"/>
      <c r="U1583" s="1146">
        <v>385554</v>
      </c>
      <c r="V1583" s="1146"/>
      <c r="W1583" s="1146">
        <v>0</v>
      </c>
      <c r="X1583" s="1114"/>
      <c r="Y1583" s="1146">
        <v>385554</v>
      </c>
      <c r="Z1583" s="2114">
        <f>C1583-'Blocking-Step2'!C1583</f>
        <v>0</v>
      </c>
      <c r="AA1583" s="2114">
        <f>D1583-'Blocking-Step2'!D1583</f>
        <v>0</v>
      </c>
      <c r="AC1583" s="2114">
        <f>F1583-'Blocking-Step2'!F1583</f>
        <v>0</v>
      </c>
      <c r="AE1583" s="2114">
        <f>H1583-'Blocking-Step2'!H1583</f>
        <v>0</v>
      </c>
      <c r="AF1583" s="2114">
        <f>I1583-'Blocking-Step2'!I1583</f>
        <v>0</v>
      </c>
      <c r="AH1583" s="2136">
        <f>K1583-'Blocking-Step2'!K1583</f>
        <v>-2.2999999999999998</v>
      </c>
      <c r="AJ1583" s="2136">
        <f>M1583-'Blocking-Step2'!M1583</f>
        <v>2.2999999999999998</v>
      </c>
      <c r="AL1583" s="2136">
        <f>O1583-'Blocking-Step2'!O1583</f>
        <v>0</v>
      </c>
      <c r="AN1583" s="2137">
        <f>Q1583-'Blocking-Step2'!Q1583</f>
        <v>0</v>
      </c>
      <c r="AP1583" s="2127">
        <f>S1583-'Blocking-Step2'!S1583</f>
        <v>-385554</v>
      </c>
      <c r="AR1583" s="2127">
        <f>U1583-'Blocking-Step2'!U1583</f>
        <v>385554</v>
      </c>
      <c r="AT1583" s="2127">
        <f>W1583-'Blocking-Step2'!W1583</f>
        <v>0</v>
      </c>
      <c r="AV1583" s="2128">
        <f>Y1583-'Blocking-Step2'!Y1583</f>
        <v>0</v>
      </c>
    </row>
    <row r="1584" spans="1:48" ht="16.5" hidden="1" thickTop="1">
      <c r="A1584" s="1116" t="s">
        <v>1651</v>
      </c>
      <c r="C1584" s="1105">
        <v>54110.209678658779</v>
      </c>
      <c r="D1584" s="1105">
        <v>56006</v>
      </c>
      <c r="F1584" s="1142"/>
      <c r="G1584" s="617"/>
      <c r="H1584" s="1146"/>
      <c r="I1584" s="1146"/>
      <c r="K1584" s="1142">
        <v>0</v>
      </c>
      <c r="L1584" s="617"/>
      <c r="M1584" s="1142">
        <v>4.7784000000000004</v>
      </c>
      <c r="N1584" s="617"/>
      <c r="O1584" s="1142">
        <v>0</v>
      </c>
      <c r="P1584" s="617"/>
      <c r="Q1584" s="1142">
        <v>4.7784000000000004</v>
      </c>
      <c r="R1584" s="617"/>
      <c r="S1584" s="1146">
        <v>0</v>
      </c>
      <c r="T1584" s="1146"/>
      <c r="U1584" s="1146">
        <v>267619</v>
      </c>
      <c r="V1584" s="1146"/>
      <c r="W1584" s="1146">
        <v>0</v>
      </c>
      <c r="X1584" s="1114"/>
      <c r="Y1584" s="1146">
        <v>267619</v>
      </c>
      <c r="Z1584" s="2114">
        <f>C1584-'Blocking-Step2'!C1584</f>
        <v>0</v>
      </c>
      <c r="AA1584" s="2114">
        <f>D1584-'Blocking-Step2'!D1584</f>
        <v>0</v>
      </c>
      <c r="AC1584" s="2114">
        <f>F1584-'Blocking-Step2'!F1584</f>
        <v>0</v>
      </c>
      <c r="AE1584" s="2114">
        <f>H1584-'Blocking-Step2'!H1584</f>
        <v>0</v>
      </c>
      <c r="AF1584" s="2114">
        <f>I1584-'Blocking-Step2'!I1584</f>
        <v>0</v>
      </c>
      <c r="AH1584" s="2136">
        <f>K1584-'Blocking-Step2'!K1584</f>
        <v>-1.5840000000000001</v>
      </c>
      <c r="AJ1584" s="2136">
        <f>M1584-'Blocking-Step2'!M1584</f>
        <v>1.5840000000000005</v>
      </c>
      <c r="AL1584" s="2136">
        <f>O1584-'Blocking-Step2'!O1584</f>
        <v>0</v>
      </c>
      <c r="AN1584" s="2137">
        <f>Q1584-'Blocking-Step2'!Q1584</f>
        <v>0</v>
      </c>
      <c r="AP1584" s="2127">
        <f>S1584-'Blocking-Step2'!S1584</f>
        <v>-88714</v>
      </c>
      <c r="AR1584" s="2127">
        <f>U1584-'Blocking-Step2'!U1584</f>
        <v>88713</v>
      </c>
      <c r="AT1584" s="2127">
        <f>W1584-'Blocking-Step2'!W1584</f>
        <v>0</v>
      </c>
      <c r="AV1584" s="2128">
        <f>Y1584-'Blocking-Step2'!Y1584</f>
        <v>0</v>
      </c>
    </row>
    <row r="1585" spans="1:48" ht="16.5" hidden="1" thickTop="1">
      <c r="A1585" s="1116" t="s">
        <v>1652</v>
      </c>
      <c r="C1585" s="1105">
        <v>108222.83335674595</v>
      </c>
      <c r="D1585" s="1105">
        <v>112015</v>
      </c>
      <c r="F1585" s="1142"/>
      <c r="G1585" s="617"/>
      <c r="H1585" s="1146"/>
      <c r="I1585" s="1146"/>
      <c r="K1585" s="1142">
        <v>0</v>
      </c>
      <c r="L1585" s="617"/>
      <c r="M1585" s="1142">
        <v>4.2273000000000005</v>
      </c>
      <c r="N1585" s="617"/>
      <c r="O1585" s="1142">
        <v>0</v>
      </c>
      <c r="P1585" s="617"/>
      <c r="Q1585" s="1142">
        <v>4.2273000000000005</v>
      </c>
      <c r="R1585" s="617"/>
      <c r="S1585" s="1146">
        <v>0</v>
      </c>
      <c r="T1585" s="1146"/>
      <c r="U1585" s="1146">
        <v>473521</v>
      </c>
      <c r="V1585" s="1146"/>
      <c r="W1585" s="1146">
        <v>0</v>
      </c>
      <c r="X1585" s="1114"/>
      <c r="Y1585" s="1146">
        <v>473521</v>
      </c>
      <c r="Z1585" s="2114">
        <f>C1585-'Blocking-Step2'!C1585</f>
        <v>0</v>
      </c>
      <c r="AA1585" s="2114">
        <f>D1585-'Blocking-Step2'!D1585</f>
        <v>0</v>
      </c>
      <c r="AC1585" s="2114">
        <f>F1585-'Blocking-Step2'!F1585</f>
        <v>0</v>
      </c>
      <c r="AE1585" s="2114">
        <f>H1585-'Blocking-Step2'!H1585</f>
        <v>0</v>
      </c>
      <c r="AF1585" s="2114">
        <f>I1585-'Blocking-Step2'!I1585</f>
        <v>0</v>
      </c>
      <c r="AH1585" s="2136">
        <f>K1585-'Blocking-Step2'!K1585</f>
        <v>-1.4025000000000001</v>
      </c>
      <c r="AJ1585" s="2136">
        <f>M1585-'Blocking-Step2'!M1585</f>
        <v>1.4025000000000003</v>
      </c>
      <c r="AL1585" s="2136">
        <f>O1585-'Blocking-Step2'!O1585</f>
        <v>0</v>
      </c>
      <c r="AN1585" s="2137">
        <f>Q1585-'Blocking-Step2'!Q1585</f>
        <v>0</v>
      </c>
      <c r="AP1585" s="2127">
        <f>S1585-'Blocking-Step2'!S1585</f>
        <v>-157101</v>
      </c>
      <c r="AR1585" s="2127">
        <f>U1585-'Blocking-Step2'!U1585</f>
        <v>157101</v>
      </c>
      <c r="AT1585" s="2127">
        <f>W1585-'Blocking-Step2'!W1585</f>
        <v>0</v>
      </c>
      <c r="AV1585" s="2128">
        <f>Y1585-'Blocking-Step2'!Y1585</f>
        <v>0</v>
      </c>
    </row>
    <row r="1586" spans="1:48" ht="16.5" hidden="1" thickTop="1">
      <c r="A1586" s="1116" t="s">
        <v>1532</v>
      </c>
      <c r="C1586" s="1105">
        <v>3746524.389192495</v>
      </c>
      <c r="D1586" s="1105">
        <v>3905191</v>
      </c>
      <c r="F1586" s="1106"/>
      <c r="G1586" s="1921"/>
      <c r="H1586" s="1146"/>
      <c r="I1586" s="1146"/>
      <c r="K1586" s="1106">
        <v>0</v>
      </c>
      <c r="L1586" s="1921" t="s">
        <v>495</v>
      </c>
      <c r="M1586" s="1106">
        <v>1.0927</v>
      </c>
      <c r="N1586" s="1921" t="s">
        <v>495</v>
      </c>
      <c r="O1586" s="1106">
        <v>4.1108761607000002</v>
      </c>
      <c r="P1586" s="1921" t="s">
        <v>495</v>
      </c>
      <c r="Q1586" s="1106">
        <v>5.2035761607</v>
      </c>
      <c r="R1586" s="1921" t="s">
        <v>495</v>
      </c>
      <c r="S1586" s="1146">
        <v>0</v>
      </c>
      <c r="T1586" s="1146"/>
      <c r="U1586" s="1146">
        <v>42672</v>
      </c>
      <c r="V1586" s="1146"/>
      <c r="W1586" s="1146">
        <v>160538</v>
      </c>
      <c r="X1586" s="1648"/>
      <c r="Y1586" s="1146">
        <v>203210</v>
      </c>
      <c r="Z1586" s="2114">
        <f>C1586-'Blocking-Step2'!C1586</f>
        <v>0</v>
      </c>
      <c r="AA1586" s="2114">
        <f>D1586-'Blocking-Step2'!D1586</f>
        <v>0</v>
      </c>
      <c r="AC1586" s="2114">
        <f>F1586-'Blocking-Step2'!F1586</f>
        <v>0</v>
      </c>
      <c r="AE1586" s="2114">
        <f>H1586-'Blocking-Step2'!H1586</f>
        <v>0</v>
      </c>
      <c r="AF1586" s="2114">
        <f>I1586-'Blocking-Step2'!I1586</f>
        <v>0</v>
      </c>
      <c r="AH1586" s="2136">
        <f>K1586-'Blocking-Step2'!K1586</f>
        <v>0</v>
      </c>
      <c r="AJ1586" s="2136">
        <f>M1586-'Blocking-Step2'!M1586</f>
        <v>0</v>
      </c>
      <c r="AL1586" s="2136">
        <f>O1586-'Blocking-Step2'!O1586</f>
        <v>0</v>
      </c>
      <c r="AN1586" s="2137">
        <f>Q1586-'Blocking-Step2'!Q1586</f>
        <v>0</v>
      </c>
      <c r="AP1586" s="2127">
        <f>S1586-'Blocking-Step2'!S1586</f>
        <v>0</v>
      </c>
      <c r="AR1586" s="2127">
        <f>U1586-'Blocking-Step2'!U1586</f>
        <v>0</v>
      </c>
      <c r="AT1586" s="2127">
        <f>W1586-'Blocking-Step2'!W1586</f>
        <v>0</v>
      </c>
      <c r="AV1586" s="2128">
        <f>Y1586-'Blocking-Step2'!Y1586</f>
        <v>0</v>
      </c>
    </row>
    <row r="1587" spans="1:48" ht="16.5" hidden="1" thickTop="1">
      <c r="A1587" s="1116" t="s">
        <v>1653</v>
      </c>
      <c r="C1587" s="1105">
        <v>3320308.7884386145</v>
      </c>
      <c r="D1587" s="1105">
        <v>3460925</v>
      </c>
      <c r="F1587" s="1106"/>
      <c r="G1587" s="1921"/>
      <c r="H1587" s="1146"/>
      <c r="I1587" s="1146"/>
      <c r="K1587" s="1106">
        <v>0</v>
      </c>
      <c r="L1587" s="1921" t="s">
        <v>495</v>
      </c>
      <c r="M1587" s="1106">
        <v>1.0927</v>
      </c>
      <c r="N1587" s="1921" t="s">
        <v>495</v>
      </c>
      <c r="O1587" s="1106">
        <v>3.5122346554870001</v>
      </c>
      <c r="P1587" s="1921" t="s">
        <v>495</v>
      </c>
      <c r="Q1587" s="1106">
        <v>4.6049346554869999</v>
      </c>
      <c r="R1587" s="1921" t="s">
        <v>495</v>
      </c>
      <c r="S1587" s="1146">
        <v>0</v>
      </c>
      <c r="T1587" s="1146"/>
      <c r="U1587" s="1146">
        <v>37818</v>
      </c>
      <c r="V1587" s="1146"/>
      <c r="W1587" s="1146">
        <v>121556</v>
      </c>
      <c r="X1587" s="1648"/>
      <c r="Y1587" s="1146">
        <v>159373</v>
      </c>
      <c r="Z1587" s="2114">
        <f>C1587-'Blocking-Step2'!C1587</f>
        <v>0</v>
      </c>
      <c r="AA1587" s="2114">
        <f>D1587-'Blocking-Step2'!D1587</f>
        <v>0</v>
      </c>
      <c r="AC1587" s="2114">
        <f>F1587-'Blocking-Step2'!F1587</f>
        <v>0</v>
      </c>
      <c r="AE1587" s="2114">
        <f>H1587-'Blocking-Step2'!H1587</f>
        <v>0</v>
      </c>
      <c r="AF1587" s="2114">
        <f>I1587-'Blocking-Step2'!I1587</f>
        <v>0</v>
      </c>
      <c r="AH1587" s="2136">
        <f>K1587-'Blocking-Step2'!K1587</f>
        <v>0</v>
      </c>
      <c r="AJ1587" s="2136">
        <f>M1587-'Blocking-Step2'!M1587</f>
        <v>0</v>
      </c>
      <c r="AL1587" s="2136">
        <f>O1587-'Blocking-Step2'!O1587</f>
        <v>0</v>
      </c>
      <c r="AN1587" s="2137">
        <f>Q1587-'Blocking-Step2'!Q1587</f>
        <v>0</v>
      </c>
      <c r="AP1587" s="2127">
        <f>S1587-'Blocking-Step2'!S1587</f>
        <v>0</v>
      </c>
      <c r="AR1587" s="2127">
        <f>U1587-'Blocking-Step2'!U1587</f>
        <v>0</v>
      </c>
      <c r="AT1587" s="2127">
        <f>W1587-'Blocking-Step2'!W1587</f>
        <v>0</v>
      </c>
      <c r="AV1587" s="2128">
        <f>Y1587-'Blocking-Step2'!Y1587</f>
        <v>0</v>
      </c>
    </row>
    <row r="1588" spans="1:48" ht="16.5" hidden="1" thickTop="1">
      <c r="A1588" s="1116" t="s">
        <v>1533</v>
      </c>
      <c r="C1588" s="1105">
        <v>2172757.3813617383</v>
      </c>
      <c r="D1588" s="1105">
        <v>2264775</v>
      </c>
      <c r="F1588" s="1106"/>
      <c r="G1588" s="1921"/>
      <c r="H1588" s="1146"/>
      <c r="I1588" s="1146"/>
      <c r="K1588" s="1106">
        <v>0</v>
      </c>
      <c r="L1588" s="1921" t="s">
        <v>495</v>
      </c>
      <c r="M1588" s="1106">
        <v>1.0927</v>
      </c>
      <c r="N1588" s="1921" t="s">
        <v>495</v>
      </c>
      <c r="O1588" s="1106">
        <v>1.5521862361710002</v>
      </c>
      <c r="P1588" s="1921" t="s">
        <v>495</v>
      </c>
      <c r="Q1588" s="1106">
        <v>2.6448862361710002</v>
      </c>
      <c r="R1588" s="1921" t="s">
        <v>495</v>
      </c>
      <c r="S1588" s="1146">
        <v>0</v>
      </c>
      <c r="T1588" s="1146"/>
      <c r="U1588" s="1146">
        <v>24747</v>
      </c>
      <c r="V1588" s="1146"/>
      <c r="W1588" s="1146">
        <v>35154</v>
      </c>
      <c r="X1588" s="1648"/>
      <c r="Y1588" s="1146">
        <v>59901</v>
      </c>
      <c r="Z1588" s="2114">
        <f>C1588-'Blocking-Step2'!C1588</f>
        <v>0</v>
      </c>
      <c r="AA1588" s="2114">
        <f>D1588-'Blocking-Step2'!D1588</f>
        <v>0</v>
      </c>
      <c r="AC1588" s="2114">
        <f>F1588-'Blocking-Step2'!F1588</f>
        <v>0</v>
      </c>
      <c r="AE1588" s="2114">
        <f>H1588-'Blocking-Step2'!H1588</f>
        <v>0</v>
      </c>
      <c r="AF1588" s="2114">
        <f>I1588-'Blocking-Step2'!I1588</f>
        <v>0</v>
      </c>
      <c r="AH1588" s="2136">
        <f>K1588-'Blocking-Step2'!K1588</f>
        <v>0</v>
      </c>
      <c r="AJ1588" s="2136">
        <f>M1588-'Blocking-Step2'!M1588</f>
        <v>0</v>
      </c>
      <c r="AL1588" s="2136">
        <f>O1588-'Blocking-Step2'!O1588</f>
        <v>0</v>
      </c>
      <c r="AN1588" s="2137">
        <f>Q1588-'Blocking-Step2'!Q1588</f>
        <v>0</v>
      </c>
      <c r="AP1588" s="2127">
        <f>S1588-'Blocking-Step2'!S1588</f>
        <v>0</v>
      </c>
      <c r="AR1588" s="2127">
        <f>U1588-'Blocking-Step2'!U1588</f>
        <v>0</v>
      </c>
      <c r="AT1588" s="2127">
        <f>W1588-'Blocking-Step2'!W1588</f>
        <v>0</v>
      </c>
      <c r="AV1588" s="2128">
        <f>Y1588-'Blocking-Step2'!Y1588</f>
        <v>0</v>
      </c>
    </row>
    <row r="1589" spans="1:48" ht="16.5" hidden="1" thickTop="1">
      <c r="A1589" s="1116" t="s">
        <v>2177</v>
      </c>
      <c r="C1589" s="1105">
        <v>8383669.4410071522</v>
      </c>
      <c r="D1589" s="1105">
        <v>8314209</v>
      </c>
      <c r="F1589" s="1106"/>
      <c r="G1589" s="1921"/>
      <c r="H1589" s="1146"/>
      <c r="I1589" s="1146"/>
      <c r="K1589" s="1106">
        <v>0</v>
      </c>
      <c r="L1589" s="1921" t="s">
        <v>495</v>
      </c>
      <c r="M1589" s="1106">
        <v>1.0927</v>
      </c>
      <c r="N1589" s="1921" t="s">
        <v>495</v>
      </c>
      <c r="O1589" s="1106">
        <v>1.247907288647</v>
      </c>
      <c r="P1589" s="1921" t="s">
        <v>495</v>
      </c>
      <c r="Q1589" s="1106">
        <v>2.340607288647</v>
      </c>
      <c r="R1589" s="1921" t="s">
        <v>495</v>
      </c>
      <c r="S1589" s="1146">
        <v>0</v>
      </c>
      <c r="T1589" s="1146"/>
      <c r="U1589" s="1146">
        <v>90849</v>
      </c>
      <c r="V1589" s="1146"/>
      <c r="W1589" s="1146">
        <v>103754</v>
      </c>
      <c r="X1589" s="1648"/>
      <c r="Y1589" s="1146">
        <v>194603</v>
      </c>
      <c r="Z1589" s="2114">
        <f>C1589-'Blocking-Step2'!C1589</f>
        <v>0</v>
      </c>
      <c r="AA1589" s="2114">
        <f>D1589-'Blocking-Step2'!D1589</f>
        <v>0</v>
      </c>
      <c r="AC1589" s="2114">
        <f>F1589-'Blocking-Step2'!F1589</f>
        <v>0</v>
      </c>
      <c r="AE1589" s="2114">
        <f>H1589-'Blocking-Step2'!H1589</f>
        <v>0</v>
      </c>
      <c r="AF1589" s="2114">
        <f>I1589-'Blocking-Step2'!I1589</f>
        <v>0</v>
      </c>
      <c r="AH1589" s="2136">
        <f>K1589-'Blocking-Step2'!K1589</f>
        <v>0</v>
      </c>
      <c r="AJ1589" s="2136">
        <f>M1589-'Blocking-Step2'!M1589</f>
        <v>0</v>
      </c>
      <c r="AL1589" s="2136">
        <f>O1589-'Blocking-Step2'!O1589</f>
        <v>0</v>
      </c>
      <c r="AN1589" s="2137">
        <f>Q1589-'Blocking-Step2'!Q1589</f>
        <v>0</v>
      </c>
      <c r="AP1589" s="2127">
        <f>S1589-'Blocking-Step2'!S1589</f>
        <v>0</v>
      </c>
      <c r="AR1589" s="2127">
        <f>U1589-'Blocking-Step2'!U1589</f>
        <v>0</v>
      </c>
      <c r="AT1589" s="2127">
        <f>W1589-'Blocking-Step2'!W1589</f>
        <v>0</v>
      </c>
      <c r="AV1589" s="2128">
        <f>Y1589-'Blocking-Step2'!Y1589</f>
        <v>0</v>
      </c>
    </row>
    <row r="1590" spans="1:48" ht="16.5" hidden="1" thickTop="1">
      <c r="A1590" s="1116" t="s">
        <v>2185</v>
      </c>
      <c r="C1590" s="1105">
        <v>66685</v>
      </c>
      <c r="D1590" s="1105"/>
      <c r="F1590" s="1106"/>
      <c r="G1590" s="1921"/>
      <c r="H1590" s="1146"/>
      <c r="I1590" s="1146"/>
      <c r="K1590" s="1106"/>
      <c r="L1590" s="1921"/>
      <c r="M1590" s="1106"/>
      <c r="N1590" s="1921"/>
      <c r="O1590" s="1106"/>
      <c r="P1590" s="1921"/>
      <c r="Q1590" s="1106"/>
      <c r="R1590" s="1921"/>
      <c r="S1590" s="1648"/>
      <c r="T1590" s="1648"/>
      <c r="U1590" s="1648"/>
      <c r="V1590" s="1648"/>
      <c r="W1590" s="1648"/>
      <c r="X1590" s="1648"/>
      <c r="Y1590" s="1146"/>
      <c r="Z1590" s="2114">
        <f>C1590-'Blocking-Step2'!C1590</f>
        <v>0</v>
      </c>
      <c r="AA1590" s="2114">
        <f>D1590-'Blocking-Step2'!D1590</f>
        <v>0</v>
      </c>
      <c r="AC1590" s="2114">
        <f>F1590-'Blocking-Step2'!F1590</f>
        <v>0</v>
      </c>
      <c r="AE1590" s="2114">
        <f>H1590-'Blocking-Step2'!H1590</f>
        <v>0</v>
      </c>
      <c r="AF1590" s="2114">
        <f>I1590-'Blocking-Step2'!I1590</f>
        <v>0</v>
      </c>
      <c r="AH1590" s="2136">
        <f>K1590-'Blocking-Step2'!K1590</f>
        <v>0</v>
      </c>
      <c r="AJ1590" s="2136">
        <f>M1590-'Blocking-Step2'!M1590</f>
        <v>0</v>
      </c>
      <c r="AL1590" s="2136">
        <f>O1590-'Blocking-Step2'!O1590</f>
        <v>0</v>
      </c>
      <c r="AN1590" s="2137">
        <f>Q1590-'Blocking-Step2'!Q1590</f>
        <v>0</v>
      </c>
      <c r="AP1590" s="2127">
        <f>S1590-'Blocking-Step2'!S1590</f>
        <v>0</v>
      </c>
      <c r="AR1590" s="2127">
        <f>U1590-'Blocking-Step2'!U1590</f>
        <v>0</v>
      </c>
      <c r="AT1590" s="2127">
        <f>W1590-'Blocking-Step2'!W1590</f>
        <v>0</v>
      </c>
      <c r="AV1590" s="2128">
        <f>Y1590-'Blocking-Step2'!Y1590</f>
        <v>0</v>
      </c>
    </row>
    <row r="1591" spans="1:48" ht="16.5" hidden="1" thickTop="1">
      <c r="A1591" s="1116" t="s">
        <v>2186</v>
      </c>
      <c r="C1591" s="1105">
        <v>95272</v>
      </c>
      <c r="D1591" s="1105"/>
      <c r="F1591" s="1106"/>
      <c r="G1591" s="1921"/>
      <c r="H1591" s="1146"/>
      <c r="I1591" s="1146"/>
      <c r="K1591" s="1106"/>
      <c r="L1591" s="1921"/>
      <c r="M1591" s="1106"/>
      <c r="N1591" s="1921"/>
      <c r="O1591" s="1106"/>
      <c r="P1591" s="1921"/>
      <c r="Q1591" s="1106"/>
      <c r="R1591" s="1921"/>
      <c r="S1591" s="1648"/>
      <c r="T1591" s="1648"/>
      <c r="U1591" s="1648"/>
      <c r="V1591" s="1648"/>
      <c r="W1591" s="1648"/>
      <c r="X1591" s="1648"/>
      <c r="Y1591" s="1146"/>
      <c r="Z1591" s="2114">
        <f>C1591-'Blocking-Step2'!C1591</f>
        <v>0</v>
      </c>
      <c r="AA1591" s="2114">
        <f>D1591-'Blocking-Step2'!D1591</f>
        <v>0</v>
      </c>
      <c r="AC1591" s="2114">
        <f>F1591-'Blocking-Step2'!F1591</f>
        <v>0</v>
      </c>
      <c r="AE1591" s="2114">
        <f>H1591-'Blocking-Step2'!H1591</f>
        <v>0</v>
      </c>
      <c r="AF1591" s="2114">
        <f>I1591-'Blocking-Step2'!I1591</f>
        <v>0</v>
      </c>
      <c r="AH1591" s="2136">
        <f>K1591-'Blocking-Step2'!K1591</f>
        <v>0</v>
      </c>
      <c r="AJ1591" s="2136">
        <f>M1591-'Blocking-Step2'!M1591</f>
        <v>0</v>
      </c>
      <c r="AL1591" s="2136">
        <f>O1591-'Blocking-Step2'!O1591</f>
        <v>0</v>
      </c>
      <c r="AN1591" s="2137">
        <f>Q1591-'Blocking-Step2'!Q1591</f>
        <v>0</v>
      </c>
      <c r="AP1591" s="2127">
        <f>S1591-'Blocking-Step2'!S1591</f>
        <v>0</v>
      </c>
      <c r="AR1591" s="2127">
        <f>U1591-'Blocking-Step2'!U1591</f>
        <v>0</v>
      </c>
      <c r="AT1591" s="2127">
        <f>W1591-'Blocking-Step2'!W1591</f>
        <v>0</v>
      </c>
      <c r="AV1591" s="2128">
        <f>Y1591-'Blocking-Step2'!Y1591</f>
        <v>0</v>
      </c>
    </row>
    <row r="1592" spans="1:48" ht="16.5" hidden="1" thickTop="1">
      <c r="A1592" s="1116" t="s">
        <v>2187</v>
      </c>
      <c r="C1592" s="1105">
        <v>5416860</v>
      </c>
      <c r="D1592" s="1105"/>
      <c r="F1592" s="1106"/>
      <c r="G1592" s="1921"/>
      <c r="H1592" s="1146"/>
      <c r="I1592" s="1146"/>
      <c r="K1592" s="1106"/>
      <c r="L1592" s="1921"/>
      <c r="M1592" s="1106"/>
      <c r="N1592" s="1921"/>
      <c r="O1592" s="1106"/>
      <c r="P1592" s="1921"/>
      <c r="Q1592" s="1106"/>
      <c r="R1592" s="1921"/>
      <c r="S1592" s="1648"/>
      <c r="T1592" s="1648"/>
      <c r="U1592" s="1648"/>
      <c r="V1592" s="1648"/>
      <c r="W1592" s="1648"/>
      <c r="X1592" s="1648"/>
      <c r="Y1592" s="1146"/>
      <c r="Z1592" s="2114">
        <f>C1592-'Blocking-Step2'!C1592</f>
        <v>0</v>
      </c>
      <c r="AA1592" s="2114">
        <f>D1592-'Blocking-Step2'!D1592</f>
        <v>0</v>
      </c>
      <c r="AC1592" s="2114">
        <f>F1592-'Blocking-Step2'!F1592</f>
        <v>0</v>
      </c>
      <c r="AE1592" s="2114">
        <f>H1592-'Blocking-Step2'!H1592</f>
        <v>0</v>
      </c>
      <c r="AF1592" s="2114">
        <f>I1592-'Blocking-Step2'!I1592</f>
        <v>0</v>
      </c>
      <c r="AH1592" s="2136">
        <f>K1592-'Blocking-Step2'!K1592</f>
        <v>0</v>
      </c>
      <c r="AJ1592" s="2136">
        <f>M1592-'Blocking-Step2'!M1592</f>
        <v>0</v>
      </c>
      <c r="AL1592" s="2136">
        <f>O1592-'Blocking-Step2'!O1592</f>
        <v>0</v>
      </c>
      <c r="AN1592" s="2137">
        <f>Q1592-'Blocking-Step2'!Q1592</f>
        <v>0</v>
      </c>
      <c r="AP1592" s="2127">
        <f>S1592-'Blocking-Step2'!S1592</f>
        <v>0</v>
      </c>
      <c r="AR1592" s="2127">
        <f>U1592-'Blocking-Step2'!U1592</f>
        <v>0</v>
      </c>
      <c r="AT1592" s="2127">
        <f>W1592-'Blocking-Step2'!W1592</f>
        <v>0</v>
      </c>
      <c r="AV1592" s="2128">
        <f>Y1592-'Blocking-Step2'!Y1592</f>
        <v>0</v>
      </c>
    </row>
    <row r="1593" spans="1:48" ht="16.5" hidden="1" thickTop="1">
      <c r="A1593" s="1116" t="s">
        <v>2188</v>
      </c>
      <c r="C1593" s="1105">
        <v>6645620</v>
      </c>
      <c r="D1593" s="1105"/>
      <c r="F1593" s="1106"/>
      <c r="G1593" s="1921"/>
      <c r="H1593" s="1146"/>
      <c r="I1593" s="1146"/>
      <c r="K1593" s="1106"/>
      <c r="L1593" s="1921"/>
      <c r="M1593" s="1106"/>
      <c r="N1593" s="1921"/>
      <c r="O1593" s="1106"/>
      <c r="P1593" s="1921"/>
      <c r="Q1593" s="1106"/>
      <c r="R1593" s="1921"/>
      <c r="S1593" s="1648"/>
      <c r="T1593" s="1648"/>
      <c r="U1593" s="1648"/>
      <c r="V1593" s="1648"/>
      <c r="W1593" s="1648"/>
      <c r="X1593" s="1648"/>
      <c r="Y1593" s="1146"/>
      <c r="Z1593" s="2114">
        <f>C1593-'Blocking-Step2'!C1593</f>
        <v>0</v>
      </c>
      <c r="AA1593" s="2114">
        <f>D1593-'Blocking-Step2'!D1593</f>
        <v>0</v>
      </c>
      <c r="AC1593" s="2114">
        <f>F1593-'Blocking-Step2'!F1593</f>
        <v>0</v>
      </c>
      <c r="AE1593" s="2114">
        <f>H1593-'Blocking-Step2'!H1593</f>
        <v>0</v>
      </c>
      <c r="AF1593" s="2114">
        <f>I1593-'Blocking-Step2'!I1593</f>
        <v>0</v>
      </c>
      <c r="AH1593" s="2136">
        <f>K1593-'Blocking-Step2'!K1593</f>
        <v>0</v>
      </c>
      <c r="AJ1593" s="2136">
        <f>M1593-'Blocking-Step2'!M1593</f>
        <v>0</v>
      </c>
      <c r="AL1593" s="2136">
        <f>O1593-'Blocking-Step2'!O1593</f>
        <v>0</v>
      </c>
      <c r="AN1593" s="2137">
        <f>Q1593-'Blocking-Step2'!Q1593</f>
        <v>0</v>
      </c>
      <c r="AP1593" s="2127">
        <f>S1593-'Blocking-Step2'!S1593</f>
        <v>0</v>
      </c>
      <c r="AR1593" s="2127">
        <f>U1593-'Blocking-Step2'!U1593</f>
        <v>0</v>
      </c>
      <c r="AT1593" s="2127">
        <f>W1593-'Blocking-Step2'!W1593</f>
        <v>0</v>
      </c>
      <c r="AV1593" s="2128">
        <f>Y1593-'Blocking-Step2'!Y1593</f>
        <v>0</v>
      </c>
    </row>
    <row r="1594" spans="1:48" ht="16.5" hidden="1" thickTop="1">
      <c r="A1594" s="1116" t="s">
        <v>2189</v>
      </c>
      <c r="C1594" s="1105">
        <v>2596740</v>
      </c>
      <c r="D1594" s="1105"/>
      <c r="F1594" s="1106"/>
      <c r="G1594" s="1921"/>
      <c r="H1594" s="1146"/>
      <c r="I1594" s="1146"/>
      <c r="K1594" s="1106"/>
      <c r="L1594" s="1921"/>
      <c r="M1594" s="1106"/>
      <c r="N1594" s="1921"/>
      <c r="O1594" s="1106"/>
      <c r="P1594" s="1921"/>
      <c r="Q1594" s="1106"/>
      <c r="R1594" s="1921"/>
      <c r="S1594" s="1648"/>
      <c r="T1594" s="1648"/>
      <c r="U1594" s="1648"/>
      <c r="V1594" s="1648"/>
      <c r="W1594" s="1648"/>
      <c r="X1594" s="1648"/>
      <c r="Y1594" s="1146"/>
      <c r="Z1594" s="2114">
        <f>C1594-'Blocking-Step2'!C1594</f>
        <v>0</v>
      </c>
      <c r="AA1594" s="2114">
        <f>D1594-'Blocking-Step2'!D1594</f>
        <v>0</v>
      </c>
      <c r="AC1594" s="2114">
        <f>F1594-'Blocking-Step2'!F1594</f>
        <v>0</v>
      </c>
      <c r="AE1594" s="2114">
        <f>H1594-'Blocking-Step2'!H1594</f>
        <v>0</v>
      </c>
      <c r="AF1594" s="2114">
        <f>I1594-'Blocking-Step2'!I1594</f>
        <v>0</v>
      </c>
      <c r="AH1594" s="2136">
        <f>K1594-'Blocking-Step2'!K1594</f>
        <v>0</v>
      </c>
      <c r="AJ1594" s="2136">
        <f>M1594-'Blocking-Step2'!M1594</f>
        <v>0</v>
      </c>
      <c r="AL1594" s="2136">
        <f>O1594-'Blocking-Step2'!O1594</f>
        <v>0</v>
      </c>
      <c r="AN1594" s="2137">
        <f>Q1594-'Blocking-Step2'!Q1594</f>
        <v>0</v>
      </c>
      <c r="AP1594" s="2127">
        <f>S1594-'Blocking-Step2'!S1594</f>
        <v>0</v>
      </c>
      <c r="AR1594" s="2127">
        <f>U1594-'Blocking-Step2'!U1594</f>
        <v>0</v>
      </c>
      <c r="AT1594" s="2127">
        <f>W1594-'Blocking-Step2'!W1594</f>
        <v>0</v>
      </c>
      <c r="AV1594" s="2128">
        <f>Y1594-'Blocking-Step2'!Y1594</f>
        <v>0</v>
      </c>
    </row>
    <row r="1595" spans="1:48" ht="16.5" hidden="1" thickTop="1">
      <c r="A1595" s="1116" t="s">
        <v>2190</v>
      </c>
      <c r="C1595" s="1105">
        <v>2964040</v>
      </c>
      <c r="D1595" s="1105"/>
      <c r="F1595" s="1106"/>
      <c r="G1595" s="1921"/>
      <c r="H1595" s="1146"/>
      <c r="I1595" s="1146"/>
      <c r="K1595" s="1106"/>
      <c r="L1595" s="1921"/>
      <c r="M1595" s="1106"/>
      <c r="N1595" s="1921"/>
      <c r="O1595" s="1106"/>
      <c r="P1595" s="1921"/>
      <c r="Q1595" s="1106"/>
      <c r="R1595" s="1921"/>
      <c r="S1595" s="1648"/>
      <c r="T1595" s="1648"/>
      <c r="U1595" s="1648"/>
      <c r="V1595" s="1648"/>
      <c r="W1595" s="1648"/>
      <c r="X1595" s="1648"/>
      <c r="Y1595" s="1146"/>
      <c r="Z1595" s="2114">
        <f>C1595-'Blocking-Step2'!C1595</f>
        <v>0</v>
      </c>
      <c r="AA1595" s="2114">
        <f>D1595-'Blocking-Step2'!D1595</f>
        <v>0</v>
      </c>
      <c r="AC1595" s="2114">
        <f>F1595-'Blocking-Step2'!F1595</f>
        <v>0</v>
      </c>
      <c r="AE1595" s="2114">
        <f>H1595-'Blocking-Step2'!H1595</f>
        <v>0</v>
      </c>
      <c r="AF1595" s="2114">
        <f>I1595-'Blocking-Step2'!I1595</f>
        <v>0</v>
      </c>
      <c r="AH1595" s="2136">
        <f>K1595-'Blocking-Step2'!K1595</f>
        <v>0</v>
      </c>
      <c r="AJ1595" s="2136">
        <f>M1595-'Blocking-Step2'!M1595</f>
        <v>0</v>
      </c>
      <c r="AL1595" s="2136">
        <f>O1595-'Blocking-Step2'!O1595</f>
        <v>0</v>
      </c>
      <c r="AN1595" s="2137">
        <f>Q1595-'Blocking-Step2'!Q1595</f>
        <v>0</v>
      </c>
      <c r="AP1595" s="2127">
        <f>S1595-'Blocking-Step2'!S1595</f>
        <v>0</v>
      </c>
      <c r="AR1595" s="2127">
        <f>U1595-'Blocking-Step2'!U1595</f>
        <v>0</v>
      </c>
      <c r="AT1595" s="2127">
        <f>W1595-'Blocking-Step2'!W1595</f>
        <v>0</v>
      </c>
      <c r="AV1595" s="2128">
        <f>Y1595-'Blocking-Step2'!Y1595</f>
        <v>0</v>
      </c>
    </row>
    <row r="1596" spans="1:48" ht="16.5" hidden="1" thickTop="1">
      <c r="A1596" s="1116" t="s">
        <v>248</v>
      </c>
      <c r="C1596" s="1105">
        <v>12062480</v>
      </c>
      <c r="D1596" s="1105">
        <v>12282768</v>
      </c>
      <c r="F1596" s="1143">
        <v>8.6029</v>
      </c>
      <c r="G1596" s="1921" t="s">
        <v>495</v>
      </c>
      <c r="H1596" s="1146">
        <v>1037723</v>
      </c>
      <c r="I1596" s="1146">
        <v>1056674</v>
      </c>
      <c r="K1596" s="1922"/>
      <c r="L1596" s="1921"/>
      <c r="M1596" s="1922"/>
      <c r="N1596" s="1921"/>
      <c r="O1596" s="1922"/>
      <c r="P1596" s="1921"/>
      <c r="Q1596" s="1922"/>
      <c r="R1596" s="1921"/>
      <c r="S1596" s="1648"/>
      <c r="T1596" s="1648"/>
      <c r="U1596" s="1648"/>
      <c r="V1596" s="1648"/>
      <c r="W1596" s="1648"/>
      <c r="X1596" s="1648"/>
      <c r="Y1596" s="1146"/>
      <c r="Z1596" s="2114">
        <f>C1596-'Blocking-Step2'!C1596</f>
        <v>0</v>
      </c>
      <c r="AA1596" s="2114">
        <f>D1596-'Blocking-Step2'!D1596</f>
        <v>0</v>
      </c>
      <c r="AC1596" s="2114">
        <f>F1596-'Blocking-Step2'!F1596</f>
        <v>0</v>
      </c>
      <c r="AE1596" s="2114">
        <f>H1596-'Blocking-Step2'!H1596</f>
        <v>0</v>
      </c>
      <c r="AF1596" s="2114">
        <f>I1596-'Blocking-Step2'!I1596</f>
        <v>0</v>
      </c>
      <c r="AH1596" s="2136">
        <f>K1596-'Blocking-Step2'!K1596</f>
        <v>0</v>
      </c>
      <c r="AJ1596" s="2136">
        <f>M1596-'Blocking-Step2'!M1596</f>
        <v>0</v>
      </c>
      <c r="AL1596" s="2136">
        <f>O1596-'Blocking-Step2'!O1596</f>
        <v>0</v>
      </c>
      <c r="AN1596" s="2137">
        <f>Q1596-'Blocking-Step2'!Q1596</f>
        <v>0</v>
      </c>
      <c r="AP1596" s="2127">
        <f>S1596-'Blocking-Step2'!S1596</f>
        <v>0</v>
      </c>
      <c r="AR1596" s="2127">
        <f>U1596-'Blocking-Step2'!U1596</f>
        <v>0</v>
      </c>
      <c r="AT1596" s="2127">
        <f>W1596-'Blocking-Step2'!W1596</f>
        <v>0</v>
      </c>
      <c r="AV1596" s="2128">
        <f>Y1596-'Blocking-Step2'!Y1596</f>
        <v>0</v>
      </c>
    </row>
    <row r="1597" spans="1:48" ht="16.5" hidden="1" thickTop="1">
      <c r="A1597" s="1116" t="s">
        <v>249</v>
      </c>
      <c r="C1597" s="1105">
        <v>5560780</v>
      </c>
      <c r="D1597" s="1105">
        <v>5662332</v>
      </c>
      <c r="F1597" s="1143">
        <v>3.6981000000000002</v>
      </c>
      <c r="G1597" s="1921" t="s">
        <v>495</v>
      </c>
      <c r="H1597" s="1146">
        <v>205643</v>
      </c>
      <c r="I1597" s="1146">
        <v>209399</v>
      </c>
      <c r="K1597" s="1922"/>
      <c r="L1597" s="1921"/>
      <c r="M1597" s="1922"/>
      <c r="N1597" s="1921"/>
      <c r="O1597" s="1922"/>
      <c r="P1597" s="1921"/>
      <c r="Q1597" s="1922"/>
      <c r="R1597" s="1921"/>
      <c r="S1597" s="1648"/>
      <c r="T1597" s="1648"/>
      <c r="U1597" s="1648"/>
      <c r="V1597" s="1648"/>
      <c r="W1597" s="1648"/>
      <c r="X1597" s="1648"/>
      <c r="Y1597" s="1146"/>
      <c r="Z1597" s="2114">
        <f>C1597-'Blocking-Step2'!C1597</f>
        <v>0</v>
      </c>
      <c r="AA1597" s="2114">
        <f>D1597-'Blocking-Step2'!D1597</f>
        <v>0</v>
      </c>
      <c r="AC1597" s="2114">
        <f>F1597-'Blocking-Step2'!F1597</f>
        <v>0</v>
      </c>
      <c r="AE1597" s="2114">
        <f>H1597-'Blocking-Step2'!H1597</f>
        <v>0</v>
      </c>
      <c r="AF1597" s="2114">
        <f>I1597-'Blocking-Step2'!I1597</f>
        <v>0</v>
      </c>
      <c r="AH1597" s="2136">
        <f>K1597-'Blocking-Step2'!K1597</f>
        <v>0</v>
      </c>
      <c r="AJ1597" s="2136">
        <f>M1597-'Blocking-Step2'!M1597</f>
        <v>0</v>
      </c>
      <c r="AL1597" s="2136">
        <f>O1597-'Blocking-Step2'!O1597</f>
        <v>0</v>
      </c>
      <c r="AN1597" s="2137">
        <f>Q1597-'Blocking-Step2'!Q1597</f>
        <v>0</v>
      </c>
      <c r="AP1597" s="2127">
        <f>S1597-'Blocking-Step2'!S1597</f>
        <v>0</v>
      </c>
      <c r="AR1597" s="2127">
        <f>U1597-'Blocking-Step2'!U1597</f>
        <v>0</v>
      </c>
      <c r="AT1597" s="2127">
        <f>W1597-'Blocking-Step2'!W1597</f>
        <v>0</v>
      </c>
      <c r="AV1597" s="2128">
        <f>Y1597-'Blocking-Step2'!Y1597</f>
        <v>0</v>
      </c>
    </row>
    <row r="1598" spans="1:48" ht="16.5" hidden="1" thickTop="1">
      <c r="A1598" s="1116" t="s">
        <v>246</v>
      </c>
      <c r="C1598" s="1940">
        <v>-285680</v>
      </c>
      <c r="D1598" s="1940">
        <v>0</v>
      </c>
      <c r="H1598" s="1147">
        <v>-23865</v>
      </c>
      <c r="I1598" s="1147">
        <v>0</v>
      </c>
      <c r="Y1598" s="1147"/>
      <c r="Z1598" s="2114">
        <f>C1598-'Blocking-Step2'!C1598</f>
        <v>0</v>
      </c>
      <c r="AA1598" s="2114">
        <f>D1598-'Blocking-Step2'!D1598</f>
        <v>0</v>
      </c>
      <c r="AC1598" s="2114">
        <f>F1598-'Blocking-Step2'!F1598</f>
        <v>0</v>
      </c>
      <c r="AE1598" s="2114">
        <f>H1598-'Blocking-Step2'!H1598</f>
        <v>0</v>
      </c>
      <c r="AF1598" s="2114">
        <f>I1598-'Blocking-Step2'!I1598</f>
        <v>0</v>
      </c>
      <c r="AH1598" s="2136">
        <f>K1598-'Blocking-Step2'!K1598</f>
        <v>0</v>
      </c>
      <c r="AJ1598" s="2136">
        <f>M1598-'Blocking-Step2'!M1598</f>
        <v>0</v>
      </c>
      <c r="AL1598" s="2136">
        <f>O1598-'Blocking-Step2'!O1598</f>
        <v>0</v>
      </c>
      <c r="AN1598" s="2137">
        <f>Q1598-'Blocking-Step2'!Q1598</f>
        <v>0</v>
      </c>
      <c r="AP1598" s="2127">
        <f>S1598-'Blocking-Step2'!S1598</f>
        <v>0</v>
      </c>
      <c r="AR1598" s="2127">
        <f>U1598-'Blocking-Step2'!U1598</f>
        <v>0</v>
      </c>
      <c r="AT1598" s="2127">
        <f>W1598-'Blocking-Step2'!W1598</f>
        <v>0</v>
      </c>
      <c r="AV1598" s="2128">
        <f>Y1598-'Blocking-Step2'!Y1598</f>
        <v>0</v>
      </c>
    </row>
    <row r="1599" spans="1:48" ht="16.5" hidden="1" thickTop="1">
      <c r="A1599" s="1116" t="s">
        <v>1240</v>
      </c>
      <c r="C1599" s="1024"/>
      <c r="D1599" s="1024"/>
      <c r="F1599" s="2076">
        <v>-3.4099999999999998E-2</v>
      </c>
      <c r="G1599" s="617"/>
      <c r="H1599" s="1146">
        <v>-42398.780599999998</v>
      </c>
      <c r="I1599" s="1146">
        <v>-43173.0893</v>
      </c>
      <c r="K1599" s="2076"/>
      <c r="L1599" s="617"/>
      <c r="M1599" s="2076"/>
      <c r="N1599" s="617"/>
      <c r="O1599" s="2077" t="s">
        <v>2323</v>
      </c>
      <c r="P1599" s="617"/>
      <c r="Q1599" s="2076">
        <v>-2.5700000000000001E-2</v>
      </c>
      <c r="R1599" s="617"/>
      <c r="S1599" s="1114"/>
      <c r="T1599" s="1114"/>
      <c r="U1599" s="1114"/>
      <c r="V1599" s="1114"/>
      <c r="W1599" s="1114"/>
      <c r="X1599" s="1114"/>
      <c r="Y1599" s="1146">
        <v>-34906.433900000004</v>
      </c>
      <c r="Z1599" s="2114">
        <f>C1599-'Blocking-Step2'!C1599</f>
        <v>0</v>
      </c>
      <c r="AA1599" s="2114">
        <f>D1599-'Blocking-Step2'!D1599</f>
        <v>0</v>
      </c>
      <c r="AC1599" s="2114">
        <f>F1599-'Blocking-Step2'!F1599</f>
        <v>0</v>
      </c>
      <c r="AE1599" s="2114">
        <f>H1599-'Blocking-Step2'!H1599</f>
        <v>0</v>
      </c>
      <c r="AF1599" s="2114">
        <f>I1599-'Blocking-Step2'!I1599</f>
        <v>0</v>
      </c>
      <c r="AH1599" s="2136">
        <f>K1599-'Blocking-Step2'!K1599</f>
        <v>0</v>
      </c>
      <c r="AJ1599" s="2136">
        <f>M1599-'Blocking-Step2'!M1599</f>
        <v>0</v>
      </c>
      <c r="AL1599" s="2136" t="e">
        <f>O1599-'Blocking-Step2'!O1599</f>
        <v>#VALUE!</v>
      </c>
      <c r="AN1599" s="2137">
        <f>Q1599-'Blocking-Step2'!Q1599</f>
        <v>0</v>
      </c>
      <c r="AP1599" s="2127">
        <f>S1599-'Blocking-Step2'!S1599</f>
        <v>0</v>
      </c>
      <c r="AR1599" s="2127">
        <f>U1599-'Blocking-Step2'!U1599</f>
        <v>0</v>
      </c>
      <c r="AT1599" s="2127">
        <f>W1599-'Blocking-Step2'!W1599</f>
        <v>0</v>
      </c>
      <c r="AV1599" s="2128">
        <f>Y1599-'Blocking-Step2'!Y1599</f>
        <v>0</v>
      </c>
    </row>
    <row r="1600" spans="1:48" ht="16.5" hidden="1" thickTop="1">
      <c r="A1600" s="1116"/>
      <c r="C1600" s="1024"/>
      <c r="D1600" s="1024"/>
      <c r="F1600" s="2076"/>
      <c r="G1600" s="617"/>
      <c r="H1600" s="1146"/>
      <c r="I1600" s="1146"/>
      <c r="K1600" s="2076"/>
      <c r="L1600" s="617"/>
      <c r="M1600" s="2076"/>
      <c r="N1600" s="617"/>
      <c r="O1600" s="2077" t="s">
        <v>2324</v>
      </c>
      <c r="P1600" s="617"/>
      <c r="Q1600" s="2076">
        <v>-1.3899999999999999E-2</v>
      </c>
      <c r="R1600" s="617"/>
      <c r="S1600" s="1114"/>
      <c r="T1600" s="1114"/>
      <c r="U1600" s="1114"/>
      <c r="V1600" s="1114"/>
      <c r="W1600" s="1114"/>
      <c r="X1600" s="1114"/>
      <c r="Y1600" s="1146">
        <v>-18879.355299999999</v>
      </c>
      <c r="Z1600" s="2114">
        <f>C1600-'Blocking-Step2'!C1600</f>
        <v>0</v>
      </c>
      <c r="AA1600" s="2114">
        <f>D1600-'Blocking-Step2'!D1600</f>
        <v>0</v>
      </c>
      <c r="AC1600" s="2114">
        <f>F1600-'Blocking-Step2'!F1600</f>
        <v>0</v>
      </c>
      <c r="AE1600" s="2114">
        <f>H1600-'Blocking-Step2'!H1600</f>
        <v>0</v>
      </c>
      <c r="AF1600" s="2114">
        <f>I1600-'Blocking-Step2'!I1600</f>
        <v>0</v>
      </c>
      <c r="AH1600" s="2136">
        <f>K1600-'Blocking-Step2'!K1600</f>
        <v>0</v>
      </c>
      <c r="AJ1600" s="2136">
        <f>M1600-'Blocking-Step2'!M1600</f>
        <v>0</v>
      </c>
      <c r="AL1600" s="2136" t="e">
        <f>O1600-'Blocking-Step2'!O1600</f>
        <v>#VALUE!</v>
      </c>
      <c r="AN1600" s="2137">
        <f>Q1600-'Blocking-Step2'!Q1600</f>
        <v>0</v>
      </c>
      <c r="AP1600" s="2127">
        <f>S1600-'Blocking-Step2'!S1600</f>
        <v>0</v>
      </c>
      <c r="AR1600" s="2127">
        <f>U1600-'Blocking-Step2'!U1600</f>
        <v>0</v>
      </c>
      <c r="AT1600" s="2127">
        <f>W1600-'Blocking-Step2'!W1600</f>
        <v>0</v>
      </c>
      <c r="AV1600" s="2128">
        <f>Y1600-'Blocking-Step2'!Y1600</f>
        <v>0</v>
      </c>
    </row>
    <row r="1601" spans="1:48" ht="17.25" hidden="1" thickTop="1" thickBot="1">
      <c r="A1601" s="1116" t="s">
        <v>247</v>
      </c>
      <c r="C1601" s="1138">
        <v>17337580</v>
      </c>
      <c r="D1601" s="1138">
        <v>17945100</v>
      </c>
      <c r="F1601" s="1145"/>
      <c r="H1601" s="1149">
        <v>1558403.2194000001</v>
      </c>
      <c r="I1601" s="1149">
        <v>1616798.9106999999</v>
      </c>
      <c r="K1601" s="1145"/>
      <c r="M1601" s="1145"/>
      <c r="O1601" s="1145"/>
      <c r="Q1601" s="1145"/>
      <c r="S1601" s="1149">
        <v>-3536</v>
      </c>
      <c r="U1601" s="1149">
        <v>1348912</v>
      </c>
      <c r="W1601" s="1149">
        <v>421002</v>
      </c>
      <c r="Y1601" s="1149">
        <v>1766377</v>
      </c>
      <c r="Z1601" s="2114">
        <f>C1601-'Blocking-Step2'!C1601</f>
        <v>0</v>
      </c>
      <c r="AA1601" s="2114">
        <f>D1601-'Blocking-Step2'!D1601</f>
        <v>0</v>
      </c>
      <c r="AC1601" s="2114">
        <f>F1601-'Blocking-Step2'!F1601</f>
        <v>0</v>
      </c>
      <c r="AE1601" s="2114">
        <f>H1601-'Blocking-Step2'!H1601</f>
        <v>0</v>
      </c>
      <c r="AF1601" s="2114">
        <f>I1601-'Blocking-Step2'!I1601</f>
        <v>0</v>
      </c>
      <c r="AH1601" s="2136">
        <f>K1601-'Blocking-Step2'!K1601</f>
        <v>0</v>
      </c>
      <c r="AJ1601" s="2136">
        <f>M1601-'Blocking-Step2'!M1601</f>
        <v>0</v>
      </c>
      <c r="AL1601" s="2136">
        <f>O1601-'Blocking-Step2'!O1601</f>
        <v>0</v>
      </c>
      <c r="AN1601" s="2137">
        <f>Q1601-'Blocking-Step2'!Q1601</f>
        <v>0</v>
      </c>
      <c r="AP1601" s="2127">
        <f>S1601-'Blocking-Step2'!S1601</f>
        <v>-657501</v>
      </c>
      <c r="AR1601" s="2127">
        <f>U1601-'Blocking-Step2'!U1601</f>
        <v>657500</v>
      </c>
      <c r="AT1601" s="2127">
        <f>W1601-'Blocking-Step2'!W1601</f>
        <v>0</v>
      </c>
      <c r="AV1601" s="2128">
        <f>Y1601-'Blocking-Step2'!Y1601</f>
        <v>0</v>
      </c>
    </row>
    <row r="1602" spans="1:48" ht="16.5" thickTop="1">
      <c r="C1602" s="1105"/>
      <c r="D1602" s="1105"/>
      <c r="Z1602" s="2114">
        <f>C1602-'Blocking-Step2'!C1602</f>
        <v>0</v>
      </c>
      <c r="AA1602" s="2114">
        <f>D1602-'Blocking-Step2'!D1602</f>
        <v>0</v>
      </c>
      <c r="AC1602" s="2114">
        <f>F1602-'Blocking-Step2'!F1602</f>
        <v>0</v>
      </c>
      <c r="AE1602" s="2114">
        <f>H1602-'Blocking-Step2'!H1602</f>
        <v>0</v>
      </c>
      <c r="AF1602" s="2114">
        <f>I1602-'Blocking-Step2'!I1602</f>
        <v>0</v>
      </c>
      <c r="AH1602" s="2136">
        <f>K1602-'Blocking-Step2'!K1602</f>
        <v>0</v>
      </c>
      <c r="AJ1602" s="2136">
        <f>M1602-'Blocking-Step2'!M1602</f>
        <v>0</v>
      </c>
      <c r="AL1602" s="2136">
        <f>O1602-'Blocking-Step2'!O1602</f>
        <v>0</v>
      </c>
      <c r="AN1602" s="2137">
        <f>Q1602-'Blocking-Step2'!Q1602</f>
        <v>0</v>
      </c>
      <c r="AP1602" s="2127">
        <f>S1602-'Blocking-Step2'!S1602</f>
        <v>0</v>
      </c>
      <c r="AR1602" s="2127">
        <f>U1602-'Blocking-Step2'!U1602</f>
        <v>0</v>
      </c>
      <c r="AT1602" s="2127">
        <f>W1602-'Blocking-Step2'!W1602</f>
        <v>0</v>
      </c>
      <c r="AV1602" s="2128">
        <f>Y1602-'Blocking-Step2'!Y1602</f>
        <v>0</v>
      </c>
    </row>
    <row r="1603" spans="1:48">
      <c r="A1603" s="1115" t="s">
        <v>566</v>
      </c>
      <c r="Z1603" s="2114">
        <f>C1603-'Blocking-Step2'!C1603</f>
        <v>0</v>
      </c>
      <c r="AA1603" s="2114">
        <f>D1603-'Blocking-Step2'!D1603</f>
        <v>0</v>
      </c>
      <c r="AC1603" s="2114">
        <f>F1603-'Blocking-Step2'!F1603</f>
        <v>0</v>
      </c>
      <c r="AE1603" s="2114">
        <f>H1603-'Blocking-Step2'!H1603</f>
        <v>0</v>
      </c>
      <c r="AF1603" s="2114">
        <f>I1603-'Blocking-Step2'!I1603</f>
        <v>0</v>
      </c>
      <c r="AH1603" s="2136">
        <f>K1603-'Blocking-Step2'!K1603</f>
        <v>0</v>
      </c>
      <c r="AJ1603" s="2136">
        <f>M1603-'Blocking-Step2'!M1603</f>
        <v>0</v>
      </c>
      <c r="AL1603" s="2136">
        <f>O1603-'Blocking-Step2'!O1603</f>
        <v>0</v>
      </c>
      <c r="AN1603" s="2137">
        <f>Q1603-'Blocking-Step2'!Q1603</f>
        <v>0</v>
      </c>
      <c r="AP1603" s="2127">
        <f>S1603-'Blocking-Step2'!S1603</f>
        <v>0</v>
      </c>
      <c r="AR1603" s="2127">
        <f>U1603-'Blocking-Step2'!U1603</f>
        <v>0</v>
      </c>
      <c r="AT1603" s="2127">
        <f>W1603-'Blocking-Step2'!W1603</f>
        <v>0</v>
      </c>
      <c r="AV1603" s="2128">
        <f>Y1603-'Blocking-Step2'!Y1603</f>
        <v>0</v>
      </c>
    </row>
    <row r="1604" spans="1:48">
      <c r="A1604" s="1116" t="s">
        <v>286</v>
      </c>
      <c r="C1604" s="1105">
        <v>9.5836800000000011</v>
      </c>
      <c r="D1604" s="1105">
        <v>10</v>
      </c>
      <c r="F1604" s="1142">
        <v>125</v>
      </c>
      <c r="G1604" s="617"/>
      <c r="H1604" s="1146">
        <v>1198</v>
      </c>
      <c r="I1604" s="1146">
        <v>1250</v>
      </c>
      <c r="K1604" s="1142">
        <v>124</v>
      </c>
      <c r="L1604" s="617"/>
      <c r="M1604" s="1142"/>
      <c r="N1604" s="617"/>
      <c r="O1604" s="1142"/>
      <c r="P1604" s="617"/>
      <c r="Q1604" s="1142">
        <v>124</v>
      </c>
      <c r="R1604" s="617"/>
      <c r="S1604" s="1114">
        <v>1240</v>
      </c>
      <c r="T1604" s="1114"/>
      <c r="U1604" s="1114"/>
      <c r="V1604" s="1114"/>
      <c r="W1604" s="1114"/>
      <c r="X1604" s="1114"/>
      <c r="Y1604" s="1146">
        <v>1240</v>
      </c>
      <c r="Z1604" s="2114">
        <f>C1604-'Blocking-Step2'!C1604</f>
        <v>0</v>
      </c>
      <c r="AA1604" s="2114">
        <f>D1604-'Blocking-Step2'!D1604</f>
        <v>0</v>
      </c>
      <c r="AC1604" s="2114">
        <f>F1604-'Blocking-Step2'!F1604</f>
        <v>0</v>
      </c>
      <c r="AE1604" s="2114">
        <f>H1604-'Blocking-Step2'!H1604</f>
        <v>0</v>
      </c>
      <c r="AF1604" s="2114">
        <f>I1604-'Blocking-Step2'!I1604</f>
        <v>0</v>
      </c>
      <c r="AH1604" s="2136">
        <f>K1604-'Blocking-Step2'!K1604</f>
        <v>0</v>
      </c>
      <c r="AJ1604" s="2136">
        <f>M1604-'Blocking-Step2'!M1604</f>
        <v>0</v>
      </c>
      <c r="AL1604" s="2136">
        <f>O1604-'Blocking-Step2'!O1604</f>
        <v>0</v>
      </c>
      <c r="AN1604" s="2137">
        <f>Q1604-'Blocking-Step2'!Q1604</f>
        <v>0</v>
      </c>
      <c r="AP1604" s="2127">
        <f>S1604-'Blocking-Step2'!S1604</f>
        <v>0</v>
      </c>
      <c r="AR1604" s="2127">
        <f>U1604-'Blocking-Step2'!U1604</f>
        <v>0</v>
      </c>
      <c r="AT1604" s="2127">
        <f>W1604-'Blocking-Step2'!W1604</f>
        <v>0</v>
      </c>
      <c r="AV1604" s="2128">
        <f>Y1604-'Blocking-Step2'!Y1604</f>
        <v>0</v>
      </c>
    </row>
    <row r="1605" spans="1:48">
      <c r="A1605" s="1116" t="s">
        <v>287</v>
      </c>
      <c r="C1605" s="1105">
        <v>3100.0205263157914</v>
      </c>
      <c r="D1605" s="1105">
        <v>3273</v>
      </c>
      <c r="F1605" s="1142">
        <v>38</v>
      </c>
      <c r="G1605" s="617"/>
      <c r="H1605" s="1146">
        <v>117801</v>
      </c>
      <c r="I1605" s="1146">
        <v>124374</v>
      </c>
      <c r="K1605" s="1142">
        <v>38</v>
      </c>
      <c r="L1605" s="617"/>
      <c r="M1605" s="1142"/>
      <c r="N1605" s="617"/>
      <c r="O1605" s="1142"/>
      <c r="P1605" s="617"/>
      <c r="Q1605" s="1142">
        <v>38</v>
      </c>
      <c r="R1605" s="617"/>
      <c r="S1605" s="1114">
        <v>124374</v>
      </c>
      <c r="T1605" s="1114"/>
      <c r="U1605" s="1114"/>
      <c r="V1605" s="1114"/>
      <c r="W1605" s="1114"/>
      <c r="X1605" s="1114"/>
      <c r="Y1605" s="1146">
        <v>124374</v>
      </c>
      <c r="Z1605" s="2114">
        <f>C1605-'Blocking-Step2'!C1605</f>
        <v>0</v>
      </c>
      <c r="AA1605" s="2114">
        <f>D1605-'Blocking-Step2'!D1605</f>
        <v>0</v>
      </c>
      <c r="AC1605" s="2114">
        <f>F1605-'Blocking-Step2'!F1605</f>
        <v>0</v>
      </c>
      <c r="AE1605" s="2114">
        <f>H1605-'Blocking-Step2'!H1605</f>
        <v>0</v>
      </c>
      <c r="AF1605" s="2114">
        <f>I1605-'Blocking-Step2'!I1605</f>
        <v>0</v>
      </c>
      <c r="AH1605" s="2136">
        <f>K1605-'Blocking-Step2'!K1605</f>
        <v>0</v>
      </c>
      <c r="AJ1605" s="2136">
        <f>M1605-'Blocking-Step2'!M1605</f>
        <v>0</v>
      </c>
      <c r="AL1605" s="2136">
        <f>O1605-'Blocking-Step2'!O1605</f>
        <v>0</v>
      </c>
      <c r="AN1605" s="2137">
        <f>Q1605-'Blocking-Step2'!Q1605</f>
        <v>0</v>
      </c>
      <c r="AP1605" s="2127">
        <f>S1605-'Blocking-Step2'!S1605</f>
        <v>0</v>
      </c>
      <c r="AR1605" s="2127">
        <f>U1605-'Blocking-Step2'!U1605</f>
        <v>0</v>
      </c>
      <c r="AT1605" s="2127">
        <f>W1605-'Blocking-Step2'!W1605</f>
        <v>0</v>
      </c>
      <c r="AV1605" s="2128">
        <f>Y1605-'Blocking-Step2'!Y1605</f>
        <v>0</v>
      </c>
    </row>
    <row r="1606" spans="1:48">
      <c r="A1606" s="1116" t="s">
        <v>306</v>
      </c>
      <c r="C1606" s="1105">
        <v>14065.268571428629</v>
      </c>
      <c r="D1606" s="1105">
        <v>14850</v>
      </c>
      <c r="F1606" s="1142">
        <v>14</v>
      </c>
      <c r="G1606" s="617"/>
      <c r="H1606" s="1146">
        <v>196914</v>
      </c>
      <c r="I1606" s="1146">
        <v>207900</v>
      </c>
      <c r="K1606" s="1142">
        <v>14</v>
      </c>
      <c r="L1606" s="617"/>
      <c r="M1606" s="1142"/>
      <c r="N1606" s="617"/>
      <c r="O1606" s="1142"/>
      <c r="P1606" s="617"/>
      <c r="Q1606" s="1142">
        <v>14</v>
      </c>
      <c r="R1606" s="617"/>
      <c r="S1606" s="1114">
        <v>207900</v>
      </c>
      <c r="T1606" s="1114"/>
      <c r="U1606" s="1114"/>
      <c r="V1606" s="1114"/>
      <c r="W1606" s="1114"/>
      <c r="X1606" s="1114"/>
      <c r="Y1606" s="1146">
        <v>207900</v>
      </c>
      <c r="Z1606" s="2114">
        <f>C1606-'Blocking-Step2'!C1606</f>
        <v>0</v>
      </c>
      <c r="AA1606" s="2114">
        <f>D1606-'Blocking-Step2'!D1606</f>
        <v>0</v>
      </c>
      <c r="AC1606" s="2114">
        <f>F1606-'Blocking-Step2'!F1606</f>
        <v>0</v>
      </c>
      <c r="AE1606" s="2114">
        <f>H1606-'Blocking-Step2'!H1606</f>
        <v>0</v>
      </c>
      <c r="AF1606" s="2114">
        <f>I1606-'Blocking-Step2'!I1606</f>
        <v>0</v>
      </c>
      <c r="AH1606" s="2136">
        <f>K1606-'Blocking-Step2'!K1606</f>
        <v>0</v>
      </c>
      <c r="AJ1606" s="2136">
        <f>M1606-'Blocking-Step2'!M1606</f>
        <v>0</v>
      </c>
      <c r="AL1606" s="2136">
        <f>O1606-'Blocking-Step2'!O1606</f>
        <v>0</v>
      </c>
      <c r="AN1606" s="2137">
        <f>Q1606-'Blocking-Step2'!Q1606</f>
        <v>0</v>
      </c>
      <c r="AP1606" s="2127">
        <f>S1606-'Blocking-Step2'!S1606</f>
        <v>0</v>
      </c>
      <c r="AR1606" s="2127">
        <f>U1606-'Blocking-Step2'!U1606</f>
        <v>0</v>
      </c>
      <c r="AT1606" s="2127">
        <f>W1606-'Blocking-Step2'!W1606</f>
        <v>0</v>
      </c>
      <c r="AV1606" s="2128">
        <f>Y1606-'Blocking-Step2'!Y1606</f>
        <v>0</v>
      </c>
    </row>
    <row r="1607" spans="1:48">
      <c r="A1607" s="1116" t="s">
        <v>180</v>
      </c>
      <c r="C1607" s="1105">
        <v>382160.32605729927</v>
      </c>
      <c r="D1607" s="1105">
        <v>425282</v>
      </c>
      <c r="F1607" s="1142">
        <v>7.33</v>
      </c>
      <c r="G1607" s="617"/>
      <c r="H1607" s="1146">
        <v>2801235</v>
      </c>
      <c r="I1607" s="1146">
        <v>3117317</v>
      </c>
      <c r="K1607" s="1142">
        <v>7.29</v>
      </c>
      <c r="L1607" s="617"/>
      <c r="M1607" s="1142"/>
      <c r="N1607" s="617"/>
      <c r="O1607" s="1142"/>
      <c r="P1607" s="617"/>
      <c r="Q1607" s="1142">
        <v>7.29</v>
      </c>
      <c r="R1607" s="617"/>
      <c r="S1607" s="1114">
        <v>3100306</v>
      </c>
      <c r="T1607" s="1114"/>
      <c r="U1607" s="1114"/>
      <c r="V1607" s="1114"/>
      <c r="W1607" s="1114"/>
      <c r="X1607" s="1114"/>
      <c r="Y1607" s="1146">
        <v>3100306</v>
      </c>
      <c r="Z1607" s="2114">
        <f>C1607-'Blocking-Step2'!C1607</f>
        <v>0</v>
      </c>
      <c r="AA1607" s="2114">
        <f>D1607-'Blocking-Step2'!D1607</f>
        <v>0</v>
      </c>
      <c r="AC1607" s="2114">
        <f>F1607-'Blocking-Step2'!F1607</f>
        <v>0</v>
      </c>
      <c r="AE1607" s="2114">
        <f>H1607-'Blocking-Step2'!H1607</f>
        <v>0</v>
      </c>
      <c r="AF1607" s="2114">
        <f>I1607-'Blocking-Step2'!I1607</f>
        <v>0</v>
      </c>
      <c r="AH1607" s="2136">
        <f>K1607-'Blocking-Step2'!K1607</f>
        <v>0</v>
      </c>
      <c r="AJ1607" s="2136">
        <f>M1607-'Blocking-Step2'!M1607</f>
        <v>0</v>
      </c>
      <c r="AL1607" s="2136">
        <f>O1607-'Blocking-Step2'!O1607</f>
        <v>0</v>
      </c>
      <c r="AN1607" s="2137">
        <f>Q1607-'Blocking-Step2'!Q1607</f>
        <v>0</v>
      </c>
      <c r="AP1607" s="2127">
        <f>S1607-'Blocking-Step2'!S1607</f>
        <v>0</v>
      </c>
      <c r="AR1607" s="2127">
        <f>U1607-'Blocking-Step2'!U1607</f>
        <v>0</v>
      </c>
      <c r="AT1607" s="2127">
        <f>W1607-'Blocking-Step2'!W1607</f>
        <v>0</v>
      </c>
      <c r="AV1607" s="2128">
        <f>Y1607-'Blocking-Step2'!Y1607</f>
        <v>0</v>
      </c>
    </row>
    <row r="1608" spans="1:48">
      <c r="A1608" s="1116" t="s">
        <v>261</v>
      </c>
      <c r="C1608" s="1105">
        <v>4222.9317073170741</v>
      </c>
      <c r="D1608" s="1105">
        <v>4699</v>
      </c>
      <c r="F1608" s="1142">
        <v>-2.0499999999999998</v>
      </c>
      <c r="G1608" s="617"/>
      <c r="H1608" s="1146">
        <v>-8657</v>
      </c>
      <c r="I1608" s="1146">
        <v>-9633</v>
      </c>
      <c r="K1608" s="1142">
        <v>-2.0499999999999998</v>
      </c>
      <c r="L1608" s="617"/>
      <c r="M1608" s="1142"/>
      <c r="N1608" s="617"/>
      <c r="O1608" s="1142"/>
      <c r="P1608" s="617"/>
      <c r="Q1608" s="1142">
        <v>-2.0499999999999998</v>
      </c>
      <c r="R1608" s="617"/>
      <c r="S1608" s="1114">
        <v>-9633</v>
      </c>
      <c r="T1608" s="1114"/>
      <c r="U1608" s="1114"/>
      <c r="V1608" s="1114"/>
      <c r="W1608" s="1114"/>
      <c r="X1608" s="1114"/>
      <c r="Y1608" s="1146">
        <v>-9633</v>
      </c>
      <c r="Z1608" s="2114">
        <f>C1608-'Blocking-Step2'!C1608</f>
        <v>0</v>
      </c>
      <c r="AA1608" s="2114">
        <f>D1608-'Blocking-Step2'!D1608</f>
        <v>0</v>
      </c>
      <c r="AC1608" s="2114">
        <f>F1608-'Blocking-Step2'!F1608</f>
        <v>0</v>
      </c>
      <c r="AE1608" s="2114">
        <f>H1608-'Blocking-Step2'!H1608</f>
        <v>0</v>
      </c>
      <c r="AF1608" s="2114">
        <f>I1608-'Blocking-Step2'!I1608</f>
        <v>0</v>
      </c>
      <c r="AH1608" s="2136">
        <f>K1608-'Blocking-Step2'!K1608</f>
        <v>0</v>
      </c>
      <c r="AJ1608" s="2136">
        <f>M1608-'Blocking-Step2'!M1608</f>
        <v>0</v>
      </c>
      <c r="AL1608" s="2136">
        <f>O1608-'Blocking-Step2'!O1608</f>
        <v>0</v>
      </c>
      <c r="AN1608" s="2137">
        <f>Q1608-'Blocking-Step2'!Q1608</f>
        <v>0</v>
      </c>
      <c r="AP1608" s="2127">
        <f>S1608-'Blocking-Step2'!S1608</f>
        <v>0</v>
      </c>
      <c r="AR1608" s="2127">
        <f>U1608-'Blocking-Step2'!U1608</f>
        <v>0</v>
      </c>
      <c r="AT1608" s="2127">
        <f>W1608-'Blocking-Step2'!W1608</f>
        <v>0</v>
      </c>
      <c r="AV1608" s="2128">
        <f>Y1608-'Blocking-Step2'!Y1608</f>
        <v>0</v>
      </c>
    </row>
    <row r="1609" spans="1:48">
      <c r="A1609" s="1116" t="s">
        <v>307</v>
      </c>
      <c r="C1609" s="1105">
        <v>81533915.261207223</v>
      </c>
      <c r="D1609" s="1105">
        <v>90734008</v>
      </c>
      <c r="F1609" s="1922">
        <v>7.2971000000000004</v>
      </c>
      <c r="G1609" s="1921" t="s">
        <v>495</v>
      </c>
      <c r="H1609" s="1146">
        <v>5949611</v>
      </c>
      <c r="I1609" s="1146">
        <v>6620951</v>
      </c>
      <c r="K1609" s="1922">
        <v>0.32669999999999999</v>
      </c>
      <c r="L1609" s="1921" t="s">
        <v>495</v>
      </c>
      <c r="M1609" s="1922">
        <v>4.8544331336170004</v>
      </c>
      <c r="N1609" s="1921" t="s">
        <v>495</v>
      </c>
      <c r="O1609" s="1922">
        <v>2.0764</v>
      </c>
      <c r="P1609" s="1921" t="s">
        <v>495</v>
      </c>
      <c r="Q1609" s="1922">
        <v>7.2575331336169997</v>
      </c>
      <c r="R1609" s="1921" t="s">
        <v>495</v>
      </c>
      <c r="S1609" s="617">
        <v>328761.49162426911</v>
      </c>
      <c r="T1609" s="1648"/>
      <c r="U1609" s="1648">
        <v>4095388.4161657081</v>
      </c>
      <c r="V1609" s="1648"/>
      <c r="W1609" s="1648">
        <v>2160901.0922100232</v>
      </c>
      <c r="X1609" s="1648"/>
      <c r="Y1609" s="1146">
        <v>6585051</v>
      </c>
      <c r="Z1609" s="2114">
        <f>C1609-'Blocking-Step2'!C1609</f>
        <v>0</v>
      </c>
      <c r="AA1609" s="2114">
        <f>D1609-'Blocking-Step2'!D1609</f>
        <v>0</v>
      </c>
      <c r="AC1609" s="2114">
        <f>F1609-'Blocking-Step2'!F1609</f>
        <v>0</v>
      </c>
      <c r="AE1609" s="2114">
        <f>H1609-'Blocking-Step2'!H1609</f>
        <v>0</v>
      </c>
      <c r="AF1609" s="2114">
        <f>I1609-'Blocking-Step2'!I1609</f>
        <v>0</v>
      </c>
      <c r="AH1609" s="2136">
        <f>K1609-'Blocking-Step2'!K1609</f>
        <v>-1.2794000000000001</v>
      </c>
      <c r="AJ1609" s="2136">
        <f>M1609-'Blocking-Step2'!M1609</f>
        <v>1.2794000000000012</v>
      </c>
      <c r="AL1609" s="2136">
        <f>O1609-'Blocking-Step2'!O1609</f>
        <v>0</v>
      </c>
      <c r="AN1609" s="2137">
        <f>Q1609-'Blocking-Step2'!Q1609</f>
        <v>0</v>
      </c>
      <c r="AP1609" s="2127">
        <f>S1609-'Blocking-Step2'!S1609</f>
        <v>-1287320.7291087089</v>
      </c>
      <c r="AR1609" s="2127">
        <f>U1609-'Blocking-Step2'!U1609</f>
        <v>1287320.7291087075</v>
      </c>
      <c r="AT1609" s="2127">
        <f>W1609-'Blocking-Step2'!W1609</f>
        <v>0</v>
      </c>
      <c r="AV1609" s="2128">
        <f>Y1609-'Blocking-Step2'!Y1609</f>
        <v>0</v>
      </c>
    </row>
    <row r="1610" spans="1:48">
      <c r="A1610" s="1116" t="s">
        <v>95</v>
      </c>
      <c r="C1610" s="1940">
        <v>49286217.0382604</v>
      </c>
      <c r="D1610" s="1940">
        <v>54847557</v>
      </c>
      <c r="F1610" s="1922">
        <v>5.3936000000000002</v>
      </c>
      <c r="G1610" s="1921" t="s">
        <v>495</v>
      </c>
      <c r="H1610" s="1147">
        <v>2658301</v>
      </c>
      <c r="I1610" s="1147">
        <v>2958258</v>
      </c>
      <c r="K1610" s="1922">
        <v>0.32669999999999999</v>
      </c>
      <c r="L1610" s="1921" t="s">
        <v>495</v>
      </c>
      <c r="M1610" s="1922">
        <v>2.9612544297699999</v>
      </c>
      <c r="N1610" s="1921" t="s">
        <v>495</v>
      </c>
      <c r="O1610" s="1922">
        <v>2.0764</v>
      </c>
      <c r="P1610" s="1921" t="s">
        <v>495</v>
      </c>
      <c r="Q1610" s="1922">
        <v>5.3643544297699997</v>
      </c>
      <c r="R1610" s="1921" t="s">
        <v>495</v>
      </c>
      <c r="S1610" s="1648">
        <v>146891.44390867773</v>
      </c>
      <c r="T1610" s="1648"/>
      <c r="U1610" s="1648">
        <v>1829829.6276894168</v>
      </c>
      <c r="V1610" s="1648"/>
      <c r="W1610" s="1648">
        <v>965495.92840190534</v>
      </c>
      <c r="X1610" s="1648"/>
      <c r="Y1610" s="1146">
        <v>2942217</v>
      </c>
      <c r="Z1610" s="2114">
        <f>C1610-'Blocking-Step2'!C1610</f>
        <v>0</v>
      </c>
      <c r="AA1610" s="2114">
        <f>D1610-'Blocking-Step2'!D1610</f>
        <v>0</v>
      </c>
      <c r="AC1610" s="2114">
        <f>F1610-'Blocking-Step2'!F1610</f>
        <v>0</v>
      </c>
      <c r="AE1610" s="2114">
        <f>H1610-'Blocking-Step2'!H1610</f>
        <v>0</v>
      </c>
      <c r="AF1610" s="2114">
        <f>I1610-'Blocking-Step2'!I1610</f>
        <v>0</v>
      </c>
      <c r="AH1610" s="2136">
        <f>K1610-'Blocking-Step2'!K1610</f>
        <v>-1.2794000000000001</v>
      </c>
      <c r="AJ1610" s="2136">
        <f>M1610-'Blocking-Step2'!M1610</f>
        <v>1.2794000000000003</v>
      </c>
      <c r="AL1610" s="2136">
        <f>O1610-'Blocking-Step2'!O1610</f>
        <v>0</v>
      </c>
      <c r="AN1610" s="2137">
        <f>Q1610-'Blocking-Step2'!Q1610</f>
        <v>0</v>
      </c>
      <c r="AP1610" s="2127">
        <f>S1610-'Blocking-Step2'!S1610</f>
        <v>-575178.07130666706</v>
      </c>
      <c r="AR1610" s="2127">
        <f>U1610-'Blocking-Step2'!U1610</f>
        <v>575178.07130666636</v>
      </c>
      <c r="AT1610" s="2127">
        <f>W1610-'Blocking-Step2'!W1610</f>
        <v>0</v>
      </c>
      <c r="AV1610" s="2128">
        <f>Y1610-'Blocking-Step2'!Y1610</f>
        <v>0</v>
      </c>
    </row>
    <row r="1611" spans="1:48">
      <c r="A1611" s="1116" t="s">
        <v>308</v>
      </c>
      <c r="C1611" s="1940">
        <v>130820132.29946762</v>
      </c>
      <c r="D1611" s="1940">
        <v>145581565</v>
      </c>
      <c r="F1611" s="2088"/>
      <c r="H1611" s="1147">
        <v>11716403</v>
      </c>
      <c r="I1611" s="1147">
        <v>13020417</v>
      </c>
      <c r="K1611" s="2088"/>
      <c r="M1611" s="2088"/>
      <c r="O1611" s="2088"/>
      <c r="Q1611" s="2088"/>
      <c r="Y1611" s="1147">
        <v>12951455</v>
      </c>
      <c r="Z1611" s="2114">
        <f>C1611-'Blocking-Step2'!C1611</f>
        <v>0</v>
      </c>
      <c r="AA1611" s="2114">
        <f>D1611-'Blocking-Step2'!D1611</f>
        <v>0</v>
      </c>
      <c r="AC1611" s="2114">
        <f>F1611-'Blocking-Step2'!F1611</f>
        <v>0</v>
      </c>
      <c r="AE1611" s="2114">
        <f>H1611-'Blocking-Step2'!H1611</f>
        <v>0</v>
      </c>
      <c r="AF1611" s="2114">
        <f>I1611-'Blocking-Step2'!I1611</f>
        <v>0</v>
      </c>
      <c r="AH1611" s="2136">
        <f>K1611-'Blocking-Step2'!K1611</f>
        <v>0</v>
      </c>
      <c r="AJ1611" s="2136">
        <f>M1611-'Blocking-Step2'!M1611</f>
        <v>0</v>
      </c>
      <c r="AL1611" s="2136">
        <f>O1611-'Blocking-Step2'!O1611</f>
        <v>0</v>
      </c>
      <c r="AN1611" s="2137">
        <f>Q1611-'Blocking-Step2'!Q1611</f>
        <v>0</v>
      </c>
      <c r="AP1611" s="2127">
        <f>S1611-'Blocking-Step2'!S1611</f>
        <v>0</v>
      </c>
      <c r="AR1611" s="2127">
        <f>U1611-'Blocking-Step2'!U1611</f>
        <v>0</v>
      </c>
      <c r="AT1611" s="2127">
        <f>W1611-'Blocking-Step2'!W1611</f>
        <v>0</v>
      </c>
      <c r="AV1611" s="2128">
        <f>Y1611-'Blocking-Step2'!Y1611</f>
        <v>0</v>
      </c>
    </row>
    <row r="1612" spans="1:48">
      <c r="A1612" s="1116" t="s">
        <v>34</v>
      </c>
      <c r="C1612" s="1105"/>
      <c r="D1612" s="1105"/>
      <c r="Z1612" s="2114">
        <f>C1612-'Blocking-Step2'!C1612</f>
        <v>0</v>
      </c>
      <c r="AA1612" s="2114">
        <f>D1612-'Blocking-Step2'!D1612</f>
        <v>0</v>
      </c>
      <c r="AC1612" s="2114">
        <f>F1612-'Blocking-Step2'!F1612</f>
        <v>0</v>
      </c>
      <c r="AE1612" s="2114">
        <f>H1612-'Blocking-Step2'!H1612</f>
        <v>0</v>
      </c>
      <c r="AF1612" s="2114">
        <f>I1612-'Blocking-Step2'!I1612</f>
        <v>0</v>
      </c>
      <c r="AH1612" s="2136">
        <f>K1612-'Blocking-Step2'!K1612</f>
        <v>0</v>
      </c>
      <c r="AJ1612" s="2136">
        <f>M1612-'Blocking-Step2'!M1612</f>
        <v>0</v>
      </c>
      <c r="AL1612" s="2136">
        <f>O1612-'Blocking-Step2'!O1612</f>
        <v>0</v>
      </c>
      <c r="AN1612" s="2137">
        <f>Q1612-'Blocking-Step2'!Q1612</f>
        <v>0</v>
      </c>
      <c r="AP1612" s="2127">
        <f>S1612-'Blocking-Step2'!S1612</f>
        <v>0</v>
      </c>
      <c r="AR1612" s="2127">
        <f>U1612-'Blocking-Step2'!U1612</f>
        <v>0</v>
      </c>
      <c r="AT1612" s="2127">
        <f>W1612-'Blocking-Step2'!W1612</f>
        <v>0</v>
      </c>
      <c r="AV1612" s="2128">
        <f>Y1612-'Blocking-Step2'!Y1612</f>
        <v>0</v>
      </c>
    </row>
    <row r="1613" spans="1:48">
      <c r="A1613" s="1116" t="s">
        <v>927</v>
      </c>
      <c r="C1613" s="1024">
        <v>6655.8378571428157</v>
      </c>
      <c r="D1613" s="1105">
        <v>7027</v>
      </c>
      <c r="F1613" s="617">
        <v>14</v>
      </c>
      <c r="G1613" s="617"/>
      <c r="H1613" s="1114">
        <v>93182</v>
      </c>
      <c r="I1613" s="1114">
        <v>98378</v>
      </c>
      <c r="K1613" s="1142">
        <v>14</v>
      </c>
      <c r="L1613" s="617"/>
      <c r="M1613" s="1142"/>
      <c r="N1613" s="617"/>
      <c r="O1613" s="1142"/>
      <c r="P1613" s="617"/>
      <c r="Q1613" s="617">
        <v>14</v>
      </c>
      <c r="R1613" s="617"/>
      <c r="S1613" s="1114">
        <v>98378</v>
      </c>
      <c r="T1613" s="1114"/>
      <c r="U1613" s="1114"/>
      <c r="V1613" s="1114"/>
      <c r="W1613" s="1114"/>
      <c r="X1613" s="1114"/>
      <c r="Y1613" s="1146">
        <v>98378</v>
      </c>
      <c r="Z1613" s="2114">
        <f>C1613-'Blocking-Step2'!C1613</f>
        <v>0</v>
      </c>
      <c r="AA1613" s="2114">
        <f>D1613-'Blocking-Step2'!D1613</f>
        <v>0</v>
      </c>
      <c r="AC1613" s="2114">
        <f>F1613-'Blocking-Step2'!F1613</f>
        <v>0</v>
      </c>
      <c r="AE1613" s="2114">
        <f>H1613-'Blocking-Step2'!H1613</f>
        <v>0</v>
      </c>
      <c r="AF1613" s="2114">
        <f>I1613-'Blocking-Step2'!I1613</f>
        <v>0</v>
      </c>
      <c r="AH1613" s="2136">
        <f>K1613-'Blocking-Step2'!K1613</f>
        <v>0</v>
      </c>
      <c r="AJ1613" s="2136">
        <f>M1613-'Blocking-Step2'!M1613</f>
        <v>0</v>
      </c>
      <c r="AL1613" s="2136">
        <f>O1613-'Blocking-Step2'!O1613</f>
        <v>0</v>
      </c>
      <c r="AN1613" s="2137">
        <f>Q1613-'Blocking-Step2'!Q1613</f>
        <v>0</v>
      </c>
      <c r="AP1613" s="2127">
        <f>S1613-'Blocking-Step2'!S1613</f>
        <v>0</v>
      </c>
      <c r="AR1613" s="2127">
        <f>U1613-'Blocking-Step2'!U1613</f>
        <v>0</v>
      </c>
      <c r="AT1613" s="2127">
        <f>W1613-'Blocking-Step2'!W1613</f>
        <v>0</v>
      </c>
      <c r="AV1613" s="2128">
        <f>Y1613-'Blocking-Step2'!Y1613</f>
        <v>0</v>
      </c>
    </row>
    <row r="1614" spans="1:48">
      <c r="A1614" s="1116" t="s">
        <v>35</v>
      </c>
      <c r="C1614" s="1940">
        <v>46055318.353969723</v>
      </c>
      <c r="D1614" s="1940">
        <v>51252091</v>
      </c>
      <c r="F1614" s="1106">
        <v>4.9983000000000004</v>
      </c>
      <c r="G1614" s="1921" t="s">
        <v>495</v>
      </c>
      <c r="H1614" s="1148">
        <v>2301983</v>
      </c>
      <c r="I1614" s="1148">
        <v>2561733</v>
      </c>
      <c r="K1614" s="1922">
        <v>0.24879999999999999</v>
      </c>
      <c r="L1614" s="1921" t="s">
        <v>495</v>
      </c>
      <c r="M1614" s="1922">
        <v>2.8977657574191946</v>
      </c>
      <c r="N1614" s="1921" t="s">
        <v>495</v>
      </c>
      <c r="O1614" s="1922">
        <v>1.8375221238938055</v>
      </c>
      <c r="P1614" s="1921" t="s">
        <v>495</v>
      </c>
      <c r="Q1614" s="1922">
        <v>4.9840878813130001</v>
      </c>
      <c r="R1614" s="1921" t="s">
        <v>495</v>
      </c>
      <c r="S1614" s="1648">
        <v>127531.96042340789</v>
      </c>
      <c r="T1614" s="1648"/>
      <c r="U1614" s="1648">
        <v>1588668.1582703122</v>
      </c>
      <c r="V1614" s="1648"/>
      <c r="W1614" s="1648">
        <v>838248.88130627968</v>
      </c>
      <c r="X1614" s="1648"/>
      <c r="Y1614" s="1146">
        <v>2554449</v>
      </c>
      <c r="Z1614" s="2114">
        <f>C1614-'Blocking-Step2'!C1614</f>
        <v>0</v>
      </c>
      <c r="AA1614" s="2114">
        <f>D1614-'Blocking-Step2'!D1614</f>
        <v>0</v>
      </c>
      <c r="AC1614" s="2114">
        <f>F1614-'Blocking-Step2'!F1614</f>
        <v>0</v>
      </c>
      <c r="AE1614" s="2114">
        <f>H1614-'Blocking-Step2'!H1614</f>
        <v>0</v>
      </c>
      <c r="AF1614" s="2114">
        <f>I1614-'Blocking-Step2'!I1614</f>
        <v>0</v>
      </c>
      <c r="AH1614" s="2136">
        <f>K1614-'Blocking-Step2'!K1614</f>
        <v>-0.97440000000000004</v>
      </c>
      <c r="AJ1614" s="2136">
        <f>M1614-'Blocking-Step2'!M1614</f>
        <v>0.97440000000000038</v>
      </c>
      <c r="AL1614" s="2136">
        <f>O1614-'Blocking-Step2'!O1614</f>
        <v>0</v>
      </c>
      <c r="AN1614" s="2137">
        <f>Q1614-'Blocking-Step2'!Q1614</f>
        <v>0</v>
      </c>
      <c r="AP1614" s="2127">
        <f>S1614-'Blocking-Step2'!S1614</f>
        <v>-499372.76858615264</v>
      </c>
      <c r="AR1614" s="2127">
        <f>U1614-'Blocking-Step2'!U1614</f>
        <v>499372.768586152</v>
      </c>
      <c r="AT1614" s="2127">
        <f>W1614-'Blocking-Step2'!W1614</f>
        <v>0</v>
      </c>
      <c r="AV1614" s="2128">
        <f>Y1614-'Blocking-Step2'!Y1614</f>
        <v>0</v>
      </c>
    </row>
    <row r="1615" spans="1:48">
      <c r="A1615" s="1116" t="s">
        <v>309</v>
      </c>
      <c r="C1615" s="1940">
        <v>46055318.353969723</v>
      </c>
      <c r="D1615" s="1940">
        <v>51252091</v>
      </c>
      <c r="F1615" s="2088"/>
      <c r="H1615" s="1147">
        <v>2395165</v>
      </c>
      <c r="I1615" s="1147">
        <v>2660111</v>
      </c>
      <c r="K1615" s="2088"/>
      <c r="M1615" s="2088"/>
      <c r="O1615" s="2088"/>
      <c r="Q1615" s="2088"/>
      <c r="Y1615" s="1147">
        <v>2652827</v>
      </c>
      <c r="Z1615" s="2114">
        <f>C1615-'Blocking-Step2'!C1615</f>
        <v>0</v>
      </c>
      <c r="AA1615" s="2114">
        <f>D1615-'Blocking-Step2'!D1615</f>
        <v>0</v>
      </c>
      <c r="AC1615" s="2114">
        <f>F1615-'Blocking-Step2'!F1615</f>
        <v>0</v>
      </c>
      <c r="AE1615" s="2114">
        <f>H1615-'Blocking-Step2'!H1615</f>
        <v>0</v>
      </c>
      <c r="AF1615" s="2114">
        <f>I1615-'Blocking-Step2'!I1615</f>
        <v>0</v>
      </c>
      <c r="AH1615" s="2136">
        <f>K1615-'Blocking-Step2'!K1615</f>
        <v>0</v>
      </c>
      <c r="AJ1615" s="2136">
        <f>M1615-'Blocking-Step2'!M1615</f>
        <v>0</v>
      </c>
      <c r="AL1615" s="2136">
        <f>O1615-'Blocking-Step2'!O1615</f>
        <v>0</v>
      </c>
      <c r="AN1615" s="2137">
        <f>Q1615-'Blocking-Step2'!Q1615</f>
        <v>0</v>
      </c>
      <c r="AP1615" s="2127">
        <f>S1615-'Blocking-Step2'!S1615</f>
        <v>0</v>
      </c>
      <c r="AR1615" s="2127">
        <f>U1615-'Blocking-Step2'!U1615</f>
        <v>0</v>
      </c>
      <c r="AT1615" s="2127">
        <f>W1615-'Blocking-Step2'!W1615</f>
        <v>0</v>
      </c>
      <c r="AV1615" s="2128">
        <f>Y1615-'Blocking-Step2'!Y1615</f>
        <v>0</v>
      </c>
    </row>
    <row r="1616" spans="1:48">
      <c r="A1616" s="1116" t="s">
        <v>246</v>
      </c>
      <c r="C1616" s="1940">
        <v>335950</v>
      </c>
      <c r="D1616" s="1940">
        <v>0</v>
      </c>
      <c r="H1616" s="1147">
        <v>20486.63</v>
      </c>
      <c r="I1616" s="1147">
        <v>0</v>
      </c>
      <c r="Y1616" s="1147">
        <v>0</v>
      </c>
      <c r="Z1616" s="2114">
        <f>C1616-'Blocking-Step2'!C1616</f>
        <v>0</v>
      </c>
      <c r="AA1616" s="2114">
        <f>D1616-'Blocking-Step2'!D1616</f>
        <v>0</v>
      </c>
      <c r="AC1616" s="2114">
        <f>F1616-'Blocking-Step2'!F1616</f>
        <v>0</v>
      </c>
      <c r="AE1616" s="2114">
        <f>H1616-'Blocking-Step2'!H1616</f>
        <v>0</v>
      </c>
      <c r="AF1616" s="2114">
        <f>I1616-'Blocking-Step2'!I1616</f>
        <v>0</v>
      </c>
      <c r="AH1616" s="2136">
        <f>K1616-'Blocking-Step2'!K1616</f>
        <v>0</v>
      </c>
      <c r="AJ1616" s="2136">
        <f>M1616-'Blocking-Step2'!M1616</f>
        <v>0</v>
      </c>
      <c r="AL1616" s="2136">
        <f>O1616-'Blocking-Step2'!O1616</f>
        <v>0</v>
      </c>
      <c r="AN1616" s="2137">
        <f>Q1616-'Blocking-Step2'!Q1616</f>
        <v>0</v>
      </c>
      <c r="AP1616" s="2127">
        <f>S1616-'Blocking-Step2'!S1616</f>
        <v>0</v>
      </c>
      <c r="AR1616" s="2127">
        <f>U1616-'Blocking-Step2'!U1616</f>
        <v>0</v>
      </c>
      <c r="AT1616" s="2127">
        <f>W1616-'Blocking-Step2'!W1616</f>
        <v>0</v>
      </c>
      <c r="AV1616" s="2128">
        <f>Y1616-'Blocking-Step2'!Y1616</f>
        <v>0</v>
      </c>
    </row>
    <row r="1617" spans="1:48">
      <c r="A1617" s="1116" t="s">
        <v>1240</v>
      </c>
      <c r="C1617" s="1024"/>
      <c r="D1617" s="1024"/>
      <c r="F1617" s="2076">
        <v>-4.2099999999999999E-2</v>
      </c>
      <c r="G1617" s="617"/>
      <c r="H1617" s="1146">
        <v>-577238.57299999997</v>
      </c>
      <c r="I1617" s="1146">
        <v>-642372.70389999996</v>
      </c>
      <c r="K1617" s="2076"/>
      <c r="L1617" s="617"/>
      <c r="M1617" s="2076"/>
      <c r="N1617" s="617"/>
      <c r="O1617" s="2077" t="s">
        <v>2323</v>
      </c>
      <c r="P1617" s="617"/>
      <c r="Q1617" s="2076">
        <v>-2.7099999999999999E-2</v>
      </c>
      <c r="R1617" s="617"/>
      <c r="S1617" s="1114"/>
      <c r="T1617" s="1114"/>
      <c r="U1617" s="1114"/>
      <c r="V1617" s="1114"/>
      <c r="W1617" s="1114"/>
      <c r="X1617" s="1114"/>
      <c r="Y1617" s="1146">
        <v>-411432.82329999999</v>
      </c>
      <c r="Z1617" s="2114">
        <f>C1617-'Blocking-Step2'!C1617</f>
        <v>0</v>
      </c>
      <c r="AA1617" s="2114">
        <f>D1617-'Blocking-Step2'!D1617</f>
        <v>0</v>
      </c>
      <c r="AC1617" s="2114">
        <f>F1617-'Blocking-Step2'!F1617</f>
        <v>0</v>
      </c>
      <c r="AE1617" s="2114">
        <f>H1617-'Blocking-Step2'!H1617</f>
        <v>0</v>
      </c>
      <c r="AF1617" s="2114">
        <f>I1617-'Blocking-Step2'!I1617</f>
        <v>0</v>
      </c>
      <c r="AH1617" s="2136">
        <f>K1617-'Blocking-Step2'!K1617</f>
        <v>0</v>
      </c>
      <c r="AJ1617" s="2136">
        <f>M1617-'Blocking-Step2'!M1617</f>
        <v>0</v>
      </c>
      <c r="AL1617" s="2136" t="e">
        <f>O1617-'Blocking-Step2'!O1617</f>
        <v>#VALUE!</v>
      </c>
      <c r="AN1617" s="2137">
        <f>Q1617-'Blocking-Step2'!Q1617</f>
        <v>0</v>
      </c>
      <c r="AP1617" s="2127">
        <f>S1617-'Blocking-Step2'!S1617</f>
        <v>0</v>
      </c>
      <c r="AR1617" s="2127">
        <f>U1617-'Blocking-Step2'!U1617</f>
        <v>0</v>
      </c>
      <c r="AT1617" s="2127">
        <f>W1617-'Blocking-Step2'!W1617</f>
        <v>0</v>
      </c>
      <c r="AV1617" s="2128">
        <f>Y1617-'Blocking-Step2'!Y1617</f>
        <v>0</v>
      </c>
    </row>
    <row r="1618" spans="1:48">
      <c r="A1618" s="1116"/>
      <c r="C1618" s="1024"/>
      <c r="D1618" s="1024"/>
      <c r="F1618" s="2076"/>
      <c r="G1618" s="617"/>
      <c r="H1618" s="1146"/>
      <c r="I1618" s="1146"/>
      <c r="K1618" s="2076"/>
      <c r="L1618" s="617"/>
      <c r="M1618" s="2076"/>
      <c r="N1618" s="617"/>
      <c r="O1618" s="2077" t="s">
        <v>2324</v>
      </c>
      <c r="P1618" s="617"/>
      <c r="Q1618" s="2076">
        <v>-1.47E-2</v>
      </c>
      <c r="R1618" s="617"/>
      <c r="S1618" s="1114"/>
      <c r="T1618" s="1114"/>
      <c r="U1618" s="1114"/>
      <c r="V1618" s="1114"/>
      <c r="W1618" s="1114"/>
      <c r="X1618" s="1114"/>
      <c r="Y1618" s="1146">
        <v>-223175.73809999999</v>
      </c>
      <c r="Z1618" s="2114">
        <f>C1618-'Blocking-Step2'!C1618</f>
        <v>0</v>
      </c>
      <c r="AA1618" s="2114">
        <f>D1618-'Blocking-Step2'!D1618</f>
        <v>0</v>
      </c>
      <c r="AC1618" s="2114">
        <f>F1618-'Blocking-Step2'!F1618</f>
        <v>0</v>
      </c>
      <c r="AE1618" s="2114">
        <f>H1618-'Blocking-Step2'!H1618</f>
        <v>0</v>
      </c>
      <c r="AF1618" s="2114">
        <f>I1618-'Blocking-Step2'!I1618</f>
        <v>0</v>
      </c>
      <c r="AH1618" s="2136">
        <f>K1618-'Blocking-Step2'!K1618</f>
        <v>0</v>
      </c>
      <c r="AJ1618" s="2136">
        <f>M1618-'Blocking-Step2'!M1618</f>
        <v>0</v>
      </c>
      <c r="AL1618" s="2136" t="e">
        <f>O1618-'Blocking-Step2'!O1618</f>
        <v>#VALUE!</v>
      </c>
      <c r="AN1618" s="2137">
        <f>Q1618-'Blocking-Step2'!Q1618</f>
        <v>0</v>
      </c>
      <c r="AP1618" s="2127">
        <f>S1618-'Blocking-Step2'!S1618</f>
        <v>0</v>
      </c>
      <c r="AR1618" s="2127">
        <f>U1618-'Blocking-Step2'!U1618</f>
        <v>0</v>
      </c>
      <c r="AT1618" s="2127">
        <f>W1618-'Blocking-Step2'!W1618</f>
        <v>0</v>
      </c>
      <c r="AV1618" s="2128">
        <f>Y1618-'Blocking-Step2'!Y1618</f>
        <v>0</v>
      </c>
    </row>
    <row r="1619" spans="1:48" ht="16.5" thickBot="1">
      <c r="A1619" s="1116" t="s">
        <v>310</v>
      </c>
      <c r="C1619" s="1138">
        <v>177211400.65343735</v>
      </c>
      <c r="D1619" s="1138">
        <v>196833656</v>
      </c>
      <c r="F1619" s="1145"/>
      <c r="H1619" s="1149">
        <v>13554816.057</v>
      </c>
      <c r="I1619" s="1149">
        <v>15038155.2961</v>
      </c>
      <c r="K1619" s="1145"/>
      <c r="M1619" s="1145"/>
      <c r="O1619" s="1145"/>
      <c r="Q1619" s="1145"/>
      <c r="S1619" s="1154">
        <v>4125749.8959563547</v>
      </c>
      <c r="T1619" s="1154"/>
      <c r="U1619" s="1154">
        <v>7513886.2021254376</v>
      </c>
      <c r="V1619" s="1154"/>
      <c r="W1619" s="1154">
        <v>3964645.9019182082</v>
      </c>
      <c r="Y1619" s="1149">
        <v>15604282</v>
      </c>
      <c r="Z1619" s="2114">
        <f>C1619-'Blocking-Step2'!C1619</f>
        <v>0</v>
      </c>
      <c r="AA1619" s="2114">
        <f>D1619-'Blocking-Step2'!D1619</f>
        <v>0</v>
      </c>
      <c r="AC1619" s="2114">
        <f>F1619-'Blocking-Step2'!F1619</f>
        <v>0</v>
      </c>
      <c r="AE1619" s="2114">
        <f>H1619-'Blocking-Step2'!H1619</f>
        <v>0</v>
      </c>
      <c r="AF1619" s="2114">
        <f>I1619-'Blocking-Step2'!I1619</f>
        <v>0</v>
      </c>
      <c r="AH1619" s="2136">
        <f>K1619-'Blocking-Step2'!K1619</f>
        <v>0</v>
      </c>
      <c r="AJ1619" s="2136">
        <f>M1619-'Blocking-Step2'!M1619</f>
        <v>0</v>
      </c>
      <c r="AL1619" s="2136">
        <f>O1619-'Blocking-Step2'!O1619</f>
        <v>0</v>
      </c>
      <c r="AN1619" s="2137">
        <f>Q1619-'Blocking-Step2'!Q1619</f>
        <v>0</v>
      </c>
      <c r="AP1619" s="2127">
        <f>S1619-'Blocking-Step2'!S1619</f>
        <v>-2361871.5690015289</v>
      </c>
      <c r="AR1619" s="2127">
        <f>U1619-'Blocking-Step2'!U1619</f>
        <v>2361871.5690015266</v>
      </c>
      <c r="AT1619" s="2127">
        <f>W1619-'Blocking-Step2'!W1619</f>
        <v>0</v>
      </c>
      <c r="AV1619" s="2128">
        <f>Y1619-'Blocking-Step2'!Y1619</f>
        <v>0</v>
      </c>
    </row>
    <row r="1620" spans="1:48" ht="16.5" thickTop="1">
      <c r="C1620" s="1105"/>
      <c r="D1620" s="1105"/>
      <c r="Z1620" s="2114">
        <f>C1620-'Blocking-Step2'!C1620</f>
        <v>0</v>
      </c>
      <c r="AA1620" s="2114">
        <f>D1620-'Blocking-Step2'!D1620</f>
        <v>0</v>
      </c>
      <c r="AC1620" s="2114">
        <f>F1620-'Blocking-Step2'!F1620</f>
        <v>0</v>
      </c>
      <c r="AE1620" s="2114">
        <f>H1620-'Blocking-Step2'!H1620</f>
        <v>0</v>
      </c>
      <c r="AF1620" s="2114">
        <f>I1620-'Blocking-Step2'!I1620</f>
        <v>0</v>
      </c>
      <c r="AH1620" s="2136">
        <f>K1620-'Blocking-Step2'!K1620</f>
        <v>0</v>
      </c>
      <c r="AJ1620" s="2136">
        <f>M1620-'Blocking-Step2'!M1620</f>
        <v>0</v>
      </c>
      <c r="AL1620" s="2136">
        <f>O1620-'Blocking-Step2'!O1620</f>
        <v>0</v>
      </c>
      <c r="AN1620" s="2137">
        <f>Q1620-'Blocking-Step2'!Q1620</f>
        <v>0</v>
      </c>
      <c r="AP1620" s="2127">
        <f>S1620-'Blocking-Step2'!S1620</f>
        <v>0</v>
      </c>
      <c r="AR1620" s="2127">
        <f>U1620-'Blocking-Step2'!U1620</f>
        <v>0</v>
      </c>
      <c r="AT1620" s="2127">
        <f>W1620-'Blocking-Step2'!W1620</f>
        <v>0</v>
      </c>
      <c r="AV1620" s="2128">
        <f>Y1620-'Blocking-Step2'!Y1620</f>
        <v>0</v>
      </c>
    </row>
    <row r="1621" spans="1:48">
      <c r="A1621" s="1115" t="s">
        <v>991</v>
      </c>
      <c r="Z1621" s="2114">
        <f>C1621-'Blocking-Step2'!C1621</f>
        <v>0</v>
      </c>
      <c r="AA1621" s="2114">
        <f>D1621-'Blocking-Step2'!D1621</f>
        <v>0</v>
      </c>
      <c r="AC1621" s="2114">
        <f>F1621-'Blocking-Step2'!F1621</f>
        <v>0</v>
      </c>
      <c r="AE1621" s="2114">
        <f>H1621-'Blocking-Step2'!H1621</f>
        <v>0</v>
      </c>
      <c r="AF1621" s="2114">
        <f>I1621-'Blocking-Step2'!I1621</f>
        <v>0</v>
      </c>
      <c r="AH1621" s="2136">
        <f>K1621-'Blocking-Step2'!K1621</f>
        <v>0</v>
      </c>
      <c r="AJ1621" s="2136">
        <f>M1621-'Blocking-Step2'!M1621</f>
        <v>0</v>
      </c>
      <c r="AL1621" s="2136">
        <f>O1621-'Blocking-Step2'!O1621</f>
        <v>0</v>
      </c>
      <c r="AN1621" s="2137">
        <f>Q1621-'Blocking-Step2'!Q1621</f>
        <v>0</v>
      </c>
      <c r="AP1621" s="2127">
        <f>S1621-'Blocking-Step2'!S1621</f>
        <v>0</v>
      </c>
      <c r="AR1621" s="2127">
        <f>U1621-'Blocking-Step2'!U1621</f>
        <v>0</v>
      </c>
      <c r="AT1621" s="2127">
        <f>W1621-'Blocking-Step2'!W1621</f>
        <v>0</v>
      </c>
      <c r="AV1621" s="2128">
        <f>Y1621-'Blocking-Step2'!Y1621</f>
        <v>0</v>
      </c>
    </row>
    <row r="1622" spans="1:48">
      <c r="A1622" s="1116" t="s">
        <v>286</v>
      </c>
      <c r="C1622" s="1105">
        <v>1</v>
      </c>
      <c r="D1622" s="1105">
        <v>1</v>
      </c>
      <c r="F1622" s="1142">
        <v>125</v>
      </c>
      <c r="G1622" s="617"/>
      <c r="H1622" s="1146">
        <v>125</v>
      </c>
      <c r="I1622" s="1146">
        <v>125</v>
      </c>
      <c r="K1622" s="1142">
        <v>124</v>
      </c>
      <c r="L1622" s="617"/>
      <c r="M1622" s="1142">
        <v>0</v>
      </c>
      <c r="N1622" s="617"/>
      <c r="O1622" s="1142">
        <v>0</v>
      </c>
      <c r="P1622" s="617"/>
      <c r="Q1622" s="1142">
        <v>124</v>
      </c>
      <c r="R1622" s="617"/>
      <c r="S1622" s="1146">
        <v>124</v>
      </c>
      <c r="T1622" s="1114"/>
      <c r="U1622" s="1146">
        <v>0</v>
      </c>
      <c r="V1622" s="1114"/>
      <c r="W1622" s="1146">
        <v>0</v>
      </c>
      <c r="X1622" s="1114"/>
      <c r="Y1622" s="1146">
        <v>124</v>
      </c>
      <c r="Z1622" s="2114">
        <f>C1622-'Blocking-Step2'!C1622</f>
        <v>0</v>
      </c>
      <c r="AA1622" s="2114">
        <f>D1622-'Blocking-Step2'!D1622</f>
        <v>0</v>
      </c>
      <c r="AC1622" s="2114">
        <f>F1622-'Blocking-Step2'!F1622</f>
        <v>0</v>
      </c>
      <c r="AE1622" s="2114">
        <f>H1622-'Blocking-Step2'!H1622</f>
        <v>0</v>
      </c>
      <c r="AF1622" s="2114">
        <f>I1622-'Blocking-Step2'!I1622</f>
        <v>0</v>
      </c>
      <c r="AH1622" s="2136">
        <f>K1622-'Blocking-Step2'!K1622</f>
        <v>0</v>
      </c>
      <c r="AJ1622" s="2136">
        <f>M1622-'Blocking-Step2'!M1622</f>
        <v>0</v>
      </c>
      <c r="AL1622" s="2136">
        <f>O1622-'Blocking-Step2'!O1622</f>
        <v>0</v>
      </c>
      <c r="AN1622" s="2137">
        <f>Q1622-'Blocking-Step2'!Q1622</f>
        <v>0</v>
      </c>
      <c r="AP1622" s="2127">
        <f>S1622-'Blocking-Step2'!S1622</f>
        <v>0</v>
      </c>
      <c r="AR1622" s="2127">
        <f>U1622-'Blocking-Step2'!U1622</f>
        <v>0</v>
      </c>
      <c r="AT1622" s="2127">
        <f>W1622-'Blocking-Step2'!W1622</f>
        <v>0</v>
      </c>
      <c r="AV1622" s="2128">
        <f>Y1622-'Blocking-Step2'!Y1622</f>
        <v>0</v>
      </c>
    </row>
    <row r="1623" spans="1:48">
      <c r="A1623" s="1116" t="s">
        <v>287</v>
      </c>
      <c r="C1623" s="1105">
        <v>60.7226315789474</v>
      </c>
      <c r="D1623" s="1105">
        <v>55</v>
      </c>
      <c r="F1623" s="1142">
        <v>38</v>
      </c>
      <c r="G1623" s="617"/>
      <c r="H1623" s="1146">
        <v>2307</v>
      </c>
      <c r="I1623" s="1146">
        <v>2090</v>
      </c>
      <c r="K1623" s="1142">
        <v>38</v>
      </c>
      <c r="L1623" s="617"/>
      <c r="M1623" s="1142">
        <v>0</v>
      </c>
      <c r="N1623" s="617"/>
      <c r="O1623" s="1142">
        <v>0</v>
      </c>
      <c r="P1623" s="617"/>
      <c r="Q1623" s="1142">
        <v>38</v>
      </c>
      <c r="R1623" s="617"/>
      <c r="S1623" s="1146">
        <v>2090</v>
      </c>
      <c r="T1623" s="1114"/>
      <c r="U1623" s="1146">
        <v>0</v>
      </c>
      <c r="V1623" s="1114"/>
      <c r="W1623" s="1146">
        <v>0</v>
      </c>
      <c r="X1623" s="1114"/>
      <c r="Y1623" s="1146">
        <v>2090</v>
      </c>
      <c r="Z1623" s="2114">
        <f>C1623-'Blocking-Step2'!C1623</f>
        <v>0</v>
      </c>
      <c r="AA1623" s="2114">
        <f>D1623-'Blocking-Step2'!D1623</f>
        <v>0</v>
      </c>
      <c r="AC1623" s="2114">
        <f>F1623-'Blocking-Step2'!F1623</f>
        <v>0</v>
      </c>
      <c r="AE1623" s="2114">
        <f>H1623-'Blocking-Step2'!H1623</f>
        <v>0</v>
      </c>
      <c r="AF1623" s="2114">
        <f>I1623-'Blocking-Step2'!I1623</f>
        <v>0</v>
      </c>
      <c r="AH1623" s="2136">
        <f>K1623-'Blocking-Step2'!K1623</f>
        <v>0</v>
      </c>
      <c r="AJ1623" s="2136">
        <f>M1623-'Blocking-Step2'!M1623</f>
        <v>0</v>
      </c>
      <c r="AL1623" s="2136">
        <f>O1623-'Blocking-Step2'!O1623</f>
        <v>0</v>
      </c>
      <c r="AN1623" s="2137">
        <f>Q1623-'Blocking-Step2'!Q1623</f>
        <v>0</v>
      </c>
      <c r="AP1623" s="2127">
        <f>S1623-'Blocking-Step2'!S1623</f>
        <v>0</v>
      </c>
      <c r="AR1623" s="2127">
        <f>U1623-'Blocking-Step2'!U1623</f>
        <v>0</v>
      </c>
      <c r="AT1623" s="2127">
        <f>W1623-'Blocking-Step2'!W1623</f>
        <v>0</v>
      </c>
      <c r="AV1623" s="2128">
        <f>Y1623-'Blocking-Step2'!Y1623</f>
        <v>0</v>
      </c>
    </row>
    <row r="1624" spans="1:48">
      <c r="A1624" s="1116" t="s">
        <v>306</v>
      </c>
      <c r="C1624" s="1105">
        <v>314.37</v>
      </c>
      <c r="D1624" s="1105">
        <v>285</v>
      </c>
      <c r="F1624" s="1142">
        <v>14</v>
      </c>
      <c r="G1624" s="617"/>
      <c r="H1624" s="1146">
        <v>4401</v>
      </c>
      <c r="I1624" s="1146">
        <v>3990</v>
      </c>
      <c r="K1624" s="1142">
        <v>14</v>
      </c>
      <c r="L1624" s="617"/>
      <c r="M1624" s="1142">
        <v>0</v>
      </c>
      <c r="N1624" s="617"/>
      <c r="O1624" s="1142">
        <v>0</v>
      </c>
      <c r="P1624" s="617"/>
      <c r="Q1624" s="1142">
        <v>14</v>
      </c>
      <c r="R1624" s="617"/>
      <c r="S1624" s="1146">
        <v>3990</v>
      </c>
      <c r="T1624" s="1114"/>
      <c r="U1624" s="1146">
        <v>0</v>
      </c>
      <c r="V1624" s="1114"/>
      <c r="W1624" s="1146">
        <v>0</v>
      </c>
      <c r="X1624" s="1114"/>
      <c r="Y1624" s="1146">
        <v>3990</v>
      </c>
      <c r="Z1624" s="2114">
        <f>C1624-'Blocking-Step2'!C1624</f>
        <v>0</v>
      </c>
      <c r="AA1624" s="2114">
        <f>D1624-'Blocking-Step2'!D1624</f>
        <v>0</v>
      </c>
      <c r="AC1624" s="2114">
        <f>F1624-'Blocking-Step2'!F1624</f>
        <v>0</v>
      </c>
      <c r="AE1624" s="2114">
        <f>H1624-'Blocking-Step2'!H1624</f>
        <v>0</v>
      </c>
      <c r="AF1624" s="2114">
        <f>I1624-'Blocking-Step2'!I1624</f>
        <v>0</v>
      </c>
      <c r="AH1624" s="2136">
        <f>K1624-'Blocking-Step2'!K1624</f>
        <v>0</v>
      </c>
      <c r="AJ1624" s="2136">
        <f>M1624-'Blocking-Step2'!M1624</f>
        <v>0</v>
      </c>
      <c r="AL1624" s="2136">
        <f>O1624-'Blocking-Step2'!O1624</f>
        <v>0</v>
      </c>
      <c r="AN1624" s="2137">
        <f>Q1624-'Blocking-Step2'!Q1624</f>
        <v>0</v>
      </c>
      <c r="AP1624" s="2127">
        <f>S1624-'Blocking-Step2'!S1624</f>
        <v>0</v>
      </c>
      <c r="AR1624" s="2127">
        <f>U1624-'Blocking-Step2'!U1624</f>
        <v>0</v>
      </c>
      <c r="AT1624" s="2127">
        <f>W1624-'Blocking-Step2'!W1624</f>
        <v>0</v>
      </c>
      <c r="AV1624" s="2128">
        <f>Y1624-'Blocking-Step2'!Y1624</f>
        <v>0</v>
      </c>
    </row>
    <row r="1625" spans="1:48">
      <c r="A1625" s="1116" t="s">
        <v>180</v>
      </c>
      <c r="C1625" s="1105">
        <v>23200.406548431107</v>
      </c>
      <c r="D1625" s="1105">
        <v>26155</v>
      </c>
      <c r="F1625" s="1142">
        <v>7.33</v>
      </c>
      <c r="G1625" s="617"/>
      <c r="H1625" s="1146">
        <v>170059</v>
      </c>
      <c r="I1625" s="1146">
        <v>191716</v>
      </c>
      <c r="K1625" s="1142">
        <v>7.29</v>
      </c>
      <c r="L1625" s="617"/>
      <c r="M1625" s="1142">
        <v>0</v>
      </c>
      <c r="N1625" s="617"/>
      <c r="O1625" s="1142">
        <v>0</v>
      </c>
      <c r="P1625" s="617"/>
      <c r="Q1625" s="1142">
        <v>7.29</v>
      </c>
      <c r="R1625" s="617"/>
      <c r="S1625" s="1146">
        <v>190670</v>
      </c>
      <c r="T1625" s="1114"/>
      <c r="U1625" s="1146">
        <v>0</v>
      </c>
      <c r="V1625" s="1114"/>
      <c r="W1625" s="1146">
        <v>0</v>
      </c>
      <c r="X1625" s="1114"/>
      <c r="Y1625" s="1146">
        <v>190670</v>
      </c>
      <c r="Z1625" s="2114">
        <f>C1625-'Blocking-Step2'!C1625</f>
        <v>0</v>
      </c>
      <c r="AA1625" s="2114">
        <f>D1625-'Blocking-Step2'!D1625</f>
        <v>0</v>
      </c>
      <c r="AC1625" s="2114">
        <f>F1625-'Blocking-Step2'!F1625</f>
        <v>0</v>
      </c>
      <c r="AE1625" s="2114">
        <f>H1625-'Blocking-Step2'!H1625</f>
        <v>0</v>
      </c>
      <c r="AF1625" s="2114">
        <f>I1625-'Blocking-Step2'!I1625</f>
        <v>0</v>
      </c>
      <c r="AH1625" s="2136">
        <f>K1625-'Blocking-Step2'!K1625</f>
        <v>0</v>
      </c>
      <c r="AJ1625" s="2136">
        <f>M1625-'Blocking-Step2'!M1625</f>
        <v>0</v>
      </c>
      <c r="AL1625" s="2136">
        <f>O1625-'Blocking-Step2'!O1625</f>
        <v>0</v>
      </c>
      <c r="AN1625" s="2137">
        <f>Q1625-'Blocking-Step2'!Q1625</f>
        <v>0</v>
      </c>
      <c r="AP1625" s="2127">
        <f>S1625-'Blocking-Step2'!S1625</f>
        <v>0</v>
      </c>
      <c r="AR1625" s="2127">
        <f>U1625-'Blocking-Step2'!U1625</f>
        <v>0</v>
      </c>
      <c r="AT1625" s="2127">
        <f>W1625-'Blocking-Step2'!W1625</f>
        <v>0</v>
      </c>
      <c r="AV1625" s="2128">
        <f>Y1625-'Blocking-Step2'!Y1625</f>
        <v>0</v>
      </c>
    </row>
    <row r="1626" spans="1:48">
      <c r="A1626" s="1116" t="s">
        <v>261</v>
      </c>
      <c r="C1626" s="1105">
        <v>8.4536585365853707</v>
      </c>
      <c r="D1626" s="1105">
        <v>10</v>
      </c>
      <c r="F1626" s="1142">
        <v>-2.0499999999999998</v>
      </c>
      <c r="G1626" s="617"/>
      <c r="H1626" s="1146">
        <v>-17</v>
      </c>
      <c r="I1626" s="1146">
        <v>-21</v>
      </c>
      <c r="K1626" s="1142">
        <v>-2.0499999999999998</v>
      </c>
      <c r="L1626" s="617"/>
      <c r="M1626" s="1142">
        <v>0</v>
      </c>
      <c r="N1626" s="617"/>
      <c r="O1626" s="1142">
        <v>0</v>
      </c>
      <c r="P1626" s="617"/>
      <c r="Q1626" s="1142">
        <v>-2.0499999999999998</v>
      </c>
      <c r="R1626" s="617"/>
      <c r="S1626" s="1146">
        <v>-21</v>
      </c>
      <c r="T1626" s="1114"/>
      <c r="U1626" s="1146">
        <v>0</v>
      </c>
      <c r="V1626" s="1114"/>
      <c r="W1626" s="1146">
        <v>0</v>
      </c>
      <c r="X1626" s="1114"/>
      <c r="Y1626" s="1146">
        <v>-21</v>
      </c>
      <c r="Z1626" s="2114">
        <f>C1626-'Blocking-Step2'!C1626</f>
        <v>0</v>
      </c>
      <c r="AA1626" s="2114">
        <f>D1626-'Blocking-Step2'!D1626</f>
        <v>0</v>
      </c>
      <c r="AC1626" s="2114">
        <f>F1626-'Blocking-Step2'!F1626</f>
        <v>0</v>
      </c>
      <c r="AE1626" s="2114">
        <f>H1626-'Blocking-Step2'!H1626</f>
        <v>0</v>
      </c>
      <c r="AF1626" s="2114">
        <f>I1626-'Blocking-Step2'!I1626</f>
        <v>0</v>
      </c>
      <c r="AH1626" s="2136">
        <f>K1626-'Blocking-Step2'!K1626</f>
        <v>0</v>
      </c>
      <c r="AJ1626" s="2136">
        <f>M1626-'Blocking-Step2'!M1626</f>
        <v>0</v>
      </c>
      <c r="AL1626" s="2136">
        <f>O1626-'Blocking-Step2'!O1626</f>
        <v>0</v>
      </c>
      <c r="AN1626" s="2137">
        <f>Q1626-'Blocking-Step2'!Q1626</f>
        <v>0</v>
      </c>
      <c r="AP1626" s="2127">
        <f>S1626-'Blocking-Step2'!S1626</f>
        <v>0</v>
      </c>
      <c r="AR1626" s="2127">
        <f>U1626-'Blocking-Step2'!U1626</f>
        <v>0</v>
      </c>
      <c r="AT1626" s="2127">
        <f>W1626-'Blocking-Step2'!W1626</f>
        <v>0</v>
      </c>
      <c r="AV1626" s="2128">
        <f>Y1626-'Blocking-Step2'!Y1626</f>
        <v>0</v>
      </c>
    </row>
    <row r="1627" spans="1:48">
      <c r="A1627" s="1116" t="s">
        <v>307</v>
      </c>
      <c r="C1627" s="1105">
        <v>3285476.7387927799</v>
      </c>
      <c r="D1627" s="1105">
        <v>3703888</v>
      </c>
      <c r="F1627" s="1922">
        <v>7.2971000000000004</v>
      </c>
      <c r="G1627" s="1921" t="s">
        <v>495</v>
      </c>
      <c r="H1627" s="1146">
        <v>239745</v>
      </c>
      <c r="I1627" s="1146">
        <v>270276</v>
      </c>
      <c r="K1627" s="1922">
        <v>0.32669999999999999</v>
      </c>
      <c r="L1627" s="1921" t="s">
        <v>495</v>
      </c>
      <c r="M1627" s="1922">
        <v>4.8544331336170004</v>
      </c>
      <c r="N1627" s="1921" t="s">
        <v>495</v>
      </c>
      <c r="O1627" s="1922">
        <v>2.0764</v>
      </c>
      <c r="P1627" s="1921" t="s">
        <v>495</v>
      </c>
      <c r="Q1627" s="1922">
        <v>7.2575331336169997</v>
      </c>
      <c r="R1627" s="1921" t="s">
        <v>495</v>
      </c>
      <c r="S1627" s="1146">
        <v>12101</v>
      </c>
      <c r="T1627" s="1648"/>
      <c r="U1627" s="1146">
        <v>179803</v>
      </c>
      <c r="V1627" s="1648"/>
      <c r="W1627" s="1146">
        <v>76908</v>
      </c>
      <c r="X1627" s="1648"/>
      <c r="Y1627" s="1146">
        <v>268811</v>
      </c>
      <c r="Z1627" s="2114">
        <f>C1627-'Blocking-Step2'!C1627</f>
        <v>0</v>
      </c>
      <c r="AA1627" s="2114">
        <f>D1627-'Blocking-Step2'!D1627</f>
        <v>0</v>
      </c>
      <c r="AC1627" s="2114">
        <f>F1627-'Blocking-Step2'!F1627</f>
        <v>0</v>
      </c>
      <c r="AE1627" s="2114">
        <f>H1627-'Blocking-Step2'!H1627</f>
        <v>0</v>
      </c>
      <c r="AF1627" s="2114">
        <f>I1627-'Blocking-Step2'!I1627</f>
        <v>0</v>
      </c>
      <c r="AH1627" s="2136">
        <f>K1627-'Blocking-Step2'!K1627</f>
        <v>-1.2794000000000001</v>
      </c>
      <c r="AJ1627" s="2136">
        <f>M1627-'Blocking-Step2'!M1627</f>
        <v>1.2794000000000012</v>
      </c>
      <c r="AL1627" s="2136">
        <f>O1627-'Blocking-Step2'!O1627</f>
        <v>0</v>
      </c>
      <c r="AN1627" s="2137">
        <f>Q1627-'Blocking-Step2'!Q1627</f>
        <v>0</v>
      </c>
      <c r="AP1627" s="2127">
        <f>S1627-'Blocking-Step2'!S1627</f>
        <v>-47387</v>
      </c>
      <c r="AR1627" s="2127">
        <f>U1627-'Blocking-Step2'!U1627</f>
        <v>47388</v>
      </c>
      <c r="AT1627" s="2127">
        <f>W1627-'Blocking-Step2'!W1627</f>
        <v>0</v>
      </c>
      <c r="AV1627" s="2128">
        <f>Y1627-'Blocking-Step2'!Y1627</f>
        <v>0</v>
      </c>
    </row>
    <row r="1628" spans="1:48">
      <c r="A1628" s="1116" t="s">
        <v>95</v>
      </c>
      <c r="C1628" s="1940">
        <v>2902041.7617576825</v>
      </c>
      <c r="D1628" s="1940">
        <v>3271622</v>
      </c>
      <c r="F1628" s="1922">
        <v>5.3936000000000002</v>
      </c>
      <c r="G1628" s="1921" t="s">
        <v>495</v>
      </c>
      <c r="H1628" s="1147">
        <v>156525</v>
      </c>
      <c r="I1628" s="1147">
        <v>176458</v>
      </c>
      <c r="K1628" s="1922">
        <v>0.32669999999999999</v>
      </c>
      <c r="L1628" s="1921" t="s">
        <v>495</v>
      </c>
      <c r="M1628" s="1922">
        <v>2.9612544297699999</v>
      </c>
      <c r="N1628" s="1921" t="s">
        <v>495</v>
      </c>
      <c r="O1628" s="1922">
        <v>2.0764</v>
      </c>
      <c r="P1628" s="1921" t="s">
        <v>495</v>
      </c>
      <c r="Q1628" s="1922">
        <v>5.3643544297699997</v>
      </c>
      <c r="R1628" s="1921" t="s">
        <v>495</v>
      </c>
      <c r="S1628" s="1146">
        <v>10688</v>
      </c>
      <c r="T1628" s="1648"/>
      <c r="U1628" s="1146">
        <v>96881</v>
      </c>
      <c r="V1628" s="1648"/>
      <c r="W1628" s="1146">
        <v>67932</v>
      </c>
      <c r="X1628" s="1648"/>
      <c r="Y1628" s="1146">
        <v>175501</v>
      </c>
      <c r="Z1628" s="2114">
        <f>C1628-'Blocking-Step2'!C1628</f>
        <v>0</v>
      </c>
      <c r="AA1628" s="2114">
        <f>D1628-'Blocking-Step2'!D1628</f>
        <v>0</v>
      </c>
      <c r="AC1628" s="2114">
        <f>F1628-'Blocking-Step2'!F1628</f>
        <v>0</v>
      </c>
      <c r="AE1628" s="2114">
        <f>H1628-'Blocking-Step2'!H1628</f>
        <v>0</v>
      </c>
      <c r="AF1628" s="2114">
        <f>I1628-'Blocking-Step2'!I1628</f>
        <v>0</v>
      </c>
      <c r="AH1628" s="2136">
        <f>K1628-'Blocking-Step2'!K1628</f>
        <v>-1.2794000000000001</v>
      </c>
      <c r="AJ1628" s="2136">
        <f>M1628-'Blocking-Step2'!M1628</f>
        <v>1.2794000000000003</v>
      </c>
      <c r="AL1628" s="2136">
        <f>O1628-'Blocking-Step2'!O1628</f>
        <v>0</v>
      </c>
      <c r="AN1628" s="2137">
        <f>Q1628-'Blocking-Step2'!Q1628</f>
        <v>0</v>
      </c>
      <c r="AP1628" s="2127">
        <f>S1628-'Blocking-Step2'!S1628</f>
        <v>-41858</v>
      </c>
      <c r="AR1628" s="2127">
        <f>U1628-'Blocking-Step2'!U1628</f>
        <v>41857</v>
      </c>
      <c r="AT1628" s="2127">
        <f>W1628-'Blocking-Step2'!W1628</f>
        <v>0</v>
      </c>
      <c r="AV1628" s="2128">
        <f>Y1628-'Blocking-Step2'!Y1628</f>
        <v>0</v>
      </c>
    </row>
    <row r="1629" spans="1:48">
      <c r="A1629" s="1116" t="s">
        <v>248</v>
      </c>
      <c r="C1629" s="1105">
        <v>117281</v>
      </c>
      <c r="D1629" s="1105">
        <v>132217</v>
      </c>
      <c r="F1629" s="1922">
        <v>14.416399999999999</v>
      </c>
      <c r="G1629" s="1921" t="s">
        <v>495</v>
      </c>
      <c r="H1629" s="1146">
        <v>16908</v>
      </c>
      <c r="I1629" s="1146">
        <v>19061</v>
      </c>
      <c r="K1629" s="1922">
        <v>0.15570000000000001</v>
      </c>
      <c r="L1629" s="1921" t="s">
        <v>495</v>
      </c>
      <c r="M1629" s="1922">
        <v>7.3369</v>
      </c>
      <c r="N1629" s="1921" t="s">
        <v>495</v>
      </c>
      <c r="O1629" s="1922">
        <v>6.8456000000000001</v>
      </c>
      <c r="P1629" s="1921" t="s">
        <v>495</v>
      </c>
      <c r="Q1629" s="1922">
        <v>14.338230347327</v>
      </c>
      <c r="R1629" s="1921" t="s">
        <v>495</v>
      </c>
      <c r="S1629" s="1146">
        <v>206</v>
      </c>
      <c r="T1629" s="1648"/>
      <c r="U1629" s="1146">
        <v>9701</v>
      </c>
      <c r="V1629" s="1648"/>
      <c r="W1629" s="1146">
        <v>9051</v>
      </c>
      <c r="X1629" s="1648"/>
      <c r="Y1629" s="1146">
        <v>18958</v>
      </c>
      <c r="Z1629" s="2114">
        <f>C1629-'Blocking-Step2'!C1629</f>
        <v>0</v>
      </c>
      <c r="AA1629" s="2114">
        <f>D1629-'Blocking-Step2'!D1629</f>
        <v>0</v>
      </c>
      <c r="AC1629" s="2114">
        <f>F1629-'Blocking-Step2'!F1629</f>
        <v>0</v>
      </c>
      <c r="AE1629" s="2114">
        <f>H1629-'Blocking-Step2'!H1629</f>
        <v>0</v>
      </c>
      <c r="AF1629" s="2114">
        <f>I1629-'Blocking-Step2'!I1629</f>
        <v>0</v>
      </c>
      <c r="AH1629" s="2136">
        <f>K1629-'Blocking-Step2'!K1629</f>
        <v>-1.3360000000000001</v>
      </c>
      <c r="AJ1629" s="2136">
        <f>M1629-'Blocking-Step2'!M1629</f>
        <v>1.3361000000000001</v>
      </c>
      <c r="AL1629" s="2136">
        <f>O1629-'Blocking-Step2'!O1629</f>
        <v>-9.9999999999766942E-5</v>
      </c>
      <c r="AN1629" s="2137">
        <f>Q1629-'Blocking-Step2'!Q1629</f>
        <v>0</v>
      </c>
      <c r="AP1629" s="2127">
        <f>S1629-'Blocking-Step2'!S1629</f>
        <v>-1766</v>
      </c>
      <c r="AR1629" s="2127">
        <f>U1629-'Blocking-Step2'!U1629</f>
        <v>1767</v>
      </c>
      <c r="AT1629" s="2127">
        <f>W1629-'Blocking-Step2'!W1629</f>
        <v>0</v>
      </c>
      <c r="AV1629" s="2128">
        <f>Y1629-'Blocking-Step2'!Y1629</f>
        <v>0</v>
      </c>
    </row>
    <row r="1630" spans="1:48">
      <c r="A1630" s="1116" t="s">
        <v>249</v>
      </c>
      <c r="C1630" s="1940">
        <v>438822</v>
      </c>
      <c r="D1630" s="1940">
        <v>494707</v>
      </c>
      <c r="F1630" s="1106">
        <v>4.1542000000000003</v>
      </c>
      <c r="G1630" s="1921" t="s">
        <v>495</v>
      </c>
      <c r="H1630" s="1148">
        <v>18230</v>
      </c>
      <c r="I1630" s="1148">
        <v>20551</v>
      </c>
      <c r="K1630" s="1922">
        <v>0.15570000000000001</v>
      </c>
      <c r="L1630" s="1921" t="s">
        <v>495</v>
      </c>
      <c r="M1630" s="1922">
        <v>3.3369</v>
      </c>
      <c r="N1630" s="1921" t="s">
        <v>495</v>
      </c>
      <c r="O1630" s="1922">
        <v>0.6391</v>
      </c>
      <c r="P1630" s="1921" t="s">
        <v>495</v>
      </c>
      <c r="Q1630" s="1922">
        <v>4.1316747945990002</v>
      </c>
      <c r="R1630" s="1921" t="s">
        <v>495</v>
      </c>
      <c r="S1630" s="1146">
        <v>770</v>
      </c>
      <c r="T1630" s="1648"/>
      <c r="U1630" s="1146">
        <v>16508</v>
      </c>
      <c r="V1630" s="1648"/>
      <c r="W1630" s="1146">
        <v>3162</v>
      </c>
      <c r="X1630" s="1648"/>
      <c r="Y1630" s="1146">
        <v>20440</v>
      </c>
      <c r="Z1630" s="2114">
        <f>C1630-'Blocking-Step2'!C1630</f>
        <v>0</v>
      </c>
      <c r="AA1630" s="2114">
        <f>D1630-'Blocking-Step2'!D1630</f>
        <v>0</v>
      </c>
      <c r="AC1630" s="2114">
        <f>F1630-'Blocking-Step2'!F1630</f>
        <v>0</v>
      </c>
      <c r="AE1630" s="2114">
        <f>H1630-'Blocking-Step2'!H1630</f>
        <v>0</v>
      </c>
      <c r="AF1630" s="2114">
        <f>I1630-'Blocking-Step2'!I1630</f>
        <v>0</v>
      </c>
      <c r="AH1630" s="2136">
        <f>K1630-'Blocking-Step2'!K1630</f>
        <v>-1.3360000000000001</v>
      </c>
      <c r="AJ1630" s="2136">
        <f>M1630-'Blocking-Step2'!M1630</f>
        <v>1.3361000000000001</v>
      </c>
      <c r="AL1630" s="2136">
        <f>O1630-'Blocking-Step2'!O1630</f>
        <v>-9.9999999999988987E-5</v>
      </c>
      <c r="AN1630" s="2137">
        <f>Q1630-'Blocking-Step2'!Q1630</f>
        <v>0</v>
      </c>
      <c r="AP1630" s="2127">
        <f>S1630-'Blocking-Step2'!S1630</f>
        <v>-6610</v>
      </c>
      <c r="AR1630" s="2127">
        <f>U1630-'Blocking-Step2'!U1630</f>
        <v>6610</v>
      </c>
      <c r="AT1630" s="2127">
        <f>W1630-'Blocking-Step2'!W1630</f>
        <v>0</v>
      </c>
      <c r="AV1630" s="2128">
        <f>Y1630-'Blocking-Step2'!Y1630</f>
        <v>0</v>
      </c>
    </row>
    <row r="1631" spans="1:48">
      <c r="A1631" s="1116" t="s">
        <v>308</v>
      </c>
      <c r="C1631" s="1940">
        <v>6743621.5005504619</v>
      </c>
      <c r="D1631" s="1940">
        <v>7602434</v>
      </c>
      <c r="F1631" s="2088"/>
      <c r="H1631" s="1147">
        <v>608283</v>
      </c>
      <c r="I1631" s="1147">
        <v>684246</v>
      </c>
      <c r="K1631" s="2088"/>
      <c r="M1631" s="2088"/>
      <c r="O1631" s="2088"/>
      <c r="Q1631" s="2088"/>
      <c r="S1631" s="1147">
        <v>220618</v>
      </c>
      <c r="U1631" s="1147">
        <v>302893</v>
      </c>
      <c r="W1631" s="1147">
        <v>157053</v>
      </c>
      <c r="Y1631" s="1147">
        <v>680563</v>
      </c>
      <c r="Z1631" s="2114">
        <f>C1631-'Blocking-Step2'!C1631</f>
        <v>0</v>
      </c>
      <c r="AA1631" s="2114">
        <f>D1631-'Blocking-Step2'!D1631</f>
        <v>0</v>
      </c>
      <c r="AC1631" s="2114">
        <f>F1631-'Blocking-Step2'!F1631</f>
        <v>0</v>
      </c>
      <c r="AE1631" s="2114">
        <f>H1631-'Blocking-Step2'!H1631</f>
        <v>0</v>
      </c>
      <c r="AF1631" s="2114">
        <f>I1631-'Blocking-Step2'!I1631</f>
        <v>0</v>
      </c>
      <c r="AH1631" s="2136">
        <f>K1631-'Blocking-Step2'!K1631</f>
        <v>0</v>
      </c>
      <c r="AJ1631" s="2136">
        <f>M1631-'Blocking-Step2'!M1631</f>
        <v>0</v>
      </c>
      <c r="AL1631" s="2136">
        <f>O1631-'Blocking-Step2'!O1631</f>
        <v>0</v>
      </c>
      <c r="AN1631" s="2137">
        <f>Q1631-'Blocking-Step2'!Q1631</f>
        <v>0</v>
      </c>
      <c r="AP1631" s="2127">
        <f>S1631-'Blocking-Step2'!S1631</f>
        <v>-97621</v>
      </c>
      <c r="AR1631" s="2127">
        <f>U1631-'Blocking-Step2'!U1631</f>
        <v>97622</v>
      </c>
      <c r="AT1631" s="2127">
        <f>W1631-'Blocking-Step2'!W1631</f>
        <v>0</v>
      </c>
      <c r="AV1631" s="2128">
        <f>Y1631-'Blocking-Step2'!Y1631</f>
        <v>0</v>
      </c>
    </row>
    <row r="1632" spans="1:48">
      <c r="A1632" s="1116" t="s">
        <v>34</v>
      </c>
      <c r="C1632" s="1105"/>
      <c r="D1632" s="1105"/>
      <c r="S1632" s="1627"/>
      <c r="U1632" s="1627"/>
      <c r="W1632" s="1627"/>
      <c r="Z1632" s="2114">
        <f>C1632-'Blocking-Step2'!C1632</f>
        <v>0</v>
      </c>
      <c r="AA1632" s="2114">
        <f>D1632-'Blocking-Step2'!D1632</f>
        <v>0</v>
      </c>
      <c r="AC1632" s="2114">
        <f>F1632-'Blocking-Step2'!F1632</f>
        <v>0</v>
      </c>
      <c r="AE1632" s="2114">
        <f>H1632-'Blocking-Step2'!H1632</f>
        <v>0</v>
      </c>
      <c r="AF1632" s="2114">
        <f>I1632-'Blocking-Step2'!I1632</f>
        <v>0</v>
      </c>
      <c r="AH1632" s="2136">
        <f>K1632-'Blocking-Step2'!K1632</f>
        <v>0</v>
      </c>
      <c r="AJ1632" s="2136">
        <f>M1632-'Blocking-Step2'!M1632</f>
        <v>0</v>
      </c>
      <c r="AL1632" s="2136">
        <f>O1632-'Blocking-Step2'!O1632</f>
        <v>0</v>
      </c>
      <c r="AN1632" s="2137">
        <f>Q1632-'Blocking-Step2'!Q1632</f>
        <v>0</v>
      </c>
      <c r="AP1632" s="2127">
        <f>S1632-'Blocking-Step2'!S1632</f>
        <v>0</v>
      </c>
      <c r="AR1632" s="2127">
        <f>U1632-'Blocking-Step2'!U1632</f>
        <v>0</v>
      </c>
      <c r="AT1632" s="2127">
        <f>W1632-'Blocking-Step2'!W1632</f>
        <v>0</v>
      </c>
      <c r="AV1632" s="2128">
        <f>Y1632-'Blocking-Step2'!Y1632</f>
        <v>0</v>
      </c>
    </row>
    <row r="1633" spans="1:48">
      <c r="A1633" s="1116" t="s">
        <v>927</v>
      </c>
      <c r="C1633" s="1024">
        <v>135.45857142857102</v>
      </c>
      <c r="D1633" s="1105">
        <v>123</v>
      </c>
      <c r="F1633" s="617">
        <v>14</v>
      </c>
      <c r="G1633" s="617"/>
      <c r="H1633" s="1114">
        <v>1896</v>
      </c>
      <c r="I1633" s="1114">
        <v>1722</v>
      </c>
      <c r="K1633" s="617">
        <v>14</v>
      </c>
      <c r="L1633" s="617"/>
      <c r="M1633" s="617">
        <v>0</v>
      </c>
      <c r="N1633" s="617"/>
      <c r="O1633" s="617">
        <v>0</v>
      </c>
      <c r="P1633" s="617"/>
      <c r="Q1633" s="617">
        <v>14</v>
      </c>
      <c r="R1633" s="617"/>
      <c r="S1633" s="1146">
        <v>17</v>
      </c>
      <c r="T1633" s="1114"/>
      <c r="U1633" s="1146">
        <v>0</v>
      </c>
      <c r="V1633" s="1114"/>
      <c r="W1633" s="1146">
        <v>0</v>
      </c>
      <c r="X1633" s="1114"/>
      <c r="Y1633" s="1146">
        <v>17</v>
      </c>
      <c r="Z1633" s="2114">
        <f>C1633-'Blocking-Step2'!C1633</f>
        <v>0</v>
      </c>
      <c r="AA1633" s="2114">
        <f>D1633-'Blocking-Step2'!D1633</f>
        <v>0</v>
      </c>
      <c r="AC1633" s="2114">
        <f>F1633-'Blocking-Step2'!F1633</f>
        <v>0</v>
      </c>
      <c r="AE1633" s="2114">
        <f>H1633-'Blocking-Step2'!H1633</f>
        <v>0</v>
      </c>
      <c r="AF1633" s="2114">
        <f>I1633-'Blocking-Step2'!I1633</f>
        <v>0</v>
      </c>
      <c r="AH1633" s="2136">
        <f>K1633-'Blocking-Step2'!K1633</f>
        <v>0</v>
      </c>
      <c r="AJ1633" s="2136">
        <f>M1633-'Blocking-Step2'!M1633</f>
        <v>0</v>
      </c>
      <c r="AL1633" s="2136">
        <f>O1633-'Blocking-Step2'!O1633</f>
        <v>0</v>
      </c>
      <c r="AN1633" s="2137">
        <f>Q1633-'Blocking-Step2'!Q1633</f>
        <v>0</v>
      </c>
      <c r="AP1633" s="2127">
        <f>S1633-'Blocking-Step2'!S1633</f>
        <v>0</v>
      </c>
      <c r="AR1633" s="2127">
        <f>U1633-'Blocking-Step2'!U1633</f>
        <v>0</v>
      </c>
      <c r="AT1633" s="2127">
        <f>W1633-'Blocking-Step2'!W1633</f>
        <v>0</v>
      </c>
      <c r="AV1633" s="2128">
        <f>Y1633-'Blocking-Step2'!Y1633</f>
        <v>0</v>
      </c>
    </row>
    <row r="1634" spans="1:48">
      <c r="A1634" s="1116" t="s">
        <v>35</v>
      </c>
      <c r="C1634" s="1940">
        <v>1506180.9657492132</v>
      </c>
      <c r="D1634" s="1940">
        <v>1697995.5822001491</v>
      </c>
      <c r="F1634" s="1106">
        <v>4.9983000000000004</v>
      </c>
      <c r="G1634" s="1921" t="s">
        <v>495</v>
      </c>
      <c r="H1634" s="1148">
        <v>75283</v>
      </c>
      <c r="I1634" s="1148">
        <v>84871</v>
      </c>
      <c r="K1634" s="1106">
        <v>0.24879999999999999</v>
      </c>
      <c r="L1634" s="1921" t="s">
        <v>495</v>
      </c>
      <c r="M1634" s="1106">
        <v>2.8977657574191946</v>
      </c>
      <c r="N1634" s="1921" t="s">
        <v>495</v>
      </c>
      <c r="O1634" s="1106">
        <v>1.8375221238938055</v>
      </c>
      <c r="P1634" s="1921" t="s">
        <v>495</v>
      </c>
      <c r="Q1634" s="1106">
        <v>4.9840878813130001</v>
      </c>
      <c r="R1634" s="1921" t="s">
        <v>495</v>
      </c>
      <c r="S1634" s="1146">
        <v>4225</v>
      </c>
      <c r="T1634" s="1648"/>
      <c r="U1634" s="1146">
        <v>49204</v>
      </c>
      <c r="V1634" s="1648"/>
      <c r="W1634" s="1146">
        <v>31201</v>
      </c>
      <c r="X1634" s="1648"/>
      <c r="Y1634" s="1146">
        <v>84630</v>
      </c>
      <c r="Z1634" s="2114">
        <f>C1634-'Blocking-Step2'!C1634</f>
        <v>0</v>
      </c>
      <c r="AA1634" s="2114">
        <f>D1634-'Blocking-Step2'!D1634</f>
        <v>0</v>
      </c>
      <c r="AC1634" s="2114">
        <f>F1634-'Blocking-Step2'!F1634</f>
        <v>0</v>
      </c>
      <c r="AE1634" s="2114">
        <f>H1634-'Blocking-Step2'!H1634</f>
        <v>0</v>
      </c>
      <c r="AF1634" s="2114">
        <f>I1634-'Blocking-Step2'!I1634</f>
        <v>0</v>
      </c>
      <c r="AH1634" s="2136">
        <f>K1634-'Blocking-Step2'!K1634</f>
        <v>-0.97440000000000004</v>
      </c>
      <c r="AJ1634" s="2136">
        <f>M1634-'Blocking-Step2'!M1634</f>
        <v>0.97440000000000038</v>
      </c>
      <c r="AL1634" s="2136">
        <f>O1634-'Blocking-Step2'!O1634</f>
        <v>0</v>
      </c>
      <c r="AN1634" s="2137">
        <f>Q1634-'Blocking-Step2'!Q1634</f>
        <v>0</v>
      </c>
      <c r="AP1634" s="2127">
        <f>S1634-'Blocking-Step2'!S1634</f>
        <v>-16545</v>
      </c>
      <c r="AR1634" s="2127">
        <f>U1634-'Blocking-Step2'!U1634</f>
        <v>16545</v>
      </c>
      <c r="AT1634" s="2127">
        <f>W1634-'Blocking-Step2'!W1634</f>
        <v>0</v>
      </c>
      <c r="AV1634" s="2128">
        <f>Y1634-'Blocking-Step2'!Y1634</f>
        <v>0</v>
      </c>
    </row>
    <row r="1635" spans="1:48">
      <c r="A1635" s="1116" t="s">
        <v>309</v>
      </c>
      <c r="C1635" s="1940">
        <v>1506180.9657492132</v>
      </c>
      <c r="D1635" s="1940">
        <v>1697995.5822001491</v>
      </c>
      <c r="F1635" s="2088"/>
      <c r="H1635" s="1147">
        <v>77179</v>
      </c>
      <c r="I1635" s="1147">
        <v>86593</v>
      </c>
      <c r="K1635" s="2088"/>
      <c r="M1635" s="2088"/>
      <c r="O1635" s="2088"/>
      <c r="Q1635" s="2088"/>
      <c r="S1635" s="1147">
        <v>4242</v>
      </c>
      <c r="U1635" s="1147">
        <v>49204</v>
      </c>
      <c r="W1635" s="1147">
        <v>31201</v>
      </c>
      <c r="Y1635" s="1147">
        <v>84647</v>
      </c>
      <c r="Z1635" s="2114">
        <f>C1635-'Blocking-Step2'!C1635</f>
        <v>0</v>
      </c>
      <c r="AA1635" s="2114">
        <f>D1635-'Blocking-Step2'!D1635</f>
        <v>0</v>
      </c>
      <c r="AC1635" s="2114">
        <f>F1635-'Blocking-Step2'!F1635</f>
        <v>0</v>
      </c>
      <c r="AE1635" s="2114">
        <f>H1635-'Blocking-Step2'!H1635</f>
        <v>0</v>
      </c>
      <c r="AF1635" s="2114">
        <f>I1635-'Blocking-Step2'!I1635</f>
        <v>0</v>
      </c>
      <c r="AH1635" s="2136">
        <f>K1635-'Blocking-Step2'!K1635</f>
        <v>0</v>
      </c>
      <c r="AJ1635" s="2136">
        <f>M1635-'Blocking-Step2'!M1635</f>
        <v>0</v>
      </c>
      <c r="AL1635" s="2136">
        <f>O1635-'Blocking-Step2'!O1635</f>
        <v>0</v>
      </c>
      <c r="AN1635" s="2137">
        <f>Q1635-'Blocking-Step2'!Q1635</f>
        <v>0</v>
      </c>
      <c r="AP1635" s="2127">
        <f>S1635-'Blocking-Step2'!S1635</f>
        <v>-16545</v>
      </c>
      <c r="AR1635" s="2127">
        <f>U1635-'Blocking-Step2'!U1635</f>
        <v>16545</v>
      </c>
      <c r="AT1635" s="2127">
        <f>W1635-'Blocking-Step2'!W1635</f>
        <v>0</v>
      </c>
      <c r="AV1635" s="2128">
        <f>Y1635-'Blocking-Step2'!Y1635</f>
        <v>0</v>
      </c>
    </row>
    <row r="1636" spans="1:48">
      <c r="A1636" s="1116" t="s">
        <v>246</v>
      </c>
      <c r="C1636" s="1940">
        <v>15646</v>
      </c>
      <c r="D1636" s="1940">
        <v>0</v>
      </c>
      <c r="H1636" s="1147">
        <v>988.36999999999898</v>
      </c>
      <c r="I1636" s="1147">
        <v>0</v>
      </c>
      <c r="Y1636" s="1147">
        <v>0</v>
      </c>
      <c r="Z1636" s="2114">
        <f>C1636-'Blocking-Step2'!C1636</f>
        <v>0</v>
      </c>
      <c r="AA1636" s="2114">
        <f>D1636-'Blocking-Step2'!D1636</f>
        <v>0</v>
      </c>
      <c r="AC1636" s="2114">
        <f>F1636-'Blocking-Step2'!F1636</f>
        <v>0</v>
      </c>
      <c r="AE1636" s="2114">
        <f>H1636-'Blocking-Step2'!H1636</f>
        <v>0</v>
      </c>
      <c r="AF1636" s="2114">
        <f>I1636-'Blocking-Step2'!I1636</f>
        <v>0</v>
      </c>
      <c r="AH1636" s="2136">
        <f>K1636-'Blocking-Step2'!K1636</f>
        <v>0</v>
      </c>
      <c r="AJ1636" s="2136">
        <f>M1636-'Blocking-Step2'!M1636</f>
        <v>0</v>
      </c>
      <c r="AL1636" s="2136">
        <f>O1636-'Blocking-Step2'!O1636</f>
        <v>0</v>
      </c>
      <c r="AN1636" s="2137">
        <f>Q1636-'Blocking-Step2'!Q1636</f>
        <v>0</v>
      </c>
      <c r="AP1636" s="2127">
        <f>S1636-'Blocking-Step2'!S1636</f>
        <v>0</v>
      </c>
      <c r="AR1636" s="2127">
        <f>U1636-'Blocking-Step2'!U1636</f>
        <v>0</v>
      </c>
      <c r="AT1636" s="2127">
        <f>W1636-'Blocking-Step2'!W1636</f>
        <v>0</v>
      </c>
      <c r="AV1636" s="2128">
        <f>Y1636-'Blocking-Step2'!Y1636</f>
        <v>0</v>
      </c>
    </row>
    <row r="1637" spans="1:48">
      <c r="A1637" s="1116" t="s">
        <v>1240</v>
      </c>
      <c r="C1637" s="1024"/>
      <c r="D1637" s="1024"/>
      <c r="F1637" s="2076">
        <v>-4.2099999999999999E-2</v>
      </c>
      <c r="G1637" s="617"/>
      <c r="H1637" s="1146">
        <v>-28491.174999999999</v>
      </c>
      <c r="I1637" s="1146">
        <v>-32119.479299999999</v>
      </c>
      <c r="K1637" s="2076"/>
      <c r="L1637" s="617"/>
      <c r="M1637" s="2076"/>
      <c r="N1637" s="617"/>
      <c r="O1637" s="2077" t="s">
        <v>2323</v>
      </c>
      <c r="P1637" s="617"/>
      <c r="Q1637" s="2076">
        <v>-2.7099999999999999E-2</v>
      </c>
      <c r="R1637" s="617"/>
      <c r="S1637" s="1114"/>
      <c r="T1637" s="1114"/>
      <c r="U1637" s="1114"/>
      <c r="V1637" s="1114"/>
      <c r="W1637" s="1114"/>
      <c r="X1637" s="1114"/>
      <c r="Y1637" s="1146">
        <v>-20569.170999999998</v>
      </c>
      <c r="Z1637" s="2114">
        <f>C1637-'Blocking-Step2'!C1637</f>
        <v>0</v>
      </c>
      <c r="AA1637" s="2114">
        <f>D1637-'Blocking-Step2'!D1637</f>
        <v>0</v>
      </c>
      <c r="AC1637" s="2114">
        <f>F1637-'Blocking-Step2'!F1637</f>
        <v>0</v>
      </c>
      <c r="AE1637" s="2114">
        <f>H1637-'Blocking-Step2'!H1637</f>
        <v>0</v>
      </c>
      <c r="AF1637" s="2114">
        <f>I1637-'Blocking-Step2'!I1637</f>
        <v>0</v>
      </c>
      <c r="AH1637" s="2136">
        <f>K1637-'Blocking-Step2'!K1637</f>
        <v>0</v>
      </c>
      <c r="AJ1637" s="2136">
        <f>M1637-'Blocking-Step2'!M1637</f>
        <v>0</v>
      </c>
      <c r="AL1637" s="2136" t="e">
        <f>O1637-'Blocking-Step2'!O1637</f>
        <v>#VALUE!</v>
      </c>
      <c r="AN1637" s="2137">
        <f>Q1637-'Blocking-Step2'!Q1637</f>
        <v>0</v>
      </c>
      <c r="AP1637" s="2127">
        <f>S1637-'Blocking-Step2'!S1637</f>
        <v>0</v>
      </c>
      <c r="AR1637" s="2127">
        <f>U1637-'Blocking-Step2'!U1637</f>
        <v>0</v>
      </c>
      <c r="AT1637" s="2127">
        <f>W1637-'Blocking-Step2'!W1637</f>
        <v>0</v>
      </c>
      <c r="AV1637" s="2128">
        <f>Y1637-'Blocking-Step2'!Y1637</f>
        <v>0</v>
      </c>
    </row>
    <row r="1638" spans="1:48">
      <c r="A1638" s="1116"/>
      <c r="C1638" s="1024"/>
      <c r="D1638" s="1024"/>
      <c r="F1638" s="2076"/>
      <c r="G1638" s="617"/>
      <c r="H1638" s="1146"/>
      <c r="I1638" s="1146"/>
      <c r="K1638" s="2076"/>
      <c r="L1638" s="617"/>
      <c r="M1638" s="2076"/>
      <c r="N1638" s="617"/>
      <c r="O1638" s="2077" t="s">
        <v>2324</v>
      </c>
      <c r="P1638" s="617"/>
      <c r="Q1638" s="2076">
        <v>-1.47E-2</v>
      </c>
      <c r="R1638" s="617"/>
      <c r="S1638" s="1114"/>
      <c r="T1638" s="1114"/>
      <c r="U1638" s="1114"/>
      <c r="V1638" s="1114"/>
      <c r="W1638" s="1114"/>
      <c r="X1638" s="1114"/>
      <c r="Y1638" s="1146">
        <v>-11157.447</v>
      </c>
      <c r="Z1638" s="2114">
        <f>C1638-'Blocking-Step2'!C1638</f>
        <v>0</v>
      </c>
      <c r="AA1638" s="2114">
        <f>D1638-'Blocking-Step2'!D1638</f>
        <v>0</v>
      </c>
      <c r="AC1638" s="2114">
        <f>F1638-'Blocking-Step2'!F1638</f>
        <v>0</v>
      </c>
      <c r="AE1638" s="2114">
        <f>H1638-'Blocking-Step2'!H1638</f>
        <v>0</v>
      </c>
      <c r="AF1638" s="2114">
        <f>I1638-'Blocking-Step2'!I1638</f>
        <v>0</v>
      </c>
      <c r="AH1638" s="2136">
        <f>K1638-'Blocking-Step2'!K1638</f>
        <v>0</v>
      </c>
      <c r="AJ1638" s="2136">
        <f>M1638-'Blocking-Step2'!M1638</f>
        <v>0</v>
      </c>
      <c r="AL1638" s="2136" t="e">
        <f>O1638-'Blocking-Step2'!O1638</f>
        <v>#VALUE!</v>
      </c>
      <c r="AN1638" s="2137">
        <f>Q1638-'Blocking-Step2'!Q1638</f>
        <v>0</v>
      </c>
      <c r="AP1638" s="2127">
        <f>S1638-'Blocking-Step2'!S1638</f>
        <v>0</v>
      </c>
      <c r="AR1638" s="2127">
        <f>U1638-'Blocking-Step2'!U1638</f>
        <v>0</v>
      </c>
      <c r="AT1638" s="2127">
        <f>W1638-'Blocking-Step2'!W1638</f>
        <v>0</v>
      </c>
      <c r="AV1638" s="2128">
        <f>Y1638-'Blocking-Step2'!Y1638</f>
        <v>0</v>
      </c>
    </row>
    <row r="1639" spans="1:48" ht="16.5" thickBot="1">
      <c r="A1639" s="1116" t="s">
        <v>1364</v>
      </c>
      <c r="C1639" s="1138">
        <v>8265448.4662996754</v>
      </c>
      <c r="D1639" s="1138">
        <v>9300429.5822001491</v>
      </c>
      <c r="F1639" s="1145"/>
      <c r="H1639" s="1149">
        <v>657959.19499999995</v>
      </c>
      <c r="I1639" s="1149">
        <v>738719.52069999999</v>
      </c>
      <c r="K1639" s="1145"/>
      <c r="M1639" s="1145"/>
      <c r="O1639" s="1145"/>
      <c r="Q1639" s="1145"/>
      <c r="S1639" s="1149">
        <v>224860</v>
      </c>
      <c r="U1639" s="1149">
        <v>352097</v>
      </c>
      <c r="W1639" s="1149">
        <v>188254</v>
      </c>
      <c r="Y1639" s="1149">
        <v>765210</v>
      </c>
      <c r="Z1639" s="2114">
        <f>C1639-'Blocking-Step2'!C1639</f>
        <v>0</v>
      </c>
      <c r="AA1639" s="2114">
        <f>D1639-'Blocking-Step2'!D1639</f>
        <v>0</v>
      </c>
      <c r="AC1639" s="2114">
        <f>F1639-'Blocking-Step2'!F1639</f>
        <v>0</v>
      </c>
      <c r="AE1639" s="2114">
        <f>H1639-'Blocking-Step2'!H1639</f>
        <v>0</v>
      </c>
      <c r="AF1639" s="2114">
        <f>I1639-'Blocking-Step2'!I1639</f>
        <v>0</v>
      </c>
      <c r="AH1639" s="2136">
        <f>K1639-'Blocking-Step2'!K1639</f>
        <v>0</v>
      </c>
      <c r="AJ1639" s="2136">
        <f>M1639-'Blocking-Step2'!M1639</f>
        <v>0</v>
      </c>
      <c r="AL1639" s="2136">
        <f>O1639-'Blocking-Step2'!O1639</f>
        <v>0</v>
      </c>
      <c r="AN1639" s="2137">
        <f>Q1639-'Blocking-Step2'!Q1639</f>
        <v>0</v>
      </c>
      <c r="AP1639" s="2127">
        <f>S1639-'Blocking-Step2'!S1639</f>
        <v>-114166</v>
      </c>
      <c r="AR1639" s="2127">
        <f>U1639-'Blocking-Step2'!U1639</f>
        <v>114167</v>
      </c>
      <c r="AT1639" s="2127">
        <f>W1639-'Blocking-Step2'!W1639</f>
        <v>0</v>
      </c>
      <c r="AV1639" s="2128">
        <f>Y1639-'Blocking-Step2'!Y1639</f>
        <v>0</v>
      </c>
    </row>
    <row r="1640" spans="1:48" ht="16.5" thickTop="1">
      <c r="C1640" s="1105"/>
      <c r="D1640" s="1105"/>
      <c r="Z1640" s="2114">
        <f>C1640-'Blocking-Step2'!C1640</f>
        <v>0</v>
      </c>
      <c r="AA1640" s="2114">
        <f>D1640-'Blocking-Step2'!D1640</f>
        <v>0</v>
      </c>
      <c r="AC1640" s="2114">
        <f>F1640-'Blocking-Step2'!F1640</f>
        <v>0</v>
      </c>
      <c r="AE1640" s="2114">
        <f>H1640-'Blocking-Step2'!H1640</f>
        <v>0</v>
      </c>
      <c r="AF1640" s="2114">
        <f>I1640-'Blocking-Step2'!I1640</f>
        <v>0</v>
      </c>
      <c r="AH1640" s="2136">
        <f>K1640-'Blocking-Step2'!K1640</f>
        <v>0</v>
      </c>
      <c r="AJ1640" s="2136">
        <f>M1640-'Blocking-Step2'!M1640</f>
        <v>0</v>
      </c>
      <c r="AL1640" s="2136">
        <f>O1640-'Blocking-Step2'!O1640</f>
        <v>0</v>
      </c>
      <c r="AN1640" s="2137">
        <f>Q1640-'Blocking-Step2'!Q1640</f>
        <v>0</v>
      </c>
      <c r="AP1640" s="2127">
        <f>S1640-'Blocking-Step2'!S1640</f>
        <v>0</v>
      </c>
      <c r="AR1640" s="2127">
        <f>U1640-'Blocking-Step2'!U1640</f>
        <v>0</v>
      </c>
      <c r="AT1640" s="2127">
        <f>W1640-'Blocking-Step2'!W1640</f>
        <v>0</v>
      </c>
      <c r="AV1640" s="2128">
        <f>Y1640-'Blocking-Step2'!Y1640</f>
        <v>0</v>
      </c>
    </row>
    <row r="1641" spans="1:48">
      <c r="A1641" s="1115" t="s">
        <v>311</v>
      </c>
      <c r="C1641" s="1105"/>
      <c r="D1641" s="1105"/>
      <c r="Z1641" s="2114">
        <f>C1641-'Blocking-Step2'!C1641</f>
        <v>0</v>
      </c>
      <c r="AA1641" s="2114">
        <f>D1641-'Blocking-Step2'!D1641</f>
        <v>0</v>
      </c>
      <c r="AC1641" s="2114">
        <f>F1641-'Blocking-Step2'!F1641</f>
        <v>0</v>
      </c>
      <c r="AE1641" s="2114">
        <f>H1641-'Blocking-Step2'!H1641</f>
        <v>0</v>
      </c>
      <c r="AF1641" s="2114">
        <f>I1641-'Blocking-Step2'!I1641</f>
        <v>0</v>
      </c>
      <c r="AH1641" s="2136">
        <f>K1641-'Blocking-Step2'!K1641</f>
        <v>0</v>
      </c>
      <c r="AJ1641" s="2136">
        <f>M1641-'Blocking-Step2'!M1641</f>
        <v>0</v>
      </c>
      <c r="AL1641" s="2136">
        <f>O1641-'Blocking-Step2'!O1641</f>
        <v>0</v>
      </c>
      <c r="AN1641" s="2137">
        <f>Q1641-'Blocking-Step2'!Q1641</f>
        <v>0</v>
      </c>
      <c r="AP1641" s="2127">
        <f>S1641-'Blocking-Step2'!S1641</f>
        <v>0</v>
      </c>
      <c r="AR1641" s="2127">
        <f>U1641-'Blocking-Step2'!U1641</f>
        <v>0</v>
      </c>
      <c r="AT1641" s="2127">
        <f>W1641-'Blocking-Step2'!W1641</f>
        <v>0</v>
      </c>
      <c r="AV1641" s="2128">
        <f>Y1641-'Blocking-Step2'!Y1641</f>
        <v>0</v>
      </c>
    </row>
    <row r="1642" spans="1:48">
      <c r="A1642" s="1116" t="s">
        <v>286</v>
      </c>
      <c r="C1642" s="1105">
        <v>3</v>
      </c>
      <c r="D1642" s="1105">
        <v>3</v>
      </c>
      <c r="F1642" s="1142">
        <v>125</v>
      </c>
      <c r="G1642" s="617"/>
      <c r="H1642" s="1146">
        <v>375</v>
      </c>
      <c r="I1642" s="1146">
        <v>375</v>
      </c>
      <c r="K1642" s="1142">
        <v>124</v>
      </c>
      <c r="L1642" s="617"/>
      <c r="M1642" s="1142">
        <v>0</v>
      </c>
      <c r="N1642" s="617"/>
      <c r="O1642" s="1142">
        <v>0</v>
      </c>
      <c r="P1642" s="617"/>
      <c r="Q1642" s="1142">
        <v>124</v>
      </c>
      <c r="R1642" s="617"/>
      <c r="S1642" s="1146">
        <v>372</v>
      </c>
      <c r="T1642" s="1114"/>
      <c r="U1642" s="1146">
        <v>0</v>
      </c>
      <c r="V1642" s="1114"/>
      <c r="W1642" s="1146">
        <v>0</v>
      </c>
      <c r="X1642" s="1114"/>
      <c r="Y1642" s="1146">
        <v>372</v>
      </c>
      <c r="Z1642" s="2114">
        <f>C1642-'Blocking-Step2'!C1642</f>
        <v>0</v>
      </c>
      <c r="AA1642" s="2114">
        <f>D1642-'Blocking-Step2'!D1642</f>
        <v>0</v>
      </c>
      <c r="AC1642" s="2114">
        <f>F1642-'Blocking-Step2'!F1642</f>
        <v>0</v>
      </c>
      <c r="AE1642" s="2114">
        <f>H1642-'Blocking-Step2'!H1642</f>
        <v>0</v>
      </c>
      <c r="AF1642" s="2114">
        <f>I1642-'Blocking-Step2'!I1642</f>
        <v>0</v>
      </c>
      <c r="AH1642" s="2136">
        <f>K1642-'Blocking-Step2'!K1642</f>
        <v>0</v>
      </c>
      <c r="AJ1642" s="2136">
        <f>M1642-'Blocking-Step2'!M1642</f>
        <v>0</v>
      </c>
      <c r="AL1642" s="2136">
        <f>O1642-'Blocking-Step2'!O1642</f>
        <v>0</v>
      </c>
      <c r="AN1642" s="2137">
        <f>Q1642-'Blocking-Step2'!Q1642</f>
        <v>0</v>
      </c>
      <c r="AP1642" s="2127">
        <f>S1642-'Blocking-Step2'!S1642</f>
        <v>0</v>
      </c>
      <c r="AR1642" s="2127">
        <f>U1642-'Blocking-Step2'!U1642</f>
        <v>0</v>
      </c>
      <c r="AT1642" s="2127">
        <f>W1642-'Blocking-Step2'!W1642</f>
        <v>0</v>
      </c>
      <c r="AV1642" s="2128">
        <f>Y1642-'Blocking-Step2'!Y1642</f>
        <v>0</v>
      </c>
    </row>
    <row r="1643" spans="1:48">
      <c r="A1643" s="1116" t="s">
        <v>287</v>
      </c>
      <c r="C1643" s="1105">
        <v>251.37552631578899</v>
      </c>
      <c r="D1643" s="1105">
        <v>266</v>
      </c>
      <c r="F1643" s="1142">
        <v>38</v>
      </c>
      <c r="G1643" s="617"/>
      <c r="H1643" s="1146">
        <v>9552</v>
      </c>
      <c r="I1643" s="1146">
        <v>10108</v>
      </c>
      <c r="K1643" s="1142">
        <v>38</v>
      </c>
      <c r="L1643" s="617"/>
      <c r="M1643" s="1142">
        <v>0</v>
      </c>
      <c r="N1643" s="617"/>
      <c r="O1643" s="1142">
        <v>0</v>
      </c>
      <c r="P1643" s="617"/>
      <c r="Q1643" s="1142">
        <v>38</v>
      </c>
      <c r="R1643" s="617"/>
      <c r="S1643" s="1146">
        <v>10108</v>
      </c>
      <c r="T1643" s="1114"/>
      <c r="U1643" s="1146">
        <v>0</v>
      </c>
      <c r="V1643" s="1114"/>
      <c r="W1643" s="1146">
        <v>0</v>
      </c>
      <c r="X1643" s="1114"/>
      <c r="Y1643" s="1146">
        <v>10108</v>
      </c>
      <c r="Z1643" s="2114">
        <f>C1643-'Blocking-Step2'!C1643</f>
        <v>0</v>
      </c>
      <c r="AA1643" s="2114">
        <f>D1643-'Blocking-Step2'!D1643</f>
        <v>0</v>
      </c>
      <c r="AC1643" s="2114">
        <f>F1643-'Blocking-Step2'!F1643</f>
        <v>0</v>
      </c>
      <c r="AE1643" s="2114">
        <f>H1643-'Blocking-Step2'!H1643</f>
        <v>0</v>
      </c>
      <c r="AF1643" s="2114">
        <f>I1643-'Blocking-Step2'!I1643</f>
        <v>0</v>
      </c>
      <c r="AH1643" s="2136">
        <f>K1643-'Blocking-Step2'!K1643</f>
        <v>0</v>
      </c>
      <c r="AJ1643" s="2136">
        <f>M1643-'Blocking-Step2'!M1643</f>
        <v>0</v>
      </c>
      <c r="AL1643" s="2136">
        <f>O1643-'Blocking-Step2'!O1643</f>
        <v>0</v>
      </c>
      <c r="AN1643" s="2137">
        <f>Q1643-'Blocking-Step2'!Q1643</f>
        <v>0</v>
      </c>
      <c r="AP1643" s="2127">
        <f>S1643-'Blocking-Step2'!S1643</f>
        <v>0</v>
      </c>
      <c r="AR1643" s="2127">
        <f>U1643-'Blocking-Step2'!U1643</f>
        <v>0</v>
      </c>
      <c r="AT1643" s="2127">
        <f>W1643-'Blocking-Step2'!W1643</f>
        <v>0</v>
      </c>
      <c r="AV1643" s="2128">
        <f>Y1643-'Blocking-Step2'!Y1643</f>
        <v>0</v>
      </c>
    </row>
    <row r="1644" spans="1:48">
      <c r="A1644" s="1116" t="s">
        <v>285</v>
      </c>
      <c r="C1644" s="1105">
        <v>1131.199285714287</v>
      </c>
      <c r="D1644" s="1105">
        <v>1196</v>
      </c>
      <c r="F1644" s="1142">
        <v>14</v>
      </c>
      <c r="G1644" s="617"/>
      <c r="H1644" s="1146">
        <v>15837</v>
      </c>
      <c r="I1644" s="1146">
        <v>16744</v>
      </c>
      <c r="K1644" s="1142">
        <v>14</v>
      </c>
      <c r="L1644" s="617"/>
      <c r="M1644" s="1142">
        <v>0</v>
      </c>
      <c r="N1644" s="617"/>
      <c r="O1644" s="1142">
        <v>0</v>
      </c>
      <c r="P1644" s="617"/>
      <c r="Q1644" s="1142">
        <v>14</v>
      </c>
      <c r="R1644" s="617"/>
      <c r="S1644" s="1146">
        <v>16744</v>
      </c>
      <c r="T1644" s="1114"/>
      <c r="U1644" s="1146">
        <v>0</v>
      </c>
      <c r="V1644" s="1114"/>
      <c r="W1644" s="1146">
        <v>0</v>
      </c>
      <c r="X1644" s="1114"/>
      <c r="Y1644" s="1146">
        <v>16744</v>
      </c>
      <c r="Z1644" s="2114">
        <f>C1644-'Blocking-Step2'!C1644</f>
        <v>0</v>
      </c>
      <c r="AA1644" s="2114">
        <f>D1644-'Blocking-Step2'!D1644</f>
        <v>0</v>
      </c>
      <c r="AC1644" s="2114">
        <f>F1644-'Blocking-Step2'!F1644</f>
        <v>0</v>
      </c>
      <c r="AE1644" s="2114">
        <f>H1644-'Blocking-Step2'!H1644</f>
        <v>0</v>
      </c>
      <c r="AF1644" s="2114">
        <f>I1644-'Blocking-Step2'!I1644</f>
        <v>0</v>
      </c>
      <c r="AH1644" s="2136">
        <f>K1644-'Blocking-Step2'!K1644</f>
        <v>0</v>
      </c>
      <c r="AJ1644" s="2136">
        <f>M1644-'Blocking-Step2'!M1644</f>
        <v>0</v>
      </c>
      <c r="AL1644" s="2136">
        <f>O1644-'Blocking-Step2'!O1644</f>
        <v>0</v>
      </c>
      <c r="AN1644" s="2137">
        <f>Q1644-'Blocking-Step2'!Q1644</f>
        <v>0</v>
      </c>
      <c r="AP1644" s="2127">
        <f>S1644-'Blocking-Step2'!S1644</f>
        <v>0</v>
      </c>
      <c r="AR1644" s="2127">
        <f>U1644-'Blocking-Step2'!U1644</f>
        <v>0</v>
      </c>
      <c r="AT1644" s="2127">
        <f>W1644-'Blocking-Step2'!W1644</f>
        <v>0</v>
      </c>
      <c r="AV1644" s="2128">
        <f>Y1644-'Blocking-Step2'!Y1644</f>
        <v>0</v>
      </c>
    </row>
    <row r="1645" spans="1:48">
      <c r="A1645" s="1116" t="s">
        <v>180</v>
      </c>
      <c r="C1645" s="1105">
        <v>56614.135061391513</v>
      </c>
      <c r="D1645" s="1105">
        <v>63002</v>
      </c>
      <c r="F1645" s="1142">
        <v>7.33</v>
      </c>
      <c r="G1645" s="617"/>
      <c r="H1645" s="1146">
        <v>414982</v>
      </c>
      <c r="I1645" s="1146">
        <v>461805</v>
      </c>
      <c r="K1645" s="1142">
        <v>7.29</v>
      </c>
      <c r="L1645" s="617"/>
      <c r="M1645" s="1142">
        <v>0</v>
      </c>
      <c r="N1645" s="617"/>
      <c r="O1645" s="1142">
        <v>0</v>
      </c>
      <c r="P1645" s="617"/>
      <c r="Q1645" s="1142">
        <v>7.29</v>
      </c>
      <c r="R1645" s="617"/>
      <c r="S1645" s="1146">
        <v>459285</v>
      </c>
      <c r="T1645" s="1114"/>
      <c r="U1645" s="1146">
        <v>0</v>
      </c>
      <c r="V1645" s="1114"/>
      <c r="W1645" s="1146">
        <v>0</v>
      </c>
      <c r="X1645" s="1114"/>
      <c r="Y1645" s="1146">
        <v>459285</v>
      </c>
      <c r="Z1645" s="2114">
        <f>C1645-'Blocking-Step2'!C1645</f>
        <v>0</v>
      </c>
      <c r="AA1645" s="2114">
        <f>D1645-'Blocking-Step2'!D1645</f>
        <v>0</v>
      </c>
      <c r="AC1645" s="2114">
        <f>F1645-'Blocking-Step2'!F1645</f>
        <v>0</v>
      </c>
      <c r="AE1645" s="2114">
        <f>H1645-'Blocking-Step2'!H1645</f>
        <v>0</v>
      </c>
      <c r="AF1645" s="2114">
        <f>I1645-'Blocking-Step2'!I1645</f>
        <v>0</v>
      </c>
      <c r="AH1645" s="2136">
        <f>K1645-'Blocking-Step2'!K1645</f>
        <v>0</v>
      </c>
      <c r="AJ1645" s="2136">
        <f>M1645-'Blocking-Step2'!M1645</f>
        <v>0</v>
      </c>
      <c r="AL1645" s="2136">
        <f>O1645-'Blocking-Step2'!O1645</f>
        <v>0</v>
      </c>
      <c r="AN1645" s="2137">
        <f>Q1645-'Blocking-Step2'!Q1645</f>
        <v>0</v>
      </c>
      <c r="AP1645" s="2127">
        <f>S1645-'Blocking-Step2'!S1645</f>
        <v>0</v>
      </c>
      <c r="AR1645" s="2127">
        <f>U1645-'Blocking-Step2'!U1645</f>
        <v>0</v>
      </c>
      <c r="AT1645" s="2127">
        <f>W1645-'Blocking-Step2'!W1645</f>
        <v>0</v>
      </c>
      <c r="AV1645" s="2128">
        <f>Y1645-'Blocking-Step2'!Y1645</f>
        <v>0</v>
      </c>
    </row>
    <row r="1646" spans="1:48">
      <c r="A1646" s="1116" t="s">
        <v>284</v>
      </c>
      <c r="C1646" s="1105">
        <v>2123.3268292682901</v>
      </c>
      <c r="D1646" s="1105">
        <v>2363</v>
      </c>
      <c r="F1646" s="1142">
        <v>-2.0499999999999998</v>
      </c>
      <c r="G1646" s="617"/>
      <c r="H1646" s="1146">
        <v>-4353</v>
      </c>
      <c r="I1646" s="1146">
        <v>-4844</v>
      </c>
      <c r="K1646" s="1142">
        <v>-2.0499999999999998</v>
      </c>
      <c r="L1646" s="617"/>
      <c r="M1646" s="1142">
        <v>0</v>
      </c>
      <c r="N1646" s="617"/>
      <c r="O1646" s="1142">
        <v>0</v>
      </c>
      <c r="P1646" s="617"/>
      <c r="Q1646" s="1142">
        <v>-2.0499999999999998</v>
      </c>
      <c r="R1646" s="617"/>
      <c r="S1646" s="1146">
        <v>-4844</v>
      </c>
      <c r="T1646" s="1114"/>
      <c r="U1646" s="1146">
        <v>0</v>
      </c>
      <c r="V1646" s="1114"/>
      <c r="W1646" s="1146">
        <v>0</v>
      </c>
      <c r="X1646" s="1114"/>
      <c r="Y1646" s="1146">
        <v>-4844</v>
      </c>
      <c r="Z1646" s="2114">
        <f>C1646-'Blocking-Step2'!C1646</f>
        <v>0</v>
      </c>
      <c r="AA1646" s="2114">
        <f>D1646-'Blocking-Step2'!D1646</f>
        <v>0</v>
      </c>
      <c r="AC1646" s="2114">
        <f>F1646-'Blocking-Step2'!F1646</f>
        <v>0</v>
      </c>
      <c r="AE1646" s="2114">
        <f>H1646-'Blocking-Step2'!H1646</f>
        <v>0</v>
      </c>
      <c r="AF1646" s="2114">
        <f>I1646-'Blocking-Step2'!I1646</f>
        <v>0</v>
      </c>
      <c r="AH1646" s="2136">
        <f>K1646-'Blocking-Step2'!K1646</f>
        <v>0</v>
      </c>
      <c r="AJ1646" s="2136">
        <f>M1646-'Blocking-Step2'!M1646</f>
        <v>0</v>
      </c>
      <c r="AL1646" s="2136">
        <f>O1646-'Blocking-Step2'!O1646</f>
        <v>0</v>
      </c>
      <c r="AN1646" s="2137">
        <f>Q1646-'Blocking-Step2'!Q1646</f>
        <v>0</v>
      </c>
      <c r="AP1646" s="2127">
        <f>S1646-'Blocking-Step2'!S1646</f>
        <v>0</v>
      </c>
      <c r="AR1646" s="2127">
        <f>U1646-'Blocking-Step2'!U1646</f>
        <v>0</v>
      </c>
      <c r="AT1646" s="2127">
        <f>W1646-'Blocking-Step2'!W1646</f>
        <v>0</v>
      </c>
      <c r="AV1646" s="2128">
        <f>Y1646-'Blocking-Step2'!Y1646</f>
        <v>0</v>
      </c>
    </row>
    <row r="1647" spans="1:48">
      <c r="A1647" s="1116" t="s">
        <v>248</v>
      </c>
      <c r="C1647" s="1105">
        <v>3950193</v>
      </c>
      <c r="D1647" s="1105">
        <v>4395923</v>
      </c>
      <c r="F1647" s="1922">
        <v>14.416399999999999</v>
      </c>
      <c r="G1647" s="1921" t="s">
        <v>495</v>
      </c>
      <c r="H1647" s="1146">
        <v>569476</v>
      </c>
      <c r="I1647" s="1146">
        <v>633734</v>
      </c>
      <c r="K1647" s="1922">
        <v>0.15570000000000001</v>
      </c>
      <c r="L1647" s="1921" t="s">
        <v>495</v>
      </c>
      <c r="M1647" s="1922">
        <v>7.3369</v>
      </c>
      <c r="N1647" s="1921" t="s">
        <v>495</v>
      </c>
      <c r="O1647" s="1922">
        <v>6.8456000000000001</v>
      </c>
      <c r="P1647" s="1921" t="s">
        <v>495</v>
      </c>
      <c r="Q1647" s="1922">
        <v>14.338230347327</v>
      </c>
      <c r="R1647" s="1921" t="s">
        <v>495</v>
      </c>
      <c r="S1647" s="1146">
        <v>14756.717583711998</v>
      </c>
      <c r="T1647" s="1648"/>
      <c r="U1647" s="1146">
        <v>409846.5845804101</v>
      </c>
      <c r="V1647" s="1648"/>
      <c r="W1647" s="1648">
        <v>205694.69783587795</v>
      </c>
      <c r="X1647" s="1648"/>
      <c r="Y1647" s="1146">
        <v>630298</v>
      </c>
      <c r="Z1647" s="2114">
        <f>C1647-'Blocking-Step2'!C1647</f>
        <v>0</v>
      </c>
      <c r="AA1647" s="2114">
        <f>D1647-'Blocking-Step2'!D1647</f>
        <v>0</v>
      </c>
      <c r="AC1647" s="2114">
        <f>F1647-'Blocking-Step2'!F1647</f>
        <v>0</v>
      </c>
      <c r="AE1647" s="2114">
        <f>H1647-'Blocking-Step2'!H1647</f>
        <v>0</v>
      </c>
      <c r="AF1647" s="2114">
        <f>I1647-'Blocking-Step2'!I1647</f>
        <v>0</v>
      </c>
      <c r="AH1647" s="2136">
        <f>K1647-'Blocking-Step2'!K1647</f>
        <v>-1.3360000000000001</v>
      </c>
      <c r="AJ1647" s="2136">
        <f>M1647-'Blocking-Step2'!M1647</f>
        <v>1.3361000000000001</v>
      </c>
      <c r="AL1647" s="2136">
        <f>O1647-'Blocking-Step2'!O1647</f>
        <v>-9.9999999999766942E-5</v>
      </c>
      <c r="AN1647" s="2137">
        <f>Q1647-'Blocking-Step2'!Q1647</f>
        <v>0</v>
      </c>
      <c r="AP1647" s="2127">
        <f>S1647-'Blocking-Step2'!S1647</f>
        <v>-126654.75923402976</v>
      </c>
      <c r="AR1647" s="2127">
        <f>U1647-'Blocking-Step2'!U1647</f>
        <v>126654.75923402968</v>
      </c>
      <c r="AT1647" s="2127">
        <f>W1647-'Blocking-Step2'!W1647</f>
        <v>0</v>
      </c>
      <c r="AV1647" s="2128">
        <f>Y1647-'Blocking-Step2'!Y1647</f>
        <v>0</v>
      </c>
    </row>
    <row r="1648" spans="1:48">
      <c r="A1648" s="1116" t="s">
        <v>249</v>
      </c>
      <c r="C1648" s="1940">
        <v>12067058.279081918</v>
      </c>
      <c r="D1648" s="1940">
        <v>13428677</v>
      </c>
      <c r="F1648" s="1106">
        <v>4.1542000000000003</v>
      </c>
      <c r="G1648" s="1921" t="s">
        <v>495</v>
      </c>
      <c r="H1648" s="1148">
        <v>501290</v>
      </c>
      <c r="I1648" s="1148">
        <v>557854</v>
      </c>
      <c r="K1648" s="1922">
        <v>0.15570000000000001</v>
      </c>
      <c r="L1648" s="1921" t="s">
        <v>495</v>
      </c>
      <c r="M1648" s="1922">
        <v>3.3369</v>
      </c>
      <c r="N1648" s="1921" t="s">
        <v>495</v>
      </c>
      <c r="O1648" s="1922">
        <v>0.6391</v>
      </c>
      <c r="P1648" s="1921" t="s">
        <v>495</v>
      </c>
      <c r="Q1648" s="1922">
        <v>4.1316747945990002</v>
      </c>
      <c r="R1648" s="1921" t="s">
        <v>495</v>
      </c>
      <c r="S1648" s="1146">
        <v>12989.815706623445</v>
      </c>
      <c r="T1648" s="1648"/>
      <c r="U1648" s="1146">
        <v>360773.42887993355</v>
      </c>
      <c r="V1648" s="1648"/>
      <c r="W1648" s="1648">
        <v>181065.75541344297</v>
      </c>
      <c r="X1648" s="1648"/>
      <c r="Y1648" s="1146">
        <v>554829</v>
      </c>
      <c r="Z1648" s="2114">
        <f>C1648-'Blocking-Step2'!C1648</f>
        <v>0</v>
      </c>
      <c r="AA1648" s="2114">
        <f>D1648-'Blocking-Step2'!D1648</f>
        <v>0</v>
      </c>
      <c r="AC1648" s="2114">
        <f>F1648-'Blocking-Step2'!F1648</f>
        <v>0</v>
      </c>
      <c r="AE1648" s="2114">
        <f>H1648-'Blocking-Step2'!H1648</f>
        <v>0</v>
      </c>
      <c r="AF1648" s="2114">
        <f>I1648-'Blocking-Step2'!I1648</f>
        <v>0</v>
      </c>
      <c r="AH1648" s="2136">
        <f>K1648-'Blocking-Step2'!K1648</f>
        <v>-1.3360000000000001</v>
      </c>
      <c r="AJ1648" s="2136">
        <f>M1648-'Blocking-Step2'!M1648</f>
        <v>1.3361000000000001</v>
      </c>
      <c r="AL1648" s="2136">
        <f>O1648-'Blocking-Step2'!O1648</f>
        <v>-9.9999999999988987E-5</v>
      </c>
      <c r="AN1648" s="2137">
        <f>Q1648-'Blocking-Step2'!Q1648</f>
        <v>0</v>
      </c>
      <c r="AP1648" s="2127">
        <f>S1648-'Blocking-Step2'!S1648</f>
        <v>-111489.69758916815</v>
      </c>
      <c r="AR1648" s="2127">
        <f>U1648-'Blocking-Step2'!U1648</f>
        <v>111489.69758916806</v>
      </c>
      <c r="AT1648" s="2127">
        <f>W1648-'Blocking-Step2'!W1648</f>
        <v>0</v>
      </c>
      <c r="AV1648" s="2128">
        <f>Y1648-'Blocking-Step2'!Y1648</f>
        <v>0</v>
      </c>
    </row>
    <row r="1649" spans="1:48">
      <c r="A1649" s="1116" t="s">
        <v>308</v>
      </c>
      <c r="C1649" s="1940">
        <v>16017251.279081918</v>
      </c>
      <c r="D1649" s="1940">
        <v>17824600</v>
      </c>
      <c r="F1649" s="2088"/>
      <c r="H1649" s="1147">
        <v>1507159</v>
      </c>
      <c r="I1649" s="1147">
        <v>1675776</v>
      </c>
      <c r="K1649" s="2088"/>
      <c r="M1649" s="2088"/>
      <c r="O1649" s="2088"/>
      <c r="Q1649" s="2088"/>
      <c r="Y1649" s="1147">
        <v>1666792</v>
      </c>
      <c r="Z1649" s="2114">
        <f>C1649-'Blocking-Step2'!C1649</f>
        <v>0</v>
      </c>
      <c r="AA1649" s="2114">
        <f>D1649-'Blocking-Step2'!D1649</f>
        <v>0</v>
      </c>
      <c r="AC1649" s="2114">
        <f>F1649-'Blocking-Step2'!F1649</f>
        <v>0</v>
      </c>
      <c r="AE1649" s="2114">
        <f>H1649-'Blocking-Step2'!H1649</f>
        <v>0</v>
      </c>
      <c r="AF1649" s="2114">
        <f>I1649-'Blocking-Step2'!I1649</f>
        <v>0</v>
      </c>
      <c r="AH1649" s="2136">
        <f>K1649-'Blocking-Step2'!K1649</f>
        <v>0</v>
      </c>
      <c r="AJ1649" s="2136">
        <f>M1649-'Blocking-Step2'!M1649</f>
        <v>0</v>
      </c>
      <c r="AL1649" s="2136">
        <f>O1649-'Blocking-Step2'!O1649</f>
        <v>0</v>
      </c>
      <c r="AN1649" s="2137">
        <f>Q1649-'Blocking-Step2'!Q1649</f>
        <v>0</v>
      </c>
      <c r="AP1649" s="2127">
        <f>S1649-'Blocking-Step2'!S1649</f>
        <v>0</v>
      </c>
      <c r="AR1649" s="2127">
        <f>U1649-'Blocking-Step2'!U1649</f>
        <v>0</v>
      </c>
      <c r="AT1649" s="2127">
        <f>W1649-'Blocking-Step2'!W1649</f>
        <v>0</v>
      </c>
      <c r="AV1649" s="2128">
        <f>Y1649-'Blocking-Step2'!Y1649</f>
        <v>0</v>
      </c>
    </row>
    <row r="1650" spans="1:48">
      <c r="A1650" s="1116" t="s">
        <v>34</v>
      </c>
      <c r="C1650" s="1105"/>
      <c r="D1650" s="1105"/>
      <c r="Z1650" s="2114">
        <f>C1650-'Blocking-Step2'!C1650</f>
        <v>0</v>
      </c>
      <c r="AA1650" s="2114">
        <f>D1650-'Blocking-Step2'!D1650</f>
        <v>0</v>
      </c>
      <c r="AC1650" s="2114">
        <f>F1650-'Blocking-Step2'!F1650</f>
        <v>0</v>
      </c>
      <c r="AE1650" s="2114">
        <f>H1650-'Blocking-Step2'!H1650</f>
        <v>0</v>
      </c>
      <c r="AF1650" s="2114">
        <f>I1650-'Blocking-Step2'!I1650</f>
        <v>0</v>
      </c>
      <c r="AH1650" s="2136">
        <f>K1650-'Blocking-Step2'!K1650</f>
        <v>0</v>
      </c>
      <c r="AJ1650" s="2136">
        <f>M1650-'Blocking-Step2'!M1650</f>
        <v>0</v>
      </c>
      <c r="AL1650" s="2136">
        <f>O1650-'Blocking-Step2'!O1650</f>
        <v>0</v>
      </c>
      <c r="AN1650" s="2137">
        <f>Q1650-'Blocking-Step2'!Q1650</f>
        <v>0</v>
      </c>
      <c r="AP1650" s="2127">
        <f>S1650-'Blocking-Step2'!S1650</f>
        <v>0</v>
      </c>
      <c r="AR1650" s="2127">
        <f>U1650-'Blocking-Step2'!U1650</f>
        <v>0</v>
      </c>
      <c r="AT1650" s="2127">
        <f>W1650-'Blocking-Step2'!W1650</f>
        <v>0</v>
      </c>
      <c r="AV1650" s="2128">
        <f>Y1650-'Blocking-Step2'!Y1650</f>
        <v>0</v>
      </c>
    </row>
    <row r="1651" spans="1:48">
      <c r="A1651" s="1116" t="s">
        <v>927</v>
      </c>
      <c r="C1651" s="1024">
        <v>572.07357142857097</v>
      </c>
      <c r="D1651" s="1105">
        <v>605</v>
      </c>
      <c r="F1651" s="617">
        <v>14</v>
      </c>
      <c r="G1651" s="617"/>
      <c r="H1651" s="1114">
        <v>8009</v>
      </c>
      <c r="I1651" s="1114">
        <v>8470</v>
      </c>
      <c r="K1651" s="617">
        <v>14</v>
      </c>
      <c r="L1651" s="617"/>
      <c r="M1651" s="617">
        <v>0</v>
      </c>
      <c r="N1651" s="617"/>
      <c r="O1651" s="617">
        <v>0</v>
      </c>
      <c r="P1651" s="617"/>
      <c r="Q1651" s="617">
        <v>14</v>
      </c>
      <c r="R1651" s="617"/>
      <c r="S1651" s="1146">
        <v>85</v>
      </c>
      <c r="T1651" s="1114"/>
      <c r="U1651" s="1146">
        <v>0</v>
      </c>
      <c r="V1651" s="1114"/>
      <c r="W1651" s="1146">
        <v>0</v>
      </c>
      <c r="X1651" s="1114"/>
      <c r="Y1651" s="1146">
        <v>85</v>
      </c>
      <c r="Z1651" s="2114">
        <f>C1651-'Blocking-Step2'!C1651</f>
        <v>0</v>
      </c>
      <c r="AA1651" s="2114">
        <f>D1651-'Blocking-Step2'!D1651</f>
        <v>0</v>
      </c>
      <c r="AC1651" s="2114">
        <f>F1651-'Blocking-Step2'!F1651</f>
        <v>0</v>
      </c>
      <c r="AE1651" s="2114">
        <f>H1651-'Blocking-Step2'!H1651</f>
        <v>0</v>
      </c>
      <c r="AF1651" s="2114">
        <f>I1651-'Blocking-Step2'!I1651</f>
        <v>0</v>
      </c>
      <c r="AH1651" s="2136">
        <f>K1651-'Blocking-Step2'!K1651</f>
        <v>0</v>
      </c>
      <c r="AJ1651" s="2136">
        <f>M1651-'Blocking-Step2'!M1651</f>
        <v>0</v>
      </c>
      <c r="AL1651" s="2136">
        <f>O1651-'Blocking-Step2'!O1651</f>
        <v>0</v>
      </c>
      <c r="AN1651" s="2137">
        <f>Q1651-'Blocking-Step2'!Q1651</f>
        <v>0</v>
      </c>
      <c r="AP1651" s="2127">
        <f>S1651-'Blocking-Step2'!S1651</f>
        <v>0</v>
      </c>
      <c r="AR1651" s="2127">
        <f>U1651-'Blocking-Step2'!U1651</f>
        <v>0</v>
      </c>
      <c r="AT1651" s="2127">
        <f>W1651-'Blocking-Step2'!W1651</f>
        <v>0</v>
      </c>
      <c r="AV1651" s="2128">
        <f>Y1651-'Blocking-Step2'!Y1651</f>
        <v>0</v>
      </c>
    </row>
    <row r="1652" spans="1:48">
      <c r="A1652" s="1116" t="s">
        <v>35</v>
      </c>
      <c r="C1652" s="1940">
        <v>5781425.1723810686</v>
      </c>
      <c r="D1652" s="1940">
        <v>6433787.1371411681</v>
      </c>
      <c r="F1652" s="1106">
        <v>4.9983000000000004</v>
      </c>
      <c r="G1652" s="1921" t="s">
        <v>495</v>
      </c>
      <c r="H1652" s="1148">
        <v>288973</v>
      </c>
      <c r="I1652" s="1148">
        <v>321580</v>
      </c>
      <c r="K1652" s="1106">
        <v>0.24879999999999999</v>
      </c>
      <c r="L1652" s="1921" t="s">
        <v>495</v>
      </c>
      <c r="M1652" s="1106">
        <v>2.8977657574191946</v>
      </c>
      <c r="N1652" s="1921" t="s">
        <v>495</v>
      </c>
      <c r="O1652" s="1106">
        <v>1.8375221238938055</v>
      </c>
      <c r="P1652" s="1921" t="s">
        <v>495</v>
      </c>
      <c r="Q1652" s="1106">
        <v>4.9840878813130001</v>
      </c>
      <c r="R1652" s="1921" t="s">
        <v>495</v>
      </c>
      <c r="S1652" s="1146">
        <v>16007</v>
      </c>
      <c r="T1652" s="1648"/>
      <c r="U1652" s="1146">
        <v>186436</v>
      </c>
      <c r="V1652" s="1648"/>
      <c r="W1652" s="1146">
        <v>118222</v>
      </c>
      <c r="X1652" s="1648"/>
      <c r="Y1652" s="1146">
        <v>320666</v>
      </c>
      <c r="Z1652" s="2114">
        <f>C1652-'Blocking-Step2'!C1652</f>
        <v>0</v>
      </c>
      <c r="AA1652" s="2114">
        <f>D1652-'Blocking-Step2'!D1652</f>
        <v>0</v>
      </c>
      <c r="AC1652" s="2114">
        <f>F1652-'Blocking-Step2'!F1652</f>
        <v>0</v>
      </c>
      <c r="AE1652" s="2114">
        <f>H1652-'Blocking-Step2'!H1652</f>
        <v>0</v>
      </c>
      <c r="AF1652" s="2114">
        <f>I1652-'Blocking-Step2'!I1652</f>
        <v>0</v>
      </c>
      <c r="AH1652" s="2136">
        <f>K1652-'Blocking-Step2'!K1652</f>
        <v>-0.97440000000000004</v>
      </c>
      <c r="AJ1652" s="2136">
        <f>M1652-'Blocking-Step2'!M1652</f>
        <v>0.97440000000000038</v>
      </c>
      <c r="AL1652" s="2136">
        <f>O1652-'Blocking-Step2'!O1652</f>
        <v>0</v>
      </c>
      <c r="AN1652" s="2137">
        <f>Q1652-'Blocking-Step2'!Q1652</f>
        <v>0</v>
      </c>
      <c r="AP1652" s="2127">
        <f>S1652-'Blocking-Step2'!S1652</f>
        <v>-62691</v>
      </c>
      <c r="AR1652" s="2127">
        <f>U1652-'Blocking-Step2'!U1652</f>
        <v>62691</v>
      </c>
      <c r="AT1652" s="2127">
        <f>W1652-'Blocking-Step2'!W1652</f>
        <v>0</v>
      </c>
      <c r="AV1652" s="2128">
        <f>Y1652-'Blocking-Step2'!Y1652</f>
        <v>0</v>
      </c>
    </row>
    <row r="1653" spans="1:48">
      <c r="A1653" s="1116" t="s">
        <v>309</v>
      </c>
      <c r="C1653" s="1940">
        <v>5781425.1723810686</v>
      </c>
      <c r="D1653" s="1940">
        <v>6433787.1371411681</v>
      </c>
      <c r="F1653" s="2088"/>
      <c r="H1653" s="1147">
        <v>296982</v>
      </c>
      <c r="I1653" s="1147">
        <v>330050</v>
      </c>
      <c r="K1653" s="2088"/>
      <c r="M1653" s="2088"/>
      <c r="O1653" s="2088"/>
      <c r="Q1653" s="2088"/>
      <c r="S1653" s="1147">
        <v>16092</v>
      </c>
      <c r="U1653" s="1147">
        <v>186436</v>
      </c>
      <c r="W1653" s="1147">
        <v>118222</v>
      </c>
      <c r="Y1653" s="1147">
        <v>320751</v>
      </c>
      <c r="Z1653" s="2114">
        <f>C1653-'Blocking-Step2'!C1653</f>
        <v>0</v>
      </c>
      <c r="AA1653" s="2114">
        <f>D1653-'Blocking-Step2'!D1653</f>
        <v>0</v>
      </c>
      <c r="AC1653" s="2114">
        <f>F1653-'Blocking-Step2'!F1653</f>
        <v>0</v>
      </c>
      <c r="AE1653" s="2114">
        <f>H1653-'Blocking-Step2'!H1653</f>
        <v>0</v>
      </c>
      <c r="AF1653" s="2114">
        <f>I1653-'Blocking-Step2'!I1653</f>
        <v>0</v>
      </c>
      <c r="AH1653" s="2136">
        <f>K1653-'Blocking-Step2'!K1653</f>
        <v>0</v>
      </c>
      <c r="AJ1653" s="2136">
        <f>M1653-'Blocking-Step2'!M1653</f>
        <v>0</v>
      </c>
      <c r="AL1653" s="2136">
        <f>O1653-'Blocking-Step2'!O1653</f>
        <v>0</v>
      </c>
      <c r="AN1653" s="2137">
        <f>Q1653-'Blocking-Step2'!Q1653</f>
        <v>0</v>
      </c>
      <c r="AP1653" s="2127">
        <f>S1653-'Blocking-Step2'!S1653</f>
        <v>-62691</v>
      </c>
      <c r="AR1653" s="2127">
        <f>U1653-'Blocking-Step2'!U1653</f>
        <v>62691</v>
      </c>
      <c r="AT1653" s="2127">
        <f>W1653-'Blocking-Step2'!W1653</f>
        <v>0</v>
      </c>
      <c r="AV1653" s="2128">
        <f>Y1653-'Blocking-Step2'!Y1653</f>
        <v>0</v>
      </c>
    </row>
    <row r="1654" spans="1:48">
      <c r="A1654" s="1116" t="s">
        <v>246</v>
      </c>
      <c r="C1654" s="1940">
        <v>41404</v>
      </c>
      <c r="D1654" s="1940">
        <v>0</v>
      </c>
      <c r="H1654" s="1147">
        <v>2525</v>
      </c>
      <c r="I1654" s="1147">
        <v>0</v>
      </c>
      <c r="Y1654" s="1147">
        <v>0</v>
      </c>
      <c r="Z1654" s="2114">
        <f>C1654-'Blocking-Step2'!C1654</f>
        <v>0</v>
      </c>
      <c r="AA1654" s="2114">
        <f>D1654-'Blocking-Step2'!D1654</f>
        <v>0</v>
      </c>
      <c r="AC1654" s="2114">
        <f>F1654-'Blocking-Step2'!F1654</f>
        <v>0</v>
      </c>
      <c r="AE1654" s="2114">
        <f>H1654-'Blocking-Step2'!H1654</f>
        <v>0</v>
      </c>
      <c r="AF1654" s="2114">
        <f>I1654-'Blocking-Step2'!I1654</f>
        <v>0</v>
      </c>
      <c r="AH1654" s="2136">
        <f>K1654-'Blocking-Step2'!K1654</f>
        <v>0</v>
      </c>
      <c r="AJ1654" s="2136">
        <f>M1654-'Blocking-Step2'!M1654</f>
        <v>0</v>
      </c>
      <c r="AL1654" s="2136">
        <f>O1654-'Blocking-Step2'!O1654</f>
        <v>0</v>
      </c>
      <c r="AN1654" s="2137">
        <f>Q1654-'Blocking-Step2'!Q1654</f>
        <v>0</v>
      </c>
      <c r="AP1654" s="2127">
        <f>S1654-'Blocking-Step2'!S1654</f>
        <v>0</v>
      </c>
      <c r="AR1654" s="2127">
        <f>U1654-'Blocking-Step2'!U1654</f>
        <v>0</v>
      </c>
      <c r="AT1654" s="2127">
        <f>W1654-'Blocking-Step2'!W1654</f>
        <v>0</v>
      </c>
      <c r="AV1654" s="2128">
        <f>Y1654-'Blocking-Step2'!Y1654</f>
        <v>0</v>
      </c>
    </row>
    <row r="1655" spans="1:48">
      <c r="A1655" s="1116" t="s">
        <v>1240</v>
      </c>
      <c r="C1655" s="1024"/>
      <c r="D1655" s="1024"/>
      <c r="F1655" s="2076">
        <v>-4.2099999999999999E-2</v>
      </c>
      <c r="G1655" s="617"/>
      <c r="H1655" s="1146">
        <v>-74715.754099999991</v>
      </c>
      <c r="I1655" s="1146">
        <v>-83146.363299999997</v>
      </c>
      <c r="K1655" s="2076"/>
      <c r="L1655" s="617"/>
      <c r="M1655" s="2076"/>
      <c r="N1655" s="617"/>
      <c r="O1655" s="2077" t="s">
        <v>2323</v>
      </c>
      <c r="P1655" s="617"/>
      <c r="Q1655" s="2076">
        <v>-2.7099999999999999E-2</v>
      </c>
      <c r="R1655" s="617"/>
      <c r="S1655" s="1114"/>
      <c r="T1655" s="1114"/>
      <c r="U1655" s="1114"/>
      <c r="V1655" s="1114"/>
      <c r="W1655" s="1114"/>
      <c r="X1655" s="1114"/>
      <c r="Y1655" s="1146">
        <v>-53253.613799999999</v>
      </c>
      <c r="Z1655" s="2114">
        <f>C1655-'Blocking-Step2'!C1655</f>
        <v>0</v>
      </c>
      <c r="AA1655" s="2114">
        <f>D1655-'Blocking-Step2'!D1655</f>
        <v>0</v>
      </c>
      <c r="AC1655" s="2114">
        <f>F1655-'Blocking-Step2'!F1655</f>
        <v>0</v>
      </c>
      <c r="AE1655" s="2114">
        <f>H1655-'Blocking-Step2'!H1655</f>
        <v>0</v>
      </c>
      <c r="AF1655" s="2114">
        <f>I1655-'Blocking-Step2'!I1655</f>
        <v>0</v>
      </c>
      <c r="AH1655" s="2136">
        <f>K1655-'Blocking-Step2'!K1655</f>
        <v>0</v>
      </c>
      <c r="AJ1655" s="2136">
        <f>M1655-'Blocking-Step2'!M1655</f>
        <v>0</v>
      </c>
      <c r="AL1655" s="2136" t="e">
        <f>O1655-'Blocking-Step2'!O1655</f>
        <v>#VALUE!</v>
      </c>
      <c r="AN1655" s="2137">
        <f>Q1655-'Blocking-Step2'!Q1655</f>
        <v>0</v>
      </c>
      <c r="AP1655" s="2127">
        <f>S1655-'Blocking-Step2'!S1655</f>
        <v>0</v>
      </c>
      <c r="AR1655" s="2127">
        <f>U1655-'Blocking-Step2'!U1655</f>
        <v>0</v>
      </c>
      <c r="AT1655" s="2127">
        <f>W1655-'Blocking-Step2'!W1655</f>
        <v>0</v>
      </c>
      <c r="AV1655" s="2128">
        <f>Y1655-'Blocking-Step2'!Y1655</f>
        <v>0</v>
      </c>
    </row>
    <row r="1656" spans="1:48">
      <c r="A1656" s="1116"/>
      <c r="C1656" s="1024"/>
      <c r="D1656" s="1024"/>
      <c r="F1656" s="2076"/>
      <c r="G1656" s="617"/>
      <c r="H1656" s="1146"/>
      <c r="I1656" s="1146"/>
      <c r="K1656" s="2076"/>
      <c r="L1656" s="617"/>
      <c r="M1656" s="2076"/>
      <c r="N1656" s="617"/>
      <c r="O1656" s="2077" t="s">
        <v>2324</v>
      </c>
      <c r="P1656" s="617"/>
      <c r="Q1656" s="2076">
        <v>-1.47E-2</v>
      </c>
      <c r="R1656" s="617"/>
      <c r="S1656" s="1114"/>
      <c r="T1656" s="1114"/>
      <c r="U1656" s="1114"/>
      <c r="V1656" s="1114"/>
      <c r="W1656" s="1114"/>
      <c r="X1656" s="1114"/>
      <c r="Y1656" s="1146">
        <v>-28886.6466</v>
      </c>
      <c r="Z1656" s="2114">
        <f>C1656-'Blocking-Step2'!C1656</f>
        <v>0</v>
      </c>
      <c r="AA1656" s="2114">
        <f>D1656-'Blocking-Step2'!D1656</f>
        <v>0</v>
      </c>
      <c r="AC1656" s="2114">
        <f>F1656-'Blocking-Step2'!F1656</f>
        <v>0</v>
      </c>
      <c r="AE1656" s="2114">
        <f>H1656-'Blocking-Step2'!H1656</f>
        <v>0</v>
      </c>
      <c r="AF1656" s="2114">
        <f>I1656-'Blocking-Step2'!I1656</f>
        <v>0</v>
      </c>
      <c r="AH1656" s="2136">
        <f>K1656-'Blocking-Step2'!K1656</f>
        <v>0</v>
      </c>
      <c r="AJ1656" s="2136">
        <f>M1656-'Blocking-Step2'!M1656</f>
        <v>0</v>
      </c>
      <c r="AL1656" s="2136" t="e">
        <f>O1656-'Blocking-Step2'!O1656</f>
        <v>#VALUE!</v>
      </c>
      <c r="AN1656" s="2137">
        <f>Q1656-'Blocking-Step2'!Q1656</f>
        <v>0</v>
      </c>
      <c r="AP1656" s="2127">
        <f>S1656-'Blocking-Step2'!S1656</f>
        <v>0</v>
      </c>
      <c r="AR1656" s="2127">
        <f>U1656-'Blocking-Step2'!U1656</f>
        <v>0</v>
      </c>
      <c r="AT1656" s="2127">
        <f>W1656-'Blocking-Step2'!W1656</f>
        <v>0</v>
      </c>
      <c r="AV1656" s="2128">
        <f>Y1656-'Blocking-Step2'!Y1656</f>
        <v>0</v>
      </c>
    </row>
    <row r="1657" spans="1:48" ht="16.5" thickBot="1">
      <c r="A1657" s="1116" t="s">
        <v>319</v>
      </c>
      <c r="C1657" s="1138">
        <v>21840080.451462988</v>
      </c>
      <c r="D1657" s="1138">
        <v>24258387.137141168</v>
      </c>
      <c r="F1657" s="1145"/>
      <c r="H1657" s="1149">
        <v>1731950.2459</v>
      </c>
      <c r="I1657" s="1149">
        <v>1922679.6366999999</v>
      </c>
      <c r="K1657" s="1145"/>
      <c r="M1657" s="1145"/>
      <c r="O1657" s="1145"/>
      <c r="Q1657" s="1145"/>
      <c r="S1657" s="1154">
        <v>525503.53329033544</v>
      </c>
      <c r="T1657" s="1154"/>
      <c r="U1657" s="1154">
        <v>957056.0134603437</v>
      </c>
      <c r="V1657" s="1154"/>
      <c r="W1657" s="1154">
        <v>504983.45324932085</v>
      </c>
      <c r="Y1657" s="1149">
        <v>1987543</v>
      </c>
      <c r="Z1657" s="2114">
        <f>C1657-'Blocking-Step2'!C1657</f>
        <v>0</v>
      </c>
      <c r="AA1657" s="2114">
        <f>D1657-'Blocking-Step2'!D1657</f>
        <v>0</v>
      </c>
      <c r="AC1657" s="2114">
        <f>F1657-'Blocking-Step2'!F1657</f>
        <v>0</v>
      </c>
      <c r="AE1657" s="2114">
        <f>H1657-'Blocking-Step2'!H1657</f>
        <v>0</v>
      </c>
      <c r="AF1657" s="2114">
        <f>I1657-'Blocking-Step2'!I1657</f>
        <v>0</v>
      </c>
      <c r="AH1657" s="2136">
        <f>K1657-'Blocking-Step2'!K1657</f>
        <v>0</v>
      </c>
      <c r="AJ1657" s="2136">
        <f>M1657-'Blocking-Step2'!M1657</f>
        <v>0</v>
      </c>
      <c r="AL1657" s="2136">
        <f>O1657-'Blocking-Step2'!O1657</f>
        <v>0</v>
      </c>
      <c r="AN1657" s="2137">
        <f>Q1657-'Blocking-Step2'!Q1657</f>
        <v>0</v>
      </c>
      <c r="AP1657" s="2127">
        <f>S1657-'Blocking-Step2'!S1657</f>
        <v>-300835.45682319789</v>
      </c>
      <c r="AR1657" s="2127">
        <f>U1657-'Blocking-Step2'!U1657</f>
        <v>300835.45682319778</v>
      </c>
      <c r="AT1657" s="2127">
        <f>W1657-'Blocking-Step2'!W1657</f>
        <v>0</v>
      </c>
      <c r="AV1657" s="2128">
        <f>Y1657-'Blocking-Step2'!Y1657</f>
        <v>0</v>
      </c>
    </row>
    <row r="1658" spans="1:48" ht="16.5" thickTop="1">
      <c r="C1658" s="1105" t="s">
        <v>118</v>
      </c>
      <c r="D1658" s="1105" t="s">
        <v>118</v>
      </c>
      <c r="Z1658" s="2114" t="e">
        <f>C1658-'Blocking-Step2'!C1658</f>
        <v>#VALUE!</v>
      </c>
      <c r="AA1658" s="2114" t="e">
        <f>D1658-'Blocking-Step2'!D1658</f>
        <v>#VALUE!</v>
      </c>
      <c r="AC1658" s="2114">
        <f>F1658-'Blocking-Step2'!F1658</f>
        <v>0</v>
      </c>
      <c r="AE1658" s="2114">
        <f>H1658-'Blocking-Step2'!H1658</f>
        <v>0</v>
      </c>
      <c r="AF1658" s="2114">
        <f>I1658-'Blocking-Step2'!I1658</f>
        <v>0</v>
      </c>
      <c r="AH1658" s="2136">
        <f>K1658-'Blocking-Step2'!K1658</f>
        <v>0</v>
      </c>
      <c r="AJ1658" s="2136">
        <f>M1658-'Blocking-Step2'!M1658</f>
        <v>0</v>
      </c>
      <c r="AL1658" s="2136">
        <f>O1658-'Blocking-Step2'!O1658</f>
        <v>0</v>
      </c>
      <c r="AN1658" s="2137">
        <f>Q1658-'Blocking-Step2'!Q1658</f>
        <v>0</v>
      </c>
      <c r="AP1658" s="2127">
        <f>S1658-'Blocking-Step2'!S1658</f>
        <v>0</v>
      </c>
      <c r="AR1658" s="2127">
        <f>U1658-'Blocking-Step2'!U1658</f>
        <v>0</v>
      </c>
      <c r="AT1658" s="2127">
        <f>W1658-'Blocking-Step2'!W1658</f>
        <v>0</v>
      </c>
      <c r="AV1658" s="2128">
        <f>Y1658-'Blocking-Step2'!Y1658</f>
        <v>0</v>
      </c>
    </row>
    <row r="1659" spans="1:48">
      <c r="A1659" s="1115" t="s">
        <v>567</v>
      </c>
      <c r="C1659" s="1105"/>
      <c r="D1659" s="1105"/>
      <c r="Z1659" s="2114">
        <f>C1659-'Blocking-Step2'!C1659</f>
        <v>0</v>
      </c>
      <c r="AA1659" s="2114">
        <f>D1659-'Blocking-Step2'!D1659</f>
        <v>0</v>
      </c>
      <c r="AC1659" s="2114">
        <f>F1659-'Blocking-Step2'!F1659</f>
        <v>0</v>
      </c>
      <c r="AE1659" s="2114">
        <f>H1659-'Blocking-Step2'!H1659</f>
        <v>0</v>
      </c>
      <c r="AF1659" s="2114">
        <f>I1659-'Blocking-Step2'!I1659</f>
        <v>0</v>
      </c>
      <c r="AH1659" s="2136">
        <f>K1659-'Blocking-Step2'!K1659</f>
        <v>0</v>
      </c>
      <c r="AJ1659" s="2136">
        <f>M1659-'Blocking-Step2'!M1659</f>
        <v>0</v>
      </c>
      <c r="AL1659" s="2136">
        <f>O1659-'Blocking-Step2'!O1659</f>
        <v>0</v>
      </c>
      <c r="AN1659" s="2137">
        <f>Q1659-'Blocking-Step2'!Q1659</f>
        <v>0</v>
      </c>
      <c r="AP1659" s="2127">
        <f>S1659-'Blocking-Step2'!S1659</f>
        <v>0</v>
      </c>
      <c r="AR1659" s="2127">
        <f>U1659-'Blocking-Step2'!U1659</f>
        <v>0</v>
      </c>
      <c r="AT1659" s="2127">
        <f>W1659-'Blocking-Step2'!W1659</f>
        <v>0</v>
      </c>
      <c r="AV1659" s="2128">
        <f>Y1659-'Blocking-Step2'!Y1659</f>
        <v>0</v>
      </c>
    </row>
    <row r="1660" spans="1:48">
      <c r="A1660" s="1977" t="s">
        <v>1049</v>
      </c>
      <c r="C1660" s="1024"/>
      <c r="D1660" s="1024"/>
      <c r="F1660" s="1110"/>
      <c r="G1660" s="1110"/>
      <c r="H1660" s="1114"/>
      <c r="I1660" s="1114"/>
      <c r="K1660" s="1110"/>
      <c r="L1660" s="1110"/>
      <c r="M1660" s="1110"/>
      <c r="N1660" s="1110"/>
      <c r="O1660" s="1110"/>
      <c r="P1660" s="1110"/>
      <c r="Q1660" s="1110"/>
      <c r="R1660" s="1110"/>
      <c r="S1660" s="1629"/>
      <c r="T1660" s="1629"/>
      <c r="U1660" s="1629"/>
      <c r="V1660" s="1629"/>
      <c r="W1660" s="1629"/>
      <c r="X1660" s="1629"/>
      <c r="Y1660" s="1114"/>
      <c r="Z1660" s="2114">
        <f>C1660-'Blocking-Step2'!C1660</f>
        <v>0</v>
      </c>
      <c r="AA1660" s="2114">
        <f>D1660-'Blocking-Step2'!D1660</f>
        <v>0</v>
      </c>
      <c r="AC1660" s="2114">
        <f>F1660-'Blocking-Step2'!F1660</f>
        <v>0</v>
      </c>
      <c r="AE1660" s="2114">
        <f>H1660-'Blocking-Step2'!H1660</f>
        <v>0</v>
      </c>
      <c r="AF1660" s="2114">
        <f>I1660-'Blocking-Step2'!I1660</f>
        <v>0</v>
      </c>
      <c r="AH1660" s="2136">
        <f>K1660-'Blocking-Step2'!K1660</f>
        <v>0</v>
      </c>
      <c r="AJ1660" s="2136">
        <f>M1660-'Blocking-Step2'!M1660</f>
        <v>0</v>
      </c>
      <c r="AL1660" s="2136">
        <f>O1660-'Blocking-Step2'!O1660</f>
        <v>0</v>
      </c>
      <c r="AN1660" s="2137">
        <f>Q1660-'Blocking-Step2'!Q1660</f>
        <v>0</v>
      </c>
      <c r="AP1660" s="2127">
        <f>S1660-'Blocking-Step2'!S1660</f>
        <v>0</v>
      </c>
      <c r="AR1660" s="2127">
        <f>U1660-'Blocking-Step2'!U1660</f>
        <v>0</v>
      </c>
      <c r="AT1660" s="2127">
        <f>W1660-'Blocking-Step2'!W1660</f>
        <v>0</v>
      </c>
      <c r="AV1660" s="2128">
        <f>Y1660-'Blocking-Step2'!Y1660</f>
        <v>0</v>
      </c>
    </row>
    <row r="1661" spans="1:48">
      <c r="A1661" s="1116" t="s">
        <v>1050</v>
      </c>
      <c r="C1661" s="1105">
        <v>2738.8798586572402</v>
      </c>
      <c r="D1661" s="1105">
        <v>2745</v>
      </c>
      <c r="F1661" s="1907">
        <v>11.32</v>
      </c>
      <c r="G1661" s="1110"/>
      <c r="H1661" s="1146">
        <v>31004</v>
      </c>
      <c r="I1661" s="1146">
        <v>31073</v>
      </c>
      <c r="K1661" s="1907"/>
      <c r="L1661" s="1110"/>
      <c r="M1661" s="1907"/>
      <c r="N1661" s="1110"/>
      <c r="O1661" s="1907"/>
      <c r="P1661" s="1110"/>
      <c r="Q1661" s="1907"/>
      <c r="R1661" s="1110"/>
      <c r="S1661" s="1629"/>
      <c r="T1661" s="1629"/>
      <c r="U1661" s="1629"/>
      <c r="V1661" s="1629"/>
      <c r="W1661" s="1629"/>
      <c r="X1661" s="1629"/>
      <c r="Y1661" s="1114"/>
      <c r="Z1661" s="2114">
        <f>C1661-'Blocking-Step2'!C1661</f>
        <v>0</v>
      </c>
      <c r="AA1661" s="2114">
        <f>D1661-'Blocking-Step2'!D1661</f>
        <v>0</v>
      </c>
      <c r="AC1661" s="2114">
        <f>F1661-'Blocking-Step2'!F1661</f>
        <v>0</v>
      </c>
      <c r="AE1661" s="2114">
        <f>H1661-'Blocking-Step2'!H1661</f>
        <v>0</v>
      </c>
      <c r="AF1661" s="2114">
        <f>I1661-'Blocking-Step2'!I1661</f>
        <v>0</v>
      </c>
      <c r="AH1661" s="2136">
        <f>K1661-'Blocking-Step2'!K1661</f>
        <v>0</v>
      </c>
      <c r="AJ1661" s="2136">
        <f>M1661-'Blocking-Step2'!M1661</f>
        <v>0</v>
      </c>
      <c r="AL1661" s="2136">
        <f>O1661-'Blocking-Step2'!O1661</f>
        <v>0</v>
      </c>
      <c r="AN1661" s="2137">
        <f>Q1661-'Blocking-Step2'!Q1661</f>
        <v>0</v>
      </c>
      <c r="AP1661" s="2127">
        <f>S1661-'Blocking-Step2'!S1661</f>
        <v>0</v>
      </c>
      <c r="AR1661" s="2127">
        <f>U1661-'Blocking-Step2'!U1661</f>
        <v>0</v>
      </c>
      <c r="AT1661" s="2127">
        <f>W1661-'Blocking-Step2'!W1661</f>
        <v>0</v>
      </c>
      <c r="AV1661" s="2128">
        <f>Y1661-'Blocking-Step2'!Y1661</f>
        <v>0</v>
      </c>
    </row>
    <row r="1662" spans="1:48">
      <c r="A1662" s="1116" t="s">
        <v>1051</v>
      </c>
      <c r="C1662" s="1105">
        <v>1171.24449035813</v>
      </c>
      <c r="D1662" s="1105">
        <v>1174</v>
      </c>
      <c r="F1662" s="1907">
        <v>14.52</v>
      </c>
      <c r="G1662" s="1110"/>
      <c r="H1662" s="1146">
        <v>17006</v>
      </c>
      <c r="I1662" s="1146">
        <v>17046</v>
      </c>
      <c r="K1662" s="1907"/>
      <c r="L1662" s="1110"/>
      <c r="M1662" s="1907"/>
      <c r="N1662" s="1110"/>
      <c r="O1662" s="1907"/>
      <c r="P1662" s="1110"/>
      <c r="Q1662" s="1907"/>
      <c r="R1662" s="1110"/>
      <c r="S1662" s="1629"/>
      <c r="T1662" s="1629"/>
      <c r="U1662" s="1629"/>
      <c r="V1662" s="1629"/>
      <c r="W1662" s="1629"/>
      <c r="X1662" s="1629"/>
      <c r="Y1662" s="1114"/>
      <c r="Z1662" s="2114">
        <f>C1662-'Blocking-Step2'!C1662</f>
        <v>0</v>
      </c>
      <c r="AA1662" s="2114">
        <f>D1662-'Blocking-Step2'!D1662</f>
        <v>0</v>
      </c>
      <c r="AC1662" s="2114">
        <f>F1662-'Blocking-Step2'!F1662</f>
        <v>0</v>
      </c>
      <c r="AE1662" s="2114">
        <f>H1662-'Blocking-Step2'!H1662</f>
        <v>0</v>
      </c>
      <c r="AF1662" s="2114">
        <f>I1662-'Blocking-Step2'!I1662</f>
        <v>0</v>
      </c>
      <c r="AH1662" s="2136">
        <f>K1662-'Blocking-Step2'!K1662</f>
        <v>0</v>
      </c>
      <c r="AJ1662" s="2136">
        <f>M1662-'Blocking-Step2'!M1662</f>
        <v>0</v>
      </c>
      <c r="AL1662" s="2136">
        <f>O1662-'Blocking-Step2'!O1662</f>
        <v>0</v>
      </c>
      <c r="AN1662" s="2137">
        <f>Q1662-'Blocking-Step2'!Q1662</f>
        <v>0</v>
      </c>
      <c r="AP1662" s="2127">
        <f>S1662-'Blocking-Step2'!S1662</f>
        <v>0</v>
      </c>
      <c r="AR1662" s="2127">
        <f>U1662-'Blocking-Step2'!U1662</f>
        <v>0</v>
      </c>
      <c r="AT1662" s="2127">
        <f>W1662-'Blocking-Step2'!W1662</f>
        <v>0</v>
      </c>
      <c r="AV1662" s="2128">
        <f>Y1662-'Blocking-Step2'!Y1662</f>
        <v>0</v>
      </c>
    </row>
    <row r="1663" spans="1:48">
      <c r="A1663" s="1116" t="s">
        <v>1052</v>
      </c>
      <c r="C1663" s="1105">
        <v>62.466666666666697</v>
      </c>
      <c r="D1663" s="1105">
        <v>63</v>
      </c>
      <c r="F1663" s="1907">
        <v>19.8</v>
      </c>
      <c r="G1663" s="1110"/>
      <c r="H1663" s="1146">
        <v>1237</v>
      </c>
      <c r="I1663" s="1146">
        <v>1247</v>
      </c>
      <c r="K1663" s="1907"/>
      <c r="L1663" s="1110"/>
      <c r="M1663" s="1907"/>
      <c r="N1663" s="1110"/>
      <c r="O1663" s="1907"/>
      <c r="P1663" s="1110"/>
      <c r="Q1663" s="1907"/>
      <c r="R1663" s="1110"/>
      <c r="S1663" s="1629"/>
      <c r="T1663" s="1629"/>
      <c r="U1663" s="1629"/>
      <c r="V1663" s="1629"/>
      <c r="W1663" s="1629"/>
      <c r="X1663" s="1629"/>
      <c r="Y1663" s="1114"/>
      <c r="Z1663" s="2114">
        <f>C1663-'Blocking-Step2'!C1663</f>
        <v>0</v>
      </c>
      <c r="AA1663" s="2114">
        <f>D1663-'Blocking-Step2'!D1663</f>
        <v>0</v>
      </c>
      <c r="AC1663" s="2114">
        <f>F1663-'Blocking-Step2'!F1663</f>
        <v>0</v>
      </c>
      <c r="AE1663" s="2114">
        <f>H1663-'Blocking-Step2'!H1663</f>
        <v>0</v>
      </c>
      <c r="AF1663" s="2114">
        <f>I1663-'Blocking-Step2'!I1663</f>
        <v>0</v>
      </c>
      <c r="AH1663" s="2136">
        <f>K1663-'Blocking-Step2'!K1663</f>
        <v>0</v>
      </c>
      <c r="AJ1663" s="2136">
        <f>M1663-'Blocking-Step2'!M1663</f>
        <v>0</v>
      </c>
      <c r="AL1663" s="2136">
        <f>O1663-'Blocking-Step2'!O1663</f>
        <v>0</v>
      </c>
      <c r="AN1663" s="2137">
        <f>Q1663-'Blocking-Step2'!Q1663</f>
        <v>0</v>
      </c>
      <c r="AP1663" s="2127">
        <f>S1663-'Blocking-Step2'!S1663</f>
        <v>0</v>
      </c>
      <c r="AR1663" s="2127">
        <f>U1663-'Blocking-Step2'!U1663</f>
        <v>0</v>
      </c>
      <c r="AT1663" s="2127">
        <f>W1663-'Blocking-Step2'!W1663</f>
        <v>0</v>
      </c>
      <c r="AV1663" s="2128">
        <f>Y1663-'Blocking-Step2'!Y1663</f>
        <v>0</v>
      </c>
    </row>
    <row r="1664" spans="1:48">
      <c r="A1664" s="1116" t="s">
        <v>1053</v>
      </c>
      <c r="C1664" s="1105">
        <v>114.133333333333</v>
      </c>
      <c r="D1664" s="1105">
        <v>114</v>
      </c>
      <c r="F1664" s="1907">
        <v>22.95</v>
      </c>
      <c r="G1664" s="1110"/>
      <c r="H1664" s="1146">
        <v>2619</v>
      </c>
      <c r="I1664" s="1146">
        <v>2616</v>
      </c>
      <c r="K1664" s="1907"/>
      <c r="L1664" s="1110"/>
      <c r="M1664" s="1907"/>
      <c r="N1664" s="1110"/>
      <c r="O1664" s="1907"/>
      <c r="P1664" s="1110"/>
      <c r="Q1664" s="1907"/>
      <c r="R1664" s="1110"/>
      <c r="S1664" s="1629"/>
      <c r="T1664" s="1629"/>
      <c r="U1664" s="1629"/>
      <c r="V1664" s="1629"/>
      <c r="W1664" s="1629"/>
      <c r="X1664" s="1629"/>
      <c r="Y1664" s="1114"/>
      <c r="Z1664" s="2114">
        <f>C1664-'Blocking-Step2'!C1664</f>
        <v>0</v>
      </c>
      <c r="AA1664" s="2114">
        <f>D1664-'Blocking-Step2'!D1664</f>
        <v>0</v>
      </c>
      <c r="AC1664" s="2114">
        <f>F1664-'Blocking-Step2'!F1664</f>
        <v>0</v>
      </c>
      <c r="AE1664" s="2114">
        <f>H1664-'Blocking-Step2'!H1664</f>
        <v>0</v>
      </c>
      <c r="AF1664" s="2114">
        <f>I1664-'Blocking-Step2'!I1664</f>
        <v>0</v>
      </c>
      <c r="AH1664" s="2136">
        <f>K1664-'Blocking-Step2'!K1664</f>
        <v>0</v>
      </c>
      <c r="AJ1664" s="2136">
        <f>M1664-'Blocking-Step2'!M1664</f>
        <v>0</v>
      </c>
      <c r="AL1664" s="2136">
        <f>O1664-'Blocking-Step2'!O1664</f>
        <v>0</v>
      </c>
      <c r="AN1664" s="2137">
        <f>Q1664-'Blocking-Step2'!Q1664</f>
        <v>0</v>
      </c>
      <c r="AP1664" s="2127">
        <f>S1664-'Blocking-Step2'!S1664</f>
        <v>0</v>
      </c>
      <c r="AR1664" s="2127">
        <f>U1664-'Blocking-Step2'!U1664</f>
        <v>0</v>
      </c>
      <c r="AT1664" s="2127">
        <f>W1664-'Blocking-Step2'!W1664</f>
        <v>0</v>
      </c>
      <c r="AV1664" s="2128">
        <f>Y1664-'Blocking-Step2'!Y1664</f>
        <v>0</v>
      </c>
    </row>
    <row r="1665" spans="1:48">
      <c r="A1665" s="1977" t="s">
        <v>769</v>
      </c>
      <c r="C1665" s="1024"/>
      <c r="D1665" s="1024"/>
      <c r="F1665" s="1110"/>
      <c r="G1665" s="1110"/>
      <c r="H1665" s="1114"/>
      <c r="I1665" s="1114"/>
      <c r="K1665" s="1110"/>
      <c r="L1665" s="1110"/>
      <c r="M1665" s="1110"/>
      <c r="N1665" s="1110"/>
      <c r="O1665" s="1110"/>
      <c r="P1665" s="1110"/>
      <c r="Q1665" s="1110"/>
      <c r="R1665" s="1110"/>
      <c r="S1665" s="1629"/>
      <c r="T1665" s="1629"/>
      <c r="U1665" s="1629"/>
      <c r="V1665" s="1629"/>
      <c r="W1665" s="1629"/>
      <c r="X1665" s="1629"/>
      <c r="Y1665" s="1114"/>
      <c r="Z1665" s="2114">
        <f>C1665-'Blocking-Step2'!C1665</f>
        <v>0</v>
      </c>
      <c r="AA1665" s="2114">
        <f>D1665-'Blocking-Step2'!D1665</f>
        <v>0</v>
      </c>
      <c r="AC1665" s="2114">
        <f>F1665-'Blocking-Step2'!F1665</f>
        <v>0</v>
      </c>
      <c r="AE1665" s="2114">
        <f>H1665-'Blocking-Step2'!H1665</f>
        <v>0</v>
      </c>
      <c r="AF1665" s="2114">
        <f>I1665-'Blocking-Step2'!I1665</f>
        <v>0</v>
      </c>
      <c r="AH1665" s="2136">
        <f>K1665-'Blocking-Step2'!K1665</f>
        <v>0</v>
      </c>
      <c r="AJ1665" s="2136">
        <f>M1665-'Blocking-Step2'!M1665</f>
        <v>0</v>
      </c>
      <c r="AL1665" s="2136">
        <f>O1665-'Blocking-Step2'!O1665</f>
        <v>0</v>
      </c>
      <c r="AN1665" s="2137">
        <f>Q1665-'Blocking-Step2'!Q1665</f>
        <v>0</v>
      </c>
      <c r="AP1665" s="2127">
        <f>S1665-'Blocking-Step2'!S1665</f>
        <v>0</v>
      </c>
      <c r="AR1665" s="2127">
        <f>U1665-'Blocking-Step2'!U1665</f>
        <v>0</v>
      </c>
      <c r="AT1665" s="2127">
        <f>W1665-'Blocking-Step2'!W1665</f>
        <v>0</v>
      </c>
      <c r="AV1665" s="2128">
        <f>Y1665-'Blocking-Step2'!Y1665</f>
        <v>0</v>
      </c>
    </row>
    <row r="1666" spans="1:48">
      <c r="A1666" s="1116" t="s">
        <v>387</v>
      </c>
      <c r="C1666" s="1105">
        <v>28619.111016949199</v>
      </c>
      <c r="D1666" s="1105">
        <v>28679</v>
      </c>
      <c r="F1666" s="1907">
        <v>11.8</v>
      </c>
      <c r="G1666" s="1110"/>
      <c r="H1666" s="1146">
        <v>337706</v>
      </c>
      <c r="I1666" s="1146">
        <v>338412</v>
      </c>
      <c r="K1666" s="1907"/>
      <c r="L1666" s="1110"/>
      <c r="M1666" s="1907"/>
      <c r="N1666" s="1110"/>
      <c r="O1666" s="1907"/>
      <c r="P1666" s="1110"/>
      <c r="Q1666" s="1907"/>
      <c r="R1666" s="1110"/>
      <c r="S1666" s="1629"/>
      <c r="T1666" s="1629"/>
      <c r="U1666" s="1629"/>
      <c r="V1666" s="1629"/>
      <c r="W1666" s="1629"/>
      <c r="X1666" s="1629"/>
      <c r="Y1666" s="1114"/>
      <c r="Z1666" s="2114">
        <f>C1666-'Blocking-Step2'!C1666</f>
        <v>0</v>
      </c>
      <c r="AA1666" s="2114">
        <f>D1666-'Blocking-Step2'!D1666</f>
        <v>0</v>
      </c>
      <c r="AC1666" s="2114">
        <f>F1666-'Blocking-Step2'!F1666</f>
        <v>0</v>
      </c>
      <c r="AE1666" s="2114">
        <f>H1666-'Blocking-Step2'!H1666</f>
        <v>0</v>
      </c>
      <c r="AF1666" s="2114">
        <f>I1666-'Blocking-Step2'!I1666</f>
        <v>0</v>
      </c>
      <c r="AH1666" s="2136">
        <f>K1666-'Blocking-Step2'!K1666</f>
        <v>0</v>
      </c>
      <c r="AJ1666" s="2136">
        <f>M1666-'Blocking-Step2'!M1666</f>
        <v>0</v>
      </c>
      <c r="AL1666" s="2136">
        <f>O1666-'Blocking-Step2'!O1666</f>
        <v>0</v>
      </c>
      <c r="AN1666" s="2137">
        <f>Q1666-'Blocking-Step2'!Q1666</f>
        <v>0</v>
      </c>
      <c r="AP1666" s="2127">
        <f>S1666-'Blocking-Step2'!S1666</f>
        <v>0</v>
      </c>
      <c r="AR1666" s="2127">
        <f>U1666-'Blocking-Step2'!U1666</f>
        <v>0</v>
      </c>
      <c r="AT1666" s="2127">
        <f>W1666-'Blocking-Step2'!W1666</f>
        <v>0</v>
      </c>
      <c r="AV1666" s="2128">
        <f>Y1666-'Blocking-Step2'!Y1666</f>
        <v>0</v>
      </c>
    </row>
    <row r="1667" spans="1:48">
      <c r="A1667" s="1116" t="s">
        <v>361</v>
      </c>
      <c r="C1667" s="1105">
        <v>194114.982785603</v>
      </c>
      <c r="D1667" s="1105">
        <v>194524</v>
      </c>
      <c r="F1667" s="1907">
        <v>12.78</v>
      </c>
      <c r="G1667" s="1110"/>
      <c r="H1667" s="1146">
        <v>2480789</v>
      </c>
      <c r="I1667" s="1146">
        <v>2486017</v>
      </c>
      <c r="K1667" s="1907"/>
      <c r="L1667" s="1110"/>
      <c r="M1667" s="1907"/>
      <c r="N1667" s="1110"/>
      <c r="O1667" s="1907"/>
      <c r="P1667" s="1110"/>
      <c r="Q1667" s="1907"/>
      <c r="R1667" s="1110"/>
      <c r="S1667" s="1629"/>
      <c r="T1667" s="1629"/>
      <c r="U1667" s="1629"/>
      <c r="V1667" s="1629"/>
      <c r="W1667" s="1629"/>
      <c r="X1667" s="1629"/>
      <c r="Y1667" s="1114"/>
      <c r="Z1667" s="2114">
        <f>C1667-'Blocking-Step2'!C1667</f>
        <v>0</v>
      </c>
      <c r="AA1667" s="2114">
        <f>D1667-'Blocking-Step2'!D1667</f>
        <v>0</v>
      </c>
      <c r="AC1667" s="2114">
        <f>F1667-'Blocking-Step2'!F1667</f>
        <v>0</v>
      </c>
      <c r="AE1667" s="2114">
        <f>H1667-'Blocking-Step2'!H1667</f>
        <v>0</v>
      </c>
      <c r="AF1667" s="2114">
        <f>I1667-'Blocking-Step2'!I1667</f>
        <v>0</v>
      </c>
      <c r="AH1667" s="2136">
        <f>K1667-'Blocking-Step2'!K1667</f>
        <v>0</v>
      </c>
      <c r="AJ1667" s="2136">
        <f>M1667-'Blocking-Step2'!M1667</f>
        <v>0</v>
      </c>
      <c r="AL1667" s="2136">
        <f>O1667-'Blocking-Step2'!O1667</f>
        <v>0</v>
      </c>
      <c r="AN1667" s="2137">
        <f>Q1667-'Blocking-Step2'!Q1667</f>
        <v>0</v>
      </c>
      <c r="AP1667" s="2127">
        <f>S1667-'Blocking-Step2'!S1667</f>
        <v>0</v>
      </c>
      <c r="AR1667" s="2127">
        <f>U1667-'Blocking-Step2'!U1667</f>
        <v>0</v>
      </c>
      <c r="AT1667" s="2127">
        <f>W1667-'Blocking-Step2'!W1667</f>
        <v>0</v>
      </c>
      <c r="AV1667" s="2128">
        <f>Y1667-'Blocking-Step2'!Y1667</f>
        <v>0</v>
      </c>
    </row>
    <row r="1668" spans="1:48">
      <c r="A1668" s="1116" t="s">
        <v>362</v>
      </c>
      <c r="C1668" s="1105">
        <v>144</v>
      </c>
      <c r="D1668" s="1105">
        <v>144</v>
      </c>
      <c r="F1668" s="1907">
        <v>11.5</v>
      </c>
      <c r="G1668" s="1110"/>
      <c r="H1668" s="1146">
        <v>1656</v>
      </c>
      <c r="I1668" s="1146">
        <v>1656</v>
      </c>
      <c r="K1668" s="1907"/>
      <c r="L1668" s="1110"/>
      <c r="M1668" s="1907"/>
      <c r="N1668" s="1110"/>
      <c r="O1668" s="1907"/>
      <c r="P1668" s="1110"/>
      <c r="Q1668" s="1907"/>
      <c r="R1668" s="1110"/>
      <c r="S1668" s="1629"/>
      <c r="T1668" s="1629"/>
      <c r="U1668" s="1629"/>
      <c r="V1668" s="1629"/>
      <c r="W1668" s="1629"/>
      <c r="X1668" s="1629"/>
      <c r="Y1668" s="1114"/>
      <c r="Z1668" s="2114">
        <f>C1668-'Blocking-Step2'!C1668</f>
        <v>0</v>
      </c>
      <c r="AA1668" s="2114">
        <f>D1668-'Blocking-Step2'!D1668</f>
        <v>0</v>
      </c>
      <c r="AC1668" s="2114">
        <f>F1668-'Blocking-Step2'!F1668</f>
        <v>0</v>
      </c>
      <c r="AE1668" s="2114">
        <f>H1668-'Blocking-Step2'!H1668</f>
        <v>0</v>
      </c>
      <c r="AF1668" s="2114">
        <f>I1668-'Blocking-Step2'!I1668</f>
        <v>0</v>
      </c>
      <c r="AH1668" s="2136">
        <f>K1668-'Blocking-Step2'!K1668</f>
        <v>0</v>
      </c>
      <c r="AJ1668" s="2136">
        <f>M1668-'Blocking-Step2'!M1668</f>
        <v>0</v>
      </c>
      <c r="AL1668" s="2136">
        <f>O1668-'Blocking-Step2'!O1668</f>
        <v>0</v>
      </c>
      <c r="AN1668" s="2137">
        <f>Q1668-'Blocking-Step2'!Q1668</f>
        <v>0</v>
      </c>
      <c r="AP1668" s="2127">
        <f>S1668-'Blocking-Step2'!S1668</f>
        <v>0</v>
      </c>
      <c r="AR1668" s="2127">
        <f>U1668-'Blocking-Step2'!U1668</f>
        <v>0</v>
      </c>
      <c r="AT1668" s="2127">
        <f>W1668-'Blocking-Step2'!W1668</f>
        <v>0</v>
      </c>
      <c r="AV1668" s="2128">
        <f>Y1668-'Blocking-Step2'!Y1668</f>
        <v>0</v>
      </c>
    </row>
    <row r="1669" spans="1:48">
      <c r="A1669" s="1116" t="s">
        <v>363</v>
      </c>
      <c r="C1669" s="1105">
        <v>432</v>
      </c>
      <c r="D1669" s="1105">
        <v>433</v>
      </c>
      <c r="F1669" s="1907">
        <v>46.54</v>
      </c>
      <c r="G1669" s="1110"/>
      <c r="H1669" s="1146">
        <v>20105</v>
      </c>
      <c r="I1669" s="1146">
        <v>20152</v>
      </c>
      <c r="K1669" s="1907"/>
      <c r="L1669" s="1110"/>
      <c r="M1669" s="1907"/>
      <c r="N1669" s="1110"/>
      <c r="O1669" s="1907"/>
      <c r="P1669" s="1110"/>
      <c r="Q1669" s="1907"/>
      <c r="R1669" s="1110"/>
      <c r="S1669" s="1629"/>
      <c r="T1669" s="1629"/>
      <c r="U1669" s="1629"/>
      <c r="V1669" s="1629"/>
      <c r="W1669" s="1629"/>
      <c r="X1669" s="1629"/>
      <c r="Y1669" s="1114"/>
      <c r="Z1669" s="2114">
        <f>C1669-'Blocking-Step2'!C1669</f>
        <v>0</v>
      </c>
      <c r="AA1669" s="2114">
        <f>D1669-'Blocking-Step2'!D1669</f>
        <v>0</v>
      </c>
      <c r="AC1669" s="2114">
        <f>F1669-'Blocking-Step2'!F1669</f>
        <v>0</v>
      </c>
      <c r="AE1669" s="2114">
        <f>H1669-'Blocking-Step2'!H1669</f>
        <v>0</v>
      </c>
      <c r="AF1669" s="2114">
        <f>I1669-'Blocking-Step2'!I1669</f>
        <v>0</v>
      </c>
      <c r="AH1669" s="2136">
        <f>K1669-'Blocking-Step2'!K1669</f>
        <v>0</v>
      </c>
      <c r="AJ1669" s="2136">
        <f>M1669-'Blocking-Step2'!M1669</f>
        <v>0</v>
      </c>
      <c r="AL1669" s="2136">
        <f>O1669-'Blocking-Step2'!O1669</f>
        <v>0</v>
      </c>
      <c r="AN1669" s="2137">
        <f>Q1669-'Blocking-Step2'!Q1669</f>
        <v>0</v>
      </c>
      <c r="AP1669" s="2127">
        <f>S1669-'Blocking-Step2'!S1669</f>
        <v>0</v>
      </c>
      <c r="AR1669" s="2127">
        <f>U1669-'Blocking-Step2'!U1669</f>
        <v>0</v>
      </c>
      <c r="AT1669" s="2127">
        <f>W1669-'Blocking-Step2'!W1669</f>
        <v>0</v>
      </c>
      <c r="AV1669" s="2128">
        <f>Y1669-'Blocking-Step2'!Y1669</f>
        <v>0</v>
      </c>
    </row>
    <row r="1670" spans="1:48">
      <c r="A1670" s="1116" t="s">
        <v>364</v>
      </c>
      <c r="C1670" s="1105">
        <v>49.735348226018402</v>
      </c>
      <c r="D1670" s="1105">
        <v>50</v>
      </c>
      <c r="F1670" s="1907">
        <v>38.049999999999997</v>
      </c>
      <c r="G1670" s="1110"/>
      <c r="H1670" s="1146">
        <v>1892</v>
      </c>
      <c r="I1670" s="1146">
        <v>1903</v>
      </c>
      <c r="K1670" s="1907"/>
      <c r="L1670" s="1110"/>
      <c r="M1670" s="1907"/>
      <c r="N1670" s="1110"/>
      <c r="O1670" s="1907"/>
      <c r="P1670" s="1110"/>
      <c r="Q1670" s="1907"/>
      <c r="R1670" s="1110"/>
      <c r="S1670" s="1629"/>
      <c r="T1670" s="1629"/>
      <c r="U1670" s="1629"/>
      <c r="V1670" s="1629"/>
      <c r="W1670" s="1629"/>
      <c r="X1670" s="1629"/>
      <c r="Y1670" s="1114"/>
      <c r="Z1670" s="2114">
        <f>C1670-'Blocking-Step2'!C1670</f>
        <v>0</v>
      </c>
      <c r="AA1670" s="2114">
        <f>D1670-'Blocking-Step2'!D1670</f>
        <v>0</v>
      </c>
      <c r="AC1670" s="2114">
        <f>F1670-'Blocking-Step2'!F1670</f>
        <v>0</v>
      </c>
      <c r="AE1670" s="2114">
        <f>H1670-'Blocking-Step2'!H1670</f>
        <v>0</v>
      </c>
      <c r="AF1670" s="2114">
        <f>I1670-'Blocking-Step2'!I1670</f>
        <v>0</v>
      </c>
      <c r="AH1670" s="2136">
        <f>K1670-'Blocking-Step2'!K1670</f>
        <v>0</v>
      </c>
      <c r="AJ1670" s="2136">
        <f>M1670-'Blocking-Step2'!M1670</f>
        <v>0</v>
      </c>
      <c r="AL1670" s="2136">
        <f>O1670-'Blocking-Step2'!O1670</f>
        <v>0</v>
      </c>
      <c r="AN1670" s="2137">
        <f>Q1670-'Blocking-Step2'!Q1670</f>
        <v>0</v>
      </c>
      <c r="AP1670" s="2127">
        <f>S1670-'Blocking-Step2'!S1670</f>
        <v>0</v>
      </c>
      <c r="AR1670" s="2127">
        <f>U1670-'Blocking-Step2'!U1670</f>
        <v>0</v>
      </c>
      <c r="AT1670" s="2127">
        <f>W1670-'Blocking-Step2'!W1670</f>
        <v>0</v>
      </c>
      <c r="AV1670" s="2128">
        <f>Y1670-'Blocking-Step2'!Y1670</f>
        <v>0</v>
      </c>
    </row>
    <row r="1671" spans="1:48">
      <c r="A1671" s="1116" t="s">
        <v>365</v>
      </c>
      <c r="C1671" s="1105">
        <v>19332.8754427391</v>
      </c>
      <c r="D1671" s="1105">
        <v>19374</v>
      </c>
      <c r="F1671" s="1907">
        <v>16.940000000000001</v>
      </c>
      <c r="G1671" s="1110"/>
      <c r="H1671" s="1146">
        <v>327499</v>
      </c>
      <c r="I1671" s="1146">
        <v>328196</v>
      </c>
      <c r="K1671" s="1907"/>
      <c r="L1671" s="1110"/>
      <c r="M1671" s="1907"/>
      <c r="N1671" s="1110"/>
      <c r="O1671" s="1907"/>
      <c r="P1671" s="1110"/>
      <c r="Q1671" s="1907"/>
      <c r="R1671" s="1110"/>
      <c r="S1671" s="1629"/>
      <c r="T1671" s="1629"/>
      <c r="U1671" s="1629"/>
      <c r="V1671" s="1629"/>
      <c r="W1671" s="1629"/>
      <c r="X1671" s="1629"/>
      <c r="Y1671" s="1114"/>
      <c r="Z1671" s="2114">
        <f>C1671-'Blocking-Step2'!C1671</f>
        <v>0</v>
      </c>
      <c r="AA1671" s="2114">
        <f>D1671-'Blocking-Step2'!D1671</f>
        <v>0</v>
      </c>
      <c r="AC1671" s="2114">
        <f>F1671-'Blocking-Step2'!F1671</f>
        <v>0</v>
      </c>
      <c r="AE1671" s="2114">
        <f>H1671-'Blocking-Step2'!H1671</f>
        <v>0</v>
      </c>
      <c r="AF1671" s="2114">
        <f>I1671-'Blocking-Step2'!I1671</f>
        <v>0</v>
      </c>
      <c r="AH1671" s="2136">
        <f>K1671-'Blocking-Step2'!K1671</f>
        <v>0</v>
      </c>
      <c r="AJ1671" s="2136">
        <f>M1671-'Blocking-Step2'!M1671</f>
        <v>0</v>
      </c>
      <c r="AL1671" s="2136">
        <f>O1671-'Blocking-Step2'!O1671</f>
        <v>0</v>
      </c>
      <c r="AN1671" s="2137">
        <f>Q1671-'Blocking-Step2'!Q1671</f>
        <v>0</v>
      </c>
      <c r="AP1671" s="2127">
        <f>S1671-'Blocking-Step2'!S1671</f>
        <v>0</v>
      </c>
      <c r="AR1671" s="2127">
        <f>U1671-'Blocking-Step2'!U1671</f>
        <v>0</v>
      </c>
      <c r="AT1671" s="2127">
        <f>W1671-'Blocking-Step2'!W1671</f>
        <v>0</v>
      </c>
      <c r="AV1671" s="2128">
        <f>Y1671-'Blocking-Step2'!Y1671</f>
        <v>0</v>
      </c>
    </row>
    <row r="1672" spans="1:48">
      <c r="A1672" s="1116" t="s">
        <v>366</v>
      </c>
      <c r="C1672" s="1105">
        <v>48</v>
      </c>
      <c r="D1672" s="1105">
        <v>48</v>
      </c>
      <c r="F1672" s="1907">
        <v>15.25</v>
      </c>
      <c r="G1672" s="1110"/>
      <c r="H1672" s="1146">
        <v>732</v>
      </c>
      <c r="I1672" s="1146">
        <v>732</v>
      </c>
      <c r="K1672" s="1907"/>
      <c r="L1672" s="1110"/>
      <c r="M1672" s="1907"/>
      <c r="N1672" s="1110"/>
      <c r="O1672" s="1907"/>
      <c r="P1672" s="1110"/>
      <c r="Q1672" s="1907"/>
      <c r="R1672" s="1110"/>
      <c r="S1672" s="1629"/>
      <c r="T1672" s="1629"/>
      <c r="U1672" s="1629"/>
      <c r="V1672" s="1629"/>
      <c r="W1672" s="1629"/>
      <c r="X1672" s="1629"/>
      <c r="Y1672" s="1114"/>
      <c r="Z1672" s="2114">
        <f>C1672-'Blocking-Step2'!C1672</f>
        <v>0</v>
      </c>
      <c r="AA1672" s="2114">
        <f>D1672-'Blocking-Step2'!D1672</f>
        <v>0</v>
      </c>
      <c r="AC1672" s="2114">
        <f>F1672-'Blocking-Step2'!F1672</f>
        <v>0</v>
      </c>
      <c r="AE1672" s="2114">
        <f>H1672-'Blocking-Step2'!H1672</f>
        <v>0</v>
      </c>
      <c r="AF1672" s="2114">
        <f>I1672-'Blocking-Step2'!I1672</f>
        <v>0</v>
      </c>
      <c r="AH1672" s="2136">
        <f>K1672-'Blocking-Step2'!K1672</f>
        <v>0</v>
      </c>
      <c r="AJ1672" s="2136">
        <f>M1672-'Blocking-Step2'!M1672</f>
        <v>0</v>
      </c>
      <c r="AL1672" s="2136">
        <f>O1672-'Blocking-Step2'!O1672</f>
        <v>0</v>
      </c>
      <c r="AN1672" s="2137">
        <f>Q1672-'Blocking-Step2'!Q1672</f>
        <v>0</v>
      </c>
      <c r="AP1672" s="2127">
        <f>S1672-'Blocking-Step2'!S1672</f>
        <v>0</v>
      </c>
      <c r="AR1672" s="2127">
        <f>U1672-'Blocking-Step2'!U1672</f>
        <v>0</v>
      </c>
      <c r="AT1672" s="2127">
        <f>W1672-'Blocking-Step2'!W1672</f>
        <v>0</v>
      </c>
      <c r="AV1672" s="2128">
        <f>Y1672-'Blocking-Step2'!Y1672</f>
        <v>0</v>
      </c>
    </row>
    <row r="1673" spans="1:48">
      <c r="A1673" s="1116" t="s">
        <v>367</v>
      </c>
      <c r="C1673" s="1105">
        <v>2376</v>
      </c>
      <c r="D1673" s="1105">
        <v>2381</v>
      </c>
      <c r="F1673" s="1907">
        <v>47.83</v>
      </c>
      <c r="G1673" s="1110"/>
      <c r="H1673" s="1146">
        <v>113644</v>
      </c>
      <c r="I1673" s="1146">
        <v>113883</v>
      </c>
      <c r="K1673" s="1907"/>
      <c r="L1673" s="1110"/>
      <c r="M1673" s="1907"/>
      <c r="N1673" s="1110"/>
      <c r="O1673" s="1907"/>
      <c r="P1673" s="1110"/>
      <c r="Q1673" s="1907"/>
      <c r="R1673" s="1110"/>
      <c r="S1673" s="1629"/>
      <c r="T1673" s="1629"/>
      <c r="U1673" s="1629"/>
      <c r="V1673" s="1629"/>
      <c r="W1673" s="1629"/>
      <c r="X1673" s="1629"/>
      <c r="Y1673" s="1114"/>
      <c r="Z1673" s="2114">
        <f>C1673-'Blocking-Step2'!C1673</f>
        <v>0</v>
      </c>
      <c r="AA1673" s="2114">
        <f>D1673-'Blocking-Step2'!D1673</f>
        <v>0</v>
      </c>
      <c r="AC1673" s="2114">
        <f>F1673-'Blocking-Step2'!F1673</f>
        <v>0</v>
      </c>
      <c r="AE1673" s="2114">
        <f>H1673-'Blocking-Step2'!H1673</f>
        <v>0</v>
      </c>
      <c r="AF1673" s="2114">
        <f>I1673-'Blocking-Step2'!I1673</f>
        <v>0</v>
      </c>
      <c r="AH1673" s="2136">
        <f>K1673-'Blocking-Step2'!K1673</f>
        <v>0</v>
      </c>
      <c r="AJ1673" s="2136">
        <f>M1673-'Blocking-Step2'!M1673</f>
        <v>0</v>
      </c>
      <c r="AL1673" s="2136">
        <f>O1673-'Blocking-Step2'!O1673</f>
        <v>0</v>
      </c>
      <c r="AN1673" s="2137">
        <f>Q1673-'Blocking-Step2'!Q1673</f>
        <v>0</v>
      </c>
      <c r="AP1673" s="2127">
        <f>S1673-'Blocking-Step2'!S1673</f>
        <v>0</v>
      </c>
      <c r="AR1673" s="2127">
        <f>U1673-'Blocking-Step2'!U1673</f>
        <v>0</v>
      </c>
      <c r="AT1673" s="2127">
        <f>W1673-'Blocking-Step2'!W1673</f>
        <v>0</v>
      </c>
      <c r="AV1673" s="2128">
        <f>Y1673-'Blocking-Step2'!Y1673</f>
        <v>0</v>
      </c>
    </row>
    <row r="1674" spans="1:48">
      <c r="A1674" s="1116" t="s">
        <v>368</v>
      </c>
      <c r="C1674" s="1105">
        <v>396</v>
      </c>
      <c r="D1674" s="1105">
        <v>397</v>
      </c>
      <c r="F1674" s="1907">
        <v>39.340000000000003</v>
      </c>
      <c r="G1674" s="1110"/>
      <c r="H1674" s="1146">
        <v>15579</v>
      </c>
      <c r="I1674" s="1146">
        <v>15618</v>
      </c>
      <c r="K1674" s="1907"/>
      <c r="L1674" s="1110"/>
      <c r="M1674" s="1907"/>
      <c r="N1674" s="1110"/>
      <c r="O1674" s="1907"/>
      <c r="P1674" s="1110"/>
      <c r="Q1674" s="1907"/>
      <c r="R1674" s="1110"/>
      <c r="S1674" s="1629"/>
      <c r="T1674" s="1629"/>
      <c r="U1674" s="1629"/>
      <c r="V1674" s="1629"/>
      <c r="W1674" s="1629"/>
      <c r="X1674" s="1629"/>
      <c r="Y1674" s="1114"/>
      <c r="Z1674" s="2114">
        <f>C1674-'Blocking-Step2'!C1674</f>
        <v>0</v>
      </c>
      <c r="AA1674" s="2114">
        <f>D1674-'Blocking-Step2'!D1674</f>
        <v>0</v>
      </c>
      <c r="AC1674" s="2114">
        <f>F1674-'Blocking-Step2'!F1674</f>
        <v>0</v>
      </c>
      <c r="AE1674" s="2114">
        <f>H1674-'Blocking-Step2'!H1674</f>
        <v>0</v>
      </c>
      <c r="AF1674" s="2114">
        <f>I1674-'Blocking-Step2'!I1674</f>
        <v>0</v>
      </c>
      <c r="AH1674" s="2136">
        <f>K1674-'Blocking-Step2'!K1674</f>
        <v>0</v>
      </c>
      <c r="AJ1674" s="2136">
        <f>M1674-'Blocking-Step2'!M1674</f>
        <v>0</v>
      </c>
      <c r="AL1674" s="2136">
        <f>O1674-'Blocking-Step2'!O1674</f>
        <v>0</v>
      </c>
      <c r="AN1674" s="2137">
        <f>Q1674-'Blocking-Step2'!Q1674</f>
        <v>0</v>
      </c>
      <c r="AP1674" s="2127">
        <f>S1674-'Blocking-Step2'!S1674</f>
        <v>0</v>
      </c>
      <c r="AR1674" s="2127">
        <f>U1674-'Blocking-Step2'!U1674</f>
        <v>0</v>
      </c>
      <c r="AT1674" s="2127">
        <f>W1674-'Blocking-Step2'!W1674</f>
        <v>0</v>
      </c>
      <c r="AV1674" s="2128">
        <f>Y1674-'Blocking-Step2'!Y1674</f>
        <v>0</v>
      </c>
    </row>
    <row r="1675" spans="1:48">
      <c r="A1675" s="1116" t="s">
        <v>369</v>
      </c>
      <c r="C1675" s="1105">
        <v>22425.718543046401</v>
      </c>
      <c r="D1675" s="1105">
        <v>22473</v>
      </c>
      <c r="F1675" s="1907">
        <v>21.14</v>
      </c>
      <c r="G1675" s="1110"/>
      <c r="H1675" s="1146">
        <v>474080</v>
      </c>
      <c r="I1675" s="1146">
        <v>475079</v>
      </c>
      <c r="K1675" s="1907"/>
      <c r="L1675" s="1110"/>
      <c r="M1675" s="1907"/>
      <c r="N1675" s="1110"/>
      <c r="O1675" s="1907"/>
      <c r="P1675" s="1110"/>
      <c r="Q1675" s="1907"/>
      <c r="R1675" s="1110"/>
      <c r="S1675" s="1629"/>
      <c r="T1675" s="1629"/>
      <c r="U1675" s="1629"/>
      <c r="V1675" s="1629"/>
      <c r="W1675" s="1629"/>
      <c r="X1675" s="1629"/>
      <c r="Y1675" s="1114"/>
      <c r="Z1675" s="2114">
        <f>C1675-'Blocking-Step2'!C1675</f>
        <v>0</v>
      </c>
      <c r="AA1675" s="2114">
        <f>D1675-'Blocking-Step2'!D1675</f>
        <v>0</v>
      </c>
      <c r="AC1675" s="2114">
        <f>F1675-'Blocking-Step2'!F1675</f>
        <v>0</v>
      </c>
      <c r="AE1675" s="2114">
        <f>H1675-'Blocking-Step2'!H1675</f>
        <v>0</v>
      </c>
      <c r="AF1675" s="2114">
        <f>I1675-'Blocking-Step2'!I1675</f>
        <v>0</v>
      </c>
      <c r="AH1675" s="2136">
        <f>K1675-'Blocking-Step2'!K1675</f>
        <v>0</v>
      </c>
      <c r="AJ1675" s="2136">
        <f>M1675-'Blocking-Step2'!M1675</f>
        <v>0</v>
      </c>
      <c r="AL1675" s="2136">
        <f>O1675-'Blocking-Step2'!O1675</f>
        <v>0</v>
      </c>
      <c r="AN1675" s="2137">
        <f>Q1675-'Blocking-Step2'!Q1675</f>
        <v>0</v>
      </c>
      <c r="AP1675" s="2127">
        <f>S1675-'Blocking-Step2'!S1675</f>
        <v>0</v>
      </c>
      <c r="AR1675" s="2127">
        <f>U1675-'Blocking-Step2'!U1675</f>
        <v>0</v>
      </c>
      <c r="AT1675" s="2127">
        <f>W1675-'Blocking-Step2'!W1675</f>
        <v>0</v>
      </c>
      <c r="AV1675" s="2128">
        <f>Y1675-'Blocking-Step2'!Y1675</f>
        <v>0</v>
      </c>
    </row>
    <row r="1676" spans="1:48">
      <c r="A1676" s="1116" t="s">
        <v>370</v>
      </c>
      <c r="C1676" s="1105">
        <v>12</v>
      </c>
      <c r="D1676" s="1105">
        <v>12</v>
      </c>
      <c r="F1676" s="1907">
        <v>19.03</v>
      </c>
      <c r="G1676" s="1110"/>
      <c r="H1676" s="1146">
        <v>228</v>
      </c>
      <c r="I1676" s="1146">
        <v>228</v>
      </c>
      <c r="K1676" s="1907"/>
      <c r="L1676" s="1110"/>
      <c r="M1676" s="1907"/>
      <c r="N1676" s="1110"/>
      <c r="O1676" s="1907"/>
      <c r="P1676" s="1110"/>
      <c r="Q1676" s="1907"/>
      <c r="R1676" s="1110"/>
      <c r="S1676" s="1629"/>
      <c r="T1676" s="1629"/>
      <c r="U1676" s="1629"/>
      <c r="V1676" s="1629"/>
      <c r="W1676" s="1629"/>
      <c r="X1676" s="1629"/>
      <c r="Y1676" s="1114"/>
      <c r="Z1676" s="2114">
        <f>C1676-'Blocking-Step2'!C1676</f>
        <v>0</v>
      </c>
      <c r="AA1676" s="2114">
        <f>D1676-'Blocking-Step2'!D1676</f>
        <v>0</v>
      </c>
      <c r="AC1676" s="2114">
        <f>F1676-'Blocking-Step2'!F1676</f>
        <v>0</v>
      </c>
      <c r="AE1676" s="2114">
        <f>H1676-'Blocking-Step2'!H1676</f>
        <v>0</v>
      </c>
      <c r="AF1676" s="2114">
        <f>I1676-'Blocking-Step2'!I1676</f>
        <v>0</v>
      </c>
      <c r="AH1676" s="2136">
        <f>K1676-'Blocking-Step2'!K1676</f>
        <v>0</v>
      </c>
      <c r="AJ1676" s="2136">
        <f>M1676-'Blocking-Step2'!M1676</f>
        <v>0</v>
      </c>
      <c r="AL1676" s="2136">
        <f>O1676-'Blocking-Step2'!O1676</f>
        <v>0</v>
      </c>
      <c r="AN1676" s="2137">
        <f>Q1676-'Blocking-Step2'!Q1676</f>
        <v>0</v>
      </c>
      <c r="AP1676" s="2127">
        <f>S1676-'Blocking-Step2'!S1676</f>
        <v>0</v>
      </c>
      <c r="AR1676" s="2127">
        <f>U1676-'Blocking-Step2'!U1676</f>
        <v>0</v>
      </c>
      <c r="AT1676" s="2127">
        <f>W1676-'Blocking-Step2'!W1676</f>
        <v>0</v>
      </c>
      <c r="AV1676" s="2128">
        <f>Y1676-'Blocking-Step2'!Y1676</f>
        <v>0</v>
      </c>
    </row>
    <row r="1677" spans="1:48">
      <c r="A1677" s="1116" t="s">
        <v>372</v>
      </c>
      <c r="C1677" s="1105">
        <v>1248</v>
      </c>
      <c r="D1677" s="1105">
        <v>1251</v>
      </c>
      <c r="F1677" s="1907">
        <v>51.48</v>
      </c>
      <c r="G1677" s="1110"/>
      <c r="H1677" s="1146">
        <v>64247</v>
      </c>
      <c r="I1677" s="1146">
        <v>64401</v>
      </c>
      <c r="K1677" s="1907"/>
      <c r="L1677" s="1110"/>
      <c r="M1677" s="1907"/>
      <c r="N1677" s="1110"/>
      <c r="O1677" s="1907"/>
      <c r="P1677" s="1110"/>
      <c r="Q1677" s="1907"/>
      <c r="R1677" s="1110"/>
      <c r="S1677" s="1629"/>
      <c r="T1677" s="1629"/>
      <c r="U1677" s="1629"/>
      <c r="V1677" s="1629"/>
      <c r="W1677" s="1629"/>
      <c r="X1677" s="1629"/>
      <c r="Y1677" s="1114"/>
      <c r="Z1677" s="2114">
        <f>C1677-'Blocking-Step2'!C1677</f>
        <v>0</v>
      </c>
      <c r="AA1677" s="2114">
        <f>D1677-'Blocking-Step2'!D1677</f>
        <v>0</v>
      </c>
      <c r="AC1677" s="2114">
        <f>F1677-'Blocking-Step2'!F1677</f>
        <v>0</v>
      </c>
      <c r="AE1677" s="2114">
        <f>H1677-'Blocking-Step2'!H1677</f>
        <v>0</v>
      </c>
      <c r="AF1677" s="2114">
        <f>I1677-'Blocking-Step2'!I1677</f>
        <v>0</v>
      </c>
      <c r="AH1677" s="2136">
        <f>K1677-'Blocking-Step2'!K1677</f>
        <v>0</v>
      </c>
      <c r="AJ1677" s="2136">
        <f>M1677-'Blocking-Step2'!M1677</f>
        <v>0</v>
      </c>
      <c r="AL1677" s="2136">
        <f>O1677-'Blocking-Step2'!O1677</f>
        <v>0</v>
      </c>
      <c r="AN1677" s="2137">
        <f>Q1677-'Blocking-Step2'!Q1677</f>
        <v>0</v>
      </c>
      <c r="AP1677" s="2127">
        <f>S1677-'Blocking-Step2'!S1677</f>
        <v>0</v>
      </c>
      <c r="AR1677" s="2127">
        <f>U1677-'Blocking-Step2'!U1677</f>
        <v>0</v>
      </c>
      <c r="AT1677" s="2127">
        <f>W1677-'Blocking-Step2'!W1677</f>
        <v>0</v>
      </c>
      <c r="AV1677" s="2128">
        <f>Y1677-'Blocking-Step2'!Y1677</f>
        <v>0</v>
      </c>
    </row>
    <row r="1678" spans="1:48">
      <c r="A1678" s="1116" t="s">
        <v>373</v>
      </c>
      <c r="C1678" s="1105">
        <v>0</v>
      </c>
      <c r="D1678" s="1105">
        <v>0</v>
      </c>
      <c r="F1678" s="1907">
        <v>43.01</v>
      </c>
      <c r="G1678" s="1110"/>
      <c r="H1678" s="1146">
        <v>0</v>
      </c>
      <c r="I1678" s="1146">
        <v>0</v>
      </c>
      <c r="K1678" s="1907"/>
      <c r="L1678" s="1110"/>
      <c r="M1678" s="1907"/>
      <c r="N1678" s="1110"/>
      <c r="O1678" s="1907"/>
      <c r="P1678" s="1110"/>
      <c r="Q1678" s="1907"/>
      <c r="R1678" s="1110"/>
      <c r="S1678" s="1629"/>
      <c r="T1678" s="1629"/>
      <c r="U1678" s="1629"/>
      <c r="V1678" s="1629"/>
      <c r="W1678" s="1629"/>
      <c r="X1678" s="1629"/>
      <c r="Y1678" s="1114"/>
      <c r="Z1678" s="2114">
        <f>C1678-'Blocking-Step2'!C1678</f>
        <v>0</v>
      </c>
      <c r="AA1678" s="2114">
        <f>D1678-'Blocking-Step2'!D1678</f>
        <v>0</v>
      </c>
      <c r="AC1678" s="2114">
        <f>F1678-'Blocking-Step2'!F1678</f>
        <v>0</v>
      </c>
      <c r="AE1678" s="2114">
        <f>H1678-'Blocking-Step2'!H1678</f>
        <v>0</v>
      </c>
      <c r="AF1678" s="2114">
        <f>I1678-'Blocking-Step2'!I1678</f>
        <v>0</v>
      </c>
      <c r="AH1678" s="2136">
        <f>K1678-'Blocking-Step2'!K1678</f>
        <v>0</v>
      </c>
      <c r="AJ1678" s="2136">
        <f>M1678-'Blocking-Step2'!M1678</f>
        <v>0</v>
      </c>
      <c r="AL1678" s="2136">
        <f>O1678-'Blocking-Step2'!O1678</f>
        <v>0</v>
      </c>
      <c r="AN1678" s="2137">
        <f>Q1678-'Blocking-Step2'!Q1678</f>
        <v>0</v>
      </c>
      <c r="AP1678" s="2127">
        <f>S1678-'Blocking-Step2'!S1678</f>
        <v>0</v>
      </c>
      <c r="AR1678" s="2127">
        <f>U1678-'Blocking-Step2'!U1678</f>
        <v>0</v>
      </c>
      <c r="AT1678" s="2127">
        <f>W1678-'Blocking-Step2'!W1678</f>
        <v>0</v>
      </c>
      <c r="AV1678" s="2128">
        <f>Y1678-'Blocking-Step2'!Y1678</f>
        <v>0</v>
      </c>
    </row>
    <row r="1679" spans="1:48">
      <c r="A1679" s="1116" t="s">
        <v>374</v>
      </c>
      <c r="C1679" s="1105">
        <v>7669.15680245965</v>
      </c>
      <c r="D1679" s="1105">
        <v>7685</v>
      </c>
      <c r="F1679" s="1907">
        <v>26.02</v>
      </c>
      <c r="G1679" s="1110"/>
      <c r="H1679" s="1146">
        <v>199551</v>
      </c>
      <c r="I1679" s="1146">
        <v>199964</v>
      </c>
      <c r="K1679" s="1907"/>
      <c r="L1679" s="1110"/>
      <c r="M1679" s="1907"/>
      <c r="N1679" s="1110"/>
      <c r="O1679" s="1907"/>
      <c r="P1679" s="1110"/>
      <c r="Q1679" s="1907"/>
      <c r="R1679" s="1110"/>
      <c r="S1679" s="1629"/>
      <c r="T1679" s="1629"/>
      <c r="U1679" s="1629"/>
      <c r="V1679" s="1629"/>
      <c r="W1679" s="1629"/>
      <c r="X1679" s="1629"/>
      <c r="Y1679" s="1114"/>
      <c r="Z1679" s="2114">
        <f>C1679-'Blocking-Step2'!C1679</f>
        <v>0</v>
      </c>
      <c r="AA1679" s="2114">
        <f>D1679-'Blocking-Step2'!D1679</f>
        <v>0</v>
      </c>
      <c r="AC1679" s="2114">
        <f>F1679-'Blocking-Step2'!F1679</f>
        <v>0</v>
      </c>
      <c r="AE1679" s="2114">
        <f>H1679-'Blocking-Step2'!H1679</f>
        <v>0</v>
      </c>
      <c r="AF1679" s="2114">
        <f>I1679-'Blocking-Step2'!I1679</f>
        <v>0</v>
      </c>
      <c r="AH1679" s="2136">
        <f>K1679-'Blocking-Step2'!K1679</f>
        <v>0</v>
      </c>
      <c r="AJ1679" s="2136">
        <f>M1679-'Blocking-Step2'!M1679</f>
        <v>0</v>
      </c>
      <c r="AL1679" s="2136">
        <f>O1679-'Blocking-Step2'!O1679</f>
        <v>0</v>
      </c>
      <c r="AN1679" s="2137">
        <f>Q1679-'Blocking-Step2'!Q1679</f>
        <v>0</v>
      </c>
      <c r="AP1679" s="2127">
        <f>S1679-'Blocking-Step2'!S1679</f>
        <v>0</v>
      </c>
      <c r="AR1679" s="2127">
        <f>U1679-'Blocking-Step2'!U1679</f>
        <v>0</v>
      </c>
      <c r="AT1679" s="2127">
        <f>W1679-'Blocking-Step2'!W1679</f>
        <v>0</v>
      </c>
      <c r="AV1679" s="2128">
        <f>Y1679-'Blocking-Step2'!Y1679</f>
        <v>0</v>
      </c>
    </row>
    <row r="1680" spans="1:48">
      <c r="A1680" s="1116" t="s">
        <v>338</v>
      </c>
      <c r="C1680" s="1105">
        <v>0</v>
      </c>
      <c r="D1680" s="1105">
        <v>0</v>
      </c>
      <c r="F1680" s="1907">
        <v>51.54</v>
      </c>
      <c r="G1680" s="1110"/>
      <c r="H1680" s="1146">
        <v>0</v>
      </c>
      <c r="I1680" s="1146">
        <v>0</v>
      </c>
      <c r="K1680" s="1907"/>
      <c r="L1680" s="1110"/>
      <c r="M1680" s="1907"/>
      <c r="N1680" s="1110"/>
      <c r="O1680" s="1907"/>
      <c r="P1680" s="1110"/>
      <c r="Q1680" s="1907"/>
      <c r="R1680" s="1110"/>
      <c r="S1680" s="1629"/>
      <c r="T1680" s="1629"/>
      <c r="U1680" s="1629"/>
      <c r="V1680" s="1629"/>
      <c r="W1680" s="1629"/>
      <c r="X1680" s="1629"/>
      <c r="Y1680" s="1114"/>
      <c r="Z1680" s="2114">
        <f>C1680-'Blocking-Step2'!C1680</f>
        <v>0</v>
      </c>
      <c r="AA1680" s="2114">
        <f>D1680-'Blocking-Step2'!D1680</f>
        <v>0</v>
      </c>
      <c r="AC1680" s="2114">
        <f>F1680-'Blocking-Step2'!F1680</f>
        <v>0</v>
      </c>
      <c r="AE1680" s="2114">
        <f>H1680-'Blocking-Step2'!H1680</f>
        <v>0</v>
      </c>
      <c r="AF1680" s="2114">
        <f>I1680-'Blocking-Step2'!I1680</f>
        <v>0</v>
      </c>
      <c r="AH1680" s="2136">
        <f>K1680-'Blocking-Step2'!K1680</f>
        <v>0</v>
      </c>
      <c r="AJ1680" s="2136">
        <f>M1680-'Blocking-Step2'!M1680</f>
        <v>0</v>
      </c>
      <c r="AL1680" s="2136">
        <f>O1680-'Blocking-Step2'!O1680</f>
        <v>0</v>
      </c>
      <c r="AN1680" s="2137">
        <f>Q1680-'Blocking-Step2'!Q1680</f>
        <v>0</v>
      </c>
      <c r="AP1680" s="2127">
        <f>S1680-'Blocking-Step2'!S1680</f>
        <v>0</v>
      </c>
      <c r="AR1680" s="2127">
        <f>U1680-'Blocking-Step2'!U1680</f>
        <v>0</v>
      </c>
      <c r="AT1680" s="2127">
        <f>W1680-'Blocking-Step2'!W1680</f>
        <v>0</v>
      </c>
      <c r="AV1680" s="2128">
        <f>Y1680-'Blocking-Step2'!Y1680</f>
        <v>0</v>
      </c>
    </row>
    <row r="1681" spans="1:48">
      <c r="A1681" s="1977" t="s">
        <v>770</v>
      </c>
      <c r="C1681" s="1105"/>
      <c r="D1681" s="1105"/>
      <c r="F1681" s="1142"/>
      <c r="G1681" s="617"/>
      <c r="H1681" s="1146"/>
      <c r="I1681" s="1146"/>
      <c r="K1681" s="1142"/>
      <c r="L1681" s="617"/>
      <c r="M1681" s="1142"/>
      <c r="N1681" s="617"/>
      <c r="O1681" s="1142"/>
      <c r="P1681" s="617"/>
      <c r="Q1681" s="1142"/>
      <c r="R1681" s="617"/>
      <c r="S1681" s="1114"/>
      <c r="T1681" s="1114"/>
      <c r="U1681" s="1114"/>
      <c r="V1681" s="1114"/>
      <c r="W1681" s="1114"/>
      <c r="X1681" s="1114"/>
      <c r="Y1681" s="1114"/>
      <c r="Z1681" s="2114">
        <f>C1681-'Blocking-Step2'!C1681</f>
        <v>0</v>
      </c>
      <c r="AA1681" s="2114">
        <f>D1681-'Blocking-Step2'!D1681</f>
        <v>0</v>
      </c>
      <c r="AC1681" s="2114">
        <f>F1681-'Blocking-Step2'!F1681</f>
        <v>0</v>
      </c>
      <c r="AE1681" s="2114">
        <f>H1681-'Blocking-Step2'!H1681</f>
        <v>0</v>
      </c>
      <c r="AF1681" s="2114">
        <f>I1681-'Blocking-Step2'!I1681</f>
        <v>0</v>
      </c>
      <c r="AH1681" s="2136">
        <f>K1681-'Blocking-Step2'!K1681</f>
        <v>0</v>
      </c>
      <c r="AJ1681" s="2136">
        <f>M1681-'Blocking-Step2'!M1681</f>
        <v>0</v>
      </c>
      <c r="AL1681" s="2136">
        <f>O1681-'Blocking-Step2'!O1681</f>
        <v>0</v>
      </c>
      <c r="AN1681" s="2137">
        <f>Q1681-'Blocking-Step2'!Q1681</f>
        <v>0</v>
      </c>
      <c r="AP1681" s="2127">
        <f>S1681-'Blocking-Step2'!S1681</f>
        <v>0</v>
      </c>
      <c r="AR1681" s="2127">
        <f>U1681-'Blocking-Step2'!U1681</f>
        <v>0</v>
      </c>
      <c r="AT1681" s="2127">
        <f>W1681-'Blocking-Step2'!W1681</f>
        <v>0</v>
      </c>
      <c r="AV1681" s="2128">
        <f>Y1681-'Blocking-Step2'!Y1681</f>
        <v>0</v>
      </c>
    </row>
    <row r="1682" spans="1:48">
      <c r="A1682" s="1116" t="s">
        <v>376</v>
      </c>
      <c r="C1682" s="1105">
        <v>27.862125564218299</v>
      </c>
      <c r="D1682" s="1105">
        <v>28</v>
      </c>
      <c r="F1682" s="1907">
        <v>48.74</v>
      </c>
      <c r="G1682" s="1110"/>
      <c r="H1682" s="1146">
        <v>1358</v>
      </c>
      <c r="I1682" s="1146">
        <v>1365</v>
      </c>
      <c r="K1682" s="1907"/>
      <c r="L1682" s="1110"/>
      <c r="M1682" s="1907"/>
      <c r="N1682" s="1110"/>
      <c r="O1682" s="1907"/>
      <c r="P1682" s="1110"/>
      <c r="Q1682" s="1907"/>
      <c r="R1682" s="1110"/>
      <c r="S1682" s="1629"/>
      <c r="T1682" s="1629"/>
      <c r="U1682" s="1629"/>
      <c r="V1682" s="1629"/>
      <c r="W1682" s="1629"/>
      <c r="X1682" s="1629"/>
      <c r="Y1682" s="1114"/>
      <c r="Z1682" s="2114">
        <f>C1682-'Blocking-Step2'!C1682</f>
        <v>0</v>
      </c>
      <c r="AA1682" s="2114">
        <f>D1682-'Blocking-Step2'!D1682</f>
        <v>0</v>
      </c>
      <c r="AC1682" s="2114">
        <f>F1682-'Blocking-Step2'!F1682</f>
        <v>0</v>
      </c>
      <c r="AE1682" s="2114">
        <f>H1682-'Blocking-Step2'!H1682</f>
        <v>0</v>
      </c>
      <c r="AF1682" s="2114">
        <f>I1682-'Blocking-Step2'!I1682</f>
        <v>0</v>
      </c>
      <c r="AH1682" s="2136">
        <f>K1682-'Blocking-Step2'!K1682</f>
        <v>0</v>
      </c>
      <c r="AJ1682" s="2136">
        <f>M1682-'Blocking-Step2'!M1682</f>
        <v>0</v>
      </c>
      <c r="AL1682" s="2136">
        <f>O1682-'Blocking-Step2'!O1682</f>
        <v>0</v>
      </c>
      <c r="AN1682" s="2137">
        <f>Q1682-'Blocking-Step2'!Q1682</f>
        <v>0</v>
      </c>
      <c r="AP1682" s="2127">
        <f>S1682-'Blocking-Step2'!S1682</f>
        <v>0</v>
      </c>
      <c r="AR1682" s="2127">
        <f>U1682-'Blocking-Step2'!U1682</f>
        <v>0</v>
      </c>
      <c r="AT1682" s="2127">
        <f>W1682-'Blocking-Step2'!W1682</f>
        <v>0</v>
      </c>
      <c r="AV1682" s="2128">
        <f>Y1682-'Blocking-Step2'!Y1682</f>
        <v>0</v>
      </c>
    </row>
    <row r="1683" spans="1:48">
      <c r="A1683" s="1116" t="s">
        <v>382</v>
      </c>
      <c r="C1683" s="1105">
        <v>36</v>
      </c>
      <c r="D1683" s="1105">
        <v>36</v>
      </c>
      <c r="F1683" s="1907">
        <v>40.270000000000003</v>
      </c>
      <c r="G1683" s="1110"/>
      <c r="H1683" s="1146">
        <v>1450</v>
      </c>
      <c r="I1683" s="1146">
        <v>1450</v>
      </c>
      <c r="K1683" s="1907"/>
      <c r="L1683" s="1110"/>
      <c r="M1683" s="1907"/>
      <c r="N1683" s="1110"/>
      <c r="O1683" s="1907"/>
      <c r="P1683" s="1110"/>
      <c r="Q1683" s="1907"/>
      <c r="R1683" s="1110"/>
      <c r="S1683" s="1629"/>
      <c r="T1683" s="1629"/>
      <c r="U1683" s="1629"/>
      <c r="V1683" s="1629"/>
      <c r="W1683" s="1629"/>
      <c r="X1683" s="1629"/>
      <c r="Y1683" s="1114"/>
      <c r="Z1683" s="2114">
        <f>C1683-'Blocking-Step2'!C1683</f>
        <v>0</v>
      </c>
      <c r="AA1683" s="2114">
        <f>D1683-'Blocking-Step2'!D1683</f>
        <v>0</v>
      </c>
      <c r="AC1683" s="2114">
        <f>F1683-'Blocking-Step2'!F1683</f>
        <v>0</v>
      </c>
      <c r="AE1683" s="2114">
        <f>H1683-'Blocking-Step2'!H1683</f>
        <v>0</v>
      </c>
      <c r="AF1683" s="2114">
        <f>I1683-'Blocking-Step2'!I1683</f>
        <v>0</v>
      </c>
      <c r="AH1683" s="2136">
        <f>K1683-'Blocking-Step2'!K1683</f>
        <v>0</v>
      </c>
      <c r="AJ1683" s="2136">
        <f>M1683-'Blocking-Step2'!M1683</f>
        <v>0</v>
      </c>
      <c r="AL1683" s="2136">
        <f>O1683-'Blocking-Step2'!O1683</f>
        <v>0</v>
      </c>
      <c r="AN1683" s="2137">
        <f>Q1683-'Blocking-Step2'!Q1683</f>
        <v>0</v>
      </c>
      <c r="AP1683" s="2127">
        <f>S1683-'Blocking-Step2'!S1683</f>
        <v>0</v>
      </c>
      <c r="AR1683" s="2127">
        <f>U1683-'Blocking-Step2'!U1683</f>
        <v>0</v>
      </c>
      <c r="AT1683" s="2127">
        <f>W1683-'Blocking-Step2'!W1683</f>
        <v>0</v>
      </c>
      <c r="AV1683" s="2128">
        <f>Y1683-'Blocking-Step2'!Y1683</f>
        <v>0</v>
      </c>
    </row>
    <row r="1684" spans="1:48">
      <c r="A1684" s="1116" t="s">
        <v>381</v>
      </c>
      <c r="C1684" s="1105">
        <v>48.0998509687034</v>
      </c>
      <c r="D1684" s="1105">
        <v>48</v>
      </c>
      <c r="F1684" s="1907">
        <v>20.13</v>
      </c>
      <c r="G1684" s="1110"/>
      <c r="H1684" s="1146">
        <v>968</v>
      </c>
      <c r="I1684" s="1146">
        <v>966</v>
      </c>
      <c r="K1684" s="1907"/>
      <c r="L1684" s="1110"/>
      <c r="M1684" s="1907"/>
      <c r="N1684" s="1110"/>
      <c r="O1684" s="1907"/>
      <c r="P1684" s="1110"/>
      <c r="Q1684" s="1907"/>
      <c r="R1684" s="1110"/>
      <c r="S1684" s="1629"/>
      <c r="T1684" s="1629"/>
      <c r="U1684" s="1629"/>
      <c r="V1684" s="1629"/>
      <c r="W1684" s="1629"/>
      <c r="X1684" s="1629"/>
      <c r="Y1684" s="1114"/>
      <c r="Z1684" s="2114">
        <f>C1684-'Blocking-Step2'!C1684</f>
        <v>0</v>
      </c>
      <c r="AA1684" s="2114">
        <f>D1684-'Blocking-Step2'!D1684</f>
        <v>0</v>
      </c>
      <c r="AC1684" s="2114">
        <f>F1684-'Blocking-Step2'!F1684</f>
        <v>0</v>
      </c>
      <c r="AE1684" s="2114">
        <f>H1684-'Blocking-Step2'!H1684</f>
        <v>0</v>
      </c>
      <c r="AF1684" s="2114">
        <f>I1684-'Blocking-Step2'!I1684</f>
        <v>0</v>
      </c>
      <c r="AH1684" s="2136">
        <f>K1684-'Blocking-Step2'!K1684</f>
        <v>0</v>
      </c>
      <c r="AJ1684" s="2136">
        <f>M1684-'Blocking-Step2'!M1684</f>
        <v>0</v>
      </c>
      <c r="AL1684" s="2136">
        <f>O1684-'Blocking-Step2'!O1684</f>
        <v>0</v>
      </c>
      <c r="AN1684" s="2137">
        <f>Q1684-'Blocking-Step2'!Q1684</f>
        <v>0</v>
      </c>
      <c r="AP1684" s="2127">
        <f>S1684-'Blocking-Step2'!S1684</f>
        <v>0</v>
      </c>
      <c r="AR1684" s="2127">
        <f>U1684-'Blocking-Step2'!U1684</f>
        <v>0</v>
      </c>
      <c r="AT1684" s="2127">
        <f>W1684-'Blocking-Step2'!W1684</f>
        <v>0</v>
      </c>
      <c r="AV1684" s="2128">
        <f>Y1684-'Blocking-Step2'!Y1684</f>
        <v>0</v>
      </c>
    </row>
    <row r="1685" spans="1:48">
      <c r="A1685" s="1116" t="s">
        <v>378</v>
      </c>
      <c r="C1685" s="1105">
        <v>0</v>
      </c>
      <c r="D1685" s="1105">
        <v>0</v>
      </c>
      <c r="F1685" s="1907">
        <v>50.65</v>
      </c>
      <c r="G1685" s="1110"/>
      <c r="H1685" s="1146">
        <v>0</v>
      </c>
      <c r="I1685" s="1146">
        <v>0</v>
      </c>
      <c r="K1685" s="1907"/>
      <c r="L1685" s="1110"/>
      <c r="M1685" s="1907"/>
      <c r="N1685" s="1110"/>
      <c r="O1685" s="1907"/>
      <c r="P1685" s="1110"/>
      <c r="Q1685" s="1907"/>
      <c r="R1685" s="1110"/>
      <c r="S1685" s="1629"/>
      <c r="T1685" s="1629"/>
      <c r="U1685" s="1629"/>
      <c r="V1685" s="1629"/>
      <c r="W1685" s="1629"/>
      <c r="X1685" s="1629"/>
      <c r="Y1685" s="1114"/>
      <c r="Z1685" s="2114">
        <f>C1685-'Blocking-Step2'!C1685</f>
        <v>0</v>
      </c>
      <c r="AA1685" s="2114">
        <f>D1685-'Blocking-Step2'!D1685</f>
        <v>0</v>
      </c>
      <c r="AC1685" s="2114">
        <f>F1685-'Blocking-Step2'!F1685</f>
        <v>0</v>
      </c>
      <c r="AE1685" s="2114">
        <f>H1685-'Blocking-Step2'!H1685</f>
        <v>0</v>
      </c>
      <c r="AF1685" s="2114">
        <f>I1685-'Blocking-Step2'!I1685</f>
        <v>0</v>
      </c>
      <c r="AH1685" s="2136">
        <f>K1685-'Blocking-Step2'!K1685</f>
        <v>0</v>
      </c>
      <c r="AJ1685" s="2136">
        <f>M1685-'Blocking-Step2'!M1685</f>
        <v>0</v>
      </c>
      <c r="AL1685" s="2136">
        <f>O1685-'Blocking-Step2'!O1685</f>
        <v>0</v>
      </c>
      <c r="AN1685" s="2137">
        <f>Q1685-'Blocking-Step2'!Q1685</f>
        <v>0</v>
      </c>
      <c r="AP1685" s="2127">
        <f>S1685-'Blocking-Step2'!S1685</f>
        <v>0</v>
      </c>
      <c r="AR1685" s="2127">
        <f>U1685-'Blocking-Step2'!U1685</f>
        <v>0</v>
      </c>
      <c r="AT1685" s="2127">
        <f>W1685-'Blocking-Step2'!W1685</f>
        <v>0</v>
      </c>
      <c r="AV1685" s="2128">
        <f>Y1685-'Blocking-Step2'!Y1685</f>
        <v>0</v>
      </c>
    </row>
    <row r="1686" spans="1:48">
      <c r="A1686" s="1116" t="s">
        <v>377</v>
      </c>
      <c r="C1686" s="1105">
        <v>12</v>
      </c>
      <c r="D1686" s="1105">
        <v>12</v>
      </c>
      <c r="F1686" s="1907">
        <v>42.17</v>
      </c>
      <c r="G1686" s="1110"/>
      <c r="H1686" s="1146">
        <v>506</v>
      </c>
      <c r="I1686" s="1146">
        <v>506</v>
      </c>
      <c r="K1686" s="1907"/>
      <c r="L1686" s="1110"/>
      <c r="M1686" s="1907"/>
      <c r="N1686" s="1110"/>
      <c r="O1686" s="1907"/>
      <c r="P1686" s="1110"/>
      <c r="Q1686" s="1907"/>
      <c r="R1686" s="1110"/>
      <c r="S1686" s="1629"/>
      <c r="T1686" s="1629"/>
      <c r="U1686" s="1629"/>
      <c r="V1686" s="1629"/>
      <c r="W1686" s="1629"/>
      <c r="X1686" s="1629"/>
      <c r="Y1686" s="1114"/>
      <c r="Z1686" s="2114">
        <f>C1686-'Blocking-Step2'!C1686</f>
        <v>0</v>
      </c>
      <c r="AA1686" s="2114">
        <f>D1686-'Blocking-Step2'!D1686</f>
        <v>0</v>
      </c>
      <c r="AC1686" s="2114">
        <f>F1686-'Blocking-Step2'!F1686</f>
        <v>0</v>
      </c>
      <c r="AE1686" s="2114">
        <f>H1686-'Blocking-Step2'!H1686</f>
        <v>0</v>
      </c>
      <c r="AF1686" s="2114">
        <f>I1686-'Blocking-Step2'!I1686</f>
        <v>0</v>
      </c>
      <c r="AH1686" s="2136">
        <f>K1686-'Blocking-Step2'!K1686</f>
        <v>0</v>
      </c>
      <c r="AJ1686" s="2136">
        <f>M1686-'Blocking-Step2'!M1686</f>
        <v>0</v>
      </c>
      <c r="AL1686" s="2136">
        <f>O1686-'Blocking-Step2'!O1686</f>
        <v>0</v>
      </c>
      <c r="AN1686" s="2137">
        <f>Q1686-'Blocking-Step2'!Q1686</f>
        <v>0</v>
      </c>
      <c r="AP1686" s="2127">
        <f>S1686-'Blocking-Step2'!S1686</f>
        <v>0</v>
      </c>
      <c r="AR1686" s="2127">
        <f>U1686-'Blocking-Step2'!U1686</f>
        <v>0</v>
      </c>
      <c r="AT1686" s="2127">
        <f>W1686-'Blocking-Step2'!W1686</f>
        <v>0</v>
      </c>
      <c r="AV1686" s="2128">
        <f>Y1686-'Blocking-Step2'!Y1686</f>
        <v>0</v>
      </c>
    </row>
    <row r="1687" spans="1:48">
      <c r="A1687" s="1116" t="s">
        <v>383</v>
      </c>
      <c r="C1687" s="1105">
        <v>312</v>
      </c>
      <c r="D1687" s="1105">
        <v>313</v>
      </c>
      <c r="F1687" s="1907">
        <v>22.13</v>
      </c>
      <c r="G1687" s="1110"/>
      <c r="H1687" s="1146">
        <v>6905</v>
      </c>
      <c r="I1687" s="1146">
        <v>6927</v>
      </c>
      <c r="K1687" s="1907"/>
      <c r="L1687" s="1110"/>
      <c r="M1687" s="1907"/>
      <c r="N1687" s="1110"/>
      <c r="O1687" s="1907"/>
      <c r="P1687" s="1110"/>
      <c r="Q1687" s="1907"/>
      <c r="R1687" s="1110"/>
      <c r="S1687" s="1629"/>
      <c r="T1687" s="1629"/>
      <c r="U1687" s="1629"/>
      <c r="V1687" s="1629"/>
      <c r="W1687" s="1629"/>
      <c r="X1687" s="1629"/>
      <c r="Y1687" s="1114"/>
      <c r="Z1687" s="2114">
        <f>C1687-'Blocking-Step2'!C1687</f>
        <v>0</v>
      </c>
      <c r="AA1687" s="2114">
        <f>D1687-'Blocking-Step2'!D1687</f>
        <v>0</v>
      </c>
      <c r="AC1687" s="2114">
        <f>F1687-'Blocking-Step2'!F1687</f>
        <v>0</v>
      </c>
      <c r="AE1687" s="2114">
        <f>H1687-'Blocking-Step2'!H1687</f>
        <v>0</v>
      </c>
      <c r="AF1687" s="2114">
        <f>I1687-'Blocking-Step2'!I1687</f>
        <v>0</v>
      </c>
      <c r="AH1687" s="2136">
        <f>K1687-'Blocking-Step2'!K1687</f>
        <v>0</v>
      </c>
      <c r="AJ1687" s="2136">
        <f>M1687-'Blocking-Step2'!M1687</f>
        <v>0</v>
      </c>
      <c r="AL1687" s="2136">
        <f>O1687-'Blocking-Step2'!O1687</f>
        <v>0</v>
      </c>
      <c r="AN1687" s="2137">
        <f>Q1687-'Blocking-Step2'!Q1687</f>
        <v>0</v>
      </c>
      <c r="AP1687" s="2127">
        <f>S1687-'Blocking-Step2'!S1687</f>
        <v>0</v>
      </c>
      <c r="AR1687" s="2127">
        <f>U1687-'Blocking-Step2'!U1687</f>
        <v>0</v>
      </c>
      <c r="AT1687" s="2127">
        <f>W1687-'Blocking-Step2'!W1687</f>
        <v>0</v>
      </c>
      <c r="AV1687" s="2128">
        <f>Y1687-'Blocking-Step2'!Y1687</f>
        <v>0</v>
      </c>
    </row>
    <row r="1688" spans="1:48">
      <c r="A1688" s="1116" t="s">
        <v>379</v>
      </c>
      <c r="C1688" s="1105">
        <v>0</v>
      </c>
      <c r="D1688" s="1105">
        <v>0</v>
      </c>
      <c r="F1688" s="1907">
        <v>53.69</v>
      </c>
      <c r="G1688" s="1110"/>
      <c r="H1688" s="1146">
        <v>0</v>
      </c>
      <c r="I1688" s="1146">
        <v>0</v>
      </c>
      <c r="K1688" s="1907"/>
      <c r="L1688" s="1110"/>
      <c r="M1688" s="1907"/>
      <c r="N1688" s="1110"/>
      <c r="O1688" s="1907"/>
      <c r="P1688" s="1110"/>
      <c r="Q1688" s="1907"/>
      <c r="R1688" s="1110"/>
      <c r="S1688" s="1629"/>
      <c r="T1688" s="1629"/>
      <c r="U1688" s="1629"/>
      <c r="V1688" s="1629"/>
      <c r="W1688" s="1629"/>
      <c r="X1688" s="1629"/>
      <c r="Y1688" s="1114"/>
      <c r="Z1688" s="2114">
        <f>C1688-'Blocking-Step2'!C1688</f>
        <v>0</v>
      </c>
      <c r="AA1688" s="2114">
        <f>D1688-'Blocking-Step2'!D1688</f>
        <v>0</v>
      </c>
      <c r="AC1688" s="2114">
        <f>F1688-'Blocking-Step2'!F1688</f>
        <v>0</v>
      </c>
      <c r="AE1688" s="2114">
        <f>H1688-'Blocking-Step2'!H1688</f>
        <v>0</v>
      </c>
      <c r="AF1688" s="2114">
        <f>I1688-'Blocking-Step2'!I1688</f>
        <v>0</v>
      </c>
      <c r="AH1688" s="2136">
        <f>K1688-'Blocking-Step2'!K1688</f>
        <v>0</v>
      </c>
      <c r="AJ1688" s="2136">
        <f>M1688-'Blocking-Step2'!M1688</f>
        <v>0</v>
      </c>
      <c r="AL1688" s="2136">
        <f>O1688-'Blocking-Step2'!O1688</f>
        <v>0</v>
      </c>
      <c r="AN1688" s="2137">
        <f>Q1688-'Blocking-Step2'!Q1688</f>
        <v>0</v>
      </c>
      <c r="AP1688" s="2127">
        <f>S1688-'Blocking-Step2'!S1688</f>
        <v>0</v>
      </c>
      <c r="AR1688" s="2127">
        <f>U1688-'Blocking-Step2'!U1688</f>
        <v>0</v>
      </c>
      <c r="AT1688" s="2127">
        <f>W1688-'Blocking-Step2'!W1688</f>
        <v>0</v>
      </c>
      <c r="AV1688" s="2128">
        <f>Y1688-'Blocking-Step2'!Y1688</f>
        <v>0</v>
      </c>
    </row>
    <row r="1689" spans="1:48">
      <c r="A1689" s="1116" t="s">
        <v>384</v>
      </c>
      <c r="C1689" s="1105">
        <v>516</v>
      </c>
      <c r="D1689" s="1105">
        <v>517</v>
      </c>
      <c r="F1689" s="1907">
        <v>45.2</v>
      </c>
      <c r="G1689" s="1110"/>
      <c r="H1689" s="1146">
        <v>23323</v>
      </c>
      <c r="I1689" s="1146">
        <v>23368</v>
      </c>
      <c r="K1689" s="1907"/>
      <c r="L1689" s="1110"/>
      <c r="M1689" s="1907"/>
      <c r="N1689" s="1110"/>
      <c r="O1689" s="1907"/>
      <c r="P1689" s="1110"/>
      <c r="Q1689" s="1907"/>
      <c r="R1689" s="1110"/>
      <c r="S1689" s="1629"/>
      <c r="T1689" s="1629"/>
      <c r="U1689" s="1629"/>
      <c r="V1689" s="1629"/>
      <c r="W1689" s="1629"/>
      <c r="X1689" s="1629"/>
      <c r="Y1689" s="1114"/>
      <c r="Z1689" s="2114">
        <f>C1689-'Blocking-Step2'!C1689</f>
        <v>0</v>
      </c>
      <c r="AA1689" s="2114">
        <f>D1689-'Blocking-Step2'!D1689</f>
        <v>0</v>
      </c>
      <c r="AC1689" s="2114">
        <f>F1689-'Blocking-Step2'!F1689</f>
        <v>0</v>
      </c>
      <c r="AE1689" s="2114">
        <f>H1689-'Blocking-Step2'!H1689</f>
        <v>0</v>
      </c>
      <c r="AF1689" s="2114">
        <f>I1689-'Blocking-Step2'!I1689</f>
        <v>0</v>
      </c>
      <c r="AH1689" s="2136">
        <f>K1689-'Blocking-Step2'!K1689</f>
        <v>0</v>
      </c>
      <c r="AJ1689" s="2136">
        <f>M1689-'Blocking-Step2'!M1689</f>
        <v>0</v>
      </c>
      <c r="AL1689" s="2136">
        <f>O1689-'Blocking-Step2'!O1689</f>
        <v>0</v>
      </c>
      <c r="AN1689" s="2137">
        <f>Q1689-'Blocking-Step2'!Q1689</f>
        <v>0</v>
      </c>
      <c r="AP1689" s="2127">
        <f>S1689-'Blocking-Step2'!S1689</f>
        <v>0</v>
      </c>
      <c r="AR1689" s="2127">
        <f>U1689-'Blocking-Step2'!U1689</f>
        <v>0</v>
      </c>
      <c r="AT1689" s="2127">
        <f>W1689-'Blocking-Step2'!W1689</f>
        <v>0</v>
      </c>
      <c r="AV1689" s="2128">
        <f>Y1689-'Blocking-Step2'!Y1689</f>
        <v>0</v>
      </c>
    </row>
    <row r="1690" spans="1:48">
      <c r="A1690" s="1116" t="s">
        <v>385</v>
      </c>
      <c r="C1690" s="1105">
        <v>0</v>
      </c>
      <c r="D1690" s="1105">
        <v>0</v>
      </c>
      <c r="F1690" s="1110">
        <v>25.78</v>
      </c>
      <c r="G1690" s="1110"/>
      <c r="H1690" s="1146">
        <v>0</v>
      </c>
      <c r="I1690" s="1146">
        <v>0</v>
      </c>
      <c r="K1690" s="1110"/>
      <c r="L1690" s="1110"/>
      <c r="M1690" s="1110"/>
      <c r="N1690" s="1110"/>
      <c r="O1690" s="1110"/>
      <c r="P1690" s="1110"/>
      <c r="Q1690" s="1110"/>
      <c r="R1690" s="1110"/>
      <c r="S1690" s="1629"/>
      <c r="T1690" s="1629"/>
      <c r="U1690" s="1629"/>
      <c r="V1690" s="1629"/>
      <c r="W1690" s="1629"/>
      <c r="X1690" s="1629"/>
      <c r="Y1690" s="1114"/>
      <c r="Z1690" s="2114">
        <f>C1690-'Blocking-Step2'!C1690</f>
        <v>0</v>
      </c>
      <c r="AA1690" s="2114">
        <f>D1690-'Blocking-Step2'!D1690</f>
        <v>0</v>
      </c>
      <c r="AC1690" s="2114">
        <f>F1690-'Blocking-Step2'!F1690</f>
        <v>0</v>
      </c>
      <c r="AE1690" s="2114">
        <f>H1690-'Blocking-Step2'!H1690</f>
        <v>0</v>
      </c>
      <c r="AF1690" s="2114">
        <f>I1690-'Blocking-Step2'!I1690</f>
        <v>0</v>
      </c>
      <c r="AH1690" s="2136">
        <f>K1690-'Blocking-Step2'!K1690</f>
        <v>0</v>
      </c>
      <c r="AJ1690" s="2136">
        <f>M1690-'Blocking-Step2'!M1690</f>
        <v>0</v>
      </c>
      <c r="AL1690" s="2136">
        <f>O1690-'Blocking-Step2'!O1690</f>
        <v>0</v>
      </c>
      <c r="AN1690" s="2137">
        <f>Q1690-'Blocking-Step2'!Q1690</f>
        <v>0</v>
      </c>
      <c r="AP1690" s="2127">
        <f>S1690-'Blocking-Step2'!S1690</f>
        <v>0</v>
      </c>
      <c r="AR1690" s="2127">
        <f>U1690-'Blocking-Step2'!U1690</f>
        <v>0</v>
      </c>
      <c r="AT1690" s="2127">
        <f>W1690-'Blocking-Step2'!W1690</f>
        <v>0</v>
      </c>
      <c r="AV1690" s="2128">
        <f>Y1690-'Blocking-Step2'!Y1690</f>
        <v>0</v>
      </c>
    </row>
    <row r="1691" spans="1:48">
      <c r="A1691" s="1116" t="s">
        <v>380</v>
      </c>
      <c r="C1691" s="1105">
        <v>0</v>
      </c>
      <c r="D1691" s="1105">
        <v>0</v>
      </c>
      <c r="F1691" s="1110">
        <v>55.33</v>
      </c>
      <c r="G1691" s="1110"/>
      <c r="H1691" s="1146">
        <v>0</v>
      </c>
      <c r="I1691" s="1146">
        <v>0</v>
      </c>
      <c r="K1691" s="1110"/>
      <c r="L1691" s="1110"/>
      <c r="M1691" s="1110"/>
      <c r="N1691" s="1110"/>
      <c r="O1691" s="1110"/>
      <c r="P1691" s="1110"/>
      <c r="Q1691" s="1110"/>
      <c r="R1691" s="1110"/>
      <c r="S1691" s="1629"/>
      <c r="T1691" s="1629"/>
      <c r="U1691" s="1629"/>
      <c r="V1691" s="1629"/>
      <c r="W1691" s="1629"/>
      <c r="X1691" s="1629"/>
      <c r="Y1691" s="1114"/>
      <c r="Z1691" s="2114">
        <f>C1691-'Blocking-Step2'!C1691</f>
        <v>0</v>
      </c>
      <c r="AA1691" s="2114">
        <f>D1691-'Blocking-Step2'!D1691</f>
        <v>0</v>
      </c>
      <c r="AC1691" s="2114">
        <f>F1691-'Blocking-Step2'!F1691</f>
        <v>0</v>
      </c>
      <c r="AE1691" s="2114">
        <f>H1691-'Blocking-Step2'!H1691</f>
        <v>0</v>
      </c>
      <c r="AF1691" s="2114">
        <f>I1691-'Blocking-Step2'!I1691</f>
        <v>0</v>
      </c>
      <c r="AH1691" s="2136">
        <f>K1691-'Blocking-Step2'!K1691</f>
        <v>0</v>
      </c>
      <c r="AJ1691" s="2136">
        <f>M1691-'Blocking-Step2'!M1691</f>
        <v>0</v>
      </c>
      <c r="AL1691" s="2136">
        <f>O1691-'Blocking-Step2'!O1691</f>
        <v>0</v>
      </c>
      <c r="AN1691" s="2137">
        <f>Q1691-'Blocking-Step2'!Q1691</f>
        <v>0</v>
      </c>
      <c r="AP1691" s="2127">
        <f>S1691-'Blocking-Step2'!S1691</f>
        <v>0</v>
      </c>
      <c r="AR1691" s="2127">
        <f>U1691-'Blocking-Step2'!U1691</f>
        <v>0</v>
      </c>
      <c r="AT1691" s="2127">
        <f>W1691-'Blocking-Step2'!W1691</f>
        <v>0</v>
      </c>
      <c r="AV1691" s="2128">
        <f>Y1691-'Blocking-Step2'!Y1691</f>
        <v>0</v>
      </c>
    </row>
    <row r="1692" spans="1:48">
      <c r="A1692" s="1116" t="s">
        <v>386</v>
      </c>
      <c r="C1692" s="1105">
        <v>0</v>
      </c>
      <c r="D1692" s="1105">
        <v>0</v>
      </c>
      <c r="F1692" s="1110">
        <v>46.86</v>
      </c>
      <c r="G1692" s="1110"/>
      <c r="H1692" s="1146">
        <v>0</v>
      </c>
      <c r="I1692" s="1146">
        <v>0</v>
      </c>
      <c r="K1692" s="1110"/>
      <c r="L1692" s="1110"/>
      <c r="M1692" s="1110"/>
      <c r="N1692" s="1110"/>
      <c r="O1692" s="1110"/>
      <c r="P1692" s="1110"/>
      <c r="Q1692" s="1110"/>
      <c r="R1692" s="1110"/>
      <c r="S1692" s="1629"/>
      <c r="T1692" s="1629"/>
      <c r="U1692" s="1629"/>
      <c r="V1692" s="1629"/>
      <c r="W1692" s="1629"/>
      <c r="X1692" s="1629"/>
      <c r="Y1692" s="1114"/>
      <c r="Z1692" s="2114">
        <f>C1692-'Blocking-Step2'!C1692</f>
        <v>0</v>
      </c>
      <c r="AA1692" s="2114">
        <f>D1692-'Blocking-Step2'!D1692</f>
        <v>0</v>
      </c>
      <c r="AC1692" s="2114">
        <f>F1692-'Blocking-Step2'!F1692</f>
        <v>0</v>
      </c>
      <c r="AE1692" s="2114">
        <f>H1692-'Blocking-Step2'!H1692</f>
        <v>0</v>
      </c>
      <c r="AF1692" s="2114">
        <f>I1692-'Blocking-Step2'!I1692</f>
        <v>0</v>
      </c>
      <c r="AH1692" s="2136">
        <f>K1692-'Blocking-Step2'!K1692</f>
        <v>0</v>
      </c>
      <c r="AJ1692" s="2136">
        <f>M1692-'Blocking-Step2'!M1692</f>
        <v>0</v>
      </c>
      <c r="AL1692" s="2136">
        <f>O1692-'Blocking-Step2'!O1692</f>
        <v>0</v>
      </c>
      <c r="AN1692" s="2137">
        <f>Q1692-'Blocking-Step2'!Q1692</f>
        <v>0</v>
      </c>
      <c r="AP1692" s="2127">
        <f>S1692-'Blocking-Step2'!S1692</f>
        <v>0</v>
      </c>
      <c r="AR1692" s="2127">
        <f>U1692-'Blocking-Step2'!U1692</f>
        <v>0</v>
      </c>
      <c r="AT1692" s="2127">
        <f>W1692-'Blocking-Step2'!W1692</f>
        <v>0</v>
      </c>
      <c r="AV1692" s="2128">
        <f>Y1692-'Blocking-Step2'!Y1692</f>
        <v>0</v>
      </c>
    </row>
    <row r="1693" spans="1:48">
      <c r="A1693" s="1977" t="s">
        <v>771</v>
      </c>
      <c r="C1693" s="1024"/>
      <c r="D1693" s="1024"/>
      <c r="F1693" s="1110"/>
      <c r="G1693" s="1110"/>
      <c r="H1693" s="1114"/>
      <c r="I1693" s="1114"/>
      <c r="K1693" s="1110"/>
      <c r="L1693" s="1110"/>
      <c r="M1693" s="1110"/>
      <c r="N1693" s="1110"/>
      <c r="O1693" s="1110"/>
      <c r="P1693" s="1110"/>
      <c r="Q1693" s="1110"/>
      <c r="R1693" s="1110"/>
      <c r="S1693" s="1629"/>
      <c r="T1693" s="1629"/>
      <c r="U1693" s="1629"/>
      <c r="V1693" s="1629"/>
      <c r="W1693" s="1629"/>
      <c r="X1693" s="1629"/>
      <c r="Y1693" s="1114"/>
      <c r="Z1693" s="2114">
        <f>C1693-'Blocking-Step2'!C1693</f>
        <v>0</v>
      </c>
      <c r="AA1693" s="2114">
        <f>D1693-'Blocking-Step2'!D1693</f>
        <v>0</v>
      </c>
      <c r="AC1693" s="2114">
        <f>F1693-'Blocking-Step2'!F1693</f>
        <v>0</v>
      </c>
      <c r="AE1693" s="2114">
        <f>H1693-'Blocking-Step2'!H1693</f>
        <v>0</v>
      </c>
      <c r="AF1693" s="2114">
        <f>I1693-'Blocking-Step2'!I1693</f>
        <v>0</v>
      </c>
      <c r="AH1693" s="2136">
        <f>K1693-'Blocking-Step2'!K1693</f>
        <v>0</v>
      </c>
      <c r="AJ1693" s="2136">
        <f>M1693-'Blocking-Step2'!M1693</f>
        <v>0</v>
      </c>
      <c r="AL1693" s="2136">
        <f>O1693-'Blocking-Step2'!O1693</f>
        <v>0</v>
      </c>
      <c r="AN1693" s="2137">
        <f>Q1693-'Blocking-Step2'!Q1693</f>
        <v>0</v>
      </c>
      <c r="AP1693" s="2127">
        <f>S1693-'Blocking-Step2'!S1693</f>
        <v>0</v>
      </c>
      <c r="AR1693" s="2127">
        <f>U1693-'Blocking-Step2'!U1693</f>
        <v>0</v>
      </c>
      <c r="AT1693" s="2127">
        <f>W1693-'Blocking-Step2'!W1693</f>
        <v>0</v>
      </c>
      <c r="AV1693" s="2128">
        <f>Y1693-'Blocking-Step2'!Y1693</f>
        <v>0</v>
      </c>
    </row>
    <row r="1694" spans="1:48">
      <c r="A1694" s="1116" t="s">
        <v>325</v>
      </c>
      <c r="C1694" s="1105">
        <v>276</v>
      </c>
      <c r="D1694" s="1105">
        <v>277</v>
      </c>
      <c r="F1694" s="1907">
        <v>11.09</v>
      </c>
      <c r="G1694" s="1110"/>
      <c r="H1694" s="1146">
        <v>3061</v>
      </c>
      <c r="I1694" s="1146">
        <v>3072</v>
      </c>
      <c r="K1694" s="1907"/>
      <c r="L1694" s="1110"/>
      <c r="M1694" s="1907"/>
      <c r="N1694" s="1110"/>
      <c r="O1694" s="1907"/>
      <c r="P1694" s="1110"/>
      <c r="Q1694" s="1907"/>
      <c r="R1694" s="1110"/>
      <c r="S1694" s="1629"/>
      <c r="T1694" s="1629"/>
      <c r="U1694" s="1629"/>
      <c r="V1694" s="1629"/>
      <c r="W1694" s="1629"/>
      <c r="X1694" s="1629"/>
      <c r="Y1694" s="1114"/>
      <c r="Z1694" s="2114">
        <f>C1694-'Blocking-Step2'!C1694</f>
        <v>0</v>
      </c>
      <c r="AA1694" s="2114">
        <f>D1694-'Blocking-Step2'!D1694</f>
        <v>0</v>
      </c>
      <c r="AC1694" s="2114">
        <f>F1694-'Blocking-Step2'!F1694</f>
        <v>0</v>
      </c>
      <c r="AE1694" s="2114">
        <f>H1694-'Blocking-Step2'!H1694</f>
        <v>0</v>
      </c>
      <c r="AF1694" s="2114">
        <f>I1694-'Blocking-Step2'!I1694</f>
        <v>0</v>
      </c>
      <c r="AH1694" s="2136">
        <f>K1694-'Blocking-Step2'!K1694</f>
        <v>0</v>
      </c>
      <c r="AJ1694" s="2136">
        <f>M1694-'Blocking-Step2'!M1694</f>
        <v>0</v>
      </c>
      <c r="AL1694" s="2136">
        <f>O1694-'Blocking-Step2'!O1694</f>
        <v>0</v>
      </c>
      <c r="AN1694" s="2137">
        <f>Q1694-'Blocking-Step2'!Q1694</f>
        <v>0</v>
      </c>
      <c r="AP1694" s="2127">
        <f>S1694-'Blocking-Step2'!S1694</f>
        <v>0</v>
      </c>
      <c r="AR1694" s="2127">
        <f>U1694-'Blocking-Step2'!U1694</f>
        <v>0</v>
      </c>
      <c r="AT1694" s="2127">
        <f>W1694-'Blocking-Step2'!W1694</f>
        <v>0</v>
      </c>
      <c r="AV1694" s="2128">
        <f>Y1694-'Blocking-Step2'!Y1694</f>
        <v>0</v>
      </c>
    </row>
    <row r="1695" spans="1:48">
      <c r="A1695" s="1116" t="s">
        <v>266</v>
      </c>
      <c r="C1695" s="1105">
        <v>2900.0853217642798</v>
      </c>
      <c r="D1695" s="1105">
        <v>2906</v>
      </c>
      <c r="F1695" s="1907">
        <v>13.83</v>
      </c>
      <c r="G1695" s="1110"/>
      <c r="H1695" s="1146">
        <v>40108</v>
      </c>
      <c r="I1695" s="1146">
        <v>40190</v>
      </c>
      <c r="K1695" s="1907"/>
      <c r="L1695" s="1110"/>
      <c r="M1695" s="1907"/>
      <c r="N1695" s="1110"/>
      <c r="O1695" s="1907"/>
      <c r="P1695" s="1110"/>
      <c r="Q1695" s="1907"/>
      <c r="R1695" s="1110"/>
      <c r="S1695" s="1629"/>
      <c r="T1695" s="1629"/>
      <c r="U1695" s="1629"/>
      <c r="V1695" s="1629"/>
      <c r="W1695" s="1629"/>
      <c r="X1695" s="1629"/>
      <c r="Y1695" s="1114"/>
      <c r="Z1695" s="2114">
        <f>C1695-'Blocking-Step2'!C1695</f>
        <v>0</v>
      </c>
      <c r="AA1695" s="2114">
        <f>D1695-'Blocking-Step2'!D1695</f>
        <v>0</v>
      </c>
      <c r="AC1695" s="2114">
        <f>F1695-'Blocking-Step2'!F1695</f>
        <v>0</v>
      </c>
      <c r="AE1695" s="2114">
        <f>H1695-'Blocking-Step2'!H1695</f>
        <v>0</v>
      </c>
      <c r="AF1695" s="2114">
        <f>I1695-'Blocking-Step2'!I1695</f>
        <v>0</v>
      </c>
      <c r="AH1695" s="2136">
        <f>K1695-'Blocking-Step2'!K1695</f>
        <v>0</v>
      </c>
      <c r="AJ1695" s="2136">
        <f>M1695-'Blocking-Step2'!M1695</f>
        <v>0</v>
      </c>
      <c r="AL1695" s="2136">
        <f>O1695-'Blocking-Step2'!O1695</f>
        <v>0</v>
      </c>
      <c r="AN1695" s="2137">
        <f>Q1695-'Blocking-Step2'!Q1695</f>
        <v>0</v>
      </c>
      <c r="AP1695" s="2127">
        <f>S1695-'Blocking-Step2'!S1695</f>
        <v>0</v>
      </c>
      <c r="AR1695" s="2127">
        <f>U1695-'Blocking-Step2'!U1695</f>
        <v>0</v>
      </c>
      <c r="AT1695" s="2127">
        <f>W1695-'Blocking-Step2'!W1695</f>
        <v>0</v>
      </c>
      <c r="AV1695" s="2128">
        <f>Y1695-'Blocking-Step2'!Y1695</f>
        <v>0</v>
      </c>
    </row>
    <row r="1696" spans="1:48">
      <c r="A1696" s="1116" t="s">
        <v>327</v>
      </c>
      <c r="C1696" s="1105">
        <v>96</v>
      </c>
      <c r="D1696" s="1105">
        <v>96</v>
      </c>
      <c r="F1696" s="1907">
        <v>19.399999999999999</v>
      </c>
      <c r="G1696" s="1110"/>
      <c r="H1696" s="1146">
        <v>1862</v>
      </c>
      <c r="I1696" s="1146">
        <v>1862</v>
      </c>
      <c r="K1696" s="1907"/>
      <c r="L1696" s="1110"/>
      <c r="M1696" s="1907"/>
      <c r="N1696" s="1110"/>
      <c r="O1696" s="1907"/>
      <c r="P1696" s="1110"/>
      <c r="Q1696" s="1907"/>
      <c r="R1696" s="1110"/>
      <c r="S1696" s="1629"/>
      <c r="T1696" s="1629"/>
      <c r="U1696" s="1629"/>
      <c r="V1696" s="1629"/>
      <c r="W1696" s="1629"/>
      <c r="X1696" s="1629"/>
      <c r="Y1696" s="1114"/>
      <c r="Z1696" s="2114">
        <f>C1696-'Blocking-Step2'!C1696</f>
        <v>0</v>
      </c>
      <c r="AA1696" s="2114">
        <f>D1696-'Blocking-Step2'!D1696</f>
        <v>0</v>
      </c>
      <c r="AC1696" s="2114">
        <f>F1696-'Blocking-Step2'!F1696</f>
        <v>0</v>
      </c>
      <c r="AE1696" s="2114">
        <f>H1696-'Blocking-Step2'!H1696</f>
        <v>0</v>
      </c>
      <c r="AF1696" s="2114">
        <f>I1696-'Blocking-Step2'!I1696</f>
        <v>0</v>
      </c>
      <c r="AH1696" s="2136">
        <f>K1696-'Blocking-Step2'!K1696</f>
        <v>0</v>
      </c>
      <c r="AJ1696" s="2136">
        <f>M1696-'Blocking-Step2'!M1696</f>
        <v>0</v>
      </c>
      <c r="AL1696" s="2136">
        <f>O1696-'Blocking-Step2'!O1696</f>
        <v>0</v>
      </c>
      <c r="AN1696" s="2137">
        <f>Q1696-'Blocking-Step2'!Q1696</f>
        <v>0</v>
      </c>
      <c r="AP1696" s="2127">
        <f>S1696-'Blocking-Step2'!S1696</f>
        <v>0</v>
      </c>
      <c r="AR1696" s="2127">
        <f>U1696-'Blocking-Step2'!U1696</f>
        <v>0</v>
      </c>
      <c r="AT1696" s="2127">
        <f>W1696-'Blocking-Step2'!W1696</f>
        <v>0</v>
      </c>
      <c r="AV1696" s="2128">
        <f>Y1696-'Blocking-Step2'!Y1696</f>
        <v>0</v>
      </c>
    </row>
    <row r="1697" spans="1:48">
      <c r="A1697" s="1116" t="s">
        <v>328</v>
      </c>
      <c r="C1697" s="1105">
        <v>0</v>
      </c>
      <c r="D1697" s="1105">
        <v>0</v>
      </c>
      <c r="F1697" s="1907">
        <v>17.46</v>
      </c>
      <c r="G1697" s="1110"/>
      <c r="H1697" s="1146">
        <v>0</v>
      </c>
      <c r="I1697" s="1146">
        <v>0</v>
      </c>
      <c r="K1697" s="1907"/>
      <c r="L1697" s="1110"/>
      <c r="M1697" s="1907"/>
      <c r="N1697" s="1110"/>
      <c r="O1697" s="1907"/>
      <c r="P1697" s="1110"/>
      <c r="Q1697" s="1907"/>
      <c r="R1697" s="1110"/>
      <c r="S1697" s="1629"/>
      <c r="T1697" s="1629"/>
      <c r="U1697" s="1629"/>
      <c r="V1697" s="1629"/>
      <c r="W1697" s="1629"/>
      <c r="X1697" s="1629"/>
      <c r="Y1697" s="1114"/>
      <c r="Z1697" s="2114">
        <f>C1697-'Blocking-Step2'!C1697</f>
        <v>0</v>
      </c>
      <c r="AA1697" s="2114">
        <f>D1697-'Blocking-Step2'!D1697</f>
        <v>0</v>
      </c>
      <c r="AC1697" s="2114">
        <f>F1697-'Blocking-Step2'!F1697</f>
        <v>0</v>
      </c>
      <c r="AE1697" s="2114">
        <f>H1697-'Blocking-Step2'!H1697</f>
        <v>0</v>
      </c>
      <c r="AF1697" s="2114">
        <f>I1697-'Blocking-Step2'!I1697</f>
        <v>0</v>
      </c>
      <c r="AH1697" s="2136">
        <f>K1697-'Blocking-Step2'!K1697</f>
        <v>0</v>
      </c>
      <c r="AJ1697" s="2136">
        <f>M1697-'Blocking-Step2'!M1697</f>
        <v>0</v>
      </c>
      <c r="AL1697" s="2136">
        <f>O1697-'Blocking-Step2'!O1697</f>
        <v>0</v>
      </c>
      <c r="AN1697" s="2137">
        <f>Q1697-'Blocking-Step2'!Q1697</f>
        <v>0</v>
      </c>
      <c r="AP1697" s="2127">
        <f>S1697-'Blocking-Step2'!S1697</f>
        <v>0</v>
      </c>
      <c r="AR1697" s="2127">
        <f>U1697-'Blocking-Step2'!U1697</f>
        <v>0</v>
      </c>
      <c r="AT1697" s="2127">
        <f>W1697-'Blocking-Step2'!W1697</f>
        <v>0</v>
      </c>
      <c r="AV1697" s="2128">
        <f>Y1697-'Blocking-Step2'!Y1697</f>
        <v>0</v>
      </c>
    </row>
    <row r="1698" spans="1:48">
      <c r="A1698" s="1116" t="s">
        <v>268</v>
      </c>
      <c r="C1698" s="1105">
        <v>245.900122799836</v>
      </c>
      <c r="D1698" s="1105">
        <v>246</v>
      </c>
      <c r="F1698" s="1907">
        <v>24.43</v>
      </c>
      <c r="G1698" s="1110"/>
      <c r="H1698" s="1146">
        <v>6007</v>
      </c>
      <c r="I1698" s="1146">
        <v>6010</v>
      </c>
      <c r="K1698" s="1907"/>
      <c r="L1698" s="1110"/>
      <c r="M1698" s="1907"/>
      <c r="N1698" s="1110"/>
      <c r="O1698" s="1907"/>
      <c r="P1698" s="1110"/>
      <c r="Q1698" s="1907"/>
      <c r="R1698" s="1110"/>
      <c r="S1698" s="1629"/>
      <c r="T1698" s="1629"/>
      <c r="U1698" s="1629"/>
      <c r="V1698" s="1629"/>
      <c r="W1698" s="1629"/>
      <c r="X1698" s="1629"/>
      <c r="Y1698" s="1114"/>
      <c r="Z1698" s="2114">
        <f>C1698-'Blocking-Step2'!C1698</f>
        <v>0</v>
      </c>
      <c r="AA1698" s="2114">
        <f>D1698-'Blocking-Step2'!D1698</f>
        <v>0</v>
      </c>
      <c r="AC1698" s="2114">
        <f>F1698-'Blocking-Step2'!F1698</f>
        <v>0</v>
      </c>
      <c r="AE1698" s="2114">
        <f>H1698-'Blocking-Step2'!H1698</f>
        <v>0</v>
      </c>
      <c r="AF1698" s="2114">
        <f>I1698-'Blocking-Step2'!I1698</f>
        <v>0</v>
      </c>
      <c r="AH1698" s="2136">
        <f>K1698-'Blocking-Step2'!K1698</f>
        <v>0</v>
      </c>
      <c r="AJ1698" s="2136">
        <f>M1698-'Blocking-Step2'!M1698</f>
        <v>0</v>
      </c>
      <c r="AL1698" s="2136">
        <f>O1698-'Blocking-Step2'!O1698</f>
        <v>0</v>
      </c>
      <c r="AN1698" s="2137">
        <f>Q1698-'Blocking-Step2'!Q1698</f>
        <v>0</v>
      </c>
      <c r="AP1698" s="2127">
        <f>S1698-'Blocking-Step2'!S1698</f>
        <v>0</v>
      </c>
      <c r="AR1698" s="2127">
        <f>U1698-'Blocking-Step2'!U1698</f>
        <v>0</v>
      </c>
      <c r="AT1698" s="2127">
        <f>W1698-'Blocking-Step2'!W1698</f>
        <v>0</v>
      </c>
      <c r="AV1698" s="2128">
        <f>Y1698-'Blocking-Step2'!Y1698</f>
        <v>0</v>
      </c>
    </row>
    <row r="1699" spans="1:48">
      <c r="A1699" s="1977" t="s">
        <v>772</v>
      </c>
      <c r="C1699" s="1105"/>
      <c r="D1699" s="1105"/>
      <c r="H1699" s="1146"/>
      <c r="I1699" s="1146"/>
      <c r="Y1699" s="1114"/>
      <c r="Z1699" s="2114">
        <f>C1699-'Blocking-Step2'!C1699</f>
        <v>0</v>
      </c>
      <c r="AA1699" s="2114">
        <f>D1699-'Blocking-Step2'!D1699</f>
        <v>0</v>
      </c>
      <c r="AC1699" s="2114">
        <f>F1699-'Blocking-Step2'!F1699</f>
        <v>0</v>
      </c>
      <c r="AE1699" s="2114">
        <f>H1699-'Blocking-Step2'!H1699</f>
        <v>0</v>
      </c>
      <c r="AF1699" s="2114">
        <f>I1699-'Blocking-Step2'!I1699</f>
        <v>0</v>
      </c>
      <c r="AH1699" s="2136">
        <f>K1699-'Blocking-Step2'!K1699</f>
        <v>0</v>
      </c>
      <c r="AJ1699" s="2136">
        <f>M1699-'Blocking-Step2'!M1699</f>
        <v>0</v>
      </c>
      <c r="AL1699" s="2136">
        <f>O1699-'Blocking-Step2'!O1699</f>
        <v>0</v>
      </c>
      <c r="AN1699" s="2137">
        <f>Q1699-'Blocking-Step2'!Q1699</f>
        <v>0</v>
      </c>
      <c r="AP1699" s="2127">
        <f>S1699-'Blocking-Step2'!S1699</f>
        <v>0</v>
      </c>
      <c r="AR1699" s="2127">
        <f>U1699-'Blocking-Step2'!U1699</f>
        <v>0</v>
      </c>
      <c r="AT1699" s="2127">
        <f>W1699-'Blocking-Step2'!W1699</f>
        <v>0</v>
      </c>
      <c r="AV1699" s="2128">
        <f>Y1699-'Blocking-Step2'!Y1699</f>
        <v>0</v>
      </c>
    </row>
    <row r="1700" spans="1:48">
      <c r="A1700" s="1116" t="s">
        <v>321</v>
      </c>
      <c r="C1700" s="1105">
        <v>0</v>
      </c>
      <c r="D1700" s="1105">
        <v>0</v>
      </c>
      <c r="F1700" s="1907">
        <v>11.99</v>
      </c>
      <c r="G1700" s="1110"/>
      <c r="H1700" s="1146">
        <v>0</v>
      </c>
      <c r="I1700" s="1146">
        <v>0</v>
      </c>
      <c r="K1700" s="1907"/>
      <c r="L1700" s="1110"/>
      <c r="M1700" s="1907"/>
      <c r="N1700" s="1110"/>
      <c r="O1700" s="1907"/>
      <c r="P1700" s="1110"/>
      <c r="Q1700" s="1907"/>
      <c r="R1700" s="1110"/>
      <c r="S1700" s="1629"/>
      <c r="T1700" s="1629"/>
      <c r="U1700" s="1629"/>
      <c r="V1700" s="1629"/>
      <c r="W1700" s="1629"/>
      <c r="X1700" s="1629"/>
      <c r="Y1700" s="1114"/>
      <c r="Z1700" s="2114">
        <f>C1700-'Blocking-Step2'!C1700</f>
        <v>0</v>
      </c>
      <c r="AA1700" s="2114">
        <f>D1700-'Blocking-Step2'!D1700</f>
        <v>0</v>
      </c>
      <c r="AC1700" s="2114">
        <f>F1700-'Blocking-Step2'!F1700</f>
        <v>0</v>
      </c>
      <c r="AE1700" s="2114">
        <f>H1700-'Blocking-Step2'!H1700</f>
        <v>0</v>
      </c>
      <c r="AF1700" s="2114">
        <f>I1700-'Blocking-Step2'!I1700</f>
        <v>0</v>
      </c>
      <c r="AH1700" s="2136">
        <f>K1700-'Blocking-Step2'!K1700</f>
        <v>0</v>
      </c>
      <c r="AJ1700" s="2136">
        <f>M1700-'Blocking-Step2'!M1700</f>
        <v>0</v>
      </c>
      <c r="AL1700" s="2136">
        <f>O1700-'Blocking-Step2'!O1700</f>
        <v>0</v>
      </c>
      <c r="AN1700" s="2137">
        <f>Q1700-'Blocking-Step2'!Q1700</f>
        <v>0</v>
      </c>
      <c r="AP1700" s="2127">
        <f>S1700-'Blocking-Step2'!S1700</f>
        <v>0</v>
      </c>
      <c r="AR1700" s="2127">
        <f>U1700-'Blocking-Step2'!U1700</f>
        <v>0</v>
      </c>
      <c r="AT1700" s="2127">
        <f>W1700-'Blocking-Step2'!W1700</f>
        <v>0</v>
      </c>
      <c r="AV1700" s="2128">
        <f>Y1700-'Blocking-Step2'!Y1700</f>
        <v>0</v>
      </c>
    </row>
    <row r="1701" spans="1:48">
      <c r="A1701" s="1116" t="s">
        <v>322</v>
      </c>
      <c r="C1701" s="1105">
        <v>144</v>
      </c>
      <c r="D1701" s="1105">
        <v>144</v>
      </c>
      <c r="F1701" s="1907">
        <v>4.24</v>
      </c>
      <c r="G1701" s="1110"/>
      <c r="H1701" s="1146">
        <v>611</v>
      </c>
      <c r="I1701" s="1146">
        <v>611</v>
      </c>
      <c r="K1701" s="1907"/>
      <c r="L1701" s="1110"/>
      <c r="M1701" s="1907"/>
      <c r="N1701" s="1110"/>
      <c r="O1701" s="1907"/>
      <c r="P1701" s="1110"/>
      <c r="Q1701" s="1907"/>
      <c r="R1701" s="1110"/>
      <c r="S1701" s="1629"/>
      <c r="T1701" s="1629"/>
      <c r="U1701" s="1629"/>
      <c r="V1701" s="1629"/>
      <c r="W1701" s="1629"/>
      <c r="X1701" s="1629"/>
      <c r="Y1701" s="1114"/>
      <c r="Z1701" s="2114">
        <f>C1701-'Blocking-Step2'!C1701</f>
        <v>0</v>
      </c>
      <c r="AA1701" s="2114">
        <f>D1701-'Blocking-Step2'!D1701</f>
        <v>0</v>
      </c>
      <c r="AC1701" s="2114">
        <f>F1701-'Blocking-Step2'!F1701</f>
        <v>0</v>
      </c>
      <c r="AE1701" s="2114">
        <f>H1701-'Blocking-Step2'!H1701</f>
        <v>0</v>
      </c>
      <c r="AF1701" s="2114">
        <f>I1701-'Blocking-Step2'!I1701</f>
        <v>0</v>
      </c>
      <c r="AH1701" s="2136">
        <f>K1701-'Blocking-Step2'!K1701</f>
        <v>0</v>
      </c>
      <c r="AJ1701" s="2136">
        <f>M1701-'Blocking-Step2'!M1701</f>
        <v>0</v>
      </c>
      <c r="AL1701" s="2136">
        <f>O1701-'Blocking-Step2'!O1701</f>
        <v>0</v>
      </c>
      <c r="AN1701" s="2137">
        <f>Q1701-'Blocking-Step2'!Q1701</f>
        <v>0</v>
      </c>
      <c r="AP1701" s="2127">
        <f>S1701-'Blocking-Step2'!S1701</f>
        <v>0</v>
      </c>
      <c r="AR1701" s="2127">
        <f>U1701-'Blocking-Step2'!U1701</f>
        <v>0</v>
      </c>
      <c r="AT1701" s="2127">
        <f>W1701-'Blocking-Step2'!W1701</f>
        <v>0</v>
      </c>
      <c r="AV1701" s="2128">
        <f>Y1701-'Blocking-Step2'!Y1701</f>
        <v>0</v>
      </c>
    </row>
    <row r="1702" spans="1:48">
      <c r="A1702" s="1116" t="s">
        <v>324</v>
      </c>
      <c r="C1702" s="1105">
        <v>0</v>
      </c>
      <c r="D1702" s="1105">
        <v>0</v>
      </c>
      <c r="F1702" s="1907">
        <v>17.11</v>
      </c>
      <c r="G1702" s="1110"/>
      <c r="H1702" s="1146">
        <v>0</v>
      </c>
      <c r="I1702" s="1146">
        <v>0</v>
      </c>
      <c r="K1702" s="1907"/>
      <c r="L1702" s="1110"/>
      <c r="M1702" s="1907"/>
      <c r="N1702" s="1110"/>
      <c r="O1702" s="1907"/>
      <c r="P1702" s="1110"/>
      <c r="Q1702" s="1907"/>
      <c r="R1702" s="1110"/>
      <c r="S1702" s="1629"/>
      <c r="T1702" s="1629"/>
      <c r="U1702" s="1629"/>
      <c r="V1702" s="1629"/>
      <c r="W1702" s="1629"/>
      <c r="X1702" s="1629"/>
      <c r="Y1702" s="1114"/>
      <c r="Z1702" s="2114">
        <f>C1702-'Blocking-Step2'!C1702</f>
        <v>0</v>
      </c>
      <c r="AA1702" s="2114">
        <f>D1702-'Blocking-Step2'!D1702</f>
        <v>0</v>
      </c>
      <c r="AC1702" s="2114">
        <f>F1702-'Blocking-Step2'!F1702</f>
        <v>0</v>
      </c>
      <c r="AE1702" s="2114">
        <f>H1702-'Blocking-Step2'!H1702</f>
        <v>0</v>
      </c>
      <c r="AF1702" s="2114">
        <f>I1702-'Blocking-Step2'!I1702</f>
        <v>0</v>
      </c>
      <c r="AH1702" s="2136">
        <f>K1702-'Blocking-Step2'!K1702</f>
        <v>0</v>
      </c>
      <c r="AJ1702" s="2136">
        <f>M1702-'Blocking-Step2'!M1702</f>
        <v>0</v>
      </c>
      <c r="AL1702" s="2136">
        <f>O1702-'Blocking-Step2'!O1702</f>
        <v>0</v>
      </c>
      <c r="AN1702" s="2137">
        <f>Q1702-'Blocking-Step2'!Q1702</f>
        <v>0</v>
      </c>
      <c r="AP1702" s="2127">
        <f>S1702-'Blocking-Step2'!S1702</f>
        <v>0</v>
      </c>
      <c r="AR1702" s="2127">
        <f>U1702-'Blocking-Step2'!U1702</f>
        <v>0</v>
      </c>
      <c r="AT1702" s="2127">
        <f>W1702-'Blocking-Step2'!W1702</f>
        <v>0</v>
      </c>
      <c r="AV1702" s="2128">
        <f>Y1702-'Blocking-Step2'!Y1702</f>
        <v>0</v>
      </c>
    </row>
    <row r="1703" spans="1:48">
      <c r="A1703" s="1116" t="s">
        <v>325</v>
      </c>
      <c r="C1703" s="1105">
        <v>53.645129711209002</v>
      </c>
      <c r="D1703" s="1105">
        <v>54</v>
      </c>
      <c r="F1703" s="1907">
        <v>20.43</v>
      </c>
      <c r="G1703" s="1110"/>
      <c r="H1703" s="1146">
        <v>1096</v>
      </c>
      <c r="I1703" s="1146">
        <v>1103</v>
      </c>
      <c r="K1703" s="1907"/>
      <c r="L1703" s="1110"/>
      <c r="M1703" s="1907"/>
      <c r="N1703" s="1110"/>
      <c r="O1703" s="1907"/>
      <c r="P1703" s="1110"/>
      <c r="Q1703" s="1907"/>
      <c r="R1703" s="1110"/>
      <c r="S1703" s="1629"/>
      <c r="T1703" s="1629"/>
      <c r="U1703" s="1629"/>
      <c r="V1703" s="1629"/>
      <c r="W1703" s="1629"/>
      <c r="X1703" s="1629"/>
      <c r="Y1703" s="1114"/>
      <c r="Z1703" s="2114">
        <f>C1703-'Blocking-Step2'!C1703</f>
        <v>0</v>
      </c>
      <c r="AA1703" s="2114">
        <f>D1703-'Blocking-Step2'!D1703</f>
        <v>0</v>
      </c>
      <c r="AC1703" s="2114">
        <f>F1703-'Blocking-Step2'!F1703</f>
        <v>0</v>
      </c>
      <c r="AE1703" s="2114">
        <f>H1703-'Blocking-Step2'!H1703</f>
        <v>0</v>
      </c>
      <c r="AF1703" s="2114">
        <f>I1703-'Blocking-Step2'!I1703</f>
        <v>0</v>
      </c>
      <c r="AH1703" s="2136">
        <f>K1703-'Blocking-Step2'!K1703</f>
        <v>0</v>
      </c>
      <c r="AJ1703" s="2136">
        <f>M1703-'Blocking-Step2'!M1703</f>
        <v>0</v>
      </c>
      <c r="AL1703" s="2136">
        <f>O1703-'Blocking-Step2'!O1703</f>
        <v>0</v>
      </c>
      <c r="AN1703" s="2137">
        <f>Q1703-'Blocking-Step2'!Q1703</f>
        <v>0</v>
      </c>
      <c r="AP1703" s="2127">
        <f>S1703-'Blocking-Step2'!S1703</f>
        <v>0</v>
      </c>
      <c r="AR1703" s="2127">
        <f>U1703-'Blocking-Step2'!U1703</f>
        <v>0</v>
      </c>
      <c r="AT1703" s="2127">
        <f>W1703-'Blocking-Step2'!W1703</f>
        <v>0</v>
      </c>
      <c r="AV1703" s="2128">
        <f>Y1703-'Blocking-Step2'!Y1703</f>
        <v>0</v>
      </c>
    </row>
    <row r="1704" spans="1:48">
      <c r="A1704" s="1116" t="s">
        <v>326</v>
      </c>
      <c r="C1704" s="1105">
        <v>0</v>
      </c>
      <c r="D1704" s="1105">
        <v>0</v>
      </c>
      <c r="F1704" s="1907">
        <v>23.82</v>
      </c>
      <c r="G1704" s="1110"/>
      <c r="H1704" s="1146">
        <v>0</v>
      </c>
      <c r="I1704" s="1146">
        <v>0</v>
      </c>
      <c r="K1704" s="1907"/>
      <c r="L1704" s="1110"/>
      <c r="M1704" s="1907"/>
      <c r="N1704" s="1110"/>
      <c r="O1704" s="1907"/>
      <c r="P1704" s="1110"/>
      <c r="Q1704" s="1907"/>
      <c r="R1704" s="1110"/>
      <c r="S1704" s="1629"/>
      <c r="T1704" s="1629"/>
      <c r="U1704" s="1629"/>
      <c r="V1704" s="1629"/>
      <c r="W1704" s="1629"/>
      <c r="X1704" s="1629"/>
      <c r="Y1704" s="1114"/>
      <c r="Z1704" s="2114">
        <f>C1704-'Blocking-Step2'!C1704</f>
        <v>0</v>
      </c>
      <c r="AA1704" s="2114">
        <f>D1704-'Blocking-Step2'!D1704</f>
        <v>0</v>
      </c>
      <c r="AC1704" s="2114">
        <f>F1704-'Blocking-Step2'!F1704</f>
        <v>0</v>
      </c>
      <c r="AE1704" s="2114">
        <f>H1704-'Blocking-Step2'!H1704</f>
        <v>0</v>
      </c>
      <c r="AF1704" s="2114">
        <f>I1704-'Blocking-Step2'!I1704</f>
        <v>0</v>
      </c>
      <c r="AH1704" s="2136">
        <f>K1704-'Blocking-Step2'!K1704</f>
        <v>0</v>
      </c>
      <c r="AJ1704" s="2136">
        <f>M1704-'Blocking-Step2'!M1704</f>
        <v>0</v>
      </c>
      <c r="AL1704" s="2136">
        <f>O1704-'Blocking-Step2'!O1704</f>
        <v>0</v>
      </c>
      <c r="AN1704" s="2137">
        <f>Q1704-'Blocking-Step2'!Q1704</f>
        <v>0</v>
      </c>
      <c r="AP1704" s="2127">
        <f>S1704-'Blocking-Step2'!S1704</f>
        <v>0</v>
      </c>
      <c r="AR1704" s="2127">
        <f>U1704-'Blocking-Step2'!U1704</f>
        <v>0</v>
      </c>
      <c r="AT1704" s="2127">
        <f>W1704-'Blocking-Step2'!W1704</f>
        <v>0</v>
      </c>
      <c r="AV1704" s="2128">
        <f>Y1704-'Blocking-Step2'!Y1704</f>
        <v>0</v>
      </c>
    </row>
    <row r="1705" spans="1:48">
      <c r="A1705" s="1116" t="s">
        <v>327</v>
      </c>
      <c r="C1705" s="1105">
        <v>0</v>
      </c>
      <c r="D1705" s="1105">
        <v>0</v>
      </c>
      <c r="F1705" s="1907">
        <v>31.47</v>
      </c>
      <c r="G1705" s="1110"/>
      <c r="H1705" s="1146">
        <v>0</v>
      </c>
      <c r="I1705" s="1146">
        <v>0</v>
      </c>
      <c r="K1705" s="1907"/>
      <c r="L1705" s="1110"/>
      <c r="M1705" s="1907"/>
      <c r="N1705" s="1110"/>
      <c r="O1705" s="1907"/>
      <c r="P1705" s="1110"/>
      <c r="Q1705" s="1907"/>
      <c r="R1705" s="1110"/>
      <c r="S1705" s="1629"/>
      <c r="T1705" s="1629"/>
      <c r="U1705" s="1629"/>
      <c r="V1705" s="1629"/>
      <c r="W1705" s="1629"/>
      <c r="X1705" s="1629"/>
      <c r="Y1705" s="1114"/>
      <c r="Z1705" s="2114">
        <f>C1705-'Blocking-Step2'!C1705</f>
        <v>0</v>
      </c>
      <c r="AA1705" s="2114">
        <f>D1705-'Blocking-Step2'!D1705</f>
        <v>0</v>
      </c>
      <c r="AC1705" s="2114">
        <f>F1705-'Blocking-Step2'!F1705</f>
        <v>0</v>
      </c>
      <c r="AE1705" s="2114">
        <f>H1705-'Blocking-Step2'!H1705</f>
        <v>0</v>
      </c>
      <c r="AF1705" s="2114">
        <f>I1705-'Blocking-Step2'!I1705</f>
        <v>0</v>
      </c>
      <c r="AH1705" s="2136">
        <f>K1705-'Blocking-Step2'!K1705</f>
        <v>0</v>
      </c>
      <c r="AJ1705" s="2136">
        <f>M1705-'Blocking-Step2'!M1705</f>
        <v>0</v>
      </c>
      <c r="AL1705" s="2136">
        <f>O1705-'Blocking-Step2'!O1705</f>
        <v>0</v>
      </c>
      <c r="AN1705" s="2137">
        <f>Q1705-'Blocking-Step2'!Q1705</f>
        <v>0</v>
      </c>
      <c r="AP1705" s="2127">
        <f>S1705-'Blocking-Step2'!S1705</f>
        <v>0</v>
      </c>
      <c r="AR1705" s="2127">
        <f>U1705-'Blocking-Step2'!U1705</f>
        <v>0</v>
      </c>
      <c r="AT1705" s="2127">
        <f>W1705-'Blocking-Step2'!W1705</f>
        <v>0</v>
      </c>
      <c r="AV1705" s="2128">
        <f>Y1705-'Blocking-Step2'!Y1705</f>
        <v>0</v>
      </c>
    </row>
    <row r="1706" spans="1:48">
      <c r="A1706" s="1977" t="s">
        <v>773</v>
      </c>
      <c r="C1706" s="1024"/>
      <c r="D1706" s="1024"/>
      <c r="F1706" s="1110"/>
      <c r="G1706" s="1110"/>
      <c r="H1706" s="1114"/>
      <c r="I1706" s="1114"/>
      <c r="K1706" s="1110"/>
      <c r="L1706" s="1110"/>
      <c r="M1706" s="1110"/>
      <c r="N1706" s="1110"/>
      <c r="O1706" s="1110"/>
      <c r="P1706" s="1110"/>
      <c r="Q1706" s="1110"/>
      <c r="R1706" s="1110"/>
      <c r="S1706" s="1629"/>
      <c r="T1706" s="1629"/>
      <c r="U1706" s="1629"/>
      <c r="V1706" s="1629"/>
      <c r="W1706" s="1629"/>
      <c r="X1706" s="1629"/>
      <c r="Y1706" s="1114"/>
      <c r="Z1706" s="2114">
        <f>C1706-'Blocking-Step2'!C1706</f>
        <v>0</v>
      </c>
      <c r="AA1706" s="2114">
        <f>D1706-'Blocking-Step2'!D1706</f>
        <v>0</v>
      </c>
      <c r="AC1706" s="2114">
        <f>F1706-'Blocking-Step2'!F1706</f>
        <v>0</v>
      </c>
      <c r="AE1706" s="2114">
        <f>H1706-'Blocking-Step2'!H1706</f>
        <v>0</v>
      </c>
      <c r="AF1706" s="2114">
        <f>I1706-'Blocking-Step2'!I1706</f>
        <v>0</v>
      </c>
      <c r="AH1706" s="2136">
        <f>K1706-'Blocking-Step2'!K1706</f>
        <v>0</v>
      </c>
      <c r="AJ1706" s="2136">
        <f>M1706-'Blocking-Step2'!M1706</f>
        <v>0</v>
      </c>
      <c r="AL1706" s="2136">
        <f>O1706-'Blocking-Step2'!O1706</f>
        <v>0</v>
      </c>
      <c r="AN1706" s="2137">
        <f>Q1706-'Blocking-Step2'!Q1706</f>
        <v>0</v>
      </c>
      <c r="AP1706" s="2127">
        <f>S1706-'Blocking-Step2'!S1706</f>
        <v>0</v>
      </c>
      <c r="AR1706" s="2127">
        <f>U1706-'Blocking-Step2'!U1706</f>
        <v>0</v>
      </c>
      <c r="AT1706" s="2127">
        <f>W1706-'Blocking-Step2'!W1706</f>
        <v>0</v>
      </c>
      <c r="AV1706" s="2128">
        <f>Y1706-'Blocking-Step2'!Y1706</f>
        <v>0</v>
      </c>
    </row>
    <row r="1707" spans="1:48">
      <c r="A1707" s="1116" t="s">
        <v>340</v>
      </c>
      <c r="C1707" s="1105">
        <v>15</v>
      </c>
      <c r="D1707" s="1105">
        <v>15</v>
      </c>
      <c r="F1707" s="1907">
        <v>27.85</v>
      </c>
      <c r="G1707" s="1110"/>
      <c r="H1707" s="1146">
        <v>418</v>
      </c>
      <c r="I1707" s="1146">
        <v>418</v>
      </c>
      <c r="K1707" s="1907"/>
      <c r="L1707" s="1110"/>
      <c r="M1707" s="1907"/>
      <c r="N1707" s="1110"/>
      <c r="O1707" s="1907"/>
      <c r="P1707" s="1110"/>
      <c r="Q1707" s="1907"/>
      <c r="R1707" s="1110"/>
      <c r="S1707" s="1629"/>
      <c r="T1707" s="1629"/>
      <c r="U1707" s="1629"/>
      <c r="V1707" s="1629"/>
      <c r="W1707" s="1629"/>
      <c r="X1707" s="1629"/>
      <c r="Y1707" s="1114"/>
      <c r="Z1707" s="2114">
        <f>C1707-'Blocking-Step2'!C1707</f>
        <v>0</v>
      </c>
      <c r="AA1707" s="2114">
        <f>D1707-'Blocking-Step2'!D1707</f>
        <v>0</v>
      </c>
      <c r="AC1707" s="2114">
        <f>F1707-'Blocking-Step2'!F1707</f>
        <v>0</v>
      </c>
      <c r="AE1707" s="2114">
        <f>H1707-'Blocking-Step2'!H1707</f>
        <v>0</v>
      </c>
      <c r="AF1707" s="2114">
        <f>I1707-'Blocking-Step2'!I1707</f>
        <v>0</v>
      </c>
      <c r="AH1707" s="2136">
        <f>K1707-'Blocking-Step2'!K1707</f>
        <v>0</v>
      </c>
      <c r="AJ1707" s="2136">
        <f>M1707-'Blocking-Step2'!M1707</f>
        <v>0</v>
      </c>
      <c r="AL1707" s="2136">
        <f>O1707-'Blocking-Step2'!O1707</f>
        <v>0</v>
      </c>
      <c r="AN1707" s="2137">
        <f>Q1707-'Blocking-Step2'!Q1707</f>
        <v>0</v>
      </c>
      <c r="AP1707" s="2127">
        <f>S1707-'Blocking-Step2'!S1707</f>
        <v>0</v>
      </c>
      <c r="AR1707" s="2127">
        <f>U1707-'Blocking-Step2'!U1707</f>
        <v>0</v>
      </c>
      <c r="AT1707" s="2127">
        <f>W1707-'Blocking-Step2'!W1707</f>
        <v>0</v>
      </c>
      <c r="AV1707" s="2128">
        <f>Y1707-'Blocking-Step2'!Y1707</f>
        <v>0</v>
      </c>
    </row>
    <row r="1708" spans="1:48">
      <c r="A1708" s="1977" t="s">
        <v>375</v>
      </c>
      <c r="C1708" s="1105"/>
      <c r="D1708" s="1105"/>
      <c r="F1708" s="1907"/>
      <c r="G1708" s="1110"/>
      <c r="H1708" s="1146"/>
      <c r="I1708" s="1146"/>
      <c r="K1708" s="1907"/>
      <c r="L1708" s="1110"/>
      <c r="M1708" s="1907"/>
      <c r="N1708" s="1110"/>
      <c r="O1708" s="1907"/>
      <c r="P1708" s="1110"/>
      <c r="Q1708" s="1907"/>
      <c r="R1708" s="1110"/>
      <c r="S1708" s="1629"/>
      <c r="T1708" s="1629"/>
      <c r="U1708" s="1629"/>
      <c r="V1708" s="1629"/>
      <c r="W1708" s="1629"/>
      <c r="X1708" s="1629"/>
      <c r="Y1708" s="1114"/>
      <c r="Z1708" s="2114">
        <f>C1708-'Blocking-Step2'!C1708</f>
        <v>0</v>
      </c>
      <c r="AA1708" s="2114">
        <f>D1708-'Blocking-Step2'!D1708</f>
        <v>0</v>
      </c>
      <c r="AC1708" s="2114">
        <f>F1708-'Blocking-Step2'!F1708</f>
        <v>0</v>
      </c>
      <c r="AE1708" s="2114">
        <f>H1708-'Blocking-Step2'!H1708</f>
        <v>0</v>
      </c>
      <c r="AF1708" s="2114">
        <f>I1708-'Blocking-Step2'!I1708</f>
        <v>0</v>
      </c>
      <c r="AH1708" s="2136">
        <f>K1708-'Blocking-Step2'!K1708</f>
        <v>0</v>
      </c>
      <c r="AJ1708" s="2136">
        <f>M1708-'Blocking-Step2'!M1708</f>
        <v>0</v>
      </c>
      <c r="AL1708" s="2136">
        <f>O1708-'Blocking-Step2'!O1708</f>
        <v>0</v>
      </c>
      <c r="AN1708" s="2137">
        <f>Q1708-'Blocking-Step2'!Q1708</f>
        <v>0</v>
      </c>
      <c r="AP1708" s="2127">
        <f>S1708-'Blocking-Step2'!S1708</f>
        <v>0</v>
      </c>
      <c r="AR1708" s="2127">
        <f>U1708-'Blocking-Step2'!U1708</f>
        <v>0</v>
      </c>
      <c r="AT1708" s="2127">
        <f>W1708-'Blocking-Step2'!W1708</f>
        <v>0</v>
      </c>
      <c r="AV1708" s="2128">
        <f>Y1708-'Blocking-Step2'!Y1708</f>
        <v>0</v>
      </c>
    </row>
    <row r="1709" spans="1:48">
      <c r="A1709" s="1116" t="s">
        <v>337</v>
      </c>
      <c r="C1709" s="1105">
        <v>0</v>
      </c>
      <c r="D1709" s="1105">
        <v>0</v>
      </c>
      <c r="F1709" s="1907">
        <v>39.04</v>
      </c>
      <c r="G1709" s="1110"/>
      <c r="H1709" s="1146">
        <v>0</v>
      </c>
      <c r="I1709" s="1146">
        <v>0</v>
      </c>
      <c r="K1709" s="1907"/>
      <c r="L1709" s="1110"/>
      <c r="M1709" s="1907"/>
      <c r="N1709" s="1110"/>
      <c r="O1709" s="1907"/>
      <c r="P1709" s="1110"/>
      <c r="Q1709" s="1907"/>
      <c r="R1709" s="1110"/>
      <c r="S1709" s="1629"/>
      <c r="T1709" s="1629"/>
      <c r="U1709" s="1629"/>
      <c r="V1709" s="1629"/>
      <c r="W1709" s="1629"/>
      <c r="X1709" s="1629"/>
      <c r="Y1709" s="1114"/>
      <c r="Z1709" s="2114">
        <f>C1709-'Blocking-Step2'!C1709</f>
        <v>0</v>
      </c>
      <c r="AA1709" s="2114">
        <f>D1709-'Blocking-Step2'!D1709</f>
        <v>0</v>
      </c>
      <c r="AC1709" s="2114">
        <f>F1709-'Blocking-Step2'!F1709</f>
        <v>0</v>
      </c>
      <c r="AE1709" s="2114">
        <f>H1709-'Blocking-Step2'!H1709</f>
        <v>0</v>
      </c>
      <c r="AF1709" s="2114">
        <f>I1709-'Blocking-Step2'!I1709</f>
        <v>0</v>
      </c>
      <c r="AH1709" s="2136">
        <f>K1709-'Blocking-Step2'!K1709</f>
        <v>0</v>
      </c>
      <c r="AJ1709" s="2136">
        <f>M1709-'Blocking-Step2'!M1709</f>
        <v>0</v>
      </c>
      <c r="AL1709" s="2136">
        <f>O1709-'Blocking-Step2'!O1709</f>
        <v>0</v>
      </c>
      <c r="AN1709" s="2137">
        <f>Q1709-'Blocking-Step2'!Q1709</f>
        <v>0</v>
      </c>
      <c r="AP1709" s="2127">
        <f>S1709-'Blocking-Step2'!S1709</f>
        <v>0</v>
      </c>
      <c r="AR1709" s="2127">
        <f>U1709-'Blocking-Step2'!U1709</f>
        <v>0</v>
      </c>
      <c r="AT1709" s="2127">
        <f>W1709-'Blocking-Step2'!W1709</f>
        <v>0</v>
      </c>
      <c r="AV1709" s="2128">
        <f>Y1709-'Blocking-Step2'!Y1709</f>
        <v>0</v>
      </c>
    </row>
    <row r="1710" spans="1:48">
      <c r="A1710" s="1116" t="s">
        <v>154</v>
      </c>
      <c r="C1710" s="1940">
        <v>285636.89683884697</v>
      </c>
      <c r="D1710" s="1940">
        <v>286239</v>
      </c>
      <c r="F1710" s="2088"/>
      <c r="H1710" s="1147">
        <v>4177247</v>
      </c>
      <c r="I1710" s="1147">
        <v>4186071</v>
      </c>
      <c r="K1710" s="2088"/>
      <c r="M1710" s="2088"/>
      <c r="O1710" s="2088"/>
      <c r="Q1710" s="2088"/>
      <c r="Y1710" s="1114"/>
      <c r="Z1710" s="2114">
        <f>C1710-'Blocking-Step2'!C1710</f>
        <v>0</v>
      </c>
      <c r="AA1710" s="2114">
        <f>D1710-'Blocking-Step2'!D1710</f>
        <v>0</v>
      </c>
      <c r="AC1710" s="2114">
        <f>F1710-'Blocking-Step2'!F1710</f>
        <v>0</v>
      </c>
      <c r="AE1710" s="2114">
        <f>H1710-'Blocking-Step2'!H1710</f>
        <v>0</v>
      </c>
      <c r="AF1710" s="2114">
        <f>I1710-'Blocking-Step2'!I1710</f>
        <v>0</v>
      </c>
      <c r="AH1710" s="2136">
        <f>K1710-'Blocking-Step2'!K1710</f>
        <v>0</v>
      </c>
      <c r="AJ1710" s="2136">
        <f>M1710-'Blocking-Step2'!M1710</f>
        <v>0</v>
      </c>
      <c r="AL1710" s="2136">
        <f>O1710-'Blocking-Step2'!O1710</f>
        <v>0</v>
      </c>
      <c r="AN1710" s="2137">
        <f>Q1710-'Blocking-Step2'!Q1710</f>
        <v>0</v>
      </c>
      <c r="AP1710" s="2127">
        <f>S1710-'Blocking-Step2'!S1710</f>
        <v>0</v>
      </c>
      <c r="AR1710" s="2127">
        <f>U1710-'Blocking-Step2'!U1710</f>
        <v>0</v>
      </c>
      <c r="AT1710" s="2127">
        <f>W1710-'Blocking-Step2'!W1710</f>
        <v>0</v>
      </c>
      <c r="AV1710" s="2128">
        <f>Y1710-'Blocking-Step2'!Y1710</f>
        <v>0</v>
      </c>
    </row>
    <row r="1711" spans="1:48" ht="16.5" thickBot="1">
      <c r="A1711" s="1116" t="s">
        <v>36</v>
      </c>
      <c r="C1711" s="2089">
        <v>13543958.85338369</v>
      </c>
      <c r="D1711" s="2089">
        <v>13572508.23362934</v>
      </c>
      <c r="F1711" s="1145"/>
      <c r="H1711" s="2090"/>
      <c r="I1711" s="2090"/>
      <c r="K1711" s="1145"/>
      <c r="M1711" s="1145"/>
      <c r="O1711" s="1145"/>
      <c r="Q1711" s="1145"/>
      <c r="Y1711" s="1628"/>
      <c r="Z1711" s="2114">
        <f>C1711-'Blocking-Step2'!C1711</f>
        <v>0</v>
      </c>
      <c r="AA1711" s="2114">
        <f>D1711-'Blocking-Step2'!D1711</f>
        <v>0</v>
      </c>
      <c r="AC1711" s="2114">
        <f>F1711-'Blocking-Step2'!F1711</f>
        <v>0</v>
      </c>
      <c r="AE1711" s="2114">
        <f>H1711-'Blocking-Step2'!H1711</f>
        <v>0</v>
      </c>
      <c r="AF1711" s="2114">
        <f>I1711-'Blocking-Step2'!I1711</f>
        <v>0</v>
      </c>
      <c r="AH1711" s="2136">
        <f>K1711-'Blocking-Step2'!K1711</f>
        <v>0</v>
      </c>
      <c r="AJ1711" s="2136">
        <f>M1711-'Blocking-Step2'!M1711</f>
        <v>0</v>
      </c>
      <c r="AL1711" s="2136">
        <f>O1711-'Blocking-Step2'!O1711</f>
        <v>0</v>
      </c>
      <c r="AN1711" s="2137">
        <f>Q1711-'Blocking-Step2'!Q1711</f>
        <v>0</v>
      </c>
      <c r="AP1711" s="2127">
        <f>S1711-'Blocking-Step2'!S1711</f>
        <v>0</v>
      </c>
      <c r="AR1711" s="2127">
        <f>U1711-'Blocking-Step2'!U1711</f>
        <v>0</v>
      </c>
      <c r="AT1711" s="2127">
        <f>W1711-'Blocking-Step2'!W1711</f>
        <v>0</v>
      </c>
      <c r="AV1711" s="2128">
        <f>Y1711-'Blocking-Step2'!Y1711</f>
        <v>0</v>
      </c>
    </row>
    <row r="1712" spans="1:48" ht="16.5" thickTop="1">
      <c r="A1712" s="1116" t="s">
        <v>141</v>
      </c>
      <c r="C1712" s="1896">
        <v>717.16666666666697</v>
      </c>
      <c r="D1712" s="1896">
        <v>715</v>
      </c>
      <c r="Y1712" s="1628"/>
      <c r="Z1712" s="2114">
        <f>C1712-'Blocking-Step2'!C1712</f>
        <v>0</v>
      </c>
      <c r="AA1712" s="2114">
        <f>D1712-'Blocking-Step2'!D1712</f>
        <v>0</v>
      </c>
      <c r="AC1712" s="2114">
        <f>F1712-'Blocking-Step2'!F1712</f>
        <v>0</v>
      </c>
      <c r="AE1712" s="2114">
        <f>H1712-'Blocking-Step2'!H1712</f>
        <v>0</v>
      </c>
      <c r="AF1712" s="2114">
        <f>I1712-'Blocking-Step2'!I1712</f>
        <v>0</v>
      </c>
      <c r="AH1712" s="2136">
        <f>K1712-'Blocking-Step2'!K1712</f>
        <v>0</v>
      </c>
      <c r="AJ1712" s="2136">
        <f>M1712-'Blocking-Step2'!M1712</f>
        <v>0</v>
      </c>
      <c r="AL1712" s="2136">
        <f>O1712-'Blocking-Step2'!O1712</f>
        <v>0</v>
      </c>
      <c r="AN1712" s="2137">
        <f>Q1712-'Blocking-Step2'!Q1712</f>
        <v>0</v>
      </c>
      <c r="AP1712" s="2127">
        <f>S1712-'Blocking-Step2'!S1712</f>
        <v>0</v>
      </c>
      <c r="AR1712" s="2127">
        <f>U1712-'Blocking-Step2'!U1712</f>
        <v>0</v>
      </c>
      <c r="AT1712" s="2127">
        <f>W1712-'Blocking-Step2'!W1712</f>
        <v>0</v>
      </c>
      <c r="AV1712" s="2128">
        <f>Y1712-'Blocking-Step2'!Y1712</f>
        <v>0</v>
      </c>
    </row>
    <row r="1713" spans="1:48">
      <c r="A1713" s="1116" t="s">
        <v>136</v>
      </c>
      <c r="C1713" s="1136">
        <v>-501829</v>
      </c>
      <c r="D1713" s="1136">
        <v>0</v>
      </c>
      <c r="F1713" s="2088"/>
      <c r="H1713" s="1147">
        <v>-143813</v>
      </c>
      <c r="I1713" s="1147">
        <v>0</v>
      </c>
      <c r="K1713" s="2088"/>
      <c r="M1713" s="2088"/>
      <c r="O1713" s="2088"/>
      <c r="Q1713" s="2088"/>
      <c r="Y1713" s="1114"/>
      <c r="Z1713" s="2114">
        <f>C1713-'Blocking-Step2'!C1713</f>
        <v>0</v>
      </c>
      <c r="AA1713" s="2114">
        <f>D1713-'Blocking-Step2'!D1713</f>
        <v>0</v>
      </c>
      <c r="AC1713" s="2114">
        <f>F1713-'Blocking-Step2'!F1713</f>
        <v>0</v>
      </c>
      <c r="AE1713" s="2114">
        <f>H1713-'Blocking-Step2'!H1713</f>
        <v>0</v>
      </c>
      <c r="AF1713" s="2114">
        <f>I1713-'Blocking-Step2'!I1713</f>
        <v>0</v>
      </c>
      <c r="AH1713" s="2136">
        <f>K1713-'Blocking-Step2'!K1713</f>
        <v>0</v>
      </c>
      <c r="AJ1713" s="2136">
        <f>M1713-'Blocking-Step2'!M1713</f>
        <v>0</v>
      </c>
      <c r="AL1713" s="2136">
        <f>O1713-'Blocking-Step2'!O1713</f>
        <v>0</v>
      </c>
      <c r="AN1713" s="2137">
        <f>Q1713-'Blocking-Step2'!Q1713</f>
        <v>0</v>
      </c>
      <c r="AP1713" s="2127">
        <f>S1713-'Blocking-Step2'!S1713</f>
        <v>0</v>
      </c>
      <c r="AR1713" s="2127">
        <f>U1713-'Blocking-Step2'!U1713</f>
        <v>0</v>
      </c>
      <c r="AT1713" s="2127">
        <f>W1713-'Blocking-Step2'!W1713</f>
        <v>0</v>
      </c>
      <c r="AV1713" s="2128">
        <f>Y1713-'Blocking-Step2'!Y1713</f>
        <v>0</v>
      </c>
    </row>
    <row r="1714" spans="1:48">
      <c r="A1714" s="1116" t="s">
        <v>1240</v>
      </c>
      <c r="C1714" s="1024"/>
      <c r="D1714" s="1024"/>
      <c r="F1714" s="2076">
        <v>-1.9800000000000002E-2</v>
      </c>
      <c r="G1714" s="617"/>
      <c r="H1714" s="1146">
        <v>-82709.490600000005</v>
      </c>
      <c r="I1714" s="1146">
        <v>-82884.205800000011</v>
      </c>
      <c r="K1714" s="2076"/>
      <c r="L1714" s="617"/>
      <c r="M1714" s="2076"/>
      <c r="N1714" s="617"/>
      <c r="O1714" s="2077" t="s">
        <v>2323</v>
      </c>
      <c r="P1714" s="617"/>
      <c r="Q1714" s="2076">
        <v>-1.8700000000000001E-2</v>
      </c>
      <c r="R1714" s="617"/>
      <c r="S1714" s="1114"/>
      <c r="T1714" s="1114"/>
      <c r="U1714" s="1114"/>
      <c r="V1714" s="1114"/>
      <c r="W1714" s="1114"/>
      <c r="X1714" s="1114"/>
      <c r="Y1714" s="1146">
        <v>-70300.87106711838</v>
      </c>
      <c r="Z1714" s="2114">
        <f>C1714-'Blocking-Step2'!C1714</f>
        <v>0</v>
      </c>
      <c r="AA1714" s="2114">
        <f>D1714-'Blocking-Step2'!D1714</f>
        <v>0</v>
      </c>
      <c r="AC1714" s="2114">
        <f>F1714-'Blocking-Step2'!F1714</f>
        <v>0</v>
      </c>
      <c r="AE1714" s="2114">
        <f>H1714-'Blocking-Step2'!H1714</f>
        <v>0</v>
      </c>
      <c r="AF1714" s="2114">
        <f>I1714-'Blocking-Step2'!I1714</f>
        <v>0</v>
      </c>
      <c r="AH1714" s="2136">
        <f>K1714-'Blocking-Step2'!K1714</f>
        <v>0</v>
      </c>
      <c r="AJ1714" s="2136">
        <f>M1714-'Blocking-Step2'!M1714</f>
        <v>0</v>
      </c>
      <c r="AL1714" s="2136" t="e">
        <f>O1714-'Blocking-Step2'!O1714</f>
        <v>#VALUE!</v>
      </c>
      <c r="AN1714" s="2137">
        <f>Q1714-'Blocking-Step2'!Q1714</f>
        <v>0</v>
      </c>
      <c r="AP1714" s="2127">
        <f>S1714-'Blocking-Step2'!S1714</f>
        <v>0</v>
      </c>
      <c r="AR1714" s="2127">
        <f>U1714-'Blocking-Step2'!U1714</f>
        <v>0</v>
      </c>
      <c r="AT1714" s="2127">
        <f>W1714-'Blocking-Step2'!W1714</f>
        <v>0</v>
      </c>
      <c r="AV1714" s="2128">
        <f>Y1714-'Blocking-Step2'!Y1714</f>
        <v>0</v>
      </c>
    </row>
    <row r="1715" spans="1:48">
      <c r="A1715" s="1116"/>
      <c r="C1715" s="1024"/>
      <c r="D1715" s="1024"/>
      <c r="F1715" s="2076"/>
      <c r="G1715" s="617"/>
      <c r="H1715" s="1146"/>
      <c r="I1715" s="1146"/>
      <c r="K1715" s="2076"/>
      <c r="L1715" s="617"/>
      <c r="M1715" s="2076"/>
      <c r="N1715" s="617"/>
      <c r="O1715" s="2077" t="s">
        <v>2324</v>
      </c>
      <c r="P1715" s="617"/>
      <c r="Q1715" s="2076">
        <v>-1.0200000000000001E-2</v>
      </c>
      <c r="R1715" s="617"/>
      <c r="S1715" s="1114"/>
      <c r="T1715" s="1114"/>
      <c r="U1715" s="1114"/>
      <c r="V1715" s="1114"/>
      <c r="W1715" s="1114"/>
      <c r="X1715" s="1114"/>
      <c r="Y1715" s="1146">
        <v>-38345.92967297366</v>
      </c>
      <c r="Z1715" s="2114">
        <f>C1715-'Blocking-Step2'!C1715</f>
        <v>0</v>
      </c>
      <c r="AA1715" s="2114">
        <f>D1715-'Blocking-Step2'!D1715</f>
        <v>0</v>
      </c>
      <c r="AC1715" s="2114">
        <f>F1715-'Blocking-Step2'!F1715</f>
        <v>0</v>
      </c>
      <c r="AE1715" s="2114">
        <f>H1715-'Blocking-Step2'!H1715</f>
        <v>0</v>
      </c>
      <c r="AF1715" s="2114">
        <f>I1715-'Blocking-Step2'!I1715</f>
        <v>0</v>
      </c>
      <c r="AH1715" s="2136">
        <f>K1715-'Blocking-Step2'!K1715</f>
        <v>0</v>
      </c>
      <c r="AJ1715" s="2136">
        <f>M1715-'Blocking-Step2'!M1715</f>
        <v>0</v>
      </c>
      <c r="AL1715" s="2136" t="e">
        <f>O1715-'Blocking-Step2'!O1715</f>
        <v>#VALUE!</v>
      </c>
      <c r="AN1715" s="2137">
        <f>Q1715-'Blocking-Step2'!Q1715</f>
        <v>0</v>
      </c>
      <c r="AP1715" s="2127">
        <f>S1715-'Blocking-Step2'!S1715</f>
        <v>0</v>
      </c>
      <c r="AR1715" s="2127">
        <f>U1715-'Blocking-Step2'!U1715</f>
        <v>0</v>
      </c>
      <c r="AT1715" s="2127">
        <f>W1715-'Blocking-Step2'!W1715</f>
        <v>0</v>
      </c>
      <c r="AV1715" s="2128">
        <f>Y1715-'Blocking-Step2'!Y1715</f>
        <v>0</v>
      </c>
    </row>
    <row r="1716" spans="1:48" ht="16.5" thickBot="1">
      <c r="A1716" s="1116" t="s">
        <v>93</v>
      </c>
      <c r="C1716" s="2089">
        <v>13042129.85338369</v>
      </c>
      <c r="D1716" s="2089">
        <v>13572508.23362934</v>
      </c>
      <c r="F1716" s="1979"/>
      <c r="G1716" s="1980"/>
      <c r="H1716" s="1651">
        <v>3950724.5093999999</v>
      </c>
      <c r="I1716" s="1651">
        <v>4103186.7941999999</v>
      </c>
      <c r="K1716" s="1979"/>
      <c r="L1716" s="1980"/>
      <c r="M1716" s="1979"/>
      <c r="N1716" s="1980"/>
      <c r="O1716" s="1979"/>
      <c r="P1716" s="1980"/>
      <c r="Q1716" s="1979"/>
      <c r="R1716" s="1980"/>
      <c r="S1716" s="1651">
        <v>2557117.722317283</v>
      </c>
      <c r="U1716" s="1651">
        <v>609250.31997884728</v>
      </c>
      <c r="W1716" s="1651">
        <v>593036.82760324783</v>
      </c>
      <c r="X1716" s="1650"/>
      <c r="Y1716" s="1651">
        <v>3759404.8698993782</v>
      </c>
      <c r="Z1716" s="2114">
        <f>C1716-'Blocking-Step2'!C1716</f>
        <v>0</v>
      </c>
      <c r="AA1716" s="2114">
        <f>D1716-'Blocking-Step2'!D1716</f>
        <v>0</v>
      </c>
      <c r="AC1716" s="2114">
        <f>F1716-'Blocking-Step2'!F1716</f>
        <v>0</v>
      </c>
      <c r="AE1716" s="2114">
        <f>H1716-'Blocking-Step2'!H1716</f>
        <v>0</v>
      </c>
      <c r="AF1716" s="2114">
        <f>I1716-'Blocking-Step2'!I1716</f>
        <v>0</v>
      </c>
      <c r="AH1716" s="2136">
        <f>K1716-'Blocking-Step2'!K1716</f>
        <v>0</v>
      </c>
      <c r="AJ1716" s="2136">
        <f>M1716-'Blocking-Step2'!M1716</f>
        <v>0</v>
      </c>
      <c r="AL1716" s="2136">
        <f>O1716-'Blocking-Step2'!O1716</f>
        <v>0</v>
      </c>
      <c r="AN1716" s="2137">
        <f>Q1716-'Blocking-Step2'!Q1716</f>
        <v>0</v>
      </c>
      <c r="AP1716" s="2127">
        <f>S1716-'Blocking-Step2'!S1716</f>
        <v>-201228.40158092417</v>
      </c>
      <c r="AR1716" s="2127">
        <f>U1716-'Blocking-Step2'!U1716</f>
        <v>201228.40158092434</v>
      </c>
      <c r="AT1716" s="2127">
        <f>W1716-'Blocking-Step2'!W1716</f>
        <v>0</v>
      </c>
      <c r="AV1716" s="2128">
        <f>Y1716-'Blocking-Step2'!Y1716</f>
        <v>0</v>
      </c>
    </row>
    <row r="1717" spans="1:48" ht="16.5" thickTop="1">
      <c r="C1717" s="1105"/>
      <c r="D1717" s="1105"/>
      <c r="Z1717" s="2114">
        <f>C1717-'Blocking-Step2'!C1717</f>
        <v>0</v>
      </c>
      <c r="AA1717" s="2114">
        <f>D1717-'Blocking-Step2'!D1717</f>
        <v>0</v>
      </c>
      <c r="AC1717" s="2114">
        <f>F1717-'Blocking-Step2'!F1717</f>
        <v>0</v>
      </c>
      <c r="AE1717" s="2114">
        <f>H1717-'Blocking-Step2'!H1717</f>
        <v>0</v>
      </c>
      <c r="AF1717" s="2114">
        <f>I1717-'Blocking-Step2'!I1717</f>
        <v>0</v>
      </c>
      <c r="AH1717" s="2136">
        <f>K1717-'Blocking-Step2'!K1717</f>
        <v>0</v>
      </c>
      <c r="AJ1717" s="2136">
        <f>M1717-'Blocking-Step2'!M1717</f>
        <v>0</v>
      </c>
      <c r="AL1717" s="2136">
        <f>O1717-'Blocking-Step2'!O1717</f>
        <v>0</v>
      </c>
      <c r="AN1717" s="2137">
        <f>Q1717-'Blocking-Step2'!Q1717</f>
        <v>0</v>
      </c>
      <c r="AP1717" s="2127">
        <f>S1717-'Blocking-Step2'!S1717</f>
        <v>0</v>
      </c>
      <c r="AR1717" s="2127">
        <f>U1717-'Blocking-Step2'!U1717</f>
        <v>0</v>
      </c>
      <c r="AT1717" s="2127">
        <f>W1717-'Blocking-Step2'!W1717</f>
        <v>0</v>
      </c>
      <c r="AV1717" s="2128">
        <f>Y1717-'Blocking-Step2'!Y1717</f>
        <v>0</v>
      </c>
    </row>
    <row r="1718" spans="1:48">
      <c r="A1718" s="1115" t="s">
        <v>389</v>
      </c>
      <c r="C1718" s="1105"/>
      <c r="D1718" s="1105"/>
      <c r="Z1718" s="2114">
        <f>C1718-'Blocking-Step2'!C1718</f>
        <v>0</v>
      </c>
      <c r="AA1718" s="2114">
        <f>D1718-'Blocking-Step2'!D1718</f>
        <v>0</v>
      </c>
      <c r="AC1718" s="2114">
        <f>F1718-'Blocking-Step2'!F1718</f>
        <v>0</v>
      </c>
      <c r="AE1718" s="2114">
        <f>H1718-'Blocking-Step2'!H1718</f>
        <v>0</v>
      </c>
      <c r="AF1718" s="2114">
        <f>I1718-'Blocking-Step2'!I1718</f>
        <v>0</v>
      </c>
      <c r="AH1718" s="2136">
        <f>K1718-'Blocking-Step2'!K1718</f>
        <v>0</v>
      </c>
      <c r="AJ1718" s="2136">
        <f>M1718-'Blocking-Step2'!M1718</f>
        <v>0</v>
      </c>
      <c r="AL1718" s="2136">
        <f>O1718-'Blocking-Step2'!O1718</f>
        <v>0</v>
      </c>
      <c r="AN1718" s="2137">
        <f>Q1718-'Blocking-Step2'!Q1718</f>
        <v>0</v>
      </c>
      <c r="AP1718" s="2127">
        <f>S1718-'Blocking-Step2'!S1718</f>
        <v>0</v>
      </c>
      <c r="AR1718" s="2127">
        <f>U1718-'Blocking-Step2'!U1718</f>
        <v>0</v>
      </c>
      <c r="AT1718" s="2127">
        <f>W1718-'Blocking-Step2'!W1718</f>
        <v>0</v>
      </c>
      <c r="AV1718" s="2128">
        <f>Y1718-'Blocking-Step2'!Y1718</f>
        <v>0</v>
      </c>
    </row>
    <row r="1719" spans="1:48">
      <c r="A1719" s="2091" t="s">
        <v>388</v>
      </c>
      <c r="C1719" s="1105"/>
      <c r="D1719" s="1105"/>
      <c r="H1719" s="1146"/>
      <c r="I1719" s="1146"/>
      <c r="Y1719" s="1146"/>
      <c r="Z1719" s="2114">
        <f>C1719-'Blocking-Step2'!C1719</f>
        <v>0</v>
      </c>
      <c r="AA1719" s="2114">
        <f>D1719-'Blocking-Step2'!D1719</f>
        <v>0</v>
      </c>
      <c r="AC1719" s="2114">
        <f>F1719-'Blocking-Step2'!F1719</f>
        <v>0</v>
      </c>
      <c r="AE1719" s="2114">
        <f>H1719-'Blocking-Step2'!H1719</f>
        <v>0</v>
      </c>
      <c r="AF1719" s="2114">
        <f>I1719-'Blocking-Step2'!I1719</f>
        <v>0</v>
      </c>
      <c r="AH1719" s="2136">
        <f>K1719-'Blocking-Step2'!K1719</f>
        <v>0</v>
      </c>
      <c r="AJ1719" s="2136">
        <f>M1719-'Blocking-Step2'!M1719</f>
        <v>0</v>
      </c>
      <c r="AL1719" s="2136">
        <f>O1719-'Blocking-Step2'!O1719</f>
        <v>0</v>
      </c>
      <c r="AN1719" s="2137">
        <f>Q1719-'Blocking-Step2'!Q1719</f>
        <v>0</v>
      </c>
      <c r="AP1719" s="2127">
        <f>S1719-'Blocking-Step2'!S1719</f>
        <v>0</v>
      </c>
      <c r="AR1719" s="2127">
        <f>U1719-'Blocking-Step2'!U1719</f>
        <v>0</v>
      </c>
      <c r="AT1719" s="2127">
        <f>W1719-'Blocking-Step2'!W1719</f>
        <v>0</v>
      </c>
      <c r="AV1719" s="2128">
        <f>Y1719-'Blocking-Step2'!Y1719</f>
        <v>0</v>
      </c>
    </row>
    <row r="1720" spans="1:48">
      <c r="A1720" s="1977" t="s">
        <v>206</v>
      </c>
      <c r="C1720" s="1105"/>
      <c r="D1720" s="1105"/>
      <c r="H1720" s="1146"/>
      <c r="I1720" s="1146"/>
      <c r="Y1720" s="1146"/>
      <c r="Z1720" s="2114">
        <f>C1720-'Blocking-Step2'!C1720</f>
        <v>0</v>
      </c>
      <c r="AA1720" s="2114">
        <f>D1720-'Blocking-Step2'!D1720</f>
        <v>0</v>
      </c>
      <c r="AC1720" s="2114">
        <f>F1720-'Blocking-Step2'!F1720</f>
        <v>0</v>
      </c>
      <c r="AE1720" s="2114">
        <f>H1720-'Blocking-Step2'!H1720</f>
        <v>0</v>
      </c>
      <c r="AF1720" s="2114">
        <f>I1720-'Blocking-Step2'!I1720</f>
        <v>0</v>
      </c>
      <c r="AH1720" s="2136">
        <f>K1720-'Blocking-Step2'!K1720</f>
        <v>0</v>
      </c>
      <c r="AJ1720" s="2136">
        <f>M1720-'Blocking-Step2'!M1720</f>
        <v>0</v>
      </c>
      <c r="AL1720" s="2136">
        <f>O1720-'Blocking-Step2'!O1720</f>
        <v>0</v>
      </c>
      <c r="AN1720" s="2137">
        <f>Q1720-'Blocking-Step2'!Q1720</f>
        <v>0</v>
      </c>
      <c r="AP1720" s="2127">
        <f>S1720-'Blocking-Step2'!S1720</f>
        <v>0</v>
      </c>
      <c r="AR1720" s="2127">
        <f>U1720-'Blocking-Step2'!U1720</f>
        <v>0</v>
      </c>
      <c r="AT1720" s="2127">
        <f>W1720-'Blocking-Step2'!W1720</f>
        <v>0</v>
      </c>
      <c r="AV1720" s="2128">
        <f>Y1720-'Blocking-Step2'!Y1720</f>
        <v>0</v>
      </c>
    </row>
    <row r="1721" spans="1:48">
      <c r="A1721" s="1116" t="s">
        <v>332</v>
      </c>
      <c r="C1721" s="1105">
        <v>88517.224043715803</v>
      </c>
      <c r="D1721" s="1105">
        <v>51176</v>
      </c>
      <c r="F1721" s="1907">
        <v>1.83</v>
      </c>
      <c r="G1721" s="1110"/>
      <c r="H1721" s="1146">
        <v>161987</v>
      </c>
      <c r="I1721" s="1146">
        <v>93652</v>
      </c>
      <c r="K1721" s="1907"/>
      <c r="L1721" s="1110"/>
      <c r="M1721" s="1907"/>
      <c r="N1721" s="1110"/>
      <c r="O1721" s="1907"/>
      <c r="P1721" s="1110"/>
      <c r="Q1721" s="1907"/>
      <c r="R1721" s="1110"/>
      <c r="S1721" s="1629"/>
      <c r="T1721" s="1629"/>
      <c r="U1721" s="1629"/>
      <c r="V1721" s="1629"/>
      <c r="W1721" s="1629"/>
      <c r="X1721" s="1629"/>
      <c r="Y1721" s="1146"/>
      <c r="Z1721" s="2114">
        <f>C1721-'Blocking-Step2'!C1721</f>
        <v>0</v>
      </c>
      <c r="AA1721" s="2114">
        <f>D1721-'Blocking-Step2'!D1721</f>
        <v>0</v>
      </c>
      <c r="AC1721" s="2114">
        <f>F1721-'Blocking-Step2'!F1721</f>
        <v>0</v>
      </c>
      <c r="AE1721" s="2114">
        <f>H1721-'Blocking-Step2'!H1721</f>
        <v>0</v>
      </c>
      <c r="AF1721" s="2114">
        <f>I1721-'Blocking-Step2'!I1721</f>
        <v>0</v>
      </c>
      <c r="AH1721" s="2136">
        <f>K1721-'Blocking-Step2'!K1721</f>
        <v>0</v>
      </c>
      <c r="AJ1721" s="2136">
        <f>M1721-'Blocking-Step2'!M1721</f>
        <v>0</v>
      </c>
      <c r="AL1721" s="2136">
        <f>O1721-'Blocking-Step2'!O1721</f>
        <v>0</v>
      </c>
      <c r="AN1721" s="2137">
        <f>Q1721-'Blocking-Step2'!Q1721</f>
        <v>0</v>
      </c>
      <c r="AP1721" s="2127">
        <f>S1721-'Blocking-Step2'!S1721</f>
        <v>0</v>
      </c>
      <c r="AR1721" s="2127">
        <f>U1721-'Blocking-Step2'!U1721</f>
        <v>0</v>
      </c>
      <c r="AT1721" s="2127">
        <f>W1721-'Blocking-Step2'!W1721</f>
        <v>0</v>
      </c>
      <c r="AV1721" s="2128">
        <f>Y1721-'Blocking-Step2'!Y1721</f>
        <v>0</v>
      </c>
    </row>
    <row r="1722" spans="1:48">
      <c r="A1722" s="1116" t="s">
        <v>333</v>
      </c>
      <c r="C1722" s="1105">
        <v>139165.98000000001</v>
      </c>
      <c r="D1722" s="1105">
        <v>80459</v>
      </c>
      <c r="F1722" s="1907">
        <v>2.5</v>
      </c>
      <c r="G1722" s="1110"/>
      <c r="H1722" s="1146">
        <v>347915</v>
      </c>
      <c r="I1722" s="1146">
        <v>201148</v>
      </c>
      <c r="K1722" s="1907"/>
      <c r="L1722" s="1110"/>
      <c r="M1722" s="1907"/>
      <c r="N1722" s="1110"/>
      <c r="O1722" s="1907"/>
      <c r="P1722" s="1110"/>
      <c r="Q1722" s="1907"/>
      <c r="R1722" s="1110"/>
      <c r="S1722" s="1629"/>
      <c r="T1722" s="1629"/>
      <c r="U1722" s="1629"/>
      <c r="V1722" s="1629"/>
      <c r="W1722" s="1629"/>
      <c r="X1722" s="1629"/>
      <c r="Y1722" s="1146"/>
      <c r="Z1722" s="2114">
        <f>C1722-'Blocking-Step2'!C1722</f>
        <v>0</v>
      </c>
      <c r="AA1722" s="2114">
        <f>D1722-'Blocking-Step2'!D1722</f>
        <v>0</v>
      </c>
      <c r="AC1722" s="2114">
        <f>F1722-'Blocking-Step2'!F1722</f>
        <v>0</v>
      </c>
      <c r="AE1722" s="2114">
        <f>H1722-'Blocking-Step2'!H1722</f>
        <v>0</v>
      </c>
      <c r="AF1722" s="2114">
        <f>I1722-'Blocking-Step2'!I1722</f>
        <v>0</v>
      </c>
      <c r="AH1722" s="2136">
        <f>K1722-'Blocking-Step2'!K1722</f>
        <v>0</v>
      </c>
      <c r="AJ1722" s="2136">
        <f>M1722-'Blocking-Step2'!M1722</f>
        <v>0</v>
      </c>
      <c r="AL1722" s="2136">
        <f>O1722-'Blocking-Step2'!O1722</f>
        <v>0</v>
      </c>
      <c r="AN1722" s="2137">
        <f>Q1722-'Blocking-Step2'!Q1722</f>
        <v>0</v>
      </c>
      <c r="AP1722" s="2127">
        <f>S1722-'Blocking-Step2'!S1722</f>
        <v>0</v>
      </c>
      <c r="AR1722" s="2127">
        <f>U1722-'Blocking-Step2'!U1722</f>
        <v>0</v>
      </c>
      <c r="AT1722" s="2127">
        <f>W1722-'Blocking-Step2'!W1722</f>
        <v>0</v>
      </c>
      <c r="AV1722" s="2128">
        <f>Y1722-'Blocking-Step2'!Y1722</f>
        <v>0</v>
      </c>
    </row>
    <row r="1723" spans="1:48">
      <c r="A1723" s="1116" t="s">
        <v>334</v>
      </c>
      <c r="C1723" s="1105">
        <v>116720.612021858</v>
      </c>
      <c r="D1723" s="1105">
        <v>67482</v>
      </c>
      <c r="F1723" s="1907">
        <v>3.66</v>
      </c>
      <c r="G1723" s="1110"/>
      <c r="H1723" s="1146">
        <v>427197</v>
      </c>
      <c r="I1723" s="1146">
        <v>246984</v>
      </c>
      <c r="K1723" s="1907"/>
      <c r="L1723" s="1110"/>
      <c r="M1723" s="1907"/>
      <c r="N1723" s="1110"/>
      <c r="O1723" s="1907"/>
      <c r="P1723" s="1110"/>
      <c r="Q1723" s="1907"/>
      <c r="R1723" s="1110"/>
      <c r="S1723" s="1629"/>
      <c r="T1723" s="1629"/>
      <c r="U1723" s="1629"/>
      <c r="V1723" s="1629"/>
      <c r="W1723" s="1629"/>
      <c r="X1723" s="1629"/>
      <c r="Y1723" s="1146"/>
      <c r="Z1723" s="2114">
        <f>C1723-'Blocking-Step2'!C1723</f>
        <v>0</v>
      </c>
      <c r="AA1723" s="2114">
        <f>D1723-'Blocking-Step2'!D1723</f>
        <v>0</v>
      </c>
      <c r="AC1723" s="2114">
        <f>F1723-'Blocking-Step2'!F1723</f>
        <v>0</v>
      </c>
      <c r="AE1723" s="2114">
        <f>H1723-'Blocking-Step2'!H1723</f>
        <v>0</v>
      </c>
      <c r="AF1723" s="2114">
        <f>I1723-'Blocking-Step2'!I1723</f>
        <v>0</v>
      </c>
      <c r="AH1723" s="2136">
        <f>K1723-'Blocking-Step2'!K1723</f>
        <v>0</v>
      </c>
      <c r="AJ1723" s="2136">
        <f>M1723-'Blocking-Step2'!M1723</f>
        <v>0</v>
      </c>
      <c r="AL1723" s="2136">
        <f>O1723-'Blocking-Step2'!O1723</f>
        <v>0</v>
      </c>
      <c r="AN1723" s="2137">
        <f>Q1723-'Blocking-Step2'!Q1723</f>
        <v>0</v>
      </c>
      <c r="AP1723" s="2127">
        <f>S1723-'Blocking-Step2'!S1723</f>
        <v>0</v>
      </c>
      <c r="AR1723" s="2127">
        <f>U1723-'Blocking-Step2'!U1723</f>
        <v>0</v>
      </c>
      <c r="AT1723" s="2127">
        <f>W1723-'Blocking-Step2'!W1723</f>
        <v>0</v>
      </c>
      <c r="AV1723" s="2128">
        <f>Y1723-'Blocking-Step2'!Y1723</f>
        <v>0</v>
      </c>
    </row>
    <row r="1724" spans="1:48">
      <c r="A1724" s="1116" t="s">
        <v>335</v>
      </c>
      <c r="C1724" s="1105">
        <v>29670.9739263804</v>
      </c>
      <c r="D1724" s="1105">
        <v>17154</v>
      </c>
      <c r="F1724" s="1907">
        <v>6.52</v>
      </c>
      <c r="G1724" s="1110"/>
      <c r="H1724" s="1146">
        <v>193455</v>
      </c>
      <c r="I1724" s="1146">
        <v>111844</v>
      </c>
      <c r="K1724" s="1907"/>
      <c r="L1724" s="1110"/>
      <c r="M1724" s="1907"/>
      <c r="N1724" s="1110"/>
      <c r="O1724" s="1907"/>
      <c r="P1724" s="1110"/>
      <c r="Q1724" s="1907"/>
      <c r="R1724" s="1110"/>
      <c r="S1724" s="1629"/>
      <c r="T1724" s="1629"/>
      <c r="U1724" s="1629"/>
      <c r="V1724" s="1629"/>
      <c r="W1724" s="1629"/>
      <c r="X1724" s="1629"/>
      <c r="Y1724" s="1146"/>
      <c r="Z1724" s="2114">
        <f>C1724-'Blocking-Step2'!C1724</f>
        <v>0</v>
      </c>
      <c r="AA1724" s="2114">
        <f>D1724-'Blocking-Step2'!D1724</f>
        <v>0</v>
      </c>
      <c r="AC1724" s="2114">
        <f>F1724-'Blocking-Step2'!F1724</f>
        <v>0</v>
      </c>
      <c r="AE1724" s="2114">
        <f>H1724-'Blocking-Step2'!H1724</f>
        <v>0</v>
      </c>
      <c r="AF1724" s="2114">
        <f>I1724-'Blocking-Step2'!I1724</f>
        <v>0</v>
      </c>
      <c r="AH1724" s="2136">
        <f>K1724-'Blocking-Step2'!K1724</f>
        <v>0</v>
      </c>
      <c r="AJ1724" s="2136">
        <f>M1724-'Blocking-Step2'!M1724</f>
        <v>0</v>
      </c>
      <c r="AL1724" s="2136">
        <f>O1724-'Blocking-Step2'!O1724</f>
        <v>0</v>
      </c>
      <c r="AN1724" s="2137">
        <f>Q1724-'Blocking-Step2'!Q1724</f>
        <v>0</v>
      </c>
      <c r="AP1724" s="2127">
        <f>S1724-'Blocking-Step2'!S1724</f>
        <v>0</v>
      </c>
      <c r="AR1724" s="2127">
        <f>U1724-'Blocking-Step2'!U1724</f>
        <v>0</v>
      </c>
      <c r="AT1724" s="2127">
        <f>W1724-'Blocking-Step2'!W1724</f>
        <v>0</v>
      </c>
      <c r="AV1724" s="2128">
        <f>Y1724-'Blocking-Step2'!Y1724</f>
        <v>0</v>
      </c>
    </row>
    <row r="1725" spans="1:48">
      <c r="A1725" s="1116" t="s">
        <v>336</v>
      </c>
      <c r="C1725" s="1105">
        <v>17455.575848303401</v>
      </c>
      <c r="D1725" s="1105">
        <v>10092</v>
      </c>
      <c r="F1725" s="1907">
        <v>10.02</v>
      </c>
      <c r="G1725" s="1110"/>
      <c r="H1725" s="1146">
        <v>174905</v>
      </c>
      <c r="I1725" s="1146">
        <v>101122</v>
      </c>
      <c r="K1725" s="1907"/>
      <c r="L1725" s="1110"/>
      <c r="M1725" s="1907"/>
      <c r="N1725" s="1110"/>
      <c r="O1725" s="1907"/>
      <c r="P1725" s="1110"/>
      <c r="Q1725" s="1907"/>
      <c r="R1725" s="1110"/>
      <c r="S1725" s="1629"/>
      <c r="T1725" s="1629"/>
      <c r="U1725" s="1629"/>
      <c r="V1725" s="1629"/>
      <c r="W1725" s="1629"/>
      <c r="X1725" s="1629"/>
      <c r="Y1725" s="1146"/>
      <c r="Z1725" s="2114">
        <f>C1725-'Blocking-Step2'!C1725</f>
        <v>0</v>
      </c>
      <c r="AA1725" s="2114">
        <f>D1725-'Blocking-Step2'!D1725</f>
        <v>0</v>
      </c>
      <c r="AC1725" s="2114">
        <f>F1725-'Blocking-Step2'!F1725</f>
        <v>0</v>
      </c>
      <c r="AE1725" s="2114">
        <f>H1725-'Blocking-Step2'!H1725</f>
        <v>0</v>
      </c>
      <c r="AF1725" s="2114">
        <f>I1725-'Blocking-Step2'!I1725</f>
        <v>0</v>
      </c>
      <c r="AH1725" s="2136">
        <f>K1725-'Blocking-Step2'!K1725</f>
        <v>0</v>
      </c>
      <c r="AJ1725" s="2136">
        <f>M1725-'Blocking-Step2'!M1725</f>
        <v>0</v>
      </c>
      <c r="AL1725" s="2136">
        <f>O1725-'Blocking-Step2'!O1725</f>
        <v>0</v>
      </c>
      <c r="AN1725" s="2137">
        <f>Q1725-'Blocking-Step2'!Q1725</f>
        <v>0</v>
      </c>
      <c r="AP1725" s="2127">
        <f>S1725-'Blocking-Step2'!S1725</f>
        <v>0</v>
      </c>
      <c r="AR1725" s="2127">
        <f>U1725-'Blocking-Step2'!U1725</f>
        <v>0</v>
      </c>
      <c r="AT1725" s="2127">
        <f>W1725-'Blocking-Step2'!W1725</f>
        <v>0</v>
      </c>
      <c r="AV1725" s="2128">
        <f>Y1725-'Blocking-Step2'!Y1725</f>
        <v>0</v>
      </c>
    </row>
    <row r="1726" spans="1:48">
      <c r="A1726" s="1977" t="s">
        <v>348</v>
      </c>
      <c r="C1726" s="1105"/>
      <c r="D1726" s="1105"/>
      <c r="F1726" s="1142"/>
      <c r="G1726" s="617"/>
      <c r="H1726" s="1146"/>
      <c r="I1726" s="1146"/>
      <c r="K1726" s="1142"/>
      <c r="L1726" s="617"/>
      <c r="M1726" s="1142"/>
      <c r="N1726" s="617"/>
      <c r="O1726" s="1142"/>
      <c r="P1726" s="617"/>
      <c r="Q1726" s="1142"/>
      <c r="R1726" s="617"/>
      <c r="S1726" s="1114"/>
      <c r="T1726" s="1114"/>
      <c r="U1726" s="1114"/>
      <c r="V1726" s="1114"/>
      <c r="W1726" s="1629"/>
      <c r="X1726" s="1114"/>
      <c r="Y1726" s="1146"/>
      <c r="Z1726" s="2114">
        <f>C1726-'Blocking-Step2'!C1726</f>
        <v>0</v>
      </c>
      <c r="AA1726" s="2114">
        <f>D1726-'Blocking-Step2'!D1726</f>
        <v>0</v>
      </c>
      <c r="AC1726" s="2114">
        <f>F1726-'Blocking-Step2'!F1726</f>
        <v>0</v>
      </c>
      <c r="AE1726" s="2114">
        <f>H1726-'Blocking-Step2'!H1726</f>
        <v>0</v>
      </c>
      <c r="AF1726" s="2114">
        <f>I1726-'Blocking-Step2'!I1726</f>
        <v>0</v>
      </c>
      <c r="AH1726" s="2136">
        <f>K1726-'Blocking-Step2'!K1726</f>
        <v>0</v>
      </c>
      <c r="AJ1726" s="2136">
        <f>M1726-'Blocking-Step2'!M1726</f>
        <v>0</v>
      </c>
      <c r="AL1726" s="2136">
        <f>O1726-'Blocking-Step2'!O1726</f>
        <v>0</v>
      </c>
      <c r="AN1726" s="2137">
        <f>Q1726-'Blocking-Step2'!Q1726</f>
        <v>0</v>
      </c>
      <c r="AP1726" s="2127">
        <f>S1726-'Blocking-Step2'!S1726</f>
        <v>0</v>
      </c>
      <c r="AR1726" s="2127">
        <f>U1726-'Blocking-Step2'!U1726</f>
        <v>0</v>
      </c>
      <c r="AT1726" s="2127">
        <f>W1726-'Blocking-Step2'!W1726</f>
        <v>0</v>
      </c>
      <c r="AV1726" s="2128">
        <f>Y1726-'Blocking-Step2'!Y1726</f>
        <v>0</v>
      </c>
    </row>
    <row r="1727" spans="1:48">
      <c r="A1727" s="1116" t="s">
        <v>394</v>
      </c>
      <c r="C1727" s="1105">
        <v>7556.2588235294097</v>
      </c>
      <c r="D1727" s="1105">
        <v>4369</v>
      </c>
      <c r="F1727" s="1907">
        <v>2.5499999999999998</v>
      </c>
      <c r="G1727" s="1110"/>
      <c r="H1727" s="1146">
        <v>19268</v>
      </c>
      <c r="I1727" s="1146">
        <v>11141</v>
      </c>
      <c r="K1727" s="1907"/>
      <c r="L1727" s="1110"/>
      <c r="M1727" s="1907"/>
      <c r="N1727" s="1110"/>
      <c r="O1727" s="1907"/>
      <c r="P1727" s="1110"/>
      <c r="Q1727" s="1907"/>
      <c r="R1727" s="1110"/>
      <c r="S1727" s="1629"/>
      <c r="T1727" s="1629"/>
      <c r="U1727" s="1629"/>
      <c r="V1727" s="1629"/>
      <c r="W1727" s="1629"/>
      <c r="X1727" s="1629"/>
      <c r="Y1727" s="1146"/>
      <c r="Z1727" s="2114">
        <f>C1727-'Blocking-Step2'!C1727</f>
        <v>0</v>
      </c>
      <c r="AA1727" s="2114">
        <f>D1727-'Blocking-Step2'!D1727</f>
        <v>0</v>
      </c>
      <c r="AC1727" s="2114">
        <f>F1727-'Blocking-Step2'!F1727</f>
        <v>0</v>
      </c>
      <c r="AE1727" s="2114">
        <f>H1727-'Blocking-Step2'!H1727</f>
        <v>0</v>
      </c>
      <c r="AF1727" s="2114">
        <f>I1727-'Blocking-Step2'!I1727</f>
        <v>0</v>
      </c>
      <c r="AH1727" s="2136">
        <f>K1727-'Blocking-Step2'!K1727</f>
        <v>0</v>
      </c>
      <c r="AJ1727" s="2136">
        <f>M1727-'Blocking-Step2'!M1727</f>
        <v>0</v>
      </c>
      <c r="AL1727" s="2136">
        <f>O1727-'Blocking-Step2'!O1727</f>
        <v>0</v>
      </c>
      <c r="AN1727" s="2137">
        <f>Q1727-'Blocking-Step2'!Q1727</f>
        <v>0</v>
      </c>
      <c r="AP1727" s="2127">
        <f>S1727-'Blocking-Step2'!S1727</f>
        <v>0</v>
      </c>
      <c r="AR1727" s="2127">
        <f>U1727-'Blocking-Step2'!U1727</f>
        <v>0</v>
      </c>
      <c r="AT1727" s="2127">
        <f>W1727-'Blocking-Step2'!W1727</f>
        <v>0</v>
      </c>
      <c r="AV1727" s="2128">
        <f>Y1727-'Blocking-Step2'!Y1727</f>
        <v>0</v>
      </c>
    </row>
    <row r="1728" spans="1:48">
      <c r="A1728" s="1116" t="s">
        <v>349</v>
      </c>
      <c r="C1728" s="1105">
        <v>16145.838565022401</v>
      </c>
      <c r="D1728" s="1105">
        <v>9335</v>
      </c>
      <c r="F1728" s="1907">
        <v>4.46</v>
      </c>
      <c r="G1728" s="1110"/>
      <c r="H1728" s="1146">
        <v>72010</v>
      </c>
      <c r="I1728" s="1146">
        <v>41634</v>
      </c>
      <c r="K1728" s="1907"/>
      <c r="L1728" s="1110"/>
      <c r="M1728" s="1907"/>
      <c r="N1728" s="1110"/>
      <c r="O1728" s="1907"/>
      <c r="P1728" s="1110"/>
      <c r="Q1728" s="1907"/>
      <c r="R1728" s="1110"/>
      <c r="S1728" s="1629"/>
      <c r="T1728" s="1629"/>
      <c r="U1728" s="1629"/>
      <c r="V1728" s="1629"/>
      <c r="W1728" s="1629"/>
      <c r="X1728" s="1629"/>
      <c r="Y1728" s="1146"/>
      <c r="Z1728" s="2114">
        <f>C1728-'Blocking-Step2'!C1728</f>
        <v>0</v>
      </c>
      <c r="AA1728" s="2114">
        <f>D1728-'Blocking-Step2'!D1728</f>
        <v>0</v>
      </c>
      <c r="AC1728" s="2114">
        <f>F1728-'Blocking-Step2'!F1728</f>
        <v>0</v>
      </c>
      <c r="AE1728" s="2114">
        <f>H1728-'Blocking-Step2'!H1728</f>
        <v>0</v>
      </c>
      <c r="AF1728" s="2114">
        <f>I1728-'Blocking-Step2'!I1728</f>
        <v>0</v>
      </c>
      <c r="AH1728" s="2136">
        <f>K1728-'Blocking-Step2'!K1728</f>
        <v>0</v>
      </c>
      <c r="AJ1728" s="2136">
        <f>M1728-'Blocking-Step2'!M1728</f>
        <v>0</v>
      </c>
      <c r="AL1728" s="2136">
        <f>O1728-'Blocking-Step2'!O1728</f>
        <v>0</v>
      </c>
      <c r="AN1728" s="2137">
        <f>Q1728-'Blocking-Step2'!Q1728</f>
        <v>0</v>
      </c>
      <c r="AP1728" s="2127">
        <f>S1728-'Blocking-Step2'!S1728</f>
        <v>0</v>
      </c>
      <c r="AR1728" s="2127">
        <f>U1728-'Blocking-Step2'!U1728</f>
        <v>0</v>
      </c>
      <c r="AT1728" s="2127">
        <f>W1728-'Blocking-Step2'!W1728</f>
        <v>0</v>
      </c>
      <c r="AV1728" s="2128">
        <f>Y1728-'Blocking-Step2'!Y1728</f>
        <v>0</v>
      </c>
    </row>
    <row r="1729" spans="1:48">
      <c r="A1729" s="1116" t="s">
        <v>350</v>
      </c>
      <c r="C1729" s="1105">
        <v>17533.513776337099</v>
      </c>
      <c r="D1729" s="1105">
        <v>10137</v>
      </c>
      <c r="F1729" s="1907">
        <v>6.17</v>
      </c>
      <c r="G1729" s="1110"/>
      <c r="H1729" s="1146">
        <v>108182</v>
      </c>
      <c r="I1729" s="1146">
        <v>62545</v>
      </c>
      <c r="K1729" s="1907"/>
      <c r="L1729" s="1110"/>
      <c r="M1729" s="1907"/>
      <c r="N1729" s="1110"/>
      <c r="O1729" s="1907"/>
      <c r="P1729" s="1110"/>
      <c r="Q1729" s="1907"/>
      <c r="R1729" s="1110"/>
      <c r="S1729" s="1629"/>
      <c r="T1729" s="1629"/>
      <c r="U1729" s="1629"/>
      <c r="V1729" s="1629"/>
      <c r="W1729" s="1629"/>
      <c r="X1729" s="1629"/>
      <c r="Y1729" s="1146"/>
      <c r="Z1729" s="2114">
        <f>C1729-'Blocking-Step2'!C1729</f>
        <v>0</v>
      </c>
      <c r="AA1729" s="2114">
        <f>D1729-'Blocking-Step2'!D1729</f>
        <v>0</v>
      </c>
      <c r="AC1729" s="2114">
        <f>F1729-'Blocking-Step2'!F1729</f>
        <v>0</v>
      </c>
      <c r="AE1729" s="2114">
        <f>H1729-'Blocking-Step2'!H1729</f>
        <v>0</v>
      </c>
      <c r="AF1729" s="2114">
        <f>I1729-'Blocking-Step2'!I1729</f>
        <v>0</v>
      </c>
      <c r="AH1729" s="2136">
        <f>K1729-'Blocking-Step2'!K1729</f>
        <v>0</v>
      </c>
      <c r="AJ1729" s="2136">
        <f>M1729-'Blocking-Step2'!M1729</f>
        <v>0</v>
      </c>
      <c r="AL1729" s="2136">
        <f>O1729-'Blocking-Step2'!O1729</f>
        <v>0</v>
      </c>
      <c r="AN1729" s="2137">
        <f>Q1729-'Blocking-Step2'!Q1729</f>
        <v>0</v>
      </c>
      <c r="AP1729" s="2127">
        <f>S1729-'Blocking-Step2'!S1729</f>
        <v>0</v>
      </c>
      <c r="AR1729" s="2127">
        <f>U1729-'Blocking-Step2'!U1729</f>
        <v>0</v>
      </c>
      <c r="AT1729" s="2127">
        <f>W1729-'Blocking-Step2'!W1729</f>
        <v>0</v>
      </c>
      <c r="AV1729" s="2128">
        <f>Y1729-'Blocking-Step2'!Y1729</f>
        <v>0</v>
      </c>
    </row>
    <row r="1730" spans="1:48">
      <c r="A1730" s="1116" t="s">
        <v>351</v>
      </c>
      <c r="C1730" s="1105">
        <v>10677.115660184199</v>
      </c>
      <c r="D1730" s="1105">
        <v>6173</v>
      </c>
      <c r="F1730" s="1110">
        <v>9.77</v>
      </c>
      <c r="G1730" s="1110"/>
      <c r="H1730" s="1146">
        <v>104315</v>
      </c>
      <c r="I1730" s="1146">
        <v>60310</v>
      </c>
      <c r="K1730" s="1907"/>
      <c r="L1730" s="1110"/>
      <c r="M1730" s="1907"/>
      <c r="N1730" s="1110"/>
      <c r="O1730" s="1907"/>
      <c r="P1730" s="1110"/>
      <c r="Q1730" s="1110"/>
      <c r="R1730" s="1110"/>
      <c r="S1730" s="1629"/>
      <c r="T1730" s="1629"/>
      <c r="U1730" s="1629"/>
      <c r="V1730" s="1629"/>
      <c r="W1730" s="1629"/>
      <c r="X1730" s="1629"/>
      <c r="Y1730" s="1146"/>
      <c r="Z1730" s="2114">
        <f>C1730-'Blocking-Step2'!C1730</f>
        <v>0</v>
      </c>
      <c r="AA1730" s="2114">
        <f>D1730-'Blocking-Step2'!D1730</f>
        <v>0</v>
      </c>
      <c r="AC1730" s="2114">
        <f>F1730-'Blocking-Step2'!F1730</f>
        <v>0</v>
      </c>
      <c r="AE1730" s="2114">
        <f>H1730-'Blocking-Step2'!H1730</f>
        <v>0</v>
      </c>
      <c r="AF1730" s="2114">
        <f>I1730-'Blocking-Step2'!I1730</f>
        <v>0</v>
      </c>
      <c r="AH1730" s="2136">
        <f>K1730-'Blocking-Step2'!K1730</f>
        <v>0</v>
      </c>
      <c r="AJ1730" s="2136">
        <f>M1730-'Blocking-Step2'!M1730</f>
        <v>0</v>
      </c>
      <c r="AL1730" s="2136">
        <f>O1730-'Blocking-Step2'!O1730</f>
        <v>0</v>
      </c>
      <c r="AN1730" s="2137">
        <f>Q1730-'Blocking-Step2'!Q1730</f>
        <v>0</v>
      </c>
      <c r="AP1730" s="2127">
        <f>S1730-'Blocking-Step2'!S1730</f>
        <v>0</v>
      </c>
      <c r="AR1730" s="2127">
        <f>U1730-'Blocking-Step2'!U1730</f>
        <v>0</v>
      </c>
      <c r="AT1730" s="2127">
        <f>W1730-'Blocking-Step2'!W1730</f>
        <v>0</v>
      </c>
      <c r="AV1730" s="2128">
        <f>Y1730-'Blocking-Step2'!Y1730</f>
        <v>0</v>
      </c>
    </row>
    <row r="1731" spans="1:48">
      <c r="A1731" s="1977" t="s">
        <v>344</v>
      </c>
      <c r="C1731" s="1105">
        <v>16618873.277816664</v>
      </c>
      <c r="D1731" s="1105">
        <v>9608182</v>
      </c>
      <c r="F1731" s="1982">
        <v>6.5278999999999998</v>
      </c>
      <c r="G1731" s="1921" t="s">
        <v>495</v>
      </c>
      <c r="H1731" s="1146">
        <v>1084863</v>
      </c>
      <c r="I1731" s="1146">
        <v>627213</v>
      </c>
      <c r="K1731" s="1982"/>
      <c r="L1731" s="1921"/>
      <c r="M1731" s="1982"/>
      <c r="N1731" s="1921"/>
      <c r="O1731" s="1982"/>
      <c r="P1731" s="1921"/>
      <c r="Q1731" s="1982"/>
      <c r="R1731" s="1921"/>
      <c r="S1731" s="1629"/>
      <c r="T1731" s="1629"/>
      <c r="U1731" s="1629"/>
      <c r="V1731" s="1629"/>
      <c r="W1731" s="1629"/>
      <c r="X1731" s="1648"/>
      <c r="Y1731" s="1146"/>
      <c r="Z1731" s="2114">
        <f>C1731-'Blocking-Step2'!C1731</f>
        <v>0</v>
      </c>
      <c r="AA1731" s="2114">
        <f>D1731-'Blocking-Step2'!D1731</f>
        <v>0</v>
      </c>
      <c r="AC1731" s="2114">
        <f>F1731-'Blocking-Step2'!F1731</f>
        <v>0</v>
      </c>
      <c r="AE1731" s="2114">
        <f>H1731-'Blocking-Step2'!H1731</f>
        <v>0</v>
      </c>
      <c r="AF1731" s="2114">
        <f>I1731-'Blocking-Step2'!I1731</f>
        <v>0</v>
      </c>
      <c r="AH1731" s="2136">
        <f>K1731-'Blocking-Step2'!K1731</f>
        <v>0</v>
      </c>
      <c r="AJ1731" s="2136">
        <f>M1731-'Blocking-Step2'!M1731</f>
        <v>0</v>
      </c>
      <c r="AL1731" s="2136">
        <f>O1731-'Blocking-Step2'!O1731</f>
        <v>0</v>
      </c>
      <c r="AN1731" s="2137">
        <f>Q1731-'Blocking-Step2'!Q1731</f>
        <v>0</v>
      </c>
      <c r="AP1731" s="2127">
        <f>S1731-'Blocking-Step2'!S1731</f>
        <v>0</v>
      </c>
      <c r="AR1731" s="2127">
        <f>U1731-'Blocking-Step2'!U1731</f>
        <v>0</v>
      </c>
      <c r="AT1731" s="2127">
        <f>W1731-'Blocking-Step2'!W1731</f>
        <v>0</v>
      </c>
      <c r="AV1731" s="2128">
        <f>Y1731-'Blocking-Step2'!Y1731</f>
        <v>0</v>
      </c>
    </row>
    <row r="1732" spans="1:48">
      <c r="A1732" s="1977" t="s">
        <v>506</v>
      </c>
      <c r="C1732" s="1940">
        <v>41430739.109842025</v>
      </c>
      <c r="D1732" s="1940">
        <v>23953132.664302297</v>
      </c>
      <c r="F1732" s="2088"/>
      <c r="H1732" s="1147">
        <v>2694097</v>
      </c>
      <c r="I1732" s="1147">
        <v>1557593</v>
      </c>
      <c r="K1732" s="2088"/>
      <c r="M1732" s="2088"/>
      <c r="O1732" s="2088"/>
      <c r="Q1732" s="2088"/>
      <c r="S1732" s="1147"/>
      <c r="U1732" s="1147"/>
      <c r="W1732" s="1147"/>
      <c r="Y1732" s="1147"/>
      <c r="Z1732" s="2114">
        <f>C1732-'Blocking-Step2'!C1732</f>
        <v>0</v>
      </c>
      <c r="AA1732" s="2114">
        <f>D1732-'Blocking-Step2'!D1732</f>
        <v>0</v>
      </c>
      <c r="AC1732" s="2114">
        <f>F1732-'Blocking-Step2'!F1732</f>
        <v>0</v>
      </c>
      <c r="AE1732" s="2114">
        <f>H1732-'Blocking-Step2'!H1732</f>
        <v>0</v>
      </c>
      <c r="AF1732" s="2114">
        <f>I1732-'Blocking-Step2'!I1732</f>
        <v>0</v>
      </c>
      <c r="AH1732" s="2136">
        <f>K1732-'Blocking-Step2'!K1732</f>
        <v>0</v>
      </c>
      <c r="AJ1732" s="2136">
        <f>M1732-'Blocking-Step2'!M1732</f>
        <v>0</v>
      </c>
      <c r="AL1732" s="2136">
        <f>O1732-'Blocking-Step2'!O1732</f>
        <v>0</v>
      </c>
      <c r="AN1732" s="2137">
        <f>Q1732-'Blocking-Step2'!Q1732</f>
        <v>0</v>
      </c>
      <c r="AP1732" s="2127">
        <f>S1732-'Blocking-Step2'!S1732</f>
        <v>0</v>
      </c>
      <c r="AR1732" s="2127">
        <f>U1732-'Blocking-Step2'!U1732</f>
        <v>0</v>
      </c>
      <c r="AT1732" s="2127">
        <f>W1732-'Blocking-Step2'!W1732</f>
        <v>0</v>
      </c>
      <c r="AV1732" s="2128">
        <f>Y1732-'Blocking-Step2'!Y1732</f>
        <v>0</v>
      </c>
    </row>
    <row r="1733" spans="1:48">
      <c r="A1733" s="1977" t="s">
        <v>136</v>
      </c>
      <c r="C1733" s="1024">
        <v>-1535086</v>
      </c>
      <c r="D1733" s="1024">
        <v>0</v>
      </c>
      <c r="F1733" s="1982"/>
      <c r="G1733" s="1921"/>
      <c r="H1733" s="1114">
        <v>-92739</v>
      </c>
      <c r="I1733" s="1147">
        <v>0</v>
      </c>
      <c r="K1733" s="1982"/>
      <c r="L1733" s="1921"/>
      <c r="M1733" s="1982"/>
      <c r="N1733" s="1921"/>
      <c r="O1733" s="1982"/>
      <c r="P1733" s="1921"/>
      <c r="Q1733" s="1982"/>
      <c r="R1733" s="1921"/>
      <c r="S1733" s="1147"/>
      <c r="T1733" s="1648"/>
      <c r="U1733" s="1147"/>
      <c r="V1733" s="1648"/>
      <c r="W1733" s="1147"/>
      <c r="X1733" s="1648"/>
      <c r="Y1733" s="1147"/>
      <c r="Z1733" s="2114">
        <f>C1733-'Blocking-Step2'!C1733</f>
        <v>0</v>
      </c>
      <c r="AA1733" s="2114">
        <f>D1733-'Blocking-Step2'!D1733</f>
        <v>0</v>
      </c>
      <c r="AC1733" s="2114">
        <f>F1733-'Blocking-Step2'!F1733</f>
        <v>0</v>
      </c>
      <c r="AE1733" s="2114">
        <f>H1733-'Blocking-Step2'!H1733</f>
        <v>0</v>
      </c>
      <c r="AF1733" s="2114">
        <f>I1733-'Blocking-Step2'!I1733</f>
        <v>0</v>
      </c>
      <c r="AH1733" s="2136">
        <f>K1733-'Blocking-Step2'!K1733</f>
        <v>0</v>
      </c>
      <c r="AJ1733" s="2136">
        <f>M1733-'Blocking-Step2'!M1733</f>
        <v>0</v>
      </c>
      <c r="AL1733" s="2136">
        <f>O1733-'Blocking-Step2'!O1733</f>
        <v>0</v>
      </c>
      <c r="AN1733" s="2137">
        <f>Q1733-'Blocking-Step2'!Q1733</f>
        <v>0</v>
      </c>
      <c r="AP1733" s="2127">
        <f>S1733-'Blocking-Step2'!S1733</f>
        <v>0</v>
      </c>
      <c r="AR1733" s="2127">
        <f>U1733-'Blocking-Step2'!U1733</f>
        <v>0</v>
      </c>
      <c r="AT1733" s="2127">
        <f>W1733-'Blocking-Step2'!W1733</f>
        <v>0</v>
      </c>
      <c r="AV1733" s="2128">
        <f>Y1733-'Blocking-Step2'!Y1733</f>
        <v>0</v>
      </c>
    </row>
    <row r="1734" spans="1:48">
      <c r="A1734" s="1116" t="s">
        <v>1240</v>
      </c>
      <c r="C1734" s="1024"/>
      <c r="D1734" s="1024"/>
      <c r="F1734" s="2076">
        <v>-1.9800000000000002E-2</v>
      </c>
      <c r="G1734" s="617"/>
      <c r="H1734" s="1146">
        <v>-53343.120600000002</v>
      </c>
      <c r="I1734" s="1146">
        <v>-30840.341400000001</v>
      </c>
      <c r="K1734" s="2076"/>
      <c r="L1734" s="617"/>
      <c r="M1734" s="2076"/>
      <c r="N1734" s="617"/>
      <c r="O1734" s="2076"/>
      <c r="P1734" s="617"/>
      <c r="Q1734" s="2076"/>
      <c r="R1734" s="617"/>
      <c r="S1734" s="1146"/>
      <c r="T1734" s="1114"/>
      <c r="U1734" s="1146"/>
      <c r="V1734" s="1114"/>
      <c r="W1734" s="1146"/>
      <c r="X1734" s="1114"/>
      <c r="Y1734" s="1146"/>
      <c r="Z1734" s="2114">
        <f>C1734-'Blocking-Step2'!C1734</f>
        <v>0</v>
      </c>
      <c r="AA1734" s="2114">
        <f>D1734-'Blocking-Step2'!D1734</f>
        <v>0</v>
      </c>
      <c r="AC1734" s="2114">
        <f>F1734-'Blocking-Step2'!F1734</f>
        <v>0</v>
      </c>
      <c r="AE1734" s="2114">
        <f>H1734-'Blocking-Step2'!H1734</f>
        <v>0</v>
      </c>
      <c r="AF1734" s="2114">
        <f>I1734-'Blocking-Step2'!I1734</f>
        <v>0</v>
      </c>
      <c r="AH1734" s="2136">
        <f>K1734-'Blocking-Step2'!K1734</f>
        <v>0</v>
      </c>
      <c r="AJ1734" s="2136">
        <f>M1734-'Blocking-Step2'!M1734</f>
        <v>0</v>
      </c>
      <c r="AL1734" s="2136">
        <f>O1734-'Blocking-Step2'!O1734</f>
        <v>0</v>
      </c>
      <c r="AN1734" s="2137">
        <f>Q1734-'Blocking-Step2'!Q1734</f>
        <v>0</v>
      </c>
      <c r="AP1734" s="2127">
        <f>S1734-'Blocking-Step2'!S1734</f>
        <v>0</v>
      </c>
      <c r="AR1734" s="2127">
        <f>U1734-'Blocking-Step2'!U1734</f>
        <v>0</v>
      </c>
      <c r="AT1734" s="2127">
        <f>W1734-'Blocking-Step2'!W1734</f>
        <v>0</v>
      </c>
      <c r="AV1734" s="2128">
        <f>Y1734-'Blocking-Step2'!Y1734</f>
        <v>0</v>
      </c>
    </row>
    <row r="1735" spans="1:48">
      <c r="A1735" s="1116"/>
      <c r="C1735" s="1024"/>
      <c r="D1735" s="1024"/>
      <c r="F1735" s="2076"/>
      <c r="G1735" s="617"/>
      <c r="H1735" s="1146"/>
      <c r="I1735" s="1146"/>
      <c r="K1735" s="2076"/>
      <c r="L1735" s="617"/>
      <c r="M1735" s="2076"/>
      <c r="N1735" s="617"/>
      <c r="O1735" s="2076"/>
      <c r="P1735" s="617"/>
      <c r="Q1735" s="2076"/>
      <c r="R1735" s="617"/>
      <c r="S1735" s="1146"/>
      <c r="T1735" s="1114"/>
      <c r="U1735" s="1146"/>
      <c r="V1735" s="1114"/>
      <c r="W1735" s="1146"/>
      <c r="X1735" s="1114"/>
      <c r="Y1735" s="1146"/>
      <c r="Z1735" s="2114">
        <f>C1735-'Blocking-Step2'!C1735</f>
        <v>0</v>
      </c>
      <c r="AA1735" s="2114">
        <f>D1735-'Blocking-Step2'!D1735</f>
        <v>0</v>
      </c>
      <c r="AC1735" s="2114">
        <f>F1735-'Blocking-Step2'!F1735</f>
        <v>0</v>
      </c>
      <c r="AE1735" s="2114">
        <f>H1735-'Blocking-Step2'!H1735</f>
        <v>0</v>
      </c>
      <c r="AF1735" s="2114">
        <f>I1735-'Blocking-Step2'!I1735</f>
        <v>0</v>
      </c>
      <c r="AH1735" s="2136">
        <f>K1735-'Blocking-Step2'!K1735</f>
        <v>0</v>
      </c>
      <c r="AJ1735" s="2136">
        <f>M1735-'Blocking-Step2'!M1735</f>
        <v>0</v>
      </c>
      <c r="AL1735" s="2136">
        <f>O1735-'Blocking-Step2'!O1735</f>
        <v>0</v>
      </c>
      <c r="AN1735" s="2137">
        <f>Q1735-'Blocking-Step2'!Q1735</f>
        <v>0</v>
      </c>
      <c r="AP1735" s="2127">
        <f>S1735-'Blocking-Step2'!S1735</f>
        <v>0</v>
      </c>
      <c r="AR1735" s="2127">
        <f>U1735-'Blocking-Step2'!U1735</f>
        <v>0</v>
      </c>
      <c r="AT1735" s="2127">
        <f>W1735-'Blocking-Step2'!W1735</f>
        <v>0</v>
      </c>
      <c r="AV1735" s="2128">
        <f>Y1735-'Blocking-Step2'!Y1735</f>
        <v>0</v>
      </c>
    </row>
    <row r="1736" spans="1:48">
      <c r="A1736" s="1977" t="s">
        <v>93</v>
      </c>
      <c r="C1736" s="1024">
        <v>39895653.109842025</v>
      </c>
      <c r="D1736" s="1024">
        <v>23953132.664302297</v>
      </c>
      <c r="F1736" s="1982"/>
      <c r="G1736" s="1921"/>
      <c r="H1736" s="1114">
        <v>2548014.8794</v>
      </c>
      <c r="I1736" s="1114">
        <v>1526752.6586</v>
      </c>
      <c r="K1736" s="1982"/>
      <c r="L1736" s="1921"/>
      <c r="M1736" s="1982"/>
      <c r="N1736" s="1921"/>
      <c r="O1736" s="1982"/>
      <c r="P1736" s="1921"/>
      <c r="Q1736" s="1982"/>
      <c r="R1736" s="1921"/>
      <c r="S1736" s="1114"/>
      <c r="T1736" s="1648"/>
      <c r="U1736" s="1114"/>
      <c r="V1736" s="1648"/>
      <c r="W1736" s="1114"/>
      <c r="X1736" s="1648"/>
      <c r="Y1736" s="1114"/>
      <c r="Z1736" s="2114">
        <f>C1736-'Blocking-Step2'!C1736</f>
        <v>0</v>
      </c>
      <c r="AA1736" s="2114">
        <f>D1736-'Blocking-Step2'!D1736</f>
        <v>0</v>
      </c>
      <c r="AC1736" s="2114">
        <f>F1736-'Blocking-Step2'!F1736</f>
        <v>0</v>
      </c>
      <c r="AE1736" s="2114">
        <f>H1736-'Blocking-Step2'!H1736</f>
        <v>0</v>
      </c>
      <c r="AF1736" s="2114">
        <f>I1736-'Blocking-Step2'!I1736</f>
        <v>0</v>
      </c>
      <c r="AH1736" s="2136">
        <f>K1736-'Blocking-Step2'!K1736</f>
        <v>0</v>
      </c>
      <c r="AJ1736" s="2136">
        <f>M1736-'Blocking-Step2'!M1736</f>
        <v>0</v>
      </c>
      <c r="AL1736" s="2136">
        <f>O1736-'Blocking-Step2'!O1736</f>
        <v>0</v>
      </c>
      <c r="AN1736" s="2137">
        <f>Q1736-'Blocking-Step2'!Q1736</f>
        <v>0</v>
      </c>
      <c r="AP1736" s="2127">
        <f>S1736-'Blocking-Step2'!S1736</f>
        <v>0</v>
      </c>
      <c r="AR1736" s="2127">
        <f>U1736-'Blocking-Step2'!U1736</f>
        <v>0</v>
      </c>
      <c r="AT1736" s="2127">
        <f>W1736-'Blocking-Step2'!W1736</f>
        <v>0</v>
      </c>
      <c r="AV1736" s="2128">
        <f>Y1736-'Blocking-Step2'!Y1736</f>
        <v>0</v>
      </c>
    </row>
    <row r="1737" spans="1:48">
      <c r="A1737" s="1977" t="s">
        <v>778</v>
      </c>
      <c r="C1737" s="1940">
        <v>1005.41666666667</v>
      </c>
      <c r="D1737" s="1940">
        <v>990</v>
      </c>
      <c r="F1737" s="2088"/>
      <c r="H1737" s="1147"/>
      <c r="I1737" s="1147"/>
      <c r="K1737" s="2088"/>
      <c r="M1737" s="2088"/>
      <c r="O1737" s="2088"/>
      <c r="Q1737" s="2088"/>
      <c r="S1737" s="1147"/>
      <c r="U1737" s="1147"/>
      <c r="W1737" s="1147"/>
      <c r="Y1737" s="1147"/>
      <c r="Z1737" s="2114">
        <f>C1737-'Blocking-Step2'!C1737</f>
        <v>0</v>
      </c>
      <c r="AA1737" s="2114">
        <f>D1737-'Blocking-Step2'!D1737</f>
        <v>0</v>
      </c>
      <c r="AC1737" s="2114">
        <f>F1737-'Blocking-Step2'!F1737</f>
        <v>0</v>
      </c>
      <c r="AE1737" s="2114">
        <f>H1737-'Blocking-Step2'!H1737</f>
        <v>0</v>
      </c>
      <c r="AF1737" s="2114">
        <f>I1737-'Blocking-Step2'!I1737</f>
        <v>0</v>
      </c>
      <c r="AH1737" s="2136">
        <f>K1737-'Blocking-Step2'!K1737</f>
        <v>0</v>
      </c>
      <c r="AJ1737" s="2136">
        <f>M1737-'Blocking-Step2'!M1737</f>
        <v>0</v>
      </c>
      <c r="AL1737" s="2136">
        <f>O1737-'Blocking-Step2'!O1737</f>
        <v>0</v>
      </c>
      <c r="AN1737" s="2137">
        <f>Q1737-'Blocking-Step2'!Q1737</f>
        <v>0</v>
      </c>
      <c r="AP1737" s="2127">
        <f>S1737-'Blocking-Step2'!S1737</f>
        <v>0</v>
      </c>
      <c r="AR1737" s="2127">
        <f>U1737-'Blocking-Step2'!U1737</f>
        <v>0</v>
      </c>
      <c r="AT1737" s="2127">
        <f>W1737-'Blocking-Step2'!W1737</f>
        <v>0</v>
      </c>
      <c r="AV1737" s="2128">
        <f>Y1737-'Blocking-Step2'!Y1737</f>
        <v>0</v>
      </c>
    </row>
    <row r="1738" spans="1:48">
      <c r="A1738" s="2092" t="s">
        <v>207</v>
      </c>
      <c r="C1738" s="1105"/>
      <c r="D1738" s="1105"/>
      <c r="W1738" s="1629"/>
      <c r="Z1738" s="2114">
        <f>C1738-'Blocking-Step2'!C1738</f>
        <v>0</v>
      </c>
      <c r="AA1738" s="2114">
        <f>D1738-'Blocking-Step2'!D1738</f>
        <v>0</v>
      </c>
      <c r="AC1738" s="2114">
        <f>F1738-'Blocking-Step2'!F1738</f>
        <v>0</v>
      </c>
      <c r="AE1738" s="2114">
        <f>H1738-'Blocking-Step2'!H1738</f>
        <v>0</v>
      </c>
      <c r="AF1738" s="2114">
        <f>I1738-'Blocking-Step2'!I1738</f>
        <v>0</v>
      </c>
      <c r="AH1738" s="2136">
        <f>K1738-'Blocking-Step2'!K1738</f>
        <v>0</v>
      </c>
      <c r="AJ1738" s="2136">
        <f>M1738-'Blocking-Step2'!M1738</f>
        <v>0</v>
      </c>
      <c r="AL1738" s="2136">
        <f>O1738-'Blocking-Step2'!O1738</f>
        <v>0</v>
      </c>
      <c r="AN1738" s="2137">
        <f>Q1738-'Blocking-Step2'!Q1738</f>
        <v>0</v>
      </c>
      <c r="AP1738" s="2127">
        <f>S1738-'Blocking-Step2'!S1738</f>
        <v>0</v>
      </c>
      <c r="AR1738" s="2127">
        <f>U1738-'Blocking-Step2'!U1738</f>
        <v>0</v>
      </c>
      <c r="AT1738" s="2127">
        <f>W1738-'Blocking-Step2'!W1738</f>
        <v>0</v>
      </c>
      <c r="AV1738" s="2128">
        <f>Y1738-'Blocking-Step2'!Y1738</f>
        <v>0</v>
      </c>
    </row>
    <row r="1739" spans="1:48">
      <c r="A1739" s="1977" t="s">
        <v>320</v>
      </c>
      <c r="C1739" s="1105"/>
      <c r="D1739" s="1105"/>
      <c r="H1739" s="1146"/>
      <c r="I1739" s="1146"/>
      <c r="W1739" s="1629"/>
      <c r="Y1739" s="1146"/>
      <c r="Z1739" s="2114">
        <f>C1739-'Blocking-Step2'!C1739</f>
        <v>0</v>
      </c>
      <c r="AA1739" s="2114">
        <f>D1739-'Blocking-Step2'!D1739</f>
        <v>0</v>
      </c>
      <c r="AC1739" s="2114">
        <f>F1739-'Blocking-Step2'!F1739</f>
        <v>0</v>
      </c>
      <c r="AE1739" s="2114">
        <f>H1739-'Blocking-Step2'!H1739</f>
        <v>0</v>
      </c>
      <c r="AF1739" s="2114">
        <f>I1739-'Blocking-Step2'!I1739</f>
        <v>0</v>
      </c>
      <c r="AH1739" s="2136">
        <f>K1739-'Blocking-Step2'!K1739</f>
        <v>0</v>
      </c>
      <c r="AJ1739" s="2136">
        <f>M1739-'Blocking-Step2'!M1739</f>
        <v>0</v>
      </c>
      <c r="AL1739" s="2136">
        <f>O1739-'Blocking-Step2'!O1739</f>
        <v>0</v>
      </c>
      <c r="AN1739" s="2137">
        <f>Q1739-'Blocking-Step2'!Q1739</f>
        <v>0</v>
      </c>
      <c r="AP1739" s="2127">
        <f>S1739-'Blocking-Step2'!S1739</f>
        <v>0</v>
      </c>
      <c r="AR1739" s="2127">
        <f>U1739-'Blocking-Step2'!U1739</f>
        <v>0</v>
      </c>
      <c r="AT1739" s="2127">
        <f>W1739-'Blocking-Step2'!W1739</f>
        <v>0</v>
      </c>
      <c r="AV1739" s="2128">
        <f>Y1739-'Blocking-Step2'!Y1739</f>
        <v>0</v>
      </c>
    </row>
    <row r="1740" spans="1:48">
      <c r="A1740" s="1116" t="s">
        <v>342</v>
      </c>
      <c r="C1740" s="1105">
        <v>72</v>
      </c>
      <c r="D1740" s="1105">
        <v>46</v>
      </c>
      <c r="F1740" s="1907">
        <v>8.9600000000000009</v>
      </c>
      <c r="G1740" s="1110"/>
      <c r="H1740" s="1146">
        <v>645</v>
      </c>
      <c r="I1740" s="1146">
        <v>412</v>
      </c>
      <c r="K1740" s="1907"/>
      <c r="L1740" s="1110"/>
      <c r="M1740" s="1907"/>
      <c r="N1740" s="1110"/>
      <c r="O1740" s="1907"/>
      <c r="P1740" s="1110"/>
      <c r="Q1740" s="1907"/>
      <c r="R1740" s="1110"/>
      <c r="S1740" s="1629"/>
      <c r="T1740" s="1629"/>
      <c r="U1740" s="1629"/>
      <c r="V1740" s="1629"/>
      <c r="W1740" s="1629"/>
      <c r="X1740" s="1629"/>
      <c r="Y1740" s="1146"/>
      <c r="Z1740" s="2114">
        <f>C1740-'Blocking-Step2'!C1740</f>
        <v>0</v>
      </c>
      <c r="AA1740" s="2114">
        <f>D1740-'Blocking-Step2'!D1740</f>
        <v>0</v>
      </c>
      <c r="AC1740" s="2114">
        <f>F1740-'Blocking-Step2'!F1740</f>
        <v>0</v>
      </c>
      <c r="AE1740" s="2114">
        <f>H1740-'Blocking-Step2'!H1740</f>
        <v>0</v>
      </c>
      <c r="AF1740" s="2114">
        <f>I1740-'Blocking-Step2'!I1740</f>
        <v>0</v>
      </c>
      <c r="AH1740" s="2136">
        <f>K1740-'Blocking-Step2'!K1740</f>
        <v>0</v>
      </c>
      <c r="AJ1740" s="2136">
        <f>M1740-'Blocking-Step2'!M1740</f>
        <v>0</v>
      </c>
      <c r="AL1740" s="2136">
        <f>O1740-'Blocking-Step2'!O1740</f>
        <v>0</v>
      </c>
      <c r="AN1740" s="2137">
        <f>Q1740-'Blocking-Step2'!Q1740</f>
        <v>0</v>
      </c>
      <c r="AP1740" s="2127">
        <f>S1740-'Blocking-Step2'!S1740</f>
        <v>0</v>
      </c>
      <c r="AR1740" s="2127">
        <f>U1740-'Blocking-Step2'!U1740</f>
        <v>0</v>
      </c>
      <c r="AT1740" s="2127">
        <f>W1740-'Blocking-Step2'!W1740</f>
        <v>0</v>
      </c>
      <c r="AV1740" s="2128">
        <f>Y1740-'Blocking-Step2'!Y1740</f>
        <v>0</v>
      </c>
    </row>
    <row r="1741" spans="1:48">
      <c r="A1741" s="1116" t="s">
        <v>325</v>
      </c>
      <c r="C1741" s="1105">
        <v>36</v>
      </c>
      <c r="D1741" s="1105">
        <v>23</v>
      </c>
      <c r="F1741" s="1907">
        <v>12.19</v>
      </c>
      <c r="G1741" s="1110"/>
      <c r="H1741" s="1146">
        <v>439</v>
      </c>
      <c r="I1741" s="1146">
        <v>280</v>
      </c>
      <c r="K1741" s="1907"/>
      <c r="L1741" s="1110"/>
      <c r="M1741" s="1907"/>
      <c r="N1741" s="1110"/>
      <c r="O1741" s="1907"/>
      <c r="P1741" s="1110"/>
      <c r="Q1741" s="1907"/>
      <c r="R1741" s="1110"/>
      <c r="S1741" s="1629"/>
      <c r="T1741" s="1629"/>
      <c r="U1741" s="1629"/>
      <c r="V1741" s="1629"/>
      <c r="W1741" s="1629"/>
      <c r="X1741" s="1629"/>
      <c r="Y1741" s="1146"/>
      <c r="Z1741" s="2114">
        <f>C1741-'Blocking-Step2'!C1741</f>
        <v>0</v>
      </c>
      <c r="AA1741" s="2114">
        <f>D1741-'Blocking-Step2'!D1741</f>
        <v>0</v>
      </c>
      <c r="AC1741" s="2114">
        <f>F1741-'Blocking-Step2'!F1741</f>
        <v>0</v>
      </c>
      <c r="AE1741" s="2114">
        <f>H1741-'Blocking-Step2'!H1741</f>
        <v>0</v>
      </c>
      <c r="AF1741" s="2114">
        <f>I1741-'Blocking-Step2'!I1741</f>
        <v>0</v>
      </c>
      <c r="AH1741" s="2136">
        <f>K1741-'Blocking-Step2'!K1741</f>
        <v>0</v>
      </c>
      <c r="AJ1741" s="2136">
        <f>M1741-'Blocking-Step2'!M1741</f>
        <v>0</v>
      </c>
      <c r="AL1741" s="2136">
        <f>O1741-'Blocking-Step2'!O1741</f>
        <v>0</v>
      </c>
      <c r="AN1741" s="2137">
        <f>Q1741-'Blocking-Step2'!Q1741</f>
        <v>0</v>
      </c>
      <c r="AP1741" s="2127">
        <f>S1741-'Blocking-Step2'!S1741</f>
        <v>0</v>
      </c>
      <c r="AR1741" s="2127">
        <f>U1741-'Blocking-Step2'!U1741</f>
        <v>0</v>
      </c>
      <c r="AT1741" s="2127">
        <f>W1741-'Blocking-Step2'!W1741</f>
        <v>0</v>
      </c>
      <c r="AV1741" s="2128">
        <f>Y1741-'Blocking-Step2'!Y1741</f>
        <v>0</v>
      </c>
    </row>
    <row r="1742" spans="1:48">
      <c r="A1742" s="1977" t="s">
        <v>329</v>
      </c>
      <c r="C1742" s="1105"/>
      <c r="D1742" s="1105"/>
      <c r="F1742" s="1907"/>
      <c r="G1742" s="1110"/>
      <c r="K1742" s="1907"/>
      <c r="L1742" s="1110"/>
      <c r="M1742" s="1907"/>
      <c r="N1742" s="1110"/>
      <c r="O1742" s="1907"/>
      <c r="P1742" s="1110"/>
      <c r="Q1742" s="1907"/>
      <c r="R1742" s="1110"/>
      <c r="S1742" s="1629"/>
      <c r="T1742" s="1629"/>
      <c r="U1742" s="1629"/>
      <c r="V1742" s="1629"/>
      <c r="W1742" s="1629"/>
      <c r="X1742" s="1629"/>
      <c r="Z1742" s="2114">
        <f>C1742-'Blocking-Step2'!C1742</f>
        <v>0</v>
      </c>
      <c r="AA1742" s="2114">
        <f>D1742-'Blocking-Step2'!D1742</f>
        <v>0</v>
      </c>
      <c r="AC1742" s="2114">
        <f>F1742-'Blocking-Step2'!F1742</f>
        <v>0</v>
      </c>
      <c r="AE1742" s="2114">
        <f>H1742-'Blocking-Step2'!H1742</f>
        <v>0</v>
      </c>
      <c r="AF1742" s="2114">
        <f>I1742-'Blocking-Step2'!I1742</f>
        <v>0</v>
      </c>
      <c r="AH1742" s="2136">
        <f>K1742-'Blocking-Step2'!K1742</f>
        <v>0</v>
      </c>
      <c r="AJ1742" s="2136">
        <f>M1742-'Blocking-Step2'!M1742</f>
        <v>0</v>
      </c>
      <c r="AL1742" s="2136">
        <f>O1742-'Blocking-Step2'!O1742</f>
        <v>0</v>
      </c>
      <c r="AN1742" s="2137">
        <f>Q1742-'Blocking-Step2'!Q1742</f>
        <v>0</v>
      </c>
      <c r="AP1742" s="2127">
        <f>S1742-'Blocking-Step2'!S1742</f>
        <v>0</v>
      </c>
      <c r="AR1742" s="2127">
        <f>U1742-'Blocking-Step2'!U1742</f>
        <v>0</v>
      </c>
      <c r="AT1742" s="2127">
        <f>W1742-'Blocking-Step2'!W1742</f>
        <v>0</v>
      </c>
      <c r="AV1742" s="2128">
        <f>Y1742-'Blocking-Step2'!Y1742</f>
        <v>0</v>
      </c>
    </row>
    <row r="1743" spans="1:48">
      <c r="A1743" s="1116" t="s">
        <v>325</v>
      </c>
      <c r="C1743" s="1105">
        <v>0</v>
      </c>
      <c r="D1743" s="1105">
        <v>0</v>
      </c>
      <c r="F1743" s="1907">
        <v>4.6399999999999997</v>
      </c>
      <c r="G1743" s="1110"/>
      <c r="H1743" s="1146">
        <v>0</v>
      </c>
      <c r="I1743" s="1146">
        <v>0</v>
      </c>
      <c r="K1743" s="1907"/>
      <c r="L1743" s="1110"/>
      <c r="M1743" s="1907"/>
      <c r="N1743" s="1110"/>
      <c r="O1743" s="1907"/>
      <c r="P1743" s="1110"/>
      <c r="Q1743" s="1907"/>
      <c r="R1743" s="1110"/>
      <c r="S1743" s="1629"/>
      <c r="T1743" s="1629"/>
      <c r="U1743" s="1629"/>
      <c r="V1743" s="1629"/>
      <c r="W1743" s="1629"/>
      <c r="X1743" s="1629"/>
      <c r="Y1743" s="1146"/>
      <c r="Z1743" s="2114">
        <f>C1743-'Blocking-Step2'!C1743</f>
        <v>0</v>
      </c>
      <c r="AA1743" s="2114">
        <f>D1743-'Blocking-Step2'!D1743</f>
        <v>0</v>
      </c>
      <c r="AC1743" s="2114">
        <f>F1743-'Blocking-Step2'!F1743</f>
        <v>0</v>
      </c>
      <c r="AE1743" s="2114">
        <f>H1743-'Blocking-Step2'!H1743</f>
        <v>0</v>
      </c>
      <c r="AF1743" s="2114">
        <f>I1743-'Blocking-Step2'!I1743</f>
        <v>0</v>
      </c>
      <c r="AH1743" s="2136">
        <f>K1743-'Blocking-Step2'!K1743</f>
        <v>0</v>
      </c>
      <c r="AJ1743" s="2136">
        <f>M1743-'Blocking-Step2'!M1743</f>
        <v>0</v>
      </c>
      <c r="AL1743" s="2136">
        <f>O1743-'Blocking-Step2'!O1743</f>
        <v>0</v>
      </c>
      <c r="AN1743" s="2137">
        <f>Q1743-'Blocking-Step2'!Q1743</f>
        <v>0</v>
      </c>
      <c r="AP1743" s="2127">
        <f>S1743-'Blocking-Step2'!S1743</f>
        <v>0</v>
      </c>
      <c r="AR1743" s="2127">
        <f>U1743-'Blocking-Step2'!U1743</f>
        <v>0</v>
      </c>
      <c r="AT1743" s="2127">
        <f>W1743-'Blocking-Step2'!W1743</f>
        <v>0</v>
      </c>
      <c r="AV1743" s="2128">
        <f>Y1743-'Blocking-Step2'!Y1743</f>
        <v>0</v>
      </c>
    </row>
    <row r="1744" spans="1:48">
      <c r="A1744" s="1116" t="s">
        <v>266</v>
      </c>
      <c r="C1744" s="1105">
        <v>636</v>
      </c>
      <c r="D1744" s="1105">
        <v>404</v>
      </c>
      <c r="F1744" s="1907">
        <v>7</v>
      </c>
      <c r="H1744" s="1146">
        <v>4452</v>
      </c>
      <c r="I1744" s="1146">
        <v>2828</v>
      </c>
      <c r="K1744" s="1907"/>
      <c r="L1744" s="1110"/>
      <c r="M1744" s="1907"/>
      <c r="N1744" s="1110"/>
      <c r="O1744" s="1907"/>
      <c r="Q1744" s="1907"/>
      <c r="S1744" s="1629"/>
      <c r="T1744" s="1629"/>
      <c r="U1744" s="1629"/>
      <c r="V1744" s="1629"/>
      <c r="W1744" s="1629"/>
      <c r="Y1744" s="1146"/>
      <c r="Z1744" s="2114">
        <f>C1744-'Blocking-Step2'!C1744</f>
        <v>0</v>
      </c>
      <c r="AA1744" s="2114">
        <f>D1744-'Blocking-Step2'!D1744</f>
        <v>0</v>
      </c>
      <c r="AC1744" s="2114">
        <f>F1744-'Blocking-Step2'!F1744</f>
        <v>0</v>
      </c>
      <c r="AE1744" s="2114">
        <f>H1744-'Blocking-Step2'!H1744</f>
        <v>0</v>
      </c>
      <c r="AF1744" s="2114">
        <f>I1744-'Blocking-Step2'!I1744</f>
        <v>0</v>
      </c>
      <c r="AH1744" s="2136">
        <f>K1744-'Blocking-Step2'!K1744</f>
        <v>0</v>
      </c>
      <c r="AJ1744" s="2136">
        <f>M1744-'Blocking-Step2'!M1744</f>
        <v>0</v>
      </c>
      <c r="AL1744" s="2136">
        <f>O1744-'Blocking-Step2'!O1744</f>
        <v>0</v>
      </c>
      <c r="AN1744" s="2137">
        <f>Q1744-'Blocking-Step2'!Q1744</f>
        <v>0</v>
      </c>
      <c r="AP1744" s="2127">
        <f>S1744-'Blocking-Step2'!S1744</f>
        <v>0</v>
      </c>
      <c r="AR1744" s="2127">
        <f>U1744-'Blocking-Step2'!U1744</f>
        <v>0</v>
      </c>
      <c r="AT1744" s="2127">
        <f>W1744-'Blocking-Step2'!W1744</f>
        <v>0</v>
      </c>
      <c r="AV1744" s="2128">
        <f>Y1744-'Blocking-Step2'!Y1744</f>
        <v>0</v>
      </c>
    </row>
    <row r="1745" spans="1:48">
      <c r="A1745" s="1116" t="s">
        <v>268</v>
      </c>
      <c r="C1745" s="1105">
        <v>84</v>
      </c>
      <c r="D1745" s="1105">
        <v>53</v>
      </c>
      <c r="F1745" s="1907">
        <v>13.33</v>
      </c>
      <c r="G1745" s="1110"/>
      <c r="H1745" s="1146">
        <v>1120</v>
      </c>
      <c r="I1745" s="1146">
        <v>706</v>
      </c>
      <c r="K1745" s="1907"/>
      <c r="L1745" s="1110"/>
      <c r="M1745" s="1907"/>
      <c r="N1745" s="1110"/>
      <c r="O1745" s="1907"/>
      <c r="P1745" s="1110"/>
      <c r="Q1745" s="1907"/>
      <c r="R1745" s="1110"/>
      <c r="S1745" s="1629"/>
      <c r="T1745" s="1629"/>
      <c r="U1745" s="1629"/>
      <c r="V1745" s="1629"/>
      <c r="W1745" s="1629"/>
      <c r="X1745" s="1629"/>
      <c r="Y1745" s="1146"/>
      <c r="Z1745" s="2114">
        <f>C1745-'Blocking-Step2'!C1745</f>
        <v>0</v>
      </c>
      <c r="AA1745" s="2114">
        <f>D1745-'Blocking-Step2'!D1745</f>
        <v>0</v>
      </c>
      <c r="AC1745" s="2114">
        <f>F1745-'Blocking-Step2'!F1745</f>
        <v>0</v>
      </c>
      <c r="AE1745" s="2114">
        <f>H1745-'Blocking-Step2'!H1745</f>
        <v>0</v>
      </c>
      <c r="AF1745" s="2114">
        <f>I1745-'Blocking-Step2'!I1745</f>
        <v>0</v>
      </c>
      <c r="AH1745" s="2136">
        <f>K1745-'Blocking-Step2'!K1745</f>
        <v>0</v>
      </c>
      <c r="AJ1745" s="2136">
        <f>M1745-'Blocking-Step2'!M1745</f>
        <v>0</v>
      </c>
      <c r="AL1745" s="2136">
        <f>O1745-'Blocking-Step2'!O1745</f>
        <v>0</v>
      </c>
      <c r="AN1745" s="2137">
        <f>Q1745-'Blocking-Step2'!Q1745</f>
        <v>0</v>
      </c>
      <c r="AP1745" s="2127">
        <f>S1745-'Blocking-Step2'!S1745</f>
        <v>0</v>
      </c>
      <c r="AR1745" s="2127">
        <f>U1745-'Blocking-Step2'!U1745</f>
        <v>0</v>
      </c>
      <c r="AT1745" s="2127">
        <f>W1745-'Blocking-Step2'!W1745</f>
        <v>0</v>
      </c>
      <c r="AV1745" s="2128">
        <f>Y1745-'Blocking-Step2'!Y1745</f>
        <v>0</v>
      </c>
    </row>
    <row r="1746" spans="1:48">
      <c r="A1746" s="1116" t="s">
        <v>343</v>
      </c>
      <c r="C1746" s="1105">
        <v>0</v>
      </c>
      <c r="D1746" s="1105">
        <v>0</v>
      </c>
      <c r="F1746" s="1907">
        <v>28.38</v>
      </c>
      <c r="G1746" s="1110"/>
      <c r="H1746" s="1146">
        <v>0</v>
      </c>
      <c r="I1746" s="1146">
        <v>0</v>
      </c>
      <c r="K1746" s="1907"/>
      <c r="L1746" s="1110"/>
      <c r="M1746" s="1907"/>
      <c r="N1746" s="1110"/>
      <c r="O1746" s="1907"/>
      <c r="P1746" s="1110"/>
      <c r="Q1746" s="1907"/>
      <c r="R1746" s="1110"/>
      <c r="S1746" s="1629"/>
      <c r="T1746" s="1629"/>
      <c r="U1746" s="1629"/>
      <c r="V1746" s="1629"/>
      <c r="W1746" s="1629"/>
      <c r="X1746" s="1629"/>
      <c r="Y1746" s="1146"/>
      <c r="Z1746" s="2114">
        <f>C1746-'Blocking-Step2'!C1746</f>
        <v>0</v>
      </c>
      <c r="AA1746" s="2114">
        <f>D1746-'Blocking-Step2'!D1746</f>
        <v>0</v>
      </c>
      <c r="AC1746" s="2114">
        <f>F1746-'Blocking-Step2'!F1746</f>
        <v>0</v>
      </c>
      <c r="AE1746" s="2114">
        <f>H1746-'Blocking-Step2'!H1746</f>
        <v>0</v>
      </c>
      <c r="AF1746" s="2114">
        <f>I1746-'Blocking-Step2'!I1746</f>
        <v>0</v>
      </c>
      <c r="AH1746" s="2136">
        <f>K1746-'Blocking-Step2'!K1746</f>
        <v>0</v>
      </c>
      <c r="AJ1746" s="2136">
        <f>M1746-'Blocking-Step2'!M1746</f>
        <v>0</v>
      </c>
      <c r="AL1746" s="2136">
        <f>O1746-'Blocking-Step2'!O1746</f>
        <v>0</v>
      </c>
      <c r="AN1746" s="2137">
        <f>Q1746-'Blocking-Step2'!Q1746</f>
        <v>0</v>
      </c>
      <c r="AP1746" s="2127">
        <f>S1746-'Blocking-Step2'!S1746</f>
        <v>0</v>
      </c>
      <c r="AR1746" s="2127">
        <f>U1746-'Blocking-Step2'!U1746</f>
        <v>0</v>
      </c>
      <c r="AT1746" s="2127">
        <f>W1746-'Blocking-Step2'!W1746</f>
        <v>0</v>
      </c>
      <c r="AV1746" s="2128">
        <f>Y1746-'Blocking-Step2'!Y1746</f>
        <v>0</v>
      </c>
    </row>
    <row r="1747" spans="1:48">
      <c r="A1747" s="1977" t="s">
        <v>527</v>
      </c>
      <c r="C1747" s="1105"/>
      <c r="D1747" s="1105"/>
      <c r="F1747" s="1907"/>
      <c r="G1747" s="1110"/>
      <c r="H1747" s="1146"/>
      <c r="I1747" s="1146"/>
      <c r="K1747" s="1907"/>
      <c r="L1747" s="1110"/>
      <c r="M1747" s="1907"/>
      <c r="N1747" s="1110"/>
      <c r="O1747" s="1907"/>
      <c r="P1747" s="1110"/>
      <c r="Q1747" s="1907"/>
      <c r="R1747" s="1110"/>
      <c r="S1747" s="1629"/>
      <c r="T1747" s="1629"/>
      <c r="U1747" s="1629"/>
      <c r="V1747" s="1629"/>
      <c r="W1747" s="1629"/>
      <c r="X1747" s="1629"/>
      <c r="Y1747" s="1146"/>
      <c r="Z1747" s="2114">
        <f>C1747-'Blocking-Step2'!C1747</f>
        <v>0</v>
      </c>
      <c r="AA1747" s="2114">
        <f>D1747-'Blocking-Step2'!D1747</f>
        <v>0</v>
      </c>
      <c r="AC1747" s="2114">
        <f>F1747-'Blocking-Step2'!F1747</f>
        <v>0</v>
      </c>
      <c r="AE1747" s="2114">
        <f>H1747-'Blocking-Step2'!H1747</f>
        <v>0</v>
      </c>
      <c r="AF1747" s="2114">
        <f>I1747-'Blocking-Step2'!I1747</f>
        <v>0</v>
      </c>
      <c r="AH1747" s="2136">
        <f>K1747-'Blocking-Step2'!K1747</f>
        <v>0</v>
      </c>
      <c r="AJ1747" s="2136">
        <f>M1747-'Blocking-Step2'!M1747</f>
        <v>0</v>
      </c>
      <c r="AL1747" s="2136">
        <f>O1747-'Blocking-Step2'!O1747</f>
        <v>0</v>
      </c>
      <c r="AN1747" s="2137">
        <f>Q1747-'Blocking-Step2'!Q1747</f>
        <v>0</v>
      </c>
      <c r="AP1747" s="2127">
        <f>S1747-'Blocking-Step2'!S1747</f>
        <v>0</v>
      </c>
      <c r="AR1747" s="2127">
        <f>U1747-'Blocking-Step2'!U1747</f>
        <v>0</v>
      </c>
      <c r="AT1747" s="2127">
        <f>W1747-'Blocking-Step2'!W1747</f>
        <v>0</v>
      </c>
      <c r="AV1747" s="2128">
        <f>Y1747-'Blocking-Step2'!Y1747</f>
        <v>0</v>
      </c>
    </row>
    <row r="1748" spans="1:48">
      <c r="A1748" s="1116" t="s">
        <v>332</v>
      </c>
      <c r="C1748" s="1105">
        <v>2228.4779411764698</v>
      </c>
      <c r="D1748" s="1105">
        <v>1416</v>
      </c>
      <c r="F1748" s="1907">
        <v>4.08</v>
      </c>
      <c r="G1748" s="1110"/>
      <c r="H1748" s="1146">
        <v>9092</v>
      </c>
      <c r="I1748" s="1146">
        <v>5777</v>
      </c>
      <c r="K1748" s="1907"/>
      <c r="L1748" s="1110"/>
      <c r="M1748" s="1907"/>
      <c r="N1748" s="1110"/>
      <c r="O1748" s="1907"/>
      <c r="P1748" s="1110"/>
      <c r="Q1748" s="1907"/>
      <c r="R1748" s="1110"/>
      <c r="S1748" s="1629"/>
      <c r="T1748" s="1629"/>
      <c r="U1748" s="1629"/>
      <c r="V1748" s="1629"/>
      <c r="W1748" s="1629"/>
      <c r="X1748" s="1629"/>
      <c r="Y1748" s="1146"/>
      <c r="Z1748" s="2114">
        <f>C1748-'Blocking-Step2'!C1748</f>
        <v>0</v>
      </c>
      <c r="AA1748" s="2114">
        <f>D1748-'Blocking-Step2'!D1748</f>
        <v>0</v>
      </c>
      <c r="AC1748" s="2114">
        <f>F1748-'Blocking-Step2'!F1748</f>
        <v>0</v>
      </c>
      <c r="AE1748" s="2114">
        <f>H1748-'Blocking-Step2'!H1748</f>
        <v>0</v>
      </c>
      <c r="AF1748" s="2114">
        <f>I1748-'Blocking-Step2'!I1748</f>
        <v>0</v>
      </c>
      <c r="AH1748" s="2136">
        <f>K1748-'Blocking-Step2'!K1748</f>
        <v>0</v>
      </c>
      <c r="AJ1748" s="2136">
        <f>M1748-'Blocking-Step2'!M1748</f>
        <v>0</v>
      </c>
      <c r="AL1748" s="2136">
        <f>O1748-'Blocking-Step2'!O1748</f>
        <v>0</v>
      </c>
      <c r="AN1748" s="2137">
        <f>Q1748-'Blocking-Step2'!Q1748</f>
        <v>0</v>
      </c>
      <c r="AP1748" s="2127">
        <f>S1748-'Blocking-Step2'!S1748</f>
        <v>0</v>
      </c>
      <c r="AR1748" s="2127">
        <f>U1748-'Blocking-Step2'!U1748</f>
        <v>0</v>
      </c>
      <c r="AT1748" s="2127">
        <f>W1748-'Blocking-Step2'!W1748</f>
        <v>0</v>
      </c>
      <c r="AV1748" s="2128">
        <f>Y1748-'Blocking-Step2'!Y1748</f>
        <v>0</v>
      </c>
    </row>
    <row r="1749" spans="1:48">
      <c r="A1749" s="1116" t="s">
        <v>333</v>
      </c>
      <c r="C1749" s="1105">
        <v>10538.737430167601</v>
      </c>
      <c r="D1749" s="1105">
        <v>6699</v>
      </c>
      <c r="F1749" s="1907">
        <v>5.37</v>
      </c>
      <c r="G1749" s="1110"/>
      <c r="H1749" s="1146">
        <v>56593</v>
      </c>
      <c r="I1749" s="1146">
        <v>35974</v>
      </c>
      <c r="K1749" s="1907"/>
      <c r="L1749" s="1110"/>
      <c r="M1749" s="1907"/>
      <c r="N1749" s="1110"/>
      <c r="O1749" s="1907"/>
      <c r="P1749" s="1110"/>
      <c r="Q1749" s="1907"/>
      <c r="R1749" s="1110"/>
      <c r="S1749" s="1629"/>
      <c r="T1749" s="1629"/>
      <c r="U1749" s="1629"/>
      <c r="V1749" s="1629"/>
      <c r="W1749" s="1629"/>
      <c r="X1749" s="1629"/>
      <c r="Y1749" s="1146"/>
      <c r="Z1749" s="2114">
        <f>C1749-'Blocking-Step2'!C1749</f>
        <v>0</v>
      </c>
      <c r="AA1749" s="2114">
        <f>D1749-'Blocking-Step2'!D1749</f>
        <v>0</v>
      </c>
      <c r="AC1749" s="2114">
        <f>F1749-'Blocking-Step2'!F1749</f>
        <v>0</v>
      </c>
      <c r="AE1749" s="2114">
        <f>H1749-'Blocking-Step2'!H1749</f>
        <v>0</v>
      </c>
      <c r="AF1749" s="2114">
        <f>I1749-'Blocking-Step2'!I1749</f>
        <v>0</v>
      </c>
      <c r="AH1749" s="2136">
        <f>K1749-'Blocking-Step2'!K1749</f>
        <v>0</v>
      </c>
      <c r="AJ1749" s="2136">
        <f>M1749-'Blocking-Step2'!M1749</f>
        <v>0</v>
      </c>
      <c r="AL1749" s="2136">
        <f>O1749-'Blocking-Step2'!O1749</f>
        <v>0</v>
      </c>
      <c r="AN1749" s="2137">
        <f>Q1749-'Blocking-Step2'!Q1749</f>
        <v>0</v>
      </c>
      <c r="AP1749" s="2127">
        <f>S1749-'Blocking-Step2'!S1749</f>
        <v>0</v>
      </c>
      <c r="AR1749" s="2127">
        <f>U1749-'Blocking-Step2'!U1749</f>
        <v>0</v>
      </c>
      <c r="AT1749" s="2127">
        <f>W1749-'Blocking-Step2'!W1749</f>
        <v>0</v>
      </c>
      <c r="AV1749" s="2128">
        <f>Y1749-'Blocking-Step2'!Y1749</f>
        <v>0</v>
      </c>
    </row>
    <row r="1750" spans="1:48">
      <c r="A1750" s="1116" t="s">
        <v>209</v>
      </c>
      <c r="C1750" s="1105">
        <v>6086.2600574712596</v>
      </c>
      <c r="D1750" s="1105">
        <v>3869</v>
      </c>
      <c r="F1750" s="1907">
        <v>6.96</v>
      </c>
      <c r="G1750" s="1110"/>
      <c r="H1750" s="1146">
        <v>42360</v>
      </c>
      <c r="I1750" s="1146">
        <v>26928</v>
      </c>
      <c r="K1750" s="1907"/>
      <c r="L1750" s="1110"/>
      <c r="M1750" s="1907"/>
      <c r="N1750" s="1110"/>
      <c r="O1750" s="1907"/>
      <c r="P1750" s="1110"/>
      <c r="Q1750" s="1907"/>
      <c r="R1750" s="1110"/>
      <c r="S1750" s="1629"/>
      <c r="T1750" s="1629"/>
      <c r="U1750" s="1629"/>
      <c r="V1750" s="1629"/>
      <c r="W1750" s="1629"/>
      <c r="X1750" s="1629"/>
      <c r="Y1750" s="1146"/>
      <c r="Z1750" s="2114">
        <f>C1750-'Blocking-Step2'!C1750</f>
        <v>0</v>
      </c>
      <c r="AA1750" s="2114">
        <f>D1750-'Blocking-Step2'!D1750</f>
        <v>0</v>
      </c>
      <c r="AC1750" s="2114">
        <f>F1750-'Blocking-Step2'!F1750</f>
        <v>0</v>
      </c>
      <c r="AE1750" s="2114">
        <f>H1750-'Blocking-Step2'!H1750</f>
        <v>0</v>
      </c>
      <c r="AF1750" s="2114">
        <f>I1750-'Blocking-Step2'!I1750</f>
        <v>0</v>
      </c>
      <c r="AH1750" s="2136">
        <f>K1750-'Blocking-Step2'!K1750</f>
        <v>0</v>
      </c>
      <c r="AJ1750" s="2136">
        <f>M1750-'Blocking-Step2'!M1750</f>
        <v>0</v>
      </c>
      <c r="AL1750" s="2136">
        <f>O1750-'Blocking-Step2'!O1750</f>
        <v>0</v>
      </c>
      <c r="AN1750" s="2137">
        <f>Q1750-'Blocking-Step2'!Q1750</f>
        <v>0</v>
      </c>
      <c r="AP1750" s="2127">
        <f>S1750-'Blocking-Step2'!S1750</f>
        <v>0</v>
      </c>
      <c r="AR1750" s="2127">
        <f>U1750-'Blocking-Step2'!U1750</f>
        <v>0</v>
      </c>
      <c r="AT1750" s="2127">
        <f>W1750-'Blocking-Step2'!W1750</f>
        <v>0</v>
      </c>
      <c r="AV1750" s="2128">
        <f>Y1750-'Blocking-Step2'!Y1750</f>
        <v>0</v>
      </c>
    </row>
    <row r="1751" spans="1:48">
      <c r="A1751" s="1116" t="s">
        <v>334</v>
      </c>
      <c r="C1751" s="1105">
        <v>921.29294478527595</v>
      </c>
      <c r="D1751" s="1105">
        <v>586</v>
      </c>
      <c r="F1751" s="1907">
        <v>6.52</v>
      </c>
      <c r="G1751" s="1110"/>
      <c r="H1751" s="1146">
        <v>6007</v>
      </c>
      <c r="I1751" s="1146">
        <v>3821</v>
      </c>
      <c r="K1751" s="1907"/>
      <c r="L1751" s="1110"/>
      <c r="M1751" s="1907"/>
      <c r="N1751" s="1110"/>
      <c r="O1751" s="1907"/>
      <c r="P1751" s="1110"/>
      <c r="Q1751" s="1907"/>
      <c r="R1751" s="1110"/>
      <c r="S1751" s="1629"/>
      <c r="T1751" s="1629"/>
      <c r="U1751" s="1629"/>
      <c r="V1751" s="1629"/>
      <c r="W1751" s="1629"/>
      <c r="X1751" s="1629"/>
      <c r="Y1751" s="1146"/>
      <c r="Z1751" s="2114">
        <f>C1751-'Blocking-Step2'!C1751</f>
        <v>0</v>
      </c>
      <c r="AA1751" s="2114">
        <f>D1751-'Blocking-Step2'!D1751</f>
        <v>0</v>
      </c>
      <c r="AC1751" s="2114">
        <f>F1751-'Blocking-Step2'!F1751</f>
        <v>0</v>
      </c>
      <c r="AE1751" s="2114">
        <f>H1751-'Blocking-Step2'!H1751</f>
        <v>0</v>
      </c>
      <c r="AF1751" s="2114">
        <f>I1751-'Blocking-Step2'!I1751</f>
        <v>0</v>
      </c>
      <c r="AH1751" s="2136">
        <f>K1751-'Blocking-Step2'!K1751</f>
        <v>0</v>
      </c>
      <c r="AJ1751" s="2136">
        <f>M1751-'Blocking-Step2'!M1751</f>
        <v>0</v>
      </c>
      <c r="AL1751" s="2136">
        <f>O1751-'Blocking-Step2'!O1751</f>
        <v>0</v>
      </c>
      <c r="AN1751" s="2137">
        <f>Q1751-'Blocking-Step2'!Q1751</f>
        <v>0</v>
      </c>
      <c r="AP1751" s="2127">
        <f>S1751-'Blocking-Step2'!S1751</f>
        <v>0</v>
      </c>
      <c r="AR1751" s="2127">
        <f>U1751-'Blocking-Step2'!U1751</f>
        <v>0</v>
      </c>
      <c r="AT1751" s="2127">
        <f>W1751-'Blocking-Step2'!W1751</f>
        <v>0</v>
      </c>
      <c r="AV1751" s="2128">
        <f>Y1751-'Blocking-Step2'!Y1751</f>
        <v>0</v>
      </c>
    </row>
    <row r="1752" spans="1:48">
      <c r="A1752" s="1116" t="s">
        <v>483</v>
      </c>
      <c r="C1752" s="1105">
        <v>422.75937122128198</v>
      </c>
      <c r="D1752" s="1105">
        <v>269</v>
      </c>
      <c r="F1752" s="1907">
        <v>8.27</v>
      </c>
      <c r="G1752" s="1110"/>
      <c r="H1752" s="1146">
        <v>3496</v>
      </c>
      <c r="I1752" s="1146">
        <v>2225</v>
      </c>
      <c r="K1752" s="1907"/>
      <c r="L1752" s="1110"/>
      <c r="M1752" s="1907"/>
      <c r="N1752" s="1110"/>
      <c r="O1752" s="1907"/>
      <c r="P1752" s="1110"/>
      <c r="Q1752" s="1907"/>
      <c r="R1752" s="1110"/>
      <c r="S1752" s="1629"/>
      <c r="T1752" s="1629"/>
      <c r="U1752" s="1629"/>
      <c r="V1752" s="1629"/>
      <c r="W1752" s="1629"/>
      <c r="X1752" s="1629"/>
      <c r="Y1752" s="1146"/>
      <c r="Z1752" s="2114">
        <f>C1752-'Blocking-Step2'!C1752</f>
        <v>0</v>
      </c>
      <c r="AA1752" s="2114">
        <f>D1752-'Blocking-Step2'!D1752</f>
        <v>0</v>
      </c>
      <c r="AC1752" s="2114">
        <f>F1752-'Blocking-Step2'!F1752</f>
        <v>0</v>
      </c>
      <c r="AE1752" s="2114">
        <f>H1752-'Blocking-Step2'!H1752</f>
        <v>0</v>
      </c>
      <c r="AF1752" s="2114">
        <f>I1752-'Blocking-Step2'!I1752</f>
        <v>0</v>
      </c>
      <c r="AH1752" s="2136">
        <f>K1752-'Blocking-Step2'!K1752</f>
        <v>0</v>
      </c>
      <c r="AJ1752" s="2136">
        <f>M1752-'Blocking-Step2'!M1752</f>
        <v>0</v>
      </c>
      <c r="AL1752" s="2136">
        <f>O1752-'Blocking-Step2'!O1752</f>
        <v>0</v>
      </c>
      <c r="AN1752" s="2137">
        <f>Q1752-'Blocking-Step2'!Q1752</f>
        <v>0</v>
      </c>
      <c r="AP1752" s="2127">
        <f>S1752-'Blocking-Step2'!S1752</f>
        <v>0</v>
      </c>
      <c r="AR1752" s="2127">
        <f>U1752-'Blocking-Step2'!U1752</f>
        <v>0</v>
      </c>
      <c r="AT1752" s="2127">
        <f>W1752-'Blocking-Step2'!W1752</f>
        <v>0</v>
      </c>
      <c r="AV1752" s="2128">
        <f>Y1752-'Blocking-Step2'!Y1752</f>
        <v>0</v>
      </c>
    </row>
    <row r="1753" spans="1:48">
      <c r="A1753" s="1116" t="s">
        <v>345</v>
      </c>
      <c r="C1753" s="1105">
        <v>0</v>
      </c>
      <c r="D1753" s="1105">
        <v>0</v>
      </c>
      <c r="F1753" s="1907">
        <v>8.26</v>
      </c>
      <c r="G1753" s="1110"/>
      <c r="H1753" s="1146">
        <v>0</v>
      </c>
      <c r="I1753" s="1146">
        <v>0</v>
      </c>
      <c r="K1753" s="1907"/>
      <c r="L1753" s="1110"/>
      <c r="M1753" s="1907"/>
      <c r="N1753" s="1110"/>
      <c r="O1753" s="1907"/>
      <c r="P1753" s="1110"/>
      <c r="Q1753" s="1907"/>
      <c r="R1753" s="1110"/>
      <c r="S1753" s="1629"/>
      <c r="T1753" s="1629"/>
      <c r="U1753" s="1629"/>
      <c r="V1753" s="1629"/>
      <c r="W1753" s="1629"/>
      <c r="X1753" s="1629"/>
      <c r="Y1753" s="1146"/>
      <c r="Z1753" s="2114">
        <f>C1753-'Blocking-Step2'!C1753</f>
        <v>0</v>
      </c>
      <c r="AA1753" s="2114">
        <f>D1753-'Blocking-Step2'!D1753</f>
        <v>0</v>
      </c>
      <c r="AC1753" s="2114">
        <f>F1753-'Blocking-Step2'!F1753</f>
        <v>0</v>
      </c>
      <c r="AE1753" s="2114">
        <f>H1753-'Blocking-Step2'!H1753</f>
        <v>0</v>
      </c>
      <c r="AF1753" s="2114">
        <f>I1753-'Blocking-Step2'!I1753</f>
        <v>0</v>
      </c>
      <c r="AH1753" s="2136">
        <f>K1753-'Blocking-Step2'!K1753</f>
        <v>0</v>
      </c>
      <c r="AJ1753" s="2136">
        <f>M1753-'Blocking-Step2'!M1753</f>
        <v>0</v>
      </c>
      <c r="AL1753" s="2136">
        <f>O1753-'Blocking-Step2'!O1753</f>
        <v>0</v>
      </c>
      <c r="AN1753" s="2137">
        <f>Q1753-'Blocking-Step2'!Q1753</f>
        <v>0</v>
      </c>
      <c r="AP1753" s="2127">
        <f>S1753-'Blocking-Step2'!S1753</f>
        <v>0</v>
      </c>
      <c r="AR1753" s="2127">
        <f>U1753-'Blocking-Step2'!U1753</f>
        <v>0</v>
      </c>
      <c r="AT1753" s="2127">
        <f>W1753-'Blocking-Step2'!W1753</f>
        <v>0</v>
      </c>
      <c r="AV1753" s="2128">
        <f>Y1753-'Blocking-Step2'!Y1753</f>
        <v>0</v>
      </c>
    </row>
    <row r="1754" spans="1:48">
      <c r="A1754" s="1116" t="s">
        <v>335</v>
      </c>
      <c r="C1754" s="1105">
        <v>2737.1355578727798</v>
      </c>
      <c r="D1754" s="1105">
        <v>1740</v>
      </c>
      <c r="F1754" s="1907">
        <v>9.59</v>
      </c>
      <c r="G1754" s="1110"/>
      <c r="H1754" s="1146">
        <v>26249</v>
      </c>
      <c r="I1754" s="1146">
        <v>16687</v>
      </c>
      <c r="K1754" s="1907"/>
      <c r="L1754" s="1110"/>
      <c r="M1754" s="1907"/>
      <c r="N1754" s="1110"/>
      <c r="O1754" s="1907"/>
      <c r="P1754" s="1110"/>
      <c r="Q1754" s="1907"/>
      <c r="R1754" s="1110"/>
      <c r="S1754" s="1629"/>
      <c r="T1754" s="1629"/>
      <c r="U1754" s="1629"/>
      <c r="V1754" s="1629"/>
      <c r="W1754" s="1629"/>
      <c r="X1754" s="1629"/>
      <c r="Y1754" s="1146"/>
      <c r="Z1754" s="2114">
        <f>C1754-'Blocking-Step2'!C1754</f>
        <v>0</v>
      </c>
      <c r="AA1754" s="2114">
        <f>D1754-'Blocking-Step2'!D1754</f>
        <v>0</v>
      </c>
      <c r="AC1754" s="2114">
        <f>F1754-'Blocking-Step2'!F1754</f>
        <v>0</v>
      </c>
      <c r="AE1754" s="2114">
        <f>H1754-'Blocking-Step2'!H1754</f>
        <v>0</v>
      </c>
      <c r="AF1754" s="2114">
        <f>I1754-'Blocking-Step2'!I1754</f>
        <v>0</v>
      </c>
      <c r="AH1754" s="2136">
        <f>K1754-'Blocking-Step2'!K1754</f>
        <v>0</v>
      </c>
      <c r="AJ1754" s="2136">
        <f>M1754-'Blocking-Step2'!M1754</f>
        <v>0</v>
      </c>
      <c r="AL1754" s="2136">
        <f>O1754-'Blocking-Step2'!O1754</f>
        <v>0</v>
      </c>
      <c r="AN1754" s="2137">
        <f>Q1754-'Blocking-Step2'!Q1754</f>
        <v>0</v>
      </c>
      <c r="AP1754" s="2127">
        <f>S1754-'Blocking-Step2'!S1754</f>
        <v>0</v>
      </c>
      <c r="AR1754" s="2127">
        <f>U1754-'Blocking-Step2'!U1754</f>
        <v>0</v>
      </c>
      <c r="AT1754" s="2127">
        <f>W1754-'Blocking-Step2'!W1754</f>
        <v>0</v>
      </c>
      <c r="AV1754" s="2128">
        <f>Y1754-'Blocking-Step2'!Y1754</f>
        <v>0</v>
      </c>
    </row>
    <row r="1755" spans="1:48">
      <c r="A1755" s="1116" t="s">
        <v>484</v>
      </c>
      <c r="C1755" s="1105">
        <v>120.699916177703</v>
      </c>
      <c r="D1755" s="1105">
        <v>77</v>
      </c>
      <c r="F1755" s="1907">
        <v>11.93</v>
      </c>
      <c r="G1755" s="1110"/>
      <c r="H1755" s="1146">
        <v>1440</v>
      </c>
      <c r="I1755" s="1146">
        <v>919</v>
      </c>
      <c r="K1755" s="1907"/>
      <c r="L1755" s="1110"/>
      <c r="M1755" s="1907"/>
      <c r="N1755" s="1110"/>
      <c r="O1755" s="1907"/>
      <c r="P1755" s="1110"/>
      <c r="Q1755" s="1907"/>
      <c r="R1755" s="1110"/>
      <c r="S1755" s="1629"/>
      <c r="T1755" s="1629"/>
      <c r="U1755" s="1629"/>
      <c r="V1755" s="1629"/>
      <c r="W1755" s="1629"/>
      <c r="X1755" s="1629"/>
      <c r="Y1755" s="1146"/>
      <c r="Z1755" s="2114">
        <f>C1755-'Blocking-Step2'!C1755</f>
        <v>0</v>
      </c>
      <c r="AA1755" s="2114">
        <f>D1755-'Blocking-Step2'!D1755</f>
        <v>0</v>
      </c>
      <c r="AC1755" s="2114">
        <f>F1755-'Blocking-Step2'!F1755</f>
        <v>0</v>
      </c>
      <c r="AE1755" s="2114">
        <f>H1755-'Blocking-Step2'!H1755</f>
        <v>0</v>
      </c>
      <c r="AF1755" s="2114">
        <f>I1755-'Blocking-Step2'!I1755</f>
        <v>0</v>
      </c>
      <c r="AH1755" s="2136">
        <f>K1755-'Blocking-Step2'!K1755</f>
        <v>0</v>
      </c>
      <c r="AJ1755" s="2136">
        <f>M1755-'Blocking-Step2'!M1755</f>
        <v>0</v>
      </c>
      <c r="AL1755" s="2136">
        <f>O1755-'Blocking-Step2'!O1755</f>
        <v>0</v>
      </c>
      <c r="AN1755" s="2137">
        <f>Q1755-'Blocking-Step2'!Q1755</f>
        <v>0</v>
      </c>
      <c r="AP1755" s="2127">
        <f>S1755-'Blocking-Step2'!S1755</f>
        <v>0</v>
      </c>
      <c r="AR1755" s="2127">
        <f>U1755-'Blocking-Step2'!U1755</f>
        <v>0</v>
      </c>
      <c r="AT1755" s="2127">
        <f>W1755-'Blocking-Step2'!W1755</f>
        <v>0</v>
      </c>
      <c r="AV1755" s="2128">
        <f>Y1755-'Blocking-Step2'!Y1755</f>
        <v>0</v>
      </c>
    </row>
    <row r="1756" spans="1:48">
      <c r="A1756" s="1116" t="s">
        <v>336</v>
      </c>
      <c r="C1756" s="1105">
        <v>7177.3864285714299</v>
      </c>
      <c r="D1756" s="1105">
        <v>4562</v>
      </c>
      <c r="F1756" s="1907">
        <v>14</v>
      </c>
      <c r="G1756" s="1110"/>
      <c r="H1756" s="1146">
        <v>100483</v>
      </c>
      <c r="I1756" s="1146">
        <v>63868</v>
      </c>
      <c r="K1756" s="1907"/>
      <c r="L1756" s="1110"/>
      <c r="M1756" s="1907"/>
      <c r="N1756" s="1110"/>
      <c r="O1756" s="1907"/>
      <c r="P1756" s="1110"/>
      <c r="Q1756" s="1907"/>
      <c r="R1756" s="1110"/>
      <c r="S1756" s="1629"/>
      <c r="T1756" s="1629"/>
      <c r="U1756" s="1629"/>
      <c r="V1756" s="1629"/>
      <c r="W1756" s="1629"/>
      <c r="X1756" s="1629"/>
      <c r="Y1756" s="1146"/>
      <c r="Z1756" s="2114">
        <f>C1756-'Blocking-Step2'!C1756</f>
        <v>0</v>
      </c>
      <c r="AA1756" s="2114">
        <f>D1756-'Blocking-Step2'!D1756</f>
        <v>0</v>
      </c>
      <c r="AC1756" s="2114">
        <f>F1756-'Blocking-Step2'!F1756</f>
        <v>0</v>
      </c>
      <c r="AE1756" s="2114">
        <f>H1756-'Blocking-Step2'!H1756</f>
        <v>0</v>
      </c>
      <c r="AF1756" s="2114">
        <f>I1756-'Blocking-Step2'!I1756</f>
        <v>0</v>
      </c>
      <c r="AH1756" s="2136">
        <f>K1756-'Blocking-Step2'!K1756</f>
        <v>0</v>
      </c>
      <c r="AJ1756" s="2136">
        <f>M1756-'Blocking-Step2'!M1756</f>
        <v>0</v>
      </c>
      <c r="AL1756" s="2136">
        <f>O1756-'Blocking-Step2'!O1756</f>
        <v>0</v>
      </c>
      <c r="AN1756" s="2137">
        <f>Q1756-'Blocking-Step2'!Q1756</f>
        <v>0</v>
      </c>
      <c r="AP1756" s="2127">
        <f>S1756-'Blocking-Step2'!S1756</f>
        <v>0</v>
      </c>
      <c r="AR1756" s="2127">
        <f>U1756-'Blocking-Step2'!U1756</f>
        <v>0</v>
      </c>
      <c r="AT1756" s="2127">
        <f>W1756-'Blocking-Step2'!W1756</f>
        <v>0</v>
      </c>
      <c r="AV1756" s="2128">
        <f>Y1756-'Blocking-Step2'!Y1756</f>
        <v>0</v>
      </c>
    </row>
    <row r="1757" spans="1:48">
      <c r="A1757" s="1116" t="s">
        <v>210</v>
      </c>
      <c r="C1757" s="1105">
        <v>120</v>
      </c>
      <c r="D1757" s="1105">
        <v>76</v>
      </c>
      <c r="F1757" s="1907">
        <v>15.56</v>
      </c>
      <c r="G1757" s="1110"/>
      <c r="H1757" s="1146">
        <v>1867</v>
      </c>
      <c r="I1757" s="1146">
        <v>1183</v>
      </c>
      <c r="K1757" s="1907"/>
      <c r="L1757" s="1110"/>
      <c r="M1757" s="1907"/>
      <c r="N1757" s="1110"/>
      <c r="O1757" s="1907"/>
      <c r="P1757" s="1110"/>
      <c r="Q1757" s="1907"/>
      <c r="R1757" s="1110"/>
      <c r="S1757" s="1629"/>
      <c r="T1757" s="1629"/>
      <c r="U1757" s="1629"/>
      <c r="V1757" s="1629"/>
      <c r="W1757" s="1629"/>
      <c r="X1757" s="1629"/>
      <c r="Y1757" s="1146"/>
      <c r="Z1757" s="2114">
        <f>C1757-'Blocking-Step2'!C1757</f>
        <v>0</v>
      </c>
      <c r="AA1757" s="2114">
        <f>D1757-'Blocking-Step2'!D1757</f>
        <v>0</v>
      </c>
      <c r="AC1757" s="2114">
        <f>F1757-'Blocking-Step2'!F1757</f>
        <v>0</v>
      </c>
      <c r="AE1757" s="2114">
        <f>H1757-'Blocking-Step2'!H1757</f>
        <v>0</v>
      </c>
      <c r="AF1757" s="2114">
        <f>I1757-'Blocking-Step2'!I1757</f>
        <v>0</v>
      </c>
      <c r="AH1757" s="2136">
        <f>K1757-'Blocking-Step2'!K1757</f>
        <v>0</v>
      </c>
      <c r="AJ1757" s="2136">
        <f>M1757-'Blocking-Step2'!M1757</f>
        <v>0</v>
      </c>
      <c r="AL1757" s="2136">
        <f>O1757-'Blocking-Step2'!O1757</f>
        <v>0</v>
      </c>
      <c r="AN1757" s="2137">
        <f>Q1757-'Blocking-Step2'!Q1757</f>
        <v>0</v>
      </c>
      <c r="AP1757" s="2127">
        <f>S1757-'Blocking-Step2'!S1757</f>
        <v>0</v>
      </c>
      <c r="AR1757" s="2127">
        <f>U1757-'Blocking-Step2'!U1757</f>
        <v>0</v>
      </c>
      <c r="AT1757" s="2127">
        <f>W1757-'Blocking-Step2'!W1757</f>
        <v>0</v>
      </c>
      <c r="AV1757" s="2128">
        <f>Y1757-'Blocking-Step2'!Y1757</f>
        <v>0</v>
      </c>
    </row>
    <row r="1758" spans="1:48">
      <c r="A1758" s="1977" t="s">
        <v>348</v>
      </c>
      <c r="C1758" s="1105"/>
      <c r="D1758" s="1105"/>
      <c r="F1758" s="1907"/>
      <c r="G1758" s="1110"/>
      <c r="K1758" s="1907"/>
      <c r="L1758" s="1110"/>
      <c r="M1758" s="1907"/>
      <c r="N1758" s="1110"/>
      <c r="O1758" s="1907"/>
      <c r="P1758" s="1110"/>
      <c r="Q1758" s="1907"/>
      <c r="R1758" s="1110"/>
      <c r="S1758" s="1629"/>
      <c r="T1758" s="1629"/>
      <c r="U1758" s="1629"/>
      <c r="V1758" s="1629"/>
      <c r="W1758" s="1629"/>
      <c r="X1758" s="1629"/>
      <c r="Z1758" s="2114">
        <f>C1758-'Blocking-Step2'!C1758</f>
        <v>0</v>
      </c>
      <c r="AA1758" s="2114">
        <f>D1758-'Blocking-Step2'!D1758</f>
        <v>0</v>
      </c>
      <c r="AC1758" s="2114">
        <f>F1758-'Blocking-Step2'!F1758</f>
        <v>0</v>
      </c>
      <c r="AE1758" s="2114">
        <f>H1758-'Blocking-Step2'!H1758</f>
        <v>0</v>
      </c>
      <c r="AF1758" s="2114">
        <f>I1758-'Blocking-Step2'!I1758</f>
        <v>0</v>
      </c>
      <c r="AH1758" s="2136">
        <f>K1758-'Blocking-Step2'!K1758</f>
        <v>0</v>
      </c>
      <c r="AJ1758" s="2136">
        <f>M1758-'Blocking-Step2'!M1758</f>
        <v>0</v>
      </c>
      <c r="AL1758" s="2136">
        <f>O1758-'Blocking-Step2'!O1758</f>
        <v>0</v>
      </c>
      <c r="AN1758" s="2137">
        <f>Q1758-'Blocking-Step2'!Q1758</f>
        <v>0</v>
      </c>
      <c r="AP1758" s="2127">
        <f>S1758-'Blocking-Step2'!S1758</f>
        <v>0</v>
      </c>
      <c r="AR1758" s="2127">
        <f>U1758-'Blocking-Step2'!U1758</f>
        <v>0</v>
      </c>
      <c r="AT1758" s="2127">
        <f>W1758-'Blocking-Step2'!W1758</f>
        <v>0</v>
      </c>
      <c r="AV1758" s="2128">
        <f>Y1758-'Blocking-Step2'!Y1758</f>
        <v>0</v>
      </c>
    </row>
    <row r="1759" spans="1:48">
      <c r="A1759" s="1116" t="s">
        <v>211</v>
      </c>
      <c r="C1759" s="1105">
        <v>924.09031556039201</v>
      </c>
      <c r="D1759" s="1105">
        <v>587</v>
      </c>
      <c r="F1759" s="1907">
        <v>9.19</v>
      </c>
      <c r="G1759" s="1110"/>
      <c r="H1759" s="1146">
        <v>8492</v>
      </c>
      <c r="I1759" s="1146">
        <v>5395</v>
      </c>
      <c r="K1759" s="1907"/>
      <c r="L1759" s="1110"/>
      <c r="M1759" s="1907"/>
      <c r="N1759" s="1110"/>
      <c r="O1759" s="1907"/>
      <c r="P1759" s="1110"/>
      <c r="Q1759" s="1907"/>
      <c r="R1759" s="1110"/>
      <c r="S1759" s="1629"/>
      <c r="T1759" s="1629"/>
      <c r="U1759" s="1629"/>
      <c r="V1759" s="1629"/>
      <c r="W1759" s="1629"/>
      <c r="X1759" s="1629"/>
      <c r="Y1759" s="1146"/>
      <c r="Z1759" s="2114">
        <f>C1759-'Blocking-Step2'!C1759</f>
        <v>0</v>
      </c>
      <c r="AA1759" s="2114">
        <f>D1759-'Blocking-Step2'!D1759</f>
        <v>0</v>
      </c>
      <c r="AC1759" s="2114">
        <f>F1759-'Blocking-Step2'!F1759</f>
        <v>0</v>
      </c>
      <c r="AE1759" s="2114">
        <f>H1759-'Blocking-Step2'!H1759</f>
        <v>0</v>
      </c>
      <c r="AF1759" s="2114">
        <f>I1759-'Blocking-Step2'!I1759</f>
        <v>0</v>
      </c>
      <c r="AH1759" s="2136">
        <f>K1759-'Blocking-Step2'!K1759</f>
        <v>0</v>
      </c>
      <c r="AJ1759" s="2136">
        <f>M1759-'Blocking-Step2'!M1759</f>
        <v>0</v>
      </c>
      <c r="AL1759" s="2136">
        <f>O1759-'Blocking-Step2'!O1759</f>
        <v>0</v>
      </c>
      <c r="AN1759" s="2137">
        <f>Q1759-'Blocking-Step2'!Q1759</f>
        <v>0</v>
      </c>
      <c r="AP1759" s="2127">
        <f>S1759-'Blocking-Step2'!S1759</f>
        <v>0</v>
      </c>
      <c r="AR1759" s="2127">
        <f>U1759-'Blocking-Step2'!U1759</f>
        <v>0</v>
      </c>
      <c r="AT1759" s="2127">
        <f>W1759-'Blocking-Step2'!W1759</f>
        <v>0</v>
      </c>
      <c r="AV1759" s="2128">
        <f>Y1759-'Blocking-Step2'!Y1759</f>
        <v>0</v>
      </c>
    </row>
    <row r="1760" spans="1:48">
      <c r="A1760" s="1116" t="s">
        <v>349</v>
      </c>
      <c r="C1760" s="1105">
        <v>1332</v>
      </c>
      <c r="D1760" s="1105">
        <v>847</v>
      </c>
      <c r="F1760" s="1907">
        <v>13.57</v>
      </c>
      <c r="G1760" s="1110"/>
      <c r="H1760" s="1146">
        <v>18075</v>
      </c>
      <c r="I1760" s="1146">
        <v>11494</v>
      </c>
      <c r="K1760" s="1907"/>
      <c r="L1760" s="1110"/>
      <c r="M1760" s="1907"/>
      <c r="N1760" s="1110"/>
      <c r="O1760" s="1907"/>
      <c r="P1760" s="1110"/>
      <c r="Q1760" s="1907"/>
      <c r="R1760" s="1110"/>
      <c r="S1760" s="1629"/>
      <c r="T1760" s="1629"/>
      <c r="U1760" s="1629"/>
      <c r="V1760" s="1629"/>
      <c r="W1760" s="1629"/>
      <c r="X1760" s="1629"/>
      <c r="Y1760" s="1146"/>
      <c r="Z1760" s="2114">
        <f>C1760-'Blocking-Step2'!C1760</f>
        <v>0</v>
      </c>
      <c r="AA1760" s="2114">
        <f>D1760-'Blocking-Step2'!D1760</f>
        <v>0</v>
      </c>
      <c r="AC1760" s="2114">
        <f>F1760-'Blocking-Step2'!F1760</f>
        <v>0</v>
      </c>
      <c r="AE1760" s="2114">
        <f>H1760-'Blocking-Step2'!H1760</f>
        <v>0</v>
      </c>
      <c r="AF1760" s="2114">
        <f>I1760-'Blocking-Step2'!I1760</f>
        <v>0</v>
      </c>
      <c r="AH1760" s="2136">
        <f>K1760-'Blocking-Step2'!K1760</f>
        <v>0</v>
      </c>
      <c r="AJ1760" s="2136">
        <f>M1760-'Blocking-Step2'!M1760</f>
        <v>0</v>
      </c>
      <c r="AL1760" s="2136">
        <f>O1760-'Blocking-Step2'!O1760</f>
        <v>0</v>
      </c>
      <c r="AN1760" s="2137">
        <f>Q1760-'Blocking-Step2'!Q1760</f>
        <v>0</v>
      </c>
      <c r="AP1760" s="2127">
        <f>S1760-'Blocking-Step2'!S1760</f>
        <v>0</v>
      </c>
      <c r="AR1760" s="2127">
        <f>U1760-'Blocking-Step2'!U1760</f>
        <v>0</v>
      </c>
      <c r="AT1760" s="2127">
        <f>W1760-'Blocking-Step2'!W1760</f>
        <v>0</v>
      </c>
      <c r="AV1760" s="2128">
        <f>Y1760-'Blocking-Step2'!Y1760</f>
        <v>0</v>
      </c>
    </row>
    <row r="1761" spans="1:48">
      <c r="A1761" s="1116" t="s">
        <v>212</v>
      </c>
      <c r="C1761" s="1105">
        <v>204</v>
      </c>
      <c r="D1761" s="1105">
        <v>130</v>
      </c>
      <c r="F1761" s="1907">
        <v>11.09</v>
      </c>
      <c r="G1761" s="1110"/>
      <c r="H1761" s="1146">
        <v>2262</v>
      </c>
      <c r="I1761" s="1146">
        <v>1442</v>
      </c>
      <c r="K1761" s="1907"/>
      <c r="L1761" s="1110"/>
      <c r="M1761" s="1907"/>
      <c r="N1761" s="1110"/>
      <c r="O1761" s="1907"/>
      <c r="P1761" s="1110"/>
      <c r="Q1761" s="1907"/>
      <c r="R1761" s="1110"/>
      <c r="S1761" s="1629"/>
      <c r="T1761" s="1629"/>
      <c r="U1761" s="1629"/>
      <c r="V1761" s="1629"/>
      <c r="W1761" s="1629"/>
      <c r="X1761" s="1629"/>
      <c r="Y1761" s="1146"/>
      <c r="Z1761" s="2114">
        <f>C1761-'Blocking-Step2'!C1761</f>
        <v>0</v>
      </c>
      <c r="AA1761" s="2114">
        <f>D1761-'Blocking-Step2'!D1761</f>
        <v>0</v>
      </c>
      <c r="AC1761" s="2114">
        <f>F1761-'Blocking-Step2'!F1761</f>
        <v>0</v>
      </c>
      <c r="AE1761" s="2114">
        <f>H1761-'Blocking-Step2'!H1761</f>
        <v>0</v>
      </c>
      <c r="AF1761" s="2114">
        <f>I1761-'Blocking-Step2'!I1761</f>
        <v>0</v>
      </c>
      <c r="AH1761" s="2136">
        <f>K1761-'Blocking-Step2'!K1761</f>
        <v>0</v>
      </c>
      <c r="AJ1761" s="2136">
        <f>M1761-'Blocking-Step2'!M1761</f>
        <v>0</v>
      </c>
      <c r="AL1761" s="2136">
        <f>O1761-'Blocking-Step2'!O1761</f>
        <v>0</v>
      </c>
      <c r="AN1761" s="2137">
        <f>Q1761-'Blocking-Step2'!Q1761</f>
        <v>0</v>
      </c>
      <c r="AP1761" s="2127">
        <f>S1761-'Blocking-Step2'!S1761</f>
        <v>0</v>
      </c>
      <c r="AR1761" s="2127">
        <f>U1761-'Blocking-Step2'!U1761</f>
        <v>0</v>
      </c>
      <c r="AT1761" s="2127">
        <f>W1761-'Blocking-Step2'!W1761</f>
        <v>0</v>
      </c>
      <c r="AV1761" s="2128">
        <f>Y1761-'Blocking-Step2'!Y1761</f>
        <v>0</v>
      </c>
    </row>
    <row r="1762" spans="1:48">
      <c r="A1762" s="1116" t="s">
        <v>350</v>
      </c>
      <c r="C1762" s="1105">
        <v>384</v>
      </c>
      <c r="D1762" s="1105">
        <v>244</v>
      </c>
      <c r="F1762" s="1907">
        <v>13.71</v>
      </c>
      <c r="G1762" s="1110"/>
      <c r="H1762" s="1146">
        <v>5265</v>
      </c>
      <c r="I1762" s="1146">
        <v>3345</v>
      </c>
      <c r="K1762" s="1907"/>
      <c r="L1762" s="1110"/>
      <c r="M1762" s="1907"/>
      <c r="N1762" s="1110"/>
      <c r="O1762" s="1907"/>
      <c r="P1762" s="1110"/>
      <c r="Q1762" s="1907"/>
      <c r="R1762" s="1110"/>
      <c r="S1762" s="1629"/>
      <c r="T1762" s="1629"/>
      <c r="U1762" s="1629"/>
      <c r="V1762" s="1629"/>
      <c r="W1762" s="1629"/>
      <c r="X1762" s="1629"/>
      <c r="Y1762" s="1146"/>
      <c r="Z1762" s="2114">
        <f>C1762-'Blocking-Step2'!C1762</f>
        <v>0</v>
      </c>
      <c r="AA1762" s="2114">
        <f>D1762-'Blocking-Step2'!D1762</f>
        <v>0</v>
      </c>
      <c r="AC1762" s="2114">
        <f>F1762-'Blocking-Step2'!F1762</f>
        <v>0</v>
      </c>
      <c r="AE1762" s="2114">
        <f>H1762-'Blocking-Step2'!H1762</f>
        <v>0</v>
      </c>
      <c r="AF1762" s="2114">
        <f>I1762-'Blocking-Step2'!I1762</f>
        <v>0</v>
      </c>
      <c r="AH1762" s="2136">
        <f>K1762-'Blocking-Step2'!K1762</f>
        <v>0</v>
      </c>
      <c r="AJ1762" s="2136">
        <f>M1762-'Blocking-Step2'!M1762</f>
        <v>0</v>
      </c>
      <c r="AL1762" s="2136">
        <f>O1762-'Blocking-Step2'!O1762</f>
        <v>0</v>
      </c>
      <c r="AN1762" s="2137">
        <f>Q1762-'Blocking-Step2'!Q1762</f>
        <v>0</v>
      </c>
      <c r="AP1762" s="2127">
        <f>S1762-'Blocking-Step2'!S1762</f>
        <v>0</v>
      </c>
      <c r="AR1762" s="2127">
        <f>U1762-'Blocking-Step2'!U1762</f>
        <v>0</v>
      </c>
      <c r="AT1762" s="2127">
        <f>W1762-'Blocking-Step2'!W1762</f>
        <v>0</v>
      </c>
      <c r="AV1762" s="2128">
        <f>Y1762-'Blocking-Step2'!Y1762</f>
        <v>0</v>
      </c>
    </row>
    <row r="1763" spans="1:48">
      <c r="A1763" s="1116" t="s">
        <v>213</v>
      </c>
      <c r="C1763" s="1105">
        <v>5784</v>
      </c>
      <c r="D1763" s="1105">
        <v>3676</v>
      </c>
      <c r="F1763" s="1907">
        <v>14.13</v>
      </c>
      <c r="G1763" s="1110"/>
      <c r="H1763" s="1146">
        <v>81728</v>
      </c>
      <c r="I1763" s="1146">
        <v>51942</v>
      </c>
      <c r="K1763" s="1907"/>
      <c r="L1763" s="1110"/>
      <c r="M1763" s="1907"/>
      <c r="N1763" s="1110"/>
      <c r="O1763" s="1907"/>
      <c r="P1763" s="1110"/>
      <c r="Q1763" s="1907"/>
      <c r="R1763" s="1110"/>
      <c r="S1763" s="1629"/>
      <c r="T1763" s="1629"/>
      <c r="U1763" s="1629"/>
      <c r="V1763" s="1629"/>
      <c r="W1763" s="1629"/>
      <c r="X1763" s="1629"/>
      <c r="Y1763" s="1146"/>
      <c r="Z1763" s="2114">
        <f>C1763-'Blocking-Step2'!C1763</f>
        <v>0</v>
      </c>
      <c r="AA1763" s="2114">
        <f>D1763-'Blocking-Step2'!D1763</f>
        <v>0</v>
      </c>
      <c r="AC1763" s="2114">
        <f>F1763-'Blocking-Step2'!F1763</f>
        <v>0</v>
      </c>
      <c r="AE1763" s="2114">
        <f>H1763-'Blocking-Step2'!H1763</f>
        <v>0</v>
      </c>
      <c r="AF1763" s="2114">
        <f>I1763-'Blocking-Step2'!I1763</f>
        <v>0</v>
      </c>
      <c r="AH1763" s="2136">
        <f>K1763-'Blocking-Step2'!K1763</f>
        <v>0</v>
      </c>
      <c r="AJ1763" s="2136">
        <f>M1763-'Blocking-Step2'!M1763</f>
        <v>0</v>
      </c>
      <c r="AL1763" s="2136">
        <f>O1763-'Blocking-Step2'!O1763</f>
        <v>0</v>
      </c>
      <c r="AN1763" s="2137">
        <f>Q1763-'Blocking-Step2'!Q1763</f>
        <v>0</v>
      </c>
      <c r="AP1763" s="2127">
        <f>S1763-'Blocking-Step2'!S1763</f>
        <v>0</v>
      </c>
      <c r="AR1763" s="2127">
        <f>U1763-'Blocking-Step2'!U1763</f>
        <v>0</v>
      </c>
      <c r="AT1763" s="2127">
        <f>W1763-'Blocking-Step2'!W1763</f>
        <v>0</v>
      </c>
      <c r="AV1763" s="2128">
        <f>Y1763-'Blocking-Step2'!Y1763</f>
        <v>0</v>
      </c>
    </row>
    <row r="1764" spans="1:48">
      <c r="A1764" s="1116" t="s">
        <v>351</v>
      </c>
      <c r="C1764" s="1105">
        <v>192</v>
      </c>
      <c r="D1764" s="1105">
        <v>122</v>
      </c>
      <c r="F1764" s="1907">
        <v>14.58</v>
      </c>
      <c r="G1764" s="1110"/>
      <c r="H1764" s="1146">
        <v>2799</v>
      </c>
      <c r="I1764" s="1146">
        <v>1779</v>
      </c>
      <c r="K1764" s="1907"/>
      <c r="L1764" s="1110"/>
      <c r="M1764" s="1907"/>
      <c r="N1764" s="1110"/>
      <c r="O1764" s="1907"/>
      <c r="P1764" s="1110"/>
      <c r="Q1764" s="1907"/>
      <c r="R1764" s="1110"/>
      <c r="S1764" s="1629"/>
      <c r="T1764" s="1629"/>
      <c r="U1764" s="1629"/>
      <c r="V1764" s="1629"/>
      <c r="W1764" s="1629"/>
      <c r="X1764" s="1629"/>
      <c r="Y1764" s="1146"/>
      <c r="Z1764" s="2114">
        <f>C1764-'Blocking-Step2'!C1764</f>
        <v>0</v>
      </c>
      <c r="AA1764" s="2114">
        <f>D1764-'Blocking-Step2'!D1764</f>
        <v>0</v>
      </c>
      <c r="AC1764" s="2114">
        <f>F1764-'Blocking-Step2'!F1764</f>
        <v>0</v>
      </c>
      <c r="AE1764" s="2114">
        <f>H1764-'Blocking-Step2'!H1764</f>
        <v>0</v>
      </c>
      <c r="AF1764" s="2114">
        <f>I1764-'Blocking-Step2'!I1764</f>
        <v>0</v>
      </c>
      <c r="AH1764" s="2136">
        <f>K1764-'Blocking-Step2'!K1764</f>
        <v>0</v>
      </c>
      <c r="AJ1764" s="2136">
        <f>M1764-'Blocking-Step2'!M1764</f>
        <v>0</v>
      </c>
      <c r="AL1764" s="2136">
        <f>O1764-'Blocking-Step2'!O1764</f>
        <v>0</v>
      </c>
      <c r="AN1764" s="2137">
        <f>Q1764-'Blocking-Step2'!Q1764</f>
        <v>0</v>
      </c>
      <c r="AP1764" s="2127">
        <f>S1764-'Blocking-Step2'!S1764</f>
        <v>0</v>
      </c>
      <c r="AR1764" s="2127">
        <f>U1764-'Blocking-Step2'!U1764</f>
        <v>0</v>
      </c>
      <c r="AT1764" s="2127">
        <f>W1764-'Blocking-Step2'!W1764</f>
        <v>0</v>
      </c>
      <c r="AV1764" s="2128">
        <f>Y1764-'Blocking-Step2'!Y1764</f>
        <v>0</v>
      </c>
    </row>
    <row r="1765" spans="1:48">
      <c r="A1765" s="1116" t="s">
        <v>214</v>
      </c>
      <c r="C1765" s="1105">
        <v>553.65484483850503</v>
      </c>
      <c r="D1765" s="1105">
        <v>352</v>
      </c>
      <c r="F1765" s="1110">
        <v>15.79</v>
      </c>
      <c r="G1765" s="1110"/>
      <c r="H1765" s="1146">
        <v>8742</v>
      </c>
      <c r="I1765" s="1146">
        <v>5558</v>
      </c>
      <c r="K1765" s="1907"/>
      <c r="L1765" s="1110"/>
      <c r="M1765" s="1907"/>
      <c r="N1765" s="1110"/>
      <c r="O1765" s="1907"/>
      <c r="P1765" s="1110"/>
      <c r="Q1765" s="1110"/>
      <c r="R1765" s="1110"/>
      <c r="S1765" s="1629"/>
      <c r="T1765" s="1629"/>
      <c r="U1765" s="1629"/>
      <c r="V1765" s="1629"/>
      <c r="W1765" s="1629"/>
      <c r="X1765" s="1629"/>
      <c r="Y1765" s="1146"/>
      <c r="Z1765" s="2114">
        <f>C1765-'Blocking-Step2'!C1765</f>
        <v>0</v>
      </c>
      <c r="AA1765" s="2114">
        <f>D1765-'Blocking-Step2'!D1765</f>
        <v>0</v>
      </c>
      <c r="AC1765" s="2114">
        <f>F1765-'Blocking-Step2'!F1765</f>
        <v>0</v>
      </c>
      <c r="AE1765" s="2114">
        <f>H1765-'Blocking-Step2'!H1765</f>
        <v>0</v>
      </c>
      <c r="AF1765" s="2114">
        <f>I1765-'Blocking-Step2'!I1765</f>
        <v>0</v>
      </c>
      <c r="AH1765" s="2136">
        <f>K1765-'Blocking-Step2'!K1765</f>
        <v>0</v>
      </c>
      <c r="AJ1765" s="2136">
        <f>M1765-'Blocking-Step2'!M1765</f>
        <v>0</v>
      </c>
      <c r="AL1765" s="2136">
        <f>O1765-'Blocking-Step2'!O1765</f>
        <v>0</v>
      </c>
      <c r="AN1765" s="2137">
        <f>Q1765-'Blocking-Step2'!Q1765</f>
        <v>0</v>
      </c>
      <c r="AP1765" s="2127">
        <f>S1765-'Blocking-Step2'!S1765</f>
        <v>0</v>
      </c>
      <c r="AR1765" s="2127">
        <f>U1765-'Blocking-Step2'!U1765</f>
        <v>0</v>
      </c>
      <c r="AT1765" s="2127">
        <f>W1765-'Blocking-Step2'!W1765</f>
        <v>0</v>
      </c>
      <c r="AV1765" s="2128">
        <f>Y1765-'Blocking-Step2'!Y1765</f>
        <v>0</v>
      </c>
    </row>
    <row r="1766" spans="1:48">
      <c r="A1766" s="1977" t="s">
        <v>339</v>
      </c>
      <c r="C1766" s="1105"/>
      <c r="D1766" s="1105"/>
      <c r="F1766" s="1907"/>
      <c r="G1766" s="1110"/>
      <c r="H1766" s="1146"/>
      <c r="I1766" s="1146"/>
      <c r="K1766" s="1907"/>
      <c r="L1766" s="1110"/>
      <c r="M1766" s="1907"/>
      <c r="N1766" s="1110"/>
      <c r="O1766" s="1907"/>
      <c r="P1766" s="1110"/>
      <c r="Q1766" s="1907"/>
      <c r="R1766" s="1110"/>
      <c r="S1766" s="1629"/>
      <c r="T1766" s="1629"/>
      <c r="U1766" s="1629"/>
      <c r="V1766" s="1629"/>
      <c r="W1766" s="1629"/>
      <c r="X1766" s="1629"/>
      <c r="Y1766" s="1146"/>
      <c r="Z1766" s="2114">
        <f>C1766-'Blocking-Step2'!C1766</f>
        <v>0</v>
      </c>
      <c r="AA1766" s="2114">
        <f>D1766-'Blocking-Step2'!D1766</f>
        <v>0</v>
      </c>
      <c r="AC1766" s="2114">
        <f>F1766-'Blocking-Step2'!F1766</f>
        <v>0</v>
      </c>
      <c r="AE1766" s="2114">
        <f>H1766-'Blocking-Step2'!H1766</f>
        <v>0</v>
      </c>
      <c r="AF1766" s="2114">
        <f>I1766-'Blocking-Step2'!I1766</f>
        <v>0</v>
      </c>
      <c r="AH1766" s="2136">
        <f>K1766-'Blocking-Step2'!K1766</f>
        <v>0</v>
      </c>
      <c r="AJ1766" s="2136">
        <f>M1766-'Blocking-Step2'!M1766</f>
        <v>0</v>
      </c>
      <c r="AL1766" s="2136">
        <f>O1766-'Blocking-Step2'!O1766</f>
        <v>0</v>
      </c>
      <c r="AN1766" s="2137">
        <f>Q1766-'Blocking-Step2'!Q1766</f>
        <v>0</v>
      </c>
      <c r="AP1766" s="2127">
        <f>S1766-'Blocking-Step2'!S1766</f>
        <v>0</v>
      </c>
      <c r="AR1766" s="2127">
        <f>U1766-'Blocking-Step2'!U1766</f>
        <v>0</v>
      </c>
      <c r="AT1766" s="2127">
        <f>W1766-'Blocking-Step2'!W1766</f>
        <v>0</v>
      </c>
      <c r="AV1766" s="2128">
        <f>Y1766-'Blocking-Step2'!Y1766</f>
        <v>0</v>
      </c>
    </row>
    <row r="1767" spans="1:48">
      <c r="A1767" s="1116" t="s">
        <v>323</v>
      </c>
      <c r="C1767" s="1105">
        <v>0</v>
      </c>
      <c r="D1767" s="1105">
        <v>0</v>
      </c>
      <c r="F1767" s="1907">
        <v>3.75</v>
      </c>
      <c r="G1767" s="1110"/>
      <c r="H1767" s="1146">
        <v>0</v>
      </c>
      <c r="I1767" s="1146">
        <v>0</v>
      </c>
      <c r="K1767" s="1907"/>
      <c r="L1767" s="1110"/>
      <c r="M1767" s="1907"/>
      <c r="N1767" s="1110"/>
      <c r="O1767" s="1907"/>
      <c r="P1767" s="1110"/>
      <c r="Q1767" s="1907"/>
      <c r="R1767" s="1110"/>
      <c r="S1767" s="1629"/>
      <c r="T1767" s="1629"/>
      <c r="U1767" s="1629"/>
      <c r="V1767" s="1629"/>
      <c r="W1767" s="1629"/>
      <c r="X1767" s="1629"/>
      <c r="Y1767" s="1146"/>
      <c r="Z1767" s="2114">
        <f>C1767-'Blocking-Step2'!C1767</f>
        <v>0</v>
      </c>
      <c r="AA1767" s="2114">
        <f>D1767-'Blocking-Step2'!D1767</f>
        <v>0</v>
      </c>
      <c r="AC1767" s="2114">
        <f>F1767-'Blocking-Step2'!F1767</f>
        <v>0</v>
      </c>
      <c r="AE1767" s="2114">
        <f>H1767-'Blocking-Step2'!H1767</f>
        <v>0</v>
      </c>
      <c r="AF1767" s="2114">
        <f>I1767-'Blocking-Step2'!I1767</f>
        <v>0</v>
      </c>
      <c r="AH1767" s="2136">
        <f>K1767-'Blocking-Step2'!K1767</f>
        <v>0</v>
      </c>
      <c r="AJ1767" s="2136">
        <f>M1767-'Blocking-Step2'!M1767</f>
        <v>0</v>
      </c>
      <c r="AL1767" s="2136">
        <f>O1767-'Blocking-Step2'!O1767</f>
        <v>0</v>
      </c>
      <c r="AN1767" s="2137">
        <f>Q1767-'Blocking-Step2'!Q1767</f>
        <v>0</v>
      </c>
      <c r="AP1767" s="2127">
        <f>S1767-'Blocking-Step2'!S1767</f>
        <v>0</v>
      </c>
      <c r="AR1767" s="2127">
        <f>U1767-'Blocking-Step2'!U1767</f>
        <v>0</v>
      </c>
      <c r="AT1767" s="2127">
        <f>W1767-'Blocking-Step2'!W1767</f>
        <v>0</v>
      </c>
      <c r="AV1767" s="2128">
        <f>Y1767-'Blocking-Step2'!Y1767</f>
        <v>0</v>
      </c>
    </row>
    <row r="1768" spans="1:48">
      <c r="A1768" s="1116" t="s">
        <v>341</v>
      </c>
      <c r="C1768" s="1105">
        <v>84</v>
      </c>
      <c r="D1768" s="1105">
        <v>53</v>
      </c>
      <c r="F1768" s="1907">
        <v>13.92</v>
      </c>
      <c r="G1768" s="1110"/>
      <c r="H1768" s="1146">
        <v>1169</v>
      </c>
      <c r="I1768" s="1146">
        <v>738</v>
      </c>
      <c r="K1768" s="1907"/>
      <c r="L1768" s="1110"/>
      <c r="M1768" s="1907"/>
      <c r="N1768" s="1110"/>
      <c r="O1768" s="1907"/>
      <c r="P1768" s="1110"/>
      <c r="Q1768" s="1907"/>
      <c r="R1768" s="1110"/>
      <c r="S1768" s="1629"/>
      <c r="T1768" s="1629"/>
      <c r="U1768" s="1629"/>
      <c r="V1768" s="1629"/>
      <c r="W1768" s="1629"/>
      <c r="X1768" s="1629"/>
      <c r="Y1768" s="1146"/>
      <c r="Z1768" s="2114">
        <f>C1768-'Blocking-Step2'!C1768</f>
        <v>0</v>
      </c>
      <c r="AA1768" s="2114">
        <f>D1768-'Blocking-Step2'!D1768</f>
        <v>0</v>
      </c>
      <c r="AC1768" s="2114">
        <f>F1768-'Blocking-Step2'!F1768</f>
        <v>0</v>
      </c>
      <c r="AE1768" s="2114">
        <f>H1768-'Blocking-Step2'!H1768</f>
        <v>0</v>
      </c>
      <c r="AF1768" s="2114">
        <f>I1768-'Blocking-Step2'!I1768</f>
        <v>0</v>
      </c>
      <c r="AH1768" s="2136">
        <f>K1768-'Blocking-Step2'!K1768</f>
        <v>0</v>
      </c>
      <c r="AJ1768" s="2136">
        <f>M1768-'Blocking-Step2'!M1768</f>
        <v>0</v>
      </c>
      <c r="AL1768" s="2136">
        <f>O1768-'Blocking-Step2'!O1768</f>
        <v>0</v>
      </c>
      <c r="AN1768" s="2137">
        <f>Q1768-'Blocking-Step2'!Q1768</f>
        <v>0</v>
      </c>
      <c r="AP1768" s="2127">
        <f>S1768-'Blocking-Step2'!S1768</f>
        <v>0</v>
      </c>
      <c r="AR1768" s="2127">
        <f>U1768-'Blocking-Step2'!U1768</f>
        <v>0</v>
      </c>
      <c r="AT1768" s="2127">
        <f>W1768-'Blocking-Step2'!W1768</f>
        <v>0</v>
      </c>
      <c r="AV1768" s="2128">
        <f>Y1768-'Blocking-Step2'!Y1768</f>
        <v>0</v>
      </c>
    </row>
    <row r="1769" spans="1:48">
      <c r="A1769" s="1977" t="s">
        <v>506</v>
      </c>
      <c r="C1769" s="1940">
        <v>3043780.2427610983</v>
      </c>
      <c r="D1769" s="1940">
        <v>1934664</v>
      </c>
      <c r="F1769" s="2088"/>
      <c r="H1769" s="1147">
        <v>382775</v>
      </c>
      <c r="I1769" s="1147">
        <v>243301</v>
      </c>
      <c r="K1769" s="2088"/>
      <c r="M1769" s="2088"/>
      <c r="O1769" s="2088"/>
      <c r="Q1769" s="2088"/>
      <c r="S1769" s="1147"/>
      <c r="U1769" s="1147"/>
      <c r="W1769" s="1147"/>
      <c r="Y1769" s="1147"/>
      <c r="Z1769" s="2114">
        <f>C1769-'Blocking-Step2'!C1769</f>
        <v>0</v>
      </c>
      <c r="AA1769" s="2114">
        <f>D1769-'Blocking-Step2'!D1769</f>
        <v>0</v>
      </c>
      <c r="AC1769" s="2114">
        <f>F1769-'Blocking-Step2'!F1769</f>
        <v>0</v>
      </c>
      <c r="AE1769" s="2114">
        <f>H1769-'Blocking-Step2'!H1769</f>
        <v>0</v>
      </c>
      <c r="AF1769" s="2114">
        <f>I1769-'Blocking-Step2'!I1769</f>
        <v>0</v>
      </c>
      <c r="AH1769" s="2136">
        <f>K1769-'Blocking-Step2'!K1769</f>
        <v>0</v>
      </c>
      <c r="AJ1769" s="2136">
        <f>M1769-'Blocking-Step2'!M1769</f>
        <v>0</v>
      </c>
      <c r="AL1769" s="2136">
        <f>O1769-'Blocking-Step2'!O1769</f>
        <v>0</v>
      </c>
      <c r="AN1769" s="2137">
        <f>Q1769-'Blocking-Step2'!Q1769</f>
        <v>0</v>
      </c>
      <c r="AP1769" s="2127">
        <f>S1769-'Blocking-Step2'!S1769</f>
        <v>0</v>
      </c>
      <c r="AR1769" s="2127">
        <f>U1769-'Blocking-Step2'!U1769</f>
        <v>0</v>
      </c>
      <c r="AT1769" s="2127">
        <f>W1769-'Blocking-Step2'!W1769</f>
        <v>0</v>
      </c>
      <c r="AV1769" s="2128">
        <f>Y1769-'Blocking-Step2'!Y1769</f>
        <v>0</v>
      </c>
    </row>
    <row r="1770" spans="1:48">
      <c r="A1770" s="1977" t="s">
        <v>136</v>
      </c>
      <c r="C1770" s="1024">
        <v>-112778</v>
      </c>
      <c r="D1770" s="1024">
        <v>0</v>
      </c>
      <c r="F1770" s="1907"/>
      <c r="G1770" s="1921"/>
      <c r="H1770" s="1114">
        <v>-13175</v>
      </c>
      <c r="I1770" s="1147">
        <v>0</v>
      </c>
      <c r="K1770" s="1907"/>
      <c r="L1770" s="1921"/>
      <c r="M1770" s="1907"/>
      <c r="N1770" s="1921"/>
      <c r="O1770" s="1907"/>
      <c r="P1770" s="1921"/>
      <c r="Q1770" s="1907"/>
      <c r="R1770" s="1921"/>
      <c r="S1770" s="1147"/>
      <c r="T1770" s="1648"/>
      <c r="U1770" s="1147"/>
      <c r="V1770" s="1648"/>
      <c r="W1770" s="1147"/>
      <c r="X1770" s="1648"/>
      <c r="Y1770" s="1147"/>
      <c r="Z1770" s="2114">
        <f>C1770-'Blocking-Step2'!C1770</f>
        <v>0</v>
      </c>
      <c r="AA1770" s="2114">
        <f>D1770-'Blocking-Step2'!D1770</f>
        <v>0</v>
      </c>
      <c r="AC1770" s="2114">
        <f>F1770-'Blocking-Step2'!F1770</f>
        <v>0</v>
      </c>
      <c r="AE1770" s="2114">
        <f>H1770-'Blocking-Step2'!H1770</f>
        <v>0</v>
      </c>
      <c r="AF1770" s="2114">
        <f>I1770-'Blocking-Step2'!I1770</f>
        <v>0</v>
      </c>
      <c r="AH1770" s="2136">
        <f>K1770-'Blocking-Step2'!K1770</f>
        <v>0</v>
      </c>
      <c r="AJ1770" s="2136">
        <f>M1770-'Blocking-Step2'!M1770</f>
        <v>0</v>
      </c>
      <c r="AL1770" s="2136">
        <f>O1770-'Blocking-Step2'!O1770</f>
        <v>0</v>
      </c>
      <c r="AN1770" s="2137">
        <f>Q1770-'Blocking-Step2'!Q1770</f>
        <v>0</v>
      </c>
      <c r="AP1770" s="2127">
        <f>S1770-'Blocking-Step2'!S1770</f>
        <v>0</v>
      </c>
      <c r="AR1770" s="2127">
        <f>U1770-'Blocking-Step2'!U1770</f>
        <v>0</v>
      </c>
      <c r="AT1770" s="2127">
        <f>W1770-'Blocking-Step2'!W1770</f>
        <v>0</v>
      </c>
      <c r="AV1770" s="2128">
        <f>Y1770-'Blocking-Step2'!Y1770</f>
        <v>0</v>
      </c>
    </row>
    <row r="1771" spans="1:48">
      <c r="A1771" s="1116" t="s">
        <v>1240</v>
      </c>
      <c r="C1771" s="1024"/>
      <c r="D1771" s="1024"/>
      <c r="F1771" s="2076">
        <v>-1.9800000000000002E-2</v>
      </c>
      <c r="G1771" s="617"/>
      <c r="H1771" s="1146">
        <v>-7578.9450000000006</v>
      </c>
      <c r="I1771" s="1146">
        <v>-4817.3598000000002</v>
      </c>
      <c r="K1771" s="2076"/>
      <c r="L1771" s="617"/>
      <c r="M1771" s="2076"/>
      <c r="N1771" s="617"/>
      <c r="O1771" s="2076"/>
      <c r="P1771" s="617"/>
      <c r="Q1771" s="2076"/>
      <c r="R1771" s="617"/>
      <c r="S1771" s="1146"/>
      <c r="T1771" s="1114"/>
      <c r="U1771" s="1146"/>
      <c r="V1771" s="1114"/>
      <c r="W1771" s="1146"/>
      <c r="X1771" s="1114"/>
      <c r="Y1771" s="1146"/>
      <c r="Z1771" s="2114">
        <f>C1771-'Blocking-Step2'!C1771</f>
        <v>0</v>
      </c>
      <c r="AA1771" s="2114">
        <f>D1771-'Blocking-Step2'!D1771</f>
        <v>0</v>
      </c>
      <c r="AC1771" s="2114">
        <f>F1771-'Blocking-Step2'!F1771</f>
        <v>0</v>
      </c>
      <c r="AE1771" s="2114">
        <f>H1771-'Blocking-Step2'!H1771</f>
        <v>0</v>
      </c>
      <c r="AF1771" s="2114">
        <f>I1771-'Blocking-Step2'!I1771</f>
        <v>0</v>
      </c>
      <c r="AH1771" s="2136">
        <f>K1771-'Blocking-Step2'!K1771</f>
        <v>0</v>
      </c>
      <c r="AJ1771" s="2136">
        <f>M1771-'Blocking-Step2'!M1771</f>
        <v>0</v>
      </c>
      <c r="AL1771" s="2136">
        <f>O1771-'Blocking-Step2'!O1771</f>
        <v>0</v>
      </c>
      <c r="AN1771" s="2137">
        <f>Q1771-'Blocking-Step2'!Q1771</f>
        <v>0</v>
      </c>
      <c r="AP1771" s="2127">
        <f>S1771-'Blocking-Step2'!S1771</f>
        <v>0</v>
      </c>
      <c r="AR1771" s="2127">
        <f>U1771-'Blocking-Step2'!U1771</f>
        <v>0</v>
      </c>
      <c r="AT1771" s="2127">
        <f>W1771-'Blocking-Step2'!W1771</f>
        <v>0</v>
      </c>
      <c r="AV1771" s="2128">
        <f>Y1771-'Blocking-Step2'!Y1771</f>
        <v>0</v>
      </c>
    </row>
    <row r="1772" spans="1:48">
      <c r="A1772" s="1116"/>
      <c r="C1772" s="1024"/>
      <c r="D1772" s="1024"/>
      <c r="F1772" s="2076"/>
      <c r="G1772" s="617"/>
      <c r="H1772" s="1146"/>
      <c r="I1772" s="1146"/>
      <c r="K1772" s="2076"/>
      <c r="L1772" s="617"/>
      <c r="M1772" s="2076"/>
      <c r="N1772" s="617"/>
      <c r="O1772" s="2076"/>
      <c r="P1772" s="617"/>
      <c r="Q1772" s="2076"/>
      <c r="R1772" s="617"/>
      <c r="S1772" s="1146"/>
      <c r="T1772" s="1114"/>
      <c r="U1772" s="1146"/>
      <c r="V1772" s="1114"/>
      <c r="W1772" s="1146"/>
      <c r="X1772" s="1114"/>
      <c r="Y1772" s="1146"/>
      <c r="Z1772" s="2114">
        <f>C1772-'Blocking-Step2'!C1772</f>
        <v>0</v>
      </c>
      <c r="AA1772" s="2114">
        <f>D1772-'Blocking-Step2'!D1772</f>
        <v>0</v>
      </c>
      <c r="AC1772" s="2114">
        <f>F1772-'Blocking-Step2'!F1772</f>
        <v>0</v>
      </c>
      <c r="AE1772" s="2114">
        <f>H1772-'Blocking-Step2'!H1772</f>
        <v>0</v>
      </c>
      <c r="AF1772" s="2114">
        <f>I1772-'Blocking-Step2'!I1772</f>
        <v>0</v>
      </c>
      <c r="AH1772" s="2136">
        <f>K1772-'Blocking-Step2'!K1772</f>
        <v>0</v>
      </c>
      <c r="AJ1772" s="2136">
        <f>M1772-'Blocking-Step2'!M1772</f>
        <v>0</v>
      </c>
      <c r="AL1772" s="2136">
        <f>O1772-'Blocking-Step2'!O1772</f>
        <v>0</v>
      </c>
      <c r="AN1772" s="2137">
        <f>Q1772-'Blocking-Step2'!Q1772</f>
        <v>0</v>
      </c>
      <c r="AP1772" s="2127">
        <f>S1772-'Blocking-Step2'!S1772</f>
        <v>0</v>
      </c>
      <c r="AR1772" s="2127">
        <f>U1772-'Blocking-Step2'!U1772</f>
        <v>0</v>
      </c>
      <c r="AT1772" s="2127">
        <f>W1772-'Blocking-Step2'!W1772</f>
        <v>0</v>
      </c>
      <c r="AV1772" s="2128">
        <f>Y1772-'Blocking-Step2'!Y1772</f>
        <v>0</v>
      </c>
    </row>
    <row r="1773" spans="1:48">
      <c r="A1773" s="1977" t="s">
        <v>93</v>
      </c>
      <c r="C1773" s="1024">
        <v>2931002.2427610983</v>
      </c>
      <c r="D1773" s="1024">
        <v>1934664</v>
      </c>
      <c r="F1773" s="1907"/>
      <c r="G1773" s="1921"/>
      <c r="H1773" s="1114">
        <v>362021.05499999999</v>
      </c>
      <c r="I1773" s="1114">
        <v>238483.64019999999</v>
      </c>
      <c r="K1773" s="1907"/>
      <c r="L1773" s="1921"/>
      <c r="M1773" s="1907"/>
      <c r="N1773" s="1921"/>
      <c r="O1773" s="1907"/>
      <c r="P1773" s="1921"/>
      <c r="Q1773" s="1907"/>
      <c r="R1773" s="1921"/>
      <c r="S1773" s="1114"/>
      <c r="T1773" s="1648"/>
      <c r="U1773" s="1114"/>
      <c r="V1773" s="1648"/>
      <c r="W1773" s="1114"/>
      <c r="X1773" s="1648"/>
      <c r="Y1773" s="1114"/>
      <c r="Z1773" s="2114">
        <f>C1773-'Blocking-Step2'!C1773</f>
        <v>0</v>
      </c>
      <c r="AA1773" s="2114">
        <f>D1773-'Blocking-Step2'!D1773</f>
        <v>0</v>
      </c>
      <c r="AC1773" s="2114">
        <f>F1773-'Blocking-Step2'!F1773</f>
        <v>0</v>
      </c>
      <c r="AE1773" s="2114">
        <f>H1773-'Blocking-Step2'!H1773</f>
        <v>0</v>
      </c>
      <c r="AF1773" s="2114">
        <f>I1773-'Blocking-Step2'!I1773</f>
        <v>0</v>
      </c>
      <c r="AH1773" s="2136">
        <f>K1773-'Blocking-Step2'!K1773</f>
        <v>0</v>
      </c>
      <c r="AJ1773" s="2136">
        <f>M1773-'Blocking-Step2'!M1773</f>
        <v>0</v>
      </c>
      <c r="AL1773" s="2136">
        <f>O1773-'Blocking-Step2'!O1773</f>
        <v>0</v>
      </c>
      <c r="AN1773" s="2137">
        <f>Q1773-'Blocking-Step2'!Q1773</f>
        <v>0</v>
      </c>
      <c r="AP1773" s="2127">
        <f>S1773-'Blocking-Step2'!S1773</f>
        <v>0</v>
      </c>
      <c r="AR1773" s="2127">
        <f>U1773-'Blocking-Step2'!U1773</f>
        <v>0</v>
      </c>
      <c r="AT1773" s="2127">
        <f>W1773-'Blocking-Step2'!W1773</f>
        <v>0</v>
      </c>
      <c r="AV1773" s="2128">
        <f>Y1773-'Blocking-Step2'!Y1773</f>
        <v>0</v>
      </c>
    </row>
    <row r="1774" spans="1:48">
      <c r="A1774" s="1977" t="s">
        <v>778</v>
      </c>
      <c r="C1774" s="1940">
        <v>169.5</v>
      </c>
      <c r="D1774" s="1940">
        <v>170</v>
      </c>
      <c r="F1774" s="2088"/>
      <c r="H1774" s="1147"/>
      <c r="I1774" s="1147"/>
      <c r="K1774" s="2088"/>
      <c r="M1774" s="2088"/>
      <c r="O1774" s="2088"/>
      <c r="Q1774" s="2088"/>
      <c r="S1774" s="1147"/>
      <c r="U1774" s="1147"/>
      <c r="W1774" s="1147"/>
      <c r="Y1774" s="1147"/>
      <c r="Z1774" s="2114">
        <f>C1774-'Blocking-Step2'!C1774</f>
        <v>0</v>
      </c>
      <c r="AA1774" s="2114">
        <f>D1774-'Blocking-Step2'!D1774</f>
        <v>0</v>
      </c>
      <c r="AC1774" s="2114">
        <f>F1774-'Blocking-Step2'!F1774</f>
        <v>0</v>
      </c>
      <c r="AE1774" s="2114">
        <f>H1774-'Blocking-Step2'!H1774</f>
        <v>0</v>
      </c>
      <c r="AF1774" s="2114">
        <f>I1774-'Blocking-Step2'!I1774</f>
        <v>0</v>
      </c>
      <c r="AH1774" s="2136">
        <f>K1774-'Blocking-Step2'!K1774</f>
        <v>0</v>
      </c>
      <c r="AJ1774" s="2136">
        <f>M1774-'Blocking-Step2'!M1774</f>
        <v>0</v>
      </c>
      <c r="AL1774" s="2136">
        <f>O1774-'Blocking-Step2'!O1774</f>
        <v>0</v>
      </c>
      <c r="AN1774" s="2137">
        <f>Q1774-'Blocking-Step2'!Q1774</f>
        <v>0</v>
      </c>
      <c r="AP1774" s="2127">
        <f>S1774-'Blocking-Step2'!S1774</f>
        <v>0</v>
      </c>
      <c r="AR1774" s="2127">
        <f>U1774-'Blocking-Step2'!U1774</f>
        <v>0</v>
      </c>
      <c r="AT1774" s="2127">
        <f>W1774-'Blocking-Step2'!W1774</f>
        <v>0</v>
      </c>
      <c r="AV1774" s="2128">
        <f>Y1774-'Blocking-Step2'!Y1774</f>
        <v>0</v>
      </c>
    </row>
    <row r="1775" spans="1:48">
      <c r="A1775" s="2092" t="s">
        <v>208</v>
      </c>
      <c r="C1775" s="1105"/>
      <c r="D1775" s="1105"/>
      <c r="F1775" s="1907"/>
      <c r="G1775" s="1110"/>
      <c r="K1775" s="1907"/>
      <c r="L1775" s="1110"/>
      <c r="M1775" s="1907"/>
      <c r="N1775" s="1110"/>
      <c r="O1775" s="1907"/>
      <c r="P1775" s="1110"/>
      <c r="Q1775" s="1907"/>
      <c r="R1775" s="1110"/>
      <c r="S1775" s="1629"/>
      <c r="T1775" s="1629"/>
      <c r="U1775" s="1629"/>
      <c r="V1775" s="1629"/>
      <c r="W1775" s="1629"/>
      <c r="X1775" s="1629"/>
      <c r="Z1775" s="2114">
        <f>C1775-'Blocking-Step2'!C1775</f>
        <v>0</v>
      </c>
      <c r="AA1775" s="2114">
        <f>D1775-'Blocking-Step2'!D1775</f>
        <v>0</v>
      </c>
      <c r="AC1775" s="2114">
        <f>F1775-'Blocking-Step2'!F1775</f>
        <v>0</v>
      </c>
      <c r="AE1775" s="2114">
        <f>H1775-'Blocking-Step2'!H1775</f>
        <v>0</v>
      </c>
      <c r="AF1775" s="2114">
        <f>I1775-'Blocking-Step2'!I1775</f>
        <v>0</v>
      </c>
      <c r="AH1775" s="2136">
        <f>K1775-'Blocking-Step2'!K1775</f>
        <v>0</v>
      </c>
      <c r="AJ1775" s="2136">
        <f>M1775-'Blocking-Step2'!M1775</f>
        <v>0</v>
      </c>
      <c r="AL1775" s="2136">
        <f>O1775-'Blocking-Step2'!O1775</f>
        <v>0</v>
      </c>
      <c r="AN1775" s="2137">
        <f>Q1775-'Blocking-Step2'!Q1775</f>
        <v>0</v>
      </c>
      <c r="AP1775" s="2127">
        <f>S1775-'Blocking-Step2'!S1775</f>
        <v>0</v>
      </c>
      <c r="AR1775" s="2127">
        <f>U1775-'Blocking-Step2'!U1775</f>
        <v>0</v>
      </c>
      <c r="AT1775" s="2127">
        <f>W1775-'Blocking-Step2'!W1775</f>
        <v>0</v>
      </c>
      <c r="AV1775" s="2128">
        <f>Y1775-'Blocking-Step2'!Y1775</f>
        <v>0</v>
      </c>
    </row>
    <row r="1776" spans="1:48">
      <c r="A1776" s="1977" t="s">
        <v>320</v>
      </c>
      <c r="C1776" s="1105"/>
      <c r="D1776" s="1105"/>
      <c r="F1776" s="1907"/>
      <c r="G1776" s="1110"/>
      <c r="H1776" s="1146"/>
      <c r="I1776" s="1146"/>
      <c r="K1776" s="1907"/>
      <c r="L1776" s="1110"/>
      <c r="M1776" s="1907"/>
      <c r="N1776" s="1110"/>
      <c r="O1776" s="1907"/>
      <c r="P1776" s="1110"/>
      <c r="Q1776" s="1907"/>
      <c r="R1776" s="1110"/>
      <c r="S1776" s="1629"/>
      <c r="T1776" s="1629"/>
      <c r="U1776" s="1629"/>
      <c r="V1776" s="1629"/>
      <c r="W1776" s="1629"/>
      <c r="X1776" s="1629"/>
      <c r="Y1776" s="1146"/>
      <c r="Z1776" s="2114">
        <f>C1776-'Blocking-Step2'!C1776</f>
        <v>0</v>
      </c>
      <c r="AA1776" s="2114">
        <f>D1776-'Blocking-Step2'!D1776</f>
        <v>0</v>
      </c>
      <c r="AC1776" s="2114">
        <f>F1776-'Blocking-Step2'!F1776</f>
        <v>0</v>
      </c>
      <c r="AE1776" s="2114">
        <f>H1776-'Blocking-Step2'!H1776</f>
        <v>0</v>
      </c>
      <c r="AF1776" s="2114">
        <f>I1776-'Blocking-Step2'!I1776</f>
        <v>0</v>
      </c>
      <c r="AH1776" s="2136">
        <f>K1776-'Blocking-Step2'!K1776</f>
        <v>0</v>
      </c>
      <c r="AJ1776" s="2136">
        <f>M1776-'Blocking-Step2'!M1776</f>
        <v>0</v>
      </c>
      <c r="AL1776" s="2136">
        <f>O1776-'Blocking-Step2'!O1776</f>
        <v>0</v>
      </c>
      <c r="AN1776" s="2137">
        <f>Q1776-'Blocking-Step2'!Q1776</f>
        <v>0</v>
      </c>
      <c r="AP1776" s="2127">
        <f>S1776-'Blocking-Step2'!S1776</f>
        <v>0</v>
      </c>
      <c r="AR1776" s="2127">
        <f>U1776-'Blocking-Step2'!U1776</f>
        <v>0</v>
      </c>
      <c r="AT1776" s="2127">
        <f>W1776-'Blocking-Step2'!W1776</f>
        <v>0</v>
      </c>
      <c r="AV1776" s="2128">
        <f>Y1776-'Blocking-Step2'!Y1776</f>
        <v>0</v>
      </c>
    </row>
    <row r="1777" spans="1:48">
      <c r="A1777" s="1116" t="s">
        <v>326</v>
      </c>
      <c r="C1777" s="1105">
        <v>36</v>
      </c>
      <c r="D1777" s="1105">
        <v>37</v>
      </c>
      <c r="F1777" s="1907">
        <v>17.73</v>
      </c>
      <c r="G1777" s="1110"/>
      <c r="H1777" s="1146">
        <v>638</v>
      </c>
      <c r="I1777" s="1146">
        <v>656</v>
      </c>
      <c r="K1777" s="1907"/>
      <c r="L1777" s="1110"/>
      <c r="M1777" s="1907"/>
      <c r="N1777" s="1110"/>
      <c r="O1777" s="1907"/>
      <c r="P1777" s="1110"/>
      <c r="Q1777" s="1907"/>
      <c r="R1777" s="1110"/>
      <c r="S1777" s="1629"/>
      <c r="T1777" s="1629"/>
      <c r="U1777" s="1629"/>
      <c r="V1777" s="1629"/>
      <c r="W1777" s="1629"/>
      <c r="X1777" s="1629"/>
      <c r="Y1777" s="1146"/>
      <c r="Z1777" s="2114">
        <f>C1777-'Blocking-Step2'!C1777</f>
        <v>0</v>
      </c>
      <c r="AA1777" s="2114">
        <f>D1777-'Blocking-Step2'!D1777</f>
        <v>0</v>
      </c>
      <c r="AC1777" s="2114">
        <f>F1777-'Blocking-Step2'!F1777</f>
        <v>0</v>
      </c>
      <c r="AE1777" s="2114">
        <f>H1777-'Blocking-Step2'!H1777</f>
        <v>0</v>
      </c>
      <c r="AF1777" s="2114">
        <f>I1777-'Blocking-Step2'!I1777</f>
        <v>0</v>
      </c>
      <c r="AH1777" s="2136">
        <f>K1777-'Blocking-Step2'!K1777</f>
        <v>0</v>
      </c>
      <c r="AJ1777" s="2136">
        <f>M1777-'Blocking-Step2'!M1777</f>
        <v>0</v>
      </c>
      <c r="AL1777" s="2136">
        <f>O1777-'Blocking-Step2'!O1777</f>
        <v>0</v>
      </c>
      <c r="AN1777" s="2137">
        <f>Q1777-'Blocking-Step2'!Q1777</f>
        <v>0</v>
      </c>
      <c r="AP1777" s="2127">
        <f>S1777-'Blocking-Step2'!S1777</f>
        <v>0</v>
      </c>
      <c r="AR1777" s="2127">
        <f>U1777-'Blocking-Step2'!U1777</f>
        <v>0</v>
      </c>
      <c r="AT1777" s="2127">
        <f>W1777-'Blocking-Step2'!W1777</f>
        <v>0</v>
      </c>
      <c r="AV1777" s="2128">
        <f>Y1777-'Blocking-Step2'!Y1777</f>
        <v>0</v>
      </c>
    </row>
    <row r="1778" spans="1:48">
      <c r="A1778" s="1116" t="s">
        <v>327</v>
      </c>
      <c r="C1778" s="1105">
        <v>12</v>
      </c>
      <c r="D1778" s="1105">
        <v>12</v>
      </c>
      <c r="F1778" s="1907">
        <v>23.4</v>
      </c>
      <c r="G1778" s="1110"/>
      <c r="H1778" s="1146">
        <v>281</v>
      </c>
      <c r="I1778" s="1146">
        <v>281</v>
      </c>
      <c r="K1778" s="1907"/>
      <c r="L1778" s="1110"/>
      <c r="M1778" s="1907"/>
      <c r="N1778" s="1110"/>
      <c r="O1778" s="1907"/>
      <c r="P1778" s="1110"/>
      <c r="Q1778" s="1907"/>
      <c r="R1778" s="1110"/>
      <c r="S1778" s="1629"/>
      <c r="T1778" s="1629"/>
      <c r="U1778" s="1629"/>
      <c r="V1778" s="1629"/>
      <c r="W1778" s="1629"/>
      <c r="X1778" s="1629"/>
      <c r="Y1778" s="1146"/>
      <c r="Z1778" s="2114">
        <f>C1778-'Blocking-Step2'!C1778</f>
        <v>0</v>
      </c>
      <c r="AA1778" s="2114">
        <f>D1778-'Blocking-Step2'!D1778</f>
        <v>0</v>
      </c>
      <c r="AC1778" s="2114">
        <f>F1778-'Blocking-Step2'!F1778</f>
        <v>0</v>
      </c>
      <c r="AE1778" s="2114">
        <f>H1778-'Blocking-Step2'!H1778</f>
        <v>0</v>
      </c>
      <c r="AF1778" s="2114">
        <f>I1778-'Blocking-Step2'!I1778</f>
        <v>0</v>
      </c>
      <c r="AH1778" s="2136">
        <f>K1778-'Blocking-Step2'!K1778</f>
        <v>0</v>
      </c>
      <c r="AJ1778" s="2136">
        <f>M1778-'Blocking-Step2'!M1778</f>
        <v>0</v>
      </c>
      <c r="AL1778" s="2136">
        <f>O1778-'Blocking-Step2'!O1778</f>
        <v>0</v>
      </c>
      <c r="AN1778" s="2137">
        <f>Q1778-'Blocking-Step2'!Q1778</f>
        <v>0</v>
      </c>
      <c r="AP1778" s="2127">
        <f>S1778-'Blocking-Step2'!S1778</f>
        <v>0</v>
      </c>
      <c r="AR1778" s="2127">
        <f>U1778-'Blocking-Step2'!U1778</f>
        <v>0</v>
      </c>
      <c r="AT1778" s="2127">
        <f>W1778-'Blocking-Step2'!W1778</f>
        <v>0</v>
      </c>
      <c r="AV1778" s="2128">
        <f>Y1778-'Blocking-Step2'!Y1778</f>
        <v>0</v>
      </c>
    </row>
    <row r="1779" spans="1:48">
      <c r="A1779" s="1977" t="s">
        <v>329</v>
      </c>
      <c r="C1779" s="1105"/>
      <c r="D1779" s="1105"/>
      <c r="W1779" s="1629"/>
      <c r="Z1779" s="2114">
        <f>C1779-'Blocking-Step2'!C1779</f>
        <v>0</v>
      </c>
      <c r="AA1779" s="2114">
        <f>D1779-'Blocking-Step2'!D1779</f>
        <v>0</v>
      </c>
      <c r="AC1779" s="2114">
        <f>F1779-'Blocking-Step2'!F1779</f>
        <v>0</v>
      </c>
      <c r="AE1779" s="2114">
        <f>H1779-'Blocking-Step2'!H1779</f>
        <v>0</v>
      </c>
      <c r="AF1779" s="2114">
        <f>I1779-'Blocking-Step2'!I1779</f>
        <v>0</v>
      </c>
      <c r="AH1779" s="2136">
        <f>K1779-'Blocking-Step2'!K1779</f>
        <v>0</v>
      </c>
      <c r="AJ1779" s="2136">
        <f>M1779-'Blocking-Step2'!M1779</f>
        <v>0</v>
      </c>
      <c r="AL1779" s="2136">
        <f>O1779-'Blocking-Step2'!O1779</f>
        <v>0</v>
      </c>
      <c r="AN1779" s="2137">
        <f>Q1779-'Blocking-Step2'!Q1779</f>
        <v>0</v>
      </c>
      <c r="AP1779" s="2127">
        <f>S1779-'Blocking-Step2'!S1779</f>
        <v>0</v>
      </c>
      <c r="AR1779" s="2127">
        <f>U1779-'Blocking-Step2'!U1779</f>
        <v>0</v>
      </c>
      <c r="AT1779" s="2127">
        <f>W1779-'Blocking-Step2'!W1779</f>
        <v>0</v>
      </c>
      <c r="AV1779" s="2128">
        <f>Y1779-'Blocking-Step2'!Y1779</f>
        <v>0</v>
      </c>
    </row>
    <row r="1780" spans="1:48">
      <c r="A1780" s="1116" t="s">
        <v>266</v>
      </c>
      <c r="C1780" s="1105">
        <v>24</v>
      </c>
      <c r="D1780" s="1105">
        <v>25</v>
      </c>
      <c r="F1780" s="1907">
        <v>8.0299999999999994</v>
      </c>
      <c r="G1780" s="1110"/>
      <c r="H1780" s="1146">
        <v>193</v>
      </c>
      <c r="I1780" s="1146">
        <v>201</v>
      </c>
      <c r="K1780" s="1907"/>
      <c r="L1780" s="1110"/>
      <c r="M1780" s="1907"/>
      <c r="N1780" s="1110"/>
      <c r="O1780" s="1907"/>
      <c r="P1780" s="1110"/>
      <c r="Q1780" s="1907"/>
      <c r="R1780" s="1110"/>
      <c r="S1780" s="1629"/>
      <c r="T1780" s="1629"/>
      <c r="U1780" s="1629"/>
      <c r="V1780" s="1629"/>
      <c r="W1780" s="1629"/>
      <c r="X1780" s="1629"/>
      <c r="Y1780" s="1146"/>
      <c r="Z1780" s="2114">
        <f>C1780-'Blocking-Step2'!C1780</f>
        <v>0</v>
      </c>
      <c r="AA1780" s="2114">
        <f>D1780-'Blocking-Step2'!D1780</f>
        <v>0</v>
      </c>
      <c r="AC1780" s="2114">
        <f>F1780-'Blocking-Step2'!F1780</f>
        <v>0</v>
      </c>
      <c r="AE1780" s="2114">
        <f>H1780-'Blocking-Step2'!H1780</f>
        <v>0</v>
      </c>
      <c r="AF1780" s="2114">
        <f>I1780-'Blocking-Step2'!I1780</f>
        <v>0</v>
      </c>
      <c r="AH1780" s="2136">
        <f>K1780-'Blocking-Step2'!K1780</f>
        <v>0</v>
      </c>
      <c r="AJ1780" s="2136">
        <f>M1780-'Blocking-Step2'!M1780</f>
        <v>0</v>
      </c>
      <c r="AL1780" s="2136">
        <f>O1780-'Blocking-Step2'!O1780</f>
        <v>0</v>
      </c>
      <c r="AN1780" s="2137">
        <f>Q1780-'Blocking-Step2'!Q1780</f>
        <v>0</v>
      </c>
      <c r="AP1780" s="2127">
        <f>S1780-'Blocking-Step2'!S1780</f>
        <v>0</v>
      </c>
      <c r="AR1780" s="2127">
        <f>U1780-'Blocking-Step2'!U1780</f>
        <v>0</v>
      </c>
      <c r="AT1780" s="2127">
        <f>W1780-'Blocking-Step2'!W1780</f>
        <v>0</v>
      </c>
      <c r="AV1780" s="2128">
        <f>Y1780-'Blocking-Step2'!Y1780</f>
        <v>0</v>
      </c>
    </row>
    <row r="1781" spans="1:48">
      <c r="A1781" s="1116" t="s">
        <v>268</v>
      </c>
      <c r="C1781" s="1105">
        <v>0</v>
      </c>
      <c r="D1781" s="1105">
        <v>0</v>
      </c>
      <c r="F1781" s="1907">
        <v>15.3</v>
      </c>
      <c r="G1781" s="1110"/>
      <c r="H1781" s="1146">
        <v>0</v>
      </c>
      <c r="I1781" s="1146">
        <v>0</v>
      </c>
      <c r="K1781" s="1907"/>
      <c r="L1781" s="1110"/>
      <c r="M1781" s="1907"/>
      <c r="N1781" s="1110"/>
      <c r="O1781" s="1907"/>
      <c r="P1781" s="1110"/>
      <c r="Q1781" s="1907"/>
      <c r="R1781" s="1110"/>
      <c r="S1781" s="1629"/>
      <c r="T1781" s="1629"/>
      <c r="U1781" s="1629"/>
      <c r="V1781" s="1629"/>
      <c r="W1781" s="1629"/>
      <c r="X1781" s="1629"/>
      <c r="Y1781" s="1146"/>
      <c r="Z1781" s="2114">
        <f>C1781-'Blocking-Step2'!C1781</f>
        <v>0</v>
      </c>
      <c r="AA1781" s="2114">
        <f>D1781-'Blocking-Step2'!D1781</f>
        <v>0</v>
      </c>
      <c r="AC1781" s="2114">
        <f>F1781-'Blocking-Step2'!F1781</f>
        <v>0</v>
      </c>
      <c r="AE1781" s="2114">
        <f>H1781-'Blocking-Step2'!H1781</f>
        <v>0</v>
      </c>
      <c r="AF1781" s="2114">
        <f>I1781-'Blocking-Step2'!I1781</f>
        <v>0</v>
      </c>
      <c r="AH1781" s="2136">
        <f>K1781-'Blocking-Step2'!K1781</f>
        <v>0</v>
      </c>
      <c r="AJ1781" s="2136">
        <f>M1781-'Blocking-Step2'!M1781</f>
        <v>0</v>
      </c>
      <c r="AL1781" s="2136">
        <f>O1781-'Blocking-Step2'!O1781</f>
        <v>0</v>
      </c>
      <c r="AN1781" s="2137">
        <f>Q1781-'Blocking-Step2'!Q1781</f>
        <v>0</v>
      </c>
      <c r="AP1781" s="2127">
        <f>S1781-'Blocking-Step2'!S1781</f>
        <v>0</v>
      </c>
      <c r="AR1781" s="2127">
        <f>U1781-'Blocking-Step2'!U1781</f>
        <v>0</v>
      </c>
      <c r="AT1781" s="2127">
        <f>W1781-'Blocking-Step2'!W1781</f>
        <v>0</v>
      </c>
      <c r="AV1781" s="2128">
        <f>Y1781-'Blocking-Step2'!Y1781</f>
        <v>0</v>
      </c>
    </row>
    <row r="1782" spans="1:48">
      <c r="A1782" s="1116" t="s">
        <v>343</v>
      </c>
      <c r="C1782" s="1024">
        <v>0</v>
      </c>
      <c r="D1782" s="1105">
        <v>0</v>
      </c>
      <c r="F1782" s="1110">
        <v>32.479999999999997</v>
      </c>
      <c r="G1782" s="1110"/>
      <c r="H1782" s="1146">
        <v>0</v>
      </c>
      <c r="I1782" s="1146">
        <v>0</v>
      </c>
      <c r="K1782" s="1907"/>
      <c r="L1782" s="1110"/>
      <c r="M1782" s="1907"/>
      <c r="N1782" s="1110"/>
      <c r="O1782" s="1907"/>
      <c r="P1782" s="1110"/>
      <c r="Q1782" s="1110"/>
      <c r="R1782" s="1110"/>
      <c r="S1782" s="1629"/>
      <c r="T1782" s="1629"/>
      <c r="U1782" s="1629"/>
      <c r="V1782" s="1629"/>
      <c r="W1782" s="1629"/>
      <c r="X1782" s="1629"/>
      <c r="Y1782" s="1146"/>
      <c r="Z1782" s="2114">
        <f>C1782-'Blocking-Step2'!C1782</f>
        <v>0</v>
      </c>
      <c r="AA1782" s="2114">
        <f>D1782-'Blocking-Step2'!D1782</f>
        <v>0</v>
      </c>
      <c r="AC1782" s="2114">
        <f>F1782-'Blocking-Step2'!F1782</f>
        <v>0</v>
      </c>
      <c r="AE1782" s="2114">
        <f>H1782-'Blocking-Step2'!H1782</f>
        <v>0</v>
      </c>
      <c r="AF1782" s="2114">
        <f>I1782-'Blocking-Step2'!I1782</f>
        <v>0</v>
      </c>
      <c r="AH1782" s="2136">
        <f>K1782-'Blocking-Step2'!K1782</f>
        <v>0</v>
      </c>
      <c r="AJ1782" s="2136">
        <f>M1782-'Blocking-Step2'!M1782</f>
        <v>0</v>
      </c>
      <c r="AL1782" s="2136">
        <f>O1782-'Blocking-Step2'!O1782</f>
        <v>0</v>
      </c>
      <c r="AN1782" s="2137">
        <f>Q1782-'Blocking-Step2'!Q1782</f>
        <v>0</v>
      </c>
      <c r="AP1782" s="2127">
        <f>S1782-'Blocking-Step2'!S1782</f>
        <v>0</v>
      </c>
      <c r="AR1782" s="2127">
        <f>U1782-'Blocking-Step2'!U1782</f>
        <v>0</v>
      </c>
      <c r="AT1782" s="2127">
        <f>W1782-'Blocking-Step2'!W1782</f>
        <v>0</v>
      </c>
      <c r="AV1782" s="2128">
        <f>Y1782-'Blocking-Step2'!Y1782</f>
        <v>0</v>
      </c>
    </row>
    <row r="1783" spans="1:48" ht="14.25" customHeight="1">
      <c r="A1783" s="1977" t="s">
        <v>330</v>
      </c>
      <c r="C1783" s="1105"/>
      <c r="D1783" s="1105"/>
      <c r="F1783" s="1142"/>
      <c r="G1783" s="617"/>
      <c r="H1783" s="1146"/>
      <c r="I1783" s="1146"/>
      <c r="K1783" s="1142"/>
      <c r="L1783" s="617"/>
      <c r="M1783" s="1142"/>
      <c r="N1783" s="617"/>
      <c r="O1783" s="1142"/>
      <c r="P1783" s="617"/>
      <c r="Q1783" s="1142"/>
      <c r="R1783" s="617"/>
      <c r="S1783" s="1114"/>
      <c r="T1783" s="1114"/>
      <c r="U1783" s="1114"/>
      <c r="V1783" s="1114"/>
      <c r="W1783" s="1629"/>
      <c r="X1783" s="1114"/>
      <c r="Y1783" s="1146"/>
      <c r="Z1783" s="2114">
        <f>C1783-'Blocking-Step2'!C1783</f>
        <v>0</v>
      </c>
      <c r="AA1783" s="2114">
        <f>D1783-'Blocking-Step2'!D1783</f>
        <v>0</v>
      </c>
      <c r="AC1783" s="2114">
        <f>F1783-'Blocking-Step2'!F1783</f>
        <v>0</v>
      </c>
      <c r="AE1783" s="2114">
        <f>H1783-'Blocking-Step2'!H1783</f>
        <v>0</v>
      </c>
      <c r="AF1783" s="2114">
        <f>I1783-'Blocking-Step2'!I1783</f>
        <v>0</v>
      </c>
      <c r="AH1783" s="2136">
        <f>K1783-'Blocking-Step2'!K1783</f>
        <v>0</v>
      </c>
      <c r="AJ1783" s="2136">
        <f>M1783-'Blocking-Step2'!M1783</f>
        <v>0</v>
      </c>
      <c r="AL1783" s="2136">
        <f>O1783-'Blocking-Step2'!O1783</f>
        <v>0</v>
      </c>
      <c r="AN1783" s="2137">
        <f>Q1783-'Blocking-Step2'!Q1783</f>
        <v>0</v>
      </c>
      <c r="AP1783" s="2127">
        <f>S1783-'Blocking-Step2'!S1783</f>
        <v>0</v>
      </c>
      <c r="AR1783" s="2127">
        <f>U1783-'Blocking-Step2'!U1783</f>
        <v>0</v>
      </c>
      <c r="AT1783" s="2127">
        <f>W1783-'Blocking-Step2'!W1783</f>
        <v>0</v>
      </c>
      <c r="AV1783" s="2128">
        <f>Y1783-'Blocking-Step2'!Y1783</f>
        <v>0</v>
      </c>
    </row>
    <row r="1784" spans="1:48">
      <c r="A1784" s="1116" t="s">
        <v>332</v>
      </c>
      <c r="C1784" s="1105">
        <v>4038.05982905983</v>
      </c>
      <c r="D1784" s="1105">
        <v>4183</v>
      </c>
      <c r="F1784" s="1907">
        <v>4.68</v>
      </c>
      <c r="G1784" s="1110"/>
      <c r="H1784" s="1146">
        <v>18898</v>
      </c>
      <c r="I1784" s="1146">
        <v>19576</v>
      </c>
      <c r="K1784" s="1907"/>
      <c r="L1784" s="1110"/>
      <c r="M1784" s="1907"/>
      <c r="N1784" s="1110"/>
      <c r="O1784" s="1907"/>
      <c r="P1784" s="1110"/>
      <c r="Q1784" s="1907"/>
      <c r="R1784" s="1110"/>
      <c r="S1784" s="1629"/>
      <c r="T1784" s="1629"/>
      <c r="U1784" s="1629"/>
      <c r="V1784" s="1629"/>
      <c r="W1784" s="1629"/>
      <c r="X1784" s="1629"/>
      <c r="Y1784" s="1146"/>
      <c r="Z1784" s="2114">
        <f>C1784-'Blocking-Step2'!C1784</f>
        <v>0</v>
      </c>
      <c r="AA1784" s="2114">
        <f>D1784-'Blocking-Step2'!D1784</f>
        <v>0</v>
      </c>
      <c r="AC1784" s="2114">
        <f>F1784-'Blocking-Step2'!F1784</f>
        <v>0</v>
      </c>
      <c r="AE1784" s="2114">
        <f>H1784-'Blocking-Step2'!H1784</f>
        <v>0</v>
      </c>
      <c r="AF1784" s="2114">
        <f>I1784-'Blocking-Step2'!I1784</f>
        <v>0</v>
      </c>
      <c r="AH1784" s="2136">
        <f>K1784-'Blocking-Step2'!K1784</f>
        <v>0</v>
      </c>
      <c r="AJ1784" s="2136">
        <f>M1784-'Blocking-Step2'!M1784</f>
        <v>0</v>
      </c>
      <c r="AL1784" s="2136">
        <f>O1784-'Blocking-Step2'!O1784</f>
        <v>0</v>
      </c>
      <c r="AN1784" s="2137">
        <f>Q1784-'Blocking-Step2'!Q1784</f>
        <v>0</v>
      </c>
      <c r="AP1784" s="2127">
        <f>S1784-'Blocking-Step2'!S1784</f>
        <v>0</v>
      </c>
      <c r="AR1784" s="2127">
        <f>U1784-'Blocking-Step2'!U1784</f>
        <v>0</v>
      </c>
      <c r="AT1784" s="2127">
        <f>W1784-'Blocking-Step2'!W1784</f>
        <v>0</v>
      </c>
      <c r="AV1784" s="2128">
        <f>Y1784-'Blocking-Step2'!Y1784</f>
        <v>0</v>
      </c>
    </row>
    <row r="1785" spans="1:48">
      <c r="A1785" s="1116" t="s">
        <v>333</v>
      </c>
      <c r="C1785" s="1105">
        <v>6914.6444805194797</v>
      </c>
      <c r="D1785" s="1105">
        <v>7164</v>
      </c>
      <c r="F1785" s="1907">
        <v>6.16</v>
      </c>
      <c r="G1785" s="1110"/>
      <c r="H1785" s="1146">
        <v>42594</v>
      </c>
      <c r="I1785" s="1146">
        <v>44130</v>
      </c>
      <c r="K1785" s="1907"/>
      <c r="L1785" s="1110"/>
      <c r="M1785" s="1907"/>
      <c r="N1785" s="1110"/>
      <c r="O1785" s="1907"/>
      <c r="P1785" s="1110"/>
      <c r="Q1785" s="1907"/>
      <c r="R1785" s="1110"/>
      <c r="S1785" s="1629"/>
      <c r="T1785" s="1629"/>
      <c r="U1785" s="1629"/>
      <c r="V1785" s="1629"/>
      <c r="W1785" s="1629"/>
      <c r="X1785" s="1629"/>
      <c r="Y1785" s="1146"/>
      <c r="Z1785" s="2114">
        <f>C1785-'Blocking-Step2'!C1785</f>
        <v>0</v>
      </c>
      <c r="AA1785" s="2114">
        <f>D1785-'Blocking-Step2'!D1785</f>
        <v>0</v>
      </c>
      <c r="AC1785" s="2114">
        <f>F1785-'Blocking-Step2'!F1785</f>
        <v>0</v>
      </c>
      <c r="AE1785" s="2114">
        <f>H1785-'Blocking-Step2'!H1785</f>
        <v>0</v>
      </c>
      <c r="AF1785" s="2114">
        <f>I1785-'Blocking-Step2'!I1785</f>
        <v>0</v>
      </c>
      <c r="AH1785" s="2136">
        <f>K1785-'Blocking-Step2'!K1785</f>
        <v>0</v>
      </c>
      <c r="AJ1785" s="2136">
        <f>M1785-'Blocking-Step2'!M1785</f>
        <v>0</v>
      </c>
      <c r="AL1785" s="2136">
        <f>O1785-'Blocking-Step2'!O1785</f>
        <v>0</v>
      </c>
      <c r="AN1785" s="2137">
        <f>Q1785-'Blocking-Step2'!Q1785</f>
        <v>0</v>
      </c>
      <c r="AP1785" s="2127">
        <f>S1785-'Blocking-Step2'!S1785</f>
        <v>0</v>
      </c>
      <c r="AR1785" s="2127">
        <f>U1785-'Blocking-Step2'!U1785</f>
        <v>0</v>
      </c>
      <c r="AT1785" s="2127">
        <f>W1785-'Blocking-Step2'!W1785</f>
        <v>0</v>
      </c>
      <c r="AV1785" s="2128">
        <f>Y1785-'Blocking-Step2'!Y1785</f>
        <v>0</v>
      </c>
    </row>
    <row r="1786" spans="1:48">
      <c r="A1786" s="1116" t="s">
        <v>334</v>
      </c>
      <c r="C1786" s="1105">
        <v>576</v>
      </c>
      <c r="D1786" s="1105">
        <v>597</v>
      </c>
      <c r="F1786" s="1907">
        <v>7.47</v>
      </c>
      <c r="G1786" s="1110"/>
      <c r="H1786" s="1146">
        <v>4303</v>
      </c>
      <c r="I1786" s="1146">
        <v>4460</v>
      </c>
      <c r="K1786" s="1907"/>
      <c r="L1786" s="1110"/>
      <c r="M1786" s="1907"/>
      <c r="N1786" s="1110"/>
      <c r="O1786" s="1907"/>
      <c r="P1786" s="1110"/>
      <c r="Q1786" s="1907"/>
      <c r="R1786" s="1110"/>
      <c r="S1786" s="1629"/>
      <c r="T1786" s="1629"/>
      <c r="U1786" s="1629"/>
      <c r="V1786" s="1629"/>
      <c r="W1786" s="1629"/>
      <c r="X1786" s="1629"/>
      <c r="Y1786" s="1146"/>
      <c r="Z1786" s="2114">
        <f>C1786-'Blocking-Step2'!C1786</f>
        <v>0</v>
      </c>
      <c r="AA1786" s="2114">
        <f>D1786-'Blocking-Step2'!D1786</f>
        <v>0</v>
      </c>
      <c r="AC1786" s="2114">
        <f>F1786-'Blocking-Step2'!F1786</f>
        <v>0</v>
      </c>
      <c r="AE1786" s="2114">
        <f>H1786-'Blocking-Step2'!H1786</f>
        <v>0</v>
      </c>
      <c r="AF1786" s="2114">
        <f>I1786-'Blocking-Step2'!I1786</f>
        <v>0</v>
      </c>
      <c r="AH1786" s="2136">
        <f>K1786-'Blocking-Step2'!K1786</f>
        <v>0</v>
      </c>
      <c r="AJ1786" s="2136">
        <f>M1786-'Blocking-Step2'!M1786</f>
        <v>0</v>
      </c>
      <c r="AL1786" s="2136">
        <f>O1786-'Blocking-Step2'!O1786</f>
        <v>0</v>
      </c>
      <c r="AN1786" s="2137">
        <f>Q1786-'Blocking-Step2'!Q1786</f>
        <v>0</v>
      </c>
      <c r="AP1786" s="2127">
        <f>S1786-'Blocking-Step2'!S1786</f>
        <v>0</v>
      </c>
      <c r="AR1786" s="2127">
        <f>U1786-'Blocking-Step2'!U1786</f>
        <v>0</v>
      </c>
      <c r="AT1786" s="2127">
        <f>W1786-'Blocking-Step2'!W1786</f>
        <v>0</v>
      </c>
      <c r="AV1786" s="2128">
        <f>Y1786-'Blocking-Step2'!Y1786</f>
        <v>0</v>
      </c>
    </row>
    <row r="1787" spans="1:48">
      <c r="A1787" s="1116" t="s">
        <v>276</v>
      </c>
      <c r="C1787" s="1105">
        <v>0</v>
      </c>
      <c r="D1787" s="1105">
        <v>0</v>
      </c>
      <c r="F1787" s="1907">
        <v>9.44</v>
      </c>
      <c r="G1787" s="1110"/>
      <c r="H1787" s="1146">
        <v>0</v>
      </c>
      <c r="I1787" s="1146">
        <v>0</v>
      </c>
      <c r="K1787" s="1907"/>
      <c r="L1787" s="1110"/>
      <c r="M1787" s="1907"/>
      <c r="N1787" s="1110"/>
      <c r="O1787" s="1907"/>
      <c r="P1787" s="1110"/>
      <c r="Q1787" s="1907"/>
      <c r="R1787" s="1110"/>
      <c r="S1787" s="1629"/>
      <c r="T1787" s="1629"/>
      <c r="U1787" s="1629"/>
      <c r="V1787" s="1629"/>
      <c r="W1787" s="1629"/>
      <c r="X1787" s="1629"/>
      <c r="Y1787" s="1146"/>
      <c r="Z1787" s="2114">
        <f>C1787-'Blocking-Step2'!C1787</f>
        <v>0</v>
      </c>
      <c r="AA1787" s="2114">
        <f>D1787-'Blocking-Step2'!D1787</f>
        <v>0</v>
      </c>
      <c r="AC1787" s="2114">
        <f>F1787-'Blocking-Step2'!F1787</f>
        <v>0</v>
      </c>
      <c r="AE1787" s="2114">
        <f>H1787-'Blocking-Step2'!H1787</f>
        <v>0</v>
      </c>
      <c r="AF1787" s="2114">
        <f>I1787-'Blocking-Step2'!I1787</f>
        <v>0</v>
      </c>
      <c r="AH1787" s="2136">
        <f>K1787-'Blocking-Step2'!K1787</f>
        <v>0</v>
      </c>
      <c r="AJ1787" s="2136">
        <f>M1787-'Blocking-Step2'!M1787</f>
        <v>0</v>
      </c>
      <c r="AL1787" s="2136">
        <f>O1787-'Blocking-Step2'!O1787</f>
        <v>0</v>
      </c>
      <c r="AN1787" s="2137">
        <f>Q1787-'Blocking-Step2'!Q1787</f>
        <v>0</v>
      </c>
      <c r="AP1787" s="2127">
        <f>S1787-'Blocking-Step2'!S1787</f>
        <v>0</v>
      </c>
      <c r="AR1787" s="2127">
        <f>U1787-'Blocking-Step2'!U1787</f>
        <v>0</v>
      </c>
      <c r="AT1787" s="2127">
        <f>W1787-'Blocking-Step2'!W1787</f>
        <v>0</v>
      </c>
      <c r="AV1787" s="2128">
        <f>Y1787-'Blocking-Step2'!Y1787</f>
        <v>0</v>
      </c>
    </row>
    <row r="1788" spans="1:48">
      <c r="A1788" s="1116" t="s">
        <v>335</v>
      </c>
      <c r="C1788" s="1105">
        <v>1223.2984531392201</v>
      </c>
      <c r="D1788" s="1105">
        <v>1267</v>
      </c>
      <c r="F1788" s="1907">
        <v>10.99</v>
      </c>
      <c r="G1788" s="1110"/>
      <c r="H1788" s="1146">
        <v>13444</v>
      </c>
      <c r="I1788" s="1146">
        <v>13924</v>
      </c>
      <c r="K1788" s="1907"/>
      <c r="L1788" s="1110"/>
      <c r="M1788" s="1907"/>
      <c r="N1788" s="1110"/>
      <c r="O1788" s="1907"/>
      <c r="P1788" s="1110"/>
      <c r="Q1788" s="1907"/>
      <c r="R1788" s="1110"/>
      <c r="S1788" s="1629"/>
      <c r="T1788" s="1629"/>
      <c r="U1788" s="1629"/>
      <c r="V1788" s="1629"/>
      <c r="W1788" s="1629"/>
      <c r="X1788" s="1629"/>
      <c r="Y1788" s="1146"/>
      <c r="Z1788" s="2114">
        <f>C1788-'Blocking-Step2'!C1788</f>
        <v>0</v>
      </c>
      <c r="AA1788" s="2114">
        <f>D1788-'Blocking-Step2'!D1788</f>
        <v>0</v>
      </c>
      <c r="AC1788" s="2114">
        <f>F1788-'Blocking-Step2'!F1788</f>
        <v>0</v>
      </c>
      <c r="AE1788" s="2114">
        <f>H1788-'Blocking-Step2'!H1788</f>
        <v>0</v>
      </c>
      <c r="AF1788" s="2114">
        <f>I1788-'Blocking-Step2'!I1788</f>
        <v>0</v>
      </c>
      <c r="AH1788" s="2136">
        <f>K1788-'Blocking-Step2'!K1788</f>
        <v>0</v>
      </c>
      <c r="AJ1788" s="2136">
        <f>M1788-'Blocking-Step2'!M1788</f>
        <v>0</v>
      </c>
      <c r="AL1788" s="2136">
        <f>O1788-'Blocking-Step2'!O1788</f>
        <v>0</v>
      </c>
      <c r="AN1788" s="2137">
        <f>Q1788-'Blocking-Step2'!Q1788</f>
        <v>0</v>
      </c>
      <c r="AP1788" s="2127">
        <f>S1788-'Blocking-Step2'!S1788</f>
        <v>0</v>
      </c>
      <c r="AR1788" s="2127">
        <f>U1788-'Blocking-Step2'!U1788</f>
        <v>0</v>
      </c>
      <c r="AT1788" s="2127">
        <f>W1788-'Blocking-Step2'!W1788</f>
        <v>0</v>
      </c>
      <c r="AV1788" s="2128">
        <f>Y1788-'Blocking-Step2'!Y1788</f>
        <v>0</v>
      </c>
    </row>
    <row r="1789" spans="1:48">
      <c r="A1789" s="1116" t="s">
        <v>336</v>
      </c>
      <c r="C1789" s="1105">
        <v>1599.822721598</v>
      </c>
      <c r="D1789" s="1105">
        <v>1657</v>
      </c>
      <c r="F1789" s="1907">
        <v>16.02</v>
      </c>
      <c r="G1789" s="1110"/>
      <c r="H1789" s="1146">
        <v>25629</v>
      </c>
      <c r="I1789" s="1146">
        <v>26545</v>
      </c>
      <c r="K1789" s="1907"/>
      <c r="L1789" s="1110"/>
      <c r="M1789" s="1907"/>
      <c r="N1789" s="1110"/>
      <c r="O1789" s="1907"/>
      <c r="P1789" s="1110"/>
      <c r="Q1789" s="1907"/>
      <c r="R1789" s="1110"/>
      <c r="S1789" s="1629"/>
      <c r="T1789" s="1629"/>
      <c r="U1789" s="1629"/>
      <c r="V1789" s="1629"/>
      <c r="W1789" s="1629"/>
      <c r="X1789" s="1629"/>
      <c r="Y1789" s="1146"/>
      <c r="Z1789" s="2114">
        <f>C1789-'Blocking-Step2'!C1789</f>
        <v>0</v>
      </c>
      <c r="AA1789" s="2114">
        <f>D1789-'Blocking-Step2'!D1789</f>
        <v>0</v>
      </c>
      <c r="AC1789" s="2114">
        <f>F1789-'Blocking-Step2'!F1789</f>
        <v>0</v>
      </c>
      <c r="AE1789" s="2114">
        <f>H1789-'Blocking-Step2'!H1789</f>
        <v>0</v>
      </c>
      <c r="AF1789" s="2114">
        <f>I1789-'Blocking-Step2'!I1789</f>
        <v>0</v>
      </c>
      <c r="AH1789" s="2136">
        <f>K1789-'Blocking-Step2'!K1789</f>
        <v>0</v>
      </c>
      <c r="AJ1789" s="2136">
        <f>M1789-'Blocking-Step2'!M1789</f>
        <v>0</v>
      </c>
      <c r="AL1789" s="2136">
        <f>O1789-'Blocking-Step2'!O1789</f>
        <v>0</v>
      </c>
      <c r="AN1789" s="2137">
        <f>Q1789-'Blocking-Step2'!Q1789</f>
        <v>0</v>
      </c>
      <c r="AP1789" s="2127">
        <f>S1789-'Blocking-Step2'!S1789</f>
        <v>0</v>
      </c>
      <c r="AR1789" s="2127">
        <f>U1789-'Blocking-Step2'!U1789</f>
        <v>0</v>
      </c>
      <c r="AT1789" s="2127">
        <f>W1789-'Blocking-Step2'!W1789</f>
        <v>0</v>
      </c>
      <c r="AV1789" s="2128">
        <f>Y1789-'Blocking-Step2'!Y1789</f>
        <v>0</v>
      </c>
    </row>
    <row r="1790" spans="1:48">
      <c r="A1790" s="1977" t="s">
        <v>348</v>
      </c>
      <c r="C1790" s="1105"/>
      <c r="D1790" s="1105"/>
      <c r="W1790" s="1629"/>
      <c r="Z1790" s="2114">
        <f>C1790-'Blocking-Step2'!C1790</f>
        <v>0</v>
      </c>
      <c r="AA1790" s="2114">
        <f>D1790-'Blocking-Step2'!D1790</f>
        <v>0</v>
      </c>
      <c r="AC1790" s="2114">
        <f>F1790-'Blocking-Step2'!F1790</f>
        <v>0</v>
      </c>
      <c r="AE1790" s="2114">
        <f>H1790-'Blocking-Step2'!H1790</f>
        <v>0</v>
      </c>
      <c r="AF1790" s="2114">
        <f>I1790-'Blocking-Step2'!I1790</f>
        <v>0</v>
      </c>
      <c r="AH1790" s="2136">
        <f>K1790-'Blocking-Step2'!K1790</f>
        <v>0</v>
      </c>
      <c r="AJ1790" s="2136">
        <f>M1790-'Blocking-Step2'!M1790</f>
        <v>0</v>
      </c>
      <c r="AL1790" s="2136">
        <f>O1790-'Blocking-Step2'!O1790</f>
        <v>0</v>
      </c>
      <c r="AN1790" s="2137">
        <f>Q1790-'Blocking-Step2'!Q1790</f>
        <v>0</v>
      </c>
      <c r="AP1790" s="2127">
        <f>S1790-'Blocking-Step2'!S1790</f>
        <v>0</v>
      </c>
      <c r="AR1790" s="2127">
        <f>U1790-'Blocking-Step2'!U1790</f>
        <v>0</v>
      </c>
      <c r="AT1790" s="2127">
        <f>W1790-'Blocking-Step2'!W1790</f>
        <v>0</v>
      </c>
      <c r="AV1790" s="2128">
        <f>Y1790-'Blocking-Step2'!Y1790</f>
        <v>0</v>
      </c>
    </row>
    <row r="1791" spans="1:48">
      <c r="A1791" s="1116" t="s">
        <v>349</v>
      </c>
      <c r="C1791" s="1105">
        <v>33.533376123234902</v>
      </c>
      <c r="D1791" s="1105">
        <v>35</v>
      </c>
      <c r="F1791" s="1907">
        <v>15.58</v>
      </c>
      <c r="G1791" s="1110"/>
      <c r="H1791" s="1146">
        <v>522</v>
      </c>
      <c r="I1791" s="1146">
        <v>545</v>
      </c>
      <c r="K1791" s="1907"/>
      <c r="L1791" s="1110"/>
      <c r="M1791" s="1907"/>
      <c r="N1791" s="1110"/>
      <c r="O1791" s="1907"/>
      <c r="P1791" s="1110"/>
      <c r="Q1791" s="1907"/>
      <c r="R1791" s="1110"/>
      <c r="S1791" s="1629"/>
      <c r="T1791" s="1629"/>
      <c r="U1791" s="1629"/>
      <c r="V1791" s="1629"/>
      <c r="W1791" s="1629"/>
      <c r="X1791" s="1629"/>
      <c r="Y1791" s="1146"/>
      <c r="Z1791" s="2114">
        <f>C1791-'Blocking-Step2'!C1791</f>
        <v>0</v>
      </c>
      <c r="AA1791" s="2114">
        <f>D1791-'Blocking-Step2'!D1791</f>
        <v>0</v>
      </c>
      <c r="AC1791" s="2114">
        <f>F1791-'Blocking-Step2'!F1791</f>
        <v>0</v>
      </c>
      <c r="AE1791" s="2114">
        <f>H1791-'Blocking-Step2'!H1791</f>
        <v>0</v>
      </c>
      <c r="AF1791" s="2114">
        <f>I1791-'Blocking-Step2'!I1791</f>
        <v>0</v>
      </c>
      <c r="AH1791" s="2136">
        <f>K1791-'Blocking-Step2'!K1791</f>
        <v>0</v>
      </c>
      <c r="AJ1791" s="2136">
        <f>M1791-'Blocking-Step2'!M1791</f>
        <v>0</v>
      </c>
      <c r="AL1791" s="2136">
        <f>O1791-'Blocking-Step2'!O1791</f>
        <v>0</v>
      </c>
      <c r="AN1791" s="2137">
        <f>Q1791-'Blocking-Step2'!Q1791</f>
        <v>0</v>
      </c>
      <c r="AP1791" s="2127">
        <f>S1791-'Blocking-Step2'!S1791</f>
        <v>0</v>
      </c>
      <c r="AR1791" s="2127">
        <f>U1791-'Blocking-Step2'!U1791</f>
        <v>0</v>
      </c>
      <c r="AT1791" s="2127">
        <f>W1791-'Blocking-Step2'!W1791</f>
        <v>0</v>
      </c>
      <c r="AV1791" s="2128">
        <f>Y1791-'Blocking-Step2'!Y1791</f>
        <v>0</v>
      </c>
    </row>
    <row r="1792" spans="1:48">
      <c r="A1792" s="1116" t="s">
        <v>350</v>
      </c>
      <c r="C1792" s="1105">
        <v>722.34392879847405</v>
      </c>
      <c r="D1792" s="1105">
        <v>748</v>
      </c>
      <c r="F1792" s="1907">
        <v>15.73</v>
      </c>
      <c r="G1792" s="1110"/>
      <c r="H1792" s="1146">
        <v>11362</v>
      </c>
      <c r="I1792" s="1146">
        <v>11766</v>
      </c>
      <c r="K1792" s="1907"/>
      <c r="L1792" s="1110"/>
      <c r="M1792" s="1907"/>
      <c r="N1792" s="1110"/>
      <c r="O1792" s="1907"/>
      <c r="P1792" s="1110"/>
      <c r="Q1792" s="1907"/>
      <c r="R1792" s="1110"/>
      <c r="S1792" s="1629"/>
      <c r="T1792" s="1629"/>
      <c r="U1792" s="1629"/>
      <c r="V1792" s="1629"/>
      <c r="W1792" s="1629"/>
      <c r="X1792" s="1629"/>
      <c r="Y1792" s="1146"/>
      <c r="Z1792" s="2114">
        <f>C1792-'Blocking-Step2'!C1792</f>
        <v>0</v>
      </c>
      <c r="AA1792" s="2114">
        <f>D1792-'Blocking-Step2'!D1792</f>
        <v>0</v>
      </c>
      <c r="AC1792" s="2114">
        <f>F1792-'Blocking-Step2'!F1792</f>
        <v>0</v>
      </c>
      <c r="AE1792" s="2114">
        <f>H1792-'Blocking-Step2'!H1792</f>
        <v>0</v>
      </c>
      <c r="AF1792" s="2114">
        <f>I1792-'Blocking-Step2'!I1792</f>
        <v>0</v>
      </c>
      <c r="AH1792" s="2136">
        <f>K1792-'Blocking-Step2'!K1792</f>
        <v>0</v>
      </c>
      <c r="AJ1792" s="2136">
        <f>M1792-'Blocking-Step2'!M1792</f>
        <v>0</v>
      </c>
      <c r="AL1792" s="2136">
        <f>O1792-'Blocking-Step2'!O1792</f>
        <v>0</v>
      </c>
      <c r="AN1792" s="2137">
        <f>Q1792-'Blocking-Step2'!Q1792</f>
        <v>0</v>
      </c>
      <c r="AP1792" s="2127">
        <f>S1792-'Blocking-Step2'!S1792</f>
        <v>0</v>
      </c>
      <c r="AR1792" s="2127">
        <f>U1792-'Blocking-Step2'!U1792</f>
        <v>0</v>
      </c>
      <c r="AT1792" s="2127">
        <f>W1792-'Blocking-Step2'!W1792</f>
        <v>0</v>
      </c>
      <c r="AV1792" s="2128">
        <f>Y1792-'Blocking-Step2'!Y1792</f>
        <v>0</v>
      </c>
    </row>
    <row r="1793" spans="1:48">
      <c r="A1793" s="1116" t="s">
        <v>351</v>
      </c>
      <c r="C1793" s="1105">
        <v>672.36662679425797</v>
      </c>
      <c r="D1793" s="1105">
        <v>697</v>
      </c>
      <c r="F1793" s="1907">
        <v>16.72</v>
      </c>
      <c r="G1793" s="1110"/>
      <c r="H1793" s="1146">
        <v>11242</v>
      </c>
      <c r="I1793" s="1146">
        <v>11654</v>
      </c>
      <c r="K1793" s="1907"/>
      <c r="L1793" s="1110"/>
      <c r="M1793" s="1907"/>
      <c r="N1793" s="1110"/>
      <c r="O1793" s="1907"/>
      <c r="P1793" s="1110"/>
      <c r="Q1793" s="1907"/>
      <c r="R1793" s="1110"/>
      <c r="S1793" s="1629"/>
      <c r="T1793" s="1629"/>
      <c r="U1793" s="1629"/>
      <c r="V1793" s="1629"/>
      <c r="W1793" s="1629"/>
      <c r="X1793" s="1629"/>
      <c r="Y1793" s="1146"/>
      <c r="Z1793" s="2114">
        <f>C1793-'Blocking-Step2'!C1793</f>
        <v>0</v>
      </c>
      <c r="AA1793" s="2114">
        <f>D1793-'Blocking-Step2'!D1793</f>
        <v>0</v>
      </c>
      <c r="AC1793" s="2114">
        <f>F1793-'Blocking-Step2'!F1793</f>
        <v>0</v>
      </c>
      <c r="AE1793" s="2114">
        <f>H1793-'Blocking-Step2'!H1793</f>
        <v>0</v>
      </c>
      <c r="AF1793" s="2114">
        <f>I1793-'Blocking-Step2'!I1793</f>
        <v>0</v>
      </c>
      <c r="AH1793" s="2136">
        <f>K1793-'Blocking-Step2'!K1793</f>
        <v>0</v>
      </c>
      <c r="AJ1793" s="2136">
        <f>M1793-'Blocking-Step2'!M1793</f>
        <v>0</v>
      </c>
      <c r="AL1793" s="2136">
        <f>O1793-'Blocking-Step2'!O1793</f>
        <v>0</v>
      </c>
      <c r="AN1793" s="2137">
        <f>Q1793-'Blocking-Step2'!Q1793</f>
        <v>0</v>
      </c>
      <c r="AP1793" s="2127">
        <f>S1793-'Blocking-Step2'!S1793</f>
        <v>0</v>
      </c>
      <c r="AR1793" s="2127">
        <f>U1793-'Blocking-Step2'!U1793</f>
        <v>0</v>
      </c>
      <c r="AT1793" s="2127">
        <f>W1793-'Blocking-Step2'!W1793</f>
        <v>0</v>
      </c>
      <c r="AV1793" s="2128">
        <f>Y1793-'Blocking-Step2'!Y1793</f>
        <v>0</v>
      </c>
    </row>
    <row r="1794" spans="1:48">
      <c r="A1794" s="1116" t="s">
        <v>352</v>
      </c>
      <c r="C1794" s="1105">
        <v>0</v>
      </c>
      <c r="D1794" s="1105">
        <v>0</v>
      </c>
      <c r="F1794" s="1907">
        <v>33.049999999999997</v>
      </c>
      <c r="G1794" s="1110"/>
      <c r="H1794" s="1146">
        <v>0</v>
      </c>
      <c r="I1794" s="1146">
        <v>0</v>
      </c>
      <c r="K1794" s="1907"/>
      <c r="L1794" s="1110"/>
      <c r="M1794" s="1907"/>
      <c r="N1794" s="1110"/>
      <c r="O1794" s="1907"/>
      <c r="P1794" s="1110"/>
      <c r="Q1794" s="1907"/>
      <c r="R1794" s="1110"/>
      <c r="S1794" s="1629"/>
      <c r="T1794" s="1629"/>
      <c r="U1794" s="1629"/>
      <c r="V1794" s="1629"/>
      <c r="W1794" s="1629"/>
      <c r="X1794" s="1629"/>
      <c r="Y1794" s="1146"/>
      <c r="Z1794" s="2114">
        <f>C1794-'Blocking-Step2'!C1794</f>
        <v>0</v>
      </c>
      <c r="AA1794" s="2114">
        <f>D1794-'Blocking-Step2'!D1794</f>
        <v>0</v>
      </c>
      <c r="AC1794" s="2114">
        <f>F1794-'Blocking-Step2'!F1794</f>
        <v>0</v>
      </c>
      <c r="AE1794" s="2114">
        <f>H1794-'Blocking-Step2'!H1794</f>
        <v>0</v>
      </c>
      <c r="AF1794" s="2114">
        <f>I1794-'Blocking-Step2'!I1794</f>
        <v>0</v>
      </c>
      <c r="AH1794" s="2136">
        <f>K1794-'Blocking-Step2'!K1794</f>
        <v>0</v>
      </c>
      <c r="AJ1794" s="2136">
        <f>M1794-'Blocking-Step2'!M1794</f>
        <v>0</v>
      </c>
      <c r="AL1794" s="2136">
        <f>O1794-'Blocking-Step2'!O1794</f>
        <v>0</v>
      </c>
      <c r="AN1794" s="2137">
        <f>Q1794-'Blocking-Step2'!Q1794</f>
        <v>0</v>
      </c>
      <c r="AP1794" s="2127">
        <f>S1794-'Blocking-Step2'!S1794</f>
        <v>0</v>
      </c>
      <c r="AR1794" s="2127">
        <f>U1794-'Blocking-Step2'!U1794</f>
        <v>0</v>
      </c>
      <c r="AT1794" s="2127">
        <f>W1794-'Blocking-Step2'!W1794</f>
        <v>0</v>
      </c>
      <c r="AV1794" s="2128">
        <f>Y1794-'Blocking-Step2'!Y1794</f>
        <v>0</v>
      </c>
    </row>
    <row r="1795" spans="1:48">
      <c r="A1795" s="1977" t="s">
        <v>506</v>
      </c>
      <c r="C1795" s="1940">
        <v>946976.17346773273</v>
      </c>
      <c r="D1795" s="1940">
        <v>981077.54006849322</v>
      </c>
      <c r="F1795" s="2088"/>
      <c r="H1795" s="1147">
        <v>129106</v>
      </c>
      <c r="I1795" s="1147">
        <v>133738</v>
      </c>
      <c r="K1795" s="2088"/>
      <c r="M1795" s="2088"/>
      <c r="O1795" s="2088"/>
      <c r="Q1795" s="2088"/>
      <c r="S1795" s="1147"/>
      <c r="U1795" s="1147"/>
      <c r="W1795" s="1147"/>
      <c r="Y1795" s="1147"/>
      <c r="Z1795" s="2114">
        <f>C1795-'Blocking-Step2'!C1795</f>
        <v>0</v>
      </c>
      <c r="AA1795" s="2114">
        <f>D1795-'Blocking-Step2'!D1795</f>
        <v>0</v>
      </c>
      <c r="AC1795" s="2114">
        <f>F1795-'Blocking-Step2'!F1795</f>
        <v>0</v>
      </c>
      <c r="AE1795" s="2114">
        <f>H1795-'Blocking-Step2'!H1795</f>
        <v>0</v>
      </c>
      <c r="AF1795" s="2114">
        <f>I1795-'Blocking-Step2'!I1795</f>
        <v>0</v>
      </c>
      <c r="AH1795" s="2136">
        <f>K1795-'Blocking-Step2'!K1795</f>
        <v>0</v>
      </c>
      <c r="AJ1795" s="2136">
        <f>M1795-'Blocking-Step2'!M1795</f>
        <v>0</v>
      </c>
      <c r="AL1795" s="2136">
        <f>O1795-'Blocking-Step2'!O1795</f>
        <v>0</v>
      </c>
      <c r="AN1795" s="2137">
        <f>Q1795-'Blocking-Step2'!Q1795</f>
        <v>0</v>
      </c>
      <c r="AP1795" s="2127">
        <f>S1795-'Blocking-Step2'!S1795</f>
        <v>0</v>
      </c>
      <c r="AR1795" s="2127">
        <f>U1795-'Blocking-Step2'!U1795</f>
        <v>0</v>
      </c>
      <c r="AT1795" s="2127">
        <f>W1795-'Blocking-Step2'!W1795</f>
        <v>0</v>
      </c>
      <c r="AV1795" s="2128">
        <f>Y1795-'Blocking-Step2'!Y1795</f>
        <v>0</v>
      </c>
    </row>
    <row r="1796" spans="1:48">
      <c r="A1796" s="1977" t="s">
        <v>136</v>
      </c>
      <c r="C1796" s="1024">
        <v>-35087</v>
      </c>
      <c r="D1796" s="1024">
        <v>0</v>
      </c>
      <c r="F1796" s="1110"/>
      <c r="G1796" s="1921"/>
      <c r="H1796" s="1114">
        <v>-4439</v>
      </c>
      <c r="I1796" s="1147">
        <v>0</v>
      </c>
      <c r="K1796" s="1110"/>
      <c r="L1796" s="1921"/>
      <c r="M1796" s="1110"/>
      <c r="N1796" s="1921"/>
      <c r="O1796" s="1110"/>
      <c r="P1796" s="1921"/>
      <c r="Q1796" s="1110"/>
      <c r="R1796" s="1921"/>
      <c r="S1796" s="1147"/>
      <c r="T1796" s="1648"/>
      <c r="U1796" s="1147"/>
      <c r="V1796" s="1648"/>
      <c r="W1796" s="1147"/>
      <c r="X1796" s="1648"/>
      <c r="Y1796" s="1147"/>
      <c r="Z1796" s="2114">
        <f>C1796-'Blocking-Step2'!C1796</f>
        <v>0</v>
      </c>
      <c r="AA1796" s="2114">
        <f>D1796-'Blocking-Step2'!D1796</f>
        <v>0</v>
      </c>
      <c r="AC1796" s="2114">
        <f>F1796-'Blocking-Step2'!F1796</f>
        <v>0</v>
      </c>
      <c r="AE1796" s="2114">
        <f>H1796-'Blocking-Step2'!H1796</f>
        <v>0</v>
      </c>
      <c r="AF1796" s="2114">
        <f>I1796-'Blocking-Step2'!I1796</f>
        <v>0</v>
      </c>
      <c r="AH1796" s="2136">
        <f>K1796-'Blocking-Step2'!K1796</f>
        <v>0</v>
      </c>
      <c r="AJ1796" s="2136">
        <f>M1796-'Blocking-Step2'!M1796</f>
        <v>0</v>
      </c>
      <c r="AL1796" s="2136">
        <f>O1796-'Blocking-Step2'!O1796</f>
        <v>0</v>
      </c>
      <c r="AN1796" s="2137">
        <f>Q1796-'Blocking-Step2'!Q1796</f>
        <v>0</v>
      </c>
      <c r="AP1796" s="2127">
        <f>S1796-'Blocking-Step2'!S1796</f>
        <v>0</v>
      </c>
      <c r="AR1796" s="2127">
        <f>U1796-'Blocking-Step2'!U1796</f>
        <v>0</v>
      </c>
      <c r="AT1796" s="2127">
        <f>W1796-'Blocking-Step2'!W1796</f>
        <v>0</v>
      </c>
      <c r="AV1796" s="2128">
        <f>Y1796-'Blocking-Step2'!Y1796</f>
        <v>0</v>
      </c>
    </row>
    <row r="1797" spans="1:48">
      <c r="A1797" s="1116" t="s">
        <v>1240</v>
      </c>
      <c r="C1797" s="1024"/>
      <c r="D1797" s="1024"/>
      <c r="F1797" s="2076">
        <v>-1.9800000000000002E-2</v>
      </c>
      <c r="G1797" s="617"/>
      <c r="H1797" s="1146">
        <v>-2556.2988</v>
      </c>
      <c r="I1797" s="1146">
        <v>-2648.0124000000001</v>
      </c>
      <c r="K1797" s="2076"/>
      <c r="L1797" s="617"/>
      <c r="M1797" s="2076"/>
      <c r="N1797" s="617"/>
      <c r="O1797" s="2077"/>
      <c r="P1797" s="617"/>
      <c r="Q1797" s="2076"/>
      <c r="R1797" s="617"/>
      <c r="S1797" s="1146"/>
      <c r="T1797" s="1114"/>
      <c r="U1797" s="1146"/>
      <c r="V1797" s="1114"/>
      <c r="W1797" s="1146"/>
      <c r="X1797" s="1114"/>
      <c r="Y1797" s="1146"/>
      <c r="Z1797" s="2114">
        <f>C1797-'Blocking-Step2'!C1797</f>
        <v>0</v>
      </c>
      <c r="AA1797" s="2114">
        <f>D1797-'Blocking-Step2'!D1797</f>
        <v>0</v>
      </c>
      <c r="AC1797" s="2114">
        <f>F1797-'Blocking-Step2'!F1797</f>
        <v>0</v>
      </c>
      <c r="AE1797" s="2114">
        <f>H1797-'Blocking-Step2'!H1797</f>
        <v>0</v>
      </c>
      <c r="AF1797" s="2114">
        <f>I1797-'Blocking-Step2'!I1797</f>
        <v>0</v>
      </c>
      <c r="AH1797" s="2136">
        <f>K1797-'Blocking-Step2'!K1797</f>
        <v>0</v>
      </c>
      <c r="AJ1797" s="2136">
        <f>M1797-'Blocking-Step2'!M1797</f>
        <v>0</v>
      </c>
      <c r="AL1797" s="2136">
        <f>O1797-'Blocking-Step2'!O1797</f>
        <v>0</v>
      </c>
      <c r="AN1797" s="2137">
        <f>Q1797-'Blocking-Step2'!Q1797</f>
        <v>0</v>
      </c>
      <c r="AP1797" s="2127">
        <f>S1797-'Blocking-Step2'!S1797</f>
        <v>0</v>
      </c>
      <c r="AR1797" s="2127">
        <f>U1797-'Blocking-Step2'!U1797</f>
        <v>0</v>
      </c>
      <c r="AT1797" s="2127">
        <f>W1797-'Blocking-Step2'!W1797</f>
        <v>0</v>
      </c>
      <c r="AV1797" s="2128">
        <f>Y1797-'Blocking-Step2'!Y1797</f>
        <v>0</v>
      </c>
    </row>
    <row r="1798" spans="1:48">
      <c r="A1798" s="1116"/>
      <c r="C1798" s="1024"/>
      <c r="D1798" s="1024"/>
      <c r="F1798" s="2076"/>
      <c r="G1798" s="617"/>
      <c r="H1798" s="1146"/>
      <c r="I1798" s="1146"/>
      <c r="K1798" s="2076"/>
      <c r="L1798" s="617"/>
      <c r="M1798" s="2076"/>
      <c r="N1798" s="617"/>
      <c r="O1798" s="2077"/>
      <c r="P1798" s="617"/>
      <c r="Q1798" s="2076"/>
      <c r="R1798" s="617"/>
      <c r="S1798" s="1146"/>
      <c r="T1798" s="1114"/>
      <c r="U1798" s="1146"/>
      <c r="V1798" s="1114"/>
      <c r="W1798" s="1146"/>
      <c r="X1798" s="1114"/>
      <c r="Y1798" s="1146"/>
      <c r="Z1798" s="2114">
        <f>C1798-'Blocking-Step2'!C1798</f>
        <v>0</v>
      </c>
      <c r="AA1798" s="2114">
        <f>D1798-'Blocking-Step2'!D1798</f>
        <v>0</v>
      </c>
      <c r="AC1798" s="2114">
        <f>F1798-'Blocking-Step2'!F1798</f>
        <v>0</v>
      </c>
      <c r="AE1798" s="2114">
        <f>H1798-'Blocking-Step2'!H1798</f>
        <v>0</v>
      </c>
      <c r="AF1798" s="2114">
        <f>I1798-'Blocking-Step2'!I1798</f>
        <v>0</v>
      </c>
      <c r="AH1798" s="2136">
        <f>K1798-'Blocking-Step2'!K1798</f>
        <v>0</v>
      </c>
      <c r="AJ1798" s="2136">
        <f>M1798-'Blocking-Step2'!M1798</f>
        <v>0</v>
      </c>
      <c r="AL1798" s="2136">
        <f>O1798-'Blocking-Step2'!O1798</f>
        <v>0</v>
      </c>
      <c r="AN1798" s="2137">
        <f>Q1798-'Blocking-Step2'!Q1798</f>
        <v>0</v>
      </c>
      <c r="AP1798" s="2127">
        <f>S1798-'Blocking-Step2'!S1798</f>
        <v>0</v>
      </c>
      <c r="AR1798" s="2127">
        <f>U1798-'Blocking-Step2'!U1798</f>
        <v>0</v>
      </c>
      <c r="AT1798" s="2127">
        <f>W1798-'Blocking-Step2'!W1798</f>
        <v>0</v>
      </c>
      <c r="AV1798" s="2128">
        <f>Y1798-'Blocking-Step2'!Y1798</f>
        <v>0</v>
      </c>
    </row>
    <row r="1799" spans="1:48">
      <c r="A1799" s="1977" t="s">
        <v>93</v>
      </c>
      <c r="C1799" s="1024">
        <v>911889.17346773273</v>
      </c>
      <c r="D1799" s="1024">
        <v>981077.54006849322</v>
      </c>
      <c r="F1799" s="1110"/>
      <c r="G1799" s="1921"/>
      <c r="H1799" s="1114">
        <v>122110.7012</v>
      </c>
      <c r="I1799" s="1114">
        <v>131089.98759999999</v>
      </c>
      <c r="K1799" s="1110"/>
      <c r="L1799" s="1921"/>
      <c r="M1799" s="1110"/>
      <c r="N1799" s="1921"/>
      <c r="O1799" s="1110"/>
      <c r="P1799" s="1921"/>
      <c r="Q1799" s="1110"/>
      <c r="R1799" s="1921"/>
      <c r="S1799" s="1114"/>
      <c r="T1799" s="1648"/>
      <c r="U1799" s="1114"/>
      <c r="V1799" s="1648"/>
      <c r="W1799" s="1114"/>
      <c r="X1799" s="1648"/>
      <c r="Y1799" s="1114"/>
      <c r="Z1799" s="2114">
        <f>C1799-'Blocking-Step2'!C1799</f>
        <v>0</v>
      </c>
      <c r="AA1799" s="2114">
        <f>D1799-'Blocking-Step2'!D1799</f>
        <v>0</v>
      </c>
      <c r="AC1799" s="2114">
        <f>F1799-'Blocking-Step2'!F1799</f>
        <v>0</v>
      </c>
      <c r="AE1799" s="2114">
        <f>H1799-'Blocking-Step2'!H1799</f>
        <v>0</v>
      </c>
      <c r="AF1799" s="2114">
        <f>I1799-'Blocking-Step2'!I1799</f>
        <v>0</v>
      </c>
      <c r="AH1799" s="2136">
        <f>K1799-'Blocking-Step2'!K1799</f>
        <v>0</v>
      </c>
      <c r="AJ1799" s="2136">
        <f>M1799-'Blocking-Step2'!M1799</f>
        <v>0</v>
      </c>
      <c r="AL1799" s="2136">
        <f>O1799-'Blocking-Step2'!O1799</f>
        <v>0</v>
      </c>
      <c r="AN1799" s="2137">
        <f>Q1799-'Blocking-Step2'!Q1799</f>
        <v>0</v>
      </c>
      <c r="AP1799" s="2127">
        <f>S1799-'Blocking-Step2'!S1799</f>
        <v>0</v>
      </c>
      <c r="AR1799" s="2127">
        <f>U1799-'Blocking-Step2'!U1799</f>
        <v>0</v>
      </c>
      <c r="AT1799" s="2127">
        <f>W1799-'Blocking-Step2'!W1799</f>
        <v>0</v>
      </c>
      <c r="AV1799" s="2128">
        <f>Y1799-'Blocking-Step2'!Y1799</f>
        <v>0</v>
      </c>
    </row>
    <row r="1800" spans="1:48">
      <c r="A1800" s="1977" t="s">
        <v>778</v>
      </c>
      <c r="C1800" s="1940">
        <v>67</v>
      </c>
      <c r="D1800" s="1940">
        <v>69</v>
      </c>
      <c r="F1800" s="2088"/>
      <c r="H1800" s="1147"/>
      <c r="I1800" s="1147"/>
      <c r="K1800" s="2088"/>
      <c r="M1800" s="2088"/>
      <c r="O1800" s="2088"/>
      <c r="Q1800" s="2088"/>
      <c r="S1800" s="1147"/>
      <c r="U1800" s="1147"/>
      <c r="W1800" s="1147"/>
      <c r="Y1800" s="1147"/>
      <c r="Z1800" s="2114">
        <f>C1800-'Blocking-Step2'!C1800</f>
        <v>0</v>
      </c>
      <c r="AA1800" s="2114">
        <f>D1800-'Blocking-Step2'!D1800</f>
        <v>0</v>
      </c>
      <c r="AC1800" s="2114">
        <f>F1800-'Blocking-Step2'!F1800</f>
        <v>0</v>
      </c>
      <c r="AE1800" s="2114">
        <f>H1800-'Blocking-Step2'!H1800</f>
        <v>0</v>
      </c>
      <c r="AF1800" s="2114">
        <f>I1800-'Blocking-Step2'!I1800</f>
        <v>0</v>
      </c>
      <c r="AH1800" s="2136">
        <f>K1800-'Blocking-Step2'!K1800</f>
        <v>0</v>
      </c>
      <c r="AJ1800" s="2136">
        <f>M1800-'Blocking-Step2'!M1800</f>
        <v>0</v>
      </c>
      <c r="AL1800" s="2136">
        <f>O1800-'Blocking-Step2'!O1800</f>
        <v>0</v>
      </c>
      <c r="AN1800" s="2137">
        <f>Q1800-'Blocking-Step2'!Q1800</f>
        <v>0</v>
      </c>
      <c r="AP1800" s="2127">
        <f>S1800-'Blocking-Step2'!S1800</f>
        <v>0</v>
      </c>
      <c r="AR1800" s="2127">
        <f>U1800-'Blocking-Step2'!U1800</f>
        <v>0</v>
      </c>
      <c r="AT1800" s="2127">
        <f>W1800-'Blocking-Step2'!W1800</f>
        <v>0</v>
      </c>
      <c r="AV1800" s="2128">
        <f>Y1800-'Blocking-Step2'!Y1800</f>
        <v>0</v>
      </c>
    </row>
    <row r="1801" spans="1:48">
      <c r="A1801" s="1116"/>
      <c r="C1801" s="1024"/>
      <c r="D1801" s="1024"/>
      <c r="F1801" s="1110"/>
      <c r="G1801" s="1110"/>
      <c r="H1801" s="1114"/>
      <c r="I1801" s="1114"/>
      <c r="K1801" s="1110"/>
      <c r="L1801" s="1110"/>
      <c r="M1801" s="1110"/>
      <c r="N1801" s="1110"/>
      <c r="O1801" s="1110"/>
      <c r="P1801" s="1110"/>
      <c r="Q1801" s="1110"/>
      <c r="R1801" s="1110"/>
      <c r="S1801" s="1114"/>
      <c r="T1801" s="1629"/>
      <c r="U1801" s="1114"/>
      <c r="V1801" s="1629"/>
      <c r="W1801" s="1114"/>
      <c r="X1801" s="1629"/>
      <c r="Y1801" s="1114"/>
      <c r="Z1801" s="2114">
        <f>C1801-'Blocking-Step2'!C1801</f>
        <v>0</v>
      </c>
      <c r="AA1801" s="2114">
        <f>D1801-'Blocking-Step2'!D1801</f>
        <v>0</v>
      </c>
      <c r="AC1801" s="2114">
        <f>F1801-'Blocking-Step2'!F1801</f>
        <v>0</v>
      </c>
      <c r="AE1801" s="2114">
        <f>H1801-'Blocking-Step2'!H1801</f>
        <v>0</v>
      </c>
      <c r="AF1801" s="2114">
        <f>I1801-'Blocking-Step2'!I1801</f>
        <v>0</v>
      </c>
      <c r="AH1801" s="2136">
        <f>K1801-'Blocking-Step2'!K1801</f>
        <v>0</v>
      </c>
      <c r="AJ1801" s="2136">
        <f>M1801-'Blocking-Step2'!M1801</f>
        <v>0</v>
      </c>
      <c r="AL1801" s="2136">
        <f>O1801-'Blocking-Step2'!O1801</f>
        <v>0</v>
      </c>
      <c r="AN1801" s="2137">
        <f>Q1801-'Blocking-Step2'!Q1801</f>
        <v>0</v>
      </c>
      <c r="AP1801" s="2127">
        <f>S1801-'Blocking-Step2'!S1801</f>
        <v>0</v>
      </c>
      <c r="AR1801" s="2127">
        <f>U1801-'Blocking-Step2'!U1801</f>
        <v>0</v>
      </c>
      <c r="AT1801" s="2127">
        <f>W1801-'Blocking-Step2'!W1801</f>
        <v>0</v>
      </c>
      <c r="AV1801" s="2128">
        <f>Y1801-'Blocking-Step2'!Y1801</f>
        <v>0</v>
      </c>
    </row>
    <row r="1802" spans="1:48">
      <c r="A1802" s="1116" t="s">
        <v>37</v>
      </c>
      <c r="C1802" s="1136">
        <v>45421495.526070856</v>
      </c>
      <c r="D1802" s="1136">
        <v>26868874.204370789</v>
      </c>
      <c r="F1802" s="2088"/>
      <c r="H1802" s="1147">
        <v>3205978</v>
      </c>
      <c r="I1802" s="1147">
        <v>1934632</v>
      </c>
      <c r="K1802" s="2088"/>
      <c r="M1802" s="2088"/>
      <c r="O1802" s="2088"/>
      <c r="Q1802" s="2088"/>
      <c r="S1802" s="1147"/>
      <c r="U1802" s="1147"/>
      <c r="W1802" s="1147"/>
      <c r="Y1802" s="1147"/>
      <c r="Z1802" s="2114">
        <f>C1802-'Blocking-Step2'!C1802</f>
        <v>0</v>
      </c>
      <c r="AA1802" s="2114">
        <f>D1802-'Blocking-Step2'!D1802</f>
        <v>0</v>
      </c>
      <c r="AC1802" s="2114">
        <f>F1802-'Blocking-Step2'!F1802</f>
        <v>0</v>
      </c>
      <c r="AE1802" s="2114">
        <f>H1802-'Blocking-Step2'!H1802</f>
        <v>0</v>
      </c>
      <c r="AF1802" s="2114">
        <f>I1802-'Blocking-Step2'!I1802</f>
        <v>0</v>
      </c>
      <c r="AH1802" s="2136">
        <f>K1802-'Blocking-Step2'!K1802</f>
        <v>0</v>
      </c>
      <c r="AJ1802" s="2136">
        <f>M1802-'Blocking-Step2'!M1802</f>
        <v>0</v>
      </c>
      <c r="AL1802" s="2136">
        <f>O1802-'Blocking-Step2'!O1802</f>
        <v>0</v>
      </c>
      <c r="AN1802" s="2137">
        <f>Q1802-'Blocking-Step2'!Q1802</f>
        <v>0</v>
      </c>
      <c r="AP1802" s="2127">
        <f>S1802-'Blocking-Step2'!S1802</f>
        <v>0</v>
      </c>
      <c r="AR1802" s="2127">
        <f>U1802-'Blocking-Step2'!U1802</f>
        <v>0</v>
      </c>
      <c r="AT1802" s="2127">
        <f>W1802-'Blocking-Step2'!W1802</f>
        <v>0</v>
      </c>
      <c r="AV1802" s="2128">
        <f>Y1802-'Blocking-Step2'!Y1802</f>
        <v>0</v>
      </c>
    </row>
    <row r="1803" spans="1:48">
      <c r="A1803" s="1116" t="s">
        <v>141</v>
      </c>
      <c r="C1803" s="1896">
        <v>1241.9166666666702</v>
      </c>
      <c r="D1803" s="1896">
        <v>1229</v>
      </c>
      <c r="Z1803" s="2114">
        <f>C1803-'Blocking-Step2'!C1803</f>
        <v>0</v>
      </c>
      <c r="AA1803" s="2114">
        <f>D1803-'Blocking-Step2'!D1803</f>
        <v>0</v>
      </c>
      <c r="AC1803" s="2114">
        <f>F1803-'Blocking-Step2'!F1803</f>
        <v>0</v>
      </c>
      <c r="AE1803" s="2114">
        <f>H1803-'Blocking-Step2'!H1803</f>
        <v>0</v>
      </c>
      <c r="AF1803" s="2114">
        <f>I1803-'Blocking-Step2'!I1803</f>
        <v>0</v>
      </c>
      <c r="AH1803" s="2136">
        <f>K1803-'Blocking-Step2'!K1803</f>
        <v>0</v>
      </c>
      <c r="AJ1803" s="2136">
        <f>M1803-'Blocking-Step2'!M1803</f>
        <v>0</v>
      </c>
      <c r="AL1803" s="2136">
        <f>O1803-'Blocking-Step2'!O1803</f>
        <v>0</v>
      </c>
      <c r="AN1803" s="2137">
        <f>Q1803-'Blocking-Step2'!Q1803</f>
        <v>0</v>
      </c>
      <c r="AP1803" s="2127">
        <f>S1803-'Blocking-Step2'!S1803</f>
        <v>0</v>
      </c>
      <c r="AR1803" s="2127">
        <f>U1803-'Blocking-Step2'!U1803</f>
        <v>0</v>
      </c>
      <c r="AT1803" s="2127">
        <f>W1803-'Blocking-Step2'!W1803</f>
        <v>0</v>
      </c>
      <c r="AV1803" s="2128">
        <f>Y1803-'Blocking-Step2'!Y1803</f>
        <v>0</v>
      </c>
    </row>
    <row r="1804" spans="1:48">
      <c r="A1804" s="1116" t="s">
        <v>136</v>
      </c>
      <c r="C1804" s="1136">
        <v>-1682951</v>
      </c>
      <c r="D1804" s="1136">
        <v>0</v>
      </c>
      <c r="F1804" s="2088"/>
      <c r="H1804" s="1147">
        <v>-110353</v>
      </c>
      <c r="I1804" s="1147">
        <v>0</v>
      </c>
      <c r="K1804" s="2088"/>
      <c r="M1804" s="2088"/>
      <c r="O1804" s="2088"/>
      <c r="Q1804" s="2088"/>
      <c r="Y1804" s="1147"/>
      <c r="Z1804" s="2114">
        <f>C1804-'Blocking-Step2'!C1804</f>
        <v>0</v>
      </c>
      <c r="AA1804" s="2114">
        <f>D1804-'Blocking-Step2'!D1804</f>
        <v>0</v>
      </c>
      <c r="AC1804" s="2114">
        <f>F1804-'Blocking-Step2'!F1804</f>
        <v>0</v>
      </c>
      <c r="AE1804" s="2114">
        <f>H1804-'Blocking-Step2'!H1804</f>
        <v>0</v>
      </c>
      <c r="AF1804" s="2114">
        <f>I1804-'Blocking-Step2'!I1804</f>
        <v>0</v>
      </c>
      <c r="AH1804" s="2136">
        <f>K1804-'Blocking-Step2'!K1804</f>
        <v>0</v>
      </c>
      <c r="AJ1804" s="2136">
        <f>M1804-'Blocking-Step2'!M1804</f>
        <v>0</v>
      </c>
      <c r="AL1804" s="2136">
        <f>O1804-'Blocking-Step2'!O1804</f>
        <v>0</v>
      </c>
      <c r="AN1804" s="2137">
        <f>Q1804-'Blocking-Step2'!Q1804</f>
        <v>0</v>
      </c>
      <c r="AP1804" s="2127">
        <f>S1804-'Blocking-Step2'!S1804</f>
        <v>0</v>
      </c>
      <c r="AR1804" s="2127">
        <f>U1804-'Blocking-Step2'!U1804</f>
        <v>0</v>
      </c>
      <c r="AT1804" s="2127">
        <f>W1804-'Blocking-Step2'!W1804</f>
        <v>0</v>
      </c>
      <c r="AV1804" s="2128">
        <f>Y1804-'Blocking-Step2'!Y1804</f>
        <v>0</v>
      </c>
    </row>
    <row r="1805" spans="1:48">
      <c r="A1805" s="1116" t="s">
        <v>1240</v>
      </c>
      <c r="C1805" s="1024"/>
      <c r="D1805" s="1024"/>
      <c r="F1805" s="2076"/>
      <c r="G1805" s="617"/>
      <c r="H1805" s="1146">
        <v>-63478.364399999999</v>
      </c>
      <c r="I1805" s="1146">
        <v>-38305.713600000003</v>
      </c>
      <c r="K1805" s="2076"/>
      <c r="L1805" s="617"/>
      <c r="M1805" s="2076"/>
      <c r="N1805" s="617"/>
      <c r="O1805" s="2077" t="s">
        <v>2323</v>
      </c>
      <c r="P1805" s="617"/>
      <c r="Q1805" s="2076">
        <v>-1.8700000000000001E-2</v>
      </c>
      <c r="R1805" s="617"/>
      <c r="S1805" s="1114"/>
      <c r="T1805" s="1114"/>
      <c r="U1805" s="1114"/>
      <c r="V1805" s="1114"/>
      <c r="W1805" s="1114"/>
      <c r="X1805" s="1114"/>
      <c r="Y1805" s="1146">
        <v>-26233.816322829171</v>
      </c>
      <c r="Z1805" s="2114">
        <f>C1805-'Blocking-Step2'!C1805</f>
        <v>0</v>
      </c>
      <c r="AA1805" s="2114">
        <f>D1805-'Blocking-Step2'!D1805</f>
        <v>0</v>
      </c>
      <c r="AC1805" s="2114">
        <f>F1805-'Blocking-Step2'!F1805</f>
        <v>0</v>
      </c>
      <c r="AE1805" s="2114">
        <f>H1805-'Blocking-Step2'!H1805</f>
        <v>0</v>
      </c>
      <c r="AF1805" s="2114">
        <f>I1805-'Blocking-Step2'!I1805</f>
        <v>0</v>
      </c>
      <c r="AH1805" s="2136">
        <f>K1805-'Blocking-Step2'!K1805</f>
        <v>0</v>
      </c>
      <c r="AJ1805" s="2136">
        <f>M1805-'Blocking-Step2'!M1805</f>
        <v>0</v>
      </c>
      <c r="AL1805" s="2136" t="e">
        <f>O1805-'Blocking-Step2'!O1805</f>
        <v>#VALUE!</v>
      </c>
      <c r="AN1805" s="2137">
        <f>Q1805-'Blocking-Step2'!Q1805</f>
        <v>0</v>
      </c>
      <c r="AP1805" s="2127">
        <f>S1805-'Blocking-Step2'!S1805</f>
        <v>0</v>
      </c>
      <c r="AR1805" s="2127">
        <f>U1805-'Blocking-Step2'!U1805</f>
        <v>0</v>
      </c>
      <c r="AT1805" s="2127">
        <f>W1805-'Blocking-Step2'!W1805</f>
        <v>0</v>
      </c>
      <c r="AV1805" s="2128">
        <f>Y1805-'Blocking-Step2'!Y1805</f>
        <v>-0.17967300095915562</v>
      </c>
    </row>
    <row r="1806" spans="1:48">
      <c r="A1806" s="1116"/>
      <c r="C1806" s="1024"/>
      <c r="D1806" s="1024"/>
      <c r="F1806" s="2076"/>
      <c r="G1806" s="617"/>
      <c r="H1806" s="1146"/>
      <c r="I1806" s="1146"/>
      <c r="K1806" s="2076"/>
      <c r="L1806" s="617"/>
      <c r="M1806" s="2076"/>
      <c r="N1806" s="617"/>
      <c r="O1806" s="2077" t="s">
        <v>2324</v>
      </c>
      <c r="P1806" s="617"/>
      <c r="Q1806" s="2076">
        <v>-1.0200000000000001E-2</v>
      </c>
      <c r="R1806" s="617"/>
      <c r="S1806" s="1114"/>
      <c r="T1806" s="1114"/>
      <c r="U1806" s="1114"/>
      <c r="V1806" s="1114"/>
      <c r="W1806" s="1114"/>
      <c r="X1806" s="1114"/>
      <c r="Y1806" s="1146">
        <v>-14309.354357906819</v>
      </c>
      <c r="Z1806" s="2114">
        <f>C1806-'Blocking-Step2'!C1806</f>
        <v>0</v>
      </c>
      <c r="AA1806" s="2114">
        <f>D1806-'Blocking-Step2'!D1806</f>
        <v>0</v>
      </c>
      <c r="AC1806" s="2114">
        <f>F1806-'Blocking-Step2'!F1806</f>
        <v>0</v>
      </c>
      <c r="AE1806" s="2114">
        <f>H1806-'Blocking-Step2'!H1806</f>
        <v>0</v>
      </c>
      <c r="AF1806" s="2114">
        <f>I1806-'Blocking-Step2'!I1806</f>
        <v>0</v>
      </c>
      <c r="AH1806" s="2136">
        <f>K1806-'Blocking-Step2'!K1806</f>
        <v>0</v>
      </c>
      <c r="AJ1806" s="2136">
        <f>M1806-'Blocking-Step2'!M1806</f>
        <v>0</v>
      </c>
      <c r="AL1806" s="2136" t="e">
        <f>O1806-'Blocking-Step2'!O1806</f>
        <v>#VALUE!</v>
      </c>
      <c r="AN1806" s="2137">
        <f>Q1806-'Blocking-Step2'!Q1806</f>
        <v>0</v>
      </c>
      <c r="AP1806" s="2127">
        <f>S1806-'Blocking-Step2'!S1806</f>
        <v>0</v>
      </c>
      <c r="AR1806" s="2127">
        <f>U1806-'Blocking-Step2'!U1806</f>
        <v>0</v>
      </c>
      <c r="AT1806" s="2127">
        <f>W1806-'Blocking-Step2'!W1806</f>
        <v>0</v>
      </c>
      <c r="AV1806" s="2128">
        <f>Y1806-'Blocking-Step2'!Y1806</f>
        <v>-9.8003455066645984E-2</v>
      </c>
    </row>
    <row r="1807" spans="1:48" ht="16.5" thickBot="1">
      <c r="A1807" s="1116" t="s">
        <v>93</v>
      </c>
      <c r="C1807" s="2089">
        <v>43738544.526070856</v>
      </c>
      <c r="D1807" s="2089">
        <v>26868874.204370789</v>
      </c>
      <c r="F1807" s="1979"/>
      <c r="G1807" s="1980"/>
      <c r="H1807" s="1651">
        <v>3032146.6356000002</v>
      </c>
      <c r="I1807" s="1651">
        <v>1896326.2864000001</v>
      </c>
      <c r="K1807" s="1979"/>
      <c r="L1807" s="1980"/>
      <c r="M1807" s="1979"/>
      <c r="N1807" s="1980"/>
      <c r="O1807" s="1979"/>
      <c r="P1807" s="1980"/>
      <c r="Q1807" s="1979"/>
      <c r="R1807" s="1980"/>
      <c r="S1807" s="1651">
        <v>954226.53553007531</v>
      </c>
      <c r="U1807" s="1651">
        <v>227350.82434029246</v>
      </c>
      <c r="W1807" s="1651">
        <v>221300.5183557909</v>
      </c>
      <c r="X1807" s="1650"/>
      <c r="Y1807" s="1868">
        <v>1402877.8782261587</v>
      </c>
      <c r="Z1807" s="2114">
        <f>C1807-'Blocking-Step2'!C1807</f>
        <v>0</v>
      </c>
      <c r="AA1807" s="2114">
        <f>D1807-'Blocking-Step2'!D1807</f>
        <v>0</v>
      </c>
      <c r="AC1807" s="2114">
        <f>F1807-'Blocking-Step2'!F1807</f>
        <v>0</v>
      </c>
      <c r="AE1807" s="2114">
        <f>H1807-'Blocking-Step2'!H1807</f>
        <v>0</v>
      </c>
      <c r="AF1807" s="2114">
        <f>I1807-'Blocking-Step2'!I1807</f>
        <v>0</v>
      </c>
      <c r="AH1807" s="2136">
        <f>K1807-'Blocking-Step2'!K1807</f>
        <v>0</v>
      </c>
      <c r="AJ1807" s="2136">
        <f>M1807-'Blocking-Step2'!M1807</f>
        <v>0</v>
      </c>
      <c r="AL1807" s="2136">
        <f>O1807-'Blocking-Step2'!O1807</f>
        <v>0</v>
      </c>
      <c r="AN1807" s="2137">
        <f>Q1807-'Blocking-Step2'!Q1807</f>
        <v>0</v>
      </c>
      <c r="AP1807" s="2127">
        <f>S1807-'Blocking-Step2'!S1807</f>
        <v>-75084.323217633762</v>
      </c>
      <c r="AR1807" s="2127">
        <f>U1807-'Blocking-Step2'!U1807</f>
        <v>75092.415732557973</v>
      </c>
      <c r="AT1807" s="2127">
        <f>W1807-'Blocking-Step2'!W1807</f>
        <v>1.51566694516805</v>
      </c>
      <c r="AV1807" s="2128">
        <f>Y1807-'Blocking-Step2'!Y1807</f>
        <v>9.6081818693783134</v>
      </c>
    </row>
    <row r="1808" spans="1:48" ht="16.5" thickTop="1">
      <c r="A1808" s="1116"/>
      <c r="C1808" s="1117"/>
      <c r="D1808" s="1117"/>
      <c r="F1808" s="1109"/>
      <c r="H1808" s="1114"/>
      <c r="I1808" s="1114"/>
      <c r="K1808" s="1109"/>
      <c r="M1808" s="1109"/>
      <c r="O1808" s="1109"/>
      <c r="Q1808" s="1109"/>
      <c r="Y1808" s="1114"/>
      <c r="Z1808" s="2114">
        <f>C1808-'Blocking-Step2'!C1808</f>
        <v>0</v>
      </c>
      <c r="AA1808" s="2114">
        <f>D1808-'Blocking-Step2'!D1808</f>
        <v>0</v>
      </c>
      <c r="AC1808" s="2114">
        <f>F1808-'Blocking-Step2'!F1808</f>
        <v>0</v>
      </c>
      <c r="AE1808" s="2114">
        <f>H1808-'Blocking-Step2'!H1808</f>
        <v>0</v>
      </c>
      <c r="AF1808" s="2114">
        <f>I1808-'Blocking-Step2'!I1808</f>
        <v>0</v>
      </c>
      <c r="AH1808" s="2136">
        <f>K1808-'Blocking-Step2'!K1808</f>
        <v>0</v>
      </c>
      <c r="AJ1808" s="2136">
        <f>M1808-'Blocking-Step2'!M1808</f>
        <v>0</v>
      </c>
      <c r="AL1808" s="2136">
        <f>O1808-'Blocking-Step2'!O1808</f>
        <v>0</v>
      </c>
      <c r="AN1808" s="2137">
        <f>Q1808-'Blocking-Step2'!Q1808</f>
        <v>0</v>
      </c>
      <c r="AP1808" s="2127">
        <f>S1808-'Blocking-Step2'!S1808</f>
        <v>0</v>
      </c>
      <c r="AR1808" s="2127">
        <f>U1808-'Blocking-Step2'!U1808</f>
        <v>0</v>
      </c>
      <c r="AT1808" s="2127">
        <f>W1808-'Blocking-Step2'!W1808</f>
        <v>0</v>
      </c>
      <c r="AV1808" s="2128">
        <f>Y1808-'Blocking-Step2'!Y1808</f>
        <v>0</v>
      </c>
    </row>
    <row r="1809" spans="1:48">
      <c r="A1809" s="2092" t="s">
        <v>917</v>
      </c>
      <c r="C1809" s="1105"/>
      <c r="D1809" s="1105"/>
      <c r="Z1809" s="2114">
        <f>C1809-'Blocking-Step2'!C1809</f>
        <v>0</v>
      </c>
      <c r="AA1809" s="2114">
        <f>D1809-'Blocking-Step2'!D1809</f>
        <v>0</v>
      </c>
      <c r="AC1809" s="2114">
        <f>F1809-'Blocking-Step2'!F1809</f>
        <v>0</v>
      </c>
      <c r="AE1809" s="2114">
        <f>H1809-'Blocking-Step2'!H1809</f>
        <v>0</v>
      </c>
      <c r="AF1809" s="2114">
        <f>I1809-'Blocking-Step2'!I1809</f>
        <v>0</v>
      </c>
      <c r="AH1809" s="2136">
        <f>K1809-'Blocking-Step2'!K1809</f>
        <v>0</v>
      </c>
      <c r="AJ1809" s="2136">
        <f>M1809-'Blocking-Step2'!M1809</f>
        <v>0</v>
      </c>
      <c r="AL1809" s="2136">
        <f>O1809-'Blocking-Step2'!O1809</f>
        <v>0</v>
      </c>
      <c r="AN1809" s="2137">
        <f>Q1809-'Blocking-Step2'!Q1809</f>
        <v>0</v>
      </c>
      <c r="AP1809" s="2127">
        <f>S1809-'Blocking-Step2'!S1809</f>
        <v>0</v>
      </c>
      <c r="AR1809" s="2127">
        <f>U1809-'Blocking-Step2'!U1809</f>
        <v>0</v>
      </c>
      <c r="AT1809" s="2127">
        <f>W1809-'Blocking-Step2'!W1809</f>
        <v>0</v>
      </c>
      <c r="AV1809" s="2128">
        <f>Y1809-'Blocking-Step2'!Y1809</f>
        <v>0</v>
      </c>
    </row>
    <row r="1810" spans="1:48">
      <c r="A1810" s="1116" t="s">
        <v>391</v>
      </c>
      <c r="C1810" s="1105">
        <v>20676.121453473177</v>
      </c>
      <c r="D1810" s="1105">
        <v>21139</v>
      </c>
      <c r="F1810" s="1907">
        <v>11</v>
      </c>
      <c r="G1810" s="1110"/>
      <c r="H1810" s="1146">
        <v>227437</v>
      </c>
      <c r="I1810" s="1146">
        <v>232529</v>
      </c>
      <c r="K1810" s="1142">
        <v>5.04</v>
      </c>
      <c r="L1810" s="617"/>
      <c r="M1810" s="1142">
        <v>2.96</v>
      </c>
      <c r="N1810" s="617"/>
      <c r="O1810" s="1142">
        <v>0</v>
      </c>
      <c r="P1810" s="1110"/>
      <c r="Q1810" s="1907">
        <v>8</v>
      </c>
      <c r="R1810" s="1110"/>
      <c r="S1810" s="1629">
        <v>106533.59066419485</v>
      </c>
      <c r="T1810" s="1629"/>
      <c r="U1810" s="1629">
        <v>62578.409335805147</v>
      </c>
      <c r="V1810" s="1629"/>
      <c r="W1810" s="1629">
        <v>0</v>
      </c>
      <c r="X1810" s="1629"/>
      <c r="Y1810" s="1146">
        <v>169112</v>
      </c>
      <c r="Z1810" s="2114">
        <f>C1810-'Blocking-Step2'!C1810</f>
        <v>0</v>
      </c>
      <c r="AA1810" s="2114">
        <f>D1810-'Blocking-Step2'!D1810</f>
        <v>0</v>
      </c>
      <c r="AC1810" s="2114">
        <f>F1810-'Blocking-Step2'!F1810</f>
        <v>0</v>
      </c>
      <c r="AE1810" s="2114">
        <f>H1810-'Blocking-Step2'!H1810</f>
        <v>0</v>
      </c>
      <c r="AF1810" s="2114">
        <f>I1810-'Blocking-Step2'!I1810</f>
        <v>0</v>
      </c>
      <c r="AH1810" s="2136">
        <f>K1810-'Blocking-Step2'!K1810</f>
        <v>-2.21</v>
      </c>
      <c r="AJ1810" s="2136">
        <f>M1810-'Blocking-Step2'!M1810</f>
        <v>2.21</v>
      </c>
      <c r="AL1810" s="2136">
        <f>O1810-'Blocking-Step2'!O1810</f>
        <v>0</v>
      </c>
      <c r="AN1810" s="2137">
        <f>Q1810-'Blocking-Step2'!Q1810</f>
        <v>0</v>
      </c>
      <c r="AP1810" s="2127">
        <f>S1810-'Blocking-Step2'!S1810</f>
        <v>-46808.094342576325</v>
      </c>
      <c r="AR1810" s="2127">
        <f>U1810-'Blocking-Step2'!U1810</f>
        <v>46808.094342576325</v>
      </c>
      <c r="AT1810" s="2127">
        <f>W1810-'Blocking-Step2'!W1810</f>
        <v>0</v>
      </c>
      <c r="AV1810" s="2128">
        <f>Y1810-'Blocking-Step2'!Y1810</f>
        <v>0</v>
      </c>
    </row>
    <row r="1811" spans="1:48">
      <c r="A1811" s="1116" t="s">
        <v>392</v>
      </c>
      <c r="C1811" s="1105">
        <v>637.03274499027054</v>
      </c>
      <c r="D1811" s="1105">
        <v>638</v>
      </c>
      <c r="F1811" s="1907">
        <v>72.5</v>
      </c>
      <c r="G1811" s="1110"/>
      <c r="H1811" s="1146">
        <v>46185</v>
      </c>
      <c r="I1811" s="1146">
        <v>46255</v>
      </c>
      <c r="K1811" s="1142">
        <v>0</v>
      </c>
      <c r="L1811" s="617"/>
      <c r="M1811" s="1142">
        <v>50.02</v>
      </c>
      <c r="N1811" s="617"/>
      <c r="O1811" s="1142">
        <v>0</v>
      </c>
      <c r="P1811" s="1110"/>
      <c r="Q1811" s="1907">
        <v>50.02</v>
      </c>
      <c r="R1811" s="1110"/>
      <c r="S1811" s="1629"/>
      <c r="T1811" s="1629"/>
      <c r="U1811" s="1629">
        <v>31913</v>
      </c>
      <c r="V1811" s="1629"/>
      <c r="W1811" s="1629">
        <v>0</v>
      </c>
      <c r="X1811" s="1629"/>
      <c r="Y1811" s="1146">
        <v>31913</v>
      </c>
      <c r="Z1811" s="2114">
        <f>C1811-'Blocking-Step2'!C1811</f>
        <v>0</v>
      </c>
      <c r="AA1811" s="2114">
        <f>D1811-'Blocking-Step2'!D1811</f>
        <v>0</v>
      </c>
      <c r="AC1811" s="2114">
        <f>F1811-'Blocking-Step2'!F1811</f>
        <v>0</v>
      </c>
      <c r="AE1811" s="2114">
        <f>H1811-'Blocking-Step2'!H1811</f>
        <v>0</v>
      </c>
      <c r="AF1811" s="2114">
        <f>I1811-'Blocking-Step2'!I1811</f>
        <v>0</v>
      </c>
      <c r="AH1811" s="2136">
        <f>K1811-'Blocking-Step2'!K1811</f>
        <v>-45.36</v>
      </c>
      <c r="AJ1811" s="2136">
        <f>M1811-'Blocking-Step2'!M1811</f>
        <v>45.36</v>
      </c>
      <c r="AL1811" s="2136">
        <f>O1811-'Blocking-Step2'!O1811</f>
        <v>0</v>
      </c>
      <c r="AN1811" s="2137">
        <f>Q1811-'Blocking-Step2'!Q1811</f>
        <v>0</v>
      </c>
      <c r="AP1811" s="2127">
        <f>S1811-'Blocking-Step2'!S1811</f>
        <v>-28936.995562828706</v>
      </c>
      <c r="AR1811" s="2127">
        <f>U1811-'Blocking-Step2'!U1811</f>
        <v>28936.995562828706</v>
      </c>
      <c r="AT1811" s="2127">
        <f>W1811-'Blocking-Step2'!W1811</f>
        <v>0</v>
      </c>
      <c r="AV1811" s="2128">
        <f>Y1811-'Blocking-Step2'!Y1811</f>
        <v>0</v>
      </c>
    </row>
    <row r="1812" spans="1:48">
      <c r="A1812" s="1116" t="s">
        <v>390</v>
      </c>
      <c r="C1812" s="1105">
        <v>0</v>
      </c>
      <c r="D1812" s="1105">
        <v>0</v>
      </c>
      <c r="F1812" s="1907">
        <v>127.5</v>
      </c>
      <c r="G1812" s="1110"/>
      <c r="H1812" s="1146">
        <v>0</v>
      </c>
      <c r="I1812" s="1146">
        <v>0</v>
      </c>
      <c r="K1812" s="1142">
        <v>0</v>
      </c>
      <c r="L1812" s="617"/>
      <c r="M1812" s="1142">
        <v>87.96</v>
      </c>
      <c r="N1812" s="617"/>
      <c r="O1812" s="1142">
        <v>0</v>
      </c>
      <c r="P1812" s="1110"/>
      <c r="Q1812" s="1907">
        <v>87.96</v>
      </c>
      <c r="R1812" s="1110"/>
      <c r="S1812" s="1629"/>
      <c r="T1812" s="1629"/>
      <c r="U1812" s="1629">
        <v>0</v>
      </c>
      <c r="V1812" s="1629"/>
      <c r="W1812" s="1629">
        <v>0</v>
      </c>
      <c r="X1812" s="1629"/>
      <c r="Y1812" s="1146">
        <v>0</v>
      </c>
      <c r="Z1812" s="2114">
        <f>C1812-'Blocking-Step2'!C1812</f>
        <v>0</v>
      </c>
      <c r="AA1812" s="2114">
        <f>D1812-'Blocking-Step2'!D1812</f>
        <v>0</v>
      </c>
      <c r="AC1812" s="2114">
        <f>F1812-'Blocking-Step2'!F1812</f>
        <v>0</v>
      </c>
      <c r="AE1812" s="2114">
        <f>H1812-'Blocking-Step2'!H1812</f>
        <v>0</v>
      </c>
      <c r="AF1812" s="2114">
        <f>I1812-'Blocking-Step2'!I1812</f>
        <v>0</v>
      </c>
      <c r="AH1812" s="2136">
        <f>K1812-'Blocking-Step2'!K1812</f>
        <v>-81.61</v>
      </c>
      <c r="AJ1812" s="2136">
        <f>M1812-'Blocking-Step2'!M1812</f>
        <v>79.55</v>
      </c>
      <c r="AL1812" s="2136">
        <f>O1812-'Blocking-Step2'!O1812</f>
        <v>0</v>
      </c>
      <c r="AN1812" s="2137">
        <f>Q1812-'Blocking-Step2'!Q1812</f>
        <v>-2.0600000000000165</v>
      </c>
      <c r="AP1812" s="2127">
        <f>S1812-'Blocking-Step2'!S1812</f>
        <v>0</v>
      </c>
      <c r="AR1812" s="2127">
        <f>U1812-'Blocking-Step2'!U1812</f>
        <v>0</v>
      </c>
      <c r="AT1812" s="2127">
        <f>W1812-'Blocking-Step2'!W1812</f>
        <v>0</v>
      </c>
      <c r="AV1812" s="2128">
        <f>Y1812-'Blocking-Step2'!Y1812</f>
        <v>0</v>
      </c>
    </row>
    <row r="1813" spans="1:48">
      <c r="A1813" s="1116" t="s">
        <v>393</v>
      </c>
      <c r="C1813" s="1105">
        <v>7631.8661290322598</v>
      </c>
      <c r="D1813" s="1105">
        <v>7644</v>
      </c>
      <c r="F1813" s="1907">
        <v>6.2</v>
      </c>
      <c r="G1813" s="1110"/>
      <c r="H1813" s="1146">
        <v>47318</v>
      </c>
      <c r="I1813" s="1146">
        <v>47393</v>
      </c>
      <c r="K1813" s="1142">
        <v>0</v>
      </c>
      <c r="L1813" s="617"/>
      <c r="M1813" s="1142">
        <v>4.28</v>
      </c>
      <c r="N1813" s="617"/>
      <c r="O1813" s="1142">
        <v>0</v>
      </c>
      <c r="P1813" s="617"/>
      <c r="Q1813" s="1907">
        <v>4.28</v>
      </c>
      <c r="R1813" s="1110"/>
      <c r="S1813" s="1629"/>
      <c r="T1813" s="1629"/>
      <c r="U1813" s="1629">
        <v>32716</v>
      </c>
      <c r="V1813" s="1629"/>
      <c r="W1813" s="1629">
        <v>0</v>
      </c>
      <c r="X1813" s="1629"/>
      <c r="Y1813" s="1146">
        <v>32716</v>
      </c>
      <c r="Z1813" s="2114">
        <f>C1813-'Blocking-Step2'!C1813</f>
        <v>0</v>
      </c>
      <c r="AA1813" s="2114">
        <f>D1813-'Blocking-Step2'!D1813</f>
        <v>0</v>
      </c>
      <c r="AC1813" s="2114">
        <f>F1813-'Blocking-Step2'!F1813</f>
        <v>0</v>
      </c>
      <c r="AE1813" s="2114">
        <f>H1813-'Blocking-Step2'!H1813</f>
        <v>0</v>
      </c>
      <c r="AF1813" s="2114">
        <f>I1813-'Blocking-Step2'!I1813</f>
        <v>0</v>
      </c>
      <c r="AH1813" s="2136">
        <f>K1813-'Blocking-Step2'!K1813</f>
        <v>-3.88</v>
      </c>
      <c r="AJ1813" s="2136">
        <f>M1813-'Blocking-Step2'!M1813</f>
        <v>3.8800000000000003</v>
      </c>
      <c r="AL1813" s="2136">
        <f>O1813-'Blocking-Step2'!O1813</f>
        <v>0</v>
      </c>
      <c r="AN1813" s="2137">
        <f>Q1813-'Blocking-Step2'!Q1813</f>
        <v>0</v>
      </c>
      <c r="AP1813" s="2127">
        <f>S1813-'Blocking-Step2'!S1813</f>
        <v>-29665.112864146398</v>
      </c>
      <c r="AR1813" s="2127">
        <f>U1813-'Blocking-Step2'!U1813</f>
        <v>29665.112864146398</v>
      </c>
      <c r="AT1813" s="2127">
        <f>W1813-'Blocking-Step2'!W1813</f>
        <v>0</v>
      </c>
      <c r="AV1813" s="2128">
        <f>Y1813-'Blocking-Step2'!Y1813</f>
        <v>0</v>
      </c>
    </row>
    <row r="1814" spans="1:48">
      <c r="A1814" s="1116" t="s">
        <v>360</v>
      </c>
      <c r="C1814" s="1105">
        <v>15565767</v>
      </c>
      <c r="D1814" s="1105">
        <v>15963151.062719233</v>
      </c>
      <c r="F1814" s="2086">
        <v>5.3437000000000001</v>
      </c>
      <c r="G1814" s="1921" t="s">
        <v>495</v>
      </c>
      <c r="H1814" s="1146">
        <v>831788</v>
      </c>
      <c r="I1814" s="1146">
        <v>853023</v>
      </c>
      <c r="K1814" s="1922"/>
      <c r="L1814" s="1921" t="s">
        <v>495</v>
      </c>
      <c r="M1814" s="1922">
        <v>1.4997</v>
      </c>
      <c r="N1814" s="1921" t="s">
        <v>495</v>
      </c>
      <c r="O1814" s="1922">
        <v>2.0289413928359998</v>
      </c>
      <c r="P1814" s="1921" t="s">
        <v>495</v>
      </c>
      <c r="Q1814" s="2087">
        <v>3.5286413928360001</v>
      </c>
      <c r="R1814" s="1921" t="s">
        <v>495</v>
      </c>
      <c r="S1814" s="1648"/>
      <c r="T1814" s="1648"/>
      <c r="U1814" s="1629">
        <v>239404.1807439237</v>
      </c>
      <c r="V1814" s="1648"/>
      <c r="W1814" s="1629">
        <v>323877.8192560763</v>
      </c>
      <c r="X1814" s="1648"/>
      <c r="Y1814" s="1146">
        <v>563282</v>
      </c>
      <c r="Z1814" s="2114">
        <f>C1814-'Blocking-Step2'!C1814</f>
        <v>0</v>
      </c>
      <c r="AA1814" s="2114">
        <f>D1814-'Blocking-Step2'!D1814</f>
        <v>0</v>
      </c>
      <c r="AC1814" s="2114">
        <f>F1814-'Blocking-Step2'!F1814</f>
        <v>0</v>
      </c>
      <c r="AE1814" s="2114">
        <f>H1814-'Blocking-Step2'!H1814</f>
        <v>0</v>
      </c>
      <c r="AF1814" s="2114">
        <f>I1814-'Blocking-Step2'!I1814</f>
        <v>0</v>
      </c>
      <c r="AH1814" s="2136">
        <f>K1814-'Blocking-Step2'!K1814</f>
        <v>0</v>
      </c>
      <c r="AJ1814" s="2136">
        <f>M1814-'Blocking-Step2'!M1814</f>
        <v>0</v>
      </c>
      <c r="AL1814" s="2136">
        <f>O1814-'Blocking-Step2'!O1814</f>
        <v>0</v>
      </c>
      <c r="AN1814" s="2137">
        <f>Q1814-'Blocking-Step2'!Q1814</f>
        <v>0</v>
      </c>
      <c r="AP1814" s="2127">
        <f>S1814-'Blocking-Step2'!S1814</f>
        <v>0</v>
      </c>
      <c r="AR1814" s="2127">
        <f>U1814-'Blocking-Step2'!U1814</f>
        <v>0</v>
      </c>
      <c r="AT1814" s="2127">
        <f>W1814-'Blocking-Step2'!W1814</f>
        <v>0</v>
      </c>
      <c r="AV1814" s="2128">
        <f>Y1814-'Blocking-Step2'!Y1814</f>
        <v>0</v>
      </c>
    </row>
    <row r="1815" spans="1:48">
      <c r="A1815" s="1116" t="s">
        <v>288</v>
      </c>
      <c r="C1815" s="1940">
        <v>45517</v>
      </c>
      <c r="D1815" s="1940">
        <v>0</v>
      </c>
      <c r="H1815" s="1147">
        <v>3753</v>
      </c>
      <c r="I1815" s="1147">
        <v>0</v>
      </c>
      <c r="Y1815" s="1147"/>
      <c r="Z1815" s="2114">
        <f>C1815-'Blocking-Step2'!C1815</f>
        <v>0</v>
      </c>
      <c r="AA1815" s="2114">
        <f>D1815-'Blocking-Step2'!D1815</f>
        <v>0</v>
      </c>
      <c r="AC1815" s="2114">
        <f>F1815-'Blocking-Step2'!F1815</f>
        <v>0</v>
      </c>
      <c r="AE1815" s="2114">
        <f>H1815-'Blocking-Step2'!H1815</f>
        <v>0</v>
      </c>
      <c r="AF1815" s="2114">
        <f>I1815-'Blocking-Step2'!I1815</f>
        <v>0</v>
      </c>
      <c r="AH1815" s="2136">
        <f>K1815-'Blocking-Step2'!K1815</f>
        <v>0</v>
      </c>
      <c r="AJ1815" s="2136">
        <f>M1815-'Blocking-Step2'!M1815</f>
        <v>0</v>
      </c>
      <c r="AL1815" s="2136">
        <f>O1815-'Blocking-Step2'!O1815</f>
        <v>0</v>
      </c>
      <c r="AN1815" s="2137">
        <f>Q1815-'Blocking-Step2'!Q1815</f>
        <v>0</v>
      </c>
      <c r="AP1815" s="2127">
        <f>S1815-'Blocking-Step2'!S1815</f>
        <v>0</v>
      </c>
      <c r="AR1815" s="2127">
        <f>U1815-'Blocking-Step2'!U1815</f>
        <v>0</v>
      </c>
      <c r="AT1815" s="2127">
        <f>W1815-'Blocking-Step2'!W1815</f>
        <v>0</v>
      </c>
      <c r="AV1815" s="2128">
        <f>Y1815-'Blocking-Step2'!Y1815</f>
        <v>0</v>
      </c>
    </row>
    <row r="1816" spans="1:48">
      <c r="A1816" s="1116" t="s">
        <v>1240</v>
      </c>
      <c r="C1816" s="1024"/>
      <c r="D1816" s="1024"/>
      <c r="F1816" s="2076">
        <v>-2.8000000000000001E-2</v>
      </c>
      <c r="G1816" s="617"/>
      <c r="H1816" s="1146">
        <v>-23290.064000000002</v>
      </c>
      <c r="I1816" s="1146">
        <v>-23884.644</v>
      </c>
      <c r="K1816" s="2076">
        <v>-2.8000000000000001E-2</v>
      </c>
      <c r="L1816" s="617"/>
      <c r="M1816" s="2076">
        <v>-2.8000000000000001E-2</v>
      </c>
      <c r="N1816" s="617"/>
      <c r="O1816" s="2077" t="s">
        <v>2323</v>
      </c>
      <c r="P1816" s="617"/>
      <c r="Q1816" s="2076">
        <v>-2.7300000000000001E-2</v>
      </c>
      <c r="R1816" s="617"/>
      <c r="S1816" s="1114"/>
      <c r="T1816" s="1114"/>
      <c r="U1816" s="1114"/>
      <c r="V1816" s="1114"/>
      <c r="W1816" s="1114"/>
      <c r="X1816" s="1114"/>
      <c r="Y1816" s="1146">
        <v>-15377.598600000001</v>
      </c>
      <c r="Z1816" s="2114">
        <f>C1816-'Blocking-Step2'!C1816</f>
        <v>0</v>
      </c>
      <c r="AA1816" s="2114">
        <f>D1816-'Blocking-Step2'!D1816</f>
        <v>0</v>
      </c>
      <c r="AC1816" s="2114">
        <f>F1816-'Blocking-Step2'!F1816</f>
        <v>0</v>
      </c>
      <c r="AE1816" s="2114">
        <f>H1816-'Blocking-Step2'!H1816</f>
        <v>0</v>
      </c>
      <c r="AF1816" s="2114">
        <f>I1816-'Blocking-Step2'!I1816</f>
        <v>0</v>
      </c>
      <c r="AH1816" s="2136">
        <f>K1816-'Blocking-Step2'!K1816</f>
        <v>0</v>
      </c>
      <c r="AJ1816" s="2136">
        <f>M1816-'Blocking-Step2'!M1816</f>
        <v>0</v>
      </c>
      <c r="AL1816" s="2136" t="e">
        <f>O1816-'Blocking-Step2'!O1816</f>
        <v>#VALUE!</v>
      </c>
      <c r="AN1816" s="2137">
        <f>Q1816-'Blocking-Step2'!Q1816</f>
        <v>0</v>
      </c>
      <c r="AP1816" s="2127">
        <f>S1816-'Blocking-Step2'!S1816</f>
        <v>0</v>
      </c>
      <c r="AR1816" s="2127">
        <f>U1816-'Blocking-Step2'!U1816</f>
        <v>0</v>
      </c>
      <c r="AT1816" s="2127">
        <f>W1816-'Blocking-Step2'!W1816</f>
        <v>0</v>
      </c>
      <c r="AV1816" s="2128">
        <f>Y1816-'Blocking-Step2'!Y1816</f>
        <v>0</v>
      </c>
    </row>
    <row r="1817" spans="1:48">
      <c r="A1817" s="1116"/>
      <c r="C1817" s="1024"/>
      <c r="D1817" s="1024"/>
      <c r="F1817" s="2076"/>
      <c r="G1817" s="617"/>
      <c r="H1817" s="1146"/>
      <c r="I1817" s="1146"/>
      <c r="K1817" s="2076"/>
      <c r="L1817" s="617"/>
      <c r="M1817" s="2076"/>
      <c r="N1817" s="617"/>
      <c r="O1817" s="2077" t="s">
        <v>2324</v>
      </c>
      <c r="P1817" s="617"/>
      <c r="Q1817" s="2076">
        <v>-1.4800000000000001E-2</v>
      </c>
      <c r="R1817" s="617"/>
      <c r="S1817" s="1114"/>
      <c r="T1817" s="1114"/>
      <c r="U1817" s="1114"/>
      <c r="V1817" s="1114"/>
      <c r="W1817" s="1114"/>
      <c r="X1817" s="1114"/>
      <c r="Y1817" s="1146">
        <v>-8336.5735999999997</v>
      </c>
      <c r="Z1817" s="2114">
        <f>C1817-'Blocking-Step2'!C1817</f>
        <v>0</v>
      </c>
      <c r="AA1817" s="2114">
        <f>D1817-'Blocking-Step2'!D1817</f>
        <v>0</v>
      </c>
      <c r="AC1817" s="2114">
        <f>F1817-'Blocking-Step2'!F1817</f>
        <v>0</v>
      </c>
      <c r="AE1817" s="2114">
        <f>H1817-'Blocking-Step2'!H1817</f>
        <v>0</v>
      </c>
      <c r="AF1817" s="2114">
        <f>I1817-'Blocking-Step2'!I1817</f>
        <v>0</v>
      </c>
      <c r="AH1817" s="2136">
        <f>K1817-'Blocking-Step2'!K1817</f>
        <v>0</v>
      </c>
      <c r="AJ1817" s="2136">
        <f>M1817-'Blocking-Step2'!M1817</f>
        <v>0</v>
      </c>
      <c r="AL1817" s="2136" t="e">
        <f>O1817-'Blocking-Step2'!O1817</f>
        <v>#VALUE!</v>
      </c>
      <c r="AN1817" s="2137">
        <f>Q1817-'Blocking-Step2'!Q1817</f>
        <v>0</v>
      </c>
      <c r="AP1817" s="2127">
        <f>S1817-'Blocking-Step2'!S1817</f>
        <v>0</v>
      </c>
      <c r="AR1817" s="2127">
        <f>U1817-'Blocking-Step2'!U1817</f>
        <v>0</v>
      </c>
      <c r="AT1817" s="2127">
        <f>W1817-'Blocking-Step2'!W1817</f>
        <v>0</v>
      </c>
      <c r="AV1817" s="2128">
        <f>Y1817-'Blocking-Step2'!Y1817</f>
        <v>0</v>
      </c>
    </row>
    <row r="1818" spans="1:48" ht="16.5" thickBot="1">
      <c r="A1818" s="1104" t="s">
        <v>93</v>
      </c>
      <c r="C1818" s="1138">
        <v>15611284</v>
      </c>
      <c r="D1818" s="1138">
        <v>15963151.062719233</v>
      </c>
      <c r="F1818" s="1145"/>
      <c r="H1818" s="1149">
        <v>1133190.936</v>
      </c>
      <c r="I1818" s="1149">
        <v>1155315.3559999999</v>
      </c>
      <c r="K1818" s="1145"/>
      <c r="M1818" s="1145"/>
      <c r="O1818" s="1145"/>
      <c r="Q1818" s="1145"/>
      <c r="S1818" s="1154">
        <v>106533.59066419485</v>
      </c>
      <c r="T1818" s="1154"/>
      <c r="U1818" s="1154">
        <v>366611.59007972886</v>
      </c>
      <c r="V1818" s="1154"/>
      <c r="W1818" s="1154">
        <v>323877.81925607624</v>
      </c>
      <c r="Y1818" s="1149">
        <v>797023</v>
      </c>
      <c r="Z1818" s="2114">
        <f>C1818-'Blocking-Step2'!C1818</f>
        <v>0</v>
      </c>
      <c r="AA1818" s="2114">
        <f>D1818-'Blocking-Step2'!D1818</f>
        <v>0</v>
      </c>
      <c r="AC1818" s="2114">
        <f>F1818-'Blocking-Step2'!F1818</f>
        <v>0</v>
      </c>
      <c r="AE1818" s="2114">
        <f>H1818-'Blocking-Step2'!H1818</f>
        <v>0</v>
      </c>
      <c r="AF1818" s="2114">
        <f>I1818-'Blocking-Step2'!I1818</f>
        <v>0</v>
      </c>
      <c r="AH1818" s="2136">
        <f>K1818-'Blocking-Step2'!K1818</f>
        <v>0</v>
      </c>
      <c r="AJ1818" s="2136">
        <f>M1818-'Blocking-Step2'!M1818</f>
        <v>0</v>
      </c>
      <c r="AL1818" s="2136">
        <f>O1818-'Blocking-Step2'!O1818</f>
        <v>0</v>
      </c>
      <c r="AN1818" s="2137">
        <f>Q1818-'Blocking-Step2'!Q1818</f>
        <v>0</v>
      </c>
      <c r="AP1818" s="2127">
        <f>S1818-'Blocking-Step2'!S1818</f>
        <v>-105410.20276955141</v>
      </c>
      <c r="AR1818" s="2127">
        <f>U1818-'Blocking-Step2'!U1818</f>
        <v>105410.20276955146</v>
      </c>
      <c r="AT1818" s="2127">
        <f>W1818-'Blocking-Step2'!W1818</f>
        <v>0</v>
      </c>
      <c r="AV1818" s="2128">
        <f>Y1818-'Blocking-Step2'!Y1818</f>
        <v>0</v>
      </c>
    </row>
    <row r="1819" spans="1:48" ht="16.5" hidden="1" thickTop="1">
      <c r="A1819" s="1116"/>
      <c r="C1819" s="1117"/>
      <c r="D1819" s="1117"/>
      <c r="F1819" s="1109"/>
      <c r="H1819" s="1114"/>
      <c r="I1819" s="1114"/>
      <c r="K1819" s="1109"/>
      <c r="M1819" s="1109"/>
      <c r="O1819" s="1109"/>
      <c r="Q1819" s="1109"/>
      <c r="Y1819" s="1114"/>
      <c r="Z1819" s="2114">
        <f>C1819-'Blocking-Step2'!C1819</f>
        <v>0</v>
      </c>
      <c r="AA1819" s="2114">
        <f>D1819-'Blocking-Step2'!D1819</f>
        <v>0</v>
      </c>
      <c r="AC1819" s="2114">
        <f>F1819-'Blocking-Step2'!F1819</f>
        <v>0</v>
      </c>
      <c r="AE1819" s="2114">
        <f>H1819-'Blocking-Step2'!H1819</f>
        <v>0</v>
      </c>
      <c r="AF1819" s="2114">
        <f>I1819-'Blocking-Step2'!I1819</f>
        <v>0</v>
      </c>
      <c r="AH1819" s="2136">
        <f>K1819-'Blocking-Step2'!K1819</f>
        <v>0</v>
      </c>
      <c r="AJ1819" s="2136">
        <f>M1819-'Blocking-Step2'!M1819</f>
        <v>0</v>
      </c>
      <c r="AL1819" s="2136">
        <f>O1819-'Blocking-Step2'!O1819</f>
        <v>0</v>
      </c>
      <c r="AN1819" s="2137">
        <f>Q1819-'Blocking-Step2'!Q1819</f>
        <v>0</v>
      </c>
      <c r="AP1819" s="2127">
        <f>S1819-'Blocking-Step2'!S1819</f>
        <v>0</v>
      </c>
      <c r="AR1819" s="2127">
        <f>U1819-'Blocking-Step2'!U1819</f>
        <v>0</v>
      </c>
      <c r="AT1819" s="2127">
        <f>W1819-'Blocking-Step2'!W1819</f>
        <v>0</v>
      </c>
      <c r="AV1819" s="2128">
        <f>Y1819-'Blocking-Step2'!Y1819</f>
        <v>0</v>
      </c>
    </row>
    <row r="1820" spans="1:48" ht="16.5" hidden="1" thickTop="1">
      <c r="A1820" s="2092" t="s">
        <v>918</v>
      </c>
      <c r="C1820" s="1105"/>
      <c r="D1820" s="1105"/>
      <c r="Z1820" s="2114">
        <f>C1820-'Blocking-Step2'!C1820</f>
        <v>0</v>
      </c>
      <c r="AA1820" s="2114">
        <f>D1820-'Blocking-Step2'!D1820</f>
        <v>0</v>
      </c>
      <c r="AC1820" s="2114">
        <f>F1820-'Blocking-Step2'!F1820</f>
        <v>0</v>
      </c>
      <c r="AE1820" s="2114">
        <f>H1820-'Blocking-Step2'!H1820</f>
        <v>0</v>
      </c>
      <c r="AF1820" s="2114">
        <f>I1820-'Blocking-Step2'!I1820</f>
        <v>0</v>
      </c>
      <c r="AH1820" s="2136">
        <f>K1820-'Blocking-Step2'!K1820</f>
        <v>0</v>
      </c>
      <c r="AJ1820" s="2136">
        <f>M1820-'Blocking-Step2'!M1820</f>
        <v>0</v>
      </c>
      <c r="AL1820" s="2136">
        <f>O1820-'Blocking-Step2'!O1820</f>
        <v>0</v>
      </c>
      <c r="AN1820" s="2137">
        <f>Q1820-'Blocking-Step2'!Q1820</f>
        <v>0</v>
      </c>
      <c r="AP1820" s="2127">
        <f>S1820-'Blocking-Step2'!S1820</f>
        <v>0</v>
      </c>
      <c r="AR1820" s="2127">
        <f>U1820-'Blocking-Step2'!U1820</f>
        <v>0</v>
      </c>
      <c r="AT1820" s="2127">
        <f>W1820-'Blocking-Step2'!W1820</f>
        <v>0</v>
      </c>
      <c r="AV1820" s="2128">
        <f>Y1820-'Blocking-Step2'!Y1820</f>
        <v>0</v>
      </c>
    </row>
    <row r="1821" spans="1:48" ht="16.5" hidden="1" thickTop="1">
      <c r="A1821" s="1116" t="s">
        <v>391</v>
      </c>
      <c r="C1821" s="1105">
        <v>19597.669688767299</v>
      </c>
      <c r="D1821" s="1105">
        <v>19971</v>
      </c>
      <c r="F1821" s="1907">
        <v>11</v>
      </c>
      <c r="G1821" s="1110"/>
      <c r="H1821" s="1146">
        <v>215574</v>
      </c>
      <c r="I1821" s="1146">
        <v>219681</v>
      </c>
      <c r="K1821" s="1907">
        <v>5.04</v>
      </c>
      <c r="L1821" s="1110"/>
      <c r="M1821" s="1907">
        <v>2.96</v>
      </c>
      <c r="N1821" s="1110"/>
      <c r="O1821" s="1907">
        <v>0</v>
      </c>
      <c r="P1821" s="1110"/>
      <c r="Q1821" s="1907">
        <v>8</v>
      </c>
      <c r="R1821" s="1110"/>
      <c r="S1821" s="1146">
        <v>100654</v>
      </c>
      <c r="T1821" s="1114"/>
      <c r="U1821" s="1146">
        <v>59114</v>
      </c>
      <c r="V1821" s="1114"/>
      <c r="W1821" s="1146">
        <v>0</v>
      </c>
      <c r="X1821" s="1629"/>
      <c r="Y1821" s="1146">
        <v>159768</v>
      </c>
      <c r="Z1821" s="2114">
        <f>C1821-'Blocking-Step2'!C1821</f>
        <v>0</v>
      </c>
      <c r="AA1821" s="2114">
        <f>D1821-'Blocking-Step2'!D1821</f>
        <v>0</v>
      </c>
      <c r="AC1821" s="2114">
        <f>F1821-'Blocking-Step2'!F1821</f>
        <v>0</v>
      </c>
      <c r="AE1821" s="2114">
        <f>H1821-'Blocking-Step2'!H1821</f>
        <v>0</v>
      </c>
      <c r="AF1821" s="2114">
        <f>I1821-'Blocking-Step2'!I1821</f>
        <v>0</v>
      </c>
      <c r="AH1821" s="2136">
        <f>K1821-'Blocking-Step2'!K1821</f>
        <v>-2.21</v>
      </c>
      <c r="AJ1821" s="2136">
        <f>M1821-'Blocking-Step2'!M1821</f>
        <v>2.21</v>
      </c>
      <c r="AL1821" s="2136">
        <f>O1821-'Blocking-Step2'!O1821</f>
        <v>0</v>
      </c>
      <c r="AN1821" s="2137">
        <f>Q1821-'Blocking-Step2'!Q1821</f>
        <v>0</v>
      </c>
      <c r="AP1821" s="2127">
        <f>S1821-'Blocking-Step2'!S1821</f>
        <v>-44136</v>
      </c>
      <c r="AR1821" s="2127">
        <f>U1821-'Blocking-Step2'!U1821</f>
        <v>44136</v>
      </c>
      <c r="AT1821" s="2127">
        <f>W1821-'Blocking-Step2'!W1821</f>
        <v>0</v>
      </c>
      <c r="AV1821" s="2128">
        <f>Y1821-'Blocking-Step2'!Y1821</f>
        <v>0</v>
      </c>
    </row>
    <row r="1822" spans="1:48" ht="16.5" hidden="1" thickTop="1">
      <c r="A1822" s="1116" t="s">
        <v>392</v>
      </c>
      <c r="C1822" s="1105">
        <v>537.54239204909402</v>
      </c>
      <c r="D1822" s="1105">
        <v>538</v>
      </c>
      <c r="F1822" s="1907">
        <v>72.5</v>
      </c>
      <c r="G1822" s="1110"/>
      <c r="H1822" s="1146">
        <v>38972</v>
      </c>
      <c r="I1822" s="1146">
        <v>39005</v>
      </c>
      <c r="K1822" s="1907">
        <v>0</v>
      </c>
      <c r="L1822" s="1110"/>
      <c r="M1822" s="1907">
        <v>50.02</v>
      </c>
      <c r="N1822" s="1110"/>
      <c r="O1822" s="1907">
        <v>0</v>
      </c>
      <c r="P1822" s="1110"/>
      <c r="Q1822" s="1907">
        <v>50.02</v>
      </c>
      <c r="R1822" s="1110"/>
      <c r="S1822" s="1146">
        <v>0</v>
      </c>
      <c r="T1822" s="1114"/>
      <c r="U1822" s="1146">
        <v>26911</v>
      </c>
      <c r="V1822" s="1114"/>
      <c r="W1822" s="1146">
        <v>0</v>
      </c>
      <c r="X1822" s="1629"/>
      <c r="Y1822" s="1146">
        <v>26911</v>
      </c>
      <c r="Z1822" s="2114">
        <f>C1822-'Blocking-Step2'!C1822</f>
        <v>0</v>
      </c>
      <c r="AA1822" s="2114">
        <f>D1822-'Blocking-Step2'!D1822</f>
        <v>0</v>
      </c>
      <c r="AC1822" s="2114">
        <f>F1822-'Blocking-Step2'!F1822</f>
        <v>0</v>
      </c>
      <c r="AE1822" s="2114">
        <f>H1822-'Blocking-Step2'!H1822</f>
        <v>0</v>
      </c>
      <c r="AF1822" s="2114">
        <f>I1822-'Blocking-Step2'!I1822</f>
        <v>0</v>
      </c>
      <c r="AH1822" s="2136">
        <f>K1822-'Blocking-Step2'!K1822</f>
        <v>-45.36</v>
      </c>
      <c r="AJ1822" s="2136">
        <f>M1822-'Blocking-Step2'!M1822</f>
        <v>45.36</v>
      </c>
      <c r="AL1822" s="2136">
        <f>O1822-'Blocking-Step2'!O1822</f>
        <v>0</v>
      </c>
      <c r="AN1822" s="2137">
        <f>Q1822-'Blocking-Step2'!Q1822</f>
        <v>0</v>
      </c>
      <c r="AP1822" s="2127">
        <f>S1822-'Blocking-Step2'!S1822</f>
        <v>-24404</v>
      </c>
      <c r="AR1822" s="2127">
        <f>U1822-'Blocking-Step2'!U1822</f>
        <v>24404</v>
      </c>
      <c r="AT1822" s="2127">
        <f>W1822-'Blocking-Step2'!W1822</f>
        <v>0</v>
      </c>
      <c r="AV1822" s="2128">
        <f>Y1822-'Blocking-Step2'!Y1822</f>
        <v>0</v>
      </c>
    </row>
    <row r="1823" spans="1:48" ht="16.5" hidden="1" thickTop="1">
      <c r="A1823" s="1116" t="s">
        <v>390</v>
      </c>
      <c r="C1823" s="1105">
        <v>0</v>
      </c>
      <c r="D1823" s="1105">
        <v>0</v>
      </c>
      <c r="F1823" s="1907">
        <v>127.5</v>
      </c>
      <c r="G1823" s="1110"/>
      <c r="H1823" s="1146">
        <v>0</v>
      </c>
      <c r="I1823" s="1146">
        <v>0</v>
      </c>
      <c r="K1823" s="1907">
        <v>0</v>
      </c>
      <c r="L1823" s="1110"/>
      <c r="M1823" s="1907">
        <v>87.96</v>
      </c>
      <c r="N1823" s="1110"/>
      <c r="O1823" s="1907">
        <v>0</v>
      </c>
      <c r="P1823" s="1110"/>
      <c r="Q1823" s="1907">
        <v>87.96</v>
      </c>
      <c r="R1823" s="1110"/>
      <c r="S1823" s="1146">
        <v>0</v>
      </c>
      <c r="T1823" s="1114"/>
      <c r="U1823" s="1146">
        <v>0</v>
      </c>
      <c r="V1823" s="1114"/>
      <c r="W1823" s="1146">
        <v>0</v>
      </c>
      <c r="X1823" s="1629"/>
      <c r="Y1823" s="1146">
        <v>0</v>
      </c>
      <c r="Z1823" s="2114">
        <f>C1823-'Blocking-Step2'!C1823</f>
        <v>0</v>
      </c>
      <c r="AA1823" s="2114">
        <f>D1823-'Blocking-Step2'!D1823</f>
        <v>0</v>
      </c>
      <c r="AC1823" s="2114">
        <f>F1823-'Blocking-Step2'!F1823</f>
        <v>0</v>
      </c>
      <c r="AE1823" s="2114">
        <f>H1823-'Blocking-Step2'!H1823</f>
        <v>0</v>
      </c>
      <c r="AF1823" s="2114">
        <f>I1823-'Blocking-Step2'!I1823</f>
        <v>0</v>
      </c>
      <c r="AH1823" s="2136">
        <f>K1823-'Blocking-Step2'!K1823</f>
        <v>-81.61</v>
      </c>
      <c r="AJ1823" s="2136">
        <f>M1823-'Blocking-Step2'!M1823</f>
        <v>79.55</v>
      </c>
      <c r="AL1823" s="2136">
        <f>O1823-'Blocking-Step2'!O1823</f>
        <v>0</v>
      </c>
      <c r="AN1823" s="2137">
        <f>Q1823-'Blocking-Step2'!Q1823</f>
        <v>-2.0600000000000165</v>
      </c>
      <c r="AP1823" s="2127">
        <f>S1823-'Blocking-Step2'!S1823</f>
        <v>0</v>
      </c>
      <c r="AR1823" s="2127">
        <f>U1823-'Blocking-Step2'!U1823</f>
        <v>0</v>
      </c>
      <c r="AT1823" s="2127">
        <f>W1823-'Blocking-Step2'!W1823</f>
        <v>0</v>
      </c>
      <c r="AV1823" s="2128">
        <f>Y1823-'Blocking-Step2'!Y1823</f>
        <v>0</v>
      </c>
    </row>
    <row r="1824" spans="1:48" ht="16.5" hidden="1" thickTop="1">
      <c r="A1824" s="1116" t="s">
        <v>393</v>
      </c>
      <c r="C1824" s="1105">
        <v>6440.3306451612898</v>
      </c>
      <c r="D1824" s="1105">
        <v>6444</v>
      </c>
      <c r="F1824" s="1907">
        <v>6.2</v>
      </c>
      <c r="G1824" s="1110"/>
      <c r="H1824" s="1146">
        <v>39930</v>
      </c>
      <c r="I1824" s="1146">
        <v>39953</v>
      </c>
      <c r="K1824" s="1907">
        <v>0</v>
      </c>
      <c r="L1824" s="1110"/>
      <c r="M1824" s="1907">
        <v>4.28</v>
      </c>
      <c r="N1824" s="1110"/>
      <c r="O1824" s="1907">
        <v>0</v>
      </c>
      <c r="P1824" s="1110"/>
      <c r="Q1824" s="1907">
        <v>4.28</v>
      </c>
      <c r="R1824" s="1110"/>
      <c r="S1824" s="1146">
        <v>0</v>
      </c>
      <c r="T1824" s="1114"/>
      <c r="U1824" s="1146">
        <v>27580</v>
      </c>
      <c r="V1824" s="1114"/>
      <c r="W1824" s="1146">
        <v>0</v>
      </c>
      <c r="X1824" s="1629"/>
      <c r="Y1824" s="1146">
        <v>27580</v>
      </c>
      <c r="Z1824" s="2114">
        <f>C1824-'Blocking-Step2'!C1824</f>
        <v>0</v>
      </c>
      <c r="AA1824" s="2114">
        <f>D1824-'Blocking-Step2'!D1824</f>
        <v>0</v>
      </c>
      <c r="AC1824" s="2114">
        <f>F1824-'Blocking-Step2'!F1824</f>
        <v>0</v>
      </c>
      <c r="AE1824" s="2114">
        <f>H1824-'Blocking-Step2'!H1824</f>
        <v>0</v>
      </c>
      <c r="AF1824" s="2114">
        <f>I1824-'Blocking-Step2'!I1824</f>
        <v>0</v>
      </c>
      <c r="AH1824" s="2136">
        <f>K1824-'Blocking-Step2'!K1824</f>
        <v>-3.88</v>
      </c>
      <c r="AJ1824" s="2136">
        <f>M1824-'Blocking-Step2'!M1824</f>
        <v>3.8800000000000003</v>
      </c>
      <c r="AL1824" s="2136">
        <f>O1824-'Blocking-Step2'!O1824</f>
        <v>0</v>
      </c>
      <c r="AN1824" s="2137">
        <f>Q1824-'Blocking-Step2'!Q1824</f>
        <v>0</v>
      </c>
      <c r="AP1824" s="2127">
        <f>S1824-'Blocking-Step2'!S1824</f>
        <v>-25003</v>
      </c>
      <c r="AR1824" s="2127">
        <f>U1824-'Blocking-Step2'!U1824</f>
        <v>25002</v>
      </c>
      <c r="AT1824" s="2127">
        <f>W1824-'Blocking-Step2'!W1824</f>
        <v>0</v>
      </c>
      <c r="AV1824" s="2128">
        <f>Y1824-'Blocking-Step2'!Y1824</f>
        <v>0</v>
      </c>
    </row>
    <row r="1825" spans="1:48" ht="16.5" hidden="1" thickTop="1">
      <c r="A1825" s="1116" t="s">
        <v>360</v>
      </c>
      <c r="C1825" s="1105">
        <v>14684579</v>
      </c>
      <c r="D1825" s="1105">
        <v>15043463.667792927</v>
      </c>
      <c r="F1825" s="2086">
        <v>5.3437000000000001</v>
      </c>
      <c r="G1825" s="1921" t="s">
        <v>495</v>
      </c>
      <c r="H1825" s="1146">
        <v>784700</v>
      </c>
      <c r="I1825" s="1146">
        <v>803878</v>
      </c>
      <c r="K1825" s="2086">
        <v>0</v>
      </c>
      <c r="L1825" s="1921" t="s">
        <v>495</v>
      </c>
      <c r="M1825" s="2086">
        <v>1.4997</v>
      </c>
      <c r="N1825" s="1921" t="s">
        <v>495</v>
      </c>
      <c r="O1825" s="2087">
        <v>2.0289413928359998</v>
      </c>
      <c r="P1825" s="2020" t="s">
        <v>495</v>
      </c>
      <c r="Q1825" s="2087">
        <v>3.5286413928360001</v>
      </c>
      <c r="R1825" s="1921" t="s">
        <v>495</v>
      </c>
      <c r="S1825" s="1146">
        <v>0</v>
      </c>
      <c r="T1825" s="1648"/>
      <c r="U1825" s="1146">
        <v>225607</v>
      </c>
      <c r="V1825" s="1648"/>
      <c r="W1825" s="1146">
        <v>305223</v>
      </c>
      <c r="X1825" s="1648"/>
      <c r="Y1825" s="1146">
        <v>530830</v>
      </c>
      <c r="Z1825" s="2114">
        <f>C1825-'Blocking-Step2'!C1825</f>
        <v>0</v>
      </c>
      <c r="AA1825" s="2114">
        <f>D1825-'Blocking-Step2'!D1825</f>
        <v>0</v>
      </c>
      <c r="AC1825" s="2114">
        <f>F1825-'Blocking-Step2'!F1825</f>
        <v>0</v>
      </c>
      <c r="AE1825" s="2114">
        <f>H1825-'Blocking-Step2'!H1825</f>
        <v>0</v>
      </c>
      <c r="AF1825" s="2114">
        <f>I1825-'Blocking-Step2'!I1825</f>
        <v>0</v>
      </c>
      <c r="AH1825" s="2136">
        <f>K1825-'Blocking-Step2'!K1825</f>
        <v>0</v>
      </c>
      <c r="AJ1825" s="2136">
        <f>M1825-'Blocking-Step2'!M1825</f>
        <v>0</v>
      </c>
      <c r="AL1825" s="2136">
        <f>O1825-'Blocking-Step2'!O1825</f>
        <v>0</v>
      </c>
      <c r="AN1825" s="2137">
        <f>Q1825-'Blocking-Step2'!Q1825</f>
        <v>0</v>
      </c>
      <c r="AP1825" s="2127">
        <f>S1825-'Blocking-Step2'!S1825</f>
        <v>0</v>
      </c>
      <c r="AR1825" s="2127">
        <f>U1825-'Blocking-Step2'!U1825</f>
        <v>0</v>
      </c>
      <c r="AT1825" s="2127">
        <f>W1825-'Blocking-Step2'!W1825</f>
        <v>0</v>
      </c>
      <c r="AV1825" s="2128">
        <f>Y1825-'Blocking-Step2'!Y1825</f>
        <v>0</v>
      </c>
    </row>
    <row r="1826" spans="1:48" ht="16.5" hidden="1" thickTop="1">
      <c r="A1826" s="1116" t="s">
        <v>288</v>
      </c>
      <c r="C1826" s="1940">
        <v>77906</v>
      </c>
      <c r="D1826" s="1940">
        <v>0</v>
      </c>
      <c r="H1826" s="1147">
        <v>6244</v>
      </c>
      <c r="I1826" s="1147">
        <v>0</v>
      </c>
      <c r="Y1826" s="1147"/>
      <c r="Z1826" s="2114">
        <f>C1826-'Blocking-Step2'!C1826</f>
        <v>0</v>
      </c>
      <c r="AA1826" s="2114">
        <f>D1826-'Blocking-Step2'!D1826</f>
        <v>0</v>
      </c>
      <c r="AC1826" s="2114">
        <f>F1826-'Blocking-Step2'!F1826</f>
        <v>0</v>
      </c>
      <c r="AE1826" s="2114">
        <f>H1826-'Blocking-Step2'!H1826</f>
        <v>0</v>
      </c>
      <c r="AF1826" s="2114">
        <f>I1826-'Blocking-Step2'!I1826</f>
        <v>0</v>
      </c>
      <c r="AH1826" s="2136">
        <f>K1826-'Blocking-Step2'!K1826</f>
        <v>0</v>
      </c>
      <c r="AJ1826" s="2136">
        <f>M1826-'Blocking-Step2'!M1826</f>
        <v>0</v>
      </c>
      <c r="AL1826" s="2136">
        <f>O1826-'Blocking-Step2'!O1826</f>
        <v>0</v>
      </c>
      <c r="AN1826" s="2137">
        <f>Q1826-'Blocking-Step2'!Q1826</f>
        <v>0</v>
      </c>
      <c r="AP1826" s="2127">
        <f>S1826-'Blocking-Step2'!S1826</f>
        <v>0</v>
      </c>
      <c r="AR1826" s="2127">
        <f>U1826-'Blocking-Step2'!U1826</f>
        <v>0</v>
      </c>
      <c r="AT1826" s="2127">
        <f>W1826-'Blocking-Step2'!W1826</f>
        <v>0</v>
      </c>
      <c r="AV1826" s="2128">
        <f>Y1826-'Blocking-Step2'!Y1826</f>
        <v>0</v>
      </c>
    </row>
    <row r="1827" spans="1:48" ht="16.5" hidden="1" thickTop="1">
      <c r="A1827" s="1116" t="s">
        <v>1240</v>
      </c>
      <c r="C1827" s="1024"/>
      <c r="D1827" s="1024"/>
      <c r="F1827" s="2076">
        <v>-2.8000000000000001E-2</v>
      </c>
      <c r="G1827" s="617"/>
      <c r="H1827" s="1146">
        <v>-21971.600000000002</v>
      </c>
      <c r="I1827" s="1146">
        <v>-22508.583999999999</v>
      </c>
      <c r="K1827" s="2076"/>
      <c r="L1827" s="617"/>
      <c r="M1827" s="2076"/>
      <c r="N1827" s="617"/>
      <c r="O1827" s="2077" t="s">
        <v>2323</v>
      </c>
      <c r="P1827" s="617"/>
      <c r="Q1827" s="2076">
        <v>-2.7300000000000001E-2</v>
      </c>
      <c r="R1827" s="617"/>
      <c r="S1827" s="1114"/>
      <c r="T1827" s="1114"/>
      <c r="U1827" s="1114"/>
      <c r="V1827" s="1114"/>
      <c r="W1827" s="1114"/>
      <c r="X1827" s="1114"/>
      <c r="Y1827" s="1146">
        <v>-14491.659000000001</v>
      </c>
      <c r="Z1827" s="2114">
        <f>C1827-'Blocking-Step2'!C1827</f>
        <v>0</v>
      </c>
      <c r="AA1827" s="2114">
        <f>D1827-'Blocking-Step2'!D1827</f>
        <v>0</v>
      </c>
      <c r="AC1827" s="2114">
        <f>F1827-'Blocking-Step2'!F1827</f>
        <v>0</v>
      </c>
      <c r="AE1827" s="2114">
        <f>H1827-'Blocking-Step2'!H1827</f>
        <v>0</v>
      </c>
      <c r="AF1827" s="2114">
        <f>I1827-'Blocking-Step2'!I1827</f>
        <v>0</v>
      </c>
      <c r="AH1827" s="2136">
        <f>K1827-'Blocking-Step2'!K1827</f>
        <v>0</v>
      </c>
      <c r="AJ1827" s="2136">
        <f>M1827-'Blocking-Step2'!M1827</f>
        <v>0</v>
      </c>
      <c r="AL1827" s="2136" t="e">
        <f>O1827-'Blocking-Step2'!O1827</f>
        <v>#VALUE!</v>
      </c>
      <c r="AN1827" s="2137">
        <f>Q1827-'Blocking-Step2'!Q1827</f>
        <v>0</v>
      </c>
      <c r="AP1827" s="2127">
        <f>S1827-'Blocking-Step2'!S1827</f>
        <v>0</v>
      </c>
      <c r="AR1827" s="2127">
        <f>U1827-'Blocking-Step2'!U1827</f>
        <v>0</v>
      </c>
      <c r="AT1827" s="2127">
        <f>W1827-'Blocking-Step2'!W1827</f>
        <v>0</v>
      </c>
      <c r="AV1827" s="2128">
        <f>Y1827-'Blocking-Step2'!Y1827</f>
        <v>0</v>
      </c>
    </row>
    <row r="1828" spans="1:48" ht="16.5" hidden="1" thickTop="1">
      <c r="A1828" s="1116"/>
      <c r="C1828" s="1024"/>
      <c r="D1828" s="1024"/>
      <c r="F1828" s="2076"/>
      <c r="G1828" s="617"/>
      <c r="H1828" s="1146"/>
      <c r="I1828" s="1146"/>
      <c r="K1828" s="2076"/>
      <c r="L1828" s="617"/>
      <c r="M1828" s="2076"/>
      <c r="N1828" s="617"/>
      <c r="O1828" s="2077" t="s">
        <v>2324</v>
      </c>
      <c r="P1828" s="617"/>
      <c r="Q1828" s="2076">
        <v>-1.4800000000000001E-2</v>
      </c>
      <c r="R1828" s="617"/>
      <c r="S1828" s="1114"/>
      <c r="T1828" s="1114"/>
      <c r="U1828" s="1114"/>
      <c r="V1828" s="1114"/>
      <c r="W1828" s="1114"/>
      <c r="X1828" s="1114"/>
      <c r="Y1828" s="1146">
        <v>-7856.2840000000006</v>
      </c>
      <c r="Z1828" s="2114">
        <f>C1828-'Blocking-Step2'!C1828</f>
        <v>0</v>
      </c>
      <c r="AA1828" s="2114">
        <f>D1828-'Blocking-Step2'!D1828</f>
        <v>0</v>
      </c>
      <c r="AC1828" s="2114">
        <f>F1828-'Blocking-Step2'!F1828</f>
        <v>0</v>
      </c>
      <c r="AE1828" s="2114">
        <f>H1828-'Blocking-Step2'!H1828</f>
        <v>0</v>
      </c>
      <c r="AF1828" s="2114">
        <f>I1828-'Blocking-Step2'!I1828</f>
        <v>0</v>
      </c>
      <c r="AH1828" s="2136">
        <f>K1828-'Blocking-Step2'!K1828</f>
        <v>0</v>
      </c>
      <c r="AJ1828" s="2136">
        <f>M1828-'Blocking-Step2'!M1828</f>
        <v>0</v>
      </c>
      <c r="AL1828" s="2136" t="e">
        <f>O1828-'Blocking-Step2'!O1828</f>
        <v>#VALUE!</v>
      </c>
      <c r="AN1828" s="2137">
        <f>Q1828-'Blocking-Step2'!Q1828</f>
        <v>0</v>
      </c>
      <c r="AP1828" s="2127">
        <f>S1828-'Blocking-Step2'!S1828</f>
        <v>0</v>
      </c>
      <c r="AR1828" s="2127">
        <f>U1828-'Blocking-Step2'!U1828</f>
        <v>0</v>
      </c>
      <c r="AT1828" s="2127">
        <f>W1828-'Blocking-Step2'!W1828</f>
        <v>0</v>
      </c>
      <c r="AV1828" s="2128">
        <f>Y1828-'Blocking-Step2'!Y1828</f>
        <v>0</v>
      </c>
    </row>
    <row r="1829" spans="1:48" ht="17.25" hidden="1" thickTop="1" thickBot="1">
      <c r="A1829" s="1104" t="s">
        <v>93</v>
      </c>
      <c r="C1829" s="1138">
        <v>14762485</v>
      </c>
      <c r="D1829" s="1138">
        <v>15043463.667792927</v>
      </c>
      <c r="F1829" s="1145"/>
      <c r="H1829" s="1149">
        <v>1063448.3999999999</v>
      </c>
      <c r="I1829" s="1149">
        <v>1080008.416</v>
      </c>
      <c r="K1829" s="1145"/>
      <c r="M1829" s="1145"/>
      <c r="O1829" s="1145"/>
      <c r="Q1829" s="1145"/>
      <c r="S1829" s="1149">
        <v>100654</v>
      </c>
      <c r="U1829" s="1149">
        <v>339212</v>
      </c>
      <c r="W1829" s="1149">
        <v>305223</v>
      </c>
      <c r="Y1829" s="1149">
        <v>745089</v>
      </c>
      <c r="Z1829" s="2114">
        <f>C1829-'Blocking-Step2'!C1829</f>
        <v>0</v>
      </c>
      <c r="AA1829" s="2114">
        <f>D1829-'Blocking-Step2'!D1829</f>
        <v>0</v>
      </c>
      <c r="AC1829" s="2114">
        <f>F1829-'Blocking-Step2'!F1829</f>
        <v>0</v>
      </c>
      <c r="AE1829" s="2114">
        <f>H1829-'Blocking-Step2'!H1829</f>
        <v>0</v>
      </c>
      <c r="AF1829" s="2114">
        <f>I1829-'Blocking-Step2'!I1829</f>
        <v>0</v>
      </c>
      <c r="AH1829" s="2136">
        <f>K1829-'Blocking-Step2'!K1829</f>
        <v>0</v>
      </c>
      <c r="AJ1829" s="2136">
        <f>M1829-'Blocking-Step2'!M1829</f>
        <v>0</v>
      </c>
      <c r="AL1829" s="2136">
        <f>O1829-'Blocking-Step2'!O1829</f>
        <v>0</v>
      </c>
      <c r="AN1829" s="2137">
        <f>Q1829-'Blocking-Step2'!Q1829</f>
        <v>0</v>
      </c>
      <c r="AP1829" s="2127">
        <f>S1829-'Blocking-Step2'!S1829</f>
        <v>-93543</v>
      </c>
      <c r="AR1829" s="2127">
        <f>U1829-'Blocking-Step2'!U1829</f>
        <v>93542</v>
      </c>
      <c r="AT1829" s="2127">
        <f>W1829-'Blocking-Step2'!W1829</f>
        <v>0</v>
      </c>
      <c r="AV1829" s="2128">
        <f>Y1829-'Blocking-Step2'!Y1829</f>
        <v>0</v>
      </c>
    </row>
    <row r="1830" spans="1:48" ht="16.5" hidden="1" thickTop="1">
      <c r="A1830" s="1116"/>
      <c r="C1830" s="1117"/>
      <c r="D1830" s="1117"/>
      <c r="F1830" s="1109"/>
      <c r="H1830" s="1114"/>
      <c r="I1830" s="1114"/>
      <c r="K1830" s="1109"/>
      <c r="M1830" s="1109"/>
      <c r="O1830" s="1109"/>
      <c r="Q1830" s="1109"/>
      <c r="Y1830" s="1114"/>
      <c r="Z1830" s="2114">
        <f>C1830-'Blocking-Step2'!C1830</f>
        <v>0</v>
      </c>
      <c r="AA1830" s="2114">
        <f>D1830-'Blocking-Step2'!D1830</f>
        <v>0</v>
      </c>
      <c r="AC1830" s="2114">
        <f>F1830-'Blocking-Step2'!F1830</f>
        <v>0</v>
      </c>
      <c r="AE1830" s="2114">
        <f>H1830-'Blocking-Step2'!H1830</f>
        <v>0</v>
      </c>
      <c r="AF1830" s="2114">
        <f>I1830-'Blocking-Step2'!I1830</f>
        <v>0</v>
      </c>
      <c r="AH1830" s="2136">
        <f>K1830-'Blocking-Step2'!K1830</f>
        <v>0</v>
      </c>
      <c r="AJ1830" s="2136">
        <f>M1830-'Blocking-Step2'!M1830</f>
        <v>0</v>
      </c>
      <c r="AL1830" s="2136">
        <f>O1830-'Blocking-Step2'!O1830</f>
        <v>0</v>
      </c>
      <c r="AN1830" s="2137">
        <f>Q1830-'Blocking-Step2'!Q1830</f>
        <v>0</v>
      </c>
      <c r="AP1830" s="2127">
        <f>S1830-'Blocking-Step2'!S1830</f>
        <v>0</v>
      </c>
      <c r="AR1830" s="2127">
        <f>U1830-'Blocking-Step2'!U1830</f>
        <v>0</v>
      </c>
      <c r="AT1830" s="2127">
        <f>W1830-'Blocking-Step2'!W1830</f>
        <v>0</v>
      </c>
      <c r="AV1830" s="2128">
        <f>Y1830-'Blocking-Step2'!Y1830</f>
        <v>0</v>
      </c>
    </row>
    <row r="1831" spans="1:48" ht="16.5" hidden="1" thickTop="1">
      <c r="A1831" s="2092" t="s">
        <v>919</v>
      </c>
      <c r="C1831" s="1105"/>
      <c r="D1831" s="1105"/>
      <c r="Z1831" s="2114">
        <f>C1831-'Blocking-Step2'!C1831</f>
        <v>0</v>
      </c>
      <c r="AA1831" s="2114">
        <f>D1831-'Blocking-Step2'!D1831</f>
        <v>0</v>
      </c>
      <c r="AC1831" s="2114">
        <f>F1831-'Blocking-Step2'!F1831</f>
        <v>0</v>
      </c>
      <c r="AE1831" s="2114">
        <f>H1831-'Blocking-Step2'!H1831</f>
        <v>0</v>
      </c>
      <c r="AF1831" s="2114">
        <f>I1831-'Blocking-Step2'!I1831</f>
        <v>0</v>
      </c>
      <c r="AH1831" s="2136">
        <f>K1831-'Blocking-Step2'!K1831</f>
        <v>0</v>
      </c>
      <c r="AJ1831" s="2136">
        <f>M1831-'Blocking-Step2'!M1831</f>
        <v>0</v>
      </c>
      <c r="AL1831" s="2136">
        <f>O1831-'Blocking-Step2'!O1831</f>
        <v>0</v>
      </c>
      <c r="AN1831" s="2137">
        <f>Q1831-'Blocking-Step2'!Q1831</f>
        <v>0</v>
      </c>
      <c r="AP1831" s="2127">
        <f>S1831-'Blocking-Step2'!S1831</f>
        <v>0</v>
      </c>
      <c r="AR1831" s="2127">
        <f>U1831-'Blocking-Step2'!U1831</f>
        <v>0</v>
      </c>
      <c r="AT1831" s="2127">
        <f>W1831-'Blocking-Step2'!W1831</f>
        <v>0</v>
      </c>
      <c r="AV1831" s="2128">
        <f>Y1831-'Blocking-Step2'!Y1831</f>
        <v>0</v>
      </c>
    </row>
    <row r="1832" spans="1:48" ht="16.5" hidden="1" thickTop="1">
      <c r="A1832" s="1116" t="s">
        <v>391</v>
      </c>
      <c r="C1832" s="1105">
        <v>70</v>
      </c>
      <c r="D1832" s="1105">
        <v>75</v>
      </c>
      <c r="F1832" s="1907">
        <v>11</v>
      </c>
      <c r="G1832" s="1110"/>
      <c r="H1832" s="1146">
        <v>770</v>
      </c>
      <c r="I1832" s="1146">
        <v>825</v>
      </c>
      <c r="K1832" s="1907">
        <v>5.04</v>
      </c>
      <c r="L1832" s="1110"/>
      <c r="M1832" s="1907">
        <v>2.96</v>
      </c>
      <c r="N1832" s="1110"/>
      <c r="O1832" s="1907">
        <v>0</v>
      </c>
      <c r="P1832" s="1110"/>
      <c r="Q1832" s="1907">
        <v>8</v>
      </c>
      <c r="R1832" s="1110"/>
      <c r="S1832" s="1146">
        <v>378</v>
      </c>
      <c r="T1832" s="1114"/>
      <c r="U1832" s="1146">
        <v>222</v>
      </c>
      <c r="V1832" s="1114"/>
      <c r="W1832" s="1146">
        <v>0</v>
      </c>
      <c r="X1832" s="1629"/>
      <c r="Y1832" s="1146">
        <v>600</v>
      </c>
      <c r="Z1832" s="2114">
        <f>C1832-'Blocking-Step2'!C1832</f>
        <v>0</v>
      </c>
      <c r="AA1832" s="2114">
        <f>D1832-'Blocking-Step2'!D1832</f>
        <v>0</v>
      </c>
      <c r="AC1832" s="2114">
        <f>F1832-'Blocking-Step2'!F1832</f>
        <v>0</v>
      </c>
      <c r="AE1832" s="2114">
        <f>H1832-'Blocking-Step2'!H1832</f>
        <v>0</v>
      </c>
      <c r="AF1832" s="2114">
        <f>I1832-'Blocking-Step2'!I1832</f>
        <v>0</v>
      </c>
      <c r="AH1832" s="2136">
        <f>K1832-'Blocking-Step2'!K1832</f>
        <v>-2.21</v>
      </c>
      <c r="AJ1832" s="2136">
        <f>M1832-'Blocking-Step2'!M1832</f>
        <v>2.21</v>
      </c>
      <c r="AL1832" s="2136">
        <f>O1832-'Blocking-Step2'!O1832</f>
        <v>0</v>
      </c>
      <c r="AN1832" s="2137">
        <f>Q1832-'Blocking-Step2'!Q1832</f>
        <v>0</v>
      </c>
      <c r="AP1832" s="2127">
        <f>S1832-'Blocking-Step2'!S1832</f>
        <v>-166</v>
      </c>
      <c r="AR1832" s="2127">
        <f>U1832-'Blocking-Step2'!U1832</f>
        <v>166</v>
      </c>
      <c r="AT1832" s="2127">
        <f>W1832-'Blocking-Step2'!W1832</f>
        <v>0</v>
      </c>
      <c r="AV1832" s="2128">
        <f>Y1832-'Blocking-Step2'!Y1832</f>
        <v>0</v>
      </c>
    </row>
    <row r="1833" spans="1:48" ht="16.5" hidden="1" thickTop="1">
      <c r="A1833" s="1116" t="s">
        <v>392</v>
      </c>
      <c r="C1833" s="1105">
        <v>6</v>
      </c>
      <c r="D1833" s="1105">
        <v>6</v>
      </c>
      <c r="F1833" s="1907">
        <v>72.5</v>
      </c>
      <c r="G1833" s="1110"/>
      <c r="H1833" s="1146">
        <v>435</v>
      </c>
      <c r="I1833" s="1146">
        <v>435</v>
      </c>
      <c r="K1833" s="1907">
        <v>0</v>
      </c>
      <c r="L1833" s="1110"/>
      <c r="M1833" s="1907">
        <v>50.02</v>
      </c>
      <c r="N1833" s="1110"/>
      <c r="O1833" s="1907">
        <v>0</v>
      </c>
      <c r="P1833" s="1110"/>
      <c r="Q1833" s="1907">
        <v>50.02</v>
      </c>
      <c r="R1833" s="1110"/>
      <c r="S1833" s="1146">
        <v>0</v>
      </c>
      <c r="T1833" s="1114"/>
      <c r="U1833" s="1146">
        <v>300</v>
      </c>
      <c r="V1833" s="1114"/>
      <c r="W1833" s="1146">
        <v>0</v>
      </c>
      <c r="X1833" s="1629"/>
      <c r="Y1833" s="1146">
        <v>300</v>
      </c>
      <c r="Z1833" s="2114">
        <f>C1833-'Blocking-Step2'!C1833</f>
        <v>0</v>
      </c>
      <c r="AA1833" s="2114">
        <f>D1833-'Blocking-Step2'!D1833</f>
        <v>0</v>
      </c>
      <c r="AC1833" s="2114">
        <f>F1833-'Blocking-Step2'!F1833</f>
        <v>0</v>
      </c>
      <c r="AE1833" s="2114">
        <f>H1833-'Blocking-Step2'!H1833</f>
        <v>0</v>
      </c>
      <c r="AF1833" s="2114">
        <f>I1833-'Blocking-Step2'!I1833</f>
        <v>0</v>
      </c>
      <c r="AH1833" s="2136">
        <f>K1833-'Blocking-Step2'!K1833</f>
        <v>-45.36</v>
      </c>
      <c r="AJ1833" s="2136">
        <f>M1833-'Blocking-Step2'!M1833</f>
        <v>45.36</v>
      </c>
      <c r="AL1833" s="2136">
        <f>O1833-'Blocking-Step2'!O1833</f>
        <v>0</v>
      </c>
      <c r="AN1833" s="2137">
        <f>Q1833-'Blocking-Step2'!Q1833</f>
        <v>0</v>
      </c>
      <c r="AP1833" s="2127">
        <f>S1833-'Blocking-Step2'!S1833</f>
        <v>-272</v>
      </c>
      <c r="AR1833" s="2127">
        <f>U1833-'Blocking-Step2'!U1833</f>
        <v>272</v>
      </c>
      <c r="AT1833" s="2127">
        <f>W1833-'Blocking-Step2'!W1833</f>
        <v>0</v>
      </c>
      <c r="AV1833" s="2128">
        <f>Y1833-'Blocking-Step2'!Y1833</f>
        <v>0</v>
      </c>
    </row>
    <row r="1834" spans="1:48" ht="16.5" hidden="1" thickTop="1">
      <c r="A1834" s="1116" t="s">
        <v>390</v>
      </c>
      <c r="C1834" s="1105">
        <v>0</v>
      </c>
      <c r="D1834" s="1105">
        <v>0</v>
      </c>
      <c r="F1834" s="1907">
        <v>127.5</v>
      </c>
      <c r="G1834" s="1110"/>
      <c r="H1834" s="1146">
        <v>0</v>
      </c>
      <c r="I1834" s="1146">
        <v>0</v>
      </c>
      <c r="K1834" s="1907">
        <v>0</v>
      </c>
      <c r="L1834" s="1110"/>
      <c r="M1834" s="1907">
        <v>87.96</v>
      </c>
      <c r="N1834" s="1110"/>
      <c r="O1834" s="1907">
        <v>0</v>
      </c>
      <c r="P1834" s="1110"/>
      <c r="Q1834" s="1907">
        <v>87.96</v>
      </c>
      <c r="R1834" s="1110"/>
      <c r="S1834" s="1146">
        <v>0</v>
      </c>
      <c r="T1834" s="1114"/>
      <c r="U1834" s="1146">
        <v>0</v>
      </c>
      <c r="V1834" s="1114"/>
      <c r="W1834" s="1146">
        <v>0</v>
      </c>
      <c r="X1834" s="1629"/>
      <c r="Y1834" s="1146">
        <v>0</v>
      </c>
      <c r="Z1834" s="2114">
        <f>C1834-'Blocking-Step2'!C1834</f>
        <v>0</v>
      </c>
      <c r="AA1834" s="2114">
        <f>D1834-'Blocking-Step2'!D1834</f>
        <v>0</v>
      </c>
      <c r="AC1834" s="2114">
        <f>F1834-'Blocking-Step2'!F1834</f>
        <v>0</v>
      </c>
      <c r="AE1834" s="2114">
        <f>H1834-'Blocking-Step2'!H1834</f>
        <v>0</v>
      </c>
      <c r="AF1834" s="2114">
        <f>I1834-'Blocking-Step2'!I1834</f>
        <v>0</v>
      </c>
      <c r="AH1834" s="2136">
        <f>K1834-'Blocking-Step2'!K1834</f>
        <v>-81.61</v>
      </c>
      <c r="AJ1834" s="2136">
        <f>M1834-'Blocking-Step2'!M1834</f>
        <v>79.55</v>
      </c>
      <c r="AL1834" s="2136">
        <f>O1834-'Blocking-Step2'!O1834</f>
        <v>0</v>
      </c>
      <c r="AN1834" s="2137">
        <f>Q1834-'Blocking-Step2'!Q1834</f>
        <v>-2.0600000000000165</v>
      </c>
      <c r="AP1834" s="2127">
        <f>S1834-'Blocking-Step2'!S1834</f>
        <v>0</v>
      </c>
      <c r="AR1834" s="2127">
        <f>U1834-'Blocking-Step2'!U1834</f>
        <v>0</v>
      </c>
      <c r="AT1834" s="2127">
        <f>W1834-'Blocking-Step2'!W1834</f>
        <v>0</v>
      </c>
      <c r="AV1834" s="2128">
        <f>Y1834-'Blocking-Step2'!Y1834</f>
        <v>0</v>
      </c>
    </row>
    <row r="1835" spans="1:48" ht="16.5" hidden="1" thickTop="1">
      <c r="A1835" s="1116" t="s">
        <v>393</v>
      </c>
      <c r="C1835" s="1105">
        <v>72</v>
      </c>
      <c r="D1835" s="1105">
        <v>72</v>
      </c>
      <c r="F1835" s="1907">
        <v>6.2</v>
      </c>
      <c r="G1835" s="1110"/>
      <c r="H1835" s="1146">
        <v>446</v>
      </c>
      <c r="I1835" s="1146">
        <v>446</v>
      </c>
      <c r="K1835" s="1907">
        <v>0</v>
      </c>
      <c r="L1835" s="1110"/>
      <c r="M1835" s="1907">
        <v>4.28</v>
      </c>
      <c r="N1835" s="1110"/>
      <c r="O1835" s="1907">
        <v>0</v>
      </c>
      <c r="P1835" s="1110"/>
      <c r="Q1835" s="1907">
        <v>4.28</v>
      </c>
      <c r="R1835" s="1110"/>
      <c r="S1835" s="1146">
        <v>0</v>
      </c>
      <c r="T1835" s="1114"/>
      <c r="U1835" s="1146">
        <v>308</v>
      </c>
      <c r="V1835" s="1114"/>
      <c r="W1835" s="1146">
        <v>0</v>
      </c>
      <c r="X1835" s="1629"/>
      <c r="Y1835" s="1146">
        <v>308</v>
      </c>
      <c r="Z1835" s="2114">
        <f>C1835-'Blocking-Step2'!C1835</f>
        <v>0</v>
      </c>
      <c r="AA1835" s="2114">
        <f>D1835-'Blocking-Step2'!D1835</f>
        <v>0</v>
      </c>
      <c r="AC1835" s="2114">
        <f>F1835-'Blocking-Step2'!F1835</f>
        <v>0</v>
      </c>
      <c r="AE1835" s="2114">
        <f>H1835-'Blocking-Step2'!H1835</f>
        <v>0</v>
      </c>
      <c r="AF1835" s="2114">
        <f>I1835-'Blocking-Step2'!I1835</f>
        <v>0</v>
      </c>
      <c r="AH1835" s="2136">
        <f>K1835-'Blocking-Step2'!K1835</f>
        <v>-3.88</v>
      </c>
      <c r="AJ1835" s="2136">
        <f>M1835-'Blocking-Step2'!M1835</f>
        <v>3.8800000000000003</v>
      </c>
      <c r="AL1835" s="2136">
        <f>O1835-'Blocking-Step2'!O1835</f>
        <v>0</v>
      </c>
      <c r="AN1835" s="2137">
        <f>Q1835-'Blocking-Step2'!Q1835</f>
        <v>0</v>
      </c>
      <c r="AP1835" s="2127">
        <f>S1835-'Blocking-Step2'!S1835</f>
        <v>-279</v>
      </c>
      <c r="AR1835" s="2127">
        <f>U1835-'Blocking-Step2'!U1835</f>
        <v>279</v>
      </c>
      <c r="AT1835" s="2127">
        <f>W1835-'Blocking-Step2'!W1835</f>
        <v>0</v>
      </c>
      <c r="AV1835" s="2128">
        <f>Y1835-'Blocking-Step2'!Y1835</f>
        <v>0</v>
      </c>
    </row>
    <row r="1836" spans="1:48" ht="16.5" hidden="1" thickTop="1">
      <c r="A1836" s="1116" t="s">
        <v>360</v>
      </c>
      <c r="C1836" s="1105">
        <v>12527</v>
      </c>
      <c r="D1836" s="1105">
        <v>13122</v>
      </c>
      <c r="F1836" s="2086">
        <v>5.3437000000000001</v>
      </c>
      <c r="G1836" s="1921" t="s">
        <v>495</v>
      </c>
      <c r="H1836" s="1146">
        <v>669</v>
      </c>
      <c r="I1836" s="1146">
        <v>701</v>
      </c>
      <c r="K1836" s="2086">
        <v>0</v>
      </c>
      <c r="L1836" s="1921" t="s">
        <v>495</v>
      </c>
      <c r="M1836" s="2086">
        <v>1.4997</v>
      </c>
      <c r="N1836" s="1921" t="s">
        <v>495</v>
      </c>
      <c r="O1836" s="2087">
        <v>2.0289413928359998</v>
      </c>
      <c r="P1836" s="2020" t="s">
        <v>495</v>
      </c>
      <c r="Q1836" s="2087">
        <v>3.5286413928360001</v>
      </c>
      <c r="R1836" s="1921" t="s">
        <v>495</v>
      </c>
      <c r="S1836" s="1146">
        <v>0</v>
      </c>
      <c r="T1836" s="1648"/>
      <c r="U1836" s="1146">
        <v>197</v>
      </c>
      <c r="V1836" s="1648"/>
      <c r="W1836" s="1146">
        <v>266</v>
      </c>
      <c r="X1836" s="1648"/>
      <c r="Y1836" s="1146">
        <v>463</v>
      </c>
      <c r="Z1836" s="2114">
        <f>C1836-'Blocking-Step2'!C1836</f>
        <v>0</v>
      </c>
      <c r="AA1836" s="2114">
        <f>D1836-'Blocking-Step2'!D1836</f>
        <v>0</v>
      </c>
      <c r="AC1836" s="2114">
        <f>F1836-'Blocking-Step2'!F1836</f>
        <v>0</v>
      </c>
      <c r="AE1836" s="2114">
        <f>H1836-'Blocking-Step2'!H1836</f>
        <v>0</v>
      </c>
      <c r="AF1836" s="2114">
        <f>I1836-'Blocking-Step2'!I1836</f>
        <v>0</v>
      </c>
      <c r="AH1836" s="2136">
        <f>K1836-'Blocking-Step2'!K1836</f>
        <v>0</v>
      </c>
      <c r="AJ1836" s="2136">
        <f>M1836-'Blocking-Step2'!M1836</f>
        <v>0</v>
      </c>
      <c r="AL1836" s="2136">
        <f>O1836-'Blocking-Step2'!O1836</f>
        <v>0</v>
      </c>
      <c r="AN1836" s="2137">
        <f>Q1836-'Blocking-Step2'!Q1836</f>
        <v>0</v>
      </c>
      <c r="AP1836" s="2127">
        <f>S1836-'Blocking-Step2'!S1836</f>
        <v>0</v>
      </c>
      <c r="AR1836" s="2127">
        <f>U1836-'Blocking-Step2'!U1836</f>
        <v>0</v>
      </c>
      <c r="AT1836" s="2127">
        <f>W1836-'Blocking-Step2'!W1836</f>
        <v>0</v>
      </c>
      <c r="AV1836" s="2128">
        <f>Y1836-'Blocking-Step2'!Y1836</f>
        <v>0</v>
      </c>
    </row>
    <row r="1837" spans="1:48" ht="16.5" hidden="1" thickTop="1">
      <c r="A1837" s="1116" t="s">
        <v>288</v>
      </c>
      <c r="C1837" s="1940">
        <v>-203</v>
      </c>
      <c r="D1837" s="1940">
        <v>0</v>
      </c>
      <c r="H1837" s="1147">
        <v>-35</v>
      </c>
      <c r="I1837" s="1147">
        <v>0</v>
      </c>
      <c r="Y1837" s="1147"/>
      <c r="Z1837" s="2114">
        <f>C1837-'Blocking-Step2'!C1837</f>
        <v>0</v>
      </c>
      <c r="AA1837" s="2114">
        <f>D1837-'Blocking-Step2'!D1837</f>
        <v>0</v>
      </c>
      <c r="AC1837" s="2114">
        <f>F1837-'Blocking-Step2'!F1837</f>
        <v>0</v>
      </c>
      <c r="AE1837" s="2114">
        <f>H1837-'Blocking-Step2'!H1837</f>
        <v>0</v>
      </c>
      <c r="AF1837" s="2114">
        <f>I1837-'Blocking-Step2'!I1837</f>
        <v>0</v>
      </c>
      <c r="AH1837" s="2136">
        <f>K1837-'Blocking-Step2'!K1837</f>
        <v>0</v>
      </c>
      <c r="AJ1837" s="2136">
        <f>M1837-'Blocking-Step2'!M1837</f>
        <v>0</v>
      </c>
      <c r="AL1837" s="2136">
        <f>O1837-'Blocking-Step2'!O1837</f>
        <v>0</v>
      </c>
      <c r="AN1837" s="2137">
        <f>Q1837-'Blocking-Step2'!Q1837</f>
        <v>0</v>
      </c>
      <c r="AP1837" s="2127">
        <f>S1837-'Blocking-Step2'!S1837</f>
        <v>0</v>
      </c>
      <c r="AR1837" s="2127">
        <f>U1837-'Blocking-Step2'!U1837</f>
        <v>0</v>
      </c>
      <c r="AT1837" s="2127">
        <f>W1837-'Blocking-Step2'!W1837</f>
        <v>0</v>
      </c>
      <c r="AV1837" s="2128">
        <f>Y1837-'Blocking-Step2'!Y1837</f>
        <v>0</v>
      </c>
    </row>
    <row r="1838" spans="1:48" ht="16.5" hidden="1" thickTop="1">
      <c r="A1838" s="1116" t="s">
        <v>1240</v>
      </c>
      <c r="C1838" s="1024"/>
      <c r="D1838" s="1024"/>
      <c r="F1838" s="2076">
        <v>-2.8000000000000001E-2</v>
      </c>
      <c r="G1838" s="617"/>
      <c r="H1838" s="1146">
        <v>-18.731999999999999</v>
      </c>
      <c r="I1838" s="1146">
        <v>-19.628</v>
      </c>
      <c r="K1838" s="2076"/>
      <c r="L1838" s="617"/>
      <c r="M1838" s="2076"/>
      <c r="N1838" s="617"/>
      <c r="O1838" s="2077" t="s">
        <v>2323</v>
      </c>
      <c r="P1838" s="617"/>
      <c r="Q1838" s="2076">
        <v>-2.7300000000000001E-2</v>
      </c>
      <c r="R1838" s="617"/>
      <c r="S1838" s="1114"/>
      <c r="T1838" s="1114"/>
      <c r="U1838" s="1114"/>
      <c r="V1838" s="1114"/>
      <c r="W1838" s="1114"/>
      <c r="X1838" s="1114"/>
      <c r="Y1838" s="1146">
        <v>-12.639900000000001</v>
      </c>
      <c r="Z1838" s="2114">
        <f>C1838-'Blocking-Step2'!C1838</f>
        <v>0</v>
      </c>
      <c r="AA1838" s="2114">
        <f>D1838-'Blocking-Step2'!D1838</f>
        <v>0</v>
      </c>
      <c r="AC1838" s="2114">
        <f>F1838-'Blocking-Step2'!F1838</f>
        <v>0</v>
      </c>
      <c r="AE1838" s="2114">
        <f>H1838-'Blocking-Step2'!H1838</f>
        <v>0</v>
      </c>
      <c r="AF1838" s="2114">
        <f>I1838-'Blocking-Step2'!I1838</f>
        <v>0</v>
      </c>
      <c r="AH1838" s="2136">
        <f>K1838-'Blocking-Step2'!K1838</f>
        <v>0</v>
      </c>
      <c r="AJ1838" s="2136">
        <f>M1838-'Blocking-Step2'!M1838</f>
        <v>0</v>
      </c>
      <c r="AL1838" s="2136" t="e">
        <f>O1838-'Blocking-Step2'!O1838</f>
        <v>#VALUE!</v>
      </c>
      <c r="AN1838" s="2137">
        <f>Q1838-'Blocking-Step2'!Q1838</f>
        <v>0</v>
      </c>
      <c r="AP1838" s="2127">
        <f>S1838-'Blocking-Step2'!S1838</f>
        <v>0</v>
      </c>
      <c r="AR1838" s="2127">
        <f>U1838-'Blocking-Step2'!U1838</f>
        <v>0</v>
      </c>
      <c r="AT1838" s="2127">
        <f>W1838-'Blocking-Step2'!W1838</f>
        <v>0</v>
      </c>
      <c r="AV1838" s="2128">
        <f>Y1838-'Blocking-Step2'!Y1838</f>
        <v>0</v>
      </c>
    </row>
    <row r="1839" spans="1:48" ht="16.5" hidden="1" thickTop="1">
      <c r="A1839" s="1116"/>
      <c r="C1839" s="1024"/>
      <c r="D1839" s="1024"/>
      <c r="F1839" s="2076"/>
      <c r="G1839" s="617"/>
      <c r="H1839" s="1146"/>
      <c r="I1839" s="1146"/>
      <c r="K1839" s="2076"/>
      <c r="L1839" s="617"/>
      <c r="M1839" s="2076"/>
      <c r="N1839" s="617"/>
      <c r="O1839" s="2077" t="s">
        <v>2324</v>
      </c>
      <c r="P1839" s="617"/>
      <c r="Q1839" s="2076">
        <v>-1.4800000000000001E-2</v>
      </c>
      <c r="R1839" s="617"/>
      <c r="S1839" s="1114"/>
      <c r="T1839" s="1114"/>
      <c r="U1839" s="1114"/>
      <c r="V1839" s="1114"/>
      <c r="W1839" s="1114"/>
      <c r="X1839" s="1114"/>
      <c r="Y1839" s="1146">
        <v>-6.8524000000000003</v>
      </c>
      <c r="Z1839" s="2114">
        <f>C1839-'Blocking-Step2'!C1839</f>
        <v>0</v>
      </c>
      <c r="AA1839" s="2114">
        <f>D1839-'Blocking-Step2'!D1839</f>
        <v>0</v>
      </c>
      <c r="AC1839" s="2114">
        <f>F1839-'Blocking-Step2'!F1839</f>
        <v>0</v>
      </c>
      <c r="AE1839" s="2114">
        <f>H1839-'Blocking-Step2'!H1839</f>
        <v>0</v>
      </c>
      <c r="AF1839" s="2114">
        <f>I1839-'Blocking-Step2'!I1839</f>
        <v>0</v>
      </c>
      <c r="AH1839" s="2136">
        <f>K1839-'Blocking-Step2'!K1839</f>
        <v>0</v>
      </c>
      <c r="AJ1839" s="2136">
        <f>M1839-'Blocking-Step2'!M1839</f>
        <v>0</v>
      </c>
      <c r="AL1839" s="2136" t="e">
        <f>O1839-'Blocking-Step2'!O1839</f>
        <v>#VALUE!</v>
      </c>
      <c r="AN1839" s="2137">
        <f>Q1839-'Blocking-Step2'!Q1839</f>
        <v>0</v>
      </c>
      <c r="AP1839" s="2127">
        <f>S1839-'Blocking-Step2'!S1839</f>
        <v>0</v>
      </c>
      <c r="AR1839" s="2127">
        <f>U1839-'Blocking-Step2'!U1839</f>
        <v>0</v>
      </c>
      <c r="AT1839" s="2127">
        <f>W1839-'Blocking-Step2'!W1839</f>
        <v>0</v>
      </c>
      <c r="AV1839" s="2128">
        <f>Y1839-'Blocking-Step2'!Y1839</f>
        <v>0</v>
      </c>
    </row>
    <row r="1840" spans="1:48" ht="17.25" hidden="1" thickTop="1" thickBot="1">
      <c r="A1840" s="1104" t="s">
        <v>93</v>
      </c>
      <c r="C1840" s="1138">
        <v>12324</v>
      </c>
      <c r="D1840" s="1138">
        <v>13122</v>
      </c>
      <c r="F1840" s="1145"/>
      <c r="H1840" s="1149">
        <v>2266.268</v>
      </c>
      <c r="I1840" s="1149">
        <v>2387.3719999999998</v>
      </c>
      <c r="K1840" s="1145"/>
      <c r="M1840" s="1145"/>
      <c r="O1840" s="1145"/>
      <c r="Q1840" s="1145"/>
      <c r="S1840" s="1149">
        <v>378</v>
      </c>
      <c r="U1840" s="1149">
        <v>1027</v>
      </c>
      <c r="W1840" s="1149">
        <v>266</v>
      </c>
      <c r="Y1840" s="1149">
        <v>1671</v>
      </c>
      <c r="Z1840" s="2114">
        <f>C1840-'Blocking-Step2'!C1840</f>
        <v>0</v>
      </c>
      <c r="AA1840" s="2114">
        <f>D1840-'Blocking-Step2'!D1840</f>
        <v>0</v>
      </c>
      <c r="AC1840" s="2114">
        <f>F1840-'Blocking-Step2'!F1840</f>
        <v>0</v>
      </c>
      <c r="AE1840" s="2114">
        <f>H1840-'Blocking-Step2'!H1840</f>
        <v>0</v>
      </c>
      <c r="AF1840" s="2114">
        <f>I1840-'Blocking-Step2'!I1840</f>
        <v>0</v>
      </c>
      <c r="AH1840" s="2136">
        <f>K1840-'Blocking-Step2'!K1840</f>
        <v>0</v>
      </c>
      <c r="AJ1840" s="2136">
        <f>M1840-'Blocking-Step2'!M1840</f>
        <v>0</v>
      </c>
      <c r="AL1840" s="2136">
        <f>O1840-'Blocking-Step2'!O1840</f>
        <v>0</v>
      </c>
      <c r="AN1840" s="2137">
        <f>Q1840-'Blocking-Step2'!Q1840</f>
        <v>0</v>
      </c>
      <c r="AP1840" s="2127">
        <f>S1840-'Blocking-Step2'!S1840</f>
        <v>-717</v>
      </c>
      <c r="AR1840" s="2127">
        <f>U1840-'Blocking-Step2'!U1840</f>
        <v>717</v>
      </c>
      <c r="AT1840" s="2127">
        <f>W1840-'Blocking-Step2'!W1840</f>
        <v>0</v>
      </c>
      <c r="AV1840" s="2128">
        <f>Y1840-'Blocking-Step2'!Y1840</f>
        <v>0</v>
      </c>
    </row>
    <row r="1841" spans="1:48" ht="16.5" hidden="1" thickTop="1">
      <c r="A1841" s="1116"/>
      <c r="C1841" s="1117"/>
      <c r="D1841" s="1117"/>
      <c r="F1841" s="1109"/>
      <c r="H1841" s="1114"/>
      <c r="I1841" s="1114"/>
      <c r="K1841" s="1109"/>
      <c r="M1841" s="1109"/>
      <c r="O1841" s="1109"/>
      <c r="Q1841" s="1109"/>
      <c r="Y1841" s="1114"/>
      <c r="Z1841" s="2114">
        <f>C1841-'Blocking-Step2'!C1841</f>
        <v>0</v>
      </c>
      <c r="AA1841" s="2114">
        <f>D1841-'Blocking-Step2'!D1841</f>
        <v>0</v>
      </c>
      <c r="AC1841" s="2114">
        <f>F1841-'Blocking-Step2'!F1841</f>
        <v>0</v>
      </c>
      <c r="AE1841" s="2114">
        <f>H1841-'Blocking-Step2'!H1841</f>
        <v>0</v>
      </c>
      <c r="AF1841" s="2114">
        <f>I1841-'Blocking-Step2'!I1841</f>
        <v>0</v>
      </c>
      <c r="AH1841" s="2136">
        <f>K1841-'Blocking-Step2'!K1841</f>
        <v>0</v>
      </c>
      <c r="AJ1841" s="2136">
        <f>M1841-'Blocking-Step2'!M1841</f>
        <v>0</v>
      </c>
      <c r="AL1841" s="2136">
        <f>O1841-'Blocking-Step2'!O1841</f>
        <v>0</v>
      </c>
      <c r="AN1841" s="2137">
        <f>Q1841-'Blocking-Step2'!Q1841</f>
        <v>0</v>
      </c>
      <c r="AP1841" s="2127">
        <f>S1841-'Blocking-Step2'!S1841</f>
        <v>0</v>
      </c>
      <c r="AR1841" s="2127">
        <f>U1841-'Blocking-Step2'!U1841</f>
        <v>0</v>
      </c>
      <c r="AT1841" s="2127">
        <f>W1841-'Blocking-Step2'!W1841</f>
        <v>0</v>
      </c>
      <c r="AV1841" s="2128">
        <f>Y1841-'Blocking-Step2'!Y1841</f>
        <v>0</v>
      </c>
    </row>
    <row r="1842" spans="1:48" ht="16.5" hidden="1" thickTop="1">
      <c r="A1842" s="2092" t="s">
        <v>920</v>
      </c>
      <c r="C1842" s="1105"/>
      <c r="D1842" s="1105"/>
      <c r="Z1842" s="2114">
        <f>C1842-'Blocking-Step2'!C1842</f>
        <v>0</v>
      </c>
      <c r="AA1842" s="2114">
        <f>D1842-'Blocking-Step2'!D1842</f>
        <v>0</v>
      </c>
      <c r="AC1842" s="2114">
        <f>F1842-'Blocking-Step2'!F1842</f>
        <v>0</v>
      </c>
      <c r="AE1842" s="2114">
        <f>H1842-'Blocking-Step2'!H1842</f>
        <v>0</v>
      </c>
      <c r="AF1842" s="2114">
        <f>I1842-'Blocking-Step2'!I1842</f>
        <v>0</v>
      </c>
      <c r="AH1842" s="2136">
        <f>K1842-'Blocking-Step2'!K1842</f>
        <v>0</v>
      </c>
      <c r="AJ1842" s="2136">
        <f>M1842-'Blocking-Step2'!M1842</f>
        <v>0</v>
      </c>
      <c r="AL1842" s="2136">
        <f>O1842-'Blocking-Step2'!O1842</f>
        <v>0</v>
      </c>
      <c r="AN1842" s="2137">
        <f>Q1842-'Blocking-Step2'!Q1842</f>
        <v>0</v>
      </c>
      <c r="AP1842" s="2127">
        <f>S1842-'Blocking-Step2'!S1842</f>
        <v>0</v>
      </c>
      <c r="AR1842" s="2127">
        <f>U1842-'Blocking-Step2'!U1842</f>
        <v>0</v>
      </c>
      <c r="AT1842" s="2127">
        <f>W1842-'Blocking-Step2'!W1842</f>
        <v>0</v>
      </c>
      <c r="AV1842" s="2128">
        <f>Y1842-'Blocking-Step2'!Y1842</f>
        <v>0</v>
      </c>
    </row>
    <row r="1843" spans="1:48" ht="16.5" hidden="1" thickTop="1">
      <c r="A1843" s="1116" t="s">
        <v>391</v>
      </c>
      <c r="C1843" s="1105">
        <v>1008.45176470588</v>
      </c>
      <c r="D1843" s="1105">
        <v>1093</v>
      </c>
      <c r="F1843" s="1907">
        <v>11</v>
      </c>
      <c r="G1843" s="1110"/>
      <c r="H1843" s="1146">
        <v>11093</v>
      </c>
      <c r="I1843" s="1146">
        <v>12023</v>
      </c>
      <c r="K1843" s="1907">
        <v>5.04</v>
      </c>
      <c r="L1843" s="1110"/>
      <c r="M1843" s="1907">
        <v>2.96</v>
      </c>
      <c r="N1843" s="1110"/>
      <c r="O1843" s="1907">
        <v>0</v>
      </c>
      <c r="P1843" s="1110"/>
      <c r="Q1843" s="1907">
        <v>8</v>
      </c>
      <c r="R1843" s="1110"/>
      <c r="S1843" s="1146">
        <v>5509</v>
      </c>
      <c r="T1843" s="1114"/>
      <c r="U1843" s="1146">
        <v>3235</v>
      </c>
      <c r="V1843" s="1114"/>
      <c r="W1843" s="1146">
        <v>0</v>
      </c>
      <c r="X1843" s="1629"/>
      <c r="Y1843" s="1146">
        <v>8744</v>
      </c>
      <c r="Z1843" s="2114">
        <f>C1843-'Blocking-Step2'!C1843</f>
        <v>0</v>
      </c>
      <c r="AA1843" s="2114">
        <f>D1843-'Blocking-Step2'!D1843</f>
        <v>0</v>
      </c>
      <c r="AC1843" s="2114">
        <f>F1843-'Blocking-Step2'!F1843</f>
        <v>0</v>
      </c>
      <c r="AE1843" s="2114">
        <f>H1843-'Blocking-Step2'!H1843</f>
        <v>0</v>
      </c>
      <c r="AF1843" s="2114">
        <f>I1843-'Blocking-Step2'!I1843</f>
        <v>0</v>
      </c>
      <c r="AH1843" s="2136">
        <f>K1843-'Blocking-Step2'!K1843</f>
        <v>-2.21</v>
      </c>
      <c r="AJ1843" s="2136">
        <f>M1843-'Blocking-Step2'!M1843</f>
        <v>2.21</v>
      </c>
      <c r="AL1843" s="2136">
        <f>O1843-'Blocking-Step2'!O1843</f>
        <v>0</v>
      </c>
      <c r="AN1843" s="2137">
        <f>Q1843-'Blocking-Step2'!Q1843</f>
        <v>0</v>
      </c>
      <c r="AP1843" s="2127">
        <f>S1843-'Blocking-Step2'!S1843</f>
        <v>-2415</v>
      </c>
      <c r="AR1843" s="2127">
        <f>U1843-'Blocking-Step2'!U1843</f>
        <v>2415</v>
      </c>
      <c r="AT1843" s="2127">
        <f>W1843-'Blocking-Step2'!W1843</f>
        <v>0</v>
      </c>
      <c r="AV1843" s="2128">
        <f>Y1843-'Blocking-Step2'!Y1843</f>
        <v>0</v>
      </c>
    </row>
    <row r="1844" spans="1:48" ht="16.5" hidden="1" thickTop="1">
      <c r="A1844" s="1116" t="s">
        <v>392</v>
      </c>
      <c r="C1844" s="1105">
        <v>93.490352941176496</v>
      </c>
      <c r="D1844" s="1105">
        <v>94</v>
      </c>
      <c r="F1844" s="1907">
        <v>72.5</v>
      </c>
      <c r="G1844" s="1110"/>
      <c r="H1844" s="1146">
        <v>6778</v>
      </c>
      <c r="I1844" s="1146">
        <v>6815</v>
      </c>
      <c r="K1844" s="1907">
        <v>0</v>
      </c>
      <c r="L1844" s="1110"/>
      <c r="M1844" s="1907">
        <v>50.02</v>
      </c>
      <c r="N1844" s="1110"/>
      <c r="O1844" s="1907">
        <v>0</v>
      </c>
      <c r="P1844" s="1110"/>
      <c r="Q1844" s="1907">
        <v>50.02</v>
      </c>
      <c r="R1844" s="1110"/>
      <c r="S1844" s="1146">
        <v>0</v>
      </c>
      <c r="T1844" s="1114"/>
      <c r="U1844" s="1146">
        <v>4702</v>
      </c>
      <c r="V1844" s="1114"/>
      <c r="W1844" s="1146">
        <v>0</v>
      </c>
      <c r="X1844" s="1629"/>
      <c r="Y1844" s="1146">
        <v>4702</v>
      </c>
      <c r="Z1844" s="2114">
        <f>C1844-'Blocking-Step2'!C1844</f>
        <v>0</v>
      </c>
      <c r="AA1844" s="2114">
        <f>D1844-'Blocking-Step2'!D1844</f>
        <v>0</v>
      </c>
      <c r="AC1844" s="2114">
        <f>F1844-'Blocking-Step2'!F1844</f>
        <v>0</v>
      </c>
      <c r="AE1844" s="2114">
        <f>H1844-'Blocking-Step2'!H1844</f>
        <v>0</v>
      </c>
      <c r="AF1844" s="2114">
        <f>I1844-'Blocking-Step2'!I1844</f>
        <v>0</v>
      </c>
      <c r="AH1844" s="2136">
        <f>K1844-'Blocking-Step2'!K1844</f>
        <v>-45.36</v>
      </c>
      <c r="AJ1844" s="2136">
        <f>M1844-'Blocking-Step2'!M1844</f>
        <v>45.36</v>
      </c>
      <c r="AL1844" s="2136">
        <f>O1844-'Blocking-Step2'!O1844</f>
        <v>0</v>
      </c>
      <c r="AN1844" s="2137">
        <f>Q1844-'Blocking-Step2'!Q1844</f>
        <v>0</v>
      </c>
      <c r="AP1844" s="2127">
        <f>S1844-'Blocking-Step2'!S1844</f>
        <v>-4264</v>
      </c>
      <c r="AR1844" s="2127">
        <f>U1844-'Blocking-Step2'!U1844</f>
        <v>4264</v>
      </c>
      <c r="AT1844" s="2127">
        <f>W1844-'Blocking-Step2'!W1844</f>
        <v>0</v>
      </c>
      <c r="AV1844" s="2128">
        <f>Y1844-'Blocking-Step2'!Y1844</f>
        <v>0</v>
      </c>
    </row>
    <row r="1845" spans="1:48" ht="16.5" hidden="1" thickTop="1">
      <c r="A1845" s="1116" t="s">
        <v>390</v>
      </c>
      <c r="C1845" s="1105">
        <v>0</v>
      </c>
      <c r="D1845" s="1105">
        <v>0</v>
      </c>
      <c r="F1845" s="1907">
        <v>127.5</v>
      </c>
      <c r="G1845" s="1110"/>
      <c r="H1845" s="1146">
        <v>0</v>
      </c>
      <c r="I1845" s="1146">
        <v>0</v>
      </c>
      <c r="K1845" s="1907">
        <v>0</v>
      </c>
      <c r="L1845" s="1110"/>
      <c r="M1845" s="1907">
        <v>87.96</v>
      </c>
      <c r="N1845" s="1110"/>
      <c r="O1845" s="1907">
        <v>0</v>
      </c>
      <c r="P1845" s="1110"/>
      <c r="Q1845" s="1907">
        <v>87.96</v>
      </c>
      <c r="R1845" s="1110"/>
      <c r="S1845" s="1146">
        <v>0</v>
      </c>
      <c r="T1845" s="1114"/>
      <c r="U1845" s="1146">
        <v>0</v>
      </c>
      <c r="V1845" s="1114"/>
      <c r="W1845" s="1146">
        <v>0</v>
      </c>
      <c r="X1845" s="1629"/>
      <c r="Y1845" s="1146">
        <v>0</v>
      </c>
      <c r="Z1845" s="2114">
        <f>C1845-'Blocking-Step2'!C1845</f>
        <v>0</v>
      </c>
      <c r="AA1845" s="2114">
        <f>D1845-'Blocking-Step2'!D1845</f>
        <v>0</v>
      </c>
      <c r="AC1845" s="2114">
        <f>F1845-'Blocking-Step2'!F1845</f>
        <v>0</v>
      </c>
      <c r="AE1845" s="2114">
        <f>H1845-'Blocking-Step2'!H1845</f>
        <v>0</v>
      </c>
      <c r="AF1845" s="2114">
        <f>I1845-'Blocking-Step2'!I1845</f>
        <v>0</v>
      </c>
      <c r="AH1845" s="2136">
        <f>K1845-'Blocking-Step2'!K1845</f>
        <v>-81.61</v>
      </c>
      <c r="AJ1845" s="2136">
        <f>M1845-'Blocking-Step2'!M1845</f>
        <v>79.55</v>
      </c>
      <c r="AL1845" s="2136">
        <f>O1845-'Blocking-Step2'!O1845</f>
        <v>0</v>
      </c>
      <c r="AN1845" s="2137">
        <f>Q1845-'Blocking-Step2'!Q1845</f>
        <v>-2.0600000000000165</v>
      </c>
      <c r="AP1845" s="2127">
        <f>S1845-'Blocking-Step2'!S1845</f>
        <v>0</v>
      </c>
      <c r="AR1845" s="2127">
        <f>U1845-'Blocking-Step2'!U1845</f>
        <v>0</v>
      </c>
      <c r="AT1845" s="2127">
        <f>W1845-'Blocking-Step2'!W1845</f>
        <v>0</v>
      </c>
      <c r="AV1845" s="2128">
        <f>Y1845-'Blocking-Step2'!Y1845</f>
        <v>0</v>
      </c>
    </row>
    <row r="1846" spans="1:48" ht="16.5" hidden="1" thickTop="1">
      <c r="A1846" s="1116" t="s">
        <v>393</v>
      </c>
      <c r="C1846" s="1105">
        <v>1119.53548387097</v>
      </c>
      <c r="D1846" s="1105">
        <v>1128</v>
      </c>
      <c r="F1846" s="1907">
        <v>6.2</v>
      </c>
      <c r="G1846" s="1110"/>
      <c r="H1846" s="1146">
        <v>6941</v>
      </c>
      <c r="I1846" s="1146">
        <v>6994</v>
      </c>
      <c r="K1846" s="1907">
        <v>0</v>
      </c>
      <c r="L1846" s="1110"/>
      <c r="M1846" s="1907">
        <v>4.28</v>
      </c>
      <c r="N1846" s="1110"/>
      <c r="O1846" s="1907">
        <v>0</v>
      </c>
      <c r="P1846" s="1110"/>
      <c r="Q1846" s="1907">
        <v>4.28</v>
      </c>
      <c r="R1846" s="1110"/>
      <c r="S1846" s="1146">
        <v>0</v>
      </c>
      <c r="T1846" s="1114"/>
      <c r="U1846" s="1146">
        <v>4828</v>
      </c>
      <c r="V1846" s="1114"/>
      <c r="W1846" s="1146">
        <v>0</v>
      </c>
      <c r="X1846" s="1629"/>
      <c r="Y1846" s="1146">
        <v>4828</v>
      </c>
      <c r="Z1846" s="2114">
        <f>C1846-'Blocking-Step2'!C1846</f>
        <v>0</v>
      </c>
      <c r="AA1846" s="2114">
        <f>D1846-'Blocking-Step2'!D1846</f>
        <v>0</v>
      </c>
      <c r="AC1846" s="2114">
        <f>F1846-'Blocking-Step2'!F1846</f>
        <v>0</v>
      </c>
      <c r="AE1846" s="2114">
        <f>H1846-'Blocking-Step2'!H1846</f>
        <v>0</v>
      </c>
      <c r="AF1846" s="2114">
        <f>I1846-'Blocking-Step2'!I1846</f>
        <v>0</v>
      </c>
      <c r="AH1846" s="2136">
        <f>K1846-'Blocking-Step2'!K1846</f>
        <v>-3.88</v>
      </c>
      <c r="AJ1846" s="2136">
        <f>M1846-'Blocking-Step2'!M1846</f>
        <v>3.8800000000000003</v>
      </c>
      <c r="AL1846" s="2136">
        <f>O1846-'Blocking-Step2'!O1846</f>
        <v>0</v>
      </c>
      <c r="AN1846" s="2137">
        <f>Q1846-'Blocking-Step2'!Q1846</f>
        <v>0</v>
      </c>
      <c r="AP1846" s="2127">
        <f>S1846-'Blocking-Step2'!S1846</f>
        <v>-4377</v>
      </c>
      <c r="AR1846" s="2127">
        <f>U1846-'Blocking-Step2'!U1846</f>
        <v>4377</v>
      </c>
      <c r="AT1846" s="2127">
        <f>W1846-'Blocking-Step2'!W1846</f>
        <v>0</v>
      </c>
      <c r="AV1846" s="2128">
        <f>Y1846-'Blocking-Step2'!Y1846</f>
        <v>0</v>
      </c>
    </row>
    <row r="1847" spans="1:48" ht="16.5" hidden="1" thickTop="1">
      <c r="A1847" s="1116" t="s">
        <v>360</v>
      </c>
      <c r="C1847" s="1105">
        <v>868661</v>
      </c>
      <c r="D1847" s="1105">
        <v>906565.39492630609</v>
      </c>
      <c r="F1847" s="2086">
        <v>5.3437000000000001</v>
      </c>
      <c r="G1847" s="1921" t="s">
        <v>495</v>
      </c>
      <c r="H1847" s="1146">
        <v>46419</v>
      </c>
      <c r="I1847" s="1146">
        <v>48444</v>
      </c>
      <c r="K1847" s="2086">
        <v>0</v>
      </c>
      <c r="L1847" s="1921" t="s">
        <v>495</v>
      </c>
      <c r="M1847" s="2086">
        <v>1.4997</v>
      </c>
      <c r="N1847" s="1921" t="s">
        <v>495</v>
      </c>
      <c r="O1847" s="2087">
        <v>2.0289413928359998</v>
      </c>
      <c r="P1847" s="2020" t="s">
        <v>495</v>
      </c>
      <c r="Q1847" s="2087">
        <v>3.5286413928360001</v>
      </c>
      <c r="R1847" s="1921" t="s">
        <v>495</v>
      </c>
      <c r="S1847" s="1146">
        <v>0</v>
      </c>
      <c r="T1847" s="1648"/>
      <c r="U1847" s="1146">
        <v>13596</v>
      </c>
      <c r="V1847" s="1648"/>
      <c r="W1847" s="1146">
        <v>18394</v>
      </c>
      <c r="X1847" s="1648"/>
      <c r="Y1847" s="1146">
        <v>31989</v>
      </c>
      <c r="Z1847" s="2114">
        <f>C1847-'Blocking-Step2'!C1847</f>
        <v>0</v>
      </c>
      <c r="AA1847" s="2114">
        <f>D1847-'Blocking-Step2'!D1847</f>
        <v>0</v>
      </c>
      <c r="AC1847" s="2114">
        <f>F1847-'Blocking-Step2'!F1847</f>
        <v>0</v>
      </c>
      <c r="AE1847" s="2114">
        <f>H1847-'Blocking-Step2'!H1847</f>
        <v>0</v>
      </c>
      <c r="AF1847" s="2114">
        <f>I1847-'Blocking-Step2'!I1847</f>
        <v>0</v>
      </c>
      <c r="AH1847" s="2136">
        <f>K1847-'Blocking-Step2'!K1847</f>
        <v>0</v>
      </c>
      <c r="AJ1847" s="2136">
        <f>M1847-'Blocking-Step2'!M1847</f>
        <v>0</v>
      </c>
      <c r="AL1847" s="2136">
        <f>O1847-'Blocking-Step2'!O1847</f>
        <v>0</v>
      </c>
      <c r="AN1847" s="2137">
        <f>Q1847-'Blocking-Step2'!Q1847</f>
        <v>0</v>
      </c>
      <c r="AP1847" s="2127">
        <f>S1847-'Blocking-Step2'!S1847</f>
        <v>0</v>
      </c>
      <c r="AR1847" s="2127">
        <f>U1847-'Blocking-Step2'!U1847</f>
        <v>0</v>
      </c>
      <c r="AT1847" s="2127">
        <f>W1847-'Blocking-Step2'!W1847</f>
        <v>0</v>
      </c>
      <c r="AV1847" s="2128">
        <f>Y1847-'Blocking-Step2'!Y1847</f>
        <v>0</v>
      </c>
    </row>
    <row r="1848" spans="1:48" ht="16.5" hidden="1" thickTop="1">
      <c r="A1848" s="1116" t="s">
        <v>288</v>
      </c>
      <c r="C1848" s="1940">
        <v>-32186</v>
      </c>
      <c r="D1848" s="1940">
        <v>0</v>
      </c>
      <c r="H1848" s="1147">
        <v>-2456</v>
      </c>
      <c r="I1848" s="1147">
        <v>0</v>
      </c>
      <c r="Y1848" s="1147"/>
      <c r="Z1848" s="2114">
        <f>C1848-'Blocking-Step2'!C1848</f>
        <v>0</v>
      </c>
      <c r="AA1848" s="2114">
        <f>D1848-'Blocking-Step2'!D1848</f>
        <v>0</v>
      </c>
      <c r="AC1848" s="2114">
        <f>F1848-'Blocking-Step2'!F1848</f>
        <v>0</v>
      </c>
      <c r="AE1848" s="2114">
        <f>H1848-'Blocking-Step2'!H1848</f>
        <v>0</v>
      </c>
      <c r="AF1848" s="2114">
        <f>I1848-'Blocking-Step2'!I1848</f>
        <v>0</v>
      </c>
      <c r="AH1848" s="2136">
        <f>K1848-'Blocking-Step2'!K1848</f>
        <v>0</v>
      </c>
      <c r="AJ1848" s="2136">
        <f>M1848-'Blocking-Step2'!M1848</f>
        <v>0</v>
      </c>
      <c r="AL1848" s="2136">
        <f>O1848-'Blocking-Step2'!O1848</f>
        <v>0</v>
      </c>
      <c r="AN1848" s="2137">
        <f>Q1848-'Blocking-Step2'!Q1848</f>
        <v>0</v>
      </c>
      <c r="AP1848" s="2127">
        <f>S1848-'Blocking-Step2'!S1848</f>
        <v>0</v>
      </c>
      <c r="AR1848" s="2127">
        <f>U1848-'Blocking-Step2'!U1848</f>
        <v>0</v>
      </c>
      <c r="AT1848" s="2127">
        <f>W1848-'Blocking-Step2'!W1848</f>
        <v>0</v>
      </c>
      <c r="AV1848" s="2128">
        <f>Y1848-'Blocking-Step2'!Y1848</f>
        <v>0</v>
      </c>
    </row>
    <row r="1849" spans="1:48" ht="16.5" hidden="1" thickTop="1">
      <c r="A1849" s="1116" t="s">
        <v>1240</v>
      </c>
      <c r="C1849" s="1024"/>
      <c r="D1849" s="1024"/>
      <c r="F1849" s="2076">
        <v>-2.8000000000000001E-2</v>
      </c>
      <c r="G1849" s="617"/>
      <c r="H1849" s="1146">
        <v>-1299.732</v>
      </c>
      <c r="I1849" s="1146">
        <v>-1356.432</v>
      </c>
      <c r="K1849" s="2076"/>
      <c r="L1849" s="617"/>
      <c r="M1849" s="2076"/>
      <c r="N1849" s="617"/>
      <c r="O1849" s="2077" t="s">
        <v>2323</v>
      </c>
      <c r="P1849" s="617"/>
      <c r="Q1849" s="2076">
        <v>-2.7300000000000001E-2</v>
      </c>
      <c r="R1849" s="617"/>
      <c r="S1849" s="1114"/>
      <c r="T1849" s="1114"/>
      <c r="U1849" s="1114"/>
      <c r="V1849" s="1114"/>
      <c r="W1849" s="1114"/>
      <c r="X1849" s="1114"/>
      <c r="Y1849" s="1146">
        <v>-873.29970000000003</v>
      </c>
      <c r="Z1849" s="2114">
        <f>C1849-'Blocking-Step2'!C1849</f>
        <v>0</v>
      </c>
      <c r="AA1849" s="2114">
        <f>D1849-'Blocking-Step2'!D1849</f>
        <v>0</v>
      </c>
      <c r="AC1849" s="2114">
        <f>F1849-'Blocking-Step2'!F1849</f>
        <v>0</v>
      </c>
      <c r="AE1849" s="2114">
        <f>H1849-'Blocking-Step2'!H1849</f>
        <v>0</v>
      </c>
      <c r="AF1849" s="2114">
        <f>I1849-'Blocking-Step2'!I1849</f>
        <v>0</v>
      </c>
      <c r="AH1849" s="2136">
        <f>K1849-'Blocking-Step2'!K1849</f>
        <v>0</v>
      </c>
      <c r="AJ1849" s="2136">
        <f>M1849-'Blocking-Step2'!M1849</f>
        <v>0</v>
      </c>
      <c r="AL1849" s="2136" t="e">
        <f>O1849-'Blocking-Step2'!O1849</f>
        <v>#VALUE!</v>
      </c>
      <c r="AN1849" s="2137">
        <f>Q1849-'Blocking-Step2'!Q1849</f>
        <v>0</v>
      </c>
      <c r="AP1849" s="2127">
        <f>S1849-'Blocking-Step2'!S1849</f>
        <v>0</v>
      </c>
      <c r="AR1849" s="2127">
        <f>U1849-'Blocking-Step2'!U1849</f>
        <v>0</v>
      </c>
      <c r="AT1849" s="2127">
        <f>W1849-'Blocking-Step2'!W1849</f>
        <v>0</v>
      </c>
      <c r="AV1849" s="2128">
        <f>Y1849-'Blocking-Step2'!Y1849</f>
        <v>0</v>
      </c>
    </row>
    <row r="1850" spans="1:48" ht="16.5" hidden="1" thickTop="1">
      <c r="A1850" s="1116"/>
      <c r="C1850" s="1024"/>
      <c r="D1850" s="1024"/>
      <c r="F1850" s="2076"/>
      <c r="G1850" s="617"/>
      <c r="H1850" s="1146"/>
      <c r="I1850" s="1146"/>
      <c r="K1850" s="2076"/>
      <c r="L1850" s="617"/>
      <c r="M1850" s="2076"/>
      <c r="N1850" s="617"/>
      <c r="O1850" s="2077" t="s">
        <v>2324</v>
      </c>
      <c r="P1850" s="617"/>
      <c r="Q1850" s="2076">
        <v>-1.4800000000000001E-2</v>
      </c>
      <c r="R1850" s="617"/>
      <c r="S1850" s="1114"/>
      <c r="T1850" s="1114"/>
      <c r="U1850" s="1114"/>
      <c r="V1850" s="1114"/>
      <c r="W1850" s="1114"/>
      <c r="X1850" s="1114"/>
      <c r="Y1850" s="1146">
        <v>-473.43720000000002</v>
      </c>
      <c r="Z1850" s="2114">
        <f>C1850-'Blocking-Step2'!C1850</f>
        <v>0</v>
      </c>
      <c r="AA1850" s="2114">
        <f>D1850-'Blocking-Step2'!D1850</f>
        <v>0</v>
      </c>
      <c r="AC1850" s="2114">
        <f>F1850-'Blocking-Step2'!F1850</f>
        <v>0</v>
      </c>
      <c r="AE1850" s="2114">
        <f>H1850-'Blocking-Step2'!H1850</f>
        <v>0</v>
      </c>
      <c r="AF1850" s="2114">
        <f>I1850-'Blocking-Step2'!I1850</f>
        <v>0</v>
      </c>
      <c r="AH1850" s="2136">
        <f>K1850-'Blocking-Step2'!K1850</f>
        <v>0</v>
      </c>
      <c r="AJ1850" s="2136">
        <f>M1850-'Blocking-Step2'!M1850</f>
        <v>0</v>
      </c>
      <c r="AL1850" s="2136" t="e">
        <f>O1850-'Blocking-Step2'!O1850</f>
        <v>#VALUE!</v>
      </c>
      <c r="AN1850" s="2137">
        <f>Q1850-'Blocking-Step2'!Q1850</f>
        <v>0</v>
      </c>
      <c r="AP1850" s="2127">
        <f>S1850-'Blocking-Step2'!S1850</f>
        <v>0</v>
      </c>
      <c r="AR1850" s="2127">
        <f>U1850-'Blocking-Step2'!U1850</f>
        <v>0</v>
      </c>
      <c r="AT1850" s="2127">
        <f>W1850-'Blocking-Step2'!W1850</f>
        <v>0</v>
      </c>
      <c r="AV1850" s="2128">
        <f>Y1850-'Blocking-Step2'!Y1850</f>
        <v>0</v>
      </c>
    </row>
    <row r="1851" spans="1:48" ht="17.25" hidden="1" thickTop="1" thickBot="1">
      <c r="A1851" s="1104" t="s">
        <v>93</v>
      </c>
      <c r="C1851" s="1138">
        <v>836475</v>
      </c>
      <c r="D1851" s="1138">
        <v>906565.39492630609</v>
      </c>
      <c r="F1851" s="1145"/>
      <c r="H1851" s="1149">
        <v>67475.267999999996</v>
      </c>
      <c r="I1851" s="1149">
        <v>72919.567999999999</v>
      </c>
      <c r="K1851" s="1145"/>
      <c r="M1851" s="1145"/>
      <c r="O1851" s="1145"/>
      <c r="Q1851" s="1145"/>
      <c r="S1851" s="1149">
        <v>5509</v>
      </c>
      <c r="U1851" s="1149">
        <v>26361</v>
      </c>
      <c r="W1851" s="1149">
        <v>18394</v>
      </c>
      <c r="Y1851" s="1149">
        <v>50263</v>
      </c>
      <c r="Z1851" s="2114">
        <f>C1851-'Blocking-Step2'!C1851</f>
        <v>0</v>
      </c>
      <c r="AA1851" s="2114">
        <f>D1851-'Blocking-Step2'!D1851</f>
        <v>0</v>
      </c>
      <c r="AC1851" s="2114">
        <f>F1851-'Blocking-Step2'!F1851</f>
        <v>0</v>
      </c>
      <c r="AE1851" s="2114">
        <f>H1851-'Blocking-Step2'!H1851</f>
        <v>0</v>
      </c>
      <c r="AF1851" s="2114">
        <f>I1851-'Blocking-Step2'!I1851</f>
        <v>0</v>
      </c>
      <c r="AH1851" s="2136">
        <f>K1851-'Blocking-Step2'!K1851</f>
        <v>0</v>
      </c>
      <c r="AJ1851" s="2136">
        <f>M1851-'Blocking-Step2'!M1851</f>
        <v>0</v>
      </c>
      <c r="AL1851" s="2136">
        <f>O1851-'Blocking-Step2'!O1851</f>
        <v>0</v>
      </c>
      <c r="AN1851" s="2137">
        <f>Q1851-'Blocking-Step2'!Q1851</f>
        <v>0</v>
      </c>
      <c r="AP1851" s="2127">
        <f>S1851-'Blocking-Step2'!S1851</f>
        <v>-11056</v>
      </c>
      <c r="AR1851" s="2127">
        <f>U1851-'Blocking-Step2'!U1851</f>
        <v>11056</v>
      </c>
      <c r="AT1851" s="2127">
        <f>W1851-'Blocking-Step2'!W1851</f>
        <v>0</v>
      </c>
      <c r="AV1851" s="2128">
        <f>Y1851-'Blocking-Step2'!Y1851</f>
        <v>0</v>
      </c>
    </row>
    <row r="1852" spans="1:48" ht="16.5" thickTop="1">
      <c r="C1852" s="1105"/>
      <c r="D1852" s="1105"/>
      <c r="Z1852" s="2114">
        <f>C1852-'Blocking-Step2'!C1852</f>
        <v>0</v>
      </c>
      <c r="AA1852" s="2114">
        <f>D1852-'Blocking-Step2'!D1852</f>
        <v>0</v>
      </c>
      <c r="AC1852" s="2114">
        <f>F1852-'Blocking-Step2'!F1852</f>
        <v>0</v>
      </c>
      <c r="AE1852" s="2114">
        <f>H1852-'Blocking-Step2'!H1852</f>
        <v>0</v>
      </c>
      <c r="AF1852" s="2114">
        <f>I1852-'Blocking-Step2'!I1852</f>
        <v>0</v>
      </c>
      <c r="AH1852" s="2136">
        <f>K1852-'Blocking-Step2'!K1852</f>
        <v>0</v>
      </c>
      <c r="AJ1852" s="2136">
        <f>M1852-'Blocking-Step2'!M1852</f>
        <v>0</v>
      </c>
      <c r="AL1852" s="2136">
        <f>O1852-'Blocking-Step2'!O1852</f>
        <v>0</v>
      </c>
      <c r="AN1852" s="2137">
        <f>Q1852-'Blocking-Step2'!Q1852</f>
        <v>0</v>
      </c>
      <c r="AP1852" s="2127">
        <f>S1852-'Blocking-Step2'!S1852</f>
        <v>0</v>
      </c>
      <c r="AR1852" s="2127">
        <f>U1852-'Blocking-Step2'!U1852</f>
        <v>0</v>
      </c>
      <c r="AT1852" s="2127">
        <f>W1852-'Blocking-Step2'!W1852</f>
        <v>0</v>
      </c>
      <c r="AV1852" s="2128">
        <f>Y1852-'Blocking-Step2'!Y1852</f>
        <v>0</v>
      </c>
    </row>
    <row r="1853" spans="1:48">
      <c r="A1853" s="2092" t="s">
        <v>921</v>
      </c>
      <c r="C1853" s="1105"/>
      <c r="D1853" s="1105"/>
      <c r="F1853" s="1109"/>
      <c r="H1853" s="1114"/>
      <c r="I1853" s="1114"/>
      <c r="K1853" s="1109"/>
      <c r="M1853" s="1109"/>
      <c r="O1853" s="1109"/>
      <c r="Q1853" s="1109"/>
      <c r="Y1853" s="1114"/>
      <c r="Z1853" s="2114">
        <f>C1853-'Blocking-Step2'!C1853</f>
        <v>0</v>
      </c>
      <c r="AA1853" s="2114">
        <f>D1853-'Blocking-Step2'!D1853</f>
        <v>0</v>
      </c>
      <c r="AC1853" s="2114">
        <f>F1853-'Blocking-Step2'!F1853</f>
        <v>0</v>
      </c>
      <c r="AE1853" s="2114">
        <f>H1853-'Blocking-Step2'!H1853</f>
        <v>0</v>
      </c>
      <c r="AF1853" s="2114">
        <f>I1853-'Blocking-Step2'!I1853</f>
        <v>0</v>
      </c>
      <c r="AH1853" s="2136">
        <f>K1853-'Blocking-Step2'!K1853</f>
        <v>0</v>
      </c>
      <c r="AJ1853" s="2136">
        <f>M1853-'Blocking-Step2'!M1853</f>
        <v>0</v>
      </c>
      <c r="AL1853" s="2136">
        <f>O1853-'Blocking-Step2'!O1853</f>
        <v>0</v>
      </c>
      <c r="AN1853" s="2137">
        <f>Q1853-'Blocking-Step2'!Q1853</f>
        <v>0</v>
      </c>
      <c r="AP1853" s="2127">
        <f>S1853-'Blocking-Step2'!S1853</f>
        <v>0</v>
      </c>
      <c r="AR1853" s="2127">
        <f>U1853-'Blocking-Step2'!U1853</f>
        <v>0</v>
      </c>
      <c r="AT1853" s="2127">
        <f>W1853-'Blocking-Step2'!W1853</f>
        <v>0</v>
      </c>
      <c r="AV1853" s="2128">
        <f>Y1853-'Blocking-Step2'!Y1853</f>
        <v>0</v>
      </c>
    </row>
    <row r="1854" spans="1:48">
      <c r="A1854" s="1116" t="s">
        <v>359</v>
      </c>
      <c r="C1854" s="1105">
        <v>32427.756363636341</v>
      </c>
      <c r="D1854" s="1105">
        <v>32811</v>
      </c>
      <c r="F1854" s="1907">
        <v>5.5</v>
      </c>
      <c r="G1854" s="1110"/>
      <c r="H1854" s="1146">
        <v>178353</v>
      </c>
      <c r="I1854" s="1146">
        <v>180461</v>
      </c>
      <c r="K1854" s="1142">
        <v>5.5</v>
      </c>
      <c r="L1854" s="617"/>
      <c r="M1854" s="1142">
        <v>0</v>
      </c>
      <c r="N1854" s="617"/>
      <c r="O1854" s="1142">
        <v>0</v>
      </c>
      <c r="P1854" s="1110"/>
      <c r="Q1854" s="1907">
        <v>5.5</v>
      </c>
      <c r="R1854" s="1110"/>
      <c r="S1854" s="1629">
        <v>180461</v>
      </c>
      <c r="T1854" s="1629"/>
      <c r="U1854" s="1629"/>
      <c r="V1854" s="1629"/>
      <c r="W1854" s="1629"/>
      <c r="X1854" s="1629"/>
      <c r="Y1854" s="1146">
        <v>180461</v>
      </c>
      <c r="Z1854" s="2114">
        <f>C1854-'Blocking-Step2'!C1854</f>
        <v>0</v>
      </c>
      <c r="AA1854" s="2114">
        <f>D1854-'Blocking-Step2'!D1854</f>
        <v>0</v>
      </c>
      <c r="AC1854" s="2114">
        <f>F1854-'Blocking-Step2'!F1854</f>
        <v>0</v>
      </c>
      <c r="AE1854" s="2114">
        <f>H1854-'Blocking-Step2'!H1854</f>
        <v>0</v>
      </c>
      <c r="AF1854" s="2114">
        <f>I1854-'Blocking-Step2'!I1854</f>
        <v>0</v>
      </c>
      <c r="AH1854" s="2136">
        <f>K1854-'Blocking-Step2'!K1854</f>
        <v>0</v>
      </c>
      <c r="AJ1854" s="2136">
        <f>M1854-'Blocking-Step2'!M1854</f>
        <v>0</v>
      </c>
      <c r="AL1854" s="2136">
        <f>O1854-'Blocking-Step2'!O1854</f>
        <v>0</v>
      </c>
      <c r="AN1854" s="2137">
        <f>Q1854-'Blocking-Step2'!Q1854</f>
        <v>0</v>
      </c>
      <c r="AP1854" s="2127">
        <f>S1854-'Blocking-Step2'!S1854</f>
        <v>0</v>
      </c>
      <c r="AR1854" s="2127">
        <f>U1854-'Blocking-Step2'!U1854</f>
        <v>0</v>
      </c>
      <c r="AT1854" s="2127">
        <f>W1854-'Blocking-Step2'!W1854</f>
        <v>0</v>
      </c>
      <c r="AV1854" s="2128">
        <f>Y1854-'Blocking-Step2'!Y1854</f>
        <v>0</v>
      </c>
    </row>
    <row r="1855" spans="1:48">
      <c r="A1855" s="1116" t="s">
        <v>360</v>
      </c>
      <c r="C1855" s="1105">
        <v>7727417</v>
      </c>
      <c r="D1855" s="1105">
        <v>7776370.4443165418</v>
      </c>
      <c r="F1855" s="2087">
        <v>8.4048999999999996</v>
      </c>
      <c r="G1855" s="1921" t="s">
        <v>495</v>
      </c>
      <c r="H1855" s="1146">
        <v>649482</v>
      </c>
      <c r="I1855" s="1146">
        <v>653596</v>
      </c>
      <c r="K1855" s="1922">
        <v>1.8412999999999999</v>
      </c>
      <c r="L1855" s="1921" t="s">
        <v>495</v>
      </c>
      <c r="M1855" s="1922">
        <v>3.9762</v>
      </c>
      <c r="N1855" s="1921" t="s">
        <v>495</v>
      </c>
      <c r="O1855" s="1922">
        <v>2.1835341013880005</v>
      </c>
      <c r="P1855" s="1921" t="s">
        <v>495</v>
      </c>
      <c r="Q1855" s="2087">
        <v>8.0010341013880009</v>
      </c>
      <c r="R1855" s="1921" t="s">
        <v>495</v>
      </c>
      <c r="S1855" s="1648">
        <v>143189.27168103651</v>
      </c>
      <c r="T1855" s="1648"/>
      <c r="U1855" s="1648">
        <v>309205.27775514656</v>
      </c>
      <c r="V1855" s="1648"/>
      <c r="W1855" s="1648">
        <v>169795.45056381694</v>
      </c>
      <c r="X1855" s="1648"/>
      <c r="Y1855" s="1146">
        <v>622190</v>
      </c>
      <c r="Z1855" s="2114">
        <f>C1855-'Blocking-Step2'!C1855</f>
        <v>0</v>
      </c>
      <c r="AA1855" s="2114">
        <f>D1855-'Blocking-Step2'!D1855</f>
        <v>0</v>
      </c>
      <c r="AC1855" s="2114">
        <f>F1855-'Blocking-Step2'!F1855</f>
        <v>0</v>
      </c>
      <c r="AE1855" s="2114">
        <f>H1855-'Blocking-Step2'!H1855</f>
        <v>0</v>
      </c>
      <c r="AF1855" s="2114">
        <f>I1855-'Blocking-Step2'!I1855</f>
        <v>0</v>
      </c>
      <c r="AH1855" s="2136">
        <f>K1855-'Blocking-Step2'!K1855</f>
        <v>-1.1630000000000003</v>
      </c>
      <c r="AJ1855" s="2136">
        <f>M1855-'Blocking-Step2'!M1855</f>
        <v>1.1629</v>
      </c>
      <c r="AL1855" s="2136">
        <f>O1855-'Blocking-Step2'!O1855</f>
        <v>1.0000000000021103E-4</v>
      </c>
      <c r="AN1855" s="2137">
        <f>Q1855-'Blocking-Step2'!Q1855</f>
        <v>0</v>
      </c>
      <c r="AP1855" s="2127">
        <f>S1855-'Blocking-Step2'!S1855</f>
        <v>-90432.873592465243</v>
      </c>
      <c r="AR1855" s="2127">
        <f>U1855-'Blocking-Step2'!U1855</f>
        <v>90432.873592465243</v>
      </c>
      <c r="AT1855" s="2127">
        <f>W1855-'Blocking-Step2'!W1855</f>
        <v>0</v>
      </c>
      <c r="AV1855" s="2128">
        <f>Y1855-'Blocking-Step2'!Y1855</f>
        <v>0</v>
      </c>
    </row>
    <row r="1856" spans="1:48">
      <c r="A1856" s="1116" t="s">
        <v>288</v>
      </c>
      <c r="C1856" s="1137">
        <v>-144801</v>
      </c>
      <c r="D1856" s="1137">
        <v>0</v>
      </c>
      <c r="H1856" s="1147">
        <v>-14152</v>
      </c>
      <c r="I1856" s="1147">
        <v>0</v>
      </c>
      <c r="Y1856" s="1147"/>
      <c r="Z1856" s="2114">
        <f>C1856-'Blocking-Step2'!C1856</f>
        <v>0</v>
      </c>
      <c r="AA1856" s="2114">
        <f>D1856-'Blocking-Step2'!D1856</f>
        <v>0</v>
      </c>
      <c r="AC1856" s="2114">
        <f>F1856-'Blocking-Step2'!F1856</f>
        <v>0</v>
      </c>
      <c r="AE1856" s="2114">
        <f>H1856-'Blocking-Step2'!H1856</f>
        <v>0</v>
      </c>
      <c r="AF1856" s="2114">
        <f>I1856-'Blocking-Step2'!I1856</f>
        <v>0</v>
      </c>
      <c r="AH1856" s="2136">
        <f>K1856-'Blocking-Step2'!K1856</f>
        <v>0</v>
      </c>
      <c r="AJ1856" s="2136">
        <f>M1856-'Blocking-Step2'!M1856</f>
        <v>0</v>
      </c>
      <c r="AL1856" s="2136">
        <f>O1856-'Blocking-Step2'!O1856</f>
        <v>0</v>
      </c>
      <c r="AN1856" s="2137">
        <f>Q1856-'Blocking-Step2'!Q1856</f>
        <v>0</v>
      </c>
      <c r="AP1856" s="2127">
        <f>S1856-'Blocking-Step2'!S1856</f>
        <v>0</v>
      </c>
      <c r="AR1856" s="2127">
        <f>U1856-'Blocking-Step2'!U1856</f>
        <v>0</v>
      </c>
      <c r="AT1856" s="2127">
        <f>W1856-'Blocking-Step2'!W1856</f>
        <v>0</v>
      </c>
      <c r="AV1856" s="2128">
        <f>Y1856-'Blocking-Step2'!Y1856</f>
        <v>0</v>
      </c>
    </row>
    <row r="1857" spans="1:48">
      <c r="A1857" s="1116" t="s">
        <v>1240</v>
      </c>
      <c r="C1857" s="1024"/>
      <c r="D1857" s="1024"/>
      <c r="F1857" s="2076">
        <v>-3.7699999999999997E-2</v>
      </c>
      <c r="G1857" s="617"/>
      <c r="H1857" s="1146">
        <v>-31209.379499999999</v>
      </c>
      <c r="I1857" s="1146">
        <v>-31443.948899999999</v>
      </c>
      <c r="K1857" s="2076"/>
      <c r="L1857" s="617"/>
      <c r="M1857" s="2076"/>
      <c r="N1857" s="617"/>
      <c r="O1857" s="2077" t="s">
        <v>2323</v>
      </c>
      <c r="P1857" s="617"/>
      <c r="Q1857" s="2076">
        <v>-2.64E-2</v>
      </c>
      <c r="R1857" s="617"/>
      <c r="S1857" s="1114"/>
      <c r="T1857" s="1114"/>
      <c r="U1857" s="1114"/>
      <c r="V1857" s="1114"/>
      <c r="W1857" s="1114"/>
      <c r="X1857" s="1114"/>
      <c r="Y1857" s="1146">
        <v>-16425.815999999999</v>
      </c>
      <c r="Z1857" s="2114">
        <f>C1857-'Blocking-Step2'!C1857</f>
        <v>0</v>
      </c>
      <c r="AA1857" s="2114">
        <f>D1857-'Blocking-Step2'!D1857</f>
        <v>0</v>
      </c>
      <c r="AC1857" s="2114">
        <f>F1857-'Blocking-Step2'!F1857</f>
        <v>0</v>
      </c>
      <c r="AE1857" s="2114">
        <f>H1857-'Blocking-Step2'!H1857</f>
        <v>0</v>
      </c>
      <c r="AF1857" s="2114">
        <f>I1857-'Blocking-Step2'!I1857</f>
        <v>0</v>
      </c>
      <c r="AH1857" s="2136">
        <f>K1857-'Blocking-Step2'!K1857</f>
        <v>0</v>
      </c>
      <c r="AJ1857" s="2136">
        <f>M1857-'Blocking-Step2'!M1857</f>
        <v>0</v>
      </c>
      <c r="AL1857" s="2136" t="e">
        <f>O1857-'Blocking-Step2'!O1857</f>
        <v>#VALUE!</v>
      </c>
      <c r="AN1857" s="2137">
        <f>Q1857-'Blocking-Step2'!Q1857</f>
        <v>0</v>
      </c>
      <c r="AP1857" s="2127">
        <f>S1857-'Blocking-Step2'!S1857</f>
        <v>0</v>
      </c>
      <c r="AR1857" s="2127">
        <f>U1857-'Blocking-Step2'!U1857</f>
        <v>0</v>
      </c>
      <c r="AT1857" s="2127">
        <f>W1857-'Blocking-Step2'!W1857</f>
        <v>0</v>
      </c>
      <c r="AV1857" s="2128">
        <f>Y1857-'Blocking-Step2'!Y1857</f>
        <v>0</v>
      </c>
    </row>
    <row r="1858" spans="1:48">
      <c r="A1858" s="1116"/>
      <c r="C1858" s="1024"/>
      <c r="D1858" s="1024"/>
      <c r="F1858" s="2076"/>
      <c r="G1858" s="617"/>
      <c r="H1858" s="1146"/>
      <c r="I1858" s="1146"/>
      <c r="K1858" s="2076"/>
      <c r="L1858" s="617"/>
      <c r="M1858" s="2076"/>
      <c r="N1858" s="617"/>
      <c r="O1858" s="2077" t="s">
        <v>2324</v>
      </c>
      <c r="P1858" s="617"/>
      <c r="Q1858" s="2076">
        <v>-1.43E-2</v>
      </c>
      <c r="R1858" s="617"/>
      <c r="S1858" s="1114"/>
      <c r="T1858" s="1114"/>
      <c r="U1858" s="1114"/>
      <c r="V1858" s="1114"/>
      <c r="W1858" s="1114"/>
      <c r="X1858" s="1114"/>
      <c r="Y1858" s="1146">
        <v>-8897.3170000000009</v>
      </c>
      <c r="Z1858" s="2114">
        <f>C1858-'Blocking-Step2'!C1858</f>
        <v>0</v>
      </c>
      <c r="AA1858" s="2114">
        <f>D1858-'Blocking-Step2'!D1858</f>
        <v>0</v>
      </c>
      <c r="AC1858" s="2114">
        <f>F1858-'Blocking-Step2'!F1858</f>
        <v>0</v>
      </c>
      <c r="AE1858" s="2114">
        <f>H1858-'Blocking-Step2'!H1858</f>
        <v>0</v>
      </c>
      <c r="AF1858" s="2114">
        <f>I1858-'Blocking-Step2'!I1858</f>
        <v>0</v>
      </c>
      <c r="AH1858" s="2136">
        <f>K1858-'Blocking-Step2'!K1858</f>
        <v>0</v>
      </c>
      <c r="AJ1858" s="2136">
        <f>M1858-'Blocking-Step2'!M1858</f>
        <v>0</v>
      </c>
      <c r="AL1858" s="2136" t="e">
        <f>O1858-'Blocking-Step2'!O1858</f>
        <v>#VALUE!</v>
      </c>
      <c r="AN1858" s="2137">
        <f>Q1858-'Blocking-Step2'!Q1858</f>
        <v>0</v>
      </c>
      <c r="AP1858" s="2127">
        <f>S1858-'Blocking-Step2'!S1858</f>
        <v>0</v>
      </c>
      <c r="AR1858" s="2127">
        <f>U1858-'Blocking-Step2'!U1858</f>
        <v>0</v>
      </c>
      <c r="AT1858" s="2127">
        <f>W1858-'Blocking-Step2'!W1858</f>
        <v>0</v>
      </c>
      <c r="AV1858" s="2128">
        <f>Y1858-'Blocking-Step2'!Y1858</f>
        <v>0</v>
      </c>
    </row>
    <row r="1859" spans="1:48" ht="16.5" thickBot="1">
      <c r="A1859" s="1104" t="s">
        <v>93</v>
      </c>
      <c r="C1859" s="1138">
        <v>7582616</v>
      </c>
      <c r="D1859" s="1138">
        <v>7776370.4443165418</v>
      </c>
      <c r="F1859" s="1145"/>
      <c r="H1859" s="1149">
        <v>782473.62049999996</v>
      </c>
      <c r="I1859" s="1149">
        <v>802613.05110000004</v>
      </c>
      <c r="K1859" s="1145"/>
      <c r="M1859" s="1145"/>
      <c r="O1859" s="1145"/>
      <c r="Q1859" s="1145"/>
      <c r="S1859" s="1154">
        <v>323650.27168103651</v>
      </c>
      <c r="T1859" s="1154"/>
      <c r="U1859" s="1154">
        <v>309205.27775514656</v>
      </c>
      <c r="V1859" s="1154"/>
      <c r="W1859" s="1154">
        <v>169795.45056381694</v>
      </c>
      <c r="Y1859" s="1149">
        <v>802651</v>
      </c>
      <c r="Z1859" s="2114">
        <f>C1859-'Blocking-Step2'!C1859</f>
        <v>0</v>
      </c>
      <c r="AA1859" s="2114">
        <f>D1859-'Blocking-Step2'!D1859</f>
        <v>0</v>
      </c>
      <c r="AC1859" s="2114">
        <f>F1859-'Blocking-Step2'!F1859</f>
        <v>0</v>
      </c>
      <c r="AE1859" s="2114">
        <f>H1859-'Blocking-Step2'!H1859</f>
        <v>0</v>
      </c>
      <c r="AF1859" s="2114">
        <f>I1859-'Blocking-Step2'!I1859</f>
        <v>0</v>
      </c>
      <c r="AH1859" s="2136">
        <f>K1859-'Blocking-Step2'!K1859</f>
        <v>0</v>
      </c>
      <c r="AJ1859" s="2136">
        <f>M1859-'Blocking-Step2'!M1859</f>
        <v>0</v>
      </c>
      <c r="AL1859" s="2136">
        <f>O1859-'Blocking-Step2'!O1859</f>
        <v>0</v>
      </c>
      <c r="AN1859" s="2137">
        <f>Q1859-'Blocking-Step2'!Q1859</f>
        <v>0</v>
      </c>
      <c r="AP1859" s="2127">
        <f>S1859-'Blocking-Step2'!S1859</f>
        <v>-90432.873592465243</v>
      </c>
      <c r="AR1859" s="2127">
        <f>U1859-'Blocking-Step2'!U1859</f>
        <v>90432.873592465243</v>
      </c>
      <c r="AT1859" s="2127">
        <f>W1859-'Blocking-Step2'!W1859</f>
        <v>0</v>
      </c>
      <c r="AV1859" s="2128">
        <f>Y1859-'Blocking-Step2'!Y1859</f>
        <v>0</v>
      </c>
    </row>
    <row r="1860" spans="1:48" ht="16.5" hidden="1" thickTop="1">
      <c r="C1860" s="1105"/>
      <c r="D1860" s="1105"/>
      <c r="Z1860" s="2114">
        <f>C1860-'Blocking-Step2'!C1860</f>
        <v>0</v>
      </c>
      <c r="AA1860" s="2114">
        <f>D1860-'Blocking-Step2'!D1860</f>
        <v>0</v>
      </c>
      <c r="AC1860" s="2114">
        <f>F1860-'Blocking-Step2'!F1860</f>
        <v>0</v>
      </c>
      <c r="AE1860" s="2114">
        <f>H1860-'Blocking-Step2'!H1860</f>
        <v>0</v>
      </c>
      <c r="AF1860" s="2114">
        <f>I1860-'Blocking-Step2'!I1860</f>
        <v>0</v>
      </c>
      <c r="AH1860" s="2136">
        <f>K1860-'Blocking-Step2'!K1860</f>
        <v>0</v>
      </c>
      <c r="AJ1860" s="2136">
        <f>M1860-'Blocking-Step2'!M1860</f>
        <v>0</v>
      </c>
      <c r="AL1860" s="2136">
        <f>O1860-'Blocking-Step2'!O1860</f>
        <v>0</v>
      </c>
      <c r="AN1860" s="2137">
        <f>Q1860-'Blocking-Step2'!Q1860</f>
        <v>0</v>
      </c>
      <c r="AP1860" s="2127">
        <f>S1860-'Blocking-Step2'!S1860</f>
        <v>0</v>
      </c>
      <c r="AR1860" s="2127">
        <f>U1860-'Blocking-Step2'!U1860</f>
        <v>0</v>
      </c>
      <c r="AT1860" s="2127">
        <f>W1860-'Blocking-Step2'!W1860</f>
        <v>0</v>
      </c>
      <c r="AV1860" s="2128">
        <f>Y1860-'Blocking-Step2'!Y1860</f>
        <v>0</v>
      </c>
    </row>
    <row r="1861" spans="1:48" ht="16.5" hidden="1" thickTop="1">
      <c r="A1861" s="2092" t="s">
        <v>922</v>
      </c>
      <c r="C1861" s="1105"/>
      <c r="D1861" s="1105"/>
      <c r="F1861" s="1109"/>
      <c r="H1861" s="1114"/>
      <c r="I1861" s="1114"/>
      <c r="K1861" s="1109"/>
      <c r="M1861" s="1109"/>
      <c r="O1861" s="1109"/>
      <c r="Q1861" s="1109"/>
      <c r="Y1861" s="1114"/>
      <c r="Z1861" s="2114">
        <f>C1861-'Blocking-Step2'!C1861</f>
        <v>0</v>
      </c>
      <c r="AA1861" s="2114">
        <f>D1861-'Blocking-Step2'!D1861</f>
        <v>0</v>
      </c>
      <c r="AC1861" s="2114">
        <f>F1861-'Blocking-Step2'!F1861</f>
        <v>0</v>
      </c>
      <c r="AE1861" s="2114">
        <f>H1861-'Blocking-Step2'!H1861</f>
        <v>0</v>
      </c>
      <c r="AF1861" s="2114">
        <f>I1861-'Blocking-Step2'!I1861</f>
        <v>0</v>
      </c>
      <c r="AH1861" s="2136">
        <f>K1861-'Blocking-Step2'!K1861</f>
        <v>0</v>
      </c>
      <c r="AJ1861" s="2136">
        <f>M1861-'Blocking-Step2'!M1861</f>
        <v>0</v>
      </c>
      <c r="AL1861" s="2136">
        <f>O1861-'Blocking-Step2'!O1861</f>
        <v>0</v>
      </c>
      <c r="AN1861" s="2137">
        <f>Q1861-'Blocking-Step2'!Q1861</f>
        <v>0</v>
      </c>
      <c r="AP1861" s="2127">
        <f>S1861-'Blocking-Step2'!S1861</f>
        <v>0</v>
      </c>
      <c r="AR1861" s="2127">
        <f>U1861-'Blocking-Step2'!U1861</f>
        <v>0</v>
      </c>
      <c r="AT1861" s="2127">
        <f>W1861-'Blocking-Step2'!W1861</f>
        <v>0</v>
      </c>
      <c r="AV1861" s="2128">
        <f>Y1861-'Blocking-Step2'!Y1861</f>
        <v>0</v>
      </c>
    </row>
    <row r="1862" spans="1:48" ht="16.5" hidden="1" thickTop="1">
      <c r="A1862" s="1116" t="s">
        <v>359</v>
      </c>
      <c r="C1862" s="1105">
        <v>13053.365454545499</v>
      </c>
      <c r="D1862" s="1105">
        <v>13335</v>
      </c>
      <c r="F1862" s="1907">
        <v>5.5</v>
      </c>
      <c r="G1862" s="1110"/>
      <c r="H1862" s="1146">
        <v>71794</v>
      </c>
      <c r="I1862" s="1146">
        <v>73343</v>
      </c>
      <c r="K1862" s="1907">
        <v>5.5</v>
      </c>
      <c r="L1862" s="1110"/>
      <c r="M1862" s="1907">
        <v>0</v>
      </c>
      <c r="N1862" s="1110"/>
      <c r="O1862" s="1907">
        <v>0</v>
      </c>
      <c r="P1862" s="1110"/>
      <c r="Q1862" s="1907">
        <v>5.5</v>
      </c>
      <c r="R1862" s="1110"/>
      <c r="S1862" s="1146">
        <v>73343</v>
      </c>
      <c r="T1862" s="1114"/>
      <c r="U1862" s="1146">
        <v>0</v>
      </c>
      <c r="V1862" s="1114"/>
      <c r="W1862" s="1146">
        <v>0</v>
      </c>
      <c r="X1862" s="1629"/>
      <c r="Y1862" s="1146">
        <v>73343</v>
      </c>
      <c r="Z1862" s="2114">
        <f>C1862-'Blocking-Step2'!C1862</f>
        <v>0</v>
      </c>
      <c r="AA1862" s="2114">
        <f>D1862-'Blocking-Step2'!D1862</f>
        <v>0</v>
      </c>
      <c r="AC1862" s="2114">
        <f>F1862-'Blocking-Step2'!F1862</f>
        <v>0</v>
      </c>
      <c r="AE1862" s="2114">
        <f>H1862-'Blocking-Step2'!H1862</f>
        <v>0</v>
      </c>
      <c r="AF1862" s="2114">
        <f>I1862-'Blocking-Step2'!I1862</f>
        <v>0</v>
      </c>
      <c r="AH1862" s="2136">
        <f>K1862-'Blocking-Step2'!K1862</f>
        <v>0</v>
      </c>
      <c r="AJ1862" s="2136">
        <f>M1862-'Blocking-Step2'!M1862</f>
        <v>0</v>
      </c>
      <c r="AL1862" s="2136">
        <f>O1862-'Blocking-Step2'!O1862</f>
        <v>0</v>
      </c>
      <c r="AN1862" s="2137">
        <f>Q1862-'Blocking-Step2'!Q1862</f>
        <v>0</v>
      </c>
      <c r="AP1862" s="2127">
        <f>S1862-'Blocking-Step2'!S1862</f>
        <v>0</v>
      </c>
      <c r="AR1862" s="2127">
        <f>U1862-'Blocking-Step2'!U1862</f>
        <v>0</v>
      </c>
      <c r="AT1862" s="2127">
        <f>W1862-'Blocking-Step2'!W1862</f>
        <v>0</v>
      </c>
      <c r="AV1862" s="2128">
        <f>Y1862-'Blocking-Step2'!Y1862</f>
        <v>0</v>
      </c>
    </row>
    <row r="1863" spans="1:48" ht="16.5" hidden="1" thickTop="1">
      <c r="A1863" s="1116" t="s">
        <v>360</v>
      </c>
      <c r="C1863" s="1105">
        <v>3317549</v>
      </c>
      <c r="D1863" s="1105">
        <v>3410044.1853684746</v>
      </c>
      <c r="F1863" s="2087">
        <v>8.4048999999999996</v>
      </c>
      <c r="G1863" s="1921" t="s">
        <v>495</v>
      </c>
      <c r="H1863" s="1146">
        <v>278837</v>
      </c>
      <c r="I1863" s="1146">
        <v>286611</v>
      </c>
      <c r="K1863" s="2087">
        <v>1.8412999999999999</v>
      </c>
      <c r="L1863" s="1921" t="s">
        <v>495</v>
      </c>
      <c r="M1863" s="2087">
        <v>3.9762</v>
      </c>
      <c r="N1863" s="1921" t="s">
        <v>495</v>
      </c>
      <c r="O1863" s="2087">
        <v>2.1835341013880005</v>
      </c>
      <c r="P1863" s="1921" t="s">
        <v>495</v>
      </c>
      <c r="Q1863" s="2087">
        <v>8.0010341013880009</v>
      </c>
      <c r="R1863" s="1921" t="s">
        <v>495</v>
      </c>
      <c r="S1863" s="1146">
        <v>62789</v>
      </c>
      <c r="T1863" s="1648"/>
      <c r="U1863" s="1146">
        <v>135590</v>
      </c>
      <c r="V1863" s="1648"/>
      <c r="W1863" s="1146">
        <v>74459</v>
      </c>
      <c r="X1863" s="1648"/>
      <c r="Y1863" s="1146">
        <v>272839</v>
      </c>
      <c r="Z1863" s="2114">
        <f>C1863-'Blocking-Step2'!C1863</f>
        <v>0</v>
      </c>
      <c r="AA1863" s="2114">
        <f>D1863-'Blocking-Step2'!D1863</f>
        <v>0</v>
      </c>
      <c r="AC1863" s="2114">
        <f>F1863-'Blocking-Step2'!F1863</f>
        <v>0</v>
      </c>
      <c r="AE1863" s="2114">
        <f>H1863-'Blocking-Step2'!H1863</f>
        <v>0</v>
      </c>
      <c r="AF1863" s="2114">
        <f>I1863-'Blocking-Step2'!I1863</f>
        <v>0</v>
      </c>
      <c r="AH1863" s="2136">
        <f>K1863-'Blocking-Step2'!K1863</f>
        <v>-1.1630000000000003</v>
      </c>
      <c r="AJ1863" s="2136">
        <f>M1863-'Blocking-Step2'!M1863</f>
        <v>1.1629</v>
      </c>
      <c r="AL1863" s="2136">
        <f>O1863-'Blocking-Step2'!O1863</f>
        <v>1.0000000000021103E-4</v>
      </c>
      <c r="AN1863" s="2137">
        <f>Q1863-'Blocking-Step2'!Q1863</f>
        <v>0</v>
      </c>
      <c r="AP1863" s="2127">
        <f>S1863-'Blocking-Step2'!S1863</f>
        <v>-39659</v>
      </c>
      <c r="AR1863" s="2127">
        <f>U1863-'Blocking-Step2'!U1863</f>
        <v>39655</v>
      </c>
      <c r="AT1863" s="2127">
        <f>W1863-'Blocking-Step2'!W1863</f>
        <v>3</v>
      </c>
      <c r="AV1863" s="2128">
        <f>Y1863-'Blocking-Step2'!Y1863</f>
        <v>0</v>
      </c>
    </row>
    <row r="1864" spans="1:48" ht="16.5" hidden="1" thickTop="1">
      <c r="A1864" s="1116" t="s">
        <v>288</v>
      </c>
      <c r="C1864" s="2093">
        <v>17601</v>
      </c>
      <c r="D1864" s="2093">
        <v>0</v>
      </c>
      <c r="H1864" s="1147">
        <v>2008</v>
      </c>
      <c r="I1864" s="1147">
        <v>0</v>
      </c>
      <c r="Y1864" s="1147"/>
      <c r="Z1864" s="2114">
        <f>C1864-'Blocking-Step2'!C1864</f>
        <v>0</v>
      </c>
      <c r="AA1864" s="2114">
        <f>D1864-'Blocking-Step2'!D1864</f>
        <v>0</v>
      </c>
      <c r="AC1864" s="2114">
        <f>F1864-'Blocking-Step2'!F1864</f>
        <v>0</v>
      </c>
      <c r="AE1864" s="2114">
        <f>H1864-'Blocking-Step2'!H1864</f>
        <v>0</v>
      </c>
      <c r="AF1864" s="2114">
        <f>I1864-'Blocking-Step2'!I1864</f>
        <v>0</v>
      </c>
      <c r="AH1864" s="2136">
        <f>K1864-'Blocking-Step2'!K1864</f>
        <v>0</v>
      </c>
      <c r="AJ1864" s="2136">
        <f>M1864-'Blocking-Step2'!M1864</f>
        <v>0</v>
      </c>
      <c r="AL1864" s="2136">
        <f>O1864-'Blocking-Step2'!O1864</f>
        <v>0</v>
      </c>
      <c r="AN1864" s="2137">
        <f>Q1864-'Blocking-Step2'!Q1864</f>
        <v>0</v>
      </c>
      <c r="AP1864" s="2127">
        <f>S1864-'Blocking-Step2'!S1864</f>
        <v>0</v>
      </c>
      <c r="AR1864" s="2127">
        <f>U1864-'Blocking-Step2'!U1864</f>
        <v>0</v>
      </c>
      <c r="AT1864" s="2127">
        <f>W1864-'Blocking-Step2'!W1864</f>
        <v>0</v>
      </c>
      <c r="AV1864" s="2128">
        <f>Y1864-'Blocking-Step2'!Y1864</f>
        <v>0</v>
      </c>
    </row>
    <row r="1865" spans="1:48" ht="16.5" hidden="1" thickTop="1">
      <c r="A1865" s="1116" t="s">
        <v>1240</v>
      </c>
      <c r="C1865" s="1024"/>
      <c r="D1865" s="1024"/>
      <c r="F1865" s="2076">
        <v>-3.7699999999999997E-2</v>
      </c>
      <c r="G1865" s="617"/>
      <c r="H1865" s="1146">
        <v>-13218.788699999999</v>
      </c>
      <c r="I1865" s="1146">
        <v>-13570.265799999999</v>
      </c>
      <c r="K1865" s="2076"/>
      <c r="L1865" s="617"/>
      <c r="M1865" s="2076"/>
      <c r="N1865" s="617"/>
      <c r="O1865" s="2077" t="s">
        <v>2323</v>
      </c>
      <c r="P1865" s="617"/>
      <c r="Q1865" s="2076">
        <v>-2.64E-2</v>
      </c>
      <c r="R1865" s="617"/>
      <c r="S1865" s="1114"/>
      <c r="T1865" s="1114"/>
      <c r="U1865" s="1114"/>
      <c r="V1865" s="1114"/>
      <c r="W1865" s="1114"/>
      <c r="X1865" s="1114"/>
      <c r="Y1865" s="1146">
        <v>-7202.9495999999999</v>
      </c>
      <c r="Z1865" s="2114">
        <f>C1865-'Blocking-Step2'!C1865</f>
        <v>0</v>
      </c>
      <c r="AA1865" s="2114">
        <f>D1865-'Blocking-Step2'!D1865</f>
        <v>0</v>
      </c>
      <c r="AC1865" s="2114">
        <f>F1865-'Blocking-Step2'!F1865</f>
        <v>0</v>
      </c>
      <c r="AE1865" s="2114">
        <f>H1865-'Blocking-Step2'!H1865</f>
        <v>0</v>
      </c>
      <c r="AF1865" s="2114">
        <f>I1865-'Blocking-Step2'!I1865</f>
        <v>0</v>
      </c>
      <c r="AH1865" s="2136">
        <f>K1865-'Blocking-Step2'!K1865</f>
        <v>0</v>
      </c>
      <c r="AJ1865" s="2136">
        <f>M1865-'Blocking-Step2'!M1865</f>
        <v>0</v>
      </c>
      <c r="AL1865" s="2136" t="e">
        <f>O1865-'Blocking-Step2'!O1865</f>
        <v>#VALUE!</v>
      </c>
      <c r="AN1865" s="2137">
        <f>Q1865-'Blocking-Step2'!Q1865</f>
        <v>0</v>
      </c>
      <c r="AP1865" s="2127">
        <f>S1865-'Blocking-Step2'!S1865</f>
        <v>0</v>
      </c>
      <c r="AR1865" s="2127">
        <f>U1865-'Blocking-Step2'!U1865</f>
        <v>0</v>
      </c>
      <c r="AT1865" s="2127">
        <f>W1865-'Blocking-Step2'!W1865</f>
        <v>0</v>
      </c>
      <c r="AV1865" s="2128">
        <f>Y1865-'Blocking-Step2'!Y1865</f>
        <v>0</v>
      </c>
    </row>
    <row r="1866" spans="1:48" ht="16.5" hidden="1" thickTop="1">
      <c r="A1866" s="1116"/>
      <c r="C1866" s="1024"/>
      <c r="D1866" s="1024"/>
      <c r="F1866" s="2076"/>
      <c r="G1866" s="617"/>
      <c r="H1866" s="1146"/>
      <c r="I1866" s="1146"/>
      <c r="K1866" s="2076"/>
      <c r="L1866" s="617"/>
      <c r="M1866" s="2076"/>
      <c r="N1866" s="617"/>
      <c r="O1866" s="2077" t="s">
        <v>2324</v>
      </c>
      <c r="P1866" s="617"/>
      <c r="Q1866" s="2076">
        <v>-1.43E-2</v>
      </c>
      <c r="R1866" s="617"/>
      <c r="S1866" s="1114"/>
      <c r="T1866" s="1114"/>
      <c r="U1866" s="1114"/>
      <c r="V1866" s="1114"/>
      <c r="W1866" s="1114"/>
      <c r="X1866" s="1114"/>
      <c r="Y1866" s="1146">
        <v>-3901.5977000000003</v>
      </c>
      <c r="Z1866" s="2114">
        <f>C1866-'Blocking-Step2'!C1866</f>
        <v>0</v>
      </c>
      <c r="AA1866" s="2114">
        <f>D1866-'Blocking-Step2'!D1866</f>
        <v>0</v>
      </c>
      <c r="AC1866" s="2114">
        <f>F1866-'Blocking-Step2'!F1866</f>
        <v>0</v>
      </c>
      <c r="AE1866" s="2114">
        <f>H1866-'Blocking-Step2'!H1866</f>
        <v>0</v>
      </c>
      <c r="AF1866" s="2114">
        <f>I1866-'Blocking-Step2'!I1866</f>
        <v>0</v>
      </c>
      <c r="AH1866" s="2136">
        <f>K1866-'Blocking-Step2'!K1866</f>
        <v>0</v>
      </c>
      <c r="AJ1866" s="2136">
        <f>M1866-'Blocking-Step2'!M1866</f>
        <v>0</v>
      </c>
      <c r="AL1866" s="2136" t="e">
        <f>O1866-'Blocking-Step2'!O1866</f>
        <v>#VALUE!</v>
      </c>
      <c r="AN1866" s="2137">
        <f>Q1866-'Blocking-Step2'!Q1866</f>
        <v>0</v>
      </c>
      <c r="AP1866" s="2127">
        <f>S1866-'Blocking-Step2'!S1866</f>
        <v>0</v>
      </c>
      <c r="AR1866" s="2127">
        <f>U1866-'Blocking-Step2'!U1866</f>
        <v>0</v>
      </c>
      <c r="AT1866" s="2127">
        <f>W1866-'Blocking-Step2'!W1866</f>
        <v>0</v>
      </c>
      <c r="AV1866" s="2128">
        <f>Y1866-'Blocking-Step2'!Y1866</f>
        <v>0</v>
      </c>
    </row>
    <row r="1867" spans="1:48" ht="17.25" hidden="1" thickTop="1" thickBot="1">
      <c r="A1867" s="1104" t="s">
        <v>93</v>
      </c>
      <c r="C1867" s="1138">
        <v>3335150</v>
      </c>
      <c r="D1867" s="1138">
        <v>3410044.1853684746</v>
      </c>
      <c r="F1867" s="1145"/>
      <c r="H1867" s="1149">
        <v>339420.21130000002</v>
      </c>
      <c r="I1867" s="1149">
        <v>346383.73420000001</v>
      </c>
      <c r="K1867" s="1145"/>
      <c r="M1867" s="1145"/>
      <c r="O1867" s="1145"/>
      <c r="Q1867" s="1145"/>
      <c r="S1867" s="1149">
        <v>136132</v>
      </c>
      <c r="U1867" s="1149">
        <v>135590</v>
      </c>
      <c r="W1867" s="1149">
        <v>74459</v>
      </c>
      <c r="Y1867" s="1149">
        <v>346182</v>
      </c>
      <c r="Z1867" s="2114">
        <f>C1867-'Blocking-Step2'!C1867</f>
        <v>0</v>
      </c>
      <c r="AA1867" s="2114">
        <f>D1867-'Blocking-Step2'!D1867</f>
        <v>0</v>
      </c>
      <c r="AC1867" s="2114">
        <f>F1867-'Blocking-Step2'!F1867</f>
        <v>0</v>
      </c>
      <c r="AE1867" s="2114">
        <f>H1867-'Blocking-Step2'!H1867</f>
        <v>0</v>
      </c>
      <c r="AF1867" s="2114">
        <f>I1867-'Blocking-Step2'!I1867</f>
        <v>0</v>
      </c>
      <c r="AH1867" s="2136">
        <f>K1867-'Blocking-Step2'!K1867</f>
        <v>0</v>
      </c>
      <c r="AJ1867" s="2136">
        <f>M1867-'Blocking-Step2'!M1867</f>
        <v>0</v>
      </c>
      <c r="AL1867" s="2136">
        <f>O1867-'Blocking-Step2'!O1867</f>
        <v>0</v>
      </c>
      <c r="AN1867" s="2137">
        <f>Q1867-'Blocking-Step2'!Q1867</f>
        <v>0</v>
      </c>
      <c r="AP1867" s="2127">
        <f>S1867-'Blocking-Step2'!S1867</f>
        <v>-39659</v>
      </c>
      <c r="AR1867" s="2127">
        <f>U1867-'Blocking-Step2'!U1867</f>
        <v>39655</v>
      </c>
      <c r="AT1867" s="2127">
        <f>W1867-'Blocking-Step2'!W1867</f>
        <v>3</v>
      </c>
      <c r="AV1867" s="2128">
        <f>Y1867-'Blocking-Step2'!Y1867</f>
        <v>0</v>
      </c>
    </row>
    <row r="1868" spans="1:48" ht="16.5" hidden="1" thickTop="1">
      <c r="C1868" s="1105"/>
      <c r="D1868" s="1105"/>
      <c r="Z1868" s="2114">
        <f>C1868-'Blocking-Step2'!C1868</f>
        <v>0</v>
      </c>
      <c r="AA1868" s="2114">
        <f>D1868-'Blocking-Step2'!D1868</f>
        <v>0</v>
      </c>
      <c r="AC1868" s="2114">
        <f>F1868-'Blocking-Step2'!F1868</f>
        <v>0</v>
      </c>
      <c r="AE1868" s="2114">
        <f>H1868-'Blocking-Step2'!H1868</f>
        <v>0</v>
      </c>
      <c r="AF1868" s="2114">
        <f>I1868-'Blocking-Step2'!I1868</f>
        <v>0</v>
      </c>
      <c r="AH1868" s="2136">
        <f>K1868-'Blocking-Step2'!K1868</f>
        <v>0</v>
      </c>
      <c r="AJ1868" s="2136">
        <f>M1868-'Blocking-Step2'!M1868</f>
        <v>0</v>
      </c>
      <c r="AL1868" s="2136">
        <f>O1868-'Blocking-Step2'!O1868</f>
        <v>0</v>
      </c>
      <c r="AN1868" s="2137">
        <f>Q1868-'Blocking-Step2'!Q1868</f>
        <v>0</v>
      </c>
      <c r="AP1868" s="2127">
        <f>S1868-'Blocking-Step2'!S1868</f>
        <v>0</v>
      </c>
      <c r="AR1868" s="2127">
        <f>U1868-'Blocking-Step2'!U1868</f>
        <v>0</v>
      </c>
      <c r="AT1868" s="2127">
        <f>W1868-'Blocking-Step2'!W1868</f>
        <v>0</v>
      </c>
      <c r="AV1868" s="2128">
        <f>Y1868-'Blocking-Step2'!Y1868</f>
        <v>0</v>
      </c>
    </row>
    <row r="1869" spans="1:48" ht="16.5" hidden="1" thickTop="1">
      <c r="A1869" s="2092" t="s">
        <v>923</v>
      </c>
      <c r="C1869" s="1105"/>
      <c r="D1869" s="1105"/>
      <c r="F1869" s="1109"/>
      <c r="H1869" s="1114"/>
      <c r="I1869" s="1114"/>
      <c r="K1869" s="1109"/>
      <c r="M1869" s="1109"/>
      <c r="O1869" s="1109"/>
      <c r="Q1869" s="1109"/>
      <c r="Y1869" s="1114"/>
      <c r="Z1869" s="2114">
        <f>C1869-'Blocking-Step2'!C1869</f>
        <v>0</v>
      </c>
      <c r="AA1869" s="2114">
        <f>D1869-'Blocking-Step2'!D1869</f>
        <v>0</v>
      </c>
      <c r="AC1869" s="2114">
        <f>F1869-'Blocking-Step2'!F1869</f>
        <v>0</v>
      </c>
      <c r="AE1869" s="2114">
        <f>H1869-'Blocking-Step2'!H1869</f>
        <v>0</v>
      </c>
      <c r="AF1869" s="2114">
        <f>I1869-'Blocking-Step2'!I1869</f>
        <v>0</v>
      </c>
      <c r="AH1869" s="2136">
        <f>K1869-'Blocking-Step2'!K1869</f>
        <v>0</v>
      </c>
      <c r="AJ1869" s="2136">
        <f>M1869-'Blocking-Step2'!M1869</f>
        <v>0</v>
      </c>
      <c r="AL1869" s="2136">
        <f>O1869-'Blocking-Step2'!O1869</f>
        <v>0</v>
      </c>
      <c r="AN1869" s="2137">
        <f>Q1869-'Blocking-Step2'!Q1869</f>
        <v>0</v>
      </c>
      <c r="AP1869" s="2127">
        <f>S1869-'Blocking-Step2'!S1869</f>
        <v>0</v>
      </c>
      <c r="AR1869" s="2127">
        <f>U1869-'Blocking-Step2'!U1869</f>
        <v>0</v>
      </c>
      <c r="AT1869" s="2127">
        <f>W1869-'Blocking-Step2'!W1869</f>
        <v>0</v>
      </c>
      <c r="AV1869" s="2128">
        <f>Y1869-'Blocking-Step2'!Y1869</f>
        <v>0</v>
      </c>
    </row>
    <row r="1870" spans="1:48" ht="16.5" hidden="1" thickTop="1">
      <c r="A1870" s="1116" t="s">
        <v>359</v>
      </c>
      <c r="C1870" s="1105">
        <v>144.23454545454501</v>
      </c>
      <c r="D1870" s="1105">
        <v>144</v>
      </c>
      <c r="F1870" s="1907">
        <v>5.5</v>
      </c>
      <c r="G1870" s="1110"/>
      <c r="H1870" s="1146">
        <v>793</v>
      </c>
      <c r="I1870" s="1146">
        <v>792</v>
      </c>
      <c r="K1870" s="1907">
        <v>5.5</v>
      </c>
      <c r="L1870" s="1110"/>
      <c r="M1870" s="1907">
        <v>0</v>
      </c>
      <c r="N1870" s="1110"/>
      <c r="O1870" s="1907">
        <v>0</v>
      </c>
      <c r="P1870" s="1110"/>
      <c r="Q1870" s="1907">
        <v>5.5</v>
      </c>
      <c r="R1870" s="1110"/>
      <c r="S1870" s="1146">
        <v>792</v>
      </c>
      <c r="T1870" s="1114"/>
      <c r="U1870" s="1146">
        <v>0</v>
      </c>
      <c r="V1870" s="1114"/>
      <c r="W1870" s="1146">
        <v>0</v>
      </c>
      <c r="X1870" s="1629"/>
      <c r="Y1870" s="1146">
        <v>792</v>
      </c>
      <c r="Z1870" s="2114">
        <f>C1870-'Blocking-Step2'!C1870</f>
        <v>0</v>
      </c>
      <c r="AA1870" s="2114">
        <f>D1870-'Blocking-Step2'!D1870</f>
        <v>0</v>
      </c>
      <c r="AC1870" s="2114">
        <f>F1870-'Blocking-Step2'!F1870</f>
        <v>0</v>
      </c>
      <c r="AE1870" s="2114">
        <f>H1870-'Blocking-Step2'!H1870</f>
        <v>0</v>
      </c>
      <c r="AF1870" s="2114">
        <f>I1870-'Blocking-Step2'!I1870</f>
        <v>0</v>
      </c>
      <c r="AH1870" s="2136">
        <f>K1870-'Blocking-Step2'!K1870</f>
        <v>0</v>
      </c>
      <c r="AJ1870" s="2136">
        <f>M1870-'Blocking-Step2'!M1870</f>
        <v>0</v>
      </c>
      <c r="AL1870" s="2136">
        <f>O1870-'Blocking-Step2'!O1870</f>
        <v>0</v>
      </c>
      <c r="AN1870" s="2137">
        <f>Q1870-'Blocking-Step2'!Q1870</f>
        <v>0</v>
      </c>
      <c r="AP1870" s="2127">
        <f>S1870-'Blocking-Step2'!S1870</f>
        <v>0</v>
      </c>
      <c r="AR1870" s="2127">
        <f>U1870-'Blocking-Step2'!U1870</f>
        <v>0</v>
      </c>
      <c r="AT1870" s="2127">
        <f>W1870-'Blocking-Step2'!W1870</f>
        <v>0</v>
      </c>
      <c r="AV1870" s="2128">
        <f>Y1870-'Blocking-Step2'!Y1870</f>
        <v>0</v>
      </c>
    </row>
    <row r="1871" spans="1:48" ht="16.5" hidden="1" thickTop="1">
      <c r="A1871" s="1116" t="s">
        <v>360</v>
      </c>
      <c r="C1871" s="1105">
        <v>47617</v>
      </c>
      <c r="D1871" s="1105">
        <v>27840</v>
      </c>
      <c r="F1871" s="2087">
        <v>8.4048999999999996</v>
      </c>
      <c r="G1871" s="1921" t="s">
        <v>495</v>
      </c>
      <c r="H1871" s="1146">
        <v>4002</v>
      </c>
      <c r="I1871" s="1146">
        <v>2340</v>
      </c>
      <c r="K1871" s="2087">
        <v>1.8412999999999999</v>
      </c>
      <c r="L1871" s="1921" t="s">
        <v>495</v>
      </c>
      <c r="M1871" s="2087">
        <v>3.9762</v>
      </c>
      <c r="N1871" s="1921" t="s">
        <v>495</v>
      </c>
      <c r="O1871" s="2087">
        <v>2.1835341013880005</v>
      </c>
      <c r="P1871" s="1921" t="s">
        <v>495</v>
      </c>
      <c r="Q1871" s="2087">
        <v>8.0010341013880009</v>
      </c>
      <c r="R1871" s="1921" t="s">
        <v>495</v>
      </c>
      <c r="S1871" s="1146">
        <v>513</v>
      </c>
      <c r="T1871" s="1648"/>
      <c r="U1871" s="1146">
        <v>1107</v>
      </c>
      <c r="V1871" s="1648"/>
      <c r="W1871" s="1146">
        <v>608</v>
      </c>
      <c r="X1871" s="1648"/>
      <c r="Y1871" s="1146">
        <v>2227</v>
      </c>
      <c r="Z1871" s="2114">
        <f>C1871-'Blocking-Step2'!C1871</f>
        <v>0</v>
      </c>
      <c r="AA1871" s="2114">
        <f>D1871-'Blocking-Step2'!D1871</f>
        <v>0</v>
      </c>
      <c r="AC1871" s="2114">
        <f>F1871-'Blocking-Step2'!F1871</f>
        <v>0</v>
      </c>
      <c r="AE1871" s="2114">
        <f>H1871-'Blocking-Step2'!H1871</f>
        <v>0</v>
      </c>
      <c r="AF1871" s="2114">
        <f>I1871-'Blocking-Step2'!I1871</f>
        <v>0</v>
      </c>
      <c r="AH1871" s="2136">
        <f>K1871-'Blocking-Step2'!K1871</f>
        <v>-1.1630000000000003</v>
      </c>
      <c r="AJ1871" s="2136">
        <f>M1871-'Blocking-Step2'!M1871</f>
        <v>1.1629</v>
      </c>
      <c r="AL1871" s="2136">
        <f>O1871-'Blocking-Step2'!O1871</f>
        <v>1.0000000000021103E-4</v>
      </c>
      <c r="AN1871" s="2137">
        <f>Q1871-'Blocking-Step2'!Q1871</f>
        <v>0</v>
      </c>
      <c r="AP1871" s="2127">
        <f>S1871-'Blocking-Step2'!S1871</f>
        <v>-323</v>
      </c>
      <c r="AR1871" s="2127">
        <f>U1871-'Blocking-Step2'!U1871</f>
        <v>324</v>
      </c>
      <c r="AT1871" s="2127">
        <f>W1871-'Blocking-Step2'!W1871</f>
        <v>0</v>
      </c>
      <c r="AV1871" s="2128">
        <f>Y1871-'Blocking-Step2'!Y1871</f>
        <v>0</v>
      </c>
    </row>
    <row r="1872" spans="1:48" ht="16.5" hidden="1" thickTop="1">
      <c r="A1872" s="1116" t="s">
        <v>288</v>
      </c>
      <c r="C1872" s="1137">
        <v>-772</v>
      </c>
      <c r="D1872" s="1137">
        <v>0</v>
      </c>
      <c r="H1872" s="1147">
        <v>-71</v>
      </c>
      <c r="I1872" s="1147">
        <v>0</v>
      </c>
      <c r="Y1872" s="1147"/>
      <c r="Z1872" s="2114">
        <f>C1872-'Blocking-Step2'!C1872</f>
        <v>0</v>
      </c>
      <c r="AA1872" s="2114">
        <f>D1872-'Blocking-Step2'!D1872</f>
        <v>0</v>
      </c>
      <c r="AC1872" s="2114">
        <f>F1872-'Blocking-Step2'!F1872</f>
        <v>0</v>
      </c>
      <c r="AE1872" s="2114">
        <f>H1872-'Blocking-Step2'!H1872</f>
        <v>0</v>
      </c>
      <c r="AF1872" s="2114">
        <f>I1872-'Blocking-Step2'!I1872</f>
        <v>0</v>
      </c>
      <c r="AH1872" s="2136">
        <f>K1872-'Blocking-Step2'!K1872</f>
        <v>0</v>
      </c>
      <c r="AJ1872" s="2136">
        <f>M1872-'Blocking-Step2'!M1872</f>
        <v>0</v>
      </c>
      <c r="AL1872" s="2136">
        <f>O1872-'Blocking-Step2'!O1872</f>
        <v>0</v>
      </c>
      <c r="AN1872" s="2137">
        <f>Q1872-'Blocking-Step2'!Q1872</f>
        <v>0</v>
      </c>
      <c r="AP1872" s="2127">
        <f>S1872-'Blocking-Step2'!S1872</f>
        <v>0</v>
      </c>
      <c r="AR1872" s="2127">
        <f>U1872-'Blocking-Step2'!U1872</f>
        <v>0</v>
      </c>
      <c r="AT1872" s="2127">
        <f>W1872-'Blocking-Step2'!W1872</f>
        <v>0</v>
      </c>
      <c r="AV1872" s="2128">
        <f>Y1872-'Blocking-Step2'!Y1872</f>
        <v>0</v>
      </c>
    </row>
    <row r="1873" spans="1:48" ht="16.5" hidden="1" thickTop="1">
      <c r="A1873" s="1116" t="s">
        <v>1240</v>
      </c>
      <c r="C1873" s="1024"/>
      <c r="D1873" s="1024"/>
      <c r="F1873" s="2076">
        <v>-3.7699999999999997E-2</v>
      </c>
      <c r="G1873" s="617"/>
      <c r="H1873" s="1146">
        <v>-180.77149999999997</v>
      </c>
      <c r="I1873" s="1146">
        <v>-118.07639999999999</v>
      </c>
      <c r="K1873" s="2076"/>
      <c r="L1873" s="617"/>
      <c r="M1873" s="2076"/>
      <c r="N1873" s="617"/>
      <c r="O1873" s="2077" t="s">
        <v>2323</v>
      </c>
      <c r="P1873" s="617"/>
      <c r="Q1873" s="2076">
        <v>-2.64E-2</v>
      </c>
      <c r="R1873" s="617"/>
      <c r="S1873" s="1114"/>
      <c r="T1873" s="1114"/>
      <c r="U1873" s="1114"/>
      <c r="V1873" s="1114"/>
      <c r="W1873" s="1114"/>
      <c r="X1873" s="1114"/>
      <c r="Y1873" s="1146">
        <v>-58.7928</v>
      </c>
      <c r="Z1873" s="2114">
        <f>C1873-'Blocking-Step2'!C1873</f>
        <v>0</v>
      </c>
      <c r="AA1873" s="2114">
        <f>D1873-'Blocking-Step2'!D1873</f>
        <v>0</v>
      </c>
      <c r="AC1873" s="2114">
        <f>F1873-'Blocking-Step2'!F1873</f>
        <v>0</v>
      </c>
      <c r="AE1873" s="2114">
        <f>H1873-'Blocking-Step2'!H1873</f>
        <v>0</v>
      </c>
      <c r="AF1873" s="2114">
        <f>I1873-'Blocking-Step2'!I1873</f>
        <v>0</v>
      </c>
      <c r="AH1873" s="2136">
        <f>K1873-'Blocking-Step2'!K1873</f>
        <v>0</v>
      </c>
      <c r="AJ1873" s="2136">
        <f>M1873-'Blocking-Step2'!M1873</f>
        <v>0</v>
      </c>
      <c r="AL1873" s="2136" t="e">
        <f>O1873-'Blocking-Step2'!O1873</f>
        <v>#VALUE!</v>
      </c>
      <c r="AN1873" s="2137">
        <f>Q1873-'Blocking-Step2'!Q1873</f>
        <v>0</v>
      </c>
      <c r="AP1873" s="2127">
        <f>S1873-'Blocking-Step2'!S1873</f>
        <v>0</v>
      </c>
      <c r="AR1873" s="2127">
        <f>U1873-'Blocking-Step2'!U1873</f>
        <v>0</v>
      </c>
      <c r="AT1873" s="2127">
        <f>W1873-'Blocking-Step2'!W1873</f>
        <v>0</v>
      </c>
      <c r="AV1873" s="2128">
        <f>Y1873-'Blocking-Step2'!Y1873</f>
        <v>0</v>
      </c>
    </row>
    <row r="1874" spans="1:48" ht="16.5" hidden="1" thickTop="1">
      <c r="A1874" s="1116"/>
      <c r="C1874" s="1024"/>
      <c r="D1874" s="1024"/>
      <c r="F1874" s="2076"/>
      <c r="G1874" s="617"/>
      <c r="H1874" s="1146"/>
      <c r="I1874" s="1146"/>
      <c r="K1874" s="2076"/>
      <c r="L1874" s="617"/>
      <c r="M1874" s="2076"/>
      <c r="N1874" s="617"/>
      <c r="O1874" s="2077" t="s">
        <v>2324</v>
      </c>
      <c r="P1874" s="617"/>
      <c r="Q1874" s="2076">
        <v>-1.43E-2</v>
      </c>
      <c r="R1874" s="617"/>
      <c r="S1874" s="1114"/>
      <c r="T1874" s="1114"/>
      <c r="U1874" s="1114"/>
      <c r="V1874" s="1114"/>
      <c r="W1874" s="1114"/>
      <c r="X1874" s="1114"/>
      <c r="Y1874" s="1146">
        <v>-31.8461</v>
      </c>
      <c r="Z1874" s="2114">
        <f>C1874-'Blocking-Step2'!C1874</f>
        <v>0</v>
      </c>
      <c r="AA1874" s="2114">
        <f>D1874-'Blocking-Step2'!D1874</f>
        <v>0</v>
      </c>
      <c r="AC1874" s="2114">
        <f>F1874-'Blocking-Step2'!F1874</f>
        <v>0</v>
      </c>
      <c r="AE1874" s="2114">
        <f>H1874-'Blocking-Step2'!H1874</f>
        <v>0</v>
      </c>
      <c r="AF1874" s="2114">
        <f>I1874-'Blocking-Step2'!I1874</f>
        <v>0</v>
      </c>
      <c r="AH1874" s="2136">
        <f>K1874-'Blocking-Step2'!K1874</f>
        <v>0</v>
      </c>
      <c r="AJ1874" s="2136">
        <f>M1874-'Blocking-Step2'!M1874</f>
        <v>0</v>
      </c>
      <c r="AL1874" s="2136" t="e">
        <f>O1874-'Blocking-Step2'!O1874</f>
        <v>#VALUE!</v>
      </c>
      <c r="AN1874" s="2137">
        <f>Q1874-'Blocking-Step2'!Q1874</f>
        <v>0</v>
      </c>
      <c r="AP1874" s="2127">
        <f>S1874-'Blocking-Step2'!S1874</f>
        <v>0</v>
      </c>
      <c r="AR1874" s="2127">
        <f>U1874-'Blocking-Step2'!U1874</f>
        <v>0</v>
      </c>
      <c r="AT1874" s="2127">
        <f>W1874-'Blocking-Step2'!W1874</f>
        <v>0</v>
      </c>
      <c r="AV1874" s="2128">
        <f>Y1874-'Blocking-Step2'!Y1874</f>
        <v>0</v>
      </c>
    </row>
    <row r="1875" spans="1:48" ht="17.25" hidden="1" thickTop="1" thickBot="1">
      <c r="A1875" s="1104" t="s">
        <v>93</v>
      </c>
      <c r="C1875" s="1138">
        <v>46845</v>
      </c>
      <c r="D1875" s="1138">
        <v>27840</v>
      </c>
      <c r="F1875" s="1145"/>
      <c r="H1875" s="1149">
        <v>4543.2285000000002</v>
      </c>
      <c r="I1875" s="1149">
        <v>3013.9236000000001</v>
      </c>
      <c r="K1875" s="1145"/>
      <c r="M1875" s="1145"/>
      <c r="O1875" s="1145"/>
      <c r="Q1875" s="1145"/>
      <c r="S1875" s="1149">
        <v>1305</v>
      </c>
      <c r="U1875" s="1149">
        <v>1107</v>
      </c>
      <c r="W1875" s="1149">
        <v>608</v>
      </c>
      <c r="Y1875" s="1149">
        <v>3019</v>
      </c>
      <c r="Z1875" s="2114">
        <f>C1875-'Blocking-Step2'!C1875</f>
        <v>0</v>
      </c>
      <c r="AA1875" s="2114">
        <f>D1875-'Blocking-Step2'!D1875</f>
        <v>0</v>
      </c>
      <c r="AC1875" s="2114">
        <f>F1875-'Blocking-Step2'!F1875</f>
        <v>0</v>
      </c>
      <c r="AE1875" s="2114">
        <f>H1875-'Blocking-Step2'!H1875</f>
        <v>0</v>
      </c>
      <c r="AF1875" s="2114">
        <f>I1875-'Blocking-Step2'!I1875</f>
        <v>0</v>
      </c>
      <c r="AH1875" s="2136">
        <f>K1875-'Blocking-Step2'!K1875</f>
        <v>0</v>
      </c>
      <c r="AJ1875" s="2136">
        <f>M1875-'Blocking-Step2'!M1875</f>
        <v>0</v>
      </c>
      <c r="AL1875" s="2136">
        <f>O1875-'Blocking-Step2'!O1875</f>
        <v>0</v>
      </c>
      <c r="AN1875" s="2137">
        <f>Q1875-'Blocking-Step2'!Q1875</f>
        <v>0</v>
      </c>
      <c r="AP1875" s="2127">
        <f>S1875-'Blocking-Step2'!S1875</f>
        <v>-323</v>
      </c>
      <c r="AR1875" s="2127">
        <f>U1875-'Blocking-Step2'!U1875</f>
        <v>324</v>
      </c>
      <c r="AT1875" s="2127">
        <f>W1875-'Blocking-Step2'!W1875</f>
        <v>0</v>
      </c>
      <c r="AV1875" s="2128">
        <f>Y1875-'Blocking-Step2'!Y1875</f>
        <v>0</v>
      </c>
    </row>
    <row r="1876" spans="1:48" ht="16.5" hidden="1" thickTop="1">
      <c r="C1876" s="1105"/>
      <c r="D1876" s="1105"/>
      <c r="Z1876" s="2114">
        <f>C1876-'Blocking-Step2'!C1876</f>
        <v>0</v>
      </c>
      <c r="AA1876" s="2114">
        <f>D1876-'Blocking-Step2'!D1876</f>
        <v>0</v>
      </c>
      <c r="AC1876" s="2114">
        <f>F1876-'Blocking-Step2'!F1876</f>
        <v>0</v>
      </c>
      <c r="AE1876" s="2114">
        <f>H1876-'Blocking-Step2'!H1876</f>
        <v>0</v>
      </c>
      <c r="AF1876" s="2114">
        <f>I1876-'Blocking-Step2'!I1876</f>
        <v>0</v>
      </c>
      <c r="AH1876" s="2136">
        <f>K1876-'Blocking-Step2'!K1876</f>
        <v>0</v>
      </c>
      <c r="AJ1876" s="2136">
        <f>M1876-'Blocking-Step2'!M1876</f>
        <v>0</v>
      </c>
      <c r="AL1876" s="2136">
        <f>O1876-'Blocking-Step2'!O1876</f>
        <v>0</v>
      </c>
      <c r="AN1876" s="2137">
        <f>Q1876-'Blocking-Step2'!Q1876</f>
        <v>0</v>
      </c>
      <c r="AP1876" s="2127">
        <f>S1876-'Blocking-Step2'!S1876</f>
        <v>0</v>
      </c>
      <c r="AR1876" s="2127">
        <f>U1876-'Blocking-Step2'!U1876</f>
        <v>0</v>
      </c>
      <c r="AT1876" s="2127">
        <f>W1876-'Blocking-Step2'!W1876</f>
        <v>0</v>
      </c>
      <c r="AV1876" s="2128">
        <f>Y1876-'Blocking-Step2'!Y1876</f>
        <v>0</v>
      </c>
    </row>
    <row r="1877" spans="1:48" ht="16.5" hidden="1" thickTop="1">
      <c r="A1877" s="2092" t="s">
        <v>924</v>
      </c>
      <c r="C1877" s="1105"/>
      <c r="D1877" s="1105"/>
      <c r="F1877" s="1109"/>
      <c r="H1877" s="1114"/>
      <c r="I1877" s="1114"/>
      <c r="K1877" s="1109"/>
      <c r="M1877" s="1109"/>
      <c r="O1877" s="1109"/>
      <c r="Q1877" s="1109"/>
      <c r="Y1877" s="1114"/>
      <c r="Z1877" s="2114">
        <f>C1877-'Blocking-Step2'!C1877</f>
        <v>0</v>
      </c>
      <c r="AA1877" s="2114">
        <f>D1877-'Blocking-Step2'!D1877</f>
        <v>0</v>
      </c>
      <c r="AC1877" s="2114">
        <f>F1877-'Blocking-Step2'!F1877</f>
        <v>0</v>
      </c>
      <c r="AE1877" s="2114">
        <f>H1877-'Blocking-Step2'!H1877</f>
        <v>0</v>
      </c>
      <c r="AF1877" s="2114">
        <f>I1877-'Blocking-Step2'!I1877</f>
        <v>0</v>
      </c>
      <c r="AH1877" s="2136">
        <f>K1877-'Blocking-Step2'!K1877</f>
        <v>0</v>
      </c>
      <c r="AJ1877" s="2136">
        <f>M1877-'Blocking-Step2'!M1877</f>
        <v>0</v>
      </c>
      <c r="AL1877" s="2136">
        <f>O1877-'Blocking-Step2'!O1877</f>
        <v>0</v>
      </c>
      <c r="AN1877" s="2137">
        <f>Q1877-'Blocking-Step2'!Q1877</f>
        <v>0</v>
      </c>
      <c r="AP1877" s="2127">
        <f>S1877-'Blocking-Step2'!S1877</f>
        <v>0</v>
      </c>
      <c r="AR1877" s="2127">
        <f>U1877-'Blocking-Step2'!U1877</f>
        <v>0</v>
      </c>
      <c r="AT1877" s="2127">
        <f>W1877-'Blocking-Step2'!W1877</f>
        <v>0</v>
      </c>
      <c r="AV1877" s="2128">
        <f>Y1877-'Blocking-Step2'!Y1877</f>
        <v>0</v>
      </c>
    </row>
    <row r="1878" spans="1:48" ht="16.5" hidden="1" thickTop="1">
      <c r="A1878" s="1116" t="s">
        <v>359</v>
      </c>
      <c r="C1878" s="1105">
        <v>19230.156363636299</v>
      </c>
      <c r="D1878" s="1105">
        <v>19332</v>
      </c>
      <c r="F1878" s="1907">
        <v>5.5</v>
      </c>
      <c r="G1878" s="1110"/>
      <c r="H1878" s="1146">
        <v>105766</v>
      </c>
      <c r="I1878" s="1146">
        <v>106326</v>
      </c>
      <c r="K1878" s="1907">
        <v>5.5</v>
      </c>
      <c r="L1878" s="1110"/>
      <c r="M1878" s="1907">
        <v>0</v>
      </c>
      <c r="N1878" s="1110"/>
      <c r="O1878" s="1907">
        <v>0</v>
      </c>
      <c r="P1878" s="1110"/>
      <c r="Q1878" s="1907">
        <v>5.5</v>
      </c>
      <c r="R1878" s="1110"/>
      <c r="S1878" s="1146">
        <v>106326</v>
      </c>
      <c r="T1878" s="1114"/>
      <c r="U1878" s="1146">
        <v>0</v>
      </c>
      <c r="V1878" s="1114"/>
      <c r="W1878" s="1146">
        <v>0</v>
      </c>
      <c r="X1878" s="1629"/>
      <c r="Y1878" s="1146">
        <v>106326</v>
      </c>
      <c r="Z1878" s="2114">
        <f>C1878-'Blocking-Step2'!C1878</f>
        <v>0</v>
      </c>
      <c r="AA1878" s="2114">
        <f>D1878-'Blocking-Step2'!D1878</f>
        <v>0</v>
      </c>
      <c r="AC1878" s="2114">
        <f>F1878-'Blocking-Step2'!F1878</f>
        <v>0</v>
      </c>
      <c r="AE1878" s="2114">
        <f>H1878-'Blocking-Step2'!H1878</f>
        <v>0</v>
      </c>
      <c r="AF1878" s="2114">
        <f>I1878-'Blocking-Step2'!I1878</f>
        <v>0</v>
      </c>
      <c r="AH1878" s="2136">
        <f>K1878-'Blocking-Step2'!K1878</f>
        <v>0</v>
      </c>
      <c r="AJ1878" s="2136">
        <f>M1878-'Blocking-Step2'!M1878</f>
        <v>0</v>
      </c>
      <c r="AL1878" s="2136">
        <f>O1878-'Blocking-Step2'!O1878</f>
        <v>0</v>
      </c>
      <c r="AN1878" s="2137">
        <f>Q1878-'Blocking-Step2'!Q1878</f>
        <v>0</v>
      </c>
      <c r="AP1878" s="2127">
        <f>S1878-'Blocking-Step2'!S1878</f>
        <v>0</v>
      </c>
      <c r="AR1878" s="2127">
        <f>U1878-'Blocking-Step2'!U1878</f>
        <v>0</v>
      </c>
      <c r="AT1878" s="2127">
        <f>W1878-'Blocking-Step2'!W1878</f>
        <v>0</v>
      </c>
      <c r="AV1878" s="2128">
        <f>Y1878-'Blocking-Step2'!Y1878</f>
        <v>0</v>
      </c>
    </row>
    <row r="1879" spans="1:48" ht="16.5" hidden="1" thickTop="1">
      <c r="A1879" s="1116" t="s">
        <v>360</v>
      </c>
      <c r="C1879" s="1105">
        <v>4362251</v>
      </c>
      <c r="D1879" s="1105">
        <v>4338486.2589480672</v>
      </c>
      <c r="F1879" s="2087">
        <v>8.4048999999999996</v>
      </c>
      <c r="G1879" s="1921" t="s">
        <v>495</v>
      </c>
      <c r="H1879" s="1146">
        <v>366643</v>
      </c>
      <c r="I1879" s="1146">
        <v>364645</v>
      </c>
      <c r="K1879" s="2087">
        <v>1.8412999999999999</v>
      </c>
      <c r="L1879" s="1921" t="s">
        <v>495</v>
      </c>
      <c r="M1879" s="2087">
        <v>3.9762</v>
      </c>
      <c r="N1879" s="1921" t="s">
        <v>495</v>
      </c>
      <c r="O1879" s="2087">
        <v>2.1835341013880005</v>
      </c>
      <c r="P1879" s="1921" t="s">
        <v>495</v>
      </c>
      <c r="Q1879" s="2087">
        <v>8.0010341013880009</v>
      </c>
      <c r="R1879" s="1921" t="s">
        <v>495</v>
      </c>
      <c r="S1879" s="1146">
        <v>79885</v>
      </c>
      <c r="T1879" s="1648"/>
      <c r="U1879" s="1146">
        <v>172507</v>
      </c>
      <c r="V1879" s="1648"/>
      <c r="W1879" s="1146">
        <v>94732</v>
      </c>
      <c r="X1879" s="1648"/>
      <c r="Y1879" s="1146">
        <v>347124</v>
      </c>
      <c r="Z1879" s="2114">
        <f>C1879-'Blocking-Step2'!C1879</f>
        <v>0</v>
      </c>
      <c r="AA1879" s="2114">
        <f>D1879-'Blocking-Step2'!D1879</f>
        <v>0</v>
      </c>
      <c r="AC1879" s="2114">
        <f>F1879-'Blocking-Step2'!F1879</f>
        <v>0</v>
      </c>
      <c r="AE1879" s="2114">
        <f>H1879-'Blocking-Step2'!H1879</f>
        <v>0</v>
      </c>
      <c r="AF1879" s="2114">
        <f>I1879-'Blocking-Step2'!I1879</f>
        <v>0</v>
      </c>
      <c r="AH1879" s="2136">
        <f>K1879-'Blocking-Step2'!K1879</f>
        <v>-1.1630000000000003</v>
      </c>
      <c r="AJ1879" s="2136">
        <f>M1879-'Blocking-Step2'!M1879</f>
        <v>1.1629</v>
      </c>
      <c r="AL1879" s="2136">
        <f>O1879-'Blocking-Step2'!O1879</f>
        <v>1.0000000000021103E-4</v>
      </c>
      <c r="AN1879" s="2137">
        <f>Q1879-'Blocking-Step2'!Q1879</f>
        <v>0</v>
      </c>
      <c r="AP1879" s="2127">
        <f>S1879-'Blocking-Step2'!S1879</f>
        <v>-50456</v>
      </c>
      <c r="AR1879" s="2127">
        <f>U1879-'Blocking-Step2'!U1879</f>
        <v>50452</v>
      </c>
      <c r="AT1879" s="2127">
        <f>W1879-'Blocking-Step2'!W1879</f>
        <v>4</v>
      </c>
      <c r="AV1879" s="2128">
        <f>Y1879-'Blocking-Step2'!Y1879</f>
        <v>0</v>
      </c>
    </row>
    <row r="1880" spans="1:48" ht="16.5" hidden="1" thickTop="1">
      <c r="A1880" s="1116" t="s">
        <v>288</v>
      </c>
      <c r="C1880" s="1137">
        <v>-161630</v>
      </c>
      <c r="D1880" s="1137">
        <v>0</v>
      </c>
      <c r="H1880" s="1147">
        <v>-16089</v>
      </c>
      <c r="I1880" s="1147">
        <v>0</v>
      </c>
      <c r="Y1880" s="1147"/>
      <c r="Z1880" s="2114">
        <f>C1880-'Blocking-Step2'!C1880</f>
        <v>0</v>
      </c>
      <c r="AA1880" s="2114">
        <f>D1880-'Blocking-Step2'!D1880</f>
        <v>0</v>
      </c>
      <c r="AC1880" s="2114">
        <f>F1880-'Blocking-Step2'!F1880</f>
        <v>0</v>
      </c>
      <c r="AE1880" s="2114">
        <f>H1880-'Blocking-Step2'!H1880</f>
        <v>0</v>
      </c>
      <c r="AF1880" s="2114">
        <f>I1880-'Blocking-Step2'!I1880</f>
        <v>0</v>
      </c>
      <c r="AH1880" s="2136">
        <f>K1880-'Blocking-Step2'!K1880</f>
        <v>0</v>
      </c>
      <c r="AJ1880" s="2136">
        <f>M1880-'Blocking-Step2'!M1880</f>
        <v>0</v>
      </c>
      <c r="AL1880" s="2136">
        <f>O1880-'Blocking-Step2'!O1880</f>
        <v>0</v>
      </c>
      <c r="AN1880" s="2137">
        <f>Q1880-'Blocking-Step2'!Q1880</f>
        <v>0</v>
      </c>
      <c r="AP1880" s="2127">
        <f>S1880-'Blocking-Step2'!S1880</f>
        <v>0</v>
      </c>
      <c r="AR1880" s="2127">
        <f>U1880-'Blocking-Step2'!U1880</f>
        <v>0</v>
      </c>
      <c r="AT1880" s="2127">
        <f>W1880-'Blocking-Step2'!W1880</f>
        <v>0</v>
      </c>
      <c r="AV1880" s="2128">
        <f>Y1880-'Blocking-Step2'!Y1880</f>
        <v>0</v>
      </c>
    </row>
    <row r="1881" spans="1:48" ht="16.5" hidden="1" thickTop="1">
      <c r="A1881" s="1116" t="s">
        <v>1240</v>
      </c>
      <c r="C1881" s="1024"/>
      <c r="D1881" s="1024"/>
      <c r="F1881" s="2076">
        <v>-3.7699999999999997E-2</v>
      </c>
      <c r="G1881" s="617"/>
      <c r="H1881" s="1146">
        <v>-17809.819299999999</v>
      </c>
      <c r="I1881" s="1146">
        <v>-17755.6067</v>
      </c>
      <c r="K1881" s="2076"/>
      <c r="L1881" s="617"/>
      <c r="M1881" s="2076"/>
      <c r="N1881" s="617"/>
      <c r="O1881" s="2077" t="s">
        <v>2323</v>
      </c>
      <c r="P1881" s="617"/>
      <c r="Q1881" s="2076">
        <v>-2.64E-2</v>
      </c>
      <c r="R1881" s="617"/>
      <c r="S1881" s="1114"/>
      <c r="T1881" s="1114"/>
      <c r="U1881" s="1114"/>
      <c r="V1881" s="1114"/>
      <c r="W1881" s="1114"/>
      <c r="X1881" s="1114"/>
      <c r="Y1881" s="1146">
        <v>-9164.0735999999997</v>
      </c>
      <c r="Z1881" s="2114">
        <f>C1881-'Blocking-Step2'!C1881</f>
        <v>0</v>
      </c>
      <c r="AA1881" s="2114">
        <f>D1881-'Blocking-Step2'!D1881</f>
        <v>0</v>
      </c>
      <c r="AC1881" s="2114">
        <f>F1881-'Blocking-Step2'!F1881</f>
        <v>0</v>
      </c>
      <c r="AE1881" s="2114">
        <f>H1881-'Blocking-Step2'!H1881</f>
        <v>0</v>
      </c>
      <c r="AF1881" s="2114">
        <f>I1881-'Blocking-Step2'!I1881</f>
        <v>0</v>
      </c>
      <c r="AH1881" s="2136">
        <f>K1881-'Blocking-Step2'!K1881</f>
        <v>0</v>
      </c>
      <c r="AJ1881" s="2136">
        <f>M1881-'Blocking-Step2'!M1881</f>
        <v>0</v>
      </c>
      <c r="AL1881" s="2136" t="e">
        <f>O1881-'Blocking-Step2'!O1881</f>
        <v>#VALUE!</v>
      </c>
      <c r="AN1881" s="2137">
        <f>Q1881-'Blocking-Step2'!Q1881</f>
        <v>0</v>
      </c>
      <c r="AP1881" s="2127">
        <f>S1881-'Blocking-Step2'!S1881</f>
        <v>0</v>
      </c>
      <c r="AR1881" s="2127">
        <f>U1881-'Blocking-Step2'!U1881</f>
        <v>0</v>
      </c>
      <c r="AT1881" s="2127">
        <f>W1881-'Blocking-Step2'!W1881</f>
        <v>0</v>
      </c>
      <c r="AV1881" s="2128">
        <f>Y1881-'Blocking-Step2'!Y1881</f>
        <v>0</v>
      </c>
    </row>
    <row r="1882" spans="1:48" ht="16.5" hidden="1" thickTop="1">
      <c r="A1882" s="1116"/>
      <c r="C1882" s="1024"/>
      <c r="D1882" s="1024"/>
      <c r="F1882" s="2076"/>
      <c r="G1882" s="617"/>
      <c r="H1882" s="1146"/>
      <c r="I1882" s="1146"/>
      <c r="K1882" s="2076"/>
      <c r="L1882" s="617"/>
      <c r="M1882" s="2076"/>
      <c r="N1882" s="617"/>
      <c r="O1882" s="2077" t="s">
        <v>2324</v>
      </c>
      <c r="P1882" s="617"/>
      <c r="Q1882" s="2076">
        <v>-1.43E-2</v>
      </c>
      <c r="R1882" s="617"/>
      <c r="S1882" s="1114"/>
      <c r="T1882" s="1114"/>
      <c r="U1882" s="1114"/>
      <c r="V1882" s="1114"/>
      <c r="W1882" s="1114"/>
      <c r="X1882" s="1114"/>
      <c r="Y1882" s="1146">
        <v>-4963.8732</v>
      </c>
      <c r="Z1882" s="2114">
        <f>C1882-'Blocking-Step2'!C1882</f>
        <v>0</v>
      </c>
      <c r="AA1882" s="2114">
        <f>D1882-'Blocking-Step2'!D1882</f>
        <v>0</v>
      </c>
      <c r="AC1882" s="2114">
        <f>F1882-'Blocking-Step2'!F1882</f>
        <v>0</v>
      </c>
      <c r="AE1882" s="2114">
        <f>H1882-'Blocking-Step2'!H1882</f>
        <v>0</v>
      </c>
      <c r="AF1882" s="2114">
        <f>I1882-'Blocking-Step2'!I1882</f>
        <v>0</v>
      </c>
      <c r="AH1882" s="2136">
        <f>K1882-'Blocking-Step2'!K1882</f>
        <v>0</v>
      </c>
      <c r="AJ1882" s="2136">
        <f>M1882-'Blocking-Step2'!M1882</f>
        <v>0</v>
      </c>
      <c r="AL1882" s="2136" t="e">
        <f>O1882-'Blocking-Step2'!O1882</f>
        <v>#VALUE!</v>
      </c>
      <c r="AN1882" s="2137">
        <f>Q1882-'Blocking-Step2'!Q1882</f>
        <v>0</v>
      </c>
      <c r="AP1882" s="2127">
        <f>S1882-'Blocking-Step2'!S1882</f>
        <v>0</v>
      </c>
      <c r="AR1882" s="2127">
        <f>U1882-'Blocking-Step2'!U1882</f>
        <v>0</v>
      </c>
      <c r="AT1882" s="2127">
        <f>W1882-'Blocking-Step2'!W1882</f>
        <v>0</v>
      </c>
      <c r="AV1882" s="2128">
        <f>Y1882-'Blocking-Step2'!Y1882</f>
        <v>0</v>
      </c>
    </row>
    <row r="1883" spans="1:48" ht="17.25" hidden="1" thickTop="1" thickBot="1">
      <c r="A1883" s="1104" t="s">
        <v>93</v>
      </c>
      <c r="C1883" s="1138">
        <v>4200621</v>
      </c>
      <c r="D1883" s="1138">
        <v>4338486.2589480672</v>
      </c>
      <c r="F1883" s="1145"/>
      <c r="H1883" s="1149">
        <v>438510.18070000003</v>
      </c>
      <c r="I1883" s="1149">
        <v>453215.3933</v>
      </c>
      <c r="K1883" s="1145"/>
      <c r="M1883" s="1145"/>
      <c r="O1883" s="1145"/>
      <c r="Q1883" s="1145"/>
      <c r="S1883" s="1149">
        <v>186211</v>
      </c>
      <c r="U1883" s="1149">
        <v>172507</v>
      </c>
      <c r="W1883" s="1149">
        <v>94732</v>
      </c>
      <c r="Y1883" s="1149">
        <v>453450</v>
      </c>
      <c r="Z1883" s="2114">
        <f>C1883-'Blocking-Step2'!C1883</f>
        <v>0</v>
      </c>
      <c r="AA1883" s="2114">
        <f>D1883-'Blocking-Step2'!D1883</f>
        <v>0</v>
      </c>
      <c r="AC1883" s="2114">
        <f>F1883-'Blocking-Step2'!F1883</f>
        <v>0</v>
      </c>
      <c r="AE1883" s="2114">
        <f>H1883-'Blocking-Step2'!H1883</f>
        <v>0</v>
      </c>
      <c r="AF1883" s="2114">
        <f>I1883-'Blocking-Step2'!I1883</f>
        <v>0</v>
      </c>
      <c r="AH1883" s="2136">
        <f>K1883-'Blocking-Step2'!K1883</f>
        <v>0</v>
      </c>
      <c r="AJ1883" s="2136">
        <f>M1883-'Blocking-Step2'!M1883</f>
        <v>0</v>
      </c>
      <c r="AL1883" s="2136">
        <f>O1883-'Blocking-Step2'!O1883</f>
        <v>0</v>
      </c>
      <c r="AN1883" s="2137">
        <f>Q1883-'Blocking-Step2'!Q1883</f>
        <v>0</v>
      </c>
      <c r="AP1883" s="2127">
        <f>S1883-'Blocking-Step2'!S1883</f>
        <v>-50456</v>
      </c>
      <c r="AR1883" s="2127">
        <f>U1883-'Blocking-Step2'!U1883</f>
        <v>50452</v>
      </c>
      <c r="AT1883" s="2127">
        <f>W1883-'Blocking-Step2'!W1883</f>
        <v>4</v>
      </c>
      <c r="AV1883" s="2128">
        <f>Y1883-'Blocking-Step2'!Y1883</f>
        <v>0</v>
      </c>
    </row>
    <row r="1884" spans="1:48" ht="16.5" thickTop="1">
      <c r="A1884" s="1116"/>
      <c r="C1884" s="1105"/>
      <c r="D1884" s="1105"/>
      <c r="F1884" s="1985"/>
      <c r="G1884" s="1986"/>
      <c r="H1884" s="1114"/>
      <c r="I1884" s="1114"/>
      <c r="K1884" s="1985"/>
      <c r="L1884" s="1986"/>
      <c r="M1884" s="1985"/>
      <c r="N1884" s="1986"/>
      <c r="O1884" s="1985"/>
      <c r="P1884" s="1986"/>
      <c r="Q1884" s="1985"/>
      <c r="R1884" s="1986"/>
      <c r="S1884" s="1652"/>
      <c r="T1884" s="1652"/>
      <c r="U1884" s="1652"/>
      <c r="V1884" s="1652"/>
      <c r="W1884" s="1652"/>
      <c r="X1884" s="1652"/>
      <c r="Y1884" s="1114"/>
      <c r="Z1884" s="2114">
        <f>C1884-'Blocking-Step2'!C1884</f>
        <v>0</v>
      </c>
      <c r="AA1884" s="2114">
        <f>D1884-'Blocking-Step2'!D1884</f>
        <v>0</v>
      </c>
      <c r="AC1884" s="2114">
        <f>F1884-'Blocking-Step2'!F1884</f>
        <v>0</v>
      </c>
      <c r="AE1884" s="2114">
        <f>H1884-'Blocking-Step2'!H1884</f>
        <v>0</v>
      </c>
      <c r="AF1884" s="2114">
        <f>I1884-'Blocking-Step2'!I1884</f>
        <v>0</v>
      </c>
      <c r="AH1884" s="2136">
        <f>K1884-'Blocking-Step2'!K1884</f>
        <v>0</v>
      </c>
      <c r="AJ1884" s="2136">
        <f>M1884-'Blocking-Step2'!M1884</f>
        <v>0</v>
      </c>
      <c r="AL1884" s="2136">
        <f>O1884-'Blocking-Step2'!O1884</f>
        <v>0</v>
      </c>
      <c r="AN1884" s="2137">
        <f>Q1884-'Blocking-Step2'!Q1884</f>
        <v>0</v>
      </c>
      <c r="AP1884" s="2127">
        <f>S1884-'Blocking-Step2'!S1884</f>
        <v>0</v>
      </c>
      <c r="AR1884" s="2127">
        <f>U1884-'Blocking-Step2'!U1884</f>
        <v>0</v>
      </c>
      <c r="AT1884" s="2127">
        <f>W1884-'Blocking-Step2'!W1884</f>
        <v>0</v>
      </c>
      <c r="AV1884" s="2128">
        <f>Y1884-'Blocking-Step2'!Y1884</f>
        <v>0</v>
      </c>
    </row>
    <row r="1885" spans="1:48">
      <c r="A1885" s="1115" t="s">
        <v>485</v>
      </c>
      <c r="C1885" s="1105"/>
      <c r="D1885" s="1105"/>
      <c r="Z1885" s="2114">
        <f>C1885-'Blocking-Step2'!C1885</f>
        <v>0</v>
      </c>
      <c r="AA1885" s="2114">
        <f>D1885-'Blocking-Step2'!D1885</f>
        <v>0</v>
      </c>
      <c r="AC1885" s="2114">
        <f>F1885-'Blocking-Step2'!F1885</f>
        <v>0</v>
      </c>
      <c r="AE1885" s="2114">
        <f>H1885-'Blocking-Step2'!H1885</f>
        <v>0</v>
      </c>
      <c r="AF1885" s="2114">
        <f>I1885-'Blocking-Step2'!I1885</f>
        <v>0</v>
      </c>
      <c r="AH1885" s="2136">
        <f>K1885-'Blocking-Step2'!K1885</f>
        <v>0</v>
      </c>
      <c r="AJ1885" s="2136">
        <f>M1885-'Blocking-Step2'!M1885</f>
        <v>0</v>
      </c>
      <c r="AL1885" s="2136">
        <f>O1885-'Blocking-Step2'!O1885</f>
        <v>0</v>
      </c>
      <c r="AN1885" s="2137">
        <f>Q1885-'Blocking-Step2'!Q1885</f>
        <v>0</v>
      </c>
      <c r="AP1885" s="2127">
        <f>S1885-'Blocking-Step2'!S1885</f>
        <v>0</v>
      </c>
      <c r="AR1885" s="2127">
        <f>U1885-'Blocking-Step2'!U1885</f>
        <v>0</v>
      </c>
      <c r="AT1885" s="2127">
        <f>W1885-'Blocking-Step2'!W1885</f>
        <v>0</v>
      </c>
      <c r="AV1885" s="2128">
        <f>Y1885-'Blocking-Step2'!Y1885</f>
        <v>0</v>
      </c>
    </row>
    <row r="1886" spans="1:48">
      <c r="A1886" s="1115" t="s">
        <v>453</v>
      </c>
      <c r="C1886" s="1105"/>
      <c r="D1886" s="1105"/>
      <c r="Z1886" s="2114">
        <f>C1886-'Blocking-Step2'!C1886</f>
        <v>0</v>
      </c>
      <c r="AA1886" s="2114">
        <f>D1886-'Blocking-Step2'!D1886</f>
        <v>0</v>
      </c>
      <c r="AC1886" s="2114">
        <f>F1886-'Blocking-Step2'!F1886</f>
        <v>0</v>
      </c>
      <c r="AE1886" s="2114">
        <f>H1886-'Blocking-Step2'!H1886</f>
        <v>0</v>
      </c>
      <c r="AF1886" s="2114">
        <f>I1886-'Blocking-Step2'!I1886</f>
        <v>0</v>
      </c>
      <c r="AH1886" s="2136">
        <f>K1886-'Blocking-Step2'!K1886</f>
        <v>0</v>
      </c>
      <c r="AJ1886" s="2136">
        <f>M1886-'Blocking-Step2'!M1886</f>
        <v>0</v>
      </c>
      <c r="AL1886" s="2136">
        <f>O1886-'Blocking-Step2'!O1886</f>
        <v>0</v>
      </c>
      <c r="AN1886" s="2137">
        <f>Q1886-'Blocking-Step2'!Q1886</f>
        <v>0</v>
      </c>
      <c r="AP1886" s="2127">
        <f>S1886-'Blocking-Step2'!S1886</f>
        <v>0</v>
      </c>
      <c r="AR1886" s="2127">
        <f>U1886-'Blocking-Step2'!U1886</f>
        <v>0</v>
      </c>
      <c r="AT1886" s="2127">
        <f>W1886-'Blocking-Step2'!W1886</f>
        <v>0</v>
      </c>
      <c r="AV1886" s="2128">
        <f>Y1886-'Blocking-Step2'!Y1886</f>
        <v>0</v>
      </c>
    </row>
    <row r="1887" spans="1:48">
      <c r="A1887" s="1116" t="s">
        <v>240</v>
      </c>
      <c r="C1887" s="1105">
        <v>12</v>
      </c>
      <c r="D1887" s="1105">
        <v>15</v>
      </c>
      <c r="F1887" s="1907"/>
      <c r="G1887" s="1110"/>
      <c r="H1887" s="1146"/>
      <c r="I1887" s="1146"/>
      <c r="K1887" s="1907">
        <v>54</v>
      </c>
      <c r="L1887" s="1110"/>
      <c r="M1887" s="1907">
        <v>0</v>
      </c>
      <c r="N1887" s="1110"/>
      <c r="O1887" s="1907">
        <v>0</v>
      </c>
      <c r="P1887" s="1110"/>
      <c r="Q1887" s="1907">
        <v>54</v>
      </c>
      <c r="R1887" s="1110"/>
      <c r="S1887" s="1629">
        <v>810</v>
      </c>
      <c r="T1887" s="1629"/>
      <c r="U1887" s="1629">
        <v>0</v>
      </c>
      <c r="V1887" s="1629"/>
      <c r="W1887" s="1629">
        <v>0</v>
      </c>
      <c r="X1887" s="1629"/>
      <c r="Y1887" s="1629">
        <v>810</v>
      </c>
      <c r="Z1887" s="2114">
        <f>C1887-'Blocking-Step2'!C1887</f>
        <v>0</v>
      </c>
      <c r="AA1887" s="2114">
        <f>D1887-'Blocking-Step2'!D1887</f>
        <v>0</v>
      </c>
      <c r="AC1887" s="2114">
        <f>F1887-'Blocking-Step2'!F1887</f>
        <v>0</v>
      </c>
      <c r="AE1887" s="2114">
        <f>H1887-'Blocking-Step2'!H1887</f>
        <v>0</v>
      </c>
      <c r="AF1887" s="2114">
        <f>I1887-'Blocking-Step2'!I1887</f>
        <v>0</v>
      </c>
      <c r="AH1887" s="2136">
        <f>K1887-'Blocking-Step2'!K1887</f>
        <v>0</v>
      </c>
      <c r="AJ1887" s="2136">
        <f>M1887-'Blocking-Step2'!M1887</f>
        <v>0</v>
      </c>
      <c r="AL1887" s="2136">
        <f>O1887-'Blocking-Step2'!O1887</f>
        <v>0</v>
      </c>
      <c r="AN1887" s="2137">
        <f>Q1887-'Blocking-Step2'!Q1887</f>
        <v>0</v>
      </c>
      <c r="AP1887" s="2127">
        <f>S1887-'Blocking-Step2'!S1887</f>
        <v>0</v>
      </c>
      <c r="AR1887" s="2127">
        <f>U1887-'Blocking-Step2'!U1887</f>
        <v>0</v>
      </c>
      <c r="AT1887" s="2127">
        <f>W1887-'Blocking-Step2'!W1887</f>
        <v>0</v>
      </c>
      <c r="AV1887" s="2128">
        <f>Y1887-'Blocking-Step2'!Y1887</f>
        <v>0</v>
      </c>
    </row>
    <row r="1888" spans="1:48">
      <c r="A1888" s="1116" t="s">
        <v>261</v>
      </c>
      <c r="C1888" s="1105">
        <v>0</v>
      </c>
      <c r="D1888" s="1105">
        <v>0</v>
      </c>
      <c r="F1888" s="1907"/>
      <c r="G1888" s="1110"/>
      <c r="H1888" s="1146"/>
      <c r="I1888" s="1146"/>
      <c r="K1888" s="1907">
        <v>-0.61</v>
      </c>
      <c r="L1888" s="1110"/>
      <c r="M1888" s="1907">
        <v>0</v>
      </c>
      <c r="N1888" s="1110"/>
      <c r="O1888" s="1907">
        <v>0</v>
      </c>
      <c r="P1888" s="1110"/>
      <c r="Q1888" s="1907">
        <v>-0.61</v>
      </c>
      <c r="R1888" s="1110"/>
      <c r="S1888" s="1629">
        <v>0</v>
      </c>
      <c r="T1888" s="1629"/>
      <c r="U1888" s="1629">
        <v>0</v>
      </c>
      <c r="V1888" s="1629"/>
      <c r="W1888" s="1629">
        <v>0</v>
      </c>
      <c r="X1888" s="1629"/>
      <c r="Y1888" s="1629">
        <v>0</v>
      </c>
      <c r="Z1888" s="2114">
        <f>C1888-'Blocking-Step2'!C1888</f>
        <v>0</v>
      </c>
      <c r="AA1888" s="2114">
        <f>D1888-'Blocking-Step2'!D1888</f>
        <v>0</v>
      </c>
      <c r="AC1888" s="2114">
        <f>F1888-'Blocking-Step2'!F1888</f>
        <v>0</v>
      </c>
      <c r="AE1888" s="2114">
        <f>H1888-'Blocking-Step2'!H1888</f>
        <v>0</v>
      </c>
      <c r="AF1888" s="2114">
        <f>I1888-'Blocking-Step2'!I1888</f>
        <v>0</v>
      </c>
      <c r="AH1888" s="2136">
        <f>K1888-'Blocking-Step2'!K1888</f>
        <v>0</v>
      </c>
      <c r="AJ1888" s="2136">
        <f>M1888-'Blocking-Step2'!M1888</f>
        <v>0</v>
      </c>
      <c r="AL1888" s="2136">
        <f>O1888-'Blocking-Step2'!O1888</f>
        <v>0</v>
      </c>
      <c r="AN1888" s="2137">
        <f>Q1888-'Blocking-Step2'!Q1888</f>
        <v>0</v>
      </c>
      <c r="AP1888" s="2127">
        <f>S1888-'Blocking-Step2'!S1888</f>
        <v>0</v>
      </c>
      <c r="AR1888" s="2127">
        <f>U1888-'Blocking-Step2'!U1888</f>
        <v>0</v>
      </c>
      <c r="AT1888" s="2127">
        <f>W1888-'Blocking-Step2'!W1888</f>
        <v>0</v>
      </c>
      <c r="AV1888" s="2128">
        <f>Y1888-'Blocking-Step2'!Y1888</f>
        <v>0</v>
      </c>
    </row>
    <row r="1889" spans="1:48">
      <c r="A1889" s="1116" t="s">
        <v>1910</v>
      </c>
      <c r="C1889" s="1105">
        <v>55256</v>
      </c>
      <c r="D1889" s="1105">
        <v>82147.641464615925</v>
      </c>
      <c r="E1889" s="617"/>
      <c r="F1889" s="1143"/>
      <c r="G1889" s="1921"/>
      <c r="H1889" s="1146"/>
      <c r="I1889" s="1146"/>
      <c r="J1889" s="617"/>
      <c r="K1889" s="1143">
        <v>1.657</v>
      </c>
      <c r="L1889" s="1921" t="s">
        <v>495</v>
      </c>
      <c r="M1889" s="1143">
        <v>19.370528114911814</v>
      </c>
      <c r="N1889" s="1921" t="s">
        <v>495</v>
      </c>
      <c r="O1889" s="1143">
        <v>1.3496999999999999</v>
      </c>
      <c r="P1889" s="1921" t="s">
        <v>495</v>
      </c>
      <c r="Q1889" s="1143">
        <v>22.377228114911812</v>
      </c>
      <c r="R1889" s="1921" t="s">
        <v>495</v>
      </c>
      <c r="S1889" s="1146">
        <v>1361</v>
      </c>
      <c r="T1889" s="1648"/>
      <c r="U1889" s="1146">
        <v>15912</v>
      </c>
      <c r="V1889" s="1648"/>
      <c r="W1889" s="1146">
        <v>1109</v>
      </c>
      <c r="X1889" s="1648"/>
      <c r="Y1889" s="1146">
        <v>18382</v>
      </c>
      <c r="Z1889" s="2114">
        <f>C1889-'Blocking-Step2'!C1889</f>
        <v>0</v>
      </c>
      <c r="AA1889" s="2114">
        <f>D1889-'Blocking-Step2'!D1889</f>
        <v>0</v>
      </c>
      <c r="AC1889" s="2114">
        <f>F1889-'Blocking-Step2'!F1889</f>
        <v>0</v>
      </c>
      <c r="AE1889" s="2114">
        <f>H1889-'Blocking-Step2'!H1889</f>
        <v>0</v>
      </c>
      <c r="AF1889" s="2114">
        <f>I1889-'Blocking-Step2'!I1889</f>
        <v>0</v>
      </c>
      <c r="AH1889" s="2136">
        <f>K1889-'Blocking-Step2'!K1889</f>
        <v>-2.2955000000000001</v>
      </c>
      <c r="AJ1889" s="2136">
        <f>M1889-'Blocking-Step2'!M1889</f>
        <v>2.2955000000000005</v>
      </c>
      <c r="AL1889" s="2136">
        <f>O1889-'Blocking-Step2'!O1889</f>
        <v>0</v>
      </c>
      <c r="AN1889" s="2137">
        <f>Q1889-'Blocking-Step2'!Q1889</f>
        <v>0</v>
      </c>
      <c r="AP1889" s="2127">
        <f>S1889-'Blocking-Step2'!S1889</f>
        <v>-1886</v>
      </c>
      <c r="AR1889" s="2127">
        <f>U1889-'Blocking-Step2'!U1889</f>
        <v>1885</v>
      </c>
      <c r="AT1889" s="2127">
        <f>W1889-'Blocking-Step2'!W1889</f>
        <v>0</v>
      </c>
      <c r="AV1889" s="2128">
        <f>Y1889-'Blocking-Step2'!Y1889</f>
        <v>0</v>
      </c>
    </row>
    <row r="1890" spans="1:48">
      <c r="A1890" s="1116" t="s">
        <v>1911</v>
      </c>
      <c r="C1890" s="1105">
        <v>0</v>
      </c>
      <c r="D1890" s="1105">
        <v>0</v>
      </c>
      <c r="E1890" s="617"/>
      <c r="F1890" s="1143"/>
      <c r="G1890" s="1921"/>
      <c r="H1890" s="1146"/>
      <c r="I1890" s="1146"/>
      <c r="J1890" s="617"/>
      <c r="K1890" s="1143">
        <v>1.657</v>
      </c>
      <c r="L1890" s="1921" t="s">
        <v>495</v>
      </c>
      <c r="M1890" s="1143">
        <v>1.3803172825590004</v>
      </c>
      <c r="N1890" s="1921" t="s">
        <v>495</v>
      </c>
      <c r="O1890" s="1143">
        <v>1.3496999999999999</v>
      </c>
      <c r="P1890" s="1921" t="s">
        <v>495</v>
      </c>
      <c r="Q1890" s="1143">
        <v>4.3870172825590004</v>
      </c>
      <c r="R1890" s="1921" t="s">
        <v>495</v>
      </c>
      <c r="S1890" s="1146">
        <v>0</v>
      </c>
      <c r="T1890" s="1648"/>
      <c r="U1890" s="1146">
        <v>0</v>
      </c>
      <c r="V1890" s="1648"/>
      <c r="W1890" s="1146">
        <v>0</v>
      </c>
      <c r="X1890" s="1648"/>
      <c r="Y1890" s="1146">
        <v>0</v>
      </c>
      <c r="Z1890" s="2114">
        <f>C1890-'Blocking-Step2'!C1890</f>
        <v>0</v>
      </c>
      <c r="AA1890" s="2114">
        <f>D1890-'Blocking-Step2'!D1890</f>
        <v>0</v>
      </c>
      <c r="AC1890" s="2114">
        <f>F1890-'Blocking-Step2'!F1890</f>
        <v>0</v>
      </c>
      <c r="AE1890" s="2114">
        <f>H1890-'Blocking-Step2'!H1890</f>
        <v>0</v>
      </c>
      <c r="AF1890" s="2114">
        <f>I1890-'Blocking-Step2'!I1890</f>
        <v>0</v>
      </c>
      <c r="AH1890" s="2136">
        <f>K1890-'Blocking-Step2'!K1890</f>
        <v>-2.2955000000000001</v>
      </c>
      <c r="AJ1890" s="2136">
        <f>M1890-'Blocking-Step2'!M1890</f>
        <v>2.2955000000000001</v>
      </c>
      <c r="AL1890" s="2136">
        <f>O1890-'Blocking-Step2'!O1890</f>
        <v>0</v>
      </c>
      <c r="AN1890" s="2137">
        <f>Q1890-'Blocking-Step2'!Q1890</f>
        <v>0</v>
      </c>
      <c r="AP1890" s="2127">
        <f>S1890-'Blocking-Step2'!S1890</f>
        <v>0</v>
      </c>
      <c r="AR1890" s="2127">
        <f>U1890-'Blocking-Step2'!U1890</f>
        <v>0</v>
      </c>
      <c r="AT1890" s="2127">
        <f>W1890-'Blocking-Step2'!W1890</f>
        <v>0</v>
      </c>
      <c r="AV1890" s="2128">
        <f>Y1890-'Blocking-Step2'!Y1890</f>
        <v>0</v>
      </c>
    </row>
    <row r="1891" spans="1:48">
      <c r="A1891" s="1116" t="s">
        <v>1912</v>
      </c>
      <c r="C1891" s="1105">
        <v>105141</v>
      </c>
      <c r="D1891" s="1105">
        <v>156310.35853538409</v>
      </c>
      <c r="E1891" s="617"/>
      <c r="F1891" s="1143"/>
      <c r="G1891" s="1921"/>
      <c r="H1891" s="1146"/>
      <c r="I1891" s="1146"/>
      <c r="J1891" s="617"/>
      <c r="K1891" s="1143">
        <v>1.657</v>
      </c>
      <c r="L1891" s="1921" t="s">
        <v>495</v>
      </c>
      <c r="M1891" s="1143">
        <v>16.951500000000003</v>
      </c>
      <c r="N1891" s="1921" t="s">
        <v>495</v>
      </c>
      <c r="O1891" s="1143">
        <v>1.1943999999999999</v>
      </c>
      <c r="P1891" s="1921" t="s">
        <v>495</v>
      </c>
      <c r="Q1891" s="1143">
        <v>19.802900000000001</v>
      </c>
      <c r="R1891" s="1921" t="s">
        <v>495</v>
      </c>
      <c r="S1891" s="1146">
        <v>2590</v>
      </c>
      <c r="T1891" s="1648"/>
      <c r="U1891" s="1146">
        <v>26497</v>
      </c>
      <c r="V1891" s="1648"/>
      <c r="W1891" s="1146">
        <v>1867</v>
      </c>
      <c r="X1891" s="1648"/>
      <c r="Y1891" s="1146">
        <v>30954</v>
      </c>
      <c r="Z1891" s="2114">
        <f>C1891-'Blocking-Step2'!C1891</f>
        <v>0</v>
      </c>
      <c r="AA1891" s="2114">
        <f>D1891-'Blocking-Step2'!D1891</f>
        <v>0</v>
      </c>
      <c r="AC1891" s="2114">
        <f>F1891-'Blocking-Step2'!F1891</f>
        <v>0</v>
      </c>
      <c r="AE1891" s="2114">
        <f>H1891-'Blocking-Step2'!H1891</f>
        <v>0</v>
      </c>
      <c r="AF1891" s="2114">
        <f>I1891-'Blocking-Step2'!I1891</f>
        <v>0</v>
      </c>
      <c r="AH1891" s="2136">
        <f>K1891-'Blocking-Step2'!K1891</f>
        <v>-2.2955000000000001</v>
      </c>
      <c r="AJ1891" s="2136">
        <f>M1891-'Blocking-Step2'!M1891</f>
        <v>2.2955000000000023</v>
      </c>
      <c r="AL1891" s="2136">
        <f>O1891-'Blocking-Step2'!O1891</f>
        <v>0</v>
      </c>
      <c r="AN1891" s="2137">
        <f>Q1891-'Blocking-Step2'!Q1891</f>
        <v>0</v>
      </c>
      <c r="AP1891" s="2127">
        <f>S1891-'Blocking-Step2'!S1891</f>
        <v>-3588</v>
      </c>
      <c r="AR1891" s="2127">
        <f>U1891-'Blocking-Step2'!U1891</f>
        <v>3588</v>
      </c>
      <c r="AT1891" s="2127">
        <f>W1891-'Blocking-Step2'!W1891</f>
        <v>0</v>
      </c>
      <c r="AV1891" s="2128">
        <f>Y1891-'Blocking-Step2'!Y1891</f>
        <v>0</v>
      </c>
    </row>
    <row r="1892" spans="1:48">
      <c r="A1892" s="1116" t="s">
        <v>1913</v>
      </c>
      <c r="C1892" s="1105">
        <v>0</v>
      </c>
      <c r="D1892" s="1105">
        <v>0</v>
      </c>
      <c r="E1892" s="617"/>
      <c r="F1892" s="1143"/>
      <c r="G1892" s="1921"/>
      <c r="H1892" s="1146"/>
      <c r="I1892" s="1146"/>
      <c r="J1892" s="617"/>
      <c r="K1892" s="1143">
        <v>1.657</v>
      </c>
      <c r="L1892" s="1921" t="s">
        <v>495</v>
      </c>
      <c r="M1892" s="1143">
        <v>1.0308999999999999</v>
      </c>
      <c r="N1892" s="1921" t="s">
        <v>495</v>
      </c>
      <c r="O1892" s="1143">
        <v>1.1943999999999999</v>
      </c>
      <c r="P1892" s="1921" t="s">
        <v>495</v>
      </c>
      <c r="Q1892" s="1143">
        <v>3.8822999999999999</v>
      </c>
      <c r="R1892" s="1921" t="s">
        <v>495</v>
      </c>
      <c r="S1892" s="1146">
        <v>0</v>
      </c>
      <c r="T1892" s="1648"/>
      <c r="U1892" s="1146">
        <v>0</v>
      </c>
      <c r="V1892" s="1648"/>
      <c r="W1892" s="1146">
        <v>0</v>
      </c>
      <c r="X1892" s="1648"/>
      <c r="Y1892" s="1146">
        <v>0</v>
      </c>
      <c r="Z1892" s="2114">
        <f>C1892-'Blocking-Step2'!C1892</f>
        <v>0</v>
      </c>
      <c r="AA1892" s="2114">
        <f>D1892-'Blocking-Step2'!D1892</f>
        <v>0</v>
      </c>
      <c r="AC1892" s="2114">
        <f>F1892-'Blocking-Step2'!F1892</f>
        <v>0</v>
      </c>
      <c r="AE1892" s="2114">
        <f>H1892-'Blocking-Step2'!H1892</f>
        <v>0</v>
      </c>
      <c r="AF1892" s="2114">
        <f>I1892-'Blocking-Step2'!I1892</f>
        <v>0</v>
      </c>
      <c r="AH1892" s="2136">
        <f>K1892-'Blocking-Step2'!K1892</f>
        <v>-2.2955000000000001</v>
      </c>
      <c r="AJ1892" s="2136">
        <f>M1892-'Blocking-Step2'!M1892</f>
        <v>2.2955000000000001</v>
      </c>
      <c r="AL1892" s="2136">
        <f>O1892-'Blocking-Step2'!O1892</f>
        <v>0</v>
      </c>
      <c r="AN1892" s="2137">
        <f>Q1892-'Blocking-Step2'!Q1892</f>
        <v>0</v>
      </c>
      <c r="AP1892" s="2127">
        <f>S1892-'Blocking-Step2'!S1892</f>
        <v>0</v>
      </c>
      <c r="AR1892" s="2127">
        <f>U1892-'Blocking-Step2'!U1892</f>
        <v>0</v>
      </c>
      <c r="AT1892" s="2127">
        <f>W1892-'Blocking-Step2'!W1892</f>
        <v>0</v>
      </c>
      <c r="AV1892" s="2128">
        <f>Y1892-'Blocking-Step2'!Y1892</f>
        <v>0</v>
      </c>
    </row>
    <row r="1893" spans="1:48">
      <c r="A1893" s="1116" t="s">
        <v>1906</v>
      </c>
      <c r="C1893" s="1105">
        <v>30686.447437025206</v>
      </c>
      <c r="D1893" s="1105">
        <v>45620.73407194746</v>
      </c>
      <c r="E1893" s="617"/>
      <c r="F1893" s="1143"/>
      <c r="G1893" s="1921"/>
      <c r="H1893" s="1146"/>
      <c r="I1893" s="1146"/>
      <c r="J1893" s="617"/>
      <c r="K1893" s="1143">
        <v>0</v>
      </c>
      <c r="L1893" s="1921" t="s">
        <v>495</v>
      </c>
      <c r="M1893" s="1143">
        <v>0</v>
      </c>
      <c r="N1893" s="1921" t="s">
        <v>495</v>
      </c>
      <c r="O1893" s="1143">
        <v>6</v>
      </c>
      <c r="P1893" s="1921" t="s">
        <v>495</v>
      </c>
      <c r="Q1893" s="1143">
        <v>6</v>
      </c>
      <c r="R1893" s="1921" t="s">
        <v>495</v>
      </c>
      <c r="S1893" s="1146">
        <v>0</v>
      </c>
      <c r="T1893" s="1648"/>
      <c r="U1893" s="1146">
        <v>0</v>
      </c>
      <c r="V1893" s="1648"/>
      <c r="W1893" s="1146">
        <v>2737</v>
      </c>
      <c r="X1893" s="1648"/>
      <c r="Y1893" s="1146">
        <v>2737</v>
      </c>
      <c r="Z1893" s="2114">
        <f>C1893-'Blocking-Step2'!C1893</f>
        <v>0</v>
      </c>
      <c r="AA1893" s="2114">
        <f>D1893-'Blocking-Step2'!D1893</f>
        <v>0</v>
      </c>
      <c r="AC1893" s="2114">
        <f>F1893-'Blocking-Step2'!F1893</f>
        <v>0</v>
      </c>
      <c r="AE1893" s="2114">
        <f>H1893-'Blocking-Step2'!H1893</f>
        <v>0</v>
      </c>
      <c r="AF1893" s="2114">
        <f>I1893-'Blocking-Step2'!I1893</f>
        <v>0</v>
      </c>
      <c r="AH1893" s="2136">
        <f>K1893-'Blocking-Step2'!K1893</f>
        <v>0</v>
      </c>
      <c r="AJ1893" s="2136">
        <f>M1893-'Blocking-Step2'!M1893</f>
        <v>0</v>
      </c>
      <c r="AL1893" s="2136">
        <f>O1893-'Blocking-Step2'!O1893</f>
        <v>0</v>
      </c>
      <c r="AN1893" s="2137">
        <f>Q1893-'Blocking-Step2'!Q1893</f>
        <v>0</v>
      </c>
      <c r="AP1893" s="2127">
        <f>S1893-'Blocking-Step2'!S1893</f>
        <v>0</v>
      </c>
      <c r="AR1893" s="2127">
        <f>U1893-'Blocking-Step2'!U1893</f>
        <v>0</v>
      </c>
      <c r="AT1893" s="2127">
        <f>W1893-'Blocking-Step2'!W1893</f>
        <v>0</v>
      </c>
      <c r="AV1893" s="2128">
        <f>Y1893-'Blocking-Step2'!Y1893</f>
        <v>0</v>
      </c>
    </row>
    <row r="1894" spans="1:48">
      <c r="A1894" s="1116" t="s">
        <v>1907</v>
      </c>
      <c r="C1894" s="1105">
        <v>24569.55256297479</v>
      </c>
      <c r="D1894" s="1105">
        <v>36526.907392668458</v>
      </c>
      <c r="E1894" s="617"/>
      <c r="F1894" s="1143"/>
      <c r="G1894" s="1921"/>
      <c r="H1894" s="1146"/>
      <c r="I1894" s="1146"/>
      <c r="J1894" s="617"/>
      <c r="K1894" s="1143">
        <v>0</v>
      </c>
      <c r="L1894" s="1921" t="s">
        <v>495</v>
      </c>
      <c r="M1894" s="1143">
        <v>0</v>
      </c>
      <c r="N1894" s="1921" t="s">
        <v>495</v>
      </c>
      <c r="O1894" s="1143">
        <v>-2.3358000000000008</v>
      </c>
      <c r="P1894" s="1921" t="s">
        <v>495</v>
      </c>
      <c r="Q1894" s="1143">
        <v>-2.3358000000000008</v>
      </c>
      <c r="R1894" s="1921" t="s">
        <v>495</v>
      </c>
      <c r="S1894" s="1146">
        <v>0</v>
      </c>
      <c r="T1894" s="1648"/>
      <c r="U1894" s="1146">
        <v>0</v>
      </c>
      <c r="V1894" s="1648"/>
      <c r="W1894" s="1146">
        <v>-853</v>
      </c>
      <c r="X1894" s="1648"/>
      <c r="Y1894" s="1146">
        <v>-853</v>
      </c>
      <c r="Z1894" s="2114">
        <f>C1894-'Blocking-Step2'!C1894</f>
        <v>0</v>
      </c>
      <c r="AA1894" s="2114">
        <f>D1894-'Blocking-Step2'!D1894</f>
        <v>0</v>
      </c>
      <c r="AC1894" s="2114">
        <f>F1894-'Blocking-Step2'!F1894</f>
        <v>0</v>
      </c>
      <c r="AE1894" s="2114">
        <f>H1894-'Blocking-Step2'!H1894</f>
        <v>0</v>
      </c>
      <c r="AF1894" s="2114">
        <f>I1894-'Blocking-Step2'!I1894</f>
        <v>0</v>
      </c>
      <c r="AH1894" s="2136">
        <f>K1894-'Blocking-Step2'!K1894</f>
        <v>0</v>
      </c>
      <c r="AJ1894" s="2136">
        <f>M1894-'Blocking-Step2'!M1894</f>
        <v>0</v>
      </c>
      <c r="AL1894" s="2136">
        <f>O1894-'Blocking-Step2'!O1894</f>
        <v>0</v>
      </c>
      <c r="AN1894" s="2137">
        <f>Q1894-'Blocking-Step2'!Q1894</f>
        <v>0</v>
      </c>
      <c r="AP1894" s="2127">
        <f>S1894-'Blocking-Step2'!S1894</f>
        <v>0</v>
      </c>
      <c r="AR1894" s="2127">
        <f>U1894-'Blocking-Step2'!U1894</f>
        <v>0</v>
      </c>
      <c r="AT1894" s="2127">
        <f>W1894-'Blocking-Step2'!W1894</f>
        <v>0</v>
      </c>
      <c r="AV1894" s="2128">
        <f>Y1894-'Blocking-Step2'!Y1894</f>
        <v>0</v>
      </c>
    </row>
    <row r="1895" spans="1:48">
      <c r="A1895" s="1116" t="s">
        <v>1908</v>
      </c>
      <c r="C1895" s="1105">
        <v>58390.107318232724</v>
      </c>
      <c r="D1895" s="1105">
        <v>86807.036359103586</v>
      </c>
      <c r="E1895" s="617"/>
      <c r="F1895" s="1143"/>
      <c r="G1895" s="1921"/>
      <c r="H1895" s="1146"/>
      <c r="I1895" s="1146"/>
      <c r="J1895" s="617"/>
      <c r="K1895" s="1143">
        <v>0</v>
      </c>
      <c r="L1895" s="1921" t="s">
        <v>495</v>
      </c>
      <c r="M1895" s="1143">
        <v>0</v>
      </c>
      <c r="N1895" s="1921" t="s">
        <v>495</v>
      </c>
      <c r="O1895" s="1143">
        <v>5.3097000000000003</v>
      </c>
      <c r="P1895" s="1921" t="s">
        <v>495</v>
      </c>
      <c r="Q1895" s="1143">
        <v>5.3097000000000003</v>
      </c>
      <c r="R1895" s="1921" t="s">
        <v>495</v>
      </c>
      <c r="S1895" s="1146">
        <v>0</v>
      </c>
      <c r="T1895" s="1648"/>
      <c r="U1895" s="1146">
        <v>0</v>
      </c>
      <c r="V1895" s="1648"/>
      <c r="W1895" s="1146">
        <v>4609</v>
      </c>
      <c r="X1895" s="1648"/>
      <c r="Y1895" s="1146">
        <v>4609</v>
      </c>
      <c r="Z1895" s="2114">
        <f>C1895-'Blocking-Step2'!C1895</f>
        <v>0</v>
      </c>
      <c r="AA1895" s="2114">
        <f>D1895-'Blocking-Step2'!D1895</f>
        <v>0</v>
      </c>
      <c r="AC1895" s="2114">
        <f>F1895-'Blocking-Step2'!F1895</f>
        <v>0</v>
      </c>
      <c r="AE1895" s="2114">
        <f>H1895-'Blocking-Step2'!H1895</f>
        <v>0</v>
      </c>
      <c r="AF1895" s="2114">
        <f>I1895-'Blocking-Step2'!I1895</f>
        <v>0</v>
      </c>
      <c r="AH1895" s="2136">
        <f>K1895-'Blocking-Step2'!K1895</f>
        <v>0</v>
      </c>
      <c r="AJ1895" s="2136">
        <f>M1895-'Blocking-Step2'!M1895</f>
        <v>0</v>
      </c>
      <c r="AL1895" s="2136">
        <f>O1895-'Blocking-Step2'!O1895</f>
        <v>0</v>
      </c>
      <c r="AN1895" s="2137">
        <f>Q1895-'Blocking-Step2'!Q1895</f>
        <v>0</v>
      </c>
      <c r="AP1895" s="2127">
        <f>S1895-'Blocking-Step2'!S1895</f>
        <v>0</v>
      </c>
      <c r="AR1895" s="2127">
        <f>U1895-'Blocking-Step2'!U1895</f>
        <v>0</v>
      </c>
      <c r="AT1895" s="2127">
        <f>W1895-'Blocking-Step2'!W1895</f>
        <v>0</v>
      </c>
      <c r="AV1895" s="2128">
        <f>Y1895-'Blocking-Step2'!Y1895</f>
        <v>0</v>
      </c>
    </row>
    <row r="1896" spans="1:48">
      <c r="A1896" s="1116" t="s">
        <v>1909</v>
      </c>
      <c r="C1896" s="1105">
        <v>46750.892681767269</v>
      </c>
      <c r="D1896" s="1105">
        <v>69503.322176280475</v>
      </c>
      <c r="E1896" s="617"/>
      <c r="F1896" s="1143"/>
      <c r="G1896" s="1921"/>
      <c r="H1896" s="1146"/>
      <c r="I1896" s="1146"/>
      <c r="J1896" s="617"/>
      <c r="K1896" s="1143">
        <v>0</v>
      </c>
      <c r="L1896" s="1921" t="s">
        <v>495</v>
      </c>
      <c r="M1896" s="1143">
        <v>0</v>
      </c>
      <c r="N1896" s="1921" t="s">
        <v>495</v>
      </c>
      <c r="O1896" s="1143">
        <v>-2.0670999999999999</v>
      </c>
      <c r="P1896" s="1921" t="s">
        <v>495</v>
      </c>
      <c r="Q1896" s="1143">
        <v>-2.0670999999999999</v>
      </c>
      <c r="R1896" s="1921" t="s">
        <v>495</v>
      </c>
      <c r="S1896" s="1146">
        <v>0</v>
      </c>
      <c r="T1896" s="1648"/>
      <c r="U1896" s="1146">
        <v>0</v>
      </c>
      <c r="V1896" s="1648"/>
      <c r="W1896" s="1146">
        <v>-1437</v>
      </c>
      <c r="X1896" s="1648"/>
      <c r="Y1896" s="1146">
        <v>-1437</v>
      </c>
      <c r="Z1896" s="2114">
        <f>C1896-'Blocking-Step2'!C1896</f>
        <v>0</v>
      </c>
      <c r="AA1896" s="2114">
        <f>D1896-'Blocking-Step2'!D1896</f>
        <v>0</v>
      </c>
      <c r="AC1896" s="2114">
        <f>F1896-'Blocking-Step2'!F1896</f>
        <v>0</v>
      </c>
      <c r="AE1896" s="2114">
        <f>H1896-'Blocking-Step2'!H1896</f>
        <v>0</v>
      </c>
      <c r="AF1896" s="2114">
        <f>I1896-'Blocking-Step2'!I1896</f>
        <v>0</v>
      </c>
      <c r="AH1896" s="2136">
        <f>K1896-'Blocking-Step2'!K1896</f>
        <v>0</v>
      </c>
      <c r="AJ1896" s="2136">
        <f>M1896-'Blocking-Step2'!M1896</f>
        <v>0</v>
      </c>
      <c r="AL1896" s="2136">
        <f>O1896-'Blocking-Step2'!O1896</f>
        <v>0</v>
      </c>
      <c r="AN1896" s="2137">
        <f>Q1896-'Blocking-Step2'!Q1896</f>
        <v>0</v>
      </c>
      <c r="AP1896" s="2127">
        <f>S1896-'Blocking-Step2'!S1896</f>
        <v>0</v>
      </c>
      <c r="AR1896" s="2127">
        <f>U1896-'Blocking-Step2'!U1896</f>
        <v>0</v>
      </c>
      <c r="AT1896" s="2127">
        <f>W1896-'Blocking-Step2'!W1896</f>
        <v>0</v>
      </c>
      <c r="AV1896" s="2128">
        <f>Y1896-'Blocking-Step2'!Y1896</f>
        <v>0</v>
      </c>
    </row>
    <row r="1897" spans="1:48">
      <c r="A1897" s="1116" t="s">
        <v>1240</v>
      </c>
      <c r="C1897" s="1024"/>
      <c r="D1897" s="1024"/>
      <c r="F1897" s="2076"/>
      <c r="G1897" s="617"/>
      <c r="H1897" s="1146"/>
      <c r="I1897" s="1146"/>
      <c r="K1897" s="2076"/>
      <c r="L1897" s="617"/>
      <c r="M1897" s="2076"/>
      <c r="N1897" s="617"/>
      <c r="O1897" s="2077" t="s">
        <v>2323</v>
      </c>
      <c r="P1897" s="617"/>
      <c r="Q1897" s="2076">
        <v>-3.0599999999999999E-2</v>
      </c>
      <c r="R1897" s="617"/>
      <c r="S1897" s="1114"/>
      <c r="T1897" s="1114"/>
      <c r="U1897" s="1114"/>
      <c r="V1897" s="1114"/>
      <c r="W1897" s="1114"/>
      <c r="X1897" s="1114"/>
      <c r="Y1897" s="1146">
        <v>-1509.6815999999999</v>
      </c>
      <c r="Z1897" s="2114">
        <f>C1897-'Blocking-Step2'!C1897</f>
        <v>0</v>
      </c>
      <c r="AA1897" s="2114">
        <f>D1897-'Blocking-Step2'!D1897</f>
        <v>0</v>
      </c>
      <c r="AC1897" s="2114">
        <f>F1897-'Blocking-Step2'!F1897</f>
        <v>0</v>
      </c>
      <c r="AE1897" s="2114">
        <f>H1897-'Blocking-Step2'!H1897</f>
        <v>0</v>
      </c>
      <c r="AF1897" s="2114">
        <f>I1897-'Blocking-Step2'!I1897</f>
        <v>0</v>
      </c>
      <c r="AH1897" s="2136">
        <f>K1897-'Blocking-Step2'!K1897</f>
        <v>0</v>
      </c>
      <c r="AJ1897" s="2136">
        <f>M1897-'Blocking-Step2'!M1897</f>
        <v>0</v>
      </c>
      <c r="AL1897" s="2136" t="e">
        <f>O1897-'Blocking-Step2'!O1897</f>
        <v>#VALUE!</v>
      </c>
      <c r="AN1897" s="2137">
        <f>Q1897-'Blocking-Step2'!Q1897</f>
        <v>0</v>
      </c>
      <c r="AP1897" s="2127">
        <f>S1897-'Blocking-Step2'!S1897</f>
        <v>0</v>
      </c>
      <c r="AR1897" s="2127">
        <f>U1897-'Blocking-Step2'!U1897</f>
        <v>0</v>
      </c>
      <c r="AT1897" s="2127">
        <f>W1897-'Blocking-Step2'!W1897</f>
        <v>0</v>
      </c>
      <c r="AV1897" s="2128">
        <f>Y1897-'Blocking-Step2'!Y1897</f>
        <v>0</v>
      </c>
    </row>
    <row r="1898" spans="1:48">
      <c r="A1898" s="1116"/>
      <c r="C1898" s="1024"/>
      <c r="D1898" s="1024"/>
      <c r="F1898" s="2076"/>
      <c r="G1898" s="617"/>
      <c r="H1898" s="1146"/>
      <c r="I1898" s="1146"/>
      <c r="K1898" s="2076"/>
      <c r="L1898" s="617"/>
      <c r="M1898" s="2076"/>
      <c r="N1898" s="617"/>
      <c r="O1898" s="2077" t="s">
        <v>2324</v>
      </c>
      <c r="P1898" s="617"/>
      <c r="Q1898" s="2076">
        <v>-1.66E-2</v>
      </c>
      <c r="R1898" s="617"/>
      <c r="S1898" s="1114"/>
      <c r="T1898" s="1114"/>
      <c r="U1898" s="1114"/>
      <c r="V1898" s="1114"/>
      <c r="W1898" s="1114"/>
      <c r="X1898" s="1114"/>
      <c r="Y1898" s="1146">
        <v>-818.97760000000005</v>
      </c>
      <c r="Z1898" s="2114">
        <f>C1898-'Blocking-Step2'!C1898</f>
        <v>0</v>
      </c>
      <c r="AA1898" s="2114">
        <f>D1898-'Blocking-Step2'!D1898</f>
        <v>0</v>
      </c>
      <c r="AC1898" s="2114">
        <f>F1898-'Blocking-Step2'!F1898</f>
        <v>0</v>
      </c>
      <c r="AE1898" s="2114">
        <f>H1898-'Blocking-Step2'!H1898</f>
        <v>0</v>
      </c>
      <c r="AF1898" s="2114">
        <f>I1898-'Blocking-Step2'!I1898</f>
        <v>0</v>
      </c>
      <c r="AH1898" s="2136">
        <f>K1898-'Blocking-Step2'!K1898</f>
        <v>0</v>
      </c>
      <c r="AJ1898" s="2136">
        <f>M1898-'Blocking-Step2'!M1898</f>
        <v>0</v>
      </c>
      <c r="AL1898" s="2136" t="e">
        <f>O1898-'Blocking-Step2'!O1898</f>
        <v>#VALUE!</v>
      </c>
      <c r="AN1898" s="2137">
        <f>Q1898-'Blocking-Step2'!Q1898</f>
        <v>0</v>
      </c>
      <c r="AP1898" s="2127">
        <f>S1898-'Blocking-Step2'!S1898</f>
        <v>0</v>
      </c>
      <c r="AR1898" s="2127">
        <f>U1898-'Blocking-Step2'!U1898</f>
        <v>0</v>
      </c>
      <c r="AT1898" s="2127">
        <f>W1898-'Blocking-Step2'!W1898</f>
        <v>0</v>
      </c>
      <c r="AV1898" s="2128">
        <f>Y1898-'Blocking-Step2'!Y1898</f>
        <v>0</v>
      </c>
    </row>
    <row r="1899" spans="1:48">
      <c r="A1899" s="1116"/>
      <c r="C1899" s="1024"/>
      <c r="D1899" s="1024"/>
      <c r="F1899" s="2076"/>
      <c r="G1899" s="617"/>
      <c r="H1899" s="1146"/>
      <c r="I1899" s="1146"/>
      <c r="K1899" s="2076"/>
      <c r="L1899" s="617"/>
      <c r="M1899" s="2076"/>
      <c r="N1899" s="617"/>
      <c r="O1899" s="2076"/>
      <c r="P1899" s="617"/>
      <c r="Q1899" s="2076"/>
      <c r="R1899" s="617"/>
      <c r="S1899" s="1146">
        <v>4761</v>
      </c>
      <c r="T1899" s="1114"/>
      <c r="U1899" s="1146">
        <v>42409</v>
      </c>
      <c r="V1899" s="1114"/>
      <c r="W1899" s="1146">
        <v>8032</v>
      </c>
      <c r="X1899" s="1114"/>
      <c r="Y1899" s="1146">
        <v>55202</v>
      </c>
      <c r="Z1899" s="2114">
        <f>C1899-'Blocking-Step2'!C1899</f>
        <v>0</v>
      </c>
      <c r="AA1899" s="2114">
        <f>D1899-'Blocking-Step2'!D1899</f>
        <v>0</v>
      </c>
      <c r="AC1899" s="2114">
        <f>F1899-'Blocking-Step2'!F1899</f>
        <v>0</v>
      </c>
      <c r="AE1899" s="2114">
        <f>H1899-'Blocking-Step2'!H1899</f>
        <v>0</v>
      </c>
      <c r="AF1899" s="2114">
        <f>I1899-'Blocking-Step2'!I1899</f>
        <v>0</v>
      </c>
      <c r="AH1899" s="2136">
        <f>K1899-'Blocking-Step2'!K1899</f>
        <v>0</v>
      </c>
      <c r="AJ1899" s="2136">
        <f>M1899-'Blocking-Step2'!M1899</f>
        <v>0</v>
      </c>
      <c r="AL1899" s="2136">
        <f>O1899-'Blocking-Step2'!O1899</f>
        <v>0</v>
      </c>
      <c r="AN1899" s="2137">
        <f>Q1899-'Blocking-Step2'!Q1899</f>
        <v>0</v>
      </c>
      <c r="AP1899" s="2127">
        <f>S1899-'Blocking-Step2'!S1899</f>
        <v>-5474</v>
      </c>
      <c r="AR1899" s="2127">
        <f>U1899-'Blocking-Step2'!U1899</f>
        <v>5473</v>
      </c>
      <c r="AT1899" s="2127">
        <f>W1899-'Blocking-Step2'!W1899</f>
        <v>0</v>
      </c>
      <c r="AV1899" s="2128">
        <f>Y1899-'Blocking-Step2'!Y1899</f>
        <v>0</v>
      </c>
    </row>
    <row r="1900" spans="1:48">
      <c r="A1900" s="1115" t="s">
        <v>412</v>
      </c>
      <c r="C1900" s="1105"/>
      <c r="D1900" s="1105"/>
      <c r="Z1900" s="2114">
        <f>C1900-'Blocking-Step2'!C1900</f>
        <v>0</v>
      </c>
      <c r="AA1900" s="2114">
        <f>D1900-'Blocking-Step2'!D1900</f>
        <v>0</v>
      </c>
      <c r="AC1900" s="2114">
        <f>F1900-'Blocking-Step2'!F1900</f>
        <v>0</v>
      </c>
      <c r="AE1900" s="2114">
        <f>H1900-'Blocking-Step2'!H1900</f>
        <v>0</v>
      </c>
      <c r="AF1900" s="2114">
        <f>I1900-'Blocking-Step2'!I1900</f>
        <v>0</v>
      </c>
      <c r="AH1900" s="2136">
        <f>K1900-'Blocking-Step2'!K1900</f>
        <v>0</v>
      </c>
      <c r="AJ1900" s="2136">
        <f>M1900-'Blocking-Step2'!M1900</f>
        <v>0</v>
      </c>
      <c r="AL1900" s="2136">
        <f>O1900-'Blocking-Step2'!O1900</f>
        <v>0</v>
      </c>
      <c r="AN1900" s="2137">
        <f>Q1900-'Blocking-Step2'!Q1900</f>
        <v>0</v>
      </c>
      <c r="AP1900" s="2127">
        <f>S1900-'Blocking-Step2'!S1900</f>
        <v>0</v>
      </c>
      <c r="AR1900" s="2127">
        <f>U1900-'Blocking-Step2'!U1900</f>
        <v>0</v>
      </c>
      <c r="AT1900" s="2127">
        <f>W1900-'Blocking-Step2'!W1900</f>
        <v>0</v>
      </c>
      <c r="AV1900" s="2128">
        <f>Y1900-'Blocking-Step2'!Y1900</f>
        <v>0</v>
      </c>
    </row>
    <row r="1901" spans="1:48">
      <c r="A1901" s="1116" t="s">
        <v>240</v>
      </c>
      <c r="C1901" s="1105">
        <v>16.599921259842521</v>
      </c>
      <c r="D1901" s="1105">
        <v>21</v>
      </c>
      <c r="F1901" s="1907"/>
      <c r="G1901" s="1110"/>
      <c r="H1901" s="1146"/>
      <c r="I1901" s="1146"/>
      <c r="K1901" s="1907">
        <v>-42.09</v>
      </c>
      <c r="L1901" s="1110"/>
      <c r="M1901" s="1907">
        <v>311.09000000000003</v>
      </c>
      <c r="N1901" s="1110"/>
      <c r="O1901" s="1907">
        <v>0</v>
      </c>
      <c r="P1901" s="1110"/>
      <c r="Q1901" s="1907">
        <v>269</v>
      </c>
      <c r="R1901" s="1110"/>
      <c r="S1901" s="1629">
        <v>-884</v>
      </c>
      <c r="T1901" s="1629"/>
      <c r="U1901" s="1629">
        <v>6533</v>
      </c>
      <c r="V1901" s="1629"/>
      <c r="W1901" s="1629">
        <v>0</v>
      </c>
      <c r="X1901" s="1629"/>
      <c r="Y1901" s="1629">
        <v>5649</v>
      </c>
      <c r="Z1901" s="2114">
        <f>C1901-'Blocking-Step2'!C1901</f>
        <v>0</v>
      </c>
      <c r="AA1901" s="2114">
        <f>D1901-'Blocking-Step2'!D1901</f>
        <v>0</v>
      </c>
      <c r="AC1901" s="2114">
        <f>F1901-'Blocking-Step2'!F1901</f>
        <v>0</v>
      </c>
      <c r="AE1901" s="2114">
        <f>H1901-'Blocking-Step2'!H1901</f>
        <v>0</v>
      </c>
      <c r="AF1901" s="2114">
        <f>I1901-'Blocking-Step2'!I1901</f>
        <v>0</v>
      </c>
      <c r="AH1901" s="2136">
        <f>K1901-'Blocking-Step2'!K1901</f>
        <v>-311.09000000000003</v>
      </c>
      <c r="AJ1901" s="2136">
        <f>M1901-'Blocking-Step2'!M1901</f>
        <v>311.09000000000003</v>
      </c>
      <c r="AL1901" s="2136">
        <f>O1901-'Blocking-Step2'!O1901</f>
        <v>0</v>
      </c>
      <c r="AN1901" s="2137">
        <f>Q1901-'Blocking-Step2'!Q1901</f>
        <v>0</v>
      </c>
      <c r="AP1901" s="2127">
        <f>S1901-'Blocking-Step2'!S1901</f>
        <v>-6533</v>
      </c>
      <c r="AR1901" s="2127">
        <f>U1901-'Blocking-Step2'!U1901</f>
        <v>6533</v>
      </c>
      <c r="AT1901" s="2127">
        <f>W1901-'Blocking-Step2'!W1901</f>
        <v>0</v>
      </c>
      <c r="AV1901" s="2128">
        <f>Y1901-'Blocking-Step2'!Y1901</f>
        <v>0</v>
      </c>
    </row>
    <row r="1902" spans="1:48">
      <c r="A1902" s="1116" t="s">
        <v>168</v>
      </c>
      <c r="C1902" s="1105">
        <v>17216.667441860463</v>
      </c>
      <c r="D1902" s="1105">
        <v>25595.559913253968</v>
      </c>
      <c r="F1902" s="1907"/>
      <c r="G1902" s="1110"/>
      <c r="H1902" s="1146"/>
      <c r="I1902" s="1146"/>
      <c r="K1902" s="1907">
        <v>0</v>
      </c>
      <c r="L1902" s="1110"/>
      <c r="M1902" s="1907">
        <v>2.2999999999999998</v>
      </c>
      <c r="N1902" s="1110"/>
      <c r="O1902" s="1907">
        <v>0</v>
      </c>
      <c r="P1902" s="1110"/>
      <c r="Q1902" s="1907">
        <v>2.2999999999999998</v>
      </c>
      <c r="R1902" s="1110"/>
      <c r="S1902" s="1629">
        <v>0</v>
      </c>
      <c r="T1902" s="1629"/>
      <c r="U1902" s="1629">
        <v>58870</v>
      </c>
      <c r="V1902" s="1629"/>
      <c r="W1902" s="1629">
        <v>0</v>
      </c>
      <c r="X1902" s="1629"/>
      <c r="Y1902" s="1629">
        <v>58870</v>
      </c>
      <c r="Z1902" s="2114">
        <f>C1902-'Blocking-Step2'!C1902</f>
        <v>0</v>
      </c>
      <c r="AA1902" s="2114">
        <f>D1902-'Blocking-Step2'!D1902</f>
        <v>0</v>
      </c>
      <c r="AC1902" s="2114">
        <f>F1902-'Blocking-Step2'!F1902</f>
        <v>0</v>
      </c>
      <c r="AE1902" s="2114">
        <f>H1902-'Blocking-Step2'!H1902</f>
        <v>0</v>
      </c>
      <c r="AF1902" s="2114">
        <f>I1902-'Blocking-Step2'!I1902</f>
        <v>0</v>
      </c>
      <c r="AH1902" s="2136">
        <f>K1902-'Blocking-Step2'!K1902</f>
        <v>-2.2999999999999998</v>
      </c>
      <c r="AJ1902" s="2136">
        <f>M1902-'Blocking-Step2'!M1902</f>
        <v>2.2999999999999998</v>
      </c>
      <c r="AL1902" s="2136">
        <f>O1902-'Blocking-Step2'!O1902</f>
        <v>0</v>
      </c>
      <c r="AN1902" s="2137">
        <f>Q1902-'Blocking-Step2'!Q1902</f>
        <v>0</v>
      </c>
      <c r="AP1902" s="2127">
        <f>S1902-'Blocking-Step2'!S1902</f>
        <v>-58870</v>
      </c>
      <c r="AR1902" s="2127">
        <f>U1902-'Blocking-Step2'!U1902</f>
        <v>58870</v>
      </c>
      <c r="AT1902" s="2127">
        <f>W1902-'Blocking-Step2'!W1902</f>
        <v>0</v>
      </c>
      <c r="AV1902" s="2128">
        <f>Y1902-'Blocking-Step2'!Y1902</f>
        <v>0</v>
      </c>
    </row>
    <row r="1903" spans="1:48">
      <c r="A1903" s="1116" t="s">
        <v>1651</v>
      </c>
      <c r="C1903" s="1105">
        <v>5830.26278514365</v>
      </c>
      <c r="D1903" s="1105">
        <v>8667.6960527404663</v>
      </c>
      <c r="F1903" s="1142"/>
      <c r="G1903" s="617"/>
      <c r="H1903" s="1146"/>
      <c r="I1903" s="1146"/>
      <c r="K1903" s="1142">
        <v>0</v>
      </c>
      <c r="L1903" s="617"/>
      <c r="M1903" s="1142">
        <v>14.48</v>
      </c>
      <c r="N1903" s="617"/>
      <c r="O1903" s="1142">
        <v>0</v>
      </c>
      <c r="P1903" s="617"/>
      <c r="Q1903" s="1142">
        <v>14.48</v>
      </c>
      <c r="R1903" s="617"/>
      <c r="S1903" s="1629">
        <v>0</v>
      </c>
      <c r="T1903" s="1629"/>
      <c r="U1903" s="1629">
        <v>125508</v>
      </c>
      <c r="V1903" s="1629"/>
      <c r="W1903" s="1629">
        <v>0</v>
      </c>
      <c r="X1903" s="1114"/>
      <c r="Y1903" s="1629">
        <v>125508</v>
      </c>
      <c r="Z1903" s="2114">
        <f>C1903-'Blocking-Step2'!C1903</f>
        <v>0</v>
      </c>
      <c r="AA1903" s="2114">
        <f>D1903-'Blocking-Step2'!D1903</f>
        <v>0</v>
      </c>
      <c r="AC1903" s="2114">
        <f>F1903-'Blocking-Step2'!F1903</f>
        <v>0</v>
      </c>
      <c r="AE1903" s="2114">
        <f>H1903-'Blocking-Step2'!H1903</f>
        <v>0</v>
      </c>
      <c r="AF1903" s="2114">
        <f>I1903-'Blocking-Step2'!I1903</f>
        <v>0</v>
      </c>
      <c r="AH1903" s="2136">
        <f>K1903-'Blocking-Step2'!K1903</f>
        <v>-4.8</v>
      </c>
      <c r="AJ1903" s="2136">
        <f>M1903-'Blocking-Step2'!M1903</f>
        <v>4.8000000000000007</v>
      </c>
      <c r="AL1903" s="2136">
        <f>O1903-'Blocking-Step2'!O1903</f>
        <v>0</v>
      </c>
      <c r="AN1903" s="2137">
        <f>Q1903-'Blocking-Step2'!Q1903</f>
        <v>0</v>
      </c>
      <c r="AP1903" s="2127">
        <f>S1903-'Blocking-Step2'!S1903</f>
        <v>-41605</v>
      </c>
      <c r="AR1903" s="2127">
        <f>U1903-'Blocking-Step2'!U1903</f>
        <v>41605</v>
      </c>
      <c r="AT1903" s="2127">
        <f>W1903-'Blocking-Step2'!W1903</f>
        <v>0</v>
      </c>
      <c r="AV1903" s="2128">
        <f>Y1903-'Blocking-Step2'!Y1903</f>
        <v>0</v>
      </c>
    </row>
    <row r="1904" spans="1:48">
      <c r="A1904" s="1116" t="s">
        <v>1652</v>
      </c>
      <c r="C1904" s="1105">
        <v>11395.132241028516</v>
      </c>
      <c r="D1904" s="1105">
        <v>16940.838927140219</v>
      </c>
      <c r="F1904" s="1142"/>
      <c r="G1904" s="617"/>
      <c r="H1904" s="1146"/>
      <c r="I1904" s="1146"/>
      <c r="K1904" s="1142">
        <v>0</v>
      </c>
      <c r="L1904" s="617"/>
      <c r="M1904" s="1142">
        <v>12.81</v>
      </c>
      <c r="N1904" s="617"/>
      <c r="O1904" s="1142">
        <v>0</v>
      </c>
      <c r="P1904" s="617"/>
      <c r="Q1904" s="1142">
        <v>12.81</v>
      </c>
      <c r="R1904" s="617"/>
      <c r="S1904" s="1629">
        <v>0</v>
      </c>
      <c r="T1904" s="1629"/>
      <c r="U1904" s="1629">
        <v>217012</v>
      </c>
      <c r="V1904" s="1629"/>
      <c r="W1904" s="1629">
        <v>0</v>
      </c>
      <c r="X1904" s="1114"/>
      <c r="Y1904" s="1629">
        <v>217012</v>
      </c>
      <c r="Z1904" s="2114">
        <f>C1904-'Blocking-Step2'!C1904</f>
        <v>0</v>
      </c>
      <c r="AA1904" s="2114">
        <f>D1904-'Blocking-Step2'!D1904</f>
        <v>0</v>
      </c>
      <c r="AC1904" s="2114">
        <f>F1904-'Blocking-Step2'!F1904</f>
        <v>0</v>
      </c>
      <c r="AE1904" s="2114">
        <f>H1904-'Blocking-Step2'!H1904</f>
        <v>0</v>
      </c>
      <c r="AF1904" s="2114">
        <f>I1904-'Blocking-Step2'!I1904</f>
        <v>0</v>
      </c>
      <c r="AH1904" s="2136">
        <f>K1904-'Blocking-Step2'!K1904</f>
        <v>-4.25</v>
      </c>
      <c r="AJ1904" s="2136">
        <f>M1904-'Blocking-Step2'!M1904</f>
        <v>4.25</v>
      </c>
      <c r="AL1904" s="2136">
        <f>O1904-'Blocking-Step2'!O1904</f>
        <v>0</v>
      </c>
      <c r="AN1904" s="2137">
        <f>Q1904-'Blocking-Step2'!Q1904</f>
        <v>0</v>
      </c>
      <c r="AP1904" s="2127">
        <f>S1904-'Blocking-Step2'!S1904</f>
        <v>-71999</v>
      </c>
      <c r="AR1904" s="2127">
        <f>U1904-'Blocking-Step2'!U1904</f>
        <v>71998</v>
      </c>
      <c r="AT1904" s="2127">
        <f>W1904-'Blocking-Step2'!W1904</f>
        <v>0</v>
      </c>
      <c r="AV1904" s="2128">
        <f>Y1904-'Blocking-Step2'!Y1904</f>
        <v>0</v>
      </c>
    </row>
    <row r="1905" spans="1:48">
      <c r="A1905" s="1116" t="s">
        <v>1532</v>
      </c>
      <c r="C1905" s="1105">
        <v>62825.972110416842</v>
      </c>
      <c r="D1905" s="1105">
        <v>91665.936485583297</v>
      </c>
      <c r="F1905" s="1106"/>
      <c r="G1905" s="1921"/>
      <c r="H1905" s="1146"/>
      <c r="I1905" s="1146"/>
      <c r="K1905" s="1106">
        <v>0</v>
      </c>
      <c r="L1905" s="1921" t="s">
        <v>495</v>
      </c>
      <c r="M1905" s="1106">
        <v>1.0927</v>
      </c>
      <c r="N1905" s="1921" t="s">
        <v>495</v>
      </c>
      <c r="O1905" s="1106">
        <v>4.1108761607000002</v>
      </c>
      <c r="P1905" s="1921" t="s">
        <v>495</v>
      </c>
      <c r="Q1905" s="1106">
        <v>5.2035761607</v>
      </c>
      <c r="R1905" s="1921" t="s">
        <v>495</v>
      </c>
      <c r="S1905" s="1146">
        <v>0</v>
      </c>
      <c r="T1905" s="1648"/>
      <c r="U1905" s="1146">
        <v>1002</v>
      </c>
      <c r="V1905" s="1648"/>
      <c r="W1905" s="1146">
        <v>3768</v>
      </c>
      <c r="X1905" s="1648"/>
      <c r="Y1905" s="1146">
        <v>4770</v>
      </c>
      <c r="Z1905" s="2114">
        <f>C1905-'Blocking-Step2'!C1905</f>
        <v>0</v>
      </c>
      <c r="AA1905" s="2114">
        <f>D1905-'Blocking-Step2'!D1905</f>
        <v>0</v>
      </c>
      <c r="AC1905" s="2114">
        <f>F1905-'Blocking-Step2'!F1905</f>
        <v>0</v>
      </c>
      <c r="AE1905" s="2114">
        <f>H1905-'Blocking-Step2'!H1905</f>
        <v>0</v>
      </c>
      <c r="AF1905" s="2114">
        <f>I1905-'Blocking-Step2'!I1905</f>
        <v>0</v>
      </c>
      <c r="AH1905" s="2136">
        <f>K1905-'Blocking-Step2'!K1905</f>
        <v>0</v>
      </c>
      <c r="AJ1905" s="2136">
        <f>M1905-'Blocking-Step2'!M1905</f>
        <v>0</v>
      </c>
      <c r="AL1905" s="2136">
        <f>O1905-'Blocking-Step2'!O1905</f>
        <v>0</v>
      </c>
      <c r="AN1905" s="2137">
        <f>Q1905-'Blocking-Step2'!Q1905</f>
        <v>0</v>
      </c>
      <c r="AP1905" s="2127">
        <f>S1905-'Blocking-Step2'!S1905</f>
        <v>0</v>
      </c>
      <c r="AR1905" s="2127">
        <f>U1905-'Blocking-Step2'!U1905</f>
        <v>0</v>
      </c>
      <c r="AT1905" s="2127">
        <f>W1905-'Blocking-Step2'!W1905</f>
        <v>0</v>
      </c>
      <c r="AV1905" s="2128">
        <f>Y1905-'Blocking-Step2'!Y1905</f>
        <v>0</v>
      </c>
    </row>
    <row r="1906" spans="1:48">
      <c r="A1906" s="1116" t="s">
        <v>1653</v>
      </c>
      <c r="C1906" s="1105">
        <v>167429.75213258711</v>
      </c>
      <c r="D1906" s="1105">
        <v>244287.58536054517</v>
      </c>
      <c r="F1906" s="1106"/>
      <c r="G1906" s="1921"/>
      <c r="H1906" s="1146"/>
      <c r="I1906" s="1146"/>
      <c r="K1906" s="1106">
        <v>0</v>
      </c>
      <c r="L1906" s="1921" t="s">
        <v>495</v>
      </c>
      <c r="M1906" s="1106">
        <v>1.0927</v>
      </c>
      <c r="N1906" s="1921" t="s">
        <v>495</v>
      </c>
      <c r="O1906" s="1106">
        <v>3.5122346554870001</v>
      </c>
      <c r="P1906" s="1921" t="s">
        <v>495</v>
      </c>
      <c r="Q1906" s="1106">
        <v>4.6049346554869999</v>
      </c>
      <c r="R1906" s="1921" t="s">
        <v>495</v>
      </c>
      <c r="S1906" s="1146">
        <v>0</v>
      </c>
      <c r="T1906" s="1648"/>
      <c r="U1906" s="1146">
        <v>2669</v>
      </c>
      <c r="V1906" s="1648"/>
      <c r="W1906" s="1146">
        <v>8580</v>
      </c>
      <c r="X1906" s="1648"/>
      <c r="Y1906" s="1146">
        <v>11249</v>
      </c>
      <c r="Z1906" s="2114">
        <f>C1906-'Blocking-Step2'!C1906</f>
        <v>0</v>
      </c>
      <c r="AA1906" s="2114">
        <f>D1906-'Blocking-Step2'!D1906</f>
        <v>0</v>
      </c>
      <c r="AC1906" s="2114">
        <f>F1906-'Blocking-Step2'!F1906</f>
        <v>0</v>
      </c>
      <c r="AE1906" s="2114">
        <f>H1906-'Blocking-Step2'!H1906</f>
        <v>0</v>
      </c>
      <c r="AF1906" s="2114">
        <f>I1906-'Blocking-Step2'!I1906</f>
        <v>0</v>
      </c>
      <c r="AH1906" s="2136">
        <f>K1906-'Blocking-Step2'!K1906</f>
        <v>0</v>
      </c>
      <c r="AJ1906" s="2136">
        <f>M1906-'Blocking-Step2'!M1906</f>
        <v>0</v>
      </c>
      <c r="AL1906" s="2136">
        <f>O1906-'Blocking-Step2'!O1906</f>
        <v>0</v>
      </c>
      <c r="AN1906" s="2137">
        <f>Q1906-'Blocking-Step2'!Q1906</f>
        <v>0</v>
      </c>
      <c r="AP1906" s="2127">
        <f>S1906-'Blocking-Step2'!S1906</f>
        <v>0</v>
      </c>
      <c r="AR1906" s="2127">
        <f>U1906-'Blocking-Step2'!U1906</f>
        <v>0</v>
      </c>
      <c r="AT1906" s="2127">
        <f>W1906-'Blocking-Step2'!W1906</f>
        <v>0</v>
      </c>
      <c r="AV1906" s="2128">
        <f>Y1906-'Blocking-Step2'!Y1906</f>
        <v>0</v>
      </c>
    </row>
    <row r="1907" spans="1:48">
      <c r="A1907" s="1116" t="s">
        <v>1533</v>
      </c>
      <c r="C1907" s="1105">
        <v>248522.35206664595</v>
      </c>
      <c r="D1907" s="1105">
        <v>362605.35849331866</v>
      </c>
      <c r="F1907" s="1106"/>
      <c r="G1907" s="1921"/>
      <c r="H1907" s="1146"/>
      <c r="I1907" s="1146"/>
      <c r="K1907" s="1106">
        <v>0</v>
      </c>
      <c r="L1907" s="1921" t="s">
        <v>495</v>
      </c>
      <c r="M1907" s="1106">
        <v>1.0927</v>
      </c>
      <c r="N1907" s="1921" t="s">
        <v>495</v>
      </c>
      <c r="O1907" s="1106">
        <v>1.5521862361710002</v>
      </c>
      <c r="P1907" s="1921" t="s">
        <v>495</v>
      </c>
      <c r="Q1907" s="1106">
        <v>2.6448862361710002</v>
      </c>
      <c r="R1907" s="1921" t="s">
        <v>495</v>
      </c>
      <c r="S1907" s="1146">
        <v>0</v>
      </c>
      <c r="T1907" s="1648"/>
      <c r="U1907" s="1146">
        <v>3962</v>
      </c>
      <c r="V1907" s="1648"/>
      <c r="W1907" s="1146">
        <v>5628</v>
      </c>
      <c r="X1907" s="1648"/>
      <c r="Y1907" s="1146">
        <v>9590</v>
      </c>
      <c r="Z1907" s="2114">
        <f>C1907-'Blocking-Step2'!C1907</f>
        <v>0</v>
      </c>
      <c r="AA1907" s="2114">
        <f>D1907-'Blocking-Step2'!D1907</f>
        <v>0</v>
      </c>
      <c r="AC1907" s="2114">
        <f>F1907-'Blocking-Step2'!F1907</f>
        <v>0</v>
      </c>
      <c r="AE1907" s="2114">
        <f>H1907-'Blocking-Step2'!H1907</f>
        <v>0</v>
      </c>
      <c r="AF1907" s="2114">
        <f>I1907-'Blocking-Step2'!I1907</f>
        <v>0</v>
      </c>
      <c r="AH1907" s="2136">
        <f>K1907-'Blocking-Step2'!K1907</f>
        <v>0</v>
      </c>
      <c r="AJ1907" s="2136">
        <f>M1907-'Blocking-Step2'!M1907</f>
        <v>0</v>
      </c>
      <c r="AL1907" s="2136">
        <f>O1907-'Blocking-Step2'!O1907</f>
        <v>0</v>
      </c>
      <c r="AN1907" s="2137">
        <f>Q1907-'Blocking-Step2'!Q1907</f>
        <v>0</v>
      </c>
      <c r="AP1907" s="2127">
        <f>S1907-'Blocking-Step2'!S1907</f>
        <v>0</v>
      </c>
      <c r="AR1907" s="2127">
        <f>U1907-'Blocking-Step2'!U1907</f>
        <v>0</v>
      </c>
      <c r="AT1907" s="2127">
        <f>W1907-'Blocking-Step2'!W1907</f>
        <v>0</v>
      </c>
      <c r="AV1907" s="2128">
        <f>Y1907-'Blocking-Step2'!Y1907</f>
        <v>0</v>
      </c>
    </row>
    <row r="1908" spans="1:48">
      <c r="A1908" s="1116" t="s">
        <v>2177</v>
      </c>
      <c r="C1908" s="1105">
        <v>616906.92369035014</v>
      </c>
      <c r="D1908" s="1105">
        <v>900095.11966055306</v>
      </c>
      <c r="F1908" s="1106"/>
      <c r="G1908" s="1921"/>
      <c r="H1908" s="1146"/>
      <c r="I1908" s="1146"/>
      <c r="K1908" s="1106">
        <v>0</v>
      </c>
      <c r="L1908" s="1921" t="s">
        <v>495</v>
      </c>
      <c r="M1908" s="1106">
        <v>1.0927</v>
      </c>
      <c r="N1908" s="1921" t="s">
        <v>495</v>
      </c>
      <c r="O1908" s="1106">
        <v>1.247907288647</v>
      </c>
      <c r="P1908" s="1921" t="s">
        <v>495</v>
      </c>
      <c r="Q1908" s="1106">
        <v>2.340607288647</v>
      </c>
      <c r="R1908" s="1921" t="s">
        <v>495</v>
      </c>
      <c r="S1908" s="1146">
        <v>0</v>
      </c>
      <c r="T1908" s="1648"/>
      <c r="U1908" s="1146">
        <v>9835</v>
      </c>
      <c r="V1908" s="1648"/>
      <c r="W1908" s="1146">
        <v>11232</v>
      </c>
      <c r="X1908" s="1648"/>
      <c r="Y1908" s="1146">
        <v>21068</v>
      </c>
      <c r="Z1908" s="2114">
        <f>C1908-'Blocking-Step2'!C1908</f>
        <v>0</v>
      </c>
      <c r="AA1908" s="2114">
        <f>D1908-'Blocking-Step2'!D1908</f>
        <v>0</v>
      </c>
      <c r="AC1908" s="2114">
        <f>F1908-'Blocking-Step2'!F1908</f>
        <v>0</v>
      </c>
      <c r="AE1908" s="2114">
        <f>H1908-'Blocking-Step2'!H1908</f>
        <v>0</v>
      </c>
      <c r="AF1908" s="2114">
        <f>I1908-'Blocking-Step2'!I1908</f>
        <v>0</v>
      </c>
      <c r="AH1908" s="2136">
        <f>K1908-'Blocking-Step2'!K1908</f>
        <v>0</v>
      </c>
      <c r="AJ1908" s="2136">
        <f>M1908-'Blocking-Step2'!M1908</f>
        <v>0</v>
      </c>
      <c r="AL1908" s="2136">
        <f>O1908-'Blocking-Step2'!O1908</f>
        <v>0</v>
      </c>
      <c r="AN1908" s="2137">
        <f>Q1908-'Blocking-Step2'!Q1908</f>
        <v>0</v>
      </c>
      <c r="AP1908" s="2127">
        <f>S1908-'Blocking-Step2'!S1908</f>
        <v>0</v>
      </c>
      <c r="AR1908" s="2127">
        <f>U1908-'Blocking-Step2'!U1908</f>
        <v>0</v>
      </c>
      <c r="AT1908" s="2127">
        <f>W1908-'Blocking-Step2'!W1908</f>
        <v>0</v>
      </c>
      <c r="AV1908" s="2128">
        <f>Y1908-'Blocking-Step2'!Y1908</f>
        <v>0</v>
      </c>
    </row>
    <row r="1909" spans="1:48">
      <c r="A1909" s="1116" t="s">
        <v>2185</v>
      </c>
      <c r="C1909" s="1105">
        <v>7185.1703428280116</v>
      </c>
      <c r="D1909" s="1105"/>
      <c r="F1909" s="1106"/>
      <c r="G1909" s="1921"/>
      <c r="H1909" s="1146"/>
      <c r="I1909" s="1146"/>
      <c r="K1909" s="1106"/>
      <c r="L1909" s="1921"/>
      <c r="M1909" s="1106"/>
      <c r="N1909" s="1921"/>
      <c r="O1909" s="1106"/>
      <c r="P1909" s="1921"/>
      <c r="Q1909" s="1106"/>
      <c r="R1909" s="1921"/>
      <c r="S1909" s="1648"/>
      <c r="T1909" s="1648"/>
      <c r="U1909" s="1648"/>
      <c r="V1909" s="1648"/>
      <c r="W1909" s="1648"/>
      <c r="X1909" s="1648"/>
      <c r="Y1909" s="1146"/>
      <c r="Z1909" s="2114">
        <f>C1909-'Blocking-Step2'!C1909</f>
        <v>0</v>
      </c>
      <c r="AA1909" s="2114">
        <f>D1909-'Blocking-Step2'!D1909</f>
        <v>0</v>
      </c>
      <c r="AC1909" s="2114">
        <f>F1909-'Blocking-Step2'!F1909</f>
        <v>0</v>
      </c>
      <c r="AE1909" s="2114">
        <f>H1909-'Blocking-Step2'!H1909</f>
        <v>0</v>
      </c>
      <c r="AF1909" s="2114">
        <f>I1909-'Blocking-Step2'!I1909</f>
        <v>0</v>
      </c>
      <c r="AH1909" s="2136">
        <f>K1909-'Blocking-Step2'!K1909</f>
        <v>0</v>
      </c>
      <c r="AJ1909" s="2136">
        <f>M1909-'Blocking-Step2'!M1909</f>
        <v>0</v>
      </c>
      <c r="AL1909" s="2136">
        <f>O1909-'Blocking-Step2'!O1909</f>
        <v>0</v>
      </c>
      <c r="AN1909" s="2137">
        <f>Q1909-'Blocking-Step2'!Q1909</f>
        <v>0</v>
      </c>
      <c r="AP1909" s="2127">
        <f>S1909-'Blocking-Step2'!S1909</f>
        <v>0</v>
      </c>
      <c r="AR1909" s="2127">
        <f>U1909-'Blocking-Step2'!U1909</f>
        <v>0</v>
      </c>
      <c r="AT1909" s="2127">
        <f>W1909-'Blocking-Step2'!W1909</f>
        <v>0</v>
      </c>
      <c r="AV1909" s="2128">
        <f>Y1909-'Blocking-Step2'!Y1909</f>
        <v>0</v>
      </c>
    </row>
    <row r="1910" spans="1:48">
      <c r="A1910" s="1116" t="s">
        <v>2186</v>
      </c>
      <c r="C1910" s="1105">
        <v>10031.497099032445</v>
      </c>
      <c r="D1910" s="1105"/>
      <c r="F1910" s="1106"/>
      <c r="G1910" s="1921"/>
      <c r="H1910" s="1146"/>
      <c r="I1910" s="1146"/>
      <c r="K1910" s="1106"/>
      <c r="L1910" s="1921"/>
      <c r="M1910" s="1106"/>
      <c r="N1910" s="1921"/>
      <c r="O1910" s="1106"/>
      <c r="P1910" s="1921"/>
      <c r="Q1910" s="1106"/>
      <c r="R1910" s="1921"/>
      <c r="S1910" s="1648"/>
      <c r="T1910" s="1648"/>
      <c r="U1910" s="1648"/>
      <c r="V1910" s="1648"/>
      <c r="W1910" s="1648"/>
      <c r="X1910" s="1648"/>
      <c r="Y1910" s="1146"/>
      <c r="Z1910" s="2114">
        <f>C1910-'Blocking-Step2'!C1910</f>
        <v>0</v>
      </c>
      <c r="AA1910" s="2114">
        <f>D1910-'Blocking-Step2'!D1910</f>
        <v>0</v>
      </c>
      <c r="AC1910" s="2114">
        <f>F1910-'Blocking-Step2'!F1910</f>
        <v>0</v>
      </c>
      <c r="AE1910" s="2114">
        <f>H1910-'Blocking-Step2'!H1910</f>
        <v>0</v>
      </c>
      <c r="AF1910" s="2114">
        <f>I1910-'Blocking-Step2'!I1910</f>
        <v>0</v>
      </c>
      <c r="AH1910" s="2136">
        <f>K1910-'Blocking-Step2'!K1910</f>
        <v>0</v>
      </c>
      <c r="AJ1910" s="2136">
        <f>M1910-'Blocking-Step2'!M1910</f>
        <v>0</v>
      </c>
      <c r="AL1910" s="2136">
        <f>O1910-'Blocking-Step2'!O1910</f>
        <v>0</v>
      </c>
      <c r="AN1910" s="2137">
        <f>Q1910-'Blocking-Step2'!Q1910</f>
        <v>0</v>
      </c>
      <c r="AP1910" s="2127">
        <f>S1910-'Blocking-Step2'!S1910</f>
        <v>0</v>
      </c>
      <c r="AR1910" s="2127">
        <f>U1910-'Blocking-Step2'!U1910</f>
        <v>0</v>
      </c>
      <c r="AT1910" s="2127">
        <f>W1910-'Blocking-Step2'!W1910</f>
        <v>0</v>
      </c>
      <c r="AV1910" s="2128">
        <f>Y1910-'Blocking-Step2'!Y1910</f>
        <v>0</v>
      </c>
    </row>
    <row r="1911" spans="1:48">
      <c r="A1911" s="1116" t="s">
        <v>2187</v>
      </c>
      <c r="C1911" s="1105">
        <v>90836.054949420242</v>
      </c>
      <c r="D1911" s="1105"/>
      <c r="F1911" s="1106"/>
      <c r="G1911" s="1921"/>
      <c r="H1911" s="1146"/>
      <c r="I1911" s="1146"/>
      <c r="K1911" s="1106"/>
      <c r="L1911" s="1921"/>
      <c r="M1911" s="1106"/>
      <c r="N1911" s="1921"/>
      <c r="O1911" s="1106"/>
      <c r="P1911" s="1921"/>
      <c r="Q1911" s="1106"/>
      <c r="R1911" s="1921"/>
      <c r="S1911" s="1648"/>
      <c r="T1911" s="1648"/>
      <c r="U1911" s="1648"/>
      <c r="V1911" s="1648"/>
      <c r="W1911" s="1648"/>
      <c r="X1911" s="1648"/>
      <c r="Y1911" s="1146"/>
      <c r="Z1911" s="2114">
        <f>C1911-'Blocking-Step2'!C1911</f>
        <v>0</v>
      </c>
      <c r="AA1911" s="2114">
        <f>D1911-'Blocking-Step2'!D1911</f>
        <v>0</v>
      </c>
      <c r="AC1911" s="2114">
        <f>F1911-'Blocking-Step2'!F1911</f>
        <v>0</v>
      </c>
      <c r="AE1911" s="2114">
        <f>H1911-'Blocking-Step2'!H1911</f>
        <v>0</v>
      </c>
      <c r="AF1911" s="2114">
        <f>I1911-'Blocking-Step2'!I1911</f>
        <v>0</v>
      </c>
      <c r="AH1911" s="2136">
        <f>K1911-'Blocking-Step2'!K1911</f>
        <v>0</v>
      </c>
      <c r="AJ1911" s="2136">
        <f>M1911-'Blocking-Step2'!M1911</f>
        <v>0</v>
      </c>
      <c r="AL1911" s="2136">
        <f>O1911-'Blocking-Step2'!O1911</f>
        <v>0</v>
      </c>
      <c r="AN1911" s="2137">
        <f>Q1911-'Blocking-Step2'!Q1911</f>
        <v>0</v>
      </c>
      <c r="AP1911" s="2127">
        <f>S1911-'Blocking-Step2'!S1911</f>
        <v>0</v>
      </c>
      <c r="AR1911" s="2127">
        <f>U1911-'Blocking-Step2'!U1911</f>
        <v>0</v>
      </c>
      <c r="AT1911" s="2127">
        <f>W1911-'Blocking-Step2'!W1911</f>
        <v>0</v>
      </c>
      <c r="AV1911" s="2128">
        <f>Y1911-'Blocking-Step2'!Y1911</f>
        <v>0</v>
      </c>
    </row>
    <row r="1912" spans="1:48">
      <c r="A1912" s="1116" t="s">
        <v>2188</v>
      </c>
      <c r="C1912" s="1105">
        <v>335111.75624439499</v>
      </c>
      <c r="D1912" s="1105"/>
      <c r="F1912" s="1106"/>
      <c r="G1912" s="1921"/>
      <c r="H1912" s="1146"/>
      <c r="I1912" s="1146"/>
      <c r="K1912" s="1106"/>
      <c r="L1912" s="1921"/>
      <c r="M1912" s="1106"/>
      <c r="N1912" s="1921"/>
      <c r="O1912" s="1106"/>
      <c r="P1912" s="1921"/>
      <c r="Q1912" s="1106"/>
      <c r="R1912" s="1921"/>
      <c r="S1912" s="1648"/>
      <c r="T1912" s="1648"/>
      <c r="U1912" s="1648"/>
      <c r="V1912" s="1648"/>
      <c r="W1912" s="1648"/>
      <c r="X1912" s="1648"/>
      <c r="Y1912" s="1146"/>
      <c r="Z1912" s="2114">
        <f>C1912-'Blocking-Step2'!C1912</f>
        <v>0</v>
      </c>
      <c r="AA1912" s="2114">
        <f>D1912-'Blocking-Step2'!D1912</f>
        <v>0</v>
      </c>
      <c r="AC1912" s="2114">
        <f>F1912-'Blocking-Step2'!F1912</f>
        <v>0</v>
      </c>
      <c r="AE1912" s="2114">
        <f>H1912-'Blocking-Step2'!H1912</f>
        <v>0</v>
      </c>
      <c r="AF1912" s="2114">
        <f>I1912-'Blocking-Step2'!I1912</f>
        <v>0</v>
      </c>
      <c r="AH1912" s="2136">
        <f>K1912-'Blocking-Step2'!K1912</f>
        <v>0</v>
      </c>
      <c r="AJ1912" s="2136">
        <f>M1912-'Blocking-Step2'!M1912</f>
        <v>0</v>
      </c>
      <c r="AL1912" s="2136">
        <f>O1912-'Blocking-Step2'!O1912</f>
        <v>0</v>
      </c>
      <c r="AN1912" s="2137">
        <f>Q1912-'Blocking-Step2'!Q1912</f>
        <v>0</v>
      </c>
      <c r="AP1912" s="2127">
        <f>S1912-'Blocking-Step2'!S1912</f>
        <v>0</v>
      </c>
      <c r="AR1912" s="2127">
        <f>U1912-'Blocking-Step2'!U1912</f>
        <v>0</v>
      </c>
      <c r="AT1912" s="2127">
        <f>W1912-'Blocking-Step2'!W1912</f>
        <v>0</v>
      </c>
      <c r="AV1912" s="2128">
        <f>Y1912-'Blocking-Step2'!Y1912</f>
        <v>0</v>
      </c>
    </row>
    <row r="1913" spans="1:48">
      <c r="A1913" s="1116" t="s">
        <v>2189</v>
      </c>
      <c r="C1913" s="1105">
        <v>297017.94505057973</v>
      </c>
      <c r="D1913" s="1105"/>
      <c r="F1913" s="1106"/>
      <c r="G1913" s="1921"/>
      <c r="H1913" s="1146"/>
      <c r="I1913" s="1146"/>
      <c r="K1913" s="1106"/>
      <c r="L1913" s="1921"/>
      <c r="M1913" s="1106"/>
      <c r="N1913" s="1921"/>
      <c r="O1913" s="1106"/>
      <c r="P1913" s="1921"/>
      <c r="Q1913" s="1106"/>
      <c r="R1913" s="1921"/>
      <c r="S1913" s="1648"/>
      <c r="T1913" s="1648"/>
      <c r="U1913" s="1648"/>
      <c r="V1913" s="1648"/>
      <c r="W1913" s="1648"/>
      <c r="X1913" s="1648"/>
      <c r="Y1913" s="1146"/>
      <c r="Z1913" s="2114">
        <f>C1913-'Blocking-Step2'!C1913</f>
        <v>0</v>
      </c>
      <c r="AA1913" s="2114">
        <f>D1913-'Blocking-Step2'!D1913</f>
        <v>0</v>
      </c>
      <c r="AC1913" s="2114">
        <f>F1913-'Blocking-Step2'!F1913</f>
        <v>0</v>
      </c>
      <c r="AE1913" s="2114">
        <f>H1913-'Blocking-Step2'!H1913</f>
        <v>0</v>
      </c>
      <c r="AF1913" s="2114">
        <f>I1913-'Blocking-Step2'!I1913</f>
        <v>0</v>
      </c>
      <c r="AH1913" s="2136">
        <f>K1913-'Blocking-Step2'!K1913</f>
        <v>0</v>
      </c>
      <c r="AJ1913" s="2136">
        <f>M1913-'Blocking-Step2'!M1913</f>
        <v>0</v>
      </c>
      <c r="AL1913" s="2136">
        <f>O1913-'Blocking-Step2'!O1913</f>
        <v>0</v>
      </c>
      <c r="AN1913" s="2137">
        <f>Q1913-'Blocking-Step2'!Q1913</f>
        <v>0</v>
      </c>
      <c r="AP1913" s="2127">
        <f>S1913-'Blocking-Step2'!S1913</f>
        <v>0</v>
      </c>
      <c r="AR1913" s="2127">
        <f>U1913-'Blocking-Step2'!U1913</f>
        <v>0</v>
      </c>
      <c r="AT1913" s="2127">
        <f>W1913-'Blocking-Step2'!W1913</f>
        <v>0</v>
      </c>
      <c r="AV1913" s="2128">
        <f>Y1913-'Blocking-Step2'!Y1913</f>
        <v>0</v>
      </c>
    </row>
    <row r="1914" spans="1:48">
      <c r="A1914" s="1116" t="s">
        <v>2190</v>
      </c>
      <c r="C1914" s="1105">
        <v>372719.24375560507</v>
      </c>
      <c r="D1914" s="1105"/>
      <c r="F1914" s="1106"/>
      <c r="G1914" s="1921"/>
      <c r="H1914" s="1146"/>
      <c r="I1914" s="1146"/>
      <c r="K1914" s="1106"/>
      <c r="L1914" s="1921"/>
      <c r="M1914" s="1106"/>
      <c r="N1914" s="1921"/>
      <c r="O1914" s="1106"/>
      <c r="P1914" s="1921"/>
      <c r="Q1914" s="1106"/>
      <c r="R1914" s="1921"/>
      <c r="S1914" s="1648"/>
      <c r="T1914" s="1648"/>
      <c r="U1914" s="1648"/>
      <c r="V1914" s="1648"/>
      <c r="W1914" s="1648"/>
      <c r="X1914" s="1648"/>
      <c r="Y1914" s="1146"/>
      <c r="Z1914" s="2114">
        <f>C1914-'Blocking-Step2'!C1914</f>
        <v>0</v>
      </c>
      <c r="AA1914" s="2114">
        <f>D1914-'Blocking-Step2'!D1914</f>
        <v>0</v>
      </c>
      <c r="AC1914" s="2114">
        <f>F1914-'Blocking-Step2'!F1914</f>
        <v>0</v>
      </c>
      <c r="AE1914" s="2114">
        <f>H1914-'Blocking-Step2'!H1914</f>
        <v>0</v>
      </c>
      <c r="AF1914" s="2114">
        <f>I1914-'Blocking-Step2'!I1914</f>
        <v>0</v>
      </c>
      <c r="AH1914" s="2136">
        <f>K1914-'Blocking-Step2'!K1914</f>
        <v>0</v>
      </c>
      <c r="AJ1914" s="2136">
        <f>M1914-'Blocking-Step2'!M1914</f>
        <v>0</v>
      </c>
      <c r="AL1914" s="2136">
        <f>O1914-'Blocking-Step2'!O1914</f>
        <v>0</v>
      </c>
      <c r="AN1914" s="2137">
        <f>Q1914-'Blocking-Step2'!Q1914</f>
        <v>0</v>
      </c>
      <c r="AP1914" s="2127">
        <f>S1914-'Blocking-Step2'!S1914</f>
        <v>0</v>
      </c>
      <c r="AR1914" s="2127">
        <f>U1914-'Blocking-Step2'!U1914</f>
        <v>0</v>
      </c>
      <c r="AT1914" s="2127">
        <f>W1914-'Blocking-Step2'!W1914</f>
        <v>0</v>
      </c>
      <c r="AV1914" s="2128">
        <f>Y1914-'Blocking-Step2'!Y1914</f>
        <v>0</v>
      </c>
    </row>
    <row r="1915" spans="1:48">
      <c r="A1915" s="1116" t="s">
        <v>1240</v>
      </c>
      <c r="C1915" s="1024"/>
      <c r="D1915" s="1024"/>
      <c r="F1915" s="2076">
        <v>-6.2E-2</v>
      </c>
      <c r="G1915" s="617"/>
      <c r="H1915" s="1146">
        <v>0</v>
      </c>
      <c r="I1915" s="1146">
        <v>0</v>
      </c>
      <c r="K1915" s="2076"/>
      <c r="L1915" s="617"/>
      <c r="M1915" s="2076"/>
      <c r="N1915" s="617"/>
      <c r="O1915" s="2077" t="s">
        <v>2323</v>
      </c>
      <c r="P1915" s="617"/>
      <c r="Q1915" s="2076">
        <v>-2.5700000000000001E-2</v>
      </c>
      <c r="R1915" s="617"/>
      <c r="S1915" s="1114"/>
      <c r="T1915" s="1114"/>
      <c r="U1915" s="1114"/>
      <c r="V1915" s="1114"/>
      <c r="W1915" s="1114"/>
      <c r="X1915" s="1114"/>
      <c r="Y1915" s="1146">
        <v>-10002.3629</v>
      </c>
      <c r="Z1915" s="2114">
        <f>C1915-'Blocking-Step2'!C1915</f>
        <v>0</v>
      </c>
      <c r="AA1915" s="2114">
        <f>D1915-'Blocking-Step2'!D1915</f>
        <v>0</v>
      </c>
      <c r="AC1915" s="2114">
        <f>F1915-'Blocking-Step2'!F1915</f>
        <v>0</v>
      </c>
      <c r="AE1915" s="2114">
        <f>H1915-'Blocking-Step2'!H1915</f>
        <v>0</v>
      </c>
      <c r="AF1915" s="2114">
        <f>I1915-'Blocking-Step2'!I1915</f>
        <v>0</v>
      </c>
      <c r="AH1915" s="2136">
        <f>K1915-'Blocking-Step2'!K1915</f>
        <v>0</v>
      </c>
      <c r="AJ1915" s="2136">
        <f>M1915-'Blocking-Step2'!M1915</f>
        <v>0</v>
      </c>
      <c r="AL1915" s="2136" t="e">
        <f>O1915-'Blocking-Step2'!O1915</f>
        <v>#VALUE!</v>
      </c>
      <c r="AN1915" s="2137">
        <f>Q1915-'Blocking-Step2'!Q1915</f>
        <v>0</v>
      </c>
      <c r="AP1915" s="2127">
        <f>S1915-'Blocking-Step2'!S1915</f>
        <v>0</v>
      </c>
      <c r="AR1915" s="2127">
        <f>U1915-'Blocking-Step2'!U1915</f>
        <v>0</v>
      </c>
      <c r="AT1915" s="2127">
        <f>W1915-'Blocking-Step2'!W1915</f>
        <v>0</v>
      </c>
      <c r="AV1915" s="2128">
        <f>Y1915-'Blocking-Step2'!Y1915</f>
        <v>0</v>
      </c>
    </row>
    <row r="1916" spans="1:48">
      <c r="A1916" s="1116"/>
      <c r="C1916" s="1024"/>
      <c r="D1916" s="1024"/>
      <c r="F1916" s="2076"/>
      <c r="G1916" s="617"/>
      <c r="H1916" s="1146"/>
      <c r="I1916" s="1146"/>
      <c r="K1916" s="2076"/>
      <c r="L1916" s="617"/>
      <c r="M1916" s="2076"/>
      <c r="N1916" s="617"/>
      <c r="O1916" s="2077" t="s">
        <v>2324</v>
      </c>
      <c r="P1916" s="617"/>
      <c r="Q1916" s="2076">
        <v>-1.3899999999999999E-2</v>
      </c>
      <c r="R1916" s="617"/>
      <c r="S1916" s="1114"/>
      <c r="T1916" s="1114"/>
      <c r="U1916" s="1114"/>
      <c r="V1916" s="1114"/>
      <c r="W1916" s="1114"/>
      <c r="X1916" s="1114"/>
      <c r="Y1916" s="1146">
        <v>-5409.8382999999994</v>
      </c>
      <c r="Z1916" s="2114">
        <f>C1916-'Blocking-Step2'!C1916</f>
        <v>0</v>
      </c>
      <c r="AA1916" s="2114">
        <f>D1916-'Blocking-Step2'!D1916</f>
        <v>0</v>
      </c>
      <c r="AC1916" s="2114">
        <f>F1916-'Blocking-Step2'!F1916</f>
        <v>0</v>
      </c>
      <c r="AE1916" s="2114">
        <f>H1916-'Blocking-Step2'!H1916</f>
        <v>0</v>
      </c>
      <c r="AF1916" s="2114">
        <f>I1916-'Blocking-Step2'!I1916</f>
        <v>0</v>
      </c>
      <c r="AH1916" s="2136">
        <f>K1916-'Blocking-Step2'!K1916</f>
        <v>0</v>
      </c>
      <c r="AJ1916" s="2136">
        <f>M1916-'Blocking-Step2'!M1916</f>
        <v>0</v>
      </c>
      <c r="AL1916" s="2136" t="e">
        <f>O1916-'Blocking-Step2'!O1916</f>
        <v>#VALUE!</v>
      </c>
      <c r="AN1916" s="2137">
        <f>Q1916-'Blocking-Step2'!Q1916</f>
        <v>0</v>
      </c>
      <c r="AP1916" s="2127">
        <f>S1916-'Blocking-Step2'!S1916</f>
        <v>0</v>
      </c>
      <c r="AR1916" s="2127">
        <f>U1916-'Blocking-Step2'!U1916</f>
        <v>0</v>
      </c>
      <c r="AT1916" s="2127">
        <f>W1916-'Blocking-Step2'!W1916</f>
        <v>0</v>
      </c>
      <c r="AV1916" s="2128">
        <f>Y1916-'Blocking-Step2'!Y1916</f>
        <v>0</v>
      </c>
    </row>
    <row r="1917" spans="1:48">
      <c r="A1917" s="1116"/>
      <c r="C1917" s="1024"/>
      <c r="D1917" s="1024"/>
      <c r="F1917" s="2076"/>
      <c r="G1917" s="617"/>
      <c r="H1917" s="1146"/>
      <c r="I1917" s="1146"/>
      <c r="K1917" s="2076"/>
      <c r="L1917" s="617"/>
      <c r="M1917" s="2076"/>
      <c r="N1917" s="617"/>
      <c r="O1917" s="2076"/>
      <c r="P1917" s="617"/>
      <c r="Q1917" s="2076"/>
      <c r="R1917" s="617"/>
      <c r="S1917" s="1146">
        <v>-884</v>
      </c>
      <c r="T1917" s="1114"/>
      <c r="U1917" s="1146">
        <v>425391</v>
      </c>
      <c r="V1917" s="1114"/>
      <c r="W1917" s="1146">
        <v>29208</v>
      </c>
      <c r="X1917" s="1114"/>
      <c r="Y1917" s="1146">
        <v>453716</v>
      </c>
      <c r="Z1917" s="2114">
        <f>C1917-'Blocking-Step2'!C1917</f>
        <v>0</v>
      </c>
      <c r="AA1917" s="2114">
        <f>D1917-'Blocking-Step2'!D1917</f>
        <v>0</v>
      </c>
      <c r="AC1917" s="2114">
        <f>F1917-'Blocking-Step2'!F1917</f>
        <v>0</v>
      </c>
      <c r="AE1917" s="2114">
        <f>H1917-'Blocking-Step2'!H1917</f>
        <v>0</v>
      </c>
      <c r="AF1917" s="2114">
        <f>I1917-'Blocking-Step2'!I1917</f>
        <v>0</v>
      </c>
      <c r="AH1917" s="2136">
        <f>K1917-'Blocking-Step2'!K1917</f>
        <v>0</v>
      </c>
      <c r="AJ1917" s="2136">
        <f>M1917-'Blocking-Step2'!M1917</f>
        <v>0</v>
      </c>
      <c r="AL1917" s="2136">
        <f>O1917-'Blocking-Step2'!O1917</f>
        <v>0</v>
      </c>
      <c r="AN1917" s="2137">
        <f>Q1917-'Blocking-Step2'!Q1917</f>
        <v>0</v>
      </c>
      <c r="AP1917" s="2127">
        <f>S1917-'Blocking-Step2'!S1917</f>
        <v>-179007</v>
      </c>
      <c r="AR1917" s="2127">
        <f>U1917-'Blocking-Step2'!U1917</f>
        <v>179006</v>
      </c>
      <c r="AT1917" s="2127">
        <f>W1917-'Blocking-Step2'!W1917</f>
        <v>0</v>
      </c>
      <c r="AV1917" s="2128">
        <f>Y1917-'Blocking-Step2'!Y1917</f>
        <v>0</v>
      </c>
    </row>
    <row r="1918" spans="1:48">
      <c r="A1918" s="2008" t="s">
        <v>395</v>
      </c>
      <c r="C1918" s="1105"/>
      <c r="D1918" s="1105"/>
      <c r="Z1918" s="2114">
        <f>C1918-'Blocking-Step2'!C1918</f>
        <v>0</v>
      </c>
      <c r="AA1918" s="2114">
        <f>D1918-'Blocking-Step2'!D1918</f>
        <v>0</v>
      </c>
      <c r="AC1918" s="2114">
        <f>F1918-'Blocking-Step2'!F1918</f>
        <v>0</v>
      </c>
      <c r="AE1918" s="2114">
        <f>H1918-'Blocking-Step2'!H1918</f>
        <v>0</v>
      </c>
      <c r="AF1918" s="2114">
        <f>I1918-'Blocking-Step2'!I1918</f>
        <v>0</v>
      </c>
      <c r="AH1918" s="2136">
        <f>K1918-'Blocking-Step2'!K1918</f>
        <v>0</v>
      </c>
      <c r="AJ1918" s="2136">
        <f>M1918-'Blocking-Step2'!M1918</f>
        <v>0</v>
      </c>
      <c r="AL1918" s="2136">
        <f>O1918-'Blocking-Step2'!O1918</f>
        <v>0</v>
      </c>
      <c r="AN1918" s="2137">
        <f>Q1918-'Blocking-Step2'!Q1918</f>
        <v>0</v>
      </c>
      <c r="AP1918" s="2127">
        <f>S1918-'Blocking-Step2'!S1918</f>
        <v>0</v>
      </c>
      <c r="AR1918" s="2127">
        <f>U1918-'Blocking-Step2'!U1918</f>
        <v>0</v>
      </c>
      <c r="AT1918" s="2127">
        <f>W1918-'Blocking-Step2'!W1918</f>
        <v>0</v>
      </c>
      <c r="AV1918" s="2128">
        <f>Y1918-'Blocking-Step2'!Y1918</f>
        <v>0</v>
      </c>
    </row>
    <row r="1919" spans="1:48">
      <c r="A1919" s="1116" t="s">
        <v>240</v>
      </c>
      <c r="C1919" s="1105">
        <v>12</v>
      </c>
      <c r="D1919" s="1105">
        <v>15</v>
      </c>
      <c r="F1919" s="1907">
        <v>127</v>
      </c>
      <c r="G1919" s="1110"/>
      <c r="H1919" s="1146">
        <v>1524</v>
      </c>
      <c r="I1919" s="1146">
        <v>1905</v>
      </c>
      <c r="K1919" s="1907"/>
      <c r="L1919" s="1110"/>
      <c r="M1919" s="1907"/>
      <c r="N1919" s="1110"/>
      <c r="O1919" s="1907"/>
      <c r="P1919" s="1110"/>
      <c r="Q1919" s="1907"/>
      <c r="R1919" s="1110"/>
      <c r="S1919" s="1629"/>
      <c r="T1919" s="1629"/>
      <c r="U1919" s="1629"/>
      <c r="V1919" s="1629"/>
      <c r="W1919" s="1629"/>
      <c r="X1919" s="1629"/>
      <c r="Y1919" s="1146"/>
      <c r="Z1919" s="2114">
        <f>C1919-'Blocking-Step2'!C1919</f>
        <v>0</v>
      </c>
      <c r="AA1919" s="2114">
        <f>D1919-'Blocking-Step2'!D1919</f>
        <v>0</v>
      </c>
      <c r="AC1919" s="2114">
        <f>F1919-'Blocking-Step2'!F1919</f>
        <v>0</v>
      </c>
      <c r="AE1919" s="2114">
        <f>H1919-'Blocking-Step2'!H1919</f>
        <v>0</v>
      </c>
      <c r="AF1919" s="2114">
        <f>I1919-'Blocking-Step2'!I1919</f>
        <v>0</v>
      </c>
      <c r="AH1919" s="2136">
        <f>K1919-'Blocking-Step2'!K1919</f>
        <v>0</v>
      </c>
      <c r="AJ1919" s="2136">
        <f>M1919-'Blocking-Step2'!M1919</f>
        <v>0</v>
      </c>
      <c r="AL1919" s="2136">
        <f>O1919-'Blocking-Step2'!O1919</f>
        <v>0</v>
      </c>
      <c r="AN1919" s="2137">
        <f>Q1919-'Blocking-Step2'!Q1919</f>
        <v>0</v>
      </c>
      <c r="AP1919" s="2127">
        <f>S1919-'Blocking-Step2'!S1919</f>
        <v>0</v>
      </c>
      <c r="AR1919" s="2127">
        <f>U1919-'Blocking-Step2'!U1919</f>
        <v>0</v>
      </c>
      <c r="AT1919" s="2127">
        <f>W1919-'Blocking-Step2'!W1919</f>
        <v>0</v>
      </c>
      <c r="AV1919" s="2128">
        <f>Y1919-'Blocking-Step2'!Y1919</f>
        <v>0</v>
      </c>
    </row>
    <row r="1920" spans="1:48">
      <c r="A1920" s="1116" t="s">
        <v>1250</v>
      </c>
      <c r="C1920" s="1105">
        <v>5197</v>
      </c>
      <c r="D1920" s="1105">
        <v>7726</v>
      </c>
      <c r="F1920" s="1907">
        <v>4.3</v>
      </c>
      <c r="G1920" s="1110"/>
      <c r="H1920" s="1146">
        <v>22347</v>
      </c>
      <c r="I1920" s="1146">
        <v>33222</v>
      </c>
      <c r="K1920" s="1907"/>
      <c r="L1920" s="1110"/>
      <c r="M1920" s="1907"/>
      <c r="N1920" s="1110"/>
      <c r="O1920" s="1907"/>
      <c r="P1920" s="1110"/>
      <c r="Q1920" s="1907"/>
      <c r="R1920" s="1110"/>
      <c r="S1920" s="1629"/>
      <c r="T1920" s="1629"/>
      <c r="U1920" s="1629"/>
      <c r="V1920" s="1629"/>
      <c r="W1920" s="1629"/>
      <c r="X1920" s="1629"/>
      <c r="Y1920" s="1146"/>
      <c r="Z1920" s="2114">
        <f>C1920-'Blocking-Step2'!C1920</f>
        <v>0</v>
      </c>
      <c r="AA1920" s="2114">
        <f>D1920-'Blocking-Step2'!D1920</f>
        <v>0</v>
      </c>
      <c r="AC1920" s="2114">
        <f>F1920-'Blocking-Step2'!F1920</f>
        <v>0</v>
      </c>
      <c r="AE1920" s="2114">
        <f>H1920-'Blocking-Step2'!H1920</f>
        <v>0</v>
      </c>
      <c r="AF1920" s="2114">
        <f>I1920-'Blocking-Step2'!I1920</f>
        <v>0</v>
      </c>
      <c r="AH1920" s="2136">
        <f>K1920-'Blocking-Step2'!K1920</f>
        <v>0</v>
      </c>
      <c r="AJ1920" s="2136">
        <f>M1920-'Blocking-Step2'!M1920</f>
        <v>0</v>
      </c>
      <c r="AL1920" s="2136">
        <f>O1920-'Blocking-Step2'!O1920</f>
        <v>0</v>
      </c>
      <c r="AN1920" s="2137">
        <f>Q1920-'Blocking-Step2'!Q1920</f>
        <v>0</v>
      </c>
      <c r="AP1920" s="2127">
        <f>S1920-'Blocking-Step2'!S1920</f>
        <v>0</v>
      </c>
      <c r="AR1920" s="2127">
        <f>U1920-'Blocking-Step2'!U1920</f>
        <v>0</v>
      </c>
      <c r="AT1920" s="2127">
        <f>W1920-'Blocking-Step2'!W1920</f>
        <v>0</v>
      </c>
      <c r="AV1920" s="2128">
        <f>Y1920-'Blocking-Step2'!Y1920</f>
        <v>0</v>
      </c>
    </row>
    <row r="1921" spans="1:48">
      <c r="A1921" s="1116" t="s">
        <v>396</v>
      </c>
      <c r="C1921" s="1105">
        <v>160397</v>
      </c>
      <c r="D1921" s="1105">
        <v>238458</v>
      </c>
      <c r="F1921" s="1988">
        <v>6.8446999999999996</v>
      </c>
      <c r="G1921" s="1921" t="s">
        <v>495</v>
      </c>
      <c r="H1921" s="1146">
        <v>10979</v>
      </c>
      <c r="I1921" s="1146">
        <v>16322</v>
      </c>
      <c r="K1921" s="1988"/>
      <c r="L1921" s="1921"/>
      <c r="M1921" s="1988"/>
      <c r="N1921" s="1921"/>
      <c r="O1921" s="1988"/>
      <c r="P1921" s="1921"/>
      <c r="Q1921" s="1988"/>
      <c r="R1921" s="1921"/>
      <c r="S1921" s="1648"/>
      <c r="T1921" s="1648"/>
      <c r="U1921" s="1648"/>
      <c r="V1921" s="1648"/>
      <c r="W1921" s="1648"/>
      <c r="X1921" s="1648"/>
      <c r="Y1921" s="1146"/>
      <c r="Z1921" s="2114">
        <f>C1921-'Blocking-Step2'!C1921</f>
        <v>0</v>
      </c>
      <c r="AA1921" s="2114">
        <f>D1921-'Blocking-Step2'!D1921</f>
        <v>0</v>
      </c>
      <c r="AC1921" s="2114">
        <f>F1921-'Blocking-Step2'!F1921</f>
        <v>0</v>
      </c>
      <c r="AE1921" s="2114">
        <f>H1921-'Blocking-Step2'!H1921</f>
        <v>0</v>
      </c>
      <c r="AF1921" s="2114">
        <f>I1921-'Blocking-Step2'!I1921</f>
        <v>0</v>
      </c>
      <c r="AH1921" s="2136">
        <f>K1921-'Blocking-Step2'!K1921</f>
        <v>0</v>
      </c>
      <c r="AJ1921" s="2136">
        <f>M1921-'Blocking-Step2'!M1921</f>
        <v>0</v>
      </c>
      <c r="AL1921" s="2136">
        <f>O1921-'Blocking-Step2'!O1921</f>
        <v>0</v>
      </c>
      <c r="AN1921" s="2137">
        <f>Q1921-'Blocking-Step2'!Q1921</f>
        <v>0</v>
      </c>
      <c r="AP1921" s="2127">
        <f>S1921-'Blocking-Step2'!S1921</f>
        <v>0</v>
      </c>
      <c r="AR1921" s="2127">
        <f>U1921-'Blocking-Step2'!U1921</f>
        <v>0</v>
      </c>
      <c r="AT1921" s="2127">
        <f>W1921-'Blocking-Step2'!W1921</f>
        <v>0</v>
      </c>
      <c r="AV1921" s="2128">
        <f>Y1921-'Blocking-Step2'!Y1921</f>
        <v>0</v>
      </c>
    </row>
    <row r="1922" spans="1:48">
      <c r="A1922" s="1116" t="s">
        <v>95</v>
      </c>
      <c r="C1922" s="1105">
        <v>0</v>
      </c>
      <c r="D1922" s="1105">
        <v>0</v>
      </c>
      <c r="F1922" s="1988">
        <v>5.7472000000000003</v>
      </c>
      <c r="G1922" s="1921" t="s">
        <v>495</v>
      </c>
      <c r="H1922" s="1146">
        <v>0</v>
      </c>
      <c r="I1922" s="1146">
        <v>0</v>
      </c>
      <c r="K1922" s="1988"/>
      <c r="L1922" s="1921"/>
      <c r="M1922" s="1988"/>
      <c r="N1922" s="1921"/>
      <c r="O1922" s="1988"/>
      <c r="P1922" s="1921"/>
      <c r="Q1922" s="1988"/>
      <c r="R1922" s="1921"/>
      <c r="S1922" s="1648"/>
      <c r="T1922" s="1648"/>
      <c r="U1922" s="1648"/>
      <c r="V1922" s="1648"/>
      <c r="W1922" s="1648"/>
      <c r="X1922" s="1648"/>
      <c r="Y1922" s="1146"/>
      <c r="Z1922" s="2114">
        <f>C1922-'Blocking-Step2'!C1922</f>
        <v>0</v>
      </c>
      <c r="AA1922" s="2114">
        <f>D1922-'Blocking-Step2'!D1922</f>
        <v>0</v>
      </c>
      <c r="AC1922" s="2114">
        <f>F1922-'Blocking-Step2'!F1922</f>
        <v>0</v>
      </c>
      <c r="AE1922" s="2114">
        <f>H1922-'Blocking-Step2'!H1922</f>
        <v>0</v>
      </c>
      <c r="AF1922" s="2114">
        <f>I1922-'Blocking-Step2'!I1922</f>
        <v>0</v>
      </c>
      <c r="AH1922" s="2136">
        <f>K1922-'Blocking-Step2'!K1922</f>
        <v>0</v>
      </c>
      <c r="AJ1922" s="2136">
        <f>M1922-'Blocking-Step2'!M1922</f>
        <v>0</v>
      </c>
      <c r="AL1922" s="2136">
        <f>O1922-'Blocking-Step2'!O1922</f>
        <v>0</v>
      </c>
      <c r="AN1922" s="2137">
        <f>Q1922-'Blocking-Step2'!Q1922</f>
        <v>0</v>
      </c>
      <c r="AP1922" s="2127">
        <f>S1922-'Blocking-Step2'!S1922</f>
        <v>0</v>
      </c>
      <c r="AR1922" s="2127">
        <f>U1922-'Blocking-Step2'!U1922</f>
        <v>0</v>
      </c>
      <c r="AT1922" s="2127">
        <f>W1922-'Blocking-Step2'!W1922</f>
        <v>0</v>
      </c>
      <c r="AV1922" s="2128">
        <f>Y1922-'Blocking-Step2'!Y1922</f>
        <v>0</v>
      </c>
    </row>
    <row r="1923" spans="1:48">
      <c r="A1923" s="1116" t="s">
        <v>246</v>
      </c>
      <c r="C1923" s="1940">
        <v>0</v>
      </c>
      <c r="D1923" s="1940">
        <v>0</v>
      </c>
      <c r="F1923" s="1988"/>
      <c r="G1923" s="1982"/>
      <c r="H1923" s="1147">
        <v>0</v>
      </c>
      <c r="I1923" s="1147">
        <v>0</v>
      </c>
      <c r="K1923" s="1988"/>
      <c r="L1923" s="1982"/>
      <c r="M1923" s="1988"/>
      <c r="N1923" s="1982"/>
      <c r="O1923" s="1988"/>
      <c r="P1923" s="1982"/>
      <c r="Q1923" s="1988"/>
      <c r="R1923" s="1982"/>
      <c r="S1923" s="1653"/>
      <c r="T1923" s="1653"/>
      <c r="U1923" s="1653"/>
      <c r="V1923" s="1653"/>
      <c r="W1923" s="1653"/>
      <c r="X1923" s="1653"/>
      <c r="Y1923" s="1147"/>
      <c r="Z1923" s="2114">
        <f>C1923-'Blocking-Step2'!C1923</f>
        <v>0</v>
      </c>
      <c r="AA1923" s="2114">
        <f>D1923-'Blocking-Step2'!D1923</f>
        <v>0</v>
      </c>
      <c r="AC1923" s="2114">
        <f>F1923-'Blocking-Step2'!F1923</f>
        <v>0</v>
      </c>
      <c r="AE1923" s="2114">
        <f>H1923-'Blocking-Step2'!H1923</f>
        <v>0</v>
      </c>
      <c r="AF1923" s="2114">
        <f>I1923-'Blocking-Step2'!I1923</f>
        <v>0</v>
      </c>
      <c r="AH1923" s="2136">
        <f>K1923-'Blocking-Step2'!K1923</f>
        <v>0</v>
      </c>
      <c r="AJ1923" s="2136">
        <f>M1923-'Blocking-Step2'!M1923</f>
        <v>0</v>
      </c>
      <c r="AL1923" s="2136">
        <f>O1923-'Blocking-Step2'!O1923</f>
        <v>0</v>
      </c>
      <c r="AN1923" s="2137">
        <f>Q1923-'Blocking-Step2'!Q1923</f>
        <v>0</v>
      </c>
      <c r="AP1923" s="2127">
        <f>S1923-'Blocking-Step2'!S1923</f>
        <v>0</v>
      </c>
      <c r="AR1923" s="2127">
        <f>U1923-'Blocking-Step2'!U1923</f>
        <v>0</v>
      </c>
      <c r="AT1923" s="2127">
        <f>W1923-'Blocking-Step2'!W1923</f>
        <v>0</v>
      </c>
      <c r="AV1923" s="2128">
        <f>Y1923-'Blocking-Step2'!Y1923</f>
        <v>0</v>
      </c>
    </row>
    <row r="1924" spans="1:48">
      <c r="A1924" s="1116" t="s">
        <v>1240</v>
      </c>
      <c r="C1924" s="1024"/>
      <c r="D1924" s="1024"/>
      <c r="F1924" s="2076">
        <v>-6.2E-2</v>
      </c>
      <c r="G1924" s="617"/>
      <c r="H1924" s="1146">
        <v>-2066.212</v>
      </c>
      <c r="I1924" s="1146">
        <v>-3071.7280000000001</v>
      </c>
      <c r="K1924" s="1988"/>
      <c r="L1924" s="1982"/>
      <c r="M1924" s="1988"/>
      <c r="N1924" s="1982"/>
      <c r="O1924" s="1988"/>
      <c r="P1924" s="1982"/>
      <c r="Q1924" s="1988"/>
      <c r="R1924" s="1982"/>
      <c r="S1924" s="1653"/>
      <c r="T1924" s="1653"/>
      <c r="U1924" s="1653"/>
      <c r="V1924" s="1653"/>
      <c r="W1924" s="1653"/>
      <c r="X1924" s="1653"/>
      <c r="Y1924" s="1114"/>
      <c r="Z1924" s="2114">
        <f>C1924-'Blocking-Step2'!C1924</f>
        <v>0</v>
      </c>
      <c r="AA1924" s="2114">
        <f>D1924-'Blocking-Step2'!D1924</f>
        <v>0</v>
      </c>
      <c r="AC1924" s="2114">
        <f>F1924-'Blocking-Step2'!F1924</f>
        <v>0</v>
      </c>
      <c r="AE1924" s="2114">
        <f>H1924-'Blocking-Step2'!H1924</f>
        <v>0</v>
      </c>
      <c r="AF1924" s="2114">
        <f>I1924-'Blocking-Step2'!I1924</f>
        <v>0</v>
      </c>
      <c r="AH1924" s="2136">
        <f>K1924-'Blocking-Step2'!K1924</f>
        <v>0</v>
      </c>
      <c r="AJ1924" s="2136">
        <f>M1924-'Blocking-Step2'!M1924</f>
        <v>0</v>
      </c>
      <c r="AL1924" s="2136">
        <f>O1924-'Blocking-Step2'!O1924</f>
        <v>0</v>
      </c>
      <c r="AN1924" s="2137">
        <f>Q1924-'Blocking-Step2'!Q1924</f>
        <v>0</v>
      </c>
      <c r="AP1924" s="2127">
        <f>S1924-'Blocking-Step2'!S1924</f>
        <v>0</v>
      </c>
      <c r="AR1924" s="2127">
        <f>U1924-'Blocking-Step2'!U1924</f>
        <v>0</v>
      </c>
      <c r="AT1924" s="2127">
        <f>W1924-'Blocking-Step2'!W1924</f>
        <v>0</v>
      </c>
      <c r="AV1924" s="2128">
        <f>Y1924-'Blocking-Step2'!Y1924</f>
        <v>0</v>
      </c>
    </row>
    <row r="1925" spans="1:48">
      <c r="A1925" s="1116" t="s">
        <v>397</v>
      </c>
      <c r="C1925" s="1105">
        <v>160397</v>
      </c>
      <c r="D1925" s="1105">
        <v>238458</v>
      </c>
      <c r="F1925" s="1106"/>
      <c r="G1925" s="1107"/>
      <c r="H1925" s="1146">
        <v>32783.788</v>
      </c>
      <c r="I1925" s="1146">
        <v>48377.271999999997</v>
      </c>
      <c r="K1925" s="1106"/>
      <c r="L1925" s="1107"/>
      <c r="M1925" s="1106"/>
      <c r="N1925" s="1107"/>
      <c r="O1925" s="1106"/>
      <c r="P1925" s="1107"/>
      <c r="Q1925" s="1106"/>
      <c r="R1925" s="1107"/>
      <c r="S1925" s="1114"/>
      <c r="T1925" s="1114"/>
      <c r="U1925" s="1114"/>
      <c r="V1925" s="1114"/>
      <c r="W1925" s="1114"/>
      <c r="X1925" s="1114"/>
      <c r="Y1925" s="1146"/>
      <c r="Z1925" s="2114">
        <f>C1925-'Blocking-Step2'!C1925</f>
        <v>0</v>
      </c>
      <c r="AA1925" s="2114">
        <f>D1925-'Blocking-Step2'!D1925</f>
        <v>0</v>
      </c>
      <c r="AC1925" s="2114">
        <f>F1925-'Blocking-Step2'!F1925</f>
        <v>0</v>
      </c>
      <c r="AE1925" s="2114">
        <f>H1925-'Blocking-Step2'!H1925</f>
        <v>0</v>
      </c>
      <c r="AF1925" s="2114">
        <f>I1925-'Blocking-Step2'!I1925</f>
        <v>0</v>
      </c>
      <c r="AH1925" s="2136">
        <f>K1925-'Blocking-Step2'!K1925</f>
        <v>0</v>
      </c>
      <c r="AJ1925" s="2136">
        <f>M1925-'Blocking-Step2'!M1925</f>
        <v>0</v>
      </c>
      <c r="AL1925" s="2136">
        <f>O1925-'Blocking-Step2'!O1925</f>
        <v>0</v>
      </c>
      <c r="AN1925" s="2137">
        <f>Q1925-'Blocking-Step2'!Q1925</f>
        <v>0</v>
      </c>
      <c r="AP1925" s="2127">
        <f>S1925-'Blocking-Step2'!S1925</f>
        <v>0</v>
      </c>
      <c r="AR1925" s="2127">
        <f>U1925-'Blocking-Step2'!U1925</f>
        <v>0</v>
      </c>
      <c r="AT1925" s="2127">
        <f>W1925-'Blocking-Step2'!W1925</f>
        <v>0</v>
      </c>
      <c r="AV1925" s="2128">
        <f>Y1925-'Blocking-Step2'!Y1925</f>
        <v>0</v>
      </c>
    </row>
    <row r="1926" spans="1:48">
      <c r="A1926" s="2008" t="s">
        <v>398</v>
      </c>
      <c r="C1926" s="1105"/>
      <c r="D1926" s="1105"/>
      <c r="F1926" s="1106"/>
      <c r="G1926" s="1107"/>
      <c r="K1926" s="1106"/>
      <c r="L1926" s="1107"/>
      <c r="M1926" s="1106"/>
      <c r="N1926" s="1107"/>
      <c r="O1926" s="1106"/>
      <c r="P1926" s="1107"/>
      <c r="Q1926" s="1106"/>
      <c r="R1926" s="1107"/>
      <c r="S1926" s="1114"/>
      <c r="T1926" s="1114"/>
      <c r="U1926" s="1114"/>
      <c r="V1926" s="1114"/>
      <c r="W1926" s="1114"/>
      <c r="X1926" s="1114"/>
      <c r="Z1926" s="2114">
        <f>C1926-'Blocking-Step2'!C1926</f>
        <v>0</v>
      </c>
      <c r="AA1926" s="2114">
        <f>D1926-'Blocking-Step2'!D1926</f>
        <v>0</v>
      </c>
      <c r="AC1926" s="2114">
        <f>F1926-'Blocking-Step2'!F1926</f>
        <v>0</v>
      </c>
      <c r="AE1926" s="2114">
        <f>H1926-'Blocking-Step2'!H1926</f>
        <v>0</v>
      </c>
      <c r="AF1926" s="2114">
        <f>I1926-'Blocking-Step2'!I1926</f>
        <v>0</v>
      </c>
      <c r="AH1926" s="2136">
        <f>K1926-'Blocking-Step2'!K1926</f>
        <v>0</v>
      </c>
      <c r="AJ1926" s="2136">
        <f>M1926-'Blocking-Step2'!M1926</f>
        <v>0</v>
      </c>
      <c r="AL1926" s="2136">
        <f>O1926-'Blocking-Step2'!O1926</f>
        <v>0</v>
      </c>
      <c r="AN1926" s="2137">
        <f>Q1926-'Blocking-Step2'!Q1926</f>
        <v>0</v>
      </c>
      <c r="AP1926" s="2127">
        <f>S1926-'Blocking-Step2'!S1926</f>
        <v>0</v>
      </c>
      <c r="AR1926" s="2127">
        <f>U1926-'Blocking-Step2'!U1926</f>
        <v>0</v>
      </c>
      <c r="AT1926" s="2127">
        <f>W1926-'Blocking-Step2'!W1926</f>
        <v>0</v>
      </c>
      <c r="AV1926" s="2128">
        <f>Y1926-'Blocking-Step2'!Y1926</f>
        <v>0</v>
      </c>
    </row>
    <row r="1927" spans="1:48">
      <c r="A1927" s="1116" t="s">
        <v>240</v>
      </c>
      <c r="C1927" s="1105">
        <v>16.599921259842521</v>
      </c>
      <c r="D1927" s="1105">
        <v>21</v>
      </c>
      <c r="F1927" s="1907">
        <v>127</v>
      </c>
      <c r="G1927" s="1110"/>
      <c r="H1927" s="1146">
        <v>2108</v>
      </c>
      <c r="I1927" s="1146">
        <v>2667</v>
      </c>
      <c r="K1927" s="1907"/>
      <c r="L1927" s="1110"/>
      <c r="M1927" s="1907"/>
      <c r="N1927" s="1110"/>
      <c r="O1927" s="1907"/>
      <c r="P1927" s="1110"/>
      <c r="Q1927" s="1907"/>
      <c r="R1927" s="1110"/>
      <c r="S1927" s="1629"/>
      <c r="T1927" s="1629"/>
      <c r="U1927" s="1629"/>
      <c r="V1927" s="1629"/>
      <c r="W1927" s="1629"/>
      <c r="X1927" s="1629"/>
      <c r="Y1927" s="1146"/>
      <c r="Z1927" s="2114">
        <f>C1927-'Blocking-Step2'!C1927</f>
        <v>0</v>
      </c>
      <c r="AA1927" s="2114">
        <f>D1927-'Blocking-Step2'!D1927</f>
        <v>0</v>
      </c>
      <c r="AC1927" s="2114">
        <f>F1927-'Blocking-Step2'!F1927</f>
        <v>0</v>
      </c>
      <c r="AE1927" s="2114">
        <f>H1927-'Blocking-Step2'!H1927</f>
        <v>0</v>
      </c>
      <c r="AF1927" s="2114">
        <f>I1927-'Blocking-Step2'!I1927</f>
        <v>0</v>
      </c>
      <c r="AH1927" s="2136">
        <f>K1927-'Blocking-Step2'!K1927</f>
        <v>0</v>
      </c>
      <c r="AJ1927" s="2136">
        <f>M1927-'Blocking-Step2'!M1927</f>
        <v>0</v>
      </c>
      <c r="AL1927" s="2136">
        <f>O1927-'Blocking-Step2'!O1927</f>
        <v>0</v>
      </c>
      <c r="AN1927" s="2137">
        <f>Q1927-'Blocking-Step2'!Q1927</f>
        <v>0</v>
      </c>
      <c r="AP1927" s="2127">
        <f>S1927-'Blocking-Step2'!S1927</f>
        <v>0</v>
      </c>
      <c r="AR1927" s="2127">
        <f>U1927-'Blocking-Step2'!U1927</f>
        <v>0</v>
      </c>
      <c r="AT1927" s="2127">
        <f>W1927-'Blocking-Step2'!W1927</f>
        <v>0</v>
      </c>
      <c r="AV1927" s="2128">
        <f>Y1927-'Blocking-Step2'!Y1927</f>
        <v>0</v>
      </c>
    </row>
    <row r="1928" spans="1:48">
      <c r="A1928" s="1116" t="s">
        <v>1250</v>
      </c>
      <c r="C1928" s="1105">
        <v>17216.667441860471</v>
      </c>
      <c r="D1928" s="1105">
        <v>25120</v>
      </c>
      <c r="F1928" s="1907">
        <v>4.3</v>
      </c>
      <c r="G1928" s="1110"/>
      <c r="H1928" s="1146">
        <v>74032</v>
      </c>
      <c r="I1928" s="1146">
        <v>108016</v>
      </c>
      <c r="K1928" s="1907"/>
      <c r="L1928" s="1110"/>
      <c r="M1928" s="1907"/>
      <c r="N1928" s="1110"/>
      <c r="O1928" s="1907"/>
      <c r="P1928" s="1110"/>
      <c r="Q1928" s="1907"/>
      <c r="R1928" s="1110"/>
      <c r="S1928" s="1629"/>
      <c r="T1928" s="1629"/>
      <c r="U1928" s="1629"/>
      <c r="V1928" s="1629"/>
      <c r="W1928" s="1629"/>
      <c r="X1928" s="1629"/>
      <c r="Y1928" s="1146"/>
      <c r="Z1928" s="2114">
        <f>C1928-'Blocking-Step2'!C1928</f>
        <v>0</v>
      </c>
      <c r="AA1928" s="2114">
        <f>D1928-'Blocking-Step2'!D1928</f>
        <v>0</v>
      </c>
      <c r="AC1928" s="2114">
        <f>F1928-'Blocking-Step2'!F1928</f>
        <v>0</v>
      </c>
      <c r="AE1928" s="2114">
        <f>H1928-'Blocking-Step2'!H1928</f>
        <v>0</v>
      </c>
      <c r="AF1928" s="2114">
        <f>I1928-'Blocking-Step2'!I1928</f>
        <v>0</v>
      </c>
      <c r="AH1928" s="2136">
        <f>K1928-'Blocking-Step2'!K1928</f>
        <v>0</v>
      </c>
      <c r="AJ1928" s="2136">
        <f>M1928-'Blocking-Step2'!M1928</f>
        <v>0</v>
      </c>
      <c r="AL1928" s="2136">
        <f>O1928-'Blocking-Step2'!O1928</f>
        <v>0</v>
      </c>
      <c r="AN1928" s="2137">
        <f>Q1928-'Blocking-Step2'!Q1928</f>
        <v>0</v>
      </c>
      <c r="AP1928" s="2127">
        <f>S1928-'Blocking-Step2'!S1928</f>
        <v>0</v>
      </c>
      <c r="AR1928" s="2127">
        <f>U1928-'Blocking-Step2'!U1928</f>
        <v>0</v>
      </c>
      <c r="AT1928" s="2127">
        <f>W1928-'Blocking-Step2'!W1928</f>
        <v>0</v>
      </c>
      <c r="AV1928" s="2128">
        <f>Y1928-'Blocking-Step2'!Y1928</f>
        <v>0</v>
      </c>
    </row>
    <row r="1929" spans="1:48">
      <c r="A1929" s="1116" t="s">
        <v>396</v>
      </c>
      <c r="C1929" s="1105">
        <v>1095685</v>
      </c>
      <c r="D1929" s="1105">
        <v>1598654</v>
      </c>
      <c r="F1929" s="1988">
        <v>5.3851000000000004</v>
      </c>
      <c r="G1929" s="1921" t="s">
        <v>495</v>
      </c>
      <c r="H1929" s="1146">
        <v>59004</v>
      </c>
      <c r="I1929" s="1146">
        <v>86089</v>
      </c>
      <c r="K1929" s="1988"/>
      <c r="L1929" s="1921"/>
      <c r="M1929" s="1988"/>
      <c r="N1929" s="1921"/>
      <c r="O1929" s="1988"/>
      <c r="P1929" s="1921"/>
      <c r="Q1929" s="1988"/>
      <c r="R1929" s="1921"/>
      <c r="S1929" s="1648"/>
      <c r="T1929" s="1648"/>
      <c r="U1929" s="1648"/>
      <c r="V1929" s="1648"/>
      <c r="W1929" s="1648"/>
      <c r="X1929" s="1648"/>
      <c r="Y1929" s="1146"/>
      <c r="Z1929" s="2114">
        <f>C1929-'Blocking-Step2'!C1929</f>
        <v>0</v>
      </c>
      <c r="AA1929" s="2114">
        <f>D1929-'Blocking-Step2'!D1929</f>
        <v>0</v>
      </c>
      <c r="AC1929" s="2114">
        <f>F1929-'Blocking-Step2'!F1929</f>
        <v>0</v>
      </c>
      <c r="AE1929" s="2114">
        <f>H1929-'Blocking-Step2'!H1929</f>
        <v>0</v>
      </c>
      <c r="AF1929" s="2114">
        <f>I1929-'Blocking-Step2'!I1929</f>
        <v>0</v>
      </c>
      <c r="AH1929" s="2136">
        <f>K1929-'Blocking-Step2'!K1929</f>
        <v>0</v>
      </c>
      <c r="AJ1929" s="2136">
        <f>M1929-'Blocking-Step2'!M1929</f>
        <v>0</v>
      </c>
      <c r="AL1929" s="2136">
        <f>O1929-'Blocking-Step2'!O1929</f>
        <v>0</v>
      </c>
      <c r="AN1929" s="2137">
        <f>Q1929-'Blocking-Step2'!Q1929</f>
        <v>0</v>
      </c>
      <c r="AP1929" s="2127">
        <f>S1929-'Blocking-Step2'!S1929</f>
        <v>0</v>
      </c>
      <c r="AR1929" s="2127">
        <f>U1929-'Blocking-Step2'!U1929</f>
        <v>0</v>
      </c>
      <c r="AT1929" s="2127">
        <f>W1929-'Blocking-Step2'!W1929</f>
        <v>0</v>
      </c>
      <c r="AV1929" s="2128">
        <f>Y1929-'Blocking-Step2'!Y1929</f>
        <v>0</v>
      </c>
    </row>
    <row r="1930" spans="1:48">
      <c r="A1930" s="1116" t="s">
        <v>95</v>
      </c>
      <c r="C1930" s="1105">
        <v>0</v>
      </c>
      <c r="D1930" s="1105">
        <v>0</v>
      </c>
      <c r="F1930" s="1988">
        <v>4.7168999999999999</v>
      </c>
      <c r="G1930" s="1921" t="s">
        <v>495</v>
      </c>
      <c r="H1930" s="1146">
        <v>0</v>
      </c>
      <c r="I1930" s="1146">
        <v>0</v>
      </c>
      <c r="K1930" s="1988"/>
      <c r="L1930" s="1921"/>
      <c r="M1930" s="1988"/>
      <c r="N1930" s="1921"/>
      <c r="O1930" s="1988"/>
      <c r="P1930" s="1921"/>
      <c r="Q1930" s="1988"/>
      <c r="R1930" s="1921"/>
      <c r="S1930" s="1648"/>
      <c r="T1930" s="1648"/>
      <c r="U1930" s="1648"/>
      <c r="V1930" s="1648"/>
      <c r="W1930" s="1648"/>
      <c r="X1930" s="1648"/>
      <c r="Y1930" s="1146"/>
      <c r="Z1930" s="2114">
        <f>C1930-'Blocking-Step2'!C1930</f>
        <v>0</v>
      </c>
      <c r="AA1930" s="2114">
        <f>D1930-'Blocking-Step2'!D1930</f>
        <v>0</v>
      </c>
      <c r="AC1930" s="2114">
        <f>F1930-'Blocking-Step2'!F1930</f>
        <v>0</v>
      </c>
      <c r="AE1930" s="2114">
        <f>H1930-'Blocking-Step2'!H1930</f>
        <v>0</v>
      </c>
      <c r="AF1930" s="2114">
        <f>I1930-'Blocking-Step2'!I1930</f>
        <v>0</v>
      </c>
      <c r="AH1930" s="2136">
        <f>K1930-'Blocking-Step2'!K1930</f>
        <v>0</v>
      </c>
      <c r="AJ1930" s="2136">
        <f>M1930-'Blocking-Step2'!M1930</f>
        <v>0</v>
      </c>
      <c r="AL1930" s="2136">
        <f>O1930-'Blocking-Step2'!O1930</f>
        <v>0</v>
      </c>
      <c r="AN1930" s="2137">
        <f>Q1930-'Blocking-Step2'!Q1930</f>
        <v>0</v>
      </c>
      <c r="AP1930" s="2127">
        <f>S1930-'Blocking-Step2'!S1930</f>
        <v>0</v>
      </c>
      <c r="AR1930" s="2127">
        <f>U1930-'Blocking-Step2'!U1930</f>
        <v>0</v>
      </c>
      <c r="AT1930" s="2127">
        <f>W1930-'Blocking-Step2'!W1930</f>
        <v>0</v>
      </c>
      <c r="AV1930" s="2128">
        <f>Y1930-'Blocking-Step2'!Y1930</f>
        <v>0</v>
      </c>
    </row>
    <row r="1931" spans="1:48">
      <c r="A1931" s="1116" t="s">
        <v>246</v>
      </c>
      <c r="C1931" s="1940">
        <v>-20362</v>
      </c>
      <c r="D1931" s="1940">
        <v>0</v>
      </c>
      <c r="F1931" s="1988"/>
      <c r="G1931" s="1982"/>
      <c r="H1931" s="1147">
        <v>-2422</v>
      </c>
      <c r="I1931" s="1147">
        <v>0</v>
      </c>
      <c r="K1931" s="1988"/>
      <c r="L1931" s="1982"/>
      <c r="M1931" s="1988"/>
      <c r="N1931" s="1982"/>
      <c r="O1931" s="1988"/>
      <c r="P1931" s="1982"/>
      <c r="Q1931" s="1988"/>
      <c r="R1931" s="1982"/>
      <c r="S1931" s="1653"/>
      <c r="T1931" s="1653"/>
      <c r="U1931" s="1653"/>
      <c r="V1931" s="1653"/>
      <c r="W1931" s="1653"/>
      <c r="X1931" s="1653"/>
      <c r="Y1931" s="1147"/>
      <c r="Z1931" s="2114">
        <f>C1931-'Blocking-Step2'!C1931</f>
        <v>0</v>
      </c>
      <c r="AA1931" s="2114">
        <f>D1931-'Blocking-Step2'!D1931</f>
        <v>0</v>
      </c>
      <c r="AC1931" s="2114">
        <f>F1931-'Blocking-Step2'!F1931</f>
        <v>0</v>
      </c>
      <c r="AE1931" s="2114">
        <f>H1931-'Blocking-Step2'!H1931</f>
        <v>0</v>
      </c>
      <c r="AF1931" s="2114">
        <f>I1931-'Blocking-Step2'!I1931</f>
        <v>0</v>
      </c>
      <c r="AH1931" s="2136">
        <f>K1931-'Blocking-Step2'!K1931</f>
        <v>0</v>
      </c>
      <c r="AJ1931" s="2136">
        <f>M1931-'Blocking-Step2'!M1931</f>
        <v>0</v>
      </c>
      <c r="AL1931" s="2136">
        <f>O1931-'Blocking-Step2'!O1931</f>
        <v>0</v>
      </c>
      <c r="AN1931" s="2137">
        <f>Q1931-'Blocking-Step2'!Q1931</f>
        <v>0</v>
      </c>
      <c r="AP1931" s="2127">
        <f>S1931-'Blocking-Step2'!S1931</f>
        <v>0</v>
      </c>
      <c r="AR1931" s="2127">
        <f>U1931-'Blocking-Step2'!U1931</f>
        <v>0</v>
      </c>
      <c r="AT1931" s="2127">
        <f>W1931-'Blocking-Step2'!W1931</f>
        <v>0</v>
      </c>
      <c r="AV1931" s="2128">
        <f>Y1931-'Blocking-Step2'!Y1931</f>
        <v>0</v>
      </c>
    </row>
    <row r="1932" spans="1:48">
      <c r="A1932" s="1116" t="s">
        <v>1240</v>
      </c>
      <c r="C1932" s="1024"/>
      <c r="D1932" s="1024"/>
      <c r="F1932" s="2076">
        <v>-6.2E-2</v>
      </c>
      <c r="G1932" s="617"/>
      <c r="H1932" s="1146">
        <v>-8248.232</v>
      </c>
      <c r="I1932" s="1146">
        <v>-12034.51</v>
      </c>
      <c r="K1932" s="1988"/>
      <c r="L1932" s="1982"/>
      <c r="M1932" s="1988"/>
      <c r="N1932" s="1982"/>
      <c r="O1932" s="1988"/>
      <c r="P1932" s="1982"/>
      <c r="Q1932" s="1988"/>
      <c r="R1932" s="1982"/>
      <c r="S1932" s="1653"/>
      <c r="T1932" s="1653"/>
      <c r="U1932" s="1653"/>
      <c r="V1932" s="1653"/>
      <c r="W1932" s="1653"/>
      <c r="X1932" s="1653"/>
      <c r="Y1932" s="1114"/>
      <c r="Z1932" s="2114">
        <f>C1932-'Blocking-Step2'!C1932</f>
        <v>0</v>
      </c>
      <c r="AA1932" s="2114">
        <f>D1932-'Blocking-Step2'!D1932</f>
        <v>0</v>
      </c>
      <c r="AC1932" s="2114">
        <f>F1932-'Blocking-Step2'!F1932</f>
        <v>0</v>
      </c>
      <c r="AE1932" s="2114">
        <f>H1932-'Blocking-Step2'!H1932</f>
        <v>0</v>
      </c>
      <c r="AF1932" s="2114">
        <f>I1932-'Blocking-Step2'!I1932</f>
        <v>0</v>
      </c>
      <c r="AH1932" s="2136">
        <f>K1932-'Blocking-Step2'!K1932</f>
        <v>0</v>
      </c>
      <c r="AJ1932" s="2136">
        <f>M1932-'Blocking-Step2'!M1932</f>
        <v>0</v>
      </c>
      <c r="AL1932" s="2136">
        <f>O1932-'Blocking-Step2'!O1932</f>
        <v>0</v>
      </c>
      <c r="AN1932" s="2137">
        <f>Q1932-'Blocking-Step2'!Q1932</f>
        <v>0</v>
      </c>
      <c r="AP1932" s="2127">
        <f>S1932-'Blocking-Step2'!S1932</f>
        <v>0</v>
      </c>
      <c r="AR1932" s="2127">
        <f>U1932-'Blocking-Step2'!U1932</f>
        <v>0</v>
      </c>
      <c r="AT1932" s="2127">
        <f>W1932-'Blocking-Step2'!W1932</f>
        <v>0</v>
      </c>
      <c r="AV1932" s="2128">
        <f>Y1932-'Blocking-Step2'!Y1932</f>
        <v>0</v>
      </c>
    </row>
    <row r="1933" spans="1:48">
      <c r="A1933" s="1116" t="s">
        <v>397</v>
      </c>
      <c r="C1933" s="1105">
        <v>1075323</v>
      </c>
      <c r="D1933" s="1105">
        <v>1598654</v>
      </c>
      <c r="F1933" s="1106"/>
      <c r="G1933" s="1107"/>
      <c r="H1933" s="1146">
        <v>124473.768</v>
      </c>
      <c r="I1933" s="1146">
        <v>184737.49</v>
      </c>
      <c r="K1933" s="1106"/>
      <c r="L1933" s="1107"/>
      <c r="M1933" s="1106"/>
      <c r="N1933" s="1107"/>
      <c r="O1933" s="1106"/>
      <c r="P1933" s="1107"/>
      <c r="Q1933" s="1106"/>
      <c r="R1933" s="1107"/>
      <c r="S1933" s="1114"/>
      <c r="T1933" s="1114"/>
      <c r="U1933" s="1114"/>
      <c r="V1933" s="1114"/>
      <c r="W1933" s="1114"/>
      <c r="X1933" s="1114"/>
      <c r="Y1933" s="1146"/>
      <c r="Z1933" s="2114">
        <f>C1933-'Blocking-Step2'!C1933</f>
        <v>0</v>
      </c>
      <c r="AA1933" s="2114">
        <f>D1933-'Blocking-Step2'!D1933</f>
        <v>0</v>
      </c>
      <c r="AC1933" s="2114">
        <f>F1933-'Blocking-Step2'!F1933</f>
        <v>0</v>
      </c>
      <c r="AE1933" s="2114">
        <f>H1933-'Blocking-Step2'!H1933</f>
        <v>0</v>
      </c>
      <c r="AF1933" s="2114">
        <f>I1933-'Blocking-Step2'!I1933</f>
        <v>0</v>
      </c>
      <c r="AH1933" s="2136">
        <f>K1933-'Blocking-Step2'!K1933</f>
        <v>0</v>
      </c>
      <c r="AJ1933" s="2136">
        <f>M1933-'Blocking-Step2'!M1933</f>
        <v>0</v>
      </c>
      <c r="AL1933" s="2136">
        <f>O1933-'Blocking-Step2'!O1933</f>
        <v>0</v>
      </c>
      <c r="AN1933" s="2137">
        <f>Q1933-'Blocking-Step2'!Q1933</f>
        <v>0</v>
      </c>
      <c r="AP1933" s="2127">
        <f>S1933-'Blocking-Step2'!S1933</f>
        <v>0</v>
      </c>
      <c r="AR1933" s="2127">
        <f>U1933-'Blocking-Step2'!U1933</f>
        <v>0</v>
      </c>
      <c r="AT1933" s="2127">
        <f>W1933-'Blocking-Step2'!W1933</f>
        <v>0</v>
      </c>
      <c r="AV1933" s="2128">
        <f>Y1933-'Blocking-Step2'!Y1933</f>
        <v>0</v>
      </c>
    </row>
    <row r="1934" spans="1:48">
      <c r="A1934" s="1116" t="s">
        <v>1240</v>
      </c>
      <c r="C1934" s="1024"/>
      <c r="D1934" s="1024"/>
      <c r="F1934" s="2076"/>
      <c r="G1934" s="617"/>
      <c r="H1934" s="1146"/>
      <c r="I1934" s="1146"/>
      <c r="K1934" s="2076"/>
      <c r="L1934" s="617"/>
      <c r="M1934" s="2076"/>
      <c r="N1934" s="617"/>
      <c r="O1934" s="2076"/>
      <c r="P1934" s="617"/>
      <c r="Q1934" s="2076"/>
      <c r="R1934" s="617"/>
      <c r="S1934" s="1114"/>
      <c r="T1934" s="1114"/>
      <c r="U1934" s="1114"/>
      <c r="V1934" s="1114"/>
      <c r="W1934" s="1114"/>
      <c r="X1934" s="1114"/>
      <c r="Y1934" s="1146"/>
      <c r="Z1934" s="2114">
        <f>C1934-'Blocking-Step2'!C1934</f>
        <v>0</v>
      </c>
      <c r="AA1934" s="2114">
        <f>D1934-'Blocking-Step2'!D1934</f>
        <v>0</v>
      </c>
      <c r="AC1934" s="2114">
        <f>F1934-'Blocking-Step2'!F1934</f>
        <v>0</v>
      </c>
      <c r="AE1934" s="2114">
        <f>H1934-'Blocking-Step2'!H1934</f>
        <v>0</v>
      </c>
      <c r="AF1934" s="2114">
        <f>I1934-'Blocking-Step2'!I1934</f>
        <v>0</v>
      </c>
      <c r="AH1934" s="2136">
        <f>K1934-'Blocking-Step2'!K1934</f>
        <v>0</v>
      </c>
      <c r="AJ1934" s="2136">
        <f>M1934-'Blocking-Step2'!M1934</f>
        <v>0</v>
      </c>
      <c r="AL1934" s="2136">
        <f>O1934-'Blocking-Step2'!O1934</f>
        <v>0</v>
      </c>
      <c r="AN1934" s="2137">
        <f>Q1934-'Blocking-Step2'!Q1934</f>
        <v>0</v>
      </c>
      <c r="AP1934" s="2127">
        <f>S1934-'Blocking-Step2'!S1934</f>
        <v>0</v>
      </c>
      <c r="AR1934" s="2127">
        <f>U1934-'Blocking-Step2'!U1934</f>
        <v>0</v>
      </c>
      <c r="AT1934" s="2127">
        <f>W1934-'Blocking-Step2'!W1934</f>
        <v>0</v>
      </c>
      <c r="AV1934" s="2128">
        <f>Y1934-'Blocking-Step2'!Y1934</f>
        <v>0</v>
      </c>
    </row>
    <row r="1935" spans="1:48" ht="16.5" thickBot="1">
      <c r="A1935" s="1116" t="s">
        <v>247</v>
      </c>
      <c r="C1935" s="1138">
        <v>1235720</v>
      </c>
      <c r="D1935" s="1138">
        <v>1837112</v>
      </c>
      <c r="F1935" s="1145"/>
      <c r="H1935" s="1149">
        <v>157257.55599999998</v>
      </c>
      <c r="I1935" s="1149">
        <v>233114.76199999999</v>
      </c>
      <c r="K1935" s="1145"/>
      <c r="M1935" s="1145"/>
      <c r="O1935" s="1145"/>
      <c r="Q1935" s="1145"/>
      <c r="S1935" s="1149">
        <v>3877</v>
      </c>
      <c r="U1935" s="1149">
        <v>467800</v>
      </c>
      <c r="W1935" s="1149">
        <v>37240</v>
      </c>
      <c r="Y1935" s="1149">
        <v>508918</v>
      </c>
      <c r="Z1935" s="2114">
        <f>C1935-'Blocking-Step2'!C1935</f>
        <v>0</v>
      </c>
      <c r="AA1935" s="2114">
        <f>D1935-'Blocking-Step2'!D1935</f>
        <v>0</v>
      </c>
      <c r="AC1935" s="2114">
        <f>F1935-'Blocking-Step2'!F1935</f>
        <v>0</v>
      </c>
      <c r="AE1935" s="2114">
        <f>H1935-'Blocking-Step2'!H1935</f>
        <v>0</v>
      </c>
      <c r="AF1935" s="2114">
        <f>I1935-'Blocking-Step2'!I1935</f>
        <v>0</v>
      </c>
      <c r="AH1935" s="2136">
        <f>K1935-'Blocking-Step2'!K1935</f>
        <v>0</v>
      </c>
      <c r="AJ1935" s="2136">
        <f>M1935-'Blocking-Step2'!M1935</f>
        <v>0</v>
      </c>
      <c r="AL1935" s="2136">
        <f>O1935-'Blocking-Step2'!O1935</f>
        <v>0</v>
      </c>
      <c r="AN1935" s="2137">
        <f>Q1935-'Blocking-Step2'!Q1935</f>
        <v>0</v>
      </c>
      <c r="AP1935" s="2127">
        <f>S1935-'Blocking-Step2'!S1935</f>
        <v>-184481</v>
      </c>
      <c r="AR1935" s="2127">
        <f>U1935-'Blocking-Step2'!U1935</f>
        <v>184479</v>
      </c>
      <c r="AT1935" s="2127">
        <f>W1935-'Blocking-Step2'!W1935</f>
        <v>0</v>
      </c>
      <c r="AV1935" s="2128">
        <f>Y1935-'Blocking-Step2'!Y1935</f>
        <v>0</v>
      </c>
    </row>
    <row r="1936" spans="1:48" ht="16.5" thickTop="1">
      <c r="A1936" s="1116"/>
      <c r="C1936" s="1024"/>
      <c r="D1936" s="1024"/>
      <c r="F1936" s="1109"/>
      <c r="H1936" s="1114"/>
      <c r="I1936" s="1114"/>
      <c r="K1936" s="1109"/>
      <c r="M1936" s="1109"/>
      <c r="O1936" s="1109"/>
      <c r="Q1936" s="1109"/>
      <c r="S1936" s="1114"/>
      <c r="U1936" s="1114"/>
      <c r="W1936" s="1114"/>
      <c r="Y1936" s="1114"/>
      <c r="Z1936" s="2114">
        <f>C1936-'Blocking-Step2'!C1936</f>
        <v>0</v>
      </c>
      <c r="AA1936" s="2114">
        <f>D1936-'Blocking-Step2'!D1936</f>
        <v>0</v>
      </c>
      <c r="AC1936" s="2114">
        <f>F1936-'Blocking-Step2'!F1936</f>
        <v>0</v>
      </c>
      <c r="AE1936" s="2114">
        <f>H1936-'Blocking-Step2'!H1936</f>
        <v>0</v>
      </c>
      <c r="AF1936" s="2114">
        <f>I1936-'Blocking-Step2'!I1936</f>
        <v>0</v>
      </c>
      <c r="AH1936" s="2136">
        <f>K1936-'Blocking-Step2'!K1936</f>
        <v>0</v>
      </c>
      <c r="AJ1936" s="2136">
        <f>M1936-'Blocking-Step2'!M1936</f>
        <v>0</v>
      </c>
      <c r="AL1936" s="2136">
        <f>O1936-'Blocking-Step2'!O1936</f>
        <v>0</v>
      </c>
      <c r="AN1936" s="2137">
        <f>Q1936-'Blocking-Step2'!Q1936</f>
        <v>0</v>
      </c>
      <c r="AP1936" s="2127">
        <f>S1936-'Blocking-Step2'!S1936</f>
        <v>0</v>
      </c>
      <c r="AR1936" s="2127">
        <f>U1936-'Blocking-Step2'!U1936</f>
        <v>0</v>
      </c>
      <c r="AT1936" s="2127">
        <f>W1936-'Blocking-Step2'!W1936</f>
        <v>0</v>
      </c>
      <c r="AV1936" s="2128">
        <f>Y1936-'Blocking-Step2'!Y1936</f>
        <v>0</v>
      </c>
    </row>
    <row r="1937" spans="1:48">
      <c r="A1937" s="1115" t="s">
        <v>2295</v>
      </c>
      <c r="C1937" s="1105"/>
      <c r="D1937" s="1105"/>
      <c r="F1937" s="1106"/>
      <c r="G1937" s="1107"/>
      <c r="K1937" s="1106"/>
      <c r="L1937" s="1107"/>
      <c r="M1937" s="1106"/>
      <c r="N1937" s="1107"/>
      <c r="O1937" s="1106"/>
      <c r="P1937" s="1107"/>
      <c r="Q1937" s="1106"/>
      <c r="R1937" s="1107"/>
      <c r="S1937" s="1114"/>
      <c r="T1937" s="1114"/>
      <c r="U1937" s="1114"/>
      <c r="V1937" s="1114"/>
      <c r="W1937" s="1114"/>
      <c r="X1937" s="1114"/>
      <c r="Z1937" s="2114">
        <f>C1937-'Blocking-Step2'!C1937</f>
        <v>0</v>
      </c>
      <c r="AA1937" s="2114">
        <f>D1937-'Blocking-Step2'!D1937</f>
        <v>0</v>
      </c>
      <c r="AC1937" s="2114">
        <f>F1937-'Blocking-Step2'!F1937</f>
        <v>0</v>
      </c>
      <c r="AE1937" s="2114">
        <f>H1937-'Blocking-Step2'!H1937</f>
        <v>0</v>
      </c>
      <c r="AF1937" s="2114">
        <f>I1937-'Blocking-Step2'!I1937</f>
        <v>0</v>
      </c>
      <c r="AH1937" s="2136">
        <f>K1937-'Blocking-Step2'!K1937</f>
        <v>0</v>
      </c>
      <c r="AJ1937" s="2136">
        <f>M1937-'Blocking-Step2'!M1937</f>
        <v>0</v>
      </c>
      <c r="AL1937" s="2136">
        <f>O1937-'Blocking-Step2'!O1937</f>
        <v>0</v>
      </c>
      <c r="AN1937" s="2137">
        <f>Q1937-'Blocking-Step2'!Q1937</f>
        <v>0</v>
      </c>
      <c r="AP1937" s="2127">
        <f>S1937-'Blocking-Step2'!S1937</f>
        <v>0</v>
      </c>
      <c r="AR1937" s="2127">
        <f>U1937-'Blocking-Step2'!U1937</f>
        <v>0</v>
      </c>
      <c r="AT1937" s="2127">
        <f>W1937-'Blocking-Step2'!W1937</f>
        <v>0</v>
      </c>
      <c r="AV1937" s="2128">
        <f>Y1937-'Blocking-Step2'!Y1937</f>
        <v>0</v>
      </c>
    </row>
    <row r="1938" spans="1:48">
      <c r="A1938" s="1116" t="s">
        <v>2297</v>
      </c>
      <c r="B1938" s="1116"/>
      <c r="C1938" s="1024"/>
      <c r="D1938" s="1024"/>
      <c r="F1938" s="2094"/>
      <c r="G1938" s="1110"/>
      <c r="H1938" s="1114"/>
      <c r="I1938" s="1114"/>
      <c r="K1938" s="2094"/>
      <c r="L1938" s="1110"/>
      <c r="M1938" s="2094"/>
      <c r="N1938" s="1110"/>
      <c r="O1938" s="2094"/>
      <c r="P1938" s="1110"/>
      <c r="Q1938" s="2094"/>
      <c r="R1938" s="1110"/>
      <c r="S1938" s="1114"/>
      <c r="T1938" s="1629"/>
      <c r="U1938" s="1114"/>
      <c r="V1938" s="1629"/>
      <c r="W1938" s="1114"/>
      <c r="X1938" s="1629"/>
      <c r="Y1938" s="1114"/>
      <c r="Z1938" s="2114">
        <f>C1938-'Blocking-Step2'!C1938</f>
        <v>0</v>
      </c>
      <c r="AA1938" s="2114">
        <f>D1938-'Blocking-Step2'!D1938</f>
        <v>0</v>
      </c>
      <c r="AC1938" s="2114">
        <f>F1938-'Blocking-Step2'!F1938</f>
        <v>0</v>
      </c>
      <c r="AE1938" s="2114">
        <f>H1938-'Blocking-Step2'!H1938</f>
        <v>0</v>
      </c>
      <c r="AF1938" s="2114">
        <f>I1938-'Blocking-Step2'!I1938</f>
        <v>0</v>
      </c>
      <c r="AH1938" s="2136">
        <f>K1938-'Blocking-Step2'!K1938</f>
        <v>0</v>
      </c>
      <c r="AJ1938" s="2136">
        <f>M1938-'Blocking-Step2'!M1938</f>
        <v>0</v>
      </c>
      <c r="AL1938" s="2136">
        <f>O1938-'Blocking-Step2'!O1938</f>
        <v>0</v>
      </c>
      <c r="AN1938" s="2137">
        <f>Q1938-'Blocking-Step2'!Q1938</f>
        <v>0</v>
      </c>
      <c r="AP1938" s="2127">
        <f>S1938-'Blocking-Step2'!S1938</f>
        <v>0</v>
      </c>
      <c r="AR1938" s="2127">
        <f>U1938-'Blocking-Step2'!U1938</f>
        <v>0</v>
      </c>
      <c r="AT1938" s="2127">
        <f>W1938-'Blocking-Step2'!W1938</f>
        <v>0</v>
      </c>
      <c r="AV1938" s="2128">
        <f>Y1938-'Blocking-Step2'!Y1938</f>
        <v>0</v>
      </c>
    </row>
    <row r="1939" spans="1:48">
      <c r="A1939" s="1116" t="s">
        <v>2298</v>
      </c>
      <c r="B1939" s="1116"/>
      <c r="C1939" s="1024"/>
      <c r="D1939" s="1024"/>
      <c r="F1939" s="2094">
        <v>70</v>
      </c>
      <c r="G1939" s="1110"/>
      <c r="H1939" s="1114"/>
      <c r="I1939" s="1114"/>
      <c r="K1939" s="2094">
        <v>73</v>
      </c>
      <c r="L1939" s="1110"/>
      <c r="M1939" s="2094"/>
      <c r="N1939" s="1110"/>
      <c r="O1939" s="2094"/>
      <c r="P1939" s="1110"/>
      <c r="Q1939" s="2094">
        <v>73</v>
      </c>
      <c r="R1939" s="1110"/>
      <c r="S1939" s="1114"/>
      <c r="T1939" s="1629"/>
      <c r="U1939" s="1114"/>
      <c r="V1939" s="1629"/>
      <c r="W1939" s="1114"/>
      <c r="X1939" s="1629"/>
      <c r="Y1939" s="1114"/>
      <c r="Z1939" s="2114">
        <f>C1939-'Blocking-Step2'!C1939</f>
        <v>0</v>
      </c>
      <c r="AA1939" s="2114">
        <f>D1939-'Blocking-Step2'!D1939</f>
        <v>0</v>
      </c>
      <c r="AC1939" s="2114">
        <f>F1939-'Blocking-Step2'!F1939</f>
        <v>0</v>
      </c>
      <c r="AE1939" s="2114">
        <f>H1939-'Blocking-Step2'!H1939</f>
        <v>0</v>
      </c>
      <c r="AF1939" s="2114">
        <f>I1939-'Blocking-Step2'!I1939</f>
        <v>0</v>
      </c>
      <c r="AH1939" s="2136">
        <f>K1939-'Blocking-Step2'!K1939</f>
        <v>0</v>
      </c>
      <c r="AJ1939" s="2136">
        <f>M1939-'Blocking-Step2'!M1939</f>
        <v>0</v>
      </c>
      <c r="AL1939" s="2136">
        <f>O1939-'Blocking-Step2'!O1939</f>
        <v>0</v>
      </c>
      <c r="AN1939" s="2137">
        <f>Q1939-'Blocking-Step2'!Q1939</f>
        <v>0</v>
      </c>
      <c r="AP1939" s="2127">
        <f>S1939-'Blocking-Step2'!S1939</f>
        <v>0</v>
      </c>
      <c r="AR1939" s="2127">
        <f>U1939-'Blocking-Step2'!U1939</f>
        <v>0</v>
      </c>
      <c r="AT1939" s="2127">
        <f>W1939-'Blocking-Step2'!W1939</f>
        <v>0</v>
      </c>
      <c r="AV1939" s="2128">
        <f>Y1939-'Blocking-Step2'!Y1939</f>
        <v>0</v>
      </c>
    </row>
    <row r="1940" spans="1:48">
      <c r="A1940" s="1116" t="s">
        <v>2299</v>
      </c>
      <c r="C1940" s="1024"/>
      <c r="D1940" s="1024"/>
      <c r="F1940" s="2094">
        <v>70</v>
      </c>
      <c r="G1940" s="1110"/>
      <c r="H1940" s="1114"/>
      <c r="I1940" s="1114"/>
      <c r="K1940" s="2094">
        <v>73</v>
      </c>
      <c r="L1940" s="1110"/>
      <c r="M1940" s="2094"/>
      <c r="N1940" s="1110"/>
      <c r="O1940" s="2094"/>
      <c r="P1940" s="1110"/>
      <c r="Q1940" s="2094">
        <v>73</v>
      </c>
      <c r="R1940" s="1110"/>
      <c r="S1940" s="1114"/>
      <c r="T1940" s="1629"/>
      <c r="U1940" s="1114"/>
      <c r="V1940" s="1629"/>
      <c r="W1940" s="1114"/>
      <c r="X1940" s="1629"/>
      <c r="Y1940" s="1114"/>
      <c r="Z1940" s="2114">
        <f>C1940-'Blocking-Step2'!C1940</f>
        <v>0</v>
      </c>
      <c r="AA1940" s="2114">
        <f>D1940-'Blocking-Step2'!D1940</f>
        <v>0</v>
      </c>
      <c r="AC1940" s="2114">
        <f>F1940-'Blocking-Step2'!F1940</f>
        <v>0</v>
      </c>
      <c r="AE1940" s="2114">
        <f>H1940-'Blocking-Step2'!H1940</f>
        <v>0</v>
      </c>
      <c r="AF1940" s="2114">
        <f>I1940-'Blocking-Step2'!I1940</f>
        <v>0</v>
      </c>
      <c r="AH1940" s="2136">
        <f>K1940-'Blocking-Step2'!K1940</f>
        <v>0</v>
      </c>
      <c r="AJ1940" s="2136">
        <f>M1940-'Blocking-Step2'!M1940</f>
        <v>0</v>
      </c>
      <c r="AL1940" s="2136">
        <f>O1940-'Blocking-Step2'!O1940</f>
        <v>0</v>
      </c>
      <c r="AN1940" s="2137">
        <f>Q1940-'Blocking-Step2'!Q1940</f>
        <v>0</v>
      </c>
      <c r="AP1940" s="2127">
        <f>S1940-'Blocking-Step2'!S1940</f>
        <v>0</v>
      </c>
      <c r="AR1940" s="2127">
        <f>U1940-'Blocking-Step2'!U1940</f>
        <v>0</v>
      </c>
      <c r="AT1940" s="2127">
        <f>W1940-'Blocking-Step2'!W1940</f>
        <v>0</v>
      </c>
      <c r="AV1940" s="2128">
        <f>Y1940-'Blocking-Step2'!Y1940</f>
        <v>0</v>
      </c>
    </row>
    <row r="1941" spans="1:48">
      <c r="A1941" s="1116" t="s">
        <v>2300</v>
      </c>
      <c r="C1941" s="1024"/>
      <c r="D1941" s="1024"/>
      <c r="F1941" s="2095">
        <v>259</v>
      </c>
      <c r="G1941" s="617"/>
      <c r="H1941" s="1114"/>
      <c r="I1941" s="1114"/>
      <c r="K1941" s="2094">
        <v>269</v>
      </c>
      <c r="L1941" s="617"/>
      <c r="M1941" s="2095"/>
      <c r="N1941" s="617"/>
      <c r="O1941" s="2095"/>
      <c r="P1941" s="617"/>
      <c r="Q1941" s="2094">
        <v>269</v>
      </c>
      <c r="R1941" s="617"/>
      <c r="S1941" s="1114"/>
      <c r="T1941" s="1114"/>
      <c r="U1941" s="1114"/>
      <c r="V1941" s="1114"/>
      <c r="W1941" s="1114"/>
      <c r="X1941" s="1114"/>
      <c r="Y1941" s="1114"/>
      <c r="Z1941" s="2114">
        <f>C1941-'Blocking-Step2'!C1941</f>
        <v>0</v>
      </c>
      <c r="AA1941" s="2114">
        <f>D1941-'Blocking-Step2'!D1941</f>
        <v>0</v>
      </c>
      <c r="AC1941" s="2114">
        <f>F1941-'Blocking-Step2'!F1941</f>
        <v>0</v>
      </c>
      <c r="AE1941" s="2114">
        <f>H1941-'Blocking-Step2'!H1941</f>
        <v>0</v>
      </c>
      <c r="AF1941" s="2114">
        <f>I1941-'Blocking-Step2'!I1941</f>
        <v>0</v>
      </c>
      <c r="AH1941" s="2136">
        <f>K1941-'Blocking-Step2'!K1941</f>
        <v>0</v>
      </c>
      <c r="AJ1941" s="2136">
        <f>M1941-'Blocking-Step2'!M1941</f>
        <v>0</v>
      </c>
      <c r="AL1941" s="2136">
        <f>O1941-'Blocking-Step2'!O1941</f>
        <v>0</v>
      </c>
      <c r="AN1941" s="2137">
        <f>Q1941-'Blocking-Step2'!Q1941</f>
        <v>0</v>
      </c>
      <c r="AP1941" s="2127">
        <f>S1941-'Blocking-Step2'!S1941</f>
        <v>0</v>
      </c>
      <c r="AR1941" s="2127">
        <f>U1941-'Blocking-Step2'!U1941</f>
        <v>0</v>
      </c>
      <c r="AT1941" s="2127">
        <f>W1941-'Blocking-Step2'!W1941</f>
        <v>0</v>
      </c>
      <c r="AV1941" s="2128">
        <f>Y1941-'Blocking-Step2'!Y1941</f>
        <v>0</v>
      </c>
    </row>
    <row r="1942" spans="1:48">
      <c r="A1942" s="1116" t="s">
        <v>2308</v>
      </c>
      <c r="C1942" s="1024"/>
      <c r="D1942" s="1024"/>
      <c r="F1942" s="2094"/>
      <c r="G1942" s="1111"/>
      <c r="H1942" s="1114"/>
      <c r="I1942" s="1114"/>
      <c r="K1942" s="2094"/>
      <c r="L1942" s="1111"/>
      <c r="M1942" s="2094"/>
      <c r="N1942" s="1111"/>
      <c r="O1942" s="2094"/>
      <c r="P1942" s="1111"/>
      <c r="Q1942" s="2094"/>
      <c r="R1942" s="1111"/>
      <c r="S1942" s="1114"/>
      <c r="T1942" s="1629"/>
      <c r="U1942" s="1114"/>
      <c r="V1942" s="1629"/>
      <c r="W1942" s="1114"/>
      <c r="X1942" s="1629"/>
      <c r="Y1942" s="1114"/>
      <c r="Z1942" s="2114">
        <f>C1942-'Blocking-Step2'!C1942</f>
        <v>0</v>
      </c>
      <c r="AA1942" s="2114">
        <f>D1942-'Blocking-Step2'!D1942</f>
        <v>0</v>
      </c>
      <c r="AC1942" s="2114">
        <f>F1942-'Blocking-Step2'!F1942</f>
        <v>0</v>
      </c>
      <c r="AE1942" s="2114">
        <f>H1942-'Blocking-Step2'!H1942</f>
        <v>0</v>
      </c>
      <c r="AF1942" s="2114">
        <f>I1942-'Blocking-Step2'!I1942</f>
        <v>0</v>
      </c>
      <c r="AH1942" s="2136">
        <f>K1942-'Blocking-Step2'!K1942</f>
        <v>0</v>
      </c>
      <c r="AJ1942" s="2136">
        <f>M1942-'Blocking-Step2'!M1942</f>
        <v>0</v>
      </c>
      <c r="AL1942" s="2136">
        <f>O1942-'Blocking-Step2'!O1942</f>
        <v>0</v>
      </c>
      <c r="AN1942" s="2137">
        <f>Q1942-'Blocking-Step2'!Q1942</f>
        <v>0</v>
      </c>
      <c r="AP1942" s="2127">
        <f>S1942-'Blocking-Step2'!S1942</f>
        <v>0</v>
      </c>
      <c r="AR1942" s="2127">
        <f>U1942-'Blocking-Step2'!U1942</f>
        <v>0</v>
      </c>
      <c r="AT1942" s="2127">
        <f>W1942-'Blocking-Step2'!W1942</f>
        <v>0</v>
      </c>
      <c r="AV1942" s="2128">
        <f>Y1942-'Blocking-Step2'!Y1942</f>
        <v>0</v>
      </c>
    </row>
    <row r="1943" spans="1:48">
      <c r="A1943" s="1116" t="s">
        <v>2298</v>
      </c>
      <c r="C1943" s="1024"/>
      <c r="D1943" s="1024"/>
      <c r="F1943" s="2094">
        <v>1.37</v>
      </c>
      <c r="G1943" s="1111"/>
      <c r="H1943" s="1114"/>
      <c r="I1943" s="1114"/>
      <c r="K1943" s="2094">
        <v>1.42</v>
      </c>
      <c r="L1943" s="1111"/>
      <c r="M1943" s="2094"/>
      <c r="N1943" s="1111"/>
      <c r="O1943" s="2094"/>
      <c r="P1943" s="1111"/>
      <c r="Q1943" s="2094">
        <v>1.42</v>
      </c>
      <c r="R1943" s="1111"/>
      <c r="S1943" s="1114"/>
      <c r="T1943" s="1629"/>
      <c r="U1943" s="1114"/>
      <c r="V1943" s="1629"/>
      <c r="W1943" s="1114"/>
      <c r="X1943" s="1629"/>
      <c r="Y1943" s="1114"/>
      <c r="Z1943" s="2114">
        <f>C1943-'Blocking-Step2'!C1943</f>
        <v>0</v>
      </c>
      <c r="AA1943" s="2114">
        <f>D1943-'Blocking-Step2'!D1943</f>
        <v>0</v>
      </c>
      <c r="AC1943" s="2114">
        <f>F1943-'Blocking-Step2'!F1943</f>
        <v>0</v>
      </c>
      <c r="AE1943" s="2114">
        <f>H1943-'Blocking-Step2'!H1943</f>
        <v>0</v>
      </c>
      <c r="AF1943" s="2114">
        <f>I1943-'Blocking-Step2'!I1943</f>
        <v>0</v>
      </c>
      <c r="AH1943" s="2136">
        <f>K1943-'Blocking-Step2'!K1943</f>
        <v>0</v>
      </c>
      <c r="AJ1943" s="2136">
        <f>M1943-'Blocking-Step2'!M1943</f>
        <v>0</v>
      </c>
      <c r="AL1943" s="2136">
        <f>O1943-'Blocking-Step2'!O1943</f>
        <v>0</v>
      </c>
      <c r="AN1943" s="2137">
        <f>Q1943-'Blocking-Step2'!Q1943</f>
        <v>0</v>
      </c>
      <c r="AP1943" s="2127">
        <f>S1943-'Blocking-Step2'!S1943</f>
        <v>0</v>
      </c>
      <c r="AR1943" s="2127">
        <f>U1943-'Blocking-Step2'!U1943</f>
        <v>0</v>
      </c>
      <c r="AT1943" s="2127">
        <f>W1943-'Blocking-Step2'!W1943</f>
        <v>0</v>
      </c>
      <c r="AV1943" s="2128">
        <f>Y1943-'Blocking-Step2'!Y1943</f>
        <v>0</v>
      </c>
    </row>
    <row r="1944" spans="1:48">
      <c r="A1944" s="1116" t="s">
        <v>2299</v>
      </c>
      <c r="C1944" s="1024"/>
      <c r="D1944" s="1024"/>
      <c r="F1944" s="2094">
        <v>1.37</v>
      </c>
      <c r="G1944" s="1111"/>
      <c r="H1944" s="1114"/>
      <c r="I1944" s="1114"/>
      <c r="K1944" s="2094">
        <v>1.42</v>
      </c>
      <c r="L1944" s="1111"/>
      <c r="M1944" s="2094"/>
      <c r="N1944" s="1111"/>
      <c r="O1944" s="2094"/>
      <c r="P1944" s="1111"/>
      <c r="Q1944" s="2094">
        <v>1.42</v>
      </c>
      <c r="R1944" s="1111"/>
      <c r="S1944" s="1114"/>
      <c r="T1944" s="1629"/>
      <c r="U1944" s="1114"/>
      <c r="V1944" s="1629"/>
      <c r="W1944" s="1114"/>
      <c r="X1944" s="1629"/>
      <c r="Y1944" s="1114"/>
      <c r="Z1944" s="2114">
        <f>C1944-'Blocking-Step2'!C1944</f>
        <v>0</v>
      </c>
      <c r="AA1944" s="2114">
        <f>D1944-'Blocking-Step2'!D1944</f>
        <v>0</v>
      </c>
      <c r="AC1944" s="2114">
        <f>F1944-'Blocking-Step2'!F1944</f>
        <v>0</v>
      </c>
      <c r="AE1944" s="2114">
        <f>H1944-'Blocking-Step2'!H1944</f>
        <v>0</v>
      </c>
      <c r="AF1944" s="2114">
        <f>I1944-'Blocking-Step2'!I1944</f>
        <v>0</v>
      </c>
      <c r="AH1944" s="2136">
        <f>K1944-'Blocking-Step2'!K1944</f>
        <v>0</v>
      </c>
      <c r="AJ1944" s="2136">
        <f>M1944-'Blocking-Step2'!M1944</f>
        <v>0</v>
      </c>
      <c r="AL1944" s="2136">
        <f>O1944-'Blocking-Step2'!O1944</f>
        <v>0</v>
      </c>
      <c r="AN1944" s="2137">
        <f>Q1944-'Blocking-Step2'!Q1944</f>
        <v>0</v>
      </c>
      <c r="AP1944" s="2127">
        <f>S1944-'Blocking-Step2'!S1944</f>
        <v>0</v>
      </c>
      <c r="AR1944" s="2127">
        <f>U1944-'Blocking-Step2'!U1944</f>
        <v>0</v>
      </c>
      <c r="AT1944" s="2127">
        <f>W1944-'Blocking-Step2'!W1944</f>
        <v>0</v>
      </c>
      <c r="AV1944" s="2128">
        <f>Y1944-'Blocking-Step2'!Y1944</f>
        <v>0</v>
      </c>
    </row>
    <row r="1945" spans="1:48">
      <c r="A1945" s="1116" t="s">
        <v>2300</v>
      </c>
      <c r="C1945" s="1024"/>
      <c r="D1945" s="1024"/>
      <c r="F1945" s="2095">
        <v>1.37</v>
      </c>
      <c r="G1945" s="1112"/>
      <c r="H1945" s="1114"/>
      <c r="I1945" s="1114"/>
      <c r="K1945" s="2094">
        <v>1.42</v>
      </c>
      <c r="L1945" s="1112"/>
      <c r="M1945" s="2095"/>
      <c r="N1945" s="1112"/>
      <c r="O1945" s="2095"/>
      <c r="P1945" s="1112"/>
      <c r="Q1945" s="2094">
        <v>1.42</v>
      </c>
      <c r="R1945" s="1112"/>
      <c r="S1945" s="1114"/>
      <c r="T1945" s="1114"/>
      <c r="U1945" s="1114"/>
      <c r="V1945" s="1114"/>
      <c r="W1945" s="1114"/>
      <c r="X1945" s="1114"/>
      <c r="Y1945" s="1114"/>
      <c r="Z1945" s="2114">
        <f>C1945-'Blocking-Step2'!C1945</f>
        <v>0</v>
      </c>
      <c r="AA1945" s="2114">
        <f>D1945-'Blocking-Step2'!D1945</f>
        <v>0</v>
      </c>
      <c r="AC1945" s="2114">
        <f>F1945-'Blocking-Step2'!F1945</f>
        <v>0</v>
      </c>
      <c r="AE1945" s="2114">
        <f>H1945-'Blocking-Step2'!H1945</f>
        <v>0</v>
      </c>
      <c r="AF1945" s="2114">
        <f>I1945-'Blocking-Step2'!I1945</f>
        <v>0</v>
      </c>
      <c r="AH1945" s="2136">
        <f>K1945-'Blocking-Step2'!K1945</f>
        <v>0</v>
      </c>
      <c r="AJ1945" s="2136">
        <f>M1945-'Blocking-Step2'!M1945</f>
        <v>0</v>
      </c>
      <c r="AL1945" s="2136">
        <f>O1945-'Blocking-Step2'!O1945</f>
        <v>0</v>
      </c>
      <c r="AN1945" s="2137">
        <f>Q1945-'Blocking-Step2'!Q1945</f>
        <v>0</v>
      </c>
      <c r="AP1945" s="2127">
        <f>S1945-'Blocking-Step2'!S1945</f>
        <v>0</v>
      </c>
      <c r="AR1945" s="2127">
        <f>U1945-'Blocking-Step2'!U1945</f>
        <v>0</v>
      </c>
      <c r="AT1945" s="2127">
        <f>W1945-'Blocking-Step2'!W1945</f>
        <v>0</v>
      </c>
      <c r="AV1945" s="2128">
        <f>Y1945-'Blocking-Step2'!Y1945</f>
        <v>0</v>
      </c>
    </row>
    <row r="1946" spans="1:48">
      <c r="A1946" s="1116" t="s">
        <v>2296</v>
      </c>
      <c r="C1946" s="1024"/>
      <c r="D1946" s="1024"/>
      <c r="F1946" s="2095"/>
      <c r="G1946" s="1112"/>
      <c r="H1946" s="1114"/>
      <c r="I1946" s="1114"/>
      <c r="K1946" s="2095"/>
      <c r="L1946" s="1112"/>
      <c r="M1946" s="2094"/>
      <c r="N1946" s="1111"/>
      <c r="O1946" s="2094"/>
      <c r="P1946" s="1112"/>
      <c r="Q1946" s="2094"/>
      <c r="R1946" s="1112"/>
      <c r="S1946" s="1114"/>
      <c r="T1946" s="1114"/>
      <c r="U1946" s="1114"/>
      <c r="V1946" s="1114"/>
      <c r="W1946" s="1114"/>
      <c r="X1946" s="1114"/>
      <c r="Y1946" s="1114"/>
      <c r="Z1946" s="2114">
        <f>C1946-'Blocking-Step2'!C1946</f>
        <v>0</v>
      </c>
      <c r="AA1946" s="2114">
        <f>D1946-'Blocking-Step2'!D1946</f>
        <v>0</v>
      </c>
      <c r="AC1946" s="2114">
        <f>F1946-'Blocking-Step2'!F1946</f>
        <v>0</v>
      </c>
      <c r="AE1946" s="2114">
        <f>H1946-'Blocking-Step2'!H1946</f>
        <v>0</v>
      </c>
      <c r="AF1946" s="2114">
        <f>I1946-'Blocking-Step2'!I1946</f>
        <v>0</v>
      </c>
      <c r="AH1946" s="2136">
        <f>K1946-'Blocking-Step2'!K1946</f>
        <v>0</v>
      </c>
      <c r="AJ1946" s="2136">
        <f>M1946-'Blocking-Step2'!M1946</f>
        <v>0</v>
      </c>
      <c r="AL1946" s="2136">
        <f>O1946-'Blocking-Step2'!O1946</f>
        <v>0</v>
      </c>
      <c r="AN1946" s="2137">
        <f>Q1946-'Blocking-Step2'!Q1946</f>
        <v>0</v>
      </c>
      <c r="AP1946" s="2127">
        <f>S1946-'Blocking-Step2'!S1946</f>
        <v>0</v>
      </c>
      <c r="AR1946" s="2127">
        <f>U1946-'Blocking-Step2'!U1946</f>
        <v>0</v>
      </c>
      <c r="AT1946" s="2127">
        <f>W1946-'Blocking-Step2'!W1946</f>
        <v>0</v>
      </c>
      <c r="AV1946" s="2128">
        <f>Y1946-'Blocking-Step2'!Y1946</f>
        <v>0</v>
      </c>
    </row>
    <row r="1947" spans="1:48">
      <c r="A1947" s="1116" t="s">
        <v>2298</v>
      </c>
      <c r="C1947" s="1024"/>
      <c r="D1947" s="1024"/>
      <c r="F1947" s="2095"/>
      <c r="G1947" s="1112"/>
      <c r="H1947" s="1114"/>
      <c r="I1947" s="1114"/>
      <c r="K1947" s="2095"/>
      <c r="L1947" s="1112"/>
      <c r="M1947" s="2094"/>
      <c r="N1947" s="1111"/>
      <c r="O1947" s="2094"/>
      <c r="P1947" s="1112"/>
      <c r="Q1947" s="2094"/>
      <c r="R1947" s="1112"/>
      <c r="S1947" s="1114"/>
      <c r="T1947" s="1114"/>
      <c r="U1947" s="1114"/>
      <c r="V1947" s="1114"/>
      <c r="W1947" s="1114"/>
      <c r="X1947" s="1114"/>
      <c r="Y1947" s="1114"/>
      <c r="Z1947" s="2114">
        <f>C1947-'Blocking-Step2'!C1947</f>
        <v>0</v>
      </c>
      <c r="AA1947" s="2114">
        <f>D1947-'Blocking-Step2'!D1947</f>
        <v>0</v>
      </c>
      <c r="AC1947" s="2114">
        <f>F1947-'Blocking-Step2'!F1947</f>
        <v>0</v>
      </c>
      <c r="AE1947" s="2114">
        <f>H1947-'Blocking-Step2'!H1947</f>
        <v>0</v>
      </c>
      <c r="AF1947" s="2114">
        <f>I1947-'Blocking-Step2'!I1947</f>
        <v>0</v>
      </c>
      <c r="AH1947" s="2136">
        <f>K1947-'Blocking-Step2'!K1947</f>
        <v>0</v>
      </c>
      <c r="AJ1947" s="2136">
        <f>M1947-'Blocking-Step2'!M1947</f>
        <v>0</v>
      </c>
      <c r="AL1947" s="2136">
        <f>O1947-'Blocking-Step2'!O1947</f>
        <v>0</v>
      </c>
      <c r="AN1947" s="2137">
        <f>Q1947-'Blocking-Step2'!Q1947</f>
        <v>0</v>
      </c>
      <c r="AP1947" s="2127">
        <f>S1947-'Blocking-Step2'!S1947</f>
        <v>0</v>
      </c>
      <c r="AR1947" s="2127">
        <f>U1947-'Blocking-Step2'!U1947</f>
        <v>0</v>
      </c>
      <c r="AT1947" s="2127">
        <f>W1947-'Blocking-Step2'!W1947</f>
        <v>0</v>
      </c>
      <c r="AV1947" s="2128">
        <f>Y1947-'Blocking-Step2'!Y1947</f>
        <v>0</v>
      </c>
    </row>
    <row r="1948" spans="1:48">
      <c r="A1948" s="1116" t="s">
        <v>2301</v>
      </c>
      <c r="B1948" s="1116"/>
      <c r="C1948" s="2096"/>
      <c r="D1948" s="1024"/>
      <c r="E1948" s="2096"/>
      <c r="F1948" s="2094">
        <v>8.16</v>
      </c>
      <c r="G1948" s="2096"/>
      <c r="H1948" s="2096"/>
      <c r="I1948" s="2096"/>
      <c r="J1948" s="2096"/>
      <c r="K1948" s="2094">
        <v>0</v>
      </c>
      <c r="L1948" s="2096"/>
      <c r="M1948" s="2094">
        <v>8.4600000000000009</v>
      </c>
      <c r="N1948" s="2094"/>
      <c r="O1948" s="2094">
        <v>0</v>
      </c>
      <c r="P1948" s="2096"/>
      <c r="Q1948" s="2094">
        <v>8.4600000000000009</v>
      </c>
      <c r="R1948" s="2096"/>
      <c r="S1948" s="1114"/>
      <c r="T1948" s="1629"/>
      <c r="U1948" s="1114"/>
      <c r="V1948" s="1629"/>
      <c r="W1948" s="1114"/>
      <c r="X1948" s="1629"/>
      <c r="Y1948" s="1114"/>
      <c r="Z1948" s="2114">
        <f>C1948-'Blocking-Step2'!C1948</f>
        <v>0</v>
      </c>
      <c r="AA1948" s="2114">
        <f>D1948-'Blocking-Step2'!D1948</f>
        <v>0</v>
      </c>
      <c r="AC1948" s="2114">
        <f>F1948-'Blocking-Step2'!F1948</f>
        <v>0</v>
      </c>
      <c r="AE1948" s="2114">
        <f>H1948-'Blocking-Step2'!H1948</f>
        <v>0</v>
      </c>
      <c r="AF1948" s="2114">
        <f>I1948-'Blocking-Step2'!I1948</f>
        <v>0</v>
      </c>
      <c r="AH1948" s="2136">
        <f>K1948-'Blocking-Step2'!K1948</f>
        <v>-3.86</v>
      </c>
      <c r="AJ1948" s="2136">
        <f>M1948-'Blocking-Step2'!M1948</f>
        <v>3.8600000000000012</v>
      </c>
      <c r="AL1948" s="2136">
        <f>O1948-'Blocking-Step2'!O1948</f>
        <v>0</v>
      </c>
      <c r="AN1948" s="2137">
        <f>Q1948-'Blocking-Step2'!Q1948</f>
        <v>0</v>
      </c>
      <c r="AP1948" s="2127">
        <f>S1948-'Blocking-Step2'!S1948</f>
        <v>0</v>
      </c>
      <c r="AR1948" s="2127">
        <f>U1948-'Blocking-Step2'!U1948</f>
        <v>0</v>
      </c>
      <c r="AT1948" s="2127">
        <f>W1948-'Blocking-Step2'!W1948</f>
        <v>0</v>
      </c>
      <c r="AV1948" s="2128">
        <f>Y1948-'Blocking-Step2'!Y1948</f>
        <v>0</v>
      </c>
    </row>
    <row r="1949" spans="1:48">
      <c r="A1949" s="1116" t="s">
        <v>2302</v>
      </c>
      <c r="C1949" s="1024"/>
      <c r="D1949" s="1024"/>
      <c r="F1949" s="2094">
        <v>5.86</v>
      </c>
      <c r="G1949" s="1110"/>
      <c r="H1949" s="1114"/>
      <c r="I1949" s="1114"/>
      <c r="K1949" s="2094">
        <v>0</v>
      </c>
      <c r="L1949" s="1112"/>
      <c r="M1949" s="2094">
        <v>6.08</v>
      </c>
      <c r="N1949" s="2094"/>
      <c r="O1949" s="2094">
        <v>0</v>
      </c>
      <c r="P1949" s="1110"/>
      <c r="Q1949" s="2094">
        <v>6.08</v>
      </c>
      <c r="R1949" s="1110"/>
      <c r="S1949" s="1114"/>
      <c r="T1949" s="1629"/>
      <c r="U1949" s="1114"/>
      <c r="V1949" s="1629"/>
      <c r="W1949" s="1114"/>
      <c r="X1949" s="1629"/>
      <c r="Y1949" s="1114"/>
      <c r="Z1949" s="2114">
        <f>C1949-'Blocking-Step2'!C1949</f>
        <v>0</v>
      </c>
      <c r="AA1949" s="2114">
        <f>D1949-'Blocking-Step2'!D1949</f>
        <v>0</v>
      </c>
      <c r="AC1949" s="2114">
        <f>F1949-'Blocking-Step2'!F1949</f>
        <v>0</v>
      </c>
      <c r="AE1949" s="2114">
        <f>H1949-'Blocking-Step2'!H1949</f>
        <v>0</v>
      </c>
      <c r="AF1949" s="2114">
        <f>I1949-'Blocking-Step2'!I1949</f>
        <v>0</v>
      </c>
      <c r="AH1949" s="2136">
        <f>K1949-'Blocking-Step2'!K1949</f>
        <v>-2.78</v>
      </c>
      <c r="AJ1949" s="2136">
        <f>M1949-'Blocking-Step2'!M1949</f>
        <v>2.7800000000000002</v>
      </c>
      <c r="AL1949" s="2136">
        <f>O1949-'Blocking-Step2'!O1949</f>
        <v>0</v>
      </c>
      <c r="AN1949" s="2137">
        <f>Q1949-'Blocking-Step2'!Q1949</f>
        <v>0</v>
      </c>
      <c r="AP1949" s="2127">
        <f>S1949-'Blocking-Step2'!S1949</f>
        <v>0</v>
      </c>
      <c r="AR1949" s="2127">
        <f>U1949-'Blocking-Step2'!U1949</f>
        <v>0</v>
      </c>
      <c r="AT1949" s="2127">
        <f>W1949-'Blocking-Step2'!W1949</f>
        <v>0</v>
      </c>
      <c r="AV1949" s="2128">
        <f>Y1949-'Blocking-Step2'!Y1949</f>
        <v>0</v>
      </c>
    </row>
    <row r="1950" spans="1:48">
      <c r="A1950" s="1116" t="s">
        <v>2299</v>
      </c>
      <c r="C1950" s="1024"/>
      <c r="D1950" s="1024"/>
      <c r="F1950" s="2094"/>
      <c r="G1950" s="1110"/>
      <c r="H1950" s="1114"/>
      <c r="I1950" s="1114"/>
      <c r="K1950" s="2094"/>
      <c r="L1950" s="1112"/>
      <c r="M1950" s="2094"/>
      <c r="N1950" s="2094"/>
      <c r="O1950" s="2094"/>
      <c r="P1950" s="1110"/>
      <c r="Q1950" s="2094"/>
      <c r="R1950" s="1110"/>
      <c r="S1950" s="1114"/>
      <c r="T1950" s="1629"/>
      <c r="U1950" s="1114"/>
      <c r="V1950" s="1629"/>
      <c r="W1950" s="1114"/>
      <c r="X1950" s="1629"/>
      <c r="Y1950" s="1114"/>
      <c r="Z1950" s="2114">
        <f>C1950-'Blocking-Step2'!C1950</f>
        <v>0</v>
      </c>
      <c r="AA1950" s="2114">
        <f>D1950-'Blocking-Step2'!D1950</f>
        <v>0</v>
      </c>
      <c r="AC1950" s="2114">
        <f>F1950-'Blocking-Step2'!F1950</f>
        <v>0</v>
      </c>
      <c r="AE1950" s="2114">
        <f>H1950-'Blocking-Step2'!H1950</f>
        <v>0</v>
      </c>
      <c r="AF1950" s="2114">
        <f>I1950-'Blocking-Step2'!I1950</f>
        <v>0</v>
      </c>
      <c r="AH1950" s="2136">
        <f>K1950-'Blocking-Step2'!K1950</f>
        <v>0</v>
      </c>
      <c r="AJ1950" s="2136">
        <f>M1950-'Blocking-Step2'!M1950</f>
        <v>0</v>
      </c>
      <c r="AL1950" s="2136">
        <f>O1950-'Blocking-Step2'!O1950</f>
        <v>0</v>
      </c>
      <c r="AN1950" s="2137">
        <f>Q1950-'Blocking-Step2'!Q1950</f>
        <v>0</v>
      </c>
      <c r="AP1950" s="2127">
        <f>S1950-'Blocking-Step2'!S1950</f>
        <v>0</v>
      </c>
      <c r="AR1950" s="2127">
        <f>U1950-'Blocking-Step2'!U1950</f>
        <v>0</v>
      </c>
      <c r="AT1950" s="2127">
        <f>W1950-'Blocking-Step2'!W1950</f>
        <v>0</v>
      </c>
      <c r="AV1950" s="2128">
        <f>Y1950-'Blocking-Step2'!Y1950</f>
        <v>0</v>
      </c>
    </row>
    <row r="1951" spans="1:48">
      <c r="A1951" s="1116" t="s">
        <v>2301</v>
      </c>
      <c r="C1951" s="1024"/>
      <c r="D1951" s="1024"/>
      <c r="F1951" s="2094">
        <v>8.0500000000000007</v>
      </c>
      <c r="G1951" s="1111"/>
      <c r="H1951" s="1114"/>
      <c r="I1951" s="1114"/>
      <c r="K1951" s="2094">
        <v>0</v>
      </c>
      <c r="L1951" s="1111"/>
      <c r="M1951" s="2094">
        <v>8.35</v>
      </c>
      <c r="N1951" s="2094"/>
      <c r="O1951" s="2094">
        <v>0</v>
      </c>
      <c r="P1951" s="1111"/>
      <c r="Q1951" s="2094">
        <v>8.35</v>
      </c>
      <c r="R1951" s="1111"/>
      <c r="S1951" s="1114"/>
      <c r="T1951" s="1629"/>
      <c r="U1951" s="1114"/>
      <c r="V1951" s="1629"/>
      <c r="W1951" s="1114"/>
      <c r="X1951" s="1629"/>
      <c r="Y1951" s="1114"/>
      <c r="Z1951" s="2114">
        <f>C1951-'Blocking-Step2'!C1951</f>
        <v>0</v>
      </c>
      <c r="AA1951" s="2114">
        <f>D1951-'Blocking-Step2'!D1951</f>
        <v>0</v>
      </c>
      <c r="AC1951" s="2114">
        <f>F1951-'Blocking-Step2'!F1951</f>
        <v>0</v>
      </c>
      <c r="AE1951" s="2114">
        <f>H1951-'Blocking-Step2'!H1951</f>
        <v>0</v>
      </c>
      <c r="AF1951" s="2114">
        <f>I1951-'Blocking-Step2'!I1951</f>
        <v>0</v>
      </c>
      <c r="AH1951" s="2136">
        <f>K1951-'Blocking-Step2'!K1951</f>
        <v>-3.81</v>
      </c>
      <c r="AJ1951" s="2136">
        <f>M1951-'Blocking-Step2'!M1951</f>
        <v>3.8099999999999996</v>
      </c>
      <c r="AL1951" s="2136">
        <f>O1951-'Blocking-Step2'!O1951</f>
        <v>0</v>
      </c>
      <c r="AN1951" s="2137">
        <f>Q1951-'Blocking-Step2'!Q1951</f>
        <v>0</v>
      </c>
      <c r="AP1951" s="2127">
        <f>S1951-'Blocking-Step2'!S1951</f>
        <v>0</v>
      </c>
      <c r="AR1951" s="2127">
        <f>U1951-'Blocking-Step2'!U1951</f>
        <v>0</v>
      </c>
      <c r="AT1951" s="2127">
        <f>W1951-'Blocking-Step2'!W1951</f>
        <v>0</v>
      </c>
      <c r="AV1951" s="2128">
        <f>Y1951-'Blocking-Step2'!Y1951</f>
        <v>0</v>
      </c>
    </row>
    <row r="1952" spans="1:48">
      <c r="A1952" s="1116" t="s">
        <v>2302</v>
      </c>
      <c r="C1952" s="1024"/>
      <c r="D1952" s="1024"/>
      <c r="F1952" s="2094">
        <v>5.61</v>
      </c>
      <c r="G1952" s="1111"/>
      <c r="H1952" s="1114"/>
      <c r="I1952" s="1114"/>
      <c r="K1952" s="2094">
        <v>0</v>
      </c>
      <c r="L1952" s="1111"/>
      <c r="M1952" s="2094">
        <v>5.82</v>
      </c>
      <c r="N1952" s="2094"/>
      <c r="O1952" s="2094">
        <v>0</v>
      </c>
      <c r="P1952" s="1111"/>
      <c r="Q1952" s="2094">
        <v>5.82</v>
      </c>
      <c r="R1952" s="1111"/>
      <c r="S1952" s="1114"/>
      <c r="T1952" s="1629"/>
      <c r="U1952" s="1114"/>
      <c r="V1952" s="1629"/>
      <c r="W1952" s="1114"/>
      <c r="X1952" s="1629"/>
      <c r="Y1952" s="1114"/>
      <c r="Z1952" s="2114">
        <f>C1952-'Blocking-Step2'!C1952</f>
        <v>0</v>
      </c>
      <c r="AA1952" s="2114">
        <f>D1952-'Blocking-Step2'!D1952</f>
        <v>0</v>
      </c>
      <c r="AC1952" s="2114">
        <f>F1952-'Blocking-Step2'!F1952</f>
        <v>0</v>
      </c>
      <c r="AE1952" s="2114">
        <f>H1952-'Blocking-Step2'!H1952</f>
        <v>0</v>
      </c>
      <c r="AF1952" s="2114">
        <f>I1952-'Blocking-Step2'!I1952</f>
        <v>0</v>
      </c>
      <c r="AH1952" s="2136">
        <f>K1952-'Blocking-Step2'!K1952</f>
        <v>-2.66</v>
      </c>
      <c r="AJ1952" s="2136">
        <f>M1952-'Blocking-Step2'!M1952</f>
        <v>2.66</v>
      </c>
      <c r="AL1952" s="2136">
        <f>O1952-'Blocking-Step2'!O1952</f>
        <v>0</v>
      </c>
      <c r="AN1952" s="2137">
        <f>Q1952-'Blocking-Step2'!Q1952</f>
        <v>0</v>
      </c>
      <c r="AP1952" s="2127">
        <f>S1952-'Blocking-Step2'!S1952</f>
        <v>0</v>
      </c>
      <c r="AR1952" s="2127">
        <f>U1952-'Blocking-Step2'!U1952</f>
        <v>0</v>
      </c>
      <c r="AT1952" s="2127">
        <f>W1952-'Blocking-Step2'!W1952</f>
        <v>0</v>
      </c>
      <c r="AV1952" s="2128">
        <f>Y1952-'Blocking-Step2'!Y1952</f>
        <v>0</v>
      </c>
    </row>
    <row r="1953" spans="1:48">
      <c r="A1953" s="1116" t="s">
        <v>2303</v>
      </c>
      <c r="C1953" s="1024"/>
      <c r="D1953" s="1024"/>
      <c r="F1953" s="2094"/>
      <c r="G1953" s="1111"/>
      <c r="H1953" s="1114"/>
      <c r="I1953" s="1114"/>
      <c r="K1953" s="2094"/>
      <c r="L1953" s="1111"/>
      <c r="M1953" s="2094"/>
      <c r="N1953" s="2094"/>
      <c r="O1953" s="2094"/>
      <c r="P1953" s="1111"/>
      <c r="Q1953" s="2094"/>
      <c r="R1953" s="1111"/>
      <c r="S1953" s="1114"/>
      <c r="T1953" s="1629"/>
      <c r="U1953" s="1114"/>
      <c r="V1953" s="1629"/>
      <c r="W1953" s="1114"/>
      <c r="X1953" s="1629"/>
      <c r="Y1953" s="1114"/>
      <c r="Z1953" s="2114">
        <f>C1953-'Blocking-Step2'!C1953</f>
        <v>0</v>
      </c>
      <c r="AA1953" s="2114">
        <f>D1953-'Blocking-Step2'!D1953</f>
        <v>0</v>
      </c>
      <c r="AC1953" s="2114">
        <f>F1953-'Blocking-Step2'!F1953</f>
        <v>0</v>
      </c>
      <c r="AE1953" s="2114">
        <f>H1953-'Blocking-Step2'!H1953</f>
        <v>0</v>
      </c>
      <c r="AF1953" s="2114">
        <f>I1953-'Blocking-Step2'!I1953</f>
        <v>0</v>
      </c>
      <c r="AH1953" s="2136">
        <f>K1953-'Blocking-Step2'!K1953</f>
        <v>0</v>
      </c>
      <c r="AJ1953" s="2136">
        <f>M1953-'Blocking-Step2'!M1953</f>
        <v>0</v>
      </c>
      <c r="AL1953" s="2136">
        <f>O1953-'Blocking-Step2'!O1953</f>
        <v>0</v>
      </c>
      <c r="AN1953" s="2137">
        <f>Q1953-'Blocking-Step2'!Q1953</f>
        <v>0</v>
      </c>
      <c r="AP1953" s="2127">
        <f>S1953-'Blocking-Step2'!S1953</f>
        <v>0</v>
      </c>
      <c r="AR1953" s="2127">
        <f>U1953-'Blocking-Step2'!U1953</f>
        <v>0</v>
      </c>
      <c r="AT1953" s="2127">
        <f>W1953-'Blocking-Step2'!W1953</f>
        <v>0</v>
      </c>
      <c r="AV1953" s="2128">
        <f>Y1953-'Blocking-Step2'!Y1953</f>
        <v>0</v>
      </c>
    </row>
    <row r="1954" spans="1:48">
      <c r="A1954" s="1116" t="s">
        <v>2301</v>
      </c>
      <c r="C1954" s="1024"/>
      <c r="D1954" s="1024"/>
      <c r="F1954" s="2095">
        <v>7.83</v>
      </c>
      <c r="G1954" s="1112"/>
      <c r="H1954" s="1114"/>
      <c r="I1954" s="1114"/>
      <c r="K1954" s="2094"/>
      <c r="L1954" s="1112"/>
      <c r="M1954" s="2094">
        <v>8.1199999999999992</v>
      </c>
      <c r="N1954" s="2094"/>
      <c r="O1954" s="2094">
        <v>0</v>
      </c>
      <c r="P1954" s="1112"/>
      <c r="Q1954" s="2094">
        <v>8.1199999999999992</v>
      </c>
      <c r="R1954" s="1112"/>
      <c r="S1954" s="1114"/>
      <c r="T1954" s="1114"/>
      <c r="U1954" s="1114"/>
      <c r="V1954" s="1114"/>
      <c r="W1954" s="1114"/>
      <c r="X1954" s="1114"/>
      <c r="Y1954" s="1114"/>
      <c r="Z1954" s="2114">
        <f>C1954-'Blocking-Step2'!C1954</f>
        <v>0</v>
      </c>
      <c r="AA1954" s="2114">
        <f>D1954-'Blocking-Step2'!D1954</f>
        <v>0</v>
      </c>
      <c r="AC1954" s="2114">
        <f>F1954-'Blocking-Step2'!F1954</f>
        <v>0</v>
      </c>
      <c r="AE1954" s="2114">
        <f>H1954-'Blocking-Step2'!H1954</f>
        <v>0</v>
      </c>
      <c r="AF1954" s="2114">
        <f>I1954-'Blocking-Step2'!I1954</f>
        <v>0</v>
      </c>
      <c r="AH1954" s="2136">
        <f>K1954-'Blocking-Step2'!K1954</f>
        <v>-2.69</v>
      </c>
      <c r="AJ1954" s="2136">
        <f>M1954-'Blocking-Step2'!M1954</f>
        <v>2.6899999999999995</v>
      </c>
      <c r="AL1954" s="2136">
        <f>O1954-'Blocking-Step2'!O1954</f>
        <v>0</v>
      </c>
      <c r="AN1954" s="2137">
        <f>Q1954-'Blocking-Step2'!Q1954</f>
        <v>0</v>
      </c>
      <c r="AP1954" s="2127">
        <f>S1954-'Blocking-Step2'!S1954</f>
        <v>0</v>
      </c>
      <c r="AR1954" s="2127">
        <f>U1954-'Blocking-Step2'!U1954</f>
        <v>0</v>
      </c>
      <c r="AT1954" s="2127">
        <f>W1954-'Blocking-Step2'!W1954</f>
        <v>0</v>
      </c>
      <c r="AV1954" s="2128">
        <f>Y1954-'Blocking-Step2'!Y1954</f>
        <v>0</v>
      </c>
    </row>
    <row r="1955" spans="1:48">
      <c r="A1955" s="1116" t="s">
        <v>2302</v>
      </c>
      <c r="C1955" s="1024"/>
      <c r="D1955" s="1024"/>
      <c r="F1955" s="2095">
        <v>5.31</v>
      </c>
      <c r="G1955" s="1112"/>
      <c r="H1955" s="1114"/>
      <c r="I1955" s="1114"/>
      <c r="K1955" s="2094"/>
      <c r="L1955" s="1112"/>
      <c r="M1955" s="2094">
        <v>5.51</v>
      </c>
      <c r="N1955" s="2094"/>
      <c r="O1955" s="2094">
        <v>0</v>
      </c>
      <c r="P1955" s="1112"/>
      <c r="Q1955" s="2094">
        <v>5.51</v>
      </c>
      <c r="R1955" s="1112"/>
      <c r="S1955" s="1114"/>
      <c r="T1955" s="1114"/>
      <c r="U1955" s="1114"/>
      <c r="V1955" s="1114"/>
      <c r="W1955" s="1114"/>
      <c r="X1955" s="1114"/>
      <c r="Y1955" s="1114"/>
      <c r="Z1955" s="2114">
        <f>C1955-'Blocking-Step2'!C1955</f>
        <v>0</v>
      </c>
      <c r="AA1955" s="2114">
        <f>D1955-'Blocking-Step2'!D1955</f>
        <v>0</v>
      </c>
      <c r="AC1955" s="2114">
        <f>F1955-'Blocking-Step2'!F1955</f>
        <v>0</v>
      </c>
      <c r="AE1955" s="2114">
        <f>H1955-'Blocking-Step2'!H1955</f>
        <v>0</v>
      </c>
      <c r="AF1955" s="2114">
        <f>I1955-'Blocking-Step2'!I1955</f>
        <v>0</v>
      </c>
      <c r="AH1955" s="2136">
        <f>K1955-'Blocking-Step2'!K1955</f>
        <v>-1.83</v>
      </c>
      <c r="AJ1955" s="2136">
        <f>M1955-'Blocking-Step2'!M1955</f>
        <v>1.8299999999999996</v>
      </c>
      <c r="AL1955" s="2136">
        <f>O1955-'Blocking-Step2'!O1955</f>
        <v>0</v>
      </c>
      <c r="AN1955" s="2137">
        <f>Q1955-'Blocking-Step2'!Q1955</f>
        <v>0</v>
      </c>
      <c r="AP1955" s="2127">
        <f>S1955-'Blocking-Step2'!S1955</f>
        <v>0</v>
      </c>
      <c r="AR1955" s="2127">
        <f>U1955-'Blocking-Step2'!U1955</f>
        <v>0</v>
      </c>
      <c r="AT1955" s="2127">
        <f>W1955-'Blocking-Step2'!W1955</f>
        <v>0</v>
      </c>
      <c r="AV1955" s="2128">
        <f>Y1955-'Blocking-Step2'!Y1955</f>
        <v>0</v>
      </c>
    </row>
    <row r="1956" spans="1:48">
      <c r="A1956" s="1116" t="s">
        <v>1141</v>
      </c>
      <c r="C1956" s="1024"/>
      <c r="D1956" s="1024"/>
      <c r="F1956" s="2095"/>
      <c r="G1956" s="1112"/>
      <c r="H1956" s="1114"/>
      <c r="I1956" s="1114"/>
      <c r="K1956" s="2095"/>
      <c r="L1956" s="1112"/>
      <c r="M1956" s="2095"/>
      <c r="N1956" s="1112"/>
      <c r="O1956" s="2095"/>
      <c r="P1956" s="1112"/>
      <c r="Q1956" s="2095"/>
      <c r="R1956" s="1112"/>
      <c r="S1956" s="1114"/>
      <c r="T1956" s="1114"/>
      <c r="U1956" s="1114"/>
      <c r="V1956" s="1114"/>
      <c r="W1956" s="1114"/>
      <c r="X1956" s="1114"/>
      <c r="Y1956" s="1114"/>
      <c r="Z1956" s="2114">
        <f>C1956-'Blocking-Step2'!C1956</f>
        <v>0</v>
      </c>
      <c r="AA1956" s="2114">
        <f>D1956-'Blocking-Step2'!D1956</f>
        <v>0</v>
      </c>
      <c r="AC1956" s="2114">
        <f>F1956-'Blocking-Step2'!F1956</f>
        <v>0</v>
      </c>
      <c r="AE1956" s="2114">
        <f>H1956-'Blocking-Step2'!H1956</f>
        <v>0</v>
      </c>
      <c r="AF1956" s="2114">
        <f>I1956-'Blocking-Step2'!I1956</f>
        <v>0</v>
      </c>
      <c r="AH1956" s="2136">
        <f>K1956-'Blocking-Step2'!K1956</f>
        <v>0</v>
      </c>
      <c r="AJ1956" s="2136">
        <f>M1956-'Blocking-Step2'!M1956</f>
        <v>0</v>
      </c>
      <c r="AL1956" s="2136">
        <f>O1956-'Blocking-Step2'!O1956</f>
        <v>0</v>
      </c>
      <c r="AN1956" s="2137">
        <f>Q1956-'Blocking-Step2'!Q1956</f>
        <v>0</v>
      </c>
      <c r="AP1956" s="2127">
        <f>S1956-'Blocking-Step2'!S1956</f>
        <v>0</v>
      </c>
      <c r="AR1956" s="2127">
        <f>U1956-'Blocking-Step2'!U1956</f>
        <v>0</v>
      </c>
      <c r="AT1956" s="2127">
        <f>W1956-'Blocking-Step2'!W1956</f>
        <v>0</v>
      </c>
      <c r="AV1956" s="2128">
        <f>Y1956-'Blocking-Step2'!Y1956</f>
        <v>0</v>
      </c>
    </row>
    <row r="1957" spans="1:48">
      <c r="A1957" s="1116" t="s">
        <v>2298</v>
      </c>
      <c r="C1957" s="1024"/>
      <c r="D1957" s="1024"/>
      <c r="F1957" s="2094"/>
      <c r="G1957" s="1110"/>
      <c r="H1957" s="1114"/>
      <c r="I1957" s="1114"/>
      <c r="K1957" s="2094"/>
      <c r="L1957" s="1110"/>
      <c r="M1957" s="2094"/>
      <c r="N1957" s="1110"/>
      <c r="O1957" s="2094"/>
      <c r="P1957" s="1110"/>
      <c r="Q1957" s="2094"/>
      <c r="R1957" s="1110"/>
      <c r="S1957" s="1114"/>
      <c r="T1957" s="1629"/>
      <c r="U1957" s="1114"/>
      <c r="V1957" s="1629"/>
      <c r="W1957" s="1114"/>
      <c r="X1957" s="1629"/>
      <c r="Y1957" s="1114"/>
      <c r="Z1957" s="2114">
        <f>C1957-'Blocking-Step2'!C1957</f>
        <v>0</v>
      </c>
      <c r="AA1957" s="2114">
        <f>D1957-'Blocking-Step2'!D1957</f>
        <v>0</v>
      </c>
      <c r="AC1957" s="2114">
        <f>F1957-'Blocking-Step2'!F1957</f>
        <v>0</v>
      </c>
      <c r="AE1957" s="2114">
        <f>H1957-'Blocking-Step2'!H1957</f>
        <v>0</v>
      </c>
      <c r="AF1957" s="2114">
        <f>I1957-'Blocking-Step2'!I1957</f>
        <v>0</v>
      </c>
      <c r="AH1957" s="2136">
        <f>K1957-'Blocking-Step2'!K1957</f>
        <v>0</v>
      </c>
      <c r="AJ1957" s="2136">
        <f>M1957-'Blocking-Step2'!M1957</f>
        <v>0</v>
      </c>
      <c r="AL1957" s="2136">
        <f>O1957-'Blocking-Step2'!O1957</f>
        <v>0</v>
      </c>
      <c r="AN1957" s="2137">
        <f>Q1957-'Blocking-Step2'!Q1957</f>
        <v>0</v>
      </c>
      <c r="AP1957" s="2127">
        <f>S1957-'Blocking-Step2'!S1957</f>
        <v>0</v>
      </c>
      <c r="AR1957" s="2127">
        <f>U1957-'Blocking-Step2'!U1957</f>
        <v>0</v>
      </c>
      <c r="AT1957" s="2127">
        <f>W1957-'Blocking-Step2'!W1957</f>
        <v>0</v>
      </c>
      <c r="AV1957" s="2128">
        <f>Y1957-'Blocking-Step2'!Y1957</f>
        <v>0</v>
      </c>
    </row>
    <row r="1958" spans="1:48">
      <c r="A1958" s="1116" t="s">
        <v>2304</v>
      </c>
      <c r="C1958" s="1024"/>
      <c r="D1958" s="1113"/>
      <c r="F1958" s="2097">
        <v>9.2314000000000007</v>
      </c>
      <c r="G1958" s="1921" t="s">
        <v>495</v>
      </c>
      <c r="H1958" s="1114"/>
      <c r="I1958" s="1114"/>
      <c r="K1958" s="2094"/>
      <c r="L1958" s="1110"/>
      <c r="M1958" s="2097">
        <v>2.31</v>
      </c>
      <c r="N1958" s="1921" t="s">
        <v>495</v>
      </c>
      <c r="O1958" s="2097">
        <v>7.2642999999999986</v>
      </c>
      <c r="P1958" s="1921" t="s">
        <v>495</v>
      </c>
      <c r="Q1958" s="2097">
        <v>9.5742999999999991</v>
      </c>
      <c r="R1958" s="1921" t="s">
        <v>495</v>
      </c>
      <c r="S1958" s="1114"/>
      <c r="T1958" s="1629"/>
      <c r="U1958" s="1114"/>
      <c r="V1958" s="1629"/>
      <c r="W1958" s="1114"/>
      <c r="X1958" s="1629"/>
      <c r="Y1958" s="1114"/>
      <c r="Z1958" s="2114">
        <f>C1958-'Blocking-Step2'!C1958</f>
        <v>0</v>
      </c>
      <c r="AA1958" s="2114">
        <f>D1958-'Blocking-Step2'!D1958</f>
        <v>0</v>
      </c>
      <c r="AC1958" s="2114">
        <f>F1958-'Blocking-Step2'!F1958</f>
        <v>0</v>
      </c>
      <c r="AE1958" s="2114">
        <f>H1958-'Blocking-Step2'!H1958</f>
        <v>0</v>
      </c>
      <c r="AF1958" s="2114">
        <f>I1958-'Blocking-Step2'!I1958</f>
        <v>0</v>
      </c>
      <c r="AH1958" s="2136">
        <f>K1958-'Blocking-Step2'!K1958</f>
        <v>0</v>
      </c>
      <c r="AJ1958" s="2136">
        <f>M1958-'Blocking-Step2'!M1958</f>
        <v>0</v>
      </c>
      <c r="AL1958" s="2136">
        <f>O1958-'Blocking-Step2'!O1958</f>
        <v>0</v>
      </c>
      <c r="AN1958" s="2137">
        <f>Q1958-'Blocking-Step2'!Q1958</f>
        <v>0</v>
      </c>
      <c r="AP1958" s="2127">
        <f>S1958-'Blocking-Step2'!S1958</f>
        <v>0</v>
      </c>
      <c r="AR1958" s="2127">
        <f>U1958-'Blocking-Step2'!U1958</f>
        <v>0</v>
      </c>
      <c r="AT1958" s="2127">
        <f>W1958-'Blocking-Step2'!W1958</f>
        <v>0</v>
      </c>
      <c r="AV1958" s="2128">
        <f>Y1958-'Blocking-Step2'!Y1958</f>
        <v>0</v>
      </c>
    </row>
    <row r="1959" spans="1:48">
      <c r="A1959" s="1116" t="s">
        <v>2305</v>
      </c>
      <c r="C1959" s="1024"/>
      <c r="D1959" s="1113"/>
      <c r="F1959" s="2097">
        <v>5.077</v>
      </c>
      <c r="G1959" s="1921" t="s">
        <v>495</v>
      </c>
      <c r="H1959" s="1114"/>
      <c r="I1959" s="1114"/>
      <c r="K1959" s="2094"/>
      <c r="L1959" s="1110"/>
      <c r="M1959" s="2097">
        <v>2.31</v>
      </c>
      <c r="N1959" s="1921" t="s">
        <v>495</v>
      </c>
      <c r="O1959" s="2097">
        <v>2.9556</v>
      </c>
      <c r="P1959" s="1921" t="s">
        <v>495</v>
      </c>
      <c r="Q1959" s="2097">
        <v>5.2656000000000001</v>
      </c>
      <c r="R1959" s="1921" t="s">
        <v>495</v>
      </c>
      <c r="S1959" s="1114"/>
      <c r="T1959" s="1629"/>
      <c r="U1959" s="1114"/>
      <c r="V1959" s="1629"/>
      <c r="W1959" s="1114"/>
      <c r="X1959" s="1629"/>
      <c r="Y1959" s="1114"/>
      <c r="Z1959" s="2114">
        <f>C1959-'Blocking-Step2'!C1959</f>
        <v>0</v>
      </c>
      <c r="AA1959" s="2114">
        <f>D1959-'Blocking-Step2'!D1959</f>
        <v>0</v>
      </c>
      <c r="AC1959" s="2114">
        <f>F1959-'Blocking-Step2'!F1959</f>
        <v>0</v>
      </c>
      <c r="AE1959" s="2114">
        <f>H1959-'Blocking-Step2'!H1959</f>
        <v>0</v>
      </c>
      <c r="AF1959" s="2114">
        <f>I1959-'Blocking-Step2'!I1959</f>
        <v>0</v>
      </c>
      <c r="AH1959" s="2136">
        <f>K1959-'Blocking-Step2'!K1959</f>
        <v>0</v>
      </c>
      <c r="AJ1959" s="2136">
        <f>M1959-'Blocking-Step2'!M1959</f>
        <v>0</v>
      </c>
      <c r="AL1959" s="2136">
        <f>O1959-'Blocking-Step2'!O1959</f>
        <v>0</v>
      </c>
      <c r="AN1959" s="2137">
        <f>Q1959-'Blocking-Step2'!Q1959</f>
        <v>0</v>
      </c>
      <c r="AP1959" s="2127">
        <f>S1959-'Blocking-Step2'!S1959</f>
        <v>0</v>
      </c>
      <c r="AR1959" s="2127">
        <f>U1959-'Blocking-Step2'!U1959</f>
        <v>0</v>
      </c>
      <c r="AT1959" s="2127">
        <f>W1959-'Blocking-Step2'!W1959</f>
        <v>0</v>
      </c>
      <c r="AV1959" s="2128">
        <f>Y1959-'Blocking-Step2'!Y1959</f>
        <v>0</v>
      </c>
    </row>
    <row r="1960" spans="1:48">
      <c r="A1960" s="1116" t="s">
        <v>2307</v>
      </c>
      <c r="C1960" s="1117"/>
      <c r="D1960" s="1113"/>
      <c r="F1960" s="2098">
        <v>4.1108000000000002</v>
      </c>
      <c r="G1960" s="1921" t="s">
        <v>495</v>
      </c>
      <c r="H1960" s="1114"/>
      <c r="I1960" s="1114"/>
      <c r="K1960" s="1107"/>
      <c r="L1960" s="1107"/>
      <c r="M1960" s="2097">
        <v>2.31</v>
      </c>
      <c r="N1960" s="1921" t="s">
        <v>495</v>
      </c>
      <c r="O1960" s="2097">
        <v>1.9534999999999996</v>
      </c>
      <c r="P1960" s="1921" t="s">
        <v>495</v>
      </c>
      <c r="Q1960" s="2097">
        <v>4.2634999999999996</v>
      </c>
      <c r="R1960" s="1921" t="s">
        <v>495</v>
      </c>
      <c r="S1960" s="1114"/>
      <c r="T1960" s="1114"/>
      <c r="U1960" s="1114"/>
      <c r="V1960" s="1114"/>
      <c r="W1960" s="1114"/>
      <c r="X1960" s="1114"/>
      <c r="Y1960" s="1114"/>
      <c r="Z1960" s="2114">
        <f>C1960-'Blocking-Step2'!C1960</f>
        <v>0</v>
      </c>
      <c r="AA1960" s="2114">
        <f>D1960-'Blocking-Step2'!D1960</f>
        <v>0</v>
      </c>
      <c r="AC1960" s="2114">
        <f>F1960-'Blocking-Step2'!F1960</f>
        <v>0</v>
      </c>
      <c r="AE1960" s="2114">
        <f>H1960-'Blocking-Step2'!H1960</f>
        <v>0</v>
      </c>
      <c r="AF1960" s="2114">
        <f>I1960-'Blocking-Step2'!I1960</f>
        <v>0</v>
      </c>
      <c r="AH1960" s="2136">
        <f>K1960-'Blocking-Step2'!K1960</f>
        <v>0</v>
      </c>
      <c r="AJ1960" s="2136">
        <f>M1960-'Blocking-Step2'!M1960</f>
        <v>0</v>
      </c>
      <c r="AL1960" s="2136">
        <f>O1960-'Blocking-Step2'!O1960</f>
        <v>0</v>
      </c>
      <c r="AN1960" s="2137">
        <f>Q1960-'Blocking-Step2'!Q1960</f>
        <v>0</v>
      </c>
      <c r="AP1960" s="2127">
        <f>S1960-'Blocking-Step2'!S1960</f>
        <v>0</v>
      </c>
      <c r="AR1960" s="2127">
        <f>U1960-'Blocking-Step2'!U1960</f>
        <v>0</v>
      </c>
      <c r="AT1960" s="2127">
        <f>W1960-'Blocking-Step2'!W1960</f>
        <v>0</v>
      </c>
      <c r="AV1960" s="2128">
        <f>Y1960-'Blocking-Step2'!Y1960</f>
        <v>0</v>
      </c>
    </row>
    <row r="1961" spans="1:48">
      <c r="A1961" s="1116" t="s">
        <v>2306</v>
      </c>
      <c r="C1961" s="1632"/>
      <c r="D1961" s="1113"/>
      <c r="F1961" s="2099">
        <v>3.4356</v>
      </c>
      <c r="G1961" s="1921" t="s">
        <v>495</v>
      </c>
      <c r="H1961" s="1628"/>
      <c r="I1961" s="1628"/>
      <c r="K1961" s="1109"/>
      <c r="M1961" s="2097">
        <v>2.31</v>
      </c>
      <c r="N1961" s="1921" t="s">
        <v>495</v>
      </c>
      <c r="O1961" s="2097">
        <v>1.2532000000000001</v>
      </c>
      <c r="P1961" s="1921" t="s">
        <v>495</v>
      </c>
      <c r="Q1961" s="2097">
        <v>3.5632000000000001</v>
      </c>
      <c r="R1961" s="1921" t="s">
        <v>495</v>
      </c>
      <c r="Y1961" s="1628"/>
      <c r="Z1961" s="2114">
        <f>C1961-'Blocking-Step2'!C1961</f>
        <v>0</v>
      </c>
      <c r="AA1961" s="2114">
        <f>D1961-'Blocking-Step2'!D1961</f>
        <v>0</v>
      </c>
      <c r="AC1961" s="2114">
        <f>F1961-'Blocking-Step2'!F1961</f>
        <v>0</v>
      </c>
      <c r="AE1961" s="2114">
        <f>H1961-'Blocking-Step2'!H1961</f>
        <v>0</v>
      </c>
      <c r="AF1961" s="2114">
        <f>I1961-'Blocking-Step2'!I1961</f>
        <v>0</v>
      </c>
      <c r="AH1961" s="2136">
        <f>K1961-'Blocking-Step2'!K1961</f>
        <v>0</v>
      </c>
      <c r="AJ1961" s="2136">
        <f>M1961-'Blocking-Step2'!M1961</f>
        <v>0</v>
      </c>
      <c r="AL1961" s="2136">
        <f>O1961-'Blocking-Step2'!O1961</f>
        <v>0</v>
      </c>
      <c r="AN1961" s="2137">
        <f>Q1961-'Blocking-Step2'!Q1961</f>
        <v>0</v>
      </c>
      <c r="AP1961" s="2127">
        <f>S1961-'Blocking-Step2'!S1961</f>
        <v>0</v>
      </c>
      <c r="AR1961" s="2127">
        <f>U1961-'Blocking-Step2'!U1961</f>
        <v>0</v>
      </c>
      <c r="AT1961" s="2127">
        <f>W1961-'Blocking-Step2'!W1961</f>
        <v>0</v>
      </c>
      <c r="AV1961" s="2128">
        <f>Y1961-'Blocking-Step2'!Y1961</f>
        <v>0</v>
      </c>
    </row>
    <row r="1962" spans="1:48">
      <c r="A1962" s="1116" t="s">
        <v>2299</v>
      </c>
      <c r="C1962" s="1024"/>
      <c r="D1962" s="1113"/>
      <c r="F1962" s="2098"/>
      <c r="G1962" s="617"/>
      <c r="H1962" s="1114"/>
      <c r="I1962" s="1114"/>
      <c r="K1962" s="617"/>
      <c r="L1962" s="617"/>
      <c r="M1962" s="2097"/>
      <c r="N1962" s="617"/>
      <c r="O1962" s="2097"/>
      <c r="P1962" s="617"/>
      <c r="Q1962" s="2097"/>
      <c r="R1962" s="617"/>
      <c r="S1962" s="1114"/>
      <c r="T1962" s="1114"/>
      <c r="U1962" s="1114"/>
      <c r="V1962" s="1114"/>
      <c r="W1962" s="1114"/>
      <c r="X1962" s="1114"/>
      <c r="Y1962" s="1114"/>
      <c r="Z1962" s="2114">
        <f>C1962-'Blocking-Step2'!C1962</f>
        <v>0</v>
      </c>
      <c r="AA1962" s="2114">
        <f>D1962-'Blocking-Step2'!D1962</f>
        <v>0</v>
      </c>
      <c r="AC1962" s="2114">
        <f>F1962-'Blocking-Step2'!F1962</f>
        <v>0</v>
      </c>
      <c r="AE1962" s="2114">
        <f>H1962-'Blocking-Step2'!H1962</f>
        <v>0</v>
      </c>
      <c r="AF1962" s="2114">
        <f>I1962-'Blocking-Step2'!I1962</f>
        <v>0</v>
      </c>
      <c r="AH1962" s="2136">
        <f>K1962-'Blocking-Step2'!K1962</f>
        <v>0</v>
      </c>
      <c r="AJ1962" s="2136">
        <f>M1962-'Blocking-Step2'!M1962</f>
        <v>0</v>
      </c>
      <c r="AL1962" s="2136">
        <f>O1962-'Blocking-Step2'!O1962</f>
        <v>0</v>
      </c>
      <c r="AN1962" s="2137">
        <f>Q1962-'Blocking-Step2'!Q1962</f>
        <v>0</v>
      </c>
      <c r="AP1962" s="2127">
        <f>S1962-'Blocking-Step2'!S1962</f>
        <v>0</v>
      </c>
      <c r="AR1962" s="2127">
        <f>U1962-'Blocking-Step2'!U1962</f>
        <v>0</v>
      </c>
      <c r="AT1962" s="2127">
        <f>W1962-'Blocking-Step2'!W1962</f>
        <v>0</v>
      </c>
      <c r="AV1962" s="2128">
        <f>Y1962-'Blocking-Step2'!Y1962</f>
        <v>0</v>
      </c>
    </row>
    <row r="1963" spans="1:48">
      <c r="A1963" s="1116" t="s">
        <v>2304</v>
      </c>
      <c r="C1963" s="1024"/>
      <c r="D1963" s="1113"/>
      <c r="F1963" s="2098">
        <v>8.8607999999999993</v>
      </c>
      <c r="G1963" s="1921" t="s">
        <v>495</v>
      </c>
      <c r="H1963" s="1114"/>
      <c r="I1963" s="1114"/>
      <c r="K1963" s="617"/>
      <c r="L1963" s="617"/>
      <c r="M1963" s="2097">
        <v>2.31</v>
      </c>
      <c r="N1963" s="1921" t="s">
        <v>495</v>
      </c>
      <c r="O1963" s="2097">
        <v>6.8798999999999992</v>
      </c>
      <c r="P1963" s="1921" t="s">
        <v>495</v>
      </c>
      <c r="Q1963" s="2097">
        <v>9.1898999999999997</v>
      </c>
      <c r="R1963" s="1921" t="s">
        <v>495</v>
      </c>
      <c r="S1963" s="1114"/>
      <c r="T1963" s="1114"/>
      <c r="U1963" s="1114"/>
      <c r="V1963" s="1114"/>
      <c r="W1963" s="1114"/>
      <c r="X1963" s="1114"/>
      <c r="Y1963" s="1114"/>
      <c r="Z1963" s="2114">
        <f>C1963-'Blocking-Step2'!C1963</f>
        <v>0</v>
      </c>
      <c r="AA1963" s="2114">
        <f>D1963-'Blocking-Step2'!D1963</f>
        <v>0</v>
      </c>
      <c r="AC1963" s="2114">
        <f>F1963-'Blocking-Step2'!F1963</f>
        <v>0</v>
      </c>
      <c r="AE1963" s="2114">
        <f>H1963-'Blocking-Step2'!H1963</f>
        <v>0</v>
      </c>
      <c r="AF1963" s="2114">
        <f>I1963-'Blocking-Step2'!I1963</f>
        <v>0</v>
      </c>
      <c r="AH1963" s="2136">
        <f>K1963-'Blocking-Step2'!K1963</f>
        <v>0</v>
      </c>
      <c r="AJ1963" s="2136">
        <f>M1963-'Blocking-Step2'!M1963</f>
        <v>0</v>
      </c>
      <c r="AL1963" s="2136">
        <f>O1963-'Blocking-Step2'!O1963</f>
        <v>0</v>
      </c>
      <c r="AN1963" s="2137">
        <f>Q1963-'Blocking-Step2'!Q1963</f>
        <v>0</v>
      </c>
      <c r="AP1963" s="2127">
        <f>S1963-'Blocking-Step2'!S1963</f>
        <v>0</v>
      </c>
      <c r="AR1963" s="2127">
        <f>U1963-'Blocking-Step2'!U1963</f>
        <v>0</v>
      </c>
      <c r="AT1963" s="2127">
        <f>W1963-'Blocking-Step2'!W1963</f>
        <v>0</v>
      </c>
      <c r="AV1963" s="2128">
        <f>Y1963-'Blocking-Step2'!Y1963</f>
        <v>0</v>
      </c>
    </row>
    <row r="1964" spans="1:48">
      <c r="A1964" s="1116" t="s">
        <v>2305</v>
      </c>
      <c r="C1964" s="1024"/>
      <c r="D1964" s="1113"/>
      <c r="F1964" s="2098">
        <v>4.7064000000000004</v>
      </c>
      <c r="G1964" s="1921" t="s">
        <v>495</v>
      </c>
      <c r="H1964" s="1114"/>
      <c r="I1964" s="1114"/>
      <c r="K1964" s="617"/>
      <c r="L1964" s="617"/>
      <c r="M1964" s="2097">
        <v>2.31</v>
      </c>
      <c r="N1964" s="1921" t="s">
        <v>495</v>
      </c>
      <c r="O1964" s="2097">
        <v>2.5711999999999997</v>
      </c>
      <c r="P1964" s="1921" t="s">
        <v>495</v>
      </c>
      <c r="Q1964" s="2097">
        <v>4.8811999999999998</v>
      </c>
      <c r="R1964" s="1921" t="s">
        <v>495</v>
      </c>
      <c r="S1964" s="1114"/>
      <c r="T1964" s="1114"/>
      <c r="U1964" s="1114"/>
      <c r="V1964" s="1114"/>
      <c r="W1964" s="1114"/>
      <c r="X1964" s="1114"/>
      <c r="Y1964" s="1114"/>
      <c r="Z1964" s="2114">
        <f>C1964-'Blocking-Step2'!C1964</f>
        <v>0</v>
      </c>
      <c r="AA1964" s="2114">
        <f>D1964-'Blocking-Step2'!D1964</f>
        <v>0</v>
      </c>
      <c r="AC1964" s="2114">
        <f>F1964-'Blocking-Step2'!F1964</f>
        <v>0</v>
      </c>
      <c r="AE1964" s="2114">
        <f>H1964-'Blocking-Step2'!H1964</f>
        <v>0</v>
      </c>
      <c r="AF1964" s="2114">
        <f>I1964-'Blocking-Step2'!I1964</f>
        <v>0</v>
      </c>
      <c r="AH1964" s="2136">
        <f>K1964-'Blocking-Step2'!K1964</f>
        <v>0</v>
      </c>
      <c r="AJ1964" s="2136">
        <f>M1964-'Blocking-Step2'!M1964</f>
        <v>0</v>
      </c>
      <c r="AL1964" s="2136">
        <f>O1964-'Blocking-Step2'!O1964</f>
        <v>0</v>
      </c>
      <c r="AN1964" s="2137">
        <f>Q1964-'Blocking-Step2'!Q1964</f>
        <v>0</v>
      </c>
      <c r="AP1964" s="2127">
        <f>S1964-'Blocking-Step2'!S1964</f>
        <v>0</v>
      </c>
      <c r="AR1964" s="2127">
        <f>U1964-'Blocking-Step2'!U1964</f>
        <v>0</v>
      </c>
      <c r="AT1964" s="2127">
        <f>W1964-'Blocking-Step2'!W1964</f>
        <v>0</v>
      </c>
      <c r="AV1964" s="2128">
        <f>Y1964-'Blocking-Step2'!Y1964</f>
        <v>0</v>
      </c>
    </row>
    <row r="1965" spans="1:48">
      <c r="A1965" s="1116" t="s">
        <v>2307</v>
      </c>
      <c r="C1965" s="1024"/>
      <c r="D1965" s="1113"/>
      <c r="F1965" s="2098">
        <v>3.7402000000000002</v>
      </c>
      <c r="G1965" s="1921" t="s">
        <v>495</v>
      </c>
      <c r="H1965" s="1114"/>
      <c r="I1965" s="1114"/>
      <c r="K1965" s="617"/>
      <c r="L1965" s="617"/>
      <c r="M1965" s="2097">
        <v>2.31</v>
      </c>
      <c r="N1965" s="1921" t="s">
        <v>495</v>
      </c>
      <c r="O1965" s="2097">
        <v>1.5691000000000002</v>
      </c>
      <c r="P1965" s="1921" t="s">
        <v>495</v>
      </c>
      <c r="Q1965" s="2097">
        <v>3.8791000000000002</v>
      </c>
      <c r="R1965" s="1921" t="s">
        <v>495</v>
      </c>
      <c r="S1965" s="1114"/>
      <c r="T1965" s="1114"/>
      <c r="U1965" s="1114"/>
      <c r="V1965" s="1114"/>
      <c r="W1965" s="1114"/>
      <c r="X1965" s="1114"/>
      <c r="Y1965" s="1114"/>
      <c r="Z1965" s="2114">
        <f>C1965-'Blocking-Step2'!C1965</f>
        <v>0</v>
      </c>
      <c r="AA1965" s="2114">
        <f>D1965-'Blocking-Step2'!D1965</f>
        <v>0</v>
      </c>
      <c r="AC1965" s="2114">
        <f>F1965-'Blocking-Step2'!F1965</f>
        <v>0</v>
      </c>
      <c r="AE1965" s="2114">
        <f>H1965-'Blocking-Step2'!H1965</f>
        <v>0</v>
      </c>
      <c r="AF1965" s="2114">
        <f>I1965-'Blocking-Step2'!I1965</f>
        <v>0</v>
      </c>
      <c r="AH1965" s="2136">
        <f>K1965-'Blocking-Step2'!K1965</f>
        <v>0</v>
      </c>
      <c r="AJ1965" s="2136">
        <f>M1965-'Blocking-Step2'!M1965</f>
        <v>0</v>
      </c>
      <c r="AL1965" s="2136">
        <f>O1965-'Blocking-Step2'!O1965</f>
        <v>0</v>
      </c>
      <c r="AN1965" s="2137">
        <f>Q1965-'Blocking-Step2'!Q1965</f>
        <v>0</v>
      </c>
      <c r="AP1965" s="2127">
        <f>S1965-'Blocking-Step2'!S1965</f>
        <v>0</v>
      </c>
      <c r="AR1965" s="2127">
        <f>U1965-'Blocking-Step2'!U1965</f>
        <v>0</v>
      </c>
      <c r="AT1965" s="2127">
        <f>W1965-'Blocking-Step2'!W1965</f>
        <v>0</v>
      </c>
      <c r="AV1965" s="2128">
        <f>Y1965-'Blocking-Step2'!Y1965</f>
        <v>0</v>
      </c>
    </row>
    <row r="1966" spans="1:48">
      <c r="A1966" s="1116" t="s">
        <v>2306</v>
      </c>
      <c r="C1966" s="1024"/>
      <c r="D1966" s="1113"/>
      <c r="F1966" s="2098">
        <v>3.0649999999999999</v>
      </c>
      <c r="G1966" s="1921" t="s">
        <v>495</v>
      </c>
      <c r="H1966" s="1114"/>
      <c r="I1966" s="1114"/>
      <c r="K1966" s="1107"/>
      <c r="L1966" s="1921"/>
      <c r="M1966" s="2097">
        <v>2.31</v>
      </c>
      <c r="N1966" s="1921" t="s">
        <v>495</v>
      </c>
      <c r="O1966" s="2097">
        <v>0.86890000000000001</v>
      </c>
      <c r="P1966" s="1921" t="s">
        <v>495</v>
      </c>
      <c r="Q1966" s="2097">
        <v>3.1789000000000001</v>
      </c>
      <c r="R1966" s="1921" t="s">
        <v>495</v>
      </c>
      <c r="S1966" s="1114"/>
      <c r="T1966" s="1648"/>
      <c r="U1966" s="1114"/>
      <c r="V1966" s="1648"/>
      <c r="W1966" s="1114"/>
      <c r="X1966" s="1648"/>
      <c r="Y1966" s="1114"/>
      <c r="Z1966" s="2114">
        <f>C1966-'Blocking-Step2'!C1966</f>
        <v>0</v>
      </c>
      <c r="AA1966" s="2114">
        <f>D1966-'Blocking-Step2'!D1966</f>
        <v>0</v>
      </c>
      <c r="AC1966" s="2114">
        <f>F1966-'Blocking-Step2'!F1966</f>
        <v>0</v>
      </c>
      <c r="AE1966" s="2114">
        <f>H1966-'Blocking-Step2'!H1966</f>
        <v>0</v>
      </c>
      <c r="AF1966" s="2114">
        <f>I1966-'Blocking-Step2'!I1966</f>
        <v>0</v>
      </c>
      <c r="AH1966" s="2136">
        <f>K1966-'Blocking-Step2'!K1966</f>
        <v>0</v>
      </c>
      <c r="AJ1966" s="2136">
        <f>M1966-'Blocking-Step2'!M1966</f>
        <v>0</v>
      </c>
      <c r="AL1966" s="2136">
        <f>O1966-'Blocking-Step2'!O1966</f>
        <v>0</v>
      </c>
      <c r="AN1966" s="2137">
        <f>Q1966-'Blocking-Step2'!Q1966</f>
        <v>0</v>
      </c>
      <c r="AP1966" s="2127">
        <f>S1966-'Blocking-Step2'!S1966</f>
        <v>0</v>
      </c>
      <c r="AR1966" s="2127">
        <f>U1966-'Blocking-Step2'!U1966</f>
        <v>0</v>
      </c>
      <c r="AT1966" s="2127">
        <f>W1966-'Blocking-Step2'!W1966</f>
        <v>0</v>
      </c>
      <c r="AV1966" s="2128">
        <f>Y1966-'Blocking-Step2'!Y1966</f>
        <v>0</v>
      </c>
    </row>
    <row r="1967" spans="1:48">
      <c r="A1967" s="1116" t="s">
        <v>2300</v>
      </c>
      <c r="C1967" s="1024"/>
      <c r="D1967" s="1113"/>
      <c r="F1967" s="2098"/>
      <c r="G1967" s="1921"/>
      <c r="H1967" s="1114"/>
      <c r="I1967" s="1114"/>
      <c r="K1967" s="1107"/>
      <c r="L1967" s="1921"/>
      <c r="M1967" s="2097"/>
      <c r="N1967" s="1921"/>
      <c r="O1967" s="2097"/>
      <c r="P1967" s="1921"/>
      <c r="Q1967" s="2097"/>
      <c r="R1967" s="1921"/>
      <c r="S1967" s="1114"/>
      <c r="T1967" s="1648"/>
      <c r="U1967" s="1114"/>
      <c r="V1967" s="1648"/>
      <c r="W1967" s="1114"/>
      <c r="X1967" s="1648"/>
      <c r="Y1967" s="1114"/>
      <c r="Z1967" s="2114">
        <f>C1967-'Blocking-Step2'!C1967</f>
        <v>0</v>
      </c>
      <c r="AA1967" s="2114">
        <f>D1967-'Blocking-Step2'!D1967</f>
        <v>0</v>
      </c>
      <c r="AC1967" s="2114">
        <f>F1967-'Blocking-Step2'!F1967</f>
        <v>0</v>
      </c>
      <c r="AE1967" s="2114">
        <f>H1967-'Blocking-Step2'!H1967</f>
        <v>0</v>
      </c>
      <c r="AF1967" s="2114">
        <f>I1967-'Blocking-Step2'!I1967</f>
        <v>0</v>
      </c>
      <c r="AH1967" s="2136">
        <f>K1967-'Blocking-Step2'!K1967</f>
        <v>0</v>
      </c>
      <c r="AJ1967" s="2136">
        <f>M1967-'Blocking-Step2'!M1967</f>
        <v>0</v>
      </c>
      <c r="AL1967" s="2136">
        <f>O1967-'Blocking-Step2'!O1967</f>
        <v>0</v>
      </c>
      <c r="AN1967" s="2137">
        <f>Q1967-'Blocking-Step2'!Q1967</f>
        <v>0</v>
      </c>
      <c r="AP1967" s="2127">
        <f>S1967-'Blocking-Step2'!S1967</f>
        <v>0</v>
      </c>
      <c r="AR1967" s="2127">
        <f>U1967-'Blocking-Step2'!U1967</f>
        <v>0</v>
      </c>
      <c r="AT1967" s="2127">
        <f>W1967-'Blocking-Step2'!W1967</f>
        <v>0</v>
      </c>
      <c r="AV1967" s="2128">
        <f>Y1967-'Blocking-Step2'!Y1967</f>
        <v>0</v>
      </c>
    </row>
    <row r="1968" spans="1:48">
      <c r="A1968" s="1116" t="s">
        <v>2304</v>
      </c>
      <c r="C1968" s="1024"/>
      <c r="D1968" s="1113"/>
      <c r="F1968" s="2098">
        <v>8.6678999999999995</v>
      </c>
      <c r="G1968" s="1921" t="s">
        <v>495</v>
      </c>
      <c r="H1968" s="1114"/>
      <c r="I1968" s="1114"/>
      <c r="K1968" s="1107"/>
      <c r="L1968" s="1921"/>
      <c r="M1968" s="2097">
        <v>1.89</v>
      </c>
      <c r="N1968" s="1921" t="s">
        <v>495</v>
      </c>
      <c r="O1968" s="2097">
        <v>7.0999000000000008</v>
      </c>
      <c r="P1968" s="1921" t="s">
        <v>495</v>
      </c>
      <c r="Q1968" s="2097">
        <v>8.9899000000000004</v>
      </c>
      <c r="R1968" s="1921" t="s">
        <v>495</v>
      </c>
      <c r="S1968" s="1114"/>
      <c r="T1968" s="1648"/>
      <c r="U1968" s="1114"/>
      <c r="V1968" s="1648"/>
      <c r="W1968" s="1114"/>
      <c r="X1968" s="1648"/>
      <c r="Y1968" s="1114"/>
      <c r="Z1968" s="2114">
        <f>C1968-'Blocking-Step2'!C1968</f>
        <v>0</v>
      </c>
      <c r="AA1968" s="2114">
        <f>D1968-'Blocking-Step2'!D1968</f>
        <v>0</v>
      </c>
      <c r="AC1968" s="2114">
        <f>F1968-'Blocking-Step2'!F1968</f>
        <v>0</v>
      </c>
      <c r="AE1968" s="2114">
        <f>H1968-'Blocking-Step2'!H1968</f>
        <v>0</v>
      </c>
      <c r="AF1968" s="2114">
        <f>I1968-'Blocking-Step2'!I1968</f>
        <v>0</v>
      </c>
      <c r="AH1968" s="2136">
        <f>K1968-'Blocking-Step2'!K1968</f>
        <v>0</v>
      </c>
      <c r="AJ1968" s="2136">
        <f>M1968-'Blocking-Step2'!M1968</f>
        <v>0</v>
      </c>
      <c r="AL1968" s="2136">
        <f>O1968-'Blocking-Step2'!O1968</f>
        <v>0</v>
      </c>
      <c r="AN1968" s="2137">
        <f>Q1968-'Blocking-Step2'!Q1968</f>
        <v>0</v>
      </c>
      <c r="AP1968" s="2127">
        <f>S1968-'Blocking-Step2'!S1968</f>
        <v>0</v>
      </c>
      <c r="AR1968" s="2127">
        <f>U1968-'Blocking-Step2'!U1968</f>
        <v>0</v>
      </c>
      <c r="AT1968" s="2127">
        <f>W1968-'Blocking-Step2'!W1968</f>
        <v>0</v>
      </c>
      <c r="AV1968" s="2128">
        <f>Y1968-'Blocking-Step2'!Y1968</f>
        <v>0</v>
      </c>
    </row>
    <row r="1969" spans="1:48">
      <c r="A1969" s="1116" t="s">
        <v>2305</v>
      </c>
      <c r="C1969" s="1024"/>
      <c r="D1969" s="1113"/>
      <c r="F1969" s="2098">
        <v>4.5133999999999999</v>
      </c>
      <c r="G1969" s="1921" t="s">
        <v>495</v>
      </c>
      <c r="H1969" s="1114"/>
      <c r="I1969" s="1114"/>
      <c r="K1969" s="1107"/>
      <c r="L1969" s="1921"/>
      <c r="M1969" s="2097">
        <v>1.89</v>
      </c>
      <c r="N1969" s="1921" t="s">
        <v>495</v>
      </c>
      <c r="O1969" s="2097">
        <v>2.7911000000000001</v>
      </c>
      <c r="P1969" s="1921" t="s">
        <v>495</v>
      </c>
      <c r="Q1969" s="2097">
        <v>4.6810999999999998</v>
      </c>
      <c r="R1969" s="1921" t="s">
        <v>495</v>
      </c>
      <c r="S1969" s="1114"/>
      <c r="T1969" s="1648"/>
      <c r="U1969" s="1114"/>
      <c r="V1969" s="1648"/>
      <c r="W1969" s="1114"/>
      <c r="X1969" s="1648"/>
      <c r="Y1969" s="1114"/>
      <c r="Z1969" s="2114">
        <f>C1969-'Blocking-Step2'!C1969</f>
        <v>0</v>
      </c>
      <c r="AA1969" s="2114">
        <f>D1969-'Blocking-Step2'!D1969</f>
        <v>0</v>
      </c>
      <c r="AC1969" s="2114">
        <f>F1969-'Blocking-Step2'!F1969</f>
        <v>0</v>
      </c>
      <c r="AE1969" s="2114">
        <f>H1969-'Blocking-Step2'!H1969</f>
        <v>0</v>
      </c>
      <c r="AF1969" s="2114">
        <f>I1969-'Blocking-Step2'!I1969</f>
        <v>0</v>
      </c>
      <c r="AH1969" s="2136">
        <f>K1969-'Blocking-Step2'!K1969</f>
        <v>0</v>
      </c>
      <c r="AJ1969" s="2136">
        <f>M1969-'Blocking-Step2'!M1969</f>
        <v>0</v>
      </c>
      <c r="AL1969" s="2136">
        <f>O1969-'Blocking-Step2'!O1969</f>
        <v>0</v>
      </c>
      <c r="AN1969" s="2137">
        <f>Q1969-'Blocking-Step2'!Q1969</f>
        <v>0</v>
      </c>
      <c r="AP1969" s="2127">
        <f>S1969-'Blocking-Step2'!S1969</f>
        <v>0</v>
      </c>
      <c r="AR1969" s="2127">
        <f>U1969-'Blocking-Step2'!U1969</f>
        <v>0</v>
      </c>
      <c r="AT1969" s="2127">
        <f>W1969-'Blocking-Step2'!W1969</f>
        <v>0</v>
      </c>
      <c r="AV1969" s="2128">
        <f>Y1969-'Blocking-Step2'!Y1969</f>
        <v>0</v>
      </c>
    </row>
    <row r="1970" spans="1:48">
      <c r="A1970" s="1116" t="s">
        <v>2307</v>
      </c>
      <c r="C1970" s="1024"/>
      <c r="D1970" s="1113"/>
      <c r="F1970" s="2098">
        <v>3.5472999999999999</v>
      </c>
      <c r="G1970" s="1921" t="s">
        <v>495</v>
      </c>
      <c r="H1970" s="1114"/>
      <c r="I1970" s="1114"/>
      <c r="K1970" s="617"/>
      <c r="L1970" s="617"/>
      <c r="M1970" s="2097">
        <v>1.89</v>
      </c>
      <c r="N1970" s="1921" t="s">
        <v>495</v>
      </c>
      <c r="O1970" s="2097">
        <v>1.7891000000000001</v>
      </c>
      <c r="P1970" s="1921" t="s">
        <v>495</v>
      </c>
      <c r="Q1970" s="2097">
        <v>3.6791</v>
      </c>
      <c r="R1970" s="1921" t="s">
        <v>495</v>
      </c>
      <c r="S1970" s="1114"/>
      <c r="T1970" s="1114"/>
      <c r="U1970" s="1114"/>
      <c r="V1970" s="1114"/>
      <c r="W1970" s="1114"/>
      <c r="X1970" s="1114"/>
      <c r="Y1970" s="1114"/>
      <c r="Z1970" s="2114">
        <f>C1970-'Blocking-Step2'!C1970</f>
        <v>0</v>
      </c>
      <c r="AA1970" s="2114">
        <f>D1970-'Blocking-Step2'!D1970</f>
        <v>0</v>
      </c>
      <c r="AC1970" s="2114">
        <f>F1970-'Blocking-Step2'!F1970</f>
        <v>0</v>
      </c>
      <c r="AE1970" s="2114">
        <f>H1970-'Blocking-Step2'!H1970</f>
        <v>0</v>
      </c>
      <c r="AF1970" s="2114">
        <f>I1970-'Blocking-Step2'!I1970</f>
        <v>0</v>
      </c>
      <c r="AH1970" s="2136">
        <f>K1970-'Blocking-Step2'!K1970</f>
        <v>0</v>
      </c>
      <c r="AJ1970" s="2136">
        <f>M1970-'Blocking-Step2'!M1970</f>
        <v>0</v>
      </c>
      <c r="AL1970" s="2136">
        <f>O1970-'Blocking-Step2'!O1970</f>
        <v>0</v>
      </c>
      <c r="AN1970" s="2137">
        <f>Q1970-'Blocking-Step2'!Q1970</f>
        <v>0</v>
      </c>
      <c r="AP1970" s="2127">
        <f>S1970-'Blocking-Step2'!S1970</f>
        <v>0</v>
      </c>
      <c r="AR1970" s="2127">
        <f>U1970-'Blocking-Step2'!U1970</f>
        <v>0</v>
      </c>
      <c r="AT1970" s="2127">
        <f>W1970-'Blocking-Step2'!W1970</f>
        <v>0</v>
      </c>
      <c r="AV1970" s="2128">
        <f>Y1970-'Blocking-Step2'!Y1970</f>
        <v>0</v>
      </c>
    </row>
    <row r="1971" spans="1:48">
      <c r="A1971" s="1116" t="s">
        <v>2306</v>
      </c>
      <c r="C1971" s="1024"/>
      <c r="D1971" s="1113"/>
      <c r="F1971" s="2098">
        <v>2.8721000000000001</v>
      </c>
      <c r="G1971" s="1921" t="s">
        <v>495</v>
      </c>
      <c r="H1971" s="1114"/>
      <c r="I1971" s="1114"/>
      <c r="K1971" s="617"/>
      <c r="L1971" s="617"/>
      <c r="M1971" s="2097">
        <v>1.89</v>
      </c>
      <c r="N1971" s="1921" t="s">
        <v>495</v>
      </c>
      <c r="O1971" s="2097">
        <v>1.0888000000000002</v>
      </c>
      <c r="P1971" s="1921" t="s">
        <v>495</v>
      </c>
      <c r="Q1971" s="2097">
        <v>2.9788000000000001</v>
      </c>
      <c r="R1971" s="1921" t="s">
        <v>495</v>
      </c>
      <c r="S1971" s="1114"/>
      <c r="T1971" s="1114"/>
      <c r="U1971" s="1114"/>
      <c r="V1971" s="1114"/>
      <c r="W1971" s="1114"/>
      <c r="X1971" s="1114"/>
      <c r="Y1971" s="1114"/>
      <c r="Z1971" s="2114">
        <f>C1971-'Blocking-Step2'!C1971</f>
        <v>0</v>
      </c>
      <c r="AA1971" s="2114">
        <f>D1971-'Blocking-Step2'!D1971</f>
        <v>0</v>
      </c>
      <c r="AC1971" s="2114">
        <f>F1971-'Blocking-Step2'!F1971</f>
        <v>0</v>
      </c>
      <c r="AE1971" s="2114">
        <f>H1971-'Blocking-Step2'!H1971</f>
        <v>0</v>
      </c>
      <c r="AF1971" s="2114">
        <f>I1971-'Blocking-Step2'!I1971</f>
        <v>0</v>
      </c>
      <c r="AH1971" s="2136">
        <f>K1971-'Blocking-Step2'!K1971</f>
        <v>0</v>
      </c>
      <c r="AJ1971" s="2136">
        <f>M1971-'Blocking-Step2'!M1971</f>
        <v>0</v>
      </c>
      <c r="AL1971" s="2136">
        <f>O1971-'Blocking-Step2'!O1971</f>
        <v>0</v>
      </c>
      <c r="AN1971" s="2137">
        <f>Q1971-'Blocking-Step2'!Q1971</f>
        <v>0</v>
      </c>
      <c r="AP1971" s="2127">
        <f>S1971-'Blocking-Step2'!S1971</f>
        <v>0</v>
      </c>
      <c r="AR1971" s="2127">
        <f>U1971-'Blocking-Step2'!U1971</f>
        <v>0</v>
      </c>
      <c r="AT1971" s="2127">
        <f>W1971-'Blocking-Step2'!W1971</f>
        <v>0</v>
      </c>
      <c r="AV1971" s="2128">
        <f>Y1971-'Blocking-Step2'!Y1971</f>
        <v>0</v>
      </c>
    </row>
    <row r="1972" spans="1:48">
      <c r="A1972" s="1116" t="s">
        <v>1240</v>
      </c>
      <c r="C1972" s="1024"/>
      <c r="D1972" s="1024"/>
      <c r="F1972" s="2076">
        <v>-3.0700000000000002E-2</v>
      </c>
      <c r="G1972" s="617"/>
      <c r="H1972" s="1114"/>
      <c r="I1972" s="1114"/>
      <c r="K1972" s="1118"/>
      <c r="L1972" s="617"/>
      <c r="M1972" s="1118"/>
      <c r="N1972" s="617"/>
      <c r="O1972" s="2077" t="s">
        <v>2323</v>
      </c>
      <c r="P1972" s="617"/>
      <c r="Q1972" s="2076">
        <v>-2.5700000000000001E-2</v>
      </c>
      <c r="R1972" s="617"/>
      <c r="S1972" s="1114"/>
      <c r="T1972" s="1114"/>
      <c r="U1972" s="1114"/>
      <c r="V1972" s="1114"/>
      <c r="W1972" s="1114"/>
      <c r="X1972" s="1114"/>
      <c r="Y1972" s="1114"/>
      <c r="Z1972" s="2114">
        <f>C1972-'Blocking-Step2'!C1972</f>
        <v>0</v>
      </c>
      <c r="AA1972" s="2114">
        <f>D1972-'Blocking-Step2'!D1972</f>
        <v>0</v>
      </c>
      <c r="AC1972" s="2114">
        <f>F1972-'Blocking-Step2'!F1972</f>
        <v>0</v>
      </c>
      <c r="AE1972" s="2114">
        <f>H1972-'Blocking-Step2'!H1972</f>
        <v>0</v>
      </c>
      <c r="AF1972" s="2114">
        <f>I1972-'Blocking-Step2'!I1972</f>
        <v>0</v>
      </c>
      <c r="AH1972" s="2136">
        <f>K1972-'Blocking-Step2'!K1972</f>
        <v>0</v>
      </c>
      <c r="AJ1972" s="2136">
        <f>M1972-'Blocking-Step2'!M1972</f>
        <v>0</v>
      </c>
      <c r="AL1972" s="2136" t="e">
        <f>O1972-'Blocking-Step2'!O1972</f>
        <v>#VALUE!</v>
      </c>
      <c r="AN1972" s="2137">
        <f>Q1972-'Blocking-Step2'!Q1972</f>
        <v>0</v>
      </c>
      <c r="AP1972" s="2127">
        <f>S1972-'Blocking-Step2'!S1972</f>
        <v>0</v>
      </c>
      <c r="AR1972" s="2127">
        <f>U1972-'Blocking-Step2'!U1972</f>
        <v>0</v>
      </c>
      <c r="AT1972" s="2127">
        <f>W1972-'Blocking-Step2'!W1972</f>
        <v>0</v>
      </c>
      <c r="AV1972" s="2128">
        <f>Y1972-'Blocking-Step2'!Y1972</f>
        <v>0</v>
      </c>
    </row>
    <row r="1973" spans="1:48">
      <c r="A1973" s="1116"/>
      <c r="C1973" s="1024"/>
      <c r="D1973" s="1024"/>
      <c r="F1973" s="1118"/>
      <c r="G1973" s="617"/>
      <c r="H1973" s="1114"/>
      <c r="I1973" s="1114"/>
      <c r="K1973" s="1118"/>
      <c r="L1973" s="617"/>
      <c r="M1973" s="1118"/>
      <c r="N1973" s="617"/>
      <c r="O1973" s="2077" t="s">
        <v>2324</v>
      </c>
      <c r="P1973" s="617"/>
      <c r="Q1973" s="2076">
        <v>-1.3899999999999999E-2</v>
      </c>
      <c r="R1973" s="617"/>
      <c r="S1973" s="1114"/>
      <c r="T1973" s="1114"/>
      <c r="U1973" s="1114"/>
      <c r="V1973" s="1114"/>
      <c r="W1973" s="1114"/>
      <c r="X1973" s="1114"/>
      <c r="Y1973" s="1114"/>
      <c r="Z1973" s="2114">
        <f>C1973-'Blocking-Step2'!C1973</f>
        <v>0</v>
      </c>
      <c r="AA1973" s="2114">
        <f>D1973-'Blocking-Step2'!D1973</f>
        <v>0</v>
      </c>
      <c r="AC1973" s="2114">
        <f>F1973-'Blocking-Step2'!F1973</f>
        <v>0</v>
      </c>
      <c r="AE1973" s="2114">
        <f>H1973-'Blocking-Step2'!H1973</f>
        <v>0</v>
      </c>
      <c r="AF1973" s="2114">
        <f>I1973-'Blocking-Step2'!I1973</f>
        <v>0</v>
      </c>
      <c r="AH1973" s="2136">
        <f>K1973-'Blocking-Step2'!K1973</f>
        <v>0</v>
      </c>
      <c r="AJ1973" s="2136">
        <f>M1973-'Blocking-Step2'!M1973</f>
        <v>0</v>
      </c>
      <c r="AL1973" s="2136" t="e">
        <f>O1973-'Blocking-Step2'!O1973</f>
        <v>#VALUE!</v>
      </c>
      <c r="AN1973" s="2137">
        <f>Q1973-'Blocking-Step2'!Q1973</f>
        <v>0</v>
      </c>
      <c r="AP1973" s="2127">
        <f>S1973-'Blocking-Step2'!S1973</f>
        <v>0</v>
      </c>
      <c r="AR1973" s="2127">
        <f>U1973-'Blocking-Step2'!U1973</f>
        <v>0</v>
      </c>
      <c r="AT1973" s="2127">
        <f>W1973-'Blocking-Step2'!W1973</f>
        <v>0</v>
      </c>
      <c r="AV1973" s="2128">
        <f>Y1973-'Blocking-Step2'!Y1973</f>
        <v>0</v>
      </c>
    </row>
    <row r="1974" spans="1:48">
      <c r="A1974" s="1116" t="s">
        <v>247</v>
      </c>
      <c r="C1974" s="1024"/>
      <c r="D1974" s="1024"/>
      <c r="F1974" s="1109"/>
      <c r="H1974" s="1114"/>
      <c r="I1974" s="1114"/>
      <c r="K1974" s="1109"/>
      <c r="M1974" s="1109"/>
      <c r="O1974" s="1109"/>
      <c r="Q1974" s="1109"/>
      <c r="S1974" s="1114">
        <v>0</v>
      </c>
      <c r="T1974" s="1114"/>
      <c r="U1974" s="1114">
        <v>0</v>
      </c>
      <c r="V1974" s="1114"/>
      <c r="W1974" s="1114">
        <v>0</v>
      </c>
      <c r="Y1974" s="1114">
        <v>0</v>
      </c>
      <c r="Z1974" s="2114">
        <f>C1974-'Blocking-Step2'!C1974</f>
        <v>0</v>
      </c>
      <c r="AA1974" s="2114">
        <f>D1974-'Blocking-Step2'!D1974</f>
        <v>0</v>
      </c>
      <c r="AC1974" s="2114">
        <f>F1974-'Blocking-Step2'!F1974</f>
        <v>0</v>
      </c>
      <c r="AE1974" s="2114">
        <f>H1974-'Blocking-Step2'!H1974</f>
        <v>0</v>
      </c>
      <c r="AF1974" s="2114">
        <f>I1974-'Blocking-Step2'!I1974</f>
        <v>0</v>
      </c>
      <c r="AH1974" s="2136">
        <f>K1974-'Blocking-Step2'!K1974</f>
        <v>0</v>
      </c>
      <c r="AJ1974" s="2136">
        <f>M1974-'Blocking-Step2'!M1974</f>
        <v>0</v>
      </c>
      <c r="AL1974" s="2136">
        <f>O1974-'Blocking-Step2'!O1974</f>
        <v>0</v>
      </c>
      <c r="AN1974" s="2137">
        <f>Q1974-'Blocking-Step2'!Q1974</f>
        <v>0</v>
      </c>
      <c r="AP1974" s="2127">
        <f>S1974-'Blocking-Step2'!S1974</f>
        <v>0</v>
      </c>
      <c r="AR1974" s="2127">
        <f>U1974-'Blocking-Step2'!U1974</f>
        <v>0</v>
      </c>
      <c r="AT1974" s="2127">
        <f>W1974-'Blocking-Step2'!W1974</f>
        <v>0</v>
      </c>
      <c r="AV1974" s="2128">
        <f>Y1974-'Blocking-Step2'!Y1974</f>
        <v>0</v>
      </c>
    </row>
    <row r="1975" spans="1:48">
      <c r="C1975" s="1105"/>
      <c r="D1975" s="1105"/>
      <c r="Z1975" s="2114">
        <f>C1975-'Blocking-Step2'!C1975</f>
        <v>0</v>
      </c>
      <c r="AA1975" s="2114">
        <f>D1975-'Blocking-Step2'!D1975</f>
        <v>0</v>
      </c>
      <c r="AC1975" s="2114">
        <f>F1975-'Blocking-Step2'!F1975</f>
        <v>0</v>
      </c>
      <c r="AE1975" s="2114">
        <f>H1975-'Blocking-Step2'!H1975</f>
        <v>0</v>
      </c>
      <c r="AF1975" s="2114">
        <f>I1975-'Blocking-Step2'!I1975</f>
        <v>0</v>
      </c>
      <c r="AH1975" s="2136">
        <f>K1975-'Blocking-Step2'!K1975</f>
        <v>0</v>
      </c>
      <c r="AJ1975" s="2136">
        <f>M1975-'Blocking-Step2'!M1975</f>
        <v>0</v>
      </c>
      <c r="AL1975" s="2136">
        <f>O1975-'Blocking-Step2'!O1975</f>
        <v>0</v>
      </c>
      <c r="AN1975" s="2137">
        <f>Q1975-'Blocking-Step2'!Q1975</f>
        <v>0</v>
      </c>
      <c r="AP1975" s="2127">
        <f>S1975-'Blocking-Step2'!S1975</f>
        <v>0</v>
      </c>
      <c r="AR1975" s="2127">
        <f>U1975-'Blocking-Step2'!U1975</f>
        <v>0</v>
      </c>
      <c r="AT1975" s="2127">
        <f>W1975-'Blocking-Step2'!W1975</f>
        <v>0</v>
      </c>
      <c r="AV1975" s="2128">
        <f>Y1975-'Blocking-Step2'!Y1975</f>
        <v>0</v>
      </c>
    </row>
    <row r="1976" spans="1:48">
      <c r="A1976" s="1115" t="s">
        <v>933</v>
      </c>
      <c r="C1976" s="1105"/>
      <c r="D1976" s="1105"/>
      <c r="Z1976" s="2114">
        <f>C1976-'Blocking-Step2'!C1976</f>
        <v>0</v>
      </c>
      <c r="AA1976" s="2114">
        <f>D1976-'Blocking-Step2'!D1976</f>
        <v>0</v>
      </c>
      <c r="AC1976" s="2114">
        <f>F1976-'Blocking-Step2'!F1976</f>
        <v>0</v>
      </c>
      <c r="AE1976" s="2114">
        <f>H1976-'Blocking-Step2'!H1976</f>
        <v>0</v>
      </c>
      <c r="AF1976" s="2114">
        <f>I1976-'Blocking-Step2'!I1976</f>
        <v>0</v>
      </c>
      <c r="AH1976" s="2136">
        <f>K1976-'Blocking-Step2'!K1976</f>
        <v>0</v>
      </c>
      <c r="AJ1976" s="2136">
        <f>M1976-'Blocking-Step2'!M1976</f>
        <v>0</v>
      </c>
      <c r="AL1976" s="2136">
        <f>O1976-'Blocking-Step2'!O1976</f>
        <v>0</v>
      </c>
      <c r="AN1976" s="2137">
        <f>Q1976-'Blocking-Step2'!Q1976</f>
        <v>0</v>
      </c>
      <c r="AP1976" s="2127">
        <f>S1976-'Blocking-Step2'!S1976</f>
        <v>0</v>
      </c>
      <c r="AR1976" s="2127">
        <f>U1976-'Blocking-Step2'!U1976</f>
        <v>0</v>
      </c>
      <c r="AT1976" s="2127">
        <f>W1976-'Blocking-Step2'!W1976</f>
        <v>0</v>
      </c>
      <c r="AV1976" s="2128">
        <f>Y1976-'Blocking-Step2'!Y1976</f>
        <v>0</v>
      </c>
    </row>
    <row r="1977" spans="1:48">
      <c r="A1977" s="1116" t="s">
        <v>240</v>
      </c>
      <c r="C1977" s="1105">
        <v>1094043.5929998949</v>
      </c>
      <c r="D1977" s="1105">
        <v>1134470.3348968814</v>
      </c>
      <c r="F1977" s="1907">
        <v>10</v>
      </c>
      <c r="G1977" s="1110"/>
      <c r="H1977" s="1146">
        <v>10940436</v>
      </c>
      <c r="I1977" s="1146">
        <v>11344703</v>
      </c>
      <c r="K1977" s="1907">
        <v>10</v>
      </c>
      <c r="L1977" s="1110"/>
      <c r="M1977" s="1907">
        <v>0</v>
      </c>
      <c r="N1977" s="1110"/>
      <c r="O1977" s="1907">
        <v>0</v>
      </c>
      <c r="P1977" s="1110"/>
      <c r="Q1977" s="1907">
        <v>10</v>
      </c>
      <c r="R1977" s="1110"/>
      <c r="S1977" s="1629">
        <v>11344703</v>
      </c>
      <c r="T1977" s="1629"/>
      <c r="U1977" s="1629"/>
      <c r="V1977" s="1629"/>
      <c r="W1977" s="1629"/>
      <c r="X1977" s="1629"/>
      <c r="Y1977" s="1146">
        <v>11344703</v>
      </c>
      <c r="Z1977" s="2114">
        <f>C1977-'Blocking-Step2'!C1977</f>
        <v>0</v>
      </c>
      <c r="AA1977" s="2114">
        <f>D1977-'Blocking-Step2'!D1977</f>
        <v>0</v>
      </c>
      <c r="AC1977" s="2114">
        <f>F1977-'Blocking-Step2'!F1977</f>
        <v>0</v>
      </c>
      <c r="AE1977" s="2114">
        <f>H1977-'Blocking-Step2'!H1977</f>
        <v>0</v>
      </c>
      <c r="AF1977" s="2114">
        <f>I1977-'Blocking-Step2'!I1977</f>
        <v>0</v>
      </c>
      <c r="AH1977" s="2136">
        <f>K1977-'Blocking-Step2'!K1977</f>
        <v>0</v>
      </c>
      <c r="AJ1977" s="2136">
        <f>M1977-'Blocking-Step2'!M1977</f>
        <v>0</v>
      </c>
      <c r="AL1977" s="2136">
        <f>O1977-'Blocking-Step2'!O1977</f>
        <v>0</v>
      </c>
      <c r="AN1977" s="2137">
        <f>Q1977-'Blocking-Step2'!Q1977</f>
        <v>0</v>
      </c>
      <c r="AP1977" s="2127">
        <f>S1977-'Blocking-Step2'!S1977</f>
        <v>0</v>
      </c>
      <c r="AR1977" s="2127">
        <f>U1977-'Blocking-Step2'!U1977</f>
        <v>0</v>
      </c>
      <c r="AT1977" s="2127">
        <f>W1977-'Blocking-Step2'!W1977</f>
        <v>0</v>
      </c>
      <c r="AV1977" s="2128">
        <f>Y1977-'Blocking-Step2'!Y1977</f>
        <v>0</v>
      </c>
    </row>
    <row r="1978" spans="1:48">
      <c r="A1978" s="1116" t="s">
        <v>262</v>
      </c>
      <c r="C1978" s="1105">
        <v>0</v>
      </c>
      <c r="D1978" s="1105">
        <v>0</v>
      </c>
      <c r="F1978" s="1907">
        <v>120</v>
      </c>
      <c r="G1978" s="1110"/>
      <c r="H1978" s="1146">
        <v>0</v>
      </c>
      <c r="I1978" s="1146">
        <v>0</v>
      </c>
      <c r="K1978" s="1907">
        <v>117</v>
      </c>
      <c r="L1978" s="1110"/>
      <c r="M1978" s="1907">
        <v>0</v>
      </c>
      <c r="N1978" s="1110"/>
      <c r="O1978" s="1907">
        <v>0</v>
      </c>
      <c r="P1978" s="1110"/>
      <c r="Q1978" s="1907">
        <v>117</v>
      </c>
      <c r="R1978" s="1110"/>
      <c r="S1978" s="1629">
        <v>0</v>
      </c>
      <c r="T1978" s="1629"/>
      <c r="U1978" s="1629"/>
      <c r="V1978" s="1629"/>
      <c r="W1978" s="1629"/>
      <c r="X1978" s="1629"/>
      <c r="Y1978" s="1146">
        <v>0</v>
      </c>
      <c r="Z1978" s="2114">
        <f>C1978-'Blocking-Step2'!C1978</f>
        <v>0</v>
      </c>
      <c r="AA1978" s="2114">
        <f>D1978-'Blocking-Step2'!D1978</f>
        <v>0</v>
      </c>
      <c r="AC1978" s="2114">
        <f>F1978-'Blocking-Step2'!F1978</f>
        <v>0</v>
      </c>
      <c r="AE1978" s="2114">
        <f>H1978-'Blocking-Step2'!H1978</f>
        <v>0</v>
      </c>
      <c r="AF1978" s="2114">
        <f>I1978-'Blocking-Step2'!I1978</f>
        <v>0</v>
      </c>
      <c r="AH1978" s="2136">
        <f>K1978-'Blocking-Step2'!K1978</f>
        <v>0</v>
      </c>
      <c r="AJ1978" s="2136">
        <f>M1978-'Blocking-Step2'!M1978</f>
        <v>0</v>
      </c>
      <c r="AL1978" s="2136">
        <f>O1978-'Blocking-Step2'!O1978</f>
        <v>0</v>
      </c>
      <c r="AN1978" s="2137">
        <f>Q1978-'Blocking-Step2'!Q1978</f>
        <v>0</v>
      </c>
      <c r="AP1978" s="2127">
        <f>S1978-'Blocking-Step2'!S1978</f>
        <v>0</v>
      </c>
      <c r="AR1978" s="2127">
        <f>U1978-'Blocking-Step2'!U1978</f>
        <v>0</v>
      </c>
      <c r="AT1978" s="2127">
        <f>W1978-'Blocking-Step2'!W1978</f>
        <v>0</v>
      </c>
      <c r="AV1978" s="2128">
        <f>Y1978-'Blocking-Step2'!Y1978</f>
        <v>0</v>
      </c>
    </row>
    <row r="1979" spans="1:48">
      <c r="A1979" s="1116" t="s">
        <v>1298</v>
      </c>
      <c r="C1979" s="1105">
        <v>98.399000000000001</v>
      </c>
      <c r="D1979" s="1105">
        <v>102</v>
      </c>
      <c r="F1979" s="1142">
        <v>10</v>
      </c>
      <c r="G1979" s="617"/>
      <c r="H1979" s="1146">
        <v>984</v>
      </c>
      <c r="I1979" s="1146">
        <v>1020</v>
      </c>
      <c r="K1979" s="1142">
        <v>10</v>
      </c>
      <c r="L1979" s="617"/>
      <c r="M1979" s="1142">
        <v>0</v>
      </c>
      <c r="N1979" s="617"/>
      <c r="O1979" s="1142">
        <v>0</v>
      </c>
      <c r="P1979" s="617"/>
      <c r="Q1979" s="1907">
        <v>10</v>
      </c>
      <c r="R1979" s="617"/>
      <c r="S1979" s="1629">
        <v>1020</v>
      </c>
      <c r="T1979" s="1114"/>
      <c r="U1979" s="1114"/>
      <c r="V1979" s="1114"/>
      <c r="W1979" s="1114"/>
      <c r="X1979" s="1114"/>
      <c r="Y1979" s="1146">
        <v>1020</v>
      </c>
      <c r="Z1979" s="2114">
        <f>C1979-'Blocking-Step2'!C1979</f>
        <v>0</v>
      </c>
      <c r="AA1979" s="2114">
        <f>D1979-'Blocking-Step2'!D1979</f>
        <v>0</v>
      </c>
      <c r="AC1979" s="2114">
        <f>F1979-'Blocking-Step2'!F1979</f>
        <v>0</v>
      </c>
      <c r="AE1979" s="2114">
        <f>H1979-'Blocking-Step2'!H1979</f>
        <v>0</v>
      </c>
      <c r="AF1979" s="2114">
        <f>I1979-'Blocking-Step2'!I1979</f>
        <v>0</v>
      </c>
      <c r="AH1979" s="2136">
        <f>K1979-'Blocking-Step2'!K1979</f>
        <v>0</v>
      </c>
      <c r="AJ1979" s="2136">
        <f>M1979-'Blocking-Step2'!M1979</f>
        <v>0</v>
      </c>
      <c r="AL1979" s="2136">
        <f>O1979-'Blocking-Step2'!O1979</f>
        <v>0</v>
      </c>
      <c r="AN1979" s="2137">
        <f>Q1979-'Blocking-Step2'!Q1979</f>
        <v>0</v>
      </c>
      <c r="AP1979" s="2127">
        <f>S1979-'Blocking-Step2'!S1979</f>
        <v>0</v>
      </c>
      <c r="AR1979" s="2127">
        <f>U1979-'Blocking-Step2'!U1979</f>
        <v>0</v>
      </c>
      <c r="AT1979" s="2127">
        <f>W1979-'Blocking-Step2'!W1979</f>
        <v>0</v>
      </c>
      <c r="AV1979" s="2128">
        <f>Y1979-'Blocking-Step2'!Y1979</f>
        <v>0</v>
      </c>
    </row>
    <row r="1980" spans="1:48">
      <c r="A1980" s="1116" t="s">
        <v>1654</v>
      </c>
      <c r="C1980" s="1105">
        <v>307129.99190138647</v>
      </c>
      <c r="D1980" s="1105">
        <v>303570</v>
      </c>
      <c r="F1980" s="1142"/>
      <c r="G1980" s="617"/>
      <c r="H1980" s="1146"/>
      <c r="I1980" s="1146"/>
      <c r="K1980" s="1142">
        <v>8.89</v>
      </c>
      <c r="L1980" s="617"/>
      <c r="M1980" s="1142">
        <v>0</v>
      </c>
      <c r="N1980" s="617"/>
      <c r="O1980" s="1142">
        <v>0</v>
      </c>
      <c r="P1980" s="617"/>
      <c r="Q1980" s="1142">
        <v>8.89</v>
      </c>
      <c r="R1980" s="617"/>
      <c r="S1980" s="1114">
        <v>2698737</v>
      </c>
      <c r="T1980" s="1114"/>
      <c r="U1980" s="1114"/>
      <c r="V1980" s="1114"/>
      <c r="W1980" s="1114"/>
      <c r="X1980" s="1114"/>
      <c r="Y1980" s="1146">
        <v>2698737</v>
      </c>
      <c r="Z1980" s="2114">
        <f>C1980-'Blocking-Step2'!C1980</f>
        <v>0</v>
      </c>
      <c r="AA1980" s="2114">
        <f>D1980-'Blocking-Step2'!D1980</f>
        <v>0</v>
      </c>
      <c r="AC1980" s="2114">
        <f>F1980-'Blocking-Step2'!F1980</f>
        <v>0</v>
      </c>
      <c r="AE1980" s="2114">
        <f>H1980-'Blocking-Step2'!H1980</f>
        <v>0</v>
      </c>
      <c r="AF1980" s="2114">
        <f>I1980-'Blocking-Step2'!I1980</f>
        <v>0</v>
      </c>
      <c r="AH1980" s="2136">
        <f>K1980-'Blocking-Step2'!K1980</f>
        <v>0</v>
      </c>
      <c r="AJ1980" s="2136">
        <f>M1980-'Blocking-Step2'!M1980</f>
        <v>0</v>
      </c>
      <c r="AL1980" s="2136">
        <f>O1980-'Blocking-Step2'!O1980</f>
        <v>0</v>
      </c>
      <c r="AN1980" s="2137">
        <f>Q1980-'Blocking-Step2'!Q1980</f>
        <v>0</v>
      </c>
      <c r="AP1980" s="2127">
        <f>S1980-'Blocking-Step2'!S1980</f>
        <v>0</v>
      </c>
      <c r="AR1980" s="2127">
        <f>U1980-'Blocking-Step2'!U1980</f>
        <v>0</v>
      </c>
      <c r="AT1980" s="2127">
        <f>W1980-'Blocking-Step2'!W1980</f>
        <v>0</v>
      </c>
      <c r="AV1980" s="2128">
        <f>Y1980-'Blocking-Step2'!Y1980</f>
        <v>0</v>
      </c>
    </row>
    <row r="1981" spans="1:48">
      <c r="A1981" s="1116" t="s">
        <v>1655</v>
      </c>
      <c r="C1981" s="1105">
        <v>357703.21417129517</v>
      </c>
      <c r="D1981" s="1105">
        <v>353344</v>
      </c>
      <c r="F1981" s="1142"/>
      <c r="G1981" s="617"/>
      <c r="H1981" s="1146"/>
      <c r="I1981" s="1146"/>
      <c r="K1981" s="1142">
        <v>7.87</v>
      </c>
      <c r="L1981" s="617"/>
      <c r="M1981" s="1142">
        <v>0</v>
      </c>
      <c r="N1981" s="617"/>
      <c r="O1981" s="1142">
        <v>0</v>
      </c>
      <c r="P1981" s="617"/>
      <c r="Q1981" s="1142">
        <v>7.87</v>
      </c>
      <c r="R1981" s="617"/>
      <c r="S1981" s="1114">
        <v>2780817</v>
      </c>
      <c r="T1981" s="1114"/>
      <c r="U1981" s="1114"/>
      <c r="V1981" s="1114"/>
      <c r="W1981" s="1114"/>
      <c r="X1981" s="1114"/>
      <c r="Y1981" s="1146">
        <v>2780817</v>
      </c>
      <c r="Z1981" s="2114">
        <f>C1981-'Blocking-Step2'!C1981</f>
        <v>0</v>
      </c>
      <c r="AA1981" s="2114">
        <f>D1981-'Blocking-Step2'!D1981</f>
        <v>0</v>
      </c>
      <c r="AC1981" s="2114">
        <f>F1981-'Blocking-Step2'!F1981</f>
        <v>0</v>
      </c>
      <c r="AE1981" s="2114">
        <f>H1981-'Blocking-Step2'!H1981</f>
        <v>0</v>
      </c>
      <c r="AF1981" s="2114">
        <f>I1981-'Blocking-Step2'!I1981</f>
        <v>0</v>
      </c>
      <c r="AH1981" s="2136">
        <f>K1981-'Blocking-Step2'!K1981</f>
        <v>0</v>
      </c>
      <c r="AJ1981" s="2136">
        <f>M1981-'Blocking-Step2'!M1981</f>
        <v>0</v>
      </c>
      <c r="AL1981" s="2136">
        <f>O1981-'Blocking-Step2'!O1981</f>
        <v>0</v>
      </c>
      <c r="AN1981" s="2137">
        <f>Q1981-'Blocking-Step2'!Q1981</f>
        <v>0</v>
      </c>
      <c r="AP1981" s="2127">
        <f>S1981-'Blocking-Step2'!S1981</f>
        <v>0</v>
      </c>
      <c r="AR1981" s="2127">
        <f>U1981-'Blocking-Step2'!U1981</f>
        <v>0</v>
      </c>
      <c r="AT1981" s="2127">
        <f>W1981-'Blocking-Step2'!W1981</f>
        <v>0</v>
      </c>
      <c r="AV1981" s="2128">
        <f>Y1981-'Blocking-Step2'!Y1981</f>
        <v>0</v>
      </c>
    </row>
    <row r="1982" spans="1:48">
      <c r="A1982" s="1116" t="s">
        <v>1656</v>
      </c>
      <c r="C1982" s="1105">
        <v>246513686.00034341</v>
      </c>
      <c r="D1982" s="1105">
        <v>245732054.41468564</v>
      </c>
      <c r="F1982" s="1106"/>
      <c r="G1982" s="1921"/>
      <c r="H1982" s="1146"/>
      <c r="I1982" s="1146"/>
      <c r="K1982" s="1106">
        <v>1.4671000000000001</v>
      </c>
      <c r="L1982" s="1921" t="s">
        <v>495</v>
      </c>
      <c r="M1982" s="1106">
        <v>7.9411934380819993</v>
      </c>
      <c r="N1982" s="1921" t="s">
        <v>495</v>
      </c>
      <c r="O1982" s="1106">
        <v>2.3066</v>
      </c>
      <c r="P1982" s="1921" t="s">
        <v>495</v>
      </c>
      <c r="Q1982" s="1106">
        <v>11.714893438081999</v>
      </c>
      <c r="R1982" s="1921" t="s">
        <v>495</v>
      </c>
      <c r="S1982" s="617">
        <v>4906808.3063223194</v>
      </c>
      <c r="T1982" s="1648"/>
      <c r="U1982" s="2037">
        <v>16574984.973151222</v>
      </c>
      <c r="V1982" s="1648"/>
      <c r="W1982" s="1648">
        <v>7305454.7205264568</v>
      </c>
      <c r="X1982" s="1648"/>
      <c r="Y1982" s="1146">
        <v>28787248</v>
      </c>
      <c r="Z1982" s="2114">
        <f>C1982-'Blocking-Step2'!C1982</f>
        <v>0</v>
      </c>
      <c r="AA1982" s="2114">
        <f>D1982-'Blocking-Step2'!D1982</f>
        <v>0</v>
      </c>
      <c r="AC1982" s="2114">
        <f>F1982-'Blocking-Step2'!F1982</f>
        <v>0</v>
      </c>
      <c r="AE1982" s="2114">
        <f>H1982-'Blocking-Step2'!H1982</f>
        <v>0</v>
      </c>
      <c r="AF1982" s="2114">
        <f>I1982-'Blocking-Step2'!I1982</f>
        <v>0</v>
      </c>
      <c r="AH1982" s="2136">
        <f>K1982-'Blocking-Step2'!K1982</f>
        <v>-1.4732000000000001</v>
      </c>
      <c r="AJ1982" s="2136">
        <f>M1982-'Blocking-Step2'!M1982</f>
        <v>1.4755465414459987</v>
      </c>
      <c r="AL1982" s="2136">
        <f>O1982-'Blocking-Step2'!O1982</f>
        <v>0</v>
      </c>
      <c r="AN1982" s="2137">
        <f>Q1982-'Blocking-Step2'!Q1982</f>
        <v>2.3465414459984402E-3</v>
      </c>
      <c r="AP1982" s="2127">
        <f>S1982-'Blocking-Step2'!S1982</f>
        <v>-4927711.6412496548</v>
      </c>
      <c r="AR1982" s="2127">
        <f>U1982-'Blocking-Step2'!U1982</f>
        <v>4933877.0317239836</v>
      </c>
      <c r="AT1982" s="2127">
        <f>W1982-'Blocking-Step2'!W1982</f>
        <v>-399.39047433063388</v>
      </c>
      <c r="AV1982" s="2128">
        <f>Y1982-'Blocking-Step2'!Y1982</f>
        <v>5766</v>
      </c>
    </row>
    <row r="1983" spans="1:48">
      <c r="A1983" s="1116" t="s">
        <v>1657</v>
      </c>
      <c r="C1983" s="1105">
        <v>255582783.39106882</v>
      </c>
      <c r="D1983" s="1105">
        <v>255089575</v>
      </c>
      <c r="F1983" s="1106"/>
      <c r="G1983" s="1921"/>
      <c r="H1983" s="1146"/>
      <c r="I1983" s="1146"/>
      <c r="K1983" s="1106">
        <v>1.4671000000000001</v>
      </c>
      <c r="L1983" s="1921" t="s">
        <v>495</v>
      </c>
      <c r="M1983" s="1106">
        <v>2.7858934380819993</v>
      </c>
      <c r="N1983" s="1921" t="s">
        <v>495</v>
      </c>
      <c r="O1983" s="1106">
        <v>2.3066</v>
      </c>
      <c r="P1983" s="1921" t="s">
        <v>495</v>
      </c>
      <c r="Q1983" s="1106">
        <v>6.5595934380819996</v>
      </c>
      <c r="R1983" s="1921" t="s">
        <v>495</v>
      </c>
      <c r="S1983" s="1114">
        <v>2852125.1282357401</v>
      </c>
      <c r="T1983" s="1648"/>
      <c r="U1983" s="1648">
        <v>9634354.5928099398</v>
      </c>
      <c r="V1983" s="1648"/>
      <c r="W1983" s="1648">
        <v>4246359.2789543197</v>
      </c>
      <c r="X1983" s="1648"/>
      <c r="Y1983" s="1146">
        <v>16732839</v>
      </c>
      <c r="Z1983" s="2114">
        <f>C1983-'Blocking-Step2'!C1983</f>
        <v>0</v>
      </c>
      <c r="AA1983" s="2114">
        <f>D1983-'Blocking-Step2'!D1983</f>
        <v>0</v>
      </c>
      <c r="AC1983" s="2114">
        <f>F1983-'Blocking-Step2'!F1983</f>
        <v>0</v>
      </c>
      <c r="AE1983" s="2114">
        <f>H1983-'Blocking-Step2'!H1983</f>
        <v>0</v>
      </c>
      <c r="AF1983" s="2114">
        <f>I1983-'Blocking-Step2'!I1983</f>
        <v>0</v>
      </c>
      <c r="AH1983" s="2136">
        <f>K1983-'Blocking-Step2'!K1983</f>
        <v>-1.4732000000000001</v>
      </c>
      <c r="AJ1983" s="2136">
        <f>M1983-'Blocking-Step2'!M1983</f>
        <v>1.4755465414459983</v>
      </c>
      <c r="AL1983" s="2136">
        <f>O1983-'Blocking-Step2'!O1983</f>
        <v>0</v>
      </c>
      <c r="AN1983" s="2137">
        <f>Q1983-'Blocking-Step2'!Q1983</f>
        <v>2.3465414459984402E-3</v>
      </c>
      <c r="AP1983" s="2127">
        <f>S1983-'Blocking-Step2'!S1983</f>
        <v>-2863375.1885514264</v>
      </c>
      <c r="AR1983" s="2127">
        <f>U1983-'Blocking-Step2'!U1983</f>
        <v>2868924.6092744842</v>
      </c>
      <c r="AT1983" s="2127">
        <f>W1983-'Blocking-Step2'!W1983</f>
        <v>436.57927694171667</v>
      </c>
      <c r="AV1983" s="2128">
        <f>Y1983-'Blocking-Step2'!Y1983</f>
        <v>5986</v>
      </c>
    </row>
    <row r="1984" spans="1:48">
      <c r="A1984" s="1116" t="s">
        <v>1658</v>
      </c>
      <c r="C1984" s="1105">
        <v>497637266.10561931</v>
      </c>
      <c r="D1984" s="1105">
        <v>491138812</v>
      </c>
      <c r="F1984" s="1106"/>
      <c r="G1984" s="1921"/>
      <c r="H1984" s="1146"/>
      <c r="I1984" s="1146"/>
      <c r="K1984" s="1106">
        <v>1.4671000000000001</v>
      </c>
      <c r="L1984" s="1921" t="s">
        <v>495</v>
      </c>
      <c r="M1984" s="1106">
        <v>6.7850000000000001</v>
      </c>
      <c r="N1984" s="1921" t="s">
        <v>495</v>
      </c>
      <c r="O1984" s="1106">
        <v>2.1151</v>
      </c>
      <c r="P1984" s="1921" t="s">
        <v>495</v>
      </c>
      <c r="Q1984" s="1106">
        <v>10.3672</v>
      </c>
      <c r="R1984" s="1921" t="s">
        <v>495</v>
      </c>
      <c r="S1984" s="1114">
        <v>8678899.8228751365</v>
      </c>
      <c r="T1984" s="1648"/>
      <c r="U1984" s="1648">
        <v>29316945.999763045</v>
      </c>
      <c r="V1984" s="1648"/>
      <c r="W1984" s="1648">
        <v>12921497.17736182</v>
      </c>
      <c r="X1984" s="1648"/>
      <c r="Y1984" s="1146">
        <v>50917343</v>
      </c>
      <c r="Z1984" s="2114">
        <f>C1984-'Blocking-Step2'!C1984</f>
        <v>0</v>
      </c>
      <c r="AA1984" s="2114">
        <f>D1984-'Blocking-Step2'!D1984</f>
        <v>0</v>
      </c>
      <c r="AC1984" s="2114">
        <f>F1984-'Blocking-Step2'!F1984</f>
        <v>0</v>
      </c>
      <c r="AE1984" s="2114">
        <f>H1984-'Blocking-Step2'!H1984</f>
        <v>0</v>
      </c>
      <c r="AF1984" s="2114">
        <f>I1984-'Blocking-Step2'!I1984</f>
        <v>0</v>
      </c>
      <c r="AH1984" s="2136">
        <f>K1984-'Blocking-Step2'!K1984</f>
        <v>-1.4732000000000001</v>
      </c>
      <c r="AJ1984" s="2136">
        <f>M1984-'Blocking-Step2'!M1984</f>
        <v>1.4753000000000007</v>
      </c>
      <c r="AL1984" s="2136">
        <f>O1984-'Blocking-Step2'!O1984</f>
        <v>0</v>
      </c>
      <c r="AN1984" s="2137">
        <f>Q1984-'Blocking-Step2'!Q1984</f>
        <v>2.1000000000004349E-3</v>
      </c>
      <c r="AP1984" s="2127">
        <f>S1984-'Blocking-Step2'!S1984</f>
        <v>-8715833.0881030057</v>
      </c>
      <c r="AR1984" s="2127">
        <f>U1984-'Blocking-Step2'!U1984</f>
        <v>8726824.2135962769</v>
      </c>
      <c r="AT1984" s="2127">
        <f>W1984-'Blocking-Step2'!W1984</f>
        <v>-677.12549326941371</v>
      </c>
      <c r="AV1984" s="2128">
        <f>Y1984-'Blocking-Step2'!Y1984</f>
        <v>10314</v>
      </c>
    </row>
    <row r="1985" spans="1:48">
      <c r="A1985" s="1116" t="s">
        <v>1659</v>
      </c>
      <c r="C1985" s="1105">
        <v>399727710.95724291</v>
      </c>
      <c r="D1985" s="1105">
        <v>394638630</v>
      </c>
      <c r="F1985" s="1106"/>
      <c r="G1985" s="1921"/>
      <c r="H1985" s="1146"/>
      <c r="I1985" s="1146"/>
      <c r="K1985" s="1106">
        <v>1.4671000000000001</v>
      </c>
      <c r="L1985" s="1921" t="s">
        <v>495</v>
      </c>
      <c r="M1985" s="1106">
        <v>2.2226999999999997</v>
      </c>
      <c r="N1985" s="1921" t="s">
        <v>495</v>
      </c>
      <c r="O1985" s="1106">
        <v>2.1151</v>
      </c>
      <c r="P1985" s="1921" t="s">
        <v>495</v>
      </c>
      <c r="Q1985" s="1106">
        <v>5.8048999999999999</v>
      </c>
      <c r="R1985" s="1921" t="s">
        <v>495</v>
      </c>
      <c r="S1985" s="1114">
        <v>3904750.4455712987</v>
      </c>
      <c r="T1985" s="1648"/>
      <c r="U1985" s="1648">
        <v>13190077.117106438</v>
      </c>
      <c r="V1985" s="1648"/>
      <c r="W1985" s="1648">
        <v>5813550.4373222627</v>
      </c>
      <c r="X1985" s="1648"/>
      <c r="Y1985" s="1146">
        <v>22908378</v>
      </c>
      <c r="Z1985" s="2114">
        <f>C1985-'Blocking-Step2'!C1985</f>
        <v>0</v>
      </c>
      <c r="AA1985" s="2114">
        <f>D1985-'Blocking-Step2'!D1985</f>
        <v>0</v>
      </c>
      <c r="AC1985" s="2114">
        <f>F1985-'Blocking-Step2'!F1985</f>
        <v>0</v>
      </c>
      <c r="AE1985" s="2114">
        <f>H1985-'Blocking-Step2'!H1985</f>
        <v>0</v>
      </c>
      <c r="AF1985" s="2114">
        <f>I1985-'Blocking-Step2'!I1985</f>
        <v>0</v>
      </c>
      <c r="AH1985" s="2136">
        <f>K1985-'Blocking-Step2'!K1985</f>
        <v>-1.4732000000000001</v>
      </c>
      <c r="AJ1985" s="2136">
        <f>M1985-'Blocking-Step2'!M1985</f>
        <v>1.4751999999999996</v>
      </c>
      <c r="AL1985" s="2136">
        <f>O1985-'Blocking-Step2'!O1985</f>
        <v>0</v>
      </c>
      <c r="AN1985" s="2137">
        <f>Q1985-'Blocking-Step2'!Q1985</f>
        <v>1.9999999999997797E-3</v>
      </c>
      <c r="AP1985" s="2127">
        <f>S1985-'Blocking-Step2'!S1985</f>
        <v>-3920255.8046826944</v>
      </c>
      <c r="AR1985" s="2127">
        <f>U1985-'Blocking-Step2'!U1985</f>
        <v>3927627.8173783924</v>
      </c>
      <c r="AT1985" s="2127">
        <f>W1985-'Blocking-Step2'!W1985</f>
        <v>520.98730430193245</v>
      </c>
      <c r="AV1985" s="2128">
        <f>Y1985-'Blocking-Step2'!Y1985</f>
        <v>7893</v>
      </c>
    </row>
    <row r="1986" spans="1:48">
      <c r="A1986" s="1116" t="s">
        <v>282</v>
      </c>
      <c r="C1986" s="1105">
        <v>359490.05664739525</v>
      </c>
      <c r="D1986" s="1105">
        <v>355316</v>
      </c>
      <c r="F1986" s="1907">
        <v>8.65</v>
      </c>
      <c r="G1986" s="1110"/>
      <c r="H1986" s="1146">
        <v>3109589</v>
      </c>
      <c r="I1986" s="1146">
        <v>3073483</v>
      </c>
      <c r="K1986" s="1907"/>
      <c r="L1986" s="1110"/>
      <c r="M1986" s="1907"/>
      <c r="N1986" s="1110"/>
      <c r="O1986" s="1907"/>
      <c r="P1986" s="1110"/>
      <c r="Q1986" s="1907"/>
      <c r="R1986" s="1110"/>
      <c r="S1986" s="1629"/>
      <c r="T1986" s="1629"/>
      <c r="U1986" s="1629"/>
      <c r="V1986" s="1629"/>
      <c r="W1986" s="1629"/>
      <c r="X1986" s="1629"/>
      <c r="Y1986" s="1146"/>
      <c r="Z1986" s="2114">
        <f>C1986-'Blocking-Step2'!C1986</f>
        <v>0</v>
      </c>
      <c r="AA1986" s="2114">
        <f>D1986-'Blocking-Step2'!D1986</f>
        <v>0</v>
      </c>
      <c r="AC1986" s="2114">
        <f>F1986-'Blocking-Step2'!F1986</f>
        <v>0</v>
      </c>
      <c r="AE1986" s="2114">
        <f>H1986-'Blocking-Step2'!H1986</f>
        <v>0</v>
      </c>
      <c r="AF1986" s="2114">
        <f>I1986-'Blocking-Step2'!I1986</f>
        <v>0</v>
      </c>
      <c r="AH1986" s="2136">
        <f>K1986-'Blocking-Step2'!K1986</f>
        <v>0</v>
      </c>
      <c r="AJ1986" s="2136">
        <f>M1986-'Blocking-Step2'!M1986</f>
        <v>0</v>
      </c>
      <c r="AL1986" s="2136">
        <f>O1986-'Blocking-Step2'!O1986</f>
        <v>0</v>
      </c>
      <c r="AN1986" s="2137">
        <f>Q1986-'Blocking-Step2'!Q1986</f>
        <v>0</v>
      </c>
      <c r="AP1986" s="2127">
        <f>S1986-'Blocking-Step2'!S1986</f>
        <v>0</v>
      </c>
      <c r="AR1986" s="2127">
        <f>U1986-'Blocking-Step2'!U1986</f>
        <v>0</v>
      </c>
      <c r="AT1986" s="2127">
        <f>W1986-'Blocking-Step2'!W1986</f>
        <v>0</v>
      </c>
      <c r="AV1986" s="2128">
        <f>Y1986-'Blocking-Step2'!Y1986</f>
        <v>0</v>
      </c>
    </row>
    <row r="1987" spans="1:48">
      <c r="A1987" s="1116" t="s">
        <v>283</v>
      </c>
      <c r="C1987" s="1105">
        <v>305343.14942528633</v>
      </c>
      <c r="D1987" s="1105">
        <v>301598</v>
      </c>
      <c r="F1987" s="1907">
        <v>8.7000000000000011</v>
      </c>
      <c r="G1987" s="1110"/>
      <c r="H1987" s="1146">
        <v>2656485</v>
      </c>
      <c r="I1987" s="1146">
        <v>2623903</v>
      </c>
      <c r="K1987" s="1907"/>
      <c r="L1987" s="1110"/>
      <c r="M1987" s="1907"/>
      <c r="N1987" s="1110"/>
      <c r="O1987" s="1907"/>
      <c r="P1987" s="1110"/>
      <c r="Q1987" s="1907"/>
      <c r="R1987" s="1110"/>
      <c r="S1987" s="1629"/>
      <c r="T1987" s="1629"/>
      <c r="U1987" s="1629"/>
      <c r="V1987" s="1629"/>
      <c r="W1987" s="1629"/>
      <c r="X1987" s="1629"/>
      <c r="Y1987" s="1146"/>
      <c r="Z1987" s="2114">
        <f>C1987-'Blocking-Step2'!C1987</f>
        <v>0</v>
      </c>
      <c r="AA1987" s="2114">
        <f>D1987-'Blocking-Step2'!D1987</f>
        <v>0</v>
      </c>
      <c r="AC1987" s="2114">
        <f>F1987-'Blocking-Step2'!F1987</f>
        <v>0</v>
      </c>
      <c r="AE1987" s="2114">
        <f>H1987-'Blocking-Step2'!H1987</f>
        <v>0</v>
      </c>
      <c r="AF1987" s="2114">
        <f>I1987-'Blocking-Step2'!I1987</f>
        <v>0</v>
      </c>
      <c r="AH1987" s="2136">
        <f>K1987-'Blocking-Step2'!K1987</f>
        <v>0</v>
      </c>
      <c r="AJ1987" s="2136">
        <f>M1987-'Blocking-Step2'!M1987</f>
        <v>0</v>
      </c>
      <c r="AL1987" s="2136">
        <f>O1987-'Blocking-Step2'!O1987</f>
        <v>0</v>
      </c>
      <c r="AN1987" s="2137">
        <f>Q1987-'Blocking-Step2'!Q1987</f>
        <v>0</v>
      </c>
      <c r="AP1987" s="2127">
        <f>S1987-'Blocking-Step2'!S1987</f>
        <v>0</v>
      </c>
      <c r="AR1987" s="2127">
        <f>U1987-'Blocking-Step2'!U1987</f>
        <v>0</v>
      </c>
      <c r="AT1987" s="2127">
        <f>W1987-'Blocking-Step2'!W1987</f>
        <v>0</v>
      </c>
      <c r="AV1987" s="2128">
        <f>Y1987-'Blocking-Step2'!Y1987</f>
        <v>0</v>
      </c>
    </row>
    <row r="1988" spans="1:48">
      <c r="A1988" s="1116" t="s">
        <v>261</v>
      </c>
      <c r="C1988" s="1105">
        <v>12132.72916666667</v>
      </c>
      <c r="D1988" s="1105">
        <v>11994</v>
      </c>
      <c r="F1988" s="1907">
        <v>-0.48</v>
      </c>
      <c r="G1988" s="1110"/>
      <c r="H1988" s="1146">
        <v>-5824</v>
      </c>
      <c r="I1988" s="1146">
        <v>-5757</v>
      </c>
      <c r="K1988" s="1142">
        <v>-0.48</v>
      </c>
      <c r="L1988" s="617"/>
      <c r="M1988" s="1142">
        <v>0</v>
      </c>
      <c r="N1988" s="617"/>
      <c r="O1988" s="1142">
        <v>0</v>
      </c>
      <c r="P1988" s="1110"/>
      <c r="Q1988" s="1907">
        <v>-0.48</v>
      </c>
      <c r="R1988" s="1110"/>
      <c r="S1988" s="1629">
        <v>-5757</v>
      </c>
      <c r="T1988" s="1629"/>
      <c r="U1988" s="1629"/>
      <c r="V1988" s="1629"/>
      <c r="W1988" s="1629"/>
      <c r="X1988" s="1629"/>
      <c r="Y1988" s="1146">
        <v>-5757</v>
      </c>
      <c r="Z1988" s="2114">
        <f>C1988-'Blocking-Step2'!C1988</f>
        <v>0</v>
      </c>
      <c r="AA1988" s="2114">
        <f>D1988-'Blocking-Step2'!D1988</f>
        <v>0</v>
      </c>
      <c r="AC1988" s="2114">
        <f>F1988-'Blocking-Step2'!F1988</f>
        <v>0</v>
      </c>
      <c r="AE1988" s="2114">
        <f>H1988-'Blocking-Step2'!H1988</f>
        <v>0</v>
      </c>
      <c r="AF1988" s="2114">
        <f>I1988-'Blocking-Step2'!I1988</f>
        <v>0</v>
      </c>
      <c r="AH1988" s="2136">
        <f>K1988-'Blocking-Step2'!K1988</f>
        <v>0</v>
      </c>
      <c r="AJ1988" s="2136">
        <f>M1988-'Blocking-Step2'!M1988</f>
        <v>0</v>
      </c>
      <c r="AL1988" s="2136">
        <f>O1988-'Blocking-Step2'!O1988</f>
        <v>0</v>
      </c>
      <c r="AN1988" s="2137">
        <f>Q1988-'Blocking-Step2'!Q1988</f>
        <v>0</v>
      </c>
      <c r="AP1988" s="2127">
        <f>S1988-'Blocking-Step2'!S1988</f>
        <v>0</v>
      </c>
      <c r="AR1988" s="2127">
        <f>U1988-'Blocking-Step2'!U1988</f>
        <v>0</v>
      </c>
      <c r="AT1988" s="2127">
        <f>W1988-'Blocking-Step2'!W1988</f>
        <v>0</v>
      </c>
      <c r="AV1988" s="2128">
        <f>Y1988-'Blocking-Step2'!Y1988</f>
        <v>0</v>
      </c>
    </row>
    <row r="1989" spans="1:48">
      <c r="A1989" s="1116" t="s">
        <v>194</v>
      </c>
      <c r="C1989" s="1105">
        <v>306932669.66192746</v>
      </c>
      <c r="D1989" s="1105">
        <v>308060156.41468561</v>
      </c>
      <c r="F1989" s="1927">
        <v>11.733599999999999</v>
      </c>
      <c r="G1989" s="1921" t="s">
        <v>495</v>
      </c>
      <c r="H1989" s="1146">
        <v>36014252</v>
      </c>
      <c r="I1989" s="1146">
        <v>36146547</v>
      </c>
      <c r="K1989" s="1927"/>
      <c r="L1989" s="1921"/>
      <c r="M1989" s="1927"/>
      <c r="N1989" s="1921"/>
      <c r="O1989" s="1927"/>
      <c r="P1989" s="1921"/>
      <c r="Q1989" s="1927"/>
      <c r="R1989" s="1921"/>
      <c r="S1989" s="1648"/>
      <c r="T1989" s="1648"/>
      <c r="U1989" s="1648"/>
      <c r="V1989" s="1648"/>
      <c r="W1989" s="1648"/>
      <c r="X1989" s="1648"/>
      <c r="Y1989" s="1146"/>
      <c r="Z1989" s="2114">
        <f>C1989-'Blocking-Step2'!C1989</f>
        <v>0</v>
      </c>
      <c r="AA1989" s="2114">
        <f>D1989-'Blocking-Step2'!D1989</f>
        <v>0</v>
      </c>
      <c r="AC1989" s="2114">
        <f>F1989-'Blocking-Step2'!F1989</f>
        <v>0</v>
      </c>
      <c r="AE1989" s="2114">
        <f>H1989-'Blocking-Step2'!H1989</f>
        <v>0</v>
      </c>
      <c r="AF1989" s="2114">
        <f>I1989-'Blocking-Step2'!I1989</f>
        <v>0</v>
      </c>
      <c r="AH1989" s="2136">
        <f>K1989-'Blocking-Step2'!K1989</f>
        <v>0</v>
      </c>
      <c r="AJ1989" s="2136">
        <f>M1989-'Blocking-Step2'!M1989</f>
        <v>0</v>
      </c>
      <c r="AL1989" s="2136">
        <f>O1989-'Blocking-Step2'!O1989</f>
        <v>0</v>
      </c>
      <c r="AN1989" s="2137">
        <f>Q1989-'Blocking-Step2'!Q1989</f>
        <v>0</v>
      </c>
      <c r="AP1989" s="2127">
        <f>S1989-'Blocking-Step2'!S1989</f>
        <v>0</v>
      </c>
      <c r="AR1989" s="2127">
        <f>U1989-'Blocking-Step2'!U1989</f>
        <v>0</v>
      </c>
      <c r="AT1989" s="2127">
        <f>W1989-'Blocking-Step2'!W1989</f>
        <v>0</v>
      </c>
      <c r="AV1989" s="2128">
        <f>Y1989-'Blocking-Step2'!Y1989</f>
        <v>0</v>
      </c>
    </row>
    <row r="1990" spans="1:48">
      <c r="A1990" s="1116" t="s">
        <v>195</v>
      </c>
      <c r="C1990" s="1105">
        <v>299805428.240731</v>
      </c>
      <c r="D1990" s="1105">
        <v>301253476</v>
      </c>
      <c r="F1990" s="1927">
        <v>6.5782999999999996</v>
      </c>
      <c r="G1990" s="1921" t="s">
        <v>495</v>
      </c>
      <c r="H1990" s="1146">
        <v>19722100</v>
      </c>
      <c r="I1990" s="1146">
        <v>19817357</v>
      </c>
      <c r="K1990" s="1927"/>
      <c r="L1990" s="1921"/>
      <c r="M1990" s="1927"/>
      <c r="N1990" s="1921"/>
      <c r="O1990" s="1927"/>
      <c r="P1990" s="1921"/>
      <c r="Q1990" s="1927"/>
      <c r="R1990" s="1921"/>
      <c r="S1990" s="1648"/>
      <c r="T1990" s="1648"/>
      <c r="U1990" s="1648"/>
      <c r="V1990" s="1648"/>
      <c r="W1990" s="1648"/>
      <c r="X1990" s="1648"/>
      <c r="Y1990" s="1146"/>
      <c r="Z1990" s="2114">
        <f>C1990-'Blocking-Step2'!C1990</f>
        <v>0</v>
      </c>
      <c r="AA1990" s="2114">
        <f>D1990-'Blocking-Step2'!D1990</f>
        <v>0</v>
      </c>
      <c r="AC1990" s="2114">
        <f>F1990-'Blocking-Step2'!F1990</f>
        <v>0</v>
      </c>
      <c r="AE1990" s="2114">
        <f>H1990-'Blocking-Step2'!H1990</f>
        <v>0</v>
      </c>
      <c r="AF1990" s="2114">
        <f>I1990-'Blocking-Step2'!I1990</f>
        <v>0</v>
      </c>
      <c r="AH1990" s="2136">
        <f>K1990-'Blocking-Step2'!K1990</f>
        <v>0</v>
      </c>
      <c r="AJ1990" s="2136">
        <f>M1990-'Blocking-Step2'!M1990</f>
        <v>0</v>
      </c>
      <c r="AL1990" s="2136">
        <f>O1990-'Blocking-Step2'!O1990</f>
        <v>0</v>
      </c>
      <c r="AN1990" s="2137">
        <f>Q1990-'Blocking-Step2'!Q1990</f>
        <v>0</v>
      </c>
      <c r="AP1990" s="2127">
        <f>S1990-'Blocking-Step2'!S1990</f>
        <v>0</v>
      </c>
      <c r="AR1990" s="2127">
        <f>U1990-'Blocking-Step2'!U1990</f>
        <v>0</v>
      </c>
      <c r="AT1990" s="2127">
        <f>W1990-'Blocking-Step2'!W1990</f>
        <v>0</v>
      </c>
      <c r="AV1990" s="2128">
        <f>Y1990-'Blocking-Step2'!Y1990</f>
        <v>0</v>
      </c>
    </row>
    <row r="1991" spans="1:48">
      <c r="A1991" s="1116" t="s">
        <v>160</v>
      </c>
      <c r="C1991" s="1105">
        <v>437218282.44403523</v>
      </c>
      <c r="D1991" s="1105">
        <v>428643673</v>
      </c>
      <c r="F1991" s="1927">
        <v>10.8</v>
      </c>
      <c r="G1991" s="1921" t="s">
        <v>495</v>
      </c>
      <c r="H1991" s="1146">
        <v>47219575</v>
      </c>
      <c r="I1991" s="1146">
        <v>46293517</v>
      </c>
      <c r="K1991" s="1927"/>
      <c r="L1991" s="1921"/>
      <c r="M1991" s="1927"/>
      <c r="N1991" s="1921"/>
      <c r="O1991" s="1927"/>
      <c r="P1991" s="1921"/>
      <c r="Q1991" s="1927"/>
      <c r="R1991" s="1921"/>
      <c r="S1991" s="1648"/>
      <c r="T1991" s="1648"/>
      <c r="U1991" s="1648"/>
      <c r="V1991" s="1648"/>
      <c r="W1991" s="1648"/>
      <c r="X1991" s="1648"/>
      <c r="Y1991" s="1146"/>
      <c r="Z1991" s="2114">
        <f>C1991-'Blocking-Step2'!C1991</f>
        <v>0</v>
      </c>
      <c r="AA1991" s="2114">
        <f>D1991-'Blocking-Step2'!D1991</f>
        <v>0</v>
      </c>
      <c r="AC1991" s="2114">
        <f>F1991-'Blocking-Step2'!F1991</f>
        <v>0</v>
      </c>
      <c r="AE1991" s="2114">
        <f>H1991-'Blocking-Step2'!H1991</f>
        <v>0</v>
      </c>
      <c r="AF1991" s="2114">
        <f>I1991-'Blocking-Step2'!I1991</f>
        <v>0</v>
      </c>
      <c r="AH1991" s="2136">
        <f>K1991-'Blocking-Step2'!K1991</f>
        <v>0</v>
      </c>
      <c r="AJ1991" s="2136">
        <f>M1991-'Blocking-Step2'!M1991</f>
        <v>0</v>
      </c>
      <c r="AL1991" s="2136">
        <f>O1991-'Blocking-Step2'!O1991</f>
        <v>0</v>
      </c>
      <c r="AN1991" s="2137">
        <f>Q1991-'Blocking-Step2'!Q1991</f>
        <v>0</v>
      </c>
      <c r="AP1991" s="2127">
        <f>S1991-'Blocking-Step2'!S1991</f>
        <v>0</v>
      </c>
      <c r="AR1991" s="2127">
        <f>U1991-'Blocking-Step2'!U1991</f>
        <v>0</v>
      </c>
      <c r="AT1991" s="2127">
        <f>W1991-'Blocking-Step2'!W1991</f>
        <v>0</v>
      </c>
      <c r="AV1991" s="2128">
        <f>Y1991-'Blocking-Step2'!Y1991</f>
        <v>0</v>
      </c>
    </row>
    <row r="1992" spans="1:48">
      <c r="A1992" s="1116" t="s">
        <v>159</v>
      </c>
      <c r="C1992" s="1105">
        <v>355505066.10758072</v>
      </c>
      <c r="D1992" s="1105">
        <v>348641766</v>
      </c>
      <c r="F1992" s="1927">
        <v>6.0567000000000002</v>
      </c>
      <c r="G1992" s="1921" t="s">
        <v>495</v>
      </c>
      <c r="H1992" s="1146">
        <v>21531875</v>
      </c>
      <c r="I1992" s="1146">
        <v>21116186</v>
      </c>
      <c r="K1992" s="1927"/>
      <c r="L1992" s="1921"/>
      <c r="M1992" s="1927"/>
      <c r="N1992" s="1921"/>
      <c r="O1992" s="1927"/>
      <c r="P1992" s="1921"/>
      <c r="Q1992" s="1927"/>
      <c r="R1992" s="1921"/>
      <c r="S1992" s="1648"/>
      <c r="T1992" s="1648"/>
      <c r="U1992" s="1648"/>
      <c r="V1992" s="1648"/>
      <c r="W1992" s="1648"/>
      <c r="X1992" s="1648"/>
      <c r="Y1992" s="1146"/>
      <c r="Z1992" s="2114">
        <f>C1992-'Blocking-Step2'!C1992</f>
        <v>0</v>
      </c>
      <c r="AA1992" s="2114">
        <f>D1992-'Blocking-Step2'!D1992</f>
        <v>0</v>
      </c>
      <c r="AC1992" s="2114">
        <f>F1992-'Blocking-Step2'!F1992</f>
        <v>0</v>
      </c>
      <c r="AE1992" s="2114">
        <f>H1992-'Blocking-Step2'!H1992</f>
        <v>0</v>
      </c>
      <c r="AF1992" s="2114">
        <f>I1992-'Blocking-Step2'!I1992</f>
        <v>0</v>
      </c>
      <c r="AH1992" s="2136">
        <f>K1992-'Blocking-Step2'!K1992</f>
        <v>0</v>
      </c>
      <c r="AJ1992" s="2136">
        <f>M1992-'Blocking-Step2'!M1992</f>
        <v>0</v>
      </c>
      <c r="AL1992" s="2136">
        <f>O1992-'Blocking-Step2'!O1992</f>
        <v>0</v>
      </c>
      <c r="AN1992" s="2137">
        <f>Q1992-'Blocking-Step2'!Q1992</f>
        <v>0</v>
      </c>
      <c r="AP1992" s="2127">
        <f>S1992-'Blocking-Step2'!S1992</f>
        <v>0</v>
      </c>
      <c r="AR1992" s="2127">
        <f>U1992-'Blocking-Step2'!U1992</f>
        <v>0</v>
      </c>
      <c r="AT1992" s="2127">
        <f>W1992-'Blocking-Step2'!W1992</f>
        <v>0</v>
      </c>
      <c r="AV1992" s="2128">
        <f>Y1992-'Blocking-Step2'!Y1992</f>
        <v>0</v>
      </c>
    </row>
    <row r="1993" spans="1:48">
      <c r="A1993" s="1116" t="s">
        <v>1158</v>
      </c>
      <c r="B1993" s="1928"/>
      <c r="C1993" s="1105">
        <v>2093618</v>
      </c>
      <c r="D1993" s="1105">
        <v>2069676</v>
      </c>
      <c r="E1993" s="804"/>
      <c r="F1993" s="1927">
        <v>10.120799999999999</v>
      </c>
      <c r="G1993" s="1929" t="s">
        <v>495</v>
      </c>
      <c r="H1993" s="1146">
        <v>211891</v>
      </c>
      <c r="I1993" s="1146">
        <v>209468</v>
      </c>
      <c r="J1993" s="804"/>
      <c r="K1993" s="1927">
        <v>1.4671000000000001</v>
      </c>
      <c r="L1993" s="1929" t="s">
        <v>495</v>
      </c>
      <c r="M1993" s="1927">
        <v>7.4249999999999998</v>
      </c>
      <c r="N1993" s="1929" t="s">
        <v>495</v>
      </c>
      <c r="O1993" s="1927">
        <v>0</v>
      </c>
      <c r="P1993" s="1929" t="s">
        <v>495</v>
      </c>
      <c r="Q1993" s="1927">
        <v>8.8920999999999992</v>
      </c>
      <c r="R1993" s="1929" t="s">
        <v>495</v>
      </c>
      <c r="S1993" s="1656">
        <v>30364</v>
      </c>
      <c r="T1993" s="1656"/>
      <c r="U1993" s="1656">
        <v>153673</v>
      </c>
      <c r="V1993" s="1656"/>
      <c r="W1993" s="1656"/>
      <c r="X1993" s="1656"/>
      <c r="Y1993" s="1146">
        <v>184038</v>
      </c>
      <c r="Z1993" s="2114">
        <f>C1993-'Blocking-Step2'!C1993</f>
        <v>0</v>
      </c>
      <c r="AA1993" s="2114">
        <f>D1993-'Blocking-Step2'!D1993</f>
        <v>0</v>
      </c>
      <c r="AC1993" s="2114">
        <f>F1993-'Blocking-Step2'!F1993</f>
        <v>0</v>
      </c>
      <c r="AE1993" s="2114">
        <f>H1993-'Blocking-Step2'!H1993</f>
        <v>0</v>
      </c>
      <c r="AF1993" s="2114">
        <f>I1993-'Blocking-Step2'!I1993</f>
        <v>0</v>
      </c>
      <c r="AH1993" s="2136">
        <f>K1993-'Blocking-Step2'!K1993</f>
        <v>-1.4732000000000001</v>
      </c>
      <c r="AJ1993" s="2136">
        <f>M1993-'Blocking-Step2'!M1993</f>
        <v>0</v>
      </c>
      <c r="AL1993" s="2136">
        <f>O1993-'Blocking-Step2'!O1993</f>
        <v>0</v>
      </c>
      <c r="AN1993" s="2137">
        <f>Q1993-'Blocking-Step2'!Q1993</f>
        <v>-1.4732000000000003</v>
      </c>
      <c r="AP1993" s="2127">
        <f>S1993-'Blocking-Step2'!S1993</f>
        <v>-30491</v>
      </c>
      <c r="AR1993" s="2127">
        <f>U1993-'Blocking-Step2'!U1993</f>
        <v>0</v>
      </c>
      <c r="AT1993" s="2127">
        <f>W1993-'Blocking-Step2'!W1993</f>
        <v>0</v>
      </c>
      <c r="AV1993" s="2128">
        <f>Y1993-'Blocking-Step2'!Y1993</f>
        <v>-30490</v>
      </c>
    </row>
    <row r="1994" spans="1:48">
      <c r="A1994" s="1116" t="s">
        <v>246</v>
      </c>
      <c r="C1994" s="1940">
        <v>6316242</v>
      </c>
      <c r="D1994" s="1940">
        <v>0</v>
      </c>
      <c r="H1994" s="1147">
        <v>702376</v>
      </c>
      <c r="I1994" s="1147">
        <v>0</v>
      </c>
      <c r="Y1994" s="1147"/>
      <c r="Z1994" s="2114">
        <f>C1994-'Blocking-Step2'!C1994</f>
        <v>0</v>
      </c>
      <c r="AA1994" s="2114">
        <f>D1994-'Blocking-Step2'!D1994</f>
        <v>0</v>
      </c>
      <c r="AC1994" s="2114">
        <f>F1994-'Blocking-Step2'!F1994</f>
        <v>0</v>
      </c>
      <c r="AE1994" s="2114">
        <f>H1994-'Blocking-Step2'!H1994</f>
        <v>0</v>
      </c>
      <c r="AF1994" s="2114">
        <f>I1994-'Blocking-Step2'!I1994</f>
        <v>0</v>
      </c>
      <c r="AH1994" s="2136">
        <f>K1994-'Blocking-Step2'!K1994</f>
        <v>0</v>
      </c>
      <c r="AJ1994" s="2136">
        <f>M1994-'Blocking-Step2'!M1994</f>
        <v>0</v>
      </c>
      <c r="AL1994" s="2136">
        <f>O1994-'Blocking-Step2'!O1994</f>
        <v>0</v>
      </c>
      <c r="AN1994" s="2137">
        <f>Q1994-'Blocking-Step2'!Q1994</f>
        <v>0</v>
      </c>
      <c r="AP1994" s="2127">
        <f>S1994-'Blocking-Step2'!S1994</f>
        <v>0</v>
      </c>
      <c r="AR1994" s="2127">
        <f>U1994-'Blocking-Step2'!U1994</f>
        <v>0</v>
      </c>
      <c r="AT1994" s="2127">
        <f>W1994-'Blocking-Step2'!W1994</f>
        <v>0</v>
      </c>
      <c r="AV1994" s="2128">
        <f>Y1994-'Blocking-Step2'!Y1994</f>
        <v>0</v>
      </c>
    </row>
    <row r="1995" spans="1:48">
      <c r="A1995" s="1116" t="s">
        <v>1240</v>
      </c>
      <c r="C1995" s="1024"/>
      <c r="D1995" s="1024"/>
      <c r="F1995" s="2076">
        <v>-3.3099999999999997E-2</v>
      </c>
      <c r="G1995" s="617"/>
      <c r="H1995" s="1146">
        <v>-4318416.8876999998</v>
      </c>
      <c r="I1995" s="1146">
        <v>-4279183.2590999994</v>
      </c>
      <c r="K1995" s="2076"/>
      <c r="L1995" s="617"/>
      <c r="M1995" s="2076"/>
      <c r="N1995" s="617"/>
      <c r="O1995" s="2077" t="s">
        <v>2323</v>
      </c>
      <c r="P1995" s="617"/>
      <c r="Q1995" s="2076">
        <v>-2.5600000000000001E-2</v>
      </c>
      <c r="R1995" s="617"/>
      <c r="S1995" s="1114"/>
      <c r="T1995" s="1114"/>
      <c r="U1995" s="1114"/>
      <c r="V1995" s="1114"/>
      <c r="W1995" s="1114"/>
      <c r="X1995" s="1114"/>
      <c r="Y1995" s="1146">
        <v>-3200240.64</v>
      </c>
      <c r="Z1995" s="2114">
        <f>C1995-'Blocking-Step2'!C1995</f>
        <v>0</v>
      </c>
      <c r="AA1995" s="2114">
        <f>D1995-'Blocking-Step2'!D1995</f>
        <v>0</v>
      </c>
      <c r="AC1995" s="2114">
        <f>F1995-'Blocking-Step2'!F1995</f>
        <v>0</v>
      </c>
      <c r="AE1995" s="2114">
        <f>H1995-'Blocking-Step2'!H1995</f>
        <v>0</v>
      </c>
      <c r="AF1995" s="2114">
        <f>I1995-'Blocking-Step2'!I1995</f>
        <v>0</v>
      </c>
      <c r="AH1995" s="2136">
        <f>K1995-'Blocking-Step2'!K1995</f>
        <v>0</v>
      </c>
      <c r="AJ1995" s="2136">
        <f>M1995-'Blocking-Step2'!M1995</f>
        <v>0</v>
      </c>
      <c r="AL1995" s="2136" t="e">
        <f>O1995-'Blocking-Step2'!O1995</f>
        <v>#VALUE!</v>
      </c>
      <c r="AN1995" s="2137">
        <f>Q1995-'Blocking-Step2'!Q1995</f>
        <v>0</v>
      </c>
      <c r="AP1995" s="2127">
        <f>S1995-'Blocking-Step2'!S1995</f>
        <v>0</v>
      </c>
      <c r="AR1995" s="2127">
        <f>U1995-'Blocking-Step2'!U1995</f>
        <v>0</v>
      </c>
      <c r="AT1995" s="2127">
        <f>W1995-'Blocking-Step2'!W1995</f>
        <v>0</v>
      </c>
      <c r="AV1995" s="2128">
        <f>Y1995-'Blocking-Step2'!Y1995</f>
        <v>13.59360000025481</v>
      </c>
    </row>
    <row r="1996" spans="1:48">
      <c r="A1996" s="1116"/>
      <c r="C1996" s="1024"/>
      <c r="D1996" s="1024"/>
      <c r="F1996" s="2076"/>
      <c r="G1996" s="617"/>
      <c r="H1996" s="1146"/>
      <c r="I1996" s="1146"/>
      <c r="K1996" s="2076"/>
      <c r="L1996" s="617"/>
      <c r="M1996" s="2076"/>
      <c r="N1996" s="617"/>
      <c r="O1996" s="2077" t="s">
        <v>2324</v>
      </c>
      <c r="P1996" s="617"/>
      <c r="Q1996" s="2076">
        <v>-1.3899999999999999E-2</v>
      </c>
      <c r="R1996" s="617"/>
      <c r="S1996" s="1114"/>
      <c r="T1996" s="1114"/>
      <c r="U1996" s="1114"/>
      <c r="V1996" s="1114"/>
      <c r="W1996" s="1114"/>
      <c r="X1996" s="1114"/>
      <c r="Y1996" s="1146">
        <v>-1737630.66</v>
      </c>
      <c r="Z1996" s="2114">
        <f>C1996-'Blocking-Step2'!C1996</f>
        <v>0</v>
      </c>
      <c r="AA1996" s="2114">
        <f>D1996-'Blocking-Step2'!D1996</f>
        <v>0</v>
      </c>
      <c r="AC1996" s="2114">
        <f>F1996-'Blocking-Step2'!F1996</f>
        <v>0</v>
      </c>
      <c r="AE1996" s="2114">
        <f>H1996-'Blocking-Step2'!H1996</f>
        <v>0</v>
      </c>
      <c r="AF1996" s="2114">
        <f>I1996-'Blocking-Step2'!I1996</f>
        <v>0</v>
      </c>
      <c r="AH1996" s="2136">
        <f>K1996-'Blocking-Step2'!K1996</f>
        <v>0</v>
      </c>
      <c r="AJ1996" s="2136">
        <f>M1996-'Blocking-Step2'!M1996</f>
        <v>0</v>
      </c>
      <c r="AL1996" s="2136" t="e">
        <f>O1996-'Blocking-Step2'!O1996</f>
        <v>#VALUE!</v>
      </c>
      <c r="AN1996" s="2137">
        <f>Q1996-'Blocking-Step2'!Q1996</f>
        <v>0</v>
      </c>
      <c r="AP1996" s="2127">
        <f>S1996-'Blocking-Step2'!S1996</f>
        <v>0</v>
      </c>
      <c r="AR1996" s="2127">
        <f>U1996-'Blocking-Step2'!U1996</f>
        <v>0</v>
      </c>
      <c r="AT1996" s="2127">
        <f>W1996-'Blocking-Step2'!W1996</f>
        <v>0</v>
      </c>
      <c r="AV1996" s="2128">
        <f>Y1996-'Blocking-Step2'!Y1996</f>
        <v>7.3808999999891967</v>
      </c>
    </row>
    <row r="1997" spans="1:48">
      <c r="A1997" s="1116" t="s">
        <v>1317</v>
      </c>
      <c r="C1997" s="1105">
        <v>-151735</v>
      </c>
      <c r="D1997" s="1105">
        <v>-150134</v>
      </c>
      <c r="F1997" s="2076"/>
      <c r="G1997" s="617"/>
      <c r="H1997" s="1146"/>
      <c r="I1997" s="1146"/>
      <c r="K1997" s="2076"/>
      <c r="L1997" s="617"/>
      <c r="M1997" s="2076"/>
      <c r="N1997" s="617"/>
      <c r="O1997" s="2076"/>
      <c r="P1997" s="617"/>
      <c r="Q1997" s="2076"/>
      <c r="R1997" s="617"/>
      <c r="S1997" s="1114"/>
      <c r="T1997" s="1114"/>
      <c r="U1997" s="1114"/>
      <c r="V1997" s="1114"/>
      <c r="W1997" s="1114"/>
      <c r="X1997" s="1114"/>
      <c r="Y1997" s="1146"/>
      <c r="Z1997" s="2114">
        <f>C1997-'Blocking-Step2'!C1997</f>
        <v>0</v>
      </c>
      <c r="AA1997" s="2114">
        <f>D1997-'Blocking-Step2'!D1997</f>
        <v>0</v>
      </c>
      <c r="AC1997" s="2114">
        <f>F1997-'Blocking-Step2'!F1997</f>
        <v>0</v>
      </c>
      <c r="AE1997" s="2114">
        <f>H1997-'Blocking-Step2'!H1997</f>
        <v>0</v>
      </c>
      <c r="AF1997" s="2114">
        <f>I1997-'Blocking-Step2'!I1997</f>
        <v>0</v>
      </c>
      <c r="AH1997" s="2136">
        <f>K1997-'Blocking-Step2'!K1997</f>
        <v>0</v>
      </c>
      <c r="AJ1997" s="2136">
        <f>M1997-'Blocking-Step2'!M1997</f>
        <v>0</v>
      </c>
      <c r="AL1997" s="2136">
        <f>O1997-'Blocking-Step2'!O1997</f>
        <v>0</v>
      </c>
      <c r="AN1997" s="2137">
        <f>Q1997-'Blocking-Step2'!Q1997</f>
        <v>0</v>
      </c>
      <c r="AP1997" s="2127">
        <f>S1997-'Blocking-Step2'!S1997</f>
        <v>0</v>
      </c>
      <c r="AR1997" s="2127">
        <f>U1997-'Blocking-Step2'!U1997</f>
        <v>0</v>
      </c>
      <c r="AT1997" s="2127">
        <f>W1997-'Blocking-Step2'!W1997</f>
        <v>0</v>
      </c>
      <c r="AV1997" s="2128">
        <f>Y1997-'Blocking-Step2'!Y1997</f>
        <v>0</v>
      </c>
    </row>
    <row r="1998" spans="1:48" ht="16.5" thickBot="1">
      <c r="A1998" s="1116" t="s">
        <v>247</v>
      </c>
      <c r="C1998" s="1138">
        <v>1407719571.4542744</v>
      </c>
      <c r="D1998" s="1138">
        <v>1388518613.4146857</v>
      </c>
      <c r="F1998" s="1145"/>
      <c r="H1998" s="1149">
        <v>137785322.11230001</v>
      </c>
      <c r="I1998" s="1149">
        <v>136341243.74090001</v>
      </c>
      <c r="K1998" s="1145"/>
      <c r="M1998" s="1145"/>
      <c r="O1998" s="1145"/>
      <c r="Q1998" s="1145"/>
      <c r="S1998" s="1154">
        <v>37192467.703004494</v>
      </c>
      <c r="T1998" s="1154"/>
      <c r="U1998" s="1154">
        <v>68870035.682830647</v>
      </c>
      <c r="V1998" s="1154"/>
      <c r="W1998" s="1154">
        <v>30286862.614164859</v>
      </c>
      <c r="Y1998" s="1149">
        <v>136349366</v>
      </c>
      <c r="Z1998" s="2114">
        <f>C1998-'Blocking-Step2'!C1998</f>
        <v>0</v>
      </c>
      <c r="AA1998" s="2114">
        <f>D1998-'Blocking-Step2'!D1998</f>
        <v>0</v>
      </c>
      <c r="AC1998" s="2114">
        <f>F1998-'Blocking-Step2'!F1998</f>
        <v>0</v>
      </c>
      <c r="AE1998" s="2114">
        <f>H1998-'Blocking-Step2'!H1998</f>
        <v>0</v>
      </c>
      <c r="AF1998" s="2114">
        <f>I1998-'Blocking-Step2'!I1998</f>
        <v>0</v>
      </c>
      <c r="AH1998" s="2136">
        <f>K1998-'Blocking-Step2'!K1998</f>
        <v>0</v>
      </c>
      <c r="AJ1998" s="2136">
        <f>M1998-'Blocking-Step2'!M1998</f>
        <v>0</v>
      </c>
      <c r="AL1998" s="2136">
        <f>O1998-'Blocking-Step2'!O1998</f>
        <v>0</v>
      </c>
      <c r="AN1998" s="2137">
        <f>Q1998-'Blocking-Step2'!Q1998</f>
        <v>0</v>
      </c>
      <c r="AP1998" s="2127">
        <f>S1998-'Blocking-Step2'!S1998</f>
        <v>-20457666.722586781</v>
      </c>
      <c r="AR1998" s="2127">
        <f>U1998-'Blocking-Step2'!U1998</f>
        <v>20457253.671973139</v>
      </c>
      <c r="AT1998" s="2127">
        <f>W1998-'Blocking-Step2'!W1998</f>
        <v>-117.94938635826111</v>
      </c>
      <c r="AV1998" s="2128">
        <f>Y1998-'Blocking-Step2'!Y1998</f>
        <v>-531</v>
      </c>
    </row>
    <row r="1999" spans="1:48" ht="16.5" hidden="1" thickTop="1">
      <c r="C1999" s="1105"/>
      <c r="D1999" s="1105"/>
      <c r="Z1999" s="2114">
        <f>C1999-'Blocking-Step2'!C1999</f>
        <v>0</v>
      </c>
      <c r="AA1999" s="2114">
        <f>D1999-'Blocking-Step2'!D1999</f>
        <v>0</v>
      </c>
      <c r="AC1999" s="2114">
        <f>F1999-'Blocking-Step2'!F1999</f>
        <v>0</v>
      </c>
      <c r="AE1999" s="2114">
        <f>H1999-'Blocking-Step2'!H1999</f>
        <v>0</v>
      </c>
      <c r="AF1999" s="2114">
        <f>I1999-'Blocking-Step2'!I1999</f>
        <v>0</v>
      </c>
      <c r="AH1999" s="2136">
        <f>K1999-'Blocking-Step2'!K1999</f>
        <v>0</v>
      </c>
      <c r="AJ1999" s="2136">
        <f>M1999-'Blocking-Step2'!M1999</f>
        <v>0</v>
      </c>
      <c r="AL1999" s="2136">
        <f>O1999-'Blocking-Step2'!O1999</f>
        <v>0</v>
      </c>
      <c r="AN1999" s="2137">
        <f>Q1999-'Blocking-Step2'!Q1999</f>
        <v>0</v>
      </c>
      <c r="AP1999" s="2127">
        <f>S1999-'Blocking-Step2'!S1999</f>
        <v>0</v>
      </c>
      <c r="AR1999" s="2127">
        <f>U1999-'Blocking-Step2'!U1999</f>
        <v>0</v>
      </c>
      <c r="AT1999" s="2127">
        <f>W1999-'Blocking-Step2'!W1999</f>
        <v>0</v>
      </c>
      <c r="AV1999" s="2128">
        <f>Y1999-'Blocking-Step2'!Y1999</f>
        <v>0</v>
      </c>
    </row>
    <row r="2000" spans="1:48" ht="16.5" hidden="1" thickTop="1">
      <c r="A2000" s="1115" t="s">
        <v>936</v>
      </c>
      <c r="C2000" s="1105"/>
      <c r="D2000" s="1105"/>
      <c r="Z2000" s="2114">
        <f>C2000-'Blocking-Step2'!C2000</f>
        <v>0</v>
      </c>
      <c r="AA2000" s="2114">
        <f>D2000-'Blocking-Step2'!D2000</f>
        <v>0</v>
      </c>
      <c r="AC2000" s="2114">
        <f>F2000-'Blocking-Step2'!F2000</f>
        <v>0</v>
      </c>
      <c r="AE2000" s="2114">
        <f>H2000-'Blocking-Step2'!H2000</f>
        <v>0</v>
      </c>
      <c r="AF2000" s="2114">
        <f>I2000-'Blocking-Step2'!I2000</f>
        <v>0</v>
      </c>
      <c r="AH2000" s="2136">
        <f>K2000-'Blocking-Step2'!K2000</f>
        <v>0</v>
      </c>
      <c r="AJ2000" s="2136">
        <f>M2000-'Blocking-Step2'!M2000</f>
        <v>0</v>
      </c>
      <c r="AL2000" s="2136">
        <f>O2000-'Blocking-Step2'!O2000</f>
        <v>0</v>
      </c>
      <c r="AN2000" s="2137">
        <f>Q2000-'Blocking-Step2'!Q2000</f>
        <v>0</v>
      </c>
      <c r="AP2000" s="2127">
        <f>S2000-'Blocking-Step2'!S2000</f>
        <v>0</v>
      </c>
      <c r="AR2000" s="2127">
        <f>U2000-'Blocking-Step2'!U2000</f>
        <v>0</v>
      </c>
      <c r="AT2000" s="2127">
        <f>W2000-'Blocking-Step2'!W2000</f>
        <v>0</v>
      </c>
      <c r="AV2000" s="2128">
        <f>Y2000-'Blocking-Step2'!Y2000</f>
        <v>0</v>
      </c>
    </row>
    <row r="2001" spans="1:48" ht="16.5" hidden="1" thickTop="1">
      <c r="A2001" s="1116" t="s">
        <v>240</v>
      </c>
      <c r="C2001" s="1105">
        <v>166153.66500000798</v>
      </c>
      <c r="D2001" s="1105">
        <v>173250</v>
      </c>
      <c r="F2001" s="1142">
        <v>10</v>
      </c>
      <c r="G2001" s="617"/>
      <c r="H2001" s="1146">
        <v>1661537</v>
      </c>
      <c r="I2001" s="1146">
        <v>1732500</v>
      </c>
      <c r="K2001" s="1142">
        <v>10</v>
      </c>
      <c r="L2001" s="617"/>
      <c r="M2001" s="1142">
        <v>0</v>
      </c>
      <c r="N2001" s="617"/>
      <c r="O2001" s="1142">
        <v>0</v>
      </c>
      <c r="P2001" s="617"/>
      <c r="Q2001" s="1142">
        <v>10</v>
      </c>
      <c r="R2001" s="617"/>
      <c r="S2001" s="1146">
        <v>1732500</v>
      </c>
      <c r="T2001" s="1114"/>
      <c r="U2001" s="1146">
        <v>0</v>
      </c>
      <c r="V2001" s="1114"/>
      <c r="W2001" s="1146">
        <v>0</v>
      </c>
      <c r="X2001" s="1114"/>
      <c r="Y2001" s="1146">
        <v>1732500</v>
      </c>
      <c r="Z2001" s="2114">
        <f>C2001-'Blocking-Step2'!C2001</f>
        <v>0</v>
      </c>
      <c r="AA2001" s="2114">
        <f>D2001-'Blocking-Step2'!D2001</f>
        <v>0</v>
      </c>
      <c r="AC2001" s="2114">
        <f>F2001-'Blocking-Step2'!F2001</f>
        <v>0</v>
      </c>
      <c r="AE2001" s="2114">
        <f>H2001-'Blocking-Step2'!H2001</f>
        <v>0</v>
      </c>
      <c r="AF2001" s="2114">
        <f>I2001-'Blocking-Step2'!I2001</f>
        <v>0</v>
      </c>
      <c r="AH2001" s="2136">
        <f>K2001-'Blocking-Step2'!K2001</f>
        <v>0</v>
      </c>
      <c r="AJ2001" s="2136">
        <f>M2001-'Blocking-Step2'!M2001</f>
        <v>0</v>
      </c>
      <c r="AL2001" s="2136">
        <f>O2001-'Blocking-Step2'!O2001</f>
        <v>0</v>
      </c>
      <c r="AN2001" s="2137">
        <f>Q2001-'Blocking-Step2'!Q2001</f>
        <v>0</v>
      </c>
      <c r="AP2001" s="2127">
        <f>S2001-'Blocking-Step2'!S2001</f>
        <v>0</v>
      </c>
      <c r="AR2001" s="2127">
        <f>U2001-'Blocking-Step2'!U2001</f>
        <v>0</v>
      </c>
      <c r="AT2001" s="2127">
        <f>W2001-'Blocking-Step2'!W2001</f>
        <v>0</v>
      </c>
      <c r="AV2001" s="2128">
        <f>Y2001-'Blocking-Step2'!Y2001</f>
        <v>0</v>
      </c>
    </row>
    <row r="2002" spans="1:48" ht="16.5" hidden="1" thickTop="1">
      <c r="A2002" s="1116" t="s">
        <v>262</v>
      </c>
      <c r="C2002" s="1105">
        <v>0</v>
      </c>
      <c r="D2002" s="1105">
        <v>0</v>
      </c>
      <c r="F2002" s="1142">
        <v>120</v>
      </c>
      <c r="G2002" s="617"/>
      <c r="H2002" s="1146">
        <v>0</v>
      </c>
      <c r="I2002" s="1146">
        <v>0</v>
      </c>
      <c r="K2002" s="1142">
        <v>117</v>
      </c>
      <c r="L2002" s="617"/>
      <c r="M2002" s="1142">
        <v>0</v>
      </c>
      <c r="N2002" s="617"/>
      <c r="O2002" s="1142">
        <v>0</v>
      </c>
      <c r="P2002" s="617"/>
      <c r="Q2002" s="1142">
        <v>117</v>
      </c>
      <c r="R2002" s="617"/>
      <c r="S2002" s="1146">
        <v>0</v>
      </c>
      <c r="T2002" s="1114"/>
      <c r="U2002" s="1146">
        <v>0</v>
      </c>
      <c r="V2002" s="1114"/>
      <c r="W2002" s="1146">
        <v>0</v>
      </c>
      <c r="X2002" s="1114"/>
      <c r="Y2002" s="1146">
        <v>0</v>
      </c>
      <c r="Z2002" s="2114">
        <f>C2002-'Blocking-Step2'!C2002</f>
        <v>0</v>
      </c>
      <c r="AA2002" s="2114">
        <f>D2002-'Blocking-Step2'!D2002</f>
        <v>0</v>
      </c>
      <c r="AC2002" s="2114">
        <f>F2002-'Blocking-Step2'!F2002</f>
        <v>0</v>
      </c>
      <c r="AE2002" s="2114">
        <f>H2002-'Blocking-Step2'!H2002</f>
        <v>0</v>
      </c>
      <c r="AF2002" s="2114">
        <f>I2002-'Blocking-Step2'!I2002</f>
        <v>0</v>
      </c>
      <c r="AH2002" s="2136">
        <f>K2002-'Blocking-Step2'!K2002</f>
        <v>0</v>
      </c>
      <c r="AJ2002" s="2136">
        <f>M2002-'Blocking-Step2'!M2002</f>
        <v>0</v>
      </c>
      <c r="AL2002" s="2136">
        <f>O2002-'Blocking-Step2'!O2002</f>
        <v>0</v>
      </c>
      <c r="AN2002" s="2137">
        <f>Q2002-'Blocking-Step2'!Q2002</f>
        <v>0</v>
      </c>
      <c r="AP2002" s="2127">
        <f>S2002-'Blocking-Step2'!S2002</f>
        <v>0</v>
      </c>
      <c r="AR2002" s="2127">
        <f>U2002-'Blocking-Step2'!U2002</f>
        <v>0</v>
      </c>
      <c r="AT2002" s="2127">
        <f>W2002-'Blocking-Step2'!W2002</f>
        <v>0</v>
      </c>
      <c r="AV2002" s="2128">
        <f>Y2002-'Blocking-Step2'!Y2002</f>
        <v>0</v>
      </c>
    </row>
    <row r="2003" spans="1:48" ht="16.5" hidden="1" thickTop="1">
      <c r="A2003" s="1116" t="s">
        <v>1298</v>
      </c>
      <c r="C2003" s="1105">
        <v>6.6669999999999998</v>
      </c>
      <c r="D2003" s="1105">
        <v>7</v>
      </c>
      <c r="F2003" s="1142">
        <v>10</v>
      </c>
      <c r="G2003" s="617"/>
      <c r="H2003" s="1146">
        <v>67</v>
      </c>
      <c r="I2003" s="1146">
        <v>70</v>
      </c>
      <c r="K2003" s="1142">
        <v>10</v>
      </c>
      <c r="L2003" s="617"/>
      <c r="M2003" s="1142">
        <v>0</v>
      </c>
      <c r="N2003" s="617"/>
      <c r="O2003" s="1142">
        <v>0</v>
      </c>
      <c r="P2003" s="617"/>
      <c r="Q2003" s="1142">
        <v>10</v>
      </c>
      <c r="R2003" s="617"/>
      <c r="S2003" s="1146">
        <v>70</v>
      </c>
      <c r="T2003" s="1114"/>
      <c r="U2003" s="1146">
        <v>0</v>
      </c>
      <c r="V2003" s="1114"/>
      <c r="W2003" s="1146">
        <v>0</v>
      </c>
      <c r="X2003" s="1114"/>
      <c r="Y2003" s="1146">
        <v>70</v>
      </c>
      <c r="Z2003" s="2114">
        <f>C2003-'Blocking-Step2'!C2003</f>
        <v>0</v>
      </c>
      <c r="AA2003" s="2114">
        <f>D2003-'Blocking-Step2'!D2003</f>
        <v>0</v>
      </c>
      <c r="AC2003" s="2114">
        <f>F2003-'Blocking-Step2'!F2003</f>
        <v>0</v>
      </c>
      <c r="AE2003" s="2114">
        <f>H2003-'Blocking-Step2'!H2003</f>
        <v>0</v>
      </c>
      <c r="AF2003" s="2114">
        <f>I2003-'Blocking-Step2'!I2003</f>
        <v>0</v>
      </c>
      <c r="AH2003" s="2136">
        <f>K2003-'Blocking-Step2'!K2003</f>
        <v>0</v>
      </c>
      <c r="AJ2003" s="2136">
        <f>M2003-'Blocking-Step2'!M2003</f>
        <v>0</v>
      </c>
      <c r="AL2003" s="2136">
        <f>O2003-'Blocking-Step2'!O2003</f>
        <v>0</v>
      </c>
      <c r="AN2003" s="2137">
        <f>Q2003-'Blocking-Step2'!Q2003</f>
        <v>0</v>
      </c>
      <c r="AP2003" s="2127">
        <f>S2003-'Blocking-Step2'!S2003</f>
        <v>0</v>
      </c>
      <c r="AR2003" s="2127">
        <f>U2003-'Blocking-Step2'!U2003</f>
        <v>0</v>
      </c>
      <c r="AT2003" s="2127">
        <f>W2003-'Blocking-Step2'!W2003</f>
        <v>0</v>
      </c>
      <c r="AV2003" s="2128">
        <f>Y2003-'Blocking-Step2'!Y2003</f>
        <v>0</v>
      </c>
    </row>
    <row r="2004" spans="1:48" ht="16.5" hidden="1" thickTop="1">
      <c r="A2004" s="1116" t="s">
        <v>1654</v>
      </c>
      <c r="C2004" s="1105">
        <v>8259.9962634652038</v>
      </c>
      <c r="D2004" s="1105">
        <v>7796</v>
      </c>
      <c r="F2004" s="1142"/>
      <c r="G2004" s="617"/>
      <c r="H2004" s="1146"/>
      <c r="I2004" s="1146"/>
      <c r="K2004" s="1142">
        <v>8.89</v>
      </c>
      <c r="L2004" s="617"/>
      <c r="M2004" s="1142">
        <v>0</v>
      </c>
      <c r="N2004" s="617"/>
      <c r="O2004" s="1142">
        <v>0</v>
      </c>
      <c r="P2004" s="617"/>
      <c r="Q2004" s="1142">
        <v>8.89</v>
      </c>
      <c r="R2004" s="617"/>
      <c r="S2004" s="1146">
        <v>69306</v>
      </c>
      <c r="T2004" s="1114"/>
      <c r="U2004" s="1146">
        <v>0</v>
      </c>
      <c r="V2004" s="1114"/>
      <c r="W2004" s="1146">
        <v>0</v>
      </c>
      <c r="X2004" s="1114"/>
      <c r="Y2004" s="1146">
        <v>69306</v>
      </c>
      <c r="Z2004" s="2114">
        <f>C2004-'Blocking-Step2'!C2004</f>
        <v>0</v>
      </c>
      <c r="AA2004" s="2114">
        <f>D2004-'Blocking-Step2'!D2004</f>
        <v>0</v>
      </c>
      <c r="AC2004" s="2114">
        <f>F2004-'Blocking-Step2'!F2004</f>
        <v>0</v>
      </c>
      <c r="AE2004" s="2114">
        <f>H2004-'Blocking-Step2'!H2004</f>
        <v>0</v>
      </c>
      <c r="AF2004" s="2114">
        <f>I2004-'Blocking-Step2'!I2004</f>
        <v>0</v>
      </c>
      <c r="AH2004" s="2136">
        <f>K2004-'Blocking-Step2'!K2004</f>
        <v>0</v>
      </c>
      <c r="AJ2004" s="2136">
        <f>M2004-'Blocking-Step2'!M2004</f>
        <v>0</v>
      </c>
      <c r="AL2004" s="2136">
        <f>O2004-'Blocking-Step2'!O2004</f>
        <v>0</v>
      </c>
      <c r="AN2004" s="2137">
        <f>Q2004-'Blocking-Step2'!Q2004</f>
        <v>0</v>
      </c>
      <c r="AP2004" s="2127">
        <f>S2004-'Blocking-Step2'!S2004</f>
        <v>0</v>
      </c>
      <c r="AR2004" s="2127">
        <f>U2004-'Blocking-Step2'!U2004</f>
        <v>0</v>
      </c>
      <c r="AT2004" s="2127">
        <f>W2004-'Blocking-Step2'!W2004</f>
        <v>0</v>
      </c>
      <c r="AV2004" s="2128">
        <f>Y2004-'Blocking-Step2'!Y2004</f>
        <v>0</v>
      </c>
    </row>
    <row r="2005" spans="1:48" ht="16.5" hidden="1" thickTop="1">
      <c r="A2005" s="1116" t="s">
        <v>1655</v>
      </c>
      <c r="C2005" s="1105">
        <v>13257.216008144667</v>
      </c>
      <c r="D2005" s="1105">
        <v>12513</v>
      </c>
      <c r="F2005" s="1142"/>
      <c r="G2005" s="617"/>
      <c r="H2005" s="1146"/>
      <c r="I2005" s="1146"/>
      <c r="K2005" s="1142">
        <v>7.87</v>
      </c>
      <c r="L2005" s="617"/>
      <c r="M2005" s="1142">
        <v>0</v>
      </c>
      <c r="N2005" s="617"/>
      <c r="O2005" s="1142">
        <v>0</v>
      </c>
      <c r="P2005" s="617"/>
      <c r="Q2005" s="1142">
        <v>7.87</v>
      </c>
      <c r="R2005" s="617"/>
      <c r="S2005" s="1146">
        <v>98477</v>
      </c>
      <c r="T2005" s="1114"/>
      <c r="U2005" s="1146">
        <v>0</v>
      </c>
      <c r="V2005" s="1114"/>
      <c r="W2005" s="1146">
        <v>0</v>
      </c>
      <c r="X2005" s="1114"/>
      <c r="Y2005" s="1146">
        <v>98477</v>
      </c>
      <c r="Z2005" s="2114">
        <f>C2005-'Blocking-Step2'!C2005</f>
        <v>0</v>
      </c>
      <c r="AA2005" s="2114">
        <f>D2005-'Blocking-Step2'!D2005</f>
        <v>0</v>
      </c>
      <c r="AC2005" s="2114">
        <f>F2005-'Blocking-Step2'!F2005</f>
        <v>0</v>
      </c>
      <c r="AE2005" s="2114">
        <f>H2005-'Blocking-Step2'!H2005</f>
        <v>0</v>
      </c>
      <c r="AF2005" s="2114">
        <f>I2005-'Blocking-Step2'!I2005</f>
        <v>0</v>
      </c>
      <c r="AH2005" s="2136">
        <f>K2005-'Blocking-Step2'!K2005</f>
        <v>0</v>
      </c>
      <c r="AJ2005" s="2136">
        <f>M2005-'Blocking-Step2'!M2005</f>
        <v>0</v>
      </c>
      <c r="AL2005" s="2136">
        <f>O2005-'Blocking-Step2'!O2005</f>
        <v>0</v>
      </c>
      <c r="AN2005" s="2137">
        <f>Q2005-'Blocking-Step2'!Q2005</f>
        <v>0</v>
      </c>
      <c r="AP2005" s="2127">
        <f>S2005-'Blocking-Step2'!S2005</f>
        <v>0</v>
      </c>
      <c r="AR2005" s="2127">
        <f>U2005-'Blocking-Step2'!U2005</f>
        <v>0</v>
      </c>
      <c r="AT2005" s="2127">
        <f>W2005-'Blocking-Step2'!W2005</f>
        <v>0</v>
      </c>
      <c r="AV2005" s="2128">
        <f>Y2005-'Blocking-Step2'!Y2005</f>
        <v>0</v>
      </c>
    </row>
    <row r="2006" spans="1:48" ht="16.5" hidden="1" thickTop="1">
      <c r="A2006" s="1116" t="s">
        <v>1656</v>
      </c>
      <c r="C2006" s="1105">
        <v>18088988.484417532</v>
      </c>
      <c r="D2006" s="1105">
        <v>17111827.531002313</v>
      </c>
      <c r="F2006" s="1106"/>
      <c r="G2006" s="1921"/>
      <c r="H2006" s="1146"/>
      <c r="I2006" s="1146"/>
      <c r="K2006" s="1106">
        <v>1.4671000000000001</v>
      </c>
      <c r="L2006" s="1921" t="s">
        <v>495</v>
      </c>
      <c r="M2006" s="1106">
        <v>7.9411934380819993</v>
      </c>
      <c r="N2006" s="1921" t="s">
        <v>495</v>
      </c>
      <c r="O2006" s="1106">
        <v>2.3066</v>
      </c>
      <c r="P2006" s="1921" t="s">
        <v>495</v>
      </c>
      <c r="Q2006" s="1106">
        <v>11.714893438081999</v>
      </c>
      <c r="R2006" s="1921" t="s">
        <v>495</v>
      </c>
      <c r="S2006" s="1146">
        <v>251048</v>
      </c>
      <c r="T2006" s="1648"/>
      <c r="U2006" s="1146">
        <v>1358883</v>
      </c>
      <c r="V2006" s="1648"/>
      <c r="W2006" s="1146">
        <v>394701</v>
      </c>
      <c r="X2006" s="1648"/>
      <c r="Y2006" s="1146">
        <v>2004632</v>
      </c>
      <c r="Z2006" s="2114">
        <f>C2006-'Blocking-Step2'!C2006</f>
        <v>0</v>
      </c>
      <c r="AA2006" s="2114">
        <f>D2006-'Blocking-Step2'!D2006</f>
        <v>0</v>
      </c>
      <c r="AC2006" s="2114">
        <f>F2006-'Blocking-Step2'!F2006</f>
        <v>0</v>
      </c>
      <c r="AE2006" s="2114">
        <f>H2006-'Blocking-Step2'!H2006</f>
        <v>0</v>
      </c>
      <c r="AF2006" s="2114">
        <f>I2006-'Blocking-Step2'!I2006</f>
        <v>0</v>
      </c>
      <c r="AH2006" s="2136">
        <f>K2006-'Blocking-Step2'!K2006</f>
        <v>-1.4732000000000001</v>
      </c>
      <c r="AJ2006" s="2136">
        <f>M2006-'Blocking-Step2'!M2006</f>
        <v>1.4755465414459987</v>
      </c>
      <c r="AL2006" s="2136">
        <f>O2006-'Blocking-Step2'!O2006</f>
        <v>0</v>
      </c>
      <c r="AN2006" s="2137">
        <f>Q2006-'Blocking-Step2'!Q2006</f>
        <v>2.3465414459984402E-3</v>
      </c>
      <c r="AP2006" s="2127">
        <f>S2006-'Blocking-Step2'!S2006</f>
        <v>-252091</v>
      </c>
      <c r="AR2006" s="2127">
        <f>U2006-'Blocking-Step2'!U2006</f>
        <v>252493</v>
      </c>
      <c r="AT2006" s="2127">
        <f>W2006-'Blocking-Step2'!W2006</f>
        <v>0</v>
      </c>
      <c r="AV2006" s="2128">
        <f>Y2006-'Blocking-Step2'!Y2006</f>
        <v>401</v>
      </c>
    </row>
    <row r="2007" spans="1:48" ht="16.5" hidden="1" thickTop="1">
      <c r="A2007" s="1116" t="s">
        <v>1657</v>
      </c>
      <c r="C2007" s="1105">
        <v>12955361.531566361</v>
      </c>
      <c r="D2007" s="1105">
        <v>12255517</v>
      </c>
      <c r="F2007" s="1106"/>
      <c r="G2007" s="1921"/>
      <c r="H2007" s="1146"/>
      <c r="I2007" s="1146"/>
      <c r="K2007" s="1106">
        <v>1.4671000000000001</v>
      </c>
      <c r="L2007" s="1921" t="s">
        <v>495</v>
      </c>
      <c r="M2007" s="1106">
        <v>2.7858934380819993</v>
      </c>
      <c r="N2007" s="1921" t="s">
        <v>495</v>
      </c>
      <c r="O2007" s="1106">
        <v>2.3066</v>
      </c>
      <c r="P2007" s="1921" t="s">
        <v>495</v>
      </c>
      <c r="Q2007" s="1106">
        <v>6.5595934380819996</v>
      </c>
      <c r="R2007" s="1921" t="s">
        <v>495</v>
      </c>
      <c r="S2007" s="1146">
        <v>179801</v>
      </c>
      <c r="T2007" s="1648"/>
      <c r="U2007" s="1146">
        <v>341426</v>
      </c>
      <c r="V2007" s="1648"/>
      <c r="W2007" s="1146">
        <v>282686</v>
      </c>
      <c r="X2007" s="1648"/>
      <c r="Y2007" s="1146">
        <v>803912</v>
      </c>
      <c r="Z2007" s="2114">
        <f>C2007-'Blocking-Step2'!C2007</f>
        <v>0</v>
      </c>
      <c r="AA2007" s="2114">
        <f>D2007-'Blocking-Step2'!D2007</f>
        <v>0</v>
      </c>
      <c r="AC2007" s="2114">
        <f>F2007-'Blocking-Step2'!F2007</f>
        <v>0</v>
      </c>
      <c r="AE2007" s="2114">
        <f>H2007-'Blocking-Step2'!H2007</f>
        <v>0</v>
      </c>
      <c r="AF2007" s="2114">
        <f>I2007-'Blocking-Step2'!I2007</f>
        <v>0</v>
      </c>
      <c r="AH2007" s="2136">
        <f>K2007-'Blocking-Step2'!K2007</f>
        <v>-1.4732000000000001</v>
      </c>
      <c r="AJ2007" s="2136">
        <f>M2007-'Blocking-Step2'!M2007</f>
        <v>1.4755465414459983</v>
      </c>
      <c r="AL2007" s="2136">
        <f>O2007-'Blocking-Step2'!O2007</f>
        <v>0</v>
      </c>
      <c r="AN2007" s="2137">
        <f>Q2007-'Blocking-Step2'!Q2007</f>
        <v>2.3465414459984402E-3</v>
      </c>
      <c r="AP2007" s="2127">
        <f>S2007-'Blocking-Step2'!S2007</f>
        <v>-180548</v>
      </c>
      <c r="AR2007" s="2127">
        <f>U2007-'Blocking-Step2'!U2007</f>
        <v>180836</v>
      </c>
      <c r="AT2007" s="2127">
        <f>W2007-'Blocking-Step2'!W2007</f>
        <v>0</v>
      </c>
      <c r="AV2007" s="2128">
        <f>Y2007-'Blocking-Step2'!Y2007</f>
        <v>287</v>
      </c>
    </row>
    <row r="2008" spans="1:48" ht="16.5" hidden="1" thickTop="1">
      <c r="A2008" s="1116" t="s">
        <v>1658</v>
      </c>
      <c r="C2008" s="1105">
        <v>42519070.480579935</v>
      </c>
      <c r="D2008" s="1105">
        <v>40420347</v>
      </c>
      <c r="F2008" s="1106"/>
      <c r="G2008" s="1921"/>
      <c r="H2008" s="1146"/>
      <c r="I2008" s="1146"/>
      <c r="K2008" s="1106">
        <v>1.4671000000000001</v>
      </c>
      <c r="L2008" s="1921" t="s">
        <v>495</v>
      </c>
      <c r="M2008" s="1106">
        <v>6.7850000000000001</v>
      </c>
      <c r="N2008" s="1921" t="s">
        <v>495</v>
      </c>
      <c r="O2008" s="1106">
        <v>2.1151</v>
      </c>
      <c r="P2008" s="1921" t="s">
        <v>495</v>
      </c>
      <c r="Q2008" s="1106">
        <v>10.3672</v>
      </c>
      <c r="R2008" s="1921" t="s">
        <v>495</v>
      </c>
      <c r="S2008" s="1146">
        <v>593007</v>
      </c>
      <c r="T2008" s="1648"/>
      <c r="U2008" s="1146">
        <v>2742521</v>
      </c>
      <c r="V2008" s="1648"/>
      <c r="W2008" s="1146">
        <v>854931</v>
      </c>
      <c r="X2008" s="1648"/>
      <c r="Y2008" s="1146">
        <v>4190458</v>
      </c>
      <c r="Z2008" s="2114">
        <f>C2008-'Blocking-Step2'!C2008</f>
        <v>0</v>
      </c>
      <c r="AA2008" s="2114">
        <f>D2008-'Blocking-Step2'!D2008</f>
        <v>0</v>
      </c>
      <c r="AC2008" s="2114">
        <f>F2008-'Blocking-Step2'!F2008</f>
        <v>0</v>
      </c>
      <c r="AE2008" s="2114">
        <f>H2008-'Blocking-Step2'!H2008</f>
        <v>0</v>
      </c>
      <c r="AF2008" s="2114">
        <f>I2008-'Blocking-Step2'!I2008</f>
        <v>0</v>
      </c>
      <c r="AH2008" s="2136">
        <f>K2008-'Blocking-Step2'!K2008</f>
        <v>-1.4732000000000001</v>
      </c>
      <c r="AJ2008" s="2136">
        <f>M2008-'Blocking-Step2'!M2008</f>
        <v>1.4753000000000007</v>
      </c>
      <c r="AL2008" s="2136">
        <f>O2008-'Blocking-Step2'!O2008</f>
        <v>0</v>
      </c>
      <c r="AN2008" s="2137">
        <f>Q2008-'Blocking-Step2'!Q2008</f>
        <v>2.1000000000004349E-3</v>
      </c>
      <c r="AP2008" s="2127">
        <f>S2008-'Blocking-Step2'!S2008</f>
        <v>-595472</v>
      </c>
      <c r="AR2008" s="2127">
        <f>U2008-'Blocking-Step2'!U2008</f>
        <v>596322</v>
      </c>
      <c r="AT2008" s="2127">
        <f>W2008-'Blocking-Step2'!W2008</f>
        <v>0</v>
      </c>
      <c r="AV2008" s="2128">
        <f>Y2008-'Blocking-Step2'!Y2008</f>
        <v>849</v>
      </c>
    </row>
    <row r="2009" spans="1:48" ht="16.5" hidden="1" thickTop="1">
      <c r="A2009" s="1116" t="s">
        <v>1659</v>
      </c>
      <c r="C2009" s="1105">
        <v>28070742.378563926</v>
      </c>
      <c r="D2009" s="1105">
        <v>26685182</v>
      </c>
      <c r="F2009" s="1106"/>
      <c r="G2009" s="1921"/>
      <c r="H2009" s="1146"/>
      <c r="I2009" s="1146"/>
      <c r="K2009" s="1106">
        <v>1.4671000000000001</v>
      </c>
      <c r="L2009" s="1921" t="s">
        <v>495</v>
      </c>
      <c r="M2009" s="1106">
        <v>2.2226999999999997</v>
      </c>
      <c r="N2009" s="1921" t="s">
        <v>495</v>
      </c>
      <c r="O2009" s="1106">
        <v>2.1151</v>
      </c>
      <c r="P2009" s="1921" t="s">
        <v>495</v>
      </c>
      <c r="Q2009" s="1106">
        <v>5.8048999999999999</v>
      </c>
      <c r="R2009" s="1921" t="s">
        <v>495</v>
      </c>
      <c r="S2009" s="1146">
        <v>391498</v>
      </c>
      <c r="T2009" s="1648"/>
      <c r="U2009" s="1146">
        <v>593132</v>
      </c>
      <c r="V2009" s="1648"/>
      <c r="W2009" s="1146">
        <v>564418</v>
      </c>
      <c r="X2009" s="1648"/>
      <c r="Y2009" s="1146">
        <v>1549048</v>
      </c>
      <c r="Z2009" s="2114">
        <f>C2009-'Blocking-Step2'!C2009</f>
        <v>0</v>
      </c>
      <c r="AA2009" s="2114">
        <f>D2009-'Blocking-Step2'!D2009</f>
        <v>0</v>
      </c>
      <c r="AC2009" s="2114">
        <f>F2009-'Blocking-Step2'!F2009</f>
        <v>0</v>
      </c>
      <c r="AE2009" s="2114">
        <f>H2009-'Blocking-Step2'!H2009</f>
        <v>0</v>
      </c>
      <c r="AF2009" s="2114">
        <f>I2009-'Blocking-Step2'!I2009</f>
        <v>0</v>
      </c>
      <c r="AH2009" s="2136">
        <f>K2009-'Blocking-Step2'!K2009</f>
        <v>-1.4732000000000001</v>
      </c>
      <c r="AJ2009" s="2136">
        <f>M2009-'Blocking-Step2'!M2009</f>
        <v>1.4751999999999996</v>
      </c>
      <c r="AL2009" s="2136">
        <f>O2009-'Blocking-Step2'!O2009</f>
        <v>0</v>
      </c>
      <c r="AN2009" s="2137">
        <f>Q2009-'Blocking-Step2'!Q2009</f>
        <v>1.9999999999997797E-3</v>
      </c>
      <c r="AP2009" s="2127">
        <f>S2009-'Blocking-Step2'!S2009</f>
        <v>-393126</v>
      </c>
      <c r="AR2009" s="2127">
        <f>U2009-'Blocking-Step2'!U2009</f>
        <v>393660</v>
      </c>
      <c r="AT2009" s="2127">
        <f>W2009-'Blocking-Step2'!W2009</f>
        <v>0</v>
      </c>
      <c r="AV2009" s="2128">
        <f>Y2009-'Blocking-Step2'!Y2009</f>
        <v>534</v>
      </c>
    </row>
    <row r="2010" spans="1:48" ht="16.5" hidden="1" thickTop="1">
      <c r="A2010" s="1116" t="s">
        <v>282</v>
      </c>
      <c r="C2010" s="1105">
        <v>9763.3352601156057</v>
      </c>
      <c r="D2010" s="1105">
        <v>9215</v>
      </c>
      <c r="F2010" s="1142">
        <v>8.65</v>
      </c>
      <c r="G2010" s="617"/>
      <c r="H2010" s="1146">
        <v>84453</v>
      </c>
      <c r="I2010" s="1146">
        <v>79710</v>
      </c>
      <c r="K2010" s="1142"/>
      <c r="L2010" s="617"/>
      <c r="M2010" s="1142"/>
      <c r="N2010" s="617"/>
      <c r="O2010" s="1142"/>
      <c r="P2010" s="617"/>
      <c r="Q2010" s="1142"/>
      <c r="R2010" s="617"/>
      <c r="S2010" s="1114"/>
      <c r="T2010" s="1114"/>
      <c r="U2010" s="1114"/>
      <c r="V2010" s="1114"/>
      <c r="W2010" s="1114"/>
      <c r="X2010" s="1114"/>
      <c r="Y2010" s="1146"/>
      <c r="Z2010" s="2114">
        <f>C2010-'Blocking-Step2'!C2010</f>
        <v>0</v>
      </c>
      <c r="AA2010" s="2114">
        <f>D2010-'Blocking-Step2'!D2010</f>
        <v>0</v>
      </c>
      <c r="AC2010" s="2114">
        <f>F2010-'Blocking-Step2'!F2010</f>
        <v>0</v>
      </c>
      <c r="AE2010" s="2114">
        <f>H2010-'Blocking-Step2'!H2010</f>
        <v>0</v>
      </c>
      <c r="AF2010" s="2114">
        <f>I2010-'Blocking-Step2'!I2010</f>
        <v>0</v>
      </c>
      <c r="AH2010" s="2136">
        <f>K2010-'Blocking-Step2'!K2010</f>
        <v>0</v>
      </c>
      <c r="AJ2010" s="2136">
        <f>M2010-'Blocking-Step2'!M2010</f>
        <v>0</v>
      </c>
      <c r="AL2010" s="2136">
        <f>O2010-'Blocking-Step2'!O2010</f>
        <v>0</v>
      </c>
      <c r="AN2010" s="2137">
        <f>Q2010-'Blocking-Step2'!Q2010</f>
        <v>0</v>
      </c>
      <c r="AP2010" s="2127">
        <f>S2010-'Blocking-Step2'!S2010</f>
        <v>0</v>
      </c>
      <c r="AR2010" s="2127">
        <f>U2010-'Blocking-Step2'!U2010</f>
        <v>0</v>
      </c>
      <c r="AT2010" s="2127">
        <f>W2010-'Blocking-Step2'!W2010</f>
        <v>0</v>
      </c>
      <c r="AV2010" s="2128">
        <f>Y2010-'Blocking-Step2'!Y2010</f>
        <v>0</v>
      </c>
    </row>
    <row r="2011" spans="1:48" ht="16.5" hidden="1" thickTop="1">
      <c r="A2011" s="1116" t="s">
        <v>283</v>
      </c>
      <c r="C2011" s="1105">
        <v>11753.877011494265</v>
      </c>
      <c r="D2011" s="1105">
        <v>11094</v>
      </c>
      <c r="F2011" s="1142">
        <v>8.7000000000000011</v>
      </c>
      <c r="G2011" s="617"/>
      <c r="H2011" s="1146">
        <v>102259</v>
      </c>
      <c r="I2011" s="1146">
        <v>96518</v>
      </c>
      <c r="K2011" s="1142"/>
      <c r="L2011" s="617"/>
      <c r="M2011" s="1142"/>
      <c r="N2011" s="617"/>
      <c r="O2011" s="1142"/>
      <c r="P2011" s="617"/>
      <c r="Q2011" s="1142"/>
      <c r="R2011" s="617"/>
      <c r="S2011" s="1114"/>
      <c r="T2011" s="1114"/>
      <c r="U2011" s="1114"/>
      <c r="V2011" s="1114"/>
      <c r="W2011" s="1114"/>
      <c r="X2011" s="1114"/>
      <c r="Y2011" s="1146"/>
      <c r="Z2011" s="2114">
        <f>C2011-'Blocking-Step2'!C2011</f>
        <v>0</v>
      </c>
      <c r="AA2011" s="2114">
        <f>D2011-'Blocking-Step2'!D2011</f>
        <v>0</v>
      </c>
      <c r="AC2011" s="2114">
        <f>F2011-'Blocking-Step2'!F2011</f>
        <v>0</v>
      </c>
      <c r="AE2011" s="2114">
        <f>H2011-'Blocking-Step2'!H2011</f>
        <v>0</v>
      </c>
      <c r="AF2011" s="2114">
        <f>I2011-'Blocking-Step2'!I2011</f>
        <v>0</v>
      </c>
      <c r="AH2011" s="2136">
        <f>K2011-'Blocking-Step2'!K2011</f>
        <v>0</v>
      </c>
      <c r="AJ2011" s="2136">
        <f>M2011-'Blocking-Step2'!M2011</f>
        <v>0</v>
      </c>
      <c r="AL2011" s="2136">
        <f>O2011-'Blocking-Step2'!O2011</f>
        <v>0</v>
      </c>
      <c r="AN2011" s="2137">
        <f>Q2011-'Blocking-Step2'!Q2011</f>
        <v>0</v>
      </c>
      <c r="AP2011" s="2127">
        <f>S2011-'Blocking-Step2'!S2011</f>
        <v>0</v>
      </c>
      <c r="AR2011" s="2127">
        <f>U2011-'Blocking-Step2'!U2011</f>
        <v>0</v>
      </c>
      <c r="AT2011" s="2127">
        <f>W2011-'Blocking-Step2'!W2011</f>
        <v>0</v>
      </c>
      <c r="AV2011" s="2128">
        <f>Y2011-'Blocking-Step2'!Y2011</f>
        <v>0</v>
      </c>
    </row>
    <row r="2012" spans="1:48" ht="16.5" hidden="1" thickTop="1">
      <c r="A2012" s="1116" t="s">
        <v>261</v>
      </c>
      <c r="C2012" s="1105">
        <v>0</v>
      </c>
      <c r="D2012" s="1105">
        <v>0</v>
      </c>
      <c r="F2012" s="1142">
        <v>-0.48</v>
      </c>
      <c r="G2012" s="617"/>
      <c r="H2012" s="1146">
        <v>0</v>
      </c>
      <c r="I2012" s="1146">
        <v>0</v>
      </c>
      <c r="K2012" s="1142">
        <v>-0.48</v>
      </c>
      <c r="L2012" s="617"/>
      <c r="M2012" s="1142">
        <v>0</v>
      </c>
      <c r="N2012" s="617"/>
      <c r="O2012" s="1142">
        <v>0</v>
      </c>
      <c r="P2012" s="617"/>
      <c r="Q2012" s="1142">
        <v>-0.48</v>
      </c>
      <c r="R2012" s="617"/>
      <c r="S2012" s="1146">
        <v>0</v>
      </c>
      <c r="T2012" s="1114"/>
      <c r="U2012" s="1146">
        <v>0</v>
      </c>
      <c r="V2012" s="1114"/>
      <c r="W2012" s="1146">
        <v>0</v>
      </c>
      <c r="X2012" s="1114"/>
      <c r="Y2012" s="1146">
        <v>0</v>
      </c>
      <c r="Z2012" s="2114">
        <f>C2012-'Blocking-Step2'!C2012</f>
        <v>0</v>
      </c>
      <c r="AA2012" s="2114">
        <f>D2012-'Blocking-Step2'!D2012</f>
        <v>0</v>
      </c>
      <c r="AC2012" s="2114">
        <f>F2012-'Blocking-Step2'!F2012</f>
        <v>0</v>
      </c>
      <c r="AE2012" s="2114">
        <f>H2012-'Blocking-Step2'!H2012</f>
        <v>0</v>
      </c>
      <c r="AF2012" s="2114">
        <f>I2012-'Blocking-Step2'!I2012</f>
        <v>0</v>
      </c>
      <c r="AH2012" s="2136">
        <f>K2012-'Blocking-Step2'!K2012</f>
        <v>0</v>
      </c>
      <c r="AJ2012" s="2136">
        <f>M2012-'Blocking-Step2'!M2012</f>
        <v>0</v>
      </c>
      <c r="AL2012" s="2136">
        <f>O2012-'Blocking-Step2'!O2012</f>
        <v>0</v>
      </c>
      <c r="AN2012" s="2137">
        <f>Q2012-'Blocking-Step2'!Q2012</f>
        <v>0</v>
      </c>
      <c r="AP2012" s="2127">
        <f>S2012-'Blocking-Step2'!S2012</f>
        <v>0</v>
      </c>
      <c r="AR2012" s="2127">
        <f>U2012-'Blocking-Step2'!U2012</f>
        <v>0</v>
      </c>
      <c r="AT2012" s="2127">
        <f>W2012-'Blocking-Step2'!W2012</f>
        <v>0</v>
      </c>
      <c r="AV2012" s="2128">
        <f>Y2012-'Blocking-Step2'!Y2012</f>
        <v>0</v>
      </c>
    </row>
    <row r="2013" spans="1:48" ht="16.5" hidden="1" thickTop="1">
      <c r="A2013" s="1116" t="s">
        <v>194</v>
      </c>
      <c r="C2013" s="1105">
        <v>22942009.529970665</v>
      </c>
      <c r="D2013" s="1105">
        <v>21926420.531002313</v>
      </c>
      <c r="F2013" s="1106">
        <v>11.733599999999999</v>
      </c>
      <c r="G2013" s="1921" t="s">
        <v>495</v>
      </c>
      <c r="H2013" s="1146">
        <v>2691924</v>
      </c>
      <c r="I2013" s="1146">
        <v>2572758</v>
      </c>
      <c r="K2013" s="1106"/>
      <c r="L2013" s="1921"/>
      <c r="M2013" s="1106"/>
      <c r="N2013" s="1921"/>
      <c r="O2013" s="1106"/>
      <c r="P2013" s="1921"/>
      <c r="Q2013" s="1106"/>
      <c r="R2013" s="1921"/>
      <c r="S2013" s="1648"/>
      <c r="T2013" s="1648"/>
      <c r="U2013" s="1648"/>
      <c r="V2013" s="1648"/>
      <c r="W2013" s="1648"/>
      <c r="X2013" s="1648"/>
      <c r="Y2013" s="1146"/>
      <c r="Z2013" s="2114">
        <f>C2013-'Blocking-Step2'!C2013</f>
        <v>0</v>
      </c>
      <c r="AA2013" s="2114">
        <f>D2013-'Blocking-Step2'!D2013</f>
        <v>0</v>
      </c>
      <c r="AC2013" s="2114">
        <f>F2013-'Blocking-Step2'!F2013</f>
        <v>0</v>
      </c>
      <c r="AE2013" s="2114">
        <f>H2013-'Blocking-Step2'!H2013</f>
        <v>0</v>
      </c>
      <c r="AF2013" s="2114">
        <f>I2013-'Blocking-Step2'!I2013</f>
        <v>0</v>
      </c>
      <c r="AH2013" s="2136">
        <f>K2013-'Blocking-Step2'!K2013</f>
        <v>0</v>
      </c>
      <c r="AJ2013" s="2136">
        <f>M2013-'Blocking-Step2'!M2013</f>
        <v>0</v>
      </c>
      <c r="AL2013" s="2136">
        <f>O2013-'Blocking-Step2'!O2013</f>
        <v>0</v>
      </c>
      <c r="AN2013" s="2137">
        <f>Q2013-'Blocking-Step2'!Q2013</f>
        <v>0</v>
      </c>
      <c r="AP2013" s="2127">
        <f>S2013-'Blocking-Step2'!S2013</f>
        <v>0</v>
      </c>
      <c r="AR2013" s="2127">
        <f>U2013-'Blocking-Step2'!U2013</f>
        <v>0</v>
      </c>
      <c r="AT2013" s="2127">
        <f>W2013-'Blocking-Step2'!W2013</f>
        <v>0</v>
      </c>
      <c r="AV2013" s="2128">
        <f>Y2013-'Blocking-Step2'!Y2013</f>
        <v>0</v>
      </c>
    </row>
    <row r="2014" spans="1:48" ht="16.5" hidden="1" thickTop="1">
      <c r="A2014" s="1116" t="s">
        <v>195</v>
      </c>
      <c r="C2014" s="1105">
        <v>15487485.447321979</v>
      </c>
      <c r="D2014" s="1105">
        <v>14801891</v>
      </c>
      <c r="F2014" s="1106">
        <v>6.5782999999999996</v>
      </c>
      <c r="G2014" s="1921" t="s">
        <v>495</v>
      </c>
      <c r="H2014" s="1146">
        <v>1018813</v>
      </c>
      <c r="I2014" s="1146">
        <v>973713</v>
      </c>
      <c r="K2014" s="1106"/>
      <c r="L2014" s="1921"/>
      <c r="M2014" s="1106"/>
      <c r="N2014" s="1921"/>
      <c r="O2014" s="1106"/>
      <c r="P2014" s="1921"/>
      <c r="Q2014" s="1106"/>
      <c r="R2014" s="1921"/>
      <c r="S2014" s="1648"/>
      <c r="T2014" s="1648"/>
      <c r="U2014" s="1648"/>
      <c r="V2014" s="1648"/>
      <c r="W2014" s="1648"/>
      <c r="X2014" s="1648"/>
      <c r="Y2014" s="1146"/>
      <c r="Z2014" s="2114">
        <f>C2014-'Blocking-Step2'!C2014</f>
        <v>0</v>
      </c>
      <c r="AA2014" s="2114">
        <f>D2014-'Blocking-Step2'!D2014</f>
        <v>0</v>
      </c>
      <c r="AC2014" s="2114">
        <f>F2014-'Blocking-Step2'!F2014</f>
        <v>0</v>
      </c>
      <c r="AE2014" s="2114">
        <f>H2014-'Blocking-Step2'!H2014</f>
        <v>0</v>
      </c>
      <c r="AF2014" s="2114">
        <f>I2014-'Blocking-Step2'!I2014</f>
        <v>0</v>
      </c>
      <c r="AH2014" s="2136">
        <f>K2014-'Blocking-Step2'!K2014</f>
        <v>0</v>
      </c>
      <c r="AJ2014" s="2136">
        <f>M2014-'Blocking-Step2'!M2014</f>
        <v>0</v>
      </c>
      <c r="AL2014" s="2136">
        <f>O2014-'Blocking-Step2'!O2014</f>
        <v>0</v>
      </c>
      <c r="AN2014" s="2137">
        <f>Q2014-'Blocking-Step2'!Q2014</f>
        <v>0</v>
      </c>
      <c r="AP2014" s="2127">
        <f>S2014-'Blocking-Step2'!S2014</f>
        <v>0</v>
      </c>
      <c r="AR2014" s="2127">
        <f>U2014-'Blocking-Step2'!U2014</f>
        <v>0</v>
      </c>
      <c r="AT2014" s="2127">
        <f>W2014-'Blocking-Step2'!W2014</f>
        <v>0</v>
      </c>
      <c r="AV2014" s="2128">
        <f>Y2014-'Blocking-Step2'!Y2014</f>
        <v>0</v>
      </c>
    </row>
    <row r="2015" spans="1:48" ht="16.5" hidden="1" thickTop="1">
      <c r="A2015" s="1116" t="s">
        <v>160</v>
      </c>
      <c r="C2015" s="1105">
        <v>37666049.435026802</v>
      </c>
      <c r="D2015" s="1105">
        <v>35604042</v>
      </c>
      <c r="F2015" s="1106">
        <v>10.8</v>
      </c>
      <c r="G2015" s="1921" t="s">
        <v>495</v>
      </c>
      <c r="H2015" s="1146">
        <v>4067933</v>
      </c>
      <c r="I2015" s="1146">
        <v>3845237</v>
      </c>
      <c r="K2015" s="1106"/>
      <c r="L2015" s="1921"/>
      <c r="M2015" s="1106"/>
      <c r="N2015" s="1921"/>
      <c r="O2015" s="1106"/>
      <c r="P2015" s="1921"/>
      <c r="Q2015" s="1106"/>
      <c r="R2015" s="1921"/>
      <c r="S2015" s="1648"/>
      <c r="T2015" s="1648"/>
      <c r="U2015" s="1648"/>
      <c r="V2015" s="1648"/>
      <c r="W2015" s="1648"/>
      <c r="X2015" s="1648"/>
      <c r="Y2015" s="1146"/>
      <c r="Z2015" s="2114">
        <f>C2015-'Blocking-Step2'!C2015</f>
        <v>0</v>
      </c>
      <c r="AA2015" s="2114">
        <f>D2015-'Blocking-Step2'!D2015</f>
        <v>0</v>
      </c>
      <c r="AC2015" s="2114">
        <f>F2015-'Blocking-Step2'!F2015</f>
        <v>0</v>
      </c>
      <c r="AE2015" s="2114">
        <f>H2015-'Blocking-Step2'!H2015</f>
        <v>0</v>
      </c>
      <c r="AF2015" s="2114">
        <f>I2015-'Blocking-Step2'!I2015</f>
        <v>0</v>
      </c>
      <c r="AH2015" s="2136">
        <f>K2015-'Blocking-Step2'!K2015</f>
        <v>0</v>
      </c>
      <c r="AJ2015" s="2136">
        <f>M2015-'Blocking-Step2'!M2015</f>
        <v>0</v>
      </c>
      <c r="AL2015" s="2136">
        <f>O2015-'Blocking-Step2'!O2015</f>
        <v>0</v>
      </c>
      <c r="AN2015" s="2137">
        <f>Q2015-'Blocking-Step2'!Q2015</f>
        <v>0</v>
      </c>
      <c r="AP2015" s="2127">
        <f>S2015-'Blocking-Step2'!S2015</f>
        <v>0</v>
      </c>
      <c r="AR2015" s="2127">
        <f>U2015-'Blocking-Step2'!U2015</f>
        <v>0</v>
      </c>
      <c r="AT2015" s="2127">
        <f>W2015-'Blocking-Step2'!W2015</f>
        <v>0</v>
      </c>
      <c r="AV2015" s="2128">
        <f>Y2015-'Blocking-Step2'!Y2015</f>
        <v>0</v>
      </c>
    </row>
    <row r="2016" spans="1:48" ht="16.5" hidden="1" thickTop="1">
      <c r="A2016" s="1116" t="s">
        <v>159</v>
      </c>
      <c r="C2016" s="1105">
        <v>25538618.462808311</v>
      </c>
      <c r="D2016" s="1105">
        <v>24140520</v>
      </c>
      <c r="F2016" s="1106">
        <v>6.0567000000000002</v>
      </c>
      <c r="G2016" s="1921" t="s">
        <v>495</v>
      </c>
      <c r="H2016" s="1146">
        <v>1546798</v>
      </c>
      <c r="I2016" s="1146">
        <v>1462119</v>
      </c>
      <c r="K2016" s="1106"/>
      <c r="L2016" s="1921"/>
      <c r="M2016" s="1106"/>
      <c r="N2016" s="1921"/>
      <c r="O2016" s="1106"/>
      <c r="P2016" s="1921"/>
      <c r="Q2016" s="1106"/>
      <c r="R2016" s="1921"/>
      <c r="S2016" s="1648"/>
      <c r="T2016" s="1648"/>
      <c r="U2016" s="1648"/>
      <c r="V2016" s="1648"/>
      <c r="W2016" s="1648"/>
      <c r="X2016" s="1648"/>
      <c r="Y2016" s="1146"/>
      <c r="Z2016" s="2114">
        <f>C2016-'Blocking-Step2'!C2016</f>
        <v>0</v>
      </c>
      <c r="AA2016" s="2114">
        <f>D2016-'Blocking-Step2'!D2016</f>
        <v>0</v>
      </c>
      <c r="AC2016" s="2114">
        <f>F2016-'Blocking-Step2'!F2016</f>
        <v>0</v>
      </c>
      <c r="AE2016" s="2114">
        <f>H2016-'Blocking-Step2'!H2016</f>
        <v>0</v>
      </c>
      <c r="AF2016" s="2114">
        <f>I2016-'Blocking-Step2'!I2016</f>
        <v>0</v>
      </c>
      <c r="AH2016" s="2136">
        <f>K2016-'Blocking-Step2'!K2016</f>
        <v>0</v>
      </c>
      <c r="AJ2016" s="2136">
        <f>M2016-'Blocking-Step2'!M2016</f>
        <v>0</v>
      </c>
      <c r="AL2016" s="2136">
        <f>O2016-'Blocking-Step2'!O2016</f>
        <v>0</v>
      </c>
      <c r="AN2016" s="2137">
        <f>Q2016-'Blocking-Step2'!Q2016</f>
        <v>0</v>
      </c>
      <c r="AP2016" s="2127">
        <f>S2016-'Blocking-Step2'!S2016</f>
        <v>0</v>
      </c>
      <c r="AR2016" s="2127">
        <f>U2016-'Blocking-Step2'!U2016</f>
        <v>0</v>
      </c>
      <c r="AT2016" s="2127">
        <f>W2016-'Blocking-Step2'!W2016</f>
        <v>0</v>
      </c>
      <c r="AV2016" s="2128">
        <f>Y2016-'Blocking-Step2'!Y2016</f>
        <v>0</v>
      </c>
    </row>
    <row r="2017" spans="1:48" ht="16.5" hidden="1" thickTop="1">
      <c r="A2017" s="1116" t="s">
        <v>1158</v>
      </c>
      <c r="B2017" s="1928"/>
      <c r="C2017" s="1024">
        <v>43200</v>
      </c>
      <c r="D2017" s="1024">
        <v>40775</v>
      </c>
      <c r="E2017" s="804"/>
      <c r="F2017" s="1927">
        <v>10.120799999999999</v>
      </c>
      <c r="G2017" s="1929" t="s">
        <v>495</v>
      </c>
      <c r="H2017" s="1146">
        <v>4372</v>
      </c>
      <c r="I2017" s="1146">
        <v>4127</v>
      </c>
      <c r="J2017" s="804"/>
      <c r="K2017" s="1927">
        <v>1.4671000000000001</v>
      </c>
      <c r="L2017" s="1929" t="s">
        <v>495</v>
      </c>
      <c r="M2017" s="1927">
        <v>7.4249999999999998</v>
      </c>
      <c r="N2017" s="1929" t="s">
        <v>495</v>
      </c>
      <c r="O2017" s="1927">
        <v>0</v>
      </c>
      <c r="P2017" s="1929" t="s">
        <v>495</v>
      </c>
      <c r="Q2017" s="1927">
        <v>8.8920999999999992</v>
      </c>
      <c r="R2017" s="1929" t="s">
        <v>495</v>
      </c>
      <c r="S2017" s="1146">
        <v>598</v>
      </c>
      <c r="T2017" s="1648"/>
      <c r="U2017" s="1146">
        <v>3028</v>
      </c>
      <c r="V2017" s="1648"/>
      <c r="W2017" s="1146">
        <v>0</v>
      </c>
      <c r="X2017" s="1656"/>
      <c r="Y2017" s="1146">
        <v>3626</v>
      </c>
      <c r="Z2017" s="2114">
        <f>C2017-'Blocking-Step2'!C2017</f>
        <v>0</v>
      </c>
      <c r="AA2017" s="2114">
        <f>D2017-'Blocking-Step2'!D2017</f>
        <v>0</v>
      </c>
      <c r="AC2017" s="2114">
        <f>F2017-'Blocking-Step2'!F2017</f>
        <v>0</v>
      </c>
      <c r="AE2017" s="2114">
        <f>H2017-'Blocking-Step2'!H2017</f>
        <v>0</v>
      </c>
      <c r="AF2017" s="2114">
        <f>I2017-'Blocking-Step2'!I2017</f>
        <v>0</v>
      </c>
      <c r="AH2017" s="2136">
        <f>K2017-'Blocking-Step2'!K2017</f>
        <v>-1.4732000000000001</v>
      </c>
      <c r="AJ2017" s="2136">
        <f>M2017-'Blocking-Step2'!M2017</f>
        <v>0</v>
      </c>
      <c r="AL2017" s="2136">
        <f>O2017-'Blocking-Step2'!O2017</f>
        <v>0</v>
      </c>
      <c r="AN2017" s="2137">
        <f>Q2017-'Blocking-Step2'!Q2017</f>
        <v>-1.4732000000000003</v>
      </c>
      <c r="AP2017" s="2127">
        <f>S2017-'Blocking-Step2'!S2017</f>
        <v>-601</v>
      </c>
      <c r="AR2017" s="2127">
        <f>U2017-'Blocking-Step2'!U2017</f>
        <v>0</v>
      </c>
      <c r="AT2017" s="2127">
        <f>W2017-'Blocking-Step2'!W2017</f>
        <v>0</v>
      </c>
      <c r="AV2017" s="2128">
        <f>Y2017-'Blocking-Step2'!Y2017</f>
        <v>-600</v>
      </c>
    </row>
    <row r="2018" spans="1:48" ht="16.5" hidden="1" thickTop="1">
      <c r="A2018" s="1116" t="s">
        <v>246</v>
      </c>
      <c r="C2018" s="1940">
        <v>576384</v>
      </c>
      <c r="D2018" s="1940">
        <v>0</v>
      </c>
      <c r="H2018" s="1147">
        <v>66918</v>
      </c>
      <c r="I2018" s="1147">
        <v>0</v>
      </c>
      <c r="Y2018" s="1147"/>
      <c r="Z2018" s="2114">
        <f>C2018-'Blocking-Step2'!C2018</f>
        <v>0</v>
      </c>
      <c r="AA2018" s="2114">
        <f>D2018-'Blocking-Step2'!D2018</f>
        <v>0</v>
      </c>
      <c r="AC2018" s="2114">
        <f>F2018-'Blocking-Step2'!F2018</f>
        <v>0</v>
      </c>
      <c r="AE2018" s="2114">
        <f>H2018-'Blocking-Step2'!H2018</f>
        <v>0</v>
      </c>
      <c r="AF2018" s="2114">
        <f>I2018-'Blocking-Step2'!I2018</f>
        <v>0</v>
      </c>
      <c r="AH2018" s="2136">
        <f>K2018-'Blocking-Step2'!K2018</f>
        <v>0</v>
      </c>
      <c r="AJ2018" s="2136">
        <f>M2018-'Blocking-Step2'!M2018</f>
        <v>0</v>
      </c>
      <c r="AL2018" s="2136">
        <f>O2018-'Blocking-Step2'!O2018</f>
        <v>0</v>
      </c>
      <c r="AN2018" s="2137">
        <f>Q2018-'Blocking-Step2'!Q2018</f>
        <v>0</v>
      </c>
      <c r="AP2018" s="2127">
        <f>S2018-'Blocking-Step2'!S2018</f>
        <v>0</v>
      </c>
      <c r="AR2018" s="2127">
        <f>U2018-'Blocking-Step2'!U2018</f>
        <v>0</v>
      </c>
      <c r="AT2018" s="2127">
        <f>W2018-'Blocking-Step2'!W2018</f>
        <v>0</v>
      </c>
      <c r="AV2018" s="2128">
        <f>Y2018-'Blocking-Step2'!Y2018</f>
        <v>0</v>
      </c>
    </row>
    <row r="2019" spans="1:48" ht="16.5" hidden="1" thickTop="1">
      <c r="A2019" s="1116" t="s">
        <v>1240</v>
      </c>
      <c r="C2019" s="1024"/>
      <c r="D2019" s="1024"/>
      <c r="F2019" s="2076">
        <v>-3.3099999999999997E-2</v>
      </c>
      <c r="G2019" s="617"/>
      <c r="H2019" s="1146">
        <v>-314997.87119999999</v>
      </c>
      <c r="I2019" s="1146">
        <v>-299031.42419999995</v>
      </c>
      <c r="K2019" s="2076"/>
      <c r="L2019" s="617"/>
      <c r="M2019" s="2076"/>
      <c r="N2019" s="617"/>
      <c r="O2019" s="2077" t="s">
        <v>2323</v>
      </c>
      <c r="P2019" s="617"/>
      <c r="Q2019" s="2076">
        <v>-2.5600000000000001E-2</v>
      </c>
      <c r="R2019" s="617"/>
      <c r="S2019" s="1114"/>
      <c r="T2019" s="1114"/>
      <c r="U2019" s="1114"/>
      <c r="V2019" s="1114"/>
      <c r="W2019" s="1114"/>
      <c r="X2019" s="1114"/>
      <c r="Y2019" s="1146">
        <v>-223218.15040000001</v>
      </c>
      <c r="Z2019" s="2114">
        <f>C2019-'Blocking-Step2'!C2019</f>
        <v>0</v>
      </c>
      <c r="AA2019" s="2114">
        <f>D2019-'Blocking-Step2'!D2019</f>
        <v>0</v>
      </c>
      <c r="AC2019" s="2114">
        <f>F2019-'Blocking-Step2'!F2019</f>
        <v>0</v>
      </c>
      <c r="AE2019" s="2114">
        <f>H2019-'Blocking-Step2'!H2019</f>
        <v>0</v>
      </c>
      <c r="AF2019" s="2114">
        <f>I2019-'Blocking-Step2'!I2019</f>
        <v>0</v>
      </c>
      <c r="AH2019" s="2136">
        <f>K2019-'Blocking-Step2'!K2019</f>
        <v>0</v>
      </c>
      <c r="AJ2019" s="2136">
        <f>M2019-'Blocking-Step2'!M2019</f>
        <v>0</v>
      </c>
      <c r="AL2019" s="2136" t="e">
        <f>O2019-'Blocking-Step2'!O2019</f>
        <v>#VALUE!</v>
      </c>
      <c r="AN2019" s="2137">
        <f>Q2019-'Blocking-Step2'!Q2019</f>
        <v>0</v>
      </c>
      <c r="AP2019" s="2127">
        <f>S2019-'Blocking-Step2'!S2019</f>
        <v>0</v>
      </c>
      <c r="AR2019" s="2127">
        <f>U2019-'Blocking-Step2'!U2019</f>
        <v>0</v>
      </c>
      <c r="AT2019" s="2127">
        <f>W2019-'Blocking-Step2'!W2019</f>
        <v>0</v>
      </c>
      <c r="AV2019" s="2128">
        <f>Y2019-'Blocking-Step2'!Y2019</f>
        <v>-37.657600000005914</v>
      </c>
    </row>
    <row r="2020" spans="1:48" ht="16.5" hidden="1" thickTop="1">
      <c r="A2020" s="1116"/>
      <c r="C2020" s="1024"/>
      <c r="D2020" s="1024"/>
      <c r="F2020" s="2076"/>
      <c r="G2020" s="617"/>
      <c r="H2020" s="1146"/>
      <c r="I2020" s="1146"/>
      <c r="K2020" s="2076"/>
      <c r="L2020" s="617"/>
      <c r="M2020" s="2076"/>
      <c r="N2020" s="617"/>
      <c r="O2020" s="2077" t="s">
        <v>2324</v>
      </c>
      <c r="P2020" s="617"/>
      <c r="Q2020" s="2076">
        <v>-1.3899999999999999E-2</v>
      </c>
      <c r="R2020" s="617"/>
      <c r="S2020" s="1114"/>
      <c r="T2020" s="1114"/>
      <c r="U2020" s="1114"/>
      <c r="V2020" s="1114"/>
      <c r="W2020" s="1114"/>
      <c r="X2020" s="1114"/>
      <c r="Y2020" s="1146">
        <v>-121200.48009999999</v>
      </c>
      <c r="Z2020" s="2114">
        <f>C2020-'Blocking-Step2'!C2020</f>
        <v>0</v>
      </c>
      <c r="AA2020" s="2114">
        <f>D2020-'Blocking-Step2'!D2020</f>
        <v>0</v>
      </c>
      <c r="AC2020" s="2114">
        <f>F2020-'Blocking-Step2'!F2020</f>
        <v>0</v>
      </c>
      <c r="AE2020" s="2114">
        <f>H2020-'Blocking-Step2'!H2020</f>
        <v>0</v>
      </c>
      <c r="AF2020" s="2114">
        <f>I2020-'Blocking-Step2'!I2020</f>
        <v>0</v>
      </c>
      <c r="AH2020" s="2136">
        <f>K2020-'Blocking-Step2'!K2020</f>
        <v>0</v>
      </c>
      <c r="AJ2020" s="2136">
        <f>M2020-'Blocking-Step2'!M2020</f>
        <v>0</v>
      </c>
      <c r="AL2020" s="2136" t="e">
        <f>O2020-'Blocking-Step2'!O2020</f>
        <v>#VALUE!</v>
      </c>
      <c r="AN2020" s="2137">
        <f>Q2020-'Blocking-Step2'!Q2020</f>
        <v>0</v>
      </c>
      <c r="AP2020" s="2127">
        <f>S2020-'Blocking-Step2'!S2020</f>
        <v>0</v>
      </c>
      <c r="AR2020" s="2127">
        <f>U2020-'Blocking-Step2'!U2020</f>
        <v>0</v>
      </c>
      <c r="AT2020" s="2127">
        <f>W2020-'Blocking-Step2'!W2020</f>
        <v>0</v>
      </c>
      <c r="AV2020" s="2128">
        <f>Y2020-'Blocking-Step2'!Y2020</f>
        <v>-20.446899999995367</v>
      </c>
    </row>
    <row r="2021" spans="1:48" ht="16.5" hidden="1" thickTop="1">
      <c r="A2021" s="1116" t="s">
        <v>1317</v>
      </c>
      <c r="C2021" s="1024">
        <v>-682</v>
      </c>
      <c r="D2021" s="1024">
        <v>-644</v>
      </c>
      <c r="F2021" s="2076"/>
      <c r="G2021" s="617"/>
      <c r="H2021" s="1146"/>
      <c r="I2021" s="1146"/>
      <c r="K2021" s="2076"/>
      <c r="L2021" s="617"/>
      <c r="M2021" s="2076"/>
      <c r="N2021" s="617"/>
      <c r="O2021" s="2076"/>
      <c r="P2021" s="617"/>
      <c r="Q2021" s="2076"/>
      <c r="R2021" s="617"/>
      <c r="S2021" s="1114"/>
      <c r="T2021" s="1114"/>
      <c r="U2021" s="1114"/>
      <c r="V2021" s="1114"/>
      <c r="W2021" s="1114"/>
      <c r="X2021" s="1114"/>
      <c r="Y2021" s="1146"/>
      <c r="Z2021" s="2114">
        <f>C2021-'Blocking-Step2'!C2021</f>
        <v>0</v>
      </c>
      <c r="AA2021" s="2114">
        <f>D2021-'Blocking-Step2'!D2021</f>
        <v>0</v>
      </c>
      <c r="AC2021" s="2114">
        <f>F2021-'Blocking-Step2'!F2021</f>
        <v>0</v>
      </c>
      <c r="AE2021" s="2114">
        <f>H2021-'Blocking-Step2'!H2021</f>
        <v>0</v>
      </c>
      <c r="AF2021" s="2114">
        <f>I2021-'Blocking-Step2'!I2021</f>
        <v>0</v>
      </c>
      <c r="AH2021" s="2136">
        <f>K2021-'Blocking-Step2'!K2021</f>
        <v>0</v>
      </c>
      <c r="AJ2021" s="2136">
        <f>M2021-'Blocking-Step2'!M2021</f>
        <v>0</v>
      </c>
      <c r="AL2021" s="2136">
        <f>O2021-'Blocking-Step2'!O2021</f>
        <v>0</v>
      </c>
      <c r="AN2021" s="2137">
        <f>Q2021-'Blocking-Step2'!Q2021</f>
        <v>0</v>
      </c>
      <c r="AP2021" s="2127">
        <f>S2021-'Blocking-Step2'!S2021</f>
        <v>0</v>
      </c>
      <c r="AR2021" s="2127">
        <f>U2021-'Blocking-Step2'!U2021</f>
        <v>0</v>
      </c>
      <c r="AT2021" s="2127">
        <f>W2021-'Blocking-Step2'!W2021</f>
        <v>0</v>
      </c>
      <c r="AV2021" s="2128">
        <f>Y2021-'Blocking-Step2'!Y2021</f>
        <v>0</v>
      </c>
    </row>
    <row r="2022" spans="1:48" ht="17.25" hidden="1" thickTop="1" thickBot="1">
      <c r="A2022" s="1116" t="s">
        <v>247</v>
      </c>
      <c r="C2022" s="1138">
        <v>102253064.87512776</v>
      </c>
      <c r="D2022" s="1138">
        <v>96513004.531002313</v>
      </c>
      <c r="F2022" s="1145"/>
      <c r="H2022" s="1149">
        <v>10930076.128799999</v>
      </c>
      <c r="I2022" s="1149">
        <v>10467720.5758</v>
      </c>
      <c r="K2022" s="1145"/>
      <c r="M2022" s="1145"/>
      <c r="O2022" s="1145"/>
      <c r="Q2022" s="1145"/>
      <c r="S2022" s="1149">
        <v>3316305</v>
      </c>
      <c r="U2022" s="1149">
        <v>5038990</v>
      </c>
      <c r="W2022" s="1149">
        <v>2096736</v>
      </c>
      <c r="Y2022" s="1149">
        <v>10452029</v>
      </c>
      <c r="Z2022" s="2114">
        <f>C2022-'Blocking-Step2'!C2022</f>
        <v>0</v>
      </c>
      <c r="AA2022" s="2114">
        <f>D2022-'Blocking-Step2'!D2022</f>
        <v>0</v>
      </c>
      <c r="AC2022" s="2114">
        <f>F2022-'Blocking-Step2'!F2022</f>
        <v>0</v>
      </c>
      <c r="AE2022" s="2114">
        <f>H2022-'Blocking-Step2'!H2022</f>
        <v>0</v>
      </c>
      <c r="AF2022" s="2114">
        <f>I2022-'Blocking-Step2'!I2022</f>
        <v>0</v>
      </c>
      <c r="AH2022" s="2136">
        <f>K2022-'Blocking-Step2'!K2022</f>
        <v>0</v>
      </c>
      <c r="AJ2022" s="2136">
        <f>M2022-'Blocking-Step2'!M2022</f>
        <v>0</v>
      </c>
      <c r="AL2022" s="2136">
        <f>O2022-'Blocking-Step2'!O2022</f>
        <v>0</v>
      </c>
      <c r="AN2022" s="2137">
        <f>Q2022-'Blocking-Step2'!Q2022</f>
        <v>0</v>
      </c>
      <c r="AP2022" s="2127">
        <f>S2022-'Blocking-Step2'!S2022</f>
        <v>-1421838</v>
      </c>
      <c r="AR2022" s="2127">
        <f>U2022-'Blocking-Step2'!U2022</f>
        <v>1423311</v>
      </c>
      <c r="AT2022" s="2127">
        <f>W2022-'Blocking-Step2'!W2022</f>
        <v>0</v>
      </c>
      <c r="AV2022" s="2128">
        <f>Y2022-'Blocking-Step2'!Y2022</f>
        <v>1471</v>
      </c>
    </row>
    <row r="2023" spans="1:48" ht="16.5" hidden="1" thickTop="1">
      <c r="Z2023" s="2114">
        <f>C2023-'Blocking-Step2'!C2023</f>
        <v>0</v>
      </c>
      <c r="AA2023" s="2114">
        <f>D2023-'Blocking-Step2'!D2023</f>
        <v>0</v>
      </c>
      <c r="AC2023" s="2114">
        <f>F2023-'Blocking-Step2'!F2023</f>
        <v>0</v>
      </c>
      <c r="AE2023" s="2114">
        <f>H2023-'Blocking-Step2'!H2023</f>
        <v>0</v>
      </c>
      <c r="AF2023" s="2114">
        <f>I2023-'Blocking-Step2'!I2023</f>
        <v>0</v>
      </c>
      <c r="AH2023" s="2136">
        <f>K2023-'Blocking-Step2'!K2023</f>
        <v>0</v>
      </c>
      <c r="AJ2023" s="2136">
        <f>M2023-'Blocking-Step2'!M2023</f>
        <v>0</v>
      </c>
      <c r="AL2023" s="2136">
        <f>O2023-'Blocking-Step2'!O2023</f>
        <v>0</v>
      </c>
      <c r="AN2023" s="2137">
        <f>Q2023-'Blocking-Step2'!Q2023</f>
        <v>0</v>
      </c>
      <c r="AP2023" s="2127">
        <f>S2023-'Blocking-Step2'!S2023</f>
        <v>0</v>
      </c>
      <c r="AR2023" s="2127">
        <f>U2023-'Blocking-Step2'!U2023</f>
        <v>0</v>
      </c>
      <c r="AT2023" s="2127">
        <f>W2023-'Blocking-Step2'!W2023</f>
        <v>0</v>
      </c>
      <c r="AV2023" s="2128">
        <f>Y2023-'Blocking-Step2'!Y2023</f>
        <v>0</v>
      </c>
    </row>
    <row r="2024" spans="1:48" ht="16.5" hidden="1" thickTop="1">
      <c r="A2024" s="1115" t="s">
        <v>934</v>
      </c>
      <c r="C2024" s="1105"/>
      <c r="D2024" s="1105"/>
      <c r="Z2024" s="2114">
        <f>C2024-'Blocking-Step2'!C2024</f>
        <v>0</v>
      </c>
      <c r="AA2024" s="2114">
        <f>D2024-'Blocking-Step2'!D2024</f>
        <v>0</v>
      </c>
      <c r="AC2024" s="2114">
        <f>F2024-'Blocking-Step2'!F2024</f>
        <v>0</v>
      </c>
      <c r="AE2024" s="2114">
        <f>H2024-'Blocking-Step2'!H2024</f>
        <v>0</v>
      </c>
      <c r="AF2024" s="2114">
        <f>I2024-'Blocking-Step2'!I2024</f>
        <v>0</v>
      </c>
      <c r="AH2024" s="2136">
        <f>K2024-'Blocking-Step2'!K2024</f>
        <v>0</v>
      </c>
      <c r="AJ2024" s="2136">
        <f>M2024-'Blocking-Step2'!M2024</f>
        <v>0</v>
      </c>
      <c r="AL2024" s="2136">
        <f>O2024-'Blocking-Step2'!O2024</f>
        <v>0</v>
      </c>
      <c r="AN2024" s="2137">
        <f>Q2024-'Blocking-Step2'!Q2024</f>
        <v>0</v>
      </c>
      <c r="AP2024" s="2127">
        <f>S2024-'Blocking-Step2'!S2024</f>
        <v>0</v>
      </c>
      <c r="AR2024" s="2127">
        <f>U2024-'Blocking-Step2'!U2024</f>
        <v>0</v>
      </c>
      <c r="AT2024" s="2127">
        <f>W2024-'Blocking-Step2'!W2024</f>
        <v>0</v>
      </c>
      <c r="AV2024" s="2128">
        <f>Y2024-'Blocking-Step2'!Y2024</f>
        <v>0</v>
      </c>
    </row>
    <row r="2025" spans="1:48" ht="16.5" hidden="1" thickTop="1">
      <c r="A2025" s="1116" t="s">
        <v>240</v>
      </c>
      <c r="C2025" s="1105">
        <v>889735.82099988707</v>
      </c>
      <c r="D2025" s="1105">
        <v>923789.33489688137</v>
      </c>
      <c r="F2025" s="1142">
        <v>10</v>
      </c>
      <c r="G2025" s="617"/>
      <c r="H2025" s="1146">
        <v>8897358</v>
      </c>
      <c r="I2025" s="1146">
        <v>9237893</v>
      </c>
      <c r="K2025" s="1142">
        <v>10</v>
      </c>
      <c r="L2025" s="617"/>
      <c r="M2025" s="1142">
        <v>0</v>
      </c>
      <c r="N2025" s="617"/>
      <c r="O2025" s="1142">
        <v>0</v>
      </c>
      <c r="P2025" s="617"/>
      <c r="Q2025" s="1142">
        <v>10</v>
      </c>
      <c r="R2025" s="617"/>
      <c r="S2025" s="1146">
        <v>9237893</v>
      </c>
      <c r="T2025" s="1114"/>
      <c r="U2025" s="1146">
        <v>0</v>
      </c>
      <c r="V2025" s="1114"/>
      <c r="W2025" s="1146">
        <v>0</v>
      </c>
      <c r="X2025" s="1114"/>
      <c r="Y2025" s="1146">
        <v>9237893</v>
      </c>
      <c r="Z2025" s="2114">
        <f>C2025-'Blocking-Step2'!C2025</f>
        <v>0</v>
      </c>
      <c r="AA2025" s="2114">
        <f>D2025-'Blocking-Step2'!D2025</f>
        <v>0</v>
      </c>
      <c r="AC2025" s="2114">
        <f>F2025-'Blocking-Step2'!F2025</f>
        <v>0</v>
      </c>
      <c r="AE2025" s="2114">
        <f>H2025-'Blocking-Step2'!H2025</f>
        <v>0</v>
      </c>
      <c r="AF2025" s="2114">
        <f>I2025-'Blocking-Step2'!I2025</f>
        <v>0</v>
      </c>
      <c r="AH2025" s="2136">
        <f>K2025-'Blocking-Step2'!K2025</f>
        <v>0</v>
      </c>
      <c r="AJ2025" s="2136">
        <f>M2025-'Blocking-Step2'!M2025</f>
        <v>0</v>
      </c>
      <c r="AL2025" s="2136">
        <f>O2025-'Blocking-Step2'!O2025</f>
        <v>0</v>
      </c>
      <c r="AN2025" s="2137">
        <f>Q2025-'Blocking-Step2'!Q2025</f>
        <v>0</v>
      </c>
      <c r="AP2025" s="2127">
        <f>S2025-'Blocking-Step2'!S2025</f>
        <v>0</v>
      </c>
      <c r="AR2025" s="2127">
        <f>U2025-'Blocking-Step2'!U2025</f>
        <v>0</v>
      </c>
      <c r="AT2025" s="2127">
        <f>W2025-'Blocking-Step2'!W2025</f>
        <v>0</v>
      </c>
      <c r="AV2025" s="2128">
        <f>Y2025-'Blocking-Step2'!Y2025</f>
        <v>0</v>
      </c>
    </row>
    <row r="2026" spans="1:48" ht="16.5" hidden="1" thickTop="1">
      <c r="A2026" s="1116" t="s">
        <v>262</v>
      </c>
      <c r="C2026" s="1105">
        <v>0</v>
      </c>
      <c r="D2026" s="1105">
        <v>0</v>
      </c>
      <c r="F2026" s="1142">
        <v>120</v>
      </c>
      <c r="G2026" s="617"/>
      <c r="H2026" s="1146">
        <v>0</v>
      </c>
      <c r="I2026" s="1146">
        <v>0</v>
      </c>
      <c r="K2026" s="1142">
        <v>117</v>
      </c>
      <c r="L2026" s="617"/>
      <c r="M2026" s="1142">
        <v>0</v>
      </c>
      <c r="N2026" s="617"/>
      <c r="O2026" s="1142">
        <v>0</v>
      </c>
      <c r="P2026" s="617"/>
      <c r="Q2026" s="1142">
        <v>117</v>
      </c>
      <c r="R2026" s="617"/>
      <c r="S2026" s="1146">
        <v>0</v>
      </c>
      <c r="T2026" s="1114"/>
      <c r="U2026" s="1146">
        <v>0</v>
      </c>
      <c r="V2026" s="1114"/>
      <c r="W2026" s="1146">
        <v>0</v>
      </c>
      <c r="X2026" s="1114"/>
      <c r="Y2026" s="1146">
        <v>0</v>
      </c>
      <c r="Z2026" s="2114">
        <f>C2026-'Blocking-Step2'!C2026</f>
        <v>0</v>
      </c>
      <c r="AA2026" s="2114">
        <f>D2026-'Blocking-Step2'!D2026</f>
        <v>0</v>
      </c>
      <c r="AC2026" s="2114">
        <f>F2026-'Blocking-Step2'!F2026</f>
        <v>0</v>
      </c>
      <c r="AE2026" s="2114">
        <f>H2026-'Blocking-Step2'!H2026</f>
        <v>0</v>
      </c>
      <c r="AF2026" s="2114">
        <f>I2026-'Blocking-Step2'!I2026</f>
        <v>0</v>
      </c>
      <c r="AH2026" s="2136">
        <f>K2026-'Blocking-Step2'!K2026</f>
        <v>0</v>
      </c>
      <c r="AJ2026" s="2136">
        <f>M2026-'Blocking-Step2'!M2026</f>
        <v>0</v>
      </c>
      <c r="AL2026" s="2136">
        <f>O2026-'Blocking-Step2'!O2026</f>
        <v>0</v>
      </c>
      <c r="AN2026" s="2137">
        <f>Q2026-'Blocking-Step2'!Q2026</f>
        <v>0</v>
      </c>
      <c r="AP2026" s="2127">
        <f>S2026-'Blocking-Step2'!S2026</f>
        <v>0</v>
      </c>
      <c r="AR2026" s="2127">
        <f>U2026-'Blocking-Step2'!U2026</f>
        <v>0</v>
      </c>
      <c r="AT2026" s="2127">
        <f>W2026-'Blocking-Step2'!W2026</f>
        <v>0</v>
      </c>
      <c r="AV2026" s="2128">
        <f>Y2026-'Blocking-Step2'!Y2026</f>
        <v>0</v>
      </c>
    </row>
    <row r="2027" spans="1:48" ht="16.5" hidden="1" thickTop="1">
      <c r="A2027" s="1116" t="s">
        <v>1298</v>
      </c>
      <c r="C2027" s="1105">
        <v>78.731999999999999</v>
      </c>
      <c r="D2027" s="1105">
        <v>82</v>
      </c>
      <c r="F2027" s="1142">
        <v>10</v>
      </c>
      <c r="G2027" s="617"/>
      <c r="H2027" s="1146">
        <v>787</v>
      </c>
      <c r="I2027" s="1146">
        <v>820</v>
      </c>
      <c r="K2027" s="1142">
        <v>10</v>
      </c>
      <c r="L2027" s="617"/>
      <c r="M2027" s="1142">
        <v>0</v>
      </c>
      <c r="N2027" s="617"/>
      <c r="O2027" s="1142">
        <v>0</v>
      </c>
      <c r="P2027" s="617"/>
      <c r="Q2027" s="1142">
        <v>10</v>
      </c>
      <c r="R2027" s="617"/>
      <c r="S2027" s="1146">
        <v>820</v>
      </c>
      <c r="T2027" s="1114"/>
      <c r="U2027" s="1146">
        <v>0</v>
      </c>
      <c r="V2027" s="1114"/>
      <c r="W2027" s="1146">
        <v>0</v>
      </c>
      <c r="X2027" s="1114"/>
      <c r="Y2027" s="1146">
        <v>820</v>
      </c>
      <c r="Z2027" s="2114">
        <f>C2027-'Blocking-Step2'!C2027</f>
        <v>0</v>
      </c>
      <c r="AA2027" s="2114">
        <f>D2027-'Blocking-Step2'!D2027</f>
        <v>0</v>
      </c>
      <c r="AC2027" s="2114">
        <f>F2027-'Blocking-Step2'!F2027</f>
        <v>0</v>
      </c>
      <c r="AE2027" s="2114">
        <f>H2027-'Blocking-Step2'!H2027</f>
        <v>0</v>
      </c>
      <c r="AF2027" s="2114">
        <f>I2027-'Blocking-Step2'!I2027</f>
        <v>0</v>
      </c>
      <c r="AH2027" s="2136">
        <f>K2027-'Blocking-Step2'!K2027</f>
        <v>0</v>
      </c>
      <c r="AJ2027" s="2136">
        <f>M2027-'Blocking-Step2'!M2027</f>
        <v>0</v>
      </c>
      <c r="AL2027" s="2136">
        <f>O2027-'Blocking-Step2'!O2027</f>
        <v>0</v>
      </c>
      <c r="AN2027" s="2137">
        <f>Q2027-'Blocking-Step2'!Q2027</f>
        <v>0</v>
      </c>
      <c r="AP2027" s="2127">
        <f>S2027-'Blocking-Step2'!S2027</f>
        <v>0</v>
      </c>
      <c r="AR2027" s="2127">
        <f>U2027-'Blocking-Step2'!U2027</f>
        <v>0</v>
      </c>
      <c r="AT2027" s="2127">
        <f>W2027-'Blocking-Step2'!W2027</f>
        <v>0</v>
      </c>
      <c r="AV2027" s="2128">
        <f>Y2027-'Blocking-Step2'!Y2027</f>
        <v>0</v>
      </c>
    </row>
    <row r="2028" spans="1:48" ht="16.5" hidden="1" thickTop="1">
      <c r="A2028" s="1116" t="s">
        <v>1654</v>
      </c>
      <c r="C2028" s="1105">
        <v>284935.59326518374</v>
      </c>
      <c r="D2028" s="1105">
        <v>282084</v>
      </c>
      <c r="F2028" s="1142"/>
      <c r="G2028" s="617"/>
      <c r="H2028" s="1146"/>
      <c r="I2028" s="1146"/>
      <c r="K2028" s="1142">
        <v>8.89</v>
      </c>
      <c r="L2028" s="617"/>
      <c r="M2028" s="1142">
        <v>0</v>
      </c>
      <c r="N2028" s="617"/>
      <c r="O2028" s="1142">
        <v>0</v>
      </c>
      <c r="P2028" s="617"/>
      <c r="Q2028" s="1142">
        <v>8.89</v>
      </c>
      <c r="R2028" s="617"/>
      <c r="S2028" s="1146">
        <v>2507727</v>
      </c>
      <c r="T2028" s="1114"/>
      <c r="U2028" s="1146">
        <v>0</v>
      </c>
      <c r="V2028" s="1114"/>
      <c r="W2028" s="1146">
        <v>0</v>
      </c>
      <c r="X2028" s="1114"/>
      <c r="Y2028" s="1146">
        <v>2507727</v>
      </c>
      <c r="Z2028" s="2114">
        <f>C2028-'Blocking-Step2'!C2028</f>
        <v>0</v>
      </c>
      <c r="AA2028" s="2114">
        <f>D2028-'Blocking-Step2'!D2028</f>
        <v>0</v>
      </c>
      <c r="AC2028" s="2114">
        <f>F2028-'Blocking-Step2'!F2028</f>
        <v>0</v>
      </c>
      <c r="AE2028" s="2114">
        <f>H2028-'Blocking-Step2'!H2028</f>
        <v>0</v>
      </c>
      <c r="AF2028" s="2114">
        <f>I2028-'Blocking-Step2'!I2028</f>
        <v>0</v>
      </c>
      <c r="AH2028" s="2136">
        <f>K2028-'Blocking-Step2'!K2028</f>
        <v>0</v>
      </c>
      <c r="AJ2028" s="2136">
        <f>M2028-'Blocking-Step2'!M2028</f>
        <v>0</v>
      </c>
      <c r="AL2028" s="2136">
        <f>O2028-'Blocking-Step2'!O2028</f>
        <v>0</v>
      </c>
      <c r="AN2028" s="2137">
        <f>Q2028-'Blocking-Step2'!Q2028</f>
        <v>0</v>
      </c>
      <c r="AP2028" s="2127">
        <f>S2028-'Blocking-Step2'!S2028</f>
        <v>0</v>
      </c>
      <c r="AR2028" s="2127">
        <f>U2028-'Blocking-Step2'!U2028</f>
        <v>0</v>
      </c>
      <c r="AT2028" s="2127">
        <f>W2028-'Blocking-Step2'!W2028</f>
        <v>0</v>
      </c>
      <c r="AV2028" s="2128">
        <f>Y2028-'Blocking-Step2'!Y2028</f>
        <v>0</v>
      </c>
    </row>
    <row r="2029" spans="1:48" ht="16.5" hidden="1" thickTop="1">
      <c r="A2029" s="1116" t="s">
        <v>1655</v>
      </c>
      <c r="C2029" s="1105">
        <v>322137.13125145499</v>
      </c>
      <c r="D2029" s="1105">
        <v>318913</v>
      </c>
      <c r="F2029" s="1142"/>
      <c r="G2029" s="617"/>
      <c r="H2029" s="1146"/>
      <c r="I2029" s="1146"/>
      <c r="K2029" s="1142">
        <v>7.87</v>
      </c>
      <c r="L2029" s="617"/>
      <c r="M2029" s="1142">
        <v>0</v>
      </c>
      <c r="N2029" s="617"/>
      <c r="O2029" s="1142">
        <v>0</v>
      </c>
      <c r="P2029" s="617"/>
      <c r="Q2029" s="1142">
        <v>7.87</v>
      </c>
      <c r="R2029" s="617"/>
      <c r="S2029" s="1146">
        <v>2509845</v>
      </c>
      <c r="T2029" s="1114"/>
      <c r="U2029" s="1146">
        <v>0</v>
      </c>
      <c r="V2029" s="1114"/>
      <c r="W2029" s="1146">
        <v>0</v>
      </c>
      <c r="X2029" s="1114"/>
      <c r="Y2029" s="1146">
        <v>2509845</v>
      </c>
      <c r="Z2029" s="2114">
        <f>C2029-'Blocking-Step2'!C2029</f>
        <v>0</v>
      </c>
      <c r="AA2029" s="2114">
        <f>D2029-'Blocking-Step2'!D2029</f>
        <v>0</v>
      </c>
      <c r="AC2029" s="2114">
        <f>F2029-'Blocking-Step2'!F2029</f>
        <v>0</v>
      </c>
      <c r="AE2029" s="2114">
        <f>H2029-'Blocking-Step2'!H2029</f>
        <v>0</v>
      </c>
      <c r="AF2029" s="2114">
        <f>I2029-'Blocking-Step2'!I2029</f>
        <v>0</v>
      </c>
      <c r="AH2029" s="2136">
        <f>K2029-'Blocking-Step2'!K2029</f>
        <v>0</v>
      </c>
      <c r="AJ2029" s="2136">
        <f>M2029-'Blocking-Step2'!M2029</f>
        <v>0</v>
      </c>
      <c r="AL2029" s="2136">
        <f>O2029-'Blocking-Step2'!O2029</f>
        <v>0</v>
      </c>
      <c r="AN2029" s="2137">
        <f>Q2029-'Blocking-Step2'!Q2029</f>
        <v>0</v>
      </c>
      <c r="AP2029" s="2127">
        <f>S2029-'Blocking-Step2'!S2029</f>
        <v>0</v>
      </c>
      <c r="AR2029" s="2127">
        <f>U2029-'Blocking-Step2'!U2029</f>
        <v>0</v>
      </c>
      <c r="AT2029" s="2127">
        <f>W2029-'Blocking-Step2'!W2029</f>
        <v>0</v>
      </c>
      <c r="AV2029" s="2128">
        <f>Y2029-'Blocking-Step2'!Y2029</f>
        <v>0</v>
      </c>
    </row>
    <row r="2030" spans="1:48" ht="16.5" hidden="1" thickTop="1">
      <c r="A2030" s="1116" t="s">
        <v>1656</v>
      </c>
      <c r="C2030" s="1105">
        <v>219820357.44385663</v>
      </c>
      <c r="D2030" s="1105">
        <v>220026206.11234498</v>
      </c>
      <c r="F2030" s="1106"/>
      <c r="G2030" s="1921"/>
      <c r="H2030" s="1146"/>
      <c r="I2030" s="1146"/>
      <c r="K2030" s="1106">
        <v>1.4671000000000001</v>
      </c>
      <c r="L2030" s="1921" t="s">
        <v>495</v>
      </c>
      <c r="M2030" s="1106">
        <v>7.9411934380819993</v>
      </c>
      <c r="N2030" s="1921" t="s">
        <v>495</v>
      </c>
      <c r="O2030" s="1106">
        <v>2.3066</v>
      </c>
      <c r="P2030" s="1921" t="s">
        <v>495</v>
      </c>
      <c r="Q2030" s="1106">
        <v>11.714893438081999</v>
      </c>
      <c r="R2030" s="1921" t="s">
        <v>495</v>
      </c>
      <c r="S2030" s="1146">
        <v>3228004</v>
      </c>
      <c r="T2030" s="1648"/>
      <c r="U2030" s="1146">
        <v>17472707</v>
      </c>
      <c r="V2030" s="1648"/>
      <c r="W2030" s="1146">
        <v>5075124</v>
      </c>
      <c r="X2030" s="1648"/>
      <c r="Y2030" s="1146">
        <v>25775836</v>
      </c>
      <c r="Z2030" s="2114">
        <f>C2030-'Blocking-Step2'!C2030</f>
        <v>0</v>
      </c>
      <c r="AA2030" s="2114">
        <f>D2030-'Blocking-Step2'!D2030</f>
        <v>0</v>
      </c>
      <c r="AC2030" s="2114">
        <f>F2030-'Blocking-Step2'!F2030</f>
        <v>0</v>
      </c>
      <c r="AE2030" s="2114">
        <f>H2030-'Blocking-Step2'!H2030</f>
        <v>0</v>
      </c>
      <c r="AF2030" s="2114">
        <f>I2030-'Blocking-Step2'!I2030</f>
        <v>0</v>
      </c>
      <c r="AH2030" s="2136">
        <f>K2030-'Blocking-Step2'!K2030</f>
        <v>-1.4732000000000001</v>
      </c>
      <c r="AJ2030" s="2136">
        <f>M2030-'Blocking-Step2'!M2030</f>
        <v>1.4755465414459987</v>
      </c>
      <c r="AL2030" s="2136">
        <f>O2030-'Blocking-Step2'!O2030</f>
        <v>0</v>
      </c>
      <c r="AN2030" s="2137">
        <f>Q2030-'Blocking-Step2'!Q2030</f>
        <v>2.3465414459984402E-3</v>
      </c>
      <c r="AP2030" s="2127">
        <f>S2030-'Blocking-Step2'!S2030</f>
        <v>-3241427</v>
      </c>
      <c r="AR2030" s="2127">
        <f>U2030-'Blocking-Step2'!U2030</f>
        <v>3246589</v>
      </c>
      <c r="AT2030" s="2127">
        <f>W2030-'Blocking-Step2'!W2030</f>
        <v>0</v>
      </c>
      <c r="AV2030" s="2128">
        <f>Y2030-'Blocking-Step2'!Y2030</f>
        <v>5163</v>
      </c>
    </row>
    <row r="2031" spans="1:48" ht="16.5" hidden="1" thickTop="1">
      <c r="A2031" s="1116" t="s">
        <v>1657</v>
      </c>
      <c r="C2031" s="1105">
        <v>232996273.96449897</v>
      </c>
      <c r="D2031" s="1105">
        <v>233214461</v>
      </c>
      <c r="F2031" s="1106"/>
      <c r="G2031" s="1921"/>
      <c r="H2031" s="1146"/>
      <c r="I2031" s="1146"/>
      <c r="K2031" s="1106">
        <v>1.4671000000000001</v>
      </c>
      <c r="L2031" s="1921" t="s">
        <v>495</v>
      </c>
      <c r="M2031" s="1106">
        <v>2.7858934380819993</v>
      </c>
      <c r="N2031" s="1921" t="s">
        <v>495</v>
      </c>
      <c r="O2031" s="1106">
        <v>2.3066</v>
      </c>
      <c r="P2031" s="1921" t="s">
        <v>495</v>
      </c>
      <c r="Q2031" s="1106">
        <v>6.5595934380819996</v>
      </c>
      <c r="R2031" s="1921" t="s">
        <v>495</v>
      </c>
      <c r="S2031" s="1146">
        <v>3421489</v>
      </c>
      <c r="T2031" s="1648"/>
      <c r="U2031" s="1146">
        <v>6497106</v>
      </c>
      <c r="V2031" s="1648"/>
      <c r="W2031" s="1146">
        <v>5379325</v>
      </c>
      <c r="X2031" s="1648"/>
      <c r="Y2031" s="1146">
        <v>15297920</v>
      </c>
      <c r="Z2031" s="2114">
        <f>C2031-'Blocking-Step2'!C2031</f>
        <v>0</v>
      </c>
      <c r="AA2031" s="2114">
        <f>D2031-'Blocking-Step2'!D2031</f>
        <v>0</v>
      </c>
      <c r="AC2031" s="2114">
        <f>F2031-'Blocking-Step2'!F2031</f>
        <v>0</v>
      </c>
      <c r="AE2031" s="2114">
        <f>H2031-'Blocking-Step2'!H2031</f>
        <v>0</v>
      </c>
      <c r="AF2031" s="2114">
        <f>I2031-'Blocking-Step2'!I2031</f>
        <v>0</v>
      </c>
      <c r="AH2031" s="2136">
        <f>K2031-'Blocking-Step2'!K2031</f>
        <v>-1.4732000000000001</v>
      </c>
      <c r="AJ2031" s="2136">
        <f>M2031-'Blocking-Step2'!M2031</f>
        <v>1.4755465414459983</v>
      </c>
      <c r="AL2031" s="2136">
        <f>O2031-'Blocking-Step2'!O2031</f>
        <v>0</v>
      </c>
      <c r="AN2031" s="2137">
        <f>Q2031-'Blocking-Step2'!Q2031</f>
        <v>2.3465414459984402E-3</v>
      </c>
      <c r="AP2031" s="2127">
        <f>S2031-'Blocking-Step2'!S2031</f>
        <v>-3435716</v>
      </c>
      <c r="AR2031" s="2127">
        <f>U2031-'Blocking-Step2'!U2031</f>
        <v>3441188</v>
      </c>
      <c r="AT2031" s="2127">
        <f>W2031-'Blocking-Step2'!W2031</f>
        <v>0</v>
      </c>
      <c r="AV2031" s="2128">
        <f>Y2031-'Blocking-Step2'!Y2031</f>
        <v>5472</v>
      </c>
    </row>
    <row r="2032" spans="1:48" ht="16.5" hidden="1" thickTop="1">
      <c r="A2032" s="1116" t="s">
        <v>1658</v>
      </c>
      <c r="C2032" s="1105">
        <v>437183175.69710863</v>
      </c>
      <c r="D2032" s="1105">
        <v>433683507</v>
      </c>
      <c r="F2032" s="1106"/>
      <c r="G2032" s="1921"/>
      <c r="H2032" s="1146"/>
      <c r="I2032" s="1146"/>
      <c r="K2032" s="1106">
        <v>1.4671000000000001</v>
      </c>
      <c r="L2032" s="1921" t="s">
        <v>495</v>
      </c>
      <c r="M2032" s="1106">
        <v>6.7850000000000001</v>
      </c>
      <c r="N2032" s="1921" t="s">
        <v>495</v>
      </c>
      <c r="O2032" s="1106">
        <v>2.1151</v>
      </c>
      <c r="P2032" s="1921" t="s">
        <v>495</v>
      </c>
      <c r="Q2032" s="1106">
        <v>10.3672</v>
      </c>
      <c r="R2032" s="1921" t="s">
        <v>495</v>
      </c>
      <c r="S2032" s="1146">
        <v>6362571</v>
      </c>
      <c r="T2032" s="1648"/>
      <c r="U2032" s="1146">
        <v>29425426</v>
      </c>
      <c r="V2032" s="1648"/>
      <c r="W2032" s="1146">
        <v>9172840</v>
      </c>
      <c r="X2032" s="1648"/>
      <c r="Y2032" s="1146">
        <v>44960837</v>
      </c>
      <c r="Z2032" s="2114">
        <f>C2032-'Blocking-Step2'!C2032</f>
        <v>0</v>
      </c>
      <c r="AA2032" s="2114">
        <f>D2032-'Blocking-Step2'!D2032</f>
        <v>0</v>
      </c>
      <c r="AC2032" s="2114">
        <f>F2032-'Blocking-Step2'!F2032</f>
        <v>0</v>
      </c>
      <c r="AE2032" s="2114">
        <f>H2032-'Blocking-Step2'!H2032</f>
        <v>0</v>
      </c>
      <c r="AF2032" s="2114">
        <f>I2032-'Blocking-Step2'!I2032</f>
        <v>0</v>
      </c>
      <c r="AH2032" s="2136">
        <f>K2032-'Blocking-Step2'!K2032</f>
        <v>-1.4732000000000001</v>
      </c>
      <c r="AJ2032" s="2136">
        <f>M2032-'Blocking-Step2'!M2032</f>
        <v>1.4753000000000007</v>
      </c>
      <c r="AL2032" s="2136">
        <f>O2032-'Blocking-Step2'!O2032</f>
        <v>0</v>
      </c>
      <c r="AN2032" s="2137">
        <f>Q2032-'Blocking-Step2'!Q2032</f>
        <v>2.1000000000004349E-3</v>
      </c>
      <c r="AP2032" s="2127">
        <f>S2032-'Blocking-Step2'!S2032</f>
        <v>-6389025</v>
      </c>
      <c r="AR2032" s="2127">
        <f>U2032-'Blocking-Step2'!U2032</f>
        <v>6398133</v>
      </c>
      <c r="AT2032" s="2127">
        <f>W2032-'Blocking-Step2'!W2032</f>
        <v>0</v>
      </c>
      <c r="AV2032" s="2128">
        <f>Y2032-'Blocking-Step2'!Y2032</f>
        <v>9108</v>
      </c>
    </row>
    <row r="2033" spans="1:48" ht="16.5" hidden="1" thickTop="1">
      <c r="A2033" s="1116" t="s">
        <v>1659</v>
      </c>
      <c r="C2033" s="1105">
        <v>354388139.47368246</v>
      </c>
      <c r="D2033" s="1105">
        <v>351551248</v>
      </c>
      <c r="F2033" s="1106"/>
      <c r="G2033" s="1921"/>
      <c r="H2033" s="1146"/>
      <c r="I2033" s="1146"/>
      <c r="K2033" s="1106">
        <v>1.4671000000000001</v>
      </c>
      <c r="L2033" s="1921" t="s">
        <v>495</v>
      </c>
      <c r="M2033" s="1106">
        <v>2.2226999999999997</v>
      </c>
      <c r="N2033" s="1921" t="s">
        <v>495</v>
      </c>
      <c r="O2033" s="1106">
        <v>2.1151</v>
      </c>
      <c r="P2033" s="1921" t="s">
        <v>495</v>
      </c>
      <c r="Q2033" s="1106">
        <v>5.8048999999999999</v>
      </c>
      <c r="R2033" s="1921" t="s">
        <v>495</v>
      </c>
      <c r="S2033" s="1146">
        <v>5157608</v>
      </c>
      <c r="T2033" s="1648"/>
      <c r="U2033" s="1146">
        <v>7813930</v>
      </c>
      <c r="V2033" s="1648"/>
      <c r="W2033" s="1146">
        <v>7435660</v>
      </c>
      <c r="X2033" s="1648"/>
      <c r="Y2033" s="1146">
        <v>20407198</v>
      </c>
      <c r="Z2033" s="2114">
        <f>C2033-'Blocking-Step2'!C2033</f>
        <v>0</v>
      </c>
      <c r="AA2033" s="2114">
        <f>D2033-'Blocking-Step2'!D2033</f>
        <v>0</v>
      </c>
      <c r="AC2033" s="2114">
        <f>F2033-'Blocking-Step2'!F2033</f>
        <v>0</v>
      </c>
      <c r="AE2033" s="2114">
        <f>H2033-'Blocking-Step2'!H2033</f>
        <v>0</v>
      </c>
      <c r="AF2033" s="2114">
        <f>I2033-'Blocking-Step2'!I2033</f>
        <v>0</v>
      </c>
      <c r="AH2033" s="2136">
        <f>K2033-'Blocking-Step2'!K2033</f>
        <v>-1.4732000000000001</v>
      </c>
      <c r="AJ2033" s="2136">
        <f>M2033-'Blocking-Step2'!M2033</f>
        <v>1.4751999999999996</v>
      </c>
      <c r="AL2033" s="2136">
        <f>O2033-'Blocking-Step2'!O2033</f>
        <v>0</v>
      </c>
      <c r="AN2033" s="2137">
        <f>Q2033-'Blocking-Step2'!Q2033</f>
        <v>1.9999999999997797E-3</v>
      </c>
      <c r="AP2033" s="2127">
        <f>S2033-'Blocking-Step2'!S2033</f>
        <v>-5179053</v>
      </c>
      <c r="AR2033" s="2127">
        <f>U2033-'Blocking-Step2'!U2033</f>
        <v>5186084</v>
      </c>
      <c r="AT2033" s="2127">
        <f>W2033-'Blocking-Step2'!W2033</f>
        <v>0</v>
      </c>
      <c r="AV2033" s="2128">
        <f>Y2033-'Blocking-Step2'!Y2033</f>
        <v>7031</v>
      </c>
    </row>
    <row r="2034" spans="1:48" ht="16.5" hidden="1" thickTop="1">
      <c r="A2034" s="1116" t="s">
        <v>282</v>
      </c>
      <c r="C2034" s="1105">
        <v>333040.26589595014</v>
      </c>
      <c r="D2034" s="1105">
        <v>329707</v>
      </c>
      <c r="F2034" s="1142">
        <v>8.65</v>
      </c>
      <c r="G2034" s="617"/>
      <c r="H2034" s="1146">
        <v>2880798</v>
      </c>
      <c r="I2034" s="1146">
        <v>2851966</v>
      </c>
      <c r="K2034" s="1142"/>
      <c r="L2034" s="617"/>
      <c r="M2034" s="1142"/>
      <c r="N2034" s="617"/>
      <c r="O2034" s="1142"/>
      <c r="P2034" s="617"/>
      <c r="Q2034" s="1142"/>
      <c r="R2034" s="617"/>
      <c r="S2034" s="1114"/>
      <c r="T2034" s="1114"/>
      <c r="U2034" s="1114"/>
      <c r="V2034" s="1114"/>
      <c r="W2034" s="1114"/>
      <c r="X2034" s="1114"/>
      <c r="Y2034" s="1146"/>
      <c r="Z2034" s="2114">
        <f>C2034-'Blocking-Step2'!C2034</f>
        <v>0</v>
      </c>
      <c r="AA2034" s="2114">
        <f>D2034-'Blocking-Step2'!D2034</f>
        <v>0</v>
      </c>
      <c r="AC2034" s="2114">
        <f>F2034-'Blocking-Step2'!F2034</f>
        <v>0</v>
      </c>
      <c r="AE2034" s="2114">
        <f>H2034-'Blocking-Step2'!H2034</f>
        <v>0</v>
      </c>
      <c r="AF2034" s="2114">
        <f>I2034-'Blocking-Step2'!I2034</f>
        <v>0</v>
      </c>
      <c r="AH2034" s="2136">
        <f>K2034-'Blocking-Step2'!K2034</f>
        <v>0</v>
      </c>
      <c r="AJ2034" s="2136">
        <f>M2034-'Blocking-Step2'!M2034</f>
        <v>0</v>
      </c>
      <c r="AL2034" s="2136">
        <f>O2034-'Blocking-Step2'!O2034</f>
        <v>0</v>
      </c>
      <c r="AN2034" s="2137">
        <f>Q2034-'Blocking-Step2'!Q2034</f>
        <v>0</v>
      </c>
      <c r="AP2034" s="2127">
        <f>S2034-'Blocking-Step2'!S2034</f>
        <v>0</v>
      </c>
      <c r="AR2034" s="2127">
        <f>U2034-'Blocking-Step2'!U2034</f>
        <v>0</v>
      </c>
      <c r="AT2034" s="2127">
        <f>W2034-'Blocking-Step2'!W2034</f>
        <v>0</v>
      </c>
      <c r="AV2034" s="2128">
        <f>Y2034-'Blocking-Step2'!Y2034</f>
        <v>0</v>
      </c>
    </row>
    <row r="2035" spans="1:48" ht="16.5" hidden="1" thickTop="1">
      <c r="A2035" s="1116" t="s">
        <v>283</v>
      </c>
      <c r="C2035" s="1105">
        <v>274032.45862068859</v>
      </c>
      <c r="D2035" s="1105">
        <v>271290</v>
      </c>
      <c r="F2035" s="1142">
        <v>8.7000000000000011</v>
      </c>
      <c r="G2035" s="617"/>
      <c r="H2035" s="1146">
        <v>2384082</v>
      </c>
      <c r="I2035" s="1146">
        <v>2360223</v>
      </c>
      <c r="K2035" s="1142"/>
      <c r="L2035" s="617"/>
      <c r="M2035" s="1142"/>
      <c r="N2035" s="617"/>
      <c r="O2035" s="1142"/>
      <c r="P2035" s="617"/>
      <c r="Q2035" s="1142"/>
      <c r="R2035" s="617"/>
      <c r="S2035" s="1114"/>
      <c r="T2035" s="1114"/>
      <c r="U2035" s="1114"/>
      <c r="V2035" s="1114"/>
      <c r="W2035" s="1114"/>
      <c r="X2035" s="1114"/>
      <c r="Y2035" s="1146"/>
      <c r="Z2035" s="2114">
        <f>C2035-'Blocking-Step2'!C2035</f>
        <v>0</v>
      </c>
      <c r="AA2035" s="2114">
        <f>D2035-'Blocking-Step2'!D2035</f>
        <v>0</v>
      </c>
      <c r="AC2035" s="2114">
        <f>F2035-'Blocking-Step2'!F2035</f>
        <v>0</v>
      </c>
      <c r="AE2035" s="2114">
        <f>H2035-'Blocking-Step2'!H2035</f>
        <v>0</v>
      </c>
      <c r="AF2035" s="2114">
        <f>I2035-'Blocking-Step2'!I2035</f>
        <v>0</v>
      </c>
      <c r="AH2035" s="2136">
        <f>K2035-'Blocking-Step2'!K2035</f>
        <v>0</v>
      </c>
      <c r="AJ2035" s="2136">
        <f>M2035-'Blocking-Step2'!M2035</f>
        <v>0</v>
      </c>
      <c r="AL2035" s="2136">
        <f>O2035-'Blocking-Step2'!O2035</f>
        <v>0</v>
      </c>
      <c r="AN2035" s="2137">
        <f>Q2035-'Blocking-Step2'!Q2035</f>
        <v>0</v>
      </c>
      <c r="AP2035" s="2127">
        <f>S2035-'Blocking-Step2'!S2035</f>
        <v>0</v>
      </c>
      <c r="AR2035" s="2127">
        <f>U2035-'Blocking-Step2'!U2035</f>
        <v>0</v>
      </c>
      <c r="AT2035" s="2127">
        <f>W2035-'Blocking-Step2'!W2035</f>
        <v>0</v>
      </c>
      <c r="AV2035" s="2128">
        <f>Y2035-'Blocking-Step2'!Y2035</f>
        <v>0</v>
      </c>
    </row>
    <row r="2036" spans="1:48" ht="16.5" hidden="1" thickTop="1">
      <c r="A2036" s="1116" t="s">
        <v>261</v>
      </c>
      <c r="C2036" s="1105">
        <v>9699.6041666666697</v>
      </c>
      <c r="D2036" s="1105">
        <v>9603</v>
      </c>
      <c r="F2036" s="1142">
        <v>-0.48</v>
      </c>
      <c r="G2036" s="617"/>
      <c r="H2036" s="1146">
        <v>-4656</v>
      </c>
      <c r="I2036" s="1146">
        <v>-4609</v>
      </c>
      <c r="K2036" s="1142">
        <v>-0.48</v>
      </c>
      <c r="L2036" s="617"/>
      <c r="M2036" s="1142">
        <v>0</v>
      </c>
      <c r="N2036" s="617"/>
      <c r="O2036" s="1142">
        <v>0</v>
      </c>
      <c r="P2036" s="617"/>
      <c r="Q2036" s="1142">
        <v>-0.48</v>
      </c>
      <c r="R2036" s="617"/>
      <c r="S2036" s="1146">
        <v>-4609</v>
      </c>
      <c r="T2036" s="1114"/>
      <c r="U2036" s="1146">
        <v>0</v>
      </c>
      <c r="V2036" s="1114"/>
      <c r="W2036" s="1146">
        <v>0</v>
      </c>
      <c r="X2036" s="1114"/>
      <c r="Y2036" s="1146">
        <v>-4609</v>
      </c>
      <c r="Z2036" s="2114">
        <f>C2036-'Blocking-Step2'!C2036</f>
        <v>0</v>
      </c>
      <c r="AA2036" s="2114">
        <f>D2036-'Blocking-Step2'!D2036</f>
        <v>0</v>
      </c>
      <c r="AC2036" s="2114">
        <f>F2036-'Blocking-Step2'!F2036</f>
        <v>0</v>
      </c>
      <c r="AE2036" s="2114">
        <f>H2036-'Blocking-Step2'!H2036</f>
        <v>0</v>
      </c>
      <c r="AF2036" s="2114">
        <f>I2036-'Blocking-Step2'!I2036</f>
        <v>0</v>
      </c>
      <c r="AH2036" s="2136">
        <f>K2036-'Blocking-Step2'!K2036</f>
        <v>0</v>
      </c>
      <c r="AJ2036" s="2136">
        <f>M2036-'Blocking-Step2'!M2036</f>
        <v>0</v>
      </c>
      <c r="AL2036" s="2136">
        <f>O2036-'Blocking-Step2'!O2036</f>
        <v>0</v>
      </c>
      <c r="AN2036" s="2137">
        <f>Q2036-'Blocking-Step2'!Q2036</f>
        <v>0</v>
      </c>
      <c r="AP2036" s="2127">
        <f>S2036-'Blocking-Step2'!S2036</f>
        <v>0</v>
      </c>
      <c r="AR2036" s="2127">
        <f>U2036-'Blocking-Step2'!U2036</f>
        <v>0</v>
      </c>
      <c r="AT2036" s="2127">
        <f>W2036-'Blocking-Step2'!W2036</f>
        <v>0</v>
      </c>
      <c r="AV2036" s="2128">
        <f>Y2036-'Blocking-Step2'!Y2036</f>
        <v>0</v>
      </c>
    </row>
    <row r="2037" spans="1:48" ht="16.5" hidden="1" thickTop="1">
      <c r="A2037" s="1116" t="s">
        <v>194</v>
      </c>
      <c r="C2037" s="1105">
        <v>273349988.13195682</v>
      </c>
      <c r="D2037" s="1105">
        <v>275564739.11234498</v>
      </c>
      <c r="F2037" s="1106">
        <v>11.733599999999999</v>
      </c>
      <c r="G2037" s="1921" t="s">
        <v>495</v>
      </c>
      <c r="H2037" s="1146">
        <v>32073794</v>
      </c>
      <c r="I2037" s="1146">
        <v>32333664</v>
      </c>
      <c r="K2037" s="1106"/>
      <c r="L2037" s="1921"/>
      <c r="M2037" s="1106"/>
      <c r="N2037" s="1921"/>
      <c r="O2037" s="1106"/>
      <c r="P2037" s="1921"/>
      <c r="Q2037" s="1106"/>
      <c r="R2037" s="1921"/>
      <c r="S2037" s="1648"/>
      <c r="T2037" s="1648"/>
      <c r="U2037" s="1648"/>
      <c r="V2037" s="1648"/>
      <c r="W2037" s="1648"/>
      <c r="X2037" s="1648"/>
      <c r="Y2037" s="1146"/>
      <c r="Z2037" s="2114">
        <f>C2037-'Blocking-Step2'!C2037</f>
        <v>0</v>
      </c>
      <c r="AA2037" s="2114">
        <f>D2037-'Blocking-Step2'!D2037</f>
        <v>0</v>
      </c>
      <c r="AC2037" s="2114">
        <f>F2037-'Blocking-Step2'!F2037</f>
        <v>0</v>
      </c>
      <c r="AE2037" s="2114">
        <f>H2037-'Blocking-Step2'!H2037</f>
        <v>0</v>
      </c>
      <c r="AF2037" s="2114">
        <f>I2037-'Blocking-Step2'!I2037</f>
        <v>0</v>
      </c>
      <c r="AH2037" s="2136">
        <f>K2037-'Blocking-Step2'!K2037</f>
        <v>0</v>
      </c>
      <c r="AJ2037" s="2136">
        <f>M2037-'Blocking-Step2'!M2037</f>
        <v>0</v>
      </c>
      <c r="AL2037" s="2136">
        <f>O2037-'Blocking-Step2'!O2037</f>
        <v>0</v>
      </c>
      <c r="AN2037" s="2137">
        <f>Q2037-'Blocking-Step2'!Q2037</f>
        <v>0</v>
      </c>
      <c r="AP2037" s="2127">
        <f>S2037-'Blocking-Step2'!S2037</f>
        <v>0</v>
      </c>
      <c r="AR2037" s="2127">
        <f>U2037-'Blocking-Step2'!U2037</f>
        <v>0</v>
      </c>
      <c r="AT2037" s="2127">
        <f>W2037-'Blocking-Step2'!W2037</f>
        <v>0</v>
      </c>
      <c r="AV2037" s="2128">
        <f>Y2037-'Blocking-Step2'!Y2037</f>
        <v>0</v>
      </c>
    </row>
    <row r="2038" spans="1:48" ht="16.5" hidden="1" thickTop="1">
      <c r="A2038" s="1116" t="s">
        <v>195</v>
      </c>
      <c r="C2038" s="1105">
        <v>272862764.79340905</v>
      </c>
      <c r="D2038" s="1105">
        <v>275073568</v>
      </c>
      <c r="F2038" s="1106">
        <v>6.5782999999999996</v>
      </c>
      <c r="G2038" s="1921" t="s">
        <v>495</v>
      </c>
      <c r="H2038" s="1146">
        <v>17949731</v>
      </c>
      <c r="I2038" s="1146">
        <v>18095165</v>
      </c>
      <c r="K2038" s="1106"/>
      <c r="L2038" s="1921"/>
      <c r="M2038" s="1106"/>
      <c r="N2038" s="1921"/>
      <c r="O2038" s="1106"/>
      <c r="P2038" s="1921"/>
      <c r="Q2038" s="1106"/>
      <c r="R2038" s="1921"/>
      <c r="S2038" s="1648"/>
      <c r="T2038" s="1648"/>
      <c r="U2038" s="1648"/>
      <c r="V2038" s="1648"/>
      <c r="W2038" s="1648"/>
      <c r="X2038" s="1648"/>
      <c r="Y2038" s="1146"/>
      <c r="Z2038" s="2114">
        <f>C2038-'Blocking-Step2'!C2038</f>
        <v>0</v>
      </c>
      <c r="AA2038" s="2114">
        <f>D2038-'Blocking-Step2'!D2038</f>
        <v>0</v>
      </c>
      <c r="AC2038" s="2114">
        <f>F2038-'Blocking-Step2'!F2038</f>
        <v>0</v>
      </c>
      <c r="AE2038" s="2114">
        <f>H2038-'Blocking-Step2'!H2038</f>
        <v>0</v>
      </c>
      <c r="AF2038" s="2114">
        <f>I2038-'Blocking-Step2'!I2038</f>
        <v>0</v>
      </c>
      <c r="AH2038" s="2136">
        <f>K2038-'Blocking-Step2'!K2038</f>
        <v>0</v>
      </c>
      <c r="AJ2038" s="2136">
        <f>M2038-'Blocking-Step2'!M2038</f>
        <v>0</v>
      </c>
      <c r="AL2038" s="2136">
        <f>O2038-'Blocking-Step2'!O2038</f>
        <v>0</v>
      </c>
      <c r="AN2038" s="2137">
        <f>Q2038-'Blocking-Step2'!Q2038</f>
        <v>0</v>
      </c>
      <c r="AP2038" s="2127">
        <f>S2038-'Blocking-Step2'!S2038</f>
        <v>0</v>
      </c>
      <c r="AR2038" s="2127">
        <f>U2038-'Blocking-Step2'!U2038</f>
        <v>0</v>
      </c>
      <c r="AT2038" s="2127">
        <f>W2038-'Blocking-Step2'!W2038</f>
        <v>0</v>
      </c>
      <c r="AV2038" s="2128">
        <f>Y2038-'Blocking-Step2'!Y2038</f>
        <v>0</v>
      </c>
    </row>
    <row r="2039" spans="1:48" ht="16.5" hidden="1" thickTop="1">
      <c r="A2039" s="1116" t="s">
        <v>160</v>
      </c>
      <c r="C2039" s="1105">
        <v>383653545.00900841</v>
      </c>
      <c r="D2039" s="1105">
        <v>377972678</v>
      </c>
      <c r="F2039" s="1106">
        <v>10.8</v>
      </c>
      <c r="G2039" s="1921" t="s">
        <v>495</v>
      </c>
      <c r="H2039" s="1146">
        <v>41434583</v>
      </c>
      <c r="I2039" s="1146">
        <v>40821049</v>
      </c>
      <c r="K2039" s="1106"/>
      <c r="L2039" s="1921"/>
      <c r="M2039" s="1106"/>
      <c r="N2039" s="1921"/>
      <c r="O2039" s="1106"/>
      <c r="P2039" s="1921"/>
      <c r="Q2039" s="1106"/>
      <c r="R2039" s="1921"/>
      <c r="S2039" s="1648"/>
      <c r="T2039" s="1648"/>
      <c r="U2039" s="1648"/>
      <c r="V2039" s="1648"/>
      <c r="W2039" s="1648"/>
      <c r="X2039" s="1648"/>
      <c r="Y2039" s="1146"/>
      <c r="Z2039" s="2114">
        <f>C2039-'Blocking-Step2'!C2039</f>
        <v>0</v>
      </c>
      <c r="AA2039" s="2114">
        <f>D2039-'Blocking-Step2'!D2039</f>
        <v>0</v>
      </c>
      <c r="AC2039" s="2114">
        <f>F2039-'Blocking-Step2'!F2039</f>
        <v>0</v>
      </c>
      <c r="AE2039" s="2114">
        <f>H2039-'Blocking-Step2'!H2039</f>
        <v>0</v>
      </c>
      <c r="AF2039" s="2114">
        <f>I2039-'Blocking-Step2'!I2039</f>
        <v>0</v>
      </c>
      <c r="AH2039" s="2136">
        <f>K2039-'Blocking-Step2'!K2039</f>
        <v>0</v>
      </c>
      <c r="AJ2039" s="2136">
        <f>M2039-'Blocking-Step2'!M2039</f>
        <v>0</v>
      </c>
      <c r="AL2039" s="2136">
        <f>O2039-'Blocking-Step2'!O2039</f>
        <v>0</v>
      </c>
      <c r="AN2039" s="2137">
        <f>Q2039-'Blocking-Step2'!Q2039</f>
        <v>0</v>
      </c>
      <c r="AP2039" s="2127">
        <f>S2039-'Blocking-Step2'!S2039</f>
        <v>0</v>
      </c>
      <c r="AR2039" s="2127">
        <f>U2039-'Blocking-Step2'!U2039</f>
        <v>0</v>
      </c>
      <c r="AT2039" s="2127">
        <f>W2039-'Blocking-Step2'!W2039</f>
        <v>0</v>
      </c>
      <c r="AV2039" s="2128">
        <f>Y2039-'Blocking-Step2'!Y2039</f>
        <v>0</v>
      </c>
    </row>
    <row r="2040" spans="1:48" ht="16.5" hidden="1" thickTop="1">
      <c r="A2040" s="1116" t="s">
        <v>159</v>
      </c>
      <c r="C2040" s="1105">
        <v>314521648.64477241</v>
      </c>
      <c r="D2040" s="1105">
        <v>309864437</v>
      </c>
      <c r="F2040" s="1106">
        <v>6.0567000000000002</v>
      </c>
      <c r="G2040" s="1921" t="s">
        <v>495</v>
      </c>
      <c r="H2040" s="1146">
        <v>19049633</v>
      </c>
      <c r="I2040" s="1146">
        <v>18767559</v>
      </c>
      <c r="K2040" s="1106"/>
      <c r="L2040" s="1921"/>
      <c r="M2040" s="1106"/>
      <c r="N2040" s="1921"/>
      <c r="O2040" s="1106"/>
      <c r="P2040" s="1921"/>
      <c r="Q2040" s="1106"/>
      <c r="R2040" s="1921"/>
      <c r="S2040" s="1648"/>
      <c r="T2040" s="1648"/>
      <c r="U2040" s="1648"/>
      <c r="V2040" s="1648"/>
      <c r="W2040" s="1648"/>
      <c r="X2040" s="1648"/>
      <c r="Y2040" s="1146"/>
      <c r="Z2040" s="2114">
        <f>C2040-'Blocking-Step2'!C2040</f>
        <v>0</v>
      </c>
      <c r="AA2040" s="2114">
        <f>D2040-'Blocking-Step2'!D2040</f>
        <v>0</v>
      </c>
      <c r="AC2040" s="2114">
        <f>F2040-'Blocking-Step2'!F2040</f>
        <v>0</v>
      </c>
      <c r="AE2040" s="2114">
        <f>H2040-'Blocking-Step2'!H2040</f>
        <v>0</v>
      </c>
      <c r="AF2040" s="2114">
        <f>I2040-'Blocking-Step2'!I2040</f>
        <v>0</v>
      </c>
      <c r="AH2040" s="2136">
        <f>K2040-'Blocking-Step2'!K2040</f>
        <v>0</v>
      </c>
      <c r="AJ2040" s="2136">
        <f>M2040-'Blocking-Step2'!M2040</f>
        <v>0</v>
      </c>
      <c r="AL2040" s="2136">
        <f>O2040-'Blocking-Step2'!O2040</f>
        <v>0</v>
      </c>
      <c r="AN2040" s="2137">
        <f>Q2040-'Blocking-Step2'!Q2040</f>
        <v>0</v>
      </c>
      <c r="AP2040" s="2127">
        <f>S2040-'Blocking-Step2'!S2040</f>
        <v>0</v>
      </c>
      <c r="AR2040" s="2127">
        <f>U2040-'Blocking-Step2'!U2040</f>
        <v>0</v>
      </c>
      <c r="AT2040" s="2127">
        <f>W2040-'Blocking-Step2'!W2040</f>
        <v>0</v>
      </c>
      <c r="AV2040" s="2128">
        <f>Y2040-'Blocking-Step2'!Y2040</f>
        <v>0</v>
      </c>
    </row>
    <row r="2041" spans="1:48" ht="16.5" hidden="1" thickTop="1">
      <c r="A2041" s="1116" t="s">
        <v>1158</v>
      </c>
      <c r="B2041" s="1928"/>
      <c r="C2041" s="1024">
        <v>1948912</v>
      </c>
      <c r="D2041" s="1024">
        <v>1929181</v>
      </c>
      <c r="E2041" s="804"/>
      <c r="F2041" s="1927">
        <v>10.120799999999999</v>
      </c>
      <c r="G2041" s="1929" t="s">
        <v>495</v>
      </c>
      <c r="H2041" s="1146">
        <v>197245</v>
      </c>
      <c r="I2041" s="1146">
        <v>195249</v>
      </c>
      <c r="J2041" s="804"/>
      <c r="K2041" s="1927">
        <v>1.4671000000000001</v>
      </c>
      <c r="L2041" s="1929" t="s">
        <v>495</v>
      </c>
      <c r="M2041" s="1927">
        <v>7.4249999999999998</v>
      </c>
      <c r="N2041" s="1929" t="s">
        <v>495</v>
      </c>
      <c r="O2041" s="1927">
        <v>0</v>
      </c>
      <c r="P2041" s="1929" t="s">
        <v>495</v>
      </c>
      <c r="Q2041" s="1927">
        <v>8.8920999999999992</v>
      </c>
      <c r="R2041" s="1929" t="s">
        <v>495</v>
      </c>
      <c r="S2041" s="1146">
        <v>28303</v>
      </c>
      <c r="T2041" s="1648"/>
      <c r="U2041" s="1146">
        <v>143242</v>
      </c>
      <c r="V2041" s="1648"/>
      <c r="W2041" s="1146">
        <v>0</v>
      </c>
      <c r="X2041" s="1656"/>
      <c r="Y2041" s="1146">
        <v>171545</v>
      </c>
      <c r="Z2041" s="2114">
        <f>C2041-'Blocking-Step2'!C2041</f>
        <v>0</v>
      </c>
      <c r="AA2041" s="2114">
        <f>D2041-'Blocking-Step2'!D2041</f>
        <v>0</v>
      </c>
      <c r="AC2041" s="2114">
        <f>F2041-'Blocking-Step2'!F2041</f>
        <v>0</v>
      </c>
      <c r="AE2041" s="2114">
        <f>H2041-'Blocking-Step2'!H2041</f>
        <v>0</v>
      </c>
      <c r="AF2041" s="2114">
        <f>I2041-'Blocking-Step2'!I2041</f>
        <v>0</v>
      </c>
      <c r="AH2041" s="2136">
        <f>K2041-'Blocking-Step2'!K2041</f>
        <v>-1.4732000000000001</v>
      </c>
      <c r="AJ2041" s="2136">
        <f>M2041-'Blocking-Step2'!M2041</f>
        <v>0</v>
      </c>
      <c r="AL2041" s="2136">
        <f>O2041-'Blocking-Step2'!O2041</f>
        <v>0</v>
      </c>
      <c r="AN2041" s="2137">
        <f>Q2041-'Blocking-Step2'!Q2041</f>
        <v>-1.4732000000000003</v>
      </c>
      <c r="AP2041" s="2127">
        <f>S2041-'Blocking-Step2'!S2041</f>
        <v>-28421</v>
      </c>
      <c r="AR2041" s="2127">
        <f>U2041-'Blocking-Step2'!U2041</f>
        <v>0</v>
      </c>
      <c r="AT2041" s="2127">
        <f>W2041-'Blocking-Step2'!W2041</f>
        <v>0</v>
      </c>
      <c r="AV2041" s="2128">
        <f>Y2041-'Blocking-Step2'!Y2041</f>
        <v>-28420</v>
      </c>
    </row>
    <row r="2042" spans="1:48" ht="16.5" hidden="1" thickTop="1">
      <c r="A2042" s="1116" t="s">
        <v>246</v>
      </c>
      <c r="C2042" s="1940">
        <v>6607774</v>
      </c>
      <c r="D2042" s="1940">
        <v>0</v>
      </c>
      <c r="H2042" s="1147">
        <v>714411</v>
      </c>
      <c r="I2042" s="1147">
        <v>0</v>
      </c>
      <c r="Y2042" s="1147"/>
      <c r="Z2042" s="2114">
        <f>C2042-'Blocking-Step2'!C2042</f>
        <v>0</v>
      </c>
      <c r="AA2042" s="2114">
        <f>D2042-'Blocking-Step2'!D2042</f>
        <v>0</v>
      </c>
      <c r="AC2042" s="2114">
        <f>F2042-'Blocking-Step2'!F2042</f>
        <v>0</v>
      </c>
      <c r="AE2042" s="2114">
        <f>H2042-'Blocking-Step2'!H2042</f>
        <v>0</v>
      </c>
      <c r="AF2042" s="2114">
        <f>I2042-'Blocking-Step2'!I2042</f>
        <v>0</v>
      </c>
      <c r="AH2042" s="2136">
        <f>K2042-'Blocking-Step2'!K2042</f>
        <v>0</v>
      </c>
      <c r="AJ2042" s="2136">
        <f>M2042-'Blocking-Step2'!M2042</f>
        <v>0</v>
      </c>
      <c r="AL2042" s="2136">
        <f>O2042-'Blocking-Step2'!O2042</f>
        <v>0</v>
      </c>
      <c r="AN2042" s="2137">
        <f>Q2042-'Blocking-Step2'!Q2042</f>
        <v>0</v>
      </c>
      <c r="AP2042" s="2127">
        <f>S2042-'Blocking-Step2'!S2042</f>
        <v>0</v>
      </c>
      <c r="AR2042" s="2127">
        <f>U2042-'Blocking-Step2'!U2042</f>
        <v>0</v>
      </c>
      <c r="AT2042" s="2127">
        <f>W2042-'Blocking-Step2'!W2042</f>
        <v>0</v>
      </c>
      <c r="AV2042" s="2128">
        <f>Y2042-'Blocking-Step2'!Y2042</f>
        <v>0</v>
      </c>
    </row>
    <row r="2043" spans="1:48" ht="16.5" hidden="1" thickTop="1">
      <c r="A2043" s="1116" t="s">
        <v>1240</v>
      </c>
      <c r="C2043" s="1024"/>
      <c r="D2043" s="1024"/>
      <c r="F2043" s="2076">
        <v>-3.3099999999999997E-2</v>
      </c>
      <c r="G2043" s="617"/>
      <c r="H2043" s="1146">
        <v>-3838602.5645999997</v>
      </c>
      <c r="I2043" s="1146">
        <v>-3820563.3624999998</v>
      </c>
      <c r="K2043" s="2076"/>
      <c r="L2043" s="617"/>
      <c r="M2043" s="2076"/>
      <c r="N2043" s="617"/>
      <c r="O2043" s="2077" t="s">
        <v>2323</v>
      </c>
      <c r="P2043" s="617"/>
      <c r="Q2043" s="2076">
        <v>-2.5600000000000001E-2</v>
      </c>
      <c r="R2043" s="617"/>
      <c r="S2043" s="1114"/>
      <c r="T2043" s="1114"/>
      <c r="U2043" s="1114"/>
      <c r="V2043" s="1114"/>
      <c r="W2043" s="1114"/>
      <c r="X2043" s="1114"/>
      <c r="Y2043" s="1146">
        <v>-2857751.2448</v>
      </c>
      <c r="Z2043" s="2114">
        <f>C2043-'Blocking-Step2'!C2043</f>
        <v>0</v>
      </c>
      <c r="AA2043" s="2114">
        <f>D2043-'Blocking-Step2'!D2043</f>
        <v>0</v>
      </c>
      <c r="AC2043" s="2114">
        <f>F2043-'Blocking-Step2'!F2043</f>
        <v>0</v>
      </c>
      <c r="AE2043" s="2114">
        <f>H2043-'Blocking-Step2'!H2043</f>
        <v>0</v>
      </c>
      <c r="AF2043" s="2114">
        <f>I2043-'Blocking-Step2'!I2043</f>
        <v>0</v>
      </c>
      <c r="AH2043" s="2136">
        <f>K2043-'Blocking-Step2'!K2043</f>
        <v>0</v>
      </c>
      <c r="AJ2043" s="2136">
        <f>M2043-'Blocking-Step2'!M2043</f>
        <v>0</v>
      </c>
      <c r="AL2043" s="2136" t="e">
        <f>O2043-'Blocking-Step2'!O2043</f>
        <v>#VALUE!</v>
      </c>
      <c r="AN2043" s="2137">
        <f>Q2043-'Blocking-Step2'!Q2043</f>
        <v>0</v>
      </c>
      <c r="AP2043" s="2127">
        <f>S2043-'Blocking-Step2'!S2043</f>
        <v>0</v>
      </c>
      <c r="AR2043" s="2127">
        <f>U2043-'Blocking-Step2'!U2043</f>
        <v>0</v>
      </c>
      <c r="AT2043" s="2127">
        <f>W2043-'Blocking-Step2'!W2043</f>
        <v>0</v>
      </c>
      <c r="AV2043" s="2128">
        <f>Y2043-'Blocking-Step2'!Y2043</f>
        <v>42.137600000016391</v>
      </c>
    </row>
    <row r="2044" spans="1:48" ht="16.5" hidden="1" thickTop="1">
      <c r="A2044" s="1116"/>
      <c r="C2044" s="1024"/>
      <c r="D2044" s="1024"/>
      <c r="F2044" s="2076"/>
      <c r="G2044" s="617"/>
      <c r="H2044" s="1146"/>
      <c r="I2044" s="1146"/>
      <c r="K2044" s="2076"/>
      <c r="L2044" s="617"/>
      <c r="M2044" s="2076"/>
      <c r="N2044" s="617"/>
      <c r="O2044" s="2077" t="s">
        <v>2324</v>
      </c>
      <c r="P2044" s="617"/>
      <c r="Q2044" s="2076">
        <v>-1.3899999999999999E-2</v>
      </c>
      <c r="R2044" s="617"/>
      <c r="S2044" s="1114"/>
      <c r="T2044" s="1114"/>
      <c r="U2044" s="1114"/>
      <c r="V2044" s="1114"/>
      <c r="W2044" s="1114"/>
      <c r="X2044" s="1114"/>
      <c r="Y2044" s="1146">
        <v>-1551669.6211999999</v>
      </c>
      <c r="Z2044" s="2114">
        <f>C2044-'Blocking-Step2'!C2044</f>
        <v>0</v>
      </c>
      <c r="AA2044" s="2114">
        <f>D2044-'Blocking-Step2'!D2044</f>
        <v>0</v>
      </c>
      <c r="AC2044" s="2114">
        <f>F2044-'Blocking-Step2'!F2044</f>
        <v>0</v>
      </c>
      <c r="AE2044" s="2114">
        <f>H2044-'Blocking-Step2'!H2044</f>
        <v>0</v>
      </c>
      <c r="AF2044" s="2114">
        <f>I2044-'Blocking-Step2'!I2044</f>
        <v>0</v>
      </c>
      <c r="AH2044" s="2136">
        <f>K2044-'Blocking-Step2'!K2044</f>
        <v>0</v>
      </c>
      <c r="AJ2044" s="2136">
        <f>M2044-'Blocking-Step2'!M2044</f>
        <v>0</v>
      </c>
      <c r="AL2044" s="2136" t="e">
        <f>O2044-'Blocking-Step2'!O2044</f>
        <v>#VALUE!</v>
      </c>
      <c r="AN2044" s="2137">
        <f>Q2044-'Blocking-Step2'!Q2044</f>
        <v>0</v>
      </c>
      <c r="AP2044" s="2127">
        <f>S2044-'Blocking-Step2'!S2044</f>
        <v>0</v>
      </c>
      <c r="AR2044" s="2127">
        <f>U2044-'Blocking-Step2'!U2044</f>
        <v>0</v>
      </c>
      <c r="AT2044" s="2127">
        <f>W2044-'Blocking-Step2'!W2044</f>
        <v>0</v>
      </c>
      <c r="AV2044" s="2128">
        <f>Y2044-'Blocking-Step2'!Y2044</f>
        <v>22.879399999976158</v>
      </c>
    </row>
    <row r="2045" spans="1:48" ht="16.5" hidden="1" thickTop="1">
      <c r="A2045" s="1116" t="s">
        <v>1317</v>
      </c>
      <c r="C2045" s="1024">
        <v>-146563</v>
      </c>
      <c r="D2045" s="1024">
        <v>-145079</v>
      </c>
      <c r="F2045" s="2076"/>
      <c r="G2045" s="617"/>
      <c r="H2045" s="1146"/>
      <c r="I2045" s="1146"/>
      <c r="K2045" s="2076"/>
      <c r="L2045" s="617"/>
      <c r="M2045" s="2076"/>
      <c r="N2045" s="617"/>
      <c r="O2045" s="2076"/>
      <c r="P2045" s="617"/>
      <c r="Q2045" s="2076"/>
      <c r="R2045" s="617"/>
      <c r="S2045" s="1114"/>
      <c r="T2045" s="1114"/>
      <c r="U2045" s="1114"/>
      <c r="V2045" s="1114"/>
      <c r="W2045" s="1114"/>
      <c r="X2045" s="1114"/>
      <c r="Y2045" s="1146"/>
      <c r="Z2045" s="2114">
        <f>C2045-'Blocking-Step2'!C2045</f>
        <v>0</v>
      </c>
      <c r="AA2045" s="2114">
        <f>D2045-'Blocking-Step2'!D2045</f>
        <v>0</v>
      </c>
      <c r="AC2045" s="2114">
        <f>F2045-'Blocking-Step2'!F2045</f>
        <v>0</v>
      </c>
      <c r="AE2045" s="2114">
        <f>H2045-'Blocking-Step2'!H2045</f>
        <v>0</v>
      </c>
      <c r="AF2045" s="2114">
        <f>I2045-'Blocking-Step2'!I2045</f>
        <v>0</v>
      </c>
      <c r="AH2045" s="2136">
        <f>K2045-'Blocking-Step2'!K2045</f>
        <v>0</v>
      </c>
      <c r="AJ2045" s="2136">
        <f>M2045-'Blocking-Step2'!M2045</f>
        <v>0</v>
      </c>
      <c r="AL2045" s="2136">
        <f>O2045-'Blocking-Step2'!O2045</f>
        <v>0</v>
      </c>
      <c r="AN2045" s="2137">
        <f>Q2045-'Blocking-Step2'!Q2045</f>
        <v>0</v>
      </c>
      <c r="AP2045" s="2127">
        <f>S2045-'Blocking-Step2'!S2045</f>
        <v>0</v>
      </c>
      <c r="AR2045" s="2127">
        <f>U2045-'Blocking-Step2'!U2045</f>
        <v>0</v>
      </c>
      <c r="AT2045" s="2127">
        <f>W2045-'Blocking-Step2'!W2045</f>
        <v>0</v>
      </c>
      <c r="AV2045" s="2128">
        <f>Y2045-'Blocking-Step2'!Y2045</f>
        <v>0</v>
      </c>
    </row>
    <row r="2046" spans="1:48" ht="17.25" hidden="1" thickTop="1" thickBot="1">
      <c r="A2046" s="1116" t="s">
        <v>247</v>
      </c>
      <c r="C2046" s="1138">
        <v>1252798069.5791469</v>
      </c>
      <c r="D2046" s="1138">
        <v>1240259524.112345</v>
      </c>
      <c r="F2046" s="1145"/>
      <c r="H2046" s="1149">
        <v>121739163.43539999</v>
      </c>
      <c r="I2046" s="1149">
        <v>120838415.6375</v>
      </c>
      <c r="K2046" s="1145"/>
      <c r="M2046" s="1145"/>
      <c r="O2046" s="1145"/>
      <c r="Q2046" s="1145"/>
      <c r="S2046" s="1149">
        <v>32449651</v>
      </c>
      <c r="U2046" s="1149">
        <v>61352411</v>
      </c>
      <c r="W2046" s="1149">
        <v>27062949</v>
      </c>
      <c r="Y2046" s="1149">
        <v>120865012</v>
      </c>
      <c r="Z2046" s="2114">
        <f>C2046-'Blocking-Step2'!C2046</f>
        <v>0</v>
      </c>
      <c r="AA2046" s="2114">
        <f>D2046-'Blocking-Step2'!D2046</f>
        <v>0</v>
      </c>
      <c r="AC2046" s="2114">
        <f>F2046-'Blocking-Step2'!F2046</f>
        <v>0</v>
      </c>
      <c r="AE2046" s="2114">
        <f>H2046-'Blocking-Step2'!H2046</f>
        <v>0</v>
      </c>
      <c r="AF2046" s="2114">
        <f>I2046-'Blocking-Step2'!I2046</f>
        <v>0</v>
      </c>
      <c r="AH2046" s="2136">
        <f>K2046-'Blocking-Step2'!K2046</f>
        <v>0</v>
      </c>
      <c r="AJ2046" s="2136">
        <f>M2046-'Blocking-Step2'!M2046</f>
        <v>0</v>
      </c>
      <c r="AL2046" s="2136">
        <f>O2046-'Blocking-Step2'!O2046</f>
        <v>0</v>
      </c>
      <c r="AN2046" s="2137">
        <f>Q2046-'Blocking-Step2'!Q2046</f>
        <v>0</v>
      </c>
      <c r="AP2046" s="2127">
        <f>S2046-'Blocking-Step2'!S2046</f>
        <v>-18273642</v>
      </c>
      <c r="AR2046" s="2127">
        <f>U2046-'Blocking-Step2'!U2046</f>
        <v>18271994</v>
      </c>
      <c r="AT2046" s="2127">
        <f>W2046-'Blocking-Step2'!W2046</f>
        <v>0</v>
      </c>
      <c r="AV2046" s="2128">
        <f>Y2046-'Blocking-Step2'!Y2046</f>
        <v>-1646</v>
      </c>
    </row>
    <row r="2047" spans="1:48" ht="16.5" hidden="1" thickTop="1">
      <c r="C2047" s="1105"/>
      <c r="D2047" s="1105"/>
      <c r="Z2047" s="2114">
        <f>C2047-'Blocking-Step2'!C2047</f>
        <v>0</v>
      </c>
      <c r="AA2047" s="2114">
        <f>D2047-'Blocking-Step2'!D2047</f>
        <v>0</v>
      </c>
      <c r="AC2047" s="2114">
        <f>F2047-'Blocking-Step2'!F2047</f>
        <v>0</v>
      </c>
      <c r="AE2047" s="2114">
        <f>H2047-'Blocking-Step2'!H2047</f>
        <v>0</v>
      </c>
      <c r="AF2047" s="2114">
        <f>I2047-'Blocking-Step2'!I2047</f>
        <v>0</v>
      </c>
      <c r="AH2047" s="2136">
        <f>K2047-'Blocking-Step2'!K2047</f>
        <v>0</v>
      </c>
      <c r="AJ2047" s="2136">
        <f>M2047-'Blocking-Step2'!M2047</f>
        <v>0</v>
      </c>
      <c r="AL2047" s="2136">
        <f>O2047-'Blocking-Step2'!O2047</f>
        <v>0</v>
      </c>
      <c r="AN2047" s="2137">
        <f>Q2047-'Blocking-Step2'!Q2047</f>
        <v>0</v>
      </c>
      <c r="AP2047" s="2127">
        <f>S2047-'Blocking-Step2'!S2047</f>
        <v>0</v>
      </c>
      <c r="AR2047" s="2127">
        <f>U2047-'Blocking-Step2'!U2047</f>
        <v>0</v>
      </c>
      <c r="AT2047" s="2127">
        <f>W2047-'Blocking-Step2'!W2047</f>
        <v>0</v>
      </c>
      <c r="AV2047" s="2128">
        <f>Y2047-'Blocking-Step2'!Y2047</f>
        <v>0</v>
      </c>
    </row>
    <row r="2048" spans="1:48" ht="16.5" hidden="1" thickTop="1">
      <c r="A2048" s="1115" t="s">
        <v>935</v>
      </c>
      <c r="C2048" s="1105"/>
      <c r="D2048" s="1105"/>
      <c r="Z2048" s="2114">
        <f>C2048-'Blocking-Step2'!C2048</f>
        <v>0</v>
      </c>
      <c r="AA2048" s="2114">
        <f>D2048-'Blocking-Step2'!D2048</f>
        <v>0</v>
      </c>
      <c r="AC2048" s="2114">
        <f>F2048-'Blocking-Step2'!F2048</f>
        <v>0</v>
      </c>
      <c r="AE2048" s="2114">
        <f>H2048-'Blocking-Step2'!H2048</f>
        <v>0</v>
      </c>
      <c r="AF2048" s="2114">
        <f>I2048-'Blocking-Step2'!I2048</f>
        <v>0</v>
      </c>
      <c r="AH2048" s="2136">
        <f>K2048-'Blocking-Step2'!K2048</f>
        <v>0</v>
      </c>
      <c r="AJ2048" s="2136">
        <f>M2048-'Blocking-Step2'!M2048</f>
        <v>0</v>
      </c>
      <c r="AL2048" s="2136">
        <f>O2048-'Blocking-Step2'!O2048</f>
        <v>0</v>
      </c>
      <c r="AN2048" s="2137">
        <f>Q2048-'Blocking-Step2'!Q2048</f>
        <v>0</v>
      </c>
      <c r="AP2048" s="2127">
        <f>S2048-'Blocking-Step2'!S2048</f>
        <v>0</v>
      </c>
      <c r="AR2048" s="2127">
        <f>U2048-'Blocking-Step2'!U2048</f>
        <v>0</v>
      </c>
      <c r="AT2048" s="2127">
        <f>W2048-'Blocking-Step2'!W2048</f>
        <v>0</v>
      </c>
      <c r="AV2048" s="2128">
        <f>Y2048-'Blocking-Step2'!Y2048</f>
        <v>0</v>
      </c>
    </row>
    <row r="2049" spans="1:48" ht="16.5" hidden="1" thickTop="1">
      <c r="A2049" s="1116" t="s">
        <v>240</v>
      </c>
      <c r="C2049" s="1105">
        <v>38154.106999999902</v>
      </c>
      <c r="D2049" s="1105">
        <v>37431.000000000007</v>
      </c>
      <c r="F2049" s="1142">
        <v>10</v>
      </c>
      <c r="G2049" s="617"/>
      <c r="H2049" s="1146">
        <v>381541</v>
      </c>
      <c r="I2049" s="1146">
        <v>374310</v>
      </c>
      <c r="K2049" s="1142">
        <v>10</v>
      </c>
      <c r="L2049" s="617"/>
      <c r="M2049" s="1142">
        <v>0</v>
      </c>
      <c r="N2049" s="617"/>
      <c r="O2049" s="1142">
        <v>0</v>
      </c>
      <c r="P2049" s="617"/>
      <c r="Q2049" s="1142">
        <v>10</v>
      </c>
      <c r="R2049" s="617"/>
      <c r="S2049" s="1146">
        <v>374310</v>
      </c>
      <c r="T2049" s="1114"/>
      <c r="U2049" s="1146">
        <v>0</v>
      </c>
      <c r="V2049" s="1114"/>
      <c r="W2049" s="1146">
        <v>0</v>
      </c>
      <c r="X2049" s="1114"/>
      <c r="Y2049" s="1146">
        <v>374310</v>
      </c>
      <c r="Z2049" s="2114">
        <f>C2049-'Blocking-Step2'!C2049</f>
        <v>0</v>
      </c>
      <c r="AA2049" s="2114">
        <f>D2049-'Blocking-Step2'!D2049</f>
        <v>0</v>
      </c>
      <c r="AC2049" s="2114">
        <f>F2049-'Blocking-Step2'!F2049</f>
        <v>0</v>
      </c>
      <c r="AE2049" s="2114">
        <f>H2049-'Blocking-Step2'!H2049</f>
        <v>0</v>
      </c>
      <c r="AF2049" s="2114">
        <f>I2049-'Blocking-Step2'!I2049</f>
        <v>0</v>
      </c>
      <c r="AH2049" s="2136">
        <f>K2049-'Blocking-Step2'!K2049</f>
        <v>0</v>
      </c>
      <c r="AJ2049" s="2136">
        <f>M2049-'Blocking-Step2'!M2049</f>
        <v>0</v>
      </c>
      <c r="AL2049" s="2136">
        <f>O2049-'Blocking-Step2'!O2049</f>
        <v>0</v>
      </c>
      <c r="AN2049" s="2137">
        <f>Q2049-'Blocking-Step2'!Q2049</f>
        <v>0</v>
      </c>
      <c r="AP2049" s="2127">
        <f>S2049-'Blocking-Step2'!S2049</f>
        <v>0</v>
      </c>
      <c r="AR2049" s="2127">
        <f>U2049-'Blocking-Step2'!U2049</f>
        <v>0</v>
      </c>
      <c r="AT2049" s="2127">
        <f>W2049-'Blocking-Step2'!W2049</f>
        <v>0</v>
      </c>
      <c r="AV2049" s="2128">
        <f>Y2049-'Blocking-Step2'!Y2049</f>
        <v>0</v>
      </c>
    </row>
    <row r="2050" spans="1:48" ht="16.5" hidden="1" thickTop="1">
      <c r="A2050" s="1116" t="s">
        <v>262</v>
      </c>
      <c r="C2050" s="1105">
        <v>0</v>
      </c>
      <c r="D2050" s="1105">
        <v>0</v>
      </c>
      <c r="F2050" s="1142">
        <v>120</v>
      </c>
      <c r="G2050" s="617"/>
      <c r="H2050" s="1146">
        <v>0</v>
      </c>
      <c r="I2050" s="1146">
        <v>0</v>
      </c>
      <c r="K2050" s="1142">
        <v>117</v>
      </c>
      <c r="L2050" s="617"/>
      <c r="M2050" s="1142">
        <v>0</v>
      </c>
      <c r="N2050" s="617"/>
      <c r="O2050" s="1142">
        <v>0</v>
      </c>
      <c r="P2050" s="617"/>
      <c r="Q2050" s="1142">
        <v>117</v>
      </c>
      <c r="R2050" s="617"/>
      <c r="S2050" s="1146">
        <v>0</v>
      </c>
      <c r="T2050" s="1114"/>
      <c r="U2050" s="1146">
        <v>0</v>
      </c>
      <c r="V2050" s="1114"/>
      <c r="W2050" s="1146">
        <v>0</v>
      </c>
      <c r="X2050" s="1114"/>
      <c r="Y2050" s="1146">
        <v>0</v>
      </c>
      <c r="Z2050" s="2114">
        <f>C2050-'Blocking-Step2'!C2050</f>
        <v>0</v>
      </c>
      <c r="AA2050" s="2114">
        <f>D2050-'Blocking-Step2'!D2050</f>
        <v>0</v>
      </c>
      <c r="AC2050" s="2114">
        <f>F2050-'Blocking-Step2'!F2050</f>
        <v>0</v>
      </c>
      <c r="AE2050" s="2114">
        <f>H2050-'Blocking-Step2'!H2050</f>
        <v>0</v>
      </c>
      <c r="AF2050" s="2114">
        <f>I2050-'Blocking-Step2'!I2050</f>
        <v>0</v>
      </c>
      <c r="AH2050" s="2136">
        <f>K2050-'Blocking-Step2'!K2050</f>
        <v>0</v>
      </c>
      <c r="AJ2050" s="2136">
        <f>M2050-'Blocking-Step2'!M2050</f>
        <v>0</v>
      </c>
      <c r="AL2050" s="2136">
        <f>O2050-'Blocking-Step2'!O2050</f>
        <v>0</v>
      </c>
      <c r="AN2050" s="2137">
        <f>Q2050-'Blocking-Step2'!Q2050</f>
        <v>0</v>
      </c>
      <c r="AP2050" s="2127">
        <f>S2050-'Blocking-Step2'!S2050</f>
        <v>0</v>
      </c>
      <c r="AR2050" s="2127">
        <f>U2050-'Blocking-Step2'!U2050</f>
        <v>0</v>
      </c>
      <c r="AT2050" s="2127">
        <f>W2050-'Blocking-Step2'!W2050</f>
        <v>0</v>
      </c>
      <c r="AV2050" s="2128">
        <f>Y2050-'Blocking-Step2'!Y2050</f>
        <v>0</v>
      </c>
    </row>
    <row r="2051" spans="1:48" ht="16.5" hidden="1" thickTop="1">
      <c r="A2051" s="1116" t="s">
        <v>1298</v>
      </c>
      <c r="C2051" s="1105">
        <v>13</v>
      </c>
      <c r="D2051" s="1105">
        <v>13</v>
      </c>
      <c r="F2051" s="1142">
        <v>10</v>
      </c>
      <c r="G2051" s="617"/>
      <c r="H2051" s="1146">
        <v>130</v>
      </c>
      <c r="I2051" s="1146">
        <v>130</v>
      </c>
      <c r="K2051" s="1142">
        <v>10</v>
      </c>
      <c r="L2051" s="617"/>
      <c r="M2051" s="1142">
        <v>0</v>
      </c>
      <c r="N2051" s="617"/>
      <c r="O2051" s="1142">
        <v>0</v>
      </c>
      <c r="P2051" s="617"/>
      <c r="Q2051" s="1142">
        <v>10</v>
      </c>
      <c r="R2051" s="617"/>
      <c r="S2051" s="1146">
        <v>130</v>
      </c>
      <c r="T2051" s="1114"/>
      <c r="U2051" s="1146">
        <v>0</v>
      </c>
      <c r="V2051" s="1114"/>
      <c r="W2051" s="1146">
        <v>0</v>
      </c>
      <c r="X2051" s="1114"/>
      <c r="Y2051" s="1146">
        <v>130</v>
      </c>
      <c r="Z2051" s="2114">
        <f>C2051-'Blocking-Step2'!C2051</f>
        <v>0</v>
      </c>
      <c r="AA2051" s="2114">
        <f>D2051-'Blocking-Step2'!D2051</f>
        <v>0</v>
      </c>
      <c r="AC2051" s="2114">
        <f>F2051-'Blocking-Step2'!F2051</f>
        <v>0</v>
      </c>
      <c r="AE2051" s="2114">
        <f>H2051-'Blocking-Step2'!H2051</f>
        <v>0</v>
      </c>
      <c r="AF2051" s="2114">
        <f>I2051-'Blocking-Step2'!I2051</f>
        <v>0</v>
      </c>
      <c r="AH2051" s="2136">
        <f>K2051-'Blocking-Step2'!K2051</f>
        <v>0</v>
      </c>
      <c r="AJ2051" s="2136">
        <f>M2051-'Blocking-Step2'!M2051</f>
        <v>0</v>
      </c>
      <c r="AL2051" s="2136">
        <f>O2051-'Blocking-Step2'!O2051</f>
        <v>0</v>
      </c>
      <c r="AN2051" s="2137">
        <f>Q2051-'Blocking-Step2'!Q2051</f>
        <v>0</v>
      </c>
      <c r="AP2051" s="2127">
        <f>S2051-'Blocking-Step2'!S2051</f>
        <v>0</v>
      </c>
      <c r="AR2051" s="2127">
        <f>U2051-'Blocking-Step2'!U2051</f>
        <v>0</v>
      </c>
      <c r="AT2051" s="2127">
        <f>W2051-'Blocking-Step2'!W2051</f>
        <v>0</v>
      </c>
      <c r="AV2051" s="2128">
        <f>Y2051-'Blocking-Step2'!Y2051</f>
        <v>0</v>
      </c>
    </row>
    <row r="2052" spans="1:48" ht="16.5" hidden="1" thickTop="1">
      <c r="A2052" s="1116" t="s">
        <v>1654</v>
      </c>
      <c r="C2052" s="1105">
        <v>13934.402372737517</v>
      </c>
      <c r="D2052" s="1105">
        <v>13690</v>
      </c>
      <c r="F2052" s="1142"/>
      <c r="G2052" s="617"/>
      <c r="H2052" s="1146"/>
      <c r="I2052" s="1146"/>
      <c r="K2052" s="1142">
        <v>8.89</v>
      </c>
      <c r="L2052" s="617"/>
      <c r="M2052" s="1142">
        <v>0</v>
      </c>
      <c r="N2052" s="617"/>
      <c r="O2052" s="1142">
        <v>0</v>
      </c>
      <c r="P2052" s="617"/>
      <c r="Q2052" s="1142">
        <v>8.89</v>
      </c>
      <c r="R2052" s="617"/>
      <c r="S2052" s="1146">
        <v>121704</v>
      </c>
      <c r="T2052" s="1114"/>
      <c r="U2052" s="1146">
        <v>0</v>
      </c>
      <c r="V2052" s="1114"/>
      <c r="W2052" s="1146">
        <v>0</v>
      </c>
      <c r="X2052" s="1114"/>
      <c r="Y2052" s="1146">
        <v>121704</v>
      </c>
      <c r="Z2052" s="2114">
        <f>C2052-'Blocking-Step2'!C2052</f>
        <v>0</v>
      </c>
      <c r="AA2052" s="2114">
        <f>D2052-'Blocking-Step2'!D2052</f>
        <v>0</v>
      </c>
      <c r="AC2052" s="2114">
        <f>F2052-'Blocking-Step2'!F2052</f>
        <v>0</v>
      </c>
      <c r="AE2052" s="2114">
        <f>H2052-'Blocking-Step2'!H2052</f>
        <v>0</v>
      </c>
      <c r="AF2052" s="2114">
        <f>I2052-'Blocking-Step2'!I2052</f>
        <v>0</v>
      </c>
      <c r="AH2052" s="2136">
        <f>K2052-'Blocking-Step2'!K2052</f>
        <v>0</v>
      </c>
      <c r="AJ2052" s="2136">
        <f>M2052-'Blocking-Step2'!M2052</f>
        <v>0</v>
      </c>
      <c r="AL2052" s="2136">
        <f>O2052-'Blocking-Step2'!O2052</f>
        <v>0</v>
      </c>
      <c r="AN2052" s="2137">
        <f>Q2052-'Blocking-Step2'!Q2052</f>
        <v>0</v>
      </c>
      <c r="AP2052" s="2127">
        <f>S2052-'Blocking-Step2'!S2052</f>
        <v>0</v>
      </c>
      <c r="AR2052" s="2127">
        <f>U2052-'Blocking-Step2'!U2052</f>
        <v>0</v>
      </c>
      <c r="AT2052" s="2127">
        <f>W2052-'Blocking-Step2'!W2052</f>
        <v>0</v>
      </c>
      <c r="AV2052" s="2128">
        <f>Y2052-'Blocking-Step2'!Y2052</f>
        <v>0</v>
      </c>
    </row>
    <row r="2053" spans="1:48" ht="16.5" hidden="1" thickTop="1">
      <c r="A2053" s="1116" t="s">
        <v>1655</v>
      </c>
      <c r="C2053" s="1105">
        <v>22308.866911695484</v>
      </c>
      <c r="D2053" s="1105">
        <v>21918</v>
      </c>
      <c r="F2053" s="1142"/>
      <c r="G2053" s="617"/>
      <c r="H2053" s="1146"/>
      <c r="I2053" s="1146"/>
      <c r="K2053" s="1142">
        <v>7.87</v>
      </c>
      <c r="L2053" s="617"/>
      <c r="M2053" s="1142">
        <v>0</v>
      </c>
      <c r="N2053" s="617"/>
      <c r="O2053" s="1142">
        <v>0</v>
      </c>
      <c r="P2053" s="617"/>
      <c r="Q2053" s="1142">
        <v>7.87</v>
      </c>
      <c r="R2053" s="617"/>
      <c r="S2053" s="1146">
        <v>172495</v>
      </c>
      <c r="T2053" s="1114"/>
      <c r="U2053" s="1146">
        <v>0</v>
      </c>
      <c r="V2053" s="1114"/>
      <c r="W2053" s="1146">
        <v>0</v>
      </c>
      <c r="X2053" s="1114"/>
      <c r="Y2053" s="1146">
        <v>172495</v>
      </c>
      <c r="Z2053" s="2114">
        <f>C2053-'Blocking-Step2'!C2053</f>
        <v>0</v>
      </c>
      <c r="AA2053" s="2114">
        <f>D2053-'Blocking-Step2'!D2053</f>
        <v>0</v>
      </c>
      <c r="AC2053" s="2114">
        <f>F2053-'Blocking-Step2'!F2053</f>
        <v>0</v>
      </c>
      <c r="AE2053" s="2114">
        <f>H2053-'Blocking-Step2'!H2053</f>
        <v>0</v>
      </c>
      <c r="AF2053" s="2114">
        <f>I2053-'Blocking-Step2'!I2053</f>
        <v>0</v>
      </c>
      <c r="AH2053" s="2136">
        <f>K2053-'Blocking-Step2'!K2053</f>
        <v>0</v>
      </c>
      <c r="AJ2053" s="2136">
        <f>M2053-'Blocking-Step2'!M2053</f>
        <v>0</v>
      </c>
      <c r="AL2053" s="2136">
        <f>O2053-'Blocking-Step2'!O2053</f>
        <v>0</v>
      </c>
      <c r="AN2053" s="2137">
        <f>Q2053-'Blocking-Step2'!Q2053</f>
        <v>0</v>
      </c>
      <c r="AP2053" s="2127">
        <f>S2053-'Blocking-Step2'!S2053</f>
        <v>0</v>
      </c>
      <c r="AR2053" s="2127">
        <f>U2053-'Blocking-Step2'!U2053</f>
        <v>0</v>
      </c>
      <c r="AT2053" s="2127">
        <f>W2053-'Blocking-Step2'!W2053</f>
        <v>0</v>
      </c>
      <c r="AV2053" s="2128">
        <f>Y2053-'Blocking-Step2'!Y2053</f>
        <v>0</v>
      </c>
    </row>
    <row r="2054" spans="1:48" ht="16.5" hidden="1" thickTop="1">
      <c r="A2054" s="1116" t="s">
        <v>1656</v>
      </c>
      <c r="C2054" s="1105">
        <v>8604340.0720692445</v>
      </c>
      <c r="D2054" s="1105">
        <v>8594020.7713383362</v>
      </c>
      <c r="F2054" s="1106"/>
      <c r="G2054" s="1921"/>
      <c r="H2054" s="1146"/>
      <c r="I2054" s="1146"/>
      <c r="K2054" s="1106">
        <v>1.4671000000000001</v>
      </c>
      <c r="L2054" s="1921" t="s">
        <v>495</v>
      </c>
      <c r="M2054" s="1106">
        <v>7.9411934380819993</v>
      </c>
      <c r="N2054" s="1921" t="s">
        <v>495</v>
      </c>
      <c r="O2054" s="1106">
        <v>2.3066</v>
      </c>
      <c r="P2054" s="1921" t="s">
        <v>495</v>
      </c>
      <c r="Q2054" s="1106">
        <v>11.714893438081999</v>
      </c>
      <c r="R2054" s="1921" t="s">
        <v>495</v>
      </c>
      <c r="S2054" s="1146">
        <v>126083</v>
      </c>
      <c r="T2054" s="1648"/>
      <c r="U2054" s="1146">
        <v>682468</v>
      </c>
      <c r="V2054" s="1648"/>
      <c r="W2054" s="1146">
        <v>198230</v>
      </c>
      <c r="X2054" s="1648"/>
      <c r="Y2054" s="1146">
        <v>1006780</v>
      </c>
      <c r="Z2054" s="2114">
        <f>C2054-'Blocking-Step2'!C2054</f>
        <v>0</v>
      </c>
      <c r="AA2054" s="2114">
        <f>D2054-'Blocking-Step2'!D2054</f>
        <v>0</v>
      </c>
      <c r="AC2054" s="2114">
        <f>F2054-'Blocking-Step2'!F2054</f>
        <v>0</v>
      </c>
      <c r="AE2054" s="2114">
        <f>H2054-'Blocking-Step2'!H2054</f>
        <v>0</v>
      </c>
      <c r="AF2054" s="2114">
        <f>I2054-'Blocking-Step2'!I2054</f>
        <v>0</v>
      </c>
      <c r="AH2054" s="2136">
        <f>K2054-'Blocking-Step2'!K2054</f>
        <v>-1.4732000000000001</v>
      </c>
      <c r="AJ2054" s="2136">
        <f>M2054-'Blocking-Step2'!M2054</f>
        <v>1.4755465414459987</v>
      </c>
      <c r="AL2054" s="2136">
        <f>O2054-'Blocking-Step2'!O2054</f>
        <v>0</v>
      </c>
      <c r="AN2054" s="2137">
        <f>Q2054-'Blocking-Step2'!Q2054</f>
        <v>2.3465414459984402E-3</v>
      </c>
      <c r="AP2054" s="2127">
        <f>S2054-'Blocking-Step2'!S2054</f>
        <v>-126607</v>
      </c>
      <c r="AR2054" s="2127">
        <f>U2054-'Blocking-Step2'!U2054</f>
        <v>126809</v>
      </c>
      <c r="AT2054" s="2127">
        <f>W2054-'Blocking-Step2'!W2054</f>
        <v>0</v>
      </c>
      <c r="AV2054" s="2128">
        <f>Y2054-'Blocking-Step2'!Y2054</f>
        <v>201</v>
      </c>
    </row>
    <row r="2055" spans="1:48" ht="16.5" hidden="1" thickTop="1">
      <c r="A2055" s="1116" t="s">
        <v>1657</v>
      </c>
      <c r="C2055" s="1105">
        <v>9631147.8950034827</v>
      </c>
      <c r="D2055" s="1105">
        <v>9619597</v>
      </c>
      <c r="F2055" s="1106"/>
      <c r="G2055" s="1921"/>
      <c r="H2055" s="1146"/>
      <c r="I2055" s="1146"/>
      <c r="K2055" s="1106">
        <v>1.4671000000000001</v>
      </c>
      <c r="L2055" s="1921" t="s">
        <v>495</v>
      </c>
      <c r="M2055" s="1106">
        <v>2.7858934380819993</v>
      </c>
      <c r="N2055" s="1921" t="s">
        <v>495</v>
      </c>
      <c r="O2055" s="1106">
        <v>2.3066</v>
      </c>
      <c r="P2055" s="1921" t="s">
        <v>495</v>
      </c>
      <c r="Q2055" s="1106">
        <v>6.5595934380819996</v>
      </c>
      <c r="R2055" s="1921" t="s">
        <v>495</v>
      </c>
      <c r="S2055" s="1146">
        <v>141129</v>
      </c>
      <c r="T2055" s="1648"/>
      <c r="U2055" s="1146">
        <v>267992</v>
      </c>
      <c r="V2055" s="1648"/>
      <c r="W2055" s="1146">
        <v>221886</v>
      </c>
      <c r="X2055" s="1648"/>
      <c r="Y2055" s="1146">
        <v>631006</v>
      </c>
      <c r="Z2055" s="2114">
        <f>C2055-'Blocking-Step2'!C2055</f>
        <v>0</v>
      </c>
      <c r="AA2055" s="2114">
        <f>D2055-'Blocking-Step2'!D2055</f>
        <v>0</v>
      </c>
      <c r="AC2055" s="2114">
        <f>F2055-'Blocking-Step2'!F2055</f>
        <v>0</v>
      </c>
      <c r="AE2055" s="2114">
        <f>H2055-'Blocking-Step2'!H2055</f>
        <v>0</v>
      </c>
      <c r="AF2055" s="2114">
        <f>I2055-'Blocking-Step2'!I2055</f>
        <v>0</v>
      </c>
      <c r="AH2055" s="2136">
        <f>K2055-'Blocking-Step2'!K2055</f>
        <v>-1.4732000000000001</v>
      </c>
      <c r="AJ2055" s="2136">
        <f>M2055-'Blocking-Step2'!M2055</f>
        <v>1.4755465414459983</v>
      </c>
      <c r="AL2055" s="2136">
        <f>O2055-'Blocking-Step2'!O2055</f>
        <v>0</v>
      </c>
      <c r="AN2055" s="2137">
        <f>Q2055-'Blocking-Step2'!Q2055</f>
        <v>2.3465414459984402E-3</v>
      </c>
      <c r="AP2055" s="2127">
        <f>S2055-'Blocking-Step2'!S2055</f>
        <v>-141716</v>
      </c>
      <c r="AR2055" s="2127">
        <f>U2055-'Blocking-Step2'!U2055</f>
        <v>141942</v>
      </c>
      <c r="AT2055" s="2127">
        <f>W2055-'Blocking-Step2'!W2055</f>
        <v>0</v>
      </c>
      <c r="AV2055" s="2128">
        <f>Y2055-'Blocking-Step2'!Y2055</f>
        <v>225</v>
      </c>
    </row>
    <row r="2056" spans="1:48" ht="16.5" hidden="1" thickTop="1">
      <c r="A2056" s="1116" t="s">
        <v>1658</v>
      </c>
      <c r="C2056" s="1105">
        <v>17935019.927930754</v>
      </c>
      <c r="D2056" s="1105">
        <v>17034958</v>
      </c>
      <c r="F2056" s="1106"/>
      <c r="G2056" s="1921"/>
      <c r="H2056" s="1146"/>
      <c r="I2056" s="1146"/>
      <c r="K2056" s="1106">
        <v>1.4671000000000001</v>
      </c>
      <c r="L2056" s="1921" t="s">
        <v>495</v>
      </c>
      <c r="M2056" s="1106">
        <v>6.7850000000000001</v>
      </c>
      <c r="N2056" s="1921" t="s">
        <v>495</v>
      </c>
      <c r="O2056" s="1106">
        <v>2.1151</v>
      </c>
      <c r="P2056" s="1921" t="s">
        <v>495</v>
      </c>
      <c r="Q2056" s="1106">
        <v>10.3672</v>
      </c>
      <c r="R2056" s="1921" t="s">
        <v>495</v>
      </c>
      <c r="S2056" s="1146">
        <v>249920</v>
      </c>
      <c r="T2056" s="1648"/>
      <c r="U2056" s="1146">
        <v>1155822</v>
      </c>
      <c r="V2056" s="1648"/>
      <c r="W2056" s="1146">
        <v>360306</v>
      </c>
      <c r="X2056" s="1648"/>
      <c r="Y2056" s="1146">
        <v>1766048</v>
      </c>
      <c r="Z2056" s="2114">
        <f>C2056-'Blocking-Step2'!C2056</f>
        <v>0</v>
      </c>
      <c r="AA2056" s="2114">
        <f>D2056-'Blocking-Step2'!D2056</f>
        <v>0</v>
      </c>
      <c r="AC2056" s="2114">
        <f>F2056-'Blocking-Step2'!F2056</f>
        <v>0</v>
      </c>
      <c r="AE2056" s="2114">
        <f>H2056-'Blocking-Step2'!H2056</f>
        <v>0</v>
      </c>
      <c r="AF2056" s="2114">
        <f>I2056-'Blocking-Step2'!I2056</f>
        <v>0</v>
      </c>
      <c r="AH2056" s="2136">
        <f>K2056-'Blocking-Step2'!K2056</f>
        <v>-1.4732000000000001</v>
      </c>
      <c r="AJ2056" s="2136">
        <f>M2056-'Blocking-Step2'!M2056</f>
        <v>1.4753000000000007</v>
      </c>
      <c r="AL2056" s="2136">
        <f>O2056-'Blocking-Step2'!O2056</f>
        <v>0</v>
      </c>
      <c r="AN2056" s="2137">
        <f>Q2056-'Blocking-Step2'!Q2056</f>
        <v>2.1000000000004349E-3</v>
      </c>
      <c r="AP2056" s="2127">
        <f>S2056-'Blocking-Step2'!S2056</f>
        <v>-250959</v>
      </c>
      <c r="AR2056" s="2127">
        <f>U2056-'Blocking-Step2'!U2056</f>
        <v>251317</v>
      </c>
      <c r="AT2056" s="2127">
        <f>W2056-'Blocking-Step2'!W2056</f>
        <v>0</v>
      </c>
      <c r="AV2056" s="2128">
        <f>Y2056-'Blocking-Step2'!Y2056</f>
        <v>358</v>
      </c>
    </row>
    <row r="2057" spans="1:48" ht="16.5" hidden="1" thickTop="1">
      <c r="A2057" s="1116" t="s">
        <v>1659</v>
      </c>
      <c r="C2057" s="1105">
        <v>17268829.104996517</v>
      </c>
      <c r="D2057" s="1105">
        <v>16402200</v>
      </c>
      <c r="F2057" s="1106"/>
      <c r="G2057" s="1921"/>
      <c r="H2057" s="1146"/>
      <c r="I2057" s="1146"/>
      <c r="K2057" s="1106">
        <v>1.4671000000000001</v>
      </c>
      <c r="L2057" s="1921" t="s">
        <v>495</v>
      </c>
      <c r="M2057" s="1106">
        <v>2.2226999999999997</v>
      </c>
      <c r="N2057" s="1921" t="s">
        <v>495</v>
      </c>
      <c r="O2057" s="1106">
        <v>2.1151</v>
      </c>
      <c r="P2057" s="1921" t="s">
        <v>495</v>
      </c>
      <c r="Q2057" s="1106">
        <v>5.8048999999999999</v>
      </c>
      <c r="R2057" s="1921" t="s">
        <v>495</v>
      </c>
      <c r="S2057" s="1146">
        <v>240637</v>
      </c>
      <c r="T2057" s="1648"/>
      <c r="U2057" s="1146">
        <v>364572</v>
      </c>
      <c r="V2057" s="1648"/>
      <c r="W2057" s="1146">
        <v>346923</v>
      </c>
      <c r="X2057" s="1648"/>
      <c r="Y2057" s="1146">
        <v>952131</v>
      </c>
      <c r="Z2057" s="2114">
        <f>C2057-'Blocking-Step2'!C2057</f>
        <v>0</v>
      </c>
      <c r="AA2057" s="2114">
        <f>D2057-'Blocking-Step2'!D2057</f>
        <v>0</v>
      </c>
      <c r="AC2057" s="2114">
        <f>F2057-'Blocking-Step2'!F2057</f>
        <v>0</v>
      </c>
      <c r="AE2057" s="2114">
        <f>H2057-'Blocking-Step2'!H2057</f>
        <v>0</v>
      </c>
      <c r="AF2057" s="2114">
        <f>I2057-'Blocking-Step2'!I2057</f>
        <v>0</v>
      </c>
      <c r="AH2057" s="2136">
        <f>K2057-'Blocking-Step2'!K2057</f>
        <v>-1.4732000000000001</v>
      </c>
      <c r="AJ2057" s="2136">
        <f>M2057-'Blocking-Step2'!M2057</f>
        <v>1.4751999999999996</v>
      </c>
      <c r="AL2057" s="2136">
        <f>O2057-'Blocking-Step2'!O2057</f>
        <v>0</v>
      </c>
      <c r="AN2057" s="2137">
        <f>Q2057-'Blocking-Step2'!Q2057</f>
        <v>1.9999999999997797E-3</v>
      </c>
      <c r="AP2057" s="2127">
        <f>S2057-'Blocking-Step2'!S2057</f>
        <v>-241637</v>
      </c>
      <c r="AR2057" s="2127">
        <f>U2057-'Blocking-Step2'!U2057</f>
        <v>241966</v>
      </c>
      <c r="AT2057" s="2127">
        <f>W2057-'Blocking-Step2'!W2057</f>
        <v>0</v>
      </c>
      <c r="AV2057" s="2128">
        <f>Y2057-'Blocking-Step2'!Y2057</f>
        <v>328</v>
      </c>
    </row>
    <row r="2058" spans="1:48" ht="16.5" hidden="1" thickTop="1">
      <c r="A2058" s="1116" t="s">
        <v>282</v>
      </c>
      <c r="C2058" s="1105">
        <v>16686.4554913295</v>
      </c>
      <c r="D2058" s="1105">
        <v>16394</v>
      </c>
      <c r="F2058" s="1142">
        <v>8.65</v>
      </c>
      <c r="G2058" s="617"/>
      <c r="H2058" s="1146">
        <v>144338</v>
      </c>
      <c r="I2058" s="1146">
        <v>141808</v>
      </c>
      <c r="K2058" s="1142"/>
      <c r="L2058" s="617"/>
      <c r="M2058" s="1142"/>
      <c r="N2058" s="617"/>
      <c r="O2058" s="1142"/>
      <c r="P2058" s="617"/>
      <c r="Q2058" s="1142"/>
      <c r="R2058" s="617"/>
      <c r="S2058" s="1114"/>
      <c r="T2058" s="1114"/>
      <c r="U2058" s="1114"/>
      <c r="V2058" s="1114"/>
      <c r="W2058" s="1114"/>
      <c r="X2058" s="1114"/>
      <c r="Y2058" s="1146"/>
      <c r="Z2058" s="2114">
        <f>C2058-'Blocking-Step2'!C2058</f>
        <v>0</v>
      </c>
      <c r="AA2058" s="2114">
        <f>D2058-'Blocking-Step2'!D2058</f>
        <v>0</v>
      </c>
      <c r="AC2058" s="2114">
        <f>F2058-'Blocking-Step2'!F2058</f>
        <v>0</v>
      </c>
      <c r="AE2058" s="2114">
        <f>H2058-'Blocking-Step2'!H2058</f>
        <v>0</v>
      </c>
      <c r="AF2058" s="2114">
        <f>I2058-'Blocking-Step2'!I2058</f>
        <v>0</v>
      </c>
      <c r="AH2058" s="2136">
        <f>K2058-'Blocking-Step2'!K2058</f>
        <v>0</v>
      </c>
      <c r="AJ2058" s="2136">
        <f>M2058-'Blocking-Step2'!M2058</f>
        <v>0</v>
      </c>
      <c r="AL2058" s="2136">
        <f>O2058-'Blocking-Step2'!O2058</f>
        <v>0</v>
      </c>
      <c r="AN2058" s="2137">
        <f>Q2058-'Blocking-Step2'!Q2058</f>
        <v>0</v>
      </c>
      <c r="AP2058" s="2127">
        <f>S2058-'Blocking-Step2'!S2058</f>
        <v>0</v>
      </c>
      <c r="AR2058" s="2127">
        <f>U2058-'Blocking-Step2'!U2058</f>
        <v>0</v>
      </c>
      <c r="AT2058" s="2127">
        <f>W2058-'Blocking-Step2'!W2058</f>
        <v>0</v>
      </c>
      <c r="AV2058" s="2128">
        <f>Y2058-'Blocking-Step2'!Y2058</f>
        <v>0</v>
      </c>
    </row>
    <row r="2059" spans="1:48" ht="16.5" hidden="1" thickTop="1">
      <c r="A2059" s="1116" t="s">
        <v>283</v>
      </c>
      <c r="C2059" s="1105">
        <v>19556.813793103502</v>
      </c>
      <c r="D2059" s="1105">
        <v>19214</v>
      </c>
      <c r="F2059" s="1142">
        <v>8.7000000000000011</v>
      </c>
      <c r="G2059" s="617"/>
      <c r="H2059" s="1146">
        <v>170144</v>
      </c>
      <c r="I2059" s="1146">
        <v>167162</v>
      </c>
      <c r="K2059" s="1142"/>
      <c r="L2059" s="617"/>
      <c r="M2059" s="1142"/>
      <c r="N2059" s="617"/>
      <c r="O2059" s="1142"/>
      <c r="P2059" s="617"/>
      <c r="Q2059" s="1142"/>
      <c r="R2059" s="617"/>
      <c r="S2059" s="1114"/>
      <c r="T2059" s="1114"/>
      <c r="U2059" s="1114"/>
      <c r="V2059" s="1114"/>
      <c r="W2059" s="1114"/>
      <c r="X2059" s="1114"/>
      <c r="Y2059" s="1146"/>
      <c r="Z2059" s="2114">
        <f>C2059-'Blocking-Step2'!C2059</f>
        <v>0</v>
      </c>
      <c r="AA2059" s="2114">
        <f>D2059-'Blocking-Step2'!D2059</f>
        <v>0</v>
      </c>
      <c r="AC2059" s="2114">
        <f>F2059-'Blocking-Step2'!F2059</f>
        <v>0</v>
      </c>
      <c r="AE2059" s="2114">
        <f>H2059-'Blocking-Step2'!H2059</f>
        <v>0</v>
      </c>
      <c r="AF2059" s="2114">
        <f>I2059-'Blocking-Step2'!I2059</f>
        <v>0</v>
      </c>
      <c r="AH2059" s="2136">
        <f>K2059-'Blocking-Step2'!K2059</f>
        <v>0</v>
      </c>
      <c r="AJ2059" s="2136">
        <f>M2059-'Blocking-Step2'!M2059</f>
        <v>0</v>
      </c>
      <c r="AL2059" s="2136">
        <f>O2059-'Blocking-Step2'!O2059</f>
        <v>0</v>
      </c>
      <c r="AN2059" s="2137">
        <f>Q2059-'Blocking-Step2'!Q2059</f>
        <v>0</v>
      </c>
      <c r="AP2059" s="2127">
        <f>S2059-'Blocking-Step2'!S2059</f>
        <v>0</v>
      </c>
      <c r="AR2059" s="2127">
        <f>U2059-'Blocking-Step2'!U2059</f>
        <v>0</v>
      </c>
      <c r="AT2059" s="2127">
        <f>W2059-'Blocking-Step2'!W2059</f>
        <v>0</v>
      </c>
      <c r="AV2059" s="2128">
        <f>Y2059-'Blocking-Step2'!Y2059</f>
        <v>0</v>
      </c>
    </row>
    <row r="2060" spans="1:48" ht="16.5" hidden="1" thickTop="1">
      <c r="A2060" s="1116" t="s">
        <v>261</v>
      </c>
      <c r="C2060" s="1105">
        <v>2433.125</v>
      </c>
      <c r="D2060" s="1105">
        <v>2391</v>
      </c>
      <c r="F2060" s="1142">
        <v>-0.48</v>
      </c>
      <c r="G2060" s="617"/>
      <c r="H2060" s="1146">
        <v>-1168</v>
      </c>
      <c r="I2060" s="1146">
        <v>-1148</v>
      </c>
      <c r="K2060" s="1142">
        <v>-0.48</v>
      </c>
      <c r="L2060" s="617"/>
      <c r="M2060" s="1142">
        <v>0</v>
      </c>
      <c r="N2060" s="617"/>
      <c r="O2060" s="1142">
        <v>0</v>
      </c>
      <c r="P2060" s="617"/>
      <c r="Q2060" s="1142">
        <v>-0.48</v>
      </c>
      <c r="R2060" s="617"/>
      <c r="S2060" s="1146">
        <v>-1148</v>
      </c>
      <c r="T2060" s="1114"/>
      <c r="U2060" s="1146">
        <v>0</v>
      </c>
      <c r="V2060" s="1114"/>
      <c r="W2060" s="1146">
        <v>0</v>
      </c>
      <c r="X2060" s="1114"/>
      <c r="Y2060" s="1146">
        <v>-1148</v>
      </c>
      <c r="Z2060" s="2114">
        <f>C2060-'Blocking-Step2'!C2060</f>
        <v>0</v>
      </c>
      <c r="AA2060" s="2114">
        <f>D2060-'Blocking-Step2'!D2060</f>
        <v>0</v>
      </c>
      <c r="AC2060" s="2114">
        <f>F2060-'Blocking-Step2'!F2060</f>
        <v>0</v>
      </c>
      <c r="AE2060" s="2114">
        <f>H2060-'Blocking-Step2'!H2060</f>
        <v>0</v>
      </c>
      <c r="AF2060" s="2114">
        <f>I2060-'Blocking-Step2'!I2060</f>
        <v>0</v>
      </c>
      <c r="AH2060" s="2136">
        <f>K2060-'Blocking-Step2'!K2060</f>
        <v>0</v>
      </c>
      <c r="AJ2060" s="2136">
        <f>M2060-'Blocking-Step2'!M2060</f>
        <v>0</v>
      </c>
      <c r="AL2060" s="2136">
        <f>O2060-'Blocking-Step2'!O2060</f>
        <v>0</v>
      </c>
      <c r="AN2060" s="2137">
        <f>Q2060-'Blocking-Step2'!Q2060</f>
        <v>0</v>
      </c>
      <c r="AP2060" s="2127">
        <f>S2060-'Blocking-Step2'!S2060</f>
        <v>0</v>
      </c>
      <c r="AR2060" s="2127">
        <f>U2060-'Blocking-Step2'!U2060</f>
        <v>0</v>
      </c>
      <c r="AT2060" s="2127">
        <f>W2060-'Blocking-Step2'!W2060</f>
        <v>0</v>
      </c>
      <c r="AV2060" s="2128">
        <f>Y2060-'Blocking-Step2'!Y2060</f>
        <v>0</v>
      </c>
    </row>
    <row r="2061" spans="1:48" ht="16.5" hidden="1" thickTop="1">
      <c r="A2061" s="1116" t="s">
        <v>194</v>
      </c>
      <c r="C2061" s="1105">
        <v>10640672</v>
      </c>
      <c r="D2061" s="1105">
        <v>10568996.771338336</v>
      </c>
      <c r="F2061" s="1143">
        <v>11.733599999999999</v>
      </c>
      <c r="G2061" s="1921" t="s">
        <v>495</v>
      </c>
      <c r="H2061" s="1146">
        <v>1248534</v>
      </c>
      <c r="I2061" s="1146">
        <v>1240124</v>
      </c>
      <c r="K2061" s="1143"/>
      <c r="L2061" s="1921"/>
      <c r="M2061" s="1143"/>
      <c r="N2061" s="1921"/>
      <c r="O2061" s="1143"/>
      <c r="P2061" s="1921"/>
      <c r="Q2061" s="1143"/>
      <c r="R2061" s="1921"/>
      <c r="S2061" s="1648"/>
      <c r="T2061" s="1648"/>
      <c r="U2061" s="1648"/>
      <c r="V2061" s="1648"/>
      <c r="W2061" s="1648"/>
      <c r="X2061" s="1648"/>
      <c r="Y2061" s="1146"/>
      <c r="Z2061" s="2114">
        <f>C2061-'Blocking-Step2'!C2061</f>
        <v>0</v>
      </c>
      <c r="AA2061" s="2114">
        <f>D2061-'Blocking-Step2'!D2061</f>
        <v>0</v>
      </c>
      <c r="AC2061" s="2114">
        <f>F2061-'Blocking-Step2'!F2061</f>
        <v>0</v>
      </c>
      <c r="AE2061" s="2114">
        <f>H2061-'Blocking-Step2'!H2061</f>
        <v>0</v>
      </c>
      <c r="AF2061" s="2114">
        <f>I2061-'Blocking-Step2'!I2061</f>
        <v>0</v>
      </c>
      <c r="AH2061" s="2136">
        <f>K2061-'Blocking-Step2'!K2061</f>
        <v>0</v>
      </c>
      <c r="AJ2061" s="2136">
        <f>M2061-'Blocking-Step2'!M2061</f>
        <v>0</v>
      </c>
      <c r="AL2061" s="2136">
        <f>O2061-'Blocking-Step2'!O2061</f>
        <v>0</v>
      </c>
      <c r="AN2061" s="2137">
        <f>Q2061-'Blocking-Step2'!Q2061</f>
        <v>0</v>
      </c>
      <c r="AP2061" s="2127">
        <f>S2061-'Blocking-Step2'!S2061</f>
        <v>0</v>
      </c>
      <c r="AR2061" s="2127">
        <f>U2061-'Blocking-Step2'!U2061</f>
        <v>0</v>
      </c>
      <c r="AT2061" s="2127">
        <f>W2061-'Blocking-Step2'!W2061</f>
        <v>0</v>
      </c>
      <c r="AV2061" s="2128">
        <f>Y2061-'Blocking-Step2'!Y2061</f>
        <v>0</v>
      </c>
    </row>
    <row r="2062" spans="1:48" ht="16.5" hidden="1" thickTop="1">
      <c r="A2062" s="1116" t="s">
        <v>195</v>
      </c>
      <c r="C2062" s="1105">
        <v>11455178</v>
      </c>
      <c r="D2062" s="1105">
        <v>11378017</v>
      </c>
      <c r="F2062" s="1143">
        <v>6.5782999999999996</v>
      </c>
      <c r="G2062" s="1921" t="s">
        <v>495</v>
      </c>
      <c r="H2062" s="1146">
        <v>753556</v>
      </c>
      <c r="I2062" s="1146">
        <v>748480</v>
      </c>
      <c r="K2062" s="1143"/>
      <c r="L2062" s="1921"/>
      <c r="M2062" s="1143"/>
      <c r="N2062" s="1921"/>
      <c r="O2062" s="1143"/>
      <c r="P2062" s="1921"/>
      <c r="Q2062" s="1143"/>
      <c r="R2062" s="1921"/>
      <c r="S2062" s="1648"/>
      <c r="T2062" s="1648"/>
      <c r="U2062" s="1648"/>
      <c r="V2062" s="1648"/>
      <c r="W2062" s="1648"/>
      <c r="X2062" s="1648"/>
      <c r="Y2062" s="1146"/>
      <c r="Z2062" s="2114">
        <f>C2062-'Blocking-Step2'!C2062</f>
        <v>0</v>
      </c>
      <c r="AA2062" s="2114">
        <f>D2062-'Blocking-Step2'!D2062</f>
        <v>0</v>
      </c>
      <c r="AC2062" s="2114">
        <f>F2062-'Blocking-Step2'!F2062</f>
        <v>0</v>
      </c>
      <c r="AE2062" s="2114">
        <f>H2062-'Blocking-Step2'!H2062</f>
        <v>0</v>
      </c>
      <c r="AF2062" s="2114">
        <f>I2062-'Blocking-Step2'!I2062</f>
        <v>0</v>
      </c>
      <c r="AH2062" s="2136">
        <f>K2062-'Blocking-Step2'!K2062</f>
        <v>0</v>
      </c>
      <c r="AJ2062" s="2136">
        <f>M2062-'Blocking-Step2'!M2062</f>
        <v>0</v>
      </c>
      <c r="AL2062" s="2136">
        <f>O2062-'Blocking-Step2'!O2062</f>
        <v>0</v>
      </c>
      <c r="AN2062" s="2137">
        <f>Q2062-'Blocking-Step2'!Q2062</f>
        <v>0</v>
      </c>
      <c r="AP2062" s="2127">
        <f>S2062-'Blocking-Step2'!S2062</f>
        <v>0</v>
      </c>
      <c r="AR2062" s="2127">
        <f>U2062-'Blocking-Step2'!U2062</f>
        <v>0</v>
      </c>
      <c r="AT2062" s="2127">
        <f>W2062-'Blocking-Step2'!W2062</f>
        <v>0</v>
      </c>
      <c r="AV2062" s="2128">
        <f>Y2062-'Blocking-Step2'!Y2062</f>
        <v>0</v>
      </c>
    </row>
    <row r="2063" spans="1:48" ht="16.5" hidden="1" thickTop="1">
      <c r="A2063" s="1116" t="s">
        <v>160</v>
      </c>
      <c r="C2063" s="1105">
        <v>15898688</v>
      </c>
      <c r="D2063" s="1105">
        <v>15066953</v>
      </c>
      <c r="F2063" s="1143">
        <v>10.8</v>
      </c>
      <c r="G2063" s="1921" t="s">
        <v>495</v>
      </c>
      <c r="H2063" s="1146">
        <v>1717058</v>
      </c>
      <c r="I2063" s="1146">
        <v>1627231</v>
      </c>
      <c r="K2063" s="1143"/>
      <c r="L2063" s="1921"/>
      <c r="M2063" s="1143"/>
      <c r="N2063" s="1921"/>
      <c r="O2063" s="1143"/>
      <c r="P2063" s="1921"/>
      <c r="Q2063" s="1143"/>
      <c r="R2063" s="1921"/>
      <c r="S2063" s="1648"/>
      <c r="T2063" s="1648"/>
      <c r="U2063" s="1648"/>
      <c r="V2063" s="1648"/>
      <c r="W2063" s="1648"/>
      <c r="X2063" s="1648"/>
      <c r="Y2063" s="1146"/>
      <c r="Z2063" s="2114">
        <f>C2063-'Blocking-Step2'!C2063</f>
        <v>0</v>
      </c>
      <c r="AA2063" s="2114">
        <f>D2063-'Blocking-Step2'!D2063</f>
        <v>0</v>
      </c>
      <c r="AC2063" s="2114">
        <f>F2063-'Blocking-Step2'!F2063</f>
        <v>0</v>
      </c>
      <c r="AE2063" s="2114">
        <f>H2063-'Blocking-Step2'!H2063</f>
        <v>0</v>
      </c>
      <c r="AF2063" s="2114">
        <f>I2063-'Blocking-Step2'!I2063</f>
        <v>0</v>
      </c>
      <c r="AH2063" s="2136">
        <f>K2063-'Blocking-Step2'!K2063</f>
        <v>0</v>
      </c>
      <c r="AJ2063" s="2136">
        <f>M2063-'Blocking-Step2'!M2063</f>
        <v>0</v>
      </c>
      <c r="AL2063" s="2136">
        <f>O2063-'Blocking-Step2'!O2063</f>
        <v>0</v>
      </c>
      <c r="AN2063" s="2137">
        <f>Q2063-'Blocking-Step2'!Q2063</f>
        <v>0</v>
      </c>
      <c r="AP2063" s="2127">
        <f>S2063-'Blocking-Step2'!S2063</f>
        <v>0</v>
      </c>
      <c r="AR2063" s="2127">
        <f>U2063-'Blocking-Step2'!U2063</f>
        <v>0</v>
      </c>
      <c r="AT2063" s="2127">
        <f>W2063-'Blocking-Step2'!W2063</f>
        <v>0</v>
      </c>
      <c r="AV2063" s="2128">
        <f>Y2063-'Blocking-Step2'!Y2063</f>
        <v>0</v>
      </c>
    </row>
    <row r="2064" spans="1:48" ht="16.5" hidden="1" thickTop="1">
      <c r="A2064" s="1116" t="s">
        <v>159</v>
      </c>
      <c r="C2064" s="1105">
        <v>15444799</v>
      </c>
      <c r="D2064" s="1105">
        <v>14636809</v>
      </c>
      <c r="F2064" s="1143">
        <v>6.0567000000000002</v>
      </c>
      <c r="G2064" s="1921" t="s">
        <v>495</v>
      </c>
      <c r="H2064" s="1146">
        <v>935445</v>
      </c>
      <c r="I2064" s="1146">
        <v>886508</v>
      </c>
      <c r="K2064" s="1143"/>
      <c r="L2064" s="1921"/>
      <c r="M2064" s="1143"/>
      <c r="N2064" s="1921"/>
      <c r="O2064" s="1143"/>
      <c r="P2064" s="1921"/>
      <c r="Q2064" s="1143"/>
      <c r="R2064" s="1921"/>
      <c r="S2064" s="1648"/>
      <c r="T2064" s="1648"/>
      <c r="U2064" s="1648"/>
      <c r="V2064" s="1648"/>
      <c r="W2064" s="1648"/>
      <c r="X2064" s="1648"/>
      <c r="Y2064" s="1146"/>
      <c r="Z2064" s="2114">
        <f>C2064-'Blocking-Step2'!C2064</f>
        <v>0</v>
      </c>
      <c r="AA2064" s="2114">
        <f>D2064-'Blocking-Step2'!D2064</f>
        <v>0</v>
      </c>
      <c r="AC2064" s="2114">
        <f>F2064-'Blocking-Step2'!F2064</f>
        <v>0</v>
      </c>
      <c r="AE2064" s="2114">
        <f>H2064-'Blocking-Step2'!H2064</f>
        <v>0</v>
      </c>
      <c r="AF2064" s="2114">
        <f>I2064-'Blocking-Step2'!I2064</f>
        <v>0</v>
      </c>
      <c r="AH2064" s="2136">
        <f>K2064-'Blocking-Step2'!K2064</f>
        <v>0</v>
      </c>
      <c r="AJ2064" s="2136">
        <f>M2064-'Blocking-Step2'!M2064</f>
        <v>0</v>
      </c>
      <c r="AL2064" s="2136">
        <f>O2064-'Blocking-Step2'!O2064</f>
        <v>0</v>
      </c>
      <c r="AN2064" s="2137">
        <f>Q2064-'Blocking-Step2'!Q2064</f>
        <v>0</v>
      </c>
      <c r="AP2064" s="2127">
        <f>S2064-'Blocking-Step2'!S2064</f>
        <v>0</v>
      </c>
      <c r="AR2064" s="2127">
        <f>U2064-'Blocking-Step2'!U2064</f>
        <v>0</v>
      </c>
      <c r="AT2064" s="2127">
        <f>W2064-'Blocking-Step2'!W2064</f>
        <v>0</v>
      </c>
      <c r="AV2064" s="2128">
        <f>Y2064-'Blocking-Step2'!Y2064</f>
        <v>0</v>
      </c>
    </row>
    <row r="2065" spans="1:48" ht="16.5" hidden="1" thickTop="1">
      <c r="A2065" s="1116" t="s">
        <v>1158</v>
      </c>
      <c r="B2065" s="1928"/>
      <c r="C2065" s="1024">
        <v>101506</v>
      </c>
      <c r="D2065" s="1024">
        <v>99720</v>
      </c>
      <c r="E2065" s="804"/>
      <c r="F2065" s="1927">
        <v>10.120799999999999</v>
      </c>
      <c r="G2065" s="1929" t="s">
        <v>495</v>
      </c>
      <c r="H2065" s="1146">
        <v>10273</v>
      </c>
      <c r="I2065" s="1146">
        <v>10092</v>
      </c>
      <c r="J2065" s="804"/>
      <c r="K2065" s="1927">
        <v>1.4671000000000001</v>
      </c>
      <c r="L2065" s="1929" t="s">
        <v>495</v>
      </c>
      <c r="M2065" s="1927">
        <v>7.4249999999999998</v>
      </c>
      <c r="N2065" s="1929" t="s">
        <v>495</v>
      </c>
      <c r="O2065" s="1927">
        <v>0</v>
      </c>
      <c r="P2065" s="1929" t="s">
        <v>495</v>
      </c>
      <c r="Q2065" s="1927">
        <v>8.8920999999999992</v>
      </c>
      <c r="R2065" s="1929" t="s">
        <v>495</v>
      </c>
      <c r="S2065" s="1146">
        <v>1463</v>
      </c>
      <c r="T2065" s="1648"/>
      <c r="U2065" s="1146">
        <v>7404</v>
      </c>
      <c r="V2065" s="1648"/>
      <c r="W2065" s="1146">
        <v>0</v>
      </c>
      <c r="X2065" s="1656"/>
      <c r="Y2065" s="1146">
        <v>8867</v>
      </c>
      <c r="Z2065" s="2114">
        <f>C2065-'Blocking-Step2'!C2065</f>
        <v>0</v>
      </c>
      <c r="AA2065" s="2114">
        <f>D2065-'Blocking-Step2'!D2065</f>
        <v>0</v>
      </c>
      <c r="AC2065" s="2114">
        <f>F2065-'Blocking-Step2'!F2065</f>
        <v>0</v>
      </c>
      <c r="AE2065" s="2114">
        <f>H2065-'Blocking-Step2'!H2065</f>
        <v>0</v>
      </c>
      <c r="AF2065" s="2114">
        <f>I2065-'Blocking-Step2'!I2065</f>
        <v>0</v>
      </c>
      <c r="AH2065" s="2136">
        <f>K2065-'Blocking-Step2'!K2065</f>
        <v>-1.4732000000000001</v>
      </c>
      <c r="AJ2065" s="2136">
        <f>M2065-'Blocking-Step2'!M2065</f>
        <v>0</v>
      </c>
      <c r="AL2065" s="2136">
        <f>O2065-'Blocking-Step2'!O2065</f>
        <v>0</v>
      </c>
      <c r="AN2065" s="2137">
        <f>Q2065-'Blocking-Step2'!Q2065</f>
        <v>-1.4732000000000003</v>
      </c>
      <c r="AP2065" s="2127">
        <f>S2065-'Blocking-Step2'!S2065</f>
        <v>-1469</v>
      </c>
      <c r="AR2065" s="2127">
        <f>U2065-'Blocking-Step2'!U2065</f>
        <v>0</v>
      </c>
      <c r="AT2065" s="2127">
        <f>W2065-'Blocking-Step2'!W2065</f>
        <v>0</v>
      </c>
      <c r="AV2065" s="2128">
        <f>Y2065-'Blocking-Step2'!Y2065</f>
        <v>-1469</v>
      </c>
    </row>
    <row r="2066" spans="1:48" ht="16.5" hidden="1" thickTop="1">
      <c r="A2066" s="1116" t="s">
        <v>246</v>
      </c>
      <c r="C2066" s="1940">
        <v>-867916</v>
      </c>
      <c r="D2066" s="1940">
        <v>0</v>
      </c>
      <c r="H2066" s="1147">
        <v>-78953</v>
      </c>
      <c r="I2066" s="1147">
        <v>0</v>
      </c>
      <c r="Y2066" s="1147"/>
      <c r="Z2066" s="2114">
        <f>C2066-'Blocking-Step2'!C2066</f>
        <v>0</v>
      </c>
      <c r="AA2066" s="2114">
        <f>D2066-'Blocking-Step2'!D2066</f>
        <v>0</v>
      </c>
      <c r="AC2066" s="2114">
        <f>F2066-'Blocking-Step2'!F2066</f>
        <v>0</v>
      </c>
      <c r="AE2066" s="2114">
        <f>H2066-'Blocking-Step2'!H2066</f>
        <v>0</v>
      </c>
      <c r="AF2066" s="2114">
        <f>I2066-'Blocking-Step2'!I2066</f>
        <v>0</v>
      </c>
      <c r="AH2066" s="2136">
        <f>K2066-'Blocking-Step2'!K2066</f>
        <v>0</v>
      </c>
      <c r="AJ2066" s="2136">
        <f>M2066-'Blocking-Step2'!M2066</f>
        <v>0</v>
      </c>
      <c r="AL2066" s="2136">
        <f>O2066-'Blocking-Step2'!O2066</f>
        <v>0</v>
      </c>
      <c r="AN2066" s="2137">
        <f>Q2066-'Blocking-Step2'!Q2066</f>
        <v>0</v>
      </c>
      <c r="AP2066" s="2127">
        <f>S2066-'Blocking-Step2'!S2066</f>
        <v>0</v>
      </c>
      <c r="AR2066" s="2127">
        <f>U2066-'Blocking-Step2'!U2066</f>
        <v>0</v>
      </c>
      <c r="AT2066" s="2127">
        <f>W2066-'Blocking-Step2'!W2066</f>
        <v>0</v>
      </c>
      <c r="AV2066" s="2128">
        <f>Y2066-'Blocking-Step2'!Y2066</f>
        <v>0</v>
      </c>
    </row>
    <row r="2067" spans="1:48" ht="16.5" hidden="1" thickTop="1">
      <c r="A2067" s="1116" t="s">
        <v>1240</v>
      </c>
      <c r="C2067" s="1024"/>
      <c r="D2067" s="1024"/>
      <c r="F2067" s="2076">
        <v>-3.3099999999999997E-2</v>
      </c>
      <c r="G2067" s="617"/>
      <c r="H2067" s="1146">
        <v>-164816.41879999998</v>
      </c>
      <c r="I2067" s="1146">
        <v>-159588.5055</v>
      </c>
      <c r="K2067" s="2076"/>
      <c r="L2067" s="617"/>
      <c r="M2067" s="2076"/>
      <c r="N2067" s="617"/>
      <c r="O2067" s="2077" t="s">
        <v>2323</v>
      </c>
      <c r="P2067" s="617"/>
      <c r="Q2067" s="2076">
        <v>-2.5600000000000001E-2</v>
      </c>
      <c r="R2067" s="617"/>
      <c r="S2067" s="1114"/>
      <c r="T2067" s="1114"/>
      <c r="U2067" s="1114"/>
      <c r="V2067" s="1114"/>
      <c r="W2067" s="1114"/>
      <c r="X2067" s="1114"/>
      <c r="Y2067" s="1146">
        <v>-119271.1936</v>
      </c>
      <c r="Z2067" s="2114">
        <f>C2067-'Blocking-Step2'!C2067</f>
        <v>0</v>
      </c>
      <c r="AA2067" s="2114">
        <f>D2067-'Blocking-Step2'!D2067</f>
        <v>0</v>
      </c>
      <c r="AC2067" s="2114">
        <f>F2067-'Blocking-Step2'!F2067</f>
        <v>0</v>
      </c>
      <c r="AE2067" s="2114">
        <f>H2067-'Blocking-Step2'!H2067</f>
        <v>0</v>
      </c>
      <c r="AF2067" s="2114">
        <f>I2067-'Blocking-Step2'!I2067</f>
        <v>0</v>
      </c>
      <c r="AH2067" s="2136">
        <f>K2067-'Blocking-Step2'!K2067</f>
        <v>0</v>
      </c>
      <c r="AJ2067" s="2136">
        <f>M2067-'Blocking-Step2'!M2067</f>
        <v>0</v>
      </c>
      <c r="AL2067" s="2136" t="e">
        <f>O2067-'Blocking-Step2'!O2067</f>
        <v>#VALUE!</v>
      </c>
      <c r="AN2067" s="2137">
        <f>Q2067-'Blocking-Step2'!Q2067</f>
        <v>0</v>
      </c>
      <c r="AP2067" s="2127">
        <f>S2067-'Blocking-Step2'!S2067</f>
        <v>0</v>
      </c>
      <c r="AR2067" s="2127">
        <f>U2067-'Blocking-Step2'!U2067</f>
        <v>0</v>
      </c>
      <c r="AT2067" s="2127">
        <f>W2067-'Blocking-Step2'!W2067</f>
        <v>0</v>
      </c>
      <c r="AV2067" s="2128">
        <f>Y2067-'Blocking-Step2'!Y2067</f>
        <v>9.1392000000050757</v>
      </c>
    </row>
    <row r="2068" spans="1:48" ht="16.5" hidden="1" thickTop="1">
      <c r="A2068" s="1116"/>
      <c r="C2068" s="1024"/>
      <c r="D2068" s="1024"/>
      <c r="F2068" s="2076"/>
      <c r="G2068" s="617"/>
      <c r="H2068" s="1146"/>
      <c r="I2068" s="1146"/>
      <c r="K2068" s="2076"/>
      <c r="L2068" s="617"/>
      <c r="M2068" s="2076"/>
      <c r="N2068" s="617"/>
      <c r="O2068" s="2077" t="s">
        <v>2324</v>
      </c>
      <c r="P2068" s="617"/>
      <c r="Q2068" s="2076">
        <v>-1.3899999999999999E-2</v>
      </c>
      <c r="R2068" s="617"/>
      <c r="S2068" s="1114"/>
      <c r="T2068" s="1114"/>
      <c r="U2068" s="1114"/>
      <c r="V2068" s="1114"/>
      <c r="W2068" s="1114"/>
      <c r="X2068" s="1114"/>
      <c r="Y2068" s="1146">
        <v>-64760.530899999998</v>
      </c>
      <c r="Z2068" s="2114">
        <f>C2068-'Blocking-Step2'!C2068</f>
        <v>0</v>
      </c>
      <c r="AA2068" s="2114">
        <f>D2068-'Blocking-Step2'!D2068</f>
        <v>0</v>
      </c>
      <c r="AC2068" s="2114">
        <f>F2068-'Blocking-Step2'!F2068</f>
        <v>0</v>
      </c>
      <c r="AE2068" s="2114">
        <f>H2068-'Blocking-Step2'!H2068</f>
        <v>0</v>
      </c>
      <c r="AF2068" s="2114">
        <f>I2068-'Blocking-Step2'!I2068</f>
        <v>0</v>
      </c>
      <c r="AH2068" s="2136">
        <f>K2068-'Blocking-Step2'!K2068</f>
        <v>0</v>
      </c>
      <c r="AJ2068" s="2136">
        <f>M2068-'Blocking-Step2'!M2068</f>
        <v>0</v>
      </c>
      <c r="AL2068" s="2136" t="e">
        <f>O2068-'Blocking-Step2'!O2068</f>
        <v>#VALUE!</v>
      </c>
      <c r="AN2068" s="2137">
        <f>Q2068-'Blocking-Step2'!Q2068</f>
        <v>0</v>
      </c>
      <c r="AP2068" s="2127">
        <f>S2068-'Blocking-Step2'!S2068</f>
        <v>0</v>
      </c>
      <c r="AR2068" s="2127">
        <f>U2068-'Blocking-Step2'!U2068</f>
        <v>0</v>
      </c>
      <c r="AT2068" s="2127">
        <f>W2068-'Blocking-Step2'!W2068</f>
        <v>0</v>
      </c>
      <c r="AV2068" s="2128">
        <f>Y2068-'Blocking-Step2'!Y2068</f>
        <v>4.9622999999992317</v>
      </c>
    </row>
    <row r="2069" spans="1:48" ht="16.5" hidden="1" thickTop="1">
      <c r="A2069" s="1116" t="s">
        <v>1317</v>
      </c>
      <c r="C2069" s="1024">
        <v>-4490</v>
      </c>
      <c r="D2069" s="1024">
        <v>-4411</v>
      </c>
      <c r="F2069" s="2076"/>
      <c r="G2069" s="617"/>
      <c r="H2069" s="1146"/>
      <c r="I2069" s="1146"/>
      <c r="K2069" s="2076"/>
      <c r="L2069" s="617"/>
      <c r="M2069" s="2076"/>
      <c r="N2069" s="617"/>
      <c r="O2069" s="2076"/>
      <c r="P2069" s="617"/>
      <c r="Q2069" s="2076"/>
      <c r="R2069" s="617"/>
      <c r="S2069" s="1114"/>
      <c r="T2069" s="1114"/>
      <c r="U2069" s="1114"/>
      <c r="V2069" s="1114"/>
      <c r="W2069" s="1114"/>
      <c r="X2069" s="1114"/>
      <c r="Y2069" s="1146"/>
      <c r="Z2069" s="2114">
        <f>C2069-'Blocking-Step2'!C2069</f>
        <v>0</v>
      </c>
      <c r="AA2069" s="2114">
        <f>D2069-'Blocking-Step2'!D2069</f>
        <v>0</v>
      </c>
      <c r="AC2069" s="2114">
        <f>F2069-'Blocking-Step2'!F2069</f>
        <v>0</v>
      </c>
      <c r="AE2069" s="2114">
        <f>H2069-'Blocking-Step2'!H2069</f>
        <v>0</v>
      </c>
      <c r="AF2069" s="2114">
        <f>I2069-'Blocking-Step2'!I2069</f>
        <v>0</v>
      </c>
      <c r="AH2069" s="2136">
        <f>K2069-'Blocking-Step2'!K2069</f>
        <v>0</v>
      </c>
      <c r="AJ2069" s="2136">
        <f>M2069-'Blocking-Step2'!M2069</f>
        <v>0</v>
      </c>
      <c r="AL2069" s="2136">
        <f>O2069-'Blocking-Step2'!O2069</f>
        <v>0</v>
      </c>
      <c r="AN2069" s="2137">
        <f>Q2069-'Blocking-Step2'!Q2069</f>
        <v>0</v>
      </c>
      <c r="AP2069" s="2127">
        <f>S2069-'Blocking-Step2'!S2069</f>
        <v>0</v>
      </c>
      <c r="AR2069" s="2127">
        <f>U2069-'Blocking-Step2'!U2069</f>
        <v>0</v>
      </c>
      <c r="AT2069" s="2127">
        <f>W2069-'Blocking-Step2'!W2069</f>
        <v>0</v>
      </c>
      <c r="AV2069" s="2128">
        <f>Y2069-'Blocking-Step2'!Y2069</f>
        <v>0</v>
      </c>
    </row>
    <row r="2070" spans="1:48" ht="17.25" hidden="1" thickTop="1" thickBot="1">
      <c r="A2070" s="1116" t="s">
        <v>247</v>
      </c>
      <c r="C2070" s="1138">
        <v>52668437</v>
      </c>
      <c r="D2070" s="1138">
        <v>51746084.771338336</v>
      </c>
      <c r="F2070" s="1145"/>
      <c r="H2070" s="1149">
        <v>5116081.5811999999</v>
      </c>
      <c r="I2070" s="1149">
        <v>5035108.4945</v>
      </c>
      <c r="K2070" s="1145"/>
      <c r="M2070" s="1145"/>
      <c r="O2070" s="1145"/>
      <c r="Q2070" s="1145"/>
      <c r="S2070" s="1149">
        <v>1426723</v>
      </c>
      <c r="U2070" s="1149">
        <v>2478258</v>
      </c>
      <c r="W2070" s="1149">
        <v>1127345</v>
      </c>
      <c r="Y2070" s="1149">
        <v>5032323</v>
      </c>
      <c r="Z2070" s="2114">
        <f>C2070-'Blocking-Step2'!C2070</f>
        <v>0</v>
      </c>
      <c r="AA2070" s="2114">
        <f>D2070-'Blocking-Step2'!D2070</f>
        <v>0</v>
      </c>
      <c r="AC2070" s="2114">
        <f>F2070-'Blocking-Step2'!F2070</f>
        <v>0</v>
      </c>
      <c r="AE2070" s="2114">
        <f>H2070-'Blocking-Step2'!H2070</f>
        <v>0</v>
      </c>
      <c r="AF2070" s="2114">
        <f>I2070-'Blocking-Step2'!I2070</f>
        <v>0</v>
      </c>
      <c r="AH2070" s="2136">
        <f>K2070-'Blocking-Step2'!K2070</f>
        <v>0</v>
      </c>
      <c r="AJ2070" s="2136">
        <f>M2070-'Blocking-Step2'!M2070</f>
        <v>0</v>
      </c>
      <c r="AL2070" s="2136">
        <f>O2070-'Blocking-Step2'!O2070</f>
        <v>0</v>
      </c>
      <c r="AN2070" s="2137">
        <f>Q2070-'Blocking-Step2'!Q2070</f>
        <v>0</v>
      </c>
      <c r="AP2070" s="2127">
        <f>S2070-'Blocking-Step2'!S2070</f>
        <v>-762388</v>
      </c>
      <c r="AR2070" s="2127">
        <f>U2070-'Blocking-Step2'!U2070</f>
        <v>762034</v>
      </c>
      <c r="AT2070" s="2127">
        <f>W2070-'Blocking-Step2'!W2070</f>
        <v>0</v>
      </c>
      <c r="AV2070" s="2128">
        <f>Y2070-'Blocking-Step2'!Y2070</f>
        <v>-357</v>
      </c>
    </row>
    <row r="2071" spans="1:48" ht="16.5" thickTop="1">
      <c r="C2071" s="1105"/>
      <c r="D2071" s="1105"/>
      <c r="Z2071" s="2114">
        <f>C2071-'Blocking-Step2'!C2071</f>
        <v>0</v>
      </c>
      <c r="AA2071" s="2114">
        <f>D2071-'Blocking-Step2'!D2071</f>
        <v>0</v>
      </c>
      <c r="AC2071" s="2114">
        <f>F2071-'Blocking-Step2'!F2071</f>
        <v>0</v>
      </c>
      <c r="AE2071" s="2114">
        <f>H2071-'Blocking-Step2'!H2071</f>
        <v>0</v>
      </c>
      <c r="AF2071" s="2114">
        <f>I2071-'Blocking-Step2'!I2071</f>
        <v>0</v>
      </c>
      <c r="AH2071" s="2136">
        <f>K2071-'Blocking-Step2'!K2071</f>
        <v>0</v>
      </c>
      <c r="AJ2071" s="2136">
        <f>M2071-'Blocking-Step2'!M2071</f>
        <v>0</v>
      </c>
      <c r="AL2071" s="2136">
        <f>O2071-'Blocking-Step2'!O2071</f>
        <v>0</v>
      </c>
      <c r="AN2071" s="2137">
        <f>Q2071-'Blocking-Step2'!Q2071</f>
        <v>0</v>
      </c>
      <c r="AP2071" s="2127">
        <f>S2071-'Blocking-Step2'!S2071</f>
        <v>0</v>
      </c>
      <c r="AR2071" s="2127">
        <f>U2071-'Blocking-Step2'!U2071</f>
        <v>0</v>
      </c>
      <c r="AT2071" s="2127">
        <f>W2071-'Blocking-Step2'!W2071</f>
        <v>0</v>
      </c>
      <c r="AV2071" s="2128">
        <f>Y2071-'Blocking-Step2'!Y2071</f>
        <v>0</v>
      </c>
    </row>
    <row r="2072" spans="1:48">
      <c r="A2072" s="1115" t="s">
        <v>1012</v>
      </c>
      <c r="C2072" s="1105"/>
      <c r="D2072" s="1105"/>
      <c r="Z2072" s="2114">
        <f>C2072-'Blocking-Step2'!C2072</f>
        <v>0</v>
      </c>
      <c r="AA2072" s="2114">
        <f>D2072-'Blocking-Step2'!D2072</f>
        <v>0</v>
      </c>
      <c r="AC2072" s="2114">
        <f>F2072-'Blocking-Step2'!F2072</f>
        <v>0</v>
      </c>
      <c r="AE2072" s="2114">
        <f>H2072-'Blocking-Step2'!H2072</f>
        <v>0</v>
      </c>
      <c r="AF2072" s="2114">
        <f>I2072-'Blocking-Step2'!I2072</f>
        <v>0</v>
      </c>
      <c r="AH2072" s="2136">
        <f>K2072-'Blocking-Step2'!K2072</f>
        <v>0</v>
      </c>
      <c r="AJ2072" s="2136">
        <f>M2072-'Blocking-Step2'!M2072</f>
        <v>0</v>
      </c>
      <c r="AL2072" s="2136">
        <f>O2072-'Blocking-Step2'!O2072</f>
        <v>0</v>
      </c>
      <c r="AN2072" s="2137">
        <f>Q2072-'Blocking-Step2'!Q2072</f>
        <v>0</v>
      </c>
      <c r="AP2072" s="2127">
        <f>S2072-'Blocking-Step2'!S2072</f>
        <v>0</v>
      </c>
      <c r="AR2072" s="2127">
        <f>U2072-'Blocking-Step2'!U2072</f>
        <v>0</v>
      </c>
      <c r="AT2072" s="2127">
        <f>W2072-'Blocking-Step2'!W2072</f>
        <v>0</v>
      </c>
      <c r="AV2072" s="2128">
        <f>Y2072-'Blocking-Step2'!Y2072</f>
        <v>0</v>
      </c>
    </row>
    <row r="2073" spans="1:48">
      <c r="A2073" s="1116" t="s">
        <v>240</v>
      </c>
      <c r="C2073" s="1105">
        <v>15290.919999999989</v>
      </c>
      <c r="D2073" s="1105">
        <v>18738</v>
      </c>
      <c r="F2073" s="1907">
        <v>10</v>
      </c>
      <c r="G2073" s="1110"/>
      <c r="H2073" s="1146">
        <v>152909</v>
      </c>
      <c r="I2073" s="1146">
        <v>187380</v>
      </c>
      <c r="K2073" s="1907">
        <v>10</v>
      </c>
      <c r="L2073" s="1110"/>
      <c r="M2073" s="1907">
        <v>0</v>
      </c>
      <c r="N2073" s="1110"/>
      <c r="O2073" s="1907">
        <v>0</v>
      </c>
      <c r="P2073" s="1110"/>
      <c r="Q2073" s="1907">
        <v>10</v>
      </c>
      <c r="R2073" s="1110"/>
      <c r="S2073" s="1146">
        <v>187380</v>
      </c>
      <c r="T2073" s="1114"/>
      <c r="U2073" s="1146">
        <v>0</v>
      </c>
      <c r="V2073" s="1114"/>
      <c r="W2073" s="1146">
        <v>0</v>
      </c>
      <c r="X2073" s="1629"/>
      <c r="Y2073" s="1146">
        <v>187380</v>
      </c>
      <c r="Z2073" s="2114">
        <f>C2073-'Blocking-Step2'!C2073</f>
        <v>0</v>
      </c>
      <c r="AA2073" s="2114">
        <f>D2073-'Blocking-Step2'!D2073</f>
        <v>0</v>
      </c>
      <c r="AC2073" s="2114">
        <f>F2073-'Blocking-Step2'!F2073</f>
        <v>0</v>
      </c>
      <c r="AE2073" s="2114">
        <f>H2073-'Blocking-Step2'!H2073</f>
        <v>0</v>
      </c>
      <c r="AF2073" s="2114">
        <f>I2073-'Blocking-Step2'!I2073</f>
        <v>0</v>
      </c>
      <c r="AH2073" s="2136">
        <f>K2073-'Blocking-Step2'!K2073</f>
        <v>0</v>
      </c>
      <c r="AJ2073" s="2136">
        <f>M2073-'Blocking-Step2'!M2073</f>
        <v>0</v>
      </c>
      <c r="AL2073" s="2136">
        <f>O2073-'Blocking-Step2'!O2073</f>
        <v>0</v>
      </c>
      <c r="AN2073" s="2137">
        <f>Q2073-'Blocking-Step2'!Q2073</f>
        <v>0</v>
      </c>
      <c r="AP2073" s="2127">
        <f>S2073-'Blocking-Step2'!S2073</f>
        <v>0</v>
      </c>
      <c r="AR2073" s="2127">
        <f>U2073-'Blocking-Step2'!U2073</f>
        <v>0</v>
      </c>
      <c r="AT2073" s="2127">
        <f>W2073-'Blocking-Step2'!W2073</f>
        <v>0</v>
      </c>
      <c r="AV2073" s="2128">
        <f>Y2073-'Blocking-Step2'!Y2073</f>
        <v>0</v>
      </c>
    </row>
    <row r="2074" spans="1:48">
      <c r="A2074" s="1116" t="s">
        <v>262</v>
      </c>
      <c r="C2074" s="1105">
        <v>0</v>
      </c>
      <c r="D2074" s="1105">
        <v>0</v>
      </c>
      <c r="F2074" s="1907">
        <v>120</v>
      </c>
      <c r="G2074" s="1110"/>
      <c r="H2074" s="1146">
        <v>0</v>
      </c>
      <c r="I2074" s="1146">
        <v>0</v>
      </c>
      <c r="K2074" s="1907">
        <v>117</v>
      </c>
      <c r="L2074" s="1110"/>
      <c r="M2074" s="1907">
        <v>0</v>
      </c>
      <c r="N2074" s="1110"/>
      <c r="O2074" s="1907">
        <v>0</v>
      </c>
      <c r="P2074" s="1110"/>
      <c r="Q2074" s="1907">
        <v>117</v>
      </c>
      <c r="R2074" s="1110"/>
      <c r="S2074" s="1146">
        <v>0</v>
      </c>
      <c r="T2074" s="1114"/>
      <c r="U2074" s="1146">
        <v>0</v>
      </c>
      <c r="V2074" s="1114"/>
      <c r="W2074" s="1146">
        <v>0</v>
      </c>
      <c r="X2074" s="1629"/>
      <c r="Y2074" s="1146">
        <v>0</v>
      </c>
      <c r="Z2074" s="2114">
        <f>C2074-'Blocking-Step2'!C2074</f>
        <v>0</v>
      </c>
      <c r="AA2074" s="2114">
        <f>D2074-'Blocking-Step2'!D2074</f>
        <v>0</v>
      </c>
      <c r="AC2074" s="2114">
        <f>F2074-'Blocking-Step2'!F2074</f>
        <v>0</v>
      </c>
      <c r="AE2074" s="2114">
        <f>H2074-'Blocking-Step2'!H2074</f>
        <v>0</v>
      </c>
      <c r="AF2074" s="2114">
        <f>I2074-'Blocking-Step2'!I2074</f>
        <v>0</v>
      </c>
      <c r="AH2074" s="2136">
        <f>K2074-'Blocking-Step2'!K2074</f>
        <v>0</v>
      </c>
      <c r="AJ2074" s="2136">
        <f>M2074-'Blocking-Step2'!M2074</f>
        <v>0</v>
      </c>
      <c r="AL2074" s="2136">
        <f>O2074-'Blocking-Step2'!O2074</f>
        <v>0</v>
      </c>
      <c r="AN2074" s="2137">
        <f>Q2074-'Blocking-Step2'!Q2074</f>
        <v>0</v>
      </c>
      <c r="AP2074" s="2127">
        <f>S2074-'Blocking-Step2'!S2074</f>
        <v>0</v>
      </c>
      <c r="AR2074" s="2127">
        <f>U2074-'Blocking-Step2'!U2074</f>
        <v>0</v>
      </c>
      <c r="AT2074" s="2127">
        <f>W2074-'Blocking-Step2'!W2074</f>
        <v>0</v>
      </c>
      <c r="AV2074" s="2128">
        <f>Y2074-'Blocking-Step2'!Y2074</f>
        <v>0</v>
      </c>
    </row>
    <row r="2075" spans="1:48">
      <c r="A2075" s="1116" t="s">
        <v>1298</v>
      </c>
      <c r="C2075" s="1105">
        <v>8.2669999999999995</v>
      </c>
      <c r="D2075" s="1105">
        <v>10</v>
      </c>
      <c r="F2075" s="1142">
        <v>10</v>
      </c>
      <c r="G2075" s="617"/>
      <c r="H2075" s="1146">
        <v>83</v>
      </c>
      <c r="I2075" s="1146">
        <v>100</v>
      </c>
      <c r="K2075" s="1142">
        <v>10</v>
      </c>
      <c r="L2075" s="617"/>
      <c r="M2075" s="1142">
        <v>0</v>
      </c>
      <c r="N2075" s="617"/>
      <c r="O2075" s="1142">
        <v>0</v>
      </c>
      <c r="P2075" s="617"/>
      <c r="Q2075" s="1142">
        <v>10</v>
      </c>
      <c r="R2075" s="617"/>
      <c r="S2075" s="1146">
        <v>100</v>
      </c>
      <c r="T2075" s="1114"/>
      <c r="U2075" s="1146">
        <v>0</v>
      </c>
      <c r="V2075" s="1114"/>
      <c r="W2075" s="1146">
        <v>0</v>
      </c>
      <c r="X2075" s="1114"/>
      <c r="Y2075" s="1146">
        <v>100</v>
      </c>
      <c r="Z2075" s="2114">
        <f>C2075-'Blocking-Step2'!C2075</f>
        <v>0</v>
      </c>
      <c r="AA2075" s="2114">
        <f>D2075-'Blocking-Step2'!D2075</f>
        <v>0</v>
      </c>
      <c r="AC2075" s="2114">
        <f>F2075-'Blocking-Step2'!F2075</f>
        <v>0</v>
      </c>
      <c r="AE2075" s="2114">
        <f>H2075-'Blocking-Step2'!H2075</f>
        <v>0</v>
      </c>
      <c r="AF2075" s="2114">
        <f>I2075-'Blocking-Step2'!I2075</f>
        <v>0</v>
      </c>
      <c r="AH2075" s="2136">
        <f>K2075-'Blocking-Step2'!K2075</f>
        <v>0</v>
      </c>
      <c r="AJ2075" s="2136">
        <f>M2075-'Blocking-Step2'!M2075</f>
        <v>0</v>
      </c>
      <c r="AL2075" s="2136">
        <f>O2075-'Blocking-Step2'!O2075</f>
        <v>0</v>
      </c>
      <c r="AN2075" s="2137">
        <f>Q2075-'Blocking-Step2'!Q2075</f>
        <v>0</v>
      </c>
      <c r="AP2075" s="2127">
        <f>S2075-'Blocking-Step2'!S2075</f>
        <v>0</v>
      </c>
      <c r="AR2075" s="2127">
        <f>U2075-'Blocking-Step2'!U2075</f>
        <v>0</v>
      </c>
      <c r="AT2075" s="2127">
        <f>W2075-'Blocking-Step2'!W2075</f>
        <v>0</v>
      </c>
      <c r="AV2075" s="2128">
        <f>Y2075-'Blocking-Step2'!Y2075</f>
        <v>0</v>
      </c>
    </row>
    <row r="2076" spans="1:48">
      <c r="A2076" s="1116" t="s">
        <v>1654</v>
      </c>
      <c r="C2076" s="1105">
        <v>5242.5390358493651</v>
      </c>
      <c r="D2076" s="1105">
        <v>6794</v>
      </c>
      <c r="F2076" s="1142"/>
      <c r="G2076" s="617"/>
      <c r="H2076" s="1146"/>
      <c r="I2076" s="1146"/>
      <c r="K2076" s="1142">
        <v>8.89</v>
      </c>
      <c r="L2076" s="617"/>
      <c r="M2076" s="1142">
        <v>0</v>
      </c>
      <c r="N2076" s="617"/>
      <c r="O2076" s="1142">
        <v>0</v>
      </c>
      <c r="P2076" s="617"/>
      <c r="Q2076" s="1142">
        <v>8.89</v>
      </c>
      <c r="R2076" s="617"/>
      <c r="S2076" s="1146">
        <v>60399</v>
      </c>
      <c r="T2076" s="1114"/>
      <c r="U2076" s="1146">
        <v>0</v>
      </c>
      <c r="V2076" s="1114"/>
      <c r="W2076" s="1146">
        <v>0</v>
      </c>
      <c r="X2076" s="1114"/>
      <c r="Y2076" s="1146">
        <v>60399</v>
      </c>
      <c r="Z2076" s="2114">
        <f>C2076-'Blocking-Step2'!C2076</f>
        <v>0</v>
      </c>
      <c r="AA2076" s="2114">
        <f>D2076-'Blocking-Step2'!D2076</f>
        <v>0</v>
      </c>
      <c r="AC2076" s="2114">
        <f>F2076-'Blocking-Step2'!F2076</f>
        <v>0</v>
      </c>
      <c r="AE2076" s="2114">
        <f>H2076-'Blocking-Step2'!H2076</f>
        <v>0</v>
      </c>
      <c r="AF2076" s="2114">
        <f>I2076-'Blocking-Step2'!I2076</f>
        <v>0</v>
      </c>
      <c r="AH2076" s="2136">
        <f>K2076-'Blocking-Step2'!K2076</f>
        <v>0</v>
      </c>
      <c r="AJ2076" s="2136">
        <f>M2076-'Blocking-Step2'!M2076</f>
        <v>0</v>
      </c>
      <c r="AL2076" s="2136">
        <f>O2076-'Blocking-Step2'!O2076</f>
        <v>0</v>
      </c>
      <c r="AN2076" s="2137">
        <f>Q2076-'Blocking-Step2'!Q2076</f>
        <v>0</v>
      </c>
      <c r="AP2076" s="2127">
        <f>S2076-'Blocking-Step2'!S2076</f>
        <v>0</v>
      </c>
      <c r="AR2076" s="2127">
        <f>U2076-'Blocking-Step2'!U2076</f>
        <v>0</v>
      </c>
      <c r="AT2076" s="2127">
        <f>W2076-'Blocking-Step2'!W2076</f>
        <v>0</v>
      </c>
      <c r="AV2076" s="2128">
        <f>Y2076-'Blocking-Step2'!Y2076</f>
        <v>0</v>
      </c>
    </row>
    <row r="2077" spans="1:48">
      <c r="A2077" s="1116" t="s">
        <v>1655</v>
      </c>
      <c r="C2077" s="1105">
        <v>7485.8636749339703</v>
      </c>
      <c r="D2077" s="1105">
        <v>9813</v>
      </c>
      <c r="F2077" s="1142"/>
      <c r="G2077" s="617"/>
      <c r="H2077" s="1146"/>
      <c r="I2077" s="1146"/>
      <c r="K2077" s="1142">
        <v>7.87</v>
      </c>
      <c r="L2077" s="617"/>
      <c r="M2077" s="1142">
        <v>0</v>
      </c>
      <c r="N2077" s="617"/>
      <c r="O2077" s="1142">
        <v>0</v>
      </c>
      <c r="P2077" s="617"/>
      <c r="Q2077" s="1142">
        <v>7.87</v>
      </c>
      <c r="R2077" s="617"/>
      <c r="S2077" s="1146">
        <v>77228</v>
      </c>
      <c r="T2077" s="1114"/>
      <c r="U2077" s="1146">
        <v>0</v>
      </c>
      <c r="V2077" s="1114"/>
      <c r="W2077" s="1146">
        <v>0</v>
      </c>
      <c r="X2077" s="1114"/>
      <c r="Y2077" s="1146">
        <v>77228</v>
      </c>
      <c r="Z2077" s="2114">
        <f>C2077-'Blocking-Step2'!C2077</f>
        <v>0</v>
      </c>
      <c r="AA2077" s="2114">
        <f>D2077-'Blocking-Step2'!D2077</f>
        <v>0</v>
      </c>
      <c r="AC2077" s="2114">
        <f>F2077-'Blocking-Step2'!F2077</f>
        <v>0</v>
      </c>
      <c r="AE2077" s="2114">
        <f>H2077-'Blocking-Step2'!H2077</f>
        <v>0</v>
      </c>
      <c r="AF2077" s="2114">
        <f>I2077-'Blocking-Step2'!I2077</f>
        <v>0</v>
      </c>
      <c r="AH2077" s="2136">
        <f>K2077-'Blocking-Step2'!K2077</f>
        <v>0</v>
      </c>
      <c r="AJ2077" s="2136">
        <f>M2077-'Blocking-Step2'!M2077</f>
        <v>0</v>
      </c>
      <c r="AL2077" s="2136">
        <f>O2077-'Blocking-Step2'!O2077</f>
        <v>0</v>
      </c>
      <c r="AN2077" s="2137">
        <f>Q2077-'Blocking-Step2'!Q2077</f>
        <v>0</v>
      </c>
      <c r="AP2077" s="2127">
        <f>S2077-'Blocking-Step2'!S2077</f>
        <v>0</v>
      </c>
      <c r="AR2077" s="2127">
        <f>U2077-'Blocking-Step2'!U2077</f>
        <v>0</v>
      </c>
      <c r="AT2077" s="2127">
        <f>W2077-'Blocking-Step2'!W2077</f>
        <v>0</v>
      </c>
      <c r="AV2077" s="2128">
        <f>Y2077-'Blocking-Step2'!Y2077</f>
        <v>0</v>
      </c>
    </row>
    <row r="2078" spans="1:48">
      <c r="A2078" s="1116" t="s">
        <v>1656</v>
      </c>
      <c r="C2078" s="1105">
        <v>1451255.3257046135</v>
      </c>
      <c r="D2078" s="1105">
        <v>2193839.9420763389</v>
      </c>
      <c r="F2078" s="1106"/>
      <c r="G2078" s="1921"/>
      <c r="H2078" s="1146"/>
      <c r="I2078" s="1146"/>
      <c r="K2078" s="1106">
        <v>1.4671000000000001</v>
      </c>
      <c r="L2078" s="1921" t="s">
        <v>495</v>
      </c>
      <c r="M2078" s="1106">
        <v>7.9411934380819993</v>
      </c>
      <c r="N2078" s="1921" t="s">
        <v>495</v>
      </c>
      <c r="O2078" s="1106">
        <v>2.3066</v>
      </c>
      <c r="P2078" s="1921" t="s">
        <v>495</v>
      </c>
      <c r="Q2078" s="1106">
        <v>11.714893438081999</v>
      </c>
      <c r="R2078" s="1921" t="s">
        <v>495</v>
      </c>
      <c r="S2078" s="1146">
        <v>32186</v>
      </c>
      <c r="T2078" s="1648"/>
      <c r="U2078" s="1146">
        <v>174217</v>
      </c>
      <c r="V2078" s="1648"/>
      <c r="W2078" s="1146">
        <v>50603</v>
      </c>
      <c r="X2078" s="1648"/>
      <c r="Y2078" s="1146">
        <v>257006</v>
      </c>
      <c r="Z2078" s="2114">
        <f>C2078-'Blocking-Step2'!C2078</f>
        <v>0</v>
      </c>
      <c r="AA2078" s="2114">
        <f>D2078-'Blocking-Step2'!D2078</f>
        <v>0</v>
      </c>
      <c r="AC2078" s="2114">
        <f>F2078-'Blocking-Step2'!F2078</f>
        <v>0</v>
      </c>
      <c r="AE2078" s="2114">
        <f>H2078-'Blocking-Step2'!H2078</f>
        <v>0</v>
      </c>
      <c r="AF2078" s="2114">
        <f>I2078-'Blocking-Step2'!I2078</f>
        <v>0</v>
      </c>
      <c r="AH2078" s="2136">
        <f>K2078-'Blocking-Step2'!K2078</f>
        <v>-1.4732000000000001</v>
      </c>
      <c r="AJ2078" s="2136">
        <f>M2078-'Blocking-Step2'!M2078</f>
        <v>1.4755465414459987</v>
      </c>
      <c r="AL2078" s="2136">
        <f>O2078-'Blocking-Step2'!O2078</f>
        <v>0</v>
      </c>
      <c r="AN2078" s="2137">
        <f>Q2078-'Blocking-Step2'!Q2078</f>
        <v>2.3465414459984402E-3</v>
      </c>
      <c r="AP2078" s="2127">
        <f>S2078-'Blocking-Step2'!S2078</f>
        <v>-32319</v>
      </c>
      <c r="AR2078" s="2127">
        <f>U2078-'Blocking-Step2'!U2078</f>
        <v>32371</v>
      </c>
      <c r="AT2078" s="2127">
        <f>W2078-'Blocking-Step2'!W2078</f>
        <v>0</v>
      </c>
      <c r="AV2078" s="2128">
        <f>Y2078-'Blocking-Step2'!Y2078</f>
        <v>51</v>
      </c>
    </row>
    <row r="2079" spans="1:48">
      <c r="A2079" s="1116" t="s">
        <v>1657</v>
      </c>
      <c r="C2079" s="1105">
        <v>1460637.2809257735</v>
      </c>
      <c r="D2079" s="1105">
        <v>2240351</v>
      </c>
      <c r="F2079" s="1106"/>
      <c r="G2079" s="1921"/>
      <c r="H2079" s="1146"/>
      <c r="I2079" s="1146"/>
      <c r="K2079" s="1106">
        <v>1.4671000000000001</v>
      </c>
      <c r="L2079" s="1921" t="s">
        <v>495</v>
      </c>
      <c r="M2079" s="1106">
        <v>2.7858934380819993</v>
      </c>
      <c r="N2079" s="1921" t="s">
        <v>495</v>
      </c>
      <c r="O2079" s="1106">
        <v>2.3066</v>
      </c>
      <c r="P2079" s="1921" t="s">
        <v>495</v>
      </c>
      <c r="Q2079" s="1106">
        <v>6.5595934380819996</v>
      </c>
      <c r="R2079" s="1921" t="s">
        <v>495</v>
      </c>
      <c r="S2079" s="1146">
        <v>32868</v>
      </c>
      <c r="T2079" s="1648"/>
      <c r="U2079" s="1146">
        <v>62414</v>
      </c>
      <c r="V2079" s="1648"/>
      <c r="W2079" s="1146">
        <v>51676</v>
      </c>
      <c r="X2079" s="1648"/>
      <c r="Y2079" s="1146">
        <v>146958</v>
      </c>
      <c r="Z2079" s="2114">
        <f>C2079-'Blocking-Step2'!C2079</f>
        <v>0</v>
      </c>
      <c r="AA2079" s="2114">
        <f>D2079-'Blocking-Step2'!D2079</f>
        <v>0</v>
      </c>
      <c r="AC2079" s="2114">
        <f>F2079-'Blocking-Step2'!F2079</f>
        <v>0</v>
      </c>
      <c r="AE2079" s="2114">
        <f>H2079-'Blocking-Step2'!H2079</f>
        <v>0</v>
      </c>
      <c r="AF2079" s="2114">
        <f>I2079-'Blocking-Step2'!I2079</f>
        <v>0</v>
      </c>
      <c r="AH2079" s="2136">
        <f>K2079-'Blocking-Step2'!K2079</f>
        <v>-1.4732000000000001</v>
      </c>
      <c r="AJ2079" s="2136">
        <f>M2079-'Blocking-Step2'!M2079</f>
        <v>1.4755465414459983</v>
      </c>
      <c r="AL2079" s="2136">
        <f>O2079-'Blocking-Step2'!O2079</f>
        <v>0</v>
      </c>
      <c r="AN2079" s="2137">
        <f>Q2079-'Blocking-Step2'!Q2079</f>
        <v>2.3465414459984402E-3</v>
      </c>
      <c r="AP2079" s="2127">
        <f>S2079-'Blocking-Step2'!S2079</f>
        <v>-33005</v>
      </c>
      <c r="AR2079" s="2127">
        <f>U2079-'Blocking-Step2'!U2079</f>
        <v>33058</v>
      </c>
      <c r="AT2079" s="2127">
        <f>W2079-'Blocking-Step2'!W2079</f>
        <v>0</v>
      </c>
      <c r="AV2079" s="2128">
        <f>Y2079-'Blocking-Step2'!Y2079</f>
        <v>53</v>
      </c>
    </row>
    <row r="2080" spans="1:48">
      <c r="A2080" s="1116" t="s">
        <v>1658</v>
      </c>
      <c r="C2080" s="1105">
        <v>4372182.9192844722</v>
      </c>
      <c r="D2080" s="1105">
        <v>5247056</v>
      </c>
      <c r="F2080" s="1106"/>
      <c r="G2080" s="1921"/>
      <c r="H2080" s="1146"/>
      <c r="I2080" s="1146"/>
      <c r="K2080" s="1106">
        <v>1.4671000000000001</v>
      </c>
      <c r="L2080" s="1921" t="s">
        <v>495</v>
      </c>
      <c r="M2080" s="1106">
        <v>6.7850000000000001</v>
      </c>
      <c r="N2080" s="1921" t="s">
        <v>495</v>
      </c>
      <c r="O2080" s="1106">
        <v>2.1151</v>
      </c>
      <c r="P2080" s="1921" t="s">
        <v>495</v>
      </c>
      <c r="Q2080" s="1106">
        <v>10.3672</v>
      </c>
      <c r="R2080" s="1921" t="s">
        <v>495</v>
      </c>
      <c r="S2080" s="1146">
        <v>76980</v>
      </c>
      <c r="T2080" s="1648"/>
      <c r="U2080" s="1146">
        <v>356013</v>
      </c>
      <c r="V2080" s="1648"/>
      <c r="W2080" s="1146">
        <v>110980</v>
      </c>
      <c r="X2080" s="1648"/>
      <c r="Y2080" s="1146">
        <v>543973</v>
      </c>
      <c r="Z2080" s="2114">
        <f>C2080-'Blocking-Step2'!C2080</f>
        <v>0</v>
      </c>
      <c r="AA2080" s="2114">
        <f>D2080-'Blocking-Step2'!D2080</f>
        <v>0</v>
      </c>
      <c r="AC2080" s="2114">
        <f>F2080-'Blocking-Step2'!F2080</f>
        <v>0</v>
      </c>
      <c r="AE2080" s="2114">
        <f>H2080-'Blocking-Step2'!H2080</f>
        <v>0</v>
      </c>
      <c r="AF2080" s="2114">
        <f>I2080-'Blocking-Step2'!I2080</f>
        <v>0</v>
      </c>
      <c r="AH2080" s="2136">
        <f>K2080-'Blocking-Step2'!K2080</f>
        <v>-1.4732000000000001</v>
      </c>
      <c r="AJ2080" s="2136">
        <f>M2080-'Blocking-Step2'!M2080</f>
        <v>1.4753000000000007</v>
      </c>
      <c r="AL2080" s="2136">
        <f>O2080-'Blocking-Step2'!O2080</f>
        <v>0</v>
      </c>
      <c r="AN2080" s="2137">
        <f>Q2080-'Blocking-Step2'!Q2080</f>
        <v>2.1000000000004349E-3</v>
      </c>
      <c r="AP2080" s="2127">
        <f>S2080-'Blocking-Step2'!S2080</f>
        <v>-77299</v>
      </c>
      <c r="AR2080" s="2127">
        <f>U2080-'Blocking-Step2'!U2080</f>
        <v>77410</v>
      </c>
      <c r="AT2080" s="2127">
        <f>W2080-'Blocking-Step2'!W2080</f>
        <v>0</v>
      </c>
      <c r="AV2080" s="2128">
        <f>Y2080-'Blocking-Step2'!Y2080</f>
        <v>110</v>
      </c>
    </row>
    <row r="2081" spans="1:48">
      <c r="A2081" s="1116" t="s">
        <v>1659</v>
      </c>
      <c r="C2081" s="1105">
        <v>3899689.2540909215</v>
      </c>
      <c r="D2081" s="1105">
        <v>4722287</v>
      </c>
      <c r="F2081" s="1106"/>
      <c r="G2081" s="1921"/>
      <c r="H2081" s="1146"/>
      <c r="I2081" s="1146"/>
      <c r="K2081" s="1106">
        <v>1.4671000000000001</v>
      </c>
      <c r="L2081" s="1921" t="s">
        <v>495</v>
      </c>
      <c r="M2081" s="1106">
        <v>2.2226999999999997</v>
      </c>
      <c r="N2081" s="1921" t="s">
        <v>495</v>
      </c>
      <c r="O2081" s="1106">
        <v>2.1151</v>
      </c>
      <c r="P2081" s="1921" t="s">
        <v>495</v>
      </c>
      <c r="Q2081" s="1106">
        <v>5.8048999999999999</v>
      </c>
      <c r="R2081" s="1921" t="s">
        <v>495</v>
      </c>
      <c r="S2081" s="1146">
        <v>69281</v>
      </c>
      <c r="T2081" s="1648"/>
      <c r="U2081" s="1146">
        <v>104962</v>
      </c>
      <c r="V2081" s="1648"/>
      <c r="W2081" s="1146">
        <v>99881</v>
      </c>
      <c r="X2081" s="1648"/>
      <c r="Y2081" s="1146">
        <v>274124</v>
      </c>
      <c r="Z2081" s="2114">
        <f>C2081-'Blocking-Step2'!C2081</f>
        <v>0</v>
      </c>
      <c r="AA2081" s="2114">
        <f>D2081-'Blocking-Step2'!D2081</f>
        <v>0</v>
      </c>
      <c r="AC2081" s="2114">
        <f>F2081-'Blocking-Step2'!F2081</f>
        <v>0</v>
      </c>
      <c r="AE2081" s="2114">
        <f>H2081-'Blocking-Step2'!H2081</f>
        <v>0</v>
      </c>
      <c r="AF2081" s="2114">
        <f>I2081-'Blocking-Step2'!I2081</f>
        <v>0</v>
      </c>
      <c r="AH2081" s="2136">
        <f>K2081-'Blocking-Step2'!K2081</f>
        <v>-1.4732000000000001</v>
      </c>
      <c r="AJ2081" s="2136">
        <f>M2081-'Blocking-Step2'!M2081</f>
        <v>1.4751999999999996</v>
      </c>
      <c r="AL2081" s="2136">
        <f>O2081-'Blocking-Step2'!O2081</f>
        <v>0</v>
      </c>
      <c r="AN2081" s="2137">
        <f>Q2081-'Blocking-Step2'!Q2081</f>
        <v>1.9999999999997797E-3</v>
      </c>
      <c r="AP2081" s="2127">
        <f>S2081-'Blocking-Step2'!S2081</f>
        <v>-69568</v>
      </c>
      <c r="AR2081" s="2127">
        <f>U2081-'Blocking-Step2'!U2081</f>
        <v>69663</v>
      </c>
      <c r="AT2081" s="2127">
        <f>W2081-'Blocking-Step2'!W2081</f>
        <v>0</v>
      </c>
      <c r="AV2081" s="2128">
        <f>Y2081-'Blocking-Step2'!Y2081</f>
        <v>94</v>
      </c>
    </row>
    <row r="2082" spans="1:48">
      <c r="A2082" s="1116" t="s">
        <v>282</v>
      </c>
      <c r="C2082" s="1105">
        <v>6046.6716763005797</v>
      </c>
      <c r="D2082" s="1105">
        <v>7841</v>
      </c>
      <c r="F2082" s="1907">
        <v>8.65</v>
      </c>
      <c r="G2082" s="1110"/>
      <c r="H2082" s="1146">
        <v>52304</v>
      </c>
      <c r="I2082" s="1146">
        <v>67825</v>
      </c>
      <c r="K2082" s="1907"/>
      <c r="L2082" s="1110"/>
      <c r="M2082" s="1907"/>
      <c r="N2082" s="1110"/>
      <c r="O2082" s="1907"/>
      <c r="P2082" s="1110"/>
      <c r="Q2082" s="1907"/>
      <c r="R2082" s="1110"/>
      <c r="S2082" s="1114"/>
      <c r="T2082" s="1114"/>
      <c r="U2082" s="1114"/>
      <c r="V2082" s="1114"/>
      <c r="W2082" s="1114"/>
      <c r="X2082" s="1629"/>
      <c r="Y2082" s="1146"/>
      <c r="Z2082" s="2114">
        <f>C2082-'Blocking-Step2'!C2082</f>
        <v>0</v>
      </c>
      <c r="AA2082" s="2114">
        <f>D2082-'Blocking-Step2'!D2082</f>
        <v>0</v>
      </c>
      <c r="AC2082" s="2114">
        <f>F2082-'Blocking-Step2'!F2082</f>
        <v>0</v>
      </c>
      <c r="AE2082" s="2114">
        <f>H2082-'Blocking-Step2'!H2082</f>
        <v>0</v>
      </c>
      <c r="AF2082" s="2114">
        <f>I2082-'Blocking-Step2'!I2082</f>
        <v>0</v>
      </c>
      <c r="AH2082" s="2136">
        <f>K2082-'Blocking-Step2'!K2082</f>
        <v>0</v>
      </c>
      <c r="AJ2082" s="2136">
        <f>M2082-'Blocking-Step2'!M2082</f>
        <v>0</v>
      </c>
      <c r="AL2082" s="2136">
        <f>O2082-'Blocking-Step2'!O2082</f>
        <v>0</v>
      </c>
      <c r="AN2082" s="2137">
        <f>Q2082-'Blocking-Step2'!Q2082</f>
        <v>0</v>
      </c>
      <c r="AP2082" s="2127">
        <f>S2082-'Blocking-Step2'!S2082</f>
        <v>0</v>
      </c>
      <c r="AR2082" s="2127">
        <f>U2082-'Blocking-Step2'!U2082</f>
        <v>0</v>
      </c>
      <c r="AT2082" s="2127">
        <f>W2082-'Blocking-Step2'!W2082</f>
        <v>0</v>
      </c>
      <c r="AV2082" s="2128">
        <f>Y2082-'Blocking-Step2'!Y2082</f>
        <v>0</v>
      </c>
    </row>
    <row r="2083" spans="1:48">
      <c r="A2083" s="1116" t="s">
        <v>283</v>
      </c>
      <c r="C2083" s="1105">
        <v>6681.7310344827556</v>
      </c>
      <c r="D2083" s="1105">
        <v>8766</v>
      </c>
      <c r="F2083" s="1907">
        <v>8.7000000000000011</v>
      </c>
      <c r="G2083" s="1110"/>
      <c r="H2083" s="1146">
        <v>58131</v>
      </c>
      <c r="I2083" s="1146">
        <v>76264</v>
      </c>
      <c r="K2083" s="1907"/>
      <c r="L2083" s="1110"/>
      <c r="M2083" s="1907"/>
      <c r="N2083" s="1110"/>
      <c r="O2083" s="1907"/>
      <c r="P2083" s="1110"/>
      <c r="Q2083" s="1907"/>
      <c r="R2083" s="1110"/>
      <c r="S2083" s="1114"/>
      <c r="T2083" s="1114"/>
      <c r="U2083" s="1114"/>
      <c r="V2083" s="1114"/>
      <c r="W2083" s="1114"/>
      <c r="X2083" s="1629"/>
      <c r="Y2083" s="1146"/>
      <c r="Z2083" s="2114">
        <f>C2083-'Blocking-Step2'!C2083</f>
        <v>0</v>
      </c>
      <c r="AA2083" s="2114">
        <f>D2083-'Blocking-Step2'!D2083</f>
        <v>0</v>
      </c>
      <c r="AC2083" s="2114">
        <f>F2083-'Blocking-Step2'!F2083</f>
        <v>0</v>
      </c>
      <c r="AE2083" s="2114">
        <f>H2083-'Blocking-Step2'!H2083</f>
        <v>0</v>
      </c>
      <c r="AF2083" s="2114">
        <f>I2083-'Blocking-Step2'!I2083</f>
        <v>0</v>
      </c>
      <c r="AH2083" s="2136">
        <f>K2083-'Blocking-Step2'!K2083</f>
        <v>0</v>
      </c>
      <c r="AJ2083" s="2136">
        <f>M2083-'Blocking-Step2'!M2083</f>
        <v>0</v>
      </c>
      <c r="AL2083" s="2136">
        <f>O2083-'Blocking-Step2'!O2083</f>
        <v>0</v>
      </c>
      <c r="AN2083" s="2137">
        <f>Q2083-'Blocking-Step2'!Q2083</f>
        <v>0</v>
      </c>
      <c r="AP2083" s="2127">
        <f>S2083-'Blocking-Step2'!S2083</f>
        <v>0</v>
      </c>
      <c r="AR2083" s="2127">
        <f>U2083-'Blocking-Step2'!U2083</f>
        <v>0</v>
      </c>
      <c r="AT2083" s="2127">
        <f>W2083-'Blocking-Step2'!W2083</f>
        <v>0</v>
      </c>
      <c r="AV2083" s="2128">
        <f>Y2083-'Blocking-Step2'!Y2083</f>
        <v>0</v>
      </c>
    </row>
    <row r="2084" spans="1:48">
      <c r="A2084" s="1116" t="s">
        <v>261</v>
      </c>
      <c r="C2084" s="1105">
        <v>0</v>
      </c>
      <c r="D2084" s="1105">
        <v>0</v>
      </c>
      <c r="F2084" s="1907">
        <v>-0.48</v>
      </c>
      <c r="G2084" s="1110"/>
      <c r="H2084" s="1146">
        <v>0</v>
      </c>
      <c r="I2084" s="1146">
        <v>0</v>
      </c>
      <c r="K2084" s="1907">
        <v>-0.48</v>
      </c>
      <c r="L2084" s="1110"/>
      <c r="M2084" s="1907">
        <v>0</v>
      </c>
      <c r="N2084" s="1110"/>
      <c r="O2084" s="1907">
        <v>0</v>
      </c>
      <c r="P2084" s="1110"/>
      <c r="Q2084" s="1907">
        <v>-0.48</v>
      </c>
      <c r="R2084" s="1110"/>
      <c r="S2084" s="1146">
        <v>0</v>
      </c>
      <c r="T2084" s="1114"/>
      <c r="U2084" s="1146">
        <v>0</v>
      </c>
      <c r="V2084" s="1114"/>
      <c r="W2084" s="1146">
        <v>0</v>
      </c>
      <c r="X2084" s="1629"/>
      <c r="Y2084" s="1146">
        <v>0</v>
      </c>
      <c r="Z2084" s="2114">
        <f>C2084-'Blocking-Step2'!C2084</f>
        <v>0</v>
      </c>
      <c r="AA2084" s="2114">
        <f>D2084-'Blocking-Step2'!D2084</f>
        <v>0</v>
      </c>
      <c r="AC2084" s="2114">
        <f>F2084-'Blocking-Step2'!F2084</f>
        <v>0</v>
      </c>
      <c r="AE2084" s="2114">
        <f>H2084-'Blocking-Step2'!H2084</f>
        <v>0</v>
      </c>
      <c r="AF2084" s="2114">
        <f>I2084-'Blocking-Step2'!I2084</f>
        <v>0</v>
      </c>
      <c r="AH2084" s="2136">
        <f>K2084-'Blocking-Step2'!K2084</f>
        <v>0</v>
      </c>
      <c r="AJ2084" s="2136">
        <f>M2084-'Blocking-Step2'!M2084</f>
        <v>0</v>
      </c>
      <c r="AL2084" s="2136">
        <f>O2084-'Blocking-Step2'!O2084</f>
        <v>0</v>
      </c>
      <c r="AN2084" s="2137">
        <f>Q2084-'Blocking-Step2'!Q2084</f>
        <v>0</v>
      </c>
      <c r="AP2084" s="2127">
        <f>S2084-'Blocking-Step2'!S2084</f>
        <v>0</v>
      </c>
      <c r="AR2084" s="2127">
        <f>U2084-'Blocking-Step2'!U2084</f>
        <v>0</v>
      </c>
      <c r="AT2084" s="2127">
        <f>W2084-'Blocking-Step2'!W2084</f>
        <v>0</v>
      </c>
      <c r="AV2084" s="2128">
        <f>Y2084-'Blocking-Step2'!Y2084</f>
        <v>0</v>
      </c>
    </row>
    <row r="2085" spans="1:48">
      <c r="A2085" s="1116" t="s">
        <v>194</v>
      </c>
      <c r="C2085" s="1105">
        <v>1744090.8515496962</v>
      </c>
      <c r="D2085" s="1105">
        <v>2609824.9420763389</v>
      </c>
      <c r="F2085" s="1927">
        <v>11.733599999999999</v>
      </c>
      <c r="G2085" s="1921" t="s">
        <v>495</v>
      </c>
      <c r="H2085" s="1146">
        <v>204645</v>
      </c>
      <c r="I2085" s="1146">
        <v>306226</v>
      </c>
      <c r="K2085" s="1927"/>
      <c r="L2085" s="1921"/>
      <c r="M2085" s="1927"/>
      <c r="N2085" s="1921"/>
      <c r="O2085" s="1927"/>
      <c r="P2085" s="1921"/>
      <c r="Q2085" s="1927"/>
      <c r="R2085" s="1921"/>
      <c r="S2085" s="1648"/>
      <c r="T2085" s="1648"/>
      <c r="U2085" s="1648"/>
      <c r="V2085" s="1648"/>
      <c r="W2085" s="1648"/>
      <c r="X2085" s="1648"/>
      <c r="Y2085" s="1146"/>
      <c r="Z2085" s="2114">
        <f>C2085-'Blocking-Step2'!C2085</f>
        <v>0</v>
      </c>
      <c r="AA2085" s="2114">
        <f>D2085-'Blocking-Step2'!D2085</f>
        <v>0</v>
      </c>
      <c r="AC2085" s="2114">
        <f>F2085-'Blocking-Step2'!F2085</f>
        <v>0</v>
      </c>
      <c r="AE2085" s="2114">
        <f>H2085-'Blocking-Step2'!H2085</f>
        <v>0</v>
      </c>
      <c r="AF2085" s="2114">
        <f>I2085-'Blocking-Step2'!I2085</f>
        <v>0</v>
      </c>
      <c r="AH2085" s="2136">
        <f>K2085-'Blocking-Step2'!K2085</f>
        <v>0</v>
      </c>
      <c r="AJ2085" s="2136">
        <f>M2085-'Blocking-Step2'!M2085</f>
        <v>0</v>
      </c>
      <c r="AL2085" s="2136">
        <f>O2085-'Blocking-Step2'!O2085</f>
        <v>0</v>
      </c>
      <c r="AN2085" s="2137">
        <f>Q2085-'Blocking-Step2'!Q2085</f>
        <v>0</v>
      </c>
      <c r="AP2085" s="2127">
        <f>S2085-'Blocking-Step2'!S2085</f>
        <v>0</v>
      </c>
      <c r="AR2085" s="2127">
        <f>U2085-'Blocking-Step2'!U2085</f>
        <v>0</v>
      </c>
      <c r="AT2085" s="2127">
        <f>W2085-'Blocking-Step2'!W2085</f>
        <v>0</v>
      </c>
      <c r="AV2085" s="2128">
        <f>Y2085-'Blocking-Step2'!Y2085</f>
        <v>0</v>
      </c>
    </row>
    <row r="2086" spans="1:48">
      <c r="A2086" s="1116" t="s">
        <v>195</v>
      </c>
      <c r="C2086" s="1105">
        <v>1663397.9178585962</v>
      </c>
      <c r="D2086" s="1105">
        <v>2499478</v>
      </c>
      <c r="F2086" s="1927">
        <v>6.5782999999999996</v>
      </c>
      <c r="G2086" s="1921" t="s">
        <v>495</v>
      </c>
      <c r="H2086" s="1146">
        <v>109423</v>
      </c>
      <c r="I2086" s="1146">
        <v>164423</v>
      </c>
      <c r="K2086" s="1927"/>
      <c r="L2086" s="1921"/>
      <c r="M2086" s="1927"/>
      <c r="N2086" s="1921"/>
      <c r="O2086" s="1927"/>
      <c r="P2086" s="1921"/>
      <c r="Q2086" s="1927"/>
      <c r="R2086" s="1921"/>
      <c r="S2086" s="1648"/>
      <c r="T2086" s="1648"/>
      <c r="U2086" s="1648"/>
      <c r="V2086" s="1648"/>
      <c r="W2086" s="1648"/>
      <c r="X2086" s="1648"/>
      <c r="Y2086" s="1146"/>
      <c r="Z2086" s="2114">
        <f>C2086-'Blocking-Step2'!C2086</f>
        <v>0</v>
      </c>
      <c r="AA2086" s="2114">
        <f>D2086-'Blocking-Step2'!D2086</f>
        <v>0</v>
      </c>
      <c r="AC2086" s="2114">
        <f>F2086-'Blocking-Step2'!F2086</f>
        <v>0</v>
      </c>
      <c r="AE2086" s="2114">
        <f>H2086-'Blocking-Step2'!H2086</f>
        <v>0</v>
      </c>
      <c r="AF2086" s="2114">
        <f>I2086-'Blocking-Step2'!I2086</f>
        <v>0</v>
      </c>
      <c r="AH2086" s="2136">
        <f>K2086-'Blocking-Step2'!K2086</f>
        <v>0</v>
      </c>
      <c r="AJ2086" s="2136">
        <f>M2086-'Blocking-Step2'!M2086</f>
        <v>0</v>
      </c>
      <c r="AL2086" s="2136">
        <f>O2086-'Blocking-Step2'!O2086</f>
        <v>0</v>
      </c>
      <c r="AN2086" s="2137">
        <f>Q2086-'Blocking-Step2'!Q2086</f>
        <v>0</v>
      </c>
      <c r="AP2086" s="2127">
        <f>S2086-'Blocking-Step2'!S2086</f>
        <v>0</v>
      </c>
      <c r="AR2086" s="2127">
        <f>U2086-'Blocking-Step2'!U2086</f>
        <v>0</v>
      </c>
      <c r="AT2086" s="2127">
        <f>W2086-'Blocking-Step2'!W2086</f>
        <v>0</v>
      </c>
      <c r="AV2086" s="2128">
        <f>Y2086-'Blocking-Step2'!Y2086</f>
        <v>0</v>
      </c>
    </row>
    <row r="2087" spans="1:48">
      <c r="A2087" s="1116" t="s">
        <v>160</v>
      </c>
      <c r="C2087" s="1105">
        <v>4079347.3934393898</v>
      </c>
      <c r="D2087" s="1105">
        <v>4852798</v>
      </c>
      <c r="F2087" s="1927">
        <v>10.8</v>
      </c>
      <c r="G2087" s="1921" t="s">
        <v>495</v>
      </c>
      <c r="H2087" s="1146">
        <v>440570</v>
      </c>
      <c r="I2087" s="1146">
        <v>524102</v>
      </c>
      <c r="K2087" s="1927"/>
      <c r="L2087" s="1921"/>
      <c r="M2087" s="1927"/>
      <c r="N2087" s="1921"/>
      <c r="O2087" s="1927"/>
      <c r="P2087" s="1921"/>
      <c r="Q2087" s="1927"/>
      <c r="R2087" s="1921"/>
      <c r="S2087" s="1648"/>
      <c r="T2087" s="1648"/>
      <c r="U2087" s="1648"/>
      <c r="V2087" s="1648"/>
      <c r="W2087" s="1648"/>
      <c r="X2087" s="1648"/>
      <c r="Y2087" s="1146"/>
      <c r="Z2087" s="2114">
        <f>C2087-'Blocking-Step2'!C2087</f>
        <v>0</v>
      </c>
      <c r="AA2087" s="2114">
        <f>D2087-'Blocking-Step2'!D2087</f>
        <v>0</v>
      </c>
      <c r="AC2087" s="2114">
        <f>F2087-'Blocking-Step2'!F2087</f>
        <v>0</v>
      </c>
      <c r="AE2087" s="2114">
        <f>H2087-'Blocking-Step2'!H2087</f>
        <v>0</v>
      </c>
      <c r="AF2087" s="2114">
        <f>I2087-'Blocking-Step2'!I2087</f>
        <v>0</v>
      </c>
      <c r="AH2087" s="2136">
        <f>K2087-'Blocking-Step2'!K2087</f>
        <v>0</v>
      </c>
      <c r="AJ2087" s="2136">
        <f>M2087-'Blocking-Step2'!M2087</f>
        <v>0</v>
      </c>
      <c r="AL2087" s="2136">
        <f>O2087-'Blocking-Step2'!O2087</f>
        <v>0</v>
      </c>
      <c r="AN2087" s="2137">
        <f>Q2087-'Blocking-Step2'!Q2087</f>
        <v>0</v>
      </c>
      <c r="AP2087" s="2127">
        <f>S2087-'Blocking-Step2'!S2087</f>
        <v>0</v>
      </c>
      <c r="AR2087" s="2127">
        <f>U2087-'Blocking-Step2'!U2087</f>
        <v>0</v>
      </c>
      <c r="AT2087" s="2127">
        <f>W2087-'Blocking-Step2'!W2087</f>
        <v>0</v>
      </c>
      <c r="AV2087" s="2128">
        <f>Y2087-'Blocking-Step2'!Y2087</f>
        <v>0</v>
      </c>
    </row>
    <row r="2088" spans="1:48">
      <c r="A2088" s="1116" t="s">
        <v>159</v>
      </c>
      <c r="C2088" s="1105">
        <v>3696928.6171580991</v>
      </c>
      <c r="D2088" s="1105">
        <v>4441433</v>
      </c>
      <c r="F2088" s="1927">
        <v>6.0567000000000002</v>
      </c>
      <c r="G2088" s="1921" t="s">
        <v>495</v>
      </c>
      <c r="H2088" s="1146">
        <v>223912</v>
      </c>
      <c r="I2088" s="1146">
        <v>269004</v>
      </c>
      <c r="K2088" s="1927"/>
      <c r="L2088" s="1921"/>
      <c r="M2088" s="1927"/>
      <c r="N2088" s="1921"/>
      <c r="O2088" s="1927"/>
      <c r="P2088" s="1921"/>
      <c r="Q2088" s="1927"/>
      <c r="R2088" s="1921"/>
      <c r="S2088" s="1648"/>
      <c r="T2088" s="1648"/>
      <c r="U2088" s="1648"/>
      <c r="V2088" s="1648"/>
      <c r="W2088" s="1648"/>
      <c r="X2088" s="1648"/>
      <c r="Y2088" s="1146"/>
      <c r="Z2088" s="2114">
        <f>C2088-'Blocking-Step2'!C2088</f>
        <v>0</v>
      </c>
      <c r="AA2088" s="2114">
        <f>D2088-'Blocking-Step2'!D2088</f>
        <v>0</v>
      </c>
      <c r="AC2088" s="2114">
        <f>F2088-'Blocking-Step2'!F2088</f>
        <v>0</v>
      </c>
      <c r="AE2088" s="2114">
        <f>H2088-'Blocking-Step2'!H2088</f>
        <v>0</v>
      </c>
      <c r="AF2088" s="2114">
        <f>I2088-'Blocking-Step2'!I2088</f>
        <v>0</v>
      </c>
      <c r="AH2088" s="2136">
        <f>K2088-'Blocking-Step2'!K2088</f>
        <v>0</v>
      </c>
      <c r="AJ2088" s="2136">
        <f>M2088-'Blocking-Step2'!M2088</f>
        <v>0</v>
      </c>
      <c r="AL2088" s="2136">
        <f>O2088-'Blocking-Step2'!O2088</f>
        <v>0</v>
      </c>
      <c r="AN2088" s="2137">
        <f>Q2088-'Blocking-Step2'!Q2088</f>
        <v>0</v>
      </c>
      <c r="AP2088" s="2127">
        <f>S2088-'Blocking-Step2'!S2088</f>
        <v>0</v>
      </c>
      <c r="AR2088" s="2127">
        <f>U2088-'Blocking-Step2'!U2088</f>
        <v>0</v>
      </c>
      <c r="AT2088" s="2127">
        <f>W2088-'Blocking-Step2'!W2088</f>
        <v>0</v>
      </c>
      <c r="AV2088" s="2128">
        <f>Y2088-'Blocking-Step2'!Y2088</f>
        <v>0</v>
      </c>
    </row>
    <row r="2089" spans="1:48">
      <c r="A2089" s="1116" t="s">
        <v>246</v>
      </c>
      <c r="C2089" s="1940">
        <v>55962</v>
      </c>
      <c r="D2089" s="1940">
        <v>0</v>
      </c>
      <c r="H2089" s="1147">
        <v>6730</v>
      </c>
      <c r="I2089" s="1147">
        <v>0</v>
      </c>
      <c r="Y2089" s="1147">
        <v>0</v>
      </c>
      <c r="Z2089" s="2114">
        <f>C2089-'Blocking-Step2'!C2089</f>
        <v>0</v>
      </c>
      <c r="AA2089" s="2114">
        <f>D2089-'Blocking-Step2'!D2089</f>
        <v>0</v>
      </c>
      <c r="AC2089" s="2114">
        <f>F2089-'Blocking-Step2'!F2089</f>
        <v>0</v>
      </c>
      <c r="AE2089" s="2114">
        <f>H2089-'Blocking-Step2'!H2089</f>
        <v>0</v>
      </c>
      <c r="AF2089" s="2114">
        <f>I2089-'Blocking-Step2'!I2089</f>
        <v>0</v>
      </c>
      <c r="AH2089" s="2136">
        <f>K2089-'Blocking-Step2'!K2089</f>
        <v>0</v>
      </c>
      <c r="AJ2089" s="2136">
        <f>M2089-'Blocking-Step2'!M2089</f>
        <v>0</v>
      </c>
      <c r="AL2089" s="2136">
        <f>O2089-'Blocking-Step2'!O2089</f>
        <v>0</v>
      </c>
      <c r="AN2089" s="2137">
        <f>Q2089-'Blocking-Step2'!Q2089</f>
        <v>0</v>
      </c>
      <c r="AP2089" s="2127">
        <f>S2089-'Blocking-Step2'!S2089</f>
        <v>0</v>
      </c>
      <c r="AR2089" s="2127">
        <f>U2089-'Blocking-Step2'!U2089</f>
        <v>0</v>
      </c>
      <c r="AT2089" s="2127">
        <f>W2089-'Blocking-Step2'!W2089</f>
        <v>0</v>
      </c>
      <c r="AV2089" s="2128">
        <f>Y2089-'Blocking-Step2'!Y2089</f>
        <v>0</v>
      </c>
    </row>
    <row r="2090" spans="1:48">
      <c r="A2090" s="1116" t="s">
        <v>1240</v>
      </c>
      <c r="C2090" s="1024"/>
      <c r="D2090" s="1024"/>
      <c r="F2090" s="2076">
        <v>-3.3099999999999997E-2</v>
      </c>
      <c r="G2090" s="617"/>
      <c r="H2090" s="1146">
        <v>-36045.4035</v>
      </c>
      <c r="I2090" s="1146">
        <v>-46599.636399999996</v>
      </c>
      <c r="K2090" s="2076"/>
      <c r="L2090" s="617"/>
      <c r="M2090" s="2076"/>
      <c r="N2090" s="617"/>
      <c r="O2090" s="2077" t="s">
        <v>2323</v>
      </c>
      <c r="P2090" s="617"/>
      <c r="Q2090" s="2076">
        <v>-2.5600000000000001E-2</v>
      </c>
      <c r="R2090" s="617"/>
      <c r="S2090" s="1114"/>
      <c r="T2090" s="1114"/>
      <c r="U2090" s="1114"/>
      <c r="V2090" s="1114"/>
      <c r="W2090" s="1114"/>
      <c r="X2090" s="1114"/>
      <c r="Y2090" s="1146">
        <v>-34808.012800000004</v>
      </c>
      <c r="Z2090" s="2114">
        <f>C2090-'Blocking-Step2'!C2090</f>
        <v>0</v>
      </c>
      <c r="AA2090" s="2114">
        <f>D2090-'Blocking-Step2'!D2090</f>
        <v>0</v>
      </c>
      <c r="AC2090" s="2114">
        <f>F2090-'Blocking-Step2'!F2090</f>
        <v>0</v>
      </c>
      <c r="AE2090" s="2114">
        <f>H2090-'Blocking-Step2'!H2090</f>
        <v>0</v>
      </c>
      <c r="AF2090" s="2114">
        <f>I2090-'Blocking-Step2'!I2090</f>
        <v>0</v>
      </c>
      <c r="AH2090" s="2136">
        <f>K2090-'Blocking-Step2'!K2090</f>
        <v>0</v>
      </c>
      <c r="AJ2090" s="2136">
        <f>M2090-'Blocking-Step2'!M2090</f>
        <v>0</v>
      </c>
      <c r="AL2090" s="2136" t="e">
        <f>O2090-'Blocking-Step2'!O2090</f>
        <v>#VALUE!</v>
      </c>
      <c r="AN2090" s="2137">
        <f>Q2090-'Blocking-Step2'!Q2090</f>
        <v>0</v>
      </c>
      <c r="AP2090" s="2127">
        <f>S2090-'Blocking-Step2'!S2090</f>
        <v>0</v>
      </c>
      <c r="AR2090" s="2127">
        <f>U2090-'Blocking-Step2'!U2090</f>
        <v>0</v>
      </c>
      <c r="AT2090" s="2127">
        <f>W2090-'Blocking-Step2'!W2090</f>
        <v>0</v>
      </c>
      <c r="AV2090" s="2128">
        <f>Y2090-'Blocking-Step2'!Y2090</f>
        <v>-7.8847999999998137</v>
      </c>
    </row>
    <row r="2091" spans="1:48">
      <c r="A2091" s="1116"/>
      <c r="C2091" s="1024"/>
      <c r="D2091" s="1024"/>
      <c r="F2091" s="2076"/>
      <c r="G2091" s="617"/>
      <c r="H2091" s="1146"/>
      <c r="I2091" s="1146"/>
      <c r="K2091" s="2076"/>
      <c r="L2091" s="617"/>
      <c r="M2091" s="2076"/>
      <c r="N2091" s="617"/>
      <c r="O2091" s="2077" t="s">
        <v>2324</v>
      </c>
      <c r="P2091" s="617"/>
      <c r="Q2091" s="2076">
        <v>-1.3899999999999999E-2</v>
      </c>
      <c r="R2091" s="617"/>
      <c r="S2091" s="1114"/>
      <c r="T2091" s="1114"/>
      <c r="U2091" s="1114"/>
      <c r="V2091" s="1114"/>
      <c r="W2091" s="1114"/>
      <c r="X2091" s="1114"/>
      <c r="Y2091" s="1146">
        <v>-18899.663199999999</v>
      </c>
      <c r="Z2091" s="2114">
        <f>C2091-'Blocking-Step2'!C2091</f>
        <v>0</v>
      </c>
      <c r="AA2091" s="2114">
        <f>D2091-'Blocking-Step2'!D2091</f>
        <v>0</v>
      </c>
      <c r="AC2091" s="2114">
        <f>F2091-'Blocking-Step2'!F2091</f>
        <v>0</v>
      </c>
      <c r="AE2091" s="2114">
        <f>H2091-'Blocking-Step2'!H2091</f>
        <v>0</v>
      </c>
      <c r="AF2091" s="2114">
        <f>I2091-'Blocking-Step2'!I2091</f>
        <v>0</v>
      </c>
      <c r="AH2091" s="2136">
        <f>K2091-'Blocking-Step2'!K2091</f>
        <v>0</v>
      </c>
      <c r="AJ2091" s="2136">
        <f>M2091-'Blocking-Step2'!M2091</f>
        <v>0</v>
      </c>
      <c r="AL2091" s="2136" t="e">
        <f>O2091-'Blocking-Step2'!O2091</f>
        <v>#VALUE!</v>
      </c>
      <c r="AN2091" s="2137">
        <f>Q2091-'Blocking-Step2'!Q2091</f>
        <v>0</v>
      </c>
      <c r="AP2091" s="2127">
        <f>S2091-'Blocking-Step2'!S2091</f>
        <v>0</v>
      </c>
      <c r="AR2091" s="2127">
        <f>U2091-'Blocking-Step2'!U2091</f>
        <v>0</v>
      </c>
      <c r="AT2091" s="2127">
        <f>W2091-'Blocking-Step2'!W2091</f>
        <v>0</v>
      </c>
      <c r="AV2091" s="2128">
        <f>Y2091-'Blocking-Step2'!Y2091</f>
        <v>-4.2812000000012631</v>
      </c>
    </row>
    <row r="2092" spans="1:48" ht="16.5" thickBot="1">
      <c r="A2092" s="1116" t="s">
        <v>247</v>
      </c>
      <c r="C2092" s="1138">
        <v>11239726.780005781</v>
      </c>
      <c r="D2092" s="1138">
        <v>14403533.942076338</v>
      </c>
      <c r="F2092" s="1145"/>
      <c r="H2092" s="1149">
        <v>1212661.5965</v>
      </c>
      <c r="I2092" s="1149">
        <v>1548724.3636</v>
      </c>
      <c r="K2092" s="1145"/>
      <c r="M2092" s="1145"/>
      <c r="O2092" s="1145"/>
      <c r="P2092" s="617"/>
      <c r="Q2092" s="1145"/>
      <c r="R2092" s="617"/>
      <c r="S2092" s="1154">
        <v>536422</v>
      </c>
      <c r="T2092" s="1114"/>
      <c r="U2092" s="1154">
        <v>697606</v>
      </c>
      <c r="V2092" s="1114"/>
      <c r="W2092" s="1154">
        <v>313140</v>
      </c>
      <c r="X2092" s="1114"/>
      <c r="Y2092" s="1154">
        <v>1547168</v>
      </c>
      <c r="Z2092" s="2114">
        <f>C2092-'Blocking-Step2'!C2092</f>
        <v>0</v>
      </c>
      <c r="AA2092" s="2114">
        <f>D2092-'Blocking-Step2'!D2092</f>
        <v>0</v>
      </c>
      <c r="AC2092" s="2114">
        <f>F2092-'Blocking-Step2'!F2092</f>
        <v>0</v>
      </c>
      <c r="AE2092" s="2114">
        <f>H2092-'Blocking-Step2'!H2092</f>
        <v>0</v>
      </c>
      <c r="AF2092" s="2114">
        <f>I2092-'Blocking-Step2'!I2092</f>
        <v>0</v>
      </c>
      <c r="AH2092" s="2136">
        <f>K2092-'Blocking-Step2'!K2092</f>
        <v>0</v>
      </c>
      <c r="AJ2092" s="2136">
        <f>M2092-'Blocking-Step2'!M2092</f>
        <v>0</v>
      </c>
      <c r="AL2092" s="2136">
        <f>O2092-'Blocking-Step2'!O2092</f>
        <v>0</v>
      </c>
      <c r="AN2092" s="2137">
        <f>Q2092-'Blocking-Step2'!Q2092</f>
        <v>0</v>
      </c>
      <c r="AP2092" s="2127">
        <f>S2092-'Blocking-Step2'!S2092</f>
        <v>-212191</v>
      </c>
      <c r="AR2092" s="2127">
        <f>U2092-'Blocking-Step2'!U2092</f>
        <v>212502</v>
      </c>
      <c r="AT2092" s="2127">
        <f>W2092-'Blocking-Step2'!W2092</f>
        <v>0</v>
      </c>
      <c r="AV2092" s="2128">
        <f>Y2092-'Blocking-Step2'!Y2092</f>
        <v>308</v>
      </c>
    </row>
    <row r="2093" spans="1:48" ht="16.5" hidden="1" thickTop="1">
      <c r="C2093" s="1105"/>
      <c r="D2093" s="1105"/>
      <c r="O2093" s="1109"/>
      <c r="Q2093" s="1109"/>
      <c r="Y2093" s="1114"/>
      <c r="Z2093" s="2114">
        <f>C2093-'Blocking-Step2'!C2093</f>
        <v>0</v>
      </c>
      <c r="AA2093" s="2114">
        <f>D2093-'Blocking-Step2'!D2093</f>
        <v>0</v>
      </c>
      <c r="AC2093" s="2114">
        <f>F2093-'Blocking-Step2'!F2093</f>
        <v>0</v>
      </c>
      <c r="AE2093" s="2114">
        <f>H2093-'Blocking-Step2'!H2093</f>
        <v>0</v>
      </c>
      <c r="AF2093" s="2114">
        <f>I2093-'Blocking-Step2'!I2093</f>
        <v>0</v>
      </c>
      <c r="AH2093" s="2136">
        <f>K2093-'Blocking-Step2'!K2093</f>
        <v>0</v>
      </c>
      <c r="AJ2093" s="2136">
        <f>M2093-'Blocking-Step2'!M2093</f>
        <v>0</v>
      </c>
      <c r="AL2093" s="2136">
        <f>O2093-'Blocking-Step2'!O2093</f>
        <v>0</v>
      </c>
      <c r="AN2093" s="2137">
        <f>Q2093-'Blocking-Step2'!Q2093</f>
        <v>0</v>
      </c>
      <c r="AP2093" s="2127">
        <f>S2093-'Blocking-Step2'!S2093</f>
        <v>0</v>
      </c>
      <c r="AR2093" s="2127">
        <f>U2093-'Blocking-Step2'!U2093</f>
        <v>0</v>
      </c>
      <c r="AT2093" s="2127">
        <f>W2093-'Blocking-Step2'!W2093</f>
        <v>0</v>
      </c>
      <c r="AV2093" s="2128">
        <f>Y2093-'Blocking-Step2'!Y2093</f>
        <v>0</v>
      </c>
    </row>
    <row r="2094" spans="1:48" ht="16.5" hidden="1" thickTop="1">
      <c r="A2094" s="1115" t="s">
        <v>1015</v>
      </c>
      <c r="C2094" s="1105"/>
      <c r="D2094" s="1105"/>
      <c r="Z2094" s="2114">
        <f>C2094-'Blocking-Step2'!C2094</f>
        <v>0</v>
      </c>
      <c r="AA2094" s="2114">
        <f>D2094-'Blocking-Step2'!D2094</f>
        <v>0</v>
      </c>
      <c r="AC2094" s="2114">
        <f>F2094-'Blocking-Step2'!F2094</f>
        <v>0</v>
      </c>
      <c r="AE2094" s="2114">
        <f>H2094-'Blocking-Step2'!H2094</f>
        <v>0</v>
      </c>
      <c r="AF2094" s="2114">
        <f>I2094-'Blocking-Step2'!I2094</f>
        <v>0</v>
      </c>
      <c r="AH2094" s="2136">
        <f>K2094-'Blocking-Step2'!K2094</f>
        <v>0</v>
      </c>
      <c r="AJ2094" s="2136">
        <f>M2094-'Blocking-Step2'!M2094</f>
        <v>0</v>
      </c>
      <c r="AL2094" s="2136">
        <f>O2094-'Blocking-Step2'!O2094</f>
        <v>0</v>
      </c>
      <c r="AN2094" s="2137">
        <f>Q2094-'Blocking-Step2'!Q2094</f>
        <v>0</v>
      </c>
      <c r="AP2094" s="2127">
        <f>S2094-'Blocking-Step2'!S2094</f>
        <v>0</v>
      </c>
      <c r="AR2094" s="2127">
        <f>U2094-'Blocking-Step2'!U2094</f>
        <v>0</v>
      </c>
      <c r="AT2094" s="2127">
        <f>W2094-'Blocking-Step2'!W2094</f>
        <v>0</v>
      </c>
      <c r="AV2094" s="2128">
        <f>Y2094-'Blocking-Step2'!Y2094</f>
        <v>0</v>
      </c>
    </row>
    <row r="2095" spans="1:48" ht="16.5" hidden="1" thickTop="1">
      <c r="A2095" s="1116" t="s">
        <v>240</v>
      </c>
      <c r="C2095" s="1105">
        <v>5239.5230000000001</v>
      </c>
      <c r="D2095" s="1105">
        <v>5916</v>
      </c>
      <c r="F2095" s="1142">
        <v>10</v>
      </c>
      <c r="G2095" s="617"/>
      <c r="H2095" s="1146">
        <v>52395</v>
      </c>
      <c r="I2095" s="1146">
        <v>59160</v>
      </c>
      <c r="K2095" s="1142">
        <v>10</v>
      </c>
      <c r="L2095" s="617"/>
      <c r="M2095" s="1142">
        <v>0</v>
      </c>
      <c r="N2095" s="617"/>
      <c r="O2095" s="1142">
        <v>0</v>
      </c>
      <c r="P2095" s="617"/>
      <c r="Q2095" s="1142">
        <v>10</v>
      </c>
      <c r="R2095" s="617"/>
      <c r="S2095" s="1146">
        <v>59160</v>
      </c>
      <c r="T2095" s="1114"/>
      <c r="U2095" s="1146">
        <v>0</v>
      </c>
      <c r="V2095" s="1114"/>
      <c r="W2095" s="1146">
        <v>0</v>
      </c>
      <c r="X2095" s="1114"/>
      <c r="Y2095" s="1146">
        <v>59160</v>
      </c>
      <c r="Z2095" s="2114">
        <f>C2095-'Blocking-Step2'!C2095</f>
        <v>0</v>
      </c>
      <c r="AA2095" s="2114">
        <f>D2095-'Blocking-Step2'!D2095</f>
        <v>0</v>
      </c>
      <c r="AC2095" s="2114">
        <f>F2095-'Blocking-Step2'!F2095</f>
        <v>0</v>
      </c>
      <c r="AE2095" s="2114">
        <f>H2095-'Blocking-Step2'!H2095</f>
        <v>0</v>
      </c>
      <c r="AF2095" s="2114">
        <f>I2095-'Blocking-Step2'!I2095</f>
        <v>0</v>
      </c>
      <c r="AH2095" s="2136">
        <f>K2095-'Blocking-Step2'!K2095</f>
        <v>0</v>
      </c>
      <c r="AJ2095" s="2136">
        <f>M2095-'Blocking-Step2'!M2095</f>
        <v>0</v>
      </c>
      <c r="AL2095" s="2136">
        <f>O2095-'Blocking-Step2'!O2095</f>
        <v>0</v>
      </c>
      <c r="AN2095" s="2137">
        <f>Q2095-'Blocking-Step2'!Q2095</f>
        <v>0</v>
      </c>
      <c r="AP2095" s="2127">
        <f>S2095-'Blocking-Step2'!S2095</f>
        <v>0</v>
      </c>
      <c r="AR2095" s="2127">
        <f>U2095-'Blocking-Step2'!U2095</f>
        <v>0</v>
      </c>
      <c r="AT2095" s="2127">
        <f>W2095-'Blocking-Step2'!W2095</f>
        <v>0</v>
      </c>
      <c r="AV2095" s="2128">
        <f>Y2095-'Blocking-Step2'!Y2095</f>
        <v>0</v>
      </c>
    </row>
    <row r="2096" spans="1:48" ht="16.5" hidden="1" thickTop="1">
      <c r="A2096" s="1116" t="s">
        <v>262</v>
      </c>
      <c r="C2096" s="1105">
        <v>0</v>
      </c>
      <c r="D2096" s="1105">
        <v>0</v>
      </c>
      <c r="F2096" s="1142">
        <v>120</v>
      </c>
      <c r="G2096" s="617"/>
      <c r="H2096" s="1146">
        <v>0</v>
      </c>
      <c r="I2096" s="1146">
        <v>0</v>
      </c>
      <c r="K2096" s="1142">
        <v>117</v>
      </c>
      <c r="L2096" s="617"/>
      <c r="M2096" s="1142">
        <v>0</v>
      </c>
      <c r="N2096" s="617"/>
      <c r="O2096" s="1142">
        <v>0</v>
      </c>
      <c r="P2096" s="617"/>
      <c r="Q2096" s="1142">
        <v>117</v>
      </c>
      <c r="R2096" s="617"/>
      <c r="S2096" s="1146">
        <v>0</v>
      </c>
      <c r="T2096" s="1114"/>
      <c r="U2096" s="1146">
        <v>0</v>
      </c>
      <c r="V2096" s="1114"/>
      <c r="W2096" s="1146">
        <v>0</v>
      </c>
      <c r="X2096" s="1114"/>
      <c r="Y2096" s="1146">
        <v>0</v>
      </c>
      <c r="Z2096" s="2114">
        <f>C2096-'Blocking-Step2'!C2096</f>
        <v>0</v>
      </c>
      <c r="AA2096" s="2114">
        <f>D2096-'Blocking-Step2'!D2096</f>
        <v>0</v>
      </c>
      <c r="AC2096" s="2114">
        <f>F2096-'Blocking-Step2'!F2096</f>
        <v>0</v>
      </c>
      <c r="AE2096" s="2114">
        <f>H2096-'Blocking-Step2'!H2096</f>
        <v>0</v>
      </c>
      <c r="AF2096" s="2114">
        <f>I2096-'Blocking-Step2'!I2096</f>
        <v>0</v>
      </c>
      <c r="AH2096" s="2136">
        <f>K2096-'Blocking-Step2'!K2096</f>
        <v>0</v>
      </c>
      <c r="AJ2096" s="2136">
        <f>M2096-'Blocking-Step2'!M2096</f>
        <v>0</v>
      </c>
      <c r="AL2096" s="2136">
        <f>O2096-'Blocking-Step2'!O2096</f>
        <v>0</v>
      </c>
      <c r="AN2096" s="2137">
        <f>Q2096-'Blocking-Step2'!Q2096</f>
        <v>0</v>
      </c>
      <c r="AP2096" s="2127">
        <f>S2096-'Blocking-Step2'!S2096</f>
        <v>0</v>
      </c>
      <c r="AR2096" s="2127">
        <f>U2096-'Blocking-Step2'!U2096</f>
        <v>0</v>
      </c>
      <c r="AT2096" s="2127">
        <f>W2096-'Blocking-Step2'!W2096</f>
        <v>0</v>
      </c>
      <c r="AV2096" s="2128">
        <f>Y2096-'Blocking-Step2'!Y2096</f>
        <v>0</v>
      </c>
    </row>
    <row r="2097" spans="1:48" ht="16.5" hidden="1" thickTop="1">
      <c r="A2097" s="1116" t="s">
        <v>1298</v>
      </c>
      <c r="C2097" s="1105">
        <v>0</v>
      </c>
      <c r="D2097" s="1105">
        <v>0</v>
      </c>
      <c r="F2097" s="1142">
        <v>10</v>
      </c>
      <c r="G2097" s="617"/>
      <c r="H2097" s="1146">
        <v>0</v>
      </c>
      <c r="I2097" s="1146">
        <v>0</v>
      </c>
      <c r="K2097" s="1142">
        <v>10</v>
      </c>
      <c r="L2097" s="617"/>
      <c r="M2097" s="1142">
        <v>0</v>
      </c>
      <c r="N2097" s="617"/>
      <c r="O2097" s="1142">
        <v>0</v>
      </c>
      <c r="P2097" s="617"/>
      <c r="Q2097" s="1142">
        <v>10</v>
      </c>
      <c r="R2097" s="617"/>
      <c r="S2097" s="1146">
        <v>0</v>
      </c>
      <c r="T2097" s="1114"/>
      <c r="U2097" s="1146">
        <v>0</v>
      </c>
      <c r="V2097" s="1114"/>
      <c r="W2097" s="1146">
        <v>0</v>
      </c>
      <c r="X2097" s="1114"/>
      <c r="Y2097" s="1146">
        <v>0</v>
      </c>
      <c r="Z2097" s="2114">
        <f>C2097-'Blocking-Step2'!C2097</f>
        <v>0</v>
      </c>
      <c r="AA2097" s="2114">
        <f>D2097-'Blocking-Step2'!D2097</f>
        <v>0</v>
      </c>
      <c r="AC2097" s="2114">
        <f>F2097-'Blocking-Step2'!F2097</f>
        <v>0</v>
      </c>
      <c r="AE2097" s="2114">
        <f>H2097-'Blocking-Step2'!H2097</f>
        <v>0</v>
      </c>
      <c r="AF2097" s="2114">
        <f>I2097-'Blocking-Step2'!I2097</f>
        <v>0</v>
      </c>
      <c r="AH2097" s="2136">
        <f>K2097-'Blocking-Step2'!K2097</f>
        <v>0</v>
      </c>
      <c r="AJ2097" s="2136">
        <f>M2097-'Blocking-Step2'!M2097</f>
        <v>0</v>
      </c>
      <c r="AL2097" s="2136">
        <f>O2097-'Blocking-Step2'!O2097</f>
        <v>0</v>
      </c>
      <c r="AN2097" s="2137">
        <f>Q2097-'Blocking-Step2'!Q2097</f>
        <v>0</v>
      </c>
      <c r="AP2097" s="2127">
        <f>S2097-'Blocking-Step2'!S2097</f>
        <v>0</v>
      </c>
      <c r="AR2097" s="2127">
        <f>U2097-'Blocking-Step2'!U2097</f>
        <v>0</v>
      </c>
      <c r="AT2097" s="2127">
        <f>W2097-'Blocking-Step2'!W2097</f>
        <v>0</v>
      </c>
      <c r="AV2097" s="2128">
        <f>Y2097-'Blocking-Step2'!Y2097</f>
        <v>0</v>
      </c>
    </row>
    <row r="2098" spans="1:48" ht="16.5" hidden="1" thickTop="1">
      <c r="A2098" s="1116" t="s">
        <v>1654</v>
      </c>
      <c r="C2098" s="1105">
        <v>222.12270686046583</v>
      </c>
      <c r="D2098" s="1105">
        <v>270</v>
      </c>
      <c r="F2098" s="1142"/>
      <c r="G2098" s="617"/>
      <c r="H2098" s="1146"/>
      <c r="I2098" s="1146"/>
      <c r="K2098" s="1142">
        <v>8.89</v>
      </c>
      <c r="L2098" s="617"/>
      <c r="M2098" s="1142">
        <v>0</v>
      </c>
      <c r="N2098" s="617"/>
      <c r="O2098" s="1142">
        <v>0</v>
      </c>
      <c r="P2098" s="617"/>
      <c r="Q2098" s="1142">
        <v>8.89</v>
      </c>
      <c r="R2098" s="617"/>
      <c r="S2098" s="1146">
        <v>2400</v>
      </c>
      <c r="T2098" s="1114"/>
      <c r="U2098" s="1146">
        <v>0</v>
      </c>
      <c r="V2098" s="1114"/>
      <c r="W2098" s="1146">
        <v>0</v>
      </c>
      <c r="X2098" s="1114"/>
      <c r="Y2098" s="1146">
        <v>2400</v>
      </c>
      <c r="Z2098" s="2114">
        <f>C2098-'Blocking-Step2'!C2098</f>
        <v>0</v>
      </c>
      <c r="AA2098" s="2114">
        <f>D2098-'Blocking-Step2'!D2098</f>
        <v>0</v>
      </c>
      <c r="AC2098" s="2114">
        <f>F2098-'Blocking-Step2'!F2098</f>
        <v>0</v>
      </c>
      <c r="AE2098" s="2114">
        <f>H2098-'Blocking-Step2'!H2098</f>
        <v>0</v>
      </c>
      <c r="AF2098" s="2114">
        <f>I2098-'Blocking-Step2'!I2098</f>
        <v>0</v>
      </c>
      <c r="AH2098" s="2136">
        <f>K2098-'Blocking-Step2'!K2098</f>
        <v>0</v>
      </c>
      <c r="AJ2098" s="2136">
        <f>M2098-'Blocking-Step2'!M2098</f>
        <v>0</v>
      </c>
      <c r="AL2098" s="2136">
        <f>O2098-'Blocking-Step2'!O2098</f>
        <v>0</v>
      </c>
      <c r="AN2098" s="2137">
        <f>Q2098-'Blocking-Step2'!Q2098</f>
        <v>0</v>
      </c>
      <c r="AP2098" s="2127">
        <f>S2098-'Blocking-Step2'!S2098</f>
        <v>0</v>
      </c>
      <c r="AR2098" s="2127">
        <f>U2098-'Blocking-Step2'!U2098</f>
        <v>0</v>
      </c>
      <c r="AT2098" s="2127">
        <f>W2098-'Blocking-Step2'!W2098</f>
        <v>0</v>
      </c>
      <c r="AV2098" s="2128">
        <f>Y2098-'Blocking-Step2'!Y2098</f>
        <v>0</v>
      </c>
    </row>
    <row r="2099" spans="1:48" ht="16.5" hidden="1" thickTop="1">
      <c r="A2099" s="1116" t="s">
        <v>1655</v>
      </c>
      <c r="C2099" s="1105">
        <v>133.7447637394952</v>
      </c>
      <c r="D2099" s="1105">
        <v>162</v>
      </c>
      <c r="F2099" s="1142"/>
      <c r="G2099" s="617"/>
      <c r="H2099" s="1146"/>
      <c r="I2099" s="1146"/>
      <c r="K2099" s="1142">
        <v>7.87</v>
      </c>
      <c r="L2099" s="617"/>
      <c r="M2099" s="1142">
        <v>0</v>
      </c>
      <c r="N2099" s="617"/>
      <c r="O2099" s="1142">
        <v>0</v>
      </c>
      <c r="P2099" s="617"/>
      <c r="Q2099" s="1142">
        <v>7.87</v>
      </c>
      <c r="R2099" s="617"/>
      <c r="S2099" s="1146">
        <v>1275</v>
      </c>
      <c r="T2099" s="1114"/>
      <c r="U2099" s="1146">
        <v>0</v>
      </c>
      <c r="V2099" s="1114"/>
      <c r="W2099" s="1146">
        <v>0</v>
      </c>
      <c r="X2099" s="1114"/>
      <c r="Y2099" s="1146">
        <v>1275</v>
      </c>
      <c r="Z2099" s="2114">
        <f>C2099-'Blocking-Step2'!C2099</f>
        <v>0</v>
      </c>
      <c r="AA2099" s="2114">
        <f>D2099-'Blocking-Step2'!D2099</f>
        <v>0</v>
      </c>
      <c r="AC2099" s="2114">
        <f>F2099-'Blocking-Step2'!F2099</f>
        <v>0</v>
      </c>
      <c r="AE2099" s="2114">
        <f>H2099-'Blocking-Step2'!H2099</f>
        <v>0</v>
      </c>
      <c r="AF2099" s="2114">
        <f>I2099-'Blocking-Step2'!I2099</f>
        <v>0</v>
      </c>
      <c r="AH2099" s="2136">
        <f>K2099-'Blocking-Step2'!K2099</f>
        <v>0</v>
      </c>
      <c r="AJ2099" s="2136">
        <f>M2099-'Blocking-Step2'!M2099</f>
        <v>0</v>
      </c>
      <c r="AL2099" s="2136">
        <f>O2099-'Blocking-Step2'!O2099</f>
        <v>0</v>
      </c>
      <c r="AN2099" s="2137">
        <f>Q2099-'Blocking-Step2'!Q2099</f>
        <v>0</v>
      </c>
      <c r="AP2099" s="2127">
        <f>S2099-'Blocking-Step2'!S2099</f>
        <v>0</v>
      </c>
      <c r="AR2099" s="2127">
        <f>U2099-'Blocking-Step2'!U2099</f>
        <v>0</v>
      </c>
      <c r="AT2099" s="2127">
        <f>W2099-'Blocking-Step2'!W2099</f>
        <v>0</v>
      </c>
      <c r="AV2099" s="2128">
        <f>Y2099-'Blocking-Step2'!Y2099</f>
        <v>0</v>
      </c>
    </row>
    <row r="2100" spans="1:48" ht="16.5" hidden="1" thickTop="1">
      <c r="A2100" s="1116" t="s">
        <v>1656</v>
      </c>
      <c r="C2100" s="1105">
        <v>95962.379692517949</v>
      </c>
      <c r="D2100" s="1105">
        <v>307704.4796706466</v>
      </c>
      <c r="F2100" s="1106"/>
      <c r="G2100" s="1921"/>
      <c r="H2100" s="1146"/>
      <c r="I2100" s="1146"/>
      <c r="K2100" s="1106">
        <v>1.4671000000000001</v>
      </c>
      <c r="L2100" s="1921" t="s">
        <v>495</v>
      </c>
      <c r="M2100" s="1106">
        <v>7.9411934380819993</v>
      </c>
      <c r="N2100" s="1921" t="s">
        <v>495</v>
      </c>
      <c r="O2100" s="1106">
        <v>2.3066</v>
      </c>
      <c r="P2100" s="1921" t="s">
        <v>495</v>
      </c>
      <c r="Q2100" s="1106">
        <v>11.714893438081999</v>
      </c>
      <c r="R2100" s="1921" t="s">
        <v>495</v>
      </c>
      <c r="S2100" s="1146">
        <v>4514</v>
      </c>
      <c r="T2100" s="1648"/>
      <c r="U2100" s="1146">
        <v>24435</v>
      </c>
      <c r="V2100" s="1648"/>
      <c r="W2100" s="1146">
        <v>7098</v>
      </c>
      <c r="X2100" s="1648"/>
      <c r="Y2100" s="1146">
        <v>36047</v>
      </c>
      <c r="Z2100" s="2114">
        <f>C2100-'Blocking-Step2'!C2100</f>
        <v>0</v>
      </c>
      <c r="AA2100" s="2114">
        <f>D2100-'Blocking-Step2'!D2100</f>
        <v>0</v>
      </c>
      <c r="AC2100" s="2114">
        <f>F2100-'Blocking-Step2'!F2100</f>
        <v>0</v>
      </c>
      <c r="AE2100" s="2114">
        <f>H2100-'Blocking-Step2'!H2100</f>
        <v>0</v>
      </c>
      <c r="AF2100" s="2114">
        <f>I2100-'Blocking-Step2'!I2100</f>
        <v>0</v>
      </c>
      <c r="AH2100" s="2136">
        <f>K2100-'Blocking-Step2'!K2100</f>
        <v>-1.4732000000000001</v>
      </c>
      <c r="AJ2100" s="2136">
        <f>M2100-'Blocking-Step2'!M2100</f>
        <v>1.4755465414459987</v>
      </c>
      <c r="AL2100" s="2136">
        <f>O2100-'Blocking-Step2'!O2100</f>
        <v>0</v>
      </c>
      <c r="AN2100" s="2137">
        <f>Q2100-'Blocking-Step2'!Q2100</f>
        <v>2.3465414459984402E-3</v>
      </c>
      <c r="AP2100" s="2127">
        <f>S2100-'Blocking-Step2'!S2100</f>
        <v>-4533</v>
      </c>
      <c r="AR2100" s="2127">
        <f>U2100-'Blocking-Step2'!U2100</f>
        <v>4540</v>
      </c>
      <c r="AT2100" s="2127">
        <f>W2100-'Blocking-Step2'!W2100</f>
        <v>0</v>
      </c>
      <c r="AV2100" s="2128">
        <f>Y2100-'Blocking-Step2'!Y2100</f>
        <v>7</v>
      </c>
    </row>
    <row r="2101" spans="1:48" ht="16.5" hidden="1" thickTop="1">
      <c r="A2101" s="1116" t="s">
        <v>1657</v>
      </c>
      <c r="C2101" s="1105">
        <v>119917.48926069601</v>
      </c>
      <c r="D2101" s="1105">
        <v>384516</v>
      </c>
      <c r="F2101" s="1106"/>
      <c r="G2101" s="1921"/>
      <c r="H2101" s="1146"/>
      <c r="I2101" s="1146"/>
      <c r="K2101" s="1106">
        <v>1.4671000000000001</v>
      </c>
      <c r="L2101" s="1921" t="s">
        <v>495</v>
      </c>
      <c r="M2101" s="1106">
        <v>2.7858934380819993</v>
      </c>
      <c r="N2101" s="1921" t="s">
        <v>495</v>
      </c>
      <c r="O2101" s="1106">
        <v>2.3066</v>
      </c>
      <c r="P2101" s="1921" t="s">
        <v>495</v>
      </c>
      <c r="Q2101" s="1106">
        <v>6.5595934380819996</v>
      </c>
      <c r="R2101" s="1921" t="s">
        <v>495</v>
      </c>
      <c r="S2101" s="1146">
        <v>5641</v>
      </c>
      <c r="T2101" s="1648"/>
      <c r="U2101" s="1146">
        <v>10712</v>
      </c>
      <c r="V2101" s="1648"/>
      <c r="W2101" s="1146">
        <v>8869</v>
      </c>
      <c r="X2101" s="1648"/>
      <c r="Y2101" s="1146">
        <v>25223</v>
      </c>
      <c r="Z2101" s="2114">
        <f>C2101-'Blocking-Step2'!C2101</f>
        <v>0</v>
      </c>
      <c r="AA2101" s="2114">
        <f>D2101-'Blocking-Step2'!D2101</f>
        <v>0</v>
      </c>
      <c r="AC2101" s="2114">
        <f>F2101-'Blocking-Step2'!F2101</f>
        <v>0</v>
      </c>
      <c r="AE2101" s="2114">
        <f>H2101-'Blocking-Step2'!H2101</f>
        <v>0</v>
      </c>
      <c r="AF2101" s="2114">
        <f>I2101-'Blocking-Step2'!I2101</f>
        <v>0</v>
      </c>
      <c r="AH2101" s="2136">
        <f>K2101-'Blocking-Step2'!K2101</f>
        <v>-1.4732000000000001</v>
      </c>
      <c r="AJ2101" s="2136">
        <f>M2101-'Blocking-Step2'!M2101</f>
        <v>1.4755465414459983</v>
      </c>
      <c r="AL2101" s="2136">
        <f>O2101-'Blocking-Step2'!O2101</f>
        <v>0</v>
      </c>
      <c r="AN2101" s="2137">
        <f>Q2101-'Blocking-Step2'!Q2101</f>
        <v>2.3465414459984402E-3</v>
      </c>
      <c r="AP2101" s="2127">
        <f>S2101-'Blocking-Step2'!S2101</f>
        <v>-5665</v>
      </c>
      <c r="AR2101" s="2127">
        <f>U2101-'Blocking-Step2'!U2101</f>
        <v>5674</v>
      </c>
      <c r="AT2101" s="2127">
        <f>W2101-'Blocking-Step2'!W2101</f>
        <v>0</v>
      </c>
      <c r="AV2101" s="2128">
        <f>Y2101-'Blocking-Step2'!Y2101</f>
        <v>9</v>
      </c>
    </row>
    <row r="2102" spans="1:48" ht="16.5" hidden="1" thickTop="1">
      <c r="A2102" s="1116" t="s">
        <v>1658</v>
      </c>
      <c r="C2102" s="1105">
        <v>617433.80018048012</v>
      </c>
      <c r="D2102" s="1105">
        <v>504602</v>
      </c>
      <c r="F2102" s="1106"/>
      <c r="G2102" s="1921"/>
      <c r="H2102" s="1146"/>
      <c r="I2102" s="1146"/>
      <c r="K2102" s="1106">
        <v>1.4671000000000001</v>
      </c>
      <c r="L2102" s="1921" t="s">
        <v>495</v>
      </c>
      <c r="M2102" s="1106">
        <v>6.7850000000000001</v>
      </c>
      <c r="N2102" s="1921" t="s">
        <v>495</v>
      </c>
      <c r="O2102" s="1106">
        <v>2.1151</v>
      </c>
      <c r="P2102" s="1921" t="s">
        <v>495</v>
      </c>
      <c r="Q2102" s="1106">
        <v>10.3672</v>
      </c>
      <c r="R2102" s="1921" t="s">
        <v>495</v>
      </c>
      <c r="S2102" s="1146">
        <v>7403</v>
      </c>
      <c r="T2102" s="1648"/>
      <c r="U2102" s="1146">
        <v>34237</v>
      </c>
      <c r="V2102" s="1648"/>
      <c r="W2102" s="1146">
        <v>10673</v>
      </c>
      <c r="X2102" s="1648"/>
      <c r="Y2102" s="1146">
        <v>52313</v>
      </c>
      <c r="Z2102" s="2114">
        <f>C2102-'Blocking-Step2'!C2102</f>
        <v>0</v>
      </c>
      <c r="AA2102" s="2114">
        <f>D2102-'Blocking-Step2'!D2102</f>
        <v>0</v>
      </c>
      <c r="AC2102" s="2114">
        <f>F2102-'Blocking-Step2'!F2102</f>
        <v>0</v>
      </c>
      <c r="AE2102" s="2114">
        <f>H2102-'Blocking-Step2'!H2102</f>
        <v>0</v>
      </c>
      <c r="AF2102" s="2114">
        <f>I2102-'Blocking-Step2'!I2102</f>
        <v>0</v>
      </c>
      <c r="AH2102" s="2136">
        <f>K2102-'Blocking-Step2'!K2102</f>
        <v>-1.4732000000000001</v>
      </c>
      <c r="AJ2102" s="2136">
        <f>M2102-'Blocking-Step2'!M2102</f>
        <v>1.4753000000000007</v>
      </c>
      <c r="AL2102" s="2136">
        <f>O2102-'Blocking-Step2'!O2102</f>
        <v>0</v>
      </c>
      <c r="AN2102" s="2137">
        <f>Q2102-'Blocking-Step2'!Q2102</f>
        <v>2.1000000000004349E-3</v>
      </c>
      <c r="AP2102" s="2127">
        <f>S2102-'Blocking-Step2'!S2102</f>
        <v>-7434</v>
      </c>
      <c r="AR2102" s="2127">
        <f>U2102-'Blocking-Step2'!U2102</f>
        <v>7444</v>
      </c>
      <c r="AT2102" s="2127">
        <f>W2102-'Blocking-Step2'!W2102</f>
        <v>0</v>
      </c>
      <c r="AV2102" s="2128">
        <f>Y2102-'Blocking-Step2'!Y2102</f>
        <v>10</v>
      </c>
    </row>
    <row r="2103" spans="1:48" ht="16.5" hidden="1" thickTop="1">
      <c r="A2103" s="1116" t="s">
        <v>1659</v>
      </c>
      <c r="C2103" s="1105">
        <v>443581.35034659156</v>
      </c>
      <c r="D2103" s="1105">
        <v>362520</v>
      </c>
      <c r="F2103" s="1106"/>
      <c r="G2103" s="1921"/>
      <c r="H2103" s="1146"/>
      <c r="I2103" s="1146"/>
      <c r="K2103" s="1106">
        <v>1.4671000000000001</v>
      </c>
      <c r="L2103" s="1921" t="s">
        <v>495</v>
      </c>
      <c r="M2103" s="1106">
        <v>2.2226999999999997</v>
      </c>
      <c r="N2103" s="1921" t="s">
        <v>495</v>
      </c>
      <c r="O2103" s="1106">
        <v>2.1151</v>
      </c>
      <c r="P2103" s="1921" t="s">
        <v>495</v>
      </c>
      <c r="Q2103" s="1106">
        <v>5.8048999999999999</v>
      </c>
      <c r="R2103" s="1921" t="s">
        <v>495</v>
      </c>
      <c r="S2103" s="1146">
        <v>5319</v>
      </c>
      <c r="T2103" s="1648"/>
      <c r="U2103" s="1146">
        <v>8058</v>
      </c>
      <c r="V2103" s="1648"/>
      <c r="W2103" s="1146">
        <v>7668</v>
      </c>
      <c r="X2103" s="1648"/>
      <c r="Y2103" s="1146">
        <v>21044</v>
      </c>
      <c r="Z2103" s="2114">
        <f>C2103-'Blocking-Step2'!C2103</f>
        <v>0</v>
      </c>
      <c r="AA2103" s="2114">
        <f>D2103-'Blocking-Step2'!D2103</f>
        <v>0</v>
      </c>
      <c r="AC2103" s="2114">
        <f>F2103-'Blocking-Step2'!F2103</f>
        <v>0</v>
      </c>
      <c r="AE2103" s="2114">
        <f>H2103-'Blocking-Step2'!H2103</f>
        <v>0</v>
      </c>
      <c r="AF2103" s="2114">
        <f>I2103-'Blocking-Step2'!I2103</f>
        <v>0</v>
      </c>
      <c r="AH2103" s="2136">
        <f>K2103-'Blocking-Step2'!K2103</f>
        <v>-1.4732000000000001</v>
      </c>
      <c r="AJ2103" s="2136">
        <f>M2103-'Blocking-Step2'!M2103</f>
        <v>1.4751999999999996</v>
      </c>
      <c r="AL2103" s="2136">
        <f>O2103-'Blocking-Step2'!O2103</f>
        <v>0</v>
      </c>
      <c r="AN2103" s="2137">
        <f>Q2103-'Blocking-Step2'!Q2103</f>
        <v>1.9999999999997797E-3</v>
      </c>
      <c r="AP2103" s="2127">
        <f>S2103-'Blocking-Step2'!S2103</f>
        <v>-5340</v>
      </c>
      <c r="AR2103" s="2127">
        <f>U2103-'Blocking-Step2'!U2103</f>
        <v>5348</v>
      </c>
      <c r="AT2103" s="2127">
        <f>W2103-'Blocking-Step2'!W2103</f>
        <v>0</v>
      </c>
      <c r="AV2103" s="2128">
        <f>Y2103-'Blocking-Step2'!Y2103</f>
        <v>7</v>
      </c>
    </row>
    <row r="2104" spans="1:48" ht="16.5" hidden="1" thickTop="1">
      <c r="A2104" s="1116" t="s">
        <v>282</v>
      </c>
      <c r="C2104" s="1105">
        <v>254.33988439306401</v>
      </c>
      <c r="D2104" s="1105">
        <v>309</v>
      </c>
      <c r="F2104" s="1142">
        <v>8.65</v>
      </c>
      <c r="G2104" s="617"/>
      <c r="H2104" s="1146">
        <v>2200</v>
      </c>
      <c r="I2104" s="1146">
        <v>2673</v>
      </c>
      <c r="K2104" s="1142"/>
      <c r="L2104" s="617"/>
      <c r="M2104" s="1142"/>
      <c r="N2104" s="617"/>
      <c r="O2104" s="1142"/>
      <c r="P2104" s="617"/>
      <c r="Q2104" s="1142"/>
      <c r="R2104" s="617"/>
      <c r="S2104" s="1114"/>
      <c r="T2104" s="1114"/>
      <c r="U2104" s="1114"/>
      <c r="V2104" s="1114"/>
      <c r="W2104" s="1114"/>
      <c r="X2104" s="1114"/>
      <c r="Y2104" s="1146"/>
      <c r="Z2104" s="2114">
        <f>C2104-'Blocking-Step2'!C2104</f>
        <v>0</v>
      </c>
      <c r="AA2104" s="2114">
        <f>D2104-'Blocking-Step2'!D2104</f>
        <v>0</v>
      </c>
      <c r="AC2104" s="2114">
        <f>F2104-'Blocking-Step2'!F2104</f>
        <v>0</v>
      </c>
      <c r="AE2104" s="2114">
        <f>H2104-'Blocking-Step2'!H2104</f>
        <v>0</v>
      </c>
      <c r="AF2104" s="2114">
        <f>I2104-'Blocking-Step2'!I2104</f>
        <v>0</v>
      </c>
      <c r="AH2104" s="2136">
        <f>K2104-'Blocking-Step2'!K2104</f>
        <v>0</v>
      </c>
      <c r="AJ2104" s="2136">
        <f>M2104-'Blocking-Step2'!M2104</f>
        <v>0</v>
      </c>
      <c r="AL2104" s="2136">
        <f>O2104-'Blocking-Step2'!O2104</f>
        <v>0</v>
      </c>
      <c r="AN2104" s="2137">
        <f>Q2104-'Blocking-Step2'!Q2104</f>
        <v>0</v>
      </c>
      <c r="AP2104" s="2127">
        <f>S2104-'Blocking-Step2'!S2104</f>
        <v>0</v>
      </c>
      <c r="AR2104" s="2127">
        <f>U2104-'Blocking-Step2'!U2104</f>
        <v>0</v>
      </c>
      <c r="AT2104" s="2127">
        <f>W2104-'Blocking-Step2'!W2104</f>
        <v>0</v>
      </c>
      <c r="AV2104" s="2128">
        <f>Y2104-'Blocking-Step2'!Y2104</f>
        <v>0</v>
      </c>
    </row>
    <row r="2105" spans="1:48" ht="16.5" hidden="1" thickTop="1">
      <c r="A2105" s="1116" t="s">
        <v>283</v>
      </c>
      <c r="C2105" s="1105">
        <v>101.527586206897</v>
      </c>
      <c r="D2105" s="1105">
        <v>123</v>
      </c>
      <c r="F2105" s="1142">
        <v>8.7000000000000011</v>
      </c>
      <c r="G2105" s="617"/>
      <c r="H2105" s="1146">
        <v>883</v>
      </c>
      <c r="I2105" s="1146">
        <v>1070</v>
      </c>
      <c r="K2105" s="1142"/>
      <c r="L2105" s="617"/>
      <c r="M2105" s="1142"/>
      <c r="N2105" s="617"/>
      <c r="O2105" s="1142"/>
      <c r="P2105" s="617"/>
      <c r="Q2105" s="1142"/>
      <c r="R2105" s="617"/>
      <c r="S2105" s="1114"/>
      <c r="T2105" s="1114"/>
      <c r="U2105" s="1114"/>
      <c r="V2105" s="1114"/>
      <c r="W2105" s="1114"/>
      <c r="X2105" s="1114"/>
      <c r="Y2105" s="1146"/>
      <c r="Z2105" s="2114">
        <f>C2105-'Blocking-Step2'!C2105</f>
        <v>0</v>
      </c>
      <c r="AA2105" s="2114">
        <f>D2105-'Blocking-Step2'!D2105</f>
        <v>0</v>
      </c>
      <c r="AC2105" s="2114">
        <f>F2105-'Blocking-Step2'!F2105</f>
        <v>0</v>
      </c>
      <c r="AE2105" s="2114">
        <f>H2105-'Blocking-Step2'!H2105</f>
        <v>0</v>
      </c>
      <c r="AF2105" s="2114">
        <f>I2105-'Blocking-Step2'!I2105</f>
        <v>0</v>
      </c>
      <c r="AH2105" s="2136">
        <f>K2105-'Blocking-Step2'!K2105</f>
        <v>0</v>
      </c>
      <c r="AJ2105" s="2136">
        <f>M2105-'Blocking-Step2'!M2105</f>
        <v>0</v>
      </c>
      <c r="AL2105" s="2136">
        <f>O2105-'Blocking-Step2'!O2105</f>
        <v>0</v>
      </c>
      <c r="AN2105" s="2137">
        <f>Q2105-'Blocking-Step2'!Q2105</f>
        <v>0</v>
      </c>
      <c r="AP2105" s="2127">
        <f>S2105-'Blocking-Step2'!S2105</f>
        <v>0</v>
      </c>
      <c r="AR2105" s="2127">
        <f>U2105-'Blocking-Step2'!U2105</f>
        <v>0</v>
      </c>
      <c r="AT2105" s="2127">
        <f>W2105-'Blocking-Step2'!W2105</f>
        <v>0</v>
      </c>
      <c r="AV2105" s="2128">
        <f>Y2105-'Blocking-Step2'!Y2105</f>
        <v>0</v>
      </c>
    </row>
    <row r="2106" spans="1:48" ht="16.5" hidden="1" thickTop="1">
      <c r="A2106" s="1116" t="s">
        <v>261</v>
      </c>
      <c r="C2106" s="1105">
        <v>0</v>
      </c>
      <c r="D2106" s="1105">
        <v>0</v>
      </c>
      <c r="F2106" s="1142">
        <v>-0.48</v>
      </c>
      <c r="G2106" s="617"/>
      <c r="H2106" s="1146">
        <v>0</v>
      </c>
      <c r="I2106" s="1146">
        <v>0</v>
      </c>
      <c r="K2106" s="1142">
        <v>-0.48</v>
      </c>
      <c r="L2106" s="617"/>
      <c r="M2106" s="1142">
        <v>0</v>
      </c>
      <c r="N2106" s="617"/>
      <c r="O2106" s="1142">
        <v>0</v>
      </c>
      <c r="P2106" s="617"/>
      <c r="Q2106" s="1142">
        <v>-0.48</v>
      </c>
      <c r="R2106" s="617"/>
      <c r="S2106" s="1146">
        <v>0</v>
      </c>
      <c r="T2106" s="1114"/>
      <c r="U2106" s="1146">
        <v>0</v>
      </c>
      <c r="V2106" s="1114"/>
      <c r="W2106" s="1146">
        <v>0</v>
      </c>
      <c r="X2106" s="1114"/>
      <c r="Y2106" s="1146">
        <v>0</v>
      </c>
      <c r="Z2106" s="2114">
        <f>C2106-'Blocking-Step2'!C2106</f>
        <v>0</v>
      </c>
      <c r="AA2106" s="2114">
        <f>D2106-'Blocking-Step2'!D2106</f>
        <v>0</v>
      </c>
      <c r="AC2106" s="2114">
        <f>F2106-'Blocking-Step2'!F2106</f>
        <v>0</v>
      </c>
      <c r="AE2106" s="2114">
        <f>H2106-'Blocking-Step2'!H2106</f>
        <v>0</v>
      </c>
      <c r="AF2106" s="2114">
        <f>I2106-'Blocking-Step2'!I2106</f>
        <v>0</v>
      </c>
      <c r="AH2106" s="2136">
        <f>K2106-'Blocking-Step2'!K2106</f>
        <v>0</v>
      </c>
      <c r="AJ2106" s="2136">
        <f>M2106-'Blocking-Step2'!M2106</f>
        <v>0</v>
      </c>
      <c r="AL2106" s="2136">
        <f>O2106-'Blocking-Step2'!O2106</f>
        <v>0</v>
      </c>
      <c r="AN2106" s="2137">
        <f>Q2106-'Blocking-Step2'!Q2106</f>
        <v>0</v>
      </c>
      <c r="AP2106" s="2127">
        <f>S2106-'Blocking-Step2'!S2106</f>
        <v>0</v>
      </c>
      <c r="AR2106" s="2127">
        <f>U2106-'Blocking-Step2'!U2106</f>
        <v>0</v>
      </c>
      <c r="AT2106" s="2127">
        <f>W2106-'Blocking-Step2'!W2106</f>
        <v>0</v>
      </c>
      <c r="AV2106" s="2128">
        <f>Y2106-'Blocking-Step2'!Y2106</f>
        <v>0</v>
      </c>
    </row>
    <row r="2107" spans="1:48" ht="16.5" hidden="1" thickTop="1">
      <c r="A2107" s="1116" t="s">
        <v>194</v>
      </c>
      <c r="C2107" s="1105">
        <v>125921.47732123558</v>
      </c>
      <c r="D2107" s="1105">
        <v>347753.4796706466</v>
      </c>
      <c r="F2107" s="1106">
        <v>11.733599999999999</v>
      </c>
      <c r="G2107" s="1921" t="s">
        <v>495</v>
      </c>
      <c r="H2107" s="1146">
        <v>14775</v>
      </c>
      <c r="I2107" s="1146">
        <v>40804</v>
      </c>
      <c r="K2107" s="1106"/>
      <c r="L2107" s="1921"/>
      <c r="M2107" s="1106"/>
      <c r="N2107" s="1921"/>
      <c r="O2107" s="1106"/>
      <c r="P2107" s="1921"/>
      <c r="Q2107" s="1106"/>
      <c r="R2107" s="1921"/>
      <c r="S2107" s="1648"/>
      <c r="T2107" s="1648"/>
      <c r="U2107" s="1648"/>
      <c r="V2107" s="1648"/>
      <c r="W2107" s="1648"/>
      <c r="X2107" s="1648"/>
      <c r="Y2107" s="1146"/>
      <c r="Z2107" s="2114">
        <f>C2107-'Blocking-Step2'!C2107</f>
        <v>0</v>
      </c>
      <c r="AA2107" s="2114">
        <f>D2107-'Blocking-Step2'!D2107</f>
        <v>0</v>
      </c>
      <c r="AC2107" s="2114">
        <f>F2107-'Blocking-Step2'!F2107</f>
        <v>0</v>
      </c>
      <c r="AE2107" s="2114">
        <f>H2107-'Blocking-Step2'!H2107</f>
        <v>0</v>
      </c>
      <c r="AF2107" s="2114">
        <f>I2107-'Blocking-Step2'!I2107</f>
        <v>0</v>
      </c>
      <c r="AH2107" s="2136">
        <f>K2107-'Blocking-Step2'!K2107</f>
        <v>0</v>
      </c>
      <c r="AJ2107" s="2136">
        <f>M2107-'Blocking-Step2'!M2107</f>
        <v>0</v>
      </c>
      <c r="AL2107" s="2136">
        <f>O2107-'Blocking-Step2'!O2107</f>
        <v>0</v>
      </c>
      <c r="AN2107" s="2137">
        <f>Q2107-'Blocking-Step2'!Q2107</f>
        <v>0</v>
      </c>
      <c r="AP2107" s="2127">
        <f>S2107-'Blocking-Step2'!S2107</f>
        <v>0</v>
      </c>
      <c r="AR2107" s="2127">
        <f>U2107-'Blocking-Step2'!U2107</f>
        <v>0</v>
      </c>
      <c r="AT2107" s="2127">
        <f>W2107-'Blocking-Step2'!W2107</f>
        <v>0</v>
      </c>
      <c r="AV2107" s="2128">
        <f>Y2107-'Blocking-Step2'!Y2107</f>
        <v>0</v>
      </c>
    </row>
    <row r="2108" spans="1:48" ht="16.5" hidden="1" thickTop="1">
      <c r="A2108" s="1116" t="s">
        <v>195</v>
      </c>
      <c r="C2108" s="1105">
        <v>139631.38660678506</v>
      </c>
      <c r="D2108" s="1105">
        <v>385615</v>
      </c>
      <c r="F2108" s="1106">
        <v>6.5782999999999996</v>
      </c>
      <c r="G2108" s="1921" t="s">
        <v>495</v>
      </c>
      <c r="H2108" s="1146">
        <v>9185</v>
      </c>
      <c r="I2108" s="1146">
        <v>25367</v>
      </c>
      <c r="K2108" s="1106"/>
      <c r="L2108" s="1921"/>
      <c r="M2108" s="1106"/>
      <c r="N2108" s="1921"/>
      <c r="O2108" s="1106"/>
      <c r="P2108" s="1921"/>
      <c r="Q2108" s="1106"/>
      <c r="R2108" s="1921"/>
      <c r="S2108" s="1648"/>
      <c r="T2108" s="1648"/>
      <c r="U2108" s="1648"/>
      <c r="V2108" s="1648"/>
      <c r="W2108" s="1648"/>
      <c r="X2108" s="1648"/>
      <c r="Y2108" s="1146"/>
      <c r="Z2108" s="2114">
        <f>C2108-'Blocking-Step2'!C2108</f>
        <v>0</v>
      </c>
      <c r="AA2108" s="2114">
        <f>D2108-'Blocking-Step2'!D2108</f>
        <v>0</v>
      </c>
      <c r="AC2108" s="2114">
        <f>F2108-'Blocking-Step2'!F2108</f>
        <v>0</v>
      </c>
      <c r="AE2108" s="2114">
        <f>H2108-'Blocking-Step2'!H2108</f>
        <v>0</v>
      </c>
      <c r="AF2108" s="2114">
        <f>I2108-'Blocking-Step2'!I2108</f>
        <v>0</v>
      </c>
      <c r="AH2108" s="2136">
        <f>K2108-'Blocking-Step2'!K2108</f>
        <v>0</v>
      </c>
      <c r="AJ2108" s="2136">
        <f>M2108-'Blocking-Step2'!M2108</f>
        <v>0</v>
      </c>
      <c r="AL2108" s="2136">
        <f>O2108-'Blocking-Step2'!O2108</f>
        <v>0</v>
      </c>
      <c r="AN2108" s="2137">
        <f>Q2108-'Blocking-Step2'!Q2108</f>
        <v>0</v>
      </c>
      <c r="AP2108" s="2127">
        <f>S2108-'Blocking-Step2'!S2108</f>
        <v>0</v>
      </c>
      <c r="AR2108" s="2127">
        <f>U2108-'Blocking-Step2'!U2108</f>
        <v>0</v>
      </c>
      <c r="AT2108" s="2127">
        <f>W2108-'Blocking-Step2'!W2108</f>
        <v>0</v>
      </c>
      <c r="AV2108" s="2128">
        <f>Y2108-'Blocking-Step2'!Y2108</f>
        <v>0</v>
      </c>
    </row>
    <row r="2109" spans="1:48" ht="16.5" hidden="1" thickTop="1">
      <c r="A2109" s="1116" t="s">
        <v>160</v>
      </c>
      <c r="C2109" s="1105">
        <v>587474.70255176246</v>
      </c>
      <c r="D2109" s="1105">
        <v>479797</v>
      </c>
      <c r="F2109" s="1106">
        <v>10.8</v>
      </c>
      <c r="G2109" s="1921" t="s">
        <v>495</v>
      </c>
      <c r="H2109" s="1146">
        <v>63447</v>
      </c>
      <c r="I2109" s="1146">
        <v>51818</v>
      </c>
      <c r="K2109" s="1106"/>
      <c r="L2109" s="1921"/>
      <c r="M2109" s="1106"/>
      <c r="N2109" s="1921"/>
      <c r="O2109" s="1106"/>
      <c r="P2109" s="1921"/>
      <c r="Q2109" s="1106"/>
      <c r="R2109" s="1921"/>
      <c r="S2109" s="1648"/>
      <c r="T2109" s="1648"/>
      <c r="U2109" s="1648"/>
      <c r="V2109" s="1648"/>
      <c r="W2109" s="1648"/>
      <c r="X2109" s="1648"/>
      <c r="Y2109" s="1146"/>
      <c r="Z2109" s="2114">
        <f>C2109-'Blocking-Step2'!C2109</f>
        <v>0</v>
      </c>
      <c r="AA2109" s="2114">
        <f>D2109-'Blocking-Step2'!D2109</f>
        <v>0</v>
      </c>
      <c r="AC2109" s="2114">
        <f>F2109-'Blocking-Step2'!F2109</f>
        <v>0</v>
      </c>
      <c r="AE2109" s="2114">
        <f>H2109-'Blocking-Step2'!H2109</f>
        <v>0</v>
      </c>
      <c r="AF2109" s="2114">
        <f>I2109-'Blocking-Step2'!I2109</f>
        <v>0</v>
      </c>
      <c r="AH2109" s="2136">
        <f>K2109-'Blocking-Step2'!K2109</f>
        <v>0</v>
      </c>
      <c r="AJ2109" s="2136">
        <f>M2109-'Blocking-Step2'!M2109</f>
        <v>0</v>
      </c>
      <c r="AL2109" s="2136">
        <f>O2109-'Blocking-Step2'!O2109</f>
        <v>0</v>
      </c>
      <c r="AN2109" s="2137">
        <f>Q2109-'Blocking-Step2'!Q2109</f>
        <v>0</v>
      </c>
      <c r="AP2109" s="2127">
        <f>S2109-'Blocking-Step2'!S2109</f>
        <v>0</v>
      </c>
      <c r="AR2109" s="2127">
        <f>U2109-'Blocking-Step2'!U2109</f>
        <v>0</v>
      </c>
      <c r="AT2109" s="2127">
        <f>W2109-'Blocking-Step2'!W2109</f>
        <v>0</v>
      </c>
      <c r="AV2109" s="2128">
        <f>Y2109-'Blocking-Step2'!Y2109</f>
        <v>0</v>
      </c>
    </row>
    <row r="2110" spans="1:48" ht="16.5" hidden="1" thickTop="1">
      <c r="A2110" s="1116" t="s">
        <v>159</v>
      </c>
      <c r="C2110" s="1105">
        <v>423867.45300050249</v>
      </c>
      <c r="D2110" s="1105">
        <v>346177</v>
      </c>
      <c r="F2110" s="1106">
        <v>6.0567000000000002</v>
      </c>
      <c r="G2110" s="1921" t="s">
        <v>495</v>
      </c>
      <c r="H2110" s="1146">
        <v>25672</v>
      </c>
      <c r="I2110" s="1146">
        <v>20967</v>
      </c>
      <c r="K2110" s="1106"/>
      <c r="L2110" s="1921"/>
      <c r="M2110" s="1106"/>
      <c r="N2110" s="1921"/>
      <c r="O2110" s="1106"/>
      <c r="P2110" s="1921"/>
      <c r="Q2110" s="1106"/>
      <c r="R2110" s="1921"/>
      <c r="S2110" s="1648"/>
      <c r="T2110" s="1648"/>
      <c r="U2110" s="1648"/>
      <c r="V2110" s="1648"/>
      <c r="W2110" s="1648"/>
      <c r="X2110" s="1648"/>
      <c r="Y2110" s="1146"/>
      <c r="Z2110" s="2114">
        <f>C2110-'Blocking-Step2'!C2110</f>
        <v>0</v>
      </c>
      <c r="AA2110" s="2114">
        <f>D2110-'Blocking-Step2'!D2110</f>
        <v>0</v>
      </c>
      <c r="AC2110" s="2114">
        <f>F2110-'Blocking-Step2'!F2110</f>
        <v>0</v>
      </c>
      <c r="AE2110" s="2114">
        <f>H2110-'Blocking-Step2'!H2110</f>
        <v>0</v>
      </c>
      <c r="AF2110" s="2114">
        <f>I2110-'Blocking-Step2'!I2110</f>
        <v>0</v>
      </c>
      <c r="AH2110" s="2136">
        <f>K2110-'Blocking-Step2'!K2110</f>
        <v>0</v>
      </c>
      <c r="AJ2110" s="2136">
        <f>M2110-'Blocking-Step2'!M2110</f>
        <v>0</v>
      </c>
      <c r="AL2110" s="2136">
        <f>O2110-'Blocking-Step2'!O2110</f>
        <v>0</v>
      </c>
      <c r="AN2110" s="2137">
        <f>Q2110-'Blocking-Step2'!Q2110</f>
        <v>0</v>
      </c>
      <c r="AP2110" s="2127">
        <f>S2110-'Blocking-Step2'!S2110</f>
        <v>0</v>
      </c>
      <c r="AR2110" s="2127">
        <f>U2110-'Blocking-Step2'!U2110</f>
        <v>0</v>
      </c>
      <c r="AT2110" s="2127">
        <f>W2110-'Blocking-Step2'!W2110</f>
        <v>0</v>
      </c>
      <c r="AV2110" s="2128">
        <f>Y2110-'Blocking-Step2'!Y2110</f>
        <v>0</v>
      </c>
    </row>
    <row r="2111" spans="1:48" ht="16.5" hidden="1" thickTop="1">
      <c r="A2111" s="1116" t="s">
        <v>246</v>
      </c>
      <c r="C2111" s="1940">
        <v>7239</v>
      </c>
      <c r="D2111" s="1940">
        <v>0</v>
      </c>
      <c r="H2111" s="1147">
        <v>1014</v>
      </c>
      <c r="I2111" s="1147">
        <v>0</v>
      </c>
      <c r="Y2111" s="1147">
        <v>0</v>
      </c>
      <c r="Z2111" s="2114">
        <f>C2111-'Blocking-Step2'!C2111</f>
        <v>0</v>
      </c>
      <c r="AA2111" s="2114">
        <f>D2111-'Blocking-Step2'!D2111</f>
        <v>0</v>
      </c>
      <c r="AC2111" s="2114">
        <f>F2111-'Blocking-Step2'!F2111</f>
        <v>0</v>
      </c>
      <c r="AE2111" s="2114">
        <f>H2111-'Blocking-Step2'!H2111</f>
        <v>0</v>
      </c>
      <c r="AF2111" s="2114">
        <f>I2111-'Blocking-Step2'!I2111</f>
        <v>0</v>
      </c>
      <c r="AH2111" s="2136">
        <f>K2111-'Blocking-Step2'!K2111</f>
        <v>0</v>
      </c>
      <c r="AJ2111" s="2136">
        <f>M2111-'Blocking-Step2'!M2111</f>
        <v>0</v>
      </c>
      <c r="AL2111" s="2136">
        <f>O2111-'Blocking-Step2'!O2111</f>
        <v>0</v>
      </c>
      <c r="AN2111" s="2137">
        <f>Q2111-'Blocking-Step2'!Q2111</f>
        <v>0</v>
      </c>
      <c r="AP2111" s="2127">
        <f>S2111-'Blocking-Step2'!S2111</f>
        <v>0</v>
      </c>
      <c r="AR2111" s="2127">
        <f>U2111-'Blocking-Step2'!U2111</f>
        <v>0</v>
      </c>
      <c r="AT2111" s="2127">
        <f>W2111-'Blocking-Step2'!W2111</f>
        <v>0</v>
      </c>
      <c r="AV2111" s="2128">
        <f>Y2111-'Blocking-Step2'!Y2111</f>
        <v>0</v>
      </c>
    </row>
    <row r="2112" spans="1:48" ht="16.5" hidden="1" thickTop="1">
      <c r="A2112" s="1116" t="s">
        <v>1240</v>
      </c>
      <c r="C2112" s="1024"/>
      <c r="D2112" s="1024"/>
      <c r="F2112" s="2076">
        <v>-3.3099999999999997E-2</v>
      </c>
      <c r="G2112" s="617"/>
      <c r="H2112" s="1146">
        <v>-3844.9621999999995</v>
      </c>
      <c r="I2112" s="1146">
        <v>-4723.3368999999993</v>
      </c>
      <c r="K2112" s="2076"/>
      <c r="L2112" s="617"/>
      <c r="M2112" s="2076"/>
      <c r="N2112" s="617"/>
      <c r="O2112" s="2077" t="s">
        <v>2323</v>
      </c>
      <c r="P2112" s="617"/>
      <c r="Q2112" s="2076">
        <v>-2.5600000000000001E-2</v>
      </c>
      <c r="R2112" s="617"/>
      <c r="S2112" s="1114"/>
      <c r="T2112" s="1114"/>
      <c r="U2112" s="1114"/>
      <c r="V2112" s="1114"/>
      <c r="W2112" s="1114"/>
      <c r="X2112" s="1114"/>
      <c r="Y2112" s="1146">
        <v>-3540.5312000000004</v>
      </c>
      <c r="Z2112" s="2114">
        <f>C2112-'Blocking-Step2'!C2112</f>
        <v>0</v>
      </c>
      <c r="AA2112" s="2114">
        <f>D2112-'Blocking-Step2'!D2112</f>
        <v>0</v>
      </c>
      <c r="AC2112" s="2114">
        <f>F2112-'Blocking-Step2'!F2112</f>
        <v>0</v>
      </c>
      <c r="AE2112" s="2114">
        <f>H2112-'Blocking-Step2'!H2112</f>
        <v>0</v>
      </c>
      <c r="AF2112" s="2114">
        <f>I2112-'Blocking-Step2'!I2112</f>
        <v>0</v>
      </c>
      <c r="AH2112" s="2136">
        <f>K2112-'Blocking-Step2'!K2112</f>
        <v>0</v>
      </c>
      <c r="AJ2112" s="2136">
        <f>M2112-'Blocking-Step2'!M2112</f>
        <v>0</v>
      </c>
      <c r="AL2112" s="2136" t="e">
        <f>O2112-'Blocking-Step2'!O2112</f>
        <v>#VALUE!</v>
      </c>
      <c r="AN2112" s="2137">
        <f>Q2112-'Blocking-Step2'!Q2112</f>
        <v>0</v>
      </c>
      <c r="AP2112" s="2127">
        <f>S2112-'Blocking-Step2'!S2112</f>
        <v>0</v>
      </c>
      <c r="AR2112" s="2127">
        <f>U2112-'Blocking-Step2'!U2112</f>
        <v>0</v>
      </c>
      <c r="AT2112" s="2127">
        <f>W2112-'Blocking-Step2'!W2112</f>
        <v>0</v>
      </c>
      <c r="AV2112" s="2128">
        <f>Y2112-'Blocking-Step2'!Y2112</f>
        <v>-0.84480000000030486</v>
      </c>
    </row>
    <row r="2113" spans="1:48" ht="16.5" hidden="1" thickTop="1">
      <c r="A2113" s="1116"/>
      <c r="C2113" s="1024"/>
      <c r="D2113" s="1024"/>
      <c r="F2113" s="2076"/>
      <c r="G2113" s="617"/>
      <c r="H2113" s="1146"/>
      <c r="I2113" s="1146"/>
      <c r="K2113" s="2076"/>
      <c r="L2113" s="617"/>
      <c r="M2113" s="2076"/>
      <c r="N2113" s="617"/>
      <c r="O2113" s="2077" t="s">
        <v>2324</v>
      </c>
      <c r="P2113" s="617"/>
      <c r="Q2113" s="2076">
        <v>-1.3899999999999999E-2</v>
      </c>
      <c r="R2113" s="617"/>
      <c r="S2113" s="1114"/>
      <c r="T2113" s="1114"/>
      <c r="U2113" s="1114"/>
      <c r="V2113" s="1114"/>
      <c r="W2113" s="1114"/>
      <c r="X2113" s="1114"/>
      <c r="Y2113" s="1146">
        <v>-1922.3978</v>
      </c>
      <c r="Z2113" s="2114">
        <f>C2113-'Blocking-Step2'!C2113</f>
        <v>0</v>
      </c>
      <c r="AA2113" s="2114">
        <f>D2113-'Blocking-Step2'!D2113</f>
        <v>0</v>
      </c>
      <c r="AC2113" s="2114">
        <f>F2113-'Blocking-Step2'!F2113</f>
        <v>0</v>
      </c>
      <c r="AE2113" s="2114">
        <f>H2113-'Blocking-Step2'!H2113</f>
        <v>0</v>
      </c>
      <c r="AF2113" s="2114">
        <f>I2113-'Blocking-Step2'!I2113</f>
        <v>0</v>
      </c>
      <c r="AH2113" s="2136">
        <f>K2113-'Blocking-Step2'!K2113</f>
        <v>0</v>
      </c>
      <c r="AJ2113" s="2136">
        <f>M2113-'Blocking-Step2'!M2113</f>
        <v>0</v>
      </c>
      <c r="AL2113" s="2136" t="e">
        <f>O2113-'Blocking-Step2'!O2113</f>
        <v>#VALUE!</v>
      </c>
      <c r="AN2113" s="2137">
        <f>Q2113-'Blocking-Step2'!Q2113</f>
        <v>0</v>
      </c>
      <c r="AP2113" s="2127">
        <f>S2113-'Blocking-Step2'!S2113</f>
        <v>0</v>
      </c>
      <c r="AR2113" s="2127">
        <f>U2113-'Blocking-Step2'!U2113</f>
        <v>0</v>
      </c>
      <c r="AT2113" s="2127">
        <f>W2113-'Blocking-Step2'!W2113</f>
        <v>0</v>
      </c>
      <c r="AV2113" s="2128">
        <f>Y2113-'Blocking-Step2'!Y2113</f>
        <v>-0.45870000000013533</v>
      </c>
    </row>
    <row r="2114" spans="1:48" ht="17.25" hidden="1" thickTop="1" thickBot="1">
      <c r="A2114" s="1116" t="s">
        <v>247</v>
      </c>
      <c r="C2114" s="1138">
        <v>1284134.0194802855</v>
      </c>
      <c r="D2114" s="1138">
        <v>1559342.4796706466</v>
      </c>
      <c r="F2114" s="1145"/>
      <c r="H2114" s="1149">
        <v>165726.03779999999</v>
      </c>
      <c r="I2114" s="1149">
        <v>197135.66310000001</v>
      </c>
      <c r="K2114" s="1145"/>
      <c r="M2114" s="1145"/>
      <c r="O2114" s="1145"/>
      <c r="P2114" s="617"/>
      <c r="Q2114" s="1145"/>
      <c r="R2114" s="617"/>
      <c r="S2114" s="1154">
        <v>85712</v>
      </c>
      <c r="T2114" s="1114"/>
      <c r="U2114" s="1154">
        <v>77442</v>
      </c>
      <c r="V2114" s="1114"/>
      <c r="W2114" s="1154">
        <v>34308</v>
      </c>
      <c r="X2114" s="1114"/>
      <c r="Y2114" s="1154">
        <v>197462</v>
      </c>
      <c r="Z2114" s="2114">
        <f>C2114-'Blocking-Step2'!C2114</f>
        <v>0</v>
      </c>
      <c r="AA2114" s="2114">
        <f>D2114-'Blocking-Step2'!D2114</f>
        <v>0</v>
      </c>
      <c r="AC2114" s="2114">
        <f>F2114-'Blocking-Step2'!F2114</f>
        <v>0</v>
      </c>
      <c r="AE2114" s="2114">
        <f>H2114-'Blocking-Step2'!H2114</f>
        <v>0</v>
      </c>
      <c r="AF2114" s="2114">
        <f>I2114-'Blocking-Step2'!I2114</f>
        <v>0</v>
      </c>
      <c r="AH2114" s="2136">
        <f>K2114-'Blocking-Step2'!K2114</f>
        <v>0</v>
      </c>
      <c r="AJ2114" s="2136">
        <f>M2114-'Blocking-Step2'!M2114</f>
        <v>0</v>
      </c>
      <c r="AL2114" s="2136">
        <f>O2114-'Blocking-Step2'!O2114</f>
        <v>0</v>
      </c>
      <c r="AN2114" s="2137">
        <f>Q2114-'Blocking-Step2'!Q2114</f>
        <v>0</v>
      </c>
      <c r="AP2114" s="2127">
        <f>S2114-'Blocking-Step2'!S2114</f>
        <v>-22972</v>
      </c>
      <c r="AR2114" s="2127">
        <f>U2114-'Blocking-Step2'!U2114</f>
        <v>23006</v>
      </c>
      <c r="AT2114" s="2127">
        <f>W2114-'Blocking-Step2'!W2114</f>
        <v>0</v>
      </c>
      <c r="AV2114" s="2128">
        <f>Y2114-'Blocking-Step2'!Y2114</f>
        <v>33</v>
      </c>
    </row>
    <row r="2115" spans="1:48" ht="16.5" hidden="1" thickTop="1">
      <c r="O2115" s="1109"/>
      <c r="Q2115" s="1109"/>
      <c r="Y2115" s="1114"/>
      <c r="Z2115" s="2114">
        <f>C2115-'Blocking-Step2'!C2115</f>
        <v>0</v>
      </c>
      <c r="AA2115" s="2114">
        <f>D2115-'Blocking-Step2'!D2115</f>
        <v>0</v>
      </c>
      <c r="AC2115" s="2114">
        <f>F2115-'Blocking-Step2'!F2115</f>
        <v>0</v>
      </c>
      <c r="AE2115" s="2114">
        <f>H2115-'Blocking-Step2'!H2115</f>
        <v>0</v>
      </c>
      <c r="AF2115" s="2114">
        <f>I2115-'Blocking-Step2'!I2115</f>
        <v>0</v>
      </c>
      <c r="AH2115" s="2136">
        <f>K2115-'Blocking-Step2'!K2115</f>
        <v>0</v>
      </c>
      <c r="AJ2115" s="2136">
        <f>M2115-'Blocking-Step2'!M2115</f>
        <v>0</v>
      </c>
      <c r="AL2115" s="2136">
        <f>O2115-'Blocking-Step2'!O2115</f>
        <v>0</v>
      </c>
      <c r="AN2115" s="2137">
        <f>Q2115-'Blocking-Step2'!Q2115</f>
        <v>0</v>
      </c>
      <c r="AP2115" s="2127">
        <f>S2115-'Blocking-Step2'!S2115</f>
        <v>0</v>
      </c>
      <c r="AR2115" s="2127">
        <f>U2115-'Blocking-Step2'!U2115</f>
        <v>0</v>
      </c>
      <c r="AT2115" s="2127">
        <f>W2115-'Blocking-Step2'!W2115</f>
        <v>0</v>
      </c>
      <c r="AV2115" s="2128">
        <f>Y2115-'Blocking-Step2'!Y2115</f>
        <v>0</v>
      </c>
    </row>
    <row r="2116" spans="1:48" ht="16.5" hidden="1" thickTop="1">
      <c r="A2116" s="1115" t="s">
        <v>1013</v>
      </c>
      <c r="C2116" s="1105"/>
      <c r="D2116" s="1105"/>
      <c r="Z2116" s="2114">
        <f>C2116-'Blocking-Step2'!C2116</f>
        <v>0</v>
      </c>
      <c r="AA2116" s="2114">
        <f>D2116-'Blocking-Step2'!D2116</f>
        <v>0</v>
      </c>
      <c r="AC2116" s="2114">
        <f>F2116-'Blocking-Step2'!F2116</f>
        <v>0</v>
      </c>
      <c r="AE2116" s="2114">
        <f>H2116-'Blocking-Step2'!H2116</f>
        <v>0</v>
      </c>
      <c r="AF2116" s="2114">
        <f>I2116-'Blocking-Step2'!I2116</f>
        <v>0</v>
      </c>
      <c r="AH2116" s="2136">
        <f>K2116-'Blocking-Step2'!K2116</f>
        <v>0</v>
      </c>
      <c r="AJ2116" s="2136">
        <f>M2116-'Blocking-Step2'!M2116</f>
        <v>0</v>
      </c>
      <c r="AL2116" s="2136">
        <f>O2116-'Blocking-Step2'!O2116</f>
        <v>0</v>
      </c>
      <c r="AN2116" s="2137">
        <f>Q2116-'Blocking-Step2'!Q2116</f>
        <v>0</v>
      </c>
      <c r="AP2116" s="2127">
        <f>S2116-'Blocking-Step2'!S2116</f>
        <v>0</v>
      </c>
      <c r="AR2116" s="2127">
        <f>U2116-'Blocking-Step2'!U2116</f>
        <v>0</v>
      </c>
      <c r="AT2116" s="2127">
        <f>W2116-'Blocking-Step2'!W2116</f>
        <v>0</v>
      </c>
      <c r="AV2116" s="2128">
        <f>Y2116-'Blocking-Step2'!Y2116</f>
        <v>0</v>
      </c>
    </row>
    <row r="2117" spans="1:48" ht="16.5" hidden="1" thickTop="1">
      <c r="A2117" s="1116" t="s">
        <v>240</v>
      </c>
      <c r="C2117" s="1105">
        <v>9847.2289999999903</v>
      </c>
      <c r="D2117" s="1105">
        <v>12360</v>
      </c>
      <c r="F2117" s="1142">
        <v>10</v>
      </c>
      <c r="G2117" s="617"/>
      <c r="H2117" s="1146">
        <v>98472</v>
      </c>
      <c r="I2117" s="1146">
        <v>123600</v>
      </c>
      <c r="K2117" s="1142">
        <v>10</v>
      </c>
      <c r="L2117" s="617"/>
      <c r="M2117" s="1142">
        <v>0</v>
      </c>
      <c r="N2117" s="617"/>
      <c r="O2117" s="1142">
        <v>0</v>
      </c>
      <c r="P2117" s="617"/>
      <c r="Q2117" s="1142">
        <v>10</v>
      </c>
      <c r="R2117" s="617"/>
      <c r="S2117" s="1146">
        <v>123600</v>
      </c>
      <c r="T2117" s="1114"/>
      <c r="U2117" s="1146">
        <v>0</v>
      </c>
      <c r="V2117" s="1114"/>
      <c r="W2117" s="1146">
        <v>0</v>
      </c>
      <c r="X2117" s="1114"/>
      <c r="Y2117" s="1146">
        <v>123600</v>
      </c>
      <c r="Z2117" s="2114">
        <f>C2117-'Blocking-Step2'!C2117</f>
        <v>0</v>
      </c>
      <c r="AA2117" s="2114">
        <f>D2117-'Blocking-Step2'!D2117</f>
        <v>0</v>
      </c>
      <c r="AC2117" s="2114">
        <f>F2117-'Blocking-Step2'!F2117</f>
        <v>0</v>
      </c>
      <c r="AE2117" s="2114">
        <f>H2117-'Blocking-Step2'!H2117</f>
        <v>0</v>
      </c>
      <c r="AF2117" s="2114">
        <f>I2117-'Blocking-Step2'!I2117</f>
        <v>0</v>
      </c>
      <c r="AH2117" s="2136">
        <f>K2117-'Blocking-Step2'!K2117</f>
        <v>0</v>
      </c>
      <c r="AJ2117" s="2136">
        <f>M2117-'Blocking-Step2'!M2117</f>
        <v>0</v>
      </c>
      <c r="AL2117" s="2136">
        <f>O2117-'Blocking-Step2'!O2117</f>
        <v>0</v>
      </c>
      <c r="AN2117" s="2137">
        <f>Q2117-'Blocking-Step2'!Q2117</f>
        <v>0</v>
      </c>
      <c r="AP2117" s="2127">
        <f>S2117-'Blocking-Step2'!S2117</f>
        <v>0</v>
      </c>
      <c r="AR2117" s="2127">
        <f>U2117-'Blocking-Step2'!U2117</f>
        <v>0</v>
      </c>
      <c r="AT2117" s="2127">
        <f>W2117-'Blocking-Step2'!W2117</f>
        <v>0</v>
      </c>
      <c r="AV2117" s="2128">
        <f>Y2117-'Blocking-Step2'!Y2117</f>
        <v>0</v>
      </c>
    </row>
    <row r="2118" spans="1:48" ht="16.5" hidden="1" thickTop="1">
      <c r="A2118" s="1116" t="s">
        <v>262</v>
      </c>
      <c r="C2118" s="1105">
        <v>0</v>
      </c>
      <c r="D2118" s="1105">
        <v>0</v>
      </c>
      <c r="F2118" s="1142">
        <v>120</v>
      </c>
      <c r="G2118" s="617"/>
      <c r="H2118" s="1146">
        <v>0</v>
      </c>
      <c r="I2118" s="1146">
        <v>0</v>
      </c>
      <c r="K2118" s="1142">
        <v>117</v>
      </c>
      <c r="L2118" s="617"/>
      <c r="M2118" s="1142">
        <v>0</v>
      </c>
      <c r="N2118" s="617"/>
      <c r="O2118" s="1142">
        <v>0</v>
      </c>
      <c r="P2118" s="617"/>
      <c r="Q2118" s="1142">
        <v>117</v>
      </c>
      <c r="R2118" s="617"/>
      <c r="S2118" s="1146">
        <v>0</v>
      </c>
      <c r="T2118" s="1114"/>
      <c r="U2118" s="1146">
        <v>0</v>
      </c>
      <c r="V2118" s="1114"/>
      <c r="W2118" s="1146">
        <v>0</v>
      </c>
      <c r="X2118" s="1114"/>
      <c r="Y2118" s="1146">
        <v>0</v>
      </c>
      <c r="Z2118" s="2114">
        <f>C2118-'Blocking-Step2'!C2118</f>
        <v>0</v>
      </c>
      <c r="AA2118" s="2114">
        <f>D2118-'Blocking-Step2'!D2118</f>
        <v>0</v>
      </c>
      <c r="AC2118" s="2114">
        <f>F2118-'Blocking-Step2'!F2118</f>
        <v>0</v>
      </c>
      <c r="AE2118" s="2114">
        <f>H2118-'Blocking-Step2'!H2118</f>
        <v>0</v>
      </c>
      <c r="AF2118" s="2114">
        <f>I2118-'Blocking-Step2'!I2118</f>
        <v>0</v>
      </c>
      <c r="AH2118" s="2136">
        <f>K2118-'Blocking-Step2'!K2118</f>
        <v>0</v>
      </c>
      <c r="AJ2118" s="2136">
        <f>M2118-'Blocking-Step2'!M2118</f>
        <v>0</v>
      </c>
      <c r="AL2118" s="2136">
        <f>O2118-'Blocking-Step2'!O2118</f>
        <v>0</v>
      </c>
      <c r="AN2118" s="2137">
        <f>Q2118-'Blocking-Step2'!Q2118</f>
        <v>0</v>
      </c>
      <c r="AP2118" s="2127">
        <f>S2118-'Blocking-Step2'!S2118</f>
        <v>0</v>
      </c>
      <c r="AR2118" s="2127">
        <f>U2118-'Blocking-Step2'!U2118</f>
        <v>0</v>
      </c>
      <c r="AT2118" s="2127">
        <f>W2118-'Blocking-Step2'!W2118</f>
        <v>0</v>
      </c>
      <c r="AV2118" s="2128">
        <f>Y2118-'Blocking-Step2'!Y2118</f>
        <v>0</v>
      </c>
    </row>
    <row r="2119" spans="1:48" ht="16.5" hidden="1" thickTop="1">
      <c r="A2119" s="1116" t="s">
        <v>1298</v>
      </c>
      <c r="C2119" s="1105">
        <v>8.2669999999999995</v>
      </c>
      <c r="D2119" s="1105">
        <v>10</v>
      </c>
      <c r="F2119" s="1142">
        <v>10</v>
      </c>
      <c r="G2119" s="617"/>
      <c r="H2119" s="1146">
        <v>83</v>
      </c>
      <c r="I2119" s="1146">
        <v>100</v>
      </c>
      <c r="K2119" s="1142">
        <v>10</v>
      </c>
      <c r="L2119" s="617"/>
      <c r="M2119" s="1142">
        <v>0</v>
      </c>
      <c r="N2119" s="617"/>
      <c r="O2119" s="1142">
        <v>0</v>
      </c>
      <c r="P2119" s="617"/>
      <c r="Q2119" s="1142">
        <v>10</v>
      </c>
      <c r="R2119" s="617"/>
      <c r="S2119" s="1146">
        <v>100</v>
      </c>
      <c r="T2119" s="1114"/>
      <c r="U2119" s="1146">
        <v>0</v>
      </c>
      <c r="V2119" s="1114"/>
      <c r="W2119" s="1146">
        <v>0</v>
      </c>
      <c r="X2119" s="1114"/>
      <c r="Y2119" s="1146">
        <v>100</v>
      </c>
      <c r="Z2119" s="2114">
        <f>C2119-'Blocking-Step2'!C2119</f>
        <v>0</v>
      </c>
      <c r="AA2119" s="2114">
        <f>D2119-'Blocking-Step2'!D2119</f>
        <v>0</v>
      </c>
      <c r="AC2119" s="2114">
        <f>F2119-'Blocking-Step2'!F2119</f>
        <v>0</v>
      </c>
      <c r="AE2119" s="2114">
        <f>H2119-'Blocking-Step2'!H2119</f>
        <v>0</v>
      </c>
      <c r="AF2119" s="2114">
        <f>I2119-'Blocking-Step2'!I2119</f>
        <v>0</v>
      </c>
      <c r="AH2119" s="2136">
        <f>K2119-'Blocking-Step2'!K2119</f>
        <v>0</v>
      </c>
      <c r="AJ2119" s="2136">
        <f>M2119-'Blocking-Step2'!M2119</f>
        <v>0</v>
      </c>
      <c r="AL2119" s="2136">
        <f>O2119-'Blocking-Step2'!O2119</f>
        <v>0</v>
      </c>
      <c r="AN2119" s="2137">
        <f>Q2119-'Blocking-Step2'!Q2119</f>
        <v>0</v>
      </c>
      <c r="AP2119" s="2127">
        <f>S2119-'Blocking-Step2'!S2119</f>
        <v>0</v>
      </c>
      <c r="AR2119" s="2127">
        <f>U2119-'Blocking-Step2'!U2119</f>
        <v>0</v>
      </c>
      <c r="AT2119" s="2127">
        <f>W2119-'Blocking-Step2'!W2119</f>
        <v>0</v>
      </c>
      <c r="AV2119" s="2128">
        <f>Y2119-'Blocking-Step2'!Y2119</f>
        <v>0</v>
      </c>
    </row>
    <row r="2120" spans="1:48" ht="16.5" hidden="1" thickTop="1">
      <c r="A2120" s="1116" t="s">
        <v>1654</v>
      </c>
      <c r="C2120" s="1105">
        <v>4896.6213224299172</v>
      </c>
      <c r="D2120" s="1105">
        <v>6207</v>
      </c>
      <c r="F2120" s="1142"/>
      <c r="G2120" s="617"/>
      <c r="H2120" s="1146"/>
      <c r="I2120" s="1146"/>
      <c r="K2120" s="1142">
        <v>8.89</v>
      </c>
      <c r="L2120" s="617"/>
      <c r="M2120" s="1142">
        <v>0</v>
      </c>
      <c r="N2120" s="617"/>
      <c r="O2120" s="1142">
        <v>0</v>
      </c>
      <c r="P2120" s="617"/>
      <c r="Q2120" s="1142">
        <v>8.89</v>
      </c>
      <c r="R2120" s="617"/>
      <c r="S2120" s="1146">
        <v>55180</v>
      </c>
      <c r="T2120" s="1114"/>
      <c r="U2120" s="1146">
        <v>0</v>
      </c>
      <c r="V2120" s="1114"/>
      <c r="W2120" s="1146">
        <v>0</v>
      </c>
      <c r="X2120" s="1114"/>
      <c r="Y2120" s="1146">
        <v>55180</v>
      </c>
      <c r="Z2120" s="2114">
        <f>C2120-'Blocking-Step2'!C2120</f>
        <v>0</v>
      </c>
      <c r="AA2120" s="2114">
        <f>D2120-'Blocking-Step2'!D2120</f>
        <v>0</v>
      </c>
      <c r="AC2120" s="2114">
        <f>F2120-'Blocking-Step2'!F2120</f>
        <v>0</v>
      </c>
      <c r="AE2120" s="2114">
        <f>H2120-'Blocking-Step2'!H2120</f>
        <v>0</v>
      </c>
      <c r="AF2120" s="2114">
        <f>I2120-'Blocking-Step2'!I2120</f>
        <v>0</v>
      </c>
      <c r="AH2120" s="2136">
        <f>K2120-'Blocking-Step2'!K2120</f>
        <v>0</v>
      </c>
      <c r="AJ2120" s="2136">
        <f>M2120-'Blocking-Step2'!M2120</f>
        <v>0</v>
      </c>
      <c r="AL2120" s="2136">
        <f>O2120-'Blocking-Step2'!O2120</f>
        <v>0</v>
      </c>
      <c r="AN2120" s="2137">
        <f>Q2120-'Blocking-Step2'!Q2120</f>
        <v>0</v>
      </c>
      <c r="AP2120" s="2127">
        <f>S2120-'Blocking-Step2'!S2120</f>
        <v>0</v>
      </c>
      <c r="AR2120" s="2127">
        <f>U2120-'Blocking-Step2'!U2120</f>
        <v>0</v>
      </c>
      <c r="AT2120" s="2127">
        <f>W2120-'Blocking-Step2'!W2120</f>
        <v>0</v>
      </c>
      <c r="AV2120" s="2128">
        <f>Y2120-'Blocking-Step2'!Y2120</f>
        <v>0</v>
      </c>
    </row>
    <row r="2121" spans="1:48" ht="16.5" hidden="1" thickTop="1">
      <c r="A2121" s="1116" t="s">
        <v>1655</v>
      </c>
      <c r="C2121" s="1105">
        <v>7094.8798402835228</v>
      </c>
      <c r="D2121" s="1105">
        <v>8993</v>
      </c>
      <c r="F2121" s="1142"/>
      <c r="G2121" s="617"/>
      <c r="H2121" s="1146"/>
      <c r="I2121" s="1146"/>
      <c r="K2121" s="1142">
        <v>7.87</v>
      </c>
      <c r="L2121" s="617"/>
      <c r="M2121" s="1142">
        <v>0</v>
      </c>
      <c r="N2121" s="617"/>
      <c r="O2121" s="1142">
        <v>0</v>
      </c>
      <c r="P2121" s="617"/>
      <c r="Q2121" s="1142">
        <v>7.87</v>
      </c>
      <c r="R2121" s="617"/>
      <c r="S2121" s="1146">
        <v>70775</v>
      </c>
      <c r="T2121" s="1114"/>
      <c r="U2121" s="1146">
        <v>0</v>
      </c>
      <c r="V2121" s="1114"/>
      <c r="W2121" s="1146">
        <v>0</v>
      </c>
      <c r="X2121" s="1114"/>
      <c r="Y2121" s="1146">
        <v>70775</v>
      </c>
      <c r="Z2121" s="2114">
        <f>C2121-'Blocking-Step2'!C2121</f>
        <v>0</v>
      </c>
      <c r="AA2121" s="2114">
        <f>D2121-'Blocking-Step2'!D2121</f>
        <v>0</v>
      </c>
      <c r="AC2121" s="2114">
        <f>F2121-'Blocking-Step2'!F2121</f>
        <v>0</v>
      </c>
      <c r="AE2121" s="2114">
        <f>H2121-'Blocking-Step2'!H2121</f>
        <v>0</v>
      </c>
      <c r="AF2121" s="2114">
        <f>I2121-'Blocking-Step2'!I2121</f>
        <v>0</v>
      </c>
      <c r="AH2121" s="2136">
        <f>K2121-'Blocking-Step2'!K2121</f>
        <v>0</v>
      </c>
      <c r="AJ2121" s="2136">
        <f>M2121-'Blocking-Step2'!M2121</f>
        <v>0</v>
      </c>
      <c r="AL2121" s="2136">
        <f>O2121-'Blocking-Step2'!O2121</f>
        <v>0</v>
      </c>
      <c r="AN2121" s="2137">
        <f>Q2121-'Blocking-Step2'!Q2121</f>
        <v>0</v>
      </c>
      <c r="AP2121" s="2127">
        <f>S2121-'Blocking-Step2'!S2121</f>
        <v>0</v>
      </c>
      <c r="AR2121" s="2127">
        <f>U2121-'Blocking-Step2'!U2121</f>
        <v>0</v>
      </c>
      <c r="AT2121" s="2127">
        <f>W2121-'Blocking-Step2'!W2121</f>
        <v>0</v>
      </c>
      <c r="AV2121" s="2128">
        <f>Y2121-'Blocking-Step2'!Y2121</f>
        <v>0</v>
      </c>
    </row>
    <row r="2122" spans="1:48" ht="16.5" hidden="1" thickTop="1">
      <c r="A2122" s="1116" t="s">
        <v>1656</v>
      </c>
      <c r="C2122" s="1105">
        <v>1336520.0424274232</v>
      </c>
      <c r="D2122" s="1105">
        <v>1826490.0645065326</v>
      </c>
      <c r="F2122" s="1106"/>
      <c r="G2122" s="1921"/>
      <c r="H2122" s="1146"/>
      <c r="I2122" s="1146"/>
      <c r="K2122" s="1106">
        <v>1.4671000000000001</v>
      </c>
      <c r="L2122" s="1921" t="s">
        <v>495</v>
      </c>
      <c r="M2122" s="1106">
        <v>7.9411934380819993</v>
      </c>
      <c r="N2122" s="1921" t="s">
        <v>495</v>
      </c>
      <c r="O2122" s="1106">
        <v>2.3066</v>
      </c>
      <c r="P2122" s="1921" t="s">
        <v>495</v>
      </c>
      <c r="Q2122" s="1106">
        <v>11.714893438081999</v>
      </c>
      <c r="R2122" s="1921" t="s">
        <v>495</v>
      </c>
      <c r="S2122" s="1146">
        <v>26796</v>
      </c>
      <c r="T2122" s="1648"/>
      <c r="U2122" s="1146">
        <v>145045</v>
      </c>
      <c r="V2122" s="1648"/>
      <c r="W2122" s="1146">
        <v>42130</v>
      </c>
      <c r="X2122" s="1648"/>
      <c r="Y2122" s="1146">
        <v>213971</v>
      </c>
      <c r="Z2122" s="2114">
        <f>C2122-'Blocking-Step2'!C2122</f>
        <v>0</v>
      </c>
      <c r="AA2122" s="2114">
        <f>D2122-'Blocking-Step2'!D2122</f>
        <v>0</v>
      </c>
      <c r="AC2122" s="2114">
        <f>F2122-'Blocking-Step2'!F2122</f>
        <v>0</v>
      </c>
      <c r="AE2122" s="2114">
        <f>H2122-'Blocking-Step2'!H2122</f>
        <v>0</v>
      </c>
      <c r="AF2122" s="2114">
        <f>I2122-'Blocking-Step2'!I2122</f>
        <v>0</v>
      </c>
      <c r="AH2122" s="2136">
        <f>K2122-'Blocking-Step2'!K2122</f>
        <v>-1.4732000000000001</v>
      </c>
      <c r="AJ2122" s="2136">
        <f>M2122-'Blocking-Step2'!M2122</f>
        <v>1.4755465414459987</v>
      </c>
      <c r="AL2122" s="2136">
        <f>O2122-'Blocking-Step2'!O2122</f>
        <v>0</v>
      </c>
      <c r="AN2122" s="2137">
        <f>Q2122-'Blocking-Step2'!Q2122</f>
        <v>2.3465414459984402E-3</v>
      </c>
      <c r="AP2122" s="2127">
        <f>S2122-'Blocking-Step2'!S2122</f>
        <v>-26908</v>
      </c>
      <c r="AR2122" s="2127">
        <f>U2122-'Blocking-Step2'!U2122</f>
        <v>26951</v>
      </c>
      <c r="AT2122" s="2127">
        <f>W2122-'Blocking-Step2'!W2122</f>
        <v>0</v>
      </c>
      <c r="AV2122" s="2128">
        <f>Y2122-'Blocking-Step2'!Y2122</f>
        <v>42</v>
      </c>
    </row>
    <row r="2123" spans="1:48" ht="16.5" hidden="1" thickTop="1">
      <c r="A2123" s="1116" t="s">
        <v>1657</v>
      </c>
      <c r="C2123" s="1105">
        <v>1327682.1209296016</v>
      </c>
      <c r="D2123" s="1105">
        <v>1814411</v>
      </c>
      <c r="F2123" s="1106"/>
      <c r="G2123" s="1921"/>
      <c r="H2123" s="1146"/>
      <c r="I2123" s="1146"/>
      <c r="K2123" s="1106">
        <v>1.4671000000000001</v>
      </c>
      <c r="L2123" s="1921" t="s">
        <v>495</v>
      </c>
      <c r="M2123" s="1106">
        <v>2.7858934380819993</v>
      </c>
      <c r="N2123" s="1921" t="s">
        <v>495</v>
      </c>
      <c r="O2123" s="1106">
        <v>2.3066</v>
      </c>
      <c r="P2123" s="1921" t="s">
        <v>495</v>
      </c>
      <c r="Q2123" s="1106">
        <v>6.5595934380819996</v>
      </c>
      <c r="R2123" s="1921" t="s">
        <v>495</v>
      </c>
      <c r="S2123" s="1146">
        <v>26619</v>
      </c>
      <c r="T2123" s="1648"/>
      <c r="U2123" s="1146">
        <v>50548</v>
      </c>
      <c r="V2123" s="1648"/>
      <c r="W2123" s="1146">
        <v>41851</v>
      </c>
      <c r="X2123" s="1648"/>
      <c r="Y2123" s="1146">
        <v>119018</v>
      </c>
      <c r="Z2123" s="2114">
        <f>C2123-'Blocking-Step2'!C2123</f>
        <v>0</v>
      </c>
      <c r="AA2123" s="2114">
        <f>D2123-'Blocking-Step2'!D2123</f>
        <v>0</v>
      </c>
      <c r="AC2123" s="2114">
        <f>F2123-'Blocking-Step2'!F2123</f>
        <v>0</v>
      </c>
      <c r="AE2123" s="2114">
        <f>H2123-'Blocking-Step2'!H2123</f>
        <v>0</v>
      </c>
      <c r="AF2123" s="2114">
        <f>I2123-'Blocking-Step2'!I2123</f>
        <v>0</v>
      </c>
      <c r="AH2123" s="2136">
        <f>K2123-'Blocking-Step2'!K2123</f>
        <v>-1.4732000000000001</v>
      </c>
      <c r="AJ2123" s="2136">
        <f>M2123-'Blocking-Step2'!M2123</f>
        <v>1.4755465414459983</v>
      </c>
      <c r="AL2123" s="2136">
        <f>O2123-'Blocking-Step2'!O2123</f>
        <v>0</v>
      </c>
      <c r="AN2123" s="2137">
        <f>Q2123-'Blocking-Step2'!Q2123</f>
        <v>2.3465414459984402E-3</v>
      </c>
      <c r="AP2123" s="2127">
        <f>S2123-'Blocking-Step2'!S2123</f>
        <v>-26730</v>
      </c>
      <c r="AR2123" s="2127">
        <f>U2123-'Blocking-Step2'!U2123</f>
        <v>26773</v>
      </c>
      <c r="AT2123" s="2127">
        <f>W2123-'Blocking-Step2'!W2123</f>
        <v>0</v>
      </c>
      <c r="AV2123" s="2128">
        <f>Y2123-'Blocking-Step2'!Y2123</f>
        <v>43</v>
      </c>
    </row>
    <row r="2124" spans="1:48" ht="16.5" hidden="1" thickTop="1">
      <c r="A2124" s="1116" t="s">
        <v>1658</v>
      </c>
      <c r="C2124" s="1105">
        <v>3676633.0226886645</v>
      </c>
      <c r="D2124" s="1105">
        <v>4557220</v>
      </c>
      <c r="F2124" s="1106"/>
      <c r="G2124" s="1921"/>
      <c r="H2124" s="1146"/>
      <c r="I2124" s="1146"/>
      <c r="K2124" s="1106">
        <v>1.4671000000000001</v>
      </c>
      <c r="L2124" s="1921" t="s">
        <v>495</v>
      </c>
      <c r="M2124" s="1106">
        <v>6.7850000000000001</v>
      </c>
      <c r="N2124" s="1921" t="s">
        <v>495</v>
      </c>
      <c r="O2124" s="1106">
        <v>2.1151</v>
      </c>
      <c r="P2124" s="1921" t="s">
        <v>495</v>
      </c>
      <c r="Q2124" s="1106">
        <v>10.3672</v>
      </c>
      <c r="R2124" s="1921" t="s">
        <v>495</v>
      </c>
      <c r="S2124" s="1146">
        <v>66859</v>
      </c>
      <c r="T2124" s="1648"/>
      <c r="U2124" s="1146">
        <v>309207</v>
      </c>
      <c r="V2124" s="1648"/>
      <c r="W2124" s="1146">
        <v>96390</v>
      </c>
      <c r="X2124" s="1648"/>
      <c r="Y2124" s="1146">
        <v>472456</v>
      </c>
      <c r="Z2124" s="2114">
        <f>C2124-'Blocking-Step2'!C2124</f>
        <v>0</v>
      </c>
      <c r="AA2124" s="2114">
        <f>D2124-'Blocking-Step2'!D2124</f>
        <v>0</v>
      </c>
      <c r="AC2124" s="2114">
        <f>F2124-'Blocking-Step2'!F2124</f>
        <v>0</v>
      </c>
      <c r="AE2124" s="2114">
        <f>H2124-'Blocking-Step2'!H2124</f>
        <v>0</v>
      </c>
      <c r="AF2124" s="2114">
        <f>I2124-'Blocking-Step2'!I2124</f>
        <v>0</v>
      </c>
      <c r="AH2124" s="2136">
        <f>K2124-'Blocking-Step2'!K2124</f>
        <v>-1.4732000000000001</v>
      </c>
      <c r="AJ2124" s="2136">
        <f>M2124-'Blocking-Step2'!M2124</f>
        <v>1.4753000000000007</v>
      </c>
      <c r="AL2124" s="2136">
        <f>O2124-'Blocking-Step2'!O2124</f>
        <v>0</v>
      </c>
      <c r="AN2124" s="2137">
        <f>Q2124-'Blocking-Step2'!Q2124</f>
        <v>2.1000000000004349E-3</v>
      </c>
      <c r="AP2124" s="2127">
        <f>S2124-'Blocking-Step2'!S2124</f>
        <v>-67137</v>
      </c>
      <c r="AR2124" s="2127">
        <f>U2124-'Blocking-Step2'!U2124</f>
        <v>67232</v>
      </c>
      <c r="AT2124" s="2127">
        <f>W2124-'Blocking-Step2'!W2124</f>
        <v>0</v>
      </c>
      <c r="AV2124" s="2128">
        <f>Y2124-'Blocking-Step2'!Y2124</f>
        <v>96</v>
      </c>
    </row>
    <row r="2125" spans="1:48" ht="16.5" hidden="1" thickTop="1">
      <c r="A2125" s="1116" t="s">
        <v>1659</v>
      </c>
      <c r="C2125" s="1105">
        <v>3389052.5744798062</v>
      </c>
      <c r="D2125" s="1105">
        <v>4200761</v>
      </c>
      <c r="F2125" s="1106"/>
      <c r="G2125" s="1921"/>
      <c r="H2125" s="1146"/>
      <c r="I2125" s="1146"/>
      <c r="K2125" s="1106">
        <v>1.4671000000000001</v>
      </c>
      <c r="L2125" s="1921" t="s">
        <v>495</v>
      </c>
      <c r="M2125" s="1106">
        <v>2.2226999999999997</v>
      </c>
      <c r="N2125" s="1921" t="s">
        <v>495</v>
      </c>
      <c r="O2125" s="1106">
        <v>2.1151</v>
      </c>
      <c r="P2125" s="1921" t="s">
        <v>495</v>
      </c>
      <c r="Q2125" s="1106">
        <v>5.8048999999999999</v>
      </c>
      <c r="R2125" s="1921" t="s">
        <v>495</v>
      </c>
      <c r="S2125" s="1146">
        <v>61629</v>
      </c>
      <c r="T2125" s="1648"/>
      <c r="U2125" s="1146">
        <v>93370</v>
      </c>
      <c r="V2125" s="1648"/>
      <c r="W2125" s="1146">
        <v>88850</v>
      </c>
      <c r="X2125" s="1648"/>
      <c r="Y2125" s="1146">
        <v>243850</v>
      </c>
      <c r="Z2125" s="2114">
        <f>C2125-'Blocking-Step2'!C2125</f>
        <v>0</v>
      </c>
      <c r="AA2125" s="2114">
        <f>D2125-'Blocking-Step2'!D2125</f>
        <v>0</v>
      </c>
      <c r="AC2125" s="2114">
        <f>F2125-'Blocking-Step2'!F2125</f>
        <v>0</v>
      </c>
      <c r="AE2125" s="2114">
        <f>H2125-'Blocking-Step2'!H2125</f>
        <v>0</v>
      </c>
      <c r="AF2125" s="2114">
        <f>I2125-'Blocking-Step2'!I2125</f>
        <v>0</v>
      </c>
      <c r="AH2125" s="2136">
        <f>K2125-'Blocking-Step2'!K2125</f>
        <v>-1.4732000000000001</v>
      </c>
      <c r="AJ2125" s="2136">
        <f>M2125-'Blocking-Step2'!M2125</f>
        <v>1.4751999999999996</v>
      </c>
      <c r="AL2125" s="2136">
        <f>O2125-'Blocking-Step2'!O2125</f>
        <v>0</v>
      </c>
      <c r="AN2125" s="2137">
        <f>Q2125-'Blocking-Step2'!Q2125</f>
        <v>1.9999999999997797E-3</v>
      </c>
      <c r="AP2125" s="2127">
        <f>S2125-'Blocking-Step2'!S2125</f>
        <v>-61886</v>
      </c>
      <c r="AR2125" s="2127">
        <f>U2125-'Blocking-Step2'!U2125</f>
        <v>61969</v>
      </c>
      <c r="AT2125" s="2127">
        <f>W2125-'Blocking-Step2'!W2125</f>
        <v>0</v>
      </c>
      <c r="AV2125" s="2128">
        <f>Y2125-'Blocking-Step2'!Y2125</f>
        <v>84</v>
      </c>
    </row>
    <row r="2126" spans="1:48" ht="16.5" hidden="1" thickTop="1">
      <c r="A2126" s="1116" t="s">
        <v>282</v>
      </c>
      <c r="C2126" s="1105">
        <v>5645.4023121387299</v>
      </c>
      <c r="D2126" s="1105">
        <v>7156</v>
      </c>
      <c r="F2126" s="1142">
        <v>8.65</v>
      </c>
      <c r="G2126" s="617"/>
      <c r="H2126" s="1146">
        <v>48833</v>
      </c>
      <c r="I2126" s="1146">
        <v>61899</v>
      </c>
      <c r="K2126" s="1142"/>
      <c r="L2126" s="617"/>
      <c r="M2126" s="1142"/>
      <c r="N2126" s="617"/>
      <c r="O2126" s="1142"/>
      <c r="P2126" s="617"/>
      <c r="Q2126" s="1142"/>
      <c r="R2126" s="617"/>
      <c r="S2126" s="1114"/>
      <c r="T2126" s="1114"/>
      <c r="U2126" s="1114"/>
      <c r="V2126" s="1114"/>
      <c r="W2126" s="1114"/>
      <c r="X2126" s="1114"/>
      <c r="Y2126" s="1146"/>
      <c r="Z2126" s="2114">
        <f>C2126-'Blocking-Step2'!C2126</f>
        <v>0</v>
      </c>
      <c r="AA2126" s="2114">
        <f>D2126-'Blocking-Step2'!D2126</f>
        <v>0</v>
      </c>
      <c r="AC2126" s="2114">
        <f>F2126-'Blocking-Step2'!F2126</f>
        <v>0</v>
      </c>
      <c r="AE2126" s="2114">
        <f>H2126-'Blocking-Step2'!H2126</f>
        <v>0</v>
      </c>
      <c r="AF2126" s="2114">
        <f>I2126-'Blocking-Step2'!I2126</f>
        <v>0</v>
      </c>
      <c r="AH2126" s="2136">
        <f>K2126-'Blocking-Step2'!K2126</f>
        <v>0</v>
      </c>
      <c r="AJ2126" s="2136">
        <f>M2126-'Blocking-Step2'!M2126</f>
        <v>0</v>
      </c>
      <c r="AL2126" s="2136">
        <f>O2126-'Blocking-Step2'!O2126</f>
        <v>0</v>
      </c>
      <c r="AN2126" s="2137">
        <f>Q2126-'Blocking-Step2'!Q2126</f>
        <v>0</v>
      </c>
      <c r="AP2126" s="2127">
        <f>S2126-'Blocking-Step2'!S2126</f>
        <v>0</v>
      </c>
      <c r="AR2126" s="2127">
        <f>U2126-'Blocking-Step2'!U2126</f>
        <v>0</v>
      </c>
      <c r="AT2126" s="2127">
        <f>W2126-'Blocking-Step2'!W2126</f>
        <v>0</v>
      </c>
      <c r="AV2126" s="2128">
        <f>Y2126-'Blocking-Step2'!Y2126</f>
        <v>0</v>
      </c>
    </row>
    <row r="2127" spans="1:48" ht="16.5" hidden="1" thickTop="1">
      <c r="A2127" s="1116" t="s">
        <v>283</v>
      </c>
      <c r="C2127" s="1105">
        <v>6346.09885057471</v>
      </c>
      <c r="D2127" s="1105">
        <v>8044</v>
      </c>
      <c r="F2127" s="1142">
        <v>8.7000000000000011</v>
      </c>
      <c r="G2127" s="617"/>
      <c r="H2127" s="1146">
        <v>55211</v>
      </c>
      <c r="I2127" s="1146">
        <v>69983</v>
      </c>
      <c r="K2127" s="1142"/>
      <c r="L2127" s="617"/>
      <c r="M2127" s="1142"/>
      <c r="N2127" s="617"/>
      <c r="O2127" s="1142"/>
      <c r="P2127" s="617"/>
      <c r="Q2127" s="1142"/>
      <c r="R2127" s="617"/>
      <c r="S2127" s="1114"/>
      <c r="T2127" s="1114"/>
      <c r="U2127" s="1114"/>
      <c r="V2127" s="1114"/>
      <c r="W2127" s="1114"/>
      <c r="X2127" s="1114"/>
      <c r="Y2127" s="1146"/>
      <c r="Z2127" s="2114">
        <f>C2127-'Blocking-Step2'!C2127</f>
        <v>0</v>
      </c>
      <c r="AA2127" s="2114">
        <f>D2127-'Blocking-Step2'!D2127</f>
        <v>0</v>
      </c>
      <c r="AC2127" s="2114">
        <f>F2127-'Blocking-Step2'!F2127</f>
        <v>0</v>
      </c>
      <c r="AE2127" s="2114">
        <f>H2127-'Blocking-Step2'!H2127</f>
        <v>0</v>
      </c>
      <c r="AF2127" s="2114">
        <f>I2127-'Blocking-Step2'!I2127</f>
        <v>0</v>
      </c>
      <c r="AH2127" s="2136">
        <f>K2127-'Blocking-Step2'!K2127</f>
        <v>0</v>
      </c>
      <c r="AJ2127" s="2136">
        <f>M2127-'Blocking-Step2'!M2127</f>
        <v>0</v>
      </c>
      <c r="AL2127" s="2136">
        <f>O2127-'Blocking-Step2'!O2127</f>
        <v>0</v>
      </c>
      <c r="AN2127" s="2137">
        <f>Q2127-'Blocking-Step2'!Q2127</f>
        <v>0</v>
      </c>
      <c r="AP2127" s="2127">
        <f>S2127-'Blocking-Step2'!S2127</f>
        <v>0</v>
      </c>
      <c r="AR2127" s="2127">
        <f>U2127-'Blocking-Step2'!U2127</f>
        <v>0</v>
      </c>
      <c r="AT2127" s="2127">
        <f>W2127-'Blocking-Step2'!W2127</f>
        <v>0</v>
      </c>
      <c r="AV2127" s="2128">
        <f>Y2127-'Blocking-Step2'!Y2127</f>
        <v>0</v>
      </c>
    </row>
    <row r="2128" spans="1:48" ht="16.5" hidden="1" thickTop="1">
      <c r="A2128" s="1116" t="s">
        <v>261</v>
      </c>
      <c r="C2128" s="1105">
        <v>0</v>
      </c>
      <c r="D2128" s="1105">
        <v>0</v>
      </c>
      <c r="F2128" s="1142">
        <v>-0.48</v>
      </c>
      <c r="G2128" s="617"/>
      <c r="H2128" s="1146">
        <v>0</v>
      </c>
      <c r="I2128" s="1146">
        <v>0</v>
      </c>
      <c r="K2128" s="1142">
        <v>-0.48</v>
      </c>
      <c r="L2128" s="617"/>
      <c r="M2128" s="1142">
        <v>0</v>
      </c>
      <c r="N2128" s="617"/>
      <c r="O2128" s="1142">
        <v>0</v>
      </c>
      <c r="P2128" s="617"/>
      <c r="Q2128" s="1142">
        <v>-0.48</v>
      </c>
      <c r="R2128" s="617"/>
      <c r="S2128" s="1146">
        <v>0</v>
      </c>
      <c r="T2128" s="1114"/>
      <c r="U2128" s="1146">
        <v>0</v>
      </c>
      <c r="V2128" s="1114"/>
      <c r="W2128" s="1146">
        <v>0</v>
      </c>
      <c r="X2128" s="1114"/>
      <c r="Y2128" s="1146">
        <v>0</v>
      </c>
      <c r="Z2128" s="2114">
        <f>C2128-'Blocking-Step2'!C2128</f>
        <v>0</v>
      </c>
      <c r="AA2128" s="2114">
        <f>D2128-'Blocking-Step2'!D2128</f>
        <v>0</v>
      </c>
      <c r="AC2128" s="2114">
        <f>F2128-'Blocking-Step2'!F2128</f>
        <v>0</v>
      </c>
      <c r="AE2128" s="2114">
        <f>H2128-'Blocking-Step2'!H2128</f>
        <v>0</v>
      </c>
      <c r="AF2128" s="2114">
        <f>I2128-'Blocking-Step2'!I2128</f>
        <v>0</v>
      </c>
      <c r="AH2128" s="2136">
        <f>K2128-'Blocking-Step2'!K2128</f>
        <v>0</v>
      </c>
      <c r="AJ2128" s="2136">
        <f>M2128-'Blocking-Step2'!M2128</f>
        <v>0</v>
      </c>
      <c r="AL2128" s="2136">
        <f>O2128-'Blocking-Step2'!O2128</f>
        <v>0</v>
      </c>
      <c r="AN2128" s="2137">
        <f>Q2128-'Blocking-Step2'!Q2128</f>
        <v>0</v>
      </c>
      <c r="AP2128" s="2127">
        <f>S2128-'Blocking-Step2'!S2128</f>
        <v>0</v>
      </c>
      <c r="AR2128" s="2127">
        <f>U2128-'Blocking-Step2'!U2128</f>
        <v>0</v>
      </c>
      <c r="AT2128" s="2127">
        <f>W2128-'Blocking-Step2'!W2128</f>
        <v>0</v>
      </c>
      <c r="AV2128" s="2128">
        <f>Y2128-'Blocking-Step2'!Y2128</f>
        <v>0</v>
      </c>
    </row>
    <row r="2129" spans="1:48" ht="16.5" hidden="1" thickTop="1">
      <c r="A2129" s="1116" t="s">
        <v>194</v>
      </c>
      <c r="C2129" s="1105">
        <v>1594921.3742284607</v>
      </c>
      <c r="D2129" s="1105">
        <v>2175911.0645065326</v>
      </c>
      <c r="F2129" s="1106">
        <v>11.733599999999999</v>
      </c>
      <c r="G2129" s="1921" t="s">
        <v>495</v>
      </c>
      <c r="H2129" s="1146">
        <v>187142</v>
      </c>
      <c r="I2129" s="1146">
        <v>255313</v>
      </c>
      <c r="K2129" s="1106"/>
      <c r="L2129" s="1921"/>
      <c r="M2129" s="1106"/>
      <c r="N2129" s="1921"/>
      <c r="O2129" s="1106"/>
      <c r="P2129" s="1921"/>
      <c r="Q2129" s="1106"/>
      <c r="R2129" s="1921"/>
      <c r="S2129" s="1648"/>
      <c r="T2129" s="1648"/>
      <c r="U2129" s="1648"/>
      <c r="V2129" s="1648"/>
      <c r="W2129" s="1648"/>
      <c r="X2129" s="1648"/>
      <c r="Y2129" s="1146"/>
      <c r="Z2129" s="2114">
        <f>C2129-'Blocking-Step2'!C2129</f>
        <v>0</v>
      </c>
      <c r="AA2129" s="2114">
        <f>D2129-'Blocking-Step2'!D2129</f>
        <v>0</v>
      </c>
      <c r="AC2129" s="2114">
        <f>F2129-'Blocking-Step2'!F2129</f>
        <v>0</v>
      </c>
      <c r="AE2129" s="2114">
        <f>H2129-'Blocking-Step2'!H2129</f>
        <v>0</v>
      </c>
      <c r="AF2129" s="2114">
        <f>I2129-'Blocking-Step2'!I2129</f>
        <v>0</v>
      </c>
      <c r="AH2129" s="2136">
        <f>K2129-'Blocking-Step2'!K2129</f>
        <v>0</v>
      </c>
      <c r="AJ2129" s="2136">
        <f>M2129-'Blocking-Step2'!M2129</f>
        <v>0</v>
      </c>
      <c r="AL2129" s="2136">
        <f>O2129-'Blocking-Step2'!O2129</f>
        <v>0</v>
      </c>
      <c r="AN2129" s="2137">
        <f>Q2129-'Blocking-Step2'!Q2129</f>
        <v>0</v>
      </c>
      <c r="AP2129" s="2127">
        <f>S2129-'Blocking-Step2'!S2129</f>
        <v>0</v>
      </c>
      <c r="AR2129" s="2127">
        <f>U2129-'Blocking-Step2'!U2129</f>
        <v>0</v>
      </c>
      <c r="AT2129" s="2127">
        <f>W2129-'Blocking-Step2'!W2129</f>
        <v>0</v>
      </c>
      <c r="AV2129" s="2128">
        <f>Y2129-'Blocking-Step2'!Y2129</f>
        <v>0</v>
      </c>
    </row>
    <row r="2130" spans="1:48" ht="16.5" hidden="1" thickTop="1">
      <c r="A2130" s="1116" t="s">
        <v>195</v>
      </c>
      <c r="C2130" s="1105">
        <v>1508810.5312518112</v>
      </c>
      <c r="D2130" s="1105">
        <v>2058433</v>
      </c>
      <c r="F2130" s="1106">
        <v>6.5782999999999996</v>
      </c>
      <c r="G2130" s="1921" t="s">
        <v>495</v>
      </c>
      <c r="H2130" s="1146">
        <v>99254</v>
      </c>
      <c r="I2130" s="1146">
        <v>135410</v>
      </c>
      <c r="K2130" s="1106"/>
      <c r="L2130" s="1921"/>
      <c r="M2130" s="1106"/>
      <c r="N2130" s="1921"/>
      <c r="O2130" s="1106"/>
      <c r="P2130" s="1921"/>
      <c r="Q2130" s="1106"/>
      <c r="R2130" s="1921"/>
      <c r="S2130" s="1648"/>
      <c r="T2130" s="1648"/>
      <c r="U2130" s="1648"/>
      <c r="V2130" s="1648"/>
      <c r="W2130" s="1648"/>
      <c r="X2130" s="1648"/>
      <c r="Y2130" s="1146"/>
      <c r="Z2130" s="2114">
        <f>C2130-'Blocking-Step2'!C2130</f>
        <v>0</v>
      </c>
      <c r="AA2130" s="2114">
        <f>D2130-'Blocking-Step2'!D2130</f>
        <v>0</v>
      </c>
      <c r="AC2130" s="2114">
        <f>F2130-'Blocking-Step2'!F2130</f>
        <v>0</v>
      </c>
      <c r="AE2130" s="2114">
        <f>H2130-'Blocking-Step2'!H2130</f>
        <v>0</v>
      </c>
      <c r="AF2130" s="2114">
        <f>I2130-'Blocking-Step2'!I2130</f>
        <v>0</v>
      </c>
      <c r="AH2130" s="2136">
        <f>K2130-'Blocking-Step2'!K2130</f>
        <v>0</v>
      </c>
      <c r="AJ2130" s="2136">
        <f>M2130-'Blocking-Step2'!M2130</f>
        <v>0</v>
      </c>
      <c r="AL2130" s="2136">
        <f>O2130-'Blocking-Step2'!O2130</f>
        <v>0</v>
      </c>
      <c r="AN2130" s="2137">
        <f>Q2130-'Blocking-Step2'!Q2130</f>
        <v>0</v>
      </c>
      <c r="AP2130" s="2127">
        <f>S2130-'Blocking-Step2'!S2130</f>
        <v>0</v>
      </c>
      <c r="AR2130" s="2127">
        <f>U2130-'Blocking-Step2'!U2130</f>
        <v>0</v>
      </c>
      <c r="AT2130" s="2127">
        <f>W2130-'Blocking-Step2'!W2130</f>
        <v>0</v>
      </c>
      <c r="AV2130" s="2128">
        <f>Y2130-'Blocking-Step2'!Y2130</f>
        <v>0</v>
      </c>
    </row>
    <row r="2131" spans="1:48" ht="16.5" hidden="1" thickTop="1">
      <c r="A2131" s="1116" t="s">
        <v>160</v>
      </c>
      <c r="C2131" s="1105">
        <v>3418231.6908876272</v>
      </c>
      <c r="D2131" s="1105">
        <v>4211836</v>
      </c>
      <c r="F2131" s="1106">
        <v>10.8</v>
      </c>
      <c r="G2131" s="1921" t="s">
        <v>495</v>
      </c>
      <c r="H2131" s="1146">
        <v>369169</v>
      </c>
      <c r="I2131" s="1146">
        <v>454878</v>
      </c>
      <c r="K2131" s="1106"/>
      <c r="L2131" s="1921"/>
      <c r="M2131" s="1106"/>
      <c r="N2131" s="1921"/>
      <c r="O2131" s="1106"/>
      <c r="P2131" s="1921"/>
      <c r="Q2131" s="1106"/>
      <c r="R2131" s="1921"/>
      <c r="S2131" s="1648"/>
      <c r="T2131" s="1648"/>
      <c r="U2131" s="1648"/>
      <c r="V2131" s="1648"/>
      <c r="W2131" s="1648"/>
      <c r="X2131" s="1648"/>
      <c r="Y2131" s="1146"/>
      <c r="Z2131" s="2114">
        <f>C2131-'Blocking-Step2'!C2131</f>
        <v>0</v>
      </c>
      <c r="AA2131" s="2114">
        <f>D2131-'Blocking-Step2'!D2131</f>
        <v>0</v>
      </c>
      <c r="AC2131" s="2114">
        <f>F2131-'Blocking-Step2'!F2131</f>
        <v>0</v>
      </c>
      <c r="AE2131" s="2114">
        <f>H2131-'Blocking-Step2'!H2131</f>
        <v>0</v>
      </c>
      <c r="AF2131" s="2114">
        <f>I2131-'Blocking-Step2'!I2131</f>
        <v>0</v>
      </c>
      <c r="AH2131" s="2136">
        <f>K2131-'Blocking-Step2'!K2131</f>
        <v>0</v>
      </c>
      <c r="AJ2131" s="2136">
        <f>M2131-'Blocking-Step2'!M2131</f>
        <v>0</v>
      </c>
      <c r="AL2131" s="2136">
        <f>O2131-'Blocking-Step2'!O2131</f>
        <v>0</v>
      </c>
      <c r="AN2131" s="2137">
        <f>Q2131-'Blocking-Step2'!Q2131</f>
        <v>0</v>
      </c>
      <c r="AP2131" s="2127">
        <f>S2131-'Blocking-Step2'!S2131</f>
        <v>0</v>
      </c>
      <c r="AR2131" s="2127">
        <f>U2131-'Blocking-Step2'!U2131</f>
        <v>0</v>
      </c>
      <c r="AT2131" s="2127">
        <f>W2131-'Blocking-Step2'!W2131</f>
        <v>0</v>
      </c>
      <c r="AV2131" s="2128">
        <f>Y2131-'Blocking-Step2'!Y2131</f>
        <v>0</v>
      </c>
    </row>
    <row r="2132" spans="1:48" ht="16.5" hidden="1" thickTop="1">
      <c r="A2132" s="1116" t="s">
        <v>159</v>
      </c>
      <c r="C2132" s="1105">
        <v>3207924.1641575964</v>
      </c>
      <c r="D2132" s="1105">
        <v>3952702</v>
      </c>
      <c r="F2132" s="1106">
        <v>6.0567000000000002</v>
      </c>
      <c r="G2132" s="1921" t="s">
        <v>495</v>
      </c>
      <c r="H2132" s="1146">
        <v>194294</v>
      </c>
      <c r="I2132" s="1146">
        <v>239403</v>
      </c>
      <c r="K2132" s="1106"/>
      <c r="L2132" s="1921"/>
      <c r="M2132" s="1106"/>
      <c r="N2132" s="1921"/>
      <c r="O2132" s="1106"/>
      <c r="P2132" s="1921"/>
      <c r="Q2132" s="1106"/>
      <c r="R2132" s="1921"/>
      <c r="S2132" s="1648"/>
      <c r="T2132" s="1648"/>
      <c r="U2132" s="1648"/>
      <c r="V2132" s="1648"/>
      <c r="W2132" s="1648"/>
      <c r="X2132" s="1648"/>
      <c r="Y2132" s="1146"/>
      <c r="Z2132" s="2114">
        <f>C2132-'Blocking-Step2'!C2132</f>
        <v>0</v>
      </c>
      <c r="AA2132" s="2114">
        <f>D2132-'Blocking-Step2'!D2132</f>
        <v>0</v>
      </c>
      <c r="AC2132" s="2114">
        <f>F2132-'Blocking-Step2'!F2132</f>
        <v>0</v>
      </c>
      <c r="AE2132" s="2114">
        <f>H2132-'Blocking-Step2'!H2132</f>
        <v>0</v>
      </c>
      <c r="AF2132" s="2114">
        <f>I2132-'Blocking-Step2'!I2132</f>
        <v>0</v>
      </c>
      <c r="AH2132" s="2136">
        <f>K2132-'Blocking-Step2'!K2132</f>
        <v>0</v>
      </c>
      <c r="AJ2132" s="2136">
        <f>M2132-'Blocking-Step2'!M2132</f>
        <v>0</v>
      </c>
      <c r="AL2132" s="2136">
        <f>O2132-'Blocking-Step2'!O2132</f>
        <v>0</v>
      </c>
      <c r="AN2132" s="2137">
        <f>Q2132-'Blocking-Step2'!Q2132</f>
        <v>0</v>
      </c>
      <c r="AP2132" s="2127">
        <f>S2132-'Blocking-Step2'!S2132</f>
        <v>0</v>
      </c>
      <c r="AR2132" s="2127">
        <f>U2132-'Blocking-Step2'!U2132</f>
        <v>0</v>
      </c>
      <c r="AT2132" s="2127">
        <f>W2132-'Blocking-Step2'!W2132</f>
        <v>0</v>
      </c>
      <c r="AV2132" s="2128">
        <f>Y2132-'Blocking-Step2'!Y2132</f>
        <v>0</v>
      </c>
    </row>
    <row r="2133" spans="1:48" ht="16.5" hidden="1" thickTop="1">
      <c r="A2133" s="1116" t="s">
        <v>246</v>
      </c>
      <c r="C2133" s="1940">
        <v>51592</v>
      </c>
      <c r="D2133" s="1940">
        <v>0</v>
      </c>
      <c r="H2133" s="1147">
        <v>6025</v>
      </c>
      <c r="I2133" s="1147">
        <v>0</v>
      </c>
      <c r="Y2133" s="1147">
        <v>0</v>
      </c>
      <c r="Z2133" s="2114">
        <f>C2133-'Blocking-Step2'!C2133</f>
        <v>0</v>
      </c>
      <c r="AA2133" s="2114">
        <f>D2133-'Blocking-Step2'!D2133</f>
        <v>0</v>
      </c>
      <c r="AC2133" s="2114">
        <f>F2133-'Blocking-Step2'!F2133</f>
        <v>0</v>
      </c>
      <c r="AE2133" s="2114">
        <f>H2133-'Blocking-Step2'!H2133</f>
        <v>0</v>
      </c>
      <c r="AF2133" s="2114">
        <f>I2133-'Blocking-Step2'!I2133</f>
        <v>0</v>
      </c>
      <c r="AH2133" s="2136">
        <f>K2133-'Blocking-Step2'!K2133</f>
        <v>0</v>
      </c>
      <c r="AJ2133" s="2136">
        <f>M2133-'Blocking-Step2'!M2133</f>
        <v>0</v>
      </c>
      <c r="AL2133" s="2136">
        <f>O2133-'Blocking-Step2'!O2133</f>
        <v>0</v>
      </c>
      <c r="AN2133" s="2137">
        <f>Q2133-'Blocking-Step2'!Q2133</f>
        <v>0</v>
      </c>
      <c r="AP2133" s="2127">
        <f>S2133-'Blocking-Step2'!S2133</f>
        <v>0</v>
      </c>
      <c r="AR2133" s="2127">
        <f>U2133-'Blocking-Step2'!U2133</f>
        <v>0</v>
      </c>
      <c r="AT2133" s="2127">
        <f>W2133-'Blocking-Step2'!W2133</f>
        <v>0</v>
      </c>
      <c r="AV2133" s="2128">
        <f>Y2133-'Blocking-Step2'!Y2133</f>
        <v>0</v>
      </c>
    </row>
    <row r="2134" spans="1:48" ht="16.5" hidden="1" thickTop="1">
      <c r="A2134" s="1116" t="s">
        <v>1240</v>
      </c>
      <c r="C2134" s="1024"/>
      <c r="D2134" s="1024"/>
      <c r="F2134" s="2076">
        <v>-3.3099999999999997E-2</v>
      </c>
      <c r="G2134" s="617"/>
      <c r="H2134" s="1146">
        <v>-31574.189299999998</v>
      </c>
      <c r="I2134" s="1146">
        <v>-40278.926599999999</v>
      </c>
      <c r="K2134" s="2076"/>
      <c r="L2134" s="617"/>
      <c r="M2134" s="2076"/>
      <c r="N2134" s="617"/>
      <c r="O2134" s="2077" t="s">
        <v>2323</v>
      </c>
      <c r="P2134" s="617"/>
      <c r="Q2134" s="2076">
        <v>-2.5600000000000001E-2</v>
      </c>
      <c r="R2134" s="617"/>
      <c r="S2134" s="1114"/>
      <c r="T2134" s="1114"/>
      <c r="U2134" s="1114"/>
      <c r="V2134" s="1114"/>
      <c r="W2134" s="1114"/>
      <c r="X2134" s="1114"/>
      <c r="Y2134" s="1146">
        <v>-30086.400000000001</v>
      </c>
      <c r="Z2134" s="2114">
        <f>C2134-'Blocking-Step2'!C2134</f>
        <v>0</v>
      </c>
      <c r="AA2134" s="2114">
        <f>D2134-'Blocking-Step2'!D2134</f>
        <v>0</v>
      </c>
      <c r="AC2134" s="2114">
        <f>F2134-'Blocking-Step2'!F2134</f>
        <v>0</v>
      </c>
      <c r="AE2134" s="2114">
        <f>H2134-'Blocking-Step2'!H2134</f>
        <v>0</v>
      </c>
      <c r="AF2134" s="2114">
        <f>I2134-'Blocking-Step2'!I2134</f>
        <v>0</v>
      </c>
      <c r="AH2134" s="2136">
        <f>K2134-'Blocking-Step2'!K2134</f>
        <v>0</v>
      </c>
      <c r="AJ2134" s="2136">
        <f>M2134-'Blocking-Step2'!M2134</f>
        <v>0</v>
      </c>
      <c r="AL2134" s="2136" t="e">
        <f>O2134-'Blocking-Step2'!O2134</f>
        <v>#VALUE!</v>
      </c>
      <c r="AN2134" s="2137">
        <f>Q2134-'Blocking-Step2'!Q2134</f>
        <v>0</v>
      </c>
      <c r="AP2134" s="2127">
        <f>S2134-'Blocking-Step2'!S2134</f>
        <v>0</v>
      </c>
      <c r="AR2134" s="2127">
        <f>U2134-'Blocking-Step2'!U2134</f>
        <v>0</v>
      </c>
      <c r="AT2134" s="2127">
        <f>W2134-'Blocking-Step2'!W2134</f>
        <v>0</v>
      </c>
      <c r="AV2134" s="2128">
        <f>Y2134-'Blocking-Step2'!Y2134</f>
        <v>-6.7839999999996508</v>
      </c>
    </row>
    <row r="2135" spans="1:48" ht="16.5" hidden="1" thickTop="1">
      <c r="A2135" s="1116"/>
      <c r="C2135" s="1024"/>
      <c r="D2135" s="1024"/>
      <c r="F2135" s="2076"/>
      <c r="G2135" s="617"/>
      <c r="H2135" s="1146"/>
      <c r="I2135" s="1146"/>
      <c r="K2135" s="2076"/>
      <c r="L2135" s="617"/>
      <c r="M2135" s="2076"/>
      <c r="N2135" s="617"/>
      <c r="O2135" s="2077" t="s">
        <v>2324</v>
      </c>
      <c r="P2135" s="617"/>
      <c r="Q2135" s="2076">
        <v>-1.3899999999999999E-2</v>
      </c>
      <c r="R2135" s="617"/>
      <c r="S2135" s="1114"/>
      <c r="T2135" s="1114"/>
      <c r="U2135" s="1114"/>
      <c r="V2135" s="1114"/>
      <c r="W2135" s="1114"/>
      <c r="X2135" s="1114"/>
      <c r="Y2135" s="1146">
        <v>-16335.974999999999</v>
      </c>
      <c r="Z2135" s="2114">
        <f>C2135-'Blocking-Step2'!C2135</f>
        <v>0</v>
      </c>
      <c r="AA2135" s="2114">
        <f>D2135-'Blocking-Step2'!D2135</f>
        <v>0</v>
      </c>
      <c r="AC2135" s="2114">
        <f>F2135-'Blocking-Step2'!F2135</f>
        <v>0</v>
      </c>
      <c r="AE2135" s="2114">
        <f>H2135-'Blocking-Step2'!H2135</f>
        <v>0</v>
      </c>
      <c r="AF2135" s="2114">
        <f>I2135-'Blocking-Step2'!I2135</f>
        <v>0</v>
      </c>
      <c r="AH2135" s="2136">
        <f>K2135-'Blocking-Step2'!K2135</f>
        <v>0</v>
      </c>
      <c r="AJ2135" s="2136">
        <f>M2135-'Blocking-Step2'!M2135</f>
        <v>0</v>
      </c>
      <c r="AL2135" s="2136" t="e">
        <f>O2135-'Blocking-Step2'!O2135</f>
        <v>#VALUE!</v>
      </c>
      <c r="AN2135" s="2137">
        <f>Q2135-'Blocking-Step2'!Q2135</f>
        <v>0</v>
      </c>
      <c r="AP2135" s="2127">
        <f>S2135-'Blocking-Step2'!S2135</f>
        <v>0</v>
      </c>
      <c r="AR2135" s="2127">
        <f>U2135-'Blocking-Step2'!U2135</f>
        <v>0</v>
      </c>
      <c r="AT2135" s="2127">
        <f>W2135-'Blocking-Step2'!W2135</f>
        <v>0</v>
      </c>
      <c r="AV2135" s="2128">
        <f>Y2135-'Blocking-Step2'!Y2135</f>
        <v>-3.6834999999991851</v>
      </c>
    </row>
    <row r="2136" spans="1:48" ht="17.25" hidden="1" thickTop="1" thickBot="1">
      <c r="A2136" s="1116" t="s">
        <v>247</v>
      </c>
      <c r="C2136" s="1138">
        <v>9781479.7605254948</v>
      </c>
      <c r="D2136" s="1138">
        <v>12398882.064506533</v>
      </c>
      <c r="F2136" s="1145"/>
      <c r="H2136" s="1149">
        <v>1026908.8107</v>
      </c>
      <c r="I2136" s="1149">
        <v>1300307.0734000001</v>
      </c>
      <c r="K2136" s="1145"/>
      <c r="M2136" s="1145"/>
      <c r="O2136" s="1145"/>
      <c r="P2136" s="617"/>
      <c r="Q2136" s="1145"/>
      <c r="R2136" s="617"/>
      <c r="S2136" s="1154">
        <v>431558</v>
      </c>
      <c r="T2136" s="1114"/>
      <c r="U2136" s="1154">
        <v>598170</v>
      </c>
      <c r="V2136" s="1114"/>
      <c r="W2136" s="1154">
        <v>269221</v>
      </c>
      <c r="X2136" s="1114"/>
      <c r="Y2136" s="1154">
        <v>1298950</v>
      </c>
      <c r="Z2136" s="2114">
        <f>C2136-'Blocking-Step2'!C2136</f>
        <v>0</v>
      </c>
      <c r="AA2136" s="2114">
        <f>D2136-'Blocking-Step2'!D2136</f>
        <v>0</v>
      </c>
      <c r="AC2136" s="2114">
        <f>F2136-'Blocking-Step2'!F2136</f>
        <v>0</v>
      </c>
      <c r="AE2136" s="2114">
        <f>H2136-'Blocking-Step2'!H2136</f>
        <v>0</v>
      </c>
      <c r="AF2136" s="2114">
        <f>I2136-'Blocking-Step2'!I2136</f>
        <v>0</v>
      </c>
      <c r="AH2136" s="2136">
        <f>K2136-'Blocking-Step2'!K2136</f>
        <v>0</v>
      </c>
      <c r="AJ2136" s="2136">
        <f>M2136-'Blocking-Step2'!M2136</f>
        <v>0</v>
      </c>
      <c r="AL2136" s="2136">
        <f>O2136-'Blocking-Step2'!O2136</f>
        <v>0</v>
      </c>
      <c r="AN2136" s="2137">
        <f>Q2136-'Blocking-Step2'!Q2136</f>
        <v>0</v>
      </c>
      <c r="AP2136" s="2127">
        <f>S2136-'Blocking-Step2'!S2136</f>
        <v>-182661</v>
      </c>
      <c r="AR2136" s="2127">
        <f>U2136-'Blocking-Step2'!U2136</f>
        <v>182925</v>
      </c>
      <c r="AT2136" s="2127">
        <f>W2136-'Blocking-Step2'!W2136</f>
        <v>0</v>
      </c>
      <c r="AV2136" s="2128">
        <f>Y2136-'Blocking-Step2'!Y2136</f>
        <v>265</v>
      </c>
    </row>
    <row r="2137" spans="1:48" ht="16.5" hidden="1" thickTop="1">
      <c r="C2137" s="1105"/>
      <c r="D2137" s="1105"/>
      <c r="O2137" s="1109"/>
      <c r="Q2137" s="1109"/>
      <c r="Y2137" s="1114"/>
      <c r="Z2137" s="2114">
        <f>C2137-'Blocking-Step2'!C2137</f>
        <v>0</v>
      </c>
      <c r="AA2137" s="2114">
        <f>D2137-'Blocking-Step2'!D2137</f>
        <v>0</v>
      </c>
      <c r="AC2137" s="2114">
        <f>F2137-'Blocking-Step2'!F2137</f>
        <v>0</v>
      </c>
      <c r="AE2137" s="2114">
        <f>H2137-'Blocking-Step2'!H2137</f>
        <v>0</v>
      </c>
      <c r="AF2137" s="2114">
        <f>I2137-'Blocking-Step2'!I2137</f>
        <v>0</v>
      </c>
      <c r="AH2137" s="2136">
        <f>K2137-'Blocking-Step2'!K2137</f>
        <v>0</v>
      </c>
      <c r="AJ2137" s="2136">
        <f>M2137-'Blocking-Step2'!M2137</f>
        <v>0</v>
      </c>
      <c r="AL2137" s="2136">
        <f>O2137-'Blocking-Step2'!O2137</f>
        <v>0</v>
      </c>
      <c r="AN2137" s="2137">
        <f>Q2137-'Blocking-Step2'!Q2137</f>
        <v>0</v>
      </c>
      <c r="AP2137" s="2127">
        <f>S2137-'Blocking-Step2'!S2137</f>
        <v>0</v>
      </c>
      <c r="AR2137" s="2127">
        <f>U2137-'Blocking-Step2'!U2137</f>
        <v>0</v>
      </c>
      <c r="AT2137" s="2127">
        <f>W2137-'Blocking-Step2'!W2137</f>
        <v>0</v>
      </c>
      <c r="AV2137" s="2128">
        <f>Y2137-'Blocking-Step2'!Y2137</f>
        <v>0</v>
      </c>
    </row>
    <row r="2138" spans="1:48" ht="16.5" hidden="1" thickTop="1">
      <c r="A2138" s="1115" t="s">
        <v>1014</v>
      </c>
      <c r="C2138" s="1105"/>
      <c r="D2138" s="1105"/>
      <c r="Z2138" s="2114">
        <f>C2138-'Blocking-Step2'!C2138</f>
        <v>0</v>
      </c>
      <c r="AA2138" s="2114">
        <f>D2138-'Blocking-Step2'!D2138</f>
        <v>0</v>
      </c>
      <c r="AC2138" s="2114">
        <f>F2138-'Blocking-Step2'!F2138</f>
        <v>0</v>
      </c>
      <c r="AE2138" s="2114">
        <f>H2138-'Blocking-Step2'!H2138</f>
        <v>0</v>
      </c>
      <c r="AF2138" s="2114">
        <f>I2138-'Blocking-Step2'!I2138</f>
        <v>0</v>
      </c>
      <c r="AH2138" s="2136">
        <f>K2138-'Blocking-Step2'!K2138</f>
        <v>0</v>
      </c>
      <c r="AJ2138" s="2136">
        <f>M2138-'Blocking-Step2'!M2138</f>
        <v>0</v>
      </c>
      <c r="AL2138" s="2136">
        <f>O2138-'Blocking-Step2'!O2138</f>
        <v>0</v>
      </c>
      <c r="AN2138" s="2137">
        <f>Q2138-'Blocking-Step2'!Q2138</f>
        <v>0</v>
      </c>
      <c r="AP2138" s="2127">
        <f>S2138-'Blocking-Step2'!S2138</f>
        <v>0</v>
      </c>
      <c r="AR2138" s="2127">
        <f>U2138-'Blocking-Step2'!U2138</f>
        <v>0</v>
      </c>
      <c r="AT2138" s="2127">
        <f>W2138-'Blocking-Step2'!W2138</f>
        <v>0</v>
      </c>
      <c r="AV2138" s="2128">
        <f>Y2138-'Blocking-Step2'!Y2138</f>
        <v>0</v>
      </c>
    </row>
    <row r="2139" spans="1:48" ht="16.5" hidden="1" thickTop="1">
      <c r="A2139" s="1116" t="s">
        <v>240</v>
      </c>
      <c r="C2139" s="1105">
        <v>204.16800000000001</v>
      </c>
      <c r="D2139" s="1105">
        <v>462</v>
      </c>
      <c r="F2139" s="1142">
        <v>10</v>
      </c>
      <c r="G2139" s="617"/>
      <c r="H2139" s="1146">
        <v>2042</v>
      </c>
      <c r="I2139" s="1146">
        <v>4620</v>
      </c>
      <c r="K2139" s="1142">
        <v>10</v>
      </c>
      <c r="L2139" s="617"/>
      <c r="M2139" s="1142">
        <v>0</v>
      </c>
      <c r="N2139" s="617"/>
      <c r="O2139" s="1142">
        <v>0</v>
      </c>
      <c r="P2139" s="617"/>
      <c r="Q2139" s="1142">
        <v>10</v>
      </c>
      <c r="R2139" s="617"/>
      <c r="S2139" s="1146">
        <v>4620</v>
      </c>
      <c r="T2139" s="1114"/>
      <c r="U2139" s="1146">
        <v>0</v>
      </c>
      <c r="V2139" s="1114"/>
      <c r="W2139" s="1146">
        <v>0</v>
      </c>
      <c r="X2139" s="1114"/>
      <c r="Y2139" s="1146">
        <v>4620</v>
      </c>
      <c r="Z2139" s="2114">
        <f>C2139-'Blocking-Step2'!C2139</f>
        <v>0</v>
      </c>
      <c r="AA2139" s="2114">
        <f>D2139-'Blocking-Step2'!D2139</f>
        <v>0</v>
      </c>
      <c r="AC2139" s="2114">
        <f>F2139-'Blocking-Step2'!F2139</f>
        <v>0</v>
      </c>
      <c r="AE2139" s="2114">
        <f>H2139-'Blocking-Step2'!H2139</f>
        <v>0</v>
      </c>
      <c r="AF2139" s="2114">
        <f>I2139-'Blocking-Step2'!I2139</f>
        <v>0</v>
      </c>
      <c r="AH2139" s="2136">
        <f>K2139-'Blocking-Step2'!K2139</f>
        <v>0</v>
      </c>
      <c r="AJ2139" s="2136">
        <f>M2139-'Blocking-Step2'!M2139</f>
        <v>0</v>
      </c>
      <c r="AL2139" s="2136">
        <f>O2139-'Blocking-Step2'!O2139</f>
        <v>0</v>
      </c>
      <c r="AN2139" s="2137">
        <f>Q2139-'Blocking-Step2'!Q2139</f>
        <v>0</v>
      </c>
      <c r="AP2139" s="2127">
        <f>S2139-'Blocking-Step2'!S2139</f>
        <v>0</v>
      </c>
      <c r="AR2139" s="2127">
        <f>U2139-'Blocking-Step2'!U2139</f>
        <v>0</v>
      </c>
      <c r="AT2139" s="2127">
        <f>W2139-'Blocking-Step2'!W2139</f>
        <v>0</v>
      </c>
      <c r="AV2139" s="2128">
        <f>Y2139-'Blocking-Step2'!Y2139</f>
        <v>0</v>
      </c>
    </row>
    <row r="2140" spans="1:48" ht="16.5" hidden="1" thickTop="1">
      <c r="A2140" s="1116" t="s">
        <v>262</v>
      </c>
      <c r="C2140" s="1105">
        <v>0</v>
      </c>
      <c r="D2140" s="1105">
        <v>0</v>
      </c>
      <c r="F2140" s="1142">
        <v>120</v>
      </c>
      <c r="G2140" s="617"/>
      <c r="H2140" s="1146">
        <v>0</v>
      </c>
      <c r="I2140" s="1146">
        <v>0</v>
      </c>
      <c r="K2140" s="1142">
        <v>117</v>
      </c>
      <c r="L2140" s="617"/>
      <c r="M2140" s="1142">
        <v>0</v>
      </c>
      <c r="N2140" s="617"/>
      <c r="O2140" s="1142">
        <v>0</v>
      </c>
      <c r="P2140" s="617"/>
      <c r="Q2140" s="1142">
        <v>117</v>
      </c>
      <c r="R2140" s="617"/>
      <c r="S2140" s="1146">
        <v>0</v>
      </c>
      <c r="T2140" s="1114"/>
      <c r="U2140" s="1146">
        <v>0</v>
      </c>
      <c r="V2140" s="1114"/>
      <c r="W2140" s="1146">
        <v>0</v>
      </c>
      <c r="X2140" s="1114"/>
      <c r="Y2140" s="1146">
        <v>0</v>
      </c>
      <c r="Z2140" s="2114">
        <f>C2140-'Blocking-Step2'!C2140</f>
        <v>0</v>
      </c>
      <c r="AA2140" s="2114">
        <f>D2140-'Blocking-Step2'!D2140</f>
        <v>0</v>
      </c>
      <c r="AC2140" s="2114">
        <f>F2140-'Blocking-Step2'!F2140</f>
        <v>0</v>
      </c>
      <c r="AE2140" s="2114">
        <f>H2140-'Blocking-Step2'!H2140</f>
        <v>0</v>
      </c>
      <c r="AF2140" s="2114">
        <f>I2140-'Blocking-Step2'!I2140</f>
        <v>0</v>
      </c>
      <c r="AH2140" s="2136">
        <f>K2140-'Blocking-Step2'!K2140</f>
        <v>0</v>
      </c>
      <c r="AJ2140" s="2136">
        <f>M2140-'Blocking-Step2'!M2140</f>
        <v>0</v>
      </c>
      <c r="AL2140" s="2136">
        <f>O2140-'Blocking-Step2'!O2140</f>
        <v>0</v>
      </c>
      <c r="AN2140" s="2137">
        <f>Q2140-'Blocking-Step2'!Q2140</f>
        <v>0</v>
      </c>
      <c r="AP2140" s="2127">
        <f>S2140-'Blocking-Step2'!S2140</f>
        <v>0</v>
      </c>
      <c r="AR2140" s="2127">
        <f>U2140-'Blocking-Step2'!U2140</f>
        <v>0</v>
      </c>
      <c r="AT2140" s="2127">
        <f>W2140-'Blocking-Step2'!W2140</f>
        <v>0</v>
      </c>
      <c r="AV2140" s="2128">
        <f>Y2140-'Blocking-Step2'!Y2140</f>
        <v>0</v>
      </c>
    </row>
    <row r="2141" spans="1:48" ht="16.5" hidden="1" thickTop="1">
      <c r="A2141" s="1116" t="s">
        <v>1298</v>
      </c>
      <c r="C2141" s="1105">
        <v>0</v>
      </c>
      <c r="D2141" s="1105">
        <v>0</v>
      </c>
      <c r="F2141" s="1142">
        <v>10</v>
      </c>
      <c r="G2141" s="617"/>
      <c r="H2141" s="1146">
        <v>0</v>
      </c>
      <c r="I2141" s="1146">
        <v>0</v>
      </c>
      <c r="K2141" s="1142">
        <v>10</v>
      </c>
      <c r="L2141" s="617"/>
      <c r="M2141" s="1142">
        <v>0</v>
      </c>
      <c r="N2141" s="617"/>
      <c r="O2141" s="1142">
        <v>0</v>
      </c>
      <c r="P2141" s="617"/>
      <c r="Q2141" s="1142">
        <v>10</v>
      </c>
      <c r="R2141" s="617"/>
      <c r="S2141" s="1146">
        <v>0</v>
      </c>
      <c r="T2141" s="1114"/>
      <c r="U2141" s="1146">
        <v>0</v>
      </c>
      <c r="V2141" s="1114"/>
      <c r="W2141" s="1146">
        <v>0</v>
      </c>
      <c r="X2141" s="1114"/>
      <c r="Y2141" s="1146">
        <v>0</v>
      </c>
      <c r="Z2141" s="2114">
        <f>C2141-'Blocking-Step2'!C2141</f>
        <v>0</v>
      </c>
      <c r="AA2141" s="2114">
        <f>D2141-'Blocking-Step2'!D2141</f>
        <v>0</v>
      </c>
      <c r="AC2141" s="2114">
        <f>F2141-'Blocking-Step2'!F2141</f>
        <v>0</v>
      </c>
      <c r="AE2141" s="2114">
        <f>H2141-'Blocking-Step2'!H2141</f>
        <v>0</v>
      </c>
      <c r="AF2141" s="2114">
        <f>I2141-'Blocking-Step2'!I2141</f>
        <v>0</v>
      </c>
      <c r="AH2141" s="2136">
        <f>K2141-'Blocking-Step2'!K2141</f>
        <v>0</v>
      </c>
      <c r="AJ2141" s="2136">
        <f>M2141-'Blocking-Step2'!M2141</f>
        <v>0</v>
      </c>
      <c r="AL2141" s="2136">
        <f>O2141-'Blocking-Step2'!O2141</f>
        <v>0</v>
      </c>
      <c r="AN2141" s="2137">
        <f>Q2141-'Blocking-Step2'!Q2141</f>
        <v>0</v>
      </c>
      <c r="AP2141" s="2127">
        <f>S2141-'Blocking-Step2'!S2141</f>
        <v>0</v>
      </c>
      <c r="AR2141" s="2127">
        <f>U2141-'Blocking-Step2'!U2141</f>
        <v>0</v>
      </c>
      <c r="AT2141" s="2127">
        <f>W2141-'Blocking-Step2'!W2141</f>
        <v>0</v>
      </c>
      <c r="AV2141" s="2128">
        <f>Y2141-'Blocking-Step2'!Y2141</f>
        <v>0</v>
      </c>
    </row>
    <row r="2142" spans="1:48" ht="16.5" hidden="1" thickTop="1">
      <c r="A2142" s="1116" t="s">
        <v>1654</v>
      </c>
      <c r="C2142" s="1105">
        <v>123.79500655898235</v>
      </c>
      <c r="D2142" s="1105">
        <v>317</v>
      </c>
      <c r="F2142" s="1142"/>
      <c r="G2142" s="617"/>
      <c r="H2142" s="1146"/>
      <c r="I2142" s="1146"/>
      <c r="K2142" s="1142">
        <v>8.89</v>
      </c>
      <c r="L2142" s="617"/>
      <c r="M2142" s="1142">
        <v>0</v>
      </c>
      <c r="N2142" s="617"/>
      <c r="O2142" s="1142">
        <v>0</v>
      </c>
      <c r="P2142" s="617"/>
      <c r="Q2142" s="1142">
        <v>8.89</v>
      </c>
      <c r="R2142" s="617"/>
      <c r="S2142" s="1146">
        <v>2818</v>
      </c>
      <c r="T2142" s="1114"/>
      <c r="U2142" s="1146">
        <v>0</v>
      </c>
      <c r="V2142" s="1114"/>
      <c r="W2142" s="1146">
        <v>0</v>
      </c>
      <c r="X2142" s="1114"/>
      <c r="Y2142" s="1146">
        <v>2818</v>
      </c>
      <c r="Z2142" s="2114">
        <f>C2142-'Blocking-Step2'!C2142</f>
        <v>0</v>
      </c>
      <c r="AA2142" s="2114">
        <f>D2142-'Blocking-Step2'!D2142</f>
        <v>0</v>
      </c>
      <c r="AC2142" s="2114">
        <f>F2142-'Blocking-Step2'!F2142</f>
        <v>0</v>
      </c>
      <c r="AE2142" s="2114">
        <f>H2142-'Blocking-Step2'!H2142</f>
        <v>0</v>
      </c>
      <c r="AF2142" s="2114">
        <f>I2142-'Blocking-Step2'!I2142</f>
        <v>0</v>
      </c>
      <c r="AH2142" s="2136">
        <f>K2142-'Blocking-Step2'!K2142</f>
        <v>0</v>
      </c>
      <c r="AJ2142" s="2136">
        <f>M2142-'Blocking-Step2'!M2142</f>
        <v>0</v>
      </c>
      <c r="AL2142" s="2136">
        <f>O2142-'Blocking-Step2'!O2142</f>
        <v>0</v>
      </c>
      <c r="AN2142" s="2137">
        <f>Q2142-'Blocking-Step2'!Q2142</f>
        <v>0</v>
      </c>
      <c r="AP2142" s="2127">
        <f>S2142-'Blocking-Step2'!S2142</f>
        <v>0</v>
      </c>
      <c r="AR2142" s="2127">
        <f>U2142-'Blocking-Step2'!U2142</f>
        <v>0</v>
      </c>
      <c r="AT2142" s="2127">
        <f>W2142-'Blocking-Step2'!W2142</f>
        <v>0</v>
      </c>
      <c r="AV2142" s="2128">
        <f>Y2142-'Blocking-Step2'!Y2142</f>
        <v>0</v>
      </c>
    </row>
    <row r="2143" spans="1:48" ht="16.5" hidden="1" thickTop="1">
      <c r="A2143" s="1116" t="s">
        <v>1655</v>
      </c>
      <c r="C2143" s="1105">
        <v>257.23907091095265</v>
      </c>
      <c r="D2143" s="1105">
        <v>658</v>
      </c>
      <c r="F2143" s="1142"/>
      <c r="G2143" s="617"/>
      <c r="H2143" s="1146"/>
      <c r="I2143" s="1146"/>
      <c r="K2143" s="1142">
        <v>7.87</v>
      </c>
      <c r="L2143" s="617"/>
      <c r="M2143" s="1142">
        <v>0</v>
      </c>
      <c r="N2143" s="617"/>
      <c r="O2143" s="1142">
        <v>0</v>
      </c>
      <c r="P2143" s="617"/>
      <c r="Q2143" s="1142">
        <v>7.87</v>
      </c>
      <c r="R2143" s="617"/>
      <c r="S2143" s="1146">
        <v>5178</v>
      </c>
      <c r="T2143" s="1114"/>
      <c r="U2143" s="1146">
        <v>0</v>
      </c>
      <c r="V2143" s="1114"/>
      <c r="W2143" s="1146">
        <v>0</v>
      </c>
      <c r="X2143" s="1114"/>
      <c r="Y2143" s="1146">
        <v>5178</v>
      </c>
      <c r="Z2143" s="2114">
        <f>C2143-'Blocking-Step2'!C2143</f>
        <v>0</v>
      </c>
      <c r="AA2143" s="2114">
        <f>D2143-'Blocking-Step2'!D2143</f>
        <v>0</v>
      </c>
      <c r="AC2143" s="2114">
        <f>F2143-'Blocking-Step2'!F2143</f>
        <v>0</v>
      </c>
      <c r="AE2143" s="2114">
        <f>H2143-'Blocking-Step2'!H2143</f>
        <v>0</v>
      </c>
      <c r="AF2143" s="2114">
        <f>I2143-'Blocking-Step2'!I2143</f>
        <v>0</v>
      </c>
      <c r="AH2143" s="2136">
        <f>K2143-'Blocking-Step2'!K2143</f>
        <v>0</v>
      </c>
      <c r="AJ2143" s="2136">
        <f>M2143-'Blocking-Step2'!M2143</f>
        <v>0</v>
      </c>
      <c r="AL2143" s="2136">
        <f>O2143-'Blocking-Step2'!O2143</f>
        <v>0</v>
      </c>
      <c r="AN2143" s="2137">
        <f>Q2143-'Blocking-Step2'!Q2143</f>
        <v>0</v>
      </c>
      <c r="AP2143" s="2127">
        <f>S2143-'Blocking-Step2'!S2143</f>
        <v>0</v>
      </c>
      <c r="AR2143" s="2127">
        <f>U2143-'Blocking-Step2'!U2143</f>
        <v>0</v>
      </c>
      <c r="AT2143" s="2127">
        <f>W2143-'Blocking-Step2'!W2143</f>
        <v>0</v>
      </c>
      <c r="AV2143" s="2128">
        <f>Y2143-'Blocking-Step2'!Y2143</f>
        <v>0</v>
      </c>
    </row>
    <row r="2144" spans="1:48" ht="16.5" hidden="1" thickTop="1">
      <c r="A2144" s="1116" t="s">
        <v>1656</v>
      </c>
      <c r="C2144" s="1105">
        <v>18772.903584672436</v>
      </c>
      <c r="D2144" s="1105">
        <v>59645.397899159638</v>
      </c>
      <c r="F2144" s="1106"/>
      <c r="G2144" s="1921"/>
      <c r="H2144" s="1146"/>
      <c r="I2144" s="1146"/>
      <c r="K2144" s="1106">
        <v>1.4671000000000001</v>
      </c>
      <c r="L2144" s="1921" t="s">
        <v>495</v>
      </c>
      <c r="M2144" s="1106">
        <v>7.9411934380819993</v>
      </c>
      <c r="N2144" s="1921" t="s">
        <v>495</v>
      </c>
      <c r="O2144" s="1106">
        <v>2.3066</v>
      </c>
      <c r="P2144" s="1921" t="s">
        <v>495</v>
      </c>
      <c r="Q2144" s="1106">
        <v>11.714893438081999</v>
      </c>
      <c r="R2144" s="1921" t="s">
        <v>495</v>
      </c>
      <c r="S2144" s="1146">
        <v>875</v>
      </c>
      <c r="T2144" s="1648"/>
      <c r="U2144" s="1146">
        <v>4737</v>
      </c>
      <c r="V2144" s="1648"/>
      <c r="W2144" s="1146">
        <v>1376</v>
      </c>
      <c r="X2144" s="1648"/>
      <c r="Y2144" s="1146">
        <v>6987</v>
      </c>
      <c r="Z2144" s="2114">
        <f>C2144-'Blocking-Step2'!C2144</f>
        <v>0</v>
      </c>
      <c r="AA2144" s="2114">
        <f>D2144-'Blocking-Step2'!D2144</f>
        <v>0</v>
      </c>
      <c r="AC2144" s="2114">
        <f>F2144-'Blocking-Step2'!F2144</f>
        <v>0</v>
      </c>
      <c r="AE2144" s="2114">
        <f>H2144-'Blocking-Step2'!H2144</f>
        <v>0</v>
      </c>
      <c r="AF2144" s="2114">
        <f>I2144-'Blocking-Step2'!I2144</f>
        <v>0</v>
      </c>
      <c r="AH2144" s="2136">
        <f>K2144-'Blocking-Step2'!K2144</f>
        <v>-1.4732000000000001</v>
      </c>
      <c r="AJ2144" s="2136">
        <f>M2144-'Blocking-Step2'!M2144</f>
        <v>1.4755465414459987</v>
      </c>
      <c r="AL2144" s="2136">
        <f>O2144-'Blocking-Step2'!O2144</f>
        <v>0</v>
      </c>
      <c r="AN2144" s="2137">
        <f>Q2144-'Blocking-Step2'!Q2144</f>
        <v>2.3465414459984402E-3</v>
      </c>
      <c r="AP2144" s="2127">
        <f>S2144-'Blocking-Step2'!S2144</f>
        <v>-879</v>
      </c>
      <c r="AR2144" s="2127">
        <f>U2144-'Blocking-Step2'!U2144</f>
        <v>881</v>
      </c>
      <c r="AT2144" s="2127">
        <f>W2144-'Blocking-Step2'!W2144</f>
        <v>0</v>
      </c>
      <c r="AV2144" s="2128">
        <f>Y2144-'Blocking-Step2'!Y2144</f>
        <v>1</v>
      </c>
    </row>
    <row r="2145" spans="1:48" ht="16.5" hidden="1" thickTop="1">
      <c r="A2145" s="1116" t="s">
        <v>1657</v>
      </c>
      <c r="C2145" s="1105">
        <v>13037.670735475896</v>
      </c>
      <c r="D2145" s="1105">
        <v>41424</v>
      </c>
      <c r="F2145" s="1106"/>
      <c r="G2145" s="1921"/>
      <c r="H2145" s="1146"/>
      <c r="I2145" s="1146"/>
      <c r="K2145" s="1106">
        <v>1.4671000000000001</v>
      </c>
      <c r="L2145" s="1921" t="s">
        <v>495</v>
      </c>
      <c r="M2145" s="1106">
        <v>2.7858934380819993</v>
      </c>
      <c r="N2145" s="1921" t="s">
        <v>495</v>
      </c>
      <c r="O2145" s="1106">
        <v>2.3066</v>
      </c>
      <c r="P2145" s="1921" t="s">
        <v>495</v>
      </c>
      <c r="Q2145" s="1106">
        <v>6.5595934380819996</v>
      </c>
      <c r="R2145" s="1921" t="s">
        <v>495</v>
      </c>
      <c r="S2145" s="1146">
        <v>608</v>
      </c>
      <c r="T2145" s="1648"/>
      <c r="U2145" s="1146">
        <v>1154</v>
      </c>
      <c r="V2145" s="1648"/>
      <c r="W2145" s="1146">
        <v>955</v>
      </c>
      <c r="X2145" s="1648"/>
      <c r="Y2145" s="1146">
        <v>2717</v>
      </c>
      <c r="Z2145" s="2114">
        <f>C2145-'Blocking-Step2'!C2145</f>
        <v>0</v>
      </c>
      <c r="AA2145" s="2114">
        <f>D2145-'Blocking-Step2'!D2145</f>
        <v>0</v>
      </c>
      <c r="AC2145" s="2114">
        <f>F2145-'Blocking-Step2'!F2145</f>
        <v>0</v>
      </c>
      <c r="AE2145" s="2114">
        <f>H2145-'Blocking-Step2'!H2145</f>
        <v>0</v>
      </c>
      <c r="AF2145" s="2114">
        <f>I2145-'Blocking-Step2'!I2145</f>
        <v>0</v>
      </c>
      <c r="AH2145" s="2136">
        <f>K2145-'Blocking-Step2'!K2145</f>
        <v>-1.4732000000000001</v>
      </c>
      <c r="AJ2145" s="2136">
        <f>M2145-'Blocking-Step2'!M2145</f>
        <v>1.4755465414459983</v>
      </c>
      <c r="AL2145" s="2136">
        <f>O2145-'Blocking-Step2'!O2145</f>
        <v>0</v>
      </c>
      <c r="AN2145" s="2137">
        <f>Q2145-'Blocking-Step2'!Q2145</f>
        <v>2.3465414459984402E-3</v>
      </c>
      <c r="AP2145" s="2127">
        <f>S2145-'Blocking-Step2'!S2145</f>
        <v>-610</v>
      </c>
      <c r="AR2145" s="2127">
        <f>U2145-'Blocking-Step2'!U2145</f>
        <v>611</v>
      </c>
      <c r="AT2145" s="2127">
        <f>W2145-'Blocking-Step2'!W2145</f>
        <v>0</v>
      </c>
      <c r="AV2145" s="2128">
        <f>Y2145-'Blocking-Step2'!Y2145</f>
        <v>1</v>
      </c>
    </row>
    <row r="2146" spans="1:48" ht="16.5" hidden="1" thickTop="1">
      <c r="A2146" s="1116" t="s">
        <v>1658</v>
      </c>
      <c r="C2146" s="1105">
        <v>78116.096415327571</v>
      </c>
      <c r="D2146" s="1105">
        <v>185234</v>
      </c>
      <c r="F2146" s="1106"/>
      <c r="G2146" s="1921"/>
      <c r="H2146" s="1146"/>
      <c r="I2146" s="1146"/>
      <c r="K2146" s="1106">
        <v>1.4671000000000001</v>
      </c>
      <c r="L2146" s="1921" t="s">
        <v>495</v>
      </c>
      <c r="M2146" s="1106">
        <v>6.7850000000000001</v>
      </c>
      <c r="N2146" s="1921" t="s">
        <v>495</v>
      </c>
      <c r="O2146" s="1106">
        <v>2.1151</v>
      </c>
      <c r="P2146" s="1921" t="s">
        <v>495</v>
      </c>
      <c r="Q2146" s="1106">
        <v>10.3672</v>
      </c>
      <c r="R2146" s="1921" t="s">
        <v>495</v>
      </c>
      <c r="S2146" s="1146">
        <v>2718</v>
      </c>
      <c r="T2146" s="1648"/>
      <c r="U2146" s="1146">
        <v>12568</v>
      </c>
      <c r="V2146" s="1648"/>
      <c r="W2146" s="1146">
        <v>3918</v>
      </c>
      <c r="X2146" s="1648"/>
      <c r="Y2146" s="1146">
        <v>19204</v>
      </c>
      <c r="Z2146" s="2114">
        <f>C2146-'Blocking-Step2'!C2146</f>
        <v>0</v>
      </c>
      <c r="AA2146" s="2114">
        <f>D2146-'Blocking-Step2'!D2146</f>
        <v>0</v>
      </c>
      <c r="AC2146" s="2114">
        <f>F2146-'Blocking-Step2'!F2146</f>
        <v>0</v>
      </c>
      <c r="AE2146" s="2114">
        <f>H2146-'Blocking-Step2'!H2146</f>
        <v>0</v>
      </c>
      <c r="AF2146" s="2114">
        <f>I2146-'Blocking-Step2'!I2146</f>
        <v>0</v>
      </c>
      <c r="AH2146" s="2136">
        <f>K2146-'Blocking-Step2'!K2146</f>
        <v>-1.4732000000000001</v>
      </c>
      <c r="AJ2146" s="2136">
        <f>M2146-'Blocking-Step2'!M2146</f>
        <v>1.4753000000000007</v>
      </c>
      <c r="AL2146" s="2136">
        <f>O2146-'Blocking-Step2'!O2146</f>
        <v>0</v>
      </c>
      <c r="AN2146" s="2137">
        <f>Q2146-'Blocking-Step2'!Q2146</f>
        <v>2.1000000000004349E-3</v>
      </c>
      <c r="AP2146" s="2127">
        <f>S2146-'Blocking-Step2'!S2146</f>
        <v>-2728</v>
      </c>
      <c r="AR2146" s="2127">
        <f>U2146-'Blocking-Step2'!U2146</f>
        <v>2733</v>
      </c>
      <c r="AT2146" s="2127">
        <f>W2146-'Blocking-Step2'!W2146</f>
        <v>0</v>
      </c>
      <c r="AV2146" s="2128">
        <f>Y2146-'Blocking-Step2'!Y2146</f>
        <v>4</v>
      </c>
    </row>
    <row r="2147" spans="1:48" ht="16.5" hidden="1" thickTop="1">
      <c r="A2147" s="1116" t="s">
        <v>1659</v>
      </c>
      <c r="C2147" s="1105">
        <v>67055.329264524102</v>
      </c>
      <c r="D2147" s="1105">
        <v>159006</v>
      </c>
      <c r="F2147" s="1106"/>
      <c r="G2147" s="1921"/>
      <c r="H2147" s="1146"/>
      <c r="I2147" s="1146"/>
      <c r="K2147" s="1106">
        <v>1.4671000000000001</v>
      </c>
      <c r="L2147" s="1921" t="s">
        <v>495</v>
      </c>
      <c r="M2147" s="1106">
        <v>2.2226999999999997</v>
      </c>
      <c r="N2147" s="1921" t="s">
        <v>495</v>
      </c>
      <c r="O2147" s="1106">
        <v>2.1151</v>
      </c>
      <c r="P2147" s="1921" t="s">
        <v>495</v>
      </c>
      <c r="Q2147" s="1106">
        <v>5.8048999999999999</v>
      </c>
      <c r="R2147" s="1921" t="s">
        <v>495</v>
      </c>
      <c r="S2147" s="1146">
        <v>2333</v>
      </c>
      <c r="T2147" s="1648"/>
      <c r="U2147" s="1146">
        <v>3534</v>
      </c>
      <c r="V2147" s="1648"/>
      <c r="W2147" s="1146">
        <v>3363</v>
      </c>
      <c r="X2147" s="1648"/>
      <c r="Y2147" s="1146">
        <v>9230</v>
      </c>
      <c r="Z2147" s="2114">
        <f>C2147-'Blocking-Step2'!C2147</f>
        <v>0</v>
      </c>
      <c r="AA2147" s="2114">
        <f>D2147-'Blocking-Step2'!D2147</f>
        <v>0</v>
      </c>
      <c r="AC2147" s="2114">
        <f>F2147-'Blocking-Step2'!F2147</f>
        <v>0</v>
      </c>
      <c r="AE2147" s="2114">
        <f>H2147-'Blocking-Step2'!H2147</f>
        <v>0</v>
      </c>
      <c r="AF2147" s="2114">
        <f>I2147-'Blocking-Step2'!I2147</f>
        <v>0</v>
      </c>
      <c r="AH2147" s="2136">
        <f>K2147-'Blocking-Step2'!K2147</f>
        <v>-1.4732000000000001</v>
      </c>
      <c r="AJ2147" s="2136">
        <f>M2147-'Blocking-Step2'!M2147</f>
        <v>1.4751999999999996</v>
      </c>
      <c r="AL2147" s="2136">
        <f>O2147-'Blocking-Step2'!O2147</f>
        <v>0</v>
      </c>
      <c r="AN2147" s="2137">
        <f>Q2147-'Blocking-Step2'!Q2147</f>
        <v>1.9999999999997797E-3</v>
      </c>
      <c r="AP2147" s="2127">
        <f>S2147-'Blocking-Step2'!S2147</f>
        <v>-2342</v>
      </c>
      <c r="AR2147" s="2127">
        <f>U2147-'Blocking-Step2'!U2147</f>
        <v>2345</v>
      </c>
      <c r="AT2147" s="2127">
        <f>W2147-'Blocking-Step2'!W2147</f>
        <v>0</v>
      </c>
      <c r="AV2147" s="2128">
        <f>Y2147-'Blocking-Step2'!Y2147</f>
        <v>3</v>
      </c>
    </row>
    <row r="2148" spans="1:48" ht="16.5" hidden="1" thickTop="1">
      <c r="A2148" s="1116" t="s">
        <v>282</v>
      </c>
      <c r="C2148" s="1105">
        <v>146.929479768786</v>
      </c>
      <c r="D2148" s="1105">
        <v>376</v>
      </c>
      <c r="F2148" s="1142">
        <v>8.65</v>
      </c>
      <c r="G2148" s="617"/>
      <c r="H2148" s="1146">
        <v>1271</v>
      </c>
      <c r="I2148" s="1146">
        <v>3252</v>
      </c>
      <c r="K2148" s="1142"/>
      <c r="L2148" s="617"/>
      <c r="M2148" s="1142"/>
      <c r="N2148" s="617"/>
      <c r="O2148" s="1142"/>
      <c r="P2148" s="617"/>
      <c r="Q2148" s="1142"/>
      <c r="R2148" s="617"/>
      <c r="S2148" s="1114"/>
      <c r="T2148" s="1114"/>
      <c r="U2148" s="1114"/>
      <c r="V2148" s="1114"/>
      <c r="W2148" s="1114"/>
      <c r="X2148" s="1114"/>
      <c r="Y2148" s="1146"/>
      <c r="Z2148" s="2114">
        <f>C2148-'Blocking-Step2'!C2148</f>
        <v>0</v>
      </c>
      <c r="AA2148" s="2114">
        <f>D2148-'Blocking-Step2'!D2148</f>
        <v>0</v>
      </c>
      <c r="AC2148" s="2114">
        <f>F2148-'Blocking-Step2'!F2148</f>
        <v>0</v>
      </c>
      <c r="AE2148" s="2114">
        <f>H2148-'Blocking-Step2'!H2148</f>
        <v>0</v>
      </c>
      <c r="AF2148" s="2114">
        <f>I2148-'Blocking-Step2'!I2148</f>
        <v>0</v>
      </c>
      <c r="AH2148" s="2136">
        <f>K2148-'Blocking-Step2'!K2148</f>
        <v>0</v>
      </c>
      <c r="AJ2148" s="2136">
        <f>M2148-'Blocking-Step2'!M2148</f>
        <v>0</v>
      </c>
      <c r="AL2148" s="2136">
        <f>O2148-'Blocking-Step2'!O2148</f>
        <v>0</v>
      </c>
      <c r="AN2148" s="2137">
        <f>Q2148-'Blocking-Step2'!Q2148</f>
        <v>0</v>
      </c>
      <c r="AP2148" s="2127">
        <f>S2148-'Blocking-Step2'!S2148</f>
        <v>0</v>
      </c>
      <c r="AR2148" s="2127">
        <f>U2148-'Blocking-Step2'!U2148</f>
        <v>0</v>
      </c>
      <c r="AT2148" s="2127">
        <f>W2148-'Blocking-Step2'!W2148</f>
        <v>0</v>
      </c>
      <c r="AV2148" s="2128">
        <f>Y2148-'Blocking-Step2'!Y2148</f>
        <v>0</v>
      </c>
    </row>
    <row r="2149" spans="1:48" ht="16.5" hidden="1" thickTop="1">
      <c r="A2149" s="1116" t="s">
        <v>283</v>
      </c>
      <c r="C2149" s="1105">
        <v>234.104597701149</v>
      </c>
      <c r="D2149" s="1105">
        <v>599</v>
      </c>
      <c r="F2149" s="1142">
        <v>8.7000000000000011</v>
      </c>
      <c r="G2149" s="617"/>
      <c r="H2149" s="1146">
        <v>2037</v>
      </c>
      <c r="I2149" s="1146">
        <v>5211</v>
      </c>
      <c r="K2149" s="1142"/>
      <c r="L2149" s="617"/>
      <c r="M2149" s="1142"/>
      <c r="N2149" s="617"/>
      <c r="O2149" s="1142"/>
      <c r="P2149" s="617"/>
      <c r="Q2149" s="1142"/>
      <c r="R2149" s="617"/>
      <c r="S2149" s="1114"/>
      <c r="T2149" s="1114"/>
      <c r="U2149" s="1114"/>
      <c r="V2149" s="1114"/>
      <c r="W2149" s="1114"/>
      <c r="X2149" s="1114"/>
      <c r="Y2149" s="1146"/>
      <c r="Z2149" s="2114">
        <f>C2149-'Blocking-Step2'!C2149</f>
        <v>0</v>
      </c>
      <c r="AA2149" s="2114">
        <f>D2149-'Blocking-Step2'!D2149</f>
        <v>0</v>
      </c>
      <c r="AC2149" s="2114">
        <f>F2149-'Blocking-Step2'!F2149</f>
        <v>0</v>
      </c>
      <c r="AE2149" s="2114">
        <f>H2149-'Blocking-Step2'!H2149</f>
        <v>0</v>
      </c>
      <c r="AF2149" s="2114">
        <f>I2149-'Blocking-Step2'!I2149</f>
        <v>0</v>
      </c>
      <c r="AH2149" s="2136">
        <f>K2149-'Blocking-Step2'!K2149</f>
        <v>0</v>
      </c>
      <c r="AJ2149" s="2136">
        <f>M2149-'Blocking-Step2'!M2149</f>
        <v>0</v>
      </c>
      <c r="AL2149" s="2136">
        <f>O2149-'Blocking-Step2'!O2149</f>
        <v>0</v>
      </c>
      <c r="AN2149" s="2137">
        <f>Q2149-'Blocking-Step2'!Q2149</f>
        <v>0</v>
      </c>
      <c r="AP2149" s="2127">
        <f>S2149-'Blocking-Step2'!S2149</f>
        <v>0</v>
      </c>
      <c r="AR2149" s="2127">
        <f>U2149-'Blocking-Step2'!U2149</f>
        <v>0</v>
      </c>
      <c r="AT2149" s="2127">
        <f>W2149-'Blocking-Step2'!W2149</f>
        <v>0</v>
      </c>
      <c r="AV2149" s="2128">
        <f>Y2149-'Blocking-Step2'!Y2149</f>
        <v>0</v>
      </c>
    </row>
    <row r="2150" spans="1:48" ht="16.5" hidden="1" thickTop="1">
      <c r="A2150" s="1116" t="s">
        <v>261</v>
      </c>
      <c r="C2150" s="1105">
        <v>0</v>
      </c>
      <c r="D2150" s="1105">
        <v>0</v>
      </c>
      <c r="F2150" s="1142">
        <v>-0.48</v>
      </c>
      <c r="G2150" s="617"/>
      <c r="H2150" s="1146">
        <v>0</v>
      </c>
      <c r="I2150" s="1146">
        <v>0</v>
      </c>
      <c r="K2150" s="1142">
        <v>-0.48</v>
      </c>
      <c r="L2150" s="617"/>
      <c r="M2150" s="1142">
        <v>0</v>
      </c>
      <c r="N2150" s="617"/>
      <c r="O2150" s="1142">
        <v>0</v>
      </c>
      <c r="P2150" s="617"/>
      <c r="Q2150" s="1142">
        <v>-0.48</v>
      </c>
      <c r="R2150" s="617"/>
      <c r="S2150" s="1146">
        <v>0</v>
      </c>
      <c r="T2150" s="1114"/>
      <c r="U2150" s="1146">
        <v>0</v>
      </c>
      <c r="V2150" s="1114"/>
      <c r="W2150" s="1146">
        <v>0</v>
      </c>
      <c r="X2150" s="1114"/>
      <c r="Y2150" s="1146">
        <v>0</v>
      </c>
      <c r="Z2150" s="2114">
        <f>C2150-'Blocking-Step2'!C2150</f>
        <v>0</v>
      </c>
      <c r="AA2150" s="2114">
        <f>D2150-'Blocking-Step2'!D2150</f>
        <v>0</v>
      </c>
      <c r="AC2150" s="2114">
        <f>F2150-'Blocking-Step2'!F2150</f>
        <v>0</v>
      </c>
      <c r="AE2150" s="2114">
        <f>H2150-'Blocking-Step2'!H2150</f>
        <v>0</v>
      </c>
      <c r="AF2150" s="2114">
        <f>I2150-'Blocking-Step2'!I2150</f>
        <v>0</v>
      </c>
      <c r="AH2150" s="2136">
        <f>K2150-'Blocking-Step2'!K2150</f>
        <v>0</v>
      </c>
      <c r="AJ2150" s="2136">
        <f>M2150-'Blocking-Step2'!M2150</f>
        <v>0</v>
      </c>
      <c r="AL2150" s="2136">
        <f>O2150-'Blocking-Step2'!O2150</f>
        <v>0</v>
      </c>
      <c r="AN2150" s="2137">
        <f>Q2150-'Blocking-Step2'!Q2150</f>
        <v>0</v>
      </c>
      <c r="AP2150" s="2127">
        <f>S2150-'Blocking-Step2'!S2150</f>
        <v>0</v>
      </c>
      <c r="AR2150" s="2127">
        <f>U2150-'Blocking-Step2'!U2150</f>
        <v>0</v>
      </c>
      <c r="AT2150" s="2127">
        <f>W2150-'Blocking-Step2'!W2150</f>
        <v>0</v>
      </c>
      <c r="AV2150" s="2128">
        <f>Y2150-'Blocking-Step2'!Y2150</f>
        <v>0</v>
      </c>
    </row>
    <row r="2151" spans="1:48" ht="16.5" hidden="1" thickTop="1">
      <c r="A2151" s="1116" t="s">
        <v>194</v>
      </c>
      <c r="C2151" s="1105">
        <v>23248</v>
      </c>
      <c r="D2151" s="1105">
        <v>86160.397899159638</v>
      </c>
      <c r="F2151" s="1143">
        <v>11.733599999999999</v>
      </c>
      <c r="G2151" s="1921" t="s">
        <v>495</v>
      </c>
      <c r="H2151" s="1146">
        <v>2728</v>
      </c>
      <c r="I2151" s="1146">
        <v>10110</v>
      </c>
      <c r="K2151" s="1143"/>
      <c r="L2151" s="1921"/>
      <c r="M2151" s="1143"/>
      <c r="N2151" s="1921"/>
      <c r="O2151" s="1143"/>
      <c r="P2151" s="1921"/>
      <c r="Q2151" s="1143"/>
      <c r="R2151" s="1921"/>
      <c r="S2151" s="1648"/>
      <c r="T2151" s="1648"/>
      <c r="U2151" s="1648"/>
      <c r="V2151" s="1648"/>
      <c r="W2151" s="1648"/>
      <c r="X2151" s="1648"/>
      <c r="Y2151" s="1146"/>
      <c r="Z2151" s="2114">
        <f>C2151-'Blocking-Step2'!C2151</f>
        <v>0</v>
      </c>
      <c r="AA2151" s="2114">
        <f>D2151-'Blocking-Step2'!D2151</f>
        <v>0</v>
      </c>
      <c r="AC2151" s="2114">
        <f>F2151-'Blocking-Step2'!F2151</f>
        <v>0</v>
      </c>
      <c r="AE2151" s="2114">
        <f>H2151-'Blocking-Step2'!H2151</f>
        <v>0</v>
      </c>
      <c r="AF2151" s="2114">
        <f>I2151-'Blocking-Step2'!I2151</f>
        <v>0</v>
      </c>
      <c r="AH2151" s="2136">
        <f>K2151-'Blocking-Step2'!K2151</f>
        <v>0</v>
      </c>
      <c r="AJ2151" s="2136">
        <f>M2151-'Blocking-Step2'!M2151</f>
        <v>0</v>
      </c>
      <c r="AL2151" s="2136">
        <f>O2151-'Blocking-Step2'!O2151</f>
        <v>0</v>
      </c>
      <c r="AN2151" s="2137">
        <f>Q2151-'Blocking-Step2'!Q2151</f>
        <v>0</v>
      </c>
      <c r="AP2151" s="2127">
        <f>S2151-'Blocking-Step2'!S2151</f>
        <v>0</v>
      </c>
      <c r="AR2151" s="2127">
        <f>U2151-'Blocking-Step2'!U2151</f>
        <v>0</v>
      </c>
      <c r="AT2151" s="2127">
        <f>W2151-'Blocking-Step2'!W2151</f>
        <v>0</v>
      </c>
      <c r="AV2151" s="2128">
        <f>Y2151-'Blocking-Step2'!Y2151</f>
        <v>0</v>
      </c>
    </row>
    <row r="2152" spans="1:48" ht="16.5" hidden="1" thickTop="1">
      <c r="A2152" s="1116" t="s">
        <v>195</v>
      </c>
      <c r="C2152" s="1105">
        <v>14956</v>
      </c>
      <c r="D2152" s="1105">
        <v>55430</v>
      </c>
      <c r="F2152" s="1143">
        <v>6.5782999999999996</v>
      </c>
      <c r="G2152" s="1921" t="s">
        <v>495</v>
      </c>
      <c r="H2152" s="1146">
        <v>984</v>
      </c>
      <c r="I2152" s="1146">
        <v>3646</v>
      </c>
      <c r="K2152" s="1143"/>
      <c r="L2152" s="1921"/>
      <c r="M2152" s="1143"/>
      <c r="N2152" s="1921"/>
      <c r="O2152" s="1143"/>
      <c r="P2152" s="1921"/>
      <c r="Q2152" s="1143"/>
      <c r="R2152" s="1921"/>
      <c r="S2152" s="1648"/>
      <c r="T2152" s="1648"/>
      <c r="U2152" s="1648"/>
      <c r="V2152" s="1648"/>
      <c r="W2152" s="1648"/>
      <c r="X2152" s="1648"/>
      <c r="Y2152" s="1146"/>
      <c r="Z2152" s="2114">
        <f>C2152-'Blocking-Step2'!C2152</f>
        <v>0</v>
      </c>
      <c r="AA2152" s="2114">
        <f>D2152-'Blocking-Step2'!D2152</f>
        <v>0</v>
      </c>
      <c r="AC2152" s="2114">
        <f>F2152-'Blocking-Step2'!F2152</f>
        <v>0</v>
      </c>
      <c r="AE2152" s="2114">
        <f>H2152-'Blocking-Step2'!H2152</f>
        <v>0</v>
      </c>
      <c r="AF2152" s="2114">
        <f>I2152-'Blocking-Step2'!I2152</f>
        <v>0</v>
      </c>
      <c r="AH2152" s="2136">
        <f>K2152-'Blocking-Step2'!K2152</f>
        <v>0</v>
      </c>
      <c r="AJ2152" s="2136">
        <f>M2152-'Blocking-Step2'!M2152</f>
        <v>0</v>
      </c>
      <c r="AL2152" s="2136">
        <f>O2152-'Blocking-Step2'!O2152</f>
        <v>0</v>
      </c>
      <c r="AN2152" s="2137">
        <f>Q2152-'Blocking-Step2'!Q2152</f>
        <v>0</v>
      </c>
      <c r="AP2152" s="2127">
        <f>S2152-'Blocking-Step2'!S2152</f>
        <v>0</v>
      </c>
      <c r="AR2152" s="2127">
        <f>U2152-'Blocking-Step2'!U2152</f>
        <v>0</v>
      </c>
      <c r="AT2152" s="2127">
        <f>W2152-'Blocking-Step2'!W2152</f>
        <v>0</v>
      </c>
      <c r="AV2152" s="2128">
        <f>Y2152-'Blocking-Step2'!Y2152</f>
        <v>0</v>
      </c>
    </row>
    <row r="2153" spans="1:48" ht="16.5" hidden="1" thickTop="1">
      <c r="A2153" s="1116" t="s">
        <v>160</v>
      </c>
      <c r="C2153" s="1105">
        <v>73641</v>
      </c>
      <c r="D2153" s="1105">
        <v>161165</v>
      </c>
      <c r="F2153" s="1143">
        <v>10.8</v>
      </c>
      <c r="G2153" s="1921" t="s">
        <v>495</v>
      </c>
      <c r="H2153" s="1146">
        <v>7953</v>
      </c>
      <c r="I2153" s="1146">
        <v>17406</v>
      </c>
      <c r="K2153" s="1143"/>
      <c r="L2153" s="1921"/>
      <c r="M2153" s="1143"/>
      <c r="N2153" s="1921"/>
      <c r="O2153" s="1143"/>
      <c r="P2153" s="1921"/>
      <c r="Q2153" s="1143"/>
      <c r="R2153" s="1921"/>
      <c r="S2153" s="1648"/>
      <c r="T2153" s="1648"/>
      <c r="U2153" s="1648"/>
      <c r="V2153" s="1648"/>
      <c r="W2153" s="1648"/>
      <c r="X2153" s="1648"/>
      <c r="Y2153" s="1146"/>
      <c r="Z2153" s="2114">
        <f>C2153-'Blocking-Step2'!C2153</f>
        <v>0</v>
      </c>
      <c r="AA2153" s="2114">
        <f>D2153-'Blocking-Step2'!D2153</f>
        <v>0</v>
      </c>
      <c r="AC2153" s="2114">
        <f>F2153-'Blocking-Step2'!F2153</f>
        <v>0</v>
      </c>
      <c r="AE2153" s="2114">
        <f>H2153-'Blocking-Step2'!H2153</f>
        <v>0</v>
      </c>
      <c r="AF2153" s="2114">
        <f>I2153-'Blocking-Step2'!I2153</f>
        <v>0</v>
      </c>
      <c r="AH2153" s="2136">
        <f>K2153-'Blocking-Step2'!K2153</f>
        <v>0</v>
      </c>
      <c r="AJ2153" s="2136">
        <f>M2153-'Blocking-Step2'!M2153</f>
        <v>0</v>
      </c>
      <c r="AL2153" s="2136">
        <f>O2153-'Blocking-Step2'!O2153</f>
        <v>0</v>
      </c>
      <c r="AN2153" s="2137">
        <f>Q2153-'Blocking-Step2'!Q2153</f>
        <v>0</v>
      </c>
      <c r="AP2153" s="2127">
        <f>S2153-'Blocking-Step2'!S2153</f>
        <v>0</v>
      </c>
      <c r="AR2153" s="2127">
        <f>U2153-'Blocking-Step2'!U2153</f>
        <v>0</v>
      </c>
      <c r="AT2153" s="2127">
        <f>W2153-'Blocking-Step2'!W2153</f>
        <v>0</v>
      </c>
      <c r="AV2153" s="2128">
        <f>Y2153-'Blocking-Step2'!Y2153</f>
        <v>0</v>
      </c>
    </row>
    <row r="2154" spans="1:48" ht="16.5" hidden="1" thickTop="1">
      <c r="A2154" s="1116" t="s">
        <v>159</v>
      </c>
      <c r="C2154" s="1105">
        <v>65137</v>
      </c>
      <c r="D2154" s="1105">
        <v>142554</v>
      </c>
      <c r="F2154" s="1143">
        <v>6.0567000000000002</v>
      </c>
      <c r="G2154" s="1921" t="s">
        <v>495</v>
      </c>
      <c r="H2154" s="1146">
        <v>3945</v>
      </c>
      <c r="I2154" s="1146">
        <v>8634</v>
      </c>
      <c r="K2154" s="1143"/>
      <c r="L2154" s="1921"/>
      <c r="M2154" s="1143"/>
      <c r="N2154" s="1921"/>
      <c r="O2154" s="1143"/>
      <c r="P2154" s="1921"/>
      <c r="Q2154" s="1143"/>
      <c r="R2154" s="1921"/>
      <c r="S2154" s="1648"/>
      <c r="T2154" s="1648"/>
      <c r="U2154" s="1648"/>
      <c r="V2154" s="1648"/>
      <c r="W2154" s="1648"/>
      <c r="X2154" s="1648"/>
      <c r="Y2154" s="1146"/>
      <c r="Z2154" s="2114">
        <f>C2154-'Blocking-Step2'!C2154</f>
        <v>0</v>
      </c>
      <c r="AA2154" s="2114">
        <f>D2154-'Blocking-Step2'!D2154</f>
        <v>0</v>
      </c>
      <c r="AC2154" s="2114">
        <f>F2154-'Blocking-Step2'!F2154</f>
        <v>0</v>
      </c>
      <c r="AE2154" s="2114">
        <f>H2154-'Blocking-Step2'!H2154</f>
        <v>0</v>
      </c>
      <c r="AF2154" s="2114">
        <f>I2154-'Blocking-Step2'!I2154</f>
        <v>0</v>
      </c>
      <c r="AH2154" s="2136">
        <f>K2154-'Blocking-Step2'!K2154</f>
        <v>0</v>
      </c>
      <c r="AJ2154" s="2136">
        <f>M2154-'Blocking-Step2'!M2154</f>
        <v>0</v>
      </c>
      <c r="AL2154" s="2136">
        <f>O2154-'Blocking-Step2'!O2154</f>
        <v>0</v>
      </c>
      <c r="AN2154" s="2137">
        <f>Q2154-'Blocking-Step2'!Q2154</f>
        <v>0</v>
      </c>
      <c r="AP2154" s="2127">
        <f>S2154-'Blocking-Step2'!S2154</f>
        <v>0</v>
      </c>
      <c r="AR2154" s="2127">
        <f>U2154-'Blocking-Step2'!U2154</f>
        <v>0</v>
      </c>
      <c r="AT2154" s="2127">
        <f>W2154-'Blocking-Step2'!W2154</f>
        <v>0</v>
      </c>
      <c r="AV2154" s="2128">
        <f>Y2154-'Blocking-Step2'!Y2154</f>
        <v>0</v>
      </c>
    </row>
    <row r="2155" spans="1:48" ht="16.5" hidden="1" thickTop="1">
      <c r="A2155" s="1116" t="s">
        <v>246</v>
      </c>
      <c r="C2155" s="1940">
        <v>-2869</v>
      </c>
      <c r="D2155" s="1940">
        <v>0</v>
      </c>
      <c r="H2155" s="1147">
        <v>-309</v>
      </c>
      <c r="I2155" s="1147">
        <v>0</v>
      </c>
      <c r="Y2155" s="1147">
        <v>0</v>
      </c>
      <c r="Z2155" s="2114">
        <f>C2155-'Blocking-Step2'!C2155</f>
        <v>0</v>
      </c>
      <c r="AA2155" s="2114">
        <f>D2155-'Blocking-Step2'!D2155</f>
        <v>0</v>
      </c>
      <c r="AC2155" s="2114">
        <f>F2155-'Blocking-Step2'!F2155</f>
        <v>0</v>
      </c>
      <c r="AE2155" s="2114">
        <f>H2155-'Blocking-Step2'!H2155</f>
        <v>0</v>
      </c>
      <c r="AF2155" s="2114">
        <f>I2155-'Blocking-Step2'!I2155</f>
        <v>0</v>
      </c>
      <c r="AH2155" s="2136">
        <f>K2155-'Blocking-Step2'!K2155</f>
        <v>0</v>
      </c>
      <c r="AJ2155" s="2136">
        <f>M2155-'Blocking-Step2'!M2155</f>
        <v>0</v>
      </c>
      <c r="AL2155" s="2136">
        <f>O2155-'Blocking-Step2'!O2155</f>
        <v>0</v>
      </c>
      <c r="AN2155" s="2137">
        <f>Q2155-'Blocking-Step2'!Q2155</f>
        <v>0</v>
      </c>
      <c r="AP2155" s="2127">
        <f>S2155-'Blocking-Step2'!S2155</f>
        <v>0</v>
      </c>
      <c r="AR2155" s="2127">
        <f>U2155-'Blocking-Step2'!U2155</f>
        <v>0</v>
      </c>
      <c r="AT2155" s="2127">
        <f>W2155-'Blocking-Step2'!W2155</f>
        <v>0</v>
      </c>
      <c r="AV2155" s="2128">
        <f>Y2155-'Blocking-Step2'!Y2155</f>
        <v>0</v>
      </c>
    </row>
    <row r="2156" spans="1:48" ht="16.5" hidden="1" thickTop="1">
      <c r="A2156" s="1116" t="s">
        <v>1240</v>
      </c>
      <c r="C2156" s="1024"/>
      <c r="D2156" s="1024"/>
      <c r="F2156" s="2076">
        <v>-3.3099999999999997E-2</v>
      </c>
      <c r="G2156" s="617"/>
      <c r="H2156" s="1146">
        <v>-626.18579999999997</v>
      </c>
      <c r="I2156" s="1146">
        <v>-1597.3728999999998</v>
      </c>
      <c r="K2156" s="2076"/>
      <c r="L2156" s="617"/>
      <c r="M2156" s="2076"/>
      <c r="N2156" s="617"/>
      <c r="O2156" s="2077" t="s">
        <v>2323</v>
      </c>
      <c r="P2156" s="617"/>
      <c r="Q2156" s="2076">
        <v>-2.5600000000000001E-2</v>
      </c>
      <c r="R2156" s="617"/>
      <c r="S2156" s="1114"/>
      <c r="T2156" s="1114"/>
      <c r="U2156" s="1114"/>
      <c r="V2156" s="1114"/>
      <c r="W2156" s="1114"/>
      <c r="X2156" s="1114"/>
      <c r="Y2156" s="1146">
        <v>-1181.0304000000001</v>
      </c>
      <c r="Z2156" s="2114">
        <f>C2156-'Blocking-Step2'!C2156</f>
        <v>0</v>
      </c>
      <c r="AA2156" s="2114">
        <f>D2156-'Blocking-Step2'!D2156</f>
        <v>0</v>
      </c>
      <c r="AC2156" s="2114">
        <f>F2156-'Blocking-Step2'!F2156</f>
        <v>0</v>
      </c>
      <c r="AE2156" s="2114">
        <f>H2156-'Blocking-Step2'!H2156</f>
        <v>0</v>
      </c>
      <c r="AF2156" s="2114">
        <f>I2156-'Blocking-Step2'!I2156</f>
        <v>0</v>
      </c>
      <c r="AH2156" s="2136">
        <f>K2156-'Blocking-Step2'!K2156</f>
        <v>0</v>
      </c>
      <c r="AJ2156" s="2136">
        <f>M2156-'Blocking-Step2'!M2156</f>
        <v>0</v>
      </c>
      <c r="AL2156" s="2136" t="e">
        <f>O2156-'Blocking-Step2'!O2156</f>
        <v>#VALUE!</v>
      </c>
      <c r="AN2156" s="2137">
        <f>Q2156-'Blocking-Step2'!Q2156</f>
        <v>0</v>
      </c>
      <c r="AP2156" s="2127">
        <f>S2156-'Blocking-Step2'!S2156</f>
        <v>0</v>
      </c>
      <c r="AR2156" s="2127">
        <f>U2156-'Blocking-Step2'!U2156</f>
        <v>0</v>
      </c>
      <c r="AT2156" s="2127">
        <f>W2156-'Blocking-Step2'!W2156</f>
        <v>0</v>
      </c>
      <c r="AV2156" s="2128">
        <f>Y2156-'Blocking-Step2'!Y2156</f>
        <v>-0.23040000000014516</v>
      </c>
    </row>
    <row r="2157" spans="1:48" ht="16.5" hidden="1" thickTop="1">
      <c r="A2157" s="1116"/>
      <c r="C2157" s="1024"/>
      <c r="D2157" s="1024"/>
      <c r="F2157" s="2076"/>
      <c r="G2157" s="617"/>
      <c r="H2157" s="1146"/>
      <c r="I2157" s="1146"/>
      <c r="K2157" s="2076"/>
      <c r="L2157" s="617"/>
      <c r="M2157" s="2076"/>
      <c r="N2157" s="617"/>
      <c r="O2157" s="2077" t="s">
        <v>2324</v>
      </c>
      <c r="P2157" s="617"/>
      <c r="Q2157" s="2076">
        <v>-1.3899999999999999E-2</v>
      </c>
      <c r="R2157" s="617"/>
      <c r="S2157" s="1114"/>
      <c r="T2157" s="1114"/>
      <c r="U2157" s="1114"/>
      <c r="V2157" s="1114"/>
      <c r="W2157" s="1114"/>
      <c r="X2157" s="1114"/>
      <c r="Y2157" s="1146">
        <v>-641.26259999999991</v>
      </c>
      <c r="Z2157" s="2114">
        <f>C2157-'Blocking-Step2'!C2157</f>
        <v>0</v>
      </c>
      <c r="AA2157" s="2114">
        <f>D2157-'Blocking-Step2'!D2157</f>
        <v>0</v>
      </c>
      <c r="AC2157" s="2114">
        <f>F2157-'Blocking-Step2'!F2157</f>
        <v>0</v>
      </c>
      <c r="AE2157" s="2114">
        <f>H2157-'Blocking-Step2'!H2157</f>
        <v>0</v>
      </c>
      <c r="AF2157" s="2114">
        <f>I2157-'Blocking-Step2'!I2157</f>
        <v>0</v>
      </c>
      <c r="AH2157" s="2136">
        <f>K2157-'Blocking-Step2'!K2157</f>
        <v>0</v>
      </c>
      <c r="AJ2157" s="2136">
        <f>M2157-'Blocking-Step2'!M2157</f>
        <v>0</v>
      </c>
      <c r="AL2157" s="2136" t="e">
        <f>O2157-'Blocking-Step2'!O2157</f>
        <v>#VALUE!</v>
      </c>
      <c r="AN2157" s="2137">
        <f>Q2157-'Blocking-Step2'!Q2157</f>
        <v>0</v>
      </c>
      <c r="AP2157" s="2127">
        <f>S2157-'Blocking-Step2'!S2157</f>
        <v>0</v>
      </c>
      <c r="AR2157" s="2127">
        <f>U2157-'Blocking-Step2'!U2157</f>
        <v>0</v>
      </c>
      <c r="AT2157" s="2127">
        <f>W2157-'Blocking-Step2'!W2157</f>
        <v>0</v>
      </c>
      <c r="AV2157" s="2128">
        <f>Y2157-'Blocking-Step2'!Y2157</f>
        <v>-0.1250999999999749</v>
      </c>
    </row>
    <row r="2158" spans="1:48" ht="17.25" hidden="1" thickTop="1" thickBot="1">
      <c r="A2158" s="1116" t="s">
        <v>247</v>
      </c>
      <c r="C2158" s="1138">
        <v>174113</v>
      </c>
      <c r="D2158" s="1138">
        <v>445309.39789915964</v>
      </c>
      <c r="F2158" s="1145"/>
      <c r="H2158" s="1149">
        <v>20024.814200000001</v>
      </c>
      <c r="I2158" s="1149">
        <v>51281.627099999998</v>
      </c>
      <c r="K2158" s="1145"/>
      <c r="M2158" s="1145"/>
      <c r="O2158" s="1145"/>
      <c r="P2158" s="617"/>
      <c r="Q2158" s="1145"/>
      <c r="R2158" s="617"/>
      <c r="S2158" s="1154">
        <v>19150</v>
      </c>
      <c r="T2158" s="1114"/>
      <c r="U2158" s="1154">
        <v>21993</v>
      </c>
      <c r="V2158" s="1114"/>
      <c r="W2158" s="1154">
        <v>9612</v>
      </c>
      <c r="X2158" s="1114"/>
      <c r="Y2158" s="1154">
        <v>50754</v>
      </c>
      <c r="Z2158" s="2114">
        <f>C2158-'Blocking-Step2'!C2158</f>
        <v>0</v>
      </c>
      <c r="AA2158" s="2114">
        <f>D2158-'Blocking-Step2'!D2158</f>
        <v>0</v>
      </c>
      <c r="AC2158" s="2114">
        <f>F2158-'Blocking-Step2'!F2158</f>
        <v>0</v>
      </c>
      <c r="AE2158" s="2114">
        <f>H2158-'Blocking-Step2'!H2158</f>
        <v>0</v>
      </c>
      <c r="AF2158" s="2114">
        <f>I2158-'Blocking-Step2'!I2158</f>
        <v>0</v>
      </c>
      <c r="AH2158" s="2136">
        <f>K2158-'Blocking-Step2'!K2158</f>
        <v>0</v>
      </c>
      <c r="AJ2158" s="2136">
        <f>M2158-'Blocking-Step2'!M2158</f>
        <v>0</v>
      </c>
      <c r="AL2158" s="2136">
        <f>O2158-'Blocking-Step2'!O2158</f>
        <v>0</v>
      </c>
      <c r="AN2158" s="2137">
        <f>Q2158-'Blocking-Step2'!Q2158</f>
        <v>0</v>
      </c>
      <c r="AP2158" s="2127">
        <f>S2158-'Blocking-Step2'!S2158</f>
        <v>-6559</v>
      </c>
      <c r="AR2158" s="2127">
        <f>U2158-'Blocking-Step2'!U2158</f>
        <v>6570</v>
      </c>
      <c r="AT2158" s="2127">
        <f>W2158-'Blocking-Step2'!W2158</f>
        <v>0</v>
      </c>
      <c r="AV2158" s="2128">
        <f>Y2158-'Blocking-Step2'!Y2158</f>
        <v>9</v>
      </c>
    </row>
    <row r="2159" spans="1:48" ht="16.5" thickTop="1">
      <c r="C2159" s="1105"/>
      <c r="D2159" s="1105"/>
      <c r="O2159" s="1109"/>
      <c r="Q2159" s="1109"/>
      <c r="Y2159" s="1114"/>
      <c r="Z2159" s="2114">
        <f>C2159-'Blocking-Step2'!C2159</f>
        <v>0</v>
      </c>
      <c r="AA2159" s="2114">
        <f>D2159-'Blocking-Step2'!D2159</f>
        <v>0</v>
      </c>
      <c r="AC2159" s="2114">
        <f>F2159-'Blocking-Step2'!F2159</f>
        <v>0</v>
      </c>
      <c r="AE2159" s="2114">
        <f>H2159-'Blocking-Step2'!H2159</f>
        <v>0</v>
      </c>
      <c r="AF2159" s="2114">
        <f>I2159-'Blocking-Step2'!I2159</f>
        <v>0</v>
      </c>
      <c r="AH2159" s="2136">
        <f>K2159-'Blocking-Step2'!K2159</f>
        <v>0</v>
      </c>
      <c r="AJ2159" s="2136">
        <f>M2159-'Blocking-Step2'!M2159</f>
        <v>0</v>
      </c>
      <c r="AL2159" s="2136">
        <f>O2159-'Blocking-Step2'!O2159</f>
        <v>0</v>
      </c>
      <c r="AN2159" s="2137">
        <f>Q2159-'Blocking-Step2'!Q2159</f>
        <v>0</v>
      </c>
      <c r="AP2159" s="2127">
        <f>S2159-'Blocking-Step2'!S2159</f>
        <v>0</v>
      </c>
      <c r="AR2159" s="2127">
        <f>U2159-'Blocking-Step2'!U2159</f>
        <v>0</v>
      </c>
      <c r="AT2159" s="2127">
        <f>W2159-'Blocking-Step2'!W2159</f>
        <v>0</v>
      </c>
      <c r="AV2159" s="2128">
        <f>Y2159-'Blocking-Step2'!Y2159</f>
        <v>0</v>
      </c>
    </row>
    <row r="2160" spans="1:48">
      <c r="A2160" s="1115" t="s">
        <v>1291</v>
      </c>
      <c r="C2160" s="1105"/>
      <c r="D2160" s="1105"/>
      <c r="Z2160" s="2114">
        <f>C2160-'Blocking-Step2'!C2160</f>
        <v>0</v>
      </c>
      <c r="AA2160" s="2114">
        <f>D2160-'Blocking-Step2'!D2160</f>
        <v>0</v>
      </c>
      <c r="AC2160" s="2114">
        <f>F2160-'Blocking-Step2'!F2160</f>
        <v>0</v>
      </c>
      <c r="AE2160" s="2114">
        <f>H2160-'Blocking-Step2'!H2160</f>
        <v>0</v>
      </c>
      <c r="AF2160" s="2114">
        <f>I2160-'Blocking-Step2'!I2160</f>
        <v>0</v>
      </c>
      <c r="AH2160" s="2136">
        <f>K2160-'Blocking-Step2'!K2160</f>
        <v>0</v>
      </c>
      <c r="AJ2160" s="2136">
        <f>M2160-'Blocking-Step2'!M2160</f>
        <v>0</v>
      </c>
      <c r="AL2160" s="2136">
        <f>O2160-'Blocking-Step2'!O2160</f>
        <v>0</v>
      </c>
      <c r="AN2160" s="2137">
        <f>Q2160-'Blocking-Step2'!Q2160</f>
        <v>0</v>
      </c>
      <c r="AP2160" s="2127">
        <f>S2160-'Blocking-Step2'!S2160</f>
        <v>0</v>
      </c>
      <c r="AR2160" s="2127">
        <f>U2160-'Blocking-Step2'!U2160</f>
        <v>0</v>
      </c>
      <c r="AT2160" s="2127">
        <f>W2160-'Blocking-Step2'!W2160</f>
        <v>0</v>
      </c>
      <c r="AV2160" s="2128">
        <f>Y2160-'Blocking-Step2'!Y2160</f>
        <v>0</v>
      </c>
    </row>
    <row r="2161" spans="1:48">
      <c r="A2161" s="1116" t="s">
        <v>240</v>
      </c>
      <c r="C2161" s="1105">
        <v>578.03800000000001</v>
      </c>
      <c r="D2161" s="1105">
        <v>1546</v>
      </c>
      <c r="F2161" s="1907">
        <v>10</v>
      </c>
      <c r="G2161" s="1110"/>
      <c r="H2161" s="1146">
        <v>5780</v>
      </c>
      <c r="I2161" s="1146">
        <v>15460</v>
      </c>
      <c r="K2161" s="1142">
        <v>10</v>
      </c>
      <c r="L2161" s="1110"/>
      <c r="M2161" s="1142">
        <v>0</v>
      </c>
      <c r="N2161" s="1110"/>
      <c r="O2161" s="1142">
        <v>0</v>
      </c>
      <c r="P2161" s="1110"/>
      <c r="Q2161" s="1142">
        <v>10</v>
      </c>
      <c r="R2161" s="1110"/>
      <c r="S2161" s="1146">
        <v>15460</v>
      </c>
      <c r="T2161" s="1114"/>
      <c r="U2161" s="1146">
        <v>0</v>
      </c>
      <c r="V2161" s="1114"/>
      <c r="W2161" s="1146">
        <v>0</v>
      </c>
      <c r="X2161" s="1629"/>
      <c r="Y2161" s="1146">
        <v>15460</v>
      </c>
      <c r="Z2161" s="2114">
        <f>C2161-'Blocking-Step2'!C2161</f>
        <v>0</v>
      </c>
      <c r="AA2161" s="2114">
        <f>D2161-'Blocking-Step2'!D2161</f>
        <v>0</v>
      </c>
      <c r="AC2161" s="2114">
        <f>F2161-'Blocking-Step2'!F2161</f>
        <v>0</v>
      </c>
      <c r="AE2161" s="2114">
        <f>H2161-'Blocking-Step2'!H2161</f>
        <v>0</v>
      </c>
      <c r="AF2161" s="2114">
        <f>I2161-'Blocking-Step2'!I2161</f>
        <v>0</v>
      </c>
      <c r="AH2161" s="2136">
        <f>K2161-'Blocking-Step2'!K2161</f>
        <v>0</v>
      </c>
      <c r="AJ2161" s="2136">
        <f>M2161-'Blocking-Step2'!M2161</f>
        <v>0</v>
      </c>
      <c r="AL2161" s="2136">
        <f>O2161-'Blocking-Step2'!O2161</f>
        <v>0</v>
      </c>
      <c r="AN2161" s="2137">
        <f>Q2161-'Blocking-Step2'!Q2161</f>
        <v>0</v>
      </c>
      <c r="AP2161" s="2127">
        <f>S2161-'Blocking-Step2'!S2161</f>
        <v>0</v>
      </c>
      <c r="AR2161" s="2127">
        <f>U2161-'Blocking-Step2'!U2161</f>
        <v>0</v>
      </c>
      <c r="AT2161" s="2127">
        <f>W2161-'Blocking-Step2'!W2161</f>
        <v>0</v>
      </c>
      <c r="AV2161" s="2128">
        <f>Y2161-'Blocking-Step2'!Y2161</f>
        <v>0</v>
      </c>
    </row>
    <row r="2162" spans="1:48">
      <c r="A2162" s="1116" t="s">
        <v>262</v>
      </c>
      <c r="C2162" s="1105">
        <v>0</v>
      </c>
      <c r="D2162" s="1105">
        <v>0</v>
      </c>
      <c r="F2162" s="1907">
        <v>120</v>
      </c>
      <c r="G2162" s="1110"/>
      <c r="H2162" s="1146">
        <v>0</v>
      </c>
      <c r="I2162" s="1146">
        <v>0</v>
      </c>
      <c r="K2162" s="1142">
        <v>117</v>
      </c>
      <c r="L2162" s="1110"/>
      <c r="M2162" s="1142">
        <v>0</v>
      </c>
      <c r="N2162" s="1110"/>
      <c r="O2162" s="1142">
        <v>0</v>
      </c>
      <c r="P2162" s="1110"/>
      <c r="Q2162" s="1142">
        <v>117</v>
      </c>
      <c r="R2162" s="1110"/>
      <c r="S2162" s="1146">
        <v>0</v>
      </c>
      <c r="T2162" s="1114"/>
      <c r="U2162" s="1146">
        <v>0</v>
      </c>
      <c r="V2162" s="1114"/>
      <c r="W2162" s="1146">
        <v>0</v>
      </c>
      <c r="X2162" s="1629"/>
      <c r="Y2162" s="1146">
        <v>0</v>
      </c>
      <c r="Z2162" s="2114">
        <f>C2162-'Blocking-Step2'!C2162</f>
        <v>0</v>
      </c>
      <c r="AA2162" s="2114">
        <f>D2162-'Blocking-Step2'!D2162</f>
        <v>0</v>
      </c>
      <c r="AC2162" s="2114">
        <f>F2162-'Blocking-Step2'!F2162</f>
        <v>0</v>
      </c>
      <c r="AE2162" s="2114">
        <f>H2162-'Blocking-Step2'!H2162</f>
        <v>0</v>
      </c>
      <c r="AF2162" s="2114">
        <f>I2162-'Blocking-Step2'!I2162</f>
        <v>0</v>
      </c>
      <c r="AH2162" s="2136">
        <f>K2162-'Blocking-Step2'!K2162</f>
        <v>0</v>
      </c>
      <c r="AJ2162" s="2136">
        <f>M2162-'Blocking-Step2'!M2162</f>
        <v>0</v>
      </c>
      <c r="AL2162" s="2136">
        <f>O2162-'Blocking-Step2'!O2162</f>
        <v>0</v>
      </c>
      <c r="AN2162" s="2137">
        <f>Q2162-'Blocking-Step2'!Q2162</f>
        <v>0</v>
      </c>
      <c r="AP2162" s="2127">
        <f>S2162-'Blocking-Step2'!S2162</f>
        <v>0</v>
      </c>
      <c r="AR2162" s="2127">
        <f>U2162-'Blocking-Step2'!U2162</f>
        <v>0</v>
      </c>
      <c r="AT2162" s="2127">
        <f>W2162-'Blocking-Step2'!W2162</f>
        <v>0</v>
      </c>
      <c r="AV2162" s="2128">
        <f>Y2162-'Blocking-Step2'!Y2162</f>
        <v>0</v>
      </c>
    </row>
    <row r="2163" spans="1:48">
      <c r="A2163" s="1116" t="s">
        <v>1236</v>
      </c>
      <c r="C2163" s="1105">
        <v>139</v>
      </c>
      <c r="D2163" s="1105">
        <v>393</v>
      </c>
      <c r="F2163" s="1142">
        <v>2</v>
      </c>
      <c r="G2163" s="617"/>
      <c r="H2163" s="1146">
        <v>278</v>
      </c>
      <c r="I2163" s="1146">
        <v>786</v>
      </c>
      <c r="K2163" s="1142">
        <v>2</v>
      </c>
      <c r="L2163" s="617"/>
      <c r="M2163" s="1142">
        <v>0</v>
      </c>
      <c r="N2163" s="617"/>
      <c r="O2163" s="1142">
        <v>0</v>
      </c>
      <c r="P2163" s="617"/>
      <c r="Q2163" s="1142">
        <v>2</v>
      </c>
      <c r="R2163" s="617"/>
      <c r="S2163" s="1146">
        <v>786</v>
      </c>
      <c r="T2163" s="1114"/>
      <c r="U2163" s="1146">
        <v>0</v>
      </c>
      <c r="V2163" s="1114"/>
      <c r="W2163" s="1146">
        <v>0</v>
      </c>
      <c r="X2163" s="1114"/>
      <c r="Y2163" s="1146">
        <v>786</v>
      </c>
      <c r="Z2163" s="2114">
        <f>C2163-'Blocking-Step2'!C2163</f>
        <v>0</v>
      </c>
      <c r="AA2163" s="2114">
        <f>D2163-'Blocking-Step2'!D2163</f>
        <v>0</v>
      </c>
      <c r="AC2163" s="2114">
        <f>F2163-'Blocking-Step2'!F2163</f>
        <v>0</v>
      </c>
      <c r="AE2163" s="2114">
        <f>H2163-'Blocking-Step2'!H2163</f>
        <v>0</v>
      </c>
      <c r="AF2163" s="2114">
        <f>I2163-'Blocking-Step2'!I2163</f>
        <v>0</v>
      </c>
      <c r="AH2163" s="2136">
        <f>K2163-'Blocking-Step2'!K2163</f>
        <v>0</v>
      </c>
      <c r="AJ2163" s="2136">
        <f>M2163-'Blocking-Step2'!M2163</f>
        <v>0</v>
      </c>
      <c r="AL2163" s="2136">
        <f>O2163-'Blocking-Step2'!O2163</f>
        <v>0</v>
      </c>
      <c r="AN2163" s="2137">
        <f>Q2163-'Blocking-Step2'!Q2163</f>
        <v>0</v>
      </c>
      <c r="AP2163" s="2127">
        <f>S2163-'Blocking-Step2'!S2163</f>
        <v>0</v>
      </c>
      <c r="AR2163" s="2127">
        <f>U2163-'Blocking-Step2'!U2163</f>
        <v>0</v>
      </c>
      <c r="AT2163" s="2127">
        <f>W2163-'Blocking-Step2'!W2163</f>
        <v>0</v>
      </c>
      <c r="AV2163" s="2128">
        <f>Y2163-'Blocking-Step2'!Y2163</f>
        <v>0</v>
      </c>
    </row>
    <row r="2164" spans="1:48">
      <c r="A2164" s="1116" t="s">
        <v>1298</v>
      </c>
      <c r="C2164" s="1105">
        <v>0</v>
      </c>
      <c r="D2164" s="1105">
        <v>0</v>
      </c>
      <c r="F2164" s="1907">
        <v>10</v>
      </c>
      <c r="G2164" s="1110"/>
      <c r="H2164" s="1146">
        <v>0</v>
      </c>
      <c r="I2164" s="1146">
        <v>0</v>
      </c>
      <c r="K2164" s="1142">
        <v>10</v>
      </c>
      <c r="L2164" s="1110"/>
      <c r="M2164" s="1142">
        <v>0</v>
      </c>
      <c r="N2164" s="1110"/>
      <c r="O2164" s="1142">
        <v>0</v>
      </c>
      <c r="P2164" s="1110"/>
      <c r="Q2164" s="1142">
        <v>10</v>
      </c>
      <c r="R2164" s="1110"/>
      <c r="S2164" s="1146">
        <v>0</v>
      </c>
      <c r="T2164" s="1114"/>
      <c r="U2164" s="1146">
        <v>0</v>
      </c>
      <c r="V2164" s="1114"/>
      <c r="W2164" s="1146">
        <v>0</v>
      </c>
      <c r="X2164" s="1629"/>
      <c r="Y2164" s="1146">
        <v>0</v>
      </c>
      <c r="Z2164" s="2114">
        <f>C2164-'Blocking-Step2'!C2164</f>
        <v>0</v>
      </c>
      <c r="AA2164" s="2114">
        <f>D2164-'Blocking-Step2'!D2164</f>
        <v>0</v>
      </c>
      <c r="AC2164" s="2114">
        <f>F2164-'Blocking-Step2'!F2164</f>
        <v>0</v>
      </c>
      <c r="AE2164" s="2114">
        <f>H2164-'Blocking-Step2'!H2164</f>
        <v>0</v>
      </c>
      <c r="AF2164" s="2114">
        <f>I2164-'Blocking-Step2'!I2164</f>
        <v>0</v>
      </c>
      <c r="AH2164" s="2136">
        <f>K2164-'Blocking-Step2'!K2164</f>
        <v>0</v>
      </c>
      <c r="AJ2164" s="2136">
        <f>M2164-'Blocking-Step2'!M2164</f>
        <v>0</v>
      </c>
      <c r="AL2164" s="2136">
        <f>O2164-'Blocking-Step2'!O2164</f>
        <v>0</v>
      </c>
      <c r="AN2164" s="2137">
        <f>Q2164-'Blocking-Step2'!Q2164</f>
        <v>0</v>
      </c>
      <c r="AP2164" s="2127">
        <f>S2164-'Blocking-Step2'!S2164</f>
        <v>0</v>
      </c>
      <c r="AR2164" s="2127">
        <f>U2164-'Blocking-Step2'!U2164</f>
        <v>0</v>
      </c>
      <c r="AT2164" s="2127">
        <f>W2164-'Blocking-Step2'!W2164</f>
        <v>0</v>
      </c>
      <c r="AV2164" s="2128">
        <f>Y2164-'Blocking-Step2'!Y2164</f>
        <v>0</v>
      </c>
    </row>
    <row r="2165" spans="1:48">
      <c r="A2165" s="1116" t="s">
        <v>1654</v>
      </c>
      <c r="C2165" s="1105">
        <v>495.28811594685055</v>
      </c>
      <c r="D2165" s="1105">
        <v>552</v>
      </c>
      <c r="F2165" s="1142"/>
      <c r="G2165" s="617"/>
      <c r="H2165" s="1146"/>
      <c r="I2165" s="1146"/>
      <c r="K2165" s="1142">
        <v>8.89</v>
      </c>
      <c r="L2165" s="617"/>
      <c r="M2165" s="1142">
        <v>0</v>
      </c>
      <c r="N2165" s="617"/>
      <c r="O2165" s="1142">
        <v>0</v>
      </c>
      <c r="P2165" s="617"/>
      <c r="Q2165" s="1142">
        <v>8.89</v>
      </c>
      <c r="R2165" s="617"/>
      <c r="S2165" s="1146">
        <v>4907</v>
      </c>
      <c r="T2165" s="1114"/>
      <c r="U2165" s="1146">
        <v>0</v>
      </c>
      <c r="V2165" s="1114"/>
      <c r="W2165" s="1146">
        <v>0</v>
      </c>
      <c r="X2165" s="1114"/>
      <c r="Y2165" s="1146">
        <v>4907</v>
      </c>
      <c r="Z2165" s="2114">
        <f>C2165-'Blocking-Step2'!C2165</f>
        <v>0</v>
      </c>
      <c r="AA2165" s="2114">
        <f>D2165-'Blocking-Step2'!D2165</f>
        <v>0</v>
      </c>
      <c r="AC2165" s="2114">
        <f>F2165-'Blocking-Step2'!F2165</f>
        <v>0</v>
      </c>
      <c r="AE2165" s="2114">
        <f>H2165-'Blocking-Step2'!H2165</f>
        <v>0</v>
      </c>
      <c r="AF2165" s="2114">
        <f>I2165-'Blocking-Step2'!I2165</f>
        <v>0</v>
      </c>
      <c r="AH2165" s="2136">
        <f>K2165-'Blocking-Step2'!K2165</f>
        <v>0</v>
      </c>
      <c r="AJ2165" s="2136">
        <f>M2165-'Blocking-Step2'!M2165</f>
        <v>0</v>
      </c>
      <c r="AL2165" s="2136">
        <f>O2165-'Blocking-Step2'!O2165</f>
        <v>0</v>
      </c>
      <c r="AN2165" s="2137">
        <f>Q2165-'Blocking-Step2'!Q2165</f>
        <v>0</v>
      </c>
      <c r="AP2165" s="2127">
        <f>S2165-'Blocking-Step2'!S2165</f>
        <v>0</v>
      </c>
      <c r="AR2165" s="2127">
        <f>U2165-'Blocking-Step2'!U2165</f>
        <v>0</v>
      </c>
      <c r="AT2165" s="2127">
        <f>W2165-'Blocking-Step2'!W2165</f>
        <v>0</v>
      </c>
      <c r="AV2165" s="2128">
        <f>Y2165-'Blocking-Step2'!Y2165</f>
        <v>0</v>
      </c>
    </row>
    <row r="2166" spans="1:48">
      <c r="A2166" s="1116" t="s">
        <v>1655</v>
      </c>
      <c r="C2166" s="1105">
        <v>881.54837332296552</v>
      </c>
      <c r="D2166" s="1105">
        <v>982</v>
      </c>
      <c r="F2166" s="1142"/>
      <c r="G2166" s="617"/>
      <c r="H2166" s="1146"/>
      <c r="I2166" s="1146"/>
      <c r="K2166" s="1106">
        <v>7.87</v>
      </c>
      <c r="L2166" s="617"/>
      <c r="M2166" s="1106">
        <v>0</v>
      </c>
      <c r="N2166" s="617"/>
      <c r="O2166" s="1106">
        <v>0</v>
      </c>
      <c r="P2166" s="617"/>
      <c r="Q2166" s="1106">
        <v>7.87</v>
      </c>
      <c r="R2166" s="617"/>
      <c r="S2166" s="1146">
        <v>7728</v>
      </c>
      <c r="T2166" s="1114"/>
      <c r="U2166" s="1146">
        <v>0</v>
      </c>
      <c r="V2166" s="1114"/>
      <c r="W2166" s="1146">
        <v>0</v>
      </c>
      <c r="X2166" s="1114"/>
      <c r="Y2166" s="1146">
        <v>7728</v>
      </c>
      <c r="Z2166" s="2114">
        <f>C2166-'Blocking-Step2'!C2166</f>
        <v>0</v>
      </c>
      <c r="AA2166" s="2114">
        <f>D2166-'Blocking-Step2'!D2166</f>
        <v>0</v>
      </c>
      <c r="AC2166" s="2114">
        <f>F2166-'Blocking-Step2'!F2166</f>
        <v>0</v>
      </c>
      <c r="AE2166" s="2114">
        <f>H2166-'Blocking-Step2'!H2166</f>
        <v>0</v>
      </c>
      <c r="AF2166" s="2114">
        <f>I2166-'Blocking-Step2'!I2166</f>
        <v>0</v>
      </c>
      <c r="AH2166" s="2136">
        <f>K2166-'Blocking-Step2'!K2166</f>
        <v>0</v>
      </c>
      <c r="AJ2166" s="2136">
        <f>M2166-'Blocking-Step2'!M2166</f>
        <v>0</v>
      </c>
      <c r="AL2166" s="2136">
        <f>O2166-'Blocking-Step2'!O2166</f>
        <v>0</v>
      </c>
      <c r="AN2166" s="2137">
        <f>Q2166-'Blocking-Step2'!Q2166</f>
        <v>0</v>
      </c>
      <c r="AP2166" s="2127">
        <f>S2166-'Blocking-Step2'!S2166</f>
        <v>0</v>
      </c>
      <c r="AR2166" s="2127">
        <f>U2166-'Blocking-Step2'!U2166</f>
        <v>0</v>
      </c>
      <c r="AT2166" s="2127">
        <f>W2166-'Blocking-Step2'!W2166</f>
        <v>0</v>
      </c>
      <c r="AV2166" s="2128">
        <f>Y2166-'Blocking-Step2'!Y2166</f>
        <v>0</v>
      </c>
    </row>
    <row r="2167" spans="1:48">
      <c r="A2167" s="1116" t="s">
        <v>1656</v>
      </c>
      <c r="C2167" s="1105">
        <v>222037.79750537846</v>
      </c>
      <c r="D2167" s="1105">
        <v>228752.11425782187</v>
      </c>
      <c r="F2167" s="1106"/>
      <c r="G2167" s="1921"/>
      <c r="H2167" s="1146"/>
      <c r="I2167" s="1146"/>
      <c r="K2167" s="1106">
        <v>1.4671000000000001</v>
      </c>
      <c r="L2167" s="1921" t="s">
        <v>495</v>
      </c>
      <c r="M2167" s="1106">
        <v>7.9411934380819993</v>
      </c>
      <c r="N2167" s="1921" t="s">
        <v>495</v>
      </c>
      <c r="O2167" s="1106">
        <v>2.3066</v>
      </c>
      <c r="P2167" s="1921" t="s">
        <v>495</v>
      </c>
      <c r="Q2167" s="1106">
        <v>11.714893438081999</v>
      </c>
      <c r="R2167" s="1921" t="s">
        <v>495</v>
      </c>
      <c r="S2167" s="1146">
        <v>3356</v>
      </c>
      <c r="T2167" s="1648"/>
      <c r="U2167" s="1146">
        <v>18166</v>
      </c>
      <c r="V2167" s="1648"/>
      <c r="W2167" s="1146">
        <v>5276</v>
      </c>
      <c r="X2167" s="1648"/>
      <c r="Y2167" s="1146">
        <v>26798</v>
      </c>
      <c r="Z2167" s="2114">
        <f>C2167-'Blocking-Step2'!C2167</f>
        <v>0</v>
      </c>
      <c r="AA2167" s="2114">
        <f>D2167-'Blocking-Step2'!D2167</f>
        <v>0</v>
      </c>
      <c r="AC2167" s="2114">
        <f>F2167-'Blocking-Step2'!F2167</f>
        <v>0</v>
      </c>
      <c r="AE2167" s="2114">
        <f>H2167-'Blocking-Step2'!H2167</f>
        <v>0</v>
      </c>
      <c r="AF2167" s="2114">
        <f>I2167-'Blocking-Step2'!I2167</f>
        <v>0</v>
      </c>
      <c r="AH2167" s="2136">
        <f>K2167-'Blocking-Step2'!K2167</f>
        <v>-1.4732000000000001</v>
      </c>
      <c r="AJ2167" s="2136">
        <f>M2167-'Blocking-Step2'!M2167</f>
        <v>1.4755465414459987</v>
      </c>
      <c r="AL2167" s="2136">
        <f>O2167-'Blocking-Step2'!O2167</f>
        <v>0</v>
      </c>
      <c r="AN2167" s="2137">
        <f>Q2167-'Blocking-Step2'!Q2167</f>
        <v>2.3465414459984402E-3</v>
      </c>
      <c r="AP2167" s="2127">
        <f>S2167-'Blocking-Step2'!S2167</f>
        <v>-3370</v>
      </c>
      <c r="AR2167" s="2127">
        <f>U2167-'Blocking-Step2'!U2167</f>
        <v>3376</v>
      </c>
      <c r="AT2167" s="2127">
        <f>W2167-'Blocking-Step2'!W2167</f>
        <v>0</v>
      </c>
      <c r="AV2167" s="2128">
        <f>Y2167-'Blocking-Step2'!Y2167</f>
        <v>5</v>
      </c>
    </row>
    <row r="2168" spans="1:48">
      <c r="A2168" s="1116" t="s">
        <v>1657</v>
      </c>
      <c r="C2168" s="1105">
        <v>215087.16967548401</v>
      </c>
      <c r="D2168" s="1105">
        <v>234472</v>
      </c>
      <c r="F2168" s="1106"/>
      <c r="G2168" s="1921"/>
      <c r="H2168" s="1146"/>
      <c r="I2168" s="1146"/>
      <c r="K2168" s="1106">
        <v>1.4671000000000001</v>
      </c>
      <c r="L2168" s="1921" t="s">
        <v>495</v>
      </c>
      <c r="M2168" s="1106">
        <v>2.7858934380819993</v>
      </c>
      <c r="N2168" s="1921" t="s">
        <v>495</v>
      </c>
      <c r="O2168" s="1106">
        <v>2.3066</v>
      </c>
      <c r="P2168" s="1921" t="s">
        <v>495</v>
      </c>
      <c r="Q2168" s="1106">
        <v>6.5595934380819996</v>
      </c>
      <c r="R2168" s="1921" t="s">
        <v>495</v>
      </c>
      <c r="S2168" s="1146">
        <v>3440</v>
      </c>
      <c r="T2168" s="1648"/>
      <c r="U2168" s="1146">
        <v>6532</v>
      </c>
      <c r="V2168" s="1648"/>
      <c r="W2168" s="1146">
        <v>5408</v>
      </c>
      <c r="X2168" s="1648"/>
      <c r="Y2168" s="1146">
        <v>15380</v>
      </c>
      <c r="Z2168" s="2114">
        <f>C2168-'Blocking-Step2'!C2168</f>
        <v>0</v>
      </c>
      <c r="AA2168" s="2114">
        <f>D2168-'Blocking-Step2'!D2168</f>
        <v>0</v>
      </c>
      <c r="AC2168" s="2114">
        <f>F2168-'Blocking-Step2'!F2168</f>
        <v>0</v>
      </c>
      <c r="AE2168" s="2114">
        <f>H2168-'Blocking-Step2'!H2168</f>
        <v>0</v>
      </c>
      <c r="AF2168" s="2114">
        <f>I2168-'Blocking-Step2'!I2168</f>
        <v>0</v>
      </c>
      <c r="AH2168" s="2136">
        <f>K2168-'Blocking-Step2'!K2168</f>
        <v>-1.4732000000000001</v>
      </c>
      <c r="AJ2168" s="2136">
        <f>M2168-'Blocking-Step2'!M2168</f>
        <v>1.4755465414459983</v>
      </c>
      <c r="AL2168" s="2136">
        <f>O2168-'Blocking-Step2'!O2168</f>
        <v>0</v>
      </c>
      <c r="AN2168" s="2137">
        <f>Q2168-'Blocking-Step2'!Q2168</f>
        <v>2.3465414459984402E-3</v>
      </c>
      <c r="AP2168" s="2127">
        <f>S2168-'Blocking-Step2'!S2168</f>
        <v>-3454</v>
      </c>
      <c r="AR2168" s="2127">
        <f>U2168-'Blocking-Step2'!U2168</f>
        <v>3460</v>
      </c>
      <c r="AT2168" s="2127">
        <f>W2168-'Blocking-Step2'!W2168</f>
        <v>0</v>
      </c>
      <c r="AV2168" s="2128">
        <f>Y2168-'Blocking-Step2'!Y2168</f>
        <v>5</v>
      </c>
    </row>
    <row r="2169" spans="1:48">
      <c r="A2169" s="1116" t="s">
        <v>1658</v>
      </c>
      <c r="C2169" s="1105">
        <v>330553.85154286353</v>
      </c>
      <c r="D2169" s="1105">
        <v>417772</v>
      </c>
      <c r="F2169" s="1106"/>
      <c r="G2169" s="1921"/>
      <c r="H2169" s="1146"/>
      <c r="I2169" s="1146"/>
      <c r="K2169" s="1106">
        <v>1.4671000000000001</v>
      </c>
      <c r="L2169" s="1921" t="s">
        <v>495</v>
      </c>
      <c r="M2169" s="1106">
        <v>6.7850000000000001</v>
      </c>
      <c r="N2169" s="1921" t="s">
        <v>495</v>
      </c>
      <c r="O2169" s="1106">
        <v>2.1151</v>
      </c>
      <c r="P2169" s="1921" t="s">
        <v>495</v>
      </c>
      <c r="Q2169" s="1106">
        <v>10.3672</v>
      </c>
      <c r="R2169" s="1921" t="s">
        <v>495</v>
      </c>
      <c r="S2169" s="1146">
        <v>6129</v>
      </c>
      <c r="T2169" s="1648"/>
      <c r="U2169" s="1146">
        <v>28346</v>
      </c>
      <c r="V2169" s="1648"/>
      <c r="W2169" s="1146">
        <v>8836</v>
      </c>
      <c r="X2169" s="1648"/>
      <c r="Y2169" s="1146">
        <v>43311</v>
      </c>
      <c r="Z2169" s="2114">
        <f>C2169-'Blocking-Step2'!C2169</f>
        <v>0</v>
      </c>
      <c r="AA2169" s="2114">
        <f>D2169-'Blocking-Step2'!D2169</f>
        <v>0</v>
      </c>
      <c r="AC2169" s="2114">
        <f>F2169-'Blocking-Step2'!F2169</f>
        <v>0</v>
      </c>
      <c r="AE2169" s="2114">
        <f>H2169-'Blocking-Step2'!H2169</f>
        <v>0</v>
      </c>
      <c r="AF2169" s="2114">
        <f>I2169-'Blocking-Step2'!I2169</f>
        <v>0</v>
      </c>
      <c r="AH2169" s="2136">
        <f>K2169-'Blocking-Step2'!K2169</f>
        <v>-1.4732000000000001</v>
      </c>
      <c r="AJ2169" s="2136">
        <f>M2169-'Blocking-Step2'!M2169</f>
        <v>1.4753000000000007</v>
      </c>
      <c r="AL2169" s="2136">
        <f>O2169-'Blocking-Step2'!O2169</f>
        <v>0</v>
      </c>
      <c r="AN2169" s="2137">
        <f>Q2169-'Blocking-Step2'!Q2169</f>
        <v>2.1000000000004349E-3</v>
      </c>
      <c r="AP2169" s="2127">
        <f>S2169-'Blocking-Step2'!S2169</f>
        <v>-6155</v>
      </c>
      <c r="AR2169" s="2127">
        <f>U2169-'Blocking-Step2'!U2169</f>
        <v>6164</v>
      </c>
      <c r="AT2169" s="2127">
        <f>W2169-'Blocking-Step2'!W2169</f>
        <v>0</v>
      </c>
      <c r="AV2169" s="2128">
        <f>Y2169-'Blocking-Step2'!Y2169</f>
        <v>9</v>
      </c>
    </row>
    <row r="2170" spans="1:48">
      <c r="A2170" s="1116" t="s">
        <v>1659</v>
      </c>
      <c r="C2170" s="1105">
        <v>526375.08441298595</v>
      </c>
      <c r="D2170" s="1105">
        <v>648715</v>
      </c>
      <c r="F2170" s="1106"/>
      <c r="G2170" s="1921"/>
      <c r="H2170" s="1146"/>
      <c r="I2170" s="1146"/>
      <c r="K2170" s="1106">
        <v>1.4671000000000001</v>
      </c>
      <c r="L2170" s="1921" t="s">
        <v>495</v>
      </c>
      <c r="M2170" s="1106">
        <v>2.2226999999999997</v>
      </c>
      <c r="N2170" s="1921" t="s">
        <v>495</v>
      </c>
      <c r="O2170" s="1106">
        <v>2.1151</v>
      </c>
      <c r="P2170" s="1921" t="s">
        <v>495</v>
      </c>
      <c r="Q2170" s="1106">
        <v>5.8048999999999999</v>
      </c>
      <c r="R2170" s="1921" t="s">
        <v>495</v>
      </c>
      <c r="S2170" s="1146">
        <v>9517</v>
      </c>
      <c r="T2170" s="1648"/>
      <c r="U2170" s="1146">
        <v>14419</v>
      </c>
      <c r="V2170" s="1648"/>
      <c r="W2170" s="1146">
        <v>13721</v>
      </c>
      <c r="X2170" s="1648"/>
      <c r="Y2170" s="1146">
        <v>37657</v>
      </c>
      <c r="Z2170" s="2114">
        <f>C2170-'Blocking-Step2'!C2170</f>
        <v>0</v>
      </c>
      <c r="AA2170" s="2114">
        <f>D2170-'Blocking-Step2'!D2170</f>
        <v>0</v>
      </c>
      <c r="AC2170" s="2114">
        <f>F2170-'Blocking-Step2'!F2170</f>
        <v>0</v>
      </c>
      <c r="AE2170" s="2114">
        <f>H2170-'Blocking-Step2'!H2170</f>
        <v>0</v>
      </c>
      <c r="AF2170" s="2114">
        <f>I2170-'Blocking-Step2'!I2170</f>
        <v>0</v>
      </c>
      <c r="AH2170" s="2136">
        <f>K2170-'Blocking-Step2'!K2170</f>
        <v>-1.4732000000000001</v>
      </c>
      <c r="AJ2170" s="2136">
        <f>M2170-'Blocking-Step2'!M2170</f>
        <v>1.4751999999999996</v>
      </c>
      <c r="AL2170" s="2136">
        <f>O2170-'Blocking-Step2'!O2170</f>
        <v>0</v>
      </c>
      <c r="AN2170" s="2137">
        <f>Q2170-'Blocking-Step2'!Q2170</f>
        <v>1.9999999999997797E-3</v>
      </c>
      <c r="AP2170" s="2127">
        <f>S2170-'Blocking-Step2'!S2170</f>
        <v>-9557</v>
      </c>
      <c r="AR2170" s="2127">
        <f>U2170-'Blocking-Step2'!U2170</f>
        <v>9570</v>
      </c>
      <c r="AT2170" s="2127">
        <f>W2170-'Blocking-Step2'!W2170</f>
        <v>0</v>
      </c>
      <c r="AV2170" s="2128">
        <f>Y2170-'Blocking-Step2'!Y2170</f>
        <v>13</v>
      </c>
    </row>
    <row r="2171" spans="1:48">
      <c r="A2171" s="1116" t="s">
        <v>282</v>
      </c>
      <c r="C2171" s="1105">
        <v>685.14913294797702</v>
      </c>
      <c r="D2171" s="1105">
        <v>761</v>
      </c>
      <c r="F2171" s="1907">
        <v>8.65</v>
      </c>
      <c r="G2171" s="1110"/>
      <c r="H2171" s="1146">
        <v>5927</v>
      </c>
      <c r="I2171" s="1146">
        <v>6583</v>
      </c>
      <c r="K2171" s="1142"/>
      <c r="L2171" s="1110"/>
      <c r="M2171" s="1142"/>
      <c r="N2171" s="1110"/>
      <c r="O2171" s="1142"/>
      <c r="P2171" s="1110"/>
      <c r="Q2171" s="1142"/>
      <c r="R2171" s="1110"/>
      <c r="S2171" s="1114"/>
      <c r="T2171" s="1114"/>
      <c r="U2171" s="1114"/>
      <c r="V2171" s="1114"/>
      <c r="W2171" s="1114"/>
      <c r="X2171" s="1629"/>
      <c r="Y2171" s="1146"/>
      <c r="Z2171" s="2114">
        <f>C2171-'Blocking-Step2'!C2171</f>
        <v>0</v>
      </c>
      <c r="AA2171" s="2114">
        <f>D2171-'Blocking-Step2'!D2171</f>
        <v>0</v>
      </c>
      <c r="AC2171" s="2114">
        <f>F2171-'Blocking-Step2'!F2171</f>
        <v>0</v>
      </c>
      <c r="AE2171" s="2114">
        <f>H2171-'Blocking-Step2'!H2171</f>
        <v>0</v>
      </c>
      <c r="AF2171" s="2114">
        <f>I2171-'Blocking-Step2'!I2171</f>
        <v>0</v>
      </c>
      <c r="AH2171" s="2136">
        <f>K2171-'Blocking-Step2'!K2171</f>
        <v>0</v>
      </c>
      <c r="AJ2171" s="2136">
        <f>M2171-'Blocking-Step2'!M2171</f>
        <v>0</v>
      </c>
      <c r="AL2171" s="2136">
        <f>O2171-'Blocking-Step2'!O2171</f>
        <v>0</v>
      </c>
      <c r="AN2171" s="2137">
        <f>Q2171-'Blocking-Step2'!Q2171</f>
        <v>0</v>
      </c>
      <c r="AP2171" s="2127">
        <f>S2171-'Blocking-Step2'!S2171</f>
        <v>0</v>
      </c>
      <c r="AR2171" s="2127">
        <f>U2171-'Blocking-Step2'!U2171</f>
        <v>0</v>
      </c>
      <c r="AT2171" s="2127">
        <f>W2171-'Blocking-Step2'!W2171</f>
        <v>0</v>
      </c>
      <c r="AV2171" s="2128">
        <f>Y2171-'Blocking-Step2'!Y2171</f>
        <v>0</v>
      </c>
    </row>
    <row r="2172" spans="1:48">
      <c r="A2172" s="1116" t="s">
        <v>283</v>
      </c>
      <c r="C2172" s="1105">
        <v>691.68735632183905</v>
      </c>
      <c r="D2172" s="1105">
        <v>773</v>
      </c>
      <c r="F2172" s="1907">
        <v>8.7000000000000011</v>
      </c>
      <c r="G2172" s="1110"/>
      <c r="H2172" s="1146">
        <v>6018</v>
      </c>
      <c r="I2172" s="1146">
        <v>6725</v>
      </c>
      <c r="K2172" s="1142"/>
      <c r="L2172" s="1110"/>
      <c r="M2172" s="1142"/>
      <c r="N2172" s="1110"/>
      <c r="O2172" s="1142"/>
      <c r="P2172" s="1110"/>
      <c r="Q2172" s="1142"/>
      <c r="R2172" s="1110"/>
      <c r="S2172" s="1114"/>
      <c r="T2172" s="1114"/>
      <c r="U2172" s="1114"/>
      <c r="V2172" s="1114"/>
      <c r="W2172" s="1114"/>
      <c r="X2172" s="1629"/>
      <c r="Y2172" s="1146"/>
      <c r="Z2172" s="2114">
        <f>C2172-'Blocking-Step2'!C2172</f>
        <v>0</v>
      </c>
      <c r="AA2172" s="2114">
        <f>D2172-'Blocking-Step2'!D2172</f>
        <v>0</v>
      </c>
      <c r="AC2172" s="2114">
        <f>F2172-'Blocking-Step2'!F2172</f>
        <v>0</v>
      </c>
      <c r="AE2172" s="2114">
        <f>H2172-'Blocking-Step2'!H2172</f>
        <v>0</v>
      </c>
      <c r="AF2172" s="2114">
        <f>I2172-'Blocking-Step2'!I2172</f>
        <v>0</v>
      </c>
      <c r="AH2172" s="2136">
        <f>K2172-'Blocking-Step2'!K2172</f>
        <v>0</v>
      </c>
      <c r="AJ2172" s="2136">
        <f>M2172-'Blocking-Step2'!M2172</f>
        <v>0</v>
      </c>
      <c r="AL2172" s="2136">
        <f>O2172-'Blocking-Step2'!O2172</f>
        <v>0</v>
      </c>
      <c r="AN2172" s="2137">
        <f>Q2172-'Blocking-Step2'!Q2172</f>
        <v>0</v>
      </c>
      <c r="AP2172" s="2127">
        <f>S2172-'Blocking-Step2'!S2172</f>
        <v>0</v>
      </c>
      <c r="AR2172" s="2127">
        <f>U2172-'Blocking-Step2'!U2172</f>
        <v>0</v>
      </c>
      <c r="AT2172" s="2127">
        <f>W2172-'Blocking-Step2'!W2172</f>
        <v>0</v>
      </c>
      <c r="AV2172" s="2128">
        <f>Y2172-'Blocking-Step2'!Y2172</f>
        <v>0</v>
      </c>
    </row>
    <row r="2173" spans="1:48">
      <c r="A2173" s="1116" t="s">
        <v>261</v>
      </c>
      <c r="C2173" s="1105">
        <v>0</v>
      </c>
      <c r="D2173" s="1105">
        <v>0</v>
      </c>
      <c r="F2173" s="1907">
        <v>-0.48</v>
      </c>
      <c r="G2173" s="1110"/>
      <c r="H2173" s="1146">
        <v>0</v>
      </c>
      <c r="I2173" s="1146">
        <v>0</v>
      </c>
      <c r="K2173" s="1907">
        <v>-0.48</v>
      </c>
      <c r="L2173" s="1110"/>
      <c r="M2173" s="1907">
        <v>0</v>
      </c>
      <c r="N2173" s="1110"/>
      <c r="O2173" s="1907">
        <v>0</v>
      </c>
      <c r="P2173" s="1110"/>
      <c r="Q2173" s="1907">
        <v>-0.48</v>
      </c>
      <c r="R2173" s="1110"/>
      <c r="S2173" s="1146">
        <v>0</v>
      </c>
      <c r="T2173" s="1114"/>
      <c r="U2173" s="1146">
        <v>0</v>
      </c>
      <c r="V2173" s="1114"/>
      <c r="W2173" s="1146">
        <v>0</v>
      </c>
      <c r="X2173" s="1629"/>
      <c r="Y2173" s="1146">
        <v>0</v>
      </c>
      <c r="Z2173" s="2114">
        <f>C2173-'Blocking-Step2'!C2173</f>
        <v>0</v>
      </c>
      <c r="AA2173" s="2114">
        <f>D2173-'Blocking-Step2'!D2173</f>
        <v>0</v>
      </c>
      <c r="AC2173" s="2114">
        <f>F2173-'Blocking-Step2'!F2173</f>
        <v>0</v>
      </c>
      <c r="AE2173" s="2114">
        <f>H2173-'Blocking-Step2'!H2173</f>
        <v>0</v>
      </c>
      <c r="AF2173" s="2114">
        <f>I2173-'Blocking-Step2'!I2173</f>
        <v>0</v>
      </c>
      <c r="AH2173" s="2136">
        <f>K2173-'Blocking-Step2'!K2173</f>
        <v>0</v>
      </c>
      <c r="AJ2173" s="2136">
        <f>M2173-'Blocking-Step2'!M2173</f>
        <v>0</v>
      </c>
      <c r="AL2173" s="2136">
        <f>O2173-'Blocking-Step2'!O2173</f>
        <v>0</v>
      </c>
      <c r="AN2173" s="2137">
        <f>Q2173-'Blocking-Step2'!Q2173</f>
        <v>0</v>
      </c>
      <c r="AP2173" s="2127">
        <f>S2173-'Blocking-Step2'!S2173</f>
        <v>0</v>
      </c>
      <c r="AR2173" s="2127">
        <f>U2173-'Blocking-Step2'!U2173</f>
        <v>0</v>
      </c>
      <c r="AT2173" s="2127">
        <f>W2173-'Blocking-Step2'!W2173</f>
        <v>0</v>
      </c>
      <c r="AV2173" s="2128">
        <f>Y2173-'Blocking-Step2'!Y2173</f>
        <v>0</v>
      </c>
    </row>
    <row r="2174" spans="1:48">
      <c r="A2174" s="1116" t="s">
        <v>194</v>
      </c>
      <c r="C2174" s="1105">
        <v>250152.48652283178</v>
      </c>
      <c r="D2174" s="1105">
        <v>239106.11425782187</v>
      </c>
      <c r="F2174" s="1927">
        <v>11.733599999999999</v>
      </c>
      <c r="G2174" s="1921" t="s">
        <v>495</v>
      </c>
      <c r="H2174" s="1146">
        <v>29352</v>
      </c>
      <c r="I2174" s="1146">
        <v>28056</v>
      </c>
      <c r="K2174" s="1927"/>
      <c r="L2174" s="1921"/>
      <c r="M2174" s="1927"/>
      <c r="N2174" s="1921"/>
      <c r="O2174" s="1927"/>
      <c r="P2174" s="1921"/>
      <c r="Q2174" s="1927"/>
      <c r="R2174" s="1921"/>
      <c r="S2174" s="1648"/>
      <c r="T2174" s="1648"/>
      <c r="U2174" s="1648"/>
      <c r="V2174" s="1648"/>
      <c r="W2174" s="1648"/>
      <c r="X2174" s="1648"/>
      <c r="Y2174" s="1146"/>
      <c r="Z2174" s="2114">
        <f>C2174-'Blocking-Step2'!C2174</f>
        <v>0</v>
      </c>
      <c r="AA2174" s="2114">
        <f>D2174-'Blocking-Step2'!D2174</f>
        <v>0</v>
      </c>
      <c r="AC2174" s="2114">
        <f>F2174-'Blocking-Step2'!F2174</f>
        <v>0</v>
      </c>
      <c r="AE2174" s="2114">
        <f>H2174-'Blocking-Step2'!H2174</f>
        <v>0</v>
      </c>
      <c r="AF2174" s="2114">
        <f>I2174-'Blocking-Step2'!I2174</f>
        <v>0</v>
      </c>
      <c r="AH2174" s="2136">
        <f>K2174-'Blocking-Step2'!K2174</f>
        <v>0</v>
      </c>
      <c r="AJ2174" s="2136">
        <f>M2174-'Blocking-Step2'!M2174</f>
        <v>0</v>
      </c>
      <c r="AL2174" s="2136">
        <f>O2174-'Blocking-Step2'!O2174</f>
        <v>0</v>
      </c>
      <c r="AN2174" s="2137">
        <f>Q2174-'Blocking-Step2'!Q2174</f>
        <v>0</v>
      </c>
      <c r="AP2174" s="2127">
        <f>S2174-'Blocking-Step2'!S2174</f>
        <v>0</v>
      </c>
      <c r="AR2174" s="2127">
        <f>U2174-'Blocking-Step2'!U2174</f>
        <v>0</v>
      </c>
      <c r="AT2174" s="2127">
        <f>W2174-'Blocking-Step2'!W2174</f>
        <v>0</v>
      </c>
      <c r="AV2174" s="2128">
        <f>Y2174-'Blocking-Step2'!Y2174</f>
        <v>0</v>
      </c>
    </row>
    <row r="2175" spans="1:48">
      <c r="A2175" s="1116" t="s">
        <v>195</v>
      </c>
      <c r="C2175" s="1105">
        <v>311137.78789295233</v>
      </c>
      <c r="D2175" s="1105">
        <v>308302</v>
      </c>
      <c r="F2175" s="1927">
        <v>6.5782999999999996</v>
      </c>
      <c r="G2175" s="1921" t="s">
        <v>495</v>
      </c>
      <c r="H2175" s="1146">
        <v>20468</v>
      </c>
      <c r="I2175" s="1146">
        <v>20281</v>
      </c>
      <c r="K2175" s="1927"/>
      <c r="L2175" s="1921"/>
      <c r="M2175" s="1927"/>
      <c r="N2175" s="1921"/>
      <c r="O2175" s="1927"/>
      <c r="P2175" s="1921"/>
      <c r="Q2175" s="1927"/>
      <c r="R2175" s="1921"/>
      <c r="S2175" s="1648"/>
      <c r="T2175" s="1648"/>
      <c r="U2175" s="1648"/>
      <c r="V2175" s="1648"/>
      <c r="W2175" s="1648"/>
      <c r="X2175" s="1648"/>
      <c r="Y2175" s="1146"/>
      <c r="Z2175" s="2114">
        <f>C2175-'Blocking-Step2'!C2175</f>
        <v>0</v>
      </c>
      <c r="AA2175" s="2114">
        <f>D2175-'Blocking-Step2'!D2175</f>
        <v>0</v>
      </c>
      <c r="AC2175" s="2114">
        <f>F2175-'Blocking-Step2'!F2175</f>
        <v>0</v>
      </c>
      <c r="AE2175" s="2114">
        <f>H2175-'Blocking-Step2'!H2175</f>
        <v>0</v>
      </c>
      <c r="AF2175" s="2114">
        <f>I2175-'Blocking-Step2'!I2175</f>
        <v>0</v>
      </c>
      <c r="AH2175" s="2136">
        <f>K2175-'Blocking-Step2'!K2175</f>
        <v>0</v>
      </c>
      <c r="AJ2175" s="2136">
        <f>M2175-'Blocking-Step2'!M2175</f>
        <v>0</v>
      </c>
      <c r="AL2175" s="2136">
        <f>O2175-'Blocking-Step2'!O2175</f>
        <v>0</v>
      </c>
      <c r="AN2175" s="2137">
        <f>Q2175-'Blocking-Step2'!Q2175</f>
        <v>0</v>
      </c>
      <c r="AP2175" s="2127">
        <f>S2175-'Blocking-Step2'!S2175</f>
        <v>0</v>
      </c>
      <c r="AR2175" s="2127">
        <f>U2175-'Blocking-Step2'!U2175</f>
        <v>0</v>
      </c>
      <c r="AT2175" s="2127">
        <f>W2175-'Blocking-Step2'!W2175</f>
        <v>0</v>
      </c>
      <c r="AV2175" s="2128">
        <f>Y2175-'Blocking-Step2'!Y2175</f>
        <v>0</v>
      </c>
    </row>
    <row r="2176" spans="1:48">
      <c r="A2176" s="1116" t="s">
        <v>160</v>
      </c>
      <c r="C2176" s="1105">
        <v>302439.1625254103</v>
      </c>
      <c r="D2176" s="1105">
        <v>409460</v>
      </c>
      <c r="F2176" s="1927">
        <v>10.8</v>
      </c>
      <c r="G2176" s="1921" t="s">
        <v>495</v>
      </c>
      <c r="H2176" s="1146">
        <v>32663</v>
      </c>
      <c r="I2176" s="1146">
        <v>44222</v>
      </c>
      <c r="K2176" s="1927"/>
      <c r="L2176" s="1921"/>
      <c r="M2176" s="1927"/>
      <c r="N2176" s="1921"/>
      <c r="O2176" s="1927"/>
      <c r="P2176" s="1921"/>
      <c r="Q2176" s="1927"/>
      <c r="R2176" s="1921"/>
      <c r="S2176" s="1648"/>
      <c r="T2176" s="1648"/>
      <c r="U2176" s="1648"/>
      <c r="V2176" s="1648"/>
      <c r="W2176" s="1648"/>
      <c r="X2176" s="1648"/>
      <c r="Y2176" s="1146"/>
      <c r="Z2176" s="2114">
        <f>C2176-'Blocking-Step2'!C2176</f>
        <v>0</v>
      </c>
      <c r="AA2176" s="2114">
        <f>D2176-'Blocking-Step2'!D2176</f>
        <v>0</v>
      </c>
      <c r="AC2176" s="2114">
        <f>F2176-'Blocking-Step2'!F2176</f>
        <v>0</v>
      </c>
      <c r="AE2176" s="2114">
        <f>H2176-'Blocking-Step2'!H2176</f>
        <v>0</v>
      </c>
      <c r="AF2176" s="2114">
        <f>I2176-'Blocking-Step2'!I2176</f>
        <v>0</v>
      </c>
      <c r="AH2176" s="2136">
        <f>K2176-'Blocking-Step2'!K2176</f>
        <v>0</v>
      </c>
      <c r="AJ2176" s="2136">
        <f>M2176-'Blocking-Step2'!M2176</f>
        <v>0</v>
      </c>
      <c r="AL2176" s="2136">
        <f>O2176-'Blocking-Step2'!O2176</f>
        <v>0</v>
      </c>
      <c r="AN2176" s="2137">
        <f>Q2176-'Blocking-Step2'!Q2176</f>
        <v>0</v>
      </c>
      <c r="AP2176" s="2127">
        <f>S2176-'Blocking-Step2'!S2176</f>
        <v>0</v>
      </c>
      <c r="AR2176" s="2127">
        <f>U2176-'Blocking-Step2'!U2176</f>
        <v>0</v>
      </c>
      <c r="AT2176" s="2127">
        <f>W2176-'Blocking-Step2'!W2176</f>
        <v>0</v>
      </c>
      <c r="AV2176" s="2128">
        <f>Y2176-'Blocking-Step2'!Y2176</f>
        <v>0</v>
      </c>
    </row>
    <row r="2177" spans="1:48">
      <c r="A2177" s="1116" t="s">
        <v>159</v>
      </c>
      <c r="C2177" s="1105">
        <v>430324.46619551769</v>
      </c>
      <c r="D2177" s="1105">
        <v>572843</v>
      </c>
      <c r="F2177" s="1927">
        <v>6.0567000000000002</v>
      </c>
      <c r="G2177" s="1921" t="s">
        <v>495</v>
      </c>
      <c r="H2177" s="1146">
        <v>26063</v>
      </c>
      <c r="I2177" s="1146">
        <v>34695</v>
      </c>
      <c r="K2177" s="1927"/>
      <c r="L2177" s="1921"/>
      <c r="M2177" s="1927"/>
      <c r="N2177" s="1921"/>
      <c r="O2177" s="1927"/>
      <c r="P2177" s="1921"/>
      <c r="Q2177" s="1927"/>
      <c r="R2177" s="1921"/>
      <c r="S2177" s="1648"/>
      <c r="T2177" s="1648"/>
      <c r="U2177" s="1648"/>
      <c r="V2177" s="1648"/>
      <c r="W2177" s="1648"/>
      <c r="X2177" s="1648"/>
      <c r="Y2177" s="1146"/>
      <c r="Z2177" s="2114">
        <f>C2177-'Blocking-Step2'!C2177</f>
        <v>0</v>
      </c>
      <c r="AA2177" s="2114">
        <f>D2177-'Blocking-Step2'!D2177</f>
        <v>0</v>
      </c>
      <c r="AC2177" s="2114">
        <f>F2177-'Blocking-Step2'!F2177</f>
        <v>0</v>
      </c>
      <c r="AE2177" s="2114">
        <f>H2177-'Blocking-Step2'!H2177</f>
        <v>0</v>
      </c>
      <c r="AF2177" s="2114">
        <f>I2177-'Blocking-Step2'!I2177</f>
        <v>0</v>
      </c>
      <c r="AH2177" s="2136">
        <f>K2177-'Blocking-Step2'!K2177</f>
        <v>0</v>
      </c>
      <c r="AJ2177" s="2136">
        <f>M2177-'Blocking-Step2'!M2177</f>
        <v>0</v>
      </c>
      <c r="AL2177" s="2136">
        <f>O2177-'Blocking-Step2'!O2177</f>
        <v>0</v>
      </c>
      <c r="AN2177" s="2137">
        <f>Q2177-'Blocking-Step2'!Q2177</f>
        <v>0</v>
      </c>
      <c r="AP2177" s="2127">
        <f>S2177-'Blocking-Step2'!S2177</f>
        <v>0</v>
      </c>
      <c r="AR2177" s="2127">
        <f>U2177-'Blocking-Step2'!U2177</f>
        <v>0</v>
      </c>
      <c r="AT2177" s="2127">
        <f>W2177-'Blocking-Step2'!W2177</f>
        <v>0</v>
      </c>
      <c r="AV2177" s="2128">
        <f>Y2177-'Blocking-Step2'!Y2177</f>
        <v>0</v>
      </c>
    </row>
    <row r="2178" spans="1:48">
      <c r="A2178" s="1116" t="s">
        <v>246</v>
      </c>
      <c r="C2178" s="1940">
        <v>6915</v>
      </c>
      <c r="D2178" s="1940">
        <v>0</v>
      </c>
      <c r="H2178" s="2100">
        <v>727</v>
      </c>
      <c r="I2178" s="2100">
        <v>0</v>
      </c>
      <c r="Y2178" s="2100">
        <v>0</v>
      </c>
      <c r="Z2178" s="2114">
        <f>C2178-'Blocking-Step2'!C2178</f>
        <v>0</v>
      </c>
      <c r="AA2178" s="2114">
        <f>D2178-'Blocking-Step2'!D2178</f>
        <v>0</v>
      </c>
      <c r="AC2178" s="2114">
        <f>F2178-'Blocking-Step2'!F2178</f>
        <v>0</v>
      </c>
      <c r="AE2178" s="2114">
        <f>H2178-'Blocking-Step2'!H2178</f>
        <v>0</v>
      </c>
      <c r="AF2178" s="2114">
        <f>I2178-'Blocking-Step2'!I2178</f>
        <v>0</v>
      </c>
      <c r="AH2178" s="2136">
        <f>K2178-'Blocking-Step2'!K2178</f>
        <v>0</v>
      </c>
      <c r="AJ2178" s="2136">
        <f>M2178-'Blocking-Step2'!M2178</f>
        <v>0</v>
      </c>
      <c r="AL2178" s="2136">
        <f>O2178-'Blocking-Step2'!O2178</f>
        <v>0</v>
      </c>
      <c r="AN2178" s="2137">
        <f>Q2178-'Blocking-Step2'!Q2178</f>
        <v>0</v>
      </c>
      <c r="AP2178" s="2127">
        <f>S2178-'Blocking-Step2'!S2178</f>
        <v>0</v>
      </c>
      <c r="AR2178" s="2127">
        <f>U2178-'Blocking-Step2'!U2178</f>
        <v>0</v>
      </c>
      <c r="AT2178" s="2127">
        <f>W2178-'Blocking-Step2'!W2178</f>
        <v>0</v>
      </c>
      <c r="AV2178" s="2128">
        <f>Y2178-'Blocking-Step2'!Y2178</f>
        <v>0</v>
      </c>
    </row>
    <row r="2179" spans="1:48">
      <c r="A2179" s="1116" t="s">
        <v>1240</v>
      </c>
      <c r="C2179" s="1024"/>
      <c r="D2179" s="1024"/>
      <c r="F2179" s="2076">
        <v>-3.3099999999999997E-2</v>
      </c>
      <c r="G2179" s="617"/>
      <c r="H2179" s="1146">
        <v>-3988.2520999999997</v>
      </c>
      <c r="I2179" s="1146">
        <v>-4652.6021999999994</v>
      </c>
      <c r="K2179" s="2076"/>
      <c r="L2179" s="617"/>
      <c r="M2179" s="2076"/>
      <c r="N2179" s="617"/>
      <c r="O2179" s="2077" t="s">
        <v>2323</v>
      </c>
      <c r="P2179" s="617"/>
      <c r="Q2179" s="2076">
        <v>-2.5600000000000001E-2</v>
      </c>
      <c r="R2179" s="617"/>
      <c r="S2179" s="1114"/>
      <c r="T2179" s="1114"/>
      <c r="U2179" s="1114"/>
      <c r="V2179" s="1114"/>
      <c r="W2179" s="1114"/>
      <c r="X2179" s="1114"/>
      <c r="Y2179" s="1146">
        <v>-3475.9936000000002</v>
      </c>
      <c r="Z2179" s="2114">
        <f>C2179-'Blocking-Step2'!C2179</f>
        <v>0</v>
      </c>
      <c r="AA2179" s="2114">
        <f>D2179-'Blocking-Step2'!D2179</f>
        <v>0</v>
      </c>
      <c r="AC2179" s="2114">
        <f>F2179-'Blocking-Step2'!F2179</f>
        <v>0</v>
      </c>
      <c r="AE2179" s="2114">
        <f>H2179-'Blocking-Step2'!H2179</f>
        <v>0</v>
      </c>
      <c r="AF2179" s="2114">
        <f>I2179-'Blocking-Step2'!I2179</f>
        <v>0</v>
      </c>
      <c r="AH2179" s="2136">
        <f>K2179-'Blocking-Step2'!K2179</f>
        <v>0</v>
      </c>
      <c r="AJ2179" s="2136">
        <f>M2179-'Blocking-Step2'!M2179</f>
        <v>0</v>
      </c>
      <c r="AL2179" s="2136" t="e">
        <f>O2179-'Blocking-Step2'!O2179</f>
        <v>#VALUE!</v>
      </c>
      <c r="AN2179" s="2137">
        <f>Q2179-'Blocking-Step2'!Q2179</f>
        <v>0</v>
      </c>
      <c r="AP2179" s="2127">
        <f>S2179-'Blocking-Step2'!S2179</f>
        <v>0</v>
      </c>
      <c r="AR2179" s="2127">
        <f>U2179-'Blocking-Step2'!U2179</f>
        <v>0</v>
      </c>
      <c r="AT2179" s="2127">
        <f>W2179-'Blocking-Step2'!W2179</f>
        <v>0</v>
      </c>
      <c r="AV2179" s="2128">
        <f>Y2179-'Blocking-Step2'!Y2179</f>
        <v>-0.81919999999990978</v>
      </c>
    </row>
    <row r="2180" spans="1:48">
      <c r="A2180" s="1116"/>
      <c r="C2180" s="1024"/>
      <c r="D2180" s="1024"/>
      <c r="F2180" s="2076"/>
      <c r="G2180" s="617"/>
      <c r="H2180" s="1146"/>
      <c r="I2180" s="1146"/>
      <c r="K2180" s="2076"/>
      <c r="L2180" s="617"/>
      <c r="M2180" s="2076"/>
      <c r="N2180" s="617"/>
      <c r="O2180" s="2077" t="s">
        <v>2324</v>
      </c>
      <c r="P2180" s="617"/>
      <c r="Q2180" s="2076">
        <v>-1.3899999999999999E-2</v>
      </c>
      <c r="R2180" s="617"/>
      <c r="S2180" s="1114"/>
      <c r="T2180" s="1114"/>
      <c r="U2180" s="1114"/>
      <c r="V2180" s="1114"/>
      <c r="W2180" s="1114"/>
      <c r="X2180" s="1114"/>
      <c r="Y2180" s="1146">
        <v>-1887.3558999999998</v>
      </c>
      <c r="Z2180" s="2114">
        <f>C2180-'Blocking-Step2'!C2180</f>
        <v>0</v>
      </c>
      <c r="AA2180" s="2114">
        <f>D2180-'Blocking-Step2'!D2180</f>
        <v>0</v>
      </c>
      <c r="AC2180" s="2114">
        <f>F2180-'Blocking-Step2'!F2180</f>
        <v>0</v>
      </c>
      <c r="AE2180" s="2114">
        <f>H2180-'Blocking-Step2'!H2180</f>
        <v>0</v>
      </c>
      <c r="AF2180" s="2114">
        <f>I2180-'Blocking-Step2'!I2180</f>
        <v>0</v>
      </c>
      <c r="AH2180" s="2136">
        <f>K2180-'Blocking-Step2'!K2180</f>
        <v>0</v>
      </c>
      <c r="AJ2180" s="2136">
        <f>M2180-'Blocking-Step2'!M2180</f>
        <v>0</v>
      </c>
      <c r="AL2180" s="2136" t="e">
        <f>O2180-'Blocking-Step2'!O2180</f>
        <v>#VALUE!</v>
      </c>
      <c r="AN2180" s="2137">
        <f>Q2180-'Blocking-Step2'!Q2180</f>
        <v>0</v>
      </c>
      <c r="AP2180" s="2127">
        <f>S2180-'Blocking-Step2'!S2180</f>
        <v>0</v>
      </c>
      <c r="AR2180" s="2127">
        <f>U2180-'Blocking-Step2'!U2180</f>
        <v>0</v>
      </c>
      <c r="AT2180" s="2127">
        <f>W2180-'Blocking-Step2'!W2180</f>
        <v>0</v>
      </c>
      <c r="AV2180" s="2128">
        <f>Y2180-'Blocking-Step2'!Y2180</f>
        <v>-0.44479999999998654</v>
      </c>
    </row>
    <row r="2181" spans="1:48" ht="16.5" thickBot="1">
      <c r="A2181" s="1116" t="s">
        <v>247</v>
      </c>
      <c r="C2181" s="1138">
        <v>1300968.903136712</v>
      </c>
      <c r="D2181" s="1138">
        <v>1529711.1142578218</v>
      </c>
      <c r="F2181" s="1145"/>
      <c r="H2181" s="1149">
        <v>123287.7479</v>
      </c>
      <c r="I2181" s="1149">
        <v>152155.39780000001</v>
      </c>
      <c r="K2181" s="1145"/>
      <c r="M2181" s="1145"/>
      <c r="O2181" s="1145"/>
      <c r="P2181" s="617"/>
      <c r="Q2181" s="1145"/>
      <c r="R2181" s="617"/>
      <c r="S2181" s="1154">
        <v>51323</v>
      </c>
      <c r="T2181" s="1114"/>
      <c r="U2181" s="1154">
        <v>67463</v>
      </c>
      <c r="V2181" s="1114"/>
      <c r="W2181" s="1154">
        <v>33241</v>
      </c>
      <c r="X2181" s="1114"/>
      <c r="Y2181" s="1154">
        <v>152027</v>
      </c>
      <c r="Z2181" s="2114">
        <f>C2181-'Blocking-Step2'!C2181</f>
        <v>0</v>
      </c>
      <c r="AA2181" s="2114">
        <f>D2181-'Blocking-Step2'!D2181</f>
        <v>0</v>
      </c>
      <c r="AC2181" s="2114">
        <f>F2181-'Blocking-Step2'!F2181</f>
        <v>0</v>
      </c>
      <c r="AE2181" s="2114">
        <f>H2181-'Blocking-Step2'!H2181</f>
        <v>0</v>
      </c>
      <c r="AF2181" s="2114">
        <f>I2181-'Blocking-Step2'!I2181</f>
        <v>0</v>
      </c>
      <c r="AH2181" s="2136">
        <f>K2181-'Blocking-Step2'!K2181</f>
        <v>0</v>
      </c>
      <c r="AJ2181" s="2136">
        <f>M2181-'Blocking-Step2'!M2181</f>
        <v>0</v>
      </c>
      <c r="AL2181" s="2136">
        <f>O2181-'Blocking-Step2'!O2181</f>
        <v>0</v>
      </c>
      <c r="AN2181" s="2137">
        <f>Q2181-'Blocking-Step2'!Q2181</f>
        <v>0</v>
      </c>
      <c r="AP2181" s="2127">
        <f>S2181-'Blocking-Step2'!S2181</f>
        <v>-22536</v>
      </c>
      <c r="AR2181" s="2127">
        <f>U2181-'Blocking-Step2'!U2181</f>
        <v>22570</v>
      </c>
      <c r="AT2181" s="2127">
        <f>W2181-'Blocking-Step2'!W2181</f>
        <v>0</v>
      </c>
      <c r="AV2181" s="2128">
        <f>Y2181-'Blocking-Step2'!Y2181</f>
        <v>32</v>
      </c>
    </row>
    <row r="2182" spans="1:48" ht="16.5" hidden="1" thickTop="1">
      <c r="C2182" s="1105"/>
      <c r="D2182" s="1105"/>
      <c r="O2182" s="1109"/>
      <c r="Q2182" s="1109"/>
      <c r="Y2182" s="1114"/>
      <c r="Z2182" s="2114">
        <f>C2182-'Blocking-Step2'!C2182</f>
        <v>0</v>
      </c>
      <c r="AA2182" s="2114">
        <f>D2182-'Blocking-Step2'!D2182</f>
        <v>0</v>
      </c>
      <c r="AC2182" s="2114">
        <f>F2182-'Blocking-Step2'!F2182</f>
        <v>0</v>
      </c>
      <c r="AE2182" s="2114">
        <f>H2182-'Blocking-Step2'!H2182</f>
        <v>0</v>
      </c>
      <c r="AF2182" s="2114">
        <f>I2182-'Blocking-Step2'!I2182</f>
        <v>0</v>
      </c>
      <c r="AH2182" s="2136">
        <f>K2182-'Blocking-Step2'!K2182</f>
        <v>0</v>
      </c>
      <c r="AJ2182" s="2136">
        <f>M2182-'Blocking-Step2'!M2182</f>
        <v>0</v>
      </c>
      <c r="AL2182" s="2136">
        <f>O2182-'Blocking-Step2'!O2182</f>
        <v>0</v>
      </c>
      <c r="AN2182" s="2137">
        <f>Q2182-'Blocking-Step2'!Q2182</f>
        <v>0</v>
      </c>
      <c r="AP2182" s="2127">
        <f>S2182-'Blocking-Step2'!S2182</f>
        <v>0</v>
      </c>
      <c r="AR2182" s="2127">
        <f>U2182-'Blocking-Step2'!U2182</f>
        <v>0</v>
      </c>
      <c r="AT2182" s="2127">
        <f>W2182-'Blocking-Step2'!W2182</f>
        <v>0</v>
      </c>
      <c r="AV2182" s="2128">
        <f>Y2182-'Blocking-Step2'!Y2182</f>
        <v>0</v>
      </c>
    </row>
    <row r="2183" spans="1:48" ht="16.5" hidden="1" thickTop="1">
      <c r="A2183" s="1115" t="s">
        <v>1293</v>
      </c>
      <c r="C2183" s="1105"/>
      <c r="D2183" s="1105"/>
      <c r="Z2183" s="2114">
        <f>C2183-'Blocking-Step2'!C2183</f>
        <v>0</v>
      </c>
      <c r="AA2183" s="2114">
        <f>D2183-'Blocking-Step2'!D2183</f>
        <v>0</v>
      </c>
      <c r="AC2183" s="2114">
        <f>F2183-'Blocking-Step2'!F2183</f>
        <v>0</v>
      </c>
      <c r="AE2183" s="2114">
        <f>H2183-'Blocking-Step2'!H2183</f>
        <v>0</v>
      </c>
      <c r="AF2183" s="2114">
        <f>I2183-'Blocking-Step2'!I2183</f>
        <v>0</v>
      </c>
      <c r="AH2183" s="2136">
        <f>K2183-'Blocking-Step2'!K2183</f>
        <v>0</v>
      </c>
      <c r="AJ2183" s="2136">
        <f>M2183-'Blocking-Step2'!M2183</f>
        <v>0</v>
      </c>
      <c r="AL2183" s="2136">
        <f>O2183-'Blocking-Step2'!O2183</f>
        <v>0</v>
      </c>
      <c r="AN2183" s="2137">
        <f>Q2183-'Blocking-Step2'!Q2183</f>
        <v>0</v>
      </c>
      <c r="AP2183" s="2127">
        <f>S2183-'Blocking-Step2'!S2183</f>
        <v>0</v>
      </c>
      <c r="AR2183" s="2127">
        <f>U2183-'Blocking-Step2'!U2183</f>
        <v>0</v>
      </c>
      <c r="AT2183" s="2127">
        <f>W2183-'Blocking-Step2'!W2183</f>
        <v>0</v>
      </c>
      <c r="AV2183" s="2128">
        <f>Y2183-'Blocking-Step2'!Y2183</f>
        <v>0</v>
      </c>
    </row>
    <row r="2184" spans="1:48" ht="16.5" hidden="1" thickTop="1">
      <c r="A2184" s="1116" t="s">
        <v>240</v>
      </c>
      <c r="C2184" s="1105">
        <v>80.8</v>
      </c>
      <c r="D2184" s="1105">
        <v>322</v>
      </c>
      <c r="F2184" s="1142">
        <v>10</v>
      </c>
      <c r="G2184" s="617"/>
      <c r="H2184" s="1146">
        <v>808</v>
      </c>
      <c r="I2184" s="1146">
        <v>3220</v>
      </c>
      <c r="K2184" s="1142">
        <v>10</v>
      </c>
      <c r="L2184" s="617"/>
      <c r="M2184" s="1142">
        <v>0</v>
      </c>
      <c r="N2184" s="617"/>
      <c r="O2184" s="1142">
        <v>0</v>
      </c>
      <c r="P2184" s="617"/>
      <c r="Q2184" s="1142">
        <v>10</v>
      </c>
      <c r="R2184" s="617"/>
      <c r="S2184" s="1146">
        <v>3220</v>
      </c>
      <c r="T2184" s="1114"/>
      <c r="U2184" s="1146">
        <v>0</v>
      </c>
      <c r="V2184" s="1114"/>
      <c r="W2184" s="1146">
        <v>0</v>
      </c>
      <c r="X2184" s="1114"/>
      <c r="Y2184" s="1146">
        <v>3220</v>
      </c>
      <c r="Z2184" s="2114">
        <f>C2184-'Blocking-Step2'!C2184</f>
        <v>0</v>
      </c>
      <c r="AA2184" s="2114">
        <f>D2184-'Blocking-Step2'!D2184</f>
        <v>0</v>
      </c>
      <c r="AC2184" s="2114">
        <f>F2184-'Blocking-Step2'!F2184</f>
        <v>0</v>
      </c>
      <c r="AE2184" s="2114">
        <f>H2184-'Blocking-Step2'!H2184</f>
        <v>0</v>
      </c>
      <c r="AF2184" s="2114">
        <f>I2184-'Blocking-Step2'!I2184</f>
        <v>0</v>
      </c>
      <c r="AH2184" s="2136">
        <f>K2184-'Blocking-Step2'!K2184</f>
        <v>0</v>
      </c>
      <c r="AJ2184" s="2136">
        <f>M2184-'Blocking-Step2'!M2184</f>
        <v>0</v>
      </c>
      <c r="AL2184" s="2136">
        <f>O2184-'Blocking-Step2'!O2184</f>
        <v>0</v>
      </c>
      <c r="AN2184" s="2137">
        <f>Q2184-'Blocking-Step2'!Q2184</f>
        <v>0</v>
      </c>
      <c r="AP2184" s="2127">
        <f>S2184-'Blocking-Step2'!S2184</f>
        <v>0</v>
      </c>
      <c r="AR2184" s="2127">
        <f>U2184-'Blocking-Step2'!U2184</f>
        <v>0</v>
      </c>
      <c r="AT2184" s="2127">
        <f>W2184-'Blocking-Step2'!W2184</f>
        <v>0</v>
      </c>
      <c r="AV2184" s="2128">
        <f>Y2184-'Blocking-Step2'!Y2184</f>
        <v>0</v>
      </c>
    </row>
    <row r="2185" spans="1:48" ht="16.5" hidden="1" thickTop="1">
      <c r="A2185" s="1116" t="s">
        <v>262</v>
      </c>
      <c r="C2185" s="1105">
        <v>0</v>
      </c>
      <c r="D2185" s="1105">
        <v>0</v>
      </c>
      <c r="F2185" s="1142">
        <v>120</v>
      </c>
      <c r="G2185" s="617"/>
      <c r="H2185" s="1146">
        <v>0</v>
      </c>
      <c r="I2185" s="1146">
        <v>0</v>
      </c>
      <c r="K2185" s="1142">
        <v>117</v>
      </c>
      <c r="L2185" s="617"/>
      <c r="M2185" s="1142">
        <v>0</v>
      </c>
      <c r="N2185" s="617"/>
      <c r="O2185" s="1142">
        <v>0</v>
      </c>
      <c r="P2185" s="617"/>
      <c r="Q2185" s="1142">
        <v>117</v>
      </c>
      <c r="R2185" s="617"/>
      <c r="S2185" s="1146">
        <v>0</v>
      </c>
      <c r="T2185" s="1114"/>
      <c r="U2185" s="1146">
        <v>0</v>
      </c>
      <c r="V2185" s="1114"/>
      <c r="W2185" s="1146">
        <v>0</v>
      </c>
      <c r="X2185" s="1114"/>
      <c r="Y2185" s="1146">
        <v>0</v>
      </c>
      <c r="Z2185" s="2114">
        <f>C2185-'Blocking-Step2'!C2185</f>
        <v>0</v>
      </c>
      <c r="AA2185" s="2114">
        <f>D2185-'Blocking-Step2'!D2185</f>
        <v>0</v>
      </c>
      <c r="AC2185" s="2114">
        <f>F2185-'Blocking-Step2'!F2185</f>
        <v>0</v>
      </c>
      <c r="AE2185" s="2114">
        <f>H2185-'Blocking-Step2'!H2185</f>
        <v>0</v>
      </c>
      <c r="AF2185" s="2114">
        <f>I2185-'Blocking-Step2'!I2185</f>
        <v>0</v>
      </c>
      <c r="AH2185" s="2136">
        <f>K2185-'Blocking-Step2'!K2185</f>
        <v>0</v>
      </c>
      <c r="AJ2185" s="2136">
        <f>M2185-'Blocking-Step2'!M2185</f>
        <v>0</v>
      </c>
      <c r="AL2185" s="2136">
        <f>O2185-'Blocking-Step2'!O2185</f>
        <v>0</v>
      </c>
      <c r="AN2185" s="2137">
        <f>Q2185-'Blocking-Step2'!Q2185</f>
        <v>0</v>
      </c>
      <c r="AP2185" s="2127">
        <f>S2185-'Blocking-Step2'!S2185</f>
        <v>0</v>
      </c>
      <c r="AR2185" s="2127">
        <f>U2185-'Blocking-Step2'!U2185</f>
        <v>0</v>
      </c>
      <c r="AT2185" s="2127">
        <f>W2185-'Blocking-Step2'!W2185</f>
        <v>0</v>
      </c>
      <c r="AV2185" s="2128">
        <f>Y2185-'Blocking-Step2'!Y2185</f>
        <v>0</v>
      </c>
    </row>
    <row r="2186" spans="1:48" ht="16.5" hidden="1" thickTop="1">
      <c r="A2186" s="1116" t="s">
        <v>1236</v>
      </c>
      <c r="C2186" s="1105">
        <v>34</v>
      </c>
      <c r="D2186" s="1105">
        <v>135</v>
      </c>
      <c r="F2186" s="1142">
        <v>2</v>
      </c>
      <c r="G2186" s="617"/>
      <c r="H2186" s="1146">
        <v>68</v>
      </c>
      <c r="I2186" s="1146">
        <v>270</v>
      </c>
      <c r="K2186" s="1142">
        <v>2</v>
      </c>
      <c r="L2186" s="617"/>
      <c r="M2186" s="1142">
        <v>0</v>
      </c>
      <c r="N2186" s="617"/>
      <c r="O2186" s="1142">
        <v>0</v>
      </c>
      <c r="P2186" s="617"/>
      <c r="Q2186" s="1142">
        <v>2</v>
      </c>
      <c r="R2186" s="617"/>
      <c r="S2186" s="1146">
        <v>270</v>
      </c>
      <c r="T2186" s="1114"/>
      <c r="U2186" s="1146">
        <v>0</v>
      </c>
      <c r="V2186" s="1114"/>
      <c r="W2186" s="1146">
        <v>0</v>
      </c>
      <c r="X2186" s="1114"/>
      <c r="Y2186" s="1146">
        <v>270</v>
      </c>
      <c r="Z2186" s="2114">
        <f>C2186-'Blocking-Step2'!C2186</f>
        <v>0</v>
      </c>
      <c r="AA2186" s="2114">
        <f>D2186-'Blocking-Step2'!D2186</f>
        <v>0</v>
      </c>
      <c r="AC2186" s="2114">
        <f>F2186-'Blocking-Step2'!F2186</f>
        <v>0</v>
      </c>
      <c r="AE2186" s="2114">
        <f>H2186-'Blocking-Step2'!H2186</f>
        <v>0</v>
      </c>
      <c r="AF2186" s="2114">
        <f>I2186-'Blocking-Step2'!I2186</f>
        <v>0</v>
      </c>
      <c r="AH2186" s="2136">
        <f>K2186-'Blocking-Step2'!K2186</f>
        <v>0</v>
      </c>
      <c r="AJ2186" s="2136">
        <f>M2186-'Blocking-Step2'!M2186</f>
        <v>0</v>
      </c>
      <c r="AL2186" s="2136">
        <f>O2186-'Blocking-Step2'!O2186</f>
        <v>0</v>
      </c>
      <c r="AN2186" s="2137">
        <f>Q2186-'Blocking-Step2'!Q2186</f>
        <v>0</v>
      </c>
      <c r="AP2186" s="2127">
        <f>S2186-'Blocking-Step2'!S2186</f>
        <v>0</v>
      </c>
      <c r="AR2186" s="2127">
        <f>U2186-'Blocking-Step2'!U2186</f>
        <v>0</v>
      </c>
      <c r="AT2186" s="2127">
        <f>W2186-'Blocking-Step2'!W2186</f>
        <v>0</v>
      </c>
      <c r="AV2186" s="2128">
        <f>Y2186-'Blocking-Step2'!Y2186</f>
        <v>0</v>
      </c>
    </row>
    <row r="2187" spans="1:48" ht="16.5" hidden="1" thickTop="1">
      <c r="A2187" s="1116" t="s">
        <v>1298</v>
      </c>
      <c r="C2187" s="1105">
        <v>0</v>
      </c>
      <c r="D2187" s="1105">
        <v>0</v>
      </c>
      <c r="F2187" s="1142">
        <v>10</v>
      </c>
      <c r="G2187" s="617"/>
      <c r="H2187" s="1146">
        <v>0</v>
      </c>
      <c r="I2187" s="1146">
        <v>0</v>
      </c>
      <c r="K2187" s="1142">
        <v>10</v>
      </c>
      <c r="L2187" s="617"/>
      <c r="M2187" s="1142">
        <v>0</v>
      </c>
      <c r="N2187" s="617"/>
      <c r="O2187" s="1142">
        <v>0</v>
      </c>
      <c r="P2187" s="617"/>
      <c r="Q2187" s="1142">
        <v>10</v>
      </c>
      <c r="R2187" s="617"/>
      <c r="S2187" s="1146">
        <v>0</v>
      </c>
      <c r="T2187" s="1114"/>
      <c r="U2187" s="1146">
        <v>0</v>
      </c>
      <c r="V2187" s="1114"/>
      <c r="W2187" s="1146">
        <v>0</v>
      </c>
      <c r="X2187" s="1114"/>
      <c r="Y2187" s="1146">
        <v>0</v>
      </c>
      <c r="Z2187" s="2114">
        <f>C2187-'Blocking-Step2'!C2187</f>
        <v>0</v>
      </c>
      <c r="AA2187" s="2114">
        <f>D2187-'Blocking-Step2'!D2187</f>
        <v>0</v>
      </c>
      <c r="AC2187" s="2114">
        <f>F2187-'Blocking-Step2'!F2187</f>
        <v>0</v>
      </c>
      <c r="AE2187" s="2114">
        <f>H2187-'Blocking-Step2'!H2187</f>
        <v>0</v>
      </c>
      <c r="AF2187" s="2114">
        <f>I2187-'Blocking-Step2'!I2187</f>
        <v>0</v>
      </c>
      <c r="AH2187" s="2136">
        <f>K2187-'Blocking-Step2'!K2187</f>
        <v>0</v>
      </c>
      <c r="AJ2187" s="2136">
        <f>M2187-'Blocking-Step2'!M2187</f>
        <v>0</v>
      </c>
      <c r="AL2187" s="2136">
        <f>O2187-'Blocking-Step2'!O2187</f>
        <v>0</v>
      </c>
      <c r="AN2187" s="2137">
        <f>Q2187-'Blocking-Step2'!Q2187</f>
        <v>0</v>
      </c>
      <c r="AP2187" s="2127">
        <f>S2187-'Blocking-Step2'!S2187</f>
        <v>0</v>
      </c>
      <c r="AR2187" s="2127">
        <f>U2187-'Blocking-Step2'!U2187</f>
        <v>0</v>
      </c>
      <c r="AT2187" s="2127">
        <f>W2187-'Blocking-Step2'!W2187</f>
        <v>0</v>
      </c>
      <c r="AV2187" s="2128">
        <f>Y2187-'Blocking-Step2'!Y2187</f>
        <v>0</v>
      </c>
    </row>
    <row r="2188" spans="1:48" ht="16.5" hidden="1" thickTop="1">
      <c r="A2188" s="1116" t="s">
        <v>1654</v>
      </c>
      <c r="C2188" s="1105">
        <v>26</v>
      </c>
      <c r="D2188" s="1105">
        <v>54</v>
      </c>
      <c r="F2188" s="1142"/>
      <c r="G2188" s="617"/>
      <c r="H2188" s="1146"/>
      <c r="I2188" s="1146"/>
      <c r="K2188" s="1142">
        <v>8.89</v>
      </c>
      <c r="L2188" s="617"/>
      <c r="M2188" s="1142">
        <v>0</v>
      </c>
      <c r="N2188" s="617"/>
      <c r="O2188" s="1142">
        <v>0</v>
      </c>
      <c r="P2188" s="617"/>
      <c r="Q2188" s="1142">
        <v>8.89</v>
      </c>
      <c r="R2188" s="617"/>
      <c r="S2188" s="1146">
        <v>480</v>
      </c>
      <c r="T2188" s="1114"/>
      <c r="U2188" s="1146">
        <v>0</v>
      </c>
      <c r="V2188" s="1114"/>
      <c r="W2188" s="1146">
        <v>0</v>
      </c>
      <c r="X2188" s="1114"/>
      <c r="Y2188" s="1146">
        <v>480</v>
      </c>
      <c r="Z2188" s="2114">
        <f>C2188-'Blocking-Step2'!C2188</f>
        <v>0</v>
      </c>
      <c r="AA2188" s="2114">
        <f>D2188-'Blocking-Step2'!D2188</f>
        <v>0</v>
      </c>
      <c r="AC2188" s="2114">
        <f>F2188-'Blocking-Step2'!F2188</f>
        <v>0</v>
      </c>
      <c r="AE2188" s="2114">
        <f>H2188-'Blocking-Step2'!H2188</f>
        <v>0</v>
      </c>
      <c r="AF2188" s="2114">
        <f>I2188-'Blocking-Step2'!I2188</f>
        <v>0</v>
      </c>
      <c r="AH2188" s="2136">
        <f>K2188-'Blocking-Step2'!K2188</f>
        <v>0</v>
      </c>
      <c r="AJ2188" s="2136">
        <f>M2188-'Blocking-Step2'!M2188</f>
        <v>0</v>
      </c>
      <c r="AL2188" s="2136">
        <f>O2188-'Blocking-Step2'!O2188</f>
        <v>0</v>
      </c>
      <c r="AN2188" s="2137">
        <f>Q2188-'Blocking-Step2'!Q2188</f>
        <v>0</v>
      </c>
      <c r="AP2188" s="2127">
        <f>S2188-'Blocking-Step2'!S2188</f>
        <v>0</v>
      </c>
      <c r="AR2188" s="2127">
        <f>U2188-'Blocking-Step2'!U2188</f>
        <v>0</v>
      </c>
      <c r="AT2188" s="2127">
        <f>W2188-'Blocking-Step2'!W2188</f>
        <v>0</v>
      </c>
      <c r="AV2188" s="2128">
        <f>Y2188-'Blocking-Step2'!Y2188</f>
        <v>0</v>
      </c>
    </row>
    <row r="2189" spans="1:48" ht="16.5" hidden="1" thickTop="1">
      <c r="A2189" s="1116" t="s">
        <v>1655</v>
      </c>
      <c r="C2189" s="1105">
        <v>45</v>
      </c>
      <c r="D2189" s="1105">
        <v>94</v>
      </c>
      <c r="F2189" s="1142"/>
      <c r="G2189" s="617"/>
      <c r="H2189" s="1146"/>
      <c r="I2189" s="1146"/>
      <c r="K2189" s="1142">
        <v>7.87</v>
      </c>
      <c r="L2189" s="617"/>
      <c r="M2189" s="1142">
        <v>0</v>
      </c>
      <c r="N2189" s="617"/>
      <c r="O2189" s="1142">
        <v>0</v>
      </c>
      <c r="P2189" s="617"/>
      <c r="Q2189" s="1142">
        <v>7.87</v>
      </c>
      <c r="R2189" s="617"/>
      <c r="S2189" s="1146">
        <v>740</v>
      </c>
      <c r="T2189" s="1114"/>
      <c r="U2189" s="1146">
        <v>0</v>
      </c>
      <c r="V2189" s="1114"/>
      <c r="W2189" s="1146">
        <v>0</v>
      </c>
      <c r="X2189" s="1114"/>
      <c r="Y2189" s="1146">
        <v>740</v>
      </c>
      <c r="Z2189" s="2114">
        <f>C2189-'Blocking-Step2'!C2189</f>
        <v>0</v>
      </c>
      <c r="AA2189" s="2114">
        <f>D2189-'Blocking-Step2'!D2189</f>
        <v>0</v>
      </c>
      <c r="AC2189" s="2114">
        <f>F2189-'Blocking-Step2'!F2189</f>
        <v>0</v>
      </c>
      <c r="AE2189" s="2114">
        <f>H2189-'Blocking-Step2'!H2189</f>
        <v>0</v>
      </c>
      <c r="AF2189" s="2114">
        <f>I2189-'Blocking-Step2'!I2189</f>
        <v>0</v>
      </c>
      <c r="AH2189" s="2136">
        <f>K2189-'Blocking-Step2'!K2189</f>
        <v>0</v>
      </c>
      <c r="AJ2189" s="2136">
        <f>M2189-'Blocking-Step2'!M2189</f>
        <v>0</v>
      </c>
      <c r="AL2189" s="2136">
        <f>O2189-'Blocking-Step2'!O2189</f>
        <v>0</v>
      </c>
      <c r="AN2189" s="2137">
        <f>Q2189-'Blocking-Step2'!Q2189</f>
        <v>0</v>
      </c>
      <c r="AP2189" s="2127">
        <f>S2189-'Blocking-Step2'!S2189</f>
        <v>0</v>
      </c>
      <c r="AR2189" s="2127">
        <f>U2189-'Blocking-Step2'!U2189</f>
        <v>0</v>
      </c>
      <c r="AT2189" s="2127">
        <f>W2189-'Blocking-Step2'!W2189</f>
        <v>0</v>
      </c>
      <c r="AV2189" s="2128">
        <f>Y2189-'Blocking-Step2'!Y2189</f>
        <v>0</v>
      </c>
    </row>
    <row r="2190" spans="1:48" ht="16.5" hidden="1" thickTop="1">
      <c r="A2190" s="1116" t="s">
        <v>1656</v>
      </c>
      <c r="C2190" s="1105">
        <v>20901.987155416205</v>
      </c>
      <c r="D2190" s="1105">
        <v>37926.333333333314</v>
      </c>
      <c r="F2190" s="1106"/>
      <c r="G2190" s="1921"/>
      <c r="H2190" s="1146"/>
      <c r="I2190" s="1146"/>
      <c r="K2190" s="1106">
        <v>1.4671000000000001</v>
      </c>
      <c r="L2190" s="1921" t="s">
        <v>495</v>
      </c>
      <c r="M2190" s="1106">
        <v>7.9411934380819993</v>
      </c>
      <c r="N2190" s="1921" t="s">
        <v>495</v>
      </c>
      <c r="O2190" s="1106">
        <v>2.3066</v>
      </c>
      <c r="P2190" s="1921" t="s">
        <v>495</v>
      </c>
      <c r="Q2190" s="1106">
        <v>11.714893438081999</v>
      </c>
      <c r="R2190" s="1921" t="s">
        <v>495</v>
      </c>
      <c r="S2190" s="1146">
        <v>556</v>
      </c>
      <c r="T2190" s="1648"/>
      <c r="U2190" s="1146">
        <v>3012</v>
      </c>
      <c r="V2190" s="1648"/>
      <c r="W2190" s="1146">
        <v>875</v>
      </c>
      <c r="X2190" s="1648"/>
      <c r="Y2190" s="1146">
        <v>4443</v>
      </c>
      <c r="Z2190" s="2114">
        <f>C2190-'Blocking-Step2'!C2190</f>
        <v>0</v>
      </c>
      <c r="AA2190" s="2114">
        <f>D2190-'Blocking-Step2'!D2190</f>
        <v>0</v>
      </c>
      <c r="AC2190" s="2114">
        <f>F2190-'Blocking-Step2'!F2190</f>
        <v>0</v>
      </c>
      <c r="AE2190" s="2114">
        <f>H2190-'Blocking-Step2'!H2190</f>
        <v>0</v>
      </c>
      <c r="AF2190" s="2114">
        <f>I2190-'Blocking-Step2'!I2190</f>
        <v>0</v>
      </c>
      <c r="AH2190" s="2136">
        <f>K2190-'Blocking-Step2'!K2190</f>
        <v>-1.4732000000000001</v>
      </c>
      <c r="AJ2190" s="2136">
        <f>M2190-'Blocking-Step2'!M2190</f>
        <v>1.4755465414459987</v>
      </c>
      <c r="AL2190" s="2136">
        <f>O2190-'Blocking-Step2'!O2190</f>
        <v>0</v>
      </c>
      <c r="AN2190" s="2137">
        <f>Q2190-'Blocking-Step2'!Q2190</f>
        <v>2.3465414459984402E-3</v>
      </c>
      <c r="AP2190" s="2127">
        <f>S2190-'Blocking-Step2'!S2190</f>
        <v>-559</v>
      </c>
      <c r="AR2190" s="2127">
        <f>U2190-'Blocking-Step2'!U2190</f>
        <v>560</v>
      </c>
      <c r="AT2190" s="2127">
        <f>W2190-'Blocking-Step2'!W2190</f>
        <v>0</v>
      </c>
      <c r="AV2190" s="2128">
        <f>Y2190-'Blocking-Step2'!Y2190</f>
        <v>1</v>
      </c>
    </row>
    <row r="2191" spans="1:48" ht="16.5" hidden="1" thickTop="1">
      <c r="A2191" s="1116" t="s">
        <v>1657</v>
      </c>
      <c r="C2191" s="1105">
        <v>35127.494916347903</v>
      </c>
      <c r="D2191" s="1105">
        <v>63738</v>
      </c>
      <c r="F2191" s="1106"/>
      <c r="G2191" s="1921"/>
      <c r="H2191" s="1146"/>
      <c r="I2191" s="1146"/>
      <c r="K2191" s="1106">
        <v>1.4671000000000001</v>
      </c>
      <c r="L2191" s="1921" t="s">
        <v>495</v>
      </c>
      <c r="M2191" s="1106">
        <v>2.7858934380819993</v>
      </c>
      <c r="N2191" s="1921" t="s">
        <v>495</v>
      </c>
      <c r="O2191" s="1106">
        <v>2.3066</v>
      </c>
      <c r="P2191" s="1921" t="s">
        <v>495</v>
      </c>
      <c r="Q2191" s="1106">
        <v>6.5595934380819996</v>
      </c>
      <c r="R2191" s="1921" t="s">
        <v>495</v>
      </c>
      <c r="S2191" s="1146">
        <v>935</v>
      </c>
      <c r="T2191" s="1648"/>
      <c r="U2191" s="1146">
        <v>1776</v>
      </c>
      <c r="V2191" s="1648"/>
      <c r="W2191" s="1146">
        <v>1470</v>
      </c>
      <c r="X2191" s="1648"/>
      <c r="Y2191" s="1146">
        <v>4181</v>
      </c>
      <c r="Z2191" s="2114">
        <f>C2191-'Blocking-Step2'!C2191</f>
        <v>0</v>
      </c>
      <c r="AA2191" s="2114">
        <f>D2191-'Blocking-Step2'!D2191</f>
        <v>0</v>
      </c>
      <c r="AC2191" s="2114">
        <f>F2191-'Blocking-Step2'!F2191</f>
        <v>0</v>
      </c>
      <c r="AE2191" s="2114">
        <f>H2191-'Blocking-Step2'!H2191</f>
        <v>0</v>
      </c>
      <c r="AF2191" s="2114">
        <f>I2191-'Blocking-Step2'!I2191</f>
        <v>0</v>
      </c>
      <c r="AH2191" s="2136">
        <f>K2191-'Blocking-Step2'!K2191</f>
        <v>-1.4732000000000001</v>
      </c>
      <c r="AJ2191" s="2136">
        <f>M2191-'Blocking-Step2'!M2191</f>
        <v>1.4755465414459983</v>
      </c>
      <c r="AL2191" s="2136">
        <f>O2191-'Blocking-Step2'!O2191</f>
        <v>0</v>
      </c>
      <c r="AN2191" s="2137">
        <f>Q2191-'Blocking-Step2'!Q2191</f>
        <v>2.3465414459984402E-3</v>
      </c>
      <c r="AP2191" s="2127">
        <f>S2191-'Blocking-Step2'!S2191</f>
        <v>-939</v>
      </c>
      <c r="AR2191" s="2127">
        <f>U2191-'Blocking-Step2'!U2191</f>
        <v>941</v>
      </c>
      <c r="AT2191" s="2127">
        <f>W2191-'Blocking-Step2'!W2191</f>
        <v>0</v>
      </c>
      <c r="AV2191" s="2128">
        <f>Y2191-'Blocking-Step2'!Y2191</f>
        <v>2</v>
      </c>
    </row>
    <row r="2192" spans="1:48" ht="16.5" hidden="1" thickTop="1">
      <c r="A2192" s="1116" t="s">
        <v>1658</v>
      </c>
      <c r="C2192" s="1105">
        <v>39524.867974118919</v>
      </c>
      <c r="D2192" s="1105">
        <v>90285</v>
      </c>
      <c r="F2192" s="1106"/>
      <c r="G2192" s="1921"/>
      <c r="H2192" s="1146"/>
      <c r="I2192" s="1146"/>
      <c r="K2192" s="1106">
        <v>1.4671000000000001</v>
      </c>
      <c r="L2192" s="1921" t="s">
        <v>495</v>
      </c>
      <c r="M2192" s="1106">
        <v>6.7850000000000001</v>
      </c>
      <c r="N2192" s="1921" t="s">
        <v>495</v>
      </c>
      <c r="O2192" s="1106">
        <v>2.1151</v>
      </c>
      <c r="P2192" s="1921" t="s">
        <v>495</v>
      </c>
      <c r="Q2192" s="1106">
        <v>10.3672</v>
      </c>
      <c r="R2192" s="1921" t="s">
        <v>495</v>
      </c>
      <c r="S2192" s="1146">
        <v>1325</v>
      </c>
      <c r="T2192" s="1648"/>
      <c r="U2192" s="1146">
        <v>6126</v>
      </c>
      <c r="V2192" s="1648"/>
      <c r="W2192" s="1146">
        <v>1910</v>
      </c>
      <c r="X2192" s="1648"/>
      <c r="Y2192" s="1146">
        <v>9360</v>
      </c>
      <c r="Z2192" s="2114">
        <f>C2192-'Blocking-Step2'!C2192</f>
        <v>0</v>
      </c>
      <c r="AA2192" s="2114">
        <f>D2192-'Blocking-Step2'!D2192</f>
        <v>0</v>
      </c>
      <c r="AC2192" s="2114">
        <f>F2192-'Blocking-Step2'!F2192</f>
        <v>0</v>
      </c>
      <c r="AE2192" s="2114">
        <f>H2192-'Blocking-Step2'!H2192</f>
        <v>0</v>
      </c>
      <c r="AF2192" s="2114">
        <f>I2192-'Blocking-Step2'!I2192</f>
        <v>0</v>
      </c>
      <c r="AH2192" s="2136">
        <f>K2192-'Blocking-Step2'!K2192</f>
        <v>-1.4732000000000001</v>
      </c>
      <c r="AJ2192" s="2136">
        <f>M2192-'Blocking-Step2'!M2192</f>
        <v>1.4753000000000007</v>
      </c>
      <c r="AL2192" s="2136">
        <f>O2192-'Blocking-Step2'!O2192</f>
        <v>0</v>
      </c>
      <c r="AN2192" s="2137">
        <f>Q2192-'Blocking-Step2'!Q2192</f>
        <v>2.1000000000004349E-3</v>
      </c>
      <c r="AP2192" s="2127">
        <f>S2192-'Blocking-Step2'!S2192</f>
        <v>-1330</v>
      </c>
      <c r="AR2192" s="2127">
        <f>U2192-'Blocking-Step2'!U2192</f>
        <v>1332</v>
      </c>
      <c r="AT2192" s="2127">
        <f>W2192-'Blocking-Step2'!W2192</f>
        <v>0</v>
      </c>
      <c r="AV2192" s="2128">
        <f>Y2192-'Blocking-Step2'!Y2192</f>
        <v>2</v>
      </c>
    </row>
    <row r="2193" spans="1:48" ht="16.5" hidden="1" thickTop="1">
      <c r="A2193" s="1116" t="s">
        <v>1659</v>
      </c>
      <c r="C2193" s="1105">
        <v>48663.65053124704</v>
      </c>
      <c r="D2193" s="1105">
        <v>111160</v>
      </c>
      <c r="F2193" s="1106"/>
      <c r="G2193" s="1921"/>
      <c r="H2193" s="1146"/>
      <c r="I2193" s="1146"/>
      <c r="K2193" s="1106">
        <v>1.4671000000000001</v>
      </c>
      <c r="L2193" s="1921" t="s">
        <v>495</v>
      </c>
      <c r="M2193" s="1106">
        <v>2.2226999999999997</v>
      </c>
      <c r="N2193" s="1921" t="s">
        <v>495</v>
      </c>
      <c r="O2193" s="1106">
        <v>2.1151</v>
      </c>
      <c r="P2193" s="1921" t="s">
        <v>495</v>
      </c>
      <c r="Q2193" s="1106">
        <v>5.8048999999999999</v>
      </c>
      <c r="R2193" s="1921" t="s">
        <v>495</v>
      </c>
      <c r="S2193" s="1146">
        <v>1631</v>
      </c>
      <c r="T2193" s="1648"/>
      <c r="U2193" s="1146">
        <v>2471</v>
      </c>
      <c r="V2193" s="1648"/>
      <c r="W2193" s="1146">
        <v>2351</v>
      </c>
      <c r="X2193" s="1648"/>
      <c r="Y2193" s="1146">
        <v>6453</v>
      </c>
      <c r="Z2193" s="2114">
        <f>C2193-'Blocking-Step2'!C2193</f>
        <v>0</v>
      </c>
      <c r="AA2193" s="2114">
        <f>D2193-'Blocking-Step2'!D2193</f>
        <v>0</v>
      </c>
      <c r="AC2193" s="2114">
        <f>F2193-'Blocking-Step2'!F2193</f>
        <v>0</v>
      </c>
      <c r="AE2193" s="2114">
        <f>H2193-'Blocking-Step2'!H2193</f>
        <v>0</v>
      </c>
      <c r="AF2193" s="2114">
        <f>I2193-'Blocking-Step2'!I2193</f>
        <v>0</v>
      </c>
      <c r="AH2193" s="2136">
        <f>K2193-'Blocking-Step2'!K2193</f>
        <v>-1.4732000000000001</v>
      </c>
      <c r="AJ2193" s="2136">
        <f>M2193-'Blocking-Step2'!M2193</f>
        <v>1.4751999999999996</v>
      </c>
      <c r="AL2193" s="2136">
        <f>O2193-'Blocking-Step2'!O2193</f>
        <v>0</v>
      </c>
      <c r="AN2193" s="2137">
        <f>Q2193-'Blocking-Step2'!Q2193</f>
        <v>1.9999999999997797E-3</v>
      </c>
      <c r="AP2193" s="2127">
        <f>S2193-'Blocking-Step2'!S2193</f>
        <v>-1637</v>
      </c>
      <c r="AR2193" s="2127">
        <f>U2193-'Blocking-Step2'!U2193</f>
        <v>1640</v>
      </c>
      <c r="AT2193" s="2127">
        <f>W2193-'Blocking-Step2'!W2193</f>
        <v>0</v>
      </c>
      <c r="AV2193" s="2128">
        <f>Y2193-'Blocking-Step2'!Y2193</f>
        <v>2</v>
      </c>
    </row>
    <row r="2194" spans="1:48" ht="16.5" hidden="1" thickTop="1">
      <c r="A2194" s="1116" t="s">
        <v>282</v>
      </c>
      <c r="C2194" s="1105">
        <v>33</v>
      </c>
      <c r="D2194" s="1105">
        <v>69</v>
      </c>
      <c r="F2194" s="1142">
        <v>8.65</v>
      </c>
      <c r="G2194" s="617"/>
      <c r="H2194" s="1146">
        <v>285</v>
      </c>
      <c r="I2194" s="1146">
        <v>597</v>
      </c>
      <c r="K2194" s="1142"/>
      <c r="L2194" s="617"/>
      <c r="M2194" s="1142"/>
      <c r="N2194" s="617"/>
      <c r="O2194" s="1142"/>
      <c r="P2194" s="617"/>
      <c r="Q2194" s="1142"/>
      <c r="R2194" s="617"/>
      <c r="S2194" s="1114"/>
      <c r="T2194" s="1114"/>
      <c r="U2194" s="1114"/>
      <c r="V2194" s="1114"/>
      <c r="W2194" s="1114"/>
      <c r="X2194" s="1114"/>
      <c r="Y2194" s="1146"/>
      <c r="Z2194" s="2114">
        <f>C2194-'Blocking-Step2'!C2194</f>
        <v>0</v>
      </c>
      <c r="AA2194" s="2114">
        <f>D2194-'Blocking-Step2'!D2194</f>
        <v>0</v>
      </c>
      <c r="AC2194" s="2114">
        <f>F2194-'Blocking-Step2'!F2194</f>
        <v>0</v>
      </c>
      <c r="AE2194" s="2114">
        <f>H2194-'Blocking-Step2'!H2194</f>
        <v>0</v>
      </c>
      <c r="AF2194" s="2114">
        <f>I2194-'Blocking-Step2'!I2194</f>
        <v>0</v>
      </c>
      <c r="AH2194" s="2136">
        <f>K2194-'Blocking-Step2'!K2194</f>
        <v>0</v>
      </c>
      <c r="AJ2194" s="2136">
        <f>M2194-'Blocking-Step2'!M2194</f>
        <v>0</v>
      </c>
      <c r="AL2194" s="2136">
        <f>O2194-'Blocking-Step2'!O2194</f>
        <v>0</v>
      </c>
      <c r="AN2194" s="2137">
        <f>Q2194-'Blocking-Step2'!Q2194</f>
        <v>0</v>
      </c>
      <c r="AP2194" s="2127">
        <f>S2194-'Blocking-Step2'!S2194</f>
        <v>0</v>
      </c>
      <c r="AR2194" s="2127">
        <f>U2194-'Blocking-Step2'!U2194</f>
        <v>0</v>
      </c>
      <c r="AT2194" s="2127">
        <f>W2194-'Blocking-Step2'!W2194</f>
        <v>0</v>
      </c>
      <c r="AV2194" s="2128">
        <f>Y2194-'Blocking-Step2'!Y2194</f>
        <v>0</v>
      </c>
    </row>
    <row r="2195" spans="1:48" ht="16.5" hidden="1" thickTop="1">
      <c r="A2195" s="1116" t="s">
        <v>283</v>
      </c>
      <c r="C2195" s="1105">
        <v>38</v>
      </c>
      <c r="D2195" s="1105">
        <v>79</v>
      </c>
      <c r="F2195" s="1142">
        <v>8.7000000000000011</v>
      </c>
      <c r="G2195" s="617"/>
      <c r="H2195" s="1146">
        <v>331</v>
      </c>
      <c r="I2195" s="1146">
        <v>687</v>
      </c>
      <c r="K2195" s="1142"/>
      <c r="L2195" s="617"/>
      <c r="M2195" s="1142"/>
      <c r="N2195" s="617"/>
      <c r="O2195" s="1142"/>
      <c r="P2195" s="617"/>
      <c r="Q2195" s="1142"/>
      <c r="R2195" s="617"/>
      <c r="S2195" s="1114"/>
      <c r="T2195" s="1114"/>
      <c r="U2195" s="1114"/>
      <c r="V2195" s="1114"/>
      <c r="W2195" s="1114"/>
      <c r="X2195" s="1114"/>
      <c r="Y2195" s="1146"/>
      <c r="Z2195" s="2114">
        <f>C2195-'Blocking-Step2'!C2195</f>
        <v>0</v>
      </c>
      <c r="AA2195" s="2114">
        <f>D2195-'Blocking-Step2'!D2195</f>
        <v>0</v>
      </c>
      <c r="AC2195" s="2114">
        <f>F2195-'Blocking-Step2'!F2195</f>
        <v>0</v>
      </c>
      <c r="AE2195" s="2114">
        <f>H2195-'Blocking-Step2'!H2195</f>
        <v>0</v>
      </c>
      <c r="AF2195" s="2114">
        <f>I2195-'Blocking-Step2'!I2195</f>
        <v>0</v>
      </c>
      <c r="AH2195" s="2136">
        <f>K2195-'Blocking-Step2'!K2195</f>
        <v>0</v>
      </c>
      <c r="AJ2195" s="2136">
        <f>M2195-'Blocking-Step2'!M2195</f>
        <v>0</v>
      </c>
      <c r="AL2195" s="2136">
        <f>O2195-'Blocking-Step2'!O2195</f>
        <v>0</v>
      </c>
      <c r="AN2195" s="2137">
        <f>Q2195-'Blocking-Step2'!Q2195</f>
        <v>0</v>
      </c>
      <c r="AP2195" s="2127">
        <f>S2195-'Blocking-Step2'!S2195</f>
        <v>0</v>
      </c>
      <c r="AR2195" s="2127">
        <f>U2195-'Blocking-Step2'!U2195</f>
        <v>0</v>
      </c>
      <c r="AT2195" s="2127">
        <f>W2195-'Blocking-Step2'!W2195</f>
        <v>0</v>
      </c>
      <c r="AV2195" s="2128">
        <f>Y2195-'Blocking-Step2'!Y2195</f>
        <v>0</v>
      </c>
    </row>
    <row r="2196" spans="1:48" ht="16.5" hidden="1" thickTop="1">
      <c r="A2196" s="1116" t="s">
        <v>261</v>
      </c>
      <c r="C2196" s="1105">
        <v>0</v>
      </c>
      <c r="D2196" s="1105">
        <v>0</v>
      </c>
      <c r="F2196" s="1142">
        <v>-0.48</v>
      </c>
      <c r="G2196" s="617"/>
      <c r="H2196" s="1146">
        <v>0</v>
      </c>
      <c r="I2196" s="1146">
        <v>0</v>
      </c>
      <c r="K2196" s="1142">
        <v>-0.48</v>
      </c>
      <c r="L2196" s="617"/>
      <c r="M2196" s="1142">
        <v>0</v>
      </c>
      <c r="N2196" s="617"/>
      <c r="O2196" s="1142">
        <v>0</v>
      </c>
      <c r="P2196" s="617"/>
      <c r="Q2196" s="1142">
        <v>-0.48</v>
      </c>
      <c r="R2196" s="617"/>
      <c r="S2196" s="1146">
        <v>0</v>
      </c>
      <c r="T2196" s="1114"/>
      <c r="U2196" s="1146">
        <v>0</v>
      </c>
      <c r="V2196" s="1114"/>
      <c r="W2196" s="1146">
        <v>0</v>
      </c>
      <c r="X2196" s="1114"/>
      <c r="Y2196" s="1146">
        <v>0</v>
      </c>
      <c r="Z2196" s="2114">
        <f>C2196-'Blocking-Step2'!C2196</f>
        <v>0</v>
      </c>
      <c r="AA2196" s="2114">
        <f>D2196-'Blocking-Step2'!D2196</f>
        <v>0</v>
      </c>
      <c r="AC2196" s="2114">
        <f>F2196-'Blocking-Step2'!F2196</f>
        <v>0</v>
      </c>
      <c r="AE2196" s="2114">
        <f>H2196-'Blocking-Step2'!H2196</f>
        <v>0</v>
      </c>
      <c r="AF2196" s="2114">
        <f>I2196-'Blocking-Step2'!I2196</f>
        <v>0</v>
      </c>
      <c r="AH2196" s="2136">
        <f>K2196-'Blocking-Step2'!K2196</f>
        <v>0</v>
      </c>
      <c r="AJ2196" s="2136">
        <f>M2196-'Blocking-Step2'!M2196</f>
        <v>0</v>
      </c>
      <c r="AL2196" s="2136">
        <f>O2196-'Blocking-Step2'!O2196</f>
        <v>0</v>
      </c>
      <c r="AN2196" s="2137">
        <f>Q2196-'Blocking-Step2'!Q2196</f>
        <v>0</v>
      </c>
      <c r="AP2196" s="2127">
        <f>S2196-'Blocking-Step2'!S2196</f>
        <v>0</v>
      </c>
      <c r="AR2196" s="2127">
        <f>U2196-'Blocking-Step2'!U2196</f>
        <v>0</v>
      </c>
      <c r="AT2196" s="2127">
        <f>W2196-'Blocking-Step2'!W2196</f>
        <v>0</v>
      </c>
      <c r="AV2196" s="2128">
        <f>Y2196-'Blocking-Step2'!Y2196</f>
        <v>0</v>
      </c>
    </row>
    <row r="2197" spans="1:48" ht="16.5" hidden="1" thickTop="1">
      <c r="A2197" s="1116" t="s">
        <v>194</v>
      </c>
      <c r="C2197" s="1105">
        <v>25924.992708098362</v>
      </c>
      <c r="D2197" s="1105">
        <v>47537.333333333314</v>
      </c>
      <c r="F2197" s="1106">
        <v>11.733599999999999</v>
      </c>
      <c r="G2197" s="1921" t="s">
        <v>495</v>
      </c>
      <c r="H2197" s="1146">
        <v>3042</v>
      </c>
      <c r="I2197" s="1146">
        <v>5578</v>
      </c>
      <c r="K2197" s="1106"/>
      <c r="L2197" s="1921"/>
      <c r="M2197" s="1106"/>
      <c r="N2197" s="1921"/>
      <c r="O2197" s="1106"/>
      <c r="P2197" s="1921"/>
      <c r="Q2197" s="1106"/>
      <c r="R2197" s="1921"/>
      <c r="S2197" s="1648"/>
      <c r="T2197" s="1648"/>
      <c r="U2197" s="1648"/>
      <c r="V2197" s="1648"/>
      <c r="W2197" s="1648"/>
      <c r="X2197" s="1648"/>
      <c r="Y2197" s="1146"/>
      <c r="Z2197" s="2114">
        <f>C2197-'Blocking-Step2'!C2197</f>
        <v>0</v>
      </c>
      <c r="AA2197" s="2114">
        <f>D2197-'Blocking-Step2'!D2197</f>
        <v>0</v>
      </c>
      <c r="AC2197" s="2114">
        <f>F2197-'Blocking-Step2'!F2197</f>
        <v>0</v>
      </c>
      <c r="AE2197" s="2114">
        <f>H2197-'Blocking-Step2'!H2197</f>
        <v>0</v>
      </c>
      <c r="AF2197" s="2114">
        <f>I2197-'Blocking-Step2'!I2197</f>
        <v>0</v>
      </c>
      <c r="AH2197" s="2136">
        <f>K2197-'Blocking-Step2'!K2197</f>
        <v>0</v>
      </c>
      <c r="AJ2197" s="2136">
        <f>M2197-'Blocking-Step2'!M2197</f>
        <v>0</v>
      </c>
      <c r="AL2197" s="2136">
        <f>O2197-'Blocking-Step2'!O2197</f>
        <v>0</v>
      </c>
      <c r="AN2197" s="2137">
        <f>Q2197-'Blocking-Step2'!Q2197</f>
        <v>0</v>
      </c>
      <c r="AP2197" s="2127">
        <f>S2197-'Blocking-Step2'!S2197</f>
        <v>0</v>
      </c>
      <c r="AR2197" s="2127">
        <f>U2197-'Blocking-Step2'!U2197</f>
        <v>0</v>
      </c>
      <c r="AT2197" s="2127">
        <f>W2197-'Blocking-Step2'!W2197</f>
        <v>0</v>
      </c>
      <c r="AV2197" s="2128">
        <f>Y2197-'Blocking-Step2'!Y2197</f>
        <v>0</v>
      </c>
    </row>
    <row r="2198" spans="1:48" ht="16.5" hidden="1" thickTop="1">
      <c r="A2198" s="1116" t="s">
        <v>195</v>
      </c>
      <c r="C2198" s="1105">
        <v>43379.4482922647</v>
      </c>
      <c r="D2198" s="1105">
        <v>79543</v>
      </c>
      <c r="F2198" s="1106">
        <v>6.5782999999999996</v>
      </c>
      <c r="G2198" s="1921" t="s">
        <v>495</v>
      </c>
      <c r="H2198" s="1146">
        <v>2854</v>
      </c>
      <c r="I2198" s="1146">
        <v>5233</v>
      </c>
      <c r="K2198" s="1106"/>
      <c r="L2198" s="1921"/>
      <c r="M2198" s="1106"/>
      <c r="N2198" s="1921"/>
      <c r="O2198" s="1106"/>
      <c r="P2198" s="1921"/>
      <c r="Q2198" s="1106"/>
      <c r="R2198" s="1921"/>
      <c r="S2198" s="1648"/>
      <c r="T2198" s="1648"/>
      <c r="U2198" s="1648"/>
      <c r="V2198" s="1648"/>
      <c r="W2198" s="1648"/>
      <c r="X2198" s="1648"/>
      <c r="Y2198" s="1146"/>
      <c r="Z2198" s="2114">
        <f>C2198-'Blocking-Step2'!C2198</f>
        <v>0</v>
      </c>
      <c r="AA2198" s="2114">
        <f>D2198-'Blocking-Step2'!D2198</f>
        <v>0</v>
      </c>
      <c r="AC2198" s="2114">
        <f>F2198-'Blocking-Step2'!F2198</f>
        <v>0</v>
      </c>
      <c r="AE2198" s="2114">
        <f>H2198-'Blocking-Step2'!H2198</f>
        <v>0</v>
      </c>
      <c r="AF2198" s="2114">
        <f>I2198-'Blocking-Step2'!I2198</f>
        <v>0</v>
      </c>
      <c r="AH2198" s="2136">
        <f>K2198-'Blocking-Step2'!K2198</f>
        <v>0</v>
      </c>
      <c r="AJ2198" s="2136">
        <f>M2198-'Blocking-Step2'!M2198</f>
        <v>0</v>
      </c>
      <c r="AL2198" s="2136">
        <f>O2198-'Blocking-Step2'!O2198</f>
        <v>0</v>
      </c>
      <c r="AN2198" s="2137">
        <f>Q2198-'Blocking-Step2'!Q2198</f>
        <v>0</v>
      </c>
      <c r="AP2198" s="2127">
        <f>S2198-'Blocking-Step2'!S2198</f>
        <v>0</v>
      </c>
      <c r="AR2198" s="2127">
        <f>U2198-'Blocking-Step2'!U2198</f>
        <v>0</v>
      </c>
      <c r="AT2198" s="2127">
        <f>W2198-'Blocking-Step2'!W2198</f>
        <v>0</v>
      </c>
      <c r="AV2198" s="2128">
        <f>Y2198-'Blocking-Step2'!Y2198</f>
        <v>0</v>
      </c>
    </row>
    <row r="2199" spans="1:48" ht="16.5" hidden="1" thickTop="1">
      <c r="A2199" s="1116" t="s">
        <v>160</v>
      </c>
      <c r="C2199" s="1105">
        <v>34501.862421436766</v>
      </c>
      <c r="D2199" s="1105">
        <v>81071</v>
      </c>
      <c r="F2199" s="1106">
        <v>10.8</v>
      </c>
      <c r="G2199" s="1921" t="s">
        <v>495</v>
      </c>
      <c r="H2199" s="1146">
        <v>3726</v>
      </c>
      <c r="I2199" s="1146">
        <v>8756</v>
      </c>
      <c r="K2199" s="1106"/>
      <c r="L2199" s="1921"/>
      <c r="M2199" s="1106"/>
      <c r="N2199" s="1921"/>
      <c r="O2199" s="1106"/>
      <c r="P2199" s="1921"/>
      <c r="Q2199" s="1106"/>
      <c r="R2199" s="1921"/>
      <c r="S2199" s="1648"/>
      <c r="T2199" s="1648"/>
      <c r="U2199" s="1648"/>
      <c r="V2199" s="1648"/>
      <c r="W2199" s="1648"/>
      <c r="X2199" s="1648"/>
      <c r="Y2199" s="1146"/>
      <c r="Z2199" s="2114">
        <f>C2199-'Blocking-Step2'!C2199</f>
        <v>0</v>
      </c>
      <c r="AA2199" s="2114">
        <f>D2199-'Blocking-Step2'!D2199</f>
        <v>0</v>
      </c>
      <c r="AC2199" s="2114">
        <f>F2199-'Blocking-Step2'!F2199</f>
        <v>0</v>
      </c>
      <c r="AE2199" s="2114">
        <f>H2199-'Blocking-Step2'!H2199</f>
        <v>0</v>
      </c>
      <c r="AF2199" s="2114">
        <f>I2199-'Blocking-Step2'!I2199</f>
        <v>0</v>
      </c>
      <c r="AH2199" s="2136">
        <f>K2199-'Blocking-Step2'!K2199</f>
        <v>0</v>
      </c>
      <c r="AJ2199" s="2136">
        <f>M2199-'Blocking-Step2'!M2199</f>
        <v>0</v>
      </c>
      <c r="AL2199" s="2136">
        <f>O2199-'Blocking-Step2'!O2199</f>
        <v>0</v>
      </c>
      <c r="AN2199" s="2137">
        <f>Q2199-'Blocking-Step2'!Q2199</f>
        <v>0</v>
      </c>
      <c r="AP2199" s="2127">
        <f>S2199-'Blocking-Step2'!S2199</f>
        <v>0</v>
      </c>
      <c r="AR2199" s="2127">
        <f>U2199-'Blocking-Step2'!U2199</f>
        <v>0</v>
      </c>
      <c r="AT2199" s="2127">
        <f>W2199-'Blocking-Step2'!W2199</f>
        <v>0</v>
      </c>
      <c r="AV2199" s="2128">
        <f>Y2199-'Blocking-Step2'!Y2199</f>
        <v>0</v>
      </c>
    </row>
    <row r="2200" spans="1:48" ht="16.5" hidden="1" thickTop="1">
      <c r="A2200" s="1116" t="s">
        <v>159</v>
      </c>
      <c r="C2200" s="1105">
        <v>40411.697155330243</v>
      </c>
      <c r="D2200" s="1105">
        <v>94958</v>
      </c>
      <c r="F2200" s="1106">
        <v>6.0567000000000002</v>
      </c>
      <c r="G2200" s="1921" t="s">
        <v>495</v>
      </c>
      <c r="H2200" s="1146">
        <v>2448</v>
      </c>
      <c r="I2200" s="1146">
        <v>5751</v>
      </c>
      <c r="K2200" s="1106"/>
      <c r="L2200" s="1921"/>
      <c r="M2200" s="1106"/>
      <c r="N2200" s="1921"/>
      <c r="O2200" s="1106"/>
      <c r="P2200" s="1921"/>
      <c r="Q2200" s="1106"/>
      <c r="R2200" s="1921"/>
      <c r="S2200" s="1648"/>
      <c r="T2200" s="1648"/>
      <c r="U2200" s="1648"/>
      <c r="V2200" s="1648"/>
      <c r="W2200" s="1648"/>
      <c r="X2200" s="1648"/>
      <c r="Y2200" s="1146"/>
      <c r="Z2200" s="2114">
        <f>C2200-'Blocking-Step2'!C2200</f>
        <v>0</v>
      </c>
      <c r="AA2200" s="2114">
        <f>D2200-'Blocking-Step2'!D2200</f>
        <v>0</v>
      </c>
      <c r="AC2200" s="2114">
        <f>F2200-'Blocking-Step2'!F2200</f>
        <v>0</v>
      </c>
      <c r="AE2200" s="2114">
        <f>H2200-'Blocking-Step2'!H2200</f>
        <v>0</v>
      </c>
      <c r="AF2200" s="2114">
        <f>I2200-'Blocking-Step2'!I2200</f>
        <v>0</v>
      </c>
      <c r="AH2200" s="2136">
        <f>K2200-'Blocking-Step2'!K2200</f>
        <v>0</v>
      </c>
      <c r="AJ2200" s="2136">
        <f>M2200-'Blocking-Step2'!M2200</f>
        <v>0</v>
      </c>
      <c r="AL2200" s="2136">
        <f>O2200-'Blocking-Step2'!O2200</f>
        <v>0</v>
      </c>
      <c r="AN2200" s="2137">
        <f>Q2200-'Blocking-Step2'!Q2200</f>
        <v>0</v>
      </c>
      <c r="AP2200" s="2127">
        <f>S2200-'Blocking-Step2'!S2200</f>
        <v>0</v>
      </c>
      <c r="AR2200" s="2127">
        <f>U2200-'Blocking-Step2'!U2200</f>
        <v>0</v>
      </c>
      <c r="AT2200" s="2127">
        <f>W2200-'Blocking-Step2'!W2200</f>
        <v>0</v>
      </c>
      <c r="AV2200" s="2128">
        <f>Y2200-'Blocking-Step2'!Y2200</f>
        <v>0</v>
      </c>
    </row>
    <row r="2201" spans="1:48" ht="16.5" hidden="1" thickTop="1">
      <c r="A2201" s="1116" t="s">
        <v>246</v>
      </c>
      <c r="C2201" s="1940">
        <v>818</v>
      </c>
      <c r="D2201" s="1940">
        <v>0</v>
      </c>
      <c r="H2201" s="1147">
        <v>81</v>
      </c>
      <c r="I2201" s="1147">
        <v>0</v>
      </c>
      <c r="Y2201" s="1147">
        <v>0</v>
      </c>
      <c r="Z2201" s="2114">
        <f>C2201-'Blocking-Step2'!C2201</f>
        <v>0</v>
      </c>
      <c r="AA2201" s="2114">
        <f>D2201-'Blocking-Step2'!D2201</f>
        <v>0</v>
      </c>
      <c r="AC2201" s="2114">
        <f>F2201-'Blocking-Step2'!F2201</f>
        <v>0</v>
      </c>
      <c r="AE2201" s="2114">
        <f>H2201-'Blocking-Step2'!H2201</f>
        <v>0</v>
      </c>
      <c r="AF2201" s="2114">
        <f>I2201-'Blocking-Step2'!I2201</f>
        <v>0</v>
      </c>
      <c r="AH2201" s="2136">
        <f>K2201-'Blocking-Step2'!K2201</f>
        <v>0</v>
      </c>
      <c r="AJ2201" s="2136">
        <f>M2201-'Blocking-Step2'!M2201</f>
        <v>0</v>
      </c>
      <c r="AL2201" s="2136">
        <f>O2201-'Blocking-Step2'!O2201</f>
        <v>0</v>
      </c>
      <c r="AN2201" s="2137">
        <f>Q2201-'Blocking-Step2'!Q2201</f>
        <v>0</v>
      </c>
      <c r="AP2201" s="2127">
        <f>S2201-'Blocking-Step2'!S2201</f>
        <v>0</v>
      </c>
      <c r="AR2201" s="2127">
        <f>U2201-'Blocking-Step2'!U2201</f>
        <v>0</v>
      </c>
      <c r="AT2201" s="2127">
        <f>W2201-'Blocking-Step2'!W2201</f>
        <v>0</v>
      </c>
      <c r="AV2201" s="2128">
        <f>Y2201-'Blocking-Step2'!Y2201</f>
        <v>0</v>
      </c>
    </row>
    <row r="2202" spans="1:48" ht="16.5" hidden="1" thickTop="1">
      <c r="A2202" s="1116" t="s">
        <v>1240</v>
      </c>
      <c r="C2202" s="1024"/>
      <c r="D2202" s="1024"/>
      <c r="F2202" s="2076">
        <v>-3.3099999999999997E-2</v>
      </c>
      <c r="G2202" s="617"/>
      <c r="H2202" s="1146">
        <v>-419.90659999999997</v>
      </c>
      <c r="I2202" s="1146">
        <v>-880.5261999999999</v>
      </c>
      <c r="K2202" s="2076"/>
      <c r="L2202" s="617"/>
      <c r="M2202" s="2076"/>
      <c r="N2202" s="617"/>
      <c r="O2202" s="2077" t="s">
        <v>2323</v>
      </c>
      <c r="P2202" s="617"/>
      <c r="Q2202" s="2076">
        <v>-2.5600000000000001E-2</v>
      </c>
      <c r="R2202" s="617"/>
      <c r="S2202" s="1114"/>
      <c r="T2202" s="1114"/>
      <c r="U2202" s="1114"/>
      <c r="V2202" s="1114"/>
      <c r="W2202" s="1114"/>
      <c r="X2202" s="1114"/>
      <c r="Y2202" s="1146">
        <v>-656.81920000000002</v>
      </c>
      <c r="Z2202" s="2114">
        <f>C2202-'Blocking-Step2'!C2202</f>
        <v>0</v>
      </c>
      <c r="AA2202" s="2114">
        <f>D2202-'Blocking-Step2'!D2202</f>
        <v>0</v>
      </c>
      <c r="AC2202" s="2114">
        <f>F2202-'Blocking-Step2'!F2202</f>
        <v>0</v>
      </c>
      <c r="AE2202" s="2114">
        <f>H2202-'Blocking-Step2'!H2202</f>
        <v>0</v>
      </c>
      <c r="AF2202" s="2114">
        <f>I2202-'Blocking-Step2'!I2202</f>
        <v>0</v>
      </c>
      <c r="AH2202" s="2136">
        <f>K2202-'Blocking-Step2'!K2202</f>
        <v>0</v>
      </c>
      <c r="AJ2202" s="2136">
        <f>M2202-'Blocking-Step2'!M2202</f>
        <v>0</v>
      </c>
      <c r="AL2202" s="2136" t="e">
        <f>O2202-'Blocking-Step2'!O2202</f>
        <v>#VALUE!</v>
      </c>
      <c r="AN2202" s="2137">
        <f>Q2202-'Blocking-Step2'!Q2202</f>
        <v>0</v>
      </c>
      <c r="AP2202" s="2127">
        <f>S2202-'Blocking-Step2'!S2202</f>
        <v>0</v>
      </c>
      <c r="AR2202" s="2127">
        <f>U2202-'Blocking-Step2'!U2202</f>
        <v>0</v>
      </c>
      <c r="AT2202" s="2127">
        <f>W2202-'Blocking-Step2'!W2202</f>
        <v>0</v>
      </c>
      <c r="AV2202" s="2128">
        <f>Y2202-'Blocking-Step2'!Y2202</f>
        <v>-0.17920000000003711</v>
      </c>
    </row>
    <row r="2203" spans="1:48" ht="16.5" hidden="1" thickTop="1">
      <c r="A2203" s="1116"/>
      <c r="C2203" s="1024"/>
      <c r="D2203" s="1024"/>
      <c r="F2203" s="2076"/>
      <c r="G2203" s="617"/>
      <c r="H2203" s="1146"/>
      <c r="I2203" s="1146"/>
      <c r="K2203" s="2076"/>
      <c r="L2203" s="617"/>
      <c r="M2203" s="2076"/>
      <c r="N2203" s="617"/>
      <c r="O2203" s="2077" t="s">
        <v>2324</v>
      </c>
      <c r="P2203" s="617"/>
      <c r="Q2203" s="2076">
        <v>-1.3899999999999999E-2</v>
      </c>
      <c r="R2203" s="617"/>
      <c r="S2203" s="1114"/>
      <c r="T2203" s="1114"/>
      <c r="U2203" s="1114"/>
      <c r="V2203" s="1114"/>
      <c r="W2203" s="1114"/>
      <c r="X2203" s="1114"/>
      <c r="Y2203" s="1146">
        <v>-356.63229999999999</v>
      </c>
      <c r="Z2203" s="2114">
        <f>C2203-'Blocking-Step2'!C2203</f>
        <v>0</v>
      </c>
      <c r="AA2203" s="2114">
        <f>D2203-'Blocking-Step2'!D2203</f>
        <v>0</v>
      </c>
      <c r="AC2203" s="2114">
        <f>F2203-'Blocking-Step2'!F2203</f>
        <v>0</v>
      </c>
      <c r="AE2203" s="2114">
        <f>H2203-'Blocking-Step2'!H2203</f>
        <v>0</v>
      </c>
      <c r="AF2203" s="2114">
        <f>I2203-'Blocking-Step2'!I2203</f>
        <v>0</v>
      </c>
      <c r="AH2203" s="2136">
        <f>K2203-'Blocking-Step2'!K2203</f>
        <v>0</v>
      </c>
      <c r="AJ2203" s="2136">
        <f>M2203-'Blocking-Step2'!M2203</f>
        <v>0</v>
      </c>
      <c r="AL2203" s="2136" t="e">
        <f>O2203-'Blocking-Step2'!O2203</f>
        <v>#VALUE!</v>
      </c>
      <c r="AN2203" s="2137">
        <f>Q2203-'Blocking-Step2'!Q2203</f>
        <v>0</v>
      </c>
      <c r="AP2203" s="2127">
        <f>S2203-'Blocking-Step2'!S2203</f>
        <v>0</v>
      </c>
      <c r="AR2203" s="2127">
        <f>U2203-'Blocking-Step2'!U2203</f>
        <v>0</v>
      </c>
      <c r="AT2203" s="2127">
        <f>W2203-'Blocking-Step2'!W2203</f>
        <v>0</v>
      </c>
      <c r="AV2203" s="2128">
        <f>Y2203-'Blocking-Step2'!Y2203</f>
        <v>-9.7300000000018372E-2</v>
      </c>
    </row>
    <row r="2204" spans="1:48" ht="17.25" hidden="1" thickTop="1" thickBot="1">
      <c r="A2204" s="1116" t="s">
        <v>247</v>
      </c>
      <c r="C2204" s="1138">
        <v>145036.00057713006</v>
      </c>
      <c r="D2204" s="1138">
        <v>303109.33333333331</v>
      </c>
      <c r="F2204" s="1145"/>
      <c r="H2204" s="1149">
        <v>13223.0934</v>
      </c>
      <c r="I2204" s="1149">
        <v>29211.4738</v>
      </c>
      <c r="K2204" s="1145"/>
      <c r="M2204" s="1145"/>
      <c r="O2204" s="1145"/>
      <c r="P2204" s="617"/>
      <c r="Q2204" s="1145"/>
      <c r="R2204" s="617"/>
      <c r="S2204" s="1154">
        <v>9157</v>
      </c>
      <c r="T2204" s="1114"/>
      <c r="U2204" s="1154">
        <v>13385</v>
      </c>
      <c r="V2204" s="1114"/>
      <c r="W2204" s="1154">
        <v>6606</v>
      </c>
      <c r="X2204" s="1114"/>
      <c r="Y2204" s="1154">
        <v>29147</v>
      </c>
      <c r="Z2204" s="2114">
        <f>C2204-'Blocking-Step2'!C2204</f>
        <v>0</v>
      </c>
      <c r="AA2204" s="2114">
        <f>D2204-'Blocking-Step2'!D2204</f>
        <v>0</v>
      </c>
      <c r="AC2204" s="2114">
        <f>F2204-'Blocking-Step2'!F2204</f>
        <v>0</v>
      </c>
      <c r="AE2204" s="2114">
        <f>H2204-'Blocking-Step2'!H2204</f>
        <v>0</v>
      </c>
      <c r="AF2204" s="2114">
        <f>I2204-'Blocking-Step2'!I2204</f>
        <v>0</v>
      </c>
      <c r="AH2204" s="2136">
        <f>K2204-'Blocking-Step2'!K2204</f>
        <v>0</v>
      </c>
      <c r="AJ2204" s="2136">
        <f>M2204-'Blocking-Step2'!M2204</f>
        <v>0</v>
      </c>
      <c r="AL2204" s="2136">
        <f>O2204-'Blocking-Step2'!O2204</f>
        <v>0</v>
      </c>
      <c r="AN2204" s="2137">
        <f>Q2204-'Blocking-Step2'!Q2204</f>
        <v>0</v>
      </c>
      <c r="AP2204" s="2127">
        <f>S2204-'Blocking-Step2'!S2204</f>
        <v>-4465</v>
      </c>
      <c r="AR2204" s="2127">
        <f>U2204-'Blocking-Step2'!U2204</f>
        <v>4473</v>
      </c>
      <c r="AT2204" s="2127">
        <f>W2204-'Blocking-Step2'!W2204</f>
        <v>0</v>
      </c>
      <c r="AV2204" s="2128">
        <f>Y2204-'Blocking-Step2'!Y2204</f>
        <v>7</v>
      </c>
    </row>
    <row r="2205" spans="1:48" ht="16.5" hidden="1" thickTop="1">
      <c r="O2205" s="1109"/>
      <c r="Q2205" s="1109"/>
      <c r="Y2205" s="1114"/>
      <c r="Z2205" s="2114">
        <f>C2205-'Blocking-Step2'!C2205</f>
        <v>0</v>
      </c>
      <c r="AA2205" s="2114">
        <f>D2205-'Blocking-Step2'!D2205</f>
        <v>0</v>
      </c>
      <c r="AC2205" s="2114">
        <f>F2205-'Blocking-Step2'!F2205</f>
        <v>0</v>
      </c>
      <c r="AE2205" s="2114">
        <f>H2205-'Blocking-Step2'!H2205</f>
        <v>0</v>
      </c>
      <c r="AF2205" s="2114">
        <f>I2205-'Blocking-Step2'!I2205</f>
        <v>0</v>
      </c>
      <c r="AH2205" s="2136">
        <f>K2205-'Blocking-Step2'!K2205</f>
        <v>0</v>
      </c>
      <c r="AJ2205" s="2136">
        <f>M2205-'Blocking-Step2'!M2205</f>
        <v>0</v>
      </c>
      <c r="AL2205" s="2136">
        <f>O2205-'Blocking-Step2'!O2205</f>
        <v>0</v>
      </c>
      <c r="AN2205" s="2137">
        <f>Q2205-'Blocking-Step2'!Q2205</f>
        <v>0</v>
      </c>
      <c r="AP2205" s="2127">
        <f>S2205-'Blocking-Step2'!S2205</f>
        <v>0</v>
      </c>
      <c r="AR2205" s="2127">
        <f>U2205-'Blocking-Step2'!U2205</f>
        <v>0</v>
      </c>
      <c r="AT2205" s="2127">
        <f>W2205-'Blocking-Step2'!W2205</f>
        <v>0</v>
      </c>
      <c r="AV2205" s="2128">
        <f>Y2205-'Blocking-Step2'!Y2205</f>
        <v>0</v>
      </c>
    </row>
    <row r="2206" spans="1:48" ht="16.5" hidden="1" thickTop="1">
      <c r="A2206" s="1115" t="s">
        <v>1292</v>
      </c>
      <c r="C2206" s="1105"/>
      <c r="D2206" s="1105"/>
      <c r="Z2206" s="2114">
        <f>C2206-'Blocking-Step2'!C2206</f>
        <v>0</v>
      </c>
      <c r="AA2206" s="2114">
        <f>D2206-'Blocking-Step2'!D2206</f>
        <v>0</v>
      </c>
      <c r="AC2206" s="2114">
        <f>F2206-'Blocking-Step2'!F2206</f>
        <v>0</v>
      </c>
      <c r="AE2206" s="2114">
        <f>H2206-'Blocking-Step2'!H2206</f>
        <v>0</v>
      </c>
      <c r="AF2206" s="2114">
        <f>I2206-'Blocking-Step2'!I2206</f>
        <v>0</v>
      </c>
      <c r="AH2206" s="2136">
        <f>K2206-'Blocking-Step2'!K2206</f>
        <v>0</v>
      </c>
      <c r="AJ2206" s="2136">
        <f>M2206-'Blocking-Step2'!M2206</f>
        <v>0</v>
      </c>
      <c r="AL2206" s="2136">
        <f>O2206-'Blocking-Step2'!O2206</f>
        <v>0</v>
      </c>
      <c r="AN2206" s="2137">
        <f>Q2206-'Blocking-Step2'!Q2206</f>
        <v>0</v>
      </c>
      <c r="AP2206" s="2127">
        <f>S2206-'Blocking-Step2'!S2206</f>
        <v>0</v>
      </c>
      <c r="AR2206" s="2127">
        <f>U2206-'Blocking-Step2'!U2206</f>
        <v>0</v>
      </c>
      <c r="AT2206" s="2127">
        <f>W2206-'Blocking-Step2'!W2206</f>
        <v>0</v>
      </c>
      <c r="AV2206" s="2128">
        <f>Y2206-'Blocking-Step2'!Y2206</f>
        <v>0</v>
      </c>
    </row>
    <row r="2207" spans="1:48" ht="16.5" hidden="1" thickTop="1">
      <c r="A2207" s="1116" t="s">
        <v>240</v>
      </c>
      <c r="C2207" s="1105">
        <v>497.238</v>
      </c>
      <c r="D2207" s="1105">
        <v>1224</v>
      </c>
      <c r="F2207" s="1142">
        <v>10</v>
      </c>
      <c r="G2207" s="617"/>
      <c r="H2207" s="1146">
        <v>4972</v>
      </c>
      <c r="I2207" s="1146">
        <v>12240</v>
      </c>
      <c r="K2207" s="1142">
        <v>10</v>
      </c>
      <c r="L2207" s="617"/>
      <c r="M2207" s="1142">
        <v>0</v>
      </c>
      <c r="N2207" s="617"/>
      <c r="O2207" s="1142">
        <v>0</v>
      </c>
      <c r="P2207" s="617"/>
      <c r="Q2207" s="1142">
        <v>10</v>
      </c>
      <c r="R2207" s="617"/>
      <c r="S2207" s="1146">
        <v>12240</v>
      </c>
      <c r="T2207" s="1114"/>
      <c r="U2207" s="1146">
        <v>0</v>
      </c>
      <c r="V2207" s="1114"/>
      <c r="W2207" s="1146">
        <v>0</v>
      </c>
      <c r="X2207" s="1114"/>
      <c r="Y2207" s="1146">
        <v>12240</v>
      </c>
      <c r="Z2207" s="2114">
        <f>C2207-'Blocking-Step2'!C2207</f>
        <v>0</v>
      </c>
      <c r="AA2207" s="2114">
        <f>D2207-'Blocking-Step2'!D2207</f>
        <v>0</v>
      </c>
      <c r="AC2207" s="2114">
        <f>F2207-'Blocking-Step2'!F2207</f>
        <v>0</v>
      </c>
      <c r="AE2207" s="2114">
        <f>H2207-'Blocking-Step2'!H2207</f>
        <v>0</v>
      </c>
      <c r="AF2207" s="2114">
        <f>I2207-'Blocking-Step2'!I2207</f>
        <v>0</v>
      </c>
      <c r="AH2207" s="2136">
        <f>K2207-'Blocking-Step2'!K2207</f>
        <v>0</v>
      </c>
      <c r="AJ2207" s="2136">
        <f>M2207-'Blocking-Step2'!M2207</f>
        <v>0</v>
      </c>
      <c r="AL2207" s="2136">
        <f>O2207-'Blocking-Step2'!O2207</f>
        <v>0</v>
      </c>
      <c r="AN2207" s="2137">
        <f>Q2207-'Blocking-Step2'!Q2207</f>
        <v>0</v>
      </c>
      <c r="AP2207" s="2127">
        <f>S2207-'Blocking-Step2'!S2207</f>
        <v>0</v>
      </c>
      <c r="AR2207" s="2127">
        <f>U2207-'Blocking-Step2'!U2207</f>
        <v>0</v>
      </c>
      <c r="AT2207" s="2127">
        <f>W2207-'Blocking-Step2'!W2207</f>
        <v>0</v>
      </c>
      <c r="AV2207" s="2128">
        <f>Y2207-'Blocking-Step2'!Y2207</f>
        <v>0</v>
      </c>
    </row>
    <row r="2208" spans="1:48" ht="16.5" hidden="1" thickTop="1">
      <c r="A2208" s="1116" t="s">
        <v>262</v>
      </c>
      <c r="C2208" s="1105">
        <v>0</v>
      </c>
      <c r="D2208" s="1105">
        <v>0</v>
      </c>
      <c r="F2208" s="1142">
        <v>120</v>
      </c>
      <c r="G2208" s="617"/>
      <c r="H2208" s="1146">
        <v>0</v>
      </c>
      <c r="I2208" s="1146">
        <v>0</v>
      </c>
      <c r="K2208" s="1142">
        <v>117</v>
      </c>
      <c r="L2208" s="617"/>
      <c r="M2208" s="1142">
        <v>0</v>
      </c>
      <c r="N2208" s="617"/>
      <c r="O2208" s="1142">
        <v>0</v>
      </c>
      <c r="P2208" s="617"/>
      <c r="Q2208" s="1142">
        <v>117</v>
      </c>
      <c r="R2208" s="617"/>
      <c r="S2208" s="1146">
        <v>0</v>
      </c>
      <c r="T2208" s="1114"/>
      <c r="U2208" s="1146">
        <v>0</v>
      </c>
      <c r="V2208" s="1114"/>
      <c r="W2208" s="1146">
        <v>0</v>
      </c>
      <c r="X2208" s="1114"/>
      <c r="Y2208" s="1146">
        <v>0</v>
      </c>
      <c r="Z2208" s="2114">
        <f>C2208-'Blocking-Step2'!C2208</f>
        <v>0</v>
      </c>
      <c r="AA2208" s="2114">
        <f>D2208-'Blocking-Step2'!D2208</f>
        <v>0</v>
      </c>
      <c r="AC2208" s="2114">
        <f>F2208-'Blocking-Step2'!F2208</f>
        <v>0</v>
      </c>
      <c r="AE2208" s="2114">
        <f>H2208-'Blocking-Step2'!H2208</f>
        <v>0</v>
      </c>
      <c r="AF2208" s="2114">
        <f>I2208-'Blocking-Step2'!I2208</f>
        <v>0</v>
      </c>
      <c r="AH2208" s="2136">
        <f>K2208-'Blocking-Step2'!K2208</f>
        <v>0</v>
      </c>
      <c r="AJ2208" s="2136">
        <f>M2208-'Blocking-Step2'!M2208</f>
        <v>0</v>
      </c>
      <c r="AL2208" s="2136">
        <f>O2208-'Blocking-Step2'!O2208</f>
        <v>0</v>
      </c>
      <c r="AN2208" s="2137">
        <f>Q2208-'Blocking-Step2'!Q2208</f>
        <v>0</v>
      </c>
      <c r="AP2208" s="2127">
        <f>S2208-'Blocking-Step2'!S2208</f>
        <v>0</v>
      </c>
      <c r="AR2208" s="2127">
        <f>U2208-'Blocking-Step2'!U2208</f>
        <v>0</v>
      </c>
      <c r="AT2208" s="2127">
        <f>W2208-'Blocking-Step2'!W2208</f>
        <v>0</v>
      </c>
      <c r="AV2208" s="2128">
        <f>Y2208-'Blocking-Step2'!Y2208</f>
        <v>0</v>
      </c>
    </row>
    <row r="2209" spans="1:48" ht="16.5" hidden="1" thickTop="1">
      <c r="A2209" s="1116" t="s">
        <v>1236</v>
      </c>
      <c r="C2209" s="1105">
        <v>105</v>
      </c>
      <c r="D2209" s="1105">
        <v>258</v>
      </c>
      <c r="F2209" s="1142">
        <v>2</v>
      </c>
      <c r="G2209" s="617"/>
      <c r="H2209" s="1146">
        <v>210</v>
      </c>
      <c r="I2209" s="1146">
        <v>516</v>
      </c>
      <c r="K2209" s="1142">
        <v>2</v>
      </c>
      <c r="L2209" s="617"/>
      <c r="M2209" s="1142">
        <v>0</v>
      </c>
      <c r="N2209" s="617"/>
      <c r="O2209" s="1142">
        <v>0</v>
      </c>
      <c r="P2209" s="617"/>
      <c r="Q2209" s="1142">
        <v>2</v>
      </c>
      <c r="R2209" s="617"/>
      <c r="S2209" s="1146">
        <v>516</v>
      </c>
      <c r="T2209" s="1114"/>
      <c r="U2209" s="1146">
        <v>0</v>
      </c>
      <c r="V2209" s="1114"/>
      <c r="W2209" s="1146">
        <v>0</v>
      </c>
      <c r="X2209" s="1114"/>
      <c r="Y2209" s="1146">
        <v>516</v>
      </c>
      <c r="Z2209" s="2114">
        <f>C2209-'Blocking-Step2'!C2209</f>
        <v>0</v>
      </c>
      <c r="AA2209" s="2114">
        <f>D2209-'Blocking-Step2'!D2209</f>
        <v>0</v>
      </c>
      <c r="AC2209" s="2114">
        <f>F2209-'Blocking-Step2'!F2209</f>
        <v>0</v>
      </c>
      <c r="AE2209" s="2114">
        <f>H2209-'Blocking-Step2'!H2209</f>
        <v>0</v>
      </c>
      <c r="AF2209" s="2114">
        <f>I2209-'Blocking-Step2'!I2209</f>
        <v>0</v>
      </c>
      <c r="AH2209" s="2136">
        <f>K2209-'Blocking-Step2'!K2209</f>
        <v>0</v>
      </c>
      <c r="AJ2209" s="2136">
        <f>M2209-'Blocking-Step2'!M2209</f>
        <v>0</v>
      </c>
      <c r="AL2209" s="2136">
        <f>O2209-'Blocking-Step2'!O2209</f>
        <v>0</v>
      </c>
      <c r="AN2209" s="2137">
        <f>Q2209-'Blocking-Step2'!Q2209</f>
        <v>0</v>
      </c>
      <c r="AP2209" s="2127">
        <f>S2209-'Blocking-Step2'!S2209</f>
        <v>0</v>
      </c>
      <c r="AR2209" s="2127">
        <f>U2209-'Blocking-Step2'!U2209</f>
        <v>0</v>
      </c>
      <c r="AT2209" s="2127">
        <f>W2209-'Blocking-Step2'!W2209</f>
        <v>0</v>
      </c>
      <c r="AV2209" s="2128">
        <f>Y2209-'Blocking-Step2'!Y2209</f>
        <v>0</v>
      </c>
    </row>
    <row r="2210" spans="1:48" ht="16.5" hidden="1" thickTop="1">
      <c r="A2210" s="1116" t="s">
        <v>1298</v>
      </c>
      <c r="C2210" s="1105">
        <v>0</v>
      </c>
      <c r="D2210" s="1105">
        <v>0</v>
      </c>
      <c r="F2210" s="1142">
        <v>10</v>
      </c>
      <c r="G2210" s="617"/>
      <c r="H2210" s="1146">
        <v>0</v>
      </c>
      <c r="I2210" s="1146">
        <v>0</v>
      </c>
      <c r="K2210" s="1142">
        <v>10</v>
      </c>
      <c r="L2210" s="617"/>
      <c r="M2210" s="1142">
        <v>0</v>
      </c>
      <c r="N2210" s="617"/>
      <c r="O2210" s="1142">
        <v>0</v>
      </c>
      <c r="P2210" s="617"/>
      <c r="Q2210" s="1142">
        <v>10</v>
      </c>
      <c r="R2210" s="617"/>
      <c r="S2210" s="1146">
        <v>0</v>
      </c>
      <c r="T2210" s="1114"/>
      <c r="U2210" s="1146">
        <v>0</v>
      </c>
      <c r="V2210" s="1114"/>
      <c r="W2210" s="1146">
        <v>0</v>
      </c>
      <c r="X2210" s="1114"/>
      <c r="Y2210" s="1146">
        <v>0</v>
      </c>
      <c r="Z2210" s="2114">
        <f>C2210-'Blocking-Step2'!C2210</f>
        <v>0</v>
      </c>
      <c r="AA2210" s="2114">
        <f>D2210-'Blocking-Step2'!D2210</f>
        <v>0</v>
      </c>
      <c r="AC2210" s="2114">
        <f>F2210-'Blocking-Step2'!F2210</f>
        <v>0</v>
      </c>
      <c r="AE2210" s="2114">
        <f>H2210-'Blocking-Step2'!H2210</f>
        <v>0</v>
      </c>
      <c r="AF2210" s="2114">
        <f>I2210-'Blocking-Step2'!I2210</f>
        <v>0</v>
      </c>
      <c r="AH2210" s="2136">
        <f>K2210-'Blocking-Step2'!K2210</f>
        <v>0</v>
      </c>
      <c r="AJ2210" s="2136">
        <f>M2210-'Blocking-Step2'!M2210</f>
        <v>0</v>
      </c>
      <c r="AL2210" s="2136">
        <f>O2210-'Blocking-Step2'!O2210</f>
        <v>0</v>
      </c>
      <c r="AN2210" s="2137">
        <f>Q2210-'Blocking-Step2'!Q2210</f>
        <v>0</v>
      </c>
      <c r="AP2210" s="2127">
        <f>S2210-'Blocking-Step2'!S2210</f>
        <v>0</v>
      </c>
      <c r="AR2210" s="2127">
        <f>U2210-'Blocking-Step2'!U2210</f>
        <v>0</v>
      </c>
      <c r="AT2210" s="2127">
        <f>W2210-'Blocking-Step2'!W2210</f>
        <v>0</v>
      </c>
      <c r="AV2210" s="2128">
        <f>Y2210-'Blocking-Step2'!Y2210</f>
        <v>0</v>
      </c>
    </row>
    <row r="2211" spans="1:48" ht="16.5" hidden="1" thickTop="1">
      <c r="A2211" s="1116" t="s">
        <v>1654</v>
      </c>
      <c r="C2211" s="1105">
        <v>469.28811594685055</v>
      </c>
      <c r="D2211" s="1105">
        <v>498</v>
      </c>
      <c r="F2211" s="1142"/>
      <c r="G2211" s="617"/>
      <c r="H2211" s="1146"/>
      <c r="I2211" s="1146"/>
      <c r="K2211" s="1142">
        <v>8.89</v>
      </c>
      <c r="L2211" s="617"/>
      <c r="M2211" s="1142">
        <v>0</v>
      </c>
      <c r="N2211" s="617"/>
      <c r="O2211" s="1142">
        <v>0</v>
      </c>
      <c r="P2211" s="617"/>
      <c r="Q2211" s="1142">
        <v>8.89</v>
      </c>
      <c r="R2211" s="617"/>
      <c r="S2211" s="1146">
        <v>4427</v>
      </c>
      <c r="T2211" s="1114"/>
      <c r="U2211" s="1146">
        <v>0</v>
      </c>
      <c r="V2211" s="1114"/>
      <c r="W2211" s="1146">
        <v>0</v>
      </c>
      <c r="X2211" s="1114"/>
      <c r="Y2211" s="1146">
        <v>4427</v>
      </c>
      <c r="Z2211" s="2114">
        <f>C2211-'Blocking-Step2'!C2211</f>
        <v>0</v>
      </c>
      <c r="AA2211" s="2114">
        <f>D2211-'Blocking-Step2'!D2211</f>
        <v>0</v>
      </c>
      <c r="AC2211" s="2114">
        <f>F2211-'Blocking-Step2'!F2211</f>
        <v>0</v>
      </c>
      <c r="AE2211" s="2114">
        <f>H2211-'Blocking-Step2'!H2211</f>
        <v>0</v>
      </c>
      <c r="AF2211" s="2114">
        <f>I2211-'Blocking-Step2'!I2211</f>
        <v>0</v>
      </c>
      <c r="AH2211" s="2136">
        <f>K2211-'Blocking-Step2'!K2211</f>
        <v>0</v>
      </c>
      <c r="AJ2211" s="2136">
        <f>M2211-'Blocking-Step2'!M2211</f>
        <v>0</v>
      </c>
      <c r="AL2211" s="2136">
        <f>O2211-'Blocking-Step2'!O2211</f>
        <v>0</v>
      </c>
      <c r="AN2211" s="2137">
        <f>Q2211-'Blocking-Step2'!Q2211</f>
        <v>0</v>
      </c>
      <c r="AP2211" s="2127">
        <f>S2211-'Blocking-Step2'!S2211</f>
        <v>0</v>
      </c>
      <c r="AR2211" s="2127">
        <f>U2211-'Blocking-Step2'!U2211</f>
        <v>0</v>
      </c>
      <c r="AT2211" s="2127">
        <f>W2211-'Blocking-Step2'!W2211</f>
        <v>0</v>
      </c>
      <c r="AV2211" s="2128">
        <f>Y2211-'Blocking-Step2'!Y2211</f>
        <v>0</v>
      </c>
    </row>
    <row r="2212" spans="1:48" ht="16.5" hidden="1" thickTop="1">
      <c r="A2212" s="1116" t="s">
        <v>1655</v>
      </c>
      <c r="C2212" s="1105">
        <v>836.54837332296552</v>
      </c>
      <c r="D2212" s="1105">
        <v>888</v>
      </c>
      <c r="F2212" s="1142"/>
      <c r="G2212" s="617"/>
      <c r="H2212" s="1146"/>
      <c r="I2212" s="1146"/>
      <c r="K2212" s="1142">
        <v>7.87</v>
      </c>
      <c r="L2212" s="617"/>
      <c r="M2212" s="1142">
        <v>0</v>
      </c>
      <c r="N2212" s="617"/>
      <c r="O2212" s="1142">
        <v>0</v>
      </c>
      <c r="P2212" s="617"/>
      <c r="Q2212" s="1142">
        <v>7.87</v>
      </c>
      <c r="R2212" s="617"/>
      <c r="S2212" s="1146">
        <v>6989</v>
      </c>
      <c r="T2212" s="1114"/>
      <c r="U2212" s="1146">
        <v>0</v>
      </c>
      <c r="V2212" s="1114"/>
      <c r="W2212" s="1146">
        <v>0</v>
      </c>
      <c r="X2212" s="1114"/>
      <c r="Y2212" s="1146">
        <v>6989</v>
      </c>
      <c r="Z2212" s="2114">
        <f>C2212-'Blocking-Step2'!C2212</f>
        <v>0</v>
      </c>
      <c r="AA2212" s="2114">
        <f>D2212-'Blocking-Step2'!D2212</f>
        <v>0</v>
      </c>
      <c r="AC2212" s="2114">
        <f>F2212-'Blocking-Step2'!F2212</f>
        <v>0</v>
      </c>
      <c r="AE2212" s="2114">
        <f>H2212-'Blocking-Step2'!H2212</f>
        <v>0</v>
      </c>
      <c r="AF2212" s="2114">
        <f>I2212-'Blocking-Step2'!I2212</f>
        <v>0</v>
      </c>
      <c r="AH2212" s="2136">
        <f>K2212-'Blocking-Step2'!K2212</f>
        <v>0</v>
      </c>
      <c r="AJ2212" s="2136">
        <f>M2212-'Blocking-Step2'!M2212</f>
        <v>0</v>
      </c>
      <c r="AL2212" s="2136">
        <f>O2212-'Blocking-Step2'!O2212</f>
        <v>0</v>
      </c>
      <c r="AN2212" s="2137">
        <f>Q2212-'Blocking-Step2'!Q2212</f>
        <v>0</v>
      </c>
      <c r="AP2212" s="2127">
        <f>S2212-'Blocking-Step2'!S2212</f>
        <v>0</v>
      </c>
      <c r="AR2212" s="2127">
        <f>U2212-'Blocking-Step2'!U2212</f>
        <v>0</v>
      </c>
      <c r="AT2212" s="2127">
        <f>W2212-'Blocking-Step2'!W2212</f>
        <v>0</v>
      </c>
      <c r="AV2212" s="2128">
        <f>Y2212-'Blocking-Step2'!Y2212</f>
        <v>0</v>
      </c>
    </row>
    <row r="2213" spans="1:48" ht="16.5" hidden="1" thickTop="1">
      <c r="A2213" s="1116" t="s">
        <v>1656</v>
      </c>
      <c r="C2213" s="1105">
        <v>201135.81034996227</v>
      </c>
      <c r="D2213" s="1105">
        <v>190825.78092448856</v>
      </c>
      <c r="F2213" s="1106"/>
      <c r="G2213" s="1921"/>
      <c r="H2213" s="1146"/>
      <c r="I2213" s="1146"/>
      <c r="K2213" s="1106">
        <v>1.4671000000000001</v>
      </c>
      <c r="L2213" s="1921" t="s">
        <v>495</v>
      </c>
      <c r="M2213" s="1106">
        <v>7.9411934380819993</v>
      </c>
      <c r="N2213" s="1921" t="s">
        <v>495</v>
      </c>
      <c r="O2213" s="1106">
        <v>2.3066</v>
      </c>
      <c r="P2213" s="1921" t="s">
        <v>495</v>
      </c>
      <c r="Q2213" s="1106">
        <v>11.714893438081999</v>
      </c>
      <c r="R2213" s="1921" t="s">
        <v>495</v>
      </c>
      <c r="S2213" s="1146">
        <v>2800</v>
      </c>
      <c r="T2213" s="1648"/>
      <c r="U2213" s="1146">
        <v>15154</v>
      </c>
      <c r="V2213" s="1648"/>
      <c r="W2213" s="1146">
        <v>4402</v>
      </c>
      <c r="X2213" s="1648"/>
      <c r="Y2213" s="1146">
        <v>22355</v>
      </c>
      <c r="Z2213" s="2114">
        <f>C2213-'Blocking-Step2'!C2213</f>
        <v>0</v>
      </c>
      <c r="AA2213" s="2114">
        <f>D2213-'Blocking-Step2'!D2213</f>
        <v>0</v>
      </c>
      <c r="AC2213" s="2114">
        <f>F2213-'Blocking-Step2'!F2213</f>
        <v>0</v>
      </c>
      <c r="AE2213" s="2114">
        <f>H2213-'Blocking-Step2'!H2213</f>
        <v>0</v>
      </c>
      <c r="AF2213" s="2114">
        <f>I2213-'Blocking-Step2'!I2213</f>
        <v>0</v>
      </c>
      <c r="AH2213" s="2136">
        <f>K2213-'Blocking-Step2'!K2213</f>
        <v>-1.4732000000000001</v>
      </c>
      <c r="AJ2213" s="2136">
        <f>M2213-'Blocking-Step2'!M2213</f>
        <v>1.4755465414459987</v>
      </c>
      <c r="AL2213" s="2136">
        <f>O2213-'Blocking-Step2'!O2213</f>
        <v>0</v>
      </c>
      <c r="AN2213" s="2137">
        <f>Q2213-'Blocking-Step2'!Q2213</f>
        <v>2.3465414459984402E-3</v>
      </c>
      <c r="AP2213" s="2127">
        <f>S2213-'Blocking-Step2'!S2213</f>
        <v>-2811</v>
      </c>
      <c r="AR2213" s="2127">
        <f>U2213-'Blocking-Step2'!U2213</f>
        <v>2816</v>
      </c>
      <c r="AT2213" s="2127">
        <f>W2213-'Blocking-Step2'!W2213</f>
        <v>0</v>
      </c>
      <c r="AV2213" s="2128">
        <f>Y2213-'Blocking-Step2'!Y2213</f>
        <v>4</v>
      </c>
    </row>
    <row r="2214" spans="1:48" ht="16.5" hidden="1" thickTop="1">
      <c r="A2214" s="1116" t="s">
        <v>1657</v>
      </c>
      <c r="C2214" s="1105">
        <v>179959.67475913611</v>
      </c>
      <c r="D2214" s="1105">
        <v>170734</v>
      </c>
      <c r="F2214" s="1106"/>
      <c r="G2214" s="1921"/>
      <c r="H2214" s="1146"/>
      <c r="I2214" s="1146"/>
      <c r="K2214" s="1106">
        <v>1.4671000000000001</v>
      </c>
      <c r="L2214" s="1921" t="s">
        <v>495</v>
      </c>
      <c r="M2214" s="1106">
        <v>2.7858934380819993</v>
      </c>
      <c r="N2214" s="1921" t="s">
        <v>495</v>
      </c>
      <c r="O2214" s="1106">
        <v>2.3066</v>
      </c>
      <c r="P2214" s="1921" t="s">
        <v>495</v>
      </c>
      <c r="Q2214" s="1106">
        <v>6.5595934380819996</v>
      </c>
      <c r="R2214" s="1921" t="s">
        <v>495</v>
      </c>
      <c r="S2214" s="1146">
        <v>2505</v>
      </c>
      <c r="T2214" s="1648"/>
      <c r="U2214" s="1146">
        <v>4756</v>
      </c>
      <c r="V2214" s="1648"/>
      <c r="W2214" s="1146">
        <v>3938</v>
      </c>
      <c r="X2214" s="1648"/>
      <c r="Y2214" s="1146">
        <v>11199</v>
      </c>
      <c r="Z2214" s="2114">
        <f>C2214-'Blocking-Step2'!C2214</f>
        <v>0</v>
      </c>
      <c r="AA2214" s="2114">
        <f>D2214-'Blocking-Step2'!D2214</f>
        <v>0</v>
      </c>
      <c r="AC2214" s="2114">
        <f>F2214-'Blocking-Step2'!F2214</f>
        <v>0</v>
      </c>
      <c r="AE2214" s="2114">
        <f>H2214-'Blocking-Step2'!H2214</f>
        <v>0</v>
      </c>
      <c r="AF2214" s="2114">
        <f>I2214-'Blocking-Step2'!I2214</f>
        <v>0</v>
      </c>
      <c r="AH2214" s="2136">
        <f>K2214-'Blocking-Step2'!K2214</f>
        <v>-1.4732000000000001</v>
      </c>
      <c r="AJ2214" s="2136">
        <f>M2214-'Blocking-Step2'!M2214</f>
        <v>1.4755465414459983</v>
      </c>
      <c r="AL2214" s="2136">
        <f>O2214-'Blocking-Step2'!O2214</f>
        <v>0</v>
      </c>
      <c r="AN2214" s="2137">
        <f>Q2214-'Blocking-Step2'!Q2214</f>
        <v>2.3465414459984402E-3</v>
      </c>
      <c r="AP2214" s="2127">
        <f>S2214-'Blocking-Step2'!S2214</f>
        <v>-2515</v>
      </c>
      <c r="AR2214" s="2127">
        <f>U2214-'Blocking-Step2'!U2214</f>
        <v>2519</v>
      </c>
      <c r="AT2214" s="2127">
        <f>W2214-'Blocking-Step2'!W2214</f>
        <v>0</v>
      </c>
      <c r="AV2214" s="2128">
        <f>Y2214-'Blocking-Step2'!Y2214</f>
        <v>4</v>
      </c>
    </row>
    <row r="2215" spans="1:48" ht="16.5" hidden="1" thickTop="1">
      <c r="A2215" s="1116" t="s">
        <v>1658</v>
      </c>
      <c r="C2215" s="1105">
        <v>291028.98356874462</v>
      </c>
      <c r="D2215" s="1105">
        <v>327487</v>
      </c>
      <c r="F2215" s="1106"/>
      <c r="G2215" s="1921"/>
      <c r="H2215" s="1146"/>
      <c r="I2215" s="1146"/>
      <c r="K2215" s="1106">
        <v>1.4671000000000001</v>
      </c>
      <c r="L2215" s="1921" t="s">
        <v>495</v>
      </c>
      <c r="M2215" s="1106">
        <v>6.7850000000000001</v>
      </c>
      <c r="N2215" s="1921" t="s">
        <v>495</v>
      </c>
      <c r="O2215" s="1106">
        <v>2.1151</v>
      </c>
      <c r="P2215" s="1921" t="s">
        <v>495</v>
      </c>
      <c r="Q2215" s="1106">
        <v>10.3672</v>
      </c>
      <c r="R2215" s="1921" t="s">
        <v>495</v>
      </c>
      <c r="S2215" s="1146">
        <v>4805</v>
      </c>
      <c r="T2215" s="1648"/>
      <c r="U2215" s="1146">
        <v>22220</v>
      </c>
      <c r="V2215" s="1648"/>
      <c r="W2215" s="1146">
        <v>6927</v>
      </c>
      <c r="X2215" s="1648"/>
      <c r="Y2215" s="1146">
        <v>33951</v>
      </c>
      <c r="Z2215" s="2114">
        <f>C2215-'Blocking-Step2'!C2215</f>
        <v>0</v>
      </c>
      <c r="AA2215" s="2114">
        <f>D2215-'Blocking-Step2'!D2215</f>
        <v>0</v>
      </c>
      <c r="AC2215" s="2114">
        <f>F2215-'Blocking-Step2'!F2215</f>
        <v>0</v>
      </c>
      <c r="AE2215" s="2114">
        <f>H2215-'Blocking-Step2'!H2215</f>
        <v>0</v>
      </c>
      <c r="AF2215" s="2114">
        <f>I2215-'Blocking-Step2'!I2215</f>
        <v>0</v>
      </c>
      <c r="AH2215" s="2136">
        <f>K2215-'Blocking-Step2'!K2215</f>
        <v>-1.4732000000000001</v>
      </c>
      <c r="AJ2215" s="2136">
        <f>M2215-'Blocking-Step2'!M2215</f>
        <v>1.4753000000000007</v>
      </c>
      <c r="AL2215" s="2136">
        <f>O2215-'Blocking-Step2'!O2215</f>
        <v>0</v>
      </c>
      <c r="AN2215" s="2137">
        <f>Q2215-'Blocking-Step2'!Q2215</f>
        <v>2.1000000000004349E-3</v>
      </c>
      <c r="AP2215" s="2127">
        <f>S2215-'Blocking-Step2'!S2215</f>
        <v>-4824</v>
      </c>
      <c r="AR2215" s="2127">
        <f>U2215-'Blocking-Step2'!U2215</f>
        <v>4831</v>
      </c>
      <c r="AT2215" s="2127">
        <f>W2215-'Blocking-Step2'!W2215</f>
        <v>0</v>
      </c>
      <c r="AV2215" s="2128">
        <f>Y2215-'Blocking-Step2'!Y2215</f>
        <v>7</v>
      </c>
    </row>
    <row r="2216" spans="1:48" ht="16.5" hidden="1" thickTop="1">
      <c r="A2216" s="1116" t="s">
        <v>1659</v>
      </c>
      <c r="C2216" s="1105">
        <v>477711.43388173886</v>
      </c>
      <c r="D2216" s="1105">
        <v>537555</v>
      </c>
      <c r="F2216" s="1106"/>
      <c r="G2216" s="1921"/>
      <c r="H2216" s="1146"/>
      <c r="I2216" s="1146"/>
      <c r="K2216" s="1106">
        <v>1.4671000000000001</v>
      </c>
      <c r="L2216" s="1921" t="s">
        <v>495</v>
      </c>
      <c r="M2216" s="1106">
        <v>2.2226999999999997</v>
      </c>
      <c r="N2216" s="1921" t="s">
        <v>495</v>
      </c>
      <c r="O2216" s="1106">
        <v>2.1151</v>
      </c>
      <c r="P2216" s="1921" t="s">
        <v>495</v>
      </c>
      <c r="Q2216" s="1106">
        <v>5.8048999999999999</v>
      </c>
      <c r="R2216" s="1921" t="s">
        <v>495</v>
      </c>
      <c r="S2216" s="1146">
        <v>7886</v>
      </c>
      <c r="T2216" s="1648"/>
      <c r="U2216" s="1146">
        <v>11948</v>
      </c>
      <c r="V2216" s="1648"/>
      <c r="W2216" s="1146">
        <v>11370</v>
      </c>
      <c r="X2216" s="1648"/>
      <c r="Y2216" s="1146">
        <v>31205</v>
      </c>
      <c r="Z2216" s="2114">
        <f>C2216-'Blocking-Step2'!C2216</f>
        <v>0</v>
      </c>
      <c r="AA2216" s="2114">
        <f>D2216-'Blocking-Step2'!D2216</f>
        <v>0</v>
      </c>
      <c r="AC2216" s="2114">
        <f>F2216-'Blocking-Step2'!F2216</f>
        <v>0</v>
      </c>
      <c r="AE2216" s="2114">
        <f>H2216-'Blocking-Step2'!H2216</f>
        <v>0</v>
      </c>
      <c r="AF2216" s="2114">
        <f>I2216-'Blocking-Step2'!I2216</f>
        <v>0</v>
      </c>
      <c r="AH2216" s="2136">
        <f>K2216-'Blocking-Step2'!K2216</f>
        <v>-1.4732000000000001</v>
      </c>
      <c r="AJ2216" s="2136">
        <f>M2216-'Blocking-Step2'!M2216</f>
        <v>1.4751999999999996</v>
      </c>
      <c r="AL2216" s="2136">
        <f>O2216-'Blocking-Step2'!O2216</f>
        <v>0</v>
      </c>
      <c r="AN2216" s="2137">
        <f>Q2216-'Blocking-Step2'!Q2216</f>
        <v>1.9999999999997797E-3</v>
      </c>
      <c r="AP2216" s="2127">
        <f>S2216-'Blocking-Step2'!S2216</f>
        <v>-7920</v>
      </c>
      <c r="AR2216" s="2127">
        <f>U2216-'Blocking-Step2'!U2216</f>
        <v>7930</v>
      </c>
      <c r="AT2216" s="2127">
        <f>W2216-'Blocking-Step2'!W2216</f>
        <v>0</v>
      </c>
      <c r="AV2216" s="2128">
        <f>Y2216-'Blocking-Step2'!Y2216</f>
        <v>11</v>
      </c>
    </row>
    <row r="2217" spans="1:48" ht="16.5" hidden="1" thickTop="1">
      <c r="A2217" s="1116" t="s">
        <v>282</v>
      </c>
      <c r="C2217" s="1105">
        <v>652.14913294797702</v>
      </c>
      <c r="D2217" s="1105">
        <v>692</v>
      </c>
      <c r="F2217" s="1142">
        <v>8.65</v>
      </c>
      <c r="G2217" s="617"/>
      <c r="H2217" s="1146">
        <v>5641</v>
      </c>
      <c r="I2217" s="1146">
        <v>5986</v>
      </c>
      <c r="K2217" s="1142"/>
      <c r="L2217" s="617"/>
      <c r="M2217" s="1142"/>
      <c r="N2217" s="617"/>
      <c r="O2217" s="1142"/>
      <c r="P2217" s="617"/>
      <c r="Q2217" s="1142"/>
      <c r="R2217" s="617"/>
      <c r="S2217" s="1114"/>
      <c r="T2217" s="1114"/>
      <c r="U2217" s="1114"/>
      <c r="V2217" s="1114"/>
      <c r="W2217" s="1114"/>
      <c r="X2217" s="1114"/>
      <c r="Y2217" s="1146"/>
      <c r="Z2217" s="2114">
        <f>C2217-'Blocking-Step2'!C2217</f>
        <v>0</v>
      </c>
      <c r="AA2217" s="2114">
        <f>D2217-'Blocking-Step2'!D2217</f>
        <v>0</v>
      </c>
      <c r="AC2217" s="2114">
        <f>F2217-'Blocking-Step2'!F2217</f>
        <v>0</v>
      </c>
      <c r="AE2217" s="2114">
        <f>H2217-'Blocking-Step2'!H2217</f>
        <v>0</v>
      </c>
      <c r="AF2217" s="2114">
        <f>I2217-'Blocking-Step2'!I2217</f>
        <v>0</v>
      </c>
      <c r="AH2217" s="2136">
        <f>K2217-'Blocking-Step2'!K2217</f>
        <v>0</v>
      </c>
      <c r="AJ2217" s="2136">
        <f>M2217-'Blocking-Step2'!M2217</f>
        <v>0</v>
      </c>
      <c r="AL2217" s="2136">
        <f>O2217-'Blocking-Step2'!O2217</f>
        <v>0</v>
      </c>
      <c r="AN2217" s="2137">
        <f>Q2217-'Blocking-Step2'!Q2217</f>
        <v>0</v>
      </c>
      <c r="AP2217" s="2127">
        <f>S2217-'Blocking-Step2'!S2217</f>
        <v>0</v>
      </c>
      <c r="AR2217" s="2127">
        <f>U2217-'Blocking-Step2'!U2217</f>
        <v>0</v>
      </c>
      <c r="AT2217" s="2127">
        <f>W2217-'Blocking-Step2'!W2217</f>
        <v>0</v>
      </c>
      <c r="AV2217" s="2128">
        <f>Y2217-'Blocking-Step2'!Y2217</f>
        <v>0</v>
      </c>
    </row>
    <row r="2218" spans="1:48" ht="16.5" hidden="1" thickTop="1">
      <c r="A2218" s="1116" t="s">
        <v>283</v>
      </c>
      <c r="C2218" s="1105">
        <v>653.68735632183905</v>
      </c>
      <c r="D2218" s="1105">
        <v>694</v>
      </c>
      <c r="F2218" s="1142">
        <v>8.7000000000000011</v>
      </c>
      <c r="G2218" s="617"/>
      <c r="H2218" s="1146">
        <v>5687</v>
      </c>
      <c r="I2218" s="1146">
        <v>6038</v>
      </c>
      <c r="K2218" s="1142"/>
      <c r="L2218" s="617"/>
      <c r="M2218" s="1142"/>
      <c r="N2218" s="617"/>
      <c r="O2218" s="1142"/>
      <c r="P2218" s="617"/>
      <c r="Q2218" s="1142"/>
      <c r="R2218" s="617"/>
      <c r="S2218" s="1114"/>
      <c r="T2218" s="1114"/>
      <c r="U2218" s="1114"/>
      <c r="V2218" s="1114"/>
      <c r="W2218" s="1114"/>
      <c r="X2218" s="1114"/>
      <c r="Y2218" s="1146"/>
      <c r="Z2218" s="2114">
        <f>C2218-'Blocking-Step2'!C2218</f>
        <v>0</v>
      </c>
      <c r="AA2218" s="2114">
        <f>D2218-'Blocking-Step2'!D2218</f>
        <v>0</v>
      </c>
      <c r="AC2218" s="2114">
        <f>F2218-'Blocking-Step2'!F2218</f>
        <v>0</v>
      </c>
      <c r="AE2218" s="2114">
        <f>H2218-'Blocking-Step2'!H2218</f>
        <v>0</v>
      </c>
      <c r="AF2218" s="2114">
        <f>I2218-'Blocking-Step2'!I2218</f>
        <v>0</v>
      </c>
      <c r="AH2218" s="2136">
        <f>K2218-'Blocking-Step2'!K2218</f>
        <v>0</v>
      </c>
      <c r="AJ2218" s="2136">
        <f>M2218-'Blocking-Step2'!M2218</f>
        <v>0</v>
      </c>
      <c r="AL2218" s="2136">
        <f>O2218-'Blocking-Step2'!O2218</f>
        <v>0</v>
      </c>
      <c r="AN2218" s="2137">
        <f>Q2218-'Blocking-Step2'!Q2218</f>
        <v>0</v>
      </c>
      <c r="AP2218" s="2127">
        <f>S2218-'Blocking-Step2'!S2218</f>
        <v>0</v>
      </c>
      <c r="AR2218" s="2127">
        <f>U2218-'Blocking-Step2'!U2218</f>
        <v>0</v>
      </c>
      <c r="AT2218" s="2127">
        <f>W2218-'Blocking-Step2'!W2218</f>
        <v>0</v>
      </c>
      <c r="AV2218" s="2128">
        <f>Y2218-'Blocking-Step2'!Y2218</f>
        <v>0</v>
      </c>
    </row>
    <row r="2219" spans="1:48" ht="16.5" hidden="1" thickTop="1">
      <c r="A2219" s="1116" t="s">
        <v>261</v>
      </c>
      <c r="C2219" s="1105">
        <v>0</v>
      </c>
      <c r="D2219" s="1105">
        <v>0</v>
      </c>
      <c r="F2219" s="1142">
        <v>-0.48</v>
      </c>
      <c r="G2219" s="617"/>
      <c r="H2219" s="1146">
        <v>0</v>
      </c>
      <c r="I2219" s="1146">
        <v>0</v>
      </c>
      <c r="K2219" s="1142">
        <v>-0.48</v>
      </c>
      <c r="L2219" s="617"/>
      <c r="M2219" s="1142">
        <v>0</v>
      </c>
      <c r="N2219" s="617"/>
      <c r="O2219" s="1142">
        <v>0</v>
      </c>
      <c r="P2219" s="617"/>
      <c r="Q2219" s="1142">
        <v>-0.48</v>
      </c>
      <c r="R2219" s="617"/>
      <c r="S2219" s="1146">
        <v>0</v>
      </c>
      <c r="T2219" s="1114"/>
      <c r="U2219" s="1146">
        <v>0</v>
      </c>
      <c r="V2219" s="1114"/>
      <c r="W2219" s="1146">
        <v>0</v>
      </c>
      <c r="X2219" s="1114"/>
      <c r="Y2219" s="1146">
        <v>0</v>
      </c>
      <c r="Z2219" s="2114">
        <f>C2219-'Blocking-Step2'!C2219</f>
        <v>0</v>
      </c>
      <c r="AA2219" s="2114">
        <f>D2219-'Blocking-Step2'!D2219</f>
        <v>0</v>
      </c>
      <c r="AC2219" s="2114">
        <f>F2219-'Blocking-Step2'!F2219</f>
        <v>0</v>
      </c>
      <c r="AE2219" s="2114">
        <f>H2219-'Blocking-Step2'!H2219</f>
        <v>0</v>
      </c>
      <c r="AF2219" s="2114">
        <f>I2219-'Blocking-Step2'!I2219</f>
        <v>0</v>
      </c>
      <c r="AH2219" s="2136">
        <f>K2219-'Blocking-Step2'!K2219</f>
        <v>0</v>
      </c>
      <c r="AJ2219" s="2136">
        <f>M2219-'Blocking-Step2'!M2219</f>
        <v>0</v>
      </c>
      <c r="AL2219" s="2136">
        <f>O2219-'Blocking-Step2'!O2219</f>
        <v>0</v>
      </c>
      <c r="AN2219" s="2137">
        <f>Q2219-'Blocking-Step2'!Q2219</f>
        <v>0</v>
      </c>
      <c r="AP2219" s="2127">
        <f>S2219-'Blocking-Step2'!S2219</f>
        <v>0</v>
      </c>
      <c r="AR2219" s="2127">
        <f>U2219-'Blocking-Step2'!U2219</f>
        <v>0</v>
      </c>
      <c r="AT2219" s="2127">
        <f>W2219-'Blocking-Step2'!W2219</f>
        <v>0</v>
      </c>
      <c r="AV2219" s="2128">
        <f>Y2219-'Blocking-Step2'!Y2219</f>
        <v>0</v>
      </c>
    </row>
    <row r="2220" spans="1:48" ht="16.5" hidden="1" thickTop="1">
      <c r="A2220" s="1116" t="s">
        <v>194</v>
      </c>
      <c r="C2220" s="1105">
        <v>224227.4938147334</v>
      </c>
      <c r="D2220" s="1105">
        <v>191568.78092448856</v>
      </c>
      <c r="F2220" s="1106">
        <v>11.733599999999999</v>
      </c>
      <c r="G2220" s="1921" t="s">
        <v>495</v>
      </c>
      <c r="H2220" s="1146">
        <v>26310</v>
      </c>
      <c r="I2220" s="1146">
        <v>22478</v>
      </c>
      <c r="K2220" s="1106"/>
      <c r="L2220" s="1921"/>
      <c r="M2220" s="1106"/>
      <c r="N2220" s="1921"/>
      <c r="O2220" s="1106"/>
      <c r="P2220" s="1921"/>
      <c r="Q2220" s="1106"/>
      <c r="R2220" s="1921"/>
      <c r="S2220" s="1648"/>
      <c r="T2220" s="1648"/>
      <c r="U2220" s="1648"/>
      <c r="V2220" s="1648"/>
      <c r="W2220" s="1648"/>
      <c r="X2220" s="1648"/>
      <c r="Y2220" s="1146"/>
      <c r="Z2220" s="2114">
        <f>C2220-'Blocking-Step2'!C2220</f>
        <v>0</v>
      </c>
      <c r="AA2220" s="2114">
        <f>D2220-'Blocking-Step2'!D2220</f>
        <v>0</v>
      </c>
      <c r="AC2220" s="2114">
        <f>F2220-'Blocking-Step2'!F2220</f>
        <v>0</v>
      </c>
      <c r="AE2220" s="2114">
        <f>H2220-'Blocking-Step2'!H2220</f>
        <v>0</v>
      </c>
      <c r="AF2220" s="2114">
        <f>I2220-'Blocking-Step2'!I2220</f>
        <v>0</v>
      </c>
      <c r="AH2220" s="2136">
        <f>K2220-'Blocking-Step2'!K2220</f>
        <v>0</v>
      </c>
      <c r="AJ2220" s="2136">
        <f>M2220-'Blocking-Step2'!M2220</f>
        <v>0</v>
      </c>
      <c r="AL2220" s="2136">
        <f>O2220-'Blocking-Step2'!O2220</f>
        <v>0</v>
      </c>
      <c r="AN2220" s="2137">
        <f>Q2220-'Blocking-Step2'!Q2220</f>
        <v>0</v>
      </c>
      <c r="AP2220" s="2127">
        <f>S2220-'Blocking-Step2'!S2220</f>
        <v>0</v>
      </c>
      <c r="AR2220" s="2127">
        <f>U2220-'Blocking-Step2'!U2220</f>
        <v>0</v>
      </c>
      <c r="AT2220" s="2127">
        <f>W2220-'Blocking-Step2'!W2220</f>
        <v>0</v>
      </c>
      <c r="AV2220" s="2128">
        <f>Y2220-'Blocking-Step2'!Y2220</f>
        <v>0</v>
      </c>
    </row>
    <row r="2221" spans="1:48" ht="16.5" hidden="1" thickTop="1">
      <c r="A2221" s="1116" t="s">
        <v>195</v>
      </c>
      <c r="C2221" s="1105">
        <v>267758.33960068761</v>
      </c>
      <c r="D2221" s="1105">
        <v>228759</v>
      </c>
      <c r="F2221" s="1106">
        <v>6.5782999999999996</v>
      </c>
      <c r="G2221" s="1921" t="s">
        <v>495</v>
      </c>
      <c r="H2221" s="1146">
        <v>17614</v>
      </c>
      <c r="I2221" s="1146">
        <v>15048</v>
      </c>
      <c r="K2221" s="1106"/>
      <c r="L2221" s="1921"/>
      <c r="M2221" s="1106"/>
      <c r="N2221" s="1921"/>
      <c r="O2221" s="1106"/>
      <c r="P2221" s="1921"/>
      <c r="Q2221" s="1106"/>
      <c r="R2221" s="1921"/>
      <c r="S2221" s="1648"/>
      <c r="T2221" s="1648"/>
      <c r="U2221" s="1648"/>
      <c r="V2221" s="1648"/>
      <c r="W2221" s="1648"/>
      <c r="X2221" s="1648"/>
      <c r="Y2221" s="1146"/>
      <c r="Z2221" s="2114">
        <f>C2221-'Blocking-Step2'!C2221</f>
        <v>0</v>
      </c>
      <c r="AA2221" s="2114">
        <f>D2221-'Blocking-Step2'!D2221</f>
        <v>0</v>
      </c>
      <c r="AC2221" s="2114">
        <f>F2221-'Blocking-Step2'!F2221</f>
        <v>0</v>
      </c>
      <c r="AE2221" s="2114">
        <f>H2221-'Blocking-Step2'!H2221</f>
        <v>0</v>
      </c>
      <c r="AF2221" s="2114">
        <f>I2221-'Blocking-Step2'!I2221</f>
        <v>0</v>
      </c>
      <c r="AH2221" s="2136">
        <f>K2221-'Blocking-Step2'!K2221</f>
        <v>0</v>
      </c>
      <c r="AJ2221" s="2136">
        <f>M2221-'Blocking-Step2'!M2221</f>
        <v>0</v>
      </c>
      <c r="AL2221" s="2136">
        <f>O2221-'Blocking-Step2'!O2221</f>
        <v>0</v>
      </c>
      <c r="AN2221" s="2137">
        <f>Q2221-'Blocking-Step2'!Q2221</f>
        <v>0</v>
      </c>
      <c r="AP2221" s="2127">
        <f>S2221-'Blocking-Step2'!S2221</f>
        <v>0</v>
      </c>
      <c r="AR2221" s="2127">
        <f>U2221-'Blocking-Step2'!U2221</f>
        <v>0</v>
      </c>
      <c r="AT2221" s="2127">
        <f>W2221-'Blocking-Step2'!W2221</f>
        <v>0</v>
      </c>
      <c r="AV2221" s="2128">
        <f>Y2221-'Blocking-Step2'!Y2221</f>
        <v>0</v>
      </c>
    </row>
    <row r="2222" spans="1:48" ht="16.5" hidden="1" thickTop="1">
      <c r="A2222" s="1116" t="s">
        <v>160</v>
      </c>
      <c r="C2222" s="1105">
        <v>267937.30010397354</v>
      </c>
      <c r="D2222" s="1105">
        <v>328389</v>
      </c>
      <c r="F2222" s="1106">
        <v>10.8</v>
      </c>
      <c r="G2222" s="1921" t="s">
        <v>495</v>
      </c>
      <c r="H2222" s="1146">
        <v>28937</v>
      </c>
      <c r="I2222" s="1146">
        <v>35466</v>
      </c>
      <c r="K2222" s="1106"/>
      <c r="L2222" s="1921"/>
      <c r="M2222" s="1106"/>
      <c r="N2222" s="1921"/>
      <c r="O2222" s="1106"/>
      <c r="P2222" s="1921"/>
      <c r="Q2222" s="1106"/>
      <c r="R2222" s="1921"/>
      <c r="S2222" s="1648"/>
      <c r="T2222" s="1648"/>
      <c r="U2222" s="1648"/>
      <c r="V2222" s="1648"/>
      <c r="W2222" s="1648"/>
      <c r="X2222" s="1648"/>
      <c r="Y2222" s="1146"/>
      <c r="Z2222" s="2114">
        <f>C2222-'Blocking-Step2'!C2222</f>
        <v>0</v>
      </c>
      <c r="AA2222" s="2114">
        <f>D2222-'Blocking-Step2'!D2222</f>
        <v>0</v>
      </c>
      <c r="AC2222" s="2114">
        <f>F2222-'Blocking-Step2'!F2222</f>
        <v>0</v>
      </c>
      <c r="AE2222" s="2114">
        <f>H2222-'Blocking-Step2'!H2222</f>
        <v>0</v>
      </c>
      <c r="AF2222" s="2114">
        <f>I2222-'Blocking-Step2'!I2222</f>
        <v>0</v>
      </c>
      <c r="AH2222" s="2136">
        <f>K2222-'Blocking-Step2'!K2222</f>
        <v>0</v>
      </c>
      <c r="AJ2222" s="2136">
        <f>M2222-'Blocking-Step2'!M2222</f>
        <v>0</v>
      </c>
      <c r="AL2222" s="2136">
        <f>O2222-'Blocking-Step2'!O2222</f>
        <v>0</v>
      </c>
      <c r="AN2222" s="2137">
        <f>Q2222-'Blocking-Step2'!Q2222</f>
        <v>0</v>
      </c>
      <c r="AP2222" s="2127">
        <f>S2222-'Blocking-Step2'!S2222</f>
        <v>0</v>
      </c>
      <c r="AR2222" s="2127">
        <f>U2222-'Blocking-Step2'!U2222</f>
        <v>0</v>
      </c>
      <c r="AT2222" s="2127">
        <f>W2222-'Blocking-Step2'!W2222</f>
        <v>0</v>
      </c>
      <c r="AV2222" s="2128">
        <f>Y2222-'Blocking-Step2'!Y2222</f>
        <v>0</v>
      </c>
    </row>
    <row r="2223" spans="1:48" ht="16.5" hidden="1" thickTop="1">
      <c r="A2223" s="1116" t="s">
        <v>159</v>
      </c>
      <c r="C2223" s="1105">
        <v>389912.76904018741</v>
      </c>
      <c r="D2223" s="1105">
        <v>477885</v>
      </c>
      <c r="F2223" s="1106">
        <v>6.0567000000000002</v>
      </c>
      <c r="G2223" s="1921" t="s">
        <v>495</v>
      </c>
      <c r="H2223" s="1146">
        <v>23616</v>
      </c>
      <c r="I2223" s="1146">
        <v>28944</v>
      </c>
      <c r="K2223" s="1106"/>
      <c r="L2223" s="1921"/>
      <c r="M2223" s="1106"/>
      <c r="N2223" s="1921"/>
      <c r="O2223" s="1106"/>
      <c r="P2223" s="1921"/>
      <c r="Q2223" s="1106"/>
      <c r="R2223" s="1921"/>
      <c r="S2223" s="1648"/>
      <c r="T2223" s="1648"/>
      <c r="U2223" s="1648"/>
      <c r="V2223" s="1648"/>
      <c r="W2223" s="1648"/>
      <c r="X2223" s="1648"/>
      <c r="Y2223" s="1146"/>
      <c r="Z2223" s="2114">
        <f>C2223-'Blocking-Step2'!C2223</f>
        <v>0</v>
      </c>
      <c r="AA2223" s="2114">
        <f>D2223-'Blocking-Step2'!D2223</f>
        <v>0</v>
      </c>
      <c r="AC2223" s="2114">
        <f>F2223-'Blocking-Step2'!F2223</f>
        <v>0</v>
      </c>
      <c r="AE2223" s="2114">
        <f>H2223-'Blocking-Step2'!H2223</f>
        <v>0</v>
      </c>
      <c r="AF2223" s="2114">
        <f>I2223-'Blocking-Step2'!I2223</f>
        <v>0</v>
      </c>
      <c r="AH2223" s="2136">
        <f>K2223-'Blocking-Step2'!K2223</f>
        <v>0</v>
      </c>
      <c r="AJ2223" s="2136">
        <f>M2223-'Blocking-Step2'!M2223</f>
        <v>0</v>
      </c>
      <c r="AL2223" s="2136">
        <f>O2223-'Blocking-Step2'!O2223</f>
        <v>0</v>
      </c>
      <c r="AN2223" s="2137">
        <f>Q2223-'Blocking-Step2'!Q2223</f>
        <v>0</v>
      </c>
      <c r="AP2223" s="2127">
        <f>S2223-'Blocking-Step2'!S2223</f>
        <v>0</v>
      </c>
      <c r="AR2223" s="2127">
        <f>U2223-'Blocking-Step2'!U2223</f>
        <v>0</v>
      </c>
      <c r="AT2223" s="2127">
        <f>W2223-'Blocking-Step2'!W2223</f>
        <v>0</v>
      </c>
      <c r="AV2223" s="2128">
        <f>Y2223-'Blocking-Step2'!Y2223</f>
        <v>0</v>
      </c>
    </row>
    <row r="2224" spans="1:48" ht="16.5" hidden="1" thickTop="1">
      <c r="A2224" s="1116" t="s">
        <v>246</v>
      </c>
      <c r="C2224" s="1940">
        <v>6097</v>
      </c>
      <c r="D2224" s="1940">
        <v>0</v>
      </c>
      <c r="H2224" s="1147">
        <v>646</v>
      </c>
      <c r="I2224" s="1147">
        <v>0</v>
      </c>
      <c r="Y2224" s="1147">
        <v>0</v>
      </c>
      <c r="Z2224" s="2114">
        <f>C2224-'Blocking-Step2'!C2224</f>
        <v>0</v>
      </c>
      <c r="AA2224" s="2114">
        <f>D2224-'Blocking-Step2'!D2224</f>
        <v>0</v>
      </c>
      <c r="AC2224" s="2114">
        <f>F2224-'Blocking-Step2'!F2224</f>
        <v>0</v>
      </c>
      <c r="AE2224" s="2114">
        <f>H2224-'Blocking-Step2'!H2224</f>
        <v>0</v>
      </c>
      <c r="AF2224" s="2114">
        <f>I2224-'Blocking-Step2'!I2224</f>
        <v>0</v>
      </c>
      <c r="AH2224" s="2136">
        <f>K2224-'Blocking-Step2'!K2224</f>
        <v>0</v>
      </c>
      <c r="AJ2224" s="2136">
        <f>M2224-'Blocking-Step2'!M2224</f>
        <v>0</v>
      </c>
      <c r="AL2224" s="2136">
        <f>O2224-'Blocking-Step2'!O2224</f>
        <v>0</v>
      </c>
      <c r="AN2224" s="2137">
        <f>Q2224-'Blocking-Step2'!Q2224</f>
        <v>0</v>
      </c>
      <c r="AP2224" s="2127">
        <f>S2224-'Blocking-Step2'!S2224</f>
        <v>0</v>
      </c>
      <c r="AR2224" s="2127">
        <f>U2224-'Blocking-Step2'!U2224</f>
        <v>0</v>
      </c>
      <c r="AT2224" s="2127">
        <f>W2224-'Blocking-Step2'!W2224</f>
        <v>0</v>
      </c>
      <c r="AV2224" s="2128">
        <f>Y2224-'Blocking-Step2'!Y2224</f>
        <v>0</v>
      </c>
    </row>
    <row r="2225" spans="1:48" ht="16.5" hidden="1" thickTop="1">
      <c r="A2225" s="1116" t="s">
        <v>1240</v>
      </c>
      <c r="C2225" s="1024"/>
      <c r="D2225" s="1024"/>
      <c r="F2225" s="2076">
        <v>-3.3099999999999997E-2</v>
      </c>
      <c r="G2225" s="617"/>
      <c r="H2225" s="1146">
        <v>-3568.3454999999999</v>
      </c>
      <c r="I2225" s="1146">
        <v>-3772.0759999999996</v>
      </c>
      <c r="K2225" s="2076"/>
      <c r="L2225" s="617"/>
      <c r="M2225" s="2076"/>
      <c r="N2225" s="617"/>
      <c r="O2225" s="2077" t="s">
        <v>2323</v>
      </c>
      <c r="P2225" s="617"/>
      <c r="Q2225" s="2076">
        <v>-2.5600000000000001E-2</v>
      </c>
      <c r="R2225" s="617"/>
      <c r="S2225" s="1114"/>
      <c r="T2225" s="1114"/>
      <c r="U2225" s="1114"/>
      <c r="V2225" s="1114"/>
      <c r="W2225" s="1114"/>
      <c r="X2225" s="1114"/>
      <c r="Y2225" s="1146">
        <v>-2819.2256000000002</v>
      </c>
      <c r="Z2225" s="2114">
        <f>C2225-'Blocking-Step2'!C2225</f>
        <v>0</v>
      </c>
      <c r="AA2225" s="2114">
        <f>D2225-'Blocking-Step2'!D2225</f>
        <v>0</v>
      </c>
      <c r="AC2225" s="2114">
        <f>F2225-'Blocking-Step2'!F2225</f>
        <v>0</v>
      </c>
      <c r="AE2225" s="2114">
        <f>H2225-'Blocking-Step2'!H2225</f>
        <v>0</v>
      </c>
      <c r="AF2225" s="2114">
        <f>I2225-'Blocking-Step2'!I2225</f>
        <v>0</v>
      </c>
      <c r="AH2225" s="2136">
        <f>K2225-'Blocking-Step2'!K2225</f>
        <v>0</v>
      </c>
      <c r="AJ2225" s="2136">
        <f>M2225-'Blocking-Step2'!M2225</f>
        <v>0</v>
      </c>
      <c r="AL2225" s="2136" t="e">
        <f>O2225-'Blocking-Step2'!O2225</f>
        <v>#VALUE!</v>
      </c>
      <c r="AN2225" s="2137">
        <f>Q2225-'Blocking-Step2'!Q2225</f>
        <v>0</v>
      </c>
      <c r="AP2225" s="2127">
        <f>S2225-'Blocking-Step2'!S2225</f>
        <v>0</v>
      </c>
      <c r="AR2225" s="2127">
        <f>U2225-'Blocking-Step2'!U2225</f>
        <v>0</v>
      </c>
      <c r="AT2225" s="2127">
        <f>W2225-'Blocking-Step2'!W2225</f>
        <v>0</v>
      </c>
      <c r="AV2225" s="2128">
        <f>Y2225-'Blocking-Step2'!Y2225</f>
        <v>-0.66560000000026776</v>
      </c>
    </row>
    <row r="2226" spans="1:48" ht="16.5" hidden="1" thickTop="1">
      <c r="A2226" s="1116"/>
      <c r="C2226" s="1024"/>
      <c r="D2226" s="1024"/>
      <c r="F2226" s="2076"/>
      <c r="G2226" s="617"/>
      <c r="H2226" s="1146"/>
      <c r="I2226" s="1146"/>
      <c r="K2226" s="2076"/>
      <c r="L2226" s="617"/>
      <c r="M2226" s="2076"/>
      <c r="N2226" s="617"/>
      <c r="O2226" s="2077" t="s">
        <v>2324</v>
      </c>
      <c r="P2226" s="617"/>
      <c r="Q2226" s="2076">
        <v>-1.3899999999999999E-2</v>
      </c>
      <c r="R2226" s="617"/>
      <c r="S2226" s="1114"/>
      <c r="T2226" s="1114"/>
      <c r="U2226" s="1114"/>
      <c r="V2226" s="1114"/>
      <c r="W2226" s="1114"/>
      <c r="X2226" s="1114"/>
      <c r="Y2226" s="1146">
        <v>-1530.7513999999999</v>
      </c>
      <c r="Z2226" s="2114">
        <f>C2226-'Blocking-Step2'!C2226</f>
        <v>0</v>
      </c>
      <c r="AA2226" s="2114">
        <f>D2226-'Blocking-Step2'!D2226</f>
        <v>0</v>
      </c>
      <c r="AC2226" s="2114">
        <f>F2226-'Blocking-Step2'!F2226</f>
        <v>0</v>
      </c>
      <c r="AE2226" s="2114">
        <f>H2226-'Blocking-Step2'!H2226</f>
        <v>0</v>
      </c>
      <c r="AF2226" s="2114">
        <f>I2226-'Blocking-Step2'!I2226</f>
        <v>0</v>
      </c>
      <c r="AH2226" s="2136">
        <f>K2226-'Blocking-Step2'!K2226</f>
        <v>0</v>
      </c>
      <c r="AJ2226" s="2136">
        <f>M2226-'Blocking-Step2'!M2226</f>
        <v>0</v>
      </c>
      <c r="AL2226" s="2136" t="e">
        <f>O2226-'Blocking-Step2'!O2226</f>
        <v>#VALUE!</v>
      </c>
      <c r="AN2226" s="2137">
        <f>Q2226-'Blocking-Step2'!Q2226</f>
        <v>0</v>
      </c>
      <c r="AP2226" s="2127">
        <f>S2226-'Blocking-Step2'!S2226</f>
        <v>0</v>
      </c>
      <c r="AR2226" s="2127">
        <f>U2226-'Blocking-Step2'!U2226</f>
        <v>0</v>
      </c>
      <c r="AT2226" s="2127">
        <f>W2226-'Blocking-Step2'!W2226</f>
        <v>0</v>
      </c>
      <c r="AV2226" s="2128">
        <f>Y2226-'Blocking-Step2'!Y2226</f>
        <v>-0.36140000000000327</v>
      </c>
    </row>
    <row r="2227" spans="1:48" ht="17.25" hidden="1" thickTop="1" thickBot="1">
      <c r="A2227" s="1116" t="s">
        <v>247</v>
      </c>
      <c r="C2227" s="1138">
        <v>1155932.9025595819</v>
      </c>
      <c r="D2227" s="1138">
        <v>1226601.7809244886</v>
      </c>
      <c r="F2227" s="1145"/>
      <c r="H2227" s="1149">
        <v>110064.6545</v>
      </c>
      <c r="I2227" s="1149">
        <v>122943.924</v>
      </c>
      <c r="K2227" s="1145"/>
      <c r="M2227" s="1145"/>
      <c r="O2227" s="1145"/>
      <c r="P2227" s="617"/>
      <c r="Q2227" s="1145"/>
      <c r="R2227" s="617"/>
      <c r="S2227" s="1154">
        <v>42168</v>
      </c>
      <c r="T2227" s="1114"/>
      <c r="U2227" s="1154">
        <v>54078</v>
      </c>
      <c r="V2227" s="1114"/>
      <c r="W2227" s="1154">
        <v>26637</v>
      </c>
      <c r="X2227" s="1114"/>
      <c r="Y2227" s="1154">
        <v>122882</v>
      </c>
      <c r="Z2227" s="2114">
        <f>C2227-'Blocking-Step2'!C2227</f>
        <v>0</v>
      </c>
      <c r="AA2227" s="2114">
        <f>D2227-'Blocking-Step2'!D2227</f>
        <v>0</v>
      </c>
      <c r="AC2227" s="2114">
        <f>F2227-'Blocking-Step2'!F2227</f>
        <v>0</v>
      </c>
      <c r="AE2227" s="2114">
        <f>H2227-'Blocking-Step2'!H2227</f>
        <v>0</v>
      </c>
      <c r="AF2227" s="2114">
        <f>I2227-'Blocking-Step2'!I2227</f>
        <v>0</v>
      </c>
      <c r="AH2227" s="2136">
        <f>K2227-'Blocking-Step2'!K2227</f>
        <v>0</v>
      </c>
      <c r="AJ2227" s="2136">
        <f>M2227-'Blocking-Step2'!M2227</f>
        <v>0</v>
      </c>
      <c r="AL2227" s="2136">
        <f>O2227-'Blocking-Step2'!O2227</f>
        <v>0</v>
      </c>
      <c r="AN2227" s="2137">
        <f>Q2227-'Blocking-Step2'!Q2227</f>
        <v>0</v>
      </c>
      <c r="AP2227" s="2127">
        <f>S2227-'Blocking-Step2'!S2227</f>
        <v>-18070</v>
      </c>
      <c r="AR2227" s="2127">
        <f>U2227-'Blocking-Step2'!U2227</f>
        <v>18096</v>
      </c>
      <c r="AT2227" s="2127">
        <f>W2227-'Blocking-Step2'!W2227</f>
        <v>0</v>
      </c>
      <c r="AV2227" s="2128">
        <f>Y2227-'Blocking-Step2'!Y2227</f>
        <v>26</v>
      </c>
    </row>
    <row r="2228" spans="1:48" ht="16.5" thickTop="1">
      <c r="C2228" s="1105"/>
      <c r="D2228" s="1105"/>
      <c r="O2228" s="1109"/>
      <c r="Q2228" s="1109"/>
      <c r="Y2228" s="1114"/>
      <c r="Z2228" s="2114">
        <f>C2228-'Blocking-Step2'!C2228</f>
        <v>0</v>
      </c>
      <c r="AA2228" s="2114">
        <f>D2228-'Blocking-Step2'!D2228</f>
        <v>0</v>
      </c>
      <c r="AC2228" s="2114">
        <f>F2228-'Blocking-Step2'!F2228</f>
        <v>0</v>
      </c>
      <c r="AE2228" s="2114">
        <f>H2228-'Blocking-Step2'!H2228</f>
        <v>0</v>
      </c>
      <c r="AF2228" s="2114">
        <f>I2228-'Blocking-Step2'!I2228</f>
        <v>0</v>
      </c>
      <c r="AH2228" s="2136">
        <f>K2228-'Blocking-Step2'!K2228</f>
        <v>0</v>
      </c>
      <c r="AJ2228" s="2136">
        <f>M2228-'Blocking-Step2'!M2228</f>
        <v>0</v>
      </c>
      <c r="AL2228" s="2136">
        <f>O2228-'Blocking-Step2'!O2228</f>
        <v>0</v>
      </c>
      <c r="AN2228" s="2137">
        <f>Q2228-'Blocking-Step2'!Q2228</f>
        <v>0</v>
      </c>
      <c r="AP2228" s="2127">
        <f>S2228-'Blocking-Step2'!S2228</f>
        <v>0</v>
      </c>
      <c r="AR2228" s="2127">
        <f>U2228-'Blocking-Step2'!U2228</f>
        <v>0</v>
      </c>
      <c r="AT2228" s="2127">
        <f>W2228-'Blocking-Step2'!W2228</f>
        <v>0</v>
      </c>
      <c r="AV2228" s="2128">
        <f>Y2228-'Blocking-Step2'!Y2228</f>
        <v>0</v>
      </c>
    </row>
    <row r="2229" spans="1:48">
      <c r="A2229" s="1115" t="s">
        <v>937</v>
      </c>
      <c r="C2229" s="1105"/>
      <c r="D2229" s="1105"/>
      <c r="F2229" s="1106"/>
      <c r="G2229" s="1107"/>
      <c r="K2229" s="1106"/>
      <c r="L2229" s="1107"/>
      <c r="M2229" s="1106"/>
      <c r="N2229" s="1107"/>
      <c r="O2229" s="1106"/>
      <c r="P2229" s="1107"/>
      <c r="Q2229" s="1106"/>
      <c r="R2229" s="1107"/>
      <c r="S2229" s="1114"/>
      <c r="T2229" s="1114"/>
      <c r="U2229" s="1114"/>
      <c r="V2229" s="1114"/>
      <c r="W2229" s="1114"/>
      <c r="X2229" s="1114"/>
      <c r="Z2229" s="2114">
        <f>C2229-'Blocking-Step2'!C2229</f>
        <v>0</v>
      </c>
      <c r="AA2229" s="2114">
        <f>D2229-'Blocking-Step2'!D2229</f>
        <v>0</v>
      </c>
      <c r="AC2229" s="2114">
        <f>F2229-'Blocking-Step2'!F2229</f>
        <v>0</v>
      </c>
      <c r="AE2229" s="2114">
        <f>H2229-'Blocking-Step2'!H2229</f>
        <v>0</v>
      </c>
      <c r="AF2229" s="2114">
        <f>I2229-'Blocking-Step2'!I2229</f>
        <v>0</v>
      </c>
      <c r="AH2229" s="2136">
        <f>K2229-'Blocking-Step2'!K2229</f>
        <v>0</v>
      </c>
      <c r="AJ2229" s="2136">
        <f>M2229-'Blocking-Step2'!M2229</f>
        <v>0</v>
      </c>
      <c r="AL2229" s="2136">
        <f>O2229-'Blocking-Step2'!O2229</f>
        <v>0</v>
      </c>
      <c r="AN2229" s="2137">
        <f>Q2229-'Blocking-Step2'!Q2229</f>
        <v>0</v>
      </c>
      <c r="AP2229" s="2127">
        <f>S2229-'Blocking-Step2'!S2229</f>
        <v>0</v>
      </c>
      <c r="AR2229" s="2127">
        <f>U2229-'Blocking-Step2'!U2229</f>
        <v>0</v>
      </c>
      <c r="AT2229" s="2127">
        <f>W2229-'Blocking-Step2'!W2229</f>
        <v>0</v>
      </c>
      <c r="AV2229" s="2128">
        <f>Y2229-'Blocking-Step2'!Y2229</f>
        <v>0</v>
      </c>
    </row>
    <row r="2230" spans="1:48">
      <c r="A2230" s="2008" t="s">
        <v>181</v>
      </c>
      <c r="C2230" s="1105"/>
      <c r="D2230" s="1105"/>
      <c r="Z2230" s="2114">
        <f>C2230-'Blocking-Step2'!C2230</f>
        <v>0</v>
      </c>
      <c r="AA2230" s="2114">
        <f>D2230-'Blocking-Step2'!D2230</f>
        <v>0</v>
      </c>
      <c r="AC2230" s="2114">
        <f>F2230-'Blocking-Step2'!F2230</f>
        <v>0</v>
      </c>
      <c r="AE2230" s="2114">
        <f>H2230-'Blocking-Step2'!H2230</f>
        <v>0</v>
      </c>
      <c r="AF2230" s="2114">
        <f>I2230-'Blocking-Step2'!I2230</f>
        <v>0</v>
      </c>
      <c r="AH2230" s="2136">
        <f>K2230-'Blocking-Step2'!K2230</f>
        <v>0</v>
      </c>
      <c r="AJ2230" s="2136">
        <f>M2230-'Blocking-Step2'!M2230</f>
        <v>0</v>
      </c>
      <c r="AL2230" s="2136">
        <f>O2230-'Blocking-Step2'!O2230</f>
        <v>0</v>
      </c>
      <c r="AN2230" s="2137">
        <f>Q2230-'Blocking-Step2'!Q2230</f>
        <v>0</v>
      </c>
      <c r="AP2230" s="2127">
        <f>S2230-'Blocking-Step2'!S2230</f>
        <v>0</v>
      </c>
      <c r="AR2230" s="2127">
        <f>U2230-'Blocking-Step2'!U2230</f>
        <v>0</v>
      </c>
      <c r="AT2230" s="2127">
        <f>W2230-'Blocking-Step2'!W2230</f>
        <v>0</v>
      </c>
      <c r="AV2230" s="2128">
        <f>Y2230-'Blocking-Step2'!Y2230</f>
        <v>0</v>
      </c>
    </row>
    <row r="2231" spans="1:48">
      <c r="A2231" s="1116" t="s">
        <v>312</v>
      </c>
      <c r="B2231" s="1116"/>
      <c r="C2231" s="1105">
        <v>0</v>
      </c>
      <c r="D2231" s="1105">
        <v>0</v>
      </c>
      <c r="F2231" s="1139">
        <v>133</v>
      </c>
      <c r="G2231" s="1110"/>
      <c r="H2231" s="1146">
        <v>0</v>
      </c>
      <c r="I2231" s="1146">
        <v>0</v>
      </c>
      <c r="K2231" s="1139">
        <v>138</v>
      </c>
      <c r="L2231" s="1110"/>
      <c r="M2231" s="1139">
        <v>0</v>
      </c>
      <c r="N2231" s="1110"/>
      <c r="O2231" s="1139">
        <v>0</v>
      </c>
      <c r="P2231" s="1110"/>
      <c r="Q2231" s="1139">
        <v>138</v>
      </c>
      <c r="R2231" s="1110"/>
      <c r="S2231" s="1146">
        <v>0</v>
      </c>
      <c r="T2231" s="1629"/>
      <c r="U2231" s="1146">
        <v>0</v>
      </c>
      <c r="V2231" s="1629"/>
      <c r="W2231" s="1146">
        <v>0</v>
      </c>
      <c r="X2231" s="1629"/>
      <c r="Y2231" s="1146">
        <v>0</v>
      </c>
      <c r="Z2231" s="2114">
        <f>C2231-'Blocking-Step2'!C2231</f>
        <v>0</v>
      </c>
      <c r="AA2231" s="2114">
        <f>D2231-'Blocking-Step2'!D2231</f>
        <v>0</v>
      </c>
      <c r="AC2231" s="2114">
        <f>F2231-'Blocking-Step2'!F2231</f>
        <v>0</v>
      </c>
      <c r="AE2231" s="2114">
        <f>H2231-'Blocking-Step2'!H2231</f>
        <v>0</v>
      </c>
      <c r="AF2231" s="2114">
        <f>I2231-'Blocking-Step2'!I2231</f>
        <v>0</v>
      </c>
      <c r="AH2231" s="2136">
        <f>K2231-'Blocking-Step2'!K2231</f>
        <v>0</v>
      </c>
      <c r="AJ2231" s="2136">
        <f>M2231-'Blocking-Step2'!M2231</f>
        <v>0</v>
      </c>
      <c r="AL2231" s="2136">
        <f>O2231-'Blocking-Step2'!O2231</f>
        <v>0</v>
      </c>
      <c r="AN2231" s="2137">
        <f>Q2231-'Blocking-Step2'!Q2231</f>
        <v>0</v>
      </c>
      <c r="AP2231" s="2127">
        <f>S2231-'Blocking-Step2'!S2231</f>
        <v>0</v>
      </c>
      <c r="AR2231" s="2127">
        <f>U2231-'Blocking-Step2'!U2231</f>
        <v>0</v>
      </c>
      <c r="AT2231" s="2127">
        <f>W2231-'Blocking-Step2'!W2231</f>
        <v>0</v>
      </c>
      <c r="AV2231" s="2128">
        <f>Y2231-'Blocking-Step2'!Y2231</f>
        <v>0</v>
      </c>
    </row>
    <row r="2232" spans="1:48">
      <c r="A2232" s="1116" t="s">
        <v>313</v>
      </c>
      <c r="B2232" s="1116"/>
      <c r="C2232" s="1105">
        <v>0</v>
      </c>
      <c r="D2232" s="1105">
        <v>0</v>
      </c>
      <c r="F2232" s="1139">
        <v>5.6</v>
      </c>
      <c r="G2232" s="1110"/>
      <c r="H2232" s="1146">
        <v>0</v>
      </c>
      <c r="I2232" s="1146">
        <v>0</v>
      </c>
      <c r="K2232" s="1139">
        <v>5.81</v>
      </c>
      <c r="L2232" s="1110"/>
      <c r="M2232" s="1139">
        <v>0</v>
      </c>
      <c r="N2232" s="1110"/>
      <c r="O2232" s="1139">
        <v>0</v>
      </c>
      <c r="P2232" s="1110"/>
      <c r="Q2232" s="1139">
        <v>5.81</v>
      </c>
      <c r="R2232" s="1110"/>
      <c r="S2232" s="1146">
        <v>0</v>
      </c>
      <c r="T2232" s="1629"/>
      <c r="U2232" s="1146">
        <v>0</v>
      </c>
      <c r="V2232" s="1629"/>
      <c r="W2232" s="1146">
        <v>0</v>
      </c>
      <c r="X2232" s="1629"/>
      <c r="Y2232" s="1146">
        <v>0</v>
      </c>
      <c r="Z2232" s="2114">
        <f>C2232-'Blocking-Step2'!C2232</f>
        <v>0</v>
      </c>
      <c r="AA2232" s="2114">
        <f>D2232-'Blocking-Step2'!D2232</f>
        <v>0</v>
      </c>
      <c r="AC2232" s="2114">
        <f>F2232-'Blocking-Step2'!F2232</f>
        <v>0</v>
      </c>
      <c r="AE2232" s="2114">
        <f>H2232-'Blocking-Step2'!H2232</f>
        <v>0</v>
      </c>
      <c r="AF2232" s="2114">
        <f>I2232-'Blocking-Step2'!I2232</f>
        <v>0</v>
      </c>
      <c r="AH2232" s="2136">
        <f>K2232-'Blocking-Step2'!K2232</f>
        <v>0</v>
      </c>
      <c r="AJ2232" s="2136">
        <f>M2232-'Blocking-Step2'!M2232</f>
        <v>0</v>
      </c>
      <c r="AL2232" s="2136">
        <f>O2232-'Blocking-Step2'!O2232</f>
        <v>0</v>
      </c>
      <c r="AN2232" s="2137">
        <f>Q2232-'Blocking-Step2'!Q2232</f>
        <v>0</v>
      </c>
      <c r="AP2232" s="2127">
        <f>S2232-'Blocking-Step2'!S2232</f>
        <v>0</v>
      </c>
      <c r="AR2232" s="2127">
        <f>U2232-'Blocking-Step2'!U2232</f>
        <v>0</v>
      </c>
      <c r="AT2232" s="2127">
        <f>W2232-'Blocking-Step2'!W2232</f>
        <v>0</v>
      </c>
      <c r="AV2232" s="2128">
        <f>Y2232-'Blocking-Step2'!Y2232</f>
        <v>0</v>
      </c>
    </row>
    <row r="2233" spans="1:48">
      <c r="A2233" s="1116" t="s">
        <v>314</v>
      </c>
      <c r="B2233" s="1116"/>
      <c r="C2233" s="1105"/>
      <c r="D2233" s="1105"/>
      <c r="F2233" s="1140"/>
      <c r="G2233" s="617"/>
      <c r="H2233" s="1146"/>
      <c r="I2233" s="1146"/>
      <c r="K2233" s="1140"/>
      <c r="L2233" s="617"/>
      <c r="M2233" s="1140"/>
      <c r="N2233" s="617"/>
      <c r="O2233" s="1140"/>
      <c r="P2233" s="617"/>
      <c r="Q2233" s="1140"/>
      <c r="R2233" s="617"/>
      <c r="S2233" s="1146"/>
      <c r="T2233" s="1114"/>
      <c r="U2233" s="1146"/>
      <c r="V2233" s="1114"/>
      <c r="W2233" s="1146"/>
      <c r="X2233" s="1114"/>
      <c r="Y2233" s="1146"/>
      <c r="Z2233" s="2114">
        <f>C2233-'Blocking-Step2'!C2233</f>
        <v>0</v>
      </c>
      <c r="AA2233" s="2114">
        <f>D2233-'Blocking-Step2'!D2233</f>
        <v>0</v>
      </c>
      <c r="AC2233" s="2114">
        <f>F2233-'Blocking-Step2'!F2233</f>
        <v>0</v>
      </c>
      <c r="AE2233" s="2114">
        <f>H2233-'Blocking-Step2'!H2233</f>
        <v>0</v>
      </c>
      <c r="AF2233" s="2114">
        <f>I2233-'Blocking-Step2'!I2233</f>
        <v>0</v>
      </c>
      <c r="AH2233" s="2136">
        <f>K2233-'Blocking-Step2'!K2233</f>
        <v>0</v>
      </c>
      <c r="AJ2233" s="2136">
        <f>M2233-'Blocking-Step2'!M2233</f>
        <v>0</v>
      </c>
      <c r="AL2233" s="2136">
        <f>O2233-'Blocking-Step2'!O2233</f>
        <v>0</v>
      </c>
      <c r="AN2233" s="2137">
        <f>Q2233-'Blocking-Step2'!Q2233</f>
        <v>0</v>
      </c>
      <c r="AP2233" s="2127">
        <f>S2233-'Blocking-Step2'!S2233</f>
        <v>0</v>
      </c>
      <c r="AR2233" s="2127">
        <f>U2233-'Blocking-Step2'!U2233</f>
        <v>0</v>
      </c>
      <c r="AT2233" s="2127">
        <f>W2233-'Blocking-Step2'!W2233</f>
        <v>0</v>
      </c>
      <c r="AV2233" s="2128">
        <f>Y2233-'Blocking-Step2'!Y2233</f>
        <v>0</v>
      </c>
    </row>
    <row r="2234" spans="1:48">
      <c r="A2234" s="1116" t="s">
        <v>315</v>
      </c>
      <c r="B2234" s="1116"/>
      <c r="C2234" s="1105"/>
      <c r="D2234" s="1105"/>
      <c r="F2234" s="1139"/>
      <c r="G2234" s="1111"/>
      <c r="H2234" s="1146"/>
      <c r="I2234" s="1146"/>
      <c r="K2234" s="1139"/>
      <c r="L2234" s="1111"/>
      <c r="M2234" s="1139"/>
      <c r="N2234" s="1111"/>
      <c r="O2234" s="1139"/>
      <c r="P2234" s="1111"/>
      <c r="Q2234" s="1139"/>
      <c r="R2234" s="1111"/>
      <c r="S2234" s="1146"/>
      <c r="T2234" s="1629"/>
      <c r="U2234" s="1146"/>
      <c r="V2234" s="1629"/>
      <c r="W2234" s="1146"/>
      <c r="X2234" s="1629"/>
      <c r="Y2234" s="1146"/>
      <c r="Z2234" s="2114">
        <f>C2234-'Blocking-Step2'!C2234</f>
        <v>0</v>
      </c>
      <c r="AA2234" s="2114">
        <f>D2234-'Blocking-Step2'!D2234</f>
        <v>0</v>
      </c>
      <c r="AC2234" s="2114">
        <f>F2234-'Blocking-Step2'!F2234</f>
        <v>0</v>
      </c>
      <c r="AE2234" s="2114">
        <f>H2234-'Blocking-Step2'!H2234</f>
        <v>0</v>
      </c>
      <c r="AF2234" s="2114">
        <f>I2234-'Blocking-Step2'!I2234</f>
        <v>0</v>
      </c>
      <c r="AH2234" s="2136">
        <f>K2234-'Blocking-Step2'!K2234</f>
        <v>0</v>
      </c>
      <c r="AJ2234" s="2136">
        <f>M2234-'Blocking-Step2'!M2234</f>
        <v>0</v>
      </c>
      <c r="AL2234" s="2136">
        <f>O2234-'Blocking-Step2'!O2234</f>
        <v>0</v>
      </c>
      <c r="AN2234" s="2137">
        <f>Q2234-'Blocking-Step2'!Q2234</f>
        <v>0</v>
      </c>
      <c r="AP2234" s="2127">
        <f>S2234-'Blocking-Step2'!S2234</f>
        <v>0</v>
      </c>
      <c r="AR2234" s="2127">
        <f>U2234-'Blocking-Step2'!U2234</f>
        <v>0</v>
      </c>
      <c r="AT2234" s="2127">
        <f>W2234-'Blocking-Step2'!W2234</f>
        <v>0</v>
      </c>
      <c r="AV2234" s="2128">
        <f>Y2234-'Blocking-Step2'!Y2234</f>
        <v>0</v>
      </c>
    </row>
    <row r="2235" spans="1:48">
      <c r="A2235" s="1116" t="s">
        <v>1668</v>
      </c>
      <c r="B2235" s="1116"/>
      <c r="C2235" s="1105">
        <v>0</v>
      </c>
      <c r="D2235" s="1105">
        <v>0</v>
      </c>
      <c r="F2235" s="1139"/>
      <c r="G2235" s="1111"/>
      <c r="H2235" s="1146"/>
      <c r="I2235" s="1146"/>
      <c r="K2235" s="1139">
        <v>0</v>
      </c>
      <c r="L2235" s="1111"/>
      <c r="M2235" s="1139">
        <v>0.91</v>
      </c>
      <c r="N2235" s="1111"/>
      <c r="O2235" s="1139">
        <v>0</v>
      </c>
      <c r="P2235" s="1111"/>
      <c r="Q2235" s="1139">
        <v>0.91</v>
      </c>
      <c r="R2235" s="1111"/>
      <c r="S2235" s="1146">
        <v>0</v>
      </c>
      <c r="T2235" s="1629"/>
      <c r="U2235" s="1146">
        <v>0</v>
      </c>
      <c r="V2235" s="1629"/>
      <c r="W2235" s="1146">
        <v>0</v>
      </c>
      <c r="X2235" s="1629"/>
      <c r="Y2235" s="1146">
        <v>0</v>
      </c>
      <c r="Z2235" s="2114">
        <f>C2235-'Blocking-Step2'!C2235</f>
        <v>0</v>
      </c>
      <c r="AA2235" s="2114">
        <f>D2235-'Blocking-Step2'!D2235</f>
        <v>0</v>
      </c>
      <c r="AC2235" s="2114">
        <f>F2235-'Blocking-Step2'!F2235</f>
        <v>0</v>
      </c>
      <c r="AE2235" s="2114">
        <f>H2235-'Blocking-Step2'!H2235</f>
        <v>0</v>
      </c>
      <c r="AF2235" s="2114">
        <f>I2235-'Blocking-Step2'!I2235</f>
        <v>0</v>
      </c>
      <c r="AH2235" s="2136">
        <f>K2235-'Blocking-Step2'!K2235</f>
        <v>-0.42</v>
      </c>
      <c r="AJ2235" s="2136">
        <f>M2235-'Blocking-Step2'!M2235</f>
        <v>0.42</v>
      </c>
      <c r="AL2235" s="2136">
        <f>O2235-'Blocking-Step2'!O2235</f>
        <v>0</v>
      </c>
      <c r="AN2235" s="2137">
        <f>Q2235-'Blocking-Step2'!Q2235</f>
        <v>0</v>
      </c>
      <c r="AP2235" s="2127">
        <f>S2235-'Blocking-Step2'!S2235</f>
        <v>0</v>
      </c>
      <c r="AR2235" s="2127">
        <f>U2235-'Blocking-Step2'!U2235</f>
        <v>0</v>
      </c>
      <c r="AT2235" s="2127">
        <f>W2235-'Blocking-Step2'!W2235</f>
        <v>0</v>
      </c>
      <c r="AV2235" s="2128">
        <f>Y2235-'Blocking-Step2'!Y2235</f>
        <v>0</v>
      </c>
    </row>
    <row r="2236" spans="1:48">
      <c r="A2236" s="1116" t="s">
        <v>1669</v>
      </c>
      <c r="B2236" s="1116"/>
      <c r="C2236" s="1105">
        <v>0</v>
      </c>
      <c r="D2236" s="1105">
        <v>0</v>
      </c>
      <c r="F2236" s="1139"/>
      <c r="G2236" s="1111"/>
      <c r="H2236" s="1146"/>
      <c r="I2236" s="1146"/>
      <c r="K2236" s="1139">
        <v>0</v>
      </c>
      <c r="L2236" s="1111"/>
      <c r="M2236" s="1139">
        <v>0.81</v>
      </c>
      <c r="N2236" s="1111"/>
      <c r="O2236" s="1139">
        <v>0</v>
      </c>
      <c r="P2236" s="1111"/>
      <c r="Q2236" s="1139">
        <v>0.81</v>
      </c>
      <c r="R2236" s="1111"/>
      <c r="S2236" s="1146">
        <v>0</v>
      </c>
      <c r="T2236" s="1629"/>
      <c r="U2236" s="1146">
        <v>0</v>
      </c>
      <c r="V2236" s="1629"/>
      <c r="W2236" s="1146">
        <v>0</v>
      </c>
      <c r="X2236" s="1629"/>
      <c r="Y2236" s="1146">
        <v>0</v>
      </c>
      <c r="Z2236" s="2114">
        <f>C2236-'Blocking-Step2'!C2236</f>
        <v>0</v>
      </c>
      <c r="AA2236" s="2114">
        <f>D2236-'Blocking-Step2'!D2236</f>
        <v>0</v>
      </c>
      <c r="AC2236" s="2114">
        <f>F2236-'Blocking-Step2'!F2236</f>
        <v>0</v>
      </c>
      <c r="AE2236" s="2114">
        <f>H2236-'Blocking-Step2'!H2236</f>
        <v>0</v>
      </c>
      <c r="AF2236" s="2114">
        <f>I2236-'Blocking-Step2'!I2236</f>
        <v>0</v>
      </c>
      <c r="AH2236" s="2136">
        <f>K2236-'Blocking-Step2'!K2236</f>
        <v>-0.37</v>
      </c>
      <c r="AJ2236" s="2136">
        <f>M2236-'Blocking-Step2'!M2236</f>
        <v>0.37</v>
      </c>
      <c r="AL2236" s="2136">
        <f>O2236-'Blocking-Step2'!O2236</f>
        <v>0</v>
      </c>
      <c r="AN2236" s="2137">
        <f>Q2236-'Blocking-Step2'!Q2236</f>
        <v>0</v>
      </c>
      <c r="AP2236" s="2127">
        <f>S2236-'Blocking-Step2'!S2236</f>
        <v>0</v>
      </c>
      <c r="AR2236" s="2127">
        <f>U2236-'Blocking-Step2'!U2236</f>
        <v>0</v>
      </c>
      <c r="AT2236" s="2127">
        <f>W2236-'Blocking-Step2'!W2236</f>
        <v>0</v>
      </c>
      <c r="AV2236" s="2128">
        <f>Y2236-'Blocking-Step2'!Y2236</f>
        <v>0</v>
      </c>
    </row>
    <row r="2237" spans="1:48">
      <c r="A2237" s="1116" t="s">
        <v>316</v>
      </c>
      <c r="B2237" s="1116"/>
      <c r="C2237" s="1105"/>
      <c r="D2237" s="1105"/>
      <c r="F2237" s="1140"/>
      <c r="G2237" s="1112"/>
      <c r="H2237" s="1146"/>
      <c r="I2237" s="1146"/>
      <c r="K2237" s="1140"/>
      <c r="L2237" s="1112"/>
      <c r="M2237" s="1140"/>
      <c r="N2237" s="1112"/>
      <c r="O2237" s="1140"/>
      <c r="P2237" s="1112"/>
      <c r="Q2237" s="1140"/>
      <c r="R2237" s="1112"/>
      <c r="S2237" s="1146"/>
      <c r="T2237" s="1114"/>
      <c r="U2237" s="1146"/>
      <c r="V2237" s="1114"/>
      <c r="W2237" s="1146"/>
      <c r="X2237" s="1114"/>
      <c r="Y2237" s="1146"/>
      <c r="Z2237" s="2114">
        <f>C2237-'Blocking-Step2'!C2237</f>
        <v>0</v>
      </c>
      <c r="AA2237" s="2114">
        <f>D2237-'Blocking-Step2'!D2237</f>
        <v>0</v>
      </c>
      <c r="AC2237" s="2114">
        <f>F2237-'Blocking-Step2'!F2237</f>
        <v>0</v>
      </c>
      <c r="AE2237" s="2114">
        <f>H2237-'Blocking-Step2'!H2237</f>
        <v>0</v>
      </c>
      <c r="AF2237" s="2114">
        <f>I2237-'Blocking-Step2'!I2237</f>
        <v>0</v>
      </c>
      <c r="AH2237" s="2136">
        <f>K2237-'Blocking-Step2'!K2237</f>
        <v>0</v>
      </c>
      <c r="AJ2237" s="2136">
        <f>M2237-'Blocking-Step2'!M2237</f>
        <v>0</v>
      </c>
      <c r="AL2237" s="2136">
        <f>O2237-'Blocking-Step2'!O2237</f>
        <v>0</v>
      </c>
      <c r="AN2237" s="2137">
        <f>Q2237-'Blocking-Step2'!Q2237</f>
        <v>0</v>
      </c>
      <c r="AP2237" s="2127">
        <f>S2237-'Blocking-Step2'!S2237</f>
        <v>0</v>
      </c>
      <c r="AR2237" s="2127">
        <f>U2237-'Blocking-Step2'!U2237</f>
        <v>0</v>
      </c>
      <c r="AT2237" s="2127">
        <f>W2237-'Blocking-Step2'!W2237</f>
        <v>0</v>
      </c>
      <c r="AV2237" s="2128">
        <f>Y2237-'Blocking-Step2'!Y2237</f>
        <v>0</v>
      </c>
    </row>
    <row r="2238" spans="1:48">
      <c r="A2238" s="1116" t="s">
        <v>1668</v>
      </c>
      <c r="B2238" s="1116"/>
      <c r="C2238" s="1105">
        <v>0</v>
      </c>
      <c r="D2238" s="1105">
        <v>0</v>
      </c>
      <c r="F2238" s="1140"/>
      <c r="G2238" s="1112"/>
      <c r="H2238" s="1146"/>
      <c r="I2238" s="1146"/>
      <c r="K2238" s="1140">
        <v>0</v>
      </c>
      <c r="L2238" s="1112"/>
      <c r="M2238" s="1139">
        <v>0.46</v>
      </c>
      <c r="N2238" s="1111"/>
      <c r="O2238" s="1139">
        <v>0</v>
      </c>
      <c r="P2238" s="1112"/>
      <c r="Q2238" s="1139">
        <v>0.46</v>
      </c>
      <c r="R2238" s="1112"/>
      <c r="S2238" s="1146">
        <v>0</v>
      </c>
      <c r="T2238" s="1114"/>
      <c r="U2238" s="1146">
        <v>0</v>
      </c>
      <c r="V2238" s="1114"/>
      <c r="W2238" s="1146">
        <v>0</v>
      </c>
      <c r="X2238" s="1114"/>
      <c r="Y2238" s="1146">
        <v>0</v>
      </c>
      <c r="Z2238" s="2114">
        <f>C2238-'Blocking-Step2'!C2238</f>
        <v>0</v>
      </c>
      <c r="AA2238" s="2114">
        <f>D2238-'Blocking-Step2'!D2238</f>
        <v>0</v>
      </c>
      <c r="AC2238" s="2114">
        <f>F2238-'Blocking-Step2'!F2238</f>
        <v>0</v>
      </c>
      <c r="AE2238" s="2114">
        <f>H2238-'Blocking-Step2'!H2238</f>
        <v>0</v>
      </c>
      <c r="AF2238" s="2114">
        <f>I2238-'Blocking-Step2'!I2238</f>
        <v>0</v>
      </c>
      <c r="AH2238" s="2136">
        <f>K2238-'Blocking-Step2'!K2238</f>
        <v>-0.21</v>
      </c>
      <c r="AJ2238" s="2136">
        <f>M2238-'Blocking-Step2'!M2238</f>
        <v>0.21000000000000002</v>
      </c>
      <c r="AL2238" s="2136">
        <f>O2238-'Blocking-Step2'!O2238</f>
        <v>0</v>
      </c>
      <c r="AN2238" s="2137">
        <f>Q2238-'Blocking-Step2'!Q2238</f>
        <v>0</v>
      </c>
      <c r="AP2238" s="2127">
        <f>S2238-'Blocking-Step2'!S2238</f>
        <v>0</v>
      </c>
      <c r="AR2238" s="2127">
        <f>U2238-'Blocking-Step2'!U2238</f>
        <v>0</v>
      </c>
      <c r="AT2238" s="2127">
        <f>W2238-'Blocking-Step2'!W2238</f>
        <v>0</v>
      </c>
      <c r="AV2238" s="2128">
        <f>Y2238-'Blocking-Step2'!Y2238</f>
        <v>0</v>
      </c>
    </row>
    <row r="2239" spans="1:48">
      <c r="A2239" s="1116" t="s">
        <v>1669</v>
      </c>
      <c r="B2239" s="1116"/>
      <c r="C2239" s="1105">
        <v>0</v>
      </c>
      <c r="D2239" s="1105">
        <v>0</v>
      </c>
      <c r="F2239" s="1140"/>
      <c r="G2239" s="1112"/>
      <c r="H2239" s="1146"/>
      <c r="I2239" s="1146"/>
      <c r="K2239" s="1140">
        <v>0</v>
      </c>
      <c r="L2239" s="1112"/>
      <c r="M2239" s="1139">
        <v>0.41</v>
      </c>
      <c r="N2239" s="1111"/>
      <c r="O2239" s="1139">
        <v>0</v>
      </c>
      <c r="P2239" s="1112"/>
      <c r="Q2239" s="1139">
        <v>0.41</v>
      </c>
      <c r="R2239" s="1112"/>
      <c r="S2239" s="1146">
        <v>0</v>
      </c>
      <c r="T2239" s="1114"/>
      <c r="U2239" s="1146">
        <v>0</v>
      </c>
      <c r="V2239" s="1114"/>
      <c r="W2239" s="1146">
        <v>0</v>
      </c>
      <c r="X2239" s="1114"/>
      <c r="Y2239" s="1146">
        <v>0</v>
      </c>
      <c r="Z2239" s="2114">
        <f>C2239-'Blocking-Step2'!C2239</f>
        <v>0</v>
      </c>
      <c r="AA2239" s="2114">
        <f>D2239-'Blocking-Step2'!D2239</f>
        <v>0</v>
      </c>
      <c r="AC2239" s="2114">
        <f>F2239-'Blocking-Step2'!F2239</f>
        <v>0</v>
      </c>
      <c r="AE2239" s="2114">
        <f>H2239-'Blocking-Step2'!H2239</f>
        <v>0</v>
      </c>
      <c r="AF2239" s="2114">
        <f>I2239-'Blocking-Step2'!I2239</f>
        <v>0</v>
      </c>
      <c r="AH2239" s="2136">
        <f>K2239-'Blocking-Step2'!K2239</f>
        <v>-0.19</v>
      </c>
      <c r="AJ2239" s="2136">
        <f>M2239-'Blocking-Step2'!M2239</f>
        <v>0.19</v>
      </c>
      <c r="AL2239" s="2136">
        <f>O2239-'Blocking-Step2'!O2239</f>
        <v>0</v>
      </c>
      <c r="AN2239" s="2137">
        <f>Q2239-'Blocking-Step2'!Q2239</f>
        <v>0</v>
      </c>
      <c r="AP2239" s="2127">
        <f>S2239-'Blocking-Step2'!S2239</f>
        <v>0</v>
      </c>
      <c r="AR2239" s="2127">
        <f>U2239-'Blocking-Step2'!U2239</f>
        <v>0</v>
      </c>
      <c r="AT2239" s="2127">
        <f>W2239-'Blocking-Step2'!W2239</f>
        <v>0</v>
      </c>
      <c r="AV2239" s="2128">
        <f>Y2239-'Blocking-Step2'!Y2239</f>
        <v>0</v>
      </c>
    </row>
    <row r="2240" spans="1:48">
      <c r="A2240" s="1116" t="s">
        <v>317</v>
      </c>
      <c r="B2240" s="1116"/>
      <c r="C2240" s="1105"/>
      <c r="D2240" s="1105"/>
      <c r="F2240" s="1139"/>
      <c r="G2240" s="1110"/>
      <c r="H2240" s="1146"/>
      <c r="I2240" s="1146"/>
      <c r="K2240" s="1139"/>
      <c r="L2240" s="1110"/>
      <c r="M2240" s="1139"/>
      <c r="N2240" s="1110"/>
      <c r="O2240" s="1139"/>
      <c r="P2240" s="1110"/>
      <c r="Q2240" s="1139"/>
      <c r="R2240" s="1110"/>
      <c r="S2240" s="1146"/>
      <c r="T2240" s="1629"/>
      <c r="U2240" s="1146"/>
      <c r="V2240" s="1629"/>
      <c r="W2240" s="1146"/>
      <c r="X2240" s="1629"/>
      <c r="Y2240" s="1146"/>
      <c r="Z2240" s="2114">
        <f>C2240-'Blocking-Step2'!C2240</f>
        <v>0</v>
      </c>
      <c r="AA2240" s="2114">
        <f>D2240-'Blocking-Step2'!D2240</f>
        <v>0</v>
      </c>
      <c r="AC2240" s="2114">
        <f>F2240-'Blocking-Step2'!F2240</f>
        <v>0</v>
      </c>
      <c r="AE2240" s="2114">
        <f>H2240-'Blocking-Step2'!H2240</f>
        <v>0</v>
      </c>
      <c r="AF2240" s="2114">
        <f>I2240-'Blocking-Step2'!I2240</f>
        <v>0</v>
      </c>
      <c r="AH2240" s="2136">
        <f>K2240-'Blocking-Step2'!K2240</f>
        <v>0</v>
      </c>
      <c r="AJ2240" s="2136">
        <f>M2240-'Blocking-Step2'!M2240</f>
        <v>0</v>
      </c>
      <c r="AL2240" s="2136">
        <f>O2240-'Blocking-Step2'!O2240</f>
        <v>0</v>
      </c>
      <c r="AN2240" s="2137">
        <f>Q2240-'Blocking-Step2'!Q2240</f>
        <v>0</v>
      </c>
      <c r="AP2240" s="2127">
        <f>S2240-'Blocking-Step2'!S2240</f>
        <v>0</v>
      </c>
      <c r="AR2240" s="2127">
        <f>U2240-'Blocking-Step2'!U2240</f>
        <v>0</v>
      </c>
      <c r="AT2240" s="2127">
        <f>W2240-'Blocking-Step2'!W2240</f>
        <v>0</v>
      </c>
      <c r="AV2240" s="2128">
        <f>Y2240-'Blocking-Step2'!Y2240</f>
        <v>0</v>
      </c>
    </row>
    <row r="2241" spans="1:48">
      <c r="A2241" s="1116" t="s">
        <v>1668</v>
      </c>
      <c r="B2241" s="1116"/>
      <c r="C2241" s="1105">
        <v>0</v>
      </c>
      <c r="D2241" s="1105">
        <v>0</v>
      </c>
      <c r="F2241" s="1139"/>
      <c r="G2241" s="1110"/>
      <c r="H2241" s="1146"/>
      <c r="I2241" s="1146"/>
      <c r="K2241" s="1140">
        <v>0</v>
      </c>
      <c r="L2241" s="1112"/>
      <c r="M2241" s="1139">
        <v>42.33</v>
      </c>
      <c r="N2241" s="1111"/>
      <c r="O2241" s="1139">
        <v>0</v>
      </c>
      <c r="P2241" s="1110"/>
      <c r="Q2241" s="1139">
        <v>42.33</v>
      </c>
      <c r="R2241" s="1110"/>
      <c r="S2241" s="1146">
        <v>0</v>
      </c>
      <c r="T2241" s="1629"/>
      <c r="U2241" s="1146">
        <v>0</v>
      </c>
      <c r="V2241" s="1629"/>
      <c r="W2241" s="1146">
        <v>0</v>
      </c>
      <c r="X2241" s="1629"/>
      <c r="Y2241" s="1146">
        <v>0</v>
      </c>
      <c r="Z2241" s="2114">
        <f>C2241-'Blocking-Step2'!C2241</f>
        <v>0</v>
      </c>
      <c r="AA2241" s="2114">
        <f>D2241-'Blocking-Step2'!D2241</f>
        <v>0</v>
      </c>
      <c r="AC2241" s="2114">
        <f>F2241-'Blocking-Step2'!F2241</f>
        <v>0</v>
      </c>
      <c r="AE2241" s="2114">
        <f>H2241-'Blocking-Step2'!H2241</f>
        <v>0</v>
      </c>
      <c r="AF2241" s="2114">
        <f>I2241-'Blocking-Step2'!I2241</f>
        <v>0</v>
      </c>
      <c r="AH2241" s="2136">
        <f>K2241-'Blocking-Step2'!K2241</f>
        <v>-19.54</v>
      </c>
      <c r="AJ2241" s="2136">
        <f>M2241-'Blocking-Step2'!M2241</f>
        <v>19.54</v>
      </c>
      <c r="AL2241" s="2136">
        <f>O2241-'Blocking-Step2'!O2241</f>
        <v>0</v>
      </c>
      <c r="AN2241" s="2137">
        <f>Q2241-'Blocking-Step2'!Q2241</f>
        <v>0</v>
      </c>
      <c r="AP2241" s="2127">
        <f>S2241-'Blocking-Step2'!S2241</f>
        <v>0</v>
      </c>
      <c r="AR2241" s="2127">
        <f>U2241-'Blocking-Step2'!U2241</f>
        <v>0</v>
      </c>
      <c r="AT2241" s="2127">
        <f>W2241-'Blocking-Step2'!W2241</f>
        <v>0</v>
      </c>
      <c r="AV2241" s="2128">
        <f>Y2241-'Blocking-Step2'!Y2241</f>
        <v>0</v>
      </c>
    </row>
    <row r="2242" spans="1:48">
      <c r="A2242" s="1116" t="s">
        <v>1669</v>
      </c>
      <c r="B2242" s="1116"/>
      <c r="C2242" s="1105">
        <v>0</v>
      </c>
      <c r="D2242" s="1105">
        <v>0</v>
      </c>
      <c r="F2242" s="1139"/>
      <c r="G2242" s="1110"/>
      <c r="H2242" s="1146"/>
      <c r="I2242" s="1146"/>
      <c r="K2242" s="1140">
        <v>0</v>
      </c>
      <c r="L2242" s="1112"/>
      <c r="M2242" s="1139">
        <v>37.46</v>
      </c>
      <c r="N2242" s="1111"/>
      <c r="O2242" s="1139">
        <v>0</v>
      </c>
      <c r="P2242" s="1110"/>
      <c r="Q2242" s="1139">
        <v>37.46</v>
      </c>
      <c r="R2242" s="1110"/>
      <c r="S2242" s="1146">
        <v>0</v>
      </c>
      <c r="T2242" s="1629"/>
      <c r="U2242" s="1146">
        <v>0</v>
      </c>
      <c r="V2242" s="1629"/>
      <c r="W2242" s="1146">
        <v>0</v>
      </c>
      <c r="X2242" s="1629"/>
      <c r="Y2242" s="1146">
        <v>0</v>
      </c>
      <c r="Z2242" s="2114">
        <f>C2242-'Blocking-Step2'!C2242</f>
        <v>0</v>
      </c>
      <c r="AA2242" s="2114">
        <f>D2242-'Blocking-Step2'!D2242</f>
        <v>0</v>
      </c>
      <c r="AC2242" s="2114">
        <f>F2242-'Blocking-Step2'!F2242</f>
        <v>0</v>
      </c>
      <c r="AE2242" s="2114">
        <f>H2242-'Blocking-Step2'!H2242</f>
        <v>0</v>
      </c>
      <c r="AF2242" s="2114">
        <f>I2242-'Blocking-Step2'!I2242</f>
        <v>0</v>
      </c>
      <c r="AH2242" s="2136">
        <f>K2242-'Blocking-Step2'!K2242</f>
        <v>-17.11</v>
      </c>
      <c r="AJ2242" s="2136">
        <f>M2242-'Blocking-Step2'!M2242</f>
        <v>17.11</v>
      </c>
      <c r="AL2242" s="2136">
        <f>O2242-'Blocking-Step2'!O2242</f>
        <v>0</v>
      </c>
      <c r="AN2242" s="2137">
        <f>Q2242-'Blocking-Step2'!Q2242</f>
        <v>0</v>
      </c>
      <c r="AP2242" s="2127">
        <f>S2242-'Blocking-Step2'!S2242</f>
        <v>0</v>
      </c>
      <c r="AR2242" s="2127">
        <f>U2242-'Blocking-Step2'!U2242</f>
        <v>0</v>
      </c>
      <c r="AT2242" s="2127">
        <f>W2242-'Blocking-Step2'!W2242</f>
        <v>0</v>
      </c>
      <c r="AV2242" s="2128">
        <f>Y2242-'Blocking-Step2'!Y2242</f>
        <v>0</v>
      </c>
    </row>
    <row r="2243" spans="1:48">
      <c r="A2243" s="1116" t="s">
        <v>315</v>
      </c>
      <c r="B2243" s="1116"/>
      <c r="C2243" s="1105"/>
      <c r="D2243" s="1105"/>
      <c r="F2243" s="1139"/>
      <c r="G2243" s="1111"/>
      <c r="H2243" s="1146"/>
      <c r="I2243" s="1146"/>
      <c r="K2243" s="1139"/>
      <c r="L2243" s="1111"/>
      <c r="M2243" s="1139"/>
      <c r="N2243" s="1111"/>
      <c r="O2243" s="1139"/>
      <c r="P2243" s="1111"/>
      <c r="Q2243" s="1139"/>
      <c r="R2243" s="1111"/>
      <c r="S2243" s="1146"/>
      <c r="T2243" s="1629"/>
      <c r="U2243" s="1146"/>
      <c r="V2243" s="1629"/>
      <c r="W2243" s="1146"/>
      <c r="X2243" s="1629"/>
      <c r="Y2243" s="1146"/>
      <c r="Z2243" s="2114">
        <f>C2243-'Blocking-Step2'!C2243</f>
        <v>0</v>
      </c>
      <c r="AA2243" s="2114">
        <f>D2243-'Blocking-Step2'!D2243</f>
        <v>0</v>
      </c>
      <c r="AC2243" s="2114">
        <f>F2243-'Blocking-Step2'!F2243</f>
        <v>0</v>
      </c>
      <c r="AE2243" s="2114">
        <f>H2243-'Blocking-Step2'!H2243</f>
        <v>0</v>
      </c>
      <c r="AF2243" s="2114">
        <f>I2243-'Blocking-Step2'!I2243</f>
        <v>0</v>
      </c>
      <c r="AH2243" s="2136">
        <f>K2243-'Blocking-Step2'!K2243</f>
        <v>0</v>
      </c>
      <c r="AJ2243" s="2136">
        <f>M2243-'Blocking-Step2'!M2243</f>
        <v>0</v>
      </c>
      <c r="AL2243" s="2136">
        <f>O2243-'Blocking-Step2'!O2243</f>
        <v>0</v>
      </c>
      <c r="AN2243" s="2137">
        <f>Q2243-'Blocking-Step2'!Q2243</f>
        <v>0</v>
      </c>
      <c r="AP2243" s="2127">
        <f>S2243-'Blocking-Step2'!S2243</f>
        <v>0</v>
      </c>
      <c r="AR2243" s="2127">
        <f>U2243-'Blocking-Step2'!U2243</f>
        <v>0</v>
      </c>
      <c r="AT2243" s="2127">
        <f>W2243-'Blocking-Step2'!W2243</f>
        <v>0</v>
      </c>
      <c r="AV2243" s="2128">
        <f>Y2243-'Blocking-Step2'!Y2243</f>
        <v>0</v>
      </c>
    </row>
    <row r="2244" spans="1:48">
      <c r="A2244" s="1116" t="s">
        <v>944</v>
      </c>
      <c r="B2244" s="1116"/>
      <c r="C2244" s="1105">
        <v>0</v>
      </c>
      <c r="D2244" s="1105">
        <v>0</v>
      </c>
      <c r="F2244" s="1139">
        <v>0.88</v>
      </c>
      <c r="G2244" s="1111"/>
      <c r="H2244" s="1146">
        <v>0</v>
      </c>
      <c r="I2244" s="1146">
        <v>0</v>
      </c>
      <c r="K2244" s="1139"/>
      <c r="L2244" s="1111"/>
      <c r="M2244" s="1139"/>
      <c r="N2244" s="1111"/>
      <c r="O2244" s="1139"/>
      <c r="P2244" s="1111"/>
      <c r="Q2244" s="1139"/>
      <c r="R2244" s="1111"/>
      <c r="S2244" s="1146"/>
      <c r="T2244" s="1629"/>
      <c r="U2244" s="1146"/>
      <c r="V2244" s="1629"/>
      <c r="W2244" s="1146"/>
      <c r="X2244" s="1629"/>
      <c r="Y2244" s="1146"/>
      <c r="Z2244" s="2114">
        <f>C2244-'Blocking-Step2'!C2244</f>
        <v>0</v>
      </c>
      <c r="AA2244" s="2114">
        <f>D2244-'Blocking-Step2'!D2244</f>
        <v>0</v>
      </c>
      <c r="AC2244" s="2114">
        <f>F2244-'Blocking-Step2'!F2244</f>
        <v>0</v>
      </c>
      <c r="AE2244" s="2114">
        <f>H2244-'Blocking-Step2'!H2244</f>
        <v>0</v>
      </c>
      <c r="AF2244" s="2114">
        <f>I2244-'Blocking-Step2'!I2244</f>
        <v>0</v>
      </c>
      <c r="AH2244" s="2136">
        <f>K2244-'Blocking-Step2'!K2244</f>
        <v>0</v>
      </c>
      <c r="AJ2244" s="2136">
        <f>M2244-'Blocking-Step2'!M2244</f>
        <v>0</v>
      </c>
      <c r="AL2244" s="2136">
        <f>O2244-'Blocking-Step2'!O2244</f>
        <v>0</v>
      </c>
      <c r="AN2244" s="2137">
        <f>Q2244-'Blocking-Step2'!Q2244</f>
        <v>0</v>
      </c>
      <c r="AP2244" s="2127">
        <f>S2244-'Blocking-Step2'!S2244</f>
        <v>0</v>
      </c>
      <c r="AR2244" s="2127">
        <f>U2244-'Blocking-Step2'!U2244</f>
        <v>0</v>
      </c>
      <c r="AT2244" s="2127">
        <f>W2244-'Blocking-Step2'!W2244</f>
        <v>0</v>
      </c>
      <c r="AV2244" s="2128">
        <f>Y2244-'Blocking-Step2'!Y2244</f>
        <v>0</v>
      </c>
    </row>
    <row r="2245" spans="1:48">
      <c r="A2245" s="1116" t="s">
        <v>945</v>
      </c>
      <c r="B2245" s="1116"/>
      <c r="C2245" s="1105">
        <v>0</v>
      </c>
      <c r="D2245" s="1105">
        <v>0</v>
      </c>
      <c r="F2245" s="1139">
        <v>0.62</v>
      </c>
      <c r="G2245" s="1111"/>
      <c r="H2245" s="1146">
        <v>0</v>
      </c>
      <c r="I2245" s="1146">
        <v>0</v>
      </c>
      <c r="K2245" s="1139"/>
      <c r="L2245" s="1111"/>
      <c r="M2245" s="1139"/>
      <c r="N2245" s="1111"/>
      <c r="O2245" s="1139"/>
      <c r="P2245" s="1111"/>
      <c r="Q2245" s="1139"/>
      <c r="R2245" s="1111"/>
      <c r="S2245" s="1146"/>
      <c r="T2245" s="1629"/>
      <c r="U2245" s="1146"/>
      <c r="V2245" s="1629"/>
      <c r="W2245" s="1146"/>
      <c r="X2245" s="1629"/>
      <c r="Y2245" s="1146"/>
      <c r="Z2245" s="2114">
        <f>C2245-'Blocking-Step2'!C2245</f>
        <v>0</v>
      </c>
      <c r="AA2245" s="2114">
        <f>D2245-'Blocking-Step2'!D2245</f>
        <v>0</v>
      </c>
      <c r="AC2245" s="2114">
        <f>F2245-'Blocking-Step2'!F2245</f>
        <v>0</v>
      </c>
      <c r="AE2245" s="2114">
        <f>H2245-'Blocking-Step2'!H2245</f>
        <v>0</v>
      </c>
      <c r="AF2245" s="2114">
        <f>I2245-'Blocking-Step2'!I2245</f>
        <v>0</v>
      </c>
      <c r="AH2245" s="2136">
        <f>K2245-'Blocking-Step2'!K2245</f>
        <v>0</v>
      </c>
      <c r="AJ2245" s="2136">
        <f>M2245-'Blocking-Step2'!M2245</f>
        <v>0</v>
      </c>
      <c r="AL2245" s="2136">
        <f>O2245-'Blocking-Step2'!O2245</f>
        <v>0</v>
      </c>
      <c r="AN2245" s="2137">
        <f>Q2245-'Blocking-Step2'!Q2245</f>
        <v>0</v>
      </c>
      <c r="AP2245" s="2127">
        <f>S2245-'Blocking-Step2'!S2245</f>
        <v>0</v>
      </c>
      <c r="AR2245" s="2127">
        <f>U2245-'Blocking-Step2'!U2245</f>
        <v>0</v>
      </c>
      <c r="AT2245" s="2127">
        <f>W2245-'Blocking-Step2'!W2245</f>
        <v>0</v>
      </c>
      <c r="AV2245" s="2128">
        <f>Y2245-'Blocking-Step2'!Y2245</f>
        <v>0</v>
      </c>
    </row>
    <row r="2246" spans="1:48">
      <c r="A2246" s="1116" t="s">
        <v>316</v>
      </c>
      <c r="B2246" s="1116"/>
      <c r="C2246" s="1105"/>
      <c r="D2246" s="1105"/>
      <c r="F2246" s="1140"/>
      <c r="G2246" s="1112"/>
      <c r="H2246" s="1146"/>
      <c r="I2246" s="1146"/>
      <c r="K2246" s="1140"/>
      <c r="L2246" s="1112"/>
      <c r="M2246" s="1140"/>
      <c r="N2246" s="1112"/>
      <c r="O2246" s="1140"/>
      <c r="P2246" s="1112"/>
      <c r="Q2246" s="1140"/>
      <c r="R2246" s="1112"/>
      <c r="S2246" s="1146"/>
      <c r="T2246" s="1114"/>
      <c r="U2246" s="1146"/>
      <c r="V2246" s="1114"/>
      <c r="W2246" s="1146"/>
      <c r="X2246" s="1114"/>
      <c r="Y2246" s="1146"/>
      <c r="Z2246" s="2114">
        <f>C2246-'Blocking-Step2'!C2246</f>
        <v>0</v>
      </c>
      <c r="AA2246" s="2114">
        <f>D2246-'Blocking-Step2'!D2246</f>
        <v>0</v>
      </c>
      <c r="AC2246" s="2114">
        <f>F2246-'Blocking-Step2'!F2246</f>
        <v>0</v>
      </c>
      <c r="AE2246" s="2114">
        <f>H2246-'Blocking-Step2'!H2246</f>
        <v>0</v>
      </c>
      <c r="AF2246" s="2114">
        <f>I2246-'Blocking-Step2'!I2246</f>
        <v>0</v>
      </c>
      <c r="AH2246" s="2136">
        <f>K2246-'Blocking-Step2'!K2246</f>
        <v>0</v>
      </c>
      <c r="AJ2246" s="2136">
        <f>M2246-'Blocking-Step2'!M2246</f>
        <v>0</v>
      </c>
      <c r="AL2246" s="2136">
        <f>O2246-'Blocking-Step2'!O2246</f>
        <v>0</v>
      </c>
      <c r="AN2246" s="2137">
        <f>Q2246-'Blocking-Step2'!Q2246</f>
        <v>0</v>
      </c>
      <c r="AP2246" s="2127">
        <f>S2246-'Blocking-Step2'!S2246</f>
        <v>0</v>
      </c>
      <c r="AR2246" s="2127">
        <f>U2246-'Blocking-Step2'!U2246</f>
        <v>0</v>
      </c>
      <c r="AT2246" s="2127">
        <f>W2246-'Blocking-Step2'!W2246</f>
        <v>0</v>
      </c>
      <c r="AV2246" s="2128">
        <f>Y2246-'Blocking-Step2'!Y2246</f>
        <v>0</v>
      </c>
    </row>
    <row r="2247" spans="1:48">
      <c r="A2247" s="1116" t="s">
        <v>944</v>
      </c>
      <c r="B2247" s="1116"/>
      <c r="C2247" s="1105">
        <v>0</v>
      </c>
      <c r="D2247" s="1105">
        <v>0</v>
      </c>
      <c r="F2247" s="1140">
        <v>0.44</v>
      </c>
      <c r="G2247" s="1112"/>
      <c r="H2247" s="1146">
        <v>0</v>
      </c>
      <c r="I2247" s="1146">
        <v>0</v>
      </c>
      <c r="K2247" s="1140"/>
      <c r="L2247" s="1112"/>
      <c r="M2247" s="1140"/>
      <c r="N2247" s="1112"/>
      <c r="O2247" s="1140"/>
      <c r="P2247" s="1112"/>
      <c r="Q2247" s="1140"/>
      <c r="R2247" s="1112"/>
      <c r="S2247" s="1146"/>
      <c r="T2247" s="1114"/>
      <c r="U2247" s="1146"/>
      <c r="V2247" s="1114"/>
      <c r="W2247" s="1146"/>
      <c r="X2247" s="1114"/>
      <c r="Y2247" s="1146"/>
      <c r="Z2247" s="2114">
        <f>C2247-'Blocking-Step2'!C2247</f>
        <v>0</v>
      </c>
      <c r="AA2247" s="2114">
        <f>D2247-'Blocking-Step2'!D2247</f>
        <v>0</v>
      </c>
      <c r="AC2247" s="2114">
        <f>F2247-'Blocking-Step2'!F2247</f>
        <v>0</v>
      </c>
      <c r="AE2247" s="2114">
        <f>H2247-'Blocking-Step2'!H2247</f>
        <v>0</v>
      </c>
      <c r="AF2247" s="2114">
        <f>I2247-'Blocking-Step2'!I2247</f>
        <v>0</v>
      </c>
      <c r="AH2247" s="2136">
        <f>K2247-'Blocking-Step2'!K2247</f>
        <v>0</v>
      </c>
      <c r="AJ2247" s="2136">
        <f>M2247-'Blocking-Step2'!M2247</f>
        <v>0</v>
      </c>
      <c r="AL2247" s="2136">
        <f>O2247-'Blocking-Step2'!O2247</f>
        <v>0</v>
      </c>
      <c r="AN2247" s="2137">
        <f>Q2247-'Blocking-Step2'!Q2247</f>
        <v>0</v>
      </c>
      <c r="AP2247" s="2127">
        <f>S2247-'Blocking-Step2'!S2247</f>
        <v>0</v>
      </c>
      <c r="AR2247" s="2127">
        <f>U2247-'Blocking-Step2'!U2247</f>
        <v>0</v>
      </c>
      <c r="AT2247" s="2127">
        <f>W2247-'Blocking-Step2'!W2247</f>
        <v>0</v>
      </c>
      <c r="AV2247" s="2128">
        <f>Y2247-'Blocking-Step2'!Y2247</f>
        <v>0</v>
      </c>
    </row>
    <row r="2248" spans="1:48">
      <c r="A2248" s="1116" t="s">
        <v>945</v>
      </c>
      <c r="B2248" s="1116"/>
      <c r="C2248" s="1105">
        <v>0</v>
      </c>
      <c r="D2248" s="1105">
        <v>0</v>
      </c>
      <c r="F2248" s="1140">
        <v>0.31</v>
      </c>
      <c r="G2248" s="1112"/>
      <c r="H2248" s="1146">
        <v>0</v>
      </c>
      <c r="I2248" s="1146">
        <v>0</v>
      </c>
      <c r="K2248" s="1140"/>
      <c r="L2248" s="1112"/>
      <c r="M2248" s="1140"/>
      <c r="N2248" s="1112"/>
      <c r="O2248" s="1140"/>
      <c r="P2248" s="1112"/>
      <c r="Q2248" s="1140"/>
      <c r="R2248" s="1112"/>
      <c r="S2248" s="1146"/>
      <c r="T2248" s="1114"/>
      <c r="U2248" s="1146"/>
      <c r="V2248" s="1114"/>
      <c r="W2248" s="1146"/>
      <c r="X2248" s="1114"/>
      <c r="Y2248" s="1146"/>
      <c r="Z2248" s="2114">
        <f>C2248-'Blocking-Step2'!C2248</f>
        <v>0</v>
      </c>
      <c r="AA2248" s="2114">
        <f>D2248-'Blocking-Step2'!D2248</f>
        <v>0</v>
      </c>
      <c r="AC2248" s="2114">
        <f>F2248-'Blocking-Step2'!F2248</f>
        <v>0</v>
      </c>
      <c r="AE2248" s="2114">
        <f>H2248-'Blocking-Step2'!H2248</f>
        <v>0</v>
      </c>
      <c r="AF2248" s="2114">
        <f>I2248-'Blocking-Step2'!I2248</f>
        <v>0</v>
      </c>
      <c r="AH2248" s="2136">
        <f>K2248-'Blocking-Step2'!K2248</f>
        <v>0</v>
      </c>
      <c r="AJ2248" s="2136">
        <f>M2248-'Blocking-Step2'!M2248</f>
        <v>0</v>
      </c>
      <c r="AL2248" s="2136">
        <f>O2248-'Blocking-Step2'!O2248</f>
        <v>0</v>
      </c>
      <c r="AN2248" s="2137">
        <f>Q2248-'Blocking-Step2'!Q2248</f>
        <v>0</v>
      </c>
      <c r="AP2248" s="2127">
        <f>S2248-'Blocking-Step2'!S2248</f>
        <v>0</v>
      </c>
      <c r="AR2248" s="2127">
        <f>U2248-'Blocking-Step2'!U2248</f>
        <v>0</v>
      </c>
      <c r="AT2248" s="2127">
        <f>W2248-'Blocking-Step2'!W2248</f>
        <v>0</v>
      </c>
      <c r="AV2248" s="2128">
        <f>Y2248-'Blocking-Step2'!Y2248</f>
        <v>0</v>
      </c>
    </row>
    <row r="2249" spans="1:48">
      <c r="A2249" s="1116" t="s">
        <v>317</v>
      </c>
      <c r="B2249" s="1116"/>
      <c r="C2249" s="1105"/>
      <c r="D2249" s="1105"/>
      <c r="F2249" s="1139"/>
      <c r="G2249" s="1110"/>
      <c r="H2249" s="1146"/>
      <c r="I2249" s="1146"/>
      <c r="K2249" s="1139"/>
      <c r="L2249" s="1110"/>
      <c r="M2249" s="1139"/>
      <c r="N2249" s="1110"/>
      <c r="O2249" s="1139"/>
      <c r="P2249" s="1110"/>
      <c r="Q2249" s="1139"/>
      <c r="R2249" s="1110"/>
      <c r="S2249" s="1146"/>
      <c r="T2249" s="1629"/>
      <c r="U2249" s="1146"/>
      <c r="V2249" s="1629"/>
      <c r="W2249" s="1146"/>
      <c r="X2249" s="1629"/>
      <c r="Y2249" s="1146"/>
      <c r="Z2249" s="2114">
        <f>C2249-'Blocking-Step2'!C2249</f>
        <v>0</v>
      </c>
      <c r="AA2249" s="2114">
        <f>D2249-'Blocking-Step2'!D2249</f>
        <v>0</v>
      </c>
      <c r="AC2249" s="2114">
        <f>F2249-'Blocking-Step2'!F2249</f>
        <v>0</v>
      </c>
      <c r="AE2249" s="2114">
        <f>H2249-'Blocking-Step2'!H2249</f>
        <v>0</v>
      </c>
      <c r="AF2249" s="2114">
        <f>I2249-'Blocking-Step2'!I2249</f>
        <v>0</v>
      </c>
      <c r="AH2249" s="2136">
        <f>K2249-'Blocking-Step2'!K2249</f>
        <v>0</v>
      </c>
      <c r="AJ2249" s="2136">
        <f>M2249-'Blocking-Step2'!M2249</f>
        <v>0</v>
      </c>
      <c r="AL2249" s="2136">
        <f>O2249-'Blocking-Step2'!O2249</f>
        <v>0</v>
      </c>
      <c r="AN2249" s="2137">
        <f>Q2249-'Blocking-Step2'!Q2249</f>
        <v>0</v>
      </c>
      <c r="AP2249" s="2127">
        <f>S2249-'Blocking-Step2'!S2249</f>
        <v>0</v>
      </c>
      <c r="AR2249" s="2127">
        <f>U2249-'Blocking-Step2'!U2249</f>
        <v>0</v>
      </c>
      <c r="AT2249" s="2127">
        <f>W2249-'Blocking-Step2'!W2249</f>
        <v>0</v>
      </c>
      <c r="AV2249" s="2128">
        <f>Y2249-'Blocking-Step2'!Y2249</f>
        <v>0</v>
      </c>
    </row>
    <row r="2250" spans="1:48">
      <c r="A2250" s="1116" t="s">
        <v>944</v>
      </c>
      <c r="B2250" s="1116"/>
      <c r="C2250" s="1105">
        <v>0</v>
      </c>
      <c r="D2250" s="1105">
        <v>0</v>
      </c>
      <c r="F2250" s="1139">
        <v>40.81</v>
      </c>
      <c r="G2250" s="1110"/>
      <c r="H2250" s="1146">
        <v>0</v>
      </c>
      <c r="I2250" s="1146">
        <v>0</v>
      </c>
      <c r="K2250" s="1139"/>
      <c r="L2250" s="1110"/>
      <c r="M2250" s="1139"/>
      <c r="N2250" s="1110"/>
      <c r="O2250" s="1139"/>
      <c r="P2250" s="1110"/>
      <c r="Q2250" s="1139"/>
      <c r="R2250" s="1110"/>
      <c r="S2250" s="1146"/>
      <c r="T2250" s="1629"/>
      <c r="U2250" s="1146"/>
      <c r="V2250" s="1629"/>
      <c r="W2250" s="1146"/>
      <c r="X2250" s="1629"/>
      <c r="Y2250" s="1146"/>
      <c r="Z2250" s="2114">
        <f>C2250-'Blocking-Step2'!C2250</f>
        <v>0</v>
      </c>
      <c r="AA2250" s="2114">
        <f>D2250-'Blocking-Step2'!D2250</f>
        <v>0</v>
      </c>
      <c r="AC2250" s="2114">
        <f>F2250-'Blocking-Step2'!F2250</f>
        <v>0</v>
      </c>
      <c r="AE2250" s="2114">
        <f>H2250-'Blocking-Step2'!H2250</f>
        <v>0</v>
      </c>
      <c r="AF2250" s="2114">
        <f>I2250-'Blocking-Step2'!I2250</f>
        <v>0</v>
      </c>
      <c r="AH2250" s="2136">
        <f>K2250-'Blocking-Step2'!K2250</f>
        <v>0</v>
      </c>
      <c r="AJ2250" s="2136">
        <f>M2250-'Blocking-Step2'!M2250</f>
        <v>0</v>
      </c>
      <c r="AL2250" s="2136">
        <f>O2250-'Blocking-Step2'!O2250</f>
        <v>0</v>
      </c>
      <c r="AN2250" s="2137">
        <f>Q2250-'Blocking-Step2'!Q2250</f>
        <v>0</v>
      </c>
      <c r="AP2250" s="2127">
        <f>S2250-'Blocking-Step2'!S2250</f>
        <v>0</v>
      </c>
      <c r="AR2250" s="2127">
        <f>U2250-'Blocking-Step2'!U2250</f>
        <v>0</v>
      </c>
      <c r="AT2250" s="2127">
        <f>W2250-'Blocking-Step2'!W2250</f>
        <v>0</v>
      </c>
      <c r="AV2250" s="2128">
        <f>Y2250-'Blocking-Step2'!Y2250</f>
        <v>0</v>
      </c>
    </row>
    <row r="2251" spans="1:48">
      <c r="A2251" s="1116" t="s">
        <v>945</v>
      </c>
      <c r="B2251" s="1116"/>
      <c r="C2251" s="1105">
        <v>0</v>
      </c>
      <c r="D2251" s="1105">
        <v>0</v>
      </c>
      <c r="F2251" s="1139">
        <v>32.04</v>
      </c>
      <c r="G2251" s="1110"/>
      <c r="H2251" s="1146">
        <v>0</v>
      </c>
      <c r="I2251" s="1146">
        <v>0</v>
      </c>
      <c r="K2251" s="1139"/>
      <c r="L2251" s="1110"/>
      <c r="M2251" s="1139"/>
      <c r="N2251" s="1110"/>
      <c r="O2251" s="1139"/>
      <c r="P2251" s="1110"/>
      <c r="Q2251" s="1139"/>
      <c r="R2251" s="1110"/>
      <c r="S2251" s="1146"/>
      <c r="T2251" s="1629"/>
      <c r="U2251" s="1146"/>
      <c r="V2251" s="1629"/>
      <c r="W2251" s="1146"/>
      <c r="X2251" s="1629"/>
      <c r="Y2251" s="1146"/>
      <c r="Z2251" s="2114">
        <f>C2251-'Blocking-Step2'!C2251</f>
        <v>0</v>
      </c>
      <c r="AA2251" s="2114">
        <f>D2251-'Blocking-Step2'!D2251</f>
        <v>0</v>
      </c>
      <c r="AC2251" s="2114">
        <f>F2251-'Blocking-Step2'!F2251</f>
        <v>0</v>
      </c>
      <c r="AE2251" s="2114">
        <f>H2251-'Blocking-Step2'!H2251</f>
        <v>0</v>
      </c>
      <c r="AF2251" s="2114">
        <f>I2251-'Blocking-Step2'!I2251</f>
        <v>0</v>
      </c>
      <c r="AH2251" s="2136">
        <f>K2251-'Blocking-Step2'!K2251</f>
        <v>0</v>
      </c>
      <c r="AJ2251" s="2136">
        <f>M2251-'Blocking-Step2'!M2251</f>
        <v>0</v>
      </c>
      <c r="AL2251" s="2136">
        <f>O2251-'Blocking-Step2'!O2251</f>
        <v>0</v>
      </c>
      <c r="AN2251" s="2137">
        <f>Q2251-'Blocking-Step2'!Q2251</f>
        <v>0</v>
      </c>
      <c r="AP2251" s="2127">
        <f>S2251-'Blocking-Step2'!S2251</f>
        <v>0</v>
      </c>
      <c r="AR2251" s="2127">
        <f>U2251-'Blocking-Step2'!U2251</f>
        <v>0</v>
      </c>
      <c r="AT2251" s="2127">
        <f>W2251-'Blocking-Step2'!W2251</f>
        <v>0</v>
      </c>
      <c r="AV2251" s="2128">
        <f>Y2251-'Blocking-Step2'!Y2251</f>
        <v>0</v>
      </c>
    </row>
    <row r="2252" spans="1:48">
      <c r="A2252" s="2008" t="s">
        <v>183</v>
      </c>
      <c r="C2252" s="1105"/>
      <c r="D2252" s="1105"/>
      <c r="F2252" s="1141"/>
      <c r="K2252" s="1141"/>
      <c r="M2252" s="1141"/>
      <c r="O2252" s="1141"/>
      <c r="Q2252" s="1141"/>
      <c r="S2252" s="1627"/>
      <c r="U2252" s="1627"/>
      <c r="W2252" s="1627"/>
      <c r="Z2252" s="2114">
        <f>C2252-'Blocking-Step2'!C2252</f>
        <v>0</v>
      </c>
      <c r="AA2252" s="2114">
        <f>D2252-'Blocking-Step2'!D2252</f>
        <v>0</v>
      </c>
      <c r="AC2252" s="2114">
        <f>F2252-'Blocking-Step2'!F2252</f>
        <v>0</v>
      </c>
      <c r="AE2252" s="2114">
        <f>H2252-'Blocking-Step2'!H2252</f>
        <v>0</v>
      </c>
      <c r="AF2252" s="2114">
        <f>I2252-'Blocking-Step2'!I2252</f>
        <v>0</v>
      </c>
      <c r="AH2252" s="2136">
        <f>K2252-'Blocking-Step2'!K2252</f>
        <v>0</v>
      </c>
      <c r="AJ2252" s="2136">
        <f>M2252-'Blocking-Step2'!M2252</f>
        <v>0</v>
      </c>
      <c r="AL2252" s="2136">
        <f>O2252-'Blocking-Step2'!O2252</f>
        <v>0</v>
      </c>
      <c r="AN2252" s="2137">
        <f>Q2252-'Blocking-Step2'!Q2252</f>
        <v>0</v>
      </c>
      <c r="AP2252" s="2127">
        <f>S2252-'Blocking-Step2'!S2252</f>
        <v>0</v>
      </c>
      <c r="AR2252" s="2127">
        <f>U2252-'Blocking-Step2'!U2252</f>
        <v>0</v>
      </c>
      <c r="AT2252" s="2127">
        <f>W2252-'Blocking-Step2'!W2252</f>
        <v>0</v>
      </c>
      <c r="AV2252" s="2128">
        <f>Y2252-'Blocking-Step2'!Y2252</f>
        <v>0</v>
      </c>
    </row>
    <row r="2253" spans="1:48">
      <c r="A2253" s="1116" t="s">
        <v>312</v>
      </c>
      <c r="C2253" s="1105">
        <v>24</v>
      </c>
      <c r="D2253" s="1105">
        <v>25</v>
      </c>
      <c r="F2253" s="1139">
        <v>605</v>
      </c>
      <c r="G2253" s="1110"/>
      <c r="H2253" s="1146">
        <v>14520</v>
      </c>
      <c r="I2253" s="1146">
        <v>15125</v>
      </c>
      <c r="K2253" s="1139">
        <v>627</v>
      </c>
      <c r="L2253" s="1110"/>
      <c r="M2253" s="1139">
        <v>0</v>
      </c>
      <c r="N2253" s="1110"/>
      <c r="O2253" s="1139">
        <v>0</v>
      </c>
      <c r="P2253" s="1110"/>
      <c r="Q2253" s="1139">
        <v>627</v>
      </c>
      <c r="R2253" s="1110"/>
      <c r="S2253" s="1146">
        <v>15675</v>
      </c>
      <c r="T2253" s="1629"/>
      <c r="U2253" s="1146">
        <v>0</v>
      </c>
      <c r="V2253" s="1629"/>
      <c r="W2253" s="1146">
        <v>0</v>
      </c>
      <c r="X2253" s="1629"/>
      <c r="Y2253" s="1146">
        <v>15675</v>
      </c>
      <c r="Z2253" s="2114">
        <f>C2253-'Blocking-Step2'!C2253</f>
        <v>0</v>
      </c>
      <c r="AA2253" s="2114">
        <f>D2253-'Blocking-Step2'!D2253</f>
        <v>0</v>
      </c>
      <c r="AC2253" s="2114">
        <f>F2253-'Blocking-Step2'!F2253</f>
        <v>0</v>
      </c>
      <c r="AE2253" s="2114">
        <f>H2253-'Blocking-Step2'!H2253</f>
        <v>0</v>
      </c>
      <c r="AF2253" s="2114">
        <f>I2253-'Blocking-Step2'!I2253</f>
        <v>0</v>
      </c>
      <c r="AH2253" s="2136">
        <f>K2253-'Blocking-Step2'!K2253</f>
        <v>0</v>
      </c>
      <c r="AJ2253" s="2136">
        <f>M2253-'Blocking-Step2'!M2253</f>
        <v>0</v>
      </c>
      <c r="AL2253" s="2136">
        <f>O2253-'Blocking-Step2'!O2253</f>
        <v>0</v>
      </c>
      <c r="AN2253" s="2137">
        <f>Q2253-'Blocking-Step2'!Q2253</f>
        <v>0</v>
      </c>
      <c r="AP2253" s="2127">
        <f>S2253-'Blocking-Step2'!S2253</f>
        <v>0</v>
      </c>
      <c r="AR2253" s="2127">
        <f>U2253-'Blocking-Step2'!U2253</f>
        <v>0</v>
      </c>
      <c r="AT2253" s="2127">
        <f>W2253-'Blocking-Step2'!W2253</f>
        <v>0</v>
      </c>
      <c r="AV2253" s="2128">
        <f>Y2253-'Blocking-Step2'!Y2253</f>
        <v>0</v>
      </c>
    </row>
    <row r="2254" spans="1:48">
      <c r="A2254" s="1116" t="s">
        <v>313</v>
      </c>
      <c r="C2254" s="1105">
        <v>36600</v>
      </c>
      <c r="D2254" s="1105">
        <v>34929</v>
      </c>
      <c r="F2254" s="1139">
        <v>4.46</v>
      </c>
      <c r="G2254" s="1110"/>
      <c r="H2254" s="1146">
        <v>163236</v>
      </c>
      <c r="I2254" s="1146">
        <v>155783</v>
      </c>
      <c r="K2254" s="1139">
        <v>4.63</v>
      </c>
      <c r="L2254" s="1110"/>
      <c r="M2254" s="1139">
        <v>0</v>
      </c>
      <c r="N2254" s="1110"/>
      <c r="O2254" s="1139">
        <v>0</v>
      </c>
      <c r="P2254" s="1110"/>
      <c r="Q2254" s="1139">
        <v>4.63</v>
      </c>
      <c r="R2254" s="1110"/>
      <c r="S2254" s="1146">
        <v>161721</v>
      </c>
      <c r="T2254" s="1629"/>
      <c r="U2254" s="1146">
        <v>0</v>
      </c>
      <c r="V2254" s="1629"/>
      <c r="W2254" s="1146">
        <v>0</v>
      </c>
      <c r="X2254" s="1629"/>
      <c r="Y2254" s="1146">
        <v>161721</v>
      </c>
      <c r="Z2254" s="2114">
        <f>C2254-'Blocking-Step2'!C2254</f>
        <v>0</v>
      </c>
      <c r="AA2254" s="2114">
        <f>D2254-'Blocking-Step2'!D2254</f>
        <v>0</v>
      </c>
      <c r="AC2254" s="2114">
        <f>F2254-'Blocking-Step2'!F2254</f>
        <v>0</v>
      </c>
      <c r="AE2254" s="2114">
        <f>H2254-'Blocking-Step2'!H2254</f>
        <v>0</v>
      </c>
      <c r="AF2254" s="2114">
        <f>I2254-'Blocking-Step2'!I2254</f>
        <v>0</v>
      </c>
      <c r="AH2254" s="2136">
        <f>K2254-'Blocking-Step2'!K2254</f>
        <v>0</v>
      </c>
      <c r="AJ2254" s="2136">
        <f>M2254-'Blocking-Step2'!M2254</f>
        <v>0</v>
      </c>
      <c r="AL2254" s="2136">
        <f>O2254-'Blocking-Step2'!O2254</f>
        <v>0</v>
      </c>
      <c r="AN2254" s="2137">
        <f>Q2254-'Blocking-Step2'!Q2254</f>
        <v>0</v>
      </c>
      <c r="AP2254" s="2127">
        <f>S2254-'Blocking-Step2'!S2254</f>
        <v>0</v>
      </c>
      <c r="AR2254" s="2127">
        <f>U2254-'Blocking-Step2'!U2254</f>
        <v>0</v>
      </c>
      <c r="AT2254" s="2127">
        <f>W2254-'Blocking-Step2'!W2254</f>
        <v>0</v>
      </c>
      <c r="AV2254" s="2128">
        <f>Y2254-'Blocking-Step2'!Y2254</f>
        <v>0</v>
      </c>
    </row>
    <row r="2255" spans="1:48">
      <c r="A2255" s="1116" t="s">
        <v>314</v>
      </c>
      <c r="C2255" s="1105"/>
      <c r="D2255" s="1105"/>
      <c r="F2255" s="1139"/>
      <c r="G2255" s="1110"/>
      <c r="H2255" s="1146"/>
      <c r="I2255" s="1146"/>
      <c r="K2255" s="1140"/>
      <c r="L2255" s="617"/>
      <c r="M2255" s="1140"/>
      <c r="N2255" s="617"/>
      <c r="O2255" s="1140"/>
      <c r="P2255" s="1110"/>
      <c r="Q2255" s="1140"/>
      <c r="R2255" s="1110"/>
      <c r="S2255" s="1146"/>
      <c r="T2255" s="1629"/>
      <c r="U2255" s="1146"/>
      <c r="V2255" s="1629"/>
      <c r="W2255" s="1146"/>
      <c r="X2255" s="1629"/>
      <c r="Y2255" s="1146"/>
      <c r="Z2255" s="2114">
        <f>C2255-'Blocking-Step2'!C2255</f>
        <v>0</v>
      </c>
      <c r="AA2255" s="2114">
        <f>D2255-'Blocking-Step2'!D2255</f>
        <v>0</v>
      </c>
      <c r="AC2255" s="2114">
        <f>F2255-'Blocking-Step2'!F2255</f>
        <v>0</v>
      </c>
      <c r="AE2255" s="2114">
        <f>H2255-'Blocking-Step2'!H2255</f>
        <v>0</v>
      </c>
      <c r="AF2255" s="2114">
        <f>I2255-'Blocking-Step2'!I2255</f>
        <v>0</v>
      </c>
      <c r="AH2255" s="2136">
        <f>K2255-'Blocking-Step2'!K2255</f>
        <v>0</v>
      </c>
      <c r="AJ2255" s="2136">
        <f>M2255-'Blocking-Step2'!M2255</f>
        <v>0</v>
      </c>
      <c r="AL2255" s="2136">
        <f>O2255-'Blocking-Step2'!O2255</f>
        <v>0</v>
      </c>
      <c r="AN2255" s="2137">
        <f>Q2255-'Blocking-Step2'!Q2255</f>
        <v>0</v>
      </c>
      <c r="AP2255" s="2127">
        <f>S2255-'Blocking-Step2'!S2255</f>
        <v>0</v>
      </c>
      <c r="AR2255" s="2127">
        <f>U2255-'Blocking-Step2'!U2255</f>
        <v>0</v>
      </c>
      <c r="AT2255" s="2127">
        <f>W2255-'Blocking-Step2'!W2255</f>
        <v>0</v>
      </c>
      <c r="AV2255" s="2128">
        <f>Y2255-'Blocking-Step2'!Y2255</f>
        <v>0</v>
      </c>
    </row>
    <row r="2256" spans="1:48">
      <c r="A2256" s="1116" t="s">
        <v>315</v>
      </c>
      <c r="C2256" s="1105"/>
      <c r="D2256" s="1105"/>
      <c r="F2256" s="1139"/>
      <c r="G2256" s="1111"/>
      <c r="H2256" s="1146"/>
      <c r="I2256" s="1146"/>
      <c r="K2256" s="1139"/>
      <c r="L2256" s="1111"/>
      <c r="M2256" s="1139"/>
      <c r="N2256" s="1111"/>
      <c r="O2256" s="1139"/>
      <c r="P2256" s="1111"/>
      <c r="Q2256" s="1139"/>
      <c r="R2256" s="1111"/>
      <c r="S2256" s="1146"/>
      <c r="T2256" s="1629"/>
      <c r="U2256" s="1146"/>
      <c r="V2256" s="1629"/>
      <c r="W2256" s="1146"/>
      <c r="X2256" s="1629"/>
      <c r="Y2256" s="1146"/>
      <c r="Z2256" s="2114">
        <f>C2256-'Blocking-Step2'!C2256</f>
        <v>0</v>
      </c>
      <c r="AA2256" s="2114">
        <f>D2256-'Blocking-Step2'!D2256</f>
        <v>0</v>
      </c>
      <c r="AC2256" s="2114">
        <f>F2256-'Blocking-Step2'!F2256</f>
        <v>0</v>
      </c>
      <c r="AE2256" s="2114">
        <f>H2256-'Blocking-Step2'!H2256</f>
        <v>0</v>
      </c>
      <c r="AF2256" s="2114">
        <f>I2256-'Blocking-Step2'!I2256</f>
        <v>0</v>
      </c>
      <c r="AH2256" s="2136">
        <f>K2256-'Blocking-Step2'!K2256</f>
        <v>0</v>
      </c>
      <c r="AJ2256" s="2136">
        <f>M2256-'Blocking-Step2'!M2256</f>
        <v>0</v>
      </c>
      <c r="AL2256" s="2136">
        <f>O2256-'Blocking-Step2'!O2256</f>
        <v>0</v>
      </c>
      <c r="AN2256" s="2137">
        <f>Q2256-'Blocking-Step2'!Q2256</f>
        <v>0</v>
      </c>
      <c r="AP2256" s="2127">
        <f>S2256-'Blocking-Step2'!S2256</f>
        <v>0</v>
      </c>
      <c r="AR2256" s="2127">
        <f>U2256-'Blocking-Step2'!U2256</f>
        <v>0</v>
      </c>
      <c r="AT2256" s="2127">
        <f>W2256-'Blocking-Step2'!W2256</f>
        <v>0</v>
      </c>
      <c r="AV2256" s="2128">
        <f>Y2256-'Blocking-Step2'!Y2256</f>
        <v>0</v>
      </c>
    </row>
    <row r="2257" spans="1:48">
      <c r="A2257" s="1116" t="s">
        <v>1668</v>
      </c>
      <c r="C2257" s="1105">
        <v>70696.650348096649</v>
      </c>
      <c r="D2257" s="1105">
        <v>67470</v>
      </c>
      <c r="F2257" s="1139"/>
      <c r="G2257" s="1111"/>
      <c r="H2257" s="1146"/>
      <c r="I2257" s="1146"/>
      <c r="K2257" s="1139">
        <v>0</v>
      </c>
      <c r="L2257" s="1111"/>
      <c r="M2257" s="1139">
        <v>0.89</v>
      </c>
      <c r="N2257" s="1111"/>
      <c r="O2257" s="1139">
        <v>0</v>
      </c>
      <c r="P2257" s="1111"/>
      <c r="Q2257" s="1139">
        <v>0.89</v>
      </c>
      <c r="R2257" s="1111"/>
      <c r="S2257" s="1146">
        <v>0</v>
      </c>
      <c r="T2257" s="1629"/>
      <c r="U2257" s="1146">
        <v>60048</v>
      </c>
      <c r="V2257" s="1629"/>
      <c r="W2257" s="1146">
        <v>0</v>
      </c>
      <c r="X2257" s="1629"/>
      <c r="Y2257" s="1146">
        <v>60048</v>
      </c>
      <c r="Z2257" s="2114">
        <f>C2257-'Blocking-Step2'!C2257</f>
        <v>0</v>
      </c>
      <c r="AA2257" s="2114">
        <f>D2257-'Blocking-Step2'!D2257</f>
        <v>0</v>
      </c>
      <c r="AC2257" s="2114">
        <f>F2257-'Blocking-Step2'!F2257</f>
        <v>0</v>
      </c>
      <c r="AE2257" s="2114">
        <f>H2257-'Blocking-Step2'!H2257</f>
        <v>0</v>
      </c>
      <c r="AF2257" s="2114">
        <f>I2257-'Blocking-Step2'!I2257</f>
        <v>0</v>
      </c>
      <c r="AH2257" s="2136">
        <f>K2257-'Blocking-Step2'!K2257</f>
        <v>-0.41</v>
      </c>
      <c r="AJ2257" s="2136">
        <f>M2257-'Blocking-Step2'!M2257</f>
        <v>0.41</v>
      </c>
      <c r="AL2257" s="2136">
        <f>O2257-'Blocking-Step2'!O2257</f>
        <v>0</v>
      </c>
      <c r="AN2257" s="2137">
        <f>Q2257-'Blocking-Step2'!Q2257</f>
        <v>0</v>
      </c>
      <c r="AP2257" s="2127">
        <f>S2257-'Blocking-Step2'!S2257</f>
        <v>-27663</v>
      </c>
      <c r="AR2257" s="2127">
        <f>U2257-'Blocking-Step2'!U2257</f>
        <v>27662</v>
      </c>
      <c r="AT2257" s="2127">
        <f>W2257-'Blocking-Step2'!W2257</f>
        <v>0</v>
      </c>
      <c r="AV2257" s="2128">
        <f>Y2257-'Blocking-Step2'!Y2257</f>
        <v>0</v>
      </c>
    </row>
    <row r="2258" spans="1:48">
      <c r="A2258" s="1116" t="s">
        <v>1669</v>
      </c>
      <c r="C2258" s="1105">
        <v>49579.034602910964</v>
      </c>
      <c r="D2258" s="1105">
        <v>47316</v>
      </c>
      <c r="F2258" s="1139"/>
      <c r="G2258" s="1111"/>
      <c r="H2258" s="1146"/>
      <c r="I2258" s="1146"/>
      <c r="K2258" s="1139">
        <v>0</v>
      </c>
      <c r="L2258" s="1111"/>
      <c r="M2258" s="1139">
        <v>0.79</v>
      </c>
      <c r="N2258" s="1111"/>
      <c r="O2258" s="1139">
        <v>0</v>
      </c>
      <c r="P2258" s="1111"/>
      <c r="Q2258" s="1139">
        <v>0.79</v>
      </c>
      <c r="R2258" s="1111"/>
      <c r="S2258" s="1146">
        <v>0</v>
      </c>
      <c r="T2258" s="1629"/>
      <c r="U2258" s="1146">
        <v>37380</v>
      </c>
      <c r="V2258" s="1629"/>
      <c r="W2258" s="1146">
        <v>0</v>
      </c>
      <c r="X2258" s="1629"/>
      <c r="Y2258" s="1146">
        <v>37380</v>
      </c>
      <c r="Z2258" s="2114">
        <f>C2258-'Blocking-Step2'!C2258</f>
        <v>0</v>
      </c>
      <c r="AA2258" s="2114">
        <f>D2258-'Blocking-Step2'!D2258</f>
        <v>0</v>
      </c>
      <c r="AC2258" s="2114">
        <f>F2258-'Blocking-Step2'!F2258</f>
        <v>0</v>
      </c>
      <c r="AE2258" s="2114">
        <f>H2258-'Blocking-Step2'!H2258</f>
        <v>0</v>
      </c>
      <c r="AF2258" s="2114">
        <f>I2258-'Blocking-Step2'!I2258</f>
        <v>0</v>
      </c>
      <c r="AH2258" s="2136">
        <f>K2258-'Blocking-Step2'!K2258</f>
        <v>-0.36</v>
      </c>
      <c r="AJ2258" s="2136">
        <f>M2258-'Blocking-Step2'!M2258</f>
        <v>0.36</v>
      </c>
      <c r="AL2258" s="2136">
        <f>O2258-'Blocking-Step2'!O2258</f>
        <v>0</v>
      </c>
      <c r="AN2258" s="2137">
        <f>Q2258-'Blocking-Step2'!Q2258</f>
        <v>0</v>
      </c>
      <c r="AP2258" s="2127">
        <f>S2258-'Blocking-Step2'!S2258</f>
        <v>-17034</v>
      </c>
      <c r="AR2258" s="2127">
        <f>U2258-'Blocking-Step2'!U2258</f>
        <v>17034</v>
      </c>
      <c r="AT2258" s="2127">
        <f>W2258-'Blocking-Step2'!W2258</f>
        <v>0</v>
      </c>
      <c r="AV2258" s="2128">
        <f>Y2258-'Blocking-Step2'!Y2258</f>
        <v>0</v>
      </c>
    </row>
    <row r="2259" spans="1:48">
      <c r="A2259" s="1116" t="s">
        <v>316</v>
      </c>
      <c r="C2259" s="1105"/>
      <c r="D2259" s="1105"/>
      <c r="F2259" s="1140"/>
      <c r="G2259" s="1112"/>
      <c r="H2259" s="1146"/>
      <c r="I2259" s="1146"/>
      <c r="K2259" s="1140"/>
      <c r="L2259" s="1112"/>
      <c r="M2259" s="1140"/>
      <c r="N2259" s="1112"/>
      <c r="O2259" s="1140"/>
      <c r="P2259" s="1112"/>
      <c r="Q2259" s="1140"/>
      <c r="R2259" s="1112"/>
      <c r="S2259" s="1146"/>
      <c r="T2259" s="1114"/>
      <c r="U2259" s="1146"/>
      <c r="V2259" s="1114"/>
      <c r="W2259" s="1146"/>
      <c r="X2259" s="1114"/>
      <c r="Y2259" s="1146"/>
      <c r="Z2259" s="2114">
        <f>C2259-'Blocking-Step2'!C2259</f>
        <v>0</v>
      </c>
      <c r="AA2259" s="2114">
        <f>D2259-'Blocking-Step2'!D2259</f>
        <v>0</v>
      </c>
      <c r="AC2259" s="2114">
        <f>F2259-'Blocking-Step2'!F2259</f>
        <v>0</v>
      </c>
      <c r="AE2259" s="2114">
        <f>H2259-'Blocking-Step2'!H2259</f>
        <v>0</v>
      </c>
      <c r="AF2259" s="2114">
        <f>I2259-'Blocking-Step2'!I2259</f>
        <v>0</v>
      </c>
      <c r="AH2259" s="2136">
        <f>K2259-'Blocking-Step2'!K2259</f>
        <v>0</v>
      </c>
      <c r="AJ2259" s="2136">
        <f>M2259-'Blocking-Step2'!M2259</f>
        <v>0</v>
      </c>
      <c r="AL2259" s="2136">
        <f>O2259-'Blocking-Step2'!O2259</f>
        <v>0</v>
      </c>
      <c r="AN2259" s="2137">
        <f>Q2259-'Blocking-Step2'!Q2259</f>
        <v>0</v>
      </c>
      <c r="AP2259" s="2127">
        <f>S2259-'Blocking-Step2'!S2259</f>
        <v>0</v>
      </c>
      <c r="AR2259" s="2127">
        <f>U2259-'Blocking-Step2'!U2259</f>
        <v>0</v>
      </c>
      <c r="AT2259" s="2127">
        <f>W2259-'Blocking-Step2'!W2259</f>
        <v>0</v>
      </c>
      <c r="AV2259" s="2128">
        <f>Y2259-'Blocking-Step2'!Y2259</f>
        <v>0</v>
      </c>
    </row>
    <row r="2260" spans="1:48">
      <c r="A2260" s="1116" t="s">
        <v>1668</v>
      </c>
      <c r="C2260" s="1105">
        <v>1582.2885037622348</v>
      </c>
      <c r="D2260" s="1105">
        <v>1510</v>
      </c>
      <c r="F2260" s="1140"/>
      <c r="G2260" s="1112"/>
      <c r="H2260" s="1146"/>
      <c r="I2260" s="1146"/>
      <c r="K2260" s="1140">
        <v>0</v>
      </c>
      <c r="L2260" s="1112"/>
      <c r="M2260" s="1139">
        <v>0.45</v>
      </c>
      <c r="N2260" s="1111"/>
      <c r="O2260" s="1139">
        <v>0</v>
      </c>
      <c r="P2260" s="1112"/>
      <c r="Q2260" s="1139">
        <v>0.45</v>
      </c>
      <c r="R2260" s="1112"/>
      <c r="S2260" s="1146">
        <v>0</v>
      </c>
      <c r="T2260" s="1114"/>
      <c r="U2260" s="1146">
        <v>680</v>
      </c>
      <c r="V2260" s="1114"/>
      <c r="W2260" s="1146">
        <v>0</v>
      </c>
      <c r="X2260" s="1114"/>
      <c r="Y2260" s="1146">
        <v>680</v>
      </c>
      <c r="Z2260" s="2114">
        <f>C2260-'Blocking-Step2'!C2260</f>
        <v>0</v>
      </c>
      <c r="AA2260" s="2114">
        <f>D2260-'Blocking-Step2'!D2260</f>
        <v>0</v>
      </c>
      <c r="AC2260" s="2114">
        <f>F2260-'Blocking-Step2'!F2260</f>
        <v>0</v>
      </c>
      <c r="AE2260" s="2114">
        <f>H2260-'Blocking-Step2'!H2260</f>
        <v>0</v>
      </c>
      <c r="AF2260" s="2114">
        <f>I2260-'Blocking-Step2'!I2260</f>
        <v>0</v>
      </c>
      <c r="AH2260" s="2136">
        <f>K2260-'Blocking-Step2'!K2260</f>
        <v>-0.21</v>
      </c>
      <c r="AJ2260" s="2136">
        <f>M2260-'Blocking-Step2'!M2260</f>
        <v>0.21</v>
      </c>
      <c r="AL2260" s="2136">
        <f>O2260-'Blocking-Step2'!O2260</f>
        <v>0</v>
      </c>
      <c r="AN2260" s="2137">
        <f>Q2260-'Blocking-Step2'!Q2260</f>
        <v>0</v>
      </c>
      <c r="AP2260" s="2127">
        <f>S2260-'Blocking-Step2'!S2260</f>
        <v>-317</v>
      </c>
      <c r="AR2260" s="2127">
        <f>U2260-'Blocking-Step2'!U2260</f>
        <v>318</v>
      </c>
      <c r="AT2260" s="2127">
        <f>W2260-'Blocking-Step2'!W2260</f>
        <v>0</v>
      </c>
      <c r="AV2260" s="2128">
        <f>Y2260-'Blocking-Step2'!Y2260</f>
        <v>0</v>
      </c>
    </row>
    <row r="2261" spans="1:48">
      <c r="A2261" s="1116" t="s">
        <v>1669</v>
      </c>
      <c r="C2261" s="1105">
        <v>0</v>
      </c>
      <c r="D2261" s="1105">
        <v>0</v>
      </c>
      <c r="F2261" s="1140"/>
      <c r="G2261" s="1112"/>
      <c r="H2261" s="1146"/>
      <c r="I2261" s="1146"/>
      <c r="K2261" s="1140">
        <v>0</v>
      </c>
      <c r="L2261" s="1112"/>
      <c r="M2261" s="1139">
        <v>0.4</v>
      </c>
      <c r="N2261" s="1111"/>
      <c r="O2261" s="1139">
        <v>0</v>
      </c>
      <c r="P2261" s="1112"/>
      <c r="Q2261" s="1139">
        <v>0.4</v>
      </c>
      <c r="R2261" s="1112"/>
      <c r="S2261" s="1146">
        <v>0</v>
      </c>
      <c r="T2261" s="1114"/>
      <c r="U2261" s="1146">
        <v>0</v>
      </c>
      <c r="V2261" s="1114"/>
      <c r="W2261" s="1146">
        <v>0</v>
      </c>
      <c r="X2261" s="1114"/>
      <c r="Y2261" s="1146">
        <v>0</v>
      </c>
      <c r="Z2261" s="2114">
        <f>C2261-'Blocking-Step2'!C2261</f>
        <v>0</v>
      </c>
      <c r="AA2261" s="2114">
        <f>D2261-'Blocking-Step2'!D2261</f>
        <v>0</v>
      </c>
      <c r="AC2261" s="2114">
        <f>F2261-'Blocking-Step2'!F2261</f>
        <v>0</v>
      </c>
      <c r="AE2261" s="2114">
        <f>H2261-'Blocking-Step2'!H2261</f>
        <v>0</v>
      </c>
      <c r="AF2261" s="2114">
        <f>I2261-'Blocking-Step2'!I2261</f>
        <v>0</v>
      </c>
      <c r="AH2261" s="2136">
        <f>K2261-'Blocking-Step2'!K2261</f>
        <v>-0.18</v>
      </c>
      <c r="AJ2261" s="2136">
        <f>M2261-'Blocking-Step2'!M2261</f>
        <v>0.18</v>
      </c>
      <c r="AL2261" s="2136">
        <f>O2261-'Blocking-Step2'!O2261</f>
        <v>0</v>
      </c>
      <c r="AN2261" s="2137">
        <f>Q2261-'Blocking-Step2'!Q2261</f>
        <v>0</v>
      </c>
      <c r="AP2261" s="2127">
        <f>S2261-'Blocking-Step2'!S2261</f>
        <v>0</v>
      </c>
      <c r="AR2261" s="2127">
        <f>U2261-'Blocking-Step2'!U2261</f>
        <v>0</v>
      </c>
      <c r="AT2261" s="2127">
        <f>W2261-'Blocking-Step2'!W2261</f>
        <v>0</v>
      </c>
      <c r="AV2261" s="2128">
        <f>Y2261-'Blocking-Step2'!Y2261</f>
        <v>0</v>
      </c>
    </row>
    <row r="2262" spans="1:48">
      <c r="A2262" s="1116" t="s">
        <v>317</v>
      </c>
      <c r="C2262" s="1105"/>
      <c r="D2262" s="1105"/>
      <c r="F2262" s="1139"/>
      <c r="G2262" s="1110"/>
      <c r="H2262" s="1146"/>
      <c r="I2262" s="1146"/>
      <c r="K2262" s="1139"/>
      <c r="L2262" s="1110"/>
      <c r="M2262" s="1139"/>
      <c r="N2262" s="1110"/>
      <c r="O2262" s="1139"/>
      <c r="P2262" s="1110"/>
      <c r="Q2262" s="1139"/>
      <c r="R2262" s="1110"/>
      <c r="S2262" s="1146"/>
      <c r="T2262" s="1629"/>
      <c r="U2262" s="1146"/>
      <c r="V2262" s="1629"/>
      <c r="W2262" s="1146"/>
      <c r="X2262" s="1629"/>
      <c r="Y2262" s="1146"/>
      <c r="Z2262" s="2114">
        <f>C2262-'Blocking-Step2'!C2262</f>
        <v>0</v>
      </c>
      <c r="AA2262" s="2114">
        <f>D2262-'Blocking-Step2'!D2262</f>
        <v>0</v>
      </c>
      <c r="AC2262" s="2114">
        <f>F2262-'Blocking-Step2'!F2262</f>
        <v>0</v>
      </c>
      <c r="AE2262" s="2114">
        <f>H2262-'Blocking-Step2'!H2262</f>
        <v>0</v>
      </c>
      <c r="AF2262" s="2114">
        <f>I2262-'Blocking-Step2'!I2262</f>
        <v>0</v>
      </c>
      <c r="AH2262" s="2136">
        <f>K2262-'Blocking-Step2'!K2262</f>
        <v>0</v>
      </c>
      <c r="AJ2262" s="2136">
        <f>M2262-'Blocking-Step2'!M2262</f>
        <v>0</v>
      </c>
      <c r="AL2262" s="2136">
        <f>O2262-'Blocking-Step2'!O2262</f>
        <v>0</v>
      </c>
      <c r="AN2262" s="2137">
        <f>Q2262-'Blocking-Step2'!Q2262</f>
        <v>0</v>
      </c>
      <c r="AP2262" s="2127">
        <f>S2262-'Blocking-Step2'!S2262</f>
        <v>0</v>
      </c>
      <c r="AR2262" s="2127">
        <f>U2262-'Blocking-Step2'!U2262</f>
        <v>0</v>
      </c>
      <c r="AT2262" s="2127">
        <f>W2262-'Blocking-Step2'!W2262</f>
        <v>0</v>
      </c>
      <c r="AV2262" s="2128">
        <f>Y2262-'Blocking-Step2'!Y2262</f>
        <v>0</v>
      </c>
    </row>
    <row r="2263" spans="1:48">
      <c r="A2263" s="1116" t="s">
        <v>1668</v>
      </c>
      <c r="C2263" s="1105">
        <v>148.49169035307125</v>
      </c>
      <c r="D2263" s="1105">
        <v>142</v>
      </c>
      <c r="F2263" s="1139"/>
      <c r="G2263" s="1110"/>
      <c r="H2263" s="1146"/>
      <c r="I2263" s="1146"/>
      <c r="K2263" s="1140">
        <v>0</v>
      </c>
      <c r="L2263" s="1112"/>
      <c r="M2263" s="1139">
        <v>39.97</v>
      </c>
      <c r="N2263" s="1111"/>
      <c r="O2263" s="1139">
        <v>0</v>
      </c>
      <c r="P2263" s="1110"/>
      <c r="Q2263" s="1139">
        <v>39.97</v>
      </c>
      <c r="R2263" s="1110"/>
      <c r="S2263" s="1146">
        <v>0</v>
      </c>
      <c r="T2263" s="1629"/>
      <c r="U2263" s="1146">
        <v>5676</v>
      </c>
      <c r="V2263" s="1629"/>
      <c r="W2263" s="1146">
        <v>0</v>
      </c>
      <c r="X2263" s="1629"/>
      <c r="Y2263" s="1146">
        <v>5676</v>
      </c>
      <c r="Z2263" s="2114">
        <f>C2263-'Blocking-Step2'!C2263</f>
        <v>0</v>
      </c>
      <c r="AA2263" s="2114">
        <f>D2263-'Blocking-Step2'!D2263</f>
        <v>0</v>
      </c>
      <c r="AC2263" s="2114">
        <f>F2263-'Blocking-Step2'!F2263</f>
        <v>0</v>
      </c>
      <c r="AE2263" s="2114">
        <f>H2263-'Blocking-Step2'!H2263</f>
        <v>0</v>
      </c>
      <c r="AF2263" s="2114">
        <f>I2263-'Blocking-Step2'!I2263</f>
        <v>0</v>
      </c>
      <c r="AH2263" s="2136">
        <f>K2263-'Blocking-Step2'!K2263</f>
        <v>-18.41</v>
      </c>
      <c r="AJ2263" s="2136">
        <f>M2263-'Blocking-Step2'!M2263</f>
        <v>18.41</v>
      </c>
      <c r="AL2263" s="2136">
        <f>O2263-'Blocking-Step2'!O2263</f>
        <v>0</v>
      </c>
      <c r="AN2263" s="2137">
        <f>Q2263-'Blocking-Step2'!Q2263</f>
        <v>0</v>
      </c>
      <c r="AP2263" s="2127">
        <f>S2263-'Blocking-Step2'!S2263</f>
        <v>-2614</v>
      </c>
      <c r="AR2263" s="2127">
        <f>U2263-'Blocking-Step2'!U2263</f>
        <v>2614</v>
      </c>
      <c r="AT2263" s="2127">
        <f>W2263-'Blocking-Step2'!W2263</f>
        <v>0</v>
      </c>
      <c r="AV2263" s="2128">
        <f>Y2263-'Blocking-Step2'!Y2263</f>
        <v>0</v>
      </c>
    </row>
    <row r="2264" spans="1:48">
      <c r="A2264" s="1116" t="s">
        <v>1669</v>
      </c>
      <c r="C2264" s="1105">
        <v>686.10495578422365</v>
      </c>
      <c r="D2264" s="1105">
        <v>655</v>
      </c>
      <c r="F2264" s="1139"/>
      <c r="G2264" s="1110"/>
      <c r="H2264" s="1146"/>
      <c r="I2264" s="1146"/>
      <c r="K2264" s="1140">
        <v>0</v>
      </c>
      <c r="L2264" s="1112"/>
      <c r="M2264" s="1139">
        <v>35.369999999999997</v>
      </c>
      <c r="N2264" s="1111"/>
      <c r="O2264" s="1139">
        <v>0</v>
      </c>
      <c r="P2264" s="1110"/>
      <c r="Q2264" s="1139">
        <v>35.369999999999997</v>
      </c>
      <c r="R2264" s="1110"/>
      <c r="S2264" s="1146">
        <v>0</v>
      </c>
      <c r="T2264" s="1629"/>
      <c r="U2264" s="1146">
        <v>23167</v>
      </c>
      <c r="V2264" s="1629"/>
      <c r="W2264" s="1146">
        <v>0</v>
      </c>
      <c r="X2264" s="1629"/>
      <c r="Y2264" s="1146">
        <v>23167</v>
      </c>
      <c r="Z2264" s="2114">
        <f>C2264-'Blocking-Step2'!C2264</f>
        <v>0</v>
      </c>
      <c r="AA2264" s="2114">
        <f>D2264-'Blocking-Step2'!D2264</f>
        <v>0</v>
      </c>
      <c r="AC2264" s="2114">
        <f>F2264-'Blocking-Step2'!F2264</f>
        <v>0</v>
      </c>
      <c r="AE2264" s="2114">
        <f>H2264-'Blocking-Step2'!H2264</f>
        <v>0</v>
      </c>
      <c r="AF2264" s="2114">
        <f>I2264-'Blocking-Step2'!I2264</f>
        <v>0</v>
      </c>
      <c r="AH2264" s="2136">
        <f>K2264-'Blocking-Step2'!K2264</f>
        <v>-16.12</v>
      </c>
      <c r="AJ2264" s="2136">
        <f>M2264-'Blocking-Step2'!M2264</f>
        <v>16.12</v>
      </c>
      <c r="AL2264" s="2136">
        <f>O2264-'Blocking-Step2'!O2264</f>
        <v>0</v>
      </c>
      <c r="AN2264" s="2137">
        <f>Q2264-'Blocking-Step2'!Q2264</f>
        <v>0</v>
      </c>
      <c r="AP2264" s="2127">
        <f>S2264-'Blocking-Step2'!S2264</f>
        <v>-10559</v>
      </c>
      <c r="AR2264" s="2127">
        <f>U2264-'Blocking-Step2'!U2264</f>
        <v>10558</v>
      </c>
      <c r="AT2264" s="2127">
        <f>W2264-'Blocking-Step2'!W2264</f>
        <v>0</v>
      </c>
      <c r="AV2264" s="2128">
        <f>Y2264-'Blocking-Step2'!Y2264</f>
        <v>0</v>
      </c>
    </row>
    <row r="2265" spans="1:48">
      <c r="A2265" s="1116" t="s">
        <v>315</v>
      </c>
      <c r="C2265" s="1105"/>
      <c r="D2265" s="1105"/>
      <c r="F2265" s="1139"/>
      <c r="G2265" s="1111"/>
      <c r="H2265" s="1146"/>
      <c r="I2265" s="1146"/>
      <c r="K2265" s="1139"/>
      <c r="L2265" s="1111"/>
      <c r="M2265" s="1139"/>
      <c r="N2265" s="1111"/>
      <c r="O2265" s="1139"/>
      <c r="P2265" s="1111"/>
      <c r="Q2265" s="1139"/>
      <c r="R2265" s="1111"/>
      <c r="S2265" s="1146"/>
      <c r="T2265" s="1629"/>
      <c r="U2265" s="1146"/>
      <c r="V2265" s="1629"/>
      <c r="W2265" s="1146"/>
      <c r="X2265" s="1629"/>
      <c r="Y2265" s="1146"/>
      <c r="Z2265" s="2114">
        <f>C2265-'Blocking-Step2'!C2265</f>
        <v>0</v>
      </c>
      <c r="AA2265" s="2114">
        <f>D2265-'Blocking-Step2'!D2265</f>
        <v>0</v>
      </c>
      <c r="AC2265" s="2114">
        <f>F2265-'Blocking-Step2'!F2265</f>
        <v>0</v>
      </c>
      <c r="AE2265" s="2114">
        <f>H2265-'Blocking-Step2'!H2265</f>
        <v>0</v>
      </c>
      <c r="AF2265" s="2114">
        <f>I2265-'Blocking-Step2'!I2265</f>
        <v>0</v>
      </c>
      <c r="AH2265" s="2136">
        <f>K2265-'Blocking-Step2'!K2265</f>
        <v>0</v>
      </c>
      <c r="AJ2265" s="2136">
        <f>M2265-'Blocking-Step2'!M2265</f>
        <v>0</v>
      </c>
      <c r="AL2265" s="2136">
        <f>O2265-'Blocking-Step2'!O2265</f>
        <v>0</v>
      </c>
      <c r="AN2265" s="2137">
        <f>Q2265-'Blocking-Step2'!Q2265</f>
        <v>0</v>
      </c>
      <c r="AP2265" s="2127">
        <f>S2265-'Blocking-Step2'!S2265</f>
        <v>0</v>
      </c>
      <c r="AR2265" s="2127">
        <f>U2265-'Blocking-Step2'!U2265</f>
        <v>0</v>
      </c>
      <c r="AT2265" s="2127">
        <f>W2265-'Blocking-Step2'!W2265</f>
        <v>0</v>
      </c>
      <c r="AV2265" s="2128">
        <f>Y2265-'Blocking-Step2'!Y2265</f>
        <v>0</v>
      </c>
    </row>
    <row r="2266" spans="1:48">
      <c r="A2266" s="1116" t="s">
        <v>944</v>
      </c>
      <c r="C2266" s="1105">
        <v>87126</v>
      </c>
      <c r="D2266" s="1105">
        <v>83149</v>
      </c>
      <c r="F2266" s="1139">
        <v>0.86</v>
      </c>
      <c r="G2266" s="1111"/>
      <c r="H2266" s="1146">
        <v>74928</v>
      </c>
      <c r="I2266" s="1146">
        <v>71508</v>
      </c>
      <c r="K2266" s="1139"/>
      <c r="L2266" s="1111"/>
      <c r="M2266" s="1139"/>
      <c r="N2266" s="1111"/>
      <c r="O2266" s="1139"/>
      <c r="P2266" s="1111"/>
      <c r="Q2266" s="1139"/>
      <c r="R2266" s="1111"/>
      <c r="S2266" s="1146"/>
      <c r="T2266" s="1629"/>
      <c r="U2266" s="1146"/>
      <c r="V2266" s="1629"/>
      <c r="W2266" s="1146"/>
      <c r="X2266" s="1629"/>
      <c r="Y2266" s="1146"/>
      <c r="Z2266" s="2114">
        <f>C2266-'Blocking-Step2'!C2266</f>
        <v>0</v>
      </c>
      <c r="AA2266" s="2114">
        <f>D2266-'Blocking-Step2'!D2266</f>
        <v>0</v>
      </c>
      <c r="AC2266" s="2114">
        <f>F2266-'Blocking-Step2'!F2266</f>
        <v>0</v>
      </c>
      <c r="AE2266" s="2114">
        <f>H2266-'Blocking-Step2'!H2266</f>
        <v>0</v>
      </c>
      <c r="AF2266" s="2114">
        <f>I2266-'Blocking-Step2'!I2266</f>
        <v>0</v>
      </c>
      <c r="AH2266" s="2136">
        <f>K2266-'Blocking-Step2'!K2266</f>
        <v>0</v>
      </c>
      <c r="AJ2266" s="2136">
        <f>M2266-'Blocking-Step2'!M2266</f>
        <v>0</v>
      </c>
      <c r="AL2266" s="2136">
        <f>O2266-'Blocking-Step2'!O2266</f>
        <v>0</v>
      </c>
      <c r="AN2266" s="2137">
        <f>Q2266-'Blocking-Step2'!Q2266</f>
        <v>0</v>
      </c>
      <c r="AP2266" s="2127">
        <f>S2266-'Blocking-Step2'!S2266</f>
        <v>0</v>
      </c>
      <c r="AR2266" s="2127">
        <f>U2266-'Blocking-Step2'!U2266</f>
        <v>0</v>
      </c>
      <c r="AT2266" s="2127">
        <f>W2266-'Blocking-Step2'!W2266</f>
        <v>0</v>
      </c>
      <c r="AV2266" s="2128">
        <f>Y2266-'Blocking-Step2'!Y2266</f>
        <v>0</v>
      </c>
    </row>
    <row r="2267" spans="1:48">
      <c r="A2267" s="1116" t="s">
        <v>945</v>
      </c>
      <c r="C2267" s="1105">
        <v>43646</v>
      </c>
      <c r="D2267" s="1105">
        <v>41654</v>
      </c>
      <c r="F2267" s="1139">
        <v>0.6</v>
      </c>
      <c r="G2267" s="1111"/>
      <c r="H2267" s="1146">
        <v>26188</v>
      </c>
      <c r="I2267" s="1146">
        <v>24992</v>
      </c>
      <c r="K2267" s="1139"/>
      <c r="L2267" s="1111"/>
      <c r="M2267" s="1139"/>
      <c r="N2267" s="1111"/>
      <c r="O2267" s="1139"/>
      <c r="P2267" s="1111"/>
      <c r="Q2267" s="1139"/>
      <c r="R2267" s="1111"/>
      <c r="S2267" s="1146"/>
      <c r="T2267" s="1629"/>
      <c r="U2267" s="1146"/>
      <c r="V2267" s="1629"/>
      <c r="W2267" s="1146"/>
      <c r="X2267" s="1629"/>
      <c r="Y2267" s="1146"/>
      <c r="Z2267" s="2114">
        <f>C2267-'Blocking-Step2'!C2267</f>
        <v>0</v>
      </c>
      <c r="AA2267" s="2114">
        <f>D2267-'Blocking-Step2'!D2267</f>
        <v>0</v>
      </c>
      <c r="AC2267" s="2114">
        <f>F2267-'Blocking-Step2'!F2267</f>
        <v>0</v>
      </c>
      <c r="AE2267" s="2114">
        <f>H2267-'Blocking-Step2'!H2267</f>
        <v>0</v>
      </c>
      <c r="AF2267" s="2114">
        <f>I2267-'Blocking-Step2'!I2267</f>
        <v>0</v>
      </c>
      <c r="AH2267" s="2136">
        <f>K2267-'Blocking-Step2'!K2267</f>
        <v>0</v>
      </c>
      <c r="AJ2267" s="2136">
        <f>M2267-'Blocking-Step2'!M2267</f>
        <v>0</v>
      </c>
      <c r="AL2267" s="2136">
        <f>O2267-'Blocking-Step2'!O2267</f>
        <v>0</v>
      </c>
      <c r="AN2267" s="2137">
        <f>Q2267-'Blocking-Step2'!Q2267</f>
        <v>0</v>
      </c>
      <c r="AP2267" s="2127">
        <f>S2267-'Blocking-Step2'!S2267</f>
        <v>0</v>
      </c>
      <c r="AR2267" s="2127">
        <f>U2267-'Blocking-Step2'!U2267</f>
        <v>0</v>
      </c>
      <c r="AT2267" s="2127">
        <f>W2267-'Blocking-Step2'!W2267</f>
        <v>0</v>
      </c>
      <c r="AV2267" s="2128">
        <f>Y2267-'Blocking-Step2'!Y2267</f>
        <v>0</v>
      </c>
    </row>
    <row r="2268" spans="1:48">
      <c r="A2268" s="1116" t="s">
        <v>316</v>
      </c>
      <c r="C2268" s="1105"/>
      <c r="D2268" s="1105"/>
      <c r="F2268" s="1140"/>
      <c r="G2268" s="1112"/>
      <c r="H2268" s="1146"/>
      <c r="I2268" s="1146"/>
      <c r="K2268" s="1140"/>
      <c r="L2268" s="1112"/>
      <c r="M2268" s="1140"/>
      <c r="N2268" s="1112"/>
      <c r="O2268" s="1140"/>
      <c r="P2268" s="1112"/>
      <c r="Q2268" s="1140"/>
      <c r="R2268" s="1112"/>
      <c r="S2268" s="1146"/>
      <c r="T2268" s="1114"/>
      <c r="U2268" s="1146"/>
      <c r="V2268" s="1114"/>
      <c r="W2268" s="1146"/>
      <c r="X2268" s="1114"/>
      <c r="Y2268" s="1146"/>
      <c r="Z2268" s="2114">
        <f>C2268-'Blocking-Step2'!C2268</f>
        <v>0</v>
      </c>
      <c r="AA2268" s="2114">
        <f>D2268-'Blocking-Step2'!D2268</f>
        <v>0</v>
      </c>
      <c r="AC2268" s="2114">
        <f>F2268-'Blocking-Step2'!F2268</f>
        <v>0</v>
      </c>
      <c r="AE2268" s="2114">
        <f>H2268-'Blocking-Step2'!H2268</f>
        <v>0</v>
      </c>
      <c r="AF2268" s="2114">
        <f>I2268-'Blocking-Step2'!I2268</f>
        <v>0</v>
      </c>
      <c r="AH2268" s="2136">
        <f>K2268-'Blocking-Step2'!K2268</f>
        <v>0</v>
      </c>
      <c r="AJ2268" s="2136">
        <f>M2268-'Blocking-Step2'!M2268</f>
        <v>0</v>
      </c>
      <c r="AL2268" s="2136">
        <f>O2268-'Blocking-Step2'!O2268</f>
        <v>0</v>
      </c>
      <c r="AN2268" s="2137">
        <f>Q2268-'Blocking-Step2'!Q2268</f>
        <v>0</v>
      </c>
      <c r="AP2268" s="2127">
        <f>S2268-'Blocking-Step2'!S2268</f>
        <v>0</v>
      </c>
      <c r="AR2268" s="2127">
        <f>U2268-'Blocking-Step2'!U2268</f>
        <v>0</v>
      </c>
      <c r="AT2268" s="2127">
        <f>W2268-'Blocking-Step2'!W2268</f>
        <v>0</v>
      </c>
      <c r="AV2268" s="2128">
        <f>Y2268-'Blocking-Step2'!Y2268</f>
        <v>0</v>
      </c>
    </row>
    <row r="2269" spans="1:48">
      <c r="A2269" s="1116" t="s">
        <v>944</v>
      </c>
      <c r="C2269" s="1105">
        <v>1950</v>
      </c>
      <c r="D2269" s="1105">
        <v>1861</v>
      </c>
      <c r="F2269" s="1140">
        <v>0.43</v>
      </c>
      <c r="G2269" s="1112"/>
      <c r="H2269" s="1146">
        <v>839</v>
      </c>
      <c r="I2269" s="1146">
        <v>800</v>
      </c>
      <c r="K2269" s="1140"/>
      <c r="L2269" s="1112"/>
      <c r="M2269" s="1140"/>
      <c r="N2269" s="1112"/>
      <c r="O2269" s="1140"/>
      <c r="P2269" s="1112"/>
      <c r="Q2269" s="1140"/>
      <c r="R2269" s="1112"/>
      <c r="S2269" s="1146"/>
      <c r="T2269" s="1114"/>
      <c r="U2269" s="1146"/>
      <c r="V2269" s="1114"/>
      <c r="W2269" s="1146"/>
      <c r="X2269" s="1114"/>
      <c r="Y2269" s="1146"/>
      <c r="Z2269" s="2114">
        <f>C2269-'Blocking-Step2'!C2269</f>
        <v>0</v>
      </c>
      <c r="AA2269" s="2114">
        <f>D2269-'Blocking-Step2'!D2269</f>
        <v>0</v>
      </c>
      <c r="AC2269" s="2114">
        <f>F2269-'Blocking-Step2'!F2269</f>
        <v>0</v>
      </c>
      <c r="AE2269" s="2114">
        <f>H2269-'Blocking-Step2'!H2269</f>
        <v>0</v>
      </c>
      <c r="AF2269" s="2114">
        <f>I2269-'Blocking-Step2'!I2269</f>
        <v>0</v>
      </c>
      <c r="AH2269" s="2136">
        <f>K2269-'Blocking-Step2'!K2269</f>
        <v>0</v>
      </c>
      <c r="AJ2269" s="2136">
        <f>M2269-'Blocking-Step2'!M2269</f>
        <v>0</v>
      </c>
      <c r="AL2269" s="2136">
        <f>O2269-'Blocking-Step2'!O2269</f>
        <v>0</v>
      </c>
      <c r="AN2269" s="2137">
        <f>Q2269-'Blocking-Step2'!Q2269</f>
        <v>0</v>
      </c>
      <c r="AP2269" s="2127">
        <f>S2269-'Blocking-Step2'!S2269</f>
        <v>0</v>
      </c>
      <c r="AR2269" s="2127">
        <f>U2269-'Blocking-Step2'!U2269</f>
        <v>0</v>
      </c>
      <c r="AT2269" s="2127">
        <f>W2269-'Blocking-Step2'!W2269</f>
        <v>0</v>
      </c>
      <c r="AV2269" s="2128">
        <f>Y2269-'Blocking-Step2'!Y2269</f>
        <v>0</v>
      </c>
    </row>
    <row r="2270" spans="1:48">
      <c r="A2270" s="1116" t="s">
        <v>945</v>
      </c>
      <c r="C2270" s="1105">
        <v>0</v>
      </c>
      <c r="D2270" s="1105">
        <v>0</v>
      </c>
      <c r="F2270" s="1140">
        <v>0.3</v>
      </c>
      <c r="G2270" s="1112"/>
      <c r="H2270" s="1146">
        <v>0</v>
      </c>
      <c r="I2270" s="1146">
        <v>0</v>
      </c>
      <c r="K2270" s="1140"/>
      <c r="L2270" s="1112"/>
      <c r="M2270" s="1140"/>
      <c r="N2270" s="1112"/>
      <c r="O2270" s="1140"/>
      <c r="P2270" s="1112"/>
      <c r="Q2270" s="1140"/>
      <c r="R2270" s="1112"/>
      <c r="S2270" s="1146"/>
      <c r="T2270" s="1114"/>
      <c r="U2270" s="1146"/>
      <c r="V2270" s="1114"/>
      <c r="W2270" s="1146"/>
      <c r="X2270" s="1114"/>
      <c r="Y2270" s="1146"/>
      <c r="Z2270" s="2114">
        <f>C2270-'Blocking-Step2'!C2270</f>
        <v>0</v>
      </c>
      <c r="AA2270" s="2114">
        <f>D2270-'Blocking-Step2'!D2270</f>
        <v>0</v>
      </c>
      <c r="AC2270" s="2114">
        <f>F2270-'Blocking-Step2'!F2270</f>
        <v>0</v>
      </c>
      <c r="AE2270" s="2114">
        <f>H2270-'Blocking-Step2'!H2270</f>
        <v>0</v>
      </c>
      <c r="AF2270" s="2114">
        <f>I2270-'Blocking-Step2'!I2270</f>
        <v>0</v>
      </c>
      <c r="AH2270" s="2136">
        <f>K2270-'Blocking-Step2'!K2270</f>
        <v>0</v>
      </c>
      <c r="AJ2270" s="2136">
        <f>M2270-'Blocking-Step2'!M2270</f>
        <v>0</v>
      </c>
      <c r="AL2270" s="2136">
        <f>O2270-'Blocking-Step2'!O2270</f>
        <v>0</v>
      </c>
      <c r="AN2270" s="2137">
        <f>Q2270-'Blocking-Step2'!Q2270</f>
        <v>0</v>
      </c>
      <c r="AP2270" s="2127">
        <f>S2270-'Blocking-Step2'!S2270</f>
        <v>0</v>
      </c>
      <c r="AR2270" s="2127">
        <f>U2270-'Blocking-Step2'!U2270</f>
        <v>0</v>
      </c>
      <c r="AT2270" s="2127">
        <f>W2270-'Blocking-Step2'!W2270</f>
        <v>0</v>
      </c>
      <c r="AV2270" s="2128">
        <f>Y2270-'Blocking-Step2'!Y2270</f>
        <v>0</v>
      </c>
    </row>
    <row r="2271" spans="1:48">
      <c r="A2271" s="1116" t="s">
        <v>317</v>
      </c>
      <c r="C2271" s="1105"/>
      <c r="D2271" s="1105"/>
      <c r="F2271" s="1139"/>
      <c r="G2271" s="1110"/>
      <c r="H2271" s="1146"/>
      <c r="I2271" s="1146"/>
      <c r="K2271" s="1139"/>
      <c r="L2271" s="1110"/>
      <c r="M2271" s="1139"/>
      <c r="N2271" s="1110"/>
      <c r="O2271" s="1139"/>
      <c r="P2271" s="1110"/>
      <c r="Q2271" s="1139"/>
      <c r="R2271" s="1110"/>
      <c r="S2271" s="1146"/>
      <c r="T2271" s="1629"/>
      <c r="U2271" s="1146"/>
      <c r="V2271" s="1629"/>
      <c r="W2271" s="1146"/>
      <c r="X2271" s="1629"/>
      <c r="Y2271" s="1146"/>
      <c r="Z2271" s="2114">
        <f>C2271-'Blocking-Step2'!C2271</f>
        <v>0</v>
      </c>
      <c r="AA2271" s="2114">
        <f>D2271-'Blocking-Step2'!D2271</f>
        <v>0</v>
      </c>
      <c r="AC2271" s="2114">
        <f>F2271-'Blocking-Step2'!F2271</f>
        <v>0</v>
      </c>
      <c r="AE2271" s="2114">
        <f>H2271-'Blocking-Step2'!H2271</f>
        <v>0</v>
      </c>
      <c r="AF2271" s="2114">
        <f>I2271-'Blocking-Step2'!I2271</f>
        <v>0</v>
      </c>
      <c r="AH2271" s="2136">
        <f>K2271-'Blocking-Step2'!K2271</f>
        <v>0</v>
      </c>
      <c r="AJ2271" s="2136">
        <f>M2271-'Blocking-Step2'!M2271</f>
        <v>0</v>
      </c>
      <c r="AL2271" s="2136">
        <f>O2271-'Blocking-Step2'!O2271</f>
        <v>0</v>
      </c>
      <c r="AN2271" s="2137">
        <f>Q2271-'Blocking-Step2'!Q2271</f>
        <v>0</v>
      </c>
      <c r="AP2271" s="2127">
        <f>S2271-'Blocking-Step2'!S2271</f>
        <v>0</v>
      </c>
      <c r="AR2271" s="2127">
        <f>U2271-'Blocking-Step2'!U2271</f>
        <v>0</v>
      </c>
      <c r="AT2271" s="2127">
        <f>W2271-'Blocking-Step2'!W2271</f>
        <v>0</v>
      </c>
      <c r="AV2271" s="2128">
        <f>Y2271-'Blocking-Step2'!Y2271</f>
        <v>0</v>
      </c>
    </row>
    <row r="2272" spans="1:48">
      <c r="A2272" s="1116" t="s">
        <v>944</v>
      </c>
      <c r="C2272" s="1105">
        <v>183</v>
      </c>
      <c r="D2272" s="1105">
        <v>175</v>
      </c>
      <c r="F2272" s="1139">
        <v>38.54</v>
      </c>
      <c r="G2272" s="1110"/>
      <c r="H2272" s="1146">
        <v>7053</v>
      </c>
      <c r="I2272" s="1146">
        <v>6745</v>
      </c>
      <c r="K2272" s="1139"/>
      <c r="L2272" s="1110"/>
      <c r="M2272" s="1139"/>
      <c r="N2272" s="1110"/>
      <c r="O2272" s="1139"/>
      <c r="P2272" s="1110"/>
      <c r="Q2272" s="1139"/>
      <c r="R2272" s="1110"/>
      <c r="S2272" s="1146"/>
      <c r="T2272" s="1629"/>
      <c r="U2272" s="1146"/>
      <c r="V2272" s="1629"/>
      <c r="W2272" s="1146"/>
      <c r="X2272" s="1629"/>
      <c r="Y2272" s="1146"/>
      <c r="Z2272" s="2114">
        <f>C2272-'Blocking-Step2'!C2272</f>
        <v>0</v>
      </c>
      <c r="AA2272" s="2114">
        <f>D2272-'Blocking-Step2'!D2272</f>
        <v>0</v>
      </c>
      <c r="AC2272" s="2114">
        <f>F2272-'Blocking-Step2'!F2272</f>
        <v>0</v>
      </c>
      <c r="AE2272" s="2114">
        <f>H2272-'Blocking-Step2'!H2272</f>
        <v>0</v>
      </c>
      <c r="AF2272" s="2114">
        <f>I2272-'Blocking-Step2'!I2272</f>
        <v>0</v>
      </c>
      <c r="AH2272" s="2136">
        <f>K2272-'Blocking-Step2'!K2272</f>
        <v>0</v>
      </c>
      <c r="AJ2272" s="2136">
        <f>M2272-'Blocking-Step2'!M2272</f>
        <v>0</v>
      </c>
      <c r="AL2272" s="2136">
        <f>O2272-'Blocking-Step2'!O2272</f>
        <v>0</v>
      </c>
      <c r="AN2272" s="2137">
        <f>Q2272-'Blocking-Step2'!Q2272</f>
        <v>0</v>
      </c>
      <c r="AP2272" s="2127">
        <f>S2272-'Blocking-Step2'!S2272</f>
        <v>0</v>
      </c>
      <c r="AR2272" s="2127">
        <f>U2272-'Blocking-Step2'!U2272</f>
        <v>0</v>
      </c>
      <c r="AT2272" s="2127">
        <f>W2272-'Blocking-Step2'!W2272</f>
        <v>0</v>
      </c>
      <c r="AV2272" s="2128">
        <f>Y2272-'Blocking-Step2'!Y2272</f>
        <v>0</v>
      </c>
    </row>
    <row r="2273" spans="1:48">
      <c r="A2273" s="1116" t="s">
        <v>945</v>
      </c>
      <c r="C2273" s="1105">
        <v>604</v>
      </c>
      <c r="D2273" s="1105">
        <v>576</v>
      </c>
      <c r="F2273" s="1139">
        <v>29.77</v>
      </c>
      <c r="G2273" s="1110"/>
      <c r="H2273" s="1146">
        <v>17981</v>
      </c>
      <c r="I2273" s="1146">
        <v>17148</v>
      </c>
      <c r="K2273" s="1139"/>
      <c r="L2273" s="1110"/>
      <c r="M2273" s="1139"/>
      <c r="N2273" s="1110"/>
      <c r="O2273" s="1139"/>
      <c r="P2273" s="1110"/>
      <c r="Q2273" s="1139"/>
      <c r="R2273" s="1110"/>
      <c r="S2273" s="1146"/>
      <c r="T2273" s="1629"/>
      <c r="U2273" s="1146"/>
      <c r="V2273" s="1629"/>
      <c r="W2273" s="1146"/>
      <c r="X2273" s="1629"/>
      <c r="Y2273" s="1146"/>
      <c r="Z2273" s="2114">
        <f>C2273-'Blocking-Step2'!C2273</f>
        <v>0</v>
      </c>
      <c r="AA2273" s="2114">
        <f>D2273-'Blocking-Step2'!D2273</f>
        <v>0</v>
      </c>
      <c r="AC2273" s="2114">
        <f>F2273-'Blocking-Step2'!F2273</f>
        <v>0</v>
      </c>
      <c r="AE2273" s="2114">
        <f>H2273-'Blocking-Step2'!H2273</f>
        <v>0</v>
      </c>
      <c r="AF2273" s="2114">
        <f>I2273-'Blocking-Step2'!I2273</f>
        <v>0</v>
      </c>
      <c r="AH2273" s="2136">
        <f>K2273-'Blocking-Step2'!K2273</f>
        <v>0</v>
      </c>
      <c r="AJ2273" s="2136">
        <f>M2273-'Blocking-Step2'!M2273</f>
        <v>0</v>
      </c>
      <c r="AL2273" s="2136">
        <f>O2273-'Blocking-Step2'!O2273</f>
        <v>0</v>
      </c>
      <c r="AN2273" s="2137">
        <f>Q2273-'Blocking-Step2'!Q2273</f>
        <v>0</v>
      </c>
      <c r="AP2273" s="2127">
        <f>S2273-'Blocking-Step2'!S2273</f>
        <v>0</v>
      </c>
      <c r="AR2273" s="2127">
        <f>U2273-'Blocking-Step2'!U2273</f>
        <v>0</v>
      </c>
      <c r="AT2273" s="2127">
        <f>W2273-'Blocking-Step2'!W2273</f>
        <v>0</v>
      </c>
      <c r="AV2273" s="2128">
        <f>Y2273-'Blocking-Step2'!Y2273</f>
        <v>0</v>
      </c>
    </row>
    <row r="2274" spans="1:48">
      <c r="A2274" s="2008" t="s">
        <v>182</v>
      </c>
      <c r="C2274" s="1105"/>
      <c r="D2274" s="1105"/>
      <c r="F2274" s="1141"/>
      <c r="K2274" s="1141"/>
      <c r="M2274" s="1141"/>
      <c r="O2274" s="1141"/>
      <c r="Q2274" s="1141"/>
      <c r="S2274" s="1627"/>
      <c r="U2274" s="1627"/>
      <c r="W2274" s="1627"/>
      <c r="Z2274" s="2114">
        <f>C2274-'Blocking-Step2'!C2274</f>
        <v>0</v>
      </c>
      <c r="AA2274" s="2114">
        <f>D2274-'Blocking-Step2'!D2274</f>
        <v>0</v>
      </c>
      <c r="AC2274" s="2114">
        <f>F2274-'Blocking-Step2'!F2274</f>
        <v>0</v>
      </c>
      <c r="AE2274" s="2114">
        <f>H2274-'Blocking-Step2'!H2274</f>
        <v>0</v>
      </c>
      <c r="AF2274" s="2114">
        <f>I2274-'Blocking-Step2'!I2274</f>
        <v>0</v>
      </c>
      <c r="AH2274" s="2136">
        <f>K2274-'Blocking-Step2'!K2274</f>
        <v>0</v>
      </c>
      <c r="AJ2274" s="2136">
        <f>M2274-'Blocking-Step2'!M2274</f>
        <v>0</v>
      </c>
      <c r="AL2274" s="2136">
        <f>O2274-'Blocking-Step2'!O2274</f>
        <v>0</v>
      </c>
      <c r="AN2274" s="2137">
        <f>Q2274-'Blocking-Step2'!Q2274</f>
        <v>0</v>
      </c>
      <c r="AP2274" s="2127">
        <f>S2274-'Blocking-Step2'!S2274</f>
        <v>0</v>
      </c>
      <c r="AR2274" s="2127">
        <f>U2274-'Blocking-Step2'!U2274</f>
        <v>0</v>
      </c>
      <c r="AT2274" s="2127">
        <f>W2274-'Blocking-Step2'!W2274</f>
        <v>0</v>
      </c>
      <c r="AV2274" s="2128">
        <f>Y2274-'Blocking-Step2'!Y2274</f>
        <v>0</v>
      </c>
    </row>
    <row r="2275" spans="1:48">
      <c r="A2275" s="1116" t="s">
        <v>312</v>
      </c>
      <c r="C2275" s="1105">
        <v>59</v>
      </c>
      <c r="D2275" s="1105">
        <v>59</v>
      </c>
      <c r="F2275" s="1139">
        <v>678</v>
      </c>
      <c r="G2275" s="1110"/>
      <c r="H2275" s="1146">
        <v>40002</v>
      </c>
      <c r="I2275" s="1146">
        <v>40002</v>
      </c>
      <c r="K2275" s="1139">
        <v>-110</v>
      </c>
      <c r="L2275" s="1110"/>
      <c r="M2275" s="1139">
        <v>813</v>
      </c>
      <c r="N2275" s="1110"/>
      <c r="O2275" s="1139">
        <v>0</v>
      </c>
      <c r="P2275" s="1110"/>
      <c r="Q2275" s="1139">
        <v>703</v>
      </c>
      <c r="R2275" s="1110"/>
      <c r="S2275" s="1146">
        <v>-6490</v>
      </c>
      <c r="T2275" s="1629"/>
      <c r="U2275" s="1146">
        <v>47967</v>
      </c>
      <c r="V2275" s="1629"/>
      <c r="W2275" s="1146">
        <v>0</v>
      </c>
      <c r="X2275" s="1629"/>
      <c r="Y2275" s="1146">
        <v>41477</v>
      </c>
      <c r="Z2275" s="2114">
        <f>C2275-'Blocking-Step2'!C2275</f>
        <v>0</v>
      </c>
      <c r="AA2275" s="2114">
        <f>D2275-'Blocking-Step2'!D2275</f>
        <v>0</v>
      </c>
      <c r="AC2275" s="2114">
        <f>F2275-'Blocking-Step2'!F2275</f>
        <v>0</v>
      </c>
      <c r="AE2275" s="2114">
        <f>H2275-'Blocking-Step2'!H2275</f>
        <v>0</v>
      </c>
      <c r="AF2275" s="2114">
        <f>I2275-'Blocking-Step2'!I2275</f>
        <v>0</v>
      </c>
      <c r="AH2275" s="2136">
        <f>K2275-'Blocking-Step2'!K2275</f>
        <v>-813</v>
      </c>
      <c r="AJ2275" s="2136">
        <f>M2275-'Blocking-Step2'!M2275</f>
        <v>813</v>
      </c>
      <c r="AL2275" s="2136">
        <f>O2275-'Blocking-Step2'!O2275</f>
        <v>0</v>
      </c>
      <c r="AN2275" s="2137">
        <f>Q2275-'Blocking-Step2'!Q2275</f>
        <v>0</v>
      </c>
      <c r="AP2275" s="2127">
        <f>S2275-'Blocking-Step2'!S2275</f>
        <v>-47967</v>
      </c>
      <c r="AR2275" s="2127">
        <f>U2275-'Blocking-Step2'!U2275</f>
        <v>47967</v>
      </c>
      <c r="AT2275" s="2127">
        <f>W2275-'Blocking-Step2'!W2275</f>
        <v>0</v>
      </c>
      <c r="AV2275" s="2128">
        <f>Y2275-'Blocking-Step2'!Y2275</f>
        <v>0</v>
      </c>
    </row>
    <row r="2276" spans="1:48">
      <c r="A2276" s="1116" t="s">
        <v>313</v>
      </c>
      <c r="C2276" s="1105">
        <v>255139</v>
      </c>
      <c r="D2276" s="1105">
        <v>291905</v>
      </c>
      <c r="F2276" s="1139">
        <v>2.63</v>
      </c>
      <c r="G2276" s="1110"/>
      <c r="H2276" s="1146">
        <v>671016</v>
      </c>
      <c r="I2276" s="1146">
        <v>767710</v>
      </c>
      <c r="K2276" s="1139">
        <v>0</v>
      </c>
      <c r="L2276" s="1110"/>
      <c r="M2276" s="1139">
        <v>2.73</v>
      </c>
      <c r="N2276" s="1110"/>
      <c r="O2276" s="1139">
        <v>0</v>
      </c>
      <c r="P2276" s="1110"/>
      <c r="Q2276" s="1139">
        <v>2.73</v>
      </c>
      <c r="R2276" s="1110"/>
      <c r="S2276" s="1146">
        <v>0</v>
      </c>
      <c r="T2276" s="1629"/>
      <c r="U2276" s="1146">
        <v>796901</v>
      </c>
      <c r="V2276" s="1629"/>
      <c r="W2276" s="1146">
        <v>0</v>
      </c>
      <c r="X2276" s="1629"/>
      <c r="Y2276" s="1146">
        <v>796901</v>
      </c>
      <c r="Z2276" s="2114">
        <f>C2276-'Blocking-Step2'!C2276</f>
        <v>0</v>
      </c>
      <c r="AA2276" s="2114">
        <f>D2276-'Blocking-Step2'!D2276</f>
        <v>0</v>
      </c>
      <c r="AC2276" s="2114">
        <f>F2276-'Blocking-Step2'!F2276</f>
        <v>0</v>
      </c>
      <c r="AE2276" s="2114">
        <f>H2276-'Blocking-Step2'!H2276</f>
        <v>0</v>
      </c>
      <c r="AF2276" s="2114">
        <f>I2276-'Blocking-Step2'!I2276</f>
        <v>0</v>
      </c>
      <c r="AH2276" s="2136">
        <f>K2276-'Blocking-Step2'!K2276</f>
        <v>-2.73</v>
      </c>
      <c r="AJ2276" s="2136">
        <f>M2276-'Blocking-Step2'!M2276</f>
        <v>2.73</v>
      </c>
      <c r="AL2276" s="2136">
        <f>O2276-'Blocking-Step2'!O2276</f>
        <v>0</v>
      </c>
      <c r="AN2276" s="2137">
        <f>Q2276-'Blocking-Step2'!Q2276</f>
        <v>0</v>
      </c>
      <c r="AP2276" s="2127">
        <f>S2276-'Blocking-Step2'!S2276</f>
        <v>-796901</v>
      </c>
      <c r="AR2276" s="2127">
        <f>U2276-'Blocking-Step2'!U2276</f>
        <v>796901</v>
      </c>
      <c r="AT2276" s="2127">
        <f>W2276-'Blocking-Step2'!W2276</f>
        <v>0</v>
      </c>
      <c r="AV2276" s="2128">
        <f>Y2276-'Blocking-Step2'!Y2276</f>
        <v>0</v>
      </c>
    </row>
    <row r="2277" spans="1:48">
      <c r="A2277" s="1116" t="s">
        <v>314</v>
      </c>
      <c r="C2277" s="1105"/>
      <c r="D2277" s="1105"/>
      <c r="F2277" s="1140"/>
      <c r="G2277" s="617"/>
      <c r="H2277" s="1146"/>
      <c r="I2277" s="1146"/>
      <c r="K2277" s="1140"/>
      <c r="L2277" s="617"/>
      <c r="M2277" s="1140"/>
      <c r="N2277" s="617"/>
      <c r="O2277" s="1140"/>
      <c r="P2277" s="617"/>
      <c r="Q2277" s="1140"/>
      <c r="R2277" s="617"/>
      <c r="S2277" s="1146"/>
      <c r="T2277" s="1114"/>
      <c r="U2277" s="1146"/>
      <c r="V2277" s="1114"/>
      <c r="W2277" s="1146"/>
      <c r="X2277" s="1114"/>
      <c r="Y2277" s="1146"/>
      <c r="Z2277" s="2114">
        <f>C2277-'Blocking-Step2'!C2277</f>
        <v>0</v>
      </c>
      <c r="AA2277" s="2114">
        <f>D2277-'Blocking-Step2'!D2277</f>
        <v>0</v>
      </c>
      <c r="AC2277" s="2114">
        <f>F2277-'Blocking-Step2'!F2277</f>
        <v>0</v>
      </c>
      <c r="AE2277" s="2114">
        <f>H2277-'Blocking-Step2'!H2277</f>
        <v>0</v>
      </c>
      <c r="AF2277" s="2114">
        <f>I2277-'Blocking-Step2'!I2277</f>
        <v>0</v>
      </c>
      <c r="AH2277" s="2136">
        <f>K2277-'Blocking-Step2'!K2277</f>
        <v>0</v>
      </c>
      <c r="AJ2277" s="2136">
        <f>M2277-'Blocking-Step2'!M2277</f>
        <v>0</v>
      </c>
      <c r="AL2277" s="2136">
        <f>O2277-'Blocking-Step2'!O2277</f>
        <v>0</v>
      </c>
      <c r="AN2277" s="2137">
        <f>Q2277-'Blocking-Step2'!Q2277</f>
        <v>0</v>
      </c>
      <c r="AP2277" s="2127">
        <f>S2277-'Blocking-Step2'!S2277</f>
        <v>0</v>
      </c>
      <c r="AR2277" s="2127">
        <f>U2277-'Blocking-Step2'!U2277</f>
        <v>0</v>
      </c>
      <c r="AT2277" s="2127">
        <f>W2277-'Blocking-Step2'!W2277</f>
        <v>0</v>
      </c>
      <c r="AV2277" s="2128">
        <f>Y2277-'Blocking-Step2'!Y2277</f>
        <v>0</v>
      </c>
    </row>
    <row r="2278" spans="1:48">
      <c r="A2278" s="1116" t="s">
        <v>315</v>
      </c>
      <c r="C2278" s="1105"/>
      <c r="D2278" s="1105"/>
      <c r="F2278" s="1139"/>
      <c r="G2278" s="1111"/>
      <c r="H2278" s="1146"/>
      <c r="I2278" s="1146"/>
      <c r="K2278" s="1139"/>
      <c r="L2278" s="1111"/>
      <c r="M2278" s="1139"/>
      <c r="N2278" s="1111"/>
      <c r="O2278" s="1139"/>
      <c r="P2278" s="1111"/>
      <c r="Q2278" s="1139"/>
      <c r="R2278" s="1111"/>
      <c r="S2278" s="1146"/>
      <c r="T2278" s="1629"/>
      <c r="U2278" s="1146"/>
      <c r="V2278" s="1629"/>
      <c r="W2278" s="1146"/>
      <c r="X2278" s="1629"/>
      <c r="Y2278" s="1146"/>
      <c r="Z2278" s="2114">
        <f>C2278-'Blocking-Step2'!C2278</f>
        <v>0</v>
      </c>
      <c r="AA2278" s="2114">
        <f>D2278-'Blocking-Step2'!D2278</f>
        <v>0</v>
      </c>
      <c r="AC2278" s="2114">
        <f>F2278-'Blocking-Step2'!F2278</f>
        <v>0</v>
      </c>
      <c r="AE2278" s="2114">
        <f>H2278-'Blocking-Step2'!H2278</f>
        <v>0</v>
      </c>
      <c r="AF2278" s="2114">
        <f>I2278-'Blocking-Step2'!I2278</f>
        <v>0</v>
      </c>
      <c r="AH2278" s="2136">
        <f>K2278-'Blocking-Step2'!K2278</f>
        <v>0</v>
      </c>
      <c r="AJ2278" s="2136">
        <f>M2278-'Blocking-Step2'!M2278</f>
        <v>0</v>
      </c>
      <c r="AL2278" s="2136">
        <f>O2278-'Blocking-Step2'!O2278</f>
        <v>0</v>
      </c>
      <c r="AN2278" s="2137">
        <f>Q2278-'Blocking-Step2'!Q2278</f>
        <v>0</v>
      </c>
      <c r="AP2278" s="2127">
        <f>S2278-'Blocking-Step2'!S2278</f>
        <v>0</v>
      </c>
      <c r="AR2278" s="2127">
        <f>U2278-'Blocking-Step2'!U2278</f>
        <v>0</v>
      </c>
      <c r="AT2278" s="2127">
        <f>W2278-'Blocking-Step2'!W2278</f>
        <v>0</v>
      </c>
      <c r="AV2278" s="2128">
        <f>Y2278-'Blocking-Step2'!Y2278</f>
        <v>0</v>
      </c>
    </row>
    <row r="2279" spans="1:48">
      <c r="A2279" s="1116" t="s">
        <v>1668</v>
      </c>
      <c r="C2279" s="1105">
        <v>600848.49925864791</v>
      </c>
      <c r="D2279" s="1105">
        <v>657860</v>
      </c>
      <c r="F2279" s="1139"/>
      <c r="G2279" s="1111"/>
      <c r="H2279" s="1146"/>
      <c r="I2279" s="1146"/>
      <c r="K2279" s="1139">
        <v>0</v>
      </c>
      <c r="L2279" s="1111"/>
      <c r="M2279" s="1139">
        <v>0.79</v>
      </c>
      <c r="N2279" s="1111"/>
      <c r="O2279" s="1139">
        <v>0</v>
      </c>
      <c r="P2279" s="1111"/>
      <c r="Q2279" s="1139">
        <v>0.79</v>
      </c>
      <c r="R2279" s="1111"/>
      <c r="S2279" s="1146">
        <v>0</v>
      </c>
      <c r="T2279" s="1629"/>
      <c r="U2279" s="1146">
        <v>519709</v>
      </c>
      <c r="V2279" s="1629"/>
      <c r="W2279" s="1146">
        <v>0</v>
      </c>
      <c r="X2279" s="1629"/>
      <c r="Y2279" s="1146">
        <v>519709</v>
      </c>
      <c r="Z2279" s="2114">
        <f>C2279-'Blocking-Step2'!C2279</f>
        <v>0</v>
      </c>
      <c r="AA2279" s="2114">
        <f>D2279-'Blocking-Step2'!D2279</f>
        <v>0</v>
      </c>
      <c r="AC2279" s="2114">
        <f>F2279-'Blocking-Step2'!F2279</f>
        <v>0</v>
      </c>
      <c r="AE2279" s="2114">
        <f>H2279-'Blocking-Step2'!H2279</f>
        <v>0</v>
      </c>
      <c r="AF2279" s="2114">
        <f>I2279-'Blocking-Step2'!I2279</f>
        <v>0</v>
      </c>
      <c r="AH2279" s="2136">
        <f>K2279-'Blocking-Step2'!K2279</f>
        <v>-0.26</v>
      </c>
      <c r="AJ2279" s="2136">
        <f>M2279-'Blocking-Step2'!M2279</f>
        <v>0.26</v>
      </c>
      <c r="AL2279" s="2136">
        <f>O2279-'Blocking-Step2'!O2279</f>
        <v>0</v>
      </c>
      <c r="AN2279" s="2137">
        <f>Q2279-'Blocking-Step2'!Q2279</f>
        <v>0</v>
      </c>
      <c r="AP2279" s="2127">
        <f>S2279-'Blocking-Step2'!S2279</f>
        <v>-171044</v>
      </c>
      <c r="AR2279" s="2127">
        <f>U2279-'Blocking-Step2'!U2279</f>
        <v>171043</v>
      </c>
      <c r="AT2279" s="2127">
        <f>W2279-'Blocking-Step2'!W2279</f>
        <v>0</v>
      </c>
      <c r="AV2279" s="2128">
        <f>Y2279-'Blocking-Step2'!Y2279</f>
        <v>0</v>
      </c>
    </row>
    <row r="2280" spans="1:48">
      <c r="A2280" s="1116" t="s">
        <v>1669</v>
      </c>
      <c r="C2280" s="1105">
        <v>277598.74667151121</v>
      </c>
      <c r="D2280" s="1105">
        <v>307104</v>
      </c>
      <c r="F2280" s="1139"/>
      <c r="G2280" s="1111"/>
      <c r="H2280" s="1146"/>
      <c r="I2280" s="1146"/>
      <c r="K2280" s="1139">
        <v>0</v>
      </c>
      <c r="L2280" s="1111"/>
      <c r="M2280" s="1139">
        <v>0.7</v>
      </c>
      <c r="N2280" s="1111"/>
      <c r="O2280" s="1139">
        <v>0</v>
      </c>
      <c r="P2280" s="1111"/>
      <c r="Q2280" s="1139">
        <v>0.7</v>
      </c>
      <c r="R2280" s="1111"/>
      <c r="S2280" s="1146">
        <v>0</v>
      </c>
      <c r="T2280" s="1629"/>
      <c r="U2280" s="1146">
        <v>214973</v>
      </c>
      <c r="V2280" s="1629"/>
      <c r="W2280" s="1146">
        <v>0</v>
      </c>
      <c r="X2280" s="1629"/>
      <c r="Y2280" s="1146">
        <v>214973</v>
      </c>
      <c r="Z2280" s="2114">
        <f>C2280-'Blocking-Step2'!C2280</f>
        <v>0</v>
      </c>
      <c r="AA2280" s="2114">
        <f>D2280-'Blocking-Step2'!D2280</f>
        <v>0</v>
      </c>
      <c r="AC2280" s="2114">
        <f>F2280-'Blocking-Step2'!F2280</f>
        <v>0</v>
      </c>
      <c r="AE2280" s="2114">
        <f>H2280-'Blocking-Step2'!H2280</f>
        <v>0</v>
      </c>
      <c r="AF2280" s="2114">
        <f>I2280-'Blocking-Step2'!I2280</f>
        <v>0</v>
      </c>
      <c r="AH2280" s="2136">
        <f>K2280-'Blocking-Step2'!K2280</f>
        <v>-0.23</v>
      </c>
      <c r="AJ2280" s="2136">
        <f>M2280-'Blocking-Step2'!M2280</f>
        <v>0.22999999999999998</v>
      </c>
      <c r="AL2280" s="2136">
        <f>O2280-'Blocking-Step2'!O2280</f>
        <v>0</v>
      </c>
      <c r="AN2280" s="2137">
        <f>Q2280-'Blocking-Step2'!Q2280</f>
        <v>0</v>
      </c>
      <c r="AP2280" s="2127">
        <f>S2280-'Blocking-Step2'!S2280</f>
        <v>-70634</v>
      </c>
      <c r="AR2280" s="2127">
        <f>U2280-'Blocking-Step2'!U2280</f>
        <v>70634</v>
      </c>
      <c r="AT2280" s="2127">
        <f>W2280-'Blocking-Step2'!W2280</f>
        <v>0</v>
      </c>
      <c r="AV2280" s="2128">
        <f>Y2280-'Blocking-Step2'!Y2280</f>
        <v>0</v>
      </c>
    </row>
    <row r="2281" spans="1:48">
      <c r="A2281" s="1116" t="s">
        <v>316</v>
      </c>
      <c r="C2281" s="1105"/>
      <c r="D2281" s="1105"/>
      <c r="F2281" s="1140"/>
      <c r="G2281" s="1112"/>
      <c r="H2281" s="1146"/>
      <c r="I2281" s="1146"/>
      <c r="K2281" s="1140"/>
      <c r="L2281" s="1112"/>
      <c r="M2281" s="1140"/>
      <c r="N2281" s="1112"/>
      <c r="O2281" s="1140"/>
      <c r="P2281" s="1112"/>
      <c r="Q2281" s="1140"/>
      <c r="R2281" s="1112"/>
      <c r="S2281" s="1146"/>
      <c r="T2281" s="1114"/>
      <c r="U2281" s="1146"/>
      <c r="V2281" s="1114"/>
      <c r="W2281" s="1146"/>
      <c r="X2281" s="1114"/>
      <c r="Y2281" s="1146"/>
      <c r="Z2281" s="2114">
        <f>C2281-'Blocking-Step2'!C2281</f>
        <v>0</v>
      </c>
      <c r="AA2281" s="2114">
        <f>D2281-'Blocking-Step2'!D2281</f>
        <v>0</v>
      </c>
      <c r="AC2281" s="2114">
        <f>F2281-'Blocking-Step2'!F2281</f>
        <v>0</v>
      </c>
      <c r="AE2281" s="2114">
        <f>H2281-'Blocking-Step2'!H2281</f>
        <v>0</v>
      </c>
      <c r="AF2281" s="2114">
        <f>I2281-'Blocking-Step2'!I2281</f>
        <v>0</v>
      </c>
      <c r="AH2281" s="2136">
        <f>K2281-'Blocking-Step2'!K2281</f>
        <v>0</v>
      </c>
      <c r="AJ2281" s="2136">
        <f>M2281-'Blocking-Step2'!M2281</f>
        <v>0</v>
      </c>
      <c r="AL2281" s="2136">
        <f>O2281-'Blocking-Step2'!O2281</f>
        <v>0</v>
      </c>
      <c r="AN2281" s="2137">
        <f>Q2281-'Blocking-Step2'!Q2281</f>
        <v>0</v>
      </c>
      <c r="AP2281" s="2127">
        <f>S2281-'Blocking-Step2'!S2281</f>
        <v>0</v>
      </c>
      <c r="AR2281" s="2127">
        <f>U2281-'Blocking-Step2'!U2281</f>
        <v>0</v>
      </c>
      <c r="AT2281" s="2127">
        <f>W2281-'Blocking-Step2'!W2281</f>
        <v>0</v>
      </c>
      <c r="AV2281" s="2128">
        <f>Y2281-'Blocking-Step2'!Y2281</f>
        <v>0</v>
      </c>
    </row>
    <row r="2282" spans="1:48">
      <c r="A2282" s="1116" t="s">
        <v>1668</v>
      </c>
      <c r="C2282" s="1105">
        <v>0</v>
      </c>
      <c r="D2282" s="1105">
        <v>0</v>
      </c>
      <c r="F2282" s="1140"/>
      <c r="G2282" s="1112"/>
      <c r="H2282" s="1146"/>
      <c r="I2282" s="1146"/>
      <c r="K2282" s="1140">
        <v>0</v>
      </c>
      <c r="L2282" s="1112"/>
      <c r="M2282" s="1139">
        <v>0.39</v>
      </c>
      <c r="N2282" s="1111"/>
      <c r="O2282" s="1139">
        <v>0</v>
      </c>
      <c r="P2282" s="1112"/>
      <c r="Q2282" s="1139">
        <v>0.39</v>
      </c>
      <c r="R2282" s="1112"/>
      <c r="S2282" s="1146">
        <v>0</v>
      </c>
      <c r="T2282" s="1114"/>
      <c r="U2282" s="1146">
        <v>0</v>
      </c>
      <c r="V2282" s="1114"/>
      <c r="W2282" s="1146">
        <v>0</v>
      </c>
      <c r="X2282" s="1114"/>
      <c r="Y2282" s="1146">
        <v>0</v>
      </c>
      <c r="Z2282" s="2114">
        <f>C2282-'Blocking-Step2'!C2282</f>
        <v>0</v>
      </c>
      <c r="AA2282" s="2114">
        <f>D2282-'Blocking-Step2'!D2282</f>
        <v>0</v>
      </c>
      <c r="AC2282" s="2114">
        <f>F2282-'Blocking-Step2'!F2282</f>
        <v>0</v>
      </c>
      <c r="AE2282" s="2114">
        <f>H2282-'Blocking-Step2'!H2282</f>
        <v>0</v>
      </c>
      <c r="AF2282" s="2114">
        <f>I2282-'Blocking-Step2'!I2282</f>
        <v>0</v>
      </c>
      <c r="AH2282" s="2136">
        <f>K2282-'Blocking-Step2'!K2282</f>
        <v>-0.13</v>
      </c>
      <c r="AJ2282" s="2136">
        <f>M2282-'Blocking-Step2'!M2282</f>
        <v>0.13</v>
      </c>
      <c r="AL2282" s="2136">
        <f>O2282-'Blocking-Step2'!O2282</f>
        <v>0</v>
      </c>
      <c r="AN2282" s="2137">
        <f>Q2282-'Blocking-Step2'!Q2282</f>
        <v>0</v>
      </c>
      <c r="AP2282" s="2127">
        <f>S2282-'Blocking-Step2'!S2282</f>
        <v>0</v>
      </c>
      <c r="AR2282" s="2127">
        <f>U2282-'Blocking-Step2'!U2282</f>
        <v>0</v>
      </c>
      <c r="AT2282" s="2127">
        <f>W2282-'Blocking-Step2'!W2282</f>
        <v>0</v>
      </c>
      <c r="AV2282" s="2128">
        <f>Y2282-'Blocking-Step2'!Y2282</f>
        <v>0</v>
      </c>
    </row>
    <row r="2283" spans="1:48">
      <c r="A2283" s="1116" t="s">
        <v>1669</v>
      </c>
      <c r="C2283" s="1105">
        <v>124384.92161982199</v>
      </c>
      <c r="D2283" s="1105">
        <v>150561</v>
      </c>
      <c r="F2283" s="1140"/>
      <c r="G2283" s="1112"/>
      <c r="H2283" s="1146"/>
      <c r="I2283" s="1146"/>
      <c r="K2283" s="1140">
        <v>0</v>
      </c>
      <c r="L2283" s="1112"/>
      <c r="M2283" s="1139">
        <v>0.35</v>
      </c>
      <c r="N2283" s="1111"/>
      <c r="O2283" s="1139">
        <v>0</v>
      </c>
      <c r="P2283" s="1112"/>
      <c r="Q2283" s="1139">
        <v>0.35</v>
      </c>
      <c r="R2283" s="1112"/>
      <c r="S2283" s="1146">
        <v>0</v>
      </c>
      <c r="T2283" s="1114"/>
      <c r="U2283" s="1146">
        <v>52696</v>
      </c>
      <c r="V2283" s="1114"/>
      <c r="W2283" s="1146">
        <v>0</v>
      </c>
      <c r="X2283" s="1114"/>
      <c r="Y2283" s="1146">
        <v>52696</v>
      </c>
      <c r="Z2283" s="2114">
        <f>C2283-'Blocking-Step2'!C2283</f>
        <v>0</v>
      </c>
      <c r="AA2283" s="2114">
        <f>D2283-'Blocking-Step2'!D2283</f>
        <v>0</v>
      </c>
      <c r="AC2283" s="2114">
        <f>F2283-'Blocking-Step2'!F2283</f>
        <v>0</v>
      </c>
      <c r="AE2283" s="2114">
        <f>H2283-'Blocking-Step2'!H2283</f>
        <v>0</v>
      </c>
      <c r="AF2283" s="2114">
        <f>I2283-'Blocking-Step2'!I2283</f>
        <v>0</v>
      </c>
      <c r="AH2283" s="2136">
        <f>K2283-'Blocking-Step2'!K2283</f>
        <v>-0.12</v>
      </c>
      <c r="AJ2283" s="2136">
        <f>M2283-'Blocking-Step2'!M2283</f>
        <v>0.12</v>
      </c>
      <c r="AL2283" s="2136">
        <f>O2283-'Blocking-Step2'!O2283</f>
        <v>0</v>
      </c>
      <c r="AN2283" s="2137">
        <f>Q2283-'Blocking-Step2'!Q2283</f>
        <v>0</v>
      </c>
      <c r="AP2283" s="2127">
        <f>S2283-'Blocking-Step2'!S2283</f>
        <v>-18067</v>
      </c>
      <c r="AR2283" s="2127">
        <f>U2283-'Blocking-Step2'!U2283</f>
        <v>18067</v>
      </c>
      <c r="AT2283" s="2127">
        <f>W2283-'Blocking-Step2'!W2283</f>
        <v>0</v>
      </c>
      <c r="AV2283" s="2128">
        <f>Y2283-'Blocking-Step2'!Y2283</f>
        <v>0</v>
      </c>
    </row>
    <row r="2284" spans="1:48">
      <c r="A2284" s="1116" t="s">
        <v>317</v>
      </c>
      <c r="C2284" s="1105"/>
      <c r="D2284" s="1105"/>
      <c r="F2284" s="1139"/>
      <c r="G2284" s="1110"/>
      <c r="H2284" s="1146"/>
      <c r="I2284" s="1146"/>
      <c r="K2284" s="1139"/>
      <c r="L2284" s="1110"/>
      <c r="M2284" s="1139"/>
      <c r="N2284" s="1110"/>
      <c r="O2284" s="1139"/>
      <c r="P2284" s="1110"/>
      <c r="Q2284" s="1139"/>
      <c r="R2284" s="1110"/>
      <c r="S2284" s="1146"/>
      <c r="T2284" s="1629"/>
      <c r="U2284" s="1146"/>
      <c r="V2284" s="1629"/>
      <c r="W2284" s="1146"/>
      <c r="X2284" s="1629"/>
      <c r="Y2284" s="1146"/>
      <c r="Z2284" s="2114">
        <f>C2284-'Blocking-Step2'!C2284</f>
        <v>0</v>
      </c>
      <c r="AA2284" s="2114">
        <f>D2284-'Blocking-Step2'!D2284</f>
        <v>0</v>
      </c>
      <c r="AC2284" s="2114">
        <f>F2284-'Blocking-Step2'!F2284</f>
        <v>0</v>
      </c>
      <c r="AE2284" s="2114">
        <f>H2284-'Blocking-Step2'!H2284</f>
        <v>0</v>
      </c>
      <c r="AF2284" s="2114">
        <f>I2284-'Blocking-Step2'!I2284</f>
        <v>0</v>
      </c>
      <c r="AH2284" s="2136">
        <f>K2284-'Blocking-Step2'!K2284</f>
        <v>0</v>
      </c>
      <c r="AJ2284" s="2136">
        <f>M2284-'Blocking-Step2'!M2284</f>
        <v>0</v>
      </c>
      <c r="AL2284" s="2136">
        <f>O2284-'Blocking-Step2'!O2284</f>
        <v>0</v>
      </c>
      <c r="AN2284" s="2137">
        <f>Q2284-'Blocking-Step2'!Q2284</f>
        <v>0</v>
      </c>
      <c r="AP2284" s="2127">
        <f>S2284-'Blocking-Step2'!S2284</f>
        <v>0</v>
      </c>
      <c r="AR2284" s="2127">
        <f>U2284-'Blocking-Step2'!U2284</f>
        <v>0</v>
      </c>
      <c r="AT2284" s="2127">
        <f>W2284-'Blocking-Step2'!W2284</f>
        <v>0</v>
      </c>
      <c r="AV2284" s="2128">
        <f>Y2284-'Blocking-Step2'!Y2284</f>
        <v>0</v>
      </c>
    </row>
    <row r="2285" spans="1:48">
      <c r="A2285" s="1116" t="s">
        <v>1668</v>
      </c>
      <c r="C2285" s="1105">
        <v>7090.2753568586704</v>
      </c>
      <c r="D2285" s="1105">
        <v>6767</v>
      </c>
      <c r="F2285" s="1139"/>
      <c r="G2285" s="1110"/>
      <c r="H2285" s="1146"/>
      <c r="I2285" s="1146"/>
      <c r="K2285" s="1140">
        <v>0</v>
      </c>
      <c r="L2285" s="1112"/>
      <c r="M2285" s="1139">
        <v>33.549999999999997</v>
      </c>
      <c r="N2285" s="1111"/>
      <c r="O2285" s="1139">
        <v>0</v>
      </c>
      <c r="P2285" s="1110"/>
      <c r="Q2285" s="1139">
        <v>33.549999999999997</v>
      </c>
      <c r="R2285" s="1110"/>
      <c r="S2285" s="1146">
        <v>0</v>
      </c>
      <c r="T2285" s="1629"/>
      <c r="U2285" s="1146">
        <v>227033</v>
      </c>
      <c r="V2285" s="1629"/>
      <c r="W2285" s="1146">
        <v>0</v>
      </c>
      <c r="X2285" s="1629"/>
      <c r="Y2285" s="1146">
        <v>227033</v>
      </c>
      <c r="Z2285" s="2114">
        <f>C2285-'Blocking-Step2'!C2285</f>
        <v>0</v>
      </c>
      <c r="AA2285" s="2114">
        <f>D2285-'Blocking-Step2'!D2285</f>
        <v>0</v>
      </c>
      <c r="AC2285" s="2114">
        <f>F2285-'Blocking-Step2'!F2285</f>
        <v>0</v>
      </c>
      <c r="AE2285" s="2114">
        <f>H2285-'Blocking-Step2'!H2285</f>
        <v>0</v>
      </c>
      <c r="AF2285" s="2114">
        <f>I2285-'Blocking-Step2'!I2285</f>
        <v>0</v>
      </c>
      <c r="AH2285" s="2136">
        <f>K2285-'Blocking-Step2'!K2285</f>
        <v>-11.04</v>
      </c>
      <c r="AJ2285" s="2136">
        <f>M2285-'Blocking-Step2'!M2285</f>
        <v>11.04</v>
      </c>
      <c r="AL2285" s="2136">
        <f>O2285-'Blocking-Step2'!O2285</f>
        <v>0</v>
      </c>
      <c r="AN2285" s="2137">
        <f>Q2285-'Blocking-Step2'!Q2285</f>
        <v>0</v>
      </c>
      <c r="AP2285" s="2127">
        <f>S2285-'Blocking-Step2'!S2285</f>
        <v>-74708</v>
      </c>
      <c r="AR2285" s="2127">
        <f>U2285-'Blocking-Step2'!U2285</f>
        <v>74708</v>
      </c>
      <c r="AT2285" s="2127">
        <f>W2285-'Blocking-Step2'!W2285</f>
        <v>0</v>
      </c>
      <c r="AV2285" s="2128">
        <f>Y2285-'Blocking-Step2'!Y2285</f>
        <v>0</v>
      </c>
    </row>
    <row r="2286" spans="1:48">
      <c r="A2286" s="1116" t="s">
        <v>1669</v>
      </c>
      <c r="C2286" s="1105">
        <v>1117.76039154251</v>
      </c>
      <c r="D2286" s="1105">
        <v>1067</v>
      </c>
      <c r="F2286" s="1139"/>
      <c r="G2286" s="1110"/>
      <c r="H2286" s="1146"/>
      <c r="I2286" s="1146"/>
      <c r="K2286" s="1140">
        <v>0</v>
      </c>
      <c r="L2286" s="1112"/>
      <c r="M2286" s="1139">
        <v>29.69</v>
      </c>
      <c r="N2286" s="1111"/>
      <c r="O2286" s="1139">
        <v>0</v>
      </c>
      <c r="P2286" s="1110"/>
      <c r="Q2286" s="1139">
        <v>29.69</v>
      </c>
      <c r="R2286" s="1110"/>
      <c r="S2286" s="1146">
        <v>0</v>
      </c>
      <c r="T2286" s="1629"/>
      <c r="U2286" s="1146">
        <v>31679</v>
      </c>
      <c r="V2286" s="1629"/>
      <c r="W2286" s="1146">
        <v>0</v>
      </c>
      <c r="X2286" s="1629"/>
      <c r="Y2286" s="1146">
        <v>31679</v>
      </c>
      <c r="Z2286" s="2114">
        <f>C2286-'Blocking-Step2'!C2286</f>
        <v>0</v>
      </c>
      <c r="AA2286" s="2114">
        <f>D2286-'Blocking-Step2'!D2286</f>
        <v>0</v>
      </c>
      <c r="AC2286" s="2114">
        <f>F2286-'Blocking-Step2'!F2286</f>
        <v>0</v>
      </c>
      <c r="AE2286" s="2114">
        <f>H2286-'Blocking-Step2'!H2286</f>
        <v>0</v>
      </c>
      <c r="AF2286" s="2114">
        <f>I2286-'Blocking-Step2'!I2286</f>
        <v>0</v>
      </c>
      <c r="AH2286" s="2136">
        <f>K2286-'Blocking-Step2'!K2286</f>
        <v>-9.76</v>
      </c>
      <c r="AJ2286" s="2136">
        <f>M2286-'Blocking-Step2'!M2286</f>
        <v>9.7600000000000016</v>
      </c>
      <c r="AL2286" s="2136">
        <f>O2286-'Blocking-Step2'!O2286</f>
        <v>0</v>
      </c>
      <c r="AN2286" s="2137">
        <f>Q2286-'Blocking-Step2'!Q2286</f>
        <v>0</v>
      </c>
      <c r="AP2286" s="2127">
        <f>S2286-'Blocking-Step2'!S2286</f>
        <v>-10414</v>
      </c>
      <c r="AR2286" s="2127">
        <f>U2286-'Blocking-Step2'!U2286</f>
        <v>10414</v>
      </c>
      <c r="AT2286" s="2127">
        <f>W2286-'Blocking-Step2'!W2286</f>
        <v>0</v>
      </c>
      <c r="AV2286" s="2128">
        <f>Y2286-'Blocking-Step2'!Y2286</f>
        <v>0</v>
      </c>
    </row>
    <row r="2287" spans="1:48">
      <c r="A2287" s="1116" t="s">
        <v>315</v>
      </c>
      <c r="C2287" s="1105"/>
      <c r="D2287" s="1105"/>
      <c r="F2287" s="1139"/>
      <c r="G2287" s="1111"/>
      <c r="H2287" s="1146"/>
      <c r="I2287" s="1146"/>
      <c r="K2287" s="1139"/>
      <c r="L2287" s="1111"/>
      <c r="M2287" s="1139"/>
      <c r="N2287" s="1111"/>
      <c r="O2287" s="1139"/>
      <c r="P2287" s="1111"/>
      <c r="Q2287" s="1139"/>
      <c r="R2287" s="1111"/>
      <c r="S2287" s="1146"/>
      <c r="T2287" s="1629"/>
      <c r="U2287" s="1146"/>
      <c r="V2287" s="1629"/>
      <c r="W2287" s="1146"/>
      <c r="X2287" s="1629"/>
      <c r="Y2287" s="1146"/>
      <c r="Z2287" s="2114">
        <f>C2287-'Blocking-Step2'!C2287</f>
        <v>0</v>
      </c>
      <c r="AA2287" s="2114">
        <f>D2287-'Blocking-Step2'!D2287</f>
        <v>0</v>
      </c>
      <c r="AC2287" s="2114">
        <f>F2287-'Blocking-Step2'!F2287</f>
        <v>0</v>
      </c>
      <c r="AE2287" s="2114">
        <f>H2287-'Blocking-Step2'!H2287</f>
        <v>0</v>
      </c>
      <c r="AF2287" s="2114">
        <f>I2287-'Blocking-Step2'!I2287</f>
        <v>0</v>
      </c>
      <c r="AH2287" s="2136">
        <f>K2287-'Blocking-Step2'!K2287</f>
        <v>0</v>
      </c>
      <c r="AJ2287" s="2136">
        <f>M2287-'Blocking-Step2'!M2287</f>
        <v>0</v>
      </c>
      <c r="AL2287" s="2136">
        <f>O2287-'Blocking-Step2'!O2287</f>
        <v>0</v>
      </c>
      <c r="AN2287" s="2137">
        <f>Q2287-'Blocking-Step2'!Q2287</f>
        <v>0</v>
      </c>
      <c r="AP2287" s="2127">
        <f>S2287-'Blocking-Step2'!S2287</f>
        <v>0</v>
      </c>
      <c r="AR2287" s="2127">
        <f>U2287-'Blocking-Step2'!U2287</f>
        <v>0</v>
      </c>
      <c r="AT2287" s="2127">
        <f>W2287-'Blocking-Step2'!W2287</f>
        <v>0</v>
      </c>
      <c r="AV2287" s="2128">
        <f>Y2287-'Blocking-Step2'!Y2287</f>
        <v>0</v>
      </c>
    </row>
    <row r="2288" spans="1:48">
      <c r="A2288" s="1116" t="s">
        <v>944</v>
      </c>
      <c r="C2288" s="1105">
        <v>740481</v>
      </c>
      <c r="D2288" s="1105">
        <v>810741</v>
      </c>
      <c r="F2288" s="1139">
        <v>0.76</v>
      </c>
      <c r="G2288" s="1111"/>
      <c r="H2288" s="1146">
        <v>562766</v>
      </c>
      <c r="I2288" s="1146">
        <v>616163</v>
      </c>
      <c r="K2288" s="1139"/>
      <c r="L2288" s="1111"/>
      <c r="M2288" s="1139"/>
      <c r="N2288" s="1111"/>
      <c r="O2288" s="1139"/>
      <c r="P2288" s="1111"/>
      <c r="Q2288" s="1139"/>
      <c r="R2288" s="1111"/>
      <c r="S2288" s="1146"/>
      <c r="T2288" s="1629"/>
      <c r="U2288" s="1146"/>
      <c r="V2288" s="1629"/>
      <c r="W2288" s="1146"/>
      <c r="X2288" s="1629"/>
      <c r="Y2288" s="1146"/>
      <c r="Z2288" s="2114">
        <f>C2288-'Blocking-Step2'!C2288</f>
        <v>0</v>
      </c>
      <c r="AA2288" s="2114">
        <f>D2288-'Blocking-Step2'!D2288</f>
        <v>0</v>
      </c>
      <c r="AC2288" s="2114">
        <f>F2288-'Blocking-Step2'!F2288</f>
        <v>0</v>
      </c>
      <c r="AE2288" s="2114">
        <f>H2288-'Blocking-Step2'!H2288</f>
        <v>0</v>
      </c>
      <c r="AF2288" s="2114">
        <f>I2288-'Blocking-Step2'!I2288</f>
        <v>0</v>
      </c>
      <c r="AH2288" s="2136">
        <f>K2288-'Blocking-Step2'!K2288</f>
        <v>0</v>
      </c>
      <c r="AJ2288" s="2136">
        <f>M2288-'Blocking-Step2'!M2288</f>
        <v>0</v>
      </c>
      <c r="AL2288" s="2136">
        <f>O2288-'Blocking-Step2'!O2288</f>
        <v>0</v>
      </c>
      <c r="AN2288" s="2137">
        <f>Q2288-'Blocking-Step2'!Q2288</f>
        <v>0</v>
      </c>
      <c r="AP2288" s="2127">
        <f>S2288-'Blocking-Step2'!S2288</f>
        <v>0</v>
      </c>
      <c r="AR2288" s="2127">
        <f>U2288-'Blocking-Step2'!U2288</f>
        <v>0</v>
      </c>
      <c r="AT2288" s="2127">
        <f>W2288-'Blocking-Step2'!W2288</f>
        <v>0</v>
      </c>
      <c r="AV2288" s="2128">
        <f>Y2288-'Blocking-Step2'!Y2288</f>
        <v>0</v>
      </c>
    </row>
    <row r="2289" spans="1:48">
      <c r="A2289" s="1116" t="s">
        <v>945</v>
      </c>
      <c r="C2289" s="1105">
        <v>244379</v>
      </c>
      <c r="D2289" s="1105">
        <v>270354</v>
      </c>
      <c r="F2289" s="1139">
        <v>0.51</v>
      </c>
      <c r="G2289" s="1111"/>
      <c r="H2289" s="1146">
        <v>124633</v>
      </c>
      <c r="I2289" s="1146">
        <v>137881</v>
      </c>
      <c r="K2289" s="1139"/>
      <c r="L2289" s="1111"/>
      <c r="M2289" s="1139"/>
      <c r="N2289" s="1111"/>
      <c r="O2289" s="1139"/>
      <c r="P2289" s="1111"/>
      <c r="Q2289" s="1139"/>
      <c r="R2289" s="1111"/>
      <c r="S2289" s="1146"/>
      <c r="T2289" s="1629"/>
      <c r="U2289" s="1146"/>
      <c r="V2289" s="1629"/>
      <c r="W2289" s="1146"/>
      <c r="X2289" s="1629"/>
      <c r="Y2289" s="1146"/>
      <c r="Z2289" s="2114">
        <f>C2289-'Blocking-Step2'!C2289</f>
        <v>0</v>
      </c>
      <c r="AA2289" s="2114">
        <f>D2289-'Blocking-Step2'!D2289</f>
        <v>0</v>
      </c>
      <c r="AC2289" s="2114">
        <f>F2289-'Blocking-Step2'!F2289</f>
        <v>0</v>
      </c>
      <c r="AE2289" s="2114">
        <f>H2289-'Blocking-Step2'!H2289</f>
        <v>0</v>
      </c>
      <c r="AF2289" s="2114">
        <f>I2289-'Blocking-Step2'!I2289</f>
        <v>0</v>
      </c>
      <c r="AH2289" s="2136">
        <f>K2289-'Blocking-Step2'!K2289</f>
        <v>0</v>
      </c>
      <c r="AJ2289" s="2136">
        <f>M2289-'Blocking-Step2'!M2289</f>
        <v>0</v>
      </c>
      <c r="AL2289" s="2136">
        <f>O2289-'Blocking-Step2'!O2289</f>
        <v>0</v>
      </c>
      <c r="AN2289" s="2137">
        <f>Q2289-'Blocking-Step2'!Q2289</f>
        <v>0</v>
      </c>
      <c r="AP2289" s="2127">
        <f>S2289-'Blocking-Step2'!S2289</f>
        <v>0</v>
      </c>
      <c r="AR2289" s="2127">
        <f>U2289-'Blocking-Step2'!U2289</f>
        <v>0</v>
      </c>
      <c r="AT2289" s="2127">
        <f>W2289-'Blocking-Step2'!W2289</f>
        <v>0</v>
      </c>
      <c r="AV2289" s="2128">
        <f>Y2289-'Blocking-Step2'!Y2289</f>
        <v>0</v>
      </c>
    </row>
    <row r="2290" spans="1:48">
      <c r="A2290" s="1116" t="s">
        <v>316</v>
      </c>
      <c r="C2290" s="1105"/>
      <c r="D2290" s="1105"/>
      <c r="F2290" s="1140"/>
      <c r="G2290" s="1112"/>
      <c r="H2290" s="1146"/>
      <c r="I2290" s="1146"/>
      <c r="K2290" s="1140"/>
      <c r="L2290" s="1112"/>
      <c r="M2290" s="1140"/>
      <c r="N2290" s="1112"/>
      <c r="O2290" s="1140"/>
      <c r="P2290" s="1112"/>
      <c r="Q2290" s="1140"/>
      <c r="R2290" s="1112"/>
      <c r="S2290" s="1146"/>
      <c r="T2290" s="1114"/>
      <c r="U2290" s="1146"/>
      <c r="V2290" s="1114"/>
      <c r="W2290" s="1146"/>
      <c r="X2290" s="1114"/>
      <c r="Y2290" s="1146"/>
      <c r="Z2290" s="2114">
        <f>C2290-'Blocking-Step2'!C2290</f>
        <v>0</v>
      </c>
      <c r="AA2290" s="2114">
        <f>D2290-'Blocking-Step2'!D2290</f>
        <v>0</v>
      </c>
      <c r="AC2290" s="2114">
        <f>F2290-'Blocking-Step2'!F2290</f>
        <v>0</v>
      </c>
      <c r="AE2290" s="2114">
        <f>H2290-'Blocking-Step2'!H2290</f>
        <v>0</v>
      </c>
      <c r="AF2290" s="2114">
        <f>I2290-'Blocking-Step2'!I2290</f>
        <v>0</v>
      </c>
      <c r="AH2290" s="2136">
        <f>K2290-'Blocking-Step2'!K2290</f>
        <v>0</v>
      </c>
      <c r="AJ2290" s="2136">
        <f>M2290-'Blocking-Step2'!M2290</f>
        <v>0</v>
      </c>
      <c r="AL2290" s="2136">
        <f>O2290-'Blocking-Step2'!O2290</f>
        <v>0</v>
      </c>
      <c r="AN2290" s="2137">
        <f>Q2290-'Blocking-Step2'!Q2290</f>
        <v>0</v>
      </c>
      <c r="AP2290" s="2127">
        <f>S2290-'Blocking-Step2'!S2290</f>
        <v>0</v>
      </c>
      <c r="AR2290" s="2127">
        <f>U2290-'Blocking-Step2'!U2290</f>
        <v>0</v>
      </c>
      <c r="AT2290" s="2127">
        <f>W2290-'Blocking-Step2'!W2290</f>
        <v>0</v>
      </c>
      <c r="AV2290" s="2128">
        <f>Y2290-'Blocking-Step2'!Y2290</f>
        <v>0</v>
      </c>
    </row>
    <row r="2291" spans="1:48">
      <c r="A2291" s="1116" t="s">
        <v>944</v>
      </c>
      <c r="C2291" s="1105">
        <v>0</v>
      </c>
      <c r="D2291" s="1105">
        <v>0</v>
      </c>
      <c r="F2291" s="1140">
        <v>0.38</v>
      </c>
      <c r="G2291" s="1112"/>
      <c r="H2291" s="1146">
        <v>0</v>
      </c>
      <c r="I2291" s="1146">
        <v>0</v>
      </c>
      <c r="K2291" s="1140"/>
      <c r="L2291" s="1112"/>
      <c r="M2291" s="1140"/>
      <c r="N2291" s="1112"/>
      <c r="O2291" s="1140"/>
      <c r="P2291" s="1112"/>
      <c r="Q2291" s="1140"/>
      <c r="R2291" s="1112"/>
      <c r="S2291" s="1146"/>
      <c r="T2291" s="1114"/>
      <c r="U2291" s="1146"/>
      <c r="V2291" s="1114"/>
      <c r="W2291" s="1146"/>
      <c r="X2291" s="1114"/>
      <c r="Y2291" s="1146"/>
      <c r="Z2291" s="2114">
        <f>C2291-'Blocking-Step2'!C2291</f>
        <v>0</v>
      </c>
      <c r="AA2291" s="2114">
        <f>D2291-'Blocking-Step2'!D2291</f>
        <v>0</v>
      </c>
      <c r="AC2291" s="2114">
        <f>F2291-'Blocking-Step2'!F2291</f>
        <v>0</v>
      </c>
      <c r="AE2291" s="2114">
        <f>H2291-'Blocking-Step2'!H2291</f>
        <v>0</v>
      </c>
      <c r="AF2291" s="2114">
        <f>I2291-'Blocking-Step2'!I2291</f>
        <v>0</v>
      </c>
      <c r="AH2291" s="2136">
        <f>K2291-'Blocking-Step2'!K2291</f>
        <v>0</v>
      </c>
      <c r="AJ2291" s="2136">
        <f>M2291-'Blocking-Step2'!M2291</f>
        <v>0</v>
      </c>
      <c r="AL2291" s="2136">
        <f>O2291-'Blocking-Step2'!O2291</f>
        <v>0</v>
      </c>
      <c r="AN2291" s="2137">
        <f>Q2291-'Blocking-Step2'!Q2291</f>
        <v>0</v>
      </c>
      <c r="AP2291" s="2127">
        <f>S2291-'Blocking-Step2'!S2291</f>
        <v>0</v>
      </c>
      <c r="AR2291" s="2127">
        <f>U2291-'Blocking-Step2'!U2291</f>
        <v>0</v>
      </c>
      <c r="AT2291" s="2127">
        <f>W2291-'Blocking-Step2'!W2291</f>
        <v>0</v>
      </c>
      <c r="AV2291" s="2128">
        <f>Y2291-'Blocking-Step2'!Y2291</f>
        <v>0</v>
      </c>
    </row>
    <row r="2292" spans="1:48">
      <c r="A2292" s="1116" t="s">
        <v>945</v>
      </c>
      <c r="C2292" s="1105">
        <v>109500</v>
      </c>
      <c r="D2292" s="1105">
        <v>132544</v>
      </c>
      <c r="F2292" s="1140">
        <v>0.255</v>
      </c>
      <c r="G2292" s="1112"/>
      <c r="H2292" s="1146">
        <v>27923</v>
      </c>
      <c r="I2292" s="1146">
        <v>33799</v>
      </c>
      <c r="K2292" s="1140"/>
      <c r="L2292" s="1112"/>
      <c r="M2292" s="1140"/>
      <c r="N2292" s="1112"/>
      <c r="O2292" s="1140"/>
      <c r="P2292" s="1112"/>
      <c r="Q2292" s="1140"/>
      <c r="R2292" s="1112"/>
      <c r="S2292" s="1146"/>
      <c r="T2292" s="1114"/>
      <c r="U2292" s="1146"/>
      <c r="V2292" s="1114"/>
      <c r="W2292" s="1146"/>
      <c r="X2292" s="1114"/>
      <c r="Y2292" s="1146"/>
      <c r="Z2292" s="2114">
        <f>C2292-'Blocking-Step2'!C2292</f>
        <v>0</v>
      </c>
      <c r="AA2292" s="2114">
        <f>D2292-'Blocking-Step2'!D2292</f>
        <v>0</v>
      </c>
      <c r="AC2292" s="2114">
        <f>F2292-'Blocking-Step2'!F2292</f>
        <v>0</v>
      </c>
      <c r="AE2292" s="2114">
        <f>H2292-'Blocking-Step2'!H2292</f>
        <v>0</v>
      </c>
      <c r="AF2292" s="2114">
        <f>I2292-'Blocking-Step2'!I2292</f>
        <v>0</v>
      </c>
      <c r="AH2292" s="2136">
        <f>K2292-'Blocking-Step2'!K2292</f>
        <v>0</v>
      </c>
      <c r="AJ2292" s="2136">
        <f>M2292-'Blocking-Step2'!M2292</f>
        <v>0</v>
      </c>
      <c r="AL2292" s="2136">
        <f>O2292-'Blocking-Step2'!O2292</f>
        <v>0</v>
      </c>
      <c r="AN2292" s="2137">
        <f>Q2292-'Blocking-Step2'!Q2292</f>
        <v>0</v>
      </c>
      <c r="AP2292" s="2127">
        <f>S2292-'Blocking-Step2'!S2292</f>
        <v>0</v>
      </c>
      <c r="AR2292" s="2127">
        <f>U2292-'Blocking-Step2'!U2292</f>
        <v>0</v>
      </c>
      <c r="AT2292" s="2127">
        <f>W2292-'Blocking-Step2'!W2292</f>
        <v>0</v>
      </c>
      <c r="AV2292" s="2128">
        <f>Y2292-'Blocking-Step2'!Y2292</f>
        <v>0</v>
      </c>
    </row>
    <row r="2293" spans="1:48">
      <c r="A2293" s="1116" t="s">
        <v>317</v>
      </c>
      <c r="C2293" s="1105"/>
      <c r="D2293" s="1105"/>
      <c r="F2293" s="1139"/>
      <c r="G2293" s="1110"/>
      <c r="H2293" s="1146"/>
      <c r="I2293" s="1146"/>
      <c r="K2293" s="1139"/>
      <c r="L2293" s="1110"/>
      <c r="M2293" s="1139"/>
      <c r="N2293" s="1110"/>
      <c r="O2293" s="1139"/>
      <c r="P2293" s="1110"/>
      <c r="Q2293" s="1139"/>
      <c r="R2293" s="1110"/>
      <c r="S2293" s="1146"/>
      <c r="T2293" s="1629"/>
      <c r="U2293" s="1146"/>
      <c r="V2293" s="1629"/>
      <c r="W2293" s="1146"/>
      <c r="X2293" s="1629"/>
      <c r="Y2293" s="1146"/>
      <c r="Z2293" s="2114">
        <f>C2293-'Blocking-Step2'!C2293</f>
        <v>0</v>
      </c>
      <c r="AA2293" s="2114">
        <f>D2293-'Blocking-Step2'!D2293</f>
        <v>0</v>
      </c>
      <c r="AC2293" s="2114">
        <f>F2293-'Blocking-Step2'!F2293</f>
        <v>0</v>
      </c>
      <c r="AE2293" s="2114">
        <f>H2293-'Blocking-Step2'!H2293</f>
        <v>0</v>
      </c>
      <c r="AF2293" s="2114">
        <f>I2293-'Blocking-Step2'!I2293</f>
        <v>0</v>
      </c>
      <c r="AH2293" s="2136">
        <f>K2293-'Blocking-Step2'!K2293</f>
        <v>0</v>
      </c>
      <c r="AJ2293" s="2136">
        <f>M2293-'Blocking-Step2'!M2293</f>
        <v>0</v>
      </c>
      <c r="AL2293" s="2136">
        <f>O2293-'Blocking-Step2'!O2293</f>
        <v>0</v>
      </c>
      <c r="AN2293" s="2137">
        <f>Q2293-'Blocking-Step2'!Q2293</f>
        <v>0</v>
      </c>
      <c r="AP2293" s="2127">
        <f>S2293-'Blocking-Step2'!S2293</f>
        <v>0</v>
      </c>
      <c r="AR2293" s="2127">
        <f>U2293-'Blocking-Step2'!U2293</f>
        <v>0</v>
      </c>
      <c r="AT2293" s="2127">
        <f>W2293-'Blocking-Step2'!W2293</f>
        <v>0</v>
      </c>
      <c r="AV2293" s="2128">
        <f>Y2293-'Blocking-Step2'!Y2293</f>
        <v>0</v>
      </c>
    </row>
    <row r="2294" spans="1:48">
      <c r="A2294" s="1116" t="s">
        <v>944</v>
      </c>
      <c r="C2294" s="1105">
        <v>8738</v>
      </c>
      <c r="D2294" s="1105">
        <v>8339</v>
      </c>
      <c r="F2294" s="1139">
        <v>32.35</v>
      </c>
      <c r="G2294" s="1110"/>
      <c r="H2294" s="1146">
        <v>282674</v>
      </c>
      <c r="I2294" s="1146">
        <v>269767</v>
      </c>
      <c r="K2294" s="1139"/>
      <c r="L2294" s="1110"/>
      <c r="M2294" s="1139"/>
      <c r="N2294" s="1110"/>
      <c r="O2294" s="1139"/>
      <c r="P2294" s="1110"/>
      <c r="Q2294" s="1139"/>
      <c r="R2294" s="1110"/>
      <c r="S2294" s="1146"/>
      <c r="T2294" s="1629"/>
      <c r="U2294" s="1146"/>
      <c r="V2294" s="1629"/>
      <c r="W2294" s="1146"/>
      <c r="X2294" s="1629"/>
      <c r="Y2294" s="1146"/>
      <c r="Z2294" s="2114">
        <f>C2294-'Blocking-Step2'!C2294</f>
        <v>0</v>
      </c>
      <c r="AA2294" s="2114">
        <f>D2294-'Blocking-Step2'!D2294</f>
        <v>0</v>
      </c>
      <c r="AC2294" s="2114">
        <f>F2294-'Blocking-Step2'!F2294</f>
        <v>0</v>
      </c>
      <c r="AE2294" s="2114">
        <f>H2294-'Blocking-Step2'!H2294</f>
        <v>0</v>
      </c>
      <c r="AF2294" s="2114">
        <f>I2294-'Blocking-Step2'!I2294</f>
        <v>0</v>
      </c>
      <c r="AH2294" s="2136">
        <f>K2294-'Blocking-Step2'!K2294</f>
        <v>0</v>
      </c>
      <c r="AJ2294" s="2136">
        <f>M2294-'Blocking-Step2'!M2294</f>
        <v>0</v>
      </c>
      <c r="AL2294" s="2136">
        <f>O2294-'Blocking-Step2'!O2294</f>
        <v>0</v>
      </c>
      <c r="AN2294" s="2137">
        <f>Q2294-'Blocking-Step2'!Q2294</f>
        <v>0</v>
      </c>
      <c r="AP2294" s="2127">
        <f>S2294-'Blocking-Step2'!S2294</f>
        <v>0</v>
      </c>
      <c r="AR2294" s="2127">
        <f>U2294-'Blocking-Step2'!U2294</f>
        <v>0</v>
      </c>
      <c r="AT2294" s="2127">
        <f>W2294-'Blocking-Step2'!W2294</f>
        <v>0</v>
      </c>
      <c r="AV2294" s="2128">
        <f>Y2294-'Blocking-Step2'!Y2294</f>
        <v>0</v>
      </c>
    </row>
    <row r="2295" spans="1:48">
      <c r="A2295" s="1116" t="s">
        <v>945</v>
      </c>
      <c r="C2295" s="1105">
        <v>984</v>
      </c>
      <c r="D2295" s="1105">
        <v>939</v>
      </c>
      <c r="F2295" s="1139">
        <v>23.36</v>
      </c>
      <c r="G2295" s="1110"/>
      <c r="H2295" s="1146">
        <v>22986</v>
      </c>
      <c r="I2295" s="1146">
        <v>21935</v>
      </c>
      <c r="K2295" s="1139"/>
      <c r="L2295" s="1110"/>
      <c r="M2295" s="1139"/>
      <c r="N2295" s="1110"/>
      <c r="O2295" s="1139"/>
      <c r="P2295" s="1110"/>
      <c r="Q2295" s="1139"/>
      <c r="R2295" s="1110"/>
      <c r="S2295" s="1146"/>
      <c r="T2295" s="1629"/>
      <c r="U2295" s="1146"/>
      <c r="V2295" s="1629"/>
      <c r="W2295" s="1146"/>
      <c r="X2295" s="1629"/>
      <c r="Y2295" s="1146"/>
      <c r="Z2295" s="2114">
        <f>C2295-'Blocking-Step2'!C2295</f>
        <v>0</v>
      </c>
      <c r="AA2295" s="2114">
        <f>D2295-'Blocking-Step2'!D2295</f>
        <v>0</v>
      </c>
      <c r="AC2295" s="2114">
        <f>F2295-'Blocking-Step2'!F2295</f>
        <v>0</v>
      </c>
      <c r="AE2295" s="2114">
        <f>H2295-'Blocking-Step2'!H2295</f>
        <v>0</v>
      </c>
      <c r="AF2295" s="2114">
        <f>I2295-'Blocking-Step2'!I2295</f>
        <v>0</v>
      </c>
      <c r="AH2295" s="2136">
        <f>K2295-'Blocking-Step2'!K2295</f>
        <v>0</v>
      </c>
      <c r="AJ2295" s="2136">
        <f>M2295-'Blocking-Step2'!M2295</f>
        <v>0</v>
      </c>
      <c r="AL2295" s="2136">
        <f>O2295-'Blocking-Step2'!O2295</f>
        <v>0</v>
      </c>
      <c r="AN2295" s="2137">
        <f>Q2295-'Blocking-Step2'!Q2295</f>
        <v>0</v>
      </c>
      <c r="AP2295" s="2127">
        <f>S2295-'Blocking-Step2'!S2295</f>
        <v>0</v>
      </c>
      <c r="AR2295" s="2127">
        <f>U2295-'Blocking-Step2'!U2295</f>
        <v>0</v>
      </c>
      <c r="AT2295" s="2127">
        <f>W2295-'Blocking-Step2'!W2295</f>
        <v>0</v>
      </c>
      <c r="AV2295" s="2128">
        <f>Y2295-'Blocking-Step2'!Y2295</f>
        <v>0</v>
      </c>
    </row>
    <row r="2296" spans="1:48">
      <c r="A2296" s="1116" t="s">
        <v>397</v>
      </c>
      <c r="C2296" s="1136"/>
      <c r="D2296" s="1136"/>
      <c r="F2296" s="1106"/>
      <c r="G2296" s="1107"/>
      <c r="H2296" s="1147">
        <v>2036745</v>
      </c>
      <c r="I2296" s="1147">
        <v>2179358</v>
      </c>
      <c r="K2296" s="1106"/>
      <c r="L2296" s="1107"/>
      <c r="M2296" s="1106"/>
      <c r="N2296" s="1107"/>
      <c r="O2296" s="1106"/>
      <c r="P2296" s="1107"/>
      <c r="Q2296" s="1106"/>
      <c r="R2296" s="1107"/>
      <c r="S2296" s="1147">
        <v>170906</v>
      </c>
      <c r="T2296" s="1114"/>
      <c r="U2296" s="1147">
        <v>2017909</v>
      </c>
      <c r="V2296" s="1114"/>
      <c r="W2296" s="1147">
        <v>0</v>
      </c>
      <c r="X2296" s="1114"/>
      <c r="Y2296" s="1147">
        <v>2188815</v>
      </c>
      <c r="Z2296" s="2114">
        <f>C2296-'Blocking-Step2'!C2296</f>
        <v>0</v>
      </c>
      <c r="AA2296" s="2114">
        <f>D2296-'Blocking-Step2'!D2296</f>
        <v>0</v>
      </c>
      <c r="AC2296" s="2114">
        <f>F2296-'Blocking-Step2'!F2296</f>
        <v>0</v>
      </c>
      <c r="AE2296" s="2114">
        <f>H2296-'Blocking-Step2'!H2296</f>
        <v>0</v>
      </c>
      <c r="AF2296" s="2114">
        <f>I2296-'Blocking-Step2'!I2296</f>
        <v>0</v>
      </c>
      <c r="AH2296" s="2136">
        <f>K2296-'Blocking-Step2'!K2296</f>
        <v>0</v>
      </c>
      <c r="AJ2296" s="2136">
        <f>M2296-'Blocking-Step2'!M2296</f>
        <v>0</v>
      </c>
      <c r="AL2296" s="2136">
        <f>O2296-'Blocking-Step2'!O2296</f>
        <v>0</v>
      </c>
      <c r="AN2296" s="2137">
        <f>Q2296-'Blocking-Step2'!Q2296</f>
        <v>0</v>
      </c>
      <c r="AP2296" s="2127">
        <f>S2296-'Blocking-Step2'!S2296</f>
        <v>-1247922</v>
      </c>
      <c r="AR2296" s="2127">
        <f>U2296-'Blocking-Step2'!U2296</f>
        <v>1247920</v>
      </c>
      <c r="AT2296" s="2127">
        <f>W2296-'Blocking-Step2'!W2296</f>
        <v>0</v>
      </c>
      <c r="AV2296" s="2128">
        <f>Y2296-'Blocking-Step2'!Y2296</f>
        <v>0</v>
      </c>
    </row>
    <row r="2297" spans="1:48">
      <c r="A2297" s="2008" t="s">
        <v>442</v>
      </c>
      <c r="S2297" s="1627"/>
      <c r="U2297" s="1627"/>
      <c r="W2297" s="1627"/>
      <c r="Z2297" s="2114">
        <f>C2297-'Blocking-Step2'!C2297</f>
        <v>0</v>
      </c>
      <c r="AA2297" s="2114">
        <f>D2297-'Blocking-Step2'!D2297</f>
        <v>0</v>
      </c>
      <c r="AC2297" s="2114">
        <f>F2297-'Blocking-Step2'!F2297</f>
        <v>0</v>
      </c>
      <c r="AE2297" s="2114">
        <f>H2297-'Blocking-Step2'!H2297</f>
        <v>0</v>
      </c>
      <c r="AF2297" s="2114">
        <f>I2297-'Blocking-Step2'!I2297</f>
        <v>0</v>
      </c>
      <c r="AH2297" s="2136">
        <f>K2297-'Blocking-Step2'!K2297</f>
        <v>0</v>
      </c>
      <c r="AJ2297" s="2136">
        <f>M2297-'Blocking-Step2'!M2297</f>
        <v>0</v>
      </c>
      <c r="AL2297" s="2136">
        <f>O2297-'Blocking-Step2'!O2297</f>
        <v>0</v>
      </c>
      <c r="AN2297" s="2137">
        <f>Q2297-'Blocking-Step2'!Q2297</f>
        <v>0</v>
      </c>
      <c r="AP2297" s="2127">
        <f>S2297-'Blocking-Step2'!S2297</f>
        <v>0</v>
      </c>
      <c r="AR2297" s="2127">
        <f>U2297-'Blocking-Step2'!U2297</f>
        <v>0</v>
      </c>
      <c r="AT2297" s="2127">
        <f>W2297-'Blocking-Step2'!W2297</f>
        <v>0</v>
      </c>
      <c r="AV2297" s="2128">
        <f>Y2297-'Blocking-Step2'!Y2297</f>
        <v>0</v>
      </c>
    </row>
    <row r="2298" spans="1:48">
      <c r="A2298" s="1115" t="s">
        <v>443</v>
      </c>
      <c r="C2298" s="1105"/>
      <c r="D2298" s="1105"/>
      <c r="F2298" s="1142"/>
      <c r="G2298" s="617"/>
      <c r="H2298" s="1146"/>
      <c r="I2298" s="1146"/>
      <c r="K2298" s="1142"/>
      <c r="L2298" s="617"/>
      <c r="M2298" s="1142"/>
      <c r="N2298" s="617"/>
      <c r="O2298" s="1142"/>
      <c r="P2298" s="617"/>
      <c r="Q2298" s="1142"/>
      <c r="R2298" s="617"/>
      <c r="S2298" s="1146"/>
      <c r="T2298" s="1114"/>
      <c r="U2298" s="1146"/>
      <c r="V2298" s="1114"/>
      <c r="W2298" s="1146"/>
      <c r="X2298" s="1114"/>
      <c r="Y2298" s="1146"/>
      <c r="Z2298" s="2114">
        <f>C2298-'Blocking-Step2'!C2298</f>
        <v>0</v>
      </c>
      <c r="AA2298" s="2114">
        <f>D2298-'Blocking-Step2'!D2298</f>
        <v>0</v>
      </c>
      <c r="AC2298" s="2114">
        <f>F2298-'Blocking-Step2'!F2298</f>
        <v>0</v>
      </c>
      <c r="AE2298" s="2114">
        <f>H2298-'Blocking-Step2'!H2298</f>
        <v>0</v>
      </c>
      <c r="AF2298" s="2114">
        <f>I2298-'Blocking-Step2'!I2298</f>
        <v>0</v>
      </c>
      <c r="AH2298" s="2136">
        <f>K2298-'Blocking-Step2'!K2298</f>
        <v>0</v>
      </c>
      <c r="AJ2298" s="2136">
        <f>M2298-'Blocking-Step2'!M2298</f>
        <v>0</v>
      </c>
      <c r="AL2298" s="2136">
        <f>O2298-'Blocking-Step2'!O2298</f>
        <v>0</v>
      </c>
      <c r="AN2298" s="2137">
        <f>Q2298-'Blocking-Step2'!Q2298</f>
        <v>0</v>
      </c>
      <c r="AP2298" s="2127">
        <f>S2298-'Blocking-Step2'!S2298</f>
        <v>0</v>
      </c>
      <c r="AR2298" s="2127">
        <f>U2298-'Blocking-Step2'!U2298</f>
        <v>0</v>
      </c>
      <c r="AT2298" s="2127">
        <f>W2298-'Blocking-Step2'!W2298</f>
        <v>0</v>
      </c>
      <c r="AV2298" s="2128">
        <f>Y2298-'Blocking-Step2'!Y2298</f>
        <v>0</v>
      </c>
    </row>
    <row r="2299" spans="1:48">
      <c r="A2299" s="1116" t="s">
        <v>168</v>
      </c>
      <c r="C2299" s="1105">
        <v>29129</v>
      </c>
      <c r="D2299" s="1105">
        <v>27799</v>
      </c>
      <c r="F2299" s="1142">
        <v>4.76</v>
      </c>
      <c r="G2299" s="617"/>
      <c r="H2299" s="1146">
        <v>138654</v>
      </c>
      <c r="I2299" s="1146">
        <v>132323</v>
      </c>
      <c r="K2299" s="1142">
        <v>4.84</v>
      </c>
      <c r="L2299" s="617"/>
      <c r="M2299" s="1142">
        <v>0</v>
      </c>
      <c r="N2299" s="617"/>
      <c r="O2299" s="1142">
        <v>0</v>
      </c>
      <c r="P2299" s="617"/>
      <c r="Q2299" s="1142">
        <v>4.84</v>
      </c>
      <c r="R2299" s="617"/>
      <c r="S2299" s="1146">
        <v>134547</v>
      </c>
      <c r="T2299" s="1114"/>
      <c r="U2299" s="1146">
        <v>0</v>
      </c>
      <c r="V2299" s="1114"/>
      <c r="W2299" s="1146">
        <v>0</v>
      </c>
      <c r="X2299" s="1114"/>
      <c r="Y2299" s="1146">
        <v>134547</v>
      </c>
      <c r="Z2299" s="2114">
        <f>C2299-'Blocking-Step2'!C2299</f>
        <v>0</v>
      </c>
      <c r="AA2299" s="2114">
        <f>D2299-'Blocking-Step2'!D2299</f>
        <v>0</v>
      </c>
      <c r="AC2299" s="2114">
        <f>F2299-'Blocking-Step2'!F2299</f>
        <v>0</v>
      </c>
      <c r="AE2299" s="2114">
        <f>H2299-'Blocking-Step2'!H2299</f>
        <v>0</v>
      </c>
      <c r="AF2299" s="2114">
        <f>I2299-'Blocking-Step2'!I2299</f>
        <v>0</v>
      </c>
      <c r="AH2299" s="2136">
        <f>K2299-'Blocking-Step2'!K2299</f>
        <v>0</v>
      </c>
      <c r="AJ2299" s="2136">
        <f>M2299-'Blocking-Step2'!M2299</f>
        <v>0</v>
      </c>
      <c r="AL2299" s="2136">
        <f>O2299-'Blocking-Step2'!O2299</f>
        <v>0</v>
      </c>
      <c r="AN2299" s="2137">
        <f>Q2299-'Blocking-Step2'!Q2299</f>
        <v>0</v>
      </c>
      <c r="AP2299" s="2127">
        <f>S2299-'Blocking-Step2'!S2299</f>
        <v>0</v>
      </c>
      <c r="AR2299" s="2127">
        <f>U2299-'Blocking-Step2'!U2299</f>
        <v>0</v>
      </c>
      <c r="AT2299" s="2127">
        <f>W2299-'Blocking-Step2'!W2299</f>
        <v>0</v>
      </c>
      <c r="AV2299" s="2128">
        <f>Y2299-'Blocking-Step2'!Y2299</f>
        <v>0</v>
      </c>
    </row>
    <row r="2300" spans="1:48">
      <c r="A2300" s="1116" t="s">
        <v>1651</v>
      </c>
      <c r="C2300" s="1105">
        <v>2828.2164038624519</v>
      </c>
      <c r="D2300" s="1105">
        <v>2699</v>
      </c>
      <c r="F2300" s="1142"/>
      <c r="G2300" s="617"/>
      <c r="H2300" s="1146"/>
      <c r="I2300" s="1146"/>
      <c r="K2300" s="1142">
        <v>0</v>
      </c>
      <c r="L2300" s="617"/>
      <c r="M2300" s="1142">
        <v>15.83</v>
      </c>
      <c r="N2300" s="617"/>
      <c r="O2300" s="1142">
        <v>0</v>
      </c>
      <c r="P2300" s="617"/>
      <c r="Q2300" s="1142">
        <v>15.83</v>
      </c>
      <c r="R2300" s="617"/>
      <c r="S2300" s="1146">
        <v>0</v>
      </c>
      <c r="T2300" s="1114"/>
      <c r="U2300" s="1146">
        <v>42725</v>
      </c>
      <c r="V2300" s="1114"/>
      <c r="W2300" s="1146">
        <v>0</v>
      </c>
      <c r="X2300" s="1114"/>
      <c r="Y2300" s="1146">
        <v>42725</v>
      </c>
      <c r="Z2300" s="2114">
        <f>C2300-'Blocking-Step2'!C2300</f>
        <v>0</v>
      </c>
      <c r="AA2300" s="2114">
        <f>D2300-'Blocking-Step2'!D2300</f>
        <v>0</v>
      </c>
      <c r="AC2300" s="2114">
        <f>F2300-'Blocking-Step2'!F2300</f>
        <v>0</v>
      </c>
      <c r="AE2300" s="2114">
        <f>H2300-'Blocking-Step2'!H2300</f>
        <v>0</v>
      </c>
      <c r="AF2300" s="2114">
        <f>I2300-'Blocking-Step2'!I2300</f>
        <v>0</v>
      </c>
      <c r="AH2300" s="2136">
        <f>K2300-'Blocking-Step2'!K2300</f>
        <v>-7.23</v>
      </c>
      <c r="AJ2300" s="2136">
        <f>M2300-'Blocking-Step2'!M2300</f>
        <v>7.23</v>
      </c>
      <c r="AL2300" s="2136">
        <f>O2300-'Blocking-Step2'!O2300</f>
        <v>0</v>
      </c>
      <c r="AN2300" s="2137">
        <f>Q2300-'Blocking-Step2'!Q2300</f>
        <v>0</v>
      </c>
      <c r="AP2300" s="2127">
        <f>S2300-'Blocking-Step2'!S2300</f>
        <v>-19514</v>
      </c>
      <c r="AR2300" s="2127">
        <f>U2300-'Blocking-Step2'!U2300</f>
        <v>19514</v>
      </c>
      <c r="AT2300" s="2127">
        <f>W2300-'Blocking-Step2'!W2300</f>
        <v>0</v>
      </c>
      <c r="AV2300" s="2128">
        <f>Y2300-'Blocking-Step2'!Y2300</f>
        <v>0</v>
      </c>
    </row>
    <row r="2301" spans="1:48">
      <c r="A2301" s="1116" t="s">
        <v>1652</v>
      </c>
      <c r="C2301" s="1105">
        <v>28169.780665940372</v>
      </c>
      <c r="D2301" s="1105">
        <v>26884</v>
      </c>
      <c r="F2301" s="1142"/>
      <c r="G2301" s="617"/>
      <c r="H2301" s="1146"/>
      <c r="I2301" s="1146"/>
      <c r="K2301" s="1142">
        <v>0</v>
      </c>
      <c r="L2301" s="617"/>
      <c r="M2301" s="1142">
        <v>14.01</v>
      </c>
      <c r="N2301" s="617"/>
      <c r="O2301" s="1142">
        <v>0</v>
      </c>
      <c r="P2301" s="617"/>
      <c r="Q2301" s="1142">
        <v>14.01</v>
      </c>
      <c r="R2301" s="617"/>
      <c r="S2301" s="1146">
        <v>0</v>
      </c>
      <c r="T2301" s="1114"/>
      <c r="U2301" s="1146">
        <v>376645</v>
      </c>
      <c r="V2301" s="1114"/>
      <c r="W2301" s="1146">
        <v>0</v>
      </c>
      <c r="X2301" s="1114"/>
      <c r="Y2301" s="1146">
        <v>376645</v>
      </c>
      <c r="Z2301" s="2114">
        <f>C2301-'Blocking-Step2'!C2301</f>
        <v>0</v>
      </c>
      <c r="AA2301" s="2114">
        <f>D2301-'Blocking-Step2'!D2301</f>
        <v>0</v>
      </c>
      <c r="AC2301" s="2114">
        <f>F2301-'Blocking-Step2'!F2301</f>
        <v>0</v>
      </c>
      <c r="AE2301" s="2114">
        <f>H2301-'Blocking-Step2'!H2301</f>
        <v>0</v>
      </c>
      <c r="AF2301" s="2114">
        <f>I2301-'Blocking-Step2'!I2301</f>
        <v>0</v>
      </c>
      <c r="AH2301" s="2136">
        <f>K2301-'Blocking-Step2'!K2301</f>
        <v>-6.4</v>
      </c>
      <c r="AJ2301" s="2136">
        <f>M2301-'Blocking-Step2'!M2301</f>
        <v>6.4</v>
      </c>
      <c r="AL2301" s="2136">
        <f>O2301-'Blocking-Step2'!O2301</f>
        <v>0</v>
      </c>
      <c r="AN2301" s="2137">
        <f>Q2301-'Blocking-Step2'!Q2301</f>
        <v>0</v>
      </c>
      <c r="AP2301" s="2127">
        <f>S2301-'Blocking-Step2'!S2301</f>
        <v>-172058</v>
      </c>
      <c r="AR2301" s="2127">
        <f>U2301-'Blocking-Step2'!U2301</f>
        <v>172058</v>
      </c>
      <c r="AT2301" s="2127">
        <f>W2301-'Blocking-Step2'!W2301</f>
        <v>0</v>
      </c>
      <c r="AV2301" s="2128">
        <f>Y2301-'Blocking-Step2'!Y2301</f>
        <v>0</v>
      </c>
    </row>
    <row r="2302" spans="1:48">
      <c r="A2302" s="1116" t="s">
        <v>1532</v>
      </c>
      <c r="C2302" s="1105">
        <v>943370.68349318916</v>
      </c>
      <c r="D2302" s="1105">
        <v>905085</v>
      </c>
      <c r="F2302" s="1106"/>
      <c r="G2302" s="1921"/>
      <c r="H2302" s="1146"/>
      <c r="I2302" s="1146"/>
      <c r="K2302" s="1106">
        <v>0</v>
      </c>
      <c r="L2302" s="1921" t="s">
        <v>495</v>
      </c>
      <c r="M2302" s="1106">
        <v>1.4166000000000001</v>
      </c>
      <c r="N2302" s="1921" t="s">
        <v>495</v>
      </c>
      <c r="O2302" s="1106">
        <v>4.4476704152740005</v>
      </c>
      <c r="P2302" s="1921" t="s">
        <v>495</v>
      </c>
      <c r="Q2302" s="1106">
        <v>5.8642704152740004</v>
      </c>
      <c r="R2302" s="1921" t="s">
        <v>495</v>
      </c>
      <c r="S2302" s="1146">
        <v>0</v>
      </c>
      <c r="T2302" s="1648"/>
      <c r="U2302" s="1146">
        <v>12821</v>
      </c>
      <c r="V2302" s="1648"/>
      <c r="W2302" s="1146">
        <v>40255</v>
      </c>
      <c r="X2302" s="1648"/>
      <c r="Y2302" s="1146">
        <v>53077</v>
      </c>
      <c r="Z2302" s="2114">
        <f>C2302-'Blocking-Step2'!C2302</f>
        <v>0</v>
      </c>
      <c r="AA2302" s="2114">
        <f>D2302-'Blocking-Step2'!D2302</f>
        <v>0</v>
      </c>
      <c r="AC2302" s="2114">
        <f>F2302-'Blocking-Step2'!F2302</f>
        <v>0</v>
      </c>
      <c r="AE2302" s="2114">
        <f>H2302-'Blocking-Step2'!H2302</f>
        <v>0</v>
      </c>
      <c r="AF2302" s="2114">
        <f>I2302-'Blocking-Step2'!I2302</f>
        <v>0</v>
      </c>
      <c r="AH2302" s="2136">
        <f>K2302-'Blocking-Step2'!K2302</f>
        <v>0</v>
      </c>
      <c r="AJ2302" s="2136">
        <f>M2302-'Blocking-Step2'!M2302</f>
        <v>0</v>
      </c>
      <c r="AL2302" s="2136">
        <f>O2302-'Blocking-Step2'!O2302</f>
        <v>0</v>
      </c>
      <c r="AN2302" s="2137">
        <f>Q2302-'Blocking-Step2'!Q2302</f>
        <v>0</v>
      </c>
      <c r="AP2302" s="2127">
        <f>S2302-'Blocking-Step2'!S2302</f>
        <v>0</v>
      </c>
      <c r="AR2302" s="2127">
        <f>U2302-'Blocking-Step2'!U2302</f>
        <v>0</v>
      </c>
      <c r="AT2302" s="2127">
        <f>W2302-'Blocking-Step2'!W2302</f>
        <v>0</v>
      </c>
      <c r="AV2302" s="2128">
        <f>Y2302-'Blocking-Step2'!Y2302</f>
        <v>0</v>
      </c>
    </row>
    <row r="2303" spans="1:48">
      <c r="A2303" s="1116" t="s">
        <v>1653</v>
      </c>
      <c r="C2303" s="1105">
        <v>2666759.3334862269</v>
      </c>
      <c r="D2303" s="1105">
        <v>2558532</v>
      </c>
      <c r="F2303" s="1106"/>
      <c r="G2303" s="1921"/>
      <c r="H2303" s="1146"/>
      <c r="I2303" s="1146"/>
      <c r="K2303" s="1106">
        <v>0</v>
      </c>
      <c r="L2303" s="1921" t="s">
        <v>495</v>
      </c>
      <c r="M2303" s="1106">
        <v>1.4166000000000001</v>
      </c>
      <c r="N2303" s="1921" t="s">
        <v>495</v>
      </c>
      <c r="O2303" s="1106">
        <v>3.7730198365260001</v>
      </c>
      <c r="P2303" s="1921" t="s">
        <v>495</v>
      </c>
      <c r="Q2303" s="1106">
        <v>5.189619836526</v>
      </c>
      <c r="R2303" s="1921" t="s">
        <v>495</v>
      </c>
      <c r="S2303" s="1146">
        <v>0</v>
      </c>
      <c r="T2303" s="1648"/>
      <c r="U2303" s="1146">
        <v>36244</v>
      </c>
      <c r="V2303" s="1648"/>
      <c r="W2303" s="1146">
        <v>96534</v>
      </c>
      <c r="X2303" s="1648"/>
      <c r="Y2303" s="1146">
        <v>132778</v>
      </c>
      <c r="Z2303" s="2114">
        <f>C2303-'Blocking-Step2'!C2303</f>
        <v>0</v>
      </c>
      <c r="AA2303" s="2114">
        <f>D2303-'Blocking-Step2'!D2303</f>
        <v>0</v>
      </c>
      <c r="AC2303" s="2114">
        <f>F2303-'Blocking-Step2'!F2303</f>
        <v>0</v>
      </c>
      <c r="AE2303" s="2114">
        <f>H2303-'Blocking-Step2'!H2303</f>
        <v>0</v>
      </c>
      <c r="AF2303" s="2114">
        <f>I2303-'Blocking-Step2'!I2303</f>
        <v>0</v>
      </c>
      <c r="AH2303" s="2136">
        <f>K2303-'Blocking-Step2'!K2303</f>
        <v>0</v>
      </c>
      <c r="AJ2303" s="2136">
        <f>M2303-'Blocking-Step2'!M2303</f>
        <v>0</v>
      </c>
      <c r="AL2303" s="2136">
        <f>O2303-'Blocking-Step2'!O2303</f>
        <v>0</v>
      </c>
      <c r="AN2303" s="2137">
        <f>Q2303-'Blocking-Step2'!Q2303</f>
        <v>0</v>
      </c>
      <c r="AP2303" s="2127">
        <f>S2303-'Blocking-Step2'!S2303</f>
        <v>0</v>
      </c>
      <c r="AR2303" s="2127">
        <f>U2303-'Blocking-Step2'!U2303</f>
        <v>0</v>
      </c>
      <c r="AT2303" s="2127">
        <f>W2303-'Blocking-Step2'!W2303</f>
        <v>0</v>
      </c>
      <c r="AV2303" s="2128">
        <f>Y2303-'Blocking-Step2'!Y2303</f>
        <v>0</v>
      </c>
    </row>
    <row r="2304" spans="1:48">
      <c r="A2304" s="1116" t="s">
        <v>1533</v>
      </c>
      <c r="C2304" s="1105">
        <v>4194488.0053539481</v>
      </c>
      <c r="D2304" s="1105">
        <v>4024260</v>
      </c>
      <c r="F2304" s="1106"/>
      <c r="G2304" s="1921"/>
      <c r="H2304" s="1146"/>
      <c r="I2304" s="1146"/>
      <c r="K2304" s="1106">
        <v>0</v>
      </c>
      <c r="L2304" s="1921" t="s">
        <v>495</v>
      </c>
      <c r="M2304" s="1106">
        <v>1.4166000000000001</v>
      </c>
      <c r="N2304" s="1921" t="s">
        <v>495</v>
      </c>
      <c r="O2304" s="1106">
        <v>1.5641055047420001</v>
      </c>
      <c r="P2304" s="1921" t="s">
        <v>495</v>
      </c>
      <c r="Q2304" s="1106">
        <v>2.9807055047420001</v>
      </c>
      <c r="R2304" s="1921" t="s">
        <v>495</v>
      </c>
      <c r="S2304" s="1146">
        <v>0</v>
      </c>
      <c r="T2304" s="1648"/>
      <c r="U2304" s="1146">
        <v>57008</v>
      </c>
      <c r="V2304" s="1648"/>
      <c r="W2304" s="1146">
        <v>62944</v>
      </c>
      <c r="X2304" s="1648"/>
      <c r="Y2304" s="1146">
        <v>119951</v>
      </c>
      <c r="Z2304" s="2114">
        <f>C2304-'Blocking-Step2'!C2304</f>
        <v>0</v>
      </c>
      <c r="AA2304" s="2114">
        <f>D2304-'Blocking-Step2'!D2304</f>
        <v>0</v>
      </c>
      <c r="AC2304" s="2114">
        <f>F2304-'Blocking-Step2'!F2304</f>
        <v>0</v>
      </c>
      <c r="AE2304" s="2114">
        <f>H2304-'Blocking-Step2'!H2304</f>
        <v>0</v>
      </c>
      <c r="AF2304" s="2114">
        <f>I2304-'Blocking-Step2'!I2304</f>
        <v>0</v>
      </c>
      <c r="AH2304" s="2136">
        <f>K2304-'Blocking-Step2'!K2304</f>
        <v>0</v>
      </c>
      <c r="AJ2304" s="2136">
        <f>M2304-'Blocking-Step2'!M2304</f>
        <v>0</v>
      </c>
      <c r="AL2304" s="2136">
        <f>O2304-'Blocking-Step2'!O2304</f>
        <v>0</v>
      </c>
      <c r="AN2304" s="2137">
        <f>Q2304-'Blocking-Step2'!Q2304</f>
        <v>0</v>
      </c>
      <c r="AP2304" s="2127">
        <f>S2304-'Blocking-Step2'!S2304</f>
        <v>0</v>
      </c>
      <c r="AR2304" s="2127">
        <f>U2304-'Blocking-Step2'!U2304</f>
        <v>0</v>
      </c>
      <c r="AT2304" s="2127">
        <f>W2304-'Blocking-Step2'!W2304</f>
        <v>0</v>
      </c>
      <c r="AV2304" s="2128">
        <f>Y2304-'Blocking-Step2'!Y2304</f>
        <v>0</v>
      </c>
    </row>
    <row r="2305" spans="1:48">
      <c r="A2305" s="1116" t="s">
        <v>2177</v>
      </c>
      <c r="C2305" s="1105">
        <v>7840981.977666636</v>
      </c>
      <c r="D2305" s="1105">
        <v>7522766</v>
      </c>
      <c r="F2305" s="1106"/>
      <c r="G2305" s="1921"/>
      <c r="H2305" s="1146"/>
      <c r="I2305" s="1146"/>
      <c r="K2305" s="1106">
        <v>0</v>
      </c>
      <c r="L2305" s="1921" t="s">
        <v>495</v>
      </c>
      <c r="M2305" s="1106">
        <v>1.4166000000000001</v>
      </c>
      <c r="N2305" s="1921" t="s">
        <v>495</v>
      </c>
      <c r="O2305" s="1106">
        <v>1.2211924820729998</v>
      </c>
      <c r="P2305" s="1921" t="s">
        <v>495</v>
      </c>
      <c r="Q2305" s="1106">
        <v>2.6377924820729999</v>
      </c>
      <c r="R2305" s="1921" t="s">
        <v>495</v>
      </c>
      <c r="S2305" s="1146">
        <v>0</v>
      </c>
      <c r="T2305" s="1648"/>
      <c r="U2305" s="1146">
        <v>106568</v>
      </c>
      <c r="V2305" s="1648"/>
      <c r="W2305" s="1146">
        <v>91867</v>
      </c>
      <c r="X2305" s="1648"/>
      <c r="Y2305" s="1146">
        <v>198435</v>
      </c>
      <c r="Z2305" s="2114">
        <f>C2305-'Blocking-Step2'!C2305</f>
        <v>0</v>
      </c>
      <c r="AA2305" s="2114">
        <f>D2305-'Blocking-Step2'!D2305</f>
        <v>0</v>
      </c>
      <c r="AC2305" s="2114">
        <f>F2305-'Blocking-Step2'!F2305</f>
        <v>0</v>
      </c>
      <c r="AE2305" s="2114">
        <f>H2305-'Blocking-Step2'!H2305</f>
        <v>0</v>
      </c>
      <c r="AF2305" s="2114">
        <f>I2305-'Blocking-Step2'!I2305</f>
        <v>0</v>
      </c>
      <c r="AH2305" s="2136">
        <f>K2305-'Blocking-Step2'!K2305</f>
        <v>0</v>
      </c>
      <c r="AJ2305" s="2136">
        <f>M2305-'Blocking-Step2'!M2305</f>
        <v>0</v>
      </c>
      <c r="AL2305" s="2136">
        <f>O2305-'Blocking-Step2'!O2305</f>
        <v>0</v>
      </c>
      <c r="AN2305" s="2137">
        <f>Q2305-'Blocking-Step2'!Q2305</f>
        <v>0</v>
      </c>
      <c r="AP2305" s="2127">
        <f>S2305-'Blocking-Step2'!S2305</f>
        <v>0</v>
      </c>
      <c r="AR2305" s="2127">
        <f>U2305-'Blocking-Step2'!U2305</f>
        <v>0</v>
      </c>
      <c r="AT2305" s="2127">
        <f>W2305-'Blocking-Step2'!W2305</f>
        <v>0</v>
      </c>
      <c r="AV2305" s="2128">
        <f>Y2305-'Blocking-Step2'!Y2305</f>
        <v>0</v>
      </c>
    </row>
    <row r="2306" spans="1:48">
      <c r="A2306" s="1116" t="s">
        <v>18</v>
      </c>
      <c r="C2306" s="1105">
        <v>3500</v>
      </c>
      <c r="D2306" s="1105">
        <v>3340</v>
      </c>
      <c r="F2306" s="1142">
        <v>15.56</v>
      </c>
      <c r="G2306" s="617"/>
      <c r="H2306" s="1146">
        <v>54460</v>
      </c>
      <c r="I2306" s="1146">
        <v>51970</v>
      </c>
      <c r="K2306" s="1142"/>
      <c r="L2306" s="617"/>
      <c r="M2306" s="1142"/>
      <c r="N2306" s="617"/>
      <c r="O2306" s="1142"/>
      <c r="P2306" s="617"/>
      <c r="Q2306" s="1142"/>
      <c r="R2306" s="617"/>
      <c r="S2306" s="1146"/>
      <c r="T2306" s="1114"/>
      <c r="U2306" s="1146"/>
      <c r="V2306" s="1114"/>
      <c r="W2306" s="1146"/>
      <c r="X2306" s="1114"/>
      <c r="Y2306" s="1146"/>
      <c r="Z2306" s="2114">
        <f>C2306-'Blocking-Step2'!C2306</f>
        <v>0</v>
      </c>
      <c r="AA2306" s="2114">
        <f>D2306-'Blocking-Step2'!D2306</f>
        <v>0</v>
      </c>
      <c r="AC2306" s="2114">
        <f>F2306-'Blocking-Step2'!F2306</f>
        <v>0</v>
      </c>
      <c r="AE2306" s="2114">
        <f>H2306-'Blocking-Step2'!H2306</f>
        <v>0</v>
      </c>
      <c r="AF2306" s="2114">
        <f>I2306-'Blocking-Step2'!I2306</f>
        <v>0</v>
      </c>
      <c r="AH2306" s="2136">
        <f>K2306-'Blocking-Step2'!K2306</f>
        <v>0</v>
      </c>
      <c r="AJ2306" s="2136">
        <f>M2306-'Blocking-Step2'!M2306</f>
        <v>0</v>
      </c>
      <c r="AL2306" s="2136">
        <f>O2306-'Blocking-Step2'!O2306</f>
        <v>0</v>
      </c>
      <c r="AN2306" s="2137">
        <f>Q2306-'Blocking-Step2'!Q2306</f>
        <v>0</v>
      </c>
      <c r="AP2306" s="2127">
        <f>S2306-'Blocking-Step2'!S2306</f>
        <v>0</v>
      </c>
      <c r="AR2306" s="2127">
        <f>U2306-'Blocking-Step2'!U2306</f>
        <v>0</v>
      </c>
      <c r="AT2306" s="2127">
        <f>W2306-'Blocking-Step2'!W2306</f>
        <v>0</v>
      </c>
      <c r="AV2306" s="2128">
        <f>Y2306-'Blocking-Step2'!Y2306</f>
        <v>0</v>
      </c>
    </row>
    <row r="2307" spans="1:48">
      <c r="A2307" s="1116" t="s">
        <v>166</v>
      </c>
      <c r="C2307" s="1105">
        <v>25538</v>
      </c>
      <c r="D2307" s="1105">
        <v>24372</v>
      </c>
      <c r="F2307" s="1142">
        <v>11.19</v>
      </c>
      <c r="G2307" s="617"/>
      <c r="H2307" s="1146">
        <v>285770</v>
      </c>
      <c r="I2307" s="1146">
        <v>272723</v>
      </c>
      <c r="K2307" s="1142"/>
      <c r="L2307" s="617"/>
      <c r="M2307" s="1142"/>
      <c r="N2307" s="617"/>
      <c r="O2307" s="1142"/>
      <c r="P2307" s="617"/>
      <c r="Q2307" s="1142"/>
      <c r="R2307" s="617"/>
      <c r="S2307" s="1146"/>
      <c r="T2307" s="1114"/>
      <c r="U2307" s="1146"/>
      <c r="V2307" s="1114"/>
      <c r="W2307" s="1146"/>
      <c r="X2307" s="1114"/>
      <c r="Y2307" s="1146"/>
      <c r="Z2307" s="2114">
        <f>C2307-'Blocking-Step2'!C2307</f>
        <v>0</v>
      </c>
      <c r="AA2307" s="2114">
        <f>D2307-'Blocking-Step2'!D2307</f>
        <v>0</v>
      </c>
      <c r="AC2307" s="2114">
        <f>F2307-'Blocking-Step2'!F2307</f>
        <v>0</v>
      </c>
      <c r="AE2307" s="2114">
        <f>H2307-'Blocking-Step2'!H2307</f>
        <v>0</v>
      </c>
      <c r="AF2307" s="2114">
        <f>I2307-'Blocking-Step2'!I2307</f>
        <v>0</v>
      </c>
      <c r="AH2307" s="2136">
        <f>K2307-'Blocking-Step2'!K2307</f>
        <v>0</v>
      </c>
      <c r="AJ2307" s="2136">
        <f>M2307-'Blocking-Step2'!M2307</f>
        <v>0</v>
      </c>
      <c r="AL2307" s="2136">
        <f>O2307-'Blocking-Step2'!O2307</f>
        <v>0</v>
      </c>
      <c r="AN2307" s="2137">
        <f>Q2307-'Blocking-Step2'!Q2307</f>
        <v>0</v>
      </c>
      <c r="AP2307" s="2127">
        <f>S2307-'Blocking-Step2'!S2307</f>
        <v>0</v>
      </c>
      <c r="AR2307" s="2127">
        <f>U2307-'Blocking-Step2'!U2307</f>
        <v>0</v>
      </c>
      <c r="AT2307" s="2127">
        <f>W2307-'Blocking-Step2'!W2307</f>
        <v>0</v>
      </c>
      <c r="AV2307" s="2128">
        <f>Y2307-'Blocking-Step2'!Y2307</f>
        <v>0</v>
      </c>
    </row>
    <row r="2308" spans="1:48">
      <c r="A2308" s="1116" t="s">
        <v>261</v>
      </c>
      <c r="C2308" s="1105">
        <v>29038</v>
      </c>
      <c r="D2308" s="1105">
        <v>27713</v>
      </c>
      <c r="F2308" s="1142">
        <v>-1.1299999999999999</v>
      </c>
      <c r="G2308" s="617"/>
      <c r="H2308" s="1146">
        <v>-32813</v>
      </c>
      <c r="I2308" s="1146">
        <v>-31316</v>
      </c>
      <c r="K2308" s="1142">
        <v>-1.1299999999999999</v>
      </c>
      <c r="L2308" s="617"/>
      <c r="M2308" s="1142">
        <v>0</v>
      </c>
      <c r="N2308" s="617"/>
      <c r="O2308" s="1142">
        <v>0</v>
      </c>
      <c r="P2308" s="617"/>
      <c r="Q2308" s="1142">
        <v>-1.1299999999999999</v>
      </c>
      <c r="R2308" s="617"/>
      <c r="S2308" s="1146">
        <v>-31316</v>
      </c>
      <c r="T2308" s="1114"/>
      <c r="U2308" s="1146">
        <v>0</v>
      </c>
      <c r="V2308" s="1114"/>
      <c r="W2308" s="1146">
        <v>0</v>
      </c>
      <c r="X2308" s="1114"/>
      <c r="Y2308" s="1146">
        <v>-31316</v>
      </c>
      <c r="Z2308" s="2114">
        <f>C2308-'Blocking-Step2'!C2308</f>
        <v>0</v>
      </c>
      <c r="AA2308" s="2114">
        <f>D2308-'Blocking-Step2'!D2308</f>
        <v>0</v>
      </c>
      <c r="AC2308" s="2114">
        <f>F2308-'Blocking-Step2'!F2308</f>
        <v>0</v>
      </c>
      <c r="AE2308" s="2114">
        <f>H2308-'Blocking-Step2'!H2308</f>
        <v>0</v>
      </c>
      <c r="AF2308" s="2114">
        <f>I2308-'Blocking-Step2'!I2308</f>
        <v>0</v>
      </c>
      <c r="AH2308" s="2136">
        <f>K2308-'Blocking-Step2'!K2308</f>
        <v>0</v>
      </c>
      <c r="AJ2308" s="2136">
        <f>M2308-'Blocking-Step2'!M2308</f>
        <v>0</v>
      </c>
      <c r="AL2308" s="2136">
        <f>O2308-'Blocking-Step2'!O2308</f>
        <v>0</v>
      </c>
      <c r="AN2308" s="2137">
        <f>Q2308-'Blocking-Step2'!Q2308</f>
        <v>0</v>
      </c>
      <c r="AP2308" s="2127">
        <f>S2308-'Blocking-Step2'!S2308</f>
        <v>0</v>
      </c>
      <c r="AR2308" s="2127">
        <f>U2308-'Blocking-Step2'!U2308</f>
        <v>0</v>
      </c>
      <c r="AT2308" s="2127">
        <f>W2308-'Blocking-Step2'!W2308</f>
        <v>0</v>
      </c>
      <c r="AV2308" s="2128">
        <f>Y2308-'Blocking-Step2'!Y2308</f>
        <v>0</v>
      </c>
    </row>
    <row r="2309" spans="1:48">
      <c r="A2309" s="1116" t="s">
        <v>188</v>
      </c>
      <c r="C2309" s="1105">
        <v>1183200</v>
      </c>
      <c r="D2309" s="1105">
        <v>1135181.6666666567</v>
      </c>
      <c r="F2309" s="1106">
        <v>5.0473999999999997</v>
      </c>
      <c r="G2309" s="1921" t="s">
        <v>495</v>
      </c>
      <c r="H2309" s="1146">
        <v>59721</v>
      </c>
      <c r="I2309" s="1146">
        <v>57297</v>
      </c>
      <c r="K2309" s="1106"/>
      <c r="L2309" s="1921"/>
      <c r="M2309" s="1106"/>
      <c r="N2309" s="1921"/>
      <c r="O2309" s="1106"/>
      <c r="P2309" s="1921"/>
      <c r="Q2309" s="1106"/>
      <c r="R2309" s="1921"/>
      <c r="S2309" s="1146"/>
      <c r="T2309" s="1648"/>
      <c r="U2309" s="1146"/>
      <c r="V2309" s="1648"/>
      <c r="W2309" s="1146"/>
      <c r="X2309" s="1648"/>
      <c r="Y2309" s="1146"/>
      <c r="Z2309" s="2114">
        <f>C2309-'Blocking-Step2'!C2309</f>
        <v>0</v>
      </c>
      <c r="AA2309" s="2114">
        <f>D2309-'Blocking-Step2'!D2309</f>
        <v>0</v>
      </c>
      <c r="AC2309" s="2114">
        <f>F2309-'Blocking-Step2'!F2309</f>
        <v>0</v>
      </c>
      <c r="AE2309" s="2114">
        <f>H2309-'Blocking-Step2'!H2309</f>
        <v>0</v>
      </c>
      <c r="AF2309" s="2114">
        <f>I2309-'Blocking-Step2'!I2309</f>
        <v>0</v>
      </c>
      <c r="AH2309" s="2136">
        <f>K2309-'Blocking-Step2'!K2309</f>
        <v>0</v>
      </c>
      <c r="AJ2309" s="2136">
        <f>M2309-'Blocking-Step2'!M2309</f>
        <v>0</v>
      </c>
      <c r="AL2309" s="2136">
        <f>O2309-'Blocking-Step2'!O2309</f>
        <v>0</v>
      </c>
      <c r="AN2309" s="2137">
        <f>Q2309-'Blocking-Step2'!Q2309</f>
        <v>0</v>
      </c>
      <c r="AP2309" s="2127">
        <f>S2309-'Blocking-Step2'!S2309</f>
        <v>0</v>
      </c>
      <c r="AR2309" s="2127">
        <f>U2309-'Blocking-Step2'!U2309</f>
        <v>0</v>
      </c>
      <c r="AT2309" s="2127">
        <f>W2309-'Blocking-Step2'!W2309</f>
        <v>0</v>
      </c>
      <c r="AV2309" s="2128">
        <f>Y2309-'Blocking-Step2'!Y2309</f>
        <v>0</v>
      </c>
    </row>
    <row r="2310" spans="1:48">
      <c r="A2310" s="1116" t="s">
        <v>163</v>
      </c>
      <c r="C2310" s="1105">
        <v>5407200</v>
      </c>
      <c r="D2310" s="1105">
        <v>5187756</v>
      </c>
      <c r="F2310" s="1106">
        <v>3.9510999999999998</v>
      </c>
      <c r="G2310" s="1921" t="s">
        <v>495</v>
      </c>
      <c r="H2310" s="1146">
        <v>213644</v>
      </c>
      <c r="I2310" s="1146">
        <v>204973</v>
      </c>
      <c r="K2310" s="1106"/>
      <c r="L2310" s="1921"/>
      <c r="M2310" s="1106"/>
      <c r="N2310" s="1921"/>
      <c r="O2310" s="1106"/>
      <c r="P2310" s="1921"/>
      <c r="Q2310" s="1106"/>
      <c r="R2310" s="1921"/>
      <c r="S2310" s="1146"/>
      <c r="T2310" s="1648"/>
      <c r="U2310" s="1146"/>
      <c r="V2310" s="1648"/>
      <c r="W2310" s="1146"/>
      <c r="X2310" s="1648"/>
      <c r="Y2310" s="1146"/>
      <c r="Z2310" s="2114">
        <f>C2310-'Blocking-Step2'!C2310</f>
        <v>0</v>
      </c>
      <c r="AA2310" s="2114">
        <f>D2310-'Blocking-Step2'!D2310</f>
        <v>0</v>
      </c>
      <c r="AC2310" s="2114">
        <f>F2310-'Blocking-Step2'!F2310</f>
        <v>0</v>
      </c>
      <c r="AE2310" s="2114">
        <f>H2310-'Blocking-Step2'!H2310</f>
        <v>0</v>
      </c>
      <c r="AF2310" s="2114">
        <f>I2310-'Blocking-Step2'!I2310</f>
        <v>0</v>
      </c>
      <c r="AH2310" s="2136">
        <f>K2310-'Blocking-Step2'!K2310</f>
        <v>0</v>
      </c>
      <c r="AJ2310" s="2136">
        <f>M2310-'Blocking-Step2'!M2310</f>
        <v>0</v>
      </c>
      <c r="AL2310" s="2136">
        <f>O2310-'Blocking-Step2'!O2310</f>
        <v>0</v>
      </c>
      <c r="AN2310" s="2137">
        <f>Q2310-'Blocking-Step2'!Q2310</f>
        <v>0</v>
      </c>
      <c r="AP2310" s="2127">
        <f>S2310-'Blocking-Step2'!S2310</f>
        <v>0</v>
      </c>
      <c r="AR2310" s="2127">
        <f>U2310-'Blocking-Step2'!U2310</f>
        <v>0</v>
      </c>
      <c r="AT2310" s="2127">
        <f>W2310-'Blocking-Step2'!W2310</f>
        <v>0</v>
      </c>
      <c r="AV2310" s="2128">
        <f>Y2310-'Blocking-Step2'!Y2310</f>
        <v>0</v>
      </c>
    </row>
    <row r="2311" spans="1:48">
      <c r="A2311" s="1116" t="s">
        <v>249</v>
      </c>
      <c r="C2311" s="2093">
        <v>9055200</v>
      </c>
      <c r="D2311" s="2093">
        <v>8687706</v>
      </c>
      <c r="F2311" s="2101">
        <v>3.4001999999999999</v>
      </c>
      <c r="G2311" s="1921" t="s">
        <v>495</v>
      </c>
      <c r="H2311" s="2100">
        <v>307895</v>
      </c>
      <c r="I2311" s="2100">
        <v>295399</v>
      </c>
      <c r="K2311" s="2101"/>
      <c r="L2311" s="1921"/>
      <c r="M2311" s="2101"/>
      <c r="N2311" s="1921"/>
      <c r="O2311" s="2101"/>
      <c r="P2311" s="1921"/>
      <c r="Q2311" s="2101"/>
      <c r="R2311" s="1921"/>
      <c r="S2311" s="2100"/>
      <c r="T2311" s="1648"/>
      <c r="U2311" s="2100"/>
      <c r="V2311" s="1648"/>
      <c r="W2311" s="2100"/>
      <c r="X2311" s="1648"/>
      <c r="Y2311" s="2100"/>
      <c r="Z2311" s="2114">
        <f>C2311-'Blocking-Step2'!C2311</f>
        <v>0</v>
      </c>
      <c r="AA2311" s="2114">
        <f>D2311-'Blocking-Step2'!D2311</f>
        <v>0</v>
      </c>
      <c r="AC2311" s="2114">
        <f>F2311-'Blocking-Step2'!F2311</f>
        <v>0</v>
      </c>
      <c r="AE2311" s="2114">
        <f>H2311-'Blocking-Step2'!H2311</f>
        <v>0</v>
      </c>
      <c r="AF2311" s="2114">
        <f>I2311-'Blocking-Step2'!I2311</f>
        <v>0</v>
      </c>
      <c r="AH2311" s="2136">
        <f>K2311-'Blocking-Step2'!K2311</f>
        <v>0</v>
      </c>
      <c r="AJ2311" s="2136">
        <f>M2311-'Blocking-Step2'!M2311</f>
        <v>0</v>
      </c>
      <c r="AL2311" s="2136">
        <f>O2311-'Blocking-Step2'!O2311</f>
        <v>0</v>
      </c>
      <c r="AN2311" s="2137">
        <f>Q2311-'Blocking-Step2'!Q2311</f>
        <v>0</v>
      </c>
      <c r="AP2311" s="2127">
        <f>S2311-'Blocking-Step2'!S2311</f>
        <v>0</v>
      </c>
      <c r="AR2311" s="2127">
        <f>U2311-'Blocking-Step2'!U2311</f>
        <v>0</v>
      </c>
      <c r="AT2311" s="2127">
        <f>W2311-'Blocking-Step2'!W2311</f>
        <v>0</v>
      </c>
      <c r="AV2311" s="2128">
        <f>Y2311-'Blocking-Step2'!Y2311</f>
        <v>0</v>
      </c>
    </row>
    <row r="2312" spans="1:48">
      <c r="A2312" s="1116" t="s">
        <v>1240</v>
      </c>
      <c r="C2312" s="1024"/>
      <c r="D2312" s="1024"/>
      <c r="F2312" s="2076">
        <v>-3.1800000000000002E-2</v>
      </c>
      <c r="G2312" s="617"/>
      <c r="H2312" s="1146">
        <v>-29303.382000000001</v>
      </c>
      <c r="I2312" s="1146">
        <v>-28059.1116</v>
      </c>
      <c r="K2312" s="2076"/>
      <c r="L2312" s="617"/>
      <c r="M2312" s="2076"/>
      <c r="N2312" s="617"/>
      <c r="O2312" s="2077" t="s">
        <v>2323</v>
      </c>
      <c r="P2312" s="617"/>
      <c r="Q2312" s="2076">
        <v>-2.6499999999999999E-2</v>
      </c>
      <c r="R2312" s="617"/>
      <c r="S2312" s="1146"/>
      <c r="T2312" s="1114"/>
      <c r="U2312" s="1146"/>
      <c r="V2312" s="1114"/>
      <c r="W2312" s="1146"/>
      <c r="X2312" s="1114"/>
      <c r="Y2312" s="1146">
        <v>-24475.691500000001</v>
      </c>
      <c r="Z2312" s="2114">
        <f>C2312-'Blocking-Step2'!C2312</f>
        <v>0</v>
      </c>
      <c r="AA2312" s="2114">
        <f>D2312-'Blocking-Step2'!D2312</f>
        <v>0</v>
      </c>
      <c r="AC2312" s="2114">
        <f>F2312-'Blocking-Step2'!F2312</f>
        <v>0</v>
      </c>
      <c r="AE2312" s="2114">
        <f>H2312-'Blocking-Step2'!H2312</f>
        <v>0</v>
      </c>
      <c r="AF2312" s="2114">
        <f>I2312-'Blocking-Step2'!I2312</f>
        <v>0</v>
      </c>
      <c r="AH2312" s="2136">
        <f>K2312-'Blocking-Step2'!K2312</f>
        <v>0</v>
      </c>
      <c r="AJ2312" s="2136">
        <f>M2312-'Blocking-Step2'!M2312</f>
        <v>0</v>
      </c>
      <c r="AL2312" s="2136" t="e">
        <f>O2312-'Blocking-Step2'!O2312</f>
        <v>#VALUE!</v>
      </c>
      <c r="AN2312" s="2137">
        <f>Q2312-'Blocking-Step2'!Q2312</f>
        <v>0</v>
      </c>
      <c r="AP2312" s="2127">
        <f>S2312-'Blocking-Step2'!S2312</f>
        <v>0</v>
      </c>
      <c r="AR2312" s="2127">
        <f>U2312-'Blocking-Step2'!U2312</f>
        <v>0</v>
      </c>
      <c r="AT2312" s="2127">
        <f>W2312-'Blocking-Step2'!W2312</f>
        <v>0</v>
      </c>
      <c r="AV2312" s="2128">
        <f>Y2312-'Blocking-Step2'!Y2312</f>
        <v>0</v>
      </c>
    </row>
    <row r="2313" spans="1:48">
      <c r="A2313" s="1116"/>
      <c r="C2313" s="1024"/>
      <c r="D2313" s="1024"/>
      <c r="F2313" s="2076"/>
      <c r="G2313" s="617"/>
      <c r="H2313" s="1146"/>
      <c r="I2313" s="1146"/>
      <c r="K2313" s="2076"/>
      <c r="L2313" s="617"/>
      <c r="M2313" s="2076"/>
      <c r="N2313" s="617"/>
      <c r="O2313" s="2077" t="s">
        <v>2324</v>
      </c>
      <c r="P2313" s="617"/>
      <c r="Q2313" s="2076">
        <v>-1.44E-2</v>
      </c>
      <c r="R2313" s="617"/>
      <c r="S2313" s="1146"/>
      <c r="T2313" s="1114"/>
      <c r="U2313" s="1146"/>
      <c r="V2313" s="1114"/>
      <c r="W2313" s="1146"/>
      <c r="X2313" s="1114"/>
      <c r="Y2313" s="1146">
        <v>-13299.9984</v>
      </c>
      <c r="Z2313" s="2114">
        <f>C2313-'Blocking-Step2'!C2313</f>
        <v>0</v>
      </c>
      <c r="AA2313" s="2114">
        <f>D2313-'Blocking-Step2'!D2313</f>
        <v>0</v>
      </c>
      <c r="AC2313" s="2114">
        <f>F2313-'Blocking-Step2'!F2313</f>
        <v>0</v>
      </c>
      <c r="AE2313" s="2114">
        <f>H2313-'Blocking-Step2'!H2313</f>
        <v>0</v>
      </c>
      <c r="AF2313" s="2114">
        <f>I2313-'Blocking-Step2'!I2313</f>
        <v>0</v>
      </c>
      <c r="AH2313" s="2136">
        <f>K2313-'Blocking-Step2'!K2313</f>
        <v>0</v>
      </c>
      <c r="AJ2313" s="2136">
        <f>M2313-'Blocking-Step2'!M2313</f>
        <v>0</v>
      </c>
      <c r="AL2313" s="2136" t="e">
        <f>O2313-'Blocking-Step2'!O2313</f>
        <v>#VALUE!</v>
      </c>
      <c r="AN2313" s="2137">
        <f>Q2313-'Blocking-Step2'!Q2313</f>
        <v>0</v>
      </c>
      <c r="AP2313" s="2127">
        <f>S2313-'Blocking-Step2'!S2313</f>
        <v>0</v>
      </c>
      <c r="AR2313" s="2127">
        <f>U2313-'Blocking-Step2'!U2313</f>
        <v>0</v>
      </c>
      <c r="AT2313" s="2127">
        <f>W2313-'Blocking-Step2'!W2313</f>
        <v>0</v>
      </c>
      <c r="AV2313" s="2128">
        <f>Y2313-'Blocking-Step2'!Y2313</f>
        <v>0</v>
      </c>
    </row>
    <row r="2314" spans="1:48">
      <c r="A2314" s="1115" t="s">
        <v>444</v>
      </c>
      <c r="C2314" s="1105"/>
      <c r="D2314" s="1105"/>
      <c r="F2314" s="1142"/>
      <c r="G2314" s="617"/>
      <c r="H2314" s="1146"/>
      <c r="I2314" s="1146"/>
      <c r="K2314" s="1142"/>
      <c r="L2314" s="617"/>
      <c r="M2314" s="1142"/>
      <c r="N2314" s="617"/>
      <c r="O2314" s="1142"/>
      <c r="P2314" s="617"/>
      <c r="Q2314" s="1142"/>
      <c r="R2314" s="617"/>
      <c r="S2314" s="1146"/>
      <c r="T2314" s="1114"/>
      <c r="U2314" s="1146"/>
      <c r="V2314" s="1114"/>
      <c r="W2314" s="1146"/>
      <c r="X2314" s="1114"/>
      <c r="Y2314" s="1146"/>
      <c r="Z2314" s="2114">
        <f>C2314-'Blocking-Step2'!C2314</f>
        <v>0</v>
      </c>
      <c r="AA2314" s="2114">
        <f>D2314-'Blocking-Step2'!D2314</f>
        <v>0</v>
      </c>
      <c r="AC2314" s="2114">
        <f>F2314-'Blocking-Step2'!F2314</f>
        <v>0</v>
      </c>
      <c r="AE2314" s="2114">
        <f>H2314-'Blocking-Step2'!H2314</f>
        <v>0</v>
      </c>
      <c r="AF2314" s="2114">
        <f>I2314-'Blocking-Step2'!I2314</f>
        <v>0</v>
      </c>
      <c r="AH2314" s="2136">
        <f>K2314-'Blocking-Step2'!K2314</f>
        <v>0</v>
      </c>
      <c r="AJ2314" s="2136">
        <f>M2314-'Blocking-Step2'!M2314</f>
        <v>0</v>
      </c>
      <c r="AL2314" s="2136">
        <f>O2314-'Blocking-Step2'!O2314</f>
        <v>0</v>
      </c>
      <c r="AN2314" s="2137">
        <f>Q2314-'Blocking-Step2'!Q2314</f>
        <v>0</v>
      </c>
      <c r="AP2314" s="2127">
        <f>S2314-'Blocking-Step2'!S2314</f>
        <v>0</v>
      </c>
      <c r="AR2314" s="2127">
        <f>U2314-'Blocking-Step2'!U2314</f>
        <v>0</v>
      </c>
      <c r="AT2314" s="2127">
        <f>W2314-'Blocking-Step2'!W2314</f>
        <v>0</v>
      </c>
      <c r="AV2314" s="2128">
        <f>Y2314-'Blocking-Step2'!Y2314</f>
        <v>0</v>
      </c>
    </row>
    <row r="2315" spans="1:48">
      <c r="A2315" s="1116" t="s">
        <v>168</v>
      </c>
      <c r="C2315" s="1105">
        <v>272193</v>
      </c>
      <c r="D2315" s="1105">
        <v>283278</v>
      </c>
      <c r="F2315" s="1142">
        <v>2.2200000000000002</v>
      </c>
      <c r="G2315" s="617"/>
      <c r="H2315" s="1146">
        <v>604268</v>
      </c>
      <c r="I2315" s="1146">
        <v>628877</v>
      </c>
      <c r="K2315" s="1142">
        <v>0</v>
      </c>
      <c r="L2315" s="617"/>
      <c r="M2315" s="1142">
        <v>2.2999999999999998</v>
      </c>
      <c r="N2315" s="617"/>
      <c r="O2315" s="1142">
        <v>0</v>
      </c>
      <c r="P2315" s="617"/>
      <c r="Q2315" s="1142">
        <v>2.2999999999999998</v>
      </c>
      <c r="R2315" s="617"/>
      <c r="S2315" s="1146">
        <v>0</v>
      </c>
      <c r="T2315" s="1114"/>
      <c r="U2315" s="1146">
        <v>651539</v>
      </c>
      <c r="V2315" s="1114"/>
      <c r="W2315" s="1146">
        <v>0</v>
      </c>
      <c r="X2315" s="1114"/>
      <c r="Y2315" s="1146">
        <v>651539</v>
      </c>
      <c r="Z2315" s="2114">
        <f>C2315-'Blocking-Step2'!C2315</f>
        <v>0</v>
      </c>
      <c r="AA2315" s="2114">
        <f>D2315-'Blocking-Step2'!D2315</f>
        <v>0</v>
      </c>
      <c r="AC2315" s="2114">
        <f>F2315-'Blocking-Step2'!F2315</f>
        <v>0</v>
      </c>
      <c r="AE2315" s="2114">
        <f>H2315-'Blocking-Step2'!H2315</f>
        <v>0</v>
      </c>
      <c r="AF2315" s="2114">
        <f>I2315-'Blocking-Step2'!I2315</f>
        <v>0</v>
      </c>
      <c r="AH2315" s="2136">
        <f>K2315-'Blocking-Step2'!K2315</f>
        <v>-2.2999999999999998</v>
      </c>
      <c r="AJ2315" s="2136">
        <f>M2315-'Blocking-Step2'!M2315</f>
        <v>2.2999999999999998</v>
      </c>
      <c r="AL2315" s="2136">
        <f>O2315-'Blocking-Step2'!O2315</f>
        <v>0</v>
      </c>
      <c r="AN2315" s="2137">
        <f>Q2315-'Blocking-Step2'!Q2315</f>
        <v>0</v>
      </c>
      <c r="AP2315" s="2127">
        <f>S2315-'Blocking-Step2'!S2315</f>
        <v>-651539</v>
      </c>
      <c r="AR2315" s="2127">
        <f>U2315-'Blocking-Step2'!U2315</f>
        <v>651539</v>
      </c>
      <c r="AT2315" s="2127">
        <f>W2315-'Blocking-Step2'!W2315</f>
        <v>0</v>
      </c>
      <c r="AV2315" s="2128">
        <f>Y2315-'Blocking-Step2'!Y2315</f>
        <v>0</v>
      </c>
    </row>
    <row r="2316" spans="1:48">
      <c r="A2316" s="1116" t="s">
        <v>1651</v>
      </c>
      <c r="C2316" s="1105">
        <v>94439.903634551389</v>
      </c>
      <c r="D2316" s="1105">
        <v>96907</v>
      </c>
      <c r="F2316" s="1142"/>
      <c r="G2316" s="617"/>
      <c r="H2316" s="1146"/>
      <c r="I2316" s="1146"/>
      <c r="K2316" s="1142">
        <v>0</v>
      </c>
      <c r="L2316" s="617"/>
      <c r="M2316" s="1142">
        <v>14.48</v>
      </c>
      <c r="N2316" s="617"/>
      <c r="O2316" s="1142">
        <v>0</v>
      </c>
      <c r="P2316" s="617"/>
      <c r="Q2316" s="1142">
        <v>14.48</v>
      </c>
      <c r="R2316" s="617"/>
      <c r="S2316" s="1146">
        <v>0</v>
      </c>
      <c r="T2316" s="1114"/>
      <c r="U2316" s="1146">
        <v>1403213</v>
      </c>
      <c r="V2316" s="1114"/>
      <c r="W2316" s="1146">
        <v>0</v>
      </c>
      <c r="X2316" s="1114"/>
      <c r="Y2316" s="1146">
        <v>1403213</v>
      </c>
      <c r="Z2316" s="2114">
        <f>C2316-'Blocking-Step2'!C2316</f>
        <v>0</v>
      </c>
      <c r="AA2316" s="2114">
        <f>D2316-'Blocking-Step2'!D2316</f>
        <v>0</v>
      </c>
      <c r="AC2316" s="2114">
        <f>F2316-'Blocking-Step2'!F2316</f>
        <v>0</v>
      </c>
      <c r="AE2316" s="2114">
        <f>H2316-'Blocking-Step2'!H2316</f>
        <v>0</v>
      </c>
      <c r="AF2316" s="2114">
        <f>I2316-'Blocking-Step2'!I2316</f>
        <v>0</v>
      </c>
      <c r="AH2316" s="2136">
        <f>K2316-'Blocking-Step2'!K2316</f>
        <v>-4.8</v>
      </c>
      <c r="AJ2316" s="2136">
        <f>M2316-'Blocking-Step2'!M2316</f>
        <v>4.8000000000000007</v>
      </c>
      <c r="AL2316" s="2136">
        <f>O2316-'Blocking-Step2'!O2316</f>
        <v>0</v>
      </c>
      <c r="AN2316" s="2137">
        <f>Q2316-'Blocking-Step2'!Q2316</f>
        <v>0</v>
      </c>
      <c r="AP2316" s="2127">
        <f>S2316-'Blocking-Step2'!S2316</f>
        <v>-465154</v>
      </c>
      <c r="AR2316" s="2127">
        <f>U2316-'Blocking-Step2'!U2316</f>
        <v>465153</v>
      </c>
      <c r="AT2316" s="2127">
        <f>W2316-'Blocking-Step2'!W2316</f>
        <v>0</v>
      </c>
      <c r="AV2316" s="2128">
        <f>Y2316-'Blocking-Step2'!Y2316</f>
        <v>0</v>
      </c>
    </row>
    <row r="2317" spans="1:48">
      <c r="A2317" s="1116" t="s">
        <v>1652</v>
      </c>
      <c r="C2317" s="1105">
        <v>171966.98186467227</v>
      </c>
      <c r="D2317" s="1105">
        <v>180946</v>
      </c>
      <c r="F2317" s="1142"/>
      <c r="G2317" s="617"/>
      <c r="H2317" s="1146"/>
      <c r="I2317" s="1146"/>
      <c r="K2317" s="1142">
        <v>0</v>
      </c>
      <c r="L2317" s="617"/>
      <c r="M2317" s="1142">
        <v>12.81</v>
      </c>
      <c r="N2317" s="617"/>
      <c r="O2317" s="1142">
        <v>0</v>
      </c>
      <c r="P2317" s="617"/>
      <c r="Q2317" s="1142">
        <v>12.81</v>
      </c>
      <c r="R2317" s="617"/>
      <c r="S2317" s="1146">
        <v>0</v>
      </c>
      <c r="T2317" s="1114"/>
      <c r="U2317" s="1146">
        <v>2317918</v>
      </c>
      <c r="V2317" s="1114"/>
      <c r="W2317" s="1146">
        <v>0</v>
      </c>
      <c r="X2317" s="1114"/>
      <c r="Y2317" s="1146">
        <v>2317918</v>
      </c>
      <c r="Z2317" s="2114">
        <f>C2317-'Blocking-Step2'!C2317</f>
        <v>0</v>
      </c>
      <c r="AA2317" s="2114">
        <f>D2317-'Blocking-Step2'!D2317</f>
        <v>0</v>
      </c>
      <c r="AC2317" s="2114">
        <f>F2317-'Blocking-Step2'!F2317</f>
        <v>0</v>
      </c>
      <c r="AE2317" s="2114">
        <f>H2317-'Blocking-Step2'!H2317</f>
        <v>0</v>
      </c>
      <c r="AF2317" s="2114">
        <f>I2317-'Blocking-Step2'!I2317</f>
        <v>0</v>
      </c>
      <c r="AH2317" s="2136">
        <f>K2317-'Blocking-Step2'!K2317</f>
        <v>-4.25</v>
      </c>
      <c r="AJ2317" s="2136">
        <f>M2317-'Blocking-Step2'!M2317</f>
        <v>4.25</v>
      </c>
      <c r="AL2317" s="2136">
        <f>O2317-'Blocking-Step2'!O2317</f>
        <v>0</v>
      </c>
      <c r="AN2317" s="2137">
        <f>Q2317-'Blocking-Step2'!Q2317</f>
        <v>0</v>
      </c>
      <c r="AP2317" s="2127">
        <f>S2317-'Blocking-Step2'!S2317</f>
        <v>-769021</v>
      </c>
      <c r="AR2317" s="2127">
        <f>U2317-'Blocking-Step2'!U2317</f>
        <v>769020</v>
      </c>
      <c r="AT2317" s="2127">
        <f>W2317-'Blocking-Step2'!W2317</f>
        <v>0</v>
      </c>
      <c r="AV2317" s="2128">
        <f>Y2317-'Blocking-Step2'!Y2317</f>
        <v>0</v>
      </c>
    </row>
    <row r="2318" spans="1:48">
      <c r="A2318" s="1116" t="s">
        <v>1532</v>
      </c>
      <c r="C2318" s="1105">
        <v>14297570.662985027</v>
      </c>
      <c r="D2318" s="1105">
        <v>14609917</v>
      </c>
      <c r="F2318" s="1143"/>
      <c r="G2318" s="1921"/>
      <c r="H2318" s="1146"/>
      <c r="I2318" s="1146"/>
      <c r="K2318" s="1143">
        <v>0</v>
      </c>
      <c r="L2318" s="1921" t="s">
        <v>495</v>
      </c>
      <c r="M2318" s="1143">
        <v>1.0927</v>
      </c>
      <c r="N2318" s="1921" t="s">
        <v>495</v>
      </c>
      <c r="O2318" s="1143">
        <v>4.1108761607000002</v>
      </c>
      <c r="P2318" s="1921" t="s">
        <v>495</v>
      </c>
      <c r="Q2318" s="1143">
        <v>5.2035761607</v>
      </c>
      <c r="R2318" s="1921" t="s">
        <v>495</v>
      </c>
      <c r="S2318" s="1146">
        <v>0</v>
      </c>
      <c r="T2318" s="1648"/>
      <c r="U2318" s="1146">
        <v>159643</v>
      </c>
      <c r="V2318" s="1648"/>
      <c r="W2318" s="1146">
        <v>600596</v>
      </c>
      <c r="X2318" s="1648"/>
      <c r="Y2318" s="1146">
        <v>760238</v>
      </c>
      <c r="Z2318" s="2114">
        <f>C2318-'Blocking-Step2'!C2318</f>
        <v>0</v>
      </c>
      <c r="AA2318" s="2114">
        <f>D2318-'Blocking-Step2'!D2318</f>
        <v>0</v>
      </c>
      <c r="AC2318" s="2114">
        <f>F2318-'Blocking-Step2'!F2318</f>
        <v>0</v>
      </c>
      <c r="AE2318" s="2114">
        <f>H2318-'Blocking-Step2'!H2318</f>
        <v>0</v>
      </c>
      <c r="AF2318" s="2114">
        <f>I2318-'Blocking-Step2'!I2318</f>
        <v>0</v>
      </c>
      <c r="AH2318" s="2136">
        <f>K2318-'Blocking-Step2'!K2318</f>
        <v>0</v>
      </c>
      <c r="AJ2318" s="2136">
        <f>M2318-'Blocking-Step2'!M2318</f>
        <v>0</v>
      </c>
      <c r="AL2318" s="2136">
        <f>O2318-'Blocking-Step2'!O2318</f>
        <v>0</v>
      </c>
      <c r="AN2318" s="2137">
        <f>Q2318-'Blocking-Step2'!Q2318</f>
        <v>0</v>
      </c>
      <c r="AP2318" s="2127">
        <f>S2318-'Blocking-Step2'!S2318</f>
        <v>0</v>
      </c>
      <c r="AR2318" s="2127">
        <f>U2318-'Blocking-Step2'!U2318</f>
        <v>0</v>
      </c>
      <c r="AT2318" s="2127">
        <f>W2318-'Blocking-Step2'!W2318</f>
        <v>0</v>
      </c>
      <c r="AV2318" s="2128">
        <f>Y2318-'Blocking-Step2'!Y2318</f>
        <v>0</v>
      </c>
    </row>
    <row r="2319" spans="1:48">
      <c r="A2319" s="1116" t="s">
        <v>1653</v>
      </c>
      <c r="C2319" s="1105">
        <v>20978455.284624182</v>
      </c>
      <c r="D2319" s="1105">
        <v>21736230</v>
      </c>
      <c r="F2319" s="1143"/>
      <c r="G2319" s="1921"/>
      <c r="H2319" s="1146"/>
      <c r="I2319" s="1146"/>
      <c r="K2319" s="1143">
        <v>0</v>
      </c>
      <c r="L2319" s="1921" t="s">
        <v>495</v>
      </c>
      <c r="M2319" s="1143">
        <v>1.0927</v>
      </c>
      <c r="N2319" s="1921" t="s">
        <v>495</v>
      </c>
      <c r="O2319" s="1143">
        <v>3.5122346554870001</v>
      </c>
      <c r="P2319" s="1921" t="s">
        <v>495</v>
      </c>
      <c r="Q2319" s="1143">
        <v>4.6049346554869999</v>
      </c>
      <c r="R2319" s="1921" t="s">
        <v>495</v>
      </c>
      <c r="S2319" s="1146">
        <v>0</v>
      </c>
      <c r="T2319" s="1648"/>
      <c r="U2319" s="1146">
        <v>237512</v>
      </c>
      <c r="V2319" s="1648"/>
      <c r="W2319" s="1146">
        <v>763427</v>
      </c>
      <c r="X2319" s="1648"/>
      <c r="Y2319" s="1146">
        <v>1000939</v>
      </c>
      <c r="Z2319" s="2114">
        <f>C2319-'Blocking-Step2'!C2319</f>
        <v>0</v>
      </c>
      <c r="AA2319" s="2114">
        <f>D2319-'Blocking-Step2'!D2319</f>
        <v>0</v>
      </c>
      <c r="AC2319" s="2114">
        <f>F2319-'Blocking-Step2'!F2319</f>
        <v>0</v>
      </c>
      <c r="AE2319" s="2114">
        <f>H2319-'Blocking-Step2'!H2319</f>
        <v>0</v>
      </c>
      <c r="AF2319" s="2114">
        <f>I2319-'Blocking-Step2'!I2319</f>
        <v>0</v>
      </c>
      <c r="AH2319" s="2136">
        <f>K2319-'Blocking-Step2'!K2319</f>
        <v>0</v>
      </c>
      <c r="AJ2319" s="2136">
        <f>M2319-'Blocking-Step2'!M2319</f>
        <v>0</v>
      </c>
      <c r="AL2319" s="2136">
        <f>O2319-'Blocking-Step2'!O2319</f>
        <v>0</v>
      </c>
      <c r="AN2319" s="2137">
        <f>Q2319-'Blocking-Step2'!Q2319</f>
        <v>0</v>
      </c>
      <c r="AP2319" s="2127">
        <f>S2319-'Blocking-Step2'!S2319</f>
        <v>0</v>
      </c>
      <c r="AR2319" s="2127">
        <f>U2319-'Blocking-Step2'!U2319</f>
        <v>0</v>
      </c>
      <c r="AT2319" s="2127">
        <f>W2319-'Blocking-Step2'!W2319</f>
        <v>0</v>
      </c>
      <c r="AV2319" s="2128">
        <f>Y2319-'Blocking-Step2'!Y2319</f>
        <v>0</v>
      </c>
    </row>
    <row r="2320" spans="1:48">
      <c r="A2320" s="1116" t="s">
        <v>1533</v>
      </c>
      <c r="C2320" s="1105">
        <v>46087699.508693144</v>
      </c>
      <c r="D2320" s="1105">
        <v>47389695</v>
      </c>
      <c r="F2320" s="1143"/>
      <c r="G2320" s="1921"/>
      <c r="H2320" s="1146"/>
      <c r="I2320" s="1146"/>
      <c r="K2320" s="1143">
        <v>0</v>
      </c>
      <c r="L2320" s="1921" t="s">
        <v>495</v>
      </c>
      <c r="M2320" s="1143">
        <v>1.0927</v>
      </c>
      <c r="N2320" s="1921" t="s">
        <v>495</v>
      </c>
      <c r="O2320" s="1143">
        <v>1.5521862361710002</v>
      </c>
      <c r="P2320" s="1921" t="s">
        <v>495</v>
      </c>
      <c r="Q2320" s="1143">
        <v>2.6448862361710002</v>
      </c>
      <c r="R2320" s="1921" t="s">
        <v>495</v>
      </c>
      <c r="S2320" s="1146">
        <v>0</v>
      </c>
      <c r="T2320" s="1648"/>
      <c r="U2320" s="1146">
        <v>517827</v>
      </c>
      <c r="V2320" s="1648"/>
      <c r="W2320" s="1146">
        <v>735576</v>
      </c>
      <c r="X2320" s="1648"/>
      <c r="Y2320" s="1146">
        <v>1253404</v>
      </c>
      <c r="Z2320" s="2114">
        <f>C2320-'Blocking-Step2'!C2320</f>
        <v>0</v>
      </c>
      <c r="AA2320" s="2114">
        <f>D2320-'Blocking-Step2'!D2320</f>
        <v>0</v>
      </c>
      <c r="AC2320" s="2114">
        <f>F2320-'Blocking-Step2'!F2320</f>
        <v>0</v>
      </c>
      <c r="AE2320" s="2114">
        <f>H2320-'Blocking-Step2'!H2320</f>
        <v>0</v>
      </c>
      <c r="AF2320" s="2114">
        <f>I2320-'Blocking-Step2'!I2320</f>
        <v>0</v>
      </c>
      <c r="AH2320" s="2136">
        <f>K2320-'Blocking-Step2'!K2320</f>
        <v>0</v>
      </c>
      <c r="AJ2320" s="2136">
        <f>M2320-'Blocking-Step2'!M2320</f>
        <v>0</v>
      </c>
      <c r="AL2320" s="2136">
        <f>O2320-'Blocking-Step2'!O2320</f>
        <v>0</v>
      </c>
      <c r="AN2320" s="2137">
        <f>Q2320-'Blocking-Step2'!Q2320</f>
        <v>0</v>
      </c>
      <c r="AP2320" s="2127">
        <f>S2320-'Blocking-Step2'!S2320</f>
        <v>0</v>
      </c>
      <c r="AR2320" s="2127">
        <f>U2320-'Blocking-Step2'!U2320</f>
        <v>0</v>
      </c>
      <c r="AT2320" s="2127">
        <f>W2320-'Blocking-Step2'!W2320</f>
        <v>0</v>
      </c>
      <c r="AV2320" s="2128">
        <f>Y2320-'Blocking-Step2'!Y2320</f>
        <v>0</v>
      </c>
    </row>
    <row r="2321" spans="1:48">
      <c r="A2321" s="1116" t="s">
        <v>2177</v>
      </c>
      <c r="C2321" s="2093">
        <v>88097430.543697655</v>
      </c>
      <c r="D2321" s="2093">
        <v>90512657.666666657</v>
      </c>
      <c r="F2321" s="2102"/>
      <c r="G2321" s="1921"/>
      <c r="H2321" s="2100"/>
      <c r="I2321" s="2100"/>
      <c r="K2321" s="2102">
        <v>0</v>
      </c>
      <c r="L2321" s="1921" t="s">
        <v>495</v>
      </c>
      <c r="M2321" s="2102">
        <v>1.0927</v>
      </c>
      <c r="N2321" s="1921" t="s">
        <v>495</v>
      </c>
      <c r="O2321" s="2102">
        <v>1.247907288647</v>
      </c>
      <c r="P2321" s="1921" t="s">
        <v>495</v>
      </c>
      <c r="Q2321" s="2102">
        <v>2.340607288647</v>
      </c>
      <c r="R2321" s="1921" t="s">
        <v>495</v>
      </c>
      <c r="S2321" s="1146">
        <v>0</v>
      </c>
      <c r="T2321" s="1648"/>
      <c r="U2321" s="1146">
        <v>989032</v>
      </c>
      <c r="V2321" s="1648"/>
      <c r="W2321" s="1146">
        <v>1129514</v>
      </c>
      <c r="X2321" s="1648"/>
      <c r="Y2321" s="1146">
        <v>2118546</v>
      </c>
      <c r="Z2321" s="2114">
        <f>C2321-'Blocking-Step2'!C2321</f>
        <v>0</v>
      </c>
      <c r="AA2321" s="2114">
        <f>D2321-'Blocking-Step2'!D2321</f>
        <v>0</v>
      </c>
      <c r="AC2321" s="2114">
        <f>F2321-'Blocking-Step2'!F2321</f>
        <v>0</v>
      </c>
      <c r="AE2321" s="2114">
        <f>H2321-'Blocking-Step2'!H2321</f>
        <v>0</v>
      </c>
      <c r="AF2321" s="2114">
        <f>I2321-'Blocking-Step2'!I2321</f>
        <v>0</v>
      </c>
      <c r="AH2321" s="2136">
        <f>K2321-'Blocking-Step2'!K2321</f>
        <v>0</v>
      </c>
      <c r="AJ2321" s="2136">
        <f>M2321-'Blocking-Step2'!M2321</f>
        <v>0</v>
      </c>
      <c r="AL2321" s="2136">
        <f>O2321-'Blocking-Step2'!O2321</f>
        <v>0</v>
      </c>
      <c r="AN2321" s="2137">
        <f>Q2321-'Blocking-Step2'!Q2321</f>
        <v>0</v>
      </c>
      <c r="AP2321" s="2127">
        <f>S2321-'Blocking-Step2'!S2321</f>
        <v>0</v>
      </c>
      <c r="AR2321" s="2127">
        <f>U2321-'Blocking-Step2'!U2321</f>
        <v>0</v>
      </c>
      <c r="AT2321" s="2127">
        <f>W2321-'Blocking-Step2'!W2321</f>
        <v>0</v>
      </c>
      <c r="AV2321" s="2128">
        <f>Y2321-'Blocking-Step2'!Y2321</f>
        <v>0</v>
      </c>
    </row>
    <row r="2322" spans="1:48">
      <c r="A2322" s="1116" t="s">
        <v>18</v>
      </c>
      <c r="C2322" s="1105">
        <v>116387</v>
      </c>
      <c r="D2322" s="1105">
        <v>119427</v>
      </c>
      <c r="F2322" s="1142">
        <v>13.96</v>
      </c>
      <c r="G2322" s="617"/>
      <c r="H2322" s="1146">
        <v>1624763</v>
      </c>
      <c r="I2322" s="1146">
        <v>1667201</v>
      </c>
      <c r="K2322" s="1142"/>
      <c r="L2322" s="617"/>
      <c r="M2322" s="1142"/>
      <c r="N2322" s="617"/>
      <c r="O2322" s="1142"/>
      <c r="P2322" s="617"/>
      <c r="Q2322" s="1142"/>
      <c r="R2322" s="617"/>
      <c r="S2322" s="1146"/>
      <c r="T2322" s="1114"/>
      <c r="U2322" s="1146"/>
      <c r="V2322" s="1114"/>
      <c r="W2322" s="1146"/>
      <c r="X2322" s="1114"/>
      <c r="Y2322" s="1146"/>
      <c r="Z2322" s="2114">
        <f>C2322-'Blocking-Step2'!C2322</f>
        <v>0</v>
      </c>
      <c r="AA2322" s="2114">
        <f>D2322-'Blocking-Step2'!D2322</f>
        <v>0</v>
      </c>
      <c r="AC2322" s="2114">
        <f>F2322-'Blocking-Step2'!F2322</f>
        <v>0</v>
      </c>
      <c r="AE2322" s="2114">
        <f>H2322-'Blocking-Step2'!H2322</f>
        <v>0</v>
      </c>
      <c r="AF2322" s="2114">
        <f>I2322-'Blocking-Step2'!I2322</f>
        <v>0</v>
      </c>
      <c r="AH2322" s="2136">
        <f>K2322-'Blocking-Step2'!K2322</f>
        <v>0</v>
      </c>
      <c r="AJ2322" s="2136">
        <f>M2322-'Blocking-Step2'!M2322</f>
        <v>0</v>
      </c>
      <c r="AL2322" s="2136">
        <f>O2322-'Blocking-Step2'!O2322</f>
        <v>0</v>
      </c>
      <c r="AN2322" s="2137">
        <f>Q2322-'Blocking-Step2'!Q2322</f>
        <v>0</v>
      </c>
      <c r="AP2322" s="2127">
        <f>S2322-'Blocking-Step2'!S2322</f>
        <v>0</v>
      </c>
      <c r="AR2322" s="2127">
        <f>U2322-'Blocking-Step2'!U2322</f>
        <v>0</v>
      </c>
      <c r="AT2322" s="2127">
        <f>W2322-'Blocking-Step2'!W2322</f>
        <v>0</v>
      </c>
      <c r="AV2322" s="2128">
        <f>Y2322-'Blocking-Step2'!Y2322</f>
        <v>0</v>
      </c>
    </row>
    <row r="2323" spans="1:48">
      <c r="A2323" s="1116" t="s">
        <v>166</v>
      </c>
      <c r="C2323" s="1105">
        <v>151388</v>
      </c>
      <c r="D2323" s="1105">
        <v>159292</v>
      </c>
      <c r="F2323" s="1142">
        <v>9.4700000000000006</v>
      </c>
      <c r="G2323" s="617"/>
      <c r="H2323" s="1146">
        <v>1433644</v>
      </c>
      <c r="I2323" s="1146">
        <v>1508495</v>
      </c>
      <c r="K2323" s="1142"/>
      <c r="L2323" s="617"/>
      <c r="M2323" s="1142"/>
      <c r="N2323" s="617"/>
      <c r="O2323" s="1142"/>
      <c r="P2323" s="617"/>
      <c r="Q2323" s="1142"/>
      <c r="R2323" s="617"/>
      <c r="S2323" s="1146"/>
      <c r="T2323" s="1114"/>
      <c r="U2323" s="1146"/>
      <c r="V2323" s="1114"/>
      <c r="W2323" s="1146"/>
      <c r="X2323" s="1114"/>
      <c r="Y2323" s="1146"/>
      <c r="Z2323" s="2114">
        <f>C2323-'Blocking-Step2'!C2323</f>
        <v>0</v>
      </c>
      <c r="AA2323" s="2114">
        <f>D2323-'Blocking-Step2'!D2323</f>
        <v>0</v>
      </c>
      <c r="AC2323" s="2114">
        <f>F2323-'Blocking-Step2'!F2323</f>
        <v>0</v>
      </c>
      <c r="AE2323" s="2114">
        <f>H2323-'Blocking-Step2'!H2323</f>
        <v>0</v>
      </c>
      <c r="AF2323" s="2114">
        <f>I2323-'Blocking-Step2'!I2323</f>
        <v>0</v>
      </c>
      <c r="AH2323" s="2136">
        <f>K2323-'Blocking-Step2'!K2323</f>
        <v>0</v>
      </c>
      <c r="AJ2323" s="2136">
        <f>M2323-'Blocking-Step2'!M2323</f>
        <v>0</v>
      </c>
      <c r="AL2323" s="2136">
        <f>O2323-'Blocking-Step2'!O2323</f>
        <v>0</v>
      </c>
      <c r="AN2323" s="2137">
        <f>Q2323-'Blocking-Step2'!Q2323</f>
        <v>0</v>
      </c>
      <c r="AP2323" s="2127">
        <f>S2323-'Blocking-Step2'!S2323</f>
        <v>0</v>
      </c>
      <c r="AR2323" s="2127">
        <f>U2323-'Blocking-Step2'!U2323</f>
        <v>0</v>
      </c>
      <c r="AT2323" s="2127">
        <f>W2323-'Blocking-Step2'!W2323</f>
        <v>0</v>
      </c>
      <c r="AV2323" s="2128">
        <f>Y2323-'Blocking-Step2'!Y2323</f>
        <v>0</v>
      </c>
    </row>
    <row r="2324" spans="1:48">
      <c r="A2324" s="1116" t="s">
        <v>19</v>
      </c>
      <c r="C2324" s="1105">
        <v>20671943</v>
      </c>
      <c r="D2324" s="1105">
        <v>21123545</v>
      </c>
      <c r="F2324" s="1143">
        <v>4.6531000000000002</v>
      </c>
      <c r="G2324" s="1921" t="s">
        <v>495</v>
      </c>
      <c r="H2324" s="1146">
        <v>961886</v>
      </c>
      <c r="I2324" s="1146">
        <v>982900</v>
      </c>
      <c r="K2324" s="1143"/>
      <c r="L2324" s="1921"/>
      <c r="M2324" s="1143"/>
      <c r="N2324" s="1921"/>
      <c r="O2324" s="1143"/>
      <c r="P2324" s="1921"/>
      <c r="Q2324" s="1143"/>
      <c r="R2324" s="1921"/>
      <c r="S2324" s="1146"/>
      <c r="T2324" s="1648"/>
      <c r="U2324" s="1146"/>
      <c r="V2324" s="1648"/>
      <c r="W2324" s="1146"/>
      <c r="X2324" s="1648"/>
      <c r="Y2324" s="1146"/>
      <c r="Z2324" s="2114">
        <f>C2324-'Blocking-Step2'!C2324</f>
        <v>0</v>
      </c>
      <c r="AA2324" s="2114">
        <f>D2324-'Blocking-Step2'!D2324</f>
        <v>0</v>
      </c>
      <c r="AC2324" s="2114">
        <f>F2324-'Blocking-Step2'!F2324</f>
        <v>0</v>
      </c>
      <c r="AE2324" s="2114">
        <f>H2324-'Blocking-Step2'!H2324</f>
        <v>0</v>
      </c>
      <c r="AF2324" s="2114">
        <f>I2324-'Blocking-Step2'!I2324</f>
        <v>0</v>
      </c>
      <c r="AH2324" s="2136">
        <f>K2324-'Blocking-Step2'!K2324</f>
        <v>0</v>
      </c>
      <c r="AJ2324" s="2136">
        <f>M2324-'Blocking-Step2'!M2324</f>
        <v>0</v>
      </c>
      <c r="AL2324" s="2136">
        <f>O2324-'Blocking-Step2'!O2324</f>
        <v>0</v>
      </c>
      <c r="AN2324" s="2137">
        <f>Q2324-'Blocking-Step2'!Q2324</f>
        <v>0</v>
      </c>
      <c r="AP2324" s="2127">
        <f>S2324-'Blocking-Step2'!S2324</f>
        <v>0</v>
      </c>
      <c r="AR2324" s="2127">
        <f>U2324-'Blocking-Step2'!U2324</f>
        <v>0</v>
      </c>
      <c r="AT2324" s="2127">
        <f>W2324-'Blocking-Step2'!W2324</f>
        <v>0</v>
      </c>
      <c r="AV2324" s="2128">
        <f>Y2324-'Blocking-Step2'!Y2324</f>
        <v>0</v>
      </c>
    </row>
    <row r="2325" spans="1:48">
      <c r="A2325" s="1116" t="s">
        <v>257</v>
      </c>
      <c r="C2325" s="1105">
        <v>41988517</v>
      </c>
      <c r="D2325" s="1105">
        <v>43505207</v>
      </c>
      <c r="F2325" s="1143">
        <v>3.4988999999999999</v>
      </c>
      <c r="G2325" s="1921" t="s">
        <v>495</v>
      </c>
      <c r="H2325" s="1146">
        <v>1469136</v>
      </c>
      <c r="I2325" s="1146">
        <v>1522204</v>
      </c>
      <c r="K2325" s="1143"/>
      <c r="L2325" s="1921"/>
      <c r="M2325" s="1143"/>
      <c r="N2325" s="1921"/>
      <c r="O2325" s="1143"/>
      <c r="P2325" s="1921"/>
      <c r="Q2325" s="1143"/>
      <c r="R2325" s="1921"/>
      <c r="S2325" s="1146"/>
      <c r="T2325" s="1648"/>
      <c r="U2325" s="1146"/>
      <c r="V2325" s="1648"/>
      <c r="W2325" s="1146"/>
      <c r="X2325" s="1648"/>
      <c r="Y2325" s="1146"/>
      <c r="Z2325" s="2114">
        <f>C2325-'Blocking-Step2'!C2325</f>
        <v>0</v>
      </c>
      <c r="AA2325" s="2114">
        <f>D2325-'Blocking-Step2'!D2325</f>
        <v>0</v>
      </c>
      <c r="AC2325" s="2114">
        <f>F2325-'Blocking-Step2'!F2325</f>
        <v>0</v>
      </c>
      <c r="AE2325" s="2114">
        <f>H2325-'Blocking-Step2'!H2325</f>
        <v>0</v>
      </c>
      <c r="AF2325" s="2114">
        <f>I2325-'Blocking-Step2'!I2325</f>
        <v>0</v>
      </c>
      <c r="AH2325" s="2136">
        <f>K2325-'Blocking-Step2'!K2325</f>
        <v>0</v>
      </c>
      <c r="AJ2325" s="2136">
        <f>M2325-'Blocking-Step2'!M2325</f>
        <v>0</v>
      </c>
      <c r="AL2325" s="2136">
        <f>O2325-'Blocking-Step2'!O2325</f>
        <v>0</v>
      </c>
      <c r="AN2325" s="2137">
        <f>Q2325-'Blocking-Step2'!Q2325</f>
        <v>0</v>
      </c>
      <c r="AP2325" s="2127">
        <f>S2325-'Blocking-Step2'!S2325</f>
        <v>0</v>
      </c>
      <c r="AR2325" s="2127">
        <f>U2325-'Blocking-Step2'!U2325</f>
        <v>0</v>
      </c>
      <c r="AT2325" s="2127">
        <f>W2325-'Blocking-Step2'!W2325</f>
        <v>0</v>
      </c>
      <c r="AV2325" s="2128">
        <f>Y2325-'Blocking-Step2'!Y2325</f>
        <v>0</v>
      </c>
    </row>
    <row r="2326" spans="1:48">
      <c r="A2326" s="1116" t="s">
        <v>249</v>
      </c>
      <c r="C2326" s="2093">
        <v>106800696</v>
      </c>
      <c r="D2326" s="2093">
        <v>109619747</v>
      </c>
      <c r="F2326" s="2102">
        <v>2.9224999999999999</v>
      </c>
      <c r="G2326" s="1921" t="s">
        <v>495</v>
      </c>
      <c r="H2326" s="2100">
        <v>3121250</v>
      </c>
      <c r="I2326" s="2100">
        <v>3203637</v>
      </c>
      <c r="K2326" s="2102"/>
      <c r="L2326" s="1921"/>
      <c r="M2326" s="2102"/>
      <c r="N2326" s="1921"/>
      <c r="O2326" s="2102"/>
      <c r="P2326" s="1921"/>
      <c r="Q2326" s="2102"/>
      <c r="R2326" s="1921"/>
      <c r="S2326" s="2100"/>
      <c r="T2326" s="1648"/>
      <c r="U2326" s="2100"/>
      <c r="V2326" s="1648"/>
      <c r="W2326" s="2100"/>
      <c r="X2326" s="1648"/>
      <c r="Y2326" s="2100"/>
      <c r="Z2326" s="2114">
        <f>C2326-'Blocking-Step2'!C2326</f>
        <v>0</v>
      </c>
      <c r="AA2326" s="2114">
        <f>D2326-'Blocking-Step2'!D2326</f>
        <v>0</v>
      </c>
      <c r="AC2326" s="2114">
        <f>F2326-'Blocking-Step2'!F2326</f>
        <v>0</v>
      </c>
      <c r="AE2326" s="2114">
        <f>H2326-'Blocking-Step2'!H2326</f>
        <v>0</v>
      </c>
      <c r="AF2326" s="2114">
        <f>I2326-'Blocking-Step2'!I2326</f>
        <v>0</v>
      </c>
      <c r="AH2326" s="2136">
        <f>K2326-'Blocking-Step2'!K2326</f>
        <v>0</v>
      </c>
      <c r="AJ2326" s="2136">
        <f>M2326-'Blocking-Step2'!M2326</f>
        <v>0</v>
      </c>
      <c r="AL2326" s="2136">
        <f>O2326-'Blocking-Step2'!O2326</f>
        <v>0</v>
      </c>
      <c r="AN2326" s="2137">
        <f>Q2326-'Blocking-Step2'!Q2326</f>
        <v>0</v>
      </c>
      <c r="AP2326" s="2127">
        <f>S2326-'Blocking-Step2'!S2326</f>
        <v>0</v>
      </c>
      <c r="AR2326" s="2127">
        <f>U2326-'Blocking-Step2'!U2326</f>
        <v>0</v>
      </c>
      <c r="AT2326" s="2127">
        <f>W2326-'Blocking-Step2'!W2326</f>
        <v>0</v>
      </c>
      <c r="AV2326" s="2128">
        <f>Y2326-'Blocking-Step2'!Y2326</f>
        <v>0</v>
      </c>
    </row>
    <row r="2327" spans="1:48">
      <c r="A2327" s="1116" t="s">
        <v>1240</v>
      </c>
      <c r="C2327" s="1024"/>
      <c r="D2327" s="1024"/>
      <c r="F2327" s="2103">
        <v>-3.0700000000000002E-2</v>
      </c>
      <c r="G2327" s="617"/>
      <c r="H2327" s="2104">
        <v>-264347.84529999999</v>
      </c>
      <c r="I2327" s="2104">
        <v>-272752.21590000001</v>
      </c>
      <c r="K2327" s="2103"/>
      <c r="L2327" s="617"/>
      <c r="M2327" s="2103"/>
      <c r="N2327" s="617"/>
      <c r="O2327" s="2077" t="s">
        <v>2323</v>
      </c>
      <c r="P2327" s="617"/>
      <c r="Q2327" s="2076">
        <v>-2.5700000000000001E-2</v>
      </c>
      <c r="R2327" s="617"/>
      <c r="S2327" s="1146"/>
      <c r="T2327" s="1114"/>
      <c r="U2327" s="1146"/>
      <c r="V2327" s="1114"/>
      <c r="W2327" s="1146"/>
      <c r="X2327" s="1114"/>
      <c r="Y2327" s="1146">
        <v>-227554.43059999999</v>
      </c>
      <c r="Z2327" s="2114">
        <f>C2327-'Blocking-Step2'!C2327</f>
        <v>0</v>
      </c>
      <c r="AA2327" s="2114">
        <f>D2327-'Blocking-Step2'!D2327</f>
        <v>0</v>
      </c>
      <c r="AC2327" s="2114">
        <f>F2327-'Blocking-Step2'!F2327</f>
        <v>0</v>
      </c>
      <c r="AE2327" s="2114">
        <f>H2327-'Blocking-Step2'!H2327</f>
        <v>0</v>
      </c>
      <c r="AF2327" s="2114">
        <f>I2327-'Blocking-Step2'!I2327</f>
        <v>0</v>
      </c>
      <c r="AH2327" s="2136">
        <f>K2327-'Blocking-Step2'!K2327</f>
        <v>0</v>
      </c>
      <c r="AJ2327" s="2136">
        <f>M2327-'Blocking-Step2'!M2327</f>
        <v>0</v>
      </c>
      <c r="AL2327" s="2136" t="e">
        <f>O2327-'Blocking-Step2'!O2327</f>
        <v>#VALUE!</v>
      </c>
      <c r="AN2327" s="2137">
        <f>Q2327-'Blocking-Step2'!Q2327</f>
        <v>0</v>
      </c>
      <c r="AP2327" s="2127">
        <f>S2327-'Blocking-Step2'!S2327</f>
        <v>0</v>
      </c>
      <c r="AR2327" s="2127">
        <f>U2327-'Blocking-Step2'!U2327</f>
        <v>0</v>
      </c>
      <c r="AT2327" s="2127">
        <f>W2327-'Blocking-Step2'!W2327</f>
        <v>0</v>
      </c>
      <c r="AV2327" s="2128">
        <f>Y2327-'Blocking-Step2'!Y2327</f>
        <v>0</v>
      </c>
    </row>
    <row r="2328" spans="1:48">
      <c r="A2328" s="1116"/>
      <c r="C2328" s="1024"/>
      <c r="D2328" s="1024"/>
      <c r="F2328" s="1118"/>
      <c r="G2328" s="617"/>
      <c r="H2328" s="1114"/>
      <c r="I2328" s="1114"/>
      <c r="K2328" s="1118"/>
      <c r="L2328" s="617"/>
      <c r="M2328" s="1118"/>
      <c r="N2328" s="617"/>
      <c r="O2328" s="2077" t="s">
        <v>2324</v>
      </c>
      <c r="P2328" s="617"/>
      <c r="Q2328" s="2076">
        <v>-1.3899999999999999E-2</v>
      </c>
      <c r="R2328" s="617"/>
      <c r="S2328" s="1146"/>
      <c r="T2328" s="1114"/>
      <c r="U2328" s="1146"/>
      <c r="V2328" s="1114"/>
      <c r="W2328" s="1146"/>
      <c r="X2328" s="1114"/>
      <c r="Y2328" s="1146">
        <v>-123074.1862</v>
      </c>
      <c r="Z2328" s="2114">
        <f>C2328-'Blocking-Step2'!C2328</f>
        <v>0</v>
      </c>
      <c r="AA2328" s="2114">
        <f>D2328-'Blocking-Step2'!D2328</f>
        <v>0</v>
      </c>
      <c r="AC2328" s="2114">
        <f>F2328-'Blocking-Step2'!F2328</f>
        <v>0</v>
      </c>
      <c r="AE2328" s="2114">
        <f>H2328-'Blocking-Step2'!H2328</f>
        <v>0</v>
      </c>
      <c r="AF2328" s="2114">
        <f>I2328-'Blocking-Step2'!I2328</f>
        <v>0</v>
      </c>
      <c r="AH2328" s="2136">
        <f>K2328-'Blocking-Step2'!K2328</f>
        <v>0</v>
      </c>
      <c r="AJ2328" s="2136">
        <f>M2328-'Blocking-Step2'!M2328</f>
        <v>0</v>
      </c>
      <c r="AL2328" s="2136" t="e">
        <f>O2328-'Blocking-Step2'!O2328</f>
        <v>#VALUE!</v>
      </c>
      <c r="AN2328" s="2137">
        <f>Q2328-'Blocking-Step2'!Q2328</f>
        <v>0</v>
      </c>
      <c r="AP2328" s="2127">
        <f>S2328-'Blocking-Step2'!S2328</f>
        <v>0</v>
      </c>
      <c r="AR2328" s="2127">
        <f>U2328-'Blocking-Step2'!U2328</f>
        <v>0</v>
      </c>
      <c r="AT2328" s="2127">
        <f>W2328-'Blocking-Step2'!W2328</f>
        <v>0</v>
      </c>
      <c r="AV2328" s="2128">
        <f>Y2328-'Blocking-Step2'!Y2328</f>
        <v>0</v>
      </c>
    </row>
    <row r="2329" spans="1:48">
      <c r="A2329" s="1116" t="s">
        <v>397</v>
      </c>
      <c r="C2329" s="1024"/>
      <c r="D2329" s="1024"/>
      <c r="F2329" s="1113"/>
      <c r="G2329" s="1921"/>
      <c r="H2329" s="1114">
        <v>9948626.7727000006</v>
      </c>
      <c r="I2329" s="1114">
        <v>10195871.672499999</v>
      </c>
      <c r="K2329" s="1113"/>
      <c r="L2329" s="1921"/>
      <c r="M2329" s="1113"/>
      <c r="N2329" s="1921"/>
      <c r="O2329" s="1113"/>
      <c r="P2329" s="1921"/>
      <c r="Q2329" s="1113"/>
      <c r="R2329" s="1921"/>
      <c r="S2329" s="1114">
        <v>103231</v>
      </c>
      <c r="T2329" s="1648"/>
      <c r="U2329" s="1114">
        <v>6908695</v>
      </c>
      <c r="V2329" s="1648"/>
      <c r="W2329" s="1114">
        <v>3520713</v>
      </c>
      <c r="X2329" s="1648"/>
      <c r="Y2329" s="1114">
        <v>10532639</v>
      </c>
      <c r="Z2329" s="2114">
        <f>C2329-'Blocking-Step2'!C2329</f>
        <v>0</v>
      </c>
      <c r="AA2329" s="2114">
        <f>D2329-'Blocking-Step2'!D2329</f>
        <v>0</v>
      </c>
      <c r="AC2329" s="2114">
        <f>F2329-'Blocking-Step2'!F2329</f>
        <v>0</v>
      </c>
      <c r="AE2329" s="2114">
        <f>H2329-'Blocking-Step2'!H2329</f>
        <v>0</v>
      </c>
      <c r="AF2329" s="2114">
        <f>I2329-'Blocking-Step2'!I2329</f>
        <v>0</v>
      </c>
      <c r="AH2329" s="2136">
        <f>K2329-'Blocking-Step2'!K2329</f>
        <v>0</v>
      </c>
      <c r="AJ2329" s="2136">
        <f>M2329-'Blocking-Step2'!M2329</f>
        <v>0</v>
      </c>
      <c r="AL2329" s="2136">
        <f>O2329-'Blocking-Step2'!O2329</f>
        <v>0</v>
      </c>
      <c r="AN2329" s="2137">
        <f>Q2329-'Blocking-Step2'!Q2329</f>
        <v>0</v>
      </c>
      <c r="AP2329" s="2127">
        <f>S2329-'Blocking-Step2'!S2329</f>
        <v>-2077286</v>
      </c>
      <c r="AR2329" s="2127">
        <f>U2329-'Blocking-Step2'!U2329</f>
        <v>2077284</v>
      </c>
      <c r="AT2329" s="2127">
        <f>W2329-'Blocking-Step2'!W2329</f>
        <v>0</v>
      </c>
      <c r="AV2329" s="2128">
        <f>Y2329-'Blocking-Step2'!Y2329</f>
        <v>0</v>
      </c>
    </row>
    <row r="2330" spans="1:48">
      <c r="A2330" s="1104" t="s">
        <v>136</v>
      </c>
      <c r="C2330" s="1136">
        <v>-102498</v>
      </c>
      <c r="D2330" s="1136">
        <v>0</v>
      </c>
      <c r="F2330" s="1106"/>
      <c r="G2330" s="1107"/>
      <c r="H2330" s="1147">
        <v>-7456</v>
      </c>
      <c r="I2330" s="1147">
        <v>0</v>
      </c>
      <c r="K2330" s="1106"/>
      <c r="L2330" s="1107"/>
      <c r="M2330" s="1106"/>
      <c r="N2330" s="1107"/>
      <c r="O2330" s="1106"/>
      <c r="P2330" s="1107"/>
      <c r="Q2330" s="1106"/>
      <c r="R2330" s="1107"/>
      <c r="S2330" s="1147"/>
      <c r="T2330" s="1114"/>
      <c r="U2330" s="1147"/>
      <c r="V2330" s="1114"/>
      <c r="W2330" s="1147"/>
      <c r="X2330" s="1114"/>
      <c r="Y2330" s="1147"/>
      <c r="Z2330" s="2114">
        <f>C2330-'Blocking-Step2'!C2330</f>
        <v>0</v>
      </c>
      <c r="AA2330" s="2114">
        <f>D2330-'Blocking-Step2'!D2330</f>
        <v>0</v>
      </c>
      <c r="AC2330" s="2114">
        <f>F2330-'Blocking-Step2'!F2330</f>
        <v>0</v>
      </c>
      <c r="AE2330" s="2114">
        <f>H2330-'Blocking-Step2'!H2330</f>
        <v>0</v>
      </c>
      <c r="AF2330" s="2114">
        <f>I2330-'Blocking-Step2'!I2330</f>
        <v>0</v>
      </c>
      <c r="AH2330" s="2136">
        <f>K2330-'Blocking-Step2'!K2330</f>
        <v>0</v>
      </c>
      <c r="AJ2330" s="2136">
        <f>M2330-'Blocking-Step2'!M2330</f>
        <v>0</v>
      </c>
      <c r="AL2330" s="2136">
        <f>O2330-'Blocking-Step2'!O2330</f>
        <v>0</v>
      </c>
      <c r="AN2330" s="2137">
        <f>Q2330-'Blocking-Step2'!Q2330</f>
        <v>0</v>
      </c>
      <c r="AP2330" s="2127">
        <f>S2330-'Blocking-Step2'!S2330</f>
        <v>0</v>
      </c>
      <c r="AR2330" s="2127">
        <f>U2330-'Blocking-Step2'!U2330</f>
        <v>0</v>
      </c>
      <c r="AT2330" s="2127">
        <f>W2330-'Blocking-Step2'!W2330</f>
        <v>0</v>
      </c>
      <c r="AV2330" s="2128">
        <f>Y2330-'Blocking-Step2'!Y2330</f>
        <v>0</v>
      </c>
    </row>
    <row r="2331" spans="1:48" ht="16.5" thickBot="1">
      <c r="A2331" s="1116" t="s">
        <v>173</v>
      </c>
      <c r="C2331" s="1138">
        <v>185004258</v>
      </c>
      <c r="D2331" s="1138">
        <v>189259142.66666666</v>
      </c>
      <c r="F2331" s="1145"/>
      <c r="H2331" s="1149">
        <v>11977915.772700001</v>
      </c>
      <c r="I2331" s="1149">
        <v>12375229.672499999</v>
      </c>
      <c r="K2331" s="1145"/>
      <c r="M2331" s="1145"/>
      <c r="O2331" s="1145"/>
      <c r="Q2331" s="1145"/>
      <c r="S2331" s="1149">
        <v>274137</v>
      </c>
      <c r="T2331" s="1154"/>
      <c r="U2331" s="1149">
        <v>8926604</v>
      </c>
      <c r="V2331" s="1154"/>
      <c r="W2331" s="1149">
        <v>3520713</v>
      </c>
      <c r="Y2331" s="1149">
        <v>12721454</v>
      </c>
      <c r="Z2331" s="2114">
        <f>C2331-'Blocking-Step2'!C2331</f>
        <v>0</v>
      </c>
      <c r="AA2331" s="2114">
        <f>D2331-'Blocking-Step2'!D2331</f>
        <v>0</v>
      </c>
      <c r="AC2331" s="2114">
        <f>F2331-'Blocking-Step2'!F2331</f>
        <v>0</v>
      </c>
      <c r="AE2331" s="2114">
        <f>H2331-'Blocking-Step2'!H2331</f>
        <v>0</v>
      </c>
      <c r="AF2331" s="2114">
        <f>I2331-'Blocking-Step2'!I2331</f>
        <v>0</v>
      </c>
      <c r="AH2331" s="2136">
        <f>K2331-'Blocking-Step2'!K2331</f>
        <v>0</v>
      </c>
      <c r="AJ2331" s="2136">
        <f>M2331-'Blocking-Step2'!M2331</f>
        <v>0</v>
      </c>
      <c r="AL2331" s="2136">
        <f>O2331-'Blocking-Step2'!O2331</f>
        <v>0</v>
      </c>
      <c r="AN2331" s="2137">
        <f>Q2331-'Blocking-Step2'!Q2331</f>
        <v>0</v>
      </c>
      <c r="AP2331" s="2127">
        <f>S2331-'Blocking-Step2'!S2331</f>
        <v>-3325208</v>
      </c>
      <c r="AR2331" s="2127">
        <f>U2331-'Blocking-Step2'!U2331</f>
        <v>3325204</v>
      </c>
      <c r="AT2331" s="2127">
        <f>W2331-'Blocking-Step2'!W2331</f>
        <v>0</v>
      </c>
      <c r="AV2331" s="2128">
        <f>Y2331-'Blocking-Step2'!Y2331</f>
        <v>0</v>
      </c>
    </row>
    <row r="2332" spans="1:48" ht="16.5" hidden="1" thickTop="1">
      <c r="Z2332" s="2114">
        <f>C2332-'Blocking-Step2'!C2332</f>
        <v>0</v>
      </c>
      <c r="AA2332" s="2114">
        <f>D2332-'Blocking-Step2'!D2332</f>
        <v>0</v>
      </c>
      <c r="AC2332" s="2114">
        <f>F2332-'Blocking-Step2'!F2332</f>
        <v>0</v>
      </c>
      <c r="AE2332" s="2114">
        <f>H2332-'Blocking-Step2'!H2332</f>
        <v>0</v>
      </c>
      <c r="AF2332" s="2114">
        <f>I2332-'Blocking-Step2'!I2332</f>
        <v>0</v>
      </c>
      <c r="AH2332" s="2136">
        <f>K2332-'Blocking-Step2'!K2332</f>
        <v>0</v>
      </c>
      <c r="AJ2332" s="2136">
        <f>M2332-'Blocking-Step2'!M2332</f>
        <v>0</v>
      </c>
      <c r="AL2332" s="2136">
        <f>O2332-'Blocking-Step2'!O2332</f>
        <v>0</v>
      </c>
      <c r="AN2332" s="2137">
        <f>Q2332-'Blocking-Step2'!Q2332</f>
        <v>0</v>
      </c>
      <c r="AP2332" s="2127">
        <f>S2332-'Blocking-Step2'!S2332</f>
        <v>0</v>
      </c>
      <c r="AR2332" s="2127">
        <f>U2332-'Blocking-Step2'!U2332</f>
        <v>0</v>
      </c>
      <c r="AT2332" s="2127">
        <f>W2332-'Blocking-Step2'!W2332</f>
        <v>0</v>
      </c>
      <c r="AV2332" s="2128">
        <f>Y2332-'Blocking-Step2'!Y2332</f>
        <v>0</v>
      </c>
    </row>
    <row r="2333" spans="1:48" ht="16.5" hidden="1" thickTop="1">
      <c r="A2333" s="1115" t="s">
        <v>938</v>
      </c>
      <c r="C2333" s="1105"/>
      <c r="D2333" s="1105"/>
      <c r="F2333" s="1106"/>
      <c r="G2333" s="1107"/>
      <c r="K2333" s="1106"/>
      <c r="L2333" s="1107"/>
      <c r="M2333" s="1106"/>
      <c r="N2333" s="1107"/>
      <c r="O2333" s="1106"/>
      <c r="P2333" s="1107"/>
      <c r="Q2333" s="1106"/>
      <c r="R2333" s="1107"/>
      <c r="S2333" s="1114"/>
      <c r="T2333" s="1114"/>
      <c r="U2333" s="1114"/>
      <c r="V2333" s="1114"/>
      <c r="W2333" s="1114"/>
      <c r="X2333" s="1114"/>
      <c r="Z2333" s="2114">
        <f>C2333-'Blocking-Step2'!C2333</f>
        <v>0</v>
      </c>
      <c r="AA2333" s="2114">
        <f>D2333-'Blocking-Step2'!D2333</f>
        <v>0</v>
      </c>
      <c r="AC2333" s="2114">
        <f>F2333-'Blocking-Step2'!F2333</f>
        <v>0</v>
      </c>
      <c r="AE2333" s="2114">
        <f>H2333-'Blocking-Step2'!H2333</f>
        <v>0</v>
      </c>
      <c r="AF2333" s="2114">
        <f>I2333-'Blocking-Step2'!I2333</f>
        <v>0</v>
      </c>
      <c r="AH2333" s="2136">
        <f>K2333-'Blocking-Step2'!K2333</f>
        <v>0</v>
      </c>
      <c r="AJ2333" s="2136">
        <f>M2333-'Blocking-Step2'!M2333</f>
        <v>0</v>
      </c>
      <c r="AL2333" s="2136">
        <f>O2333-'Blocking-Step2'!O2333</f>
        <v>0</v>
      </c>
      <c r="AN2333" s="2137">
        <f>Q2333-'Blocking-Step2'!Q2333</f>
        <v>0</v>
      </c>
      <c r="AP2333" s="2127">
        <f>S2333-'Blocking-Step2'!S2333</f>
        <v>0</v>
      </c>
      <c r="AR2333" s="2127">
        <f>U2333-'Blocking-Step2'!U2333</f>
        <v>0</v>
      </c>
      <c r="AT2333" s="2127">
        <f>W2333-'Blocking-Step2'!W2333</f>
        <v>0</v>
      </c>
      <c r="AV2333" s="2128">
        <f>Y2333-'Blocking-Step2'!Y2333</f>
        <v>0</v>
      </c>
    </row>
    <row r="2334" spans="1:48" ht="16.5" hidden="1" thickTop="1">
      <c r="A2334" s="2008" t="s">
        <v>181</v>
      </c>
      <c r="C2334" s="1105"/>
      <c r="D2334" s="1105"/>
      <c r="Z2334" s="2114">
        <f>C2334-'Blocking-Step2'!C2334</f>
        <v>0</v>
      </c>
      <c r="AA2334" s="2114">
        <f>D2334-'Blocking-Step2'!D2334</f>
        <v>0</v>
      </c>
      <c r="AC2334" s="2114">
        <f>F2334-'Blocking-Step2'!F2334</f>
        <v>0</v>
      </c>
      <c r="AE2334" s="2114">
        <f>H2334-'Blocking-Step2'!H2334</f>
        <v>0</v>
      </c>
      <c r="AF2334" s="2114">
        <f>I2334-'Blocking-Step2'!I2334</f>
        <v>0</v>
      </c>
      <c r="AH2334" s="2136">
        <f>K2334-'Blocking-Step2'!K2334</f>
        <v>0</v>
      </c>
      <c r="AJ2334" s="2136">
        <f>M2334-'Blocking-Step2'!M2334</f>
        <v>0</v>
      </c>
      <c r="AL2334" s="2136">
        <f>O2334-'Blocking-Step2'!O2334</f>
        <v>0</v>
      </c>
      <c r="AN2334" s="2137">
        <f>Q2334-'Blocking-Step2'!Q2334</f>
        <v>0</v>
      </c>
      <c r="AP2334" s="2127">
        <f>S2334-'Blocking-Step2'!S2334</f>
        <v>0</v>
      </c>
      <c r="AR2334" s="2127">
        <f>U2334-'Blocking-Step2'!U2334</f>
        <v>0</v>
      </c>
      <c r="AT2334" s="2127">
        <f>W2334-'Blocking-Step2'!W2334</f>
        <v>0</v>
      </c>
      <c r="AV2334" s="2128">
        <f>Y2334-'Blocking-Step2'!Y2334</f>
        <v>0</v>
      </c>
    </row>
    <row r="2335" spans="1:48" ht="16.5" hidden="1" thickTop="1">
      <c r="A2335" s="1116" t="s">
        <v>312</v>
      </c>
      <c r="B2335" s="1116"/>
      <c r="C2335" s="1105"/>
      <c r="D2335" s="1105"/>
      <c r="F2335" s="1139">
        <v>133</v>
      </c>
      <c r="G2335" s="1110"/>
      <c r="H2335" s="1146">
        <v>0</v>
      </c>
      <c r="I2335" s="1146">
        <v>0</v>
      </c>
      <c r="K2335" s="1139">
        <v>138</v>
      </c>
      <c r="L2335" s="1110"/>
      <c r="M2335" s="1139">
        <v>0</v>
      </c>
      <c r="N2335" s="1110"/>
      <c r="O2335" s="1139">
        <v>0</v>
      </c>
      <c r="P2335" s="1110"/>
      <c r="Q2335" s="1139">
        <v>138</v>
      </c>
      <c r="R2335" s="1110"/>
      <c r="S2335" s="1146">
        <v>0</v>
      </c>
      <c r="T2335" s="1629"/>
      <c r="U2335" s="1146">
        <v>0</v>
      </c>
      <c r="V2335" s="1629"/>
      <c r="W2335" s="1146">
        <v>0</v>
      </c>
      <c r="X2335" s="1629"/>
      <c r="Y2335" s="1146">
        <v>0</v>
      </c>
      <c r="Z2335" s="2114">
        <f>C2335-'Blocking-Step2'!C2335</f>
        <v>0</v>
      </c>
      <c r="AA2335" s="2114">
        <f>D2335-'Blocking-Step2'!D2335</f>
        <v>0</v>
      </c>
      <c r="AC2335" s="2114">
        <f>F2335-'Blocking-Step2'!F2335</f>
        <v>0</v>
      </c>
      <c r="AE2335" s="2114">
        <f>H2335-'Blocking-Step2'!H2335</f>
        <v>0</v>
      </c>
      <c r="AF2335" s="2114">
        <f>I2335-'Blocking-Step2'!I2335</f>
        <v>0</v>
      </c>
      <c r="AH2335" s="2136">
        <f>K2335-'Blocking-Step2'!K2335</f>
        <v>0</v>
      </c>
      <c r="AJ2335" s="2136">
        <f>M2335-'Blocking-Step2'!M2335</f>
        <v>0</v>
      </c>
      <c r="AL2335" s="2136">
        <f>O2335-'Blocking-Step2'!O2335</f>
        <v>0</v>
      </c>
      <c r="AN2335" s="2137">
        <f>Q2335-'Blocking-Step2'!Q2335</f>
        <v>0</v>
      </c>
      <c r="AP2335" s="2127">
        <f>S2335-'Blocking-Step2'!S2335</f>
        <v>0</v>
      </c>
      <c r="AR2335" s="2127">
        <f>U2335-'Blocking-Step2'!U2335</f>
        <v>0</v>
      </c>
      <c r="AT2335" s="2127">
        <f>W2335-'Blocking-Step2'!W2335</f>
        <v>0</v>
      </c>
      <c r="AV2335" s="2128">
        <f>Y2335-'Blocking-Step2'!Y2335</f>
        <v>0</v>
      </c>
    </row>
    <row r="2336" spans="1:48" ht="16.5" hidden="1" thickTop="1">
      <c r="A2336" s="1116" t="s">
        <v>313</v>
      </c>
      <c r="B2336" s="1116"/>
      <c r="C2336" s="1105"/>
      <c r="D2336" s="1105"/>
      <c r="F2336" s="1139">
        <v>5.6</v>
      </c>
      <c r="G2336" s="1110"/>
      <c r="H2336" s="1146">
        <v>0</v>
      </c>
      <c r="I2336" s="1146">
        <v>0</v>
      </c>
      <c r="K2336" s="1139">
        <v>5.81</v>
      </c>
      <c r="L2336" s="1110"/>
      <c r="M2336" s="1139">
        <v>0</v>
      </c>
      <c r="N2336" s="1110"/>
      <c r="O2336" s="1139">
        <v>0</v>
      </c>
      <c r="P2336" s="1110"/>
      <c r="Q2336" s="1139">
        <v>5.81</v>
      </c>
      <c r="R2336" s="1110"/>
      <c r="S2336" s="1146">
        <v>0</v>
      </c>
      <c r="T2336" s="1629"/>
      <c r="U2336" s="1146">
        <v>0</v>
      </c>
      <c r="V2336" s="1629"/>
      <c r="W2336" s="1146">
        <v>0</v>
      </c>
      <c r="X2336" s="1629"/>
      <c r="Y2336" s="1146">
        <v>0</v>
      </c>
      <c r="Z2336" s="2114">
        <f>C2336-'Blocking-Step2'!C2336</f>
        <v>0</v>
      </c>
      <c r="AA2336" s="2114">
        <f>D2336-'Blocking-Step2'!D2336</f>
        <v>0</v>
      </c>
      <c r="AC2336" s="2114">
        <f>F2336-'Blocking-Step2'!F2336</f>
        <v>0</v>
      </c>
      <c r="AE2336" s="2114">
        <f>H2336-'Blocking-Step2'!H2336</f>
        <v>0</v>
      </c>
      <c r="AF2336" s="2114">
        <f>I2336-'Blocking-Step2'!I2336</f>
        <v>0</v>
      </c>
      <c r="AH2336" s="2136">
        <f>K2336-'Blocking-Step2'!K2336</f>
        <v>0</v>
      </c>
      <c r="AJ2336" s="2136">
        <f>M2336-'Blocking-Step2'!M2336</f>
        <v>0</v>
      </c>
      <c r="AL2336" s="2136">
        <f>O2336-'Blocking-Step2'!O2336</f>
        <v>0</v>
      </c>
      <c r="AN2336" s="2137">
        <f>Q2336-'Blocking-Step2'!Q2336</f>
        <v>0</v>
      </c>
      <c r="AP2336" s="2127">
        <f>S2336-'Blocking-Step2'!S2336</f>
        <v>0</v>
      </c>
      <c r="AR2336" s="2127">
        <f>U2336-'Blocking-Step2'!U2336</f>
        <v>0</v>
      </c>
      <c r="AT2336" s="2127">
        <f>W2336-'Blocking-Step2'!W2336</f>
        <v>0</v>
      </c>
      <c r="AV2336" s="2128">
        <f>Y2336-'Blocking-Step2'!Y2336</f>
        <v>0</v>
      </c>
    </row>
    <row r="2337" spans="1:48" ht="16.5" hidden="1" thickTop="1">
      <c r="A2337" s="1116" t="s">
        <v>314</v>
      </c>
      <c r="B2337" s="1116"/>
      <c r="C2337" s="1105"/>
      <c r="D2337" s="1105"/>
      <c r="F2337" s="1140"/>
      <c r="G2337" s="617"/>
      <c r="H2337" s="1146"/>
      <c r="I2337" s="1146"/>
      <c r="K2337" s="1140"/>
      <c r="L2337" s="617"/>
      <c r="M2337" s="1140"/>
      <c r="N2337" s="617"/>
      <c r="O2337" s="1140"/>
      <c r="P2337" s="617"/>
      <c r="Q2337" s="1140"/>
      <c r="R2337" s="617"/>
      <c r="S2337" s="1146"/>
      <c r="T2337" s="1114"/>
      <c r="U2337" s="1146"/>
      <c r="V2337" s="1114"/>
      <c r="W2337" s="1146"/>
      <c r="X2337" s="1114"/>
      <c r="Y2337" s="1146"/>
      <c r="Z2337" s="2114">
        <f>C2337-'Blocking-Step2'!C2337</f>
        <v>0</v>
      </c>
      <c r="AA2337" s="2114">
        <f>D2337-'Blocking-Step2'!D2337</f>
        <v>0</v>
      </c>
      <c r="AC2337" s="2114">
        <f>F2337-'Blocking-Step2'!F2337</f>
        <v>0</v>
      </c>
      <c r="AE2337" s="2114">
        <f>H2337-'Blocking-Step2'!H2337</f>
        <v>0</v>
      </c>
      <c r="AF2337" s="2114">
        <f>I2337-'Blocking-Step2'!I2337</f>
        <v>0</v>
      </c>
      <c r="AH2337" s="2136">
        <f>K2337-'Blocking-Step2'!K2337</f>
        <v>0</v>
      </c>
      <c r="AJ2337" s="2136">
        <f>M2337-'Blocking-Step2'!M2337</f>
        <v>0</v>
      </c>
      <c r="AL2337" s="2136">
        <f>O2337-'Blocking-Step2'!O2337</f>
        <v>0</v>
      </c>
      <c r="AN2337" s="2137">
        <f>Q2337-'Blocking-Step2'!Q2337</f>
        <v>0</v>
      </c>
      <c r="AP2337" s="2127">
        <f>S2337-'Blocking-Step2'!S2337</f>
        <v>0</v>
      </c>
      <c r="AR2337" s="2127">
        <f>U2337-'Blocking-Step2'!U2337</f>
        <v>0</v>
      </c>
      <c r="AT2337" s="2127">
        <f>W2337-'Blocking-Step2'!W2337</f>
        <v>0</v>
      </c>
      <c r="AV2337" s="2128">
        <f>Y2337-'Blocking-Step2'!Y2337</f>
        <v>0</v>
      </c>
    </row>
    <row r="2338" spans="1:48" ht="16.5" hidden="1" thickTop="1">
      <c r="A2338" s="1116" t="s">
        <v>315</v>
      </c>
      <c r="B2338" s="1116"/>
      <c r="C2338" s="1105"/>
      <c r="D2338" s="1105"/>
      <c r="F2338" s="1139"/>
      <c r="G2338" s="1111"/>
      <c r="H2338" s="1146"/>
      <c r="I2338" s="1146"/>
      <c r="K2338" s="1139"/>
      <c r="L2338" s="1111"/>
      <c r="M2338" s="1139"/>
      <c r="N2338" s="1111"/>
      <c r="O2338" s="1139"/>
      <c r="P2338" s="1111"/>
      <c r="Q2338" s="1139"/>
      <c r="R2338" s="1111"/>
      <c r="S2338" s="1146"/>
      <c r="T2338" s="1629"/>
      <c r="U2338" s="1146"/>
      <c r="V2338" s="1629"/>
      <c r="W2338" s="1146"/>
      <c r="X2338" s="1629"/>
      <c r="Y2338" s="1146"/>
      <c r="Z2338" s="2114">
        <f>C2338-'Blocking-Step2'!C2338</f>
        <v>0</v>
      </c>
      <c r="AA2338" s="2114">
        <f>D2338-'Blocking-Step2'!D2338</f>
        <v>0</v>
      </c>
      <c r="AC2338" s="2114">
        <f>F2338-'Blocking-Step2'!F2338</f>
        <v>0</v>
      </c>
      <c r="AE2338" s="2114">
        <f>H2338-'Blocking-Step2'!H2338</f>
        <v>0</v>
      </c>
      <c r="AF2338" s="2114">
        <f>I2338-'Blocking-Step2'!I2338</f>
        <v>0</v>
      </c>
      <c r="AH2338" s="2136">
        <f>K2338-'Blocking-Step2'!K2338</f>
        <v>0</v>
      </c>
      <c r="AJ2338" s="2136">
        <f>M2338-'Blocking-Step2'!M2338</f>
        <v>0</v>
      </c>
      <c r="AL2338" s="2136">
        <f>O2338-'Blocking-Step2'!O2338</f>
        <v>0</v>
      </c>
      <c r="AN2338" s="2137">
        <f>Q2338-'Blocking-Step2'!Q2338</f>
        <v>0</v>
      </c>
      <c r="AP2338" s="2127">
        <f>S2338-'Blocking-Step2'!S2338</f>
        <v>0</v>
      </c>
      <c r="AR2338" s="2127">
        <f>U2338-'Blocking-Step2'!U2338</f>
        <v>0</v>
      </c>
      <c r="AT2338" s="2127">
        <f>W2338-'Blocking-Step2'!W2338</f>
        <v>0</v>
      </c>
      <c r="AV2338" s="2128">
        <f>Y2338-'Blocking-Step2'!Y2338</f>
        <v>0</v>
      </c>
    </row>
    <row r="2339" spans="1:48" ht="16.5" hidden="1" thickTop="1">
      <c r="A2339" s="1116" t="s">
        <v>1668</v>
      </c>
      <c r="B2339" s="1116"/>
      <c r="C2339" s="1105"/>
      <c r="D2339" s="1105"/>
      <c r="F2339" s="1139"/>
      <c r="G2339" s="1111"/>
      <c r="H2339" s="1146"/>
      <c r="I2339" s="1146"/>
      <c r="K2339" s="1139">
        <v>0</v>
      </c>
      <c r="L2339" s="1111"/>
      <c r="M2339" s="1139">
        <v>0.91</v>
      </c>
      <c r="N2339" s="1111"/>
      <c r="O2339" s="1139">
        <v>0</v>
      </c>
      <c r="P2339" s="1111"/>
      <c r="Q2339" s="1139">
        <v>0.91</v>
      </c>
      <c r="R2339" s="1111"/>
      <c r="S2339" s="1146">
        <v>0</v>
      </c>
      <c r="T2339" s="1629"/>
      <c r="U2339" s="1146">
        <v>0</v>
      </c>
      <c r="V2339" s="1629"/>
      <c r="W2339" s="1146">
        <v>0</v>
      </c>
      <c r="X2339" s="1629"/>
      <c r="Y2339" s="1146">
        <v>0</v>
      </c>
      <c r="Z2339" s="2114">
        <f>C2339-'Blocking-Step2'!C2339</f>
        <v>0</v>
      </c>
      <c r="AA2339" s="2114">
        <f>D2339-'Blocking-Step2'!D2339</f>
        <v>0</v>
      </c>
      <c r="AC2339" s="2114">
        <f>F2339-'Blocking-Step2'!F2339</f>
        <v>0</v>
      </c>
      <c r="AE2339" s="2114">
        <f>H2339-'Blocking-Step2'!H2339</f>
        <v>0</v>
      </c>
      <c r="AF2339" s="2114">
        <f>I2339-'Blocking-Step2'!I2339</f>
        <v>0</v>
      </c>
      <c r="AH2339" s="2136">
        <f>K2339-'Blocking-Step2'!K2339</f>
        <v>-0.42</v>
      </c>
      <c r="AJ2339" s="2136">
        <f>M2339-'Blocking-Step2'!M2339</f>
        <v>0.42</v>
      </c>
      <c r="AL2339" s="2136">
        <f>O2339-'Blocking-Step2'!O2339</f>
        <v>0</v>
      </c>
      <c r="AN2339" s="2137">
        <f>Q2339-'Blocking-Step2'!Q2339</f>
        <v>0</v>
      </c>
      <c r="AP2339" s="2127">
        <f>S2339-'Blocking-Step2'!S2339</f>
        <v>0</v>
      </c>
      <c r="AR2339" s="2127">
        <f>U2339-'Blocking-Step2'!U2339</f>
        <v>0</v>
      </c>
      <c r="AT2339" s="2127">
        <f>W2339-'Blocking-Step2'!W2339</f>
        <v>0</v>
      </c>
      <c r="AV2339" s="2128">
        <f>Y2339-'Blocking-Step2'!Y2339</f>
        <v>0</v>
      </c>
    </row>
    <row r="2340" spans="1:48" ht="16.5" hidden="1" thickTop="1">
      <c r="A2340" s="1116" t="s">
        <v>1669</v>
      </c>
      <c r="B2340" s="1116"/>
      <c r="C2340" s="1105"/>
      <c r="D2340" s="1105"/>
      <c r="F2340" s="1139"/>
      <c r="G2340" s="1111"/>
      <c r="H2340" s="1146"/>
      <c r="I2340" s="1146"/>
      <c r="K2340" s="1139">
        <v>0</v>
      </c>
      <c r="L2340" s="1111"/>
      <c r="M2340" s="1139">
        <v>0.81</v>
      </c>
      <c r="N2340" s="1111"/>
      <c r="O2340" s="1139">
        <v>0</v>
      </c>
      <c r="P2340" s="1111"/>
      <c r="Q2340" s="1139">
        <v>0.81</v>
      </c>
      <c r="R2340" s="1111"/>
      <c r="S2340" s="1146">
        <v>0</v>
      </c>
      <c r="T2340" s="1629"/>
      <c r="U2340" s="1146">
        <v>0</v>
      </c>
      <c r="V2340" s="1629"/>
      <c r="W2340" s="1146">
        <v>0</v>
      </c>
      <c r="X2340" s="1629"/>
      <c r="Y2340" s="1146">
        <v>0</v>
      </c>
      <c r="Z2340" s="2114">
        <f>C2340-'Blocking-Step2'!C2340</f>
        <v>0</v>
      </c>
      <c r="AA2340" s="2114">
        <f>D2340-'Blocking-Step2'!D2340</f>
        <v>0</v>
      </c>
      <c r="AC2340" s="2114">
        <f>F2340-'Blocking-Step2'!F2340</f>
        <v>0</v>
      </c>
      <c r="AE2340" s="2114">
        <f>H2340-'Blocking-Step2'!H2340</f>
        <v>0</v>
      </c>
      <c r="AF2340" s="2114">
        <f>I2340-'Blocking-Step2'!I2340</f>
        <v>0</v>
      </c>
      <c r="AH2340" s="2136">
        <f>K2340-'Blocking-Step2'!K2340</f>
        <v>-0.37</v>
      </c>
      <c r="AJ2340" s="2136">
        <f>M2340-'Blocking-Step2'!M2340</f>
        <v>0.37</v>
      </c>
      <c r="AL2340" s="2136">
        <f>O2340-'Blocking-Step2'!O2340</f>
        <v>0</v>
      </c>
      <c r="AN2340" s="2137">
        <f>Q2340-'Blocking-Step2'!Q2340</f>
        <v>0</v>
      </c>
      <c r="AP2340" s="2127">
        <f>S2340-'Blocking-Step2'!S2340</f>
        <v>0</v>
      </c>
      <c r="AR2340" s="2127">
        <f>U2340-'Blocking-Step2'!U2340</f>
        <v>0</v>
      </c>
      <c r="AT2340" s="2127">
        <f>W2340-'Blocking-Step2'!W2340</f>
        <v>0</v>
      </c>
      <c r="AV2340" s="2128">
        <f>Y2340-'Blocking-Step2'!Y2340</f>
        <v>0</v>
      </c>
    </row>
    <row r="2341" spans="1:48" ht="16.5" hidden="1" thickTop="1">
      <c r="A2341" s="1116" t="s">
        <v>316</v>
      </c>
      <c r="B2341" s="1116"/>
      <c r="C2341" s="1105"/>
      <c r="D2341" s="1105"/>
      <c r="F2341" s="1140"/>
      <c r="G2341" s="1112"/>
      <c r="H2341" s="1146"/>
      <c r="I2341" s="1146"/>
      <c r="K2341" s="1140"/>
      <c r="L2341" s="1112"/>
      <c r="M2341" s="1140"/>
      <c r="N2341" s="1112"/>
      <c r="O2341" s="1140"/>
      <c r="P2341" s="1112"/>
      <c r="Q2341" s="1140"/>
      <c r="R2341" s="1112"/>
      <c r="S2341" s="1146"/>
      <c r="T2341" s="1114"/>
      <c r="U2341" s="1146"/>
      <c r="V2341" s="1114"/>
      <c r="W2341" s="1146"/>
      <c r="X2341" s="1114"/>
      <c r="Y2341" s="1146"/>
      <c r="Z2341" s="2114">
        <f>C2341-'Blocking-Step2'!C2341</f>
        <v>0</v>
      </c>
      <c r="AA2341" s="2114">
        <f>D2341-'Blocking-Step2'!D2341</f>
        <v>0</v>
      </c>
      <c r="AC2341" s="2114">
        <f>F2341-'Blocking-Step2'!F2341</f>
        <v>0</v>
      </c>
      <c r="AE2341" s="2114">
        <f>H2341-'Blocking-Step2'!H2341</f>
        <v>0</v>
      </c>
      <c r="AF2341" s="2114">
        <f>I2341-'Blocking-Step2'!I2341</f>
        <v>0</v>
      </c>
      <c r="AH2341" s="2136">
        <f>K2341-'Blocking-Step2'!K2341</f>
        <v>0</v>
      </c>
      <c r="AJ2341" s="2136">
        <f>M2341-'Blocking-Step2'!M2341</f>
        <v>0</v>
      </c>
      <c r="AL2341" s="2136">
        <f>O2341-'Blocking-Step2'!O2341</f>
        <v>0</v>
      </c>
      <c r="AN2341" s="2137">
        <f>Q2341-'Blocking-Step2'!Q2341</f>
        <v>0</v>
      </c>
      <c r="AP2341" s="2127">
        <f>S2341-'Blocking-Step2'!S2341</f>
        <v>0</v>
      </c>
      <c r="AR2341" s="2127">
        <f>U2341-'Blocking-Step2'!U2341</f>
        <v>0</v>
      </c>
      <c r="AT2341" s="2127">
        <f>W2341-'Blocking-Step2'!W2341</f>
        <v>0</v>
      </c>
      <c r="AV2341" s="2128">
        <f>Y2341-'Blocking-Step2'!Y2341</f>
        <v>0</v>
      </c>
    </row>
    <row r="2342" spans="1:48" ht="16.5" hidden="1" thickTop="1">
      <c r="A2342" s="1116" t="s">
        <v>1668</v>
      </c>
      <c r="B2342" s="1116"/>
      <c r="C2342" s="1105"/>
      <c r="D2342" s="1105"/>
      <c r="F2342" s="1140"/>
      <c r="G2342" s="1112"/>
      <c r="H2342" s="1146"/>
      <c r="I2342" s="1146"/>
      <c r="K2342" s="1140">
        <v>0</v>
      </c>
      <c r="L2342" s="1112"/>
      <c r="M2342" s="1140">
        <v>0.46</v>
      </c>
      <c r="N2342" s="1112"/>
      <c r="O2342" s="1140">
        <v>0</v>
      </c>
      <c r="P2342" s="1112"/>
      <c r="Q2342" s="1140">
        <v>0.46</v>
      </c>
      <c r="R2342" s="1112"/>
      <c r="S2342" s="1146">
        <v>0</v>
      </c>
      <c r="T2342" s="1114"/>
      <c r="U2342" s="1146">
        <v>0</v>
      </c>
      <c r="V2342" s="1114"/>
      <c r="W2342" s="1146">
        <v>0</v>
      </c>
      <c r="X2342" s="1114"/>
      <c r="Y2342" s="1146">
        <v>0</v>
      </c>
      <c r="Z2342" s="2114">
        <f>C2342-'Blocking-Step2'!C2342</f>
        <v>0</v>
      </c>
      <c r="AA2342" s="2114">
        <f>D2342-'Blocking-Step2'!D2342</f>
        <v>0</v>
      </c>
      <c r="AC2342" s="2114">
        <f>F2342-'Blocking-Step2'!F2342</f>
        <v>0</v>
      </c>
      <c r="AE2342" s="2114">
        <f>H2342-'Blocking-Step2'!H2342</f>
        <v>0</v>
      </c>
      <c r="AF2342" s="2114">
        <f>I2342-'Blocking-Step2'!I2342</f>
        <v>0</v>
      </c>
      <c r="AH2342" s="2136">
        <f>K2342-'Blocking-Step2'!K2342</f>
        <v>-0.21</v>
      </c>
      <c r="AJ2342" s="2136">
        <f>M2342-'Blocking-Step2'!M2342</f>
        <v>0.21000000000000002</v>
      </c>
      <c r="AL2342" s="2136">
        <f>O2342-'Blocking-Step2'!O2342</f>
        <v>0</v>
      </c>
      <c r="AN2342" s="2137">
        <f>Q2342-'Blocking-Step2'!Q2342</f>
        <v>0</v>
      </c>
      <c r="AP2342" s="2127">
        <f>S2342-'Blocking-Step2'!S2342</f>
        <v>0</v>
      </c>
      <c r="AR2342" s="2127">
        <f>U2342-'Blocking-Step2'!U2342</f>
        <v>0</v>
      </c>
      <c r="AT2342" s="2127">
        <f>W2342-'Blocking-Step2'!W2342</f>
        <v>0</v>
      </c>
      <c r="AV2342" s="2128">
        <f>Y2342-'Blocking-Step2'!Y2342</f>
        <v>0</v>
      </c>
    </row>
    <row r="2343" spans="1:48" ht="16.5" hidden="1" thickTop="1">
      <c r="A2343" s="1116" t="s">
        <v>1669</v>
      </c>
      <c r="B2343" s="1116"/>
      <c r="C2343" s="1105"/>
      <c r="D2343" s="1105"/>
      <c r="F2343" s="1140"/>
      <c r="G2343" s="1112"/>
      <c r="H2343" s="1146"/>
      <c r="I2343" s="1146"/>
      <c r="K2343" s="1140">
        <v>0</v>
      </c>
      <c r="L2343" s="1112"/>
      <c r="M2343" s="1140">
        <v>0.41</v>
      </c>
      <c r="N2343" s="1112"/>
      <c r="O2343" s="1140">
        <v>0</v>
      </c>
      <c r="P2343" s="1112"/>
      <c r="Q2343" s="1140">
        <v>0.41</v>
      </c>
      <c r="R2343" s="1112"/>
      <c r="S2343" s="1146">
        <v>0</v>
      </c>
      <c r="T2343" s="1114"/>
      <c r="U2343" s="1146">
        <v>0</v>
      </c>
      <c r="V2343" s="1114"/>
      <c r="W2343" s="1146">
        <v>0</v>
      </c>
      <c r="X2343" s="1114"/>
      <c r="Y2343" s="1146">
        <v>0</v>
      </c>
      <c r="Z2343" s="2114">
        <f>C2343-'Blocking-Step2'!C2343</f>
        <v>0</v>
      </c>
      <c r="AA2343" s="2114">
        <f>D2343-'Blocking-Step2'!D2343</f>
        <v>0</v>
      </c>
      <c r="AC2343" s="2114">
        <f>F2343-'Blocking-Step2'!F2343</f>
        <v>0</v>
      </c>
      <c r="AE2343" s="2114">
        <f>H2343-'Blocking-Step2'!H2343</f>
        <v>0</v>
      </c>
      <c r="AF2343" s="2114">
        <f>I2343-'Blocking-Step2'!I2343</f>
        <v>0</v>
      </c>
      <c r="AH2343" s="2136">
        <f>K2343-'Blocking-Step2'!K2343</f>
        <v>-0.19</v>
      </c>
      <c r="AJ2343" s="2136">
        <f>M2343-'Blocking-Step2'!M2343</f>
        <v>0.19</v>
      </c>
      <c r="AL2343" s="2136">
        <f>O2343-'Blocking-Step2'!O2343</f>
        <v>0</v>
      </c>
      <c r="AN2343" s="2137">
        <f>Q2343-'Blocking-Step2'!Q2343</f>
        <v>0</v>
      </c>
      <c r="AP2343" s="2127">
        <f>S2343-'Blocking-Step2'!S2343</f>
        <v>0</v>
      </c>
      <c r="AR2343" s="2127">
        <f>U2343-'Blocking-Step2'!U2343</f>
        <v>0</v>
      </c>
      <c r="AT2343" s="2127">
        <f>W2343-'Blocking-Step2'!W2343</f>
        <v>0</v>
      </c>
      <c r="AV2343" s="2128">
        <f>Y2343-'Blocking-Step2'!Y2343</f>
        <v>0</v>
      </c>
    </row>
    <row r="2344" spans="1:48" ht="16.5" hidden="1" thickTop="1">
      <c r="A2344" s="1116" t="s">
        <v>317</v>
      </c>
      <c r="B2344" s="1116"/>
      <c r="C2344" s="1105"/>
      <c r="D2344" s="1105"/>
      <c r="F2344" s="1139"/>
      <c r="G2344" s="1110"/>
      <c r="H2344" s="1146"/>
      <c r="I2344" s="1146"/>
      <c r="K2344" s="1139"/>
      <c r="L2344" s="1110"/>
      <c r="M2344" s="1139"/>
      <c r="N2344" s="1110"/>
      <c r="O2344" s="1139"/>
      <c r="P2344" s="1110"/>
      <c r="Q2344" s="1139"/>
      <c r="R2344" s="1110"/>
      <c r="S2344" s="1146"/>
      <c r="T2344" s="1629"/>
      <c r="U2344" s="1146"/>
      <c r="V2344" s="1629"/>
      <c r="W2344" s="1146"/>
      <c r="X2344" s="1629"/>
      <c r="Y2344" s="1146"/>
      <c r="Z2344" s="2114">
        <f>C2344-'Blocking-Step2'!C2344</f>
        <v>0</v>
      </c>
      <c r="AA2344" s="2114">
        <f>D2344-'Blocking-Step2'!D2344</f>
        <v>0</v>
      </c>
      <c r="AC2344" s="2114">
        <f>F2344-'Blocking-Step2'!F2344</f>
        <v>0</v>
      </c>
      <c r="AE2344" s="2114">
        <f>H2344-'Blocking-Step2'!H2344</f>
        <v>0</v>
      </c>
      <c r="AF2344" s="2114">
        <f>I2344-'Blocking-Step2'!I2344</f>
        <v>0</v>
      </c>
      <c r="AH2344" s="2136">
        <f>K2344-'Blocking-Step2'!K2344</f>
        <v>0</v>
      </c>
      <c r="AJ2344" s="2136">
        <f>M2344-'Blocking-Step2'!M2344</f>
        <v>0</v>
      </c>
      <c r="AL2344" s="2136">
        <f>O2344-'Blocking-Step2'!O2344</f>
        <v>0</v>
      </c>
      <c r="AN2344" s="2137">
        <f>Q2344-'Blocking-Step2'!Q2344</f>
        <v>0</v>
      </c>
      <c r="AP2344" s="2127">
        <f>S2344-'Blocking-Step2'!S2344</f>
        <v>0</v>
      </c>
      <c r="AR2344" s="2127">
        <f>U2344-'Blocking-Step2'!U2344</f>
        <v>0</v>
      </c>
      <c r="AT2344" s="2127">
        <f>W2344-'Blocking-Step2'!W2344</f>
        <v>0</v>
      </c>
      <c r="AV2344" s="2128">
        <f>Y2344-'Blocking-Step2'!Y2344</f>
        <v>0</v>
      </c>
    </row>
    <row r="2345" spans="1:48" ht="16.5" hidden="1" thickTop="1">
      <c r="A2345" s="1116" t="s">
        <v>1668</v>
      </c>
      <c r="B2345" s="1116"/>
      <c r="C2345" s="1105"/>
      <c r="D2345" s="1105"/>
      <c r="F2345" s="1139"/>
      <c r="G2345" s="1110"/>
      <c r="H2345" s="1146"/>
      <c r="I2345" s="1146"/>
      <c r="K2345" s="1139">
        <v>0</v>
      </c>
      <c r="L2345" s="1110"/>
      <c r="M2345" s="1139">
        <v>42.33</v>
      </c>
      <c r="N2345" s="1110"/>
      <c r="O2345" s="1139">
        <v>0</v>
      </c>
      <c r="P2345" s="1110"/>
      <c r="Q2345" s="1139">
        <v>42.33</v>
      </c>
      <c r="R2345" s="1110"/>
      <c r="S2345" s="1146">
        <v>0</v>
      </c>
      <c r="T2345" s="1629"/>
      <c r="U2345" s="1146">
        <v>0</v>
      </c>
      <c r="V2345" s="1629"/>
      <c r="W2345" s="1146">
        <v>0</v>
      </c>
      <c r="X2345" s="1629"/>
      <c r="Y2345" s="1146">
        <v>0</v>
      </c>
      <c r="Z2345" s="2114">
        <f>C2345-'Blocking-Step2'!C2345</f>
        <v>0</v>
      </c>
      <c r="AA2345" s="2114">
        <f>D2345-'Blocking-Step2'!D2345</f>
        <v>0</v>
      </c>
      <c r="AC2345" s="2114">
        <f>F2345-'Blocking-Step2'!F2345</f>
        <v>0</v>
      </c>
      <c r="AE2345" s="2114">
        <f>H2345-'Blocking-Step2'!H2345</f>
        <v>0</v>
      </c>
      <c r="AF2345" s="2114">
        <f>I2345-'Blocking-Step2'!I2345</f>
        <v>0</v>
      </c>
      <c r="AH2345" s="2136">
        <f>K2345-'Blocking-Step2'!K2345</f>
        <v>-19.54</v>
      </c>
      <c r="AJ2345" s="2136">
        <f>M2345-'Blocking-Step2'!M2345</f>
        <v>19.54</v>
      </c>
      <c r="AL2345" s="2136">
        <f>O2345-'Blocking-Step2'!O2345</f>
        <v>0</v>
      </c>
      <c r="AN2345" s="2137">
        <f>Q2345-'Blocking-Step2'!Q2345</f>
        <v>0</v>
      </c>
      <c r="AP2345" s="2127">
        <f>S2345-'Blocking-Step2'!S2345</f>
        <v>0</v>
      </c>
      <c r="AR2345" s="2127">
        <f>U2345-'Blocking-Step2'!U2345</f>
        <v>0</v>
      </c>
      <c r="AT2345" s="2127">
        <f>W2345-'Blocking-Step2'!W2345</f>
        <v>0</v>
      </c>
      <c r="AV2345" s="2128">
        <f>Y2345-'Blocking-Step2'!Y2345</f>
        <v>0</v>
      </c>
    </row>
    <row r="2346" spans="1:48" ht="16.5" hidden="1" thickTop="1">
      <c r="A2346" s="1116" t="s">
        <v>1669</v>
      </c>
      <c r="B2346" s="1116"/>
      <c r="C2346" s="1105"/>
      <c r="D2346" s="1105"/>
      <c r="F2346" s="1139"/>
      <c r="G2346" s="1110"/>
      <c r="H2346" s="1146"/>
      <c r="I2346" s="1146"/>
      <c r="K2346" s="1139">
        <v>0</v>
      </c>
      <c r="L2346" s="1110"/>
      <c r="M2346" s="1139">
        <v>37.46</v>
      </c>
      <c r="N2346" s="1110"/>
      <c r="O2346" s="1139">
        <v>0</v>
      </c>
      <c r="P2346" s="1110"/>
      <c r="Q2346" s="1139">
        <v>37.46</v>
      </c>
      <c r="R2346" s="1110"/>
      <c r="S2346" s="1146">
        <v>0</v>
      </c>
      <c r="T2346" s="1629"/>
      <c r="U2346" s="1146">
        <v>0</v>
      </c>
      <c r="V2346" s="1629"/>
      <c r="W2346" s="1146">
        <v>0</v>
      </c>
      <c r="X2346" s="1629"/>
      <c r="Y2346" s="1146">
        <v>0</v>
      </c>
      <c r="Z2346" s="2114">
        <f>C2346-'Blocking-Step2'!C2346</f>
        <v>0</v>
      </c>
      <c r="AA2346" s="2114">
        <f>D2346-'Blocking-Step2'!D2346</f>
        <v>0</v>
      </c>
      <c r="AC2346" s="2114">
        <f>F2346-'Blocking-Step2'!F2346</f>
        <v>0</v>
      </c>
      <c r="AE2346" s="2114">
        <f>H2346-'Blocking-Step2'!H2346</f>
        <v>0</v>
      </c>
      <c r="AF2346" s="2114">
        <f>I2346-'Blocking-Step2'!I2346</f>
        <v>0</v>
      </c>
      <c r="AH2346" s="2136">
        <f>K2346-'Blocking-Step2'!K2346</f>
        <v>-17.11</v>
      </c>
      <c r="AJ2346" s="2136">
        <f>M2346-'Blocking-Step2'!M2346</f>
        <v>17.11</v>
      </c>
      <c r="AL2346" s="2136">
        <f>O2346-'Blocking-Step2'!O2346</f>
        <v>0</v>
      </c>
      <c r="AN2346" s="2137">
        <f>Q2346-'Blocking-Step2'!Q2346</f>
        <v>0</v>
      </c>
      <c r="AP2346" s="2127">
        <f>S2346-'Blocking-Step2'!S2346</f>
        <v>0</v>
      </c>
      <c r="AR2346" s="2127">
        <f>U2346-'Blocking-Step2'!U2346</f>
        <v>0</v>
      </c>
      <c r="AT2346" s="2127">
        <f>W2346-'Blocking-Step2'!W2346</f>
        <v>0</v>
      </c>
      <c r="AV2346" s="2128">
        <f>Y2346-'Blocking-Step2'!Y2346</f>
        <v>0</v>
      </c>
    </row>
    <row r="2347" spans="1:48" ht="16.5" hidden="1" thickTop="1">
      <c r="A2347" s="1116" t="s">
        <v>315</v>
      </c>
      <c r="B2347" s="1116"/>
      <c r="C2347" s="1105"/>
      <c r="D2347" s="1105"/>
      <c r="F2347" s="1139"/>
      <c r="G2347" s="1111"/>
      <c r="H2347" s="1146"/>
      <c r="I2347" s="1146"/>
      <c r="K2347" s="1139"/>
      <c r="L2347" s="1111"/>
      <c r="M2347" s="1139"/>
      <c r="N2347" s="1111"/>
      <c r="O2347" s="1139"/>
      <c r="P2347" s="1111"/>
      <c r="Q2347" s="1139"/>
      <c r="R2347" s="1111"/>
      <c r="S2347" s="1146"/>
      <c r="T2347" s="1629"/>
      <c r="U2347" s="1146"/>
      <c r="V2347" s="1629"/>
      <c r="W2347" s="1146"/>
      <c r="X2347" s="1629"/>
      <c r="Y2347" s="1146"/>
      <c r="Z2347" s="2114">
        <f>C2347-'Blocking-Step2'!C2347</f>
        <v>0</v>
      </c>
      <c r="AA2347" s="2114">
        <f>D2347-'Blocking-Step2'!D2347</f>
        <v>0</v>
      </c>
      <c r="AC2347" s="2114">
        <f>F2347-'Blocking-Step2'!F2347</f>
        <v>0</v>
      </c>
      <c r="AE2347" s="2114">
        <f>H2347-'Blocking-Step2'!H2347</f>
        <v>0</v>
      </c>
      <c r="AF2347" s="2114">
        <f>I2347-'Blocking-Step2'!I2347</f>
        <v>0</v>
      </c>
      <c r="AH2347" s="2136">
        <f>K2347-'Blocking-Step2'!K2347</f>
        <v>0</v>
      </c>
      <c r="AJ2347" s="2136">
        <f>M2347-'Blocking-Step2'!M2347</f>
        <v>0</v>
      </c>
      <c r="AL2347" s="2136">
        <f>O2347-'Blocking-Step2'!O2347</f>
        <v>0</v>
      </c>
      <c r="AN2347" s="2137">
        <f>Q2347-'Blocking-Step2'!Q2347</f>
        <v>0</v>
      </c>
      <c r="AP2347" s="2127">
        <f>S2347-'Blocking-Step2'!S2347</f>
        <v>0</v>
      </c>
      <c r="AR2347" s="2127">
        <f>U2347-'Blocking-Step2'!U2347</f>
        <v>0</v>
      </c>
      <c r="AT2347" s="2127">
        <f>W2347-'Blocking-Step2'!W2347</f>
        <v>0</v>
      </c>
      <c r="AV2347" s="2128">
        <f>Y2347-'Blocking-Step2'!Y2347</f>
        <v>0</v>
      </c>
    </row>
    <row r="2348" spans="1:48" ht="16.5" hidden="1" thickTop="1">
      <c r="A2348" s="1116" t="s">
        <v>944</v>
      </c>
      <c r="B2348" s="1116"/>
      <c r="C2348" s="1105"/>
      <c r="D2348" s="1105"/>
      <c r="F2348" s="1139">
        <v>0.88</v>
      </c>
      <c r="G2348" s="1111"/>
      <c r="H2348" s="1146">
        <v>0</v>
      </c>
      <c r="I2348" s="1146">
        <v>0</v>
      </c>
      <c r="K2348" s="1139"/>
      <c r="L2348" s="1111"/>
      <c r="M2348" s="1139"/>
      <c r="N2348" s="1111"/>
      <c r="O2348" s="1139"/>
      <c r="P2348" s="1111"/>
      <c r="Q2348" s="1139"/>
      <c r="R2348" s="1111"/>
      <c r="S2348" s="1146"/>
      <c r="T2348" s="1629"/>
      <c r="U2348" s="1146"/>
      <c r="V2348" s="1629"/>
      <c r="W2348" s="1146"/>
      <c r="X2348" s="1629"/>
      <c r="Y2348" s="1146"/>
      <c r="Z2348" s="2114">
        <f>C2348-'Blocking-Step2'!C2348</f>
        <v>0</v>
      </c>
      <c r="AA2348" s="2114">
        <f>D2348-'Blocking-Step2'!D2348</f>
        <v>0</v>
      </c>
      <c r="AC2348" s="2114">
        <f>F2348-'Blocking-Step2'!F2348</f>
        <v>0</v>
      </c>
      <c r="AE2348" s="2114">
        <f>H2348-'Blocking-Step2'!H2348</f>
        <v>0</v>
      </c>
      <c r="AF2348" s="2114">
        <f>I2348-'Blocking-Step2'!I2348</f>
        <v>0</v>
      </c>
      <c r="AH2348" s="2136">
        <f>K2348-'Blocking-Step2'!K2348</f>
        <v>0</v>
      </c>
      <c r="AJ2348" s="2136">
        <f>M2348-'Blocking-Step2'!M2348</f>
        <v>0</v>
      </c>
      <c r="AL2348" s="2136">
        <f>O2348-'Blocking-Step2'!O2348</f>
        <v>0</v>
      </c>
      <c r="AN2348" s="2137">
        <f>Q2348-'Blocking-Step2'!Q2348</f>
        <v>0</v>
      </c>
      <c r="AP2348" s="2127">
        <f>S2348-'Blocking-Step2'!S2348</f>
        <v>0</v>
      </c>
      <c r="AR2348" s="2127">
        <f>U2348-'Blocking-Step2'!U2348</f>
        <v>0</v>
      </c>
      <c r="AT2348" s="2127">
        <f>W2348-'Blocking-Step2'!W2348</f>
        <v>0</v>
      </c>
      <c r="AV2348" s="2128">
        <f>Y2348-'Blocking-Step2'!Y2348</f>
        <v>0</v>
      </c>
    </row>
    <row r="2349" spans="1:48" ht="16.5" hidden="1" thickTop="1">
      <c r="A2349" s="1116" t="s">
        <v>945</v>
      </c>
      <c r="B2349" s="1116"/>
      <c r="C2349" s="1105"/>
      <c r="D2349" s="1105"/>
      <c r="F2349" s="1139">
        <v>0.62</v>
      </c>
      <c r="G2349" s="1111"/>
      <c r="H2349" s="1146">
        <v>0</v>
      </c>
      <c r="I2349" s="1146">
        <v>0</v>
      </c>
      <c r="K2349" s="1139"/>
      <c r="L2349" s="1111"/>
      <c r="M2349" s="1139"/>
      <c r="N2349" s="1111"/>
      <c r="O2349" s="1139"/>
      <c r="P2349" s="1111"/>
      <c r="Q2349" s="1139"/>
      <c r="R2349" s="1111"/>
      <c r="S2349" s="1146"/>
      <c r="T2349" s="1629"/>
      <c r="U2349" s="1146"/>
      <c r="V2349" s="1629"/>
      <c r="W2349" s="1146"/>
      <c r="X2349" s="1629"/>
      <c r="Y2349" s="1146"/>
      <c r="Z2349" s="2114">
        <f>C2349-'Blocking-Step2'!C2349</f>
        <v>0</v>
      </c>
      <c r="AA2349" s="2114">
        <f>D2349-'Blocking-Step2'!D2349</f>
        <v>0</v>
      </c>
      <c r="AC2349" s="2114">
        <f>F2349-'Blocking-Step2'!F2349</f>
        <v>0</v>
      </c>
      <c r="AE2349" s="2114">
        <f>H2349-'Blocking-Step2'!H2349</f>
        <v>0</v>
      </c>
      <c r="AF2349" s="2114">
        <f>I2349-'Blocking-Step2'!I2349</f>
        <v>0</v>
      </c>
      <c r="AH2349" s="2136">
        <f>K2349-'Blocking-Step2'!K2349</f>
        <v>0</v>
      </c>
      <c r="AJ2349" s="2136">
        <f>M2349-'Blocking-Step2'!M2349</f>
        <v>0</v>
      </c>
      <c r="AL2349" s="2136">
        <f>O2349-'Blocking-Step2'!O2349</f>
        <v>0</v>
      </c>
      <c r="AN2349" s="2137">
        <f>Q2349-'Blocking-Step2'!Q2349</f>
        <v>0</v>
      </c>
      <c r="AP2349" s="2127">
        <f>S2349-'Blocking-Step2'!S2349</f>
        <v>0</v>
      </c>
      <c r="AR2349" s="2127">
        <f>U2349-'Blocking-Step2'!U2349</f>
        <v>0</v>
      </c>
      <c r="AT2349" s="2127">
        <f>W2349-'Blocking-Step2'!W2349</f>
        <v>0</v>
      </c>
      <c r="AV2349" s="2128">
        <f>Y2349-'Blocking-Step2'!Y2349</f>
        <v>0</v>
      </c>
    </row>
    <row r="2350" spans="1:48" ht="16.5" hidden="1" thickTop="1">
      <c r="A2350" s="1116" t="s">
        <v>316</v>
      </c>
      <c r="B2350" s="1116"/>
      <c r="C2350" s="1105"/>
      <c r="D2350" s="1105"/>
      <c r="F2350" s="1140"/>
      <c r="G2350" s="1112"/>
      <c r="H2350" s="1146"/>
      <c r="I2350" s="1146"/>
      <c r="K2350" s="1140"/>
      <c r="L2350" s="1112"/>
      <c r="M2350" s="1140"/>
      <c r="N2350" s="1112"/>
      <c r="O2350" s="1140"/>
      <c r="P2350" s="1112"/>
      <c r="Q2350" s="1140"/>
      <c r="R2350" s="1112"/>
      <c r="S2350" s="1146"/>
      <c r="T2350" s="1114"/>
      <c r="U2350" s="1146"/>
      <c r="V2350" s="1114"/>
      <c r="W2350" s="1146"/>
      <c r="X2350" s="1114"/>
      <c r="Y2350" s="1146"/>
      <c r="Z2350" s="2114">
        <f>C2350-'Blocking-Step2'!C2350</f>
        <v>0</v>
      </c>
      <c r="AA2350" s="2114">
        <f>D2350-'Blocking-Step2'!D2350</f>
        <v>0</v>
      </c>
      <c r="AC2350" s="2114">
        <f>F2350-'Blocking-Step2'!F2350</f>
        <v>0</v>
      </c>
      <c r="AE2350" s="2114">
        <f>H2350-'Blocking-Step2'!H2350</f>
        <v>0</v>
      </c>
      <c r="AF2350" s="2114">
        <f>I2350-'Blocking-Step2'!I2350</f>
        <v>0</v>
      </c>
      <c r="AH2350" s="2136">
        <f>K2350-'Blocking-Step2'!K2350</f>
        <v>0</v>
      </c>
      <c r="AJ2350" s="2136">
        <f>M2350-'Blocking-Step2'!M2350</f>
        <v>0</v>
      </c>
      <c r="AL2350" s="2136">
        <f>O2350-'Blocking-Step2'!O2350</f>
        <v>0</v>
      </c>
      <c r="AN2350" s="2137">
        <f>Q2350-'Blocking-Step2'!Q2350</f>
        <v>0</v>
      </c>
      <c r="AP2350" s="2127">
        <f>S2350-'Blocking-Step2'!S2350</f>
        <v>0</v>
      </c>
      <c r="AR2350" s="2127">
        <f>U2350-'Blocking-Step2'!U2350</f>
        <v>0</v>
      </c>
      <c r="AT2350" s="2127">
        <f>W2350-'Blocking-Step2'!W2350</f>
        <v>0</v>
      </c>
      <c r="AV2350" s="2128">
        <f>Y2350-'Blocking-Step2'!Y2350</f>
        <v>0</v>
      </c>
    </row>
    <row r="2351" spans="1:48" ht="16.5" hidden="1" thickTop="1">
      <c r="A2351" s="1116" t="s">
        <v>944</v>
      </c>
      <c r="B2351" s="1116"/>
      <c r="C2351" s="1105"/>
      <c r="D2351" s="1105"/>
      <c r="F2351" s="1140">
        <v>0.44</v>
      </c>
      <c r="G2351" s="1112"/>
      <c r="H2351" s="1146">
        <v>0</v>
      </c>
      <c r="I2351" s="1146">
        <v>0</v>
      </c>
      <c r="K2351" s="1140"/>
      <c r="L2351" s="1112"/>
      <c r="M2351" s="1140"/>
      <c r="N2351" s="1112"/>
      <c r="O2351" s="1140"/>
      <c r="P2351" s="1112"/>
      <c r="Q2351" s="1140"/>
      <c r="R2351" s="1112"/>
      <c r="S2351" s="1146"/>
      <c r="T2351" s="1114"/>
      <c r="U2351" s="1146"/>
      <c r="V2351" s="1114"/>
      <c r="W2351" s="1146"/>
      <c r="X2351" s="1114"/>
      <c r="Y2351" s="1146"/>
      <c r="Z2351" s="2114">
        <f>C2351-'Blocking-Step2'!C2351</f>
        <v>0</v>
      </c>
      <c r="AA2351" s="2114">
        <f>D2351-'Blocking-Step2'!D2351</f>
        <v>0</v>
      </c>
      <c r="AC2351" s="2114">
        <f>F2351-'Blocking-Step2'!F2351</f>
        <v>0</v>
      </c>
      <c r="AE2351" s="2114">
        <f>H2351-'Blocking-Step2'!H2351</f>
        <v>0</v>
      </c>
      <c r="AF2351" s="2114">
        <f>I2351-'Blocking-Step2'!I2351</f>
        <v>0</v>
      </c>
      <c r="AH2351" s="2136">
        <f>K2351-'Blocking-Step2'!K2351</f>
        <v>0</v>
      </c>
      <c r="AJ2351" s="2136">
        <f>M2351-'Blocking-Step2'!M2351</f>
        <v>0</v>
      </c>
      <c r="AL2351" s="2136">
        <f>O2351-'Blocking-Step2'!O2351</f>
        <v>0</v>
      </c>
      <c r="AN2351" s="2137">
        <f>Q2351-'Blocking-Step2'!Q2351</f>
        <v>0</v>
      </c>
      <c r="AP2351" s="2127">
        <f>S2351-'Blocking-Step2'!S2351</f>
        <v>0</v>
      </c>
      <c r="AR2351" s="2127">
        <f>U2351-'Blocking-Step2'!U2351</f>
        <v>0</v>
      </c>
      <c r="AT2351" s="2127">
        <f>W2351-'Blocking-Step2'!W2351</f>
        <v>0</v>
      </c>
      <c r="AV2351" s="2128">
        <f>Y2351-'Blocking-Step2'!Y2351</f>
        <v>0</v>
      </c>
    </row>
    <row r="2352" spans="1:48" ht="16.5" hidden="1" thickTop="1">
      <c r="A2352" s="1116" t="s">
        <v>945</v>
      </c>
      <c r="B2352" s="1116"/>
      <c r="C2352" s="1105"/>
      <c r="D2352" s="1105"/>
      <c r="F2352" s="1140">
        <v>0.31</v>
      </c>
      <c r="G2352" s="1112"/>
      <c r="H2352" s="1146">
        <v>0</v>
      </c>
      <c r="I2352" s="1146">
        <v>0</v>
      </c>
      <c r="K2352" s="1140"/>
      <c r="L2352" s="1112"/>
      <c r="M2352" s="1140"/>
      <c r="N2352" s="1112"/>
      <c r="O2352" s="1140"/>
      <c r="P2352" s="1112"/>
      <c r="Q2352" s="1140"/>
      <c r="R2352" s="1112"/>
      <c r="S2352" s="1146"/>
      <c r="T2352" s="1114"/>
      <c r="U2352" s="1146"/>
      <c r="V2352" s="1114"/>
      <c r="W2352" s="1146"/>
      <c r="X2352" s="1114"/>
      <c r="Y2352" s="1146"/>
      <c r="Z2352" s="2114">
        <f>C2352-'Blocking-Step2'!C2352</f>
        <v>0</v>
      </c>
      <c r="AA2352" s="2114">
        <f>D2352-'Blocking-Step2'!D2352</f>
        <v>0</v>
      </c>
      <c r="AC2352" s="2114">
        <f>F2352-'Blocking-Step2'!F2352</f>
        <v>0</v>
      </c>
      <c r="AE2352" s="2114">
        <f>H2352-'Blocking-Step2'!H2352</f>
        <v>0</v>
      </c>
      <c r="AF2352" s="2114">
        <f>I2352-'Blocking-Step2'!I2352</f>
        <v>0</v>
      </c>
      <c r="AH2352" s="2136">
        <f>K2352-'Blocking-Step2'!K2352</f>
        <v>0</v>
      </c>
      <c r="AJ2352" s="2136">
        <f>M2352-'Blocking-Step2'!M2352</f>
        <v>0</v>
      </c>
      <c r="AL2352" s="2136">
        <f>O2352-'Blocking-Step2'!O2352</f>
        <v>0</v>
      </c>
      <c r="AN2352" s="2137">
        <f>Q2352-'Blocking-Step2'!Q2352</f>
        <v>0</v>
      </c>
      <c r="AP2352" s="2127">
        <f>S2352-'Blocking-Step2'!S2352</f>
        <v>0</v>
      </c>
      <c r="AR2352" s="2127">
        <f>U2352-'Blocking-Step2'!U2352</f>
        <v>0</v>
      </c>
      <c r="AT2352" s="2127">
        <f>W2352-'Blocking-Step2'!W2352</f>
        <v>0</v>
      </c>
      <c r="AV2352" s="2128">
        <f>Y2352-'Blocking-Step2'!Y2352</f>
        <v>0</v>
      </c>
    </row>
    <row r="2353" spans="1:48" ht="16.5" hidden="1" thickTop="1">
      <c r="A2353" s="1116" t="s">
        <v>317</v>
      </c>
      <c r="B2353" s="1116"/>
      <c r="C2353" s="1105"/>
      <c r="D2353" s="1105"/>
      <c r="F2353" s="1139"/>
      <c r="G2353" s="1110"/>
      <c r="H2353" s="1146"/>
      <c r="I2353" s="1146"/>
      <c r="K2353" s="1139"/>
      <c r="L2353" s="1110"/>
      <c r="M2353" s="1139"/>
      <c r="N2353" s="1110"/>
      <c r="O2353" s="1139"/>
      <c r="P2353" s="1110"/>
      <c r="Q2353" s="1139"/>
      <c r="R2353" s="1110"/>
      <c r="S2353" s="1146"/>
      <c r="T2353" s="1629"/>
      <c r="U2353" s="1146"/>
      <c r="V2353" s="1629"/>
      <c r="W2353" s="1146"/>
      <c r="X2353" s="1629"/>
      <c r="Y2353" s="1146"/>
      <c r="Z2353" s="2114">
        <f>C2353-'Blocking-Step2'!C2353</f>
        <v>0</v>
      </c>
      <c r="AA2353" s="2114">
        <f>D2353-'Blocking-Step2'!D2353</f>
        <v>0</v>
      </c>
      <c r="AC2353" s="2114">
        <f>F2353-'Blocking-Step2'!F2353</f>
        <v>0</v>
      </c>
      <c r="AE2353" s="2114">
        <f>H2353-'Blocking-Step2'!H2353</f>
        <v>0</v>
      </c>
      <c r="AF2353" s="2114">
        <f>I2353-'Blocking-Step2'!I2353</f>
        <v>0</v>
      </c>
      <c r="AH2353" s="2136">
        <f>K2353-'Blocking-Step2'!K2353</f>
        <v>0</v>
      </c>
      <c r="AJ2353" s="2136">
        <f>M2353-'Blocking-Step2'!M2353</f>
        <v>0</v>
      </c>
      <c r="AL2353" s="2136">
        <f>O2353-'Blocking-Step2'!O2353</f>
        <v>0</v>
      </c>
      <c r="AN2353" s="2137">
        <f>Q2353-'Blocking-Step2'!Q2353</f>
        <v>0</v>
      </c>
      <c r="AP2353" s="2127">
        <f>S2353-'Blocking-Step2'!S2353</f>
        <v>0</v>
      </c>
      <c r="AR2353" s="2127">
        <f>U2353-'Blocking-Step2'!U2353</f>
        <v>0</v>
      </c>
      <c r="AT2353" s="2127">
        <f>W2353-'Blocking-Step2'!W2353</f>
        <v>0</v>
      </c>
      <c r="AV2353" s="2128">
        <f>Y2353-'Blocking-Step2'!Y2353</f>
        <v>0</v>
      </c>
    </row>
    <row r="2354" spans="1:48" ht="16.5" hidden="1" thickTop="1">
      <c r="A2354" s="1116" t="s">
        <v>944</v>
      </c>
      <c r="B2354" s="1116"/>
      <c r="C2354" s="1105"/>
      <c r="D2354" s="1105"/>
      <c r="F2354" s="1139">
        <v>40.81</v>
      </c>
      <c r="G2354" s="1110"/>
      <c r="H2354" s="1146">
        <v>0</v>
      </c>
      <c r="I2354" s="1146">
        <v>0</v>
      </c>
      <c r="K2354" s="1139"/>
      <c r="L2354" s="1110"/>
      <c r="M2354" s="1139"/>
      <c r="N2354" s="1110"/>
      <c r="O2354" s="1139"/>
      <c r="P2354" s="1110"/>
      <c r="Q2354" s="1139"/>
      <c r="R2354" s="1110"/>
      <c r="S2354" s="1146"/>
      <c r="T2354" s="1629"/>
      <c r="U2354" s="1146"/>
      <c r="V2354" s="1629"/>
      <c r="W2354" s="1146"/>
      <c r="X2354" s="1629"/>
      <c r="Y2354" s="1146"/>
      <c r="Z2354" s="2114">
        <f>C2354-'Blocking-Step2'!C2354</f>
        <v>0</v>
      </c>
      <c r="AA2354" s="2114">
        <f>D2354-'Blocking-Step2'!D2354</f>
        <v>0</v>
      </c>
      <c r="AC2354" s="2114">
        <f>F2354-'Blocking-Step2'!F2354</f>
        <v>0</v>
      </c>
      <c r="AE2354" s="2114">
        <f>H2354-'Blocking-Step2'!H2354</f>
        <v>0</v>
      </c>
      <c r="AF2354" s="2114">
        <f>I2354-'Blocking-Step2'!I2354</f>
        <v>0</v>
      </c>
      <c r="AH2354" s="2136">
        <f>K2354-'Blocking-Step2'!K2354</f>
        <v>0</v>
      </c>
      <c r="AJ2354" s="2136">
        <f>M2354-'Blocking-Step2'!M2354</f>
        <v>0</v>
      </c>
      <c r="AL2354" s="2136">
        <f>O2354-'Blocking-Step2'!O2354</f>
        <v>0</v>
      </c>
      <c r="AN2354" s="2137">
        <f>Q2354-'Blocking-Step2'!Q2354</f>
        <v>0</v>
      </c>
      <c r="AP2354" s="2127">
        <f>S2354-'Blocking-Step2'!S2354</f>
        <v>0</v>
      </c>
      <c r="AR2354" s="2127">
        <f>U2354-'Blocking-Step2'!U2354</f>
        <v>0</v>
      </c>
      <c r="AT2354" s="2127">
        <f>W2354-'Blocking-Step2'!W2354</f>
        <v>0</v>
      </c>
      <c r="AV2354" s="2128">
        <f>Y2354-'Blocking-Step2'!Y2354</f>
        <v>0</v>
      </c>
    </row>
    <row r="2355" spans="1:48" ht="16.5" hidden="1" thickTop="1">
      <c r="A2355" s="1116" t="s">
        <v>945</v>
      </c>
      <c r="B2355" s="1116"/>
      <c r="C2355" s="1105"/>
      <c r="D2355" s="1105"/>
      <c r="F2355" s="1139">
        <v>32.04</v>
      </c>
      <c r="G2355" s="1110"/>
      <c r="H2355" s="1146">
        <v>0</v>
      </c>
      <c r="I2355" s="1146">
        <v>0</v>
      </c>
      <c r="K2355" s="1139"/>
      <c r="L2355" s="1110"/>
      <c r="M2355" s="1139"/>
      <c r="N2355" s="1110"/>
      <c r="O2355" s="1139"/>
      <c r="P2355" s="1110"/>
      <c r="Q2355" s="1139"/>
      <c r="R2355" s="1110"/>
      <c r="S2355" s="1146"/>
      <c r="T2355" s="1629"/>
      <c r="U2355" s="1146"/>
      <c r="V2355" s="1629"/>
      <c r="W2355" s="1146"/>
      <c r="X2355" s="1629"/>
      <c r="Y2355" s="1146"/>
      <c r="Z2355" s="2114">
        <f>C2355-'Blocking-Step2'!C2355</f>
        <v>0</v>
      </c>
      <c r="AA2355" s="2114">
        <f>D2355-'Blocking-Step2'!D2355</f>
        <v>0</v>
      </c>
      <c r="AC2355" s="2114">
        <f>F2355-'Blocking-Step2'!F2355</f>
        <v>0</v>
      </c>
      <c r="AE2355" s="2114">
        <f>H2355-'Blocking-Step2'!H2355</f>
        <v>0</v>
      </c>
      <c r="AF2355" s="2114">
        <f>I2355-'Blocking-Step2'!I2355</f>
        <v>0</v>
      </c>
      <c r="AH2355" s="2136">
        <f>K2355-'Blocking-Step2'!K2355</f>
        <v>0</v>
      </c>
      <c r="AJ2355" s="2136">
        <f>M2355-'Blocking-Step2'!M2355</f>
        <v>0</v>
      </c>
      <c r="AL2355" s="2136">
        <f>O2355-'Blocking-Step2'!O2355</f>
        <v>0</v>
      </c>
      <c r="AN2355" s="2137">
        <f>Q2355-'Blocking-Step2'!Q2355</f>
        <v>0</v>
      </c>
      <c r="AP2355" s="2127">
        <f>S2355-'Blocking-Step2'!S2355</f>
        <v>0</v>
      </c>
      <c r="AR2355" s="2127">
        <f>U2355-'Blocking-Step2'!U2355</f>
        <v>0</v>
      </c>
      <c r="AT2355" s="2127">
        <f>W2355-'Blocking-Step2'!W2355</f>
        <v>0</v>
      </c>
      <c r="AV2355" s="2128">
        <f>Y2355-'Blocking-Step2'!Y2355</f>
        <v>0</v>
      </c>
    </row>
    <row r="2356" spans="1:48" ht="16.5" hidden="1" thickTop="1">
      <c r="A2356" s="2008" t="s">
        <v>183</v>
      </c>
      <c r="C2356" s="1105"/>
      <c r="D2356" s="1105"/>
      <c r="F2356" s="1141"/>
      <c r="K2356" s="1141"/>
      <c r="M2356" s="1141"/>
      <c r="O2356" s="1141"/>
      <c r="Q2356" s="1141"/>
      <c r="S2356" s="1627"/>
      <c r="U2356" s="1627"/>
      <c r="W2356" s="1627"/>
      <c r="Z2356" s="2114">
        <f>C2356-'Blocking-Step2'!C2356</f>
        <v>0</v>
      </c>
      <c r="AA2356" s="2114">
        <f>D2356-'Blocking-Step2'!D2356</f>
        <v>0</v>
      </c>
      <c r="AC2356" s="2114">
        <f>F2356-'Blocking-Step2'!F2356</f>
        <v>0</v>
      </c>
      <c r="AE2356" s="2114">
        <f>H2356-'Blocking-Step2'!H2356</f>
        <v>0</v>
      </c>
      <c r="AF2356" s="2114">
        <f>I2356-'Blocking-Step2'!I2356</f>
        <v>0</v>
      </c>
      <c r="AH2356" s="2136">
        <f>K2356-'Blocking-Step2'!K2356</f>
        <v>0</v>
      </c>
      <c r="AJ2356" s="2136">
        <f>M2356-'Blocking-Step2'!M2356</f>
        <v>0</v>
      </c>
      <c r="AL2356" s="2136">
        <f>O2356-'Blocking-Step2'!O2356</f>
        <v>0</v>
      </c>
      <c r="AN2356" s="2137">
        <f>Q2356-'Blocking-Step2'!Q2356</f>
        <v>0</v>
      </c>
      <c r="AP2356" s="2127">
        <f>S2356-'Blocking-Step2'!S2356</f>
        <v>0</v>
      </c>
      <c r="AR2356" s="2127">
        <f>U2356-'Blocking-Step2'!U2356</f>
        <v>0</v>
      </c>
      <c r="AT2356" s="2127">
        <f>W2356-'Blocking-Step2'!W2356</f>
        <v>0</v>
      </c>
      <c r="AV2356" s="2128">
        <f>Y2356-'Blocking-Step2'!Y2356</f>
        <v>0</v>
      </c>
    </row>
    <row r="2357" spans="1:48" ht="16.5" hidden="1" thickTop="1">
      <c r="A2357" s="1116" t="s">
        <v>312</v>
      </c>
      <c r="C2357" s="1105">
        <v>24</v>
      </c>
      <c r="D2357" s="1105">
        <v>25</v>
      </c>
      <c r="F2357" s="1139">
        <v>605</v>
      </c>
      <c r="G2357" s="1110"/>
      <c r="H2357" s="1146">
        <v>14520</v>
      </c>
      <c r="I2357" s="1146">
        <v>15125</v>
      </c>
      <c r="K2357" s="1139">
        <v>627</v>
      </c>
      <c r="L2357" s="1110"/>
      <c r="M2357" s="1139">
        <v>0</v>
      </c>
      <c r="N2357" s="1110"/>
      <c r="O2357" s="1139">
        <v>0</v>
      </c>
      <c r="P2357" s="1110"/>
      <c r="Q2357" s="1139">
        <v>627</v>
      </c>
      <c r="R2357" s="1110"/>
      <c r="S2357" s="1146">
        <v>15675</v>
      </c>
      <c r="T2357" s="1629"/>
      <c r="U2357" s="1146">
        <v>0</v>
      </c>
      <c r="V2357" s="1629"/>
      <c r="W2357" s="1146">
        <v>0</v>
      </c>
      <c r="X2357" s="1629"/>
      <c r="Y2357" s="1146">
        <v>15675</v>
      </c>
      <c r="Z2357" s="2114">
        <f>C2357-'Blocking-Step2'!C2357</f>
        <v>0</v>
      </c>
      <c r="AA2357" s="2114">
        <f>D2357-'Blocking-Step2'!D2357</f>
        <v>0</v>
      </c>
      <c r="AC2357" s="2114">
        <f>F2357-'Blocking-Step2'!F2357</f>
        <v>0</v>
      </c>
      <c r="AE2357" s="2114">
        <f>H2357-'Blocking-Step2'!H2357</f>
        <v>0</v>
      </c>
      <c r="AF2357" s="2114">
        <f>I2357-'Blocking-Step2'!I2357</f>
        <v>0</v>
      </c>
      <c r="AH2357" s="2136">
        <f>K2357-'Blocking-Step2'!K2357</f>
        <v>0</v>
      </c>
      <c r="AJ2357" s="2136">
        <f>M2357-'Blocking-Step2'!M2357</f>
        <v>0</v>
      </c>
      <c r="AL2357" s="2136">
        <f>O2357-'Blocking-Step2'!O2357</f>
        <v>0</v>
      </c>
      <c r="AN2357" s="2137">
        <f>Q2357-'Blocking-Step2'!Q2357</f>
        <v>0</v>
      </c>
      <c r="AP2357" s="2127">
        <f>S2357-'Blocking-Step2'!S2357</f>
        <v>0</v>
      </c>
      <c r="AR2357" s="2127">
        <f>U2357-'Blocking-Step2'!U2357</f>
        <v>0</v>
      </c>
      <c r="AT2357" s="2127">
        <f>W2357-'Blocking-Step2'!W2357</f>
        <v>0</v>
      </c>
      <c r="AV2357" s="2128">
        <f>Y2357-'Blocking-Step2'!Y2357</f>
        <v>0</v>
      </c>
    </row>
    <row r="2358" spans="1:48" ht="16.5" hidden="1" thickTop="1">
      <c r="A2358" s="1116" t="s">
        <v>313</v>
      </c>
      <c r="C2358" s="1105">
        <v>36600</v>
      </c>
      <c r="D2358" s="1105">
        <v>34929</v>
      </c>
      <c r="F2358" s="1139">
        <v>4.46</v>
      </c>
      <c r="G2358" s="1110"/>
      <c r="H2358" s="1146">
        <v>163236</v>
      </c>
      <c r="I2358" s="1146">
        <v>155783</v>
      </c>
      <c r="K2358" s="1139">
        <v>4.63</v>
      </c>
      <c r="L2358" s="1110"/>
      <c r="M2358" s="1139">
        <v>0</v>
      </c>
      <c r="N2358" s="1110"/>
      <c r="O2358" s="1139">
        <v>0</v>
      </c>
      <c r="P2358" s="1110"/>
      <c r="Q2358" s="1139">
        <v>4.63</v>
      </c>
      <c r="R2358" s="1110"/>
      <c r="S2358" s="1146">
        <v>161721</v>
      </c>
      <c r="T2358" s="1629"/>
      <c r="U2358" s="1146">
        <v>0</v>
      </c>
      <c r="V2358" s="1629"/>
      <c r="W2358" s="1146">
        <v>0</v>
      </c>
      <c r="X2358" s="1629"/>
      <c r="Y2358" s="1146">
        <v>161721</v>
      </c>
      <c r="Z2358" s="2114">
        <f>C2358-'Blocking-Step2'!C2358</f>
        <v>0</v>
      </c>
      <c r="AA2358" s="2114">
        <f>D2358-'Blocking-Step2'!D2358</f>
        <v>0</v>
      </c>
      <c r="AC2358" s="2114">
        <f>F2358-'Blocking-Step2'!F2358</f>
        <v>0</v>
      </c>
      <c r="AE2358" s="2114">
        <f>H2358-'Blocking-Step2'!H2358</f>
        <v>0</v>
      </c>
      <c r="AF2358" s="2114">
        <f>I2358-'Blocking-Step2'!I2358</f>
        <v>0</v>
      </c>
      <c r="AH2358" s="2136">
        <f>K2358-'Blocking-Step2'!K2358</f>
        <v>0</v>
      </c>
      <c r="AJ2358" s="2136">
        <f>M2358-'Blocking-Step2'!M2358</f>
        <v>0</v>
      </c>
      <c r="AL2358" s="2136">
        <f>O2358-'Blocking-Step2'!O2358</f>
        <v>0</v>
      </c>
      <c r="AN2358" s="2137">
        <f>Q2358-'Blocking-Step2'!Q2358</f>
        <v>0</v>
      </c>
      <c r="AP2358" s="2127">
        <f>S2358-'Blocking-Step2'!S2358</f>
        <v>0</v>
      </c>
      <c r="AR2358" s="2127">
        <f>U2358-'Blocking-Step2'!U2358</f>
        <v>0</v>
      </c>
      <c r="AT2358" s="2127">
        <f>W2358-'Blocking-Step2'!W2358</f>
        <v>0</v>
      </c>
      <c r="AV2358" s="2128">
        <f>Y2358-'Blocking-Step2'!Y2358</f>
        <v>0</v>
      </c>
    </row>
    <row r="2359" spans="1:48" ht="16.5" hidden="1" thickTop="1">
      <c r="A2359" s="1116" t="s">
        <v>314</v>
      </c>
      <c r="C2359" s="1105"/>
      <c r="D2359" s="1105"/>
      <c r="F2359" s="1139"/>
      <c r="G2359" s="1110"/>
      <c r="H2359" s="1146"/>
      <c r="I2359" s="1146"/>
      <c r="K2359" s="1139"/>
      <c r="L2359" s="1110"/>
      <c r="M2359" s="1139"/>
      <c r="N2359" s="1110"/>
      <c r="O2359" s="1139"/>
      <c r="P2359" s="1110"/>
      <c r="Q2359" s="1139"/>
      <c r="R2359" s="1110"/>
      <c r="S2359" s="1146"/>
      <c r="T2359" s="1629"/>
      <c r="U2359" s="1146"/>
      <c r="V2359" s="1629"/>
      <c r="W2359" s="1146"/>
      <c r="X2359" s="1629"/>
      <c r="Y2359" s="1146"/>
      <c r="Z2359" s="2114">
        <f>C2359-'Blocking-Step2'!C2359</f>
        <v>0</v>
      </c>
      <c r="AA2359" s="2114">
        <f>D2359-'Blocking-Step2'!D2359</f>
        <v>0</v>
      </c>
      <c r="AC2359" s="2114">
        <f>F2359-'Blocking-Step2'!F2359</f>
        <v>0</v>
      </c>
      <c r="AE2359" s="2114">
        <f>H2359-'Blocking-Step2'!H2359</f>
        <v>0</v>
      </c>
      <c r="AF2359" s="2114">
        <f>I2359-'Blocking-Step2'!I2359</f>
        <v>0</v>
      </c>
      <c r="AH2359" s="2136">
        <f>K2359-'Blocking-Step2'!K2359</f>
        <v>0</v>
      </c>
      <c r="AJ2359" s="2136">
        <f>M2359-'Blocking-Step2'!M2359</f>
        <v>0</v>
      </c>
      <c r="AL2359" s="2136">
        <f>O2359-'Blocking-Step2'!O2359</f>
        <v>0</v>
      </c>
      <c r="AN2359" s="2137">
        <f>Q2359-'Blocking-Step2'!Q2359</f>
        <v>0</v>
      </c>
      <c r="AP2359" s="2127">
        <f>S2359-'Blocking-Step2'!S2359</f>
        <v>0</v>
      </c>
      <c r="AR2359" s="2127">
        <f>U2359-'Blocking-Step2'!U2359</f>
        <v>0</v>
      </c>
      <c r="AT2359" s="2127">
        <f>W2359-'Blocking-Step2'!W2359</f>
        <v>0</v>
      </c>
      <c r="AV2359" s="2128">
        <f>Y2359-'Blocking-Step2'!Y2359</f>
        <v>0</v>
      </c>
    </row>
    <row r="2360" spans="1:48" ht="16.5" hidden="1" thickTop="1">
      <c r="A2360" s="1116" t="s">
        <v>315</v>
      </c>
      <c r="C2360" s="1105"/>
      <c r="D2360" s="1105"/>
      <c r="F2360" s="1139"/>
      <c r="G2360" s="1111"/>
      <c r="H2360" s="1146"/>
      <c r="I2360" s="1146"/>
      <c r="K2360" s="1139"/>
      <c r="L2360" s="1111"/>
      <c r="M2360" s="1139"/>
      <c r="N2360" s="1111"/>
      <c r="O2360" s="1139"/>
      <c r="P2360" s="1111"/>
      <c r="Q2360" s="1139"/>
      <c r="R2360" s="1111"/>
      <c r="S2360" s="1146"/>
      <c r="T2360" s="1629"/>
      <c r="U2360" s="1146"/>
      <c r="V2360" s="1629"/>
      <c r="W2360" s="1146"/>
      <c r="X2360" s="1629"/>
      <c r="Y2360" s="1146"/>
      <c r="Z2360" s="2114">
        <f>C2360-'Blocking-Step2'!C2360</f>
        <v>0</v>
      </c>
      <c r="AA2360" s="2114">
        <f>D2360-'Blocking-Step2'!D2360</f>
        <v>0</v>
      </c>
      <c r="AC2360" s="2114">
        <f>F2360-'Blocking-Step2'!F2360</f>
        <v>0</v>
      </c>
      <c r="AE2360" s="2114">
        <f>H2360-'Blocking-Step2'!H2360</f>
        <v>0</v>
      </c>
      <c r="AF2360" s="2114">
        <f>I2360-'Blocking-Step2'!I2360</f>
        <v>0</v>
      </c>
      <c r="AH2360" s="2136">
        <f>K2360-'Blocking-Step2'!K2360</f>
        <v>0</v>
      </c>
      <c r="AJ2360" s="2136">
        <f>M2360-'Blocking-Step2'!M2360</f>
        <v>0</v>
      </c>
      <c r="AL2360" s="2136">
        <f>O2360-'Blocking-Step2'!O2360</f>
        <v>0</v>
      </c>
      <c r="AN2360" s="2137">
        <f>Q2360-'Blocking-Step2'!Q2360</f>
        <v>0</v>
      </c>
      <c r="AP2360" s="2127">
        <f>S2360-'Blocking-Step2'!S2360</f>
        <v>0</v>
      </c>
      <c r="AR2360" s="2127">
        <f>U2360-'Blocking-Step2'!U2360</f>
        <v>0</v>
      </c>
      <c r="AT2360" s="2127">
        <f>W2360-'Blocking-Step2'!W2360</f>
        <v>0</v>
      </c>
      <c r="AV2360" s="2128">
        <f>Y2360-'Blocking-Step2'!Y2360</f>
        <v>0</v>
      </c>
    </row>
    <row r="2361" spans="1:48" ht="16.5" hidden="1" thickTop="1">
      <c r="A2361" s="1116" t="s">
        <v>1668</v>
      </c>
      <c r="C2361" s="1105">
        <v>70696.650348096649</v>
      </c>
      <c r="D2361" s="1105">
        <v>67470</v>
      </c>
      <c r="F2361" s="1139"/>
      <c r="G2361" s="1111"/>
      <c r="H2361" s="1146"/>
      <c r="I2361" s="1146"/>
      <c r="K2361" s="1139">
        <v>0</v>
      </c>
      <c r="L2361" s="1111"/>
      <c r="M2361" s="1139">
        <v>0.89</v>
      </c>
      <c r="N2361" s="1111"/>
      <c r="O2361" s="1139">
        <v>0</v>
      </c>
      <c r="P2361" s="1111"/>
      <c r="Q2361" s="1139">
        <v>0.89</v>
      </c>
      <c r="R2361" s="1111"/>
      <c r="S2361" s="1146">
        <v>0</v>
      </c>
      <c r="T2361" s="1629"/>
      <c r="U2361" s="1146">
        <v>60048</v>
      </c>
      <c r="V2361" s="1629"/>
      <c r="W2361" s="1146">
        <v>0</v>
      </c>
      <c r="X2361" s="1629"/>
      <c r="Y2361" s="1146">
        <v>60048</v>
      </c>
      <c r="Z2361" s="2114">
        <f>C2361-'Blocking-Step2'!C2361</f>
        <v>0</v>
      </c>
      <c r="AA2361" s="2114">
        <f>D2361-'Blocking-Step2'!D2361</f>
        <v>0</v>
      </c>
      <c r="AC2361" s="2114">
        <f>F2361-'Blocking-Step2'!F2361</f>
        <v>0</v>
      </c>
      <c r="AE2361" s="2114">
        <f>H2361-'Blocking-Step2'!H2361</f>
        <v>0</v>
      </c>
      <c r="AF2361" s="2114">
        <f>I2361-'Blocking-Step2'!I2361</f>
        <v>0</v>
      </c>
      <c r="AH2361" s="2136">
        <f>K2361-'Blocking-Step2'!K2361</f>
        <v>-0.41</v>
      </c>
      <c r="AJ2361" s="2136">
        <f>M2361-'Blocking-Step2'!M2361</f>
        <v>0.41</v>
      </c>
      <c r="AL2361" s="2136">
        <f>O2361-'Blocking-Step2'!O2361</f>
        <v>0</v>
      </c>
      <c r="AN2361" s="2137">
        <f>Q2361-'Blocking-Step2'!Q2361</f>
        <v>0</v>
      </c>
      <c r="AP2361" s="2127">
        <f>S2361-'Blocking-Step2'!S2361</f>
        <v>-27663</v>
      </c>
      <c r="AR2361" s="2127">
        <f>U2361-'Blocking-Step2'!U2361</f>
        <v>27662</v>
      </c>
      <c r="AT2361" s="2127">
        <f>W2361-'Blocking-Step2'!W2361</f>
        <v>0</v>
      </c>
      <c r="AV2361" s="2128">
        <f>Y2361-'Blocking-Step2'!Y2361</f>
        <v>0</v>
      </c>
    </row>
    <row r="2362" spans="1:48" ht="16.5" hidden="1" thickTop="1">
      <c r="A2362" s="1116" t="s">
        <v>1669</v>
      </c>
      <c r="C2362" s="1105">
        <v>49579.034602910964</v>
      </c>
      <c r="D2362" s="1105">
        <v>47316</v>
      </c>
      <c r="F2362" s="1139"/>
      <c r="G2362" s="1111"/>
      <c r="H2362" s="1146"/>
      <c r="I2362" s="1146"/>
      <c r="K2362" s="1139">
        <v>0</v>
      </c>
      <c r="L2362" s="1111"/>
      <c r="M2362" s="1139">
        <v>0.79</v>
      </c>
      <c r="N2362" s="1111"/>
      <c r="O2362" s="1139">
        <v>0</v>
      </c>
      <c r="P2362" s="1111"/>
      <c r="Q2362" s="1139">
        <v>0.79</v>
      </c>
      <c r="R2362" s="1111"/>
      <c r="S2362" s="1146">
        <v>0</v>
      </c>
      <c r="T2362" s="1629"/>
      <c r="U2362" s="1146">
        <v>37380</v>
      </c>
      <c r="V2362" s="1629"/>
      <c r="W2362" s="1146">
        <v>0</v>
      </c>
      <c r="X2362" s="1629"/>
      <c r="Y2362" s="1146">
        <v>37380</v>
      </c>
      <c r="Z2362" s="2114">
        <f>C2362-'Blocking-Step2'!C2362</f>
        <v>0</v>
      </c>
      <c r="AA2362" s="2114">
        <f>D2362-'Blocking-Step2'!D2362</f>
        <v>0</v>
      </c>
      <c r="AC2362" s="2114">
        <f>F2362-'Blocking-Step2'!F2362</f>
        <v>0</v>
      </c>
      <c r="AE2362" s="2114">
        <f>H2362-'Blocking-Step2'!H2362</f>
        <v>0</v>
      </c>
      <c r="AF2362" s="2114">
        <f>I2362-'Blocking-Step2'!I2362</f>
        <v>0</v>
      </c>
      <c r="AH2362" s="2136">
        <f>K2362-'Blocking-Step2'!K2362</f>
        <v>-0.36</v>
      </c>
      <c r="AJ2362" s="2136">
        <f>M2362-'Blocking-Step2'!M2362</f>
        <v>0.36</v>
      </c>
      <c r="AL2362" s="2136">
        <f>O2362-'Blocking-Step2'!O2362</f>
        <v>0</v>
      </c>
      <c r="AN2362" s="2137">
        <f>Q2362-'Blocking-Step2'!Q2362</f>
        <v>0</v>
      </c>
      <c r="AP2362" s="2127">
        <f>S2362-'Blocking-Step2'!S2362</f>
        <v>-17034</v>
      </c>
      <c r="AR2362" s="2127">
        <f>U2362-'Blocking-Step2'!U2362</f>
        <v>17034</v>
      </c>
      <c r="AT2362" s="2127">
        <f>W2362-'Blocking-Step2'!W2362</f>
        <v>0</v>
      </c>
      <c r="AV2362" s="2128">
        <f>Y2362-'Blocking-Step2'!Y2362</f>
        <v>0</v>
      </c>
    </row>
    <row r="2363" spans="1:48" ht="16.5" hidden="1" thickTop="1">
      <c r="A2363" s="1116" t="s">
        <v>316</v>
      </c>
      <c r="C2363" s="1105"/>
      <c r="D2363" s="1105"/>
      <c r="F2363" s="1140"/>
      <c r="G2363" s="1112"/>
      <c r="H2363" s="1146"/>
      <c r="I2363" s="1146"/>
      <c r="K2363" s="1140"/>
      <c r="L2363" s="1112"/>
      <c r="M2363" s="1140"/>
      <c r="N2363" s="1112"/>
      <c r="O2363" s="1140"/>
      <c r="P2363" s="1112"/>
      <c r="Q2363" s="1140"/>
      <c r="R2363" s="1112"/>
      <c r="S2363" s="1146"/>
      <c r="T2363" s="1114"/>
      <c r="U2363" s="1146"/>
      <c r="V2363" s="1114"/>
      <c r="W2363" s="1146"/>
      <c r="X2363" s="1114"/>
      <c r="Y2363" s="1146"/>
      <c r="Z2363" s="2114">
        <f>C2363-'Blocking-Step2'!C2363</f>
        <v>0</v>
      </c>
      <c r="AA2363" s="2114">
        <f>D2363-'Blocking-Step2'!D2363</f>
        <v>0</v>
      </c>
      <c r="AC2363" s="2114">
        <f>F2363-'Blocking-Step2'!F2363</f>
        <v>0</v>
      </c>
      <c r="AE2363" s="2114">
        <f>H2363-'Blocking-Step2'!H2363</f>
        <v>0</v>
      </c>
      <c r="AF2363" s="2114">
        <f>I2363-'Blocking-Step2'!I2363</f>
        <v>0</v>
      </c>
      <c r="AH2363" s="2136">
        <f>K2363-'Blocking-Step2'!K2363</f>
        <v>0</v>
      </c>
      <c r="AJ2363" s="2136">
        <f>M2363-'Blocking-Step2'!M2363</f>
        <v>0</v>
      </c>
      <c r="AL2363" s="2136">
        <f>O2363-'Blocking-Step2'!O2363</f>
        <v>0</v>
      </c>
      <c r="AN2363" s="2137">
        <f>Q2363-'Blocking-Step2'!Q2363</f>
        <v>0</v>
      </c>
      <c r="AP2363" s="2127">
        <f>S2363-'Blocking-Step2'!S2363</f>
        <v>0</v>
      </c>
      <c r="AR2363" s="2127">
        <f>U2363-'Blocking-Step2'!U2363</f>
        <v>0</v>
      </c>
      <c r="AT2363" s="2127">
        <f>W2363-'Blocking-Step2'!W2363</f>
        <v>0</v>
      </c>
      <c r="AV2363" s="2128">
        <f>Y2363-'Blocking-Step2'!Y2363</f>
        <v>0</v>
      </c>
    </row>
    <row r="2364" spans="1:48" ht="16.5" hidden="1" thickTop="1">
      <c r="A2364" s="1116" t="s">
        <v>1668</v>
      </c>
      <c r="C2364" s="1105">
        <v>1582.2885037622348</v>
      </c>
      <c r="D2364" s="1105">
        <v>1510</v>
      </c>
      <c r="F2364" s="1140"/>
      <c r="G2364" s="1112"/>
      <c r="H2364" s="1146"/>
      <c r="I2364" s="1146"/>
      <c r="K2364" s="1140">
        <v>0</v>
      </c>
      <c r="L2364" s="1112"/>
      <c r="M2364" s="1140">
        <v>0.45</v>
      </c>
      <c r="N2364" s="1112"/>
      <c r="O2364" s="1140">
        <v>0</v>
      </c>
      <c r="P2364" s="1112"/>
      <c r="Q2364" s="1140">
        <v>0.45</v>
      </c>
      <c r="R2364" s="1112"/>
      <c r="S2364" s="1146">
        <v>0</v>
      </c>
      <c r="T2364" s="1114"/>
      <c r="U2364" s="1146">
        <v>680</v>
      </c>
      <c r="V2364" s="1114"/>
      <c r="W2364" s="1146">
        <v>0</v>
      </c>
      <c r="X2364" s="1114"/>
      <c r="Y2364" s="1146">
        <v>680</v>
      </c>
      <c r="Z2364" s="2114">
        <f>C2364-'Blocking-Step2'!C2364</f>
        <v>0</v>
      </c>
      <c r="AA2364" s="2114">
        <f>D2364-'Blocking-Step2'!D2364</f>
        <v>0</v>
      </c>
      <c r="AC2364" s="2114">
        <f>F2364-'Blocking-Step2'!F2364</f>
        <v>0</v>
      </c>
      <c r="AE2364" s="2114">
        <f>H2364-'Blocking-Step2'!H2364</f>
        <v>0</v>
      </c>
      <c r="AF2364" s="2114">
        <f>I2364-'Blocking-Step2'!I2364</f>
        <v>0</v>
      </c>
      <c r="AH2364" s="2136">
        <f>K2364-'Blocking-Step2'!K2364</f>
        <v>-0.21</v>
      </c>
      <c r="AJ2364" s="2136">
        <f>M2364-'Blocking-Step2'!M2364</f>
        <v>0.21</v>
      </c>
      <c r="AL2364" s="2136">
        <f>O2364-'Blocking-Step2'!O2364</f>
        <v>0</v>
      </c>
      <c r="AN2364" s="2137">
        <f>Q2364-'Blocking-Step2'!Q2364</f>
        <v>0</v>
      </c>
      <c r="AP2364" s="2127">
        <f>S2364-'Blocking-Step2'!S2364</f>
        <v>-317</v>
      </c>
      <c r="AR2364" s="2127">
        <f>U2364-'Blocking-Step2'!U2364</f>
        <v>318</v>
      </c>
      <c r="AT2364" s="2127">
        <f>W2364-'Blocking-Step2'!W2364</f>
        <v>0</v>
      </c>
      <c r="AV2364" s="2128">
        <f>Y2364-'Blocking-Step2'!Y2364</f>
        <v>0</v>
      </c>
    </row>
    <row r="2365" spans="1:48" ht="16.5" hidden="1" thickTop="1">
      <c r="A2365" s="1116" t="s">
        <v>1669</v>
      </c>
      <c r="C2365" s="1105">
        <v>0</v>
      </c>
      <c r="D2365" s="1105">
        <v>0</v>
      </c>
      <c r="F2365" s="1140"/>
      <c r="G2365" s="1112"/>
      <c r="H2365" s="1146"/>
      <c r="I2365" s="1146"/>
      <c r="K2365" s="1140">
        <v>0</v>
      </c>
      <c r="L2365" s="1112"/>
      <c r="M2365" s="1140">
        <v>0.4</v>
      </c>
      <c r="N2365" s="1112"/>
      <c r="O2365" s="1140">
        <v>0</v>
      </c>
      <c r="P2365" s="1112"/>
      <c r="Q2365" s="1140">
        <v>0.4</v>
      </c>
      <c r="R2365" s="1112"/>
      <c r="S2365" s="1146">
        <v>0</v>
      </c>
      <c r="T2365" s="1114"/>
      <c r="U2365" s="1146">
        <v>0</v>
      </c>
      <c r="V2365" s="1114"/>
      <c r="W2365" s="1146">
        <v>0</v>
      </c>
      <c r="X2365" s="1114"/>
      <c r="Y2365" s="1146">
        <v>0</v>
      </c>
      <c r="Z2365" s="2114">
        <f>C2365-'Blocking-Step2'!C2365</f>
        <v>0</v>
      </c>
      <c r="AA2365" s="2114">
        <f>D2365-'Blocking-Step2'!D2365</f>
        <v>0</v>
      </c>
      <c r="AC2365" s="2114">
        <f>F2365-'Blocking-Step2'!F2365</f>
        <v>0</v>
      </c>
      <c r="AE2365" s="2114">
        <f>H2365-'Blocking-Step2'!H2365</f>
        <v>0</v>
      </c>
      <c r="AF2365" s="2114">
        <f>I2365-'Blocking-Step2'!I2365</f>
        <v>0</v>
      </c>
      <c r="AH2365" s="2136">
        <f>K2365-'Blocking-Step2'!K2365</f>
        <v>-0.18</v>
      </c>
      <c r="AJ2365" s="2136">
        <f>M2365-'Blocking-Step2'!M2365</f>
        <v>0.18</v>
      </c>
      <c r="AL2365" s="2136">
        <f>O2365-'Blocking-Step2'!O2365</f>
        <v>0</v>
      </c>
      <c r="AN2365" s="2137">
        <f>Q2365-'Blocking-Step2'!Q2365</f>
        <v>0</v>
      </c>
      <c r="AP2365" s="2127">
        <f>S2365-'Blocking-Step2'!S2365</f>
        <v>0</v>
      </c>
      <c r="AR2365" s="2127">
        <f>U2365-'Blocking-Step2'!U2365</f>
        <v>0</v>
      </c>
      <c r="AT2365" s="2127">
        <f>W2365-'Blocking-Step2'!W2365</f>
        <v>0</v>
      </c>
      <c r="AV2365" s="2128">
        <f>Y2365-'Blocking-Step2'!Y2365</f>
        <v>0</v>
      </c>
    </row>
    <row r="2366" spans="1:48" ht="16.5" hidden="1" thickTop="1">
      <c r="A2366" s="1116" t="s">
        <v>317</v>
      </c>
      <c r="C2366" s="1105"/>
      <c r="D2366" s="1105"/>
      <c r="F2366" s="1139"/>
      <c r="G2366" s="1110"/>
      <c r="H2366" s="1146"/>
      <c r="I2366" s="1146"/>
      <c r="K2366" s="1139"/>
      <c r="L2366" s="1110"/>
      <c r="M2366" s="1139"/>
      <c r="N2366" s="1110"/>
      <c r="O2366" s="1139"/>
      <c r="P2366" s="1110"/>
      <c r="Q2366" s="1139"/>
      <c r="R2366" s="1110"/>
      <c r="S2366" s="1146"/>
      <c r="T2366" s="1629"/>
      <c r="U2366" s="1146"/>
      <c r="V2366" s="1629"/>
      <c r="W2366" s="1146"/>
      <c r="X2366" s="1629"/>
      <c r="Y2366" s="1146"/>
      <c r="Z2366" s="2114">
        <f>C2366-'Blocking-Step2'!C2366</f>
        <v>0</v>
      </c>
      <c r="AA2366" s="2114">
        <f>D2366-'Blocking-Step2'!D2366</f>
        <v>0</v>
      </c>
      <c r="AC2366" s="2114">
        <f>F2366-'Blocking-Step2'!F2366</f>
        <v>0</v>
      </c>
      <c r="AE2366" s="2114">
        <f>H2366-'Blocking-Step2'!H2366</f>
        <v>0</v>
      </c>
      <c r="AF2366" s="2114">
        <f>I2366-'Blocking-Step2'!I2366</f>
        <v>0</v>
      </c>
      <c r="AH2366" s="2136">
        <f>K2366-'Blocking-Step2'!K2366</f>
        <v>0</v>
      </c>
      <c r="AJ2366" s="2136">
        <f>M2366-'Blocking-Step2'!M2366</f>
        <v>0</v>
      </c>
      <c r="AL2366" s="2136">
        <f>O2366-'Blocking-Step2'!O2366</f>
        <v>0</v>
      </c>
      <c r="AN2366" s="2137">
        <f>Q2366-'Blocking-Step2'!Q2366</f>
        <v>0</v>
      </c>
      <c r="AP2366" s="2127">
        <f>S2366-'Blocking-Step2'!S2366</f>
        <v>0</v>
      </c>
      <c r="AR2366" s="2127">
        <f>U2366-'Blocking-Step2'!U2366</f>
        <v>0</v>
      </c>
      <c r="AT2366" s="2127">
        <f>W2366-'Blocking-Step2'!W2366</f>
        <v>0</v>
      </c>
      <c r="AV2366" s="2128">
        <f>Y2366-'Blocking-Step2'!Y2366</f>
        <v>0</v>
      </c>
    </row>
    <row r="2367" spans="1:48" ht="16.5" hidden="1" thickTop="1">
      <c r="A2367" s="1116" t="s">
        <v>1668</v>
      </c>
      <c r="C2367" s="1105">
        <v>148.49169035307125</v>
      </c>
      <c r="D2367" s="1105">
        <v>142</v>
      </c>
      <c r="F2367" s="1139"/>
      <c r="G2367" s="1110"/>
      <c r="H2367" s="1146"/>
      <c r="I2367" s="1146"/>
      <c r="K2367" s="1139">
        <v>0</v>
      </c>
      <c r="L2367" s="1110"/>
      <c r="M2367" s="1139">
        <v>39.97</v>
      </c>
      <c r="N2367" s="1110"/>
      <c r="O2367" s="1139">
        <v>0</v>
      </c>
      <c r="P2367" s="1110"/>
      <c r="Q2367" s="1139">
        <v>39.97</v>
      </c>
      <c r="R2367" s="1110"/>
      <c r="S2367" s="1146">
        <v>0</v>
      </c>
      <c r="T2367" s="1629"/>
      <c r="U2367" s="1146">
        <v>5676</v>
      </c>
      <c r="V2367" s="1629"/>
      <c r="W2367" s="1146">
        <v>0</v>
      </c>
      <c r="X2367" s="1629"/>
      <c r="Y2367" s="1146">
        <v>5676</v>
      </c>
      <c r="Z2367" s="2114">
        <f>C2367-'Blocking-Step2'!C2367</f>
        <v>0</v>
      </c>
      <c r="AA2367" s="2114">
        <f>D2367-'Blocking-Step2'!D2367</f>
        <v>0</v>
      </c>
      <c r="AC2367" s="2114">
        <f>F2367-'Blocking-Step2'!F2367</f>
        <v>0</v>
      </c>
      <c r="AE2367" s="2114">
        <f>H2367-'Blocking-Step2'!H2367</f>
        <v>0</v>
      </c>
      <c r="AF2367" s="2114">
        <f>I2367-'Blocking-Step2'!I2367</f>
        <v>0</v>
      </c>
      <c r="AH2367" s="2136">
        <f>K2367-'Blocking-Step2'!K2367</f>
        <v>-18.41</v>
      </c>
      <c r="AJ2367" s="2136">
        <f>M2367-'Blocking-Step2'!M2367</f>
        <v>18.41</v>
      </c>
      <c r="AL2367" s="2136">
        <f>O2367-'Blocking-Step2'!O2367</f>
        <v>0</v>
      </c>
      <c r="AN2367" s="2137">
        <f>Q2367-'Blocking-Step2'!Q2367</f>
        <v>0</v>
      </c>
      <c r="AP2367" s="2127">
        <f>S2367-'Blocking-Step2'!S2367</f>
        <v>-2614</v>
      </c>
      <c r="AR2367" s="2127">
        <f>U2367-'Blocking-Step2'!U2367</f>
        <v>2614</v>
      </c>
      <c r="AT2367" s="2127">
        <f>W2367-'Blocking-Step2'!W2367</f>
        <v>0</v>
      </c>
      <c r="AV2367" s="2128">
        <f>Y2367-'Blocking-Step2'!Y2367</f>
        <v>0</v>
      </c>
    </row>
    <row r="2368" spans="1:48" ht="16.5" hidden="1" thickTop="1">
      <c r="A2368" s="1116" t="s">
        <v>1669</v>
      </c>
      <c r="C2368" s="1105">
        <v>686.10495578422365</v>
      </c>
      <c r="D2368" s="1105">
        <v>655</v>
      </c>
      <c r="F2368" s="1139"/>
      <c r="G2368" s="1110"/>
      <c r="H2368" s="1146"/>
      <c r="I2368" s="1146"/>
      <c r="K2368" s="1139">
        <v>0</v>
      </c>
      <c r="L2368" s="1110"/>
      <c r="M2368" s="1139">
        <v>35.369999999999997</v>
      </c>
      <c r="N2368" s="1110"/>
      <c r="O2368" s="1139">
        <v>0</v>
      </c>
      <c r="P2368" s="1110"/>
      <c r="Q2368" s="1139">
        <v>35.369999999999997</v>
      </c>
      <c r="R2368" s="1110"/>
      <c r="S2368" s="1146">
        <v>0</v>
      </c>
      <c r="T2368" s="1629"/>
      <c r="U2368" s="1146">
        <v>23167</v>
      </c>
      <c r="V2368" s="1629"/>
      <c r="W2368" s="1146">
        <v>0</v>
      </c>
      <c r="X2368" s="1629"/>
      <c r="Y2368" s="1146">
        <v>23167</v>
      </c>
      <c r="Z2368" s="2114">
        <f>C2368-'Blocking-Step2'!C2368</f>
        <v>0</v>
      </c>
      <c r="AA2368" s="2114">
        <f>D2368-'Blocking-Step2'!D2368</f>
        <v>0</v>
      </c>
      <c r="AC2368" s="2114">
        <f>F2368-'Blocking-Step2'!F2368</f>
        <v>0</v>
      </c>
      <c r="AE2368" s="2114">
        <f>H2368-'Blocking-Step2'!H2368</f>
        <v>0</v>
      </c>
      <c r="AF2368" s="2114">
        <f>I2368-'Blocking-Step2'!I2368</f>
        <v>0</v>
      </c>
      <c r="AH2368" s="2136">
        <f>K2368-'Blocking-Step2'!K2368</f>
        <v>-16.12</v>
      </c>
      <c r="AJ2368" s="2136">
        <f>M2368-'Blocking-Step2'!M2368</f>
        <v>16.12</v>
      </c>
      <c r="AL2368" s="2136">
        <f>O2368-'Blocking-Step2'!O2368</f>
        <v>0</v>
      </c>
      <c r="AN2368" s="2137">
        <f>Q2368-'Blocking-Step2'!Q2368</f>
        <v>0</v>
      </c>
      <c r="AP2368" s="2127">
        <f>S2368-'Blocking-Step2'!S2368</f>
        <v>-10559</v>
      </c>
      <c r="AR2368" s="2127">
        <f>U2368-'Blocking-Step2'!U2368</f>
        <v>10558</v>
      </c>
      <c r="AT2368" s="2127">
        <f>W2368-'Blocking-Step2'!W2368</f>
        <v>0</v>
      </c>
      <c r="AV2368" s="2128">
        <f>Y2368-'Blocking-Step2'!Y2368</f>
        <v>0</v>
      </c>
    </row>
    <row r="2369" spans="1:48" ht="16.5" hidden="1" thickTop="1">
      <c r="A2369" s="1116" t="s">
        <v>315</v>
      </c>
      <c r="C2369" s="1105"/>
      <c r="D2369" s="1105"/>
      <c r="F2369" s="1139"/>
      <c r="G2369" s="1111"/>
      <c r="H2369" s="1146"/>
      <c r="I2369" s="1146"/>
      <c r="K2369" s="1139"/>
      <c r="L2369" s="1111"/>
      <c r="M2369" s="1139"/>
      <c r="N2369" s="1111"/>
      <c r="O2369" s="1139"/>
      <c r="P2369" s="1111"/>
      <c r="Q2369" s="1139"/>
      <c r="R2369" s="1111"/>
      <c r="S2369" s="1146"/>
      <c r="T2369" s="1629"/>
      <c r="U2369" s="1146"/>
      <c r="V2369" s="1629"/>
      <c r="W2369" s="1146"/>
      <c r="X2369" s="1629"/>
      <c r="Y2369" s="1146"/>
      <c r="Z2369" s="2114">
        <f>C2369-'Blocking-Step2'!C2369</f>
        <v>0</v>
      </c>
      <c r="AA2369" s="2114">
        <f>D2369-'Blocking-Step2'!D2369</f>
        <v>0</v>
      </c>
      <c r="AC2369" s="2114">
        <f>F2369-'Blocking-Step2'!F2369</f>
        <v>0</v>
      </c>
      <c r="AE2369" s="2114">
        <f>H2369-'Blocking-Step2'!H2369</f>
        <v>0</v>
      </c>
      <c r="AF2369" s="2114">
        <f>I2369-'Blocking-Step2'!I2369</f>
        <v>0</v>
      </c>
      <c r="AH2369" s="2136">
        <f>K2369-'Blocking-Step2'!K2369</f>
        <v>0</v>
      </c>
      <c r="AJ2369" s="2136">
        <f>M2369-'Blocking-Step2'!M2369</f>
        <v>0</v>
      </c>
      <c r="AL2369" s="2136">
        <f>O2369-'Blocking-Step2'!O2369</f>
        <v>0</v>
      </c>
      <c r="AN2369" s="2137">
        <f>Q2369-'Blocking-Step2'!Q2369</f>
        <v>0</v>
      </c>
      <c r="AP2369" s="2127">
        <f>S2369-'Blocking-Step2'!S2369</f>
        <v>0</v>
      </c>
      <c r="AR2369" s="2127">
        <f>U2369-'Blocking-Step2'!U2369</f>
        <v>0</v>
      </c>
      <c r="AT2369" s="2127">
        <f>W2369-'Blocking-Step2'!W2369</f>
        <v>0</v>
      </c>
      <c r="AV2369" s="2128">
        <f>Y2369-'Blocking-Step2'!Y2369</f>
        <v>0</v>
      </c>
    </row>
    <row r="2370" spans="1:48" ht="16.5" hidden="1" thickTop="1">
      <c r="A2370" s="1116" t="s">
        <v>944</v>
      </c>
      <c r="C2370" s="1105">
        <v>87126</v>
      </c>
      <c r="D2370" s="1105">
        <v>83149</v>
      </c>
      <c r="F2370" s="1139">
        <v>0.86</v>
      </c>
      <c r="G2370" s="1111"/>
      <c r="H2370" s="1146">
        <v>74928</v>
      </c>
      <c r="I2370" s="1146">
        <v>71508</v>
      </c>
      <c r="K2370" s="1139"/>
      <c r="L2370" s="1111"/>
      <c r="M2370" s="1139"/>
      <c r="N2370" s="1111"/>
      <c r="O2370" s="1139"/>
      <c r="P2370" s="1111"/>
      <c r="Q2370" s="1139"/>
      <c r="R2370" s="1111"/>
      <c r="S2370" s="1146"/>
      <c r="T2370" s="1629"/>
      <c r="U2370" s="1146"/>
      <c r="V2370" s="1629"/>
      <c r="W2370" s="1146"/>
      <c r="X2370" s="1629"/>
      <c r="Y2370" s="1146"/>
      <c r="Z2370" s="2114">
        <f>C2370-'Blocking-Step2'!C2370</f>
        <v>0</v>
      </c>
      <c r="AA2370" s="2114">
        <f>D2370-'Blocking-Step2'!D2370</f>
        <v>0</v>
      </c>
      <c r="AC2370" s="2114">
        <f>F2370-'Blocking-Step2'!F2370</f>
        <v>0</v>
      </c>
      <c r="AE2370" s="2114">
        <f>H2370-'Blocking-Step2'!H2370</f>
        <v>0</v>
      </c>
      <c r="AF2370" s="2114">
        <f>I2370-'Blocking-Step2'!I2370</f>
        <v>0</v>
      </c>
      <c r="AH2370" s="2136">
        <f>K2370-'Blocking-Step2'!K2370</f>
        <v>0</v>
      </c>
      <c r="AJ2370" s="2136">
        <f>M2370-'Blocking-Step2'!M2370</f>
        <v>0</v>
      </c>
      <c r="AL2370" s="2136">
        <f>O2370-'Blocking-Step2'!O2370</f>
        <v>0</v>
      </c>
      <c r="AN2370" s="2137">
        <f>Q2370-'Blocking-Step2'!Q2370</f>
        <v>0</v>
      </c>
      <c r="AP2370" s="2127">
        <f>S2370-'Blocking-Step2'!S2370</f>
        <v>0</v>
      </c>
      <c r="AR2370" s="2127">
        <f>U2370-'Blocking-Step2'!U2370</f>
        <v>0</v>
      </c>
      <c r="AT2370" s="2127">
        <f>W2370-'Blocking-Step2'!W2370</f>
        <v>0</v>
      </c>
      <c r="AV2370" s="2128">
        <f>Y2370-'Blocking-Step2'!Y2370</f>
        <v>0</v>
      </c>
    </row>
    <row r="2371" spans="1:48" ht="16.5" hidden="1" thickTop="1">
      <c r="A2371" s="1116" t="s">
        <v>945</v>
      </c>
      <c r="C2371" s="1105">
        <v>43646</v>
      </c>
      <c r="D2371" s="1105">
        <v>41654</v>
      </c>
      <c r="F2371" s="1139">
        <v>0.6</v>
      </c>
      <c r="G2371" s="1111"/>
      <c r="H2371" s="1146">
        <v>26188</v>
      </c>
      <c r="I2371" s="1146">
        <v>24992</v>
      </c>
      <c r="K2371" s="1139"/>
      <c r="L2371" s="1111"/>
      <c r="M2371" s="1139"/>
      <c r="N2371" s="1111"/>
      <c r="O2371" s="1139"/>
      <c r="P2371" s="1111"/>
      <c r="Q2371" s="1139"/>
      <c r="R2371" s="1111"/>
      <c r="S2371" s="1146"/>
      <c r="T2371" s="1629"/>
      <c r="U2371" s="1146"/>
      <c r="V2371" s="1629"/>
      <c r="W2371" s="1146"/>
      <c r="X2371" s="1629"/>
      <c r="Y2371" s="1146"/>
      <c r="Z2371" s="2114">
        <f>C2371-'Blocking-Step2'!C2371</f>
        <v>0</v>
      </c>
      <c r="AA2371" s="2114">
        <f>D2371-'Blocking-Step2'!D2371</f>
        <v>0</v>
      </c>
      <c r="AC2371" s="2114">
        <f>F2371-'Blocking-Step2'!F2371</f>
        <v>0</v>
      </c>
      <c r="AE2371" s="2114">
        <f>H2371-'Blocking-Step2'!H2371</f>
        <v>0</v>
      </c>
      <c r="AF2371" s="2114">
        <f>I2371-'Blocking-Step2'!I2371</f>
        <v>0</v>
      </c>
      <c r="AH2371" s="2136">
        <f>K2371-'Blocking-Step2'!K2371</f>
        <v>0</v>
      </c>
      <c r="AJ2371" s="2136">
        <f>M2371-'Blocking-Step2'!M2371</f>
        <v>0</v>
      </c>
      <c r="AL2371" s="2136">
        <f>O2371-'Blocking-Step2'!O2371</f>
        <v>0</v>
      </c>
      <c r="AN2371" s="2137">
        <f>Q2371-'Blocking-Step2'!Q2371</f>
        <v>0</v>
      </c>
      <c r="AP2371" s="2127">
        <f>S2371-'Blocking-Step2'!S2371</f>
        <v>0</v>
      </c>
      <c r="AR2371" s="2127">
        <f>U2371-'Blocking-Step2'!U2371</f>
        <v>0</v>
      </c>
      <c r="AT2371" s="2127">
        <f>W2371-'Blocking-Step2'!W2371</f>
        <v>0</v>
      </c>
      <c r="AV2371" s="2128">
        <f>Y2371-'Blocking-Step2'!Y2371</f>
        <v>0</v>
      </c>
    </row>
    <row r="2372" spans="1:48" ht="16.5" hidden="1" thickTop="1">
      <c r="A2372" s="1116" t="s">
        <v>316</v>
      </c>
      <c r="C2372" s="1105"/>
      <c r="D2372" s="1105"/>
      <c r="F2372" s="1140"/>
      <c r="G2372" s="1112"/>
      <c r="H2372" s="1146"/>
      <c r="I2372" s="1146"/>
      <c r="K2372" s="1140"/>
      <c r="L2372" s="1112"/>
      <c r="M2372" s="1140"/>
      <c r="N2372" s="1112"/>
      <c r="O2372" s="1140"/>
      <c r="P2372" s="1112"/>
      <c r="Q2372" s="1140"/>
      <c r="R2372" s="1112"/>
      <c r="S2372" s="1146"/>
      <c r="T2372" s="1114"/>
      <c r="U2372" s="1146"/>
      <c r="V2372" s="1114"/>
      <c r="W2372" s="1146"/>
      <c r="X2372" s="1114"/>
      <c r="Y2372" s="1146"/>
      <c r="Z2372" s="2114">
        <f>C2372-'Blocking-Step2'!C2372</f>
        <v>0</v>
      </c>
      <c r="AA2372" s="2114">
        <f>D2372-'Blocking-Step2'!D2372</f>
        <v>0</v>
      </c>
      <c r="AC2372" s="2114">
        <f>F2372-'Blocking-Step2'!F2372</f>
        <v>0</v>
      </c>
      <c r="AE2372" s="2114">
        <f>H2372-'Blocking-Step2'!H2372</f>
        <v>0</v>
      </c>
      <c r="AF2372" s="2114">
        <f>I2372-'Blocking-Step2'!I2372</f>
        <v>0</v>
      </c>
      <c r="AH2372" s="2136">
        <f>K2372-'Blocking-Step2'!K2372</f>
        <v>0</v>
      </c>
      <c r="AJ2372" s="2136">
        <f>M2372-'Blocking-Step2'!M2372</f>
        <v>0</v>
      </c>
      <c r="AL2372" s="2136">
        <f>O2372-'Blocking-Step2'!O2372</f>
        <v>0</v>
      </c>
      <c r="AN2372" s="2137">
        <f>Q2372-'Blocking-Step2'!Q2372</f>
        <v>0</v>
      </c>
      <c r="AP2372" s="2127">
        <f>S2372-'Blocking-Step2'!S2372</f>
        <v>0</v>
      </c>
      <c r="AR2372" s="2127">
        <f>U2372-'Blocking-Step2'!U2372</f>
        <v>0</v>
      </c>
      <c r="AT2372" s="2127">
        <f>W2372-'Blocking-Step2'!W2372</f>
        <v>0</v>
      </c>
      <c r="AV2372" s="2128">
        <f>Y2372-'Blocking-Step2'!Y2372</f>
        <v>0</v>
      </c>
    </row>
    <row r="2373" spans="1:48" ht="16.5" hidden="1" thickTop="1">
      <c r="A2373" s="1116" t="s">
        <v>944</v>
      </c>
      <c r="C2373" s="1105">
        <v>1950</v>
      </c>
      <c r="D2373" s="1105">
        <v>1861</v>
      </c>
      <c r="F2373" s="1140">
        <v>0.43</v>
      </c>
      <c r="G2373" s="1112"/>
      <c r="H2373" s="1146">
        <v>839</v>
      </c>
      <c r="I2373" s="1146">
        <v>800</v>
      </c>
      <c r="K2373" s="1140"/>
      <c r="L2373" s="1112"/>
      <c r="M2373" s="1140"/>
      <c r="N2373" s="1112"/>
      <c r="O2373" s="1140"/>
      <c r="P2373" s="1112"/>
      <c r="Q2373" s="1140"/>
      <c r="R2373" s="1112"/>
      <c r="S2373" s="1146"/>
      <c r="T2373" s="1114"/>
      <c r="U2373" s="1146"/>
      <c r="V2373" s="1114"/>
      <c r="W2373" s="1146"/>
      <c r="X2373" s="1114"/>
      <c r="Y2373" s="1146"/>
      <c r="Z2373" s="2114">
        <f>C2373-'Blocking-Step2'!C2373</f>
        <v>0</v>
      </c>
      <c r="AA2373" s="2114">
        <f>D2373-'Blocking-Step2'!D2373</f>
        <v>0</v>
      </c>
      <c r="AC2373" s="2114">
        <f>F2373-'Blocking-Step2'!F2373</f>
        <v>0</v>
      </c>
      <c r="AE2373" s="2114">
        <f>H2373-'Blocking-Step2'!H2373</f>
        <v>0</v>
      </c>
      <c r="AF2373" s="2114">
        <f>I2373-'Blocking-Step2'!I2373</f>
        <v>0</v>
      </c>
      <c r="AH2373" s="2136">
        <f>K2373-'Blocking-Step2'!K2373</f>
        <v>0</v>
      </c>
      <c r="AJ2373" s="2136">
        <f>M2373-'Blocking-Step2'!M2373</f>
        <v>0</v>
      </c>
      <c r="AL2373" s="2136">
        <f>O2373-'Blocking-Step2'!O2373</f>
        <v>0</v>
      </c>
      <c r="AN2373" s="2137">
        <f>Q2373-'Blocking-Step2'!Q2373</f>
        <v>0</v>
      </c>
      <c r="AP2373" s="2127">
        <f>S2373-'Blocking-Step2'!S2373</f>
        <v>0</v>
      </c>
      <c r="AR2373" s="2127">
        <f>U2373-'Blocking-Step2'!U2373</f>
        <v>0</v>
      </c>
      <c r="AT2373" s="2127">
        <f>W2373-'Blocking-Step2'!W2373</f>
        <v>0</v>
      </c>
      <c r="AV2373" s="2128">
        <f>Y2373-'Blocking-Step2'!Y2373</f>
        <v>0</v>
      </c>
    </row>
    <row r="2374" spans="1:48" ht="16.5" hidden="1" thickTop="1">
      <c r="A2374" s="1116" t="s">
        <v>945</v>
      </c>
      <c r="C2374" s="1105">
        <v>0</v>
      </c>
      <c r="D2374" s="1105">
        <v>0</v>
      </c>
      <c r="F2374" s="1140">
        <v>0.3</v>
      </c>
      <c r="G2374" s="1112"/>
      <c r="H2374" s="1146">
        <v>0</v>
      </c>
      <c r="I2374" s="1146">
        <v>0</v>
      </c>
      <c r="K2374" s="1140"/>
      <c r="L2374" s="1112"/>
      <c r="M2374" s="1140"/>
      <c r="N2374" s="1112"/>
      <c r="O2374" s="1140"/>
      <c r="P2374" s="1112"/>
      <c r="Q2374" s="1140"/>
      <c r="R2374" s="1112"/>
      <c r="S2374" s="1146"/>
      <c r="T2374" s="1114"/>
      <c r="U2374" s="1146"/>
      <c r="V2374" s="1114"/>
      <c r="W2374" s="1146"/>
      <c r="X2374" s="1114"/>
      <c r="Y2374" s="1146"/>
      <c r="Z2374" s="2114">
        <f>C2374-'Blocking-Step2'!C2374</f>
        <v>0</v>
      </c>
      <c r="AA2374" s="2114">
        <f>D2374-'Blocking-Step2'!D2374</f>
        <v>0</v>
      </c>
      <c r="AC2374" s="2114">
        <f>F2374-'Blocking-Step2'!F2374</f>
        <v>0</v>
      </c>
      <c r="AE2374" s="2114">
        <f>H2374-'Blocking-Step2'!H2374</f>
        <v>0</v>
      </c>
      <c r="AF2374" s="2114">
        <f>I2374-'Blocking-Step2'!I2374</f>
        <v>0</v>
      </c>
      <c r="AH2374" s="2136">
        <f>K2374-'Blocking-Step2'!K2374</f>
        <v>0</v>
      </c>
      <c r="AJ2374" s="2136">
        <f>M2374-'Blocking-Step2'!M2374</f>
        <v>0</v>
      </c>
      <c r="AL2374" s="2136">
        <f>O2374-'Blocking-Step2'!O2374</f>
        <v>0</v>
      </c>
      <c r="AN2374" s="2137">
        <f>Q2374-'Blocking-Step2'!Q2374</f>
        <v>0</v>
      </c>
      <c r="AP2374" s="2127">
        <f>S2374-'Blocking-Step2'!S2374</f>
        <v>0</v>
      </c>
      <c r="AR2374" s="2127">
        <f>U2374-'Blocking-Step2'!U2374</f>
        <v>0</v>
      </c>
      <c r="AT2374" s="2127">
        <f>W2374-'Blocking-Step2'!W2374</f>
        <v>0</v>
      </c>
      <c r="AV2374" s="2128">
        <f>Y2374-'Blocking-Step2'!Y2374</f>
        <v>0</v>
      </c>
    </row>
    <row r="2375" spans="1:48" ht="16.5" hidden="1" thickTop="1">
      <c r="A2375" s="1116" t="s">
        <v>317</v>
      </c>
      <c r="C2375" s="1105"/>
      <c r="D2375" s="1105"/>
      <c r="F2375" s="1139"/>
      <c r="G2375" s="1110"/>
      <c r="H2375" s="1146"/>
      <c r="I2375" s="1146"/>
      <c r="K2375" s="1139"/>
      <c r="L2375" s="1110"/>
      <c r="M2375" s="1139"/>
      <c r="N2375" s="1110"/>
      <c r="O2375" s="1139"/>
      <c r="P2375" s="1110"/>
      <c r="Q2375" s="1139"/>
      <c r="R2375" s="1110"/>
      <c r="S2375" s="1146"/>
      <c r="T2375" s="1629"/>
      <c r="U2375" s="1146"/>
      <c r="V2375" s="1629"/>
      <c r="W2375" s="1146"/>
      <c r="X2375" s="1629"/>
      <c r="Y2375" s="1146"/>
      <c r="Z2375" s="2114">
        <f>C2375-'Blocking-Step2'!C2375</f>
        <v>0</v>
      </c>
      <c r="AA2375" s="2114">
        <f>D2375-'Blocking-Step2'!D2375</f>
        <v>0</v>
      </c>
      <c r="AC2375" s="2114">
        <f>F2375-'Blocking-Step2'!F2375</f>
        <v>0</v>
      </c>
      <c r="AE2375" s="2114">
        <f>H2375-'Blocking-Step2'!H2375</f>
        <v>0</v>
      </c>
      <c r="AF2375" s="2114">
        <f>I2375-'Blocking-Step2'!I2375</f>
        <v>0</v>
      </c>
      <c r="AH2375" s="2136">
        <f>K2375-'Blocking-Step2'!K2375</f>
        <v>0</v>
      </c>
      <c r="AJ2375" s="2136">
        <f>M2375-'Blocking-Step2'!M2375</f>
        <v>0</v>
      </c>
      <c r="AL2375" s="2136">
        <f>O2375-'Blocking-Step2'!O2375</f>
        <v>0</v>
      </c>
      <c r="AN2375" s="2137">
        <f>Q2375-'Blocking-Step2'!Q2375</f>
        <v>0</v>
      </c>
      <c r="AP2375" s="2127">
        <f>S2375-'Blocking-Step2'!S2375</f>
        <v>0</v>
      </c>
      <c r="AR2375" s="2127">
        <f>U2375-'Blocking-Step2'!U2375</f>
        <v>0</v>
      </c>
      <c r="AT2375" s="2127">
        <f>W2375-'Blocking-Step2'!W2375</f>
        <v>0</v>
      </c>
      <c r="AV2375" s="2128">
        <f>Y2375-'Blocking-Step2'!Y2375</f>
        <v>0</v>
      </c>
    </row>
    <row r="2376" spans="1:48" ht="16.5" hidden="1" thickTop="1">
      <c r="A2376" s="1116" t="s">
        <v>944</v>
      </c>
      <c r="C2376" s="1105">
        <v>183</v>
      </c>
      <c r="D2376" s="1105">
        <v>175</v>
      </c>
      <c r="F2376" s="1139">
        <v>38.54</v>
      </c>
      <c r="G2376" s="1110"/>
      <c r="H2376" s="1146">
        <v>7053</v>
      </c>
      <c r="I2376" s="1146">
        <v>6745</v>
      </c>
      <c r="K2376" s="1139"/>
      <c r="L2376" s="1110"/>
      <c r="M2376" s="1139"/>
      <c r="N2376" s="1110"/>
      <c r="O2376" s="1139"/>
      <c r="P2376" s="1110"/>
      <c r="Q2376" s="1139"/>
      <c r="R2376" s="1110"/>
      <c r="S2376" s="1146"/>
      <c r="T2376" s="1629"/>
      <c r="U2376" s="1146"/>
      <c r="V2376" s="1629"/>
      <c r="W2376" s="1146"/>
      <c r="X2376" s="1629"/>
      <c r="Y2376" s="1146"/>
      <c r="Z2376" s="2114">
        <f>C2376-'Blocking-Step2'!C2376</f>
        <v>0</v>
      </c>
      <c r="AA2376" s="2114">
        <f>D2376-'Blocking-Step2'!D2376</f>
        <v>0</v>
      </c>
      <c r="AC2376" s="2114">
        <f>F2376-'Blocking-Step2'!F2376</f>
        <v>0</v>
      </c>
      <c r="AE2376" s="2114">
        <f>H2376-'Blocking-Step2'!H2376</f>
        <v>0</v>
      </c>
      <c r="AF2376" s="2114">
        <f>I2376-'Blocking-Step2'!I2376</f>
        <v>0</v>
      </c>
      <c r="AH2376" s="2136">
        <f>K2376-'Blocking-Step2'!K2376</f>
        <v>0</v>
      </c>
      <c r="AJ2376" s="2136">
        <f>M2376-'Blocking-Step2'!M2376</f>
        <v>0</v>
      </c>
      <c r="AL2376" s="2136">
        <f>O2376-'Blocking-Step2'!O2376</f>
        <v>0</v>
      </c>
      <c r="AN2376" s="2137">
        <f>Q2376-'Blocking-Step2'!Q2376</f>
        <v>0</v>
      </c>
      <c r="AP2376" s="2127">
        <f>S2376-'Blocking-Step2'!S2376</f>
        <v>0</v>
      </c>
      <c r="AR2376" s="2127">
        <f>U2376-'Blocking-Step2'!U2376</f>
        <v>0</v>
      </c>
      <c r="AT2376" s="2127">
        <f>W2376-'Blocking-Step2'!W2376</f>
        <v>0</v>
      </c>
      <c r="AV2376" s="2128">
        <f>Y2376-'Blocking-Step2'!Y2376</f>
        <v>0</v>
      </c>
    </row>
    <row r="2377" spans="1:48" ht="16.5" hidden="1" thickTop="1">
      <c r="A2377" s="1116" t="s">
        <v>945</v>
      </c>
      <c r="C2377" s="1105">
        <v>604</v>
      </c>
      <c r="D2377" s="1105">
        <v>576</v>
      </c>
      <c r="F2377" s="1139">
        <v>29.77</v>
      </c>
      <c r="G2377" s="1110"/>
      <c r="H2377" s="1146">
        <v>17981</v>
      </c>
      <c r="I2377" s="1146">
        <v>17148</v>
      </c>
      <c r="K2377" s="1139"/>
      <c r="L2377" s="1110"/>
      <c r="M2377" s="1139"/>
      <c r="N2377" s="1110"/>
      <c r="O2377" s="1139"/>
      <c r="P2377" s="1110"/>
      <c r="Q2377" s="1139"/>
      <c r="R2377" s="1110"/>
      <c r="S2377" s="1146"/>
      <c r="T2377" s="1629"/>
      <c r="U2377" s="1146"/>
      <c r="V2377" s="1629"/>
      <c r="W2377" s="1146"/>
      <c r="X2377" s="1629"/>
      <c r="Y2377" s="1146"/>
      <c r="Z2377" s="2114">
        <f>C2377-'Blocking-Step2'!C2377</f>
        <v>0</v>
      </c>
      <c r="AA2377" s="2114">
        <f>D2377-'Blocking-Step2'!D2377</f>
        <v>0</v>
      </c>
      <c r="AC2377" s="2114">
        <f>F2377-'Blocking-Step2'!F2377</f>
        <v>0</v>
      </c>
      <c r="AE2377" s="2114">
        <f>H2377-'Blocking-Step2'!H2377</f>
        <v>0</v>
      </c>
      <c r="AF2377" s="2114">
        <f>I2377-'Blocking-Step2'!I2377</f>
        <v>0</v>
      </c>
      <c r="AH2377" s="2136">
        <f>K2377-'Blocking-Step2'!K2377</f>
        <v>0</v>
      </c>
      <c r="AJ2377" s="2136">
        <f>M2377-'Blocking-Step2'!M2377</f>
        <v>0</v>
      </c>
      <c r="AL2377" s="2136">
        <f>O2377-'Blocking-Step2'!O2377</f>
        <v>0</v>
      </c>
      <c r="AN2377" s="2137">
        <f>Q2377-'Blocking-Step2'!Q2377</f>
        <v>0</v>
      </c>
      <c r="AP2377" s="2127">
        <f>S2377-'Blocking-Step2'!S2377</f>
        <v>0</v>
      </c>
      <c r="AR2377" s="2127">
        <f>U2377-'Blocking-Step2'!U2377</f>
        <v>0</v>
      </c>
      <c r="AT2377" s="2127">
        <f>W2377-'Blocking-Step2'!W2377</f>
        <v>0</v>
      </c>
      <c r="AV2377" s="2128">
        <f>Y2377-'Blocking-Step2'!Y2377</f>
        <v>0</v>
      </c>
    </row>
    <row r="2378" spans="1:48" ht="16.5" hidden="1" thickTop="1">
      <c r="A2378" s="2008" t="s">
        <v>182</v>
      </c>
      <c r="C2378" s="1105"/>
      <c r="D2378" s="1105"/>
      <c r="F2378" s="1141"/>
      <c r="K2378" s="1141"/>
      <c r="M2378" s="1141"/>
      <c r="O2378" s="1141"/>
      <c r="Q2378" s="1141"/>
      <c r="S2378" s="1627"/>
      <c r="U2378" s="1627"/>
      <c r="W2378" s="1627"/>
      <c r="Z2378" s="2114">
        <f>C2378-'Blocking-Step2'!C2378</f>
        <v>0</v>
      </c>
      <c r="AA2378" s="2114">
        <f>D2378-'Blocking-Step2'!D2378</f>
        <v>0</v>
      </c>
      <c r="AC2378" s="2114">
        <f>F2378-'Blocking-Step2'!F2378</f>
        <v>0</v>
      </c>
      <c r="AE2378" s="2114">
        <f>H2378-'Blocking-Step2'!H2378</f>
        <v>0</v>
      </c>
      <c r="AF2378" s="2114">
        <f>I2378-'Blocking-Step2'!I2378</f>
        <v>0</v>
      </c>
      <c r="AH2378" s="2136">
        <f>K2378-'Blocking-Step2'!K2378</f>
        <v>0</v>
      </c>
      <c r="AJ2378" s="2136">
        <f>M2378-'Blocking-Step2'!M2378</f>
        <v>0</v>
      </c>
      <c r="AL2378" s="2136">
        <f>O2378-'Blocking-Step2'!O2378</f>
        <v>0</v>
      </c>
      <c r="AN2378" s="2137">
        <f>Q2378-'Blocking-Step2'!Q2378</f>
        <v>0</v>
      </c>
      <c r="AP2378" s="2127">
        <f>S2378-'Blocking-Step2'!S2378</f>
        <v>0</v>
      </c>
      <c r="AR2378" s="2127">
        <f>U2378-'Blocking-Step2'!U2378</f>
        <v>0</v>
      </c>
      <c r="AT2378" s="2127">
        <f>W2378-'Blocking-Step2'!W2378</f>
        <v>0</v>
      </c>
      <c r="AV2378" s="2128">
        <f>Y2378-'Blocking-Step2'!Y2378</f>
        <v>0</v>
      </c>
    </row>
    <row r="2379" spans="1:48" ht="16.5" hidden="1" thickTop="1">
      <c r="A2379" s="1116" t="s">
        <v>312</v>
      </c>
      <c r="C2379" s="1105">
        <v>23</v>
      </c>
      <c r="D2379" s="1105">
        <v>23</v>
      </c>
      <c r="F2379" s="1139">
        <v>678</v>
      </c>
      <c r="G2379" s="1110"/>
      <c r="H2379" s="1146">
        <v>15594</v>
      </c>
      <c r="I2379" s="1146">
        <v>15594</v>
      </c>
      <c r="K2379" s="1139">
        <v>-110</v>
      </c>
      <c r="L2379" s="1110"/>
      <c r="M2379" s="1139">
        <v>813</v>
      </c>
      <c r="N2379" s="1110"/>
      <c r="O2379" s="1139">
        <v>0</v>
      </c>
      <c r="P2379" s="1110"/>
      <c r="Q2379" s="1139">
        <v>703</v>
      </c>
      <c r="R2379" s="1110"/>
      <c r="S2379" s="1146">
        <v>-2530</v>
      </c>
      <c r="T2379" s="1629"/>
      <c r="U2379" s="1146">
        <v>18699</v>
      </c>
      <c r="V2379" s="1629"/>
      <c r="W2379" s="1146">
        <v>0</v>
      </c>
      <c r="X2379" s="1629"/>
      <c r="Y2379" s="1146">
        <v>16169</v>
      </c>
      <c r="Z2379" s="2114">
        <f>C2379-'Blocking-Step2'!C2379</f>
        <v>0</v>
      </c>
      <c r="AA2379" s="2114">
        <f>D2379-'Blocking-Step2'!D2379</f>
        <v>0</v>
      </c>
      <c r="AC2379" s="2114">
        <f>F2379-'Blocking-Step2'!F2379</f>
        <v>0</v>
      </c>
      <c r="AE2379" s="2114">
        <f>H2379-'Blocking-Step2'!H2379</f>
        <v>0</v>
      </c>
      <c r="AF2379" s="2114">
        <f>I2379-'Blocking-Step2'!I2379</f>
        <v>0</v>
      </c>
      <c r="AH2379" s="2136">
        <f>K2379-'Blocking-Step2'!K2379</f>
        <v>-813</v>
      </c>
      <c r="AJ2379" s="2136">
        <f>M2379-'Blocking-Step2'!M2379</f>
        <v>813</v>
      </c>
      <c r="AL2379" s="2136">
        <f>O2379-'Blocking-Step2'!O2379</f>
        <v>0</v>
      </c>
      <c r="AN2379" s="2137">
        <f>Q2379-'Blocking-Step2'!Q2379</f>
        <v>0</v>
      </c>
      <c r="AP2379" s="2127">
        <f>S2379-'Blocking-Step2'!S2379</f>
        <v>-18699</v>
      </c>
      <c r="AR2379" s="2127">
        <f>U2379-'Blocking-Step2'!U2379</f>
        <v>18699</v>
      </c>
      <c r="AT2379" s="2127">
        <f>W2379-'Blocking-Step2'!W2379</f>
        <v>0</v>
      </c>
      <c r="AV2379" s="2128">
        <f>Y2379-'Blocking-Step2'!Y2379</f>
        <v>0</v>
      </c>
    </row>
    <row r="2380" spans="1:48" ht="16.5" hidden="1" thickTop="1">
      <c r="A2380" s="1116" t="s">
        <v>313</v>
      </c>
      <c r="C2380" s="1105">
        <v>66100</v>
      </c>
      <c r="D2380" s="1105">
        <v>63083</v>
      </c>
      <c r="F2380" s="1139">
        <v>2.63</v>
      </c>
      <c r="G2380" s="1110"/>
      <c r="H2380" s="1146">
        <v>173843</v>
      </c>
      <c r="I2380" s="1146">
        <v>165908</v>
      </c>
      <c r="K2380" s="1139">
        <v>0</v>
      </c>
      <c r="L2380" s="1110"/>
      <c r="M2380" s="1139">
        <v>2.73</v>
      </c>
      <c r="N2380" s="1110"/>
      <c r="O2380" s="1139">
        <v>0</v>
      </c>
      <c r="P2380" s="1110"/>
      <c r="Q2380" s="1139">
        <v>2.73</v>
      </c>
      <c r="R2380" s="1110"/>
      <c r="S2380" s="1146">
        <v>0</v>
      </c>
      <c r="T2380" s="1629"/>
      <c r="U2380" s="1146">
        <v>172217</v>
      </c>
      <c r="V2380" s="1629"/>
      <c r="W2380" s="1146">
        <v>0</v>
      </c>
      <c r="X2380" s="1629"/>
      <c r="Y2380" s="1146">
        <v>172217</v>
      </c>
      <c r="Z2380" s="2114">
        <f>C2380-'Blocking-Step2'!C2380</f>
        <v>0</v>
      </c>
      <c r="AA2380" s="2114">
        <f>D2380-'Blocking-Step2'!D2380</f>
        <v>0</v>
      </c>
      <c r="AC2380" s="2114">
        <f>F2380-'Blocking-Step2'!F2380</f>
        <v>0</v>
      </c>
      <c r="AE2380" s="2114">
        <f>H2380-'Blocking-Step2'!H2380</f>
        <v>0</v>
      </c>
      <c r="AF2380" s="2114">
        <f>I2380-'Blocking-Step2'!I2380</f>
        <v>0</v>
      </c>
      <c r="AH2380" s="2136">
        <f>K2380-'Blocking-Step2'!K2380</f>
        <v>-2.73</v>
      </c>
      <c r="AJ2380" s="2136">
        <f>M2380-'Blocking-Step2'!M2380</f>
        <v>2.73</v>
      </c>
      <c r="AL2380" s="2136">
        <f>O2380-'Blocking-Step2'!O2380</f>
        <v>0</v>
      </c>
      <c r="AN2380" s="2137">
        <f>Q2380-'Blocking-Step2'!Q2380</f>
        <v>0</v>
      </c>
      <c r="AP2380" s="2127">
        <f>S2380-'Blocking-Step2'!S2380</f>
        <v>-172217</v>
      </c>
      <c r="AR2380" s="2127">
        <f>U2380-'Blocking-Step2'!U2380</f>
        <v>172217</v>
      </c>
      <c r="AT2380" s="2127">
        <f>W2380-'Blocking-Step2'!W2380</f>
        <v>0</v>
      </c>
      <c r="AV2380" s="2128">
        <f>Y2380-'Blocking-Step2'!Y2380</f>
        <v>0</v>
      </c>
    </row>
    <row r="2381" spans="1:48" ht="16.5" hidden="1" thickTop="1">
      <c r="A2381" s="1116" t="s">
        <v>314</v>
      </c>
      <c r="C2381" s="1105"/>
      <c r="D2381" s="1105"/>
      <c r="F2381" s="1140"/>
      <c r="G2381" s="617"/>
      <c r="H2381" s="1146"/>
      <c r="I2381" s="1146"/>
      <c r="K2381" s="1140"/>
      <c r="L2381" s="617"/>
      <c r="M2381" s="1140"/>
      <c r="N2381" s="617"/>
      <c r="O2381" s="1140"/>
      <c r="P2381" s="617"/>
      <c r="Q2381" s="1140"/>
      <c r="R2381" s="617"/>
      <c r="S2381" s="1146"/>
      <c r="T2381" s="1114"/>
      <c r="U2381" s="1146"/>
      <c r="V2381" s="1114"/>
      <c r="W2381" s="1146"/>
      <c r="X2381" s="1114"/>
      <c r="Y2381" s="1146"/>
      <c r="Z2381" s="2114">
        <f>C2381-'Blocking-Step2'!C2381</f>
        <v>0</v>
      </c>
      <c r="AA2381" s="2114">
        <f>D2381-'Blocking-Step2'!D2381</f>
        <v>0</v>
      </c>
      <c r="AC2381" s="2114">
        <f>F2381-'Blocking-Step2'!F2381</f>
        <v>0</v>
      </c>
      <c r="AE2381" s="2114">
        <f>H2381-'Blocking-Step2'!H2381</f>
        <v>0</v>
      </c>
      <c r="AF2381" s="2114">
        <f>I2381-'Blocking-Step2'!I2381</f>
        <v>0</v>
      </c>
      <c r="AH2381" s="2136">
        <f>K2381-'Blocking-Step2'!K2381</f>
        <v>0</v>
      </c>
      <c r="AJ2381" s="2136">
        <f>M2381-'Blocking-Step2'!M2381</f>
        <v>0</v>
      </c>
      <c r="AL2381" s="2136">
        <f>O2381-'Blocking-Step2'!O2381</f>
        <v>0</v>
      </c>
      <c r="AN2381" s="2137">
        <f>Q2381-'Blocking-Step2'!Q2381</f>
        <v>0</v>
      </c>
      <c r="AP2381" s="2127">
        <f>S2381-'Blocking-Step2'!S2381</f>
        <v>0</v>
      </c>
      <c r="AR2381" s="2127">
        <f>U2381-'Blocking-Step2'!U2381</f>
        <v>0</v>
      </c>
      <c r="AT2381" s="2127">
        <f>W2381-'Blocking-Step2'!W2381</f>
        <v>0</v>
      </c>
      <c r="AV2381" s="2128">
        <f>Y2381-'Blocking-Step2'!Y2381</f>
        <v>0</v>
      </c>
    </row>
    <row r="2382" spans="1:48" ht="16.5" hidden="1" thickTop="1">
      <c r="A2382" s="1116" t="s">
        <v>315</v>
      </c>
      <c r="C2382" s="1105"/>
      <c r="D2382" s="1105"/>
      <c r="F2382" s="1139"/>
      <c r="G2382" s="1111"/>
      <c r="H2382" s="1146"/>
      <c r="I2382" s="1146"/>
      <c r="K2382" s="1139"/>
      <c r="L2382" s="1111"/>
      <c r="M2382" s="1139"/>
      <c r="N2382" s="1111"/>
      <c r="O2382" s="1139"/>
      <c r="P2382" s="1111"/>
      <c r="Q2382" s="1139"/>
      <c r="R2382" s="1111"/>
      <c r="S2382" s="1146"/>
      <c r="T2382" s="1629"/>
      <c r="U2382" s="1146"/>
      <c r="V2382" s="1629"/>
      <c r="W2382" s="1146"/>
      <c r="X2382" s="1629"/>
      <c r="Y2382" s="1146"/>
      <c r="Z2382" s="2114">
        <f>C2382-'Blocking-Step2'!C2382</f>
        <v>0</v>
      </c>
      <c r="AA2382" s="2114">
        <f>D2382-'Blocking-Step2'!D2382</f>
        <v>0</v>
      </c>
      <c r="AC2382" s="2114">
        <f>F2382-'Blocking-Step2'!F2382</f>
        <v>0</v>
      </c>
      <c r="AE2382" s="2114">
        <f>H2382-'Blocking-Step2'!H2382</f>
        <v>0</v>
      </c>
      <c r="AF2382" s="2114">
        <f>I2382-'Blocking-Step2'!I2382</f>
        <v>0</v>
      </c>
      <c r="AH2382" s="2136">
        <f>K2382-'Blocking-Step2'!K2382</f>
        <v>0</v>
      </c>
      <c r="AJ2382" s="2136">
        <f>M2382-'Blocking-Step2'!M2382</f>
        <v>0</v>
      </c>
      <c r="AL2382" s="2136">
        <f>O2382-'Blocking-Step2'!O2382</f>
        <v>0</v>
      </c>
      <c r="AN2382" s="2137">
        <f>Q2382-'Blocking-Step2'!Q2382</f>
        <v>0</v>
      </c>
      <c r="AP2382" s="2127">
        <f>S2382-'Blocking-Step2'!S2382</f>
        <v>0</v>
      </c>
      <c r="AR2382" s="2127">
        <f>U2382-'Blocking-Step2'!U2382</f>
        <v>0</v>
      </c>
      <c r="AT2382" s="2127">
        <f>W2382-'Blocking-Step2'!W2382</f>
        <v>0</v>
      </c>
      <c r="AV2382" s="2128">
        <f>Y2382-'Blocking-Step2'!Y2382</f>
        <v>0</v>
      </c>
    </row>
    <row r="2383" spans="1:48" ht="16.5" hidden="1" thickTop="1">
      <c r="A2383" s="1116" t="s">
        <v>1668</v>
      </c>
      <c r="C2383" s="1105">
        <v>271132.84370467725</v>
      </c>
      <c r="D2383" s="1105">
        <v>258756</v>
      </c>
      <c r="F2383" s="1139"/>
      <c r="G2383" s="1111"/>
      <c r="H2383" s="1146"/>
      <c r="I2383" s="1146"/>
      <c r="K2383" s="1139">
        <v>0</v>
      </c>
      <c r="L2383" s="1111"/>
      <c r="M2383" s="1139">
        <v>0.79</v>
      </c>
      <c r="N2383" s="1111"/>
      <c r="O2383" s="1139">
        <v>0</v>
      </c>
      <c r="P2383" s="1111"/>
      <c r="Q2383" s="1139">
        <v>0.79</v>
      </c>
      <c r="R2383" s="1111"/>
      <c r="S2383" s="1146">
        <v>0</v>
      </c>
      <c r="T2383" s="1629"/>
      <c r="U2383" s="1146">
        <v>204417</v>
      </c>
      <c r="V2383" s="1629"/>
      <c r="W2383" s="1146">
        <v>0</v>
      </c>
      <c r="X2383" s="1629"/>
      <c r="Y2383" s="1146">
        <v>204417</v>
      </c>
      <c r="Z2383" s="2114">
        <f>C2383-'Blocking-Step2'!C2383</f>
        <v>0</v>
      </c>
      <c r="AA2383" s="2114">
        <f>D2383-'Blocking-Step2'!D2383</f>
        <v>0</v>
      </c>
      <c r="AC2383" s="2114">
        <f>F2383-'Blocking-Step2'!F2383</f>
        <v>0</v>
      </c>
      <c r="AE2383" s="2114">
        <f>H2383-'Blocking-Step2'!H2383</f>
        <v>0</v>
      </c>
      <c r="AF2383" s="2114">
        <f>I2383-'Blocking-Step2'!I2383</f>
        <v>0</v>
      </c>
      <c r="AH2383" s="2136">
        <f>K2383-'Blocking-Step2'!K2383</f>
        <v>-0.26</v>
      </c>
      <c r="AJ2383" s="2136">
        <f>M2383-'Blocking-Step2'!M2383</f>
        <v>0.26</v>
      </c>
      <c r="AL2383" s="2136">
        <f>O2383-'Blocking-Step2'!O2383</f>
        <v>0</v>
      </c>
      <c r="AN2383" s="2137">
        <f>Q2383-'Blocking-Step2'!Q2383</f>
        <v>0</v>
      </c>
      <c r="AP2383" s="2127">
        <f>S2383-'Blocking-Step2'!S2383</f>
        <v>-67277</v>
      </c>
      <c r="AR2383" s="2127">
        <f>U2383-'Blocking-Step2'!U2383</f>
        <v>67276</v>
      </c>
      <c r="AT2383" s="2127">
        <f>W2383-'Blocking-Step2'!W2383</f>
        <v>0</v>
      </c>
      <c r="AV2383" s="2128">
        <f>Y2383-'Blocking-Step2'!Y2383</f>
        <v>0</v>
      </c>
    </row>
    <row r="2384" spans="1:48" ht="16.5" hidden="1" thickTop="1">
      <c r="A2384" s="1116" t="s">
        <v>1669</v>
      </c>
      <c r="C2384" s="1105">
        <v>112904.02296400884</v>
      </c>
      <c r="D2384" s="1105">
        <v>107750</v>
      </c>
      <c r="F2384" s="1139"/>
      <c r="G2384" s="1111"/>
      <c r="H2384" s="1146"/>
      <c r="I2384" s="1146"/>
      <c r="K2384" s="1139">
        <v>0</v>
      </c>
      <c r="L2384" s="1111"/>
      <c r="M2384" s="1139">
        <v>0.7</v>
      </c>
      <c r="N2384" s="1111"/>
      <c r="O2384" s="1139">
        <v>0</v>
      </c>
      <c r="P2384" s="1111"/>
      <c r="Q2384" s="1139">
        <v>0.7</v>
      </c>
      <c r="R2384" s="1111"/>
      <c r="S2384" s="1146">
        <v>0</v>
      </c>
      <c r="T2384" s="1629"/>
      <c r="U2384" s="1146">
        <v>75425</v>
      </c>
      <c r="V2384" s="1629"/>
      <c r="W2384" s="1146">
        <v>0</v>
      </c>
      <c r="X2384" s="1629"/>
      <c r="Y2384" s="1146">
        <v>75425</v>
      </c>
      <c r="Z2384" s="2114">
        <f>C2384-'Blocking-Step2'!C2384</f>
        <v>0</v>
      </c>
      <c r="AA2384" s="2114">
        <f>D2384-'Blocking-Step2'!D2384</f>
        <v>0</v>
      </c>
      <c r="AC2384" s="2114">
        <f>F2384-'Blocking-Step2'!F2384</f>
        <v>0</v>
      </c>
      <c r="AE2384" s="2114">
        <f>H2384-'Blocking-Step2'!H2384</f>
        <v>0</v>
      </c>
      <c r="AF2384" s="2114">
        <f>I2384-'Blocking-Step2'!I2384</f>
        <v>0</v>
      </c>
      <c r="AH2384" s="2136">
        <f>K2384-'Blocking-Step2'!K2384</f>
        <v>-0.23</v>
      </c>
      <c r="AJ2384" s="2136">
        <f>M2384-'Blocking-Step2'!M2384</f>
        <v>0.22999999999999998</v>
      </c>
      <c r="AL2384" s="2136">
        <f>O2384-'Blocking-Step2'!O2384</f>
        <v>0</v>
      </c>
      <c r="AN2384" s="2137">
        <f>Q2384-'Blocking-Step2'!Q2384</f>
        <v>0</v>
      </c>
      <c r="AP2384" s="2127">
        <f>S2384-'Blocking-Step2'!S2384</f>
        <v>-24783</v>
      </c>
      <c r="AR2384" s="2127">
        <f>U2384-'Blocking-Step2'!U2384</f>
        <v>24782</v>
      </c>
      <c r="AT2384" s="2127">
        <f>W2384-'Blocking-Step2'!W2384</f>
        <v>0</v>
      </c>
      <c r="AV2384" s="2128">
        <f>Y2384-'Blocking-Step2'!Y2384</f>
        <v>0</v>
      </c>
    </row>
    <row r="2385" spans="1:48" ht="16.5" hidden="1" thickTop="1">
      <c r="A2385" s="1116" t="s">
        <v>316</v>
      </c>
      <c r="C2385" s="1105"/>
      <c r="D2385" s="1105"/>
      <c r="F2385" s="1140"/>
      <c r="G2385" s="1112"/>
      <c r="H2385" s="1146"/>
      <c r="I2385" s="1146"/>
      <c r="K2385" s="1140"/>
      <c r="L2385" s="1112"/>
      <c r="M2385" s="1140"/>
      <c r="N2385" s="1112"/>
      <c r="O2385" s="1140"/>
      <c r="P2385" s="1112"/>
      <c r="Q2385" s="1140"/>
      <c r="R2385" s="1112"/>
      <c r="S2385" s="1146"/>
      <c r="T2385" s="1114"/>
      <c r="U2385" s="1146"/>
      <c r="V2385" s="1114"/>
      <c r="W2385" s="1146"/>
      <c r="X2385" s="1114"/>
      <c r="Y2385" s="1146"/>
      <c r="Z2385" s="2114">
        <f>C2385-'Blocking-Step2'!C2385</f>
        <v>0</v>
      </c>
      <c r="AA2385" s="2114">
        <f>D2385-'Blocking-Step2'!D2385</f>
        <v>0</v>
      </c>
      <c r="AC2385" s="2114">
        <f>F2385-'Blocking-Step2'!F2385</f>
        <v>0</v>
      </c>
      <c r="AE2385" s="2114">
        <f>H2385-'Blocking-Step2'!H2385</f>
        <v>0</v>
      </c>
      <c r="AF2385" s="2114">
        <f>I2385-'Blocking-Step2'!I2385</f>
        <v>0</v>
      </c>
      <c r="AH2385" s="2136">
        <f>K2385-'Blocking-Step2'!K2385</f>
        <v>0</v>
      </c>
      <c r="AJ2385" s="2136">
        <f>M2385-'Blocking-Step2'!M2385</f>
        <v>0</v>
      </c>
      <c r="AL2385" s="2136">
        <f>O2385-'Blocking-Step2'!O2385</f>
        <v>0</v>
      </c>
      <c r="AN2385" s="2137">
        <f>Q2385-'Blocking-Step2'!Q2385</f>
        <v>0</v>
      </c>
      <c r="AP2385" s="2127">
        <f>S2385-'Blocking-Step2'!S2385</f>
        <v>0</v>
      </c>
      <c r="AR2385" s="2127">
        <f>U2385-'Blocking-Step2'!U2385</f>
        <v>0</v>
      </c>
      <c r="AT2385" s="2127">
        <f>W2385-'Blocking-Step2'!W2385</f>
        <v>0</v>
      </c>
      <c r="AV2385" s="2128">
        <f>Y2385-'Blocking-Step2'!Y2385</f>
        <v>0</v>
      </c>
    </row>
    <row r="2386" spans="1:48" ht="16.5" hidden="1" thickTop="1">
      <c r="A2386" s="1116" t="s">
        <v>1668</v>
      </c>
      <c r="C2386" s="1105">
        <v>0</v>
      </c>
      <c r="D2386" s="1105">
        <v>0</v>
      </c>
      <c r="F2386" s="1140"/>
      <c r="G2386" s="1112"/>
      <c r="H2386" s="1146"/>
      <c r="I2386" s="1146"/>
      <c r="K2386" s="1140">
        <v>0</v>
      </c>
      <c r="L2386" s="1112"/>
      <c r="M2386" s="1140">
        <v>0.39</v>
      </c>
      <c r="N2386" s="1112"/>
      <c r="O2386" s="1140">
        <v>0</v>
      </c>
      <c r="P2386" s="1112"/>
      <c r="Q2386" s="1140">
        <v>0.39</v>
      </c>
      <c r="R2386" s="1112"/>
      <c r="S2386" s="1146">
        <v>0</v>
      </c>
      <c r="T2386" s="1114"/>
      <c r="U2386" s="1146">
        <v>0</v>
      </c>
      <c r="V2386" s="1114"/>
      <c r="W2386" s="1146">
        <v>0</v>
      </c>
      <c r="X2386" s="1114"/>
      <c r="Y2386" s="1146">
        <v>0</v>
      </c>
      <c r="Z2386" s="2114">
        <f>C2386-'Blocking-Step2'!C2386</f>
        <v>0</v>
      </c>
      <c r="AA2386" s="2114">
        <f>D2386-'Blocking-Step2'!D2386</f>
        <v>0</v>
      </c>
      <c r="AC2386" s="2114">
        <f>F2386-'Blocking-Step2'!F2386</f>
        <v>0</v>
      </c>
      <c r="AE2386" s="2114">
        <f>H2386-'Blocking-Step2'!H2386</f>
        <v>0</v>
      </c>
      <c r="AF2386" s="2114">
        <f>I2386-'Blocking-Step2'!I2386</f>
        <v>0</v>
      </c>
      <c r="AH2386" s="2136">
        <f>K2386-'Blocking-Step2'!K2386</f>
        <v>-0.13</v>
      </c>
      <c r="AJ2386" s="2136">
        <f>M2386-'Blocking-Step2'!M2386</f>
        <v>0.13</v>
      </c>
      <c r="AL2386" s="2136">
        <f>O2386-'Blocking-Step2'!O2386</f>
        <v>0</v>
      </c>
      <c r="AN2386" s="2137">
        <f>Q2386-'Blocking-Step2'!Q2386</f>
        <v>0</v>
      </c>
      <c r="AP2386" s="2127">
        <f>S2386-'Blocking-Step2'!S2386</f>
        <v>0</v>
      </c>
      <c r="AR2386" s="2127">
        <f>U2386-'Blocking-Step2'!U2386</f>
        <v>0</v>
      </c>
      <c r="AT2386" s="2127">
        <f>W2386-'Blocking-Step2'!W2386</f>
        <v>0</v>
      </c>
      <c r="AV2386" s="2128">
        <f>Y2386-'Blocking-Step2'!Y2386</f>
        <v>0</v>
      </c>
    </row>
    <row r="2387" spans="1:48" ht="16.5" hidden="1" thickTop="1">
      <c r="A2387" s="1116" t="s">
        <v>1669</v>
      </c>
      <c r="C2387" s="1105">
        <v>0</v>
      </c>
      <c r="D2387" s="1105">
        <v>0</v>
      </c>
      <c r="F2387" s="1140"/>
      <c r="G2387" s="1112"/>
      <c r="H2387" s="1146"/>
      <c r="I2387" s="1146"/>
      <c r="K2387" s="1140">
        <v>0</v>
      </c>
      <c r="L2387" s="1112"/>
      <c r="M2387" s="1140">
        <v>0.35</v>
      </c>
      <c r="N2387" s="1112"/>
      <c r="O2387" s="1140">
        <v>0</v>
      </c>
      <c r="P2387" s="1112"/>
      <c r="Q2387" s="1140">
        <v>0.35</v>
      </c>
      <c r="R2387" s="1112"/>
      <c r="S2387" s="1146">
        <v>0</v>
      </c>
      <c r="T2387" s="1114"/>
      <c r="U2387" s="1146">
        <v>0</v>
      </c>
      <c r="V2387" s="1114"/>
      <c r="W2387" s="1146">
        <v>0</v>
      </c>
      <c r="X2387" s="1114"/>
      <c r="Y2387" s="1146">
        <v>0</v>
      </c>
      <c r="Z2387" s="2114">
        <f>C2387-'Blocking-Step2'!C2387</f>
        <v>0</v>
      </c>
      <c r="AA2387" s="2114">
        <f>D2387-'Blocking-Step2'!D2387</f>
        <v>0</v>
      </c>
      <c r="AC2387" s="2114">
        <f>F2387-'Blocking-Step2'!F2387</f>
        <v>0</v>
      </c>
      <c r="AE2387" s="2114">
        <f>H2387-'Blocking-Step2'!H2387</f>
        <v>0</v>
      </c>
      <c r="AF2387" s="2114">
        <f>I2387-'Blocking-Step2'!I2387</f>
        <v>0</v>
      </c>
      <c r="AH2387" s="2136">
        <f>K2387-'Blocking-Step2'!K2387</f>
        <v>-0.12</v>
      </c>
      <c r="AJ2387" s="2136">
        <f>M2387-'Blocking-Step2'!M2387</f>
        <v>0.12</v>
      </c>
      <c r="AL2387" s="2136">
        <f>O2387-'Blocking-Step2'!O2387</f>
        <v>0</v>
      </c>
      <c r="AN2387" s="2137">
        <f>Q2387-'Blocking-Step2'!Q2387</f>
        <v>0</v>
      </c>
      <c r="AP2387" s="2127">
        <f>S2387-'Blocking-Step2'!S2387</f>
        <v>0</v>
      </c>
      <c r="AR2387" s="2127">
        <f>U2387-'Blocking-Step2'!U2387</f>
        <v>0</v>
      </c>
      <c r="AT2387" s="2127">
        <f>W2387-'Blocking-Step2'!W2387</f>
        <v>0</v>
      </c>
      <c r="AV2387" s="2128">
        <f>Y2387-'Blocking-Step2'!Y2387</f>
        <v>0</v>
      </c>
    </row>
    <row r="2388" spans="1:48" ht="16.5" hidden="1" thickTop="1">
      <c r="A2388" s="1116" t="s">
        <v>317</v>
      </c>
      <c r="C2388" s="1105"/>
      <c r="D2388" s="1105"/>
      <c r="F2388" s="1139"/>
      <c r="G2388" s="1110"/>
      <c r="H2388" s="1146"/>
      <c r="I2388" s="1146"/>
      <c r="K2388" s="1139"/>
      <c r="L2388" s="1110"/>
      <c r="M2388" s="1139"/>
      <c r="N2388" s="1110"/>
      <c r="O2388" s="1139"/>
      <c r="P2388" s="1110"/>
      <c r="Q2388" s="1139"/>
      <c r="R2388" s="1110"/>
      <c r="S2388" s="1146"/>
      <c r="T2388" s="1629"/>
      <c r="U2388" s="1146"/>
      <c r="V2388" s="1629"/>
      <c r="W2388" s="1146"/>
      <c r="X2388" s="1629"/>
      <c r="Y2388" s="1146"/>
      <c r="Z2388" s="2114">
        <f>C2388-'Blocking-Step2'!C2388</f>
        <v>0</v>
      </c>
      <c r="AA2388" s="2114">
        <f>D2388-'Blocking-Step2'!D2388</f>
        <v>0</v>
      </c>
      <c r="AC2388" s="2114">
        <f>F2388-'Blocking-Step2'!F2388</f>
        <v>0</v>
      </c>
      <c r="AE2388" s="2114">
        <f>H2388-'Blocking-Step2'!H2388</f>
        <v>0</v>
      </c>
      <c r="AF2388" s="2114">
        <f>I2388-'Blocking-Step2'!I2388</f>
        <v>0</v>
      </c>
      <c r="AH2388" s="2136">
        <f>K2388-'Blocking-Step2'!K2388</f>
        <v>0</v>
      </c>
      <c r="AJ2388" s="2136">
        <f>M2388-'Blocking-Step2'!M2388</f>
        <v>0</v>
      </c>
      <c r="AL2388" s="2136">
        <f>O2388-'Blocking-Step2'!O2388</f>
        <v>0</v>
      </c>
      <c r="AN2388" s="2137">
        <f>Q2388-'Blocking-Step2'!Q2388</f>
        <v>0</v>
      </c>
      <c r="AP2388" s="2127">
        <f>S2388-'Blocking-Step2'!S2388</f>
        <v>0</v>
      </c>
      <c r="AR2388" s="2127">
        <f>U2388-'Blocking-Step2'!U2388</f>
        <v>0</v>
      </c>
      <c r="AT2388" s="2127">
        <f>W2388-'Blocking-Step2'!W2388</f>
        <v>0</v>
      </c>
      <c r="AV2388" s="2128">
        <f>Y2388-'Blocking-Step2'!Y2388</f>
        <v>0</v>
      </c>
    </row>
    <row r="2389" spans="1:48" ht="16.5" hidden="1" thickTop="1">
      <c r="A2389" s="1116" t="s">
        <v>1668</v>
      </c>
      <c r="C2389" s="1105">
        <v>7090.2753568586704</v>
      </c>
      <c r="D2389" s="1105">
        <v>6767</v>
      </c>
      <c r="F2389" s="1139"/>
      <c r="G2389" s="1110"/>
      <c r="H2389" s="1146"/>
      <c r="I2389" s="1146"/>
      <c r="K2389" s="1139">
        <v>0</v>
      </c>
      <c r="L2389" s="1110"/>
      <c r="M2389" s="1139">
        <v>33.549999999999997</v>
      </c>
      <c r="N2389" s="1110"/>
      <c r="O2389" s="1139">
        <v>0</v>
      </c>
      <c r="P2389" s="1110"/>
      <c r="Q2389" s="1139">
        <v>33.549999999999997</v>
      </c>
      <c r="R2389" s="1110"/>
      <c r="S2389" s="1146">
        <v>0</v>
      </c>
      <c r="T2389" s="1629"/>
      <c r="U2389" s="1146">
        <v>227033</v>
      </c>
      <c r="V2389" s="1629"/>
      <c r="W2389" s="1146">
        <v>0</v>
      </c>
      <c r="X2389" s="1629"/>
      <c r="Y2389" s="1146">
        <v>227033</v>
      </c>
      <c r="Z2389" s="2114">
        <f>C2389-'Blocking-Step2'!C2389</f>
        <v>0</v>
      </c>
      <c r="AA2389" s="2114">
        <f>D2389-'Blocking-Step2'!D2389</f>
        <v>0</v>
      </c>
      <c r="AC2389" s="2114">
        <f>F2389-'Blocking-Step2'!F2389</f>
        <v>0</v>
      </c>
      <c r="AE2389" s="2114">
        <f>H2389-'Blocking-Step2'!H2389</f>
        <v>0</v>
      </c>
      <c r="AF2389" s="2114">
        <f>I2389-'Blocking-Step2'!I2389</f>
        <v>0</v>
      </c>
      <c r="AH2389" s="2136">
        <f>K2389-'Blocking-Step2'!K2389</f>
        <v>-11.04</v>
      </c>
      <c r="AJ2389" s="2136">
        <f>M2389-'Blocking-Step2'!M2389</f>
        <v>11.04</v>
      </c>
      <c r="AL2389" s="2136">
        <f>O2389-'Blocking-Step2'!O2389</f>
        <v>0</v>
      </c>
      <c r="AN2389" s="2137">
        <f>Q2389-'Blocking-Step2'!Q2389</f>
        <v>0</v>
      </c>
      <c r="AP2389" s="2127">
        <f>S2389-'Blocking-Step2'!S2389</f>
        <v>-74708</v>
      </c>
      <c r="AR2389" s="2127">
        <f>U2389-'Blocking-Step2'!U2389</f>
        <v>74708</v>
      </c>
      <c r="AT2389" s="2127">
        <f>W2389-'Blocking-Step2'!W2389</f>
        <v>0</v>
      </c>
      <c r="AV2389" s="2128">
        <f>Y2389-'Blocking-Step2'!Y2389</f>
        <v>0</v>
      </c>
    </row>
    <row r="2390" spans="1:48" ht="16.5" hidden="1" thickTop="1">
      <c r="A2390" s="1116" t="s">
        <v>1669</v>
      </c>
      <c r="C2390" s="1105">
        <v>1117.76039154251</v>
      </c>
      <c r="D2390" s="1105">
        <v>1067</v>
      </c>
      <c r="F2390" s="1139"/>
      <c r="G2390" s="1110"/>
      <c r="H2390" s="1146"/>
      <c r="I2390" s="1146"/>
      <c r="K2390" s="1139">
        <v>0</v>
      </c>
      <c r="L2390" s="1110"/>
      <c r="M2390" s="1139">
        <v>29.69</v>
      </c>
      <c r="N2390" s="1110"/>
      <c r="O2390" s="1139">
        <v>0</v>
      </c>
      <c r="P2390" s="1110"/>
      <c r="Q2390" s="1139">
        <v>29.69</v>
      </c>
      <c r="R2390" s="1110"/>
      <c r="S2390" s="1146">
        <v>0</v>
      </c>
      <c r="T2390" s="1629"/>
      <c r="U2390" s="1146">
        <v>31679</v>
      </c>
      <c r="V2390" s="1629"/>
      <c r="W2390" s="1146">
        <v>0</v>
      </c>
      <c r="X2390" s="1629"/>
      <c r="Y2390" s="1146">
        <v>31679</v>
      </c>
      <c r="Z2390" s="2114">
        <f>C2390-'Blocking-Step2'!C2390</f>
        <v>0</v>
      </c>
      <c r="AA2390" s="2114">
        <f>D2390-'Blocking-Step2'!D2390</f>
        <v>0</v>
      </c>
      <c r="AC2390" s="2114">
        <f>F2390-'Blocking-Step2'!F2390</f>
        <v>0</v>
      </c>
      <c r="AE2390" s="2114">
        <f>H2390-'Blocking-Step2'!H2390</f>
        <v>0</v>
      </c>
      <c r="AF2390" s="2114">
        <f>I2390-'Blocking-Step2'!I2390</f>
        <v>0</v>
      </c>
      <c r="AH2390" s="2136">
        <f>K2390-'Blocking-Step2'!K2390</f>
        <v>-9.76</v>
      </c>
      <c r="AJ2390" s="2136">
        <f>M2390-'Blocking-Step2'!M2390</f>
        <v>9.7600000000000016</v>
      </c>
      <c r="AL2390" s="2136">
        <f>O2390-'Blocking-Step2'!O2390</f>
        <v>0</v>
      </c>
      <c r="AN2390" s="2137">
        <f>Q2390-'Blocking-Step2'!Q2390</f>
        <v>0</v>
      </c>
      <c r="AP2390" s="2127">
        <f>S2390-'Blocking-Step2'!S2390</f>
        <v>-10414</v>
      </c>
      <c r="AR2390" s="2127">
        <f>U2390-'Blocking-Step2'!U2390</f>
        <v>10414</v>
      </c>
      <c r="AT2390" s="2127">
        <f>W2390-'Blocking-Step2'!W2390</f>
        <v>0</v>
      </c>
      <c r="AV2390" s="2128">
        <f>Y2390-'Blocking-Step2'!Y2390</f>
        <v>0</v>
      </c>
    </row>
    <row r="2391" spans="1:48" ht="16.5" hidden="1" thickTop="1">
      <c r="A2391" s="1116" t="s">
        <v>315</v>
      </c>
      <c r="C2391" s="1105"/>
      <c r="D2391" s="1105"/>
      <c r="F2391" s="1139"/>
      <c r="G2391" s="1111"/>
      <c r="H2391" s="1146"/>
      <c r="I2391" s="1146"/>
      <c r="K2391" s="1139"/>
      <c r="L2391" s="1111"/>
      <c r="M2391" s="1139"/>
      <c r="N2391" s="1111"/>
      <c r="O2391" s="1139"/>
      <c r="P2391" s="1111"/>
      <c r="Q2391" s="1139"/>
      <c r="R2391" s="1111"/>
      <c r="S2391" s="1146"/>
      <c r="T2391" s="1629"/>
      <c r="U2391" s="1146"/>
      <c r="V2391" s="1629"/>
      <c r="W2391" s="1146"/>
      <c r="X2391" s="1629"/>
      <c r="Y2391" s="1146"/>
      <c r="Z2391" s="2114">
        <f>C2391-'Blocking-Step2'!C2391</f>
        <v>0</v>
      </c>
      <c r="AA2391" s="2114">
        <f>D2391-'Blocking-Step2'!D2391</f>
        <v>0</v>
      </c>
      <c r="AC2391" s="2114">
        <f>F2391-'Blocking-Step2'!F2391</f>
        <v>0</v>
      </c>
      <c r="AE2391" s="2114">
        <f>H2391-'Blocking-Step2'!H2391</f>
        <v>0</v>
      </c>
      <c r="AF2391" s="2114">
        <f>I2391-'Blocking-Step2'!I2391</f>
        <v>0</v>
      </c>
      <c r="AH2391" s="2136">
        <f>K2391-'Blocking-Step2'!K2391</f>
        <v>0</v>
      </c>
      <c r="AJ2391" s="2136">
        <f>M2391-'Blocking-Step2'!M2391</f>
        <v>0</v>
      </c>
      <c r="AL2391" s="2136">
        <f>O2391-'Blocking-Step2'!O2391</f>
        <v>0</v>
      </c>
      <c r="AN2391" s="2137">
        <f>Q2391-'Blocking-Step2'!Q2391</f>
        <v>0</v>
      </c>
      <c r="AP2391" s="2127">
        <f>S2391-'Blocking-Step2'!S2391</f>
        <v>0</v>
      </c>
      <c r="AR2391" s="2127">
        <f>U2391-'Blocking-Step2'!U2391</f>
        <v>0</v>
      </c>
      <c r="AT2391" s="2127">
        <f>W2391-'Blocking-Step2'!W2391</f>
        <v>0</v>
      </c>
      <c r="AV2391" s="2128">
        <f>Y2391-'Blocking-Step2'!Y2391</f>
        <v>0</v>
      </c>
    </row>
    <row r="2392" spans="1:48" ht="16.5" hidden="1" thickTop="1">
      <c r="A2392" s="1116" t="s">
        <v>944</v>
      </c>
      <c r="C2392" s="1105">
        <v>334142</v>
      </c>
      <c r="D2392" s="1105">
        <v>318889</v>
      </c>
      <c r="F2392" s="1139">
        <v>0.76</v>
      </c>
      <c r="G2392" s="1111"/>
      <c r="H2392" s="1146">
        <v>253948</v>
      </c>
      <c r="I2392" s="1146">
        <v>242356</v>
      </c>
      <c r="K2392" s="1139"/>
      <c r="L2392" s="1111"/>
      <c r="M2392" s="1139"/>
      <c r="N2392" s="1111"/>
      <c r="O2392" s="1139"/>
      <c r="P2392" s="1111"/>
      <c r="Q2392" s="1139"/>
      <c r="R2392" s="1111"/>
      <c r="S2392" s="1146"/>
      <c r="T2392" s="1629"/>
      <c r="U2392" s="1146"/>
      <c r="V2392" s="1629"/>
      <c r="W2392" s="1146"/>
      <c r="X2392" s="1629"/>
      <c r="Y2392" s="1146"/>
      <c r="Z2392" s="2114">
        <f>C2392-'Blocking-Step2'!C2392</f>
        <v>0</v>
      </c>
      <c r="AA2392" s="2114">
        <f>D2392-'Blocking-Step2'!D2392</f>
        <v>0</v>
      </c>
      <c r="AC2392" s="2114">
        <f>F2392-'Blocking-Step2'!F2392</f>
        <v>0</v>
      </c>
      <c r="AE2392" s="2114">
        <f>H2392-'Blocking-Step2'!H2392</f>
        <v>0</v>
      </c>
      <c r="AF2392" s="2114">
        <f>I2392-'Blocking-Step2'!I2392</f>
        <v>0</v>
      </c>
      <c r="AH2392" s="2136">
        <f>K2392-'Blocking-Step2'!K2392</f>
        <v>0</v>
      </c>
      <c r="AJ2392" s="2136">
        <f>M2392-'Blocking-Step2'!M2392</f>
        <v>0</v>
      </c>
      <c r="AL2392" s="2136">
        <f>O2392-'Blocking-Step2'!O2392</f>
        <v>0</v>
      </c>
      <c r="AN2392" s="2137">
        <f>Q2392-'Blocking-Step2'!Q2392</f>
        <v>0</v>
      </c>
      <c r="AP2392" s="2127">
        <f>S2392-'Blocking-Step2'!S2392</f>
        <v>0</v>
      </c>
      <c r="AR2392" s="2127">
        <f>U2392-'Blocking-Step2'!U2392</f>
        <v>0</v>
      </c>
      <c r="AT2392" s="2127">
        <f>W2392-'Blocking-Step2'!W2392</f>
        <v>0</v>
      </c>
      <c r="AV2392" s="2128">
        <f>Y2392-'Blocking-Step2'!Y2392</f>
        <v>0</v>
      </c>
    </row>
    <row r="2393" spans="1:48" ht="16.5" hidden="1" thickTop="1">
      <c r="A2393" s="1116" t="s">
        <v>945</v>
      </c>
      <c r="C2393" s="1105">
        <v>99393</v>
      </c>
      <c r="D2393" s="1105">
        <v>94856</v>
      </c>
      <c r="F2393" s="1139">
        <v>0.51</v>
      </c>
      <c r="G2393" s="1111"/>
      <c r="H2393" s="1146">
        <v>50690</v>
      </c>
      <c r="I2393" s="1146">
        <v>48377</v>
      </c>
      <c r="K2393" s="1139"/>
      <c r="L2393" s="1111"/>
      <c r="M2393" s="1139"/>
      <c r="N2393" s="1111"/>
      <c r="O2393" s="1139"/>
      <c r="P2393" s="1111"/>
      <c r="Q2393" s="1139"/>
      <c r="R2393" s="1111"/>
      <c r="S2393" s="1146"/>
      <c r="T2393" s="1629"/>
      <c r="U2393" s="1146"/>
      <c r="V2393" s="1629"/>
      <c r="W2393" s="1146"/>
      <c r="X2393" s="1629"/>
      <c r="Y2393" s="1146"/>
      <c r="Z2393" s="2114">
        <f>C2393-'Blocking-Step2'!C2393</f>
        <v>0</v>
      </c>
      <c r="AA2393" s="2114">
        <f>D2393-'Blocking-Step2'!D2393</f>
        <v>0</v>
      </c>
      <c r="AC2393" s="2114">
        <f>F2393-'Blocking-Step2'!F2393</f>
        <v>0</v>
      </c>
      <c r="AE2393" s="2114">
        <f>H2393-'Blocking-Step2'!H2393</f>
        <v>0</v>
      </c>
      <c r="AF2393" s="2114">
        <f>I2393-'Blocking-Step2'!I2393</f>
        <v>0</v>
      </c>
      <c r="AH2393" s="2136">
        <f>K2393-'Blocking-Step2'!K2393</f>
        <v>0</v>
      </c>
      <c r="AJ2393" s="2136">
        <f>M2393-'Blocking-Step2'!M2393</f>
        <v>0</v>
      </c>
      <c r="AL2393" s="2136">
        <f>O2393-'Blocking-Step2'!O2393</f>
        <v>0</v>
      </c>
      <c r="AN2393" s="2137">
        <f>Q2393-'Blocking-Step2'!Q2393</f>
        <v>0</v>
      </c>
      <c r="AP2393" s="2127">
        <f>S2393-'Blocking-Step2'!S2393</f>
        <v>0</v>
      </c>
      <c r="AR2393" s="2127">
        <f>U2393-'Blocking-Step2'!U2393</f>
        <v>0</v>
      </c>
      <c r="AT2393" s="2127">
        <f>W2393-'Blocking-Step2'!W2393</f>
        <v>0</v>
      </c>
      <c r="AV2393" s="2128">
        <f>Y2393-'Blocking-Step2'!Y2393</f>
        <v>0</v>
      </c>
    </row>
    <row r="2394" spans="1:48" ht="16.5" hidden="1" thickTop="1">
      <c r="A2394" s="1116" t="s">
        <v>316</v>
      </c>
      <c r="C2394" s="1105"/>
      <c r="D2394" s="1105"/>
      <c r="F2394" s="1140"/>
      <c r="G2394" s="1112"/>
      <c r="H2394" s="1146"/>
      <c r="I2394" s="1146"/>
      <c r="K2394" s="1140"/>
      <c r="L2394" s="1112"/>
      <c r="M2394" s="1140"/>
      <c r="N2394" s="1112"/>
      <c r="O2394" s="1140"/>
      <c r="P2394" s="1112"/>
      <c r="Q2394" s="1140"/>
      <c r="R2394" s="1112"/>
      <c r="S2394" s="1146"/>
      <c r="T2394" s="1114"/>
      <c r="U2394" s="1146"/>
      <c r="V2394" s="1114"/>
      <c r="W2394" s="1146"/>
      <c r="X2394" s="1114"/>
      <c r="Y2394" s="1146"/>
      <c r="Z2394" s="2114">
        <f>C2394-'Blocking-Step2'!C2394</f>
        <v>0</v>
      </c>
      <c r="AA2394" s="2114">
        <f>D2394-'Blocking-Step2'!D2394</f>
        <v>0</v>
      </c>
      <c r="AC2394" s="2114">
        <f>F2394-'Blocking-Step2'!F2394</f>
        <v>0</v>
      </c>
      <c r="AE2394" s="2114">
        <f>H2394-'Blocking-Step2'!H2394</f>
        <v>0</v>
      </c>
      <c r="AF2394" s="2114">
        <f>I2394-'Blocking-Step2'!I2394</f>
        <v>0</v>
      </c>
      <c r="AH2394" s="2136">
        <f>K2394-'Blocking-Step2'!K2394</f>
        <v>0</v>
      </c>
      <c r="AJ2394" s="2136">
        <f>M2394-'Blocking-Step2'!M2394</f>
        <v>0</v>
      </c>
      <c r="AL2394" s="2136">
        <f>O2394-'Blocking-Step2'!O2394</f>
        <v>0</v>
      </c>
      <c r="AN2394" s="2137">
        <f>Q2394-'Blocking-Step2'!Q2394</f>
        <v>0</v>
      </c>
      <c r="AP2394" s="2127">
        <f>S2394-'Blocking-Step2'!S2394</f>
        <v>0</v>
      </c>
      <c r="AR2394" s="2127">
        <f>U2394-'Blocking-Step2'!U2394</f>
        <v>0</v>
      </c>
      <c r="AT2394" s="2127">
        <f>W2394-'Blocking-Step2'!W2394</f>
        <v>0</v>
      </c>
      <c r="AV2394" s="2128">
        <f>Y2394-'Blocking-Step2'!Y2394</f>
        <v>0</v>
      </c>
    </row>
    <row r="2395" spans="1:48" ht="16.5" hidden="1" thickTop="1">
      <c r="A2395" s="1116" t="s">
        <v>944</v>
      </c>
      <c r="C2395" s="1105">
        <v>0</v>
      </c>
      <c r="D2395" s="1105">
        <v>0</v>
      </c>
      <c r="F2395" s="1140">
        <v>0.38</v>
      </c>
      <c r="G2395" s="1112"/>
      <c r="H2395" s="1146">
        <v>0</v>
      </c>
      <c r="I2395" s="1146">
        <v>0</v>
      </c>
      <c r="K2395" s="1140"/>
      <c r="L2395" s="1112"/>
      <c r="M2395" s="1140"/>
      <c r="N2395" s="1112"/>
      <c r="O2395" s="1140"/>
      <c r="P2395" s="1112"/>
      <c r="Q2395" s="1140"/>
      <c r="R2395" s="1112"/>
      <c r="S2395" s="1146"/>
      <c r="T2395" s="1114"/>
      <c r="U2395" s="1146"/>
      <c r="V2395" s="1114"/>
      <c r="W2395" s="1146"/>
      <c r="X2395" s="1114"/>
      <c r="Y2395" s="1146"/>
      <c r="Z2395" s="2114">
        <f>C2395-'Blocking-Step2'!C2395</f>
        <v>0</v>
      </c>
      <c r="AA2395" s="2114">
        <f>D2395-'Blocking-Step2'!D2395</f>
        <v>0</v>
      </c>
      <c r="AC2395" s="2114">
        <f>F2395-'Blocking-Step2'!F2395</f>
        <v>0</v>
      </c>
      <c r="AE2395" s="2114">
        <f>H2395-'Blocking-Step2'!H2395</f>
        <v>0</v>
      </c>
      <c r="AF2395" s="2114">
        <f>I2395-'Blocking-Step2'!I2395</f>
        <v>0</v>
      </c>
      <c r="AH2395" s="2136">
        <f>K2395-'Blocking-Step2'!K2395</f>
        <v>0</v>
      </c>
      <c r="AJ2395" s="2136">
        <f>M2395-'Blocking-Step2'!M2395</f>
        <v>0</v>
      </c>
      <c r="AL2395" s="2136">
        <f>O2395-'Blocking-Step2'!O2395</f>
        <v>0</v>
      </c>
      <c r="AN2395" s="2137">
        <f>Q2395-'Blocking-Step2'!Q2395</f>
        <v>0</v>
      </c>
      <c r="AP2395" s="2127">
        <f>S2395-'Blocking-Step2'!S2395</f>
        <v>0</v>
      </c>
      <c r="AR2395" s="2127">
        <f>U2395-'Blocking-Step2'!U2395</f>
        <v>0</v>
      </c>
      <c r="AT2395" s="2127">
        <f>W2395-'Blocking-Step2'!W2395</f>
        <v>0</v>
      </c>
      <c r="AV2395" s="2128">
        <f>Y2395-'Blocking-Step2'!Y2395</f>
        <v>0</v>
      </c>
    </row>
    <row r="2396" spans="1:48" ht="16.5" hidden="1" thickTop="1">
      <c r="A2396" s="1116" t="s">
        <v>945</v>
      </c>
      <c r="C2396" s="1105">
        <v>0</v>
      </c>
      <c r="D2396" s="1105">
        <v>0</v>
      </c>
      <c r="F2396" s="1140">
        <v>0.255</v>
      </c>
      <c r="G2396" s="1112"/>
      <c r="H2396" s="1146">
        <v>0</v>
      </c>
      <c r="I2396" s="1146">
        <v>0</v>
      </c>
      <c r="K2396" s="1140"/>
      <c r="L2396" s="1112"/>
      <c r="M2396" s="1140"/>
      <c r="N2396" s="1112"/>
      <c r="O2396" s="1140"/>
      <c r="P2396" s="1112"/>
      <c r="Q2396" s="1140"/>
      <c r="R2396" s="1112"/>
      <c r="S2396" s="1146"/>
      <c r="T2396" s="1114"/>
      <c r="U2396" s="1146"/>
      <c r="V2396" s="1114"/>
      <c r="W2396" s="1146"/>
      <c r="X2396" s="1114"/>
      <c r="Y2396" s="1146"/>
      <c r="Z2396" s="2114">
        <f>C2396-'Blocking-Step2'!C2396</f>
        <v>0</v>
      </c>
      <c r="AA2396" s="2114">
        <f>D2396-'Blocking-Step2'!D2396</f>
        <v>0</v>
      </c>
      <c r="AC2396" s="2114">
        <f>F2396-'Blocking-Step2'!F2396</f>
        <v>0</v>
      </c>
      <c r="AE2396" s="2114">
        <f>H2396-'Blocking-Step2'!H2396</f>
        <v>0</v>
      </c>
      <c r="AF2396" s="2114">
        <f>I2396-'Blocking-Step2'!I2396</f>
        <v>0</v>
      </c>
      <c r="AH2396" s="2136">
        <f>K2396-'Blocking-Step2'!K2396</f>
        <v>0</v>
      </c>
      <c r="AJ2396" s="2136">
        <f>M2396-'Blocking-Step2'!M2396</f>
        <v>0</v>
      </c>
      <c r="AL2396" s="2136">
        <f>O2396-'Blocking-Step2'!O2396</f>
        <v>0</v>
      </c>
      <c r="AN2396" s="2137">
        <f>Q2396-'Blocking-Step2'!Q2396</f>
        <v>0</v>
      </c>
      <c r="AP2396" s="2127">
        <f>S2396-'Blocking-Step2'!S2396</f>
        <v>0</v>
      </c>
      <c r="AR2396" s="2127">
        <f>U2396-'Blocking-Step2'!U2396</f>
        <v>0</v>
      </c>
      <c r="AT2396" s="2127">
        <f>W2396-'Blocking-Step2'!W2396</f>
        <v>0</v>
      </c>
      <c r="AV2396" s="2128">
        <f>Y2396-'Blocking-Step2'!Y2396</f>
        <v>0</v>
      </c>
    </row>
    <row r="2397" spans="1:48" ht="16.5" hidden="1" thickTop="1">
      <c r="A2397" s="1116" t="s">
        <v>317</v>
      </c>
      <c r="C2397" s="1105"/>
      <c r="D2397" s="1105"/>
      <c r="F2397" s="1139"/>
      <c r="G2397" s="1110"/>
      <c r="H2397" s="1146"/>
      <c r="I2397" s="1146"/>
      <c r="K2397" s="1139"/>
      <c r="L2397" s="1110"/>
      <c r="M2397" s="1139"/>
      <c r="N2397" s="1110"/>
      <c r="O2397" s="1139"/>
      <c r="P2397" s="1110"/>
      <c r="Q2397" s="1139"/>
      <c r="R2397" s="1110"/>
      <c r="S2397" s="1146"/>
      <c r="T2397" s="1629"/>
      <c r="U2397" s="1146"/>
      <c r="V2397" s="1629"/>
      <c r="W2397" s="1146"/>
      <c r="X2397" s="1629"/>
      <c r="Y2397" s="1146"/>
      <c r="Z2397" s="2114">
        <f>C2397-'Blocking-Step2'!C2397</f>
        <v>0</v>
      </c>
      <c r="AA2397" s="2114">
        <f>D2397-'Blocking-Step2'!D2397</f>
        <v>0</v>
      </c>
      <c r="AC2397" s="2114">
        <f>F2397-'Blocking-Step2'!F2397</f>
        <v>0</v>
      </c>
      <c r="AE2397" s="2114">
        <f>H2397-'Blocking-Step2'!H2397</f>
        <v>0</v>
      </c>
      <c r="AF2397" s="2114">
        <f>I2397-'Blocking-Step2'!I2397</f>
        <v>0</v>
      </c>
      <c r="AH2397" s="2136">
        <f>K2397-'Blocking-Step2'!K2397</f>
        <v>0</v>
      </c>
      <c r="AJ2397" s="2136">
        <f>M2397-'Blocking-Step2'!M2397</f>
        <v>0</v>
      </c>
      <c r="AL2397" s="2136">
        <f>O2397-'Blocking-Step2'!O2397</f>
        <v>0</v>
      </c>
      <c r="AN2397" s="2137">
        <f>Q2397-'Blocking-Step2'!Q2397</f>
        <v>0</v>
      </c>
      <c r="AP2397" s="2127">
        <f>S2397-'Blocking-Step2'!S2397</f>
        <v>0</v>
      </c>
      <c r="AR2397" s="2127">
        <f>U2397-'Blocking-Step2'!U2397</f>
        <v>0</v>
      </c>
      <c r="AT2397" s="2127">
        <f>W2397-'Blocking-Step2'!W2397</f>
        <v>0</v>
      </c>
      <c r="AV2397" s="2128">
        <f>Y2397-'Blocking-Step2'!Y2397</f>
        <v>0</v>
      </c>
    </row>
    <row r="2398" spans="1:48" ht="16.5" hidden="1" thickTop="1">
      <c r="A2398" s="1116" t="s">
        <v>944</v>
      </c>
      <c r="C2398" s="1105">
        <v>8738</v>
      </c>
      <c r="D2398" s="1105">
        <v>8339</v>
      </c>
      <c r="F2398" s="1139">
        <v>32.35</v>
      </c>
      <c r="G2398" s="1110"/>
      <c r="H2398" s="1146">
        <v>282674</v>
      </c>
      <c r="I2398" s="1146">
        <v>269767</v>
      </c>
      <c r="K2398" s="1139"/>
      <c r="L2398" s="1110"/>
      <c r="M2398" s="1139"/>
      <c r="N2398" s="1110"/>
      <c r="O2398" s="1139"/>
      <c r="P2398" s="1110"/>
      <c r="Q2398" s="1139"/>
      <c r="R2398" s="1110"/>
      <c r="S2398" s="1146"/>
      <c r="T2398" s="1629"/>
      <c r="U2398" s="1146"/>
      <c r="V2398" s="1629"/>
      <c r="W2398" s="1146"/>
      <c r="X2398" s="1629"/>
      <c r="Y2398" s="1146"/>
      <c r="Z2398" s="2114">
        <f>C2398-'Blocking-Step2'!C2398</f>
        <v>0</v>
      </c>
      <c r="AA2398" s="2114">
        <f>D2398-'Blocking-Step2'!D2398</f>
        <v>0</v>
      </c>
      <c r="AC2398" s="2114">
        <f>F2398-'Blocking-Step2'!F2398</f>
        <v>0</v>
      </c>
      <c r="AE2398" s="2114">
        <f>H2398-'Blocking-Step2'!H2398</f>
        <v>0</v>
      </c>
      <c r="AF2398" s="2114">
        <f>I2398-'Blocking-Step2'!I2398</f>
        <v>0</v>
      </c>
      <c r="AH2398" s="2136">
        <f>K2398-'Blocking-Step2'!K2398</f>
        <v>0</v>
      </c>
      <c r="AJ2398" s="2136">
        <f>M2398-'Blocking-Step2'!M2398</f>
        <v>0</v>
      </c>
      <c r="AL2398" s="2136">
        <f>O2398-'Blocking-Step2'!O2398</f>
        <v>0</v>
      </c>
      <c r="AN2398" s="2137">
        <f>Q2398-'Blocking-Step2'!Q2398</f>
        <v>0</v>
      </c>
      <c r="AP2398" s="2127">
        <f>S2398-'Blocking-Step2'!S2398</f>
        <v>0</v>
      </c>
      <c r="AR2398" s="2127">
        <f>U2398-'Blocking-Step2'!U2398</f>
        <v>0</v>
      </c>
      <c r="AT2398" s="2127">
        <f>W2398-'Blocking-Step2'!W2398</f>
        <v>0</v>
      </c>
      <c r="AV2398" s="2128">
        <f>Y2398-'Blocking-Step2'!Y2398</f>
        <v>0</v>
      </c>
    </row>
    <row r="2399" spans="1:48" ht="16.5" hidden="1" thickTop="1">
      <c r="A2399" s="1116" t="s">
        <v>945</v>
      </c>
      <c r="C2399" s="1105">
        <v>984</v>
      </c>
      <c r="D2399" s="1105">
        <v>939</v>
      </c>
      <c r="F2399" s="1139">
        <v>23.36</v>
      </c>
      <c r="G2399" s="1110"/>
      <c r="H2399" s="1146">
        <v>22986</v>
      </c>
      <c r="I2399" s="1146">
        <v>21935</v>
      </c>
      <c r="K2399" s="1139"/>
      <c r="L2399" s="1110"/>
      <c r="M2399" s="1139"/>
      <c r="N2399" s="1110"/>
      <c r="O2399" s="1139"/>
      <c r="P2399" s="1110"/>
      <c r="Q2399" s="1139"/>
      <c r="R2399" s="1110"/>
      <c r="S2399" s="1146"/>
      <c r="T2399" s="1629"/>
      <c r="U2399" s="1146"/>
      <c r="V2399" s="1629"/>
      <c r="W2399" s="1146"/>
      <c r="X2399" s="1629"/>
      <c r="Y2399" s="1146"/>
      <c r="Z2399" s="2114">
        <f>C2399-'Blocking-Step2'!C2399</f>
        <v>0</v>
      </c>
      <c r="AA2399" s="2114">
        <f>D2399-'Blocking-Step2'!D2399</f>
        <v>0</v>
      </c>
      <c r="AC2399" s="2114">
        <f>F2399-'Blocking-Step2'!F2399</f>
        <v>0</v>
      </c>
      <c r="AE2399" s="2114">
        <f>H2399-'Blocking-Step2'!H2399</f>
        <v>0</v>
      </c>
      <c r="AF2399" s="2114">
        <f>I2399-'Blocking-Step2'!I2399</f>
        <v>0</v>
      </c>
      <c r="AH2399" s="2136">
        <f>K2399-'Blocking-Step2'!K2399</f>
        <v>0</v>
      </c>
      <c r="AJ2399" s="2136">
        <f>M2399-'Blocking-Step2'!M2399</f>
        <v>0</v>
      </c>
      <c r="AL2399" s="2136">
        <f>O2399-'Blocking-Step2'!O2399</f>
        <v>0</v>
      </c>
      <c r="AN2399" s="2137">
        <f>Q2399-'Blocking-Step2'!Q2399</f>
        <v>0</v>
      </c>
      <c r="AP2399" s="2127">
        <f>S2399-'Blocking-Step2'!S2399</f>
        <v>0</v>
      </c>
      <c r="AR2399" s="2127">
        <f>U2399-'Blocking-Step2'!U2399</f>
        <v>0</v>
      </c>
      <c r="AT2399" s="2127">
        <f>W2399-'Blocking-Step2'!W2399</f>
        <v>0</v>
      </c>
      <c r="AV2399" s="2128">
        <f>Y2399-'Blocking-Step2'!Y2399</f>
        <v>0</v>
      </c>
    </row>
    <row r="2400" spans="1:48" ht="16.5" hidden="1" thickTop="1">
      <c r="A2400" s="1116" t="s">
        <v>397</v>
      </c>
      <c r="C2400" s="1136"/>
      <c r="D2400" s="1136"/>
      <c r="F2400" s="1106"/>
      <c r="G2400" s="1107"/>
      <c r="H2400" s="1147">
        <v>1104480</v>
      </c>
      <c r="I2400" s="1147">
        <v>1056038</v>
      </c>
      <c r="K2400" s="1106"/>
      <c r="L2400" s="1107"/>
      <c r="M2400" s="1106"/>
      <c r="N2400" s="1107"/>
      <c r="O2400" s="1106"/>
      <c r="P2400" s="1107"/>
      <c r="Q2400" s="1106"/>
      <c r="R2400" s="1107"/>
      <c r="S2400" s="1147">
        <v>174866</v>
      </c>
      <c r="T2400" s="1114"/>
      <c r="U2400" s="1147">
        <v>856421</v>
      </c>
      <c r="V2400" s="1114"/>
      <c r="W2400" s="1147">
        <v>0</v>
      </c>
      <c r="X2400" s="1114"/>
      <c r="Y2400" s="1147">
        <v>1031287</v>
      </c>
      <c r="Z2400" s="2114">
        <f>C2400-'Blocking-Step2'!C2400</f>
        <v>0</v>
      </c>
      <c r="AA2400" s="2114">
        <f>D2400-'Blocking-Step2'!D2400</f>
        <v>0</v>
      </c>
      <c r="AC2400" s="2114">
        <f>F2400-'Blocking-Step2'!F2400</f>
        <v>0</v>
      </c>
      <c r="AE2400" s="2114">
        <f>H2400-'Blocking-Step2'!H2400</f>
        <v>0</v>
      </c>
      <c r="AF2400" s="2114">
        <f>I2400-'Blocking-Step2'!I2400</f>
        <v>0</v>
      </c>
      <c r="AH2400" s="2136">
        <f>K2400-'Blocking-Step2'!K2400</f>
        <v>0</v>
      </c>
      <c r="AJ2400" s="2136">
        <f>M2400-'Blocking-Step2'!M2400</f>
        <v>0</v>
      </c>
      <c r="AL2400" s="2136">
        <f>O2400-'Blocking-Step2'!O2400</f>
        <v>0</v>
      </c>
      <c r="AN2400" s="2137">
        <f>Q2400-'Blocking-Step2'!Q2400</f>
        <v>0</v>
      </c>
      <c r="AP2400" s="2127">
        <f>S2400-'Blocking-Step2'!S2400</f>
        <v>-426285</v>
      </c>
      <c r="AR2400" s="2127">
        <f>U2400-'Blocking-Step2'!U2400</f>
        <v>426282</v>
      </c>
      <c r="AT2400" s="2127">
        <f>W2400-'Blocking-Step2'!W2400</f>
        <v>0</v>
      </c>
      <c r="AV2400" s="2128">
        <f>Y2400-'Blocking-Step2'!Y2400</f>
        <v>0</v>
      </c>
    </row>
    <row r="2401" spans="1:48" ht="16.5" hidden="1" thickTop="1">
      <c r="A2401" s="2008" t="s">
        <v>442</v>
      </c>
      <c r="S2401" s="1627"/>
      <c r="U2401" s="1627"/>
      <c r="W2401" s="1627"/>
      <c r="Z2401" s="2114">
        <f>C2401-'Blocking-Step2'!C2401</f>
        <v>0</v>
      </c>
      <c r="AA2401" s="2114">
        <f>D2401-'Blocking-Step2'!D2401</f>
        <v>0</v>
      </c>
      <c r="AC2401" s="2114">
        <f>F2401-'Blocking-Step2'!F2401</f>
        <v>0</v>
      </c>
      <c r="AE2401" s="2114">
        <f>H2401-'Blocking-Step2'!H2401</f>
        <v>0</v>
      </c>
      <c r="AF2401" s="2114">
        <f>I2401-'Blocking-Step2'!I2401</f>
        <v>0</v>
      </c>
      <c r="AH2401" s="2136">
        <f>K2401-'Blocking-Step2'!K2401</f>
        <v>0</v>
      </c>
      <c r="AJ2401" s="2136">
        <f>M2401-'Blocking-Step2'!M2401</f>
        <v>0</v>
      </c>
      <c r="AL2401" s="2136">
        <f>O2401-'Blocking-Step2'!O2401</f>
        <v>0</v>
      </c>
      <c r="AN2401" s="2137">
        <f>Q2401-'Blocking-Step2'!Q2401</f>
        <v>0</v>
      </c>
      <c r="AP2401" s="2127">
        <f>S2401-'Blocking-Step2'!S2401</f>
        <v>0</v>
      </c>
      <c r="AR2401" s="2127">
        <f>U2401-'Blocking-Step2'!U2401</f>
        <v>0</v>
      </c>
      <c r="AT2401" s="2127">
        <f>W2401-'Blocking-Step2'!W2401</f>
        <v>0</v>
      </c>
      <c r="AV2401" s="2128">
        <f>Y2401-'Blocking-Step2'!Y2401</f>
        <v>0</v>
      </c>
    </row>
    <row r="2402" spans="1:48" ht="16.5" hidden="1" thickTop="1">
      <c r="A2402" s="1115" t="s">
        <v>443</v>
      </c>
      <c r="C2402" s="1105"/>
      <c r="D2402" s="1105"/>
      <c r="F2402" s="1142"/>
      <c r="G2402" s="617"/>
      <c r="H2402" s="1146"/>
      <c r="I2402" s="1146"/>
      <c r="K2402" s="1142"/>
      <c r="L2402" s="617"/>
      <c r="M2402" s="1142"/>
      <c r="N2402" s="617"/>
      <c r="O2402" s="1142"/>
      <c r="P2402" s="617"/>
      <c r="Q2402" s="1142"/>
      <c r="R2402" s="617"/>
      <c r="S2402" s="1146"/>
      <c r="T2402" s="1114"/>
      <c r="U2402" s="1146"/>
      <c r="V2402" s="1114"/>
      <c r="W2402" s="1146"/>
      <c r="X2402" s="1114"/>
      <c r="Y2402" s="1146"/>
      <c r="Z2402" s="2114">
        <f>C2402-'Blocking-Step2'!C2402</f>
        <v>0</v>
      </c>
      <c r="AA2402" s="2114">
        <f>D2402-'Blocking-Step2'!D2402</f>
        <v>0</v>
      </c>
      <c r="AC2402" s="2114">
        <f>F2402-'Blocking-Step2'!F2402</f>
        <v>0</v>
      </c>
      <c r="AE2402" s="2114">
        <f>H2402-'Blocking-Step2'!H2402</f>
        <v>0</v>
      </c>
      <c r="AF2402" s="2114">
        <f>I2402-'Blocking-Step2'!I2402</f>
        <v>0</v>
      </c>
      <c r="AH2402" s="2136">
        <f>K2402-'Blocking-Step2'!K2402</f>
        <v>0</v>
      </c>
      <c r="AJ2402" s="2136">
        <f>M2402-'Blocking-Step2'!M2402</f>
        <v>0</v>
      </c>
      <c r="AL2402" s="2136">
        <f>O2402-'Blocking-Step2'!O2402</f>
        <v>0</v>
      </c>
      <c r="AN2402" s="2137">
        <f>Q2402-'Blocking-Step2'!Q2402</f>
        <v>0</v>
      </c>
      <c r="AP2402" s="2127">
        <f>S2402-'Blocking-Step2'!S2402</f>
        <v>0</v>
      </c>
      <c r="AR2402" s="2127">
        <f>U2402-'Blocking-Step2'!U2402</f>
        <v>0</v>
      </c>
      <c r="AT2402" s="2127">
        <f>W2402-'Blocking-Step2'!W2402</f>
        <v>0</v>
      </c>
      <c r="AV2402" s="2128">
        <f>Y2402-'Blocking-Step2'!Y2402</f>
        <v>0</v>
      </c>
    </row>
    <row r="2403" spans="1:48" ht="16.5" hidden="1" thickTop="1">
      <c r="A2403" s="1116" t="s">
        <v>168</v>
      </c>
      <c r="C2403" s="1105">
        <v>29129</v>
      </c>
      <c r="D2403" s="1105">
        <v>27799</v>
      </c>
      <c r="F2403" s="1142">
        <v>4.76</v>
      </c>
      <c r="G2403" s="617"/>
      <c r="H2403" s="1146">
        <v>138654</v>
      </c>
      <c r="I2403" s="1146">
        <v>132323</v>
      </c>
      <c r="K2403" s="1142">
        <v>4.84</v>
      </c>
      <c r="L2403" s="617"/>
      <c r="M2403" s="1142">
        <v>0</v>
      </c>
      <c r="N2403" s="617"/>
      <c r="O2403" s="1142">
        <v>0</v>
      </c>
      <c r="P2403" s="617"/>
      <c r="Q2403" s="1142">
        <v>4.84</v>
      </c>
      <c r="R2403" s="617"/>
      <c r="S2403" s="1146">
        <v>134547</v>
      </c>
      <c r="T2403" s="1114"/>
      <c r="U2403" s="1146">
        <v>0</v>
      </c>
      <c r="V2403" s="1114"/>
      <c r="W2403" s="1146">
        <v>0</v>
      </c>
      <c r="X2403" s="1114"/>
      <c r="Y2403" s="1146">
        <v>134547</v>
      </c>
      <c r="Z2403" s="2114">
        <f>C2403-'Blocking-Step2'!C2403</f>
        <v>0</v>
      </c>
      <c r="AA2403" s="2114">
        <f>D2403-'Blocking-Step2'!D2403</f>
        <v>0</v>
      </c>
      <c r="AC2403" s="2114">
        <f>F2403-'Blocking-Step2'!F2403</f>
        <v>0</v>
      </c>
      <c r="AE2403" s="2114">
        <f>H2403-'Blocking-Step2'!H2403</f>
        <v>0</v>
      </c>
      <c r="AF2403" s="2114">
        <f>I2403-'Blocking-Step2'!I2403</f>
        <v>0</v>
      </c>
      <c r="AH2403" s="2136">
        <f>K2403-'Blocking-Step2'!K2403</f>
        <v>0</v>
      </c>
      <c r="AJ2403" s="2136">
        <f>M2403-'Blocking-Step2'!M2403</f>
        <v>0</v>
      </c>
      <c r="AL2403" s="2136">
        <f>O2403-'Blocking-Step2'!O2403</f>
        <v>0</v>
      </c>
      <c r="AN2403" s="2137">
        <f>Q2403-'Blocking-Step2'!Q2403</f>
        <v>0</v>
      </c>
      <c r="AP2403" s="2127">
        <f>S2403-'Blocking-Step2'!S2403</f>
        <v>0</v>
      </c>
      <c r="AR2403" s="2127">
        <f>U2403-'Blocking-Step2'!U2403</f>
        <v>0</v>
      </c>
      <c r="AT2403" s="2127">
        <f>W2403-'Blocking-Step2'!W2403</f>
        <v>0</v>
      </c>
      <c r="AV2403" s="2128">
        <f>Y2403-'Blocking-Step2'!Y2403</f>
        <v>0</v>
      </c>
    </row>
    <row r="2404" spans="1:48" ht="16.5" hidden="1" thickTop="1">
      <c r="A2404" s="1116" t="s">
        <v>1651</v>
      </c>
      <c r="C2404" s="1105">
        <v>2828.2164038624519</v>
      </c>
      <c r="D2404" s="1105">
        <v>2699</v>
      </c>
      <c r="F2404" s="1142"/>
      <c r="G2404" s="617"/>
      <c r="H2404" s="1146"/>
      <c r="I2404" s="1146"/>
      <c r="K2404" s="1142">
        <v>0</v>
      </c>
      <c r="L2404" s="617"/>
      <c r="M2404" s="1142">
        <v>15.83</v>
      </c>
      <c r="N2404" s="617"/>
      <c r="O2404" s="1142">
        <v>0</v>
      </c>
      <c r="P2404" s="617"/>
      <c r="Q2404" s="1142">
        <v>15.83</v>
      </c>
      <c r="R2404" s="617"/>
      <c r="S2404" s="1146">
        <v>0</v>
      </c>
      <c r="T2404" s="1114"/>
      <c r="U2404" s="1146">
        <v>42725</v>
      </c>
      <c r="V2404" s="1114"/>
      <c r="W2404" s="1146">
        <v>0</v>
      </c>
      <c r="X2404" s="1114"/>
      <c r="Y2404" s="1146">
        <v>42725</v>
      </c>
      <c r="Z2404" s="2114">
        <f>C2404-'Blocking-Step2'!C2404</f>
        <v>0</v>
      </c>
      <c r="AA2404" s="2114">
        <f>D2404-'Blocking-Step2'!D2404</f>
        <v>0</v>
      </c>
      <c r="AC2404" s="2114">
        <f>F2404-'Blocking-Step2'!F2404</f>
        <v>0</v>
      </c>
      <c r="AE2404" s="2114">
        <f>H2404-'Blocking-Step2'!H2404</f>
        <v>0</v>
      </c>
      <c r="AF2404" s="2114">
        <f>I2404-'Blocking-Step2'!I2404</f>
        <v>0</v>
      </c>
      <c r="AH2404" s="2136">
        <f>K2404-'Blocking-Step2'!K2404</f>
        <v>-7.23</v>
      </c>
      <c r="AJ2404" s="2136">
        <f>M2404-'Blocking-Step2'!M2404</f>
        <v>7.23</v>
      </c>
      <c r="AL2404" s="2136">
        <f>O2404-'Blocking-Step2'!O2404</f>
        <v>0</v>
      </c>
      <c r="AN2404" s="2137">
        <f>Q2404-'Blocking-Step2'!Q2404</f>
        <v>0</v>
      </c>
      <c r="AP2404" s="2127">
        <f>S2404-'Blocking-Step2'!S2404</f>
        <v>-19514</v>
      </c>
      <c r="AR2404" s="2127">
        <f>U2404-'Blocking-Step2'!U2404</f>
        <v>19514</v>
      </c>
      <c r="AT2404" s="2127">
        <f>W2404-'Blocking-Step2'!W2404</f>
        <v>0</v>
      </c>
      <c r="AV2404" s="2128">
        <f>Y2404-'Blocking-Step2'!Y2404</f>
        <v>0</v>
      </c>
    </row>
    <row r="2405" spans="1:48" ht="16.5" hidden="1" thickTop="1">
      <c r="A2405" s="1116" t="s">
        <v>1652</v>
      </c>
      <c r="C2405" s="1105">
        <v>28169.780665940372</v>
      </c>
      <c r="D2405" s="1105">
        <v>26884</v>
      </c>
      <c r="F2405" s="1142"/>
      <c r="G2405" s="617"/>
      <c r="H2405" s="1146"/>
      <c r="I2405" s="1146"/>
      <c r="K2405" s="1142">
        <v>0</v>
      </c>
      <c r="L2405" s="617"/>
      <c r="M2405" s="1142">
        <v>14.01</v>
      </c>
      <c r="N2405" s="617"/>
      <c r="O2405" s="1142">
        <v>0</v>
      </c>
      <c r="P2405" s="617"/>
      <c r="Q2405" s="1142">
        <v>14.01</v>
      </c>
      <c r="R2405" s="617"/>
      <c r="S2405" s="1146">
        <v>0</v>
      </c>
      <c r="T2405" s="1114"/>
      <c r="U2405" s="1146">
        <v>376645</v>
      </c>
      <c r="V2405" s="1114"/>
      <c r="W2405" s="1146">
        <v>0</v>
      </c>
      <c r="X2405" s="1114"/>
      <c r="Y2405" s="1146">
        <v>376645</v>
      </c>
      <c r="Z2405" s="2114">
        <f>C2405-'Blocking-Step2'!C2405</f>
        <v>0</v>
      </c>
      <c r="AA2405" s="2114">
        <f>D2405-'Blocking-Step2'!D2405</f>
        <v>0</v>
      </c>
      <c r="AC2405" s="2114">
        <f>F2405-'Blocking-Step2'!F2405</f>
        <v>0</v>
      </c>
      <c r="AE2405" s="2114">
        <f>H2405-'Blocking-Step2'!H2405</f>
        <v>0</v>
      </c>
      <c r="AF2405" s="2114">
        <f>I2405-'Blocking-Step2'!I2405</f>
        <v>0</v>
      </c>
      <c r="AH2405" s="2136">
        <f>K2405-'Blocking-Step2'!K2405</f>
        <v>-6.4</v>
      </c>
      <c r="AJ2405" s="2136">
        <f>M2405-'Blocking-Step2'!M2405</f>
        <v>6.4</v>
      </c>
      <c r="AL2405" s="2136">
        <f>O2405-'Blocking-Step2'!O2405</f>
        <v>0</v>
      </c>
      <c r="AN2405" s="2137">
        <f>Q2405-'Blocking-Step2'!Q2405</f>
        <v>0</v>
      </c>
      <c r="AP2405" s="2127">
        <f>S2405-'Blocking-Step2'!S2405</f>
        <v>-172058</v>
      </c>
      <c r="AR2405" s="2127">
        <f>U2405-'Blocking-Step2'!U2405</f>
        <v>172058</v>
      </c>
      <c r="AT2405" s="2127">
        <f>W2405-'Blocking-Step2'!W2405</f>
        <v>0</v>
      </c>
      <c r="AV2405" s="2128">
        <f>Y2405-'Blocking-Step2'!Y2405</f>
        <v>0</v>
      </c>
    </row>
    <row r="2406" spans="1:48" ht="16.5" hidden="1" thickTop="1">
      <c r="A2406" s="1116" t="s">
        <v>1532</v>
      </c>
      <c r="C2406" s="1105">
        <v>943370.68349318916</v>
      </c>
      <c r="D2406" s="1105">
        <v>905085</v>
      </c>
      <c r="F2406" s="1106"/>
      <c r="G2406" s="1921"/>
      <c r="H2406" s="1146"/>
      <c r="I2406" s="1146"/>
      <c r="K2406" s="1106">
        <v>0</v>
      </c>
      <c r="L2406" s="1921" t="s">
        <v>495</v>
      </c>
      <c r="M2406" s="1106">
        <v>1.4166000000000001</v>
      </c>
      <c r="N2406" s="1921" t="s">
        <v>495</v>
      </c>
      <c r="O2406" s="1106">
        <v>4.4476704152740005</v>
      </c>
      <c r="P2406" s="1921" t="s">
        <v>495</v>
      </c>
      <c r="Q2406" s="1106">
        <v>5.8642704152740004</v>
      </c>
      <c r="R2406" s="1921" t="s">
        <v>495</v>
      </c>
      <c r="S2406" s="1146">
        <v>0</v>
      </c>
      <c r="T2406" s="1648"/>
      <c r="U2406" s="1146">
        <v>12821</v>
      </c>
      <c r="V2406" s="1648"/>
      <c r="W2406" s="1146">
        <v>40255</v>
      </c>
      <c r="X2406" s="1648"/>
      <c r="Y2406" s="1146">
        <v>53077</v>
      </c>
      <c r="Z2406" s="2114">
        <f>C2406-'Blocking-Step2'!C2406</f>
        <v>0</v>
      </c>
      <c r="AA2406" s="2114">
        <f>D2406-'Blocking-Step2'!D2406</f>
        <v>0</v>
      </c>
      <c r="AC2406" s="2114">
        <f>F2406-'Blocking-Step2'!F2406</f>
        <v>0</v>
      </c>
      <c r="AE2406" s="2114">
        <f>H2406-'Blocking-Step2'!H2406</f>
        <v>0</v>
      </c>
      <c r="AF2406" s="2114">
        <f>I2406-'Blocking-Step2'!I2406</f>
        <v>0</v>
      </c>
      <c r="AH2406" s="2136">
        <f>K2406-'Blocking-Step2'!K2406</f>
        <v>0</v>
      </c>
      <c r="AJ2406" s="2136">
        <f>M2406-'Blocking-Step2'!M2406</f>
        <v>0</v>
      </c>
      <c r="AL2406" s="2136">
        <f>O2406-'Blocking-Step2'!O2406</f>
        <v>0</v>
      </c>
      <c r="AN2406" s="2137">
        <f>Q2406-'Blocking-Step2'!Q2406</f>
        <v>0</v>
      </c>
      <c r="AP2406" s="2127">
        <f>S2406-'Blocking-Step2'!S2406</f>
        <v>0</v>
      </c>
      <c r="AR2406" s="2127">
        <f>U2406-'Blocking-Step2'!U2406</f>
        <v>0</v>
      </c>
      <c r="AT2406" s="2127">
        <f>W2406-'Blocking-Step2'!W2406</f>
        <v>0</v>
      </c>
      <c r="AV2406" s="2128">
        <f>Y2406-'Blocking-Step2'!Y2406</f>
        <v>0</v>
      </c>
    </row>
    <row r="2407" spans="1:48" ht="16.5" hidden="1" thickTop="1">
      <c r="A2407" s="1116" t="s">
        <v>1653</v>
      </c>
      <c r="C2407" s="1105">
        <v>2666759.3334862269</v>
      </c>
      <c r="D2407" s="1105">
        <v>2558532</v>
      </c>
      <c r="F2407" s="1106"/>
      <c r="G2407" s="1921"/>
      <c r="H2407" s="1146"/>
      <c r="I2407" s="1146"/>
      <c r="K2407" s="1106">
        <v>0</v>
      </c>
      <c r="L2407" s="1921" t="s">
        <v>495</v>
      </c>
      <c r="M2407" s="1106">
        <v>1.4166000000000001</v>
      </c>
      <c r="N2407" s="1921" t="s">
        <v>495</v>
      </c>
      <c r="O2407" s="1106">
        <v>3.7730198365260001</v>
      </c>
      <c r="P2407" s="1921" t="s">
        <v>495</v>
      </c>
      <c r="Q2407" s="1106">
        <v>5.189619836526</v>
      </c>
      <c r="R2407" s="1921" t="s">
        <v>495</v>
      </c>
      <c r="S2407" s="1146">
        <v>0</v>
      </c>
      <c r="T2407" s="1648"/>
      <c r="U2407" s="1146">
        <v>36244</v>
      </c>
      <c r="V2407" s="1648"/>
      <c r="W2407" s="1146">
        <v>96534</v>
      </c>
      <c r="X2407" s="1648"/>
      <c r="Y2407" s="1146">
        <v>132778</v>
      </c>
      <c r="Z2407" s="2114">
        <f>C2407-'Blocking-Step2'!C2407</f>
        <v>0</v>
      </c>
      <c r="AA2407" s="2114">
        <f>D2407-'Blocking-Step2'!D2407</f>
        <v>0</v>
      </c>
      <c r="AC2407" s="2114">
        <f>F2407-'Blocking-Step2'!F2407</f>
        <v>0</v>
      </c>
      <c r="AE2407" s="2114">
        <f>H2407-'Blocking-Step2'!H2407</f>
        <v>0</v>
      </c>
      <c r="AF2407" s="2114">
        <f>I2407-'Blocking-Step2'!I2407</f>
        <v>0</v>
      </c>
      <c r="AH2407" s="2136">
        <f>K2407-'Blocking-Step2'!K2407</f>
        <v>0</v>
      </c>
      <c r="AJ2407" s="2136">
        <f>M2407-'Blocking-Step2'!M2407</f>
        <v>0</v>
      </c>
      <c r="AL2407" s="2136">
        <f>O2407-'Blocking-Step2'!O2407</f>
        <v>0</v>
      </c>
      <c r="AN2407" s="2137">
        <f>Q2407-'Blocking-Step2'!Q2407</f>
        <v>0</v>
      </c>
      <c r="AP2407" s="2127">
        <f>S2407-'Blocking-Step2'!S2407</f>
        <v>0</v>
      </c>
      <c r="AR2407" s="2127">
        <f>U2407-'Blocking-Step2'!U2407</f>
        <v>0</v>
      </c>
      <c r="AT2407" s="2127">
        <f>W2407-'Blocking-Step2'!W2407</f>
        <v>0</v>
      </c>
      <c r="AV2407" s="2128">
        <f>Y2407-'Blocking-Step2'!Y2407</f>
        <v>0</v>
      </c>
    </row>
    <row r="2408" spans="1:48" ht="16.5" hidden="1" thickTop="1">
      <c r="A2408" s="1116" t="s">
        <v>1533</v>
      </c>
      <c r="C2408" s="1105">
        <v>4194488.0053539481</v>
      </c>
      <c r="D2408" s="1105">
        <v>4024260</v>
      </c>
      <c r="F2408" s="1106"/>
      <c r="G2408" s="1921"/>
      <c r="H2408" s="1146"/>
      <c r="I2408" s="1146"/>
      <c r="K2408" s="1106">
        <v>0</v>
      </c>
      <c r="L2408" s="1921" t="s">
        <v>495</v>
      </c>
      <c r="M2408" s="1106">
        <v>1.4166000000000001</v>
      </c>
      <c r="N2408" s="1921" t="s">
        <v>495</v>
      </c>
      <c r="O2408" s="1106">
        <v>1.5641055047420001</v>
      </c>
      <c r="P2408" s="1921" t="s">
        <v>495</v>
      </c>
      <c r="Q2408" s="1106">
        <v>2.9807055047420001</v>
      </c>
      <c r="R2408" s="1921" t="s">
        <v>495</v>
      </c>
      <c r="S2408" s="1146">
        <v>0</v>
      </c>
      <c r="T2408" s="1648"/>
      <c r="U2408" s="1146">
        <v>57008</v>
      </c>
      <c r="V2408" s="1648"/>
      <c r="W2408" s="1146">
        <v>62944</v>
      </c>
      <c r="X2408" s="1648"/>
      <c r="Y2408" s="1146">
        <v>119951</v>
      </c>
      <c r="Z2408" s="2114">
        <f>C2408-'Blocking-Step2'!C2408</f>
        <v>0</v>
      </c>
      <c r="AA2408" s="2114">
        <f>D2408-'Blocking-Step2'!D2408</f>
        <v>0</v>
      </c>
      <c r="AC2408" s="2114">
        <f>F2408-'Blocking-Step2'!F2408</f>
        <v>0</v>
      </c>
      <c r="AE2408" s="2114">
        <f>H2408-'Blocking-Step2'!H2408</f>
        <v>0</v>
      </c>
      <c r="AF2408" s="2114">
        <f>I2408-'Blocking-Step2'!I2408</f>
        <v>0</v>
      </c>
      <c r="AH2408" s="2136">
        <f>K2408-'Blocking-Step2'!K2408</f>
        <v>0</v>
      </c>
      <c r="AJ2408" s="2136">
        <f>M2408-'Blocking-Step2'!M2408</f>
        <v>0</v>
      </c>
      <c r="AL2408" s="2136">
        <f>O2408-'Blocking-Step2'!O2408</f>
        <v>0</v>
      </c>
      <c r="AN2408" s="2137">
        <f>Q2408-'Blocking-Step2'!Q2408</f>
        <v>0</v>
      </c>
      <c r="AP2408" s="2127">
        <f>S2408-'Blocking-Step2'!S2408</f>
        <v>0</v>
      </c>
      <c r="AR2408" s="2127">
        <f>U2408-'Blocking-Step2'!U2408</f>
        <v>0</v>
      </c>
      <c r="AT2408" s="2127">
        <f>W2408-'Blocking-Step2'!W2408</f>
        <v>0</v>
      </c>
      <c r="AV2408" s="2128">
        <f>Y2408-'Blocking-Step2'!Y2408</f>
        <v>0</v>
      </c>
    </row>
    <row r="2409" spans="1:48" ht="16.5" hidden="1" thickTop="1">
      <c r="A2409" s="1116" t="s">
        <v>2177</v>
      </c>
      <c r="C2409" s="1105">
        <v>7840981.977666636</v>
      </c>
      <c r="D2409" s="1105">
        <v>7522766</v>
      </c>
      <c r="F2409" s="1106"/>
      <c r="G2409" s="1921"/>
      <c r="H2409" s="1146"/>
      <c r="I2409" s="1146"/>
      <c r="K2409" s="1106">
        <v>0</v>
      </c>
      <c r="L2409" s="1921" t="s">
        <v>495</v>
      </c>
      <c r="M2409" s="1106">
        <v>1.4166000000000001</v>
      </c>
      <c r="N2409" s="1921" t="s">
        <v>495</v>
      </c>
      <c r="O2409" s="1106">
        <v>1.2211924820729998</v>
      </c>
      <c r="P2409" s="1921" t="s">
        <v>495</v>
      </c>
      <c r="Q2409" s="1106">
        <v>2.6377924820729999</v>
      </c>
      <c r="R2409" s="1921" t="s">
        <v>495</v>
      </c>
      <c r="S2409" s="1146">
        <v>0</v>
      </c>
      <c r="T2409" s="1648"/>
      <c r="U2409" s="1146">
        <v>106568</v>
      </c>
      <c r="V2409" s="1648"/>
      <c r="W2409" s="1146">
        <v>91867</v>
      </c>
      <c r="X2409" s="1648"/>
      <c r="Y2409" s="1146">
        <v>198435</v>
      </c>
      <c r="Z2409" s="2114">
        <f>C2409-'Blocking-Step2'!C2409</f>
        <v>0</v>
      </c>
      <c r="AA2409" s="2114">
        <f>D2409-'Blocking-Step2'!D2409</f>
        <v>0</v>
      </c>
      <c r="AC2409" s="2114">
        <f>F2409-'Blocking-Step2'!F2409</f>
        <v>0</v>
      </c>
      <c r="AE2409" s="2114">
        <f>H2409-'Blocking-Step2'!H2409</f>
        <v>0</v>
      </c>
      <c r="AF2409" s="2114">
        <f>I2409-'Blocking-Step2'!I2409</f>
        <v>0</v>
      </c>
      <c r="AH2409" s="2136">
        <f>K2409-'Blocking-Step2'!K2409</f>
        <v>0</v>
      </c>
      <c r="AJ2409" s="2136">
        <f>M2409-'Blocking-Step2'!M2409</f>
        <v>0</v>
      </c>
      <c r="AL2409" s="2136">
        <f>O2409-'Blocking-Step2'!O2409</f>
        <v>0</v>
      </c>
      <c r="AN2409" s="2137">
        <f>Q2409-'Blocking-Step2'!Q2409</f>
        <v>0</v>
      </c>
      <c r="AP2409" s="2127">
        <f>S2409-'Blocking-Step2'!S2409</f>
        <v>0</v>
      </c>
      <c r="AR2409" s="2127">
        <f>U2409-'Blocking-Step2'!U2409</f>
        <v>0</v>
      </c>
      <c r="AT2409" s="2127">
        <f>W2409-'Blocking-Step2'!W2409</f>
        <v>0</v>
      </c>
      <c r="AV2409" s="2128">
        <f>Y2409-'Blocking-Step2'!Y2409</f>
        <v>0</v>
      </c>
    </row>
    <row r="2410" spans="1:48" ht="16.5" hidden="1" thickTop="1">
      <c r="A2410" s="1116" t="s">
        <v>18</v>
      </c>
      <c r="C2410" s="1105">
        <v>3500</v>
      </c>
      <c r="D2410" s="1105">
        <v>3340</v>
      </c>
      <c r="F2410" s="1142">
        <v>15.56</v>
      </c>
      <c r="G2410" s="617"/>
      <c r="H2410" s="1146">
        <v>54460</v>
      </c>
      <c r="I2410" s="1146">
        <v>51970</v>
      </c>
      <c r="K2410" s="1142"/>
      <c r="L2410" s="617"/>
      <c r="M2410" s="1142"/>
      <c r="N2410" s="617"/>
      <c r="O2410" s="1142"/>
      <c r="P2410" s="617"/>
      <c r="Q2410" s="1142"/>
      <c r="R2410" s="617"/>
      <c r="S2410" s="1146"/>
      <c r="T2410" s="1114"/>
      <c r="U2410" s="1146"/>
      <c r="V2410" s="1114"/>
      <c r="W2410" s="1146"/>
      <c r="X2410" s="1114"/>
      <c r="Y2410" s="1146"/>
      <c r="Z2410" s="2114">
        <f>C2410-'Blocking-Step2'!C2410</f>
        <v>0</v>
      </c>
      <c r="AA2410" s="2114">
        <f>D2410-'Blocking-Step2'!D2410</f>
        <v>0</v>
      </c>
      <c r="AC2410" s="2114">
        <f>F2410-'Blocking-Step2'!F2410</f>
        <v>0</v>
      </c>
      <c r="AE2410" s="2114">
        <f>H2410-'Blocking-Step2'!H2410</f>
        <v>0</v>
      </c>
      <c r="AF2410" s="2114">
        <f>I2410-'Blocking-Step2'!I2410</f>
        <v>0</v>
      </c>
      <c r="AH2410" s="2136">
        <f>K2410-'Blocking-Step2'!K2410</f>
        <v>0</v>
      </c>
      <c r="AJ2410" s="2136">
        <f>M2410-'Blocking-Step2'!M2410</f>
        <v>0</v>
      </c>
      <c r="AL2410" s="2136">
        <f>O2410-'Blocking-Step2'!O2410</f>
        <v>0</v>
      </c>
      <c r="AN2410" s="2137">
        <f>Q2410-'Blocking-Step2'!Q2410</f>
        <v>0</v>
      </c>
      <c r="AP2410" s="2127">
        <f>S2410-'Blocking-Step2'!S2410</f>
        <v>0</v>
      </c>
      <c r="AR2410" s="2127">
        <f>U2410-'Blocking-Step2'!U2410</f>
        <v>0</v>
      </c>
      <c r="AT2410" s="2127">
        <f>W2410-'Blocking-Step2'!W2410</f>
        <v>0</v>
      </c>
      <c r="AV2410" s="2128">
        <f>Y2410-'Blocking-Step2'!Y2410</f>
        <v>0</v>
      </c>
    </row>
    <row r="2411" spans="1:48" ht="16.5" hidden="1" thickTop="1">
      <c r="A2411" s="1116" t="s">
        <v>166</v>
      </c>
      <c r="C2411" s="1105">
        <v>25538</v>
      </c>
      <c r="D2411" s="1105">
        <v>24372</v>
      </c>
      <c r="F2411" s="1142">
        <v>11.19</v>
      </c>
      <c r="G2411" s="617"/>
      <c r="H2411" s="1146">
        <v>285770</v>
      </c>
      <c r="I2411" s="1146">
        <v>272723</v>
      </c>
      <c r="K2411" s="1142"/>
      <c r="L2411" s="617"/>
      <c r="M2411" s="1142"/>
      <c r="N2411" s="617"/>
      <c r="O2411" s="1142"/>
      <c r="P2411" s="617"/>
      <c r="Q2411" s="1142"/>
      <c r="R2411" s="617"/>
      <c r="S2411" s="1146"/>
      <c r="T2411" s="1114"/>
      <c r="U2411" s="1146"/>
      <c r="V2411" s="1114"/>
      <c r="W2411" s="1146"/>
      <c r="X2411" s="1114"/>
      <c r="Y2411" s="1146"/>
      <c r="Z2411" s="2114">
        <f>C2411-'Blocking-Step2'!C2411</f>
        <v>0</v>
      </c>
      <c r="AA2411" s="2114">
        <f>D2411-'Blocking-Step2'!D2411</f>
        <v>0</v>
      </c>
      <c r="AC2411" s="2114">
        <f>F2411-'Blocking-Step2'!F2411</f>
        <v>0</v>
      </c>
      <c r="AE2411" s="2114">
        <f>H2411-'Blocking-Step2'!H2411</f>
        <v>0</v>
      </c>
      <c r="AF2411" s="2114">
        <f>I2411-'Blocking-Step2'!I2411</f>
        <v>0</v>
      </c>
      <c r="AH2411" s="2136">
        <f>K2411-'Blocking-Step2'!K2411</f>
        <v>0</v>
      </c>
      <c r="AJ2411" s="2136">
        <f>M2411-'Blocking-Step2'!M2411</f>
        <v>0</v>
      </c>
      <c r="AL2411" s="2136">
        <f>O2411-'Blocking-Step2'!O2411</f>
        <v>0</v>
      </c>
      <c r="AN2411" s="2137">
        <f>Q2411-'Blocking-Step2'!Q2411</f>
        <v>0</v>
      </c>
      <c r="AP2411" s="2127">
        <f>S2411-'Blocking-Step2'!S2411</f>
        <v>0</v>
      </c>
      <c r="AR2411" s="2127">
        <f>U2411-'Blocking-Step2'!U2411</f>
        <v>0</v>
      </c>
      <c r="AT2411" s="2127">
        <f>W2411-'Blocking-Step2'!W2411</f>
        <v>0</v>
      </c>
      <c r="AV2411" s="2128">
        <f>Y2411-'Blocking-Step2'!Y2411</f>
        <v>0</v>
      </c>
    </row>
    <row r="2412" spans="1:48" ht="16.5" hidden="1" thickTop="1">
      <c r="A2412" s="1116" t="s">
        <v>261</v>
      </c>
      <c r="C2412" s="1105">
        <v>29038</v>
      </c>
      <c r="D2412" s="1105">
        <v>27713</v>
      </c>
      <c r="F2412" s="1142">
        <v>-1.1299999999999999</v>
      </c>
      <c r="G2412" s="617"/>
      <c r="H2412" s="1146">
        <v>-32813</v>
      </c>
      <c r="I2412" s="1146">
        <v>-31316</v>
      </c>
      <c r="K2412" s="1142">
        <v>-1.1299999999999999</v>
      </c>
      <c r="L2412" s="617"/>
      <c r="M2412" s="1142">
        <v>0</v>
      </c>
      <c r="N2412" s="617"/>
      <c r="O2412" s="1142">
        <v>0</v>
      </c>
      <c r="P2412" s="617"/>
      <c r="Q2412" s="1142">
        <v>-1.1299999999999999</v>
      </c>
      <c r="R2412" s="617"/>
      <c r="S2412" s="1146">
        <v>-31316</v>
      </c>
      <c r="T2412" s="1114"/>
      <c r="U2412" s="1146">
        <v>0</v>
      </c>
      <c r="V2412" s="1114"/>
      <c r="W2412" s="1146">
        <v>0</v>
      </c>
      <c r="X2412" s="1114"/>
      <c r="Y2412" s="1146">
        <v>-31316</v>
      </c>
      <c r="Z2412" s="2114">
        <f>C2412-'Blocking-Step2'!C2412</f>
        <v>0</v>
      </c>
      <c r="AA2412" s="2114">
        <f>D2412-'Blocking-Step2'!D2412</f>
        <v>0</v>
      </c>
      <c r="AC2412" s="2114">
        <f>F2412-'Blocking-Step2'!F2412</f>
        <v>0</v>
      </c>
      <c r="AE2412" s="2114">
        <f>H2412-'Blocking-Step2'!H2412</f>
        <v>0</v>
      </c>
      <c r="AF2412" s="2114">
        <f>I2412-'Blocking-Step2'!I2412</f>
        <v>0</v>
      </c>
      <c r="AH2412" s="2136">
        <f>K2412-'Blocking-Step2'!K2412</f>
        <v>0</v>
      </c>
      <c r="AJ2412" s="2136">
        <f>M2412-'Blocking-Step2'!M2412</f>
        <v>0</v>
      </c>
      <c r="AL2412" s="2136">
        <f>O2412-'Blocking-Step2'!O2412</f>
        <v>0</v>
      </c>
      <c r="AN2412" s="2137">
        <f>Q2412-'Blocking-Step2'!Q2412</f>
        <v>0</v>
      </c>
      <c r="AP2412" s="2127">
        <f>S2412-'Blocking-Step2'!S2412</f>
        <v>0</v>
      </c>
      <c r="AR2412" s="2127">
        <f>U2412-'Blocking-Step2'!U2412</f>
        <v>0</v>
      </c>
      <c r="AT2412" s="2127">
        <f>W2412-'Blocking-Step2'!W2412</f>
        <v>0</v>
      </c>
      <c r="AV2412" s="2128">
        <f>Y2412-'Blocking-Step2'!Y2412</f>
        <v>0</v>
      </c>
    </row>
    <row r="2413" spans="1:48" ht="16.5" hidden="1" thickTop="1">
      <c r="A2413" s="1116" t="s">
        <v>188</v>
      </c>
      <c r="C2413" s="1105">
        <v>1183200</v>
      </c>
      <c r="D2413" s="1105">
        <v>1135181.6666666567</v>
      </c>
      <c r="F2413" s="1106">
        <v>5.0473999999999997</v>
      </c>
      <c r="G2413" s="1921" t="s">
        <v>495</v>
      </c>
      <c r="H2413" s="1146">
        <v>59721</v>
      </c>
      <c r="I2413" s="1146">
        <v>57297</v>
      </c>
      <c r="K2413" s="1106"/>
      <c r="L2413" s="1921"/>
      <c r="M2413" s="1106"/>
      <c r="N2413" s="1921"/>
      <c r="O2413" s="1106"/>
      <c r="P2413" s="1921"/>
      <c r="Q2413" s="1106"/>
      <c r="R2413" s="1921"/>
      <c r="S2413" s="1146"/>
      <c r="T2413" s="1648"/>
      <c r="U2413" s="1146"/>
      <c r="V2413" s="1648"/>
      <c r="W2413" s="1146"/>
      <c r="X2413" s="1648"/>
      <c r="Y2413" s="1146"/>
      <c r="Z2413" s="2114">
        <f>C2413-'Blocking-Step2'!C2413</f>
        <v>0</v>
      </c>
      <c r="AA2413" s="2114">
        <f>D2413-'Blocking-Step2'!D2413</f>
        <v>0</v>
      </c>
      <c r="AC2413" s="2114">
        <f>F2413-'Blocking-Step2'!F2413</f>
        <v>0</v>
      </c>
      <c r="AE2413" s="2114">
        <f>H2413-'Blocking-Step2'!H2413</f>
        <v>0</v>
      </c>
      <c r="AF2413" s="2114">
        <f>I2413-'Blocking-Step2'!I2413</f>
        <v>0</v>
      </c>
      <c r="AH2413" s="2136">
        <f>K2413-'Blocking-Step2'!K2413</f>
        <v>0</v>
      </c>
      <c r="AJ2413" s="2136">
        <f>M2413-'Blocking-Step2'!M2413</f>
        <v>0</v>
      </c>
      <c r="AL2413" s="2136">
        <f>O2413-'Blocking-Step2'!O2413</f>
        <v>0</v>
      </c>
      <c r="AN2413" s="2137">
        <f>Q2413-'Blocking-Step2'!Q2413</f>
        <v>0</v>
      </c>
      <c r="AP2413" s="2127">
        <f>S2413-'Blocking-Step2'!S2413</f>
        <v>0</v>
      </c>
      <c r="AR2413" s="2127">
        <f>U2413-'Blocking-Step2'!U2413</f>
        <v>0</v>
      </c>
      <c r="AT2413" s="2127">
        <f>W2413-'Blocking-Step2'!W2413</f>
        <v>0</v>
      </c>
      <c r="AV2413" s="2128">
        <f>Y2413-'Blocking-Step2'!Y2413</f>
        <v>0</v>
      </c>
    </row>
    <row r="2414" spans="1:48" ht="16.5" hidden="1" thickTop="1">
      <c r="A2414" s="1116" t="s">
        <v>163</v>
      </c>
      <c r="C2414" s="1105">
        <v>5407200</v>
      </c>
      <c r="D2414" s="1105">
        <v>5187756</v>
      </c>
      <c r="F2414" s="1106">
        <v>3.9510999999999998</v>
      </c>
      <c r="G2414" s="1921" t="s">
        <v>495</v>
      </c>
      <c r="H2414" s="1146">
        <v>213644</v>
      </c>
      <c r="I2414" s="1146">
        <v>204973</v>
      </c>
      <c r="K2414" s="1106"/>
      <c r="L2414" s="1921"/>
      <c r="M2414" s="1106"/>
      <c r="N2414" s="1921"/>
      <c r="O2414" s="1106"/>
      <c r="P2414" s="1921"/>
      <c r="Q2414" s="1106"/>
      <c r="R2414" s="1921"/>
      <c r="S2414" s="1146"/>
      <c r="T2414" s="1648"/>
      <c r="U2414" s="1146"/>
      <c r="V2414" s="1648"/>
      <c r="W2414" s="1146"/>
      <c r="X2414" s="1648"/>
      <c r="Y2414" s="1146"/>
      <c r="Z2414" s="2114">
        <f>C2414-'Blocking-Step2'!C2414</f>
        <v>0</v>
      </c>
      <c r="AA2414" s="2114">
        <f>D2414-'Blocking-Step2'!D2414</f>
        <v>0</v>
      </c>
      <c r="AC2414" s="2114">
        <f>F2414-'Blocking-Step2'!F2414</f>
        <v>0</v>
      </c>
      <c r="AE2414" s="2114">
        <f>H2414-'Blocking-Step2'!H2414</f>
        <v>0</v>
      </c>
      <c r="AF2414" s="2114">
        <f>I2414-'Blocking-Step2'!I2414</f>
        <v>0</v>
      </c>
      <c r="AH2414" s="2136">
        <f>K2414-'Blocking-Step2'!K2414</f>
        <v>0</v>
      </c>
      <c r="AJ2414" s="2136">
        <f>M2414-'Blocking-Step2'!M2414</f>
        <v>0</v>
      </c>
      <c r="AL2414" s="2136">
        <f>O2414-'Blocking-Step2'!O2414</f>
        <v>0</v>
      </c>
      <c r="AN2414" s="2137">
        <f>Q2414-'Blocking-Step2'!Q2414</f>
        <v>0</v>
      </c>
      <c r="AP2414" s="2127">
        <f>S2414-'Blocking-Step2'!S2414</f>
        <v>0</v>
      </c>
      <c r="AR2414" s="2127">
        <f>U2414-'Blocking-Step2'!U2414</f>
        <v>0</v>
      </c>
      <c r="AT2414" s="2127">
        <f>W2414-'Blocking-Step2'!W2414</f>
        <v>0</v>
      </c>
      <c r="AV2414" s="2128">
        <f>Y2414-'Blocking-Step2'!Y2414</f>
        <v>0</v>
      </c>
    </row>
    <row r="2415" spans="1:48" ht="16.5" hidden="1" thickTop="1">
      <c r="A2415" s="1116" t="s">
        <v>249</v>
      </c>
      <c r="C2415" s="2093">
        <v>9055200</v>
      </c>
      <c r="D2415" s="2093">
        <v>8687706</v>
      </c>
      <c r="F2415" s="2101">
        <v>3.4001999999999999</v>
      </c>
      <c r="G2415" s="1921" t="s">
        <v>495</v>
      </c>
      <c r="H2415" s="2100">
        <v>307895</v>
      </c>
      <c r="I2415" s="2100">
        <v>295399</v>
      </c>
      <c r="K2415" s="2101"/>
      <c r="L2415" s="1921"/>
      <c r="M2415" s="2101"/>
      <c r="N2415" s="1921"/>
      <c r="O2415" s="2101"/>
      <c r="P2415" s="1921"/>
      <c r="Q2415" s="2101"/>
      <c r="R2415" s="1921"/>
      <c r="S2415" s="2100"/>
      <c r="T2415" s="1648"/>
      <c r="U2415" s="2100"/>
      <c r="V2415" s="1648"/>
      <c r="W2415" s="2100"/>
      <c r="X2415" s="1648"/>
      <c r="Y2415" s="2100"/>
      <c r="Z2415" s="2114">
        <f>C2415-'Blocking-Step2'!C2415</f>
        <v>0</v>
      </c>
      <c r="AA2415" s="2114">
        <f>D2415-'Blocking-Step2'!D2415</f>
        <v>0</v>
      </c>
      <c r="AC2415" s="2114">
        <f>F2415-'Blocking-Step2'!F2415</f>
        <v>0</v>
      </c>
      <c r="AE2415" s="2114">
        <f>H2415-'Blocking-Step2'!H2415</f>
        <v>0</v>
      </c>
      <c r="AF2415" s="2114">
        <f>I2415-'Blocking-Step2'!I2415</f>
        <v>0</v>
      </c>
      <c r="AH2415" s="2136">
        <f>K2415-'Blocking-Step2'!K2415</f>
        <v>0</v>
      </c>
      <c r="AJ2415" s="2136">
        <f>M2415-'Blocking-Step2'!M2415</f>
        <v>0</v>
      </c>
      <c r="AL2415" s="2136">
        <f>O2415-'Blocking-Step2'!O2415</f>
        <v>0</v>
      </c>
      <c r="AN2415" s="2137">
        <f>Q2415-'Blocking-Step2'!Q2415</f>
        <v>0</v>
      </c>
      <c r="AP2415" s="2127">
        <f>S2415-'Blocking-Step2'!S2415</f>
        <v>0</v>
      </c>
      <c r="AR2415" s="2127">
        <f>U2415-'Blocking-Step2'!U2415</f>
        <v>0</v>
      </c>
      <c r="AT2415" s="2127">
        <f>W2415-'Blocking-Step2'!W2415</f>
        <v>0</v>
      </c>
      <c r="AV2415" s="2128">
        <f>Y2415-'Blocking-Step2'!Y2415</f>
        <v>0</v>
      </c>
    </row>
    <row r="2416" spans="1:48" ht="16.5" hidden="1" thickTop="1">
      <c r="A2416" s="1116" t="s">
        <v>1240</v>
      </c>
      <c r="C2416" s="1024"/>
      <c r="D2416" s="1024"/>
      <c r="F2416" s="2076">
        <v>-3.1800000000000002E-2</v>
      </c>
      <c r="G2416" s="617"/>
      <c r="H2416" s="1146">
        <v>-29303.382000000001</v>
      </c>
      <c r="I2416" s="1146">
        <v>-28059.1116</v>
      </c>
      <c r="K2416" s="2076"/>
      <c r="L2416" s="617"/>
      <c r="M2416" s="2076"/>
      <c r="N2416" s="617"/>
      <c r="O2416" s="2077" t="s">
        <v>2323</v>
      </c>
      <c r="P2416" s="617"/>
      <c r="Q2416" s="2076">
        <v>-2.6499999999999999E-2</v>
      </c>
      <c r="R2416" s="617"/>
      <c r="S2416" s="1146"/>
      <c r="T2416" s="1114"/>
      <c r="U2416" s="1146"/>
      <c r="V2416" s="1114"/>
      <c r="W2416" s="1146"/>
      <c r="X2416" s="1114"/>
      <c r="Y2416" s="1146">
        <v>-24475.691500000001</v>
      </c>
      <c r="Z2416" s="2114">
        <f>C2416-'Blocking-Step2'!C2416</f>
        <v>0</v>
      </c>
      <c r="AA2416" s="2114">
        <f>D2416-'Blocking-Step2'!D2416</f>
        <v>0</v>
      </c>
      <c r="AC2416" s="2114">
        <f>F2416-'Blocking-Step2'!F2416</f>
        <v>0</v>
      </c>
      <c r="AE2416" s="2114">
        <f>H2416-'Blocking-Step2'!H2416</f>
        <v>0</v>
      </c>
      <c r="AF2416" s="2114">
        <f>I2416-'Blocking-Step2'!I2416</f>
        <v>0</v>
      </c>
      <c r="AH2416" s="2136">
        <f>K2416-'Blocking-Step2'!K2416</f>
        <v>0</v>
      </c>
      <c r="AJ2416" s="2136">
        <f>M2416-'Blocking-Step2'!M2416</f>
        <v>0</v>
      </c>
      <c r="AL2416" s="2136" t="e">
        <f>O2416-'Blocking-Step2'!O2416</f>
        <v>#VALUE!</v>
      </c>
      <c r="AN2416" s="2137">
        <f>Q2416-'Blocking-Step2'!Q2416</f>
        <v>0</v>
      </c>
      <c r="AP2416" s="2127">
        <f>S2416-'Blocking-Step2'!S2416</f>
        <v>0</v>
      </c>
      <c r="AR2416" s="2127">
        <f>U2416-'Blocking-Step2'!U2416</f>
        <v>0</v>
      </c>
      <c r="AT2416" s="2127">
        <f>W2416-'Blocking-Step2'!W2416</f>
        <v>0</v>
      </c>
      <c r="AV2416" s="2128">
        <f>Y2416-'Blocking-Step2'!Y2416</f>
        <v>0</v>
      </c>
    </row>
    <row r="2417" spans="1:48" ht="16.5" hidden="1" thickTop="1">
      <c r="A2417" s="1116"/>
      <c r="C2417" s="1024"/>
      <c r="D2417" s="1024"/>
      <c r="F2417" s="2076"/>
      <c r="G2417" s="617"/>
      <c r="H2417" s="1146"/>
      <c r="I2417" s="1146"/>
      <c r="K2417" s="2076"/>
      <c r="L2417" s="617"/>
      <c r="M2417" s="2076"/>
      <c r="N2417" s="617"/>
      <c r="O2417" s="2077" t="s">
        <v>2324</v>
      </c>
      <c r="P2417" s="617"/>
      <c r="Q2417" s="2076">
        <v>-1.44E-2</v>
      </c>
      <c r="R2417" s="617"/>
      <c r="S2417" s="1146"/>
      <c r="T2417" s="1114"/>
      <c r="U2417" s="1146"/>
      <c r="V2417" s="1114"/>
      <c r="W2417" s="1146"/>
      <c r="X2417" s="1114"/>
      <c r="Y2417" s="1146">
        <v>-13299.9984</v>
      </c>
      <c r="Z2417" s="2114">
        <f>C2417-'Blocking-Step2'!C2417</f>
        <v>0</v>
      </c>
      <c r="AA2417" s="2114">
        <f>D2417-'Blocking-Step2'!D2417</f>
        <v>0</v>
      </c>
      <c r="AC2417" s="2114">
        <f>F2417-'Blocking-Step2'!F2417</f>
        <v>0</v>
      </c>
      <c r="AE2417" s="2114">
        <f>H2417-'Blocking-Step2'!H2417</f>
        <v>0</v>
      </c>
      <c r="AF2417" s="2114">
        <f>I2417-'Blocking-Step2'!I2417</f>
        <v>0</v>
      </c>
      <c r="AH2417" s="2136">
        <f>K2417-'Blocking-Step2'!K2417</f>
        <v>0</v>
      </c>
      <c r="AJ2417" s="2136">
        <f>M2417-'Blocking-Step2'!M2417</f>
        <v>0</v>
      </c>
      <c r="AL2417" s="2136" t="e">
        <f>O2417-'Blocking-Step2'!O2417</f>
        <v>#VALUE!</v>
      </c>
      <c r="AN2417" s="2137">
        <f>Q2417-'Blocking-Step2'!Q2417</f>
        <v>0</v>
      </c>
      <c r="AP2417" s="2127">
        <f>S2417-'Blocking-Step2'!S2417</f>
        <v>0</v>
      </c>
      <c r="AR2417" s="2127">
        <f>U2417-'Blocking-Step2'!U2417</f>
        <v>0</v>
      </c>
      <c r="AT2417" s="2127">
        <f>W2417-'Blocking-Step2'!W2417</f>
        <v>0</v>
      </c>
      <c r="AV2417" s="2128">
        <f>Y2417-'Blocking-Step2'!Y2417</f>
        <v>0</v>
      </c>
    </row>
    <row r="2418" spans="1:48" ht="16.5" hidden="1" thickTop="1">
      <c r="A2418" s="1115" t="s">
        <v>444</v>
      </c>
      <c r="C2418" s="1105"/>
      <c r="D2418" s="1105"/>
      <c r="F2418" s="1142"/>
      <c r="G2418" s="617"/>
      <c r="H2418" s="1146"/>
      <c r="I2418" s="1146"/>
      <c r="K2418" s="1142"/>
      <c r="L2418" s="617"/>
      <c r="M2418" s="1142"/>
      <c r="N2418" s="617"/>
      <c r="O2418" s="1142"/>
      <c r="P2418" s="617"/>
      <c r="Q2418" s="1142"/>
      <c r="R2418" s="617"/>
      <c r="S2418" s="1146"/>
      <c r="T2418" s="1114"/>
      <c r="U2418" s="1146"/>
      <c r="V2418" s="1114"/>
      <c r="W2418" s="1146"/>
      <c r="X2418" s="1114"/>
      <c r="Y2418" s="1146"/>
      <c r="Z2418" s="2114">
        <f>C2418-'Blocking-Step2'!C2418</f>
        <v>0</v>
      </c>
      <c r="AA2418" s="2114">
        <f>D2418-'Blocking-Step2'!D2418</f>
        <v>0</v>
      </c>
      <c r="AC2418" s="2114">
        <f>F2418-'Blocking-Step2'!F2418</f>
        <v>0</v>
      </c>
      <c r="AE2418" s="2114">
        <f>H2418-'Blocking-Step2'!H2418</f>
        <v>0</v>
      </c>
      <c r="AF2418" s="2114">
        <f>I2418-'Blocking-Step2'!I2418</f>
        <v>0</v>
      </c>
      <c r="AH2418" s="2136">
        <f>K2418-'Blocking-Step2'!K2418</f>
        <v>0</v>
      </c>
      <c r="AJ2418" s="2136">
        <f>M2418-'Blocking-Step2'!M2418</f>
        <v>0</v>
      </c>
      <c r="AL2418" s="2136">
        <f>O2418-'Blocking-Step2'!O2418</f>
        <v>0</v>
      </c>
      <c r="AN2418" s="2137">
        <f>Q2418-'Blocking-Step2'!Q2418</f>
        <v>0</v>
      </c>
      <c r="AP2418" s="2127">
        <f>S2418-'Blocking-Step2'!S2418</f>
        <v>0</v>
      </c>
      <c r="AR2418" s="2127">
        <f>U2418-'Blocking-Step2'!U2418</f>
        <v>0</v>
      </c>
      <c r="AT2418" s="2127">
        <f>W2418-'Blocking-Step2'!W2418</f>
        <v>0</v>
      </c>
      <c r="AV2418" s="2128">
        <f>Y2418-'Blocking-Step2'!Y2418</f>
        <v>0</v>
      </c>
    </row>
    <row r="2419" spans="1:48" ht="16.5" hidden="1" thickTop="1">
      <c r="A2419" s="1116" t="s">
        <v>168</v>
      </c>
      <c r="C2419" s="1105">
        <v>180394</v>
      </c>
      <c r="D2419" s="1105">
        <v>172160</v>
      </c>
      <c r="F2419" s="1142">
        <v>2.2200000000000002</v>
      </c>
      <c r="G2419" s="617"/>
      <c r="H2419" s="1146">
        <v>400475</v>
      </c>
      <c r="I2419" s="1146">
        <v>382195</v>
      </c>
      <c r="K2419" s="1142">
        <v>0</v>
      </c>
      <c r="L2419" s="617"/>
      <c r="M2419" s="1142">
        <v>2.2999999999999998</v>
      </c>
      <c r="N2419" s="617"/>
      <c r="O2419" s="1142">
        <v>0</v>
      </c>
      <c r="P2419" s="617"/>
      <c r="Q2419" s="1142">
        <v>2.2999999999999998</v>
      </c>
      <c r="R2419" s="617"/>
      <c r="S2419" s="1146">
        <v>0</v>
      </c>
      <c r="T2419" s="1114"/>
      <c r="U2419" s="1146">
        <v>395968</v>
      </c>
      <c r="V2419" s="1114"/>
      <c r="W2419" s="1146">
        <v>0</v>
      </c>
      <c r="X2419" s="1114"/>
      <c r="Y2419" s="1146">
        <v>395968</v>
      </c>
      <c r="Z2419" s="2114">
        <f>C2419-'Blocking-Step2'!C2419</f>
        <v>0</v>
      </c>
      <c r="AA2419" s="2114">
        <f>D2419-'Blocking-Step2'!D2419</f>
        <v>0</v>
      </c>
      <c r="AC2419" s="2114">
        <f>F2419-'Blocking-Step2'!F2419</f>
        <v>0</v>
      </c>
      <c r="AE2419" s="2114">
        <f>H2419-'Blocking-Step2'!H2419</f>
        <v>0</v>
      </c>
      <c r="AF2419" s="2114">
        <f>I2419-'Blocking-Step2'!I2419</f>
        <v>0</v>
      </c>
      <c r="AH2419" s="2136">
        <f>K2419-'Blocking-Step2'!K2419</f>
        <v>-2.2999999999999998</v>
      </c>
      <c r="AJ2419" s="2136">
        <f>M2419-'Blocking-Step2'!M2419</f>
        <v>2.2999999999999998</v>
      </c>
      <c r="AL2419" s="2136">
        <f>O2419-'Blocking-Step2'!O2419</f>
        <v>0</v>
      </c>
      <c r="AN2419" s="2137">
        <f>Q2419-'Blocking-Step2'!Q2419</f>
        <v>0</v>
      </c>
      <c r="AP2419" s="2127">
        <f>S2419-'Blocking-Step2'!S2419</f>
        <v>-395968</v>
      </c>
      <c r="AR2419" s="2127">
        <f>U2419-'Blocking-Step2'!U2419</f>
        <v>395968</v>
      </c>
      <c r="AT2419" s="2127">
        <f>W2419-'Blocking-Step2'!W2419</f>
        <v>0</v>
      </c>
      <c r="AV2419" s="2128">
        <f>Y2419-'Blocking-Step2'!Y2419</f>
        <v>0</v>
      </c>
    </row>
    <row r="2420" spans="1:48" ht="16.5" hidden="1" thickTop="1">
      <c r="A2420" s="1116" t="s">
        <v>1651</v>
      </c>
      <c r="C2420" s="1105">
        <v>67973.491261621748</v>
      </c>
      <c r="D2420" s="1105">
        <v>64871</v>
      </c>
      <c r="F2420" s="1142"/>
      <c r="G2420" s="617"/>
      <c r="H2420" s="1146"/>
      <c r="I2420" s="1146"/>
      <c r="K2420" s="1142">
        <v>0</v>
      </c>
      <c r="L2420" s="617"/>
      <c r="M2420" s="1142">
        <v>14.48</v>
      </c>
      <c r="N2420" s="617"/>
      <c r="O2420" s="1142">
        <v>0</v>
      </c>
      <c r="P2420" s="617"/>
      <c r="Q2420" s="1142">
        <v>14.48</v>
      </c>
      <c r="R2420" s="617"/>
      <c r="S2420" s="1146">
        <v>0</v>
      </c>
      <c r="T2420" s="1114"/>
      <c r="U2420" s="1146">
        <v>939332</v>
      </c>
      <c r="V2420" s="1114"/>
      <c r="W2420" s="1146">
        <v>0</v>
      </c>
      <c r="X2420" s="1114"/>
      <c r="Y2420" s="1146">
        <v>939332</v>
      </c>
      <c r="Z2420" s="2114">
        <f>C2420-'Blocking-Step2'!C2420</f>
        <v>0</v>
      </c>
      <c r="AA2420" s="2114">
        <f>D2420-'Blocking-Step2'!D2420</f>
        <v>0</v>
      </c>
      <c r="AC2420" s="2114">
        <f>F2420-'Blocking-Step2'!F2420</f>
        <v>0</v>
      </c>
      <c r="AE2420" s="2114">
        <f>H2420-'Blocking-Step2'!H2420</f>
        <v>0</v>
      </c>
      <c r="AF2420" s="2114">
        <f>I2420-'Blocking-Step2'!I2420</f>
        <v>0</v>
      </c>
      <c r="AH2420" s="2136">
        <f>K2420-'Blocking-Step2'!K2420</f>
        <v>-4.8</v>
      </c>
      <c r="AJ2420" s="2136">
        <f>M2420-'Blocking-Step2'!M2420</f>
        <v>4.8000000000000007</v>
      </c>
      <c r="AL2420" s="2136">
        <f>O2420-'Blocking-Step2'!O2420</f>
        <v>0</v>
      </c>
      <c r="AN2420" s="2137">
        <f>Q2420-'Blocking-Step2'!Q2420</f>
        <v>0</v>
      </c>
      <c r="AP2420" s="2127">
        <f>S2420-'Blocking-Step2'!S2420</f>
        <v>-311381</v>
      </c>
      <c r="AR2420" s="2127">
        <f>U2420-'Blocking-Step2'!U2420</f>
        <v>311381</v>
      </c>
      <c r="AT2420" s="2127">
        <f>W2420-'Blocking-Step2'!W2420</f>
        <v>0</v>
      </c>
      <c r="AV2420" s="2128">
        <f>Y2420-'Blocking-Step2'!Y2420</f>
        <v>0</v>
      </c>
    </row>
    <row r="2421" spans="1:48" ht="16.5" hidden="1" thickTop="1">
      <c r="A2421" s="1116" t="s">
        <v>1652</v>
      </c>
      <c r="C2421" s="1105">
        <v>106254.25738261671</v>
      </c>
      <c r="D2421" s="1105">
        <v>101404</v>
      </c>
      <c r="F2421" s="1142"/>
      <c r="G2421" s="617"/>
      <c r="H2421" s="1146"/>
      <c r="I2421" s="1146"/>
      <c r="K2421" s="1142">
        <v>0</v>
      </c>
      <c r="L2421" s="617"/>
      <c r="M2421" s="1142">
        <v>12.81</v>
      </c>
      <c r="N2421" s="617"/>
      <c r="O2421" s="1142">
        <v>0</v>
      </c>
      <c r="P2421" s="617"/>
      <c r="Q2421" s="1142">
        <v>12.81</v>
      </c>
      <c r="R2421" s="617"/>
      <c r="S2421" s="1146">
        <v>0</v>
      </c>
      <c r="T2421" s="1114"/>
      <c r="U2421" s="1146">
        <v>1298985</v>
      </c>
      <c r="V2421" s="1114"/>
      <c r="W2421" s="1146">
        <v>0</v>
      </c>
      <c r="X2421" s="1114"/>
      <c r="Y2421" s="1146">
        <v>1298985</v>
      </c>
      <c r="Z2421" s="2114">
        <f>C2421-'Blocking-Step2'!C2421</f>
        <v>0</v>
      </c>
      <c r="AA2421" s="2114">
        <f>D2421-'Blocking-Step2'!D2421</f>
        <v>0</v>
      </c>
      <c r="AC2421" s="2114">
        <f>F2421-'Blocking-Step2'!F2421</f>
        <v>0</v>
      </c>
      <c r="AE2421" s="2114">
        <f>H2421-'Blocking-Step2'!H2421</f>
        <v>0</v>
      </c>
      <c r="AF2421" s="2114">
        <f>I2421-'Blocking-Step2'!I2421</f>
        <v>0</v>
      </c>
      <c r="AH2421" s="2136">
        <f>K2421-'Blocking-Step2'!K2421</f>
        <v>-4.25</v>
      </c>
      <c r="AJ2421" s="2136">
        <f>M2421-'Blocking-Step2'!M2421</f>
        <v>4.25</v>
      </c>
      <c r="AL2421" s="2136">
        <f>O2421-'Blocking-Step2'!O2421</f>
        <v>0</v>
      </c>
      <c r="AN2421" s="2137">
        <f>Q2421-'Blocking-Step2'!Q2421</f>
        <v>0</v>
      </c>
      <c r="AP2421" s="2127">
        <f>S2421-'Blocking-Step2'!S2421</f>
        <v>-430967</v>
      </c>
      <c r="AR2421" s="2127">
        <f>U2421-'Blocking-Step2'!U2421</f>
        <v>430967</v>
      </c>
      <c r="AT2421" s="2127">
        <f>W2421-'Blocking-Step2'!W2421</f>
        <v>0</v>
      </c>
      <c r="AV2421" s="2128">
        <f>Y2421-'Blocking-Step2'!Y2421</f>
        <v>0</v>
      </c>
    </row>
    <row r="2422" spans="1:48" ht="16.5" hidden="1" thickTop="1">
      <c r="A2422" s="1116" t="s">
        <v>1532</v>
      </c>
      <c r="C2422" s="1105">
        <v>10440367.057631113</v>
      </c>
      <c r="D2422" s="1105">
        <v>10016658</v>
      </c>
      <c r="F2422" s="1143"/>
      <c r="G2422" s="1921"/>
      <c r="H2422" s="1146"/>
      <c r="I2422" s="1146"/>
      <c r="K2422" s="1143">
        <v>0</v>
      </c>
      <c r="L2422" s="1921" t="s">
        <v>495</v>
      </c>
      <c r="M2422" s="1143">
        <v>1.0927</v>
      </c>
      <c r="N2422" s="1921" t="s">
        <v>495</v>
      </c>
      <c r="O2422" s="1143">
        <v>4.1108761607000002</v>
      </c>
      <c r="P2422" s="1921" t="s">
        <v>495</v>
      </c>
      <c r="Q2422" s="1143">
        <v>5.2035761607</v>
      </c>
      <c r="R2422" s="1921" t="s">
        <v>495</v>
      </c>
      <c r="S2422" s="1146">
        <v>0</v>
      </c>
      <c r="T2422" s="1648"/>
      <c r="U2422" s="1146">
        <v>109452</v>
      </c>
      <c r="V2422" s="1648"/>
      <c r="W2422" s="1146">
        <v>411772</v>
      </c>
      <c r="X2422" s="1648"/>
      <c r="Y2422" s="1146">
        <v>521224</v>
      </c>
      <c r="Z2422" s="2114">
        <f>C2422-'Blocking-Step2'!C2422</f>
        <v>0</v>
      </c>
      <c r="AA2422" s="2114">
        <f>D2422-'Blocking-Step2'!D2422</f>
        <v>0</v>
      </c>
      <c r="AC2422" s="2114">
        <f>F2422-'Blocking-Step2'!F2422</f>
        <v>0</v>
      </c>
      <c r="AE2422" s="2114">
        <f>H2422-'Blocking-Step2'!H2422</f>
        <v>0</v>
      </c>
      <c r="AF2422" s="2114">
        <f>I2422-'Blocking-Step2'!I2422</f>
        <v>0</v>
      </c>
      <c r="AH2422" s="2136">
        <f>K2422-'Blocking-Step2'!K2422</f>
        <v>0</v>
      </c>
      <c r="AJ2422" s="2136">
        <f>M2422-'Blocking-Step2'!M2422</f>
        <v>0</v>
      </c>
      <c r="AL2422" s="2136">
        <f>O2422-'Blocking-Step2'!O2422</f>
        <v>0</v>
      </c>
      <c r="AN2422" s="2137">
        <f>Q2422-'Blocking-Step2'!Q2422</f>
        <v>0</v>
      </c>
      <c r="AP2422" s="2127">
        <f>S2422-'Blocking-Step2'!S2422</f>
        <v>0</v>
      </c>
      <c r="AR2422" s="2127">
        <f>U2422-'Blocking-Step2'!U2422</f>
        <v>0</v>
      </c>
      <c r="AT2422" s="2127">
        <f>W2422-'Blocking-Step2'!W2422</f>
        <v>0</v>
      </c>
      <c r="AV2422" s="2128">
        <f>Y2422-'Blocking-Step2'!Y2422</f>
        <v>0</v>
      </c>
    </row>
    <row r="2423" spans="1:48" ht="16.5" hidden="1" thickTop="1">
      <c r="A2423" s="1116" t="s">
        <v>1653</v>
      </c>
      <c r="C2423" s="1105">
        <v>14024745.062600741</v>
      </c>
      <c r="D2423" s="1105">
        <v>13455569</v>
      </c>
      <c r="F2423" s="1143"/>
      <c r="G2423" s="1921"/>
      <c r="H2423" s="1146"/>
      <c r="I2423" s="1146"/>
      <c r="K2423" s="1143">
        <v>0</v>
      </c>
      <c r="L2423" s="1921" t="s">
        <v>495</v>
      </c>
      <c r="M2423" s="1143">
        <v>1.0927</v>
      </c>
      <c r="N2423" s="1921" t="s">
        <v>495</v>
      </c>
      <c r="O2423" s="1143">
        <v>3.5122346554870001</v>
      </c>
      <c r="P2423" s="1921" t="s">
        <v>495</v>
      </c>
      <c r="Q2423" s="1143">
        <v>4.6049346554869999</v>
      </c>
      <c r="R2423" s="1921" t="s">
        <v>495</v>
      </c>
      <c r="S2423" s="1146">
        <v>0</v>
      </c>
      <c r="T2423" s="1648"/>
      <c r="U2423" s="1146">
        <v>147029</v>
      </c>
      <c r="V2423" s="1648"/>
      <c r="W2423" s="1146">
        <v>472591</v>
      </c>
      <c r="X2423" s="1648"/>
      <c r="Y2423" s="1146">
        <v>619620</v>
      </c>
      <c r="Z2423" s="2114">
        <f>C2423-'Blocking-Step2'!C2423</f>
        <v>0</v>
      </c>
      <c r="AA2423" s="2114">
        <f>D2423-'Blocking-Step2'!D2423</f>
        <v>0</v>
      </c>
      <c r="AC2423" s="2114">
        <f>F2423-'Blocking-Step2'!F2423</f>
        <v>0</v>
      </c>
      <c r="AE2423" s="2114">
        <f>H2423-'Blocking-Step2'!H2423</f>
        <v>0</v>
      </c>
      <c r="AF2423" s="2114">
        <f>I2423-'Blocking-Step2'!I2423</f>
        <v>0</v>
      </c>
      <c r="AH2423" s="2136">
        <f>K2423-'Blocking-Step2'!K2423</f>
        <v>0</v>
      </c>
      <c r="AJ2423" s="2136">
        <f>M2423-'Blocking-Step2'!M2423</f>
        <v>0</v>
      </c>
      <c r="AL2423" s="2136">
        <f>O2423-'Blocking-Step2'!O2423</f>
        <v>0</v>
      </c>
      <c r="AN2423" s="2137">
        <f>Q2423-'Blocking-Step2'!Q2423</f>
        <v>0</v>
      </c>
      <c r="AP2423" s="2127">
        <f>S2423-'Blocking-Step2'!S2423</f>
        <v>0</v>
      </c>
      <c r="AR2423" s="2127">
        <f>U2423-'Blocking-Step2'!U2423</f>
        <v>0</v>
      </c>
      <c r="AT2423" s="2127">
        <f>W2423-'Blocking-Step2'!W2423</f>
        <v>0</v>
      </c>
      <c r="AV2423" s="2128">
        <f>Y2423-'Blocking-Step2'!Y2423</f>
        <v>0</v>
      </c>
    </row>
    <row r="2424" spans="1:48" ht="16.5" hidden="1" thickTop="1">
      <c r="A2424" s="1116" t="s">
        <v>1533</v>
      </c>
      <c r="C2424" s="1105">
        <v>32378671.743687563</v>
      </c>
      <c r="D2424" s="1105">
        <v>31064625</v>
      </c>
      <c r="F2424" s="1143"/>
      <c r="G2424" s="1921"/>
      <c r="H2424" s="1146"/>
      <c r="I2424" s="1146"/>
      <c r="K2424" s="1143">
        <v>0</v>
      </c>
      <c r="L2424" s="1921" t="s">
        <v>495</v>
      </c>
      <c r="M2424" s="1143">
        <v>1.0927</v>
      </c>
      <c r="N2424" s="1921" t="s">
        <v>495</v>
      </c>
      <c r="O2424" s="1143">
        <v>1.5521862361710002</v>
      </c>
      <c r="P2424" s="1921" t="s">
        <v>495</v>
      </c>
      <c r="Q2424" s="1143">
        <v>2.6448862361710002</v>
      </c>
      <c r="R2424" s="1921" t="s">
        <v>495</v>
      </c>
      <c r="S2424" s="1146">
        <v>0</v>
      </c>
      <c r="T2424" s="1648"/>
      <c r="U2424" s="1146">
        <v>339443</v>
      </c>
      <c r="V2424" s="1648"/>
      <c r="W2424" s="1146">
        <v>482181</v>
      </c>
      <c r="X2424" s="1648"/>
      <c r="Y2424" s="1146">
        <v>821624</v>
      </c>
      <c r="Z2424" s="2114">
        <f>C2424-'Blocking-Step2'!C2424</f>
        <v>0</v>
      </c>
      <c r="AA2424" s="2114">
        <f>D2424-'Blocking-Step2'!D2424</f>
        <v>0</v>
      </c>
      <c r="AC2424" s="2114">
        <f>F2424-'Blocking-Step2'!F2424</f>
        <v>0</v>
      </c>
      <c r="AE2424" s="2114">
        <f>H2424-'Blocking-Step2'!H2424</f>
        <v>0</v>
      </c>
      <c r="AF2424" s="2114">
        <f>I2424-'Blocking-Step2'!I2424</f>
        <v>0</v>
      </c>
      <c r="AH2424" s="2136">
        <f>K2424-'Blocking-Step2'!K2424</f>
        <v>0</v>
      </c>
      <c r="AJ2424" s="2136">
        <f>M2424-'Blocking-Step2'!M2424</f>
        <v>0</v>
      </c>
      <c r="AL2424" s="2136">
        <f>O2424-'Blocking-Step2'!O2424</f>
        <v>0</v>
      </c>
      <c r="AN2424" s="2137">
        <f>Q2424-'Blocking-Step2'!Q2424</f>
        <v>0</v>
      </c>
      <c r="AP2424" s="2127">
        <f>S2424-'Blocking-Step2'!S2424</f>
        <v>0</v>
      </c>
      <c r="AR2424" s="2127">
        <f>U2424-'Blocking-Step2'!U2424</f>
        <v>0</v>
      </c>
      <c r="AT2424" s="2127">
        <f>W2424-'Blocking-Step2'!W2424</f>
        <v>0</v>
      </c>
      <c r="AV2424" s="2128">
        <f>Y2424-'Blocking-Step2'!Y2424</f>
        <v>0</v>
      </c>
    </row>
    <row r="2425" spans="1:48" ht="16.5" hidden="1" thickTop="1">
      <c r="A2425" s="1116" t="s">
        <v>2177</v>
      </c>
      <c r="C2425" s="1105">
        <v>62210263.136080585</v>
      </c>
      <c r="D2425" s="1105">
        <v>59685538.666666657</v>
      </c>
      <c r="F2425" s="2102"/>
      <c r="G2425" s="1921"/>
      <c r="H2425" s="2100"/>
      <c r="I2425" s="2100"/>
      <c r="K2425" s="2102">
        <v>0</v>
      </c>
      <c r="L2425" s="1921" t="s">
        <v>495</v>
      </c>
      <c r="M2425" s="2102">
        <v>1.0927</v>
      </c>
      <c r="N2425" s="1921" t="s">
        <v>495</v>
      </c>
      <c r="O2425" s="2102">
        <v>1.247907288647</v>
      </c>
      <c r="P2425" s="1921" t="s">
        <v>495</v>
      </c>
      <c r="Q2425" s="2102">
        <v>2.340607288647</v>
      </c>
      <c r="R2425" s="1921" t="s">
        <v>495</v>
      </c>
      <c r="S2425" s="1146">
        <v>0</v>
      </c>
      <c r="T2425" s="1648"/>
      <c r="U2425" s="1146">
        <v>652184</v>
      </c>
      <c r="V2425" s="1648"/>
      <c r="W2425" s="1146">
        <v>744820</v>
      </c>
      <c r="X2425" s="1648"/>
      <c r="Y2425" s="1146">
        <v>1397004</v>
      </c>
      <c r="Z2425" s="2114">
        <f>C2425-'Blocking-Step2'!C2425</f>
        <v>0</v>
      </c>
      <c r="AA2425" s="2114">
        <f>D2425-'Blocking-Step2'!D2425</f>
        <v>0</v>
      </c>
      <c r="AC2425" s="2114">
        <f>F2425-'Blocking-Step2'!F2425</f>
        <v>0</v>
      </c>
      <c r="AE2425" s="2114">
        <f>H2425-'Blocking-Step2'!H2425</f>
        <v>0</v>
      </c>
      <c r="AF2425" s="2114">
        <f>I2425-'Blocking-Step2'!I2425</f>
        <v>0</v>
      </c>
      <c r="AH2425" s="2136">
        <f>K2425-'Blocking-Step2'!K2425</f>
        <v>0</v>
      </c>
      <c r="AJ2425" s="2136">
        <f>M2425-'Blocking-Step2'!M2425</f>
        <v>0</v>
      </c>
      <c r="AL2425" s="2136">
        <f>O2425-'Blocking-Step2'!O2425</f>
        <v>0</v>
      </c>
      <c r="AN2425" s="2137">
        <f>Q2425-'Blocking-Step2'!Q2425</f>
        <v>0</v>
      </c>
      <c r="AP2425" s="2127">
        <f>S2425-'Blocking-Step2'!S2425</f>
        <v>0</v>
      </c>
      <c r="AR2425" s="2127">
        <f>U2425-'Blocking-Step2'!U2425</f>
        <v>0</v>
      </c>
      <c r="AT2425" s="2127">
        <f>W2425-'Blocking-Step2'!W2425</f>
        <v>0</v>
      </c>
      <c r="AV2425" s="2128">
        <f>Y2425-'Blocking-Step2'!Y2425</f>
        <v>0</v>
      </c>
    </row>
    <row r="2426" spans="1:48" ht="16.5" hidden="1" thickTop="1">
      <c r="A2426" s="1116" t="s">
        <v>18</v>
      </c>
      <c r="C2426" s="1105">
        <v>83770</v>
      </c>
      <c r="D2426" s="1105">
        <v>79946</v>
      </c>
      <c r="F2426" s="1142">
        <v>13.96</v>
      </c>
      <c r="G2426" s="617"/>
      <c r="H2426" s="1146">
        <v>1169429</v>
      </c>
      <c r="I2426" s="1146">
        <v>1116046</v>
      </c>
      <c r="K2426" s="1142"/>
      <c r="L2426" s="617"/>
      <c r="M2426" s="1142"/>
      <c r="N2426" s="617"/>
      <c r="O2426" s="1142"/>
      <c r="P2426" s="617"/>
      <c r="Q2426" s="1142"/>
      <c r="R2426" s="617"/>
      <c r="S2426" s="1146"/>
      <c r="T2426" s="1114"/>
      <c r="U2426" s="1146"/>
      <c r="V2426" s="1114"/>
      <c r="W2426" s="1146"/>
      <c r="X2426" s="1114"/>
      <c r="Y2426" s="1146"/>
      <c r="Z2426" s="2114">
        <f>C2426-'Blocking-Step2'!C2426</f>
        <v>0</v>
      </c>
      <c r="AA2426" s="2114">
        <f>D2426-'Blocking-Step2'!D2426</f>
        <v>0</v>
      </c>
      <c r="AC2426" s="2114">
        <f>F2426-'Blocking-Step2'!F2426</f>
        <v>0</v>
      </c>
      <c r="AE2426" s="2114">
        <f>H2426-'Blocking-Step2'!H2426</f>
        <v>0</v>
      </c>
      <c r="AF2426" s="2114">
        <f>I2426-'Blocking-Step2'!I2426</f>
        <v>0</v>
      </c>
      <c r="AH2426" s="2136">
        <f>K2426-'Blocking-Step2'!K2426</f>
        <v>0</v>
      </c>
      <c r="AJ2426" s="2136">
        <f>M2426-'Blocking-Step2'!M2426</f>
        <v>0</v>
      </c>
      <c r="AL2426" s="2136">
        <f>O2426-'Blocking-Step2'!O2426</f>
        <v>0</v>
      </c>
      <c r="AN2426" s="2137">
        <f>Q2426-'Blocking-Step2'!Q2426</f>
        <v>0</v>
      </c>
      <c r="AP2426" s="2127">
        <f>S2426-'Blocking-Step2'!S2426</f>
        <v>0</v>
      </c>
      <c r="AR2426" s="2127">
        <f>U2426-'Blocking-Step2'!U2426</f>
        <v>0</v>
      </c>
      <c r="AT2426" s="2127">
        <f>W2426-'Blocking-Step2'!W2426</f>
        <v>0</v>
      </c>
      <c r="AV2426" s="2128">
        <f>Y2426-'Blocking-Step2'!Y2426</f>
        <v>0</v>
      </c>
    </row>
    <row r="2427" spans="1:48" ht="16.5" hidden="1" thickTop="1">
      <c r="A2427" s="1116" t="s">
        <v>166</v>
      </c>
      <c r="C2427" s="1105">
        <v>93539</v>
      </c>
      <c r="D2427" s="1105">
        <v>89269</v>
      </c>
      <c r="F2427" s="1142">
        <v>9.4700000000000006</v>
      </c>
      <c r="G2427" s="617"/>
      <c r="H2427" s="1146">
        <v>885814</v>
      </c>
      <c r="I2427" s="1146">
        <v>845377</v>
      </c>
      <c r="K2427" s="1142"/>
      <c r="L2427" s="617"/>
      <c r="M2427" s="1142"/>
      <c r="N2427" s="617"/>
      <c r="O2427" s="1142"/>
      <c r="P2427" s="617"/>
      <c r="Q2427" s="1142"/>
      <c r="R2427" s="617"/>
      <c r="S2427" s="1146"/>
      <c r="T2427" s="1114"/>
      <c r="U2427" s="1146"/>
      <c r="V2427" s="1114"/>
      <c r="W2427" s="1146"/>
      <c r="X2427" s="1114"/>
      <c r="Y2427" s="1146"/>
      <c r="Z2427" s="2114">
        <f>C2427-'Blocking-Step2'!C2427</f>
        <v>0</v>
      </c>
      <c r="AA2427" s="2114">
        <f>D2427-'Blocking-Step2'!D2427</f>
        <v>0</v>
      </c>
      <c r="AC2427" s="2114">
        <f>F2427-'Blocking-Step2'!F2427</f>
        <v>0</v>
      </c>
      <c r="AE2427" s="2114">
        <f>H2427-'Blocking-Step2'!H2427</f>
        <v>0</v>
      </c>
      <c r="AF2427" s="2114">
        <f>I2427-'Blocking-Step2'!I2427</f>
        <v>0</v>
      </c>
      <c r="AH2427" s="2136">
        <f>K2427-'Blocking-Step2'!K2427</f>
        <v>0</v>
      </c>
      <c r="AJ2427" s="2136">
        <f>M2427-'Blocking-Step2'!M2427</f>
        <v>0</v>
      </c>
      <c r="AL2427" s="2136">
        <f>O2427-'Blocking-Step2'!O2427</f>
        <v>0</v>
      </c>
      <c r="AN2427" s="2137">
        <f>Q2427-'Blocking-Step2'!Q2427</f>
        <v>0</v>
      </c>
      <c r="AP2427" s="2127">
        <f>S2427-'Blocking-Step2'!S2427</f>
        <v>0</v>
      </c>
      <c r="AR2427" s="2127">
        <f>U2427-'Blocking-Step2'!U2427</f>
        <v>0</v>
      </c>
      <c r="AT2427" s="2127">
        <f>W2427-'Blocking-Step2'!W2427</f>
        <v>0</v>
      </c>
      <c r="AV2427" s="2128">
        <f>Y2427-'Blocking-Step2'!Y2427</f>
        <v>0</v>
      </c>
    </row>
    <row r="2428" spans="1:48" ht="16.5" hidden="1" thickTop="1">
      <c r="A2428" s="1116" t="s">
        <v>19</v>
      </c>
      <c r="C2428" s="1105">
        <v>15095059</v>
      </c>
      <c r="D2428" s="1105">
        <v>14482445</v>
      </c>
      <c r="F2428" s="1143">
        <v>4.6531000000000002</v>
      </c>
      <c r="G2428" s="1921" t="s">
        <v>495</v>
      </c>
      <c r="H2428" s="1146">
        <v>702388</v>
      </c>
      <c r="I2428" s="1146">
        <v>673883</v>
      </c>
      <c r="K2428" s="1143"/>
      <c r="L2428" s="1921"/>
      <c r="M2428" s="1143"/>
      <c r="N2428" s="1921"/>
      <c r="O2428" s="1143"/>
      <c r="P2428" s="1921"/>
      <c r="Q2428" s="1143"/>
      <c r="R2428" s="1921"/>
      <c r="S2428" s="1146"/>
      <c r="T2428" s="1648"/>
      <c r="U2428" s="1146"/>
      <c r="V2428" s="1648"/>
      <c r="W2428" s="1146"/>
      <c r="X2428" s="1648"/>
      <c r="Y2428" s="1146"/>
      <c r="Z2428" s="2114">
        <f>C2428-'Blocking-Step2'!C2428</f>
        <v>0</v>
      </c>
      <c r="AA2428" s="2114">
        <f>D2428-'Blocking-Step2'!D2428</f>
        <v>0</v>
      </c>
      <c r="AC2428" s="2114">
        <f>F2428-'Blocking-Step2'!F2428</f>
        <v>0</v>
      </c>
      <c r="AE2428" s="2114">
        <f>H2428-'Blocking-Step2'!H2428</f>
        <v>0</v>
      </c>
      <c r="AF2428" s="2114">
        <f>I2428-'Blocking-Step2'!I2428</f>
        <v>0</v>
      </c>
      <c r="AH2428" s="2136">
        <f>K2428-'Blocking-Step2'!K2428</f>
        <v>0</v>
      </c>
      <c r="AJ2428" s="2136">
        <f>M2428-'Blocking-Step2'!M2428</f>
        <v>0</v>
      </c>
      <c r="AL2428" s="2136">
        <f>O2428-'Blocking-Step2'!O2428</f>
        <v>0</v>
      </c>
      <c r="AN2428" s="2137">
        <f>Q2428-'Blocking-Step2'!Q2428</f>
        <v>0</v>
      </c>
      <c r="AP2428" s="2127">
        <f>S2428-'Blocking-Step2'!S2428</f>
        <v>0</v>
      </c>
      <c r="AR2428" s="2127">
        <f>U2428-'Blocking-Step2'!U2428</f>
        <v>0</v>
      </c>
      <c r="AT2428" s="2127">
        <f>W2428-'Blocking-Step2'!W2428</f>
        <v>0</v>
      </c>
      <c r="AV2428" s="2128">
        <f>Y2428-'Blocking-Step2'!Y2428</f>
        <v>0</v>
      </c>
    </row>
    <row r="2429" spans="1:48" ht="16.5" hidden="1" thickTop="1">
      <c r="A2429" s="1116" t="s">
        <v>257</v>
      </c>
      <c r="C2429" s="1105">
        <v>28070620</v>
      </c>
      <c r="D2429" s="1105">
        <v>26931410</v>
      </c>
      <c r="F2429" s="1143">
        <v>3.4988999999999999</v>
      </c>
      <c r="G2429" s="1921" t="s">
        <v>495</v>
      </c>
      <c r="H2429" s="1146">
        <v>982163</v>
      </c>
      <c r="I2429" s="1146">
        <v>942303</v>
      </c>
      <c r="K2429" s="1143"/>
      <c r="L2429" s="1921"/>
      <c r="M2429" s="1143"/>
      <c r="N2429" s="1921"/>
      <c r="O2429" s="1143"/>
      <c r="P2429" s="1921"/>
      <c r="Q2429" s="1143"/>
      <c r="R2429" s="1921"/>
      <c r="S2429" s="1146"/>
      <c r="T2429" s="1648"/>
      <c r="U2429" s="1146"/>
      <c r="V2429" s="1648"/>
      <c r="W2429" s="1146"/>
      <c r="X2429" s="1648"/>
      <c r="Y2429" s="1146"/>
      <c r="Z2429" s="2114">
        <f>C2429-'Blocking-Step2'!C2429</f>
        <v>0</v>
      </c>
      <c r="AA2429" s="2114">
        <f>D2429-'Blocking-Step2'!D2429</f>
        <v>0</v>
      </c>
      <c r="AC2429" s="2114">
        <f>F2429-'Blocking-Step2'!F2429</f>
        <v>0</v>
      </c>
      <c r="AE2429" s="2114">
        <f>H2429-'Blocking-Step2'!H2429</f>
        <v>0</v>
      </c>
      <c r="AF2429" s="2114">
        <f>I2429-'Blocking-Step2'!I2429</f>
        <v>0</v>
      </c>
      <c r="AH2429" s="2136">
        <f>K2429-'Blocking-Step2'!K2429</f>
        <v>0</v>
      </c>
      <c r="AJ2429" s="2136">
        <f>M2429-'Blocking-Step2'!M2429</f>
        <v>0</v>
      </c>
      <c r="AL2429" s="2136">
        <f>O2429-'Blocking-Step2'!O2429</f>
        <v>0</v>
      </c>
      <c r="AN2429" s="2137">
        <f>Q2429-'Blocking-Step2'!Q2429</f>
        <v>0</v>
      </c>
      <c r="AP2429" s="2127">
        <f>S2429-'Blocking-Step2'!S2429</f>
        <v>0</v>
      </c>
      <c r="AR2429" s="2127">
        <f>U2429-'Blocking-Step2'!U2429</f>
        <v>0</v>
      </c>
      <c r="AT2429" s="2127">
        <f>W2429-'Blocking-Step2'!W2429</f>
        <v>0</v>
      </c>
      <c r="AV2429" s="2128">
        <f>Y2429-'Blocking-Step2'!Y2429</f>
        <v>0</v>
      </c>
    </row>
    <row r="2430" spans="1:48" ht="16.5" hidden="1" thickTop="1">
      <c r="A2430" s="1116" t="s">
        <v>249</v>
      </c>
      <c r="C2430" s="2093">
        <v>75888368</v>
      </c>
      <c r="D2430" s="2093">
        <v>72808535</v>
      </c>
      <c r="F2430" s="2102">
        <v>2.9224999999999999</v>
      </c>
      <c r="G2430" s="1921" t="s">
        <v>495</v>
      </c>
      <c r="H2430" s="2100">
        <v>2217838</v>
      </c>
      <c r="I2430" s="2100">
        <v>2127829</v>
      </c>
      <c r="K2430" s="2102"/>
      <c r="L2430" s="1921"/>
      <c r="M2430" s="2102"/>
      <c r="N2430" s="1921"/>
      <c r="O2430" s="2102"/>
      <c r="P2430" s="1921"/>
      <c r="Q2430" s="2102"/>
      <c r="R2430" s="1921"/>
      <c r="S2430" s="2100"/>
      <c r="T2430" s="1648"/>
      <c r="U2430" s="2100"/>
      <c r="V2430" s="1648"/>
      <c r="W2430" s="2100"/>
      <c r="X2430" s="1648"/>
      <c r="Y2430" s="2100"/>
      <c r="Z2430" s="2114">
        <f>C2430-'Blocking-Step2'!C2430</f>
        <v>0</v>
      </c>
      <c r="AA2430" s="2114">
        <f>D2430-'Blocking-Step2'!D2430</f>
        <v>0</v>
      </c>
      <c r="AC2430" s="2114">
        <f>F2430-'Blocking-Step2'!F2430</f>
        <v>0</v>
      </c>
      <c r="AE2430" s="2114">
        <f>H2430-'Blocking-Step2'!H2430</f>
        <v>0</v>
      </c>
      <c r="AF2430" s="2114">
        <f>I2430-'Blocking-Step2'!I2430</f>
        <v>0</v>
      </c>
      <c r="AH2430" s="2136">
        <f>K2430-'Blocking-Step2'!K2430</f>
        <v>0</v>
      </c>
      <c r="AJ2430" s="2136">
        <f>M2430-'Blocking-Step2'!M2430</f>
        <v>0</v>
      </c>
      <c r="AL2430" s="2136">
        <f>O2430-'Blocking-Step2'!O2430</f>
        <v>0</v>
      </c>
      <c r="AN2430" s="2137">
        <f>Q2430-'Blocking-Step2'!Q2430</f>
        <v>0</v>
      </c>
      <c r="AP2430" s="2127">
        <f>S2430-'Blocking-Step2'!S2430</f>
        <v>0</v>
      </c>
      <c r="AR2430" s="2127">
        <f>U2430-'Blocking-Step2'!U2430</f>
        <v>0</v>
      </c>
      <c r="AT2430" s="2127">
        <f>W2430-'Blocking-Step2'!W2430</f>
        <v>0</v>
      </c>
      <c r="AV2430" s="2128">
        <f>Y2430-'Blocking-Step2'!Y2430</f>
        <v>0</v>
      </c>
    </row>
    <row r="2431" spans="1:48" ht="16.5" hidden="1" thickTop="1">
      <c r="A2431" s="1116" t="s">
        <v>1240</v>
      </c>
      <c r="C2431" s="1024"/>
      <c r="D2431" s="1024"/>
      <c r="F2431" s="2103">
        <v>-3.0700000000000002E-2</v>
      </c>
      <c r="G2431" s="617"/>
      <c r="H2431" s="2104">
        <v>-182899.30240000002</v>
      </c>
      <c r="I2431" s="2104">
        <v>-175156.9466</v>
      </c>
      <c r="K2431" s="2103"/>
      <c r="L2431" s="617"/>
      <c r="M2431" s="2103"/>
      <c r="N2431" s="617"/>
      <c r="O2431" s="2077" t="s">
        <v>2323</v>
      </c>
      <c r="P2431" s="617"/>
      <c r="Q2431" s="2076">
        <v>-2.5700000000000001E-2</v>
      </c>
      <c r="R2431" s="617"/>
      <c r="S2431" s="1146"/>
      <c r="T2431" s="1114"/>
      <c r="U2431" s="1146"/>
      <c r="V2431" s="1114"/>
      <c r="W2431" s="1146"/>
      <c r="X2431" s="1114"/>
      <c r="Y2431" s="1146">
        <v>-143863.17730000001</v>
      </c>
      <c r="Z2431" s="2114">
        <f>C2431-'Blocking-Step2'!C2431</f>
        <v>0</v>
      </c>
      <c r="AA2431" s="2114">
        <f>D2431-'Blocking-Step2'!D2431</f>
        <v>0</v>
      </c>
      <c r="AC2431" s="2114">
        <f>F2431-'Blocking-Step2'!F2431</f>
        <v>0</v>
      </c>
      <c r="AE2431" s="2114">
        <f>H2431-'Blocking-Step2'!H2431</f>
        <v>0</v>
      </c>
      <c r="AF2431" s="2114">
        <f>I2431-'Blocking-Step2'!I2431</f>
        <v>0</v>
      </c>
      <c r="AH2431" s="2136">
        <f>K2431-'Blocking-Step2'!K2431</f>
        <v>0</v>
      </c>
      <c r="AJ2431" s="2136">
        <f>M2431-'Blocking-Step2'!M2431</f>
        <v>0</v>
      </c>
      <c r="AL2431" s="2136" t="e">
        <f>O2431-'Blocking-Step2'!O2431</f>
        <v>#VALUE!</v>
      </c>
      <c r="AN2431" s="2137">
        <f>Q2431-'Blocking-Step2'!Q2431</f>
        <v>0</v>
      </c>
      <c r="AP2431" s="2127">
        <f>S2431-'Blocking-Step2'!S2431</f>
        <v>0</v>
      </c>
      <c r="AR2431" s="2127">
        <f>U2431-'Blocking-Step2'!U2431</f>
        <v>0</v>
      </c>
      <c r="AT2431" s="2127">
        <f>W2431-'Blocking-Step2'!W2431</f>
        <v>0</v>
      </c>
      <c r="AV2431" s="2128">
        <f>Y2431-'Blocking-Step2'!Y2431</f>
        <v>0</v>
      </c>
    </row>
    <row r="2432" spans="1:48" ht="16.5" hidden="1" thickTop="1">
      <c r="A2432" s="1116"/>
      <c r="C2432" s="1024"/>
      <c r="D2432" s="1024"/>
      <c r="F2432" s="1118"/>
      <c r="G2432" s="617"/>
      <c r="H2432" s="1114"/>
      <c r="I2432" s="1114"/>
      <c r="K2432" s="1118"/>
      <c r="L2432" s="617"/>
      <c r="M2432" s="1118"/>
      <c r="N2432" s="617"/>
      <c r="O2432" s="2077" t="s">
        <v>2324</v>
      </c>
      <c r="P2432" s="617"/>
      <c r="Q2432" s="2076">
        <v>-1.3899999999999999E-2</v>
      </c>
      <c r="R2432" s="617"/>
      <c r="S2432" s="1146"/>
      <c r="T2432" s="1114"/>
      <c r="U2432" s="1146"/>
      <c r="V2432" s="1114"/>
      <c r="W2432" s="1146"/>
      <c r="X2432" s="1114"/>
      <c r="Y2432" s="1146">
        <v>-77809.267099999997</v>
      </c>
      <c r="Z2432" s="2114">
        <f>C2432-'Blocking-Step2'!C2432</f>
        <v>0</v>
      </c>
      <c r="AA2432" s="2114">
        <f>D2432-'Blocking-Step2'!D2432</f>
        <v>0</v>
      </c>
      <c r="AC2432" s="2114">
        <f>F2432-'Blocking-Step2'!F2432</f>
        <v>0</v>
      </c>
      <c r="AE2432" s="2114">
        <f>H2432-'Blocking-Step2'!H2432</f>
        <v>0</v>
      </c>
      <c r="AF2432" s="2114">
        <f>I2432-'Blocking-Step2'!I2432</f>
        <v>0</v>
      </c>
      <c r="AH2432" s="2136">
        <f>K2432-'Blocking-Step2'!K2432</f>
        <v>0</v>
      </c>
      <c r="AJ2432" s="2136">
        <f>M2432-'Blocking-Step2'!M2432</f>
        <v>0</v>
      </c>
      <c r="AL2432" s="2136" t="e">
        <f>O2432-'Blocking-Step2'!O2432</f>
        <v>#VALUE!</v>
      </c>
      <c r="AN2432" s="2137">
        <f>Q2432-'Blocking-Step2'!Q2432</f>
        <v>0</v>
      </c>
      <c r="AP2432" s="2127">
        <f>S2432-'Blocking-Step2'!S2432</f>
        <v>0</v>
      </c>
      <c r="AR2432" s="2127">
        <f>U2432-'Blocking-Step2'!U2432</f>
        <v>0</v>
      </c>
      <c r="AT2432" s="2127">
        <f>W2432-'Blocking-Step2'!W2432</f>
        <v>0</v>
      </c>
      <c r="AV2432" s="2128">
        <f>Y2432-'Blocking-Step2'!Y2432</f>
        <v>0</v>
      </c>
    </row>
    <row r="2433" spans="1:48" ht="16.5" hidden="1" thickTop="1">
      <c r="A2433" s="1116" t="s">
        <v>397</v>
      </c>
      <c r="C2433" s="1024"/>
      <c r="D2433" s="1024"/>
      <c r="F2433" s="1113"/>
      <c r="G2433" s="1921"/>
      <c r="H2433" s="1114">
        <v>7173235.3155999994</v>
      </c>
      <c r="I2433" s="1114">
        <v>6867785.9417999992</v>
      </c>
      <c r="K2433" s="1113"/>
      <c r="L2433" s="1921"/>
      <c r="M2433" s="1113"/>
      <c r="N2433" s="1921"/>
      <c r="O2433" s="1113"/>
      <c r="P2433" s="1921"/>
      <c r="Q2433" s="1113"/>
      <c r="R2433" s="1921"/>
      <c r="S2433" s="1114">
        <v>103231</v>
      </c>
      <c r="T2433" s="1648"/>
      <c r="U2433" s="1114">
        <v>4514404</v>
      </c>
      <c r="V2433" s="1648"/>
      <c r="W2433" s="1114">
        <v>2402964</v>
      </c>
      <c r="X2433" s="1648"/>
      <c r="Y2433" s="1114">
        <v>7020599</v>
      </c>
      <c r="Z2433" s="2114">
        <f>C2433-'Blocking-Step2'!C2433</f>
        <v>0</v>
      </c>
      <c r="AA2433" s="2114">
        <f>D2433-'Blocking-Step2'!D2433</f>
        <v>0</v>
      </c>
      <c r="AC2433" s="2114">
        <f>F2433-'Blocking-Step2'!F2433</f>
        <v>0</v>
      </c>
      <c r="AE2433" s="2114">
        <f>H2433-'Blocking-Step2'!H2433</f>
        <v>0</v>
      </c>
      <c r="AF2433" s="2114">
        <f>I2433-'Blocking-Step2'!I2433</f>
        <v>0</v>
      </c>
      <c r="AH2433" s="2136">
        <f>K2433-'Blocking-Step2'!K2433</f>
        <v>0</v>
      </c>
      <c r="AJ2433" s="2136">
        <f>M2433-'Blocking-Step2'!M2433</f>
        <v>0</v>
      </c>
      <c r="AL2433" s="2136">
        <f>O2433-'Blocking-Step2'!O2433</f>
        <v>0</v>
      </c>
      <c r="AN2433" s="2137">
        <f>Q2433-'Blocking-Step2'!Q2433</f>
        <v>0</v>
      </c>
      <c r="AP2433" s="2127">
        <f>S2433-'Blocking-Step2'!S2433</f>
        <v>-1329888</v>
      </c>
      <c r="AR2433" s="2127">
        <f>U2433-'Blocking-Step2'!U2433</f>
        <v>1329888</v>
      </c>
      <c r="AT2433" s="2127">
        <f>W2433-'Blocking-Step2'!W2433</f>
        <v>0</v>
      </c>
      <c r="AV2433" s="2128">
        <f>Y2433-'Blocking-Step2'!Y2433</f>
        <v>0</v>
      </c>
    </row>
    <row r="2434" spans="1:48" ht="16.5" hidden="1" thickTop="1">
      <c r="A2434" s="1104" t="s">
        <v>136</v>
      </c>
      <c r="C2434" s="1136">
        <v>714620</v>
      </c>
      <c r="D2434" s="1136">
        <v>0</v>
      </c>
      <c r="F2434" s="1106"/>
      <c r="G2434" s="1107"/>
      <c r="H2434" s="1147">
        <v>48878</v>
      </c>
      <c r="I2434" s="1147">
        <v>0</v>
      </c>
      <c r="K2434" s="1106"/>
      <c r="L2434" s="1107"/>
      <c r="M2434" s="1106"/>
      <c r="N2434" s="1107"/>
      <c r="O2434" s="1106"/>
      <c r="P2434" s="1107"/>
      <c r="Q2434" s="1106"/>
      <c r="R2434" s="1107"/>
      <c r="S2434" s="1147"/>
      <c r="T2434" s="1114"/>
      <c r="U2434" s="1147"/>
      <c r="V2434" s="1114"/>
      <c r="W2434" s="1147"/>
      <c r="X2434" s="1114"/>
      <c r="Y2434" s="1147"/>
      <c r="Z2434" s="2114">
        <f>C2434-'Blocking-Step2'!C2434</f>
        <v>0</v>
      </c>
      <c r="AA2434" s="2114">
        <f>D2434-'Blocking-Step2'!D2434</f>
        <v>0</v>
      </c>
      <c r="AC2434" s="2114">
        <f>F2434-'Blocking-Step2'!F2434</f>
        <v>0</v>
      </c>
      <c r="AE2434" s="2114">
        <f>H2434-'Blocking-Step2'!H2434</f>
        <v>0</v>
      </c>
      <c r="AF2434" s="2114">
        <f>I2434-'Blocking-Step2'!I2434</f>
        <v>0</v>
      </c>
      <c r="AH2434" s="2136">
        <f>K2434-'Blocking-Step2'!K2434</f>
        <v>0</v>
      </c>
      <c r="AJ2434" s="2136">
        <f>M2434-'Blocking-Step2'!M2434</f>
        <v>0</v>
      </c>
      <c r="AL2434" s="2136">
        <f>O2434-'Blocking-Step2'!O2434</f>
        <v>0</v>
      </c>
      <c r="AN2434" s="2137">
        <f>Q2434-'Blocking-Step2'!Q2434</f>
        <v>0</v>
      </c>
      <c r="AP2434" s="2127">
        <f>S2434-'Blocking-Step2'!S2434</f>
        <v>0</v>
      </c>
      <c r="AR2434" s="2127">
        <f>U2434-'Blocking-Step2'!U2434</f>
        <v>0</v>
      </c>
      <c r="AT2434" s="2127">
        <f>W2434-'Blocking-Step2'!W2434</f>
        <v>0</v>
      </c>
      <c r="AV2434" s="2128">
        <f>Y2434-'Blocking-Step2'!Y2434</f>
        <v>0</v>
      </c>
    </row>
    <row r="2435" spans="1:48" ht="17.25" hidden="1" thickTop="1" thickBot="1">
      <c r="A2435" s="1116" t="s">
        <v>173</v>
      </c>
      <c r="C2435" s="1138">
        <v>135414267</v>
      </c>
      <c r="D2435" s="1138">
        <v>129233033.66666666</v>
      </c>
      <c r="F2435" s="1145"/>
      <c r="H2435" s="1149">
        <v>8326593.3155999994</v>
      </c>
      <c r="I2435" s="1149">
        <v>7923823.9417999992</v>
      </c>
      <c r="K2435" s="1145"/>
      <c r="M2435" s="1145"/>
      <c r="O2435" s="1145"/>
      <c r="Q2435" s="1145"/>
      <c r="S2435" s="1149">
        <v>278097</v>
      </c>
      <c r="U2435" s="1149">
        <v>5370825</v>
      </c>
      <c r="W2435" s="1149">
        <v>2402964</v>
      </c>
      <c r="Y2435" s="1149">
        <v>8051886</v>
      </c>
      <c r="Z2435" s="2114">
        <f>C2435-'Blocking-Step2'!C2435</f>
        <v>0</v>
      </c>
      <c r="AA2435" s="2114">
        <f>D2435-'Blocking-Step2'!D2435</f>
        <v>0</v>
      </c>
      <c r="AC2435" s="2114">
        <f>F2435-'Blocking-Step2'!F2435</f>
        <v>0</v>
      </c>
      <c r="AE2435" s="2114">
        <f>H2435-'Blocking-Step2'!H2435</f>
        <v>0</v>
      </c>
      <c r="AF2435" s="2114">
        <f>I2435-'Blocking-Step2'!I2435</f>
        <v>0</v>
      </c>
      <c r="AH2435" s="2136">
        <f>K2435-'Blocking-Step2'!K2435</f>
        <v>0</v>
      </c>
      <c r="AJ2435" s="2136">
        <f>M2435-'Blocking-Step2'!M2435</f>
        <v>0</v>
      </c>
      <c r="AL2435" s="2136">
        <f>O2435-'Blocking-Step2'!O2435</f>
        <v>0</v>
      </c>
      <c r="AN2435" s="2137">
        <f>Q2435-'Blocking-Step2'!Q2435</f>
        <v>0</v>
      </c>
      <c r="AP2435" s="2127">
        <f>S2435-'Blocking-Step2'!S2435</f>
        <v>-1756173</v>
      </c>
      <c r="AR2435" s="2127">
        <f>U2435-'Blocking-Step2'!U2435</f>
        <v>1756170</v>
      </c>
      <c r="AT2435" s="2127">
        <f>W2435-'Blocking-Step2'!W2435</f>
        <v>0</v>
      </c>
      <c r="AV2435" s="2128">
        <f>Y2435-'Blocking-Step2'!Y2435</f>
        <v>0</v>
      </c>
    </row>
    <row r="2436" spans="1:48" ht="16.5" hidden="1" thickTop="1">
      <c r="Z2436" s="2114">
        <f>C2436-'Blocking-Step2'!C2436</f>
        <v>0</v>
      </c>
      <c r="AA2436" s="2114">
        <f>D2436-'Blocking-Step2'!D2436</f>
        <v>0</v>
      </c>
      <c r="AC2436" s="2114">
        <f>F2436-'Blocking-Step2'!F2436</f>
        <v>0</v>
      </c>
      <c r="AE2436" s="2114">
        <f>H2436-'Blocking-Step2'!H2436</f>
        <v>0</v>
      </c>
      <c r="AF2436" s="2114">
        <f>I2436-'Blocking-Step2'!I2436</f>
        <v>0</v>
      </c>
      <c r="AH2436" s="2136">
        <f>K2436-'Blocking-Step2'!K2436</f>
        <v>0</v>
      </c>
      <c r="AJ2436" s="2136">
        <f>M2436-'Blocking-Step2'!M2436</f>
        <v>0</v>
      </c>
      <c r="AL2436" s="2136">
        <f>O2436-'Blocking-Step2'!O2436</f>
        <v>0</v>
      </c>
      <c r="AN2436" s="2137">
        <f>Q2436-'Blocking-Step2'!Q2436</f>
        <v>0</v>
      </c>
      <c r="AP2436" s="2127">
        <f>S2436-'Blocking-Step2'!S2436</f>
        <v>0</v>
      </c>
      <c r="AR2436" s="2127">
        <f>U2436-'Blocking-Step2'!U2436</f>
        <v>0</v>
      </c>
      <c r="AT2436" s="2127">
        <f>W2436-'Blocking-Step2'!W2436</f>
        <v>0</v>
      </c>
      <c r="AV2436" s="2128">
        <f>Y2436-'Blocking-Step2'!Y2436</f>
        <v>0</v>
      </c>
    </row>
    <row r="2437" spans="1:48" ht="16.5" hidden="1" thickTop="1">
      <c r="A2437" s="1115" t="s">
        <v>939</v>
      </c>
      <c r="C2437" s="1105"/>
      <c r="D2437" s="1105"/>
      <c r="F2437" s="1106"/>
      <c r="G2437" s="1107"/>
      <c r="K2437" s="1106"/>
      <c r="L2437" s="1107"/>
      <c r="M2437" s="1106"/>
      <c r="N2437" s="1107"/>
      <c r="O2437" s="1106"/>
      <c r="P2437" s="1107"/>
      <c r="Q2437" s="1106"/>
      <c r="R2437" s="1107"/>
      <c r="S2437" s="1114"/>
      <c r="T2437" s="1114"/>
      <c r="U2437" s="1114"/>
      <c r="V2437" s="1114"/>
      <c r="W2437" s="1114"/>
      <c r="X2437" s="1114"/>
      <c r="Z2437" s="2114">
        <f>C2437-'Blocking-Step2'!C2437</f>
        <v>0</v>
      </c>
      <c r="AA2437" s="2114">
        <f>D2437-'Blocking-Step2'!D2437</f>
        <v>0</v>
      </c>
      <c r="AC2437" s="2114">
        <f>F2437-'Blocking-Step2'!F2437</f>
        <v>0</v>
      </c>
      <c r="AE2437" s="2114">
        <f>H2437-'Blocking-Step2'!H2437</f>
        <v>0</v>
      </c>
      <c r="AF2437" s="2114">
        <f>I2437-'Blocking-Step2'!I2437</f>
        <v>0</v>
      </c>
      <c r="AH2437" s="2136">
        <f>K2437-'Blocking-Step2'!K2437</f>
        <v>0</v>
      </c>
      <c r="AJ2437" s="2136">
        <f>M2437-'Blocking-Step2'!M2437</f>
        <v>0</v>
      </c>
      <c r="AL2437" s="2136">
        <f>O2437-'Blocking-Step2'!O2437</f>
        <v>0</v>
      </c>
      <c r="AN2437" s="2137">
        <f>Q2437-'Blocking-Step2'!Q2437</f>
        <v>0</v>
      </c>
      <c r="AP2437" s="2127">
        <f>S2437-'Blocking-Step2'!S2437</f>
        <v>0</v>
      </c>
      <c r="AR2437" s="2127">
        <f>U2437-'Blocking-Step2'!U2437</f>
        <v>0</v>
      </c>
      <c r="AT2437" s="2127">
        <f>W2437-'Blocking-Step2'!W2437</f>
        <v>0</v>
      </c>
      <c r="AV2437" s="2128">
        <f>Y2437-'Blocking-Step2'!Y2437</f>
        <v>0</v>
      </c>
    </row>
    <row r="2438" spans="1:48" ht="16.5" hidden="1" thickTop="1">
      <c r="A2438" s="2008" t="s">
        <v>181</v>
      </c>
      <c r="C2438" s="1105"/>
      <c r="D2438" s="1105"/>
      <c r="Z2438" s="2114">
        <f>C2438-'Blocking-Step2'!C2438</f>
        <v>0</v>
      </c>
      <c r="AA2438" s="2114">
        <f>D2438-'Blocking-Step2'!D2438</f>
        <v>0</v>
      </c>
      <c r="AC2438" s="2114">
        <f>F2438-'Blocking-Step2'!F2438</f>
        <v>0</v>
      </c>
      <c r="AE2438" s="2114">
        <f>H2438-'Blocking-Step2'!H2438</f>
        <v>0</v>
      </c>
      <c r="AF2438" s="2114">
        <f>I2438-'Blocking-Step2'!I2438</f>
        <v>0</v>
      </c>
      <c r="AH2438" s="2136">
        <f>K2438-'Blocking-Step2'!K2438</f>
        <v>0</v>
      </c>
      <c r="AJ2438" s="2136">
        <f>M2438-'Blocking-Step2'!M2438</f>
        <v>0</v>
      </c>
      <c r="AL2438" s="2136">
        <f>O2438-'Blocking-Step2'!O2438</f>
        <v>0</v>
      </c>
      <c r="AN2438" s="2137">
        <f>Q2438-'Blocking-Step2'!Q2438</f>
        <v>0</v>
      </c>
      <c r="AP2438" s="2127">
        <f>S2438-'Blocking-Step2'!S2438</f>
        <v>0</v>
      </c>
      <c r="AR2438" s="2127">
        <f>U2438-'Blocking-Step2'!U2438</f>
        <v>0</v>
      </c>
      <c r="AT2438" s="2127">
        <f>W2438-'Blocking-Step2'!W2438</f>
        <v>0</v>
      </c>
      <c r="AV2438" s="2128">
        <f>Y2438-'Blocking-Step2'!Y2438</f>
        <v>0</v>
      </c>
    </row>
    <row r="2439" spans="1:48" ht="16.5" hidden="1" thickTop="1">
      <c r="A2439" s="1116" t="s">
        <v>312</v>
      </c>
      <c r="C2439" s="1105"/>
      <c r="D2439" s="1105"/>
      <c r="F2439" s="1139">
        <v>133</v>
      </c>
      <c r="G2439" s="1110"/>
      <c r="H2439" s="1146">
        <v>0</v>
      </c>
      <c r="I2439" s="1146">
        <v>0</v>
      </c>
      <c r="K2439" s="1139">
        <v>138</v>
      </c>
      <c r="L2439" s="1110"/>
      <c r="M2439" s="1139">
        <v>0</v>
      </c>
      <c r="N2439" s="1110"/>
      <c r="O2439" s="1139">
        <v>0</v>
      </c>
      <c r="P2439" s="1110"/>
      <c r="Q2439" s="1139">
        <v>138</v>
      </c>
      <c r="R2439" s="1110"/>
      <c r="S2439" s="1146">
        <v>0</v>
      </c>
      <c r="T2439" s="1629"/>
      <c r="U2439" s="1146">
        <v>0</v>
      </c>
      <c r="V2439" s="1629"/>
      <c r="W2439" s="1146">
        <v>0</v>
      </c>
      <c r="X2439" s="1629"/>
      <c r="Y2439" s="1146">
        <v>0</v>
      </c>
      <c r="Z2439" s="2114">
        <f>C2439-'Blocking-Step2'!C2439</f>
        <v>0</v>
      </c>
      <c r="AA2439" s="2114">
        <f>D2439-'Blocking-Step2'!D2439</f>
        <v>0</v>
      </c>
      <c r="AC2439" s="2114">
        <f>F2439-'Blocking-Step2'!F2439</f>
        <v>0</v>
      </c>
      <c r="AE2439" s="2114">
        <f>H2439-'Blocking-Step2'!H2439</f>
        <v>0</v>
      </c>
      <c r="AF2439" s="2114">
        <f>I2439-'Blocking-Step2'!I2439</f>
        <v>0</v>
      </c>
      <c r="AH2439" s="2136">
        <f>K2439-'Blocking-Step2'!K2439</f>
        <v>0</v>
      </c>
      <c r="AJ2439" s="2136">
        <f>M2439-'Blocking-Step2'!M2439</f>
        <v>0</v>
      </c>
      <c r="AL2439" s="2136">
        <f>O2439-'Blocking-Step2'!O2439</f>
        <v>0</v>
      </c>
      <c r="AN2439" s="2137">
        <f>Q2439-'Blocking-Step2'!Q2439</f>
        <v>0</v>
      </c>
      <c r="AP2439" s="2127">
        <f>S2439-'Blocking-Step2'!S2439</f>
        <v>0</v>
      </c>
      <c r="AR2439" s="2127">
        <f>U2439-'Blocking-Step2'!U2439</f>
        <v>0</v>
      </c>
      <c r="AT2439" s="2127">
        <f>W2439-'Blocking-Step2'!W2439</f>
        <v>0</v>
      </c>
      <c r="AV2439" s="2128">
        <f>Y2439-'Blocking-Step2'!Y2439</f>
        <v>0</v>
      </c>
    </row>
    <row r="2440" spans="1:48" ht="16.5" hidden="1" thickTop="1">
      <c r="A2440" s="1116" t="s">
        <v>313</v>
      </c>
      <c r="C2440" s="1105"/>
      <c r="D2440" s="1105"/>
      <c r="F2440" s="1139">
        <v>5.6</v>
      </c>
      <c r="G2440" s="1110"/>
      <c r="H2440" s="1146">
        <v>0</v>
      </c>
      <c r="I2440" s="1146">
        <v>0</v>
      </c>
      <c r="K2440" s="1139">
        <v>5.81</v>
      </c>
      <c r="L2440" s="1110"/>
      <c r="M2440" s="1139">
        <v>0</v>
      </c>
      <c r="N2440" s="1110"/>
      <c r="O2440" s="1139">
        <v>0</v>
      </c>
      <c r="P2440" s="1110"/>
      <c r="Q2440" s="1139">
        <v>5.81</v>
      </c>
      <c r="R2440" s="1110"/>
      <c r="S2440" s="1146">
        <v>0</v>
      </c>
      <c r="T2440" s="1629"/>
      <c r="U2440" s="1146">
        <v>0</v>
      </c>
      <c r="V2440" s="1629"/>
      <c r="W2440" s="1146">
        <v>0</v>
      </c>
      <c r="X2440" s="1629"/>
      <c r="Y2440" s="1146">
        <v>0</v>
      </c>
      <c r="Z2440" s="2114">
        <f>C2440-'Blocking-Step2'!C2440</f>
        <v>0</v>
      </c>
      <c r="AA2440" s="2114">
        <f>D2440-'Blocking-Step2'!D2440</f>
        <v>0</v>
      </c>
      <c r="AC2440" s="2114">
        <f>F2440-'Blocking-Step2'!F2440</f>
        <v>0</v>
      </c>
      <c r="AE2440" s="2114">
        <f>H2440-'Blocking-Step2'!H2440</f>
        <v>0</v>
      </c>
      <c r="AF2440" s="2114">
        <f>I2440-'Blocking-Step2'!I2440</f>
        <v>0</v>
      </c>
      <c r="AH2440" s="2136">
        <f>K2440-'Blocking-Step2'!K2440</f>
        <v>0</v>
      </c>
      <c r="AJ2440" s="2136">
        <f>M2440-'Blocking-Step2'!M2440</f>
        <v>0</v>
      </c>
      <c r="AL2440" s="2136">
        <f>O2440-'Blocking-Step2'!O2440</f>
        <v>0</v>
      </c>
      <c r="AN2440" s="2137">
        <f>Q2440-'Blocking-Step2'!Q2440</f>
        <v>0</v>
      </c>
      <c r="AP2440" s="2127">
        <f>S2440-'Blocking-Step2'!S2440</f>
        <v>0</v>
      </c>
      <c r="AR2440" s="2127">
        <f>U2440-'Blocking-Step2'!U2440</f>
        <v>0</v>
      </c>
      <c r="AT2440" s="2127">
        <f>W2440-'Blocking-Step2'!W2440</f>
        <v>0</v>
      </c>
      <c r="AV2440" s="2128">
        <f>Y2440-'Blocking-Step2'!Y2440</f>
        <v>0</v>
      </c>
    </row>
    <row r="2441" spans="1:48" ht="16.5" hidden="1" thickTop="1">
      <c r="A2441" s="1116" t="s">
        <v>314</v>
      </c>
      <c r="C2441" s="1105"/>
      <c r="D2441" s="1105"/>
      <c r="F2441" s="1140"/>
      <c r="G2441" s="617"/>
      <c r="H2441" s="1146"/>
      <c r="I2441" s="1146"/>
      <c r="K2441" s="1140"/>
      <c r="L2441" s="617"/>
      <c r="M2441" s="1140"/>
      <c r="N2441" s="617"/>
      <c r="O2441" s="1140"/>
      <c r="P2441" s="617"/>
      <c r="Q2441" s="1140"/>
      <c r="R2441" s="617"/>
      <c r="S2441" s="1146"/>
      <c r="T2441" s="1114"/>
      <c r="U2441" s="1146"/>
      <c r="V2441" s="1114"/>
      <c r="W2441" s="1146"/>
      <c r="X2441" s="1114"/>
      <c r="Y2441" s="1146"/>
      <c r="Z2441" s="2114">
        <f>C2441-'Blocking-Step2'!C2441</f>
        <v>0</v>
      </c>
      <c r="AA2441" s="2114">
        <f>D2441-'Blocking-Step2'!D2441</f>
        <v>0</v>
      </c>
      <c r="AC2441" s="2114">
        <f>F2441-'Blocking-Step2'!F2441</f>
        <v>0</v>
      </c>
      <c r="AE2441" s="2114">
        <f>H2441-'Blocking-Step2'!H2441</f>
        <v>0</v>
      </c>
      <c r="AF2441" s="2114">
        <f>I2441-'Blocking-Step2'!I2441</f>
        <v>0</v>
      </c>
      <c r="AH2441" s="2136">
        <f>K2441-'Blocking-Step2'!K2441</f>
        <v>0</v>
      </c>
      <c r="AJ2441" s="2136">
        <f>M2441-'Blocking-Step2'!M2441</f>
        <v>0</v>
      </c>
      <c r="AL2441" s="2136">
        <f>O2441-'Blocking-Step2'!O2441</f>
        <v>0</v>
      </c>
      <c r="AN2441" s="2137">
        <f>Q2441-'Blocking-Step2'!Q2441</f>
        <v>0</v>
      </c>
      <c r="AP2441" s="2127">
        <f>S2441-'Blocking-Step2'!S2441</f>
        <v>0</v>
      </c>
      <c r="AR2441" s="2127">
        <f>U2441-'Blocking-Step2'!U2441</f>
        <v>0</v>
      </c>
      <c r="AT2441" s="2127">
        <f>W2441-'Blocking-Step2'!W2441</f>
        <v>0</v>
      </c>
      <c r="AV2441" s="2128">
        <f>Y2441-'Blocking-Step2'!Y2441</f>
        <v>0</v>
      </c>
    </row>
    <row r="2442" spans="1:48" ht="16.5" hidden="1" thickTop="1">
      <c r="A2442" s="1116" t="s">
        <v>315</v>
      </c>
      <c r="C2442" s="1105"/>
      <c r="D2442" s="1105"/>
      <c r="F2442" s="1139"/>
      <c r="G2442" s="1111"/>
      <c r="H2442" s="1146"/>
      <c r="I2442" s="1146"/>
      <c r="K2442" s="1139"/>
      <c r="L2442" s="1111"/>
      <c r="M2442" s="1139"/>
      <c r="N2442" s="1111"/>
      <c r="O2442" s="1139"/>
      <c r="P2442" s="1111"/>
      <c r="Q2442" s="1139"/>
      <c r="R2442" s="1111"/>
      <c r="S2442" s="1146"/>
      <c r="T2442" s="1629"/>
      <c r="U2442" s="1146"/>
      <c r="V2442" s="1629"/>
      <c r="W2442" s="1146"/>
      <c r="X2442" s="1629"/>
      <c r="Y2442" s="1146"/>
      <c r="Z2442" s="2114">
        <f>C2442-'Blocking-Step2'!C2442</f>
        <v>0</v>
      </c>
      <c r="AA2442" s="2114">
        <f>D2442-'Blocking-Step2'!D2442</f>
        <v>0</v>
      </c>
      <c r="AC2442" s="2114">
        <f>F2442-'Blocking-Step2'!F2442</f>
        <v>0</v>
      </c>
      <c r="AE2442" s="2114">
        <f>H2442-'Blocking-Step2'!H2442</f>
        <v>0</v>
      </c>
      <c r="AF2442" s="2114">
        <f>I2442-'Blocking-Step2'!I2442</f>
        <v>0</v>
      </c>
      <c r="AH2442" s="2136">
        <f>K2442-'Blocking-Step2'!K2442</f>
        <v>0</v>
      </c>
      <c r="AJ2442" s="2136">
        <f>M2442-'Blocking-Step2'!M2442</f>
        <v>0</v>
      </c>
      <c r="AL2442" s="2136">
        <f>O2442-'Blocking-Step2'!O2442</f>
        <v>0</v>
      </c>
      <c r="AN2442" s="2137">
        <f>Q2442-'Blocking-Step2'!Q2442</f>
        <v>0</v>
      </c>
      <c r="AP2442" s="2127">
        <f>S2442-'Blocking-Step2'!S2442</f>
        <v>0</v>
      </c>
      <c r="AR2442" s="2127">
        <f>U2442-'Blocking-Step2'!U2442</f>
        <v>0</v>
      </c>
      <c r="AT2442" s="2127">
        <f>W2442-'Blocking-Step2'!W2442</f>
        <v>0</v>
      </c>
      <c r="AV2442" s="2128">
        <f>Y2442-'Blocking-Step2'!Y2442</f>
        <v>0</v>
      </c>
    </row>
    <row r="2443" spans="1:48" ht="16.5" hidden="1" thickTop="1">
      <c r="A2443" s="1116" t="s">
        <v>1668</v>
      </c>
      <c r="C2443" s="1105"/>
      <c r="D2443" s="1105"/>
      <c r="F2443" s="1139"/>
      <c r="G2443" s="1111"/>
      <c r="H2443" s="1146"/>
      <c r="I2443" s="1146"/>
      <c r="K2443" s="1139">
        <v>0</v>
      </c>
      <c r="L2443" s="1111"/>
      <c r="M2443" s="1139">
        <v>0.91</v>
      </c>
      <c r="N2443" s="1111"/>
      <c r="O2443" s="1139">
        <v>0</v>
      </c>
      <c r="P2443" s="1111"/>
      <c r="Q2443" s="1139">
        <v>0.91</v>
      </c>
      <c r="R2443" s="1111"/>
      <c r="S2443" s="1146">
        <v>0</v>
      </c>
      <c r="T2443" s="1629"/>
      <c r="U2443" s="1146">
        <v>0</v>
      </c>
      <c r="V2443" s="1629"/>
      <c r="W2443" s="1146">
        <v>0</v>
      </c>
      <c r="X2443" s="1629"/>
      <c r="Y2443" s="1146">
        <v>0</v>
      </c>
      <c r="Z2443" s="2114">
        <f>C2443-'Blocking-Step2'!C2443</f>
        <v>0</v>
      </c>
      <c r="AA2443" s="2114">
        <f>D2443-'Blocking-Step2'!D2443</f>
        <v>0</v>
      </c>
      <c r="AC2443" s="2114">
        <f>F2443-'Blocking-Step2'!F2443</f>
        <v>0</v>
      </c>
      <c r="AE2443" s="2114">
        <f>H2443-'Blocking-Step2'!H2443</f>
        <v>0</v>
      </c>
      <c r="AF2443" s="2114">
        <f>I2443-'Blocking-Step2'!I2443</f>
        <v>0</v>
      </c>
      <c r="AH2443" s="2136">
        <f>K2443-'Blocking-Step2'!K2443</f>
        <v>-0.42</v>
      </c>
      <c r="AJ2443" s="2136">
        <f>M2443-'Blocking-Step2'!M2443</f>
        <v>0.42</v>
      </c>
      <c r="AL2443" s="2136">
        <f>O2443-'Blocking-Step2'!O2443</f>
        <v>0</v>
      </c>
      <c r="AN2443" s="2137">
        <f>Q2443-'Blocking-Step2'!Q2443</f>
        <v>0</v>
      </c>
      <c r="AP2443" s="2127">
        <f>S2443-'Blocking-Step2'!S2443</f>
        <v>0</v>
      </c>
      <c r="AR2443" s="2127">
        <f>U2443-'Blocking-Step2'!U2443</f>
        <v>0</v>
      </c>
      <c r="AT2443" s="2127">
        <f>W2443-'Blocking-Step2'!W2443</f>
        <v>0</v>
      </c>
      <c r="AV2443" s="2128">
        <f>Y2443-'Blocking-Step2'!Y2443</f>
        <v>0</v>
      </c>
    </row>
    <row r="2444" spans="1:48" ht="16.5" hidden="1" thickTop="1">
      <c r="A2444" s="1116" t="s">
        <v>1669</v>
      </c>
      <c r="C2444" s="1105"/>
      <c r="D2444" s="1105"/>
      <c r="F2444" s="1139"/>
      <c r="G2444" s="1111"/>
      <c r="H2444" s="1146"/>
      <c r="I2444" s="1146"/>
      <c r="K2444" s="1139">
        <v>0</v>
      </c>
      <c r="L2444" s="1111"/>
      <c r="M2444" s="1139">
        <v>0.81</v>
      </c>
      <c r="N2444" s="1111"/>
      <c r="O2444" s="1139">
        <v>0</v>
      </c>
      <c r="P2444" s="1111"/>
      <c r="Q2444" s="1139">
        <v>0.81</v>
      </c>
      <c r="R2444" s="1111"/>
      <c r="S2444" s="1146">
        <v>0</v>
      </c>
      <c r="T2444" s="1629"/>
      <c r="U2444" s="1146">
        <v>0</v>
      </c>
      <c r="V2444" s="1629"/>
      <c r="W2444" s="1146">
        <v>0</v>
      </c>
      <c r="X2444" s="1629"/>
      <c r="Y2444" s="1146">
        <v>0</v>
      </c>
      <c r="Z2444" s="2114">
        <f>C2444-'Blocking-Step2'!C2444</f>
        <v>0</v>
      </c>
      <c r="AA2444" s="2114">
        <f>D2444-'Blocking-Step2'!D2444</f>
        <v>0</v>
      </c>
      <c r="AC2444" s="2114">
        <f>F2444-'Blocking-Step2'!F2444</f>
        <v>0</v>
      </c>
      <c r="AE2444" s="2114">
        <f>H2444-'Blocking-Step2'!H2444</f>
        <v>0</v>
      </c>
      <c r="AF2444" s="2114">
        <f>I2444-'Blocking-Step2'!I2444</f>
        <v>0</v>
      </c>
      <c r="AH2444" s="2136">
        <f>K2444-'Blocking-Step2'!K2444</f>
        <v>-0.37</v>
      </c>
      <c r="AJ2444" s="2136">
        <f>M2444-'Blocking-Step2'!M2444</f>
        <v>0.37</v>
      </c>
      <c r="AL2444" s="2136">
        <f>O2444-'Blocking-Step2'!O2444</f>
        <v>0</v>
      </c>
      <c r="AN2444" s="2137">
        <f>Q2444-'Blocking-Step2'!Q2444</f>
        <v>0</v>
      </c>
      <c r="AP2444" s="2127">
        <f>S2444-'Blocking-Step2'!S2444</f>
        <v>0</v>
      </c>
      <c r="AR2444" s="2127">
        <f>U2444-'Blocking-Step2'!U2444</f>
        <v>0</v>
      </c>
      <c r="AT2444" s="2127">
        <f>W2444-'Blocking-Step2'!W2444</f>
        <v>0</v>
      </c>
      <c r="AV2444" s="2128">
        <f>Y2444-'Blocking-Step2'!Y2444</f>
        <v>0</v>
      </c>
    </row>
    <row r="2445" spans="1:48" ht="16.5" hidden="1" thickTop="1">
      <c r="A2445" s="1116" t="s">
        <v>316</v>
      </c>
      <c r="C2445" s="1105"/>
      <c r="D2445" s="1105"/>
      <c r="F2445" s="1140"/>
      <c r="G2445" s="1112"/>
      <c r="H2445" s="1146"/>
      <c r="I2445" s="1146"/>
      <c r="K2445" s="1140"/>
      <c r="L2445" s="1112"/>
      <c r="M2445" s="1140"/>
      <c r="N2445" s="1112"/>
      <c r="O2445" s="1140"/>
      <c r="P2445" s="1112"/>
      <c r="Q2445" s="1140"/>
      <c r="R2445" s="1112"/>
      <c r="S2445" s="1146"/>
      <c r="T2445" s="1114"/>
      <c r="U2445" s="1146"/>
      <c r="V2445" s="1114"/>
      <c r="W2445" s="1146"/>
      <c r="X2445" s="1114"/>
      <c r="Y2445" s="1146"/>
      <c r="Z2445" s="2114">
        <f>C2445-'Blocking-Step2'!C2445</f>
        <v>0</v>
      </c>
      <c r="AA2445" s="2114">
        <f>D2445-'Blocking-Step2'!D2445</f>
        <v>0</v>
      </c>
      <c r="AC2445" s="2114">
        <f>F2445-'Blocking-Step2'!F2445</f>
        <v>0</v>
      </c>
      <c r="AE2445" s="2114">
        <f>H2445-'Blocking-Step2'!H2445</f>
        <v>0</v>
      </c>
      <c r="AF2445" s="2114">
        <f>I2445-'Blocking-Step2'!I2445</f>
        <v>0</v>
      </c>
      <c r="AH2445" s="2136">
        <f>K2445-'Blocking-Step2'!K2445</f>
        <v>0</v>
      </c>
      <c r="AJ2445" s="2136">
        <f>M2445-'Blocking-Step2'!M2445</f>
        <v>0</v>
      </c>
      <c r="AL2445" s="2136">
        <f>O2445-'Blocking-Step2'!O2445</f>
        <v>0</v>
      </c>
      <c r="AN2445" s="2137">
        <f>Q2445-'Blocking-Step2'!Q2445</f>
        <v>0</v>
      </c>
      <c r="AP2445" s="2127">
        <f>S2445-'Blocking-Step2'!S2445</f>
        <v>0</v>
      </c>
      <c r="AR2445" s="2127">
        <f>U2445-'Blocking-Step2'!U2445</f>
        <v>0</v>
      </c>
      <c r="AT2445" s="2127">
        <f>W2445-'Blocking-Step2'!W2445</f>
        <v>0</v>
      </c>
      <c r="AV2445" s="2128">
        <f>Y2445-'Blocking-Step2'!Y2445</f>
        <v>0</v>
      </c>
    </row>
    <row r="2446" spans="1:48" ht="16.5" hidden="1" thickTop="1">
      <c r="A2446" s="1116" t="s">
        <v>1668</v>
      </c>
      <c r="C2446" s="1105"/>
      <c r="D2446" s="1105"/>
      <c r="F2446" s="1140"/>
      <c r="G2446" s="1112"/>
      <c r="H2446" s="1146"/>
      <c r="I2446" s="1146"/>
      <c r="K2446" s="1140">
        <v>0</v>
      </c>
      <c r="L2446" s="1112"/>
      <c r="M2446" s="1140">
        <v>0.46</v>
      </c>
      <c r="N2446" s="1112"/>
      <c r="O2446" s="1140">
        <v>0</v>
      </c>
      <c r="P2446" s="1112"/>
      <c r="Q2446" s="1140">
        <v>0.46</v>
      </c>
      <c r="R2446" s="1112"/>
      <c r="S2446" s="1146">
        <v>0</v>
      </c>
      <c r="T2446" s="1114"/>
      <c r="U2446" s="1146">
        <v>0</v>
      </c>
      <c r="V2446" s="1114"/>
      <c r="W2446" s="1146">
        <v>0</v>
      </c>
      <c r="X2446" s="1114"/>
      <c r="Y2446" s="1146">
        <v>0</v>
      </c>
      <c r="Z2446" s="2114">
        <f>C2446-'Blocking-Step2'!C2446</f>
        <v>0</v>
      </c>
      <c r="AA2446" s="2114">
        <f>D2446-'Blocking-Step2'!D2446</f>
        <v>0</v>
      </c>
      <c r="AC2446" s="2114">
        <f>F2446-'Blocking-Step2'!F2446</f>
        <v>0</v>
      </c>
      <c r="AE2446" s="2114">
        <f>H2446-'Blocking-Step2'!H2446</f>
        <v>0</v>
      </c>
      <c r="AF2446" s="2114">
        <f>I2446-'Blocking-Step2'!I2446</f>
        <v>0</v>
      </c>
      <c r="AH2446" s="2136">
        <f>K2446-'Blocking-Step2'!K2446</f>
        <v>-0.21</v>
      </c>
      <c r="AJ2446" s="2136">
        <f>M2446-'Blocking-Step2'!M2446</f>
        <v>0.21000000000000002</v>
      </c>
      <c r="AL2446" s="2136">
        <f>O2446-'Blocking-Step2'!O2446</f>
        <v>0</v>
      </c>
      <c r="AN2446" s="2137">
        <f>Q2446-'Blocking-Step2'!Q2446</f>
        <v>0</v>
      </c>
      <c r="AP2446" s="2127">
        <f>S2446-'Blocking-Step2'!S2446</f>
        <v>0</v>
      </c>
      <c r="AR2446" s="2127">
        <f>U2446-'Blocking-Step2'!U2446</f>
        <v>0</v>
      </c>
      <c r="AT2446" s="2127">
        <f>W2446-'Blocking-Step2'!W2446</f>
        <v>0</v>
      </c>
      <c r="AV2446" s="2128">
        <f>Y2446-'Blocking-Step2'!Y2446</f>
        <v>0</v>
      </c>
    </row>
    <row r="2447" spans="1:48" ht="16.5" hidden="1" thickTop="1">
      <c r="A2447" s="1116" t="s">
        <v>1669</v>
      </c>
      <c r="C2447" s="1105"/>
      <c r="D2447" s="1105"/>
      <c r="F2447" s="1140"/>
      <c r="G2447" s="1112"/>
      <c r="H2447" s="1146"/>
      <c r="I2447" s="1146"/>
      <c r="K2447" s="1140">
        <v>0</v>
      </c>
      <c r="L2447" s="1112"/>
      <c r="M2447" s="1140">
        <v>0.41</v>
      </c>
      <c r="N2447" s="1112"/>
      <c r="O2447" s="1140">
        <v>0</v>
      </c>
      <c r="P2447" s="1112"/>
      <c r="Q2447" s="1140">
        <v>0.41</v>
      </c>
      <c r="R2447" s="1112"/>
      <c r="S2447" s="1146">
        <v>0</v>
      </c>
      <c r="T2447" s="1114"/>
      <c r="U2447" s="1146">
        <v>0</v>
      </c>
      <c r="V2447" s="1114"/>
      <c r="W2447" s="1146">
        <v>0</v>
      </c>
      <c r="X2447" s="1114"/>
      <c r="Y2447" s="1146">
        <v>0</v>
      </c>
      <c r="Z2447" s="2114">
        <f>C2447-'Blocking-Step2'!C2447</f>
        <v>0</v>
      </c>
      <c r="AA2447" s="2114">
        <f>D2447-'Blocking-Step2'!D2447</f>
        <v>0</v>
      </c>
      <c r="AC2447" s="2114">
        <f>F2447-'Blocking-Step2'!F2447</f>
        <v>0</v>
      </c>
      <c r="AE2447" s="2114">
        <f>H2447-'Blocking-Step2'!H2447</f>
        <v>0</v>
      </c>
      <c r="AF2447" s="2114">
        <f>I2447-'Blocking-Step2'!I2447</f>
        <v>0</v>
      </c>
      <c r="AH2447" s="2136">
        <f>K2447-'Blocking-Step2'!K2447</f>
        <v>-0.19</v>
      </c>
      <c r="AJ2447" s="2136">
        <f>M2447-'Blocking-Step2'!M2447</f>
        <v>0.19</v>
      </c>
      <c r="AL2447" s="2136">
        <f>O2447-'Blocking-Step2'!O2447</f>
        <v>0</v>
      </c>
      <c r="AN2447" s="2137">
        <f>Q2447-'Blocking-Step2'!Q2447</f>
        <v>0</v>
      </c>
      <c r="AP2447" s="2127">
        <f>S2447-'Blocking-Step2'!S2447</f>
        <v>0</v>
      </c>
      <c r="AR2447" s="2127">
        <f>U2447-'Blocking-Step2'!U2447</f>
        <v>0</v>
      </c>
      <c r="AT2447" s="2127">
        <f>W2447-'Blocking-Step2'!W2447</f>
        <v>0</v>
      </c>
      <c r="AV2447" s="2128">
        <f>Y2447-'Blocking-Step2'!Y2447</f>
        <v>0</v>
      </c>
    </row>
    <row r="2448" spans="1:48" ht="16.5" hidden="1" thickTop="1">
      <c r="A2448" s="1116" t="s">
        <v>317</v>
      </c>
      <c r="C2448" s="1105"/>
      <c r="D2448" s="1105"/>
      <c r="F2448" s="1139"/>
      <c r="G2448" s="1110"/>
      <c r="H2448" s="1146"/>
      <c r="I2448" s="1146"/>
      <c r="K2448" s="1139"/>
      <c r="L2448" s="1110"/>
      <c r="M2448" s="1139"/>
      <c r="N2448" s="1110"/>
      <c r="O2448" s="1139"/>
      <c r="P2448" s="1110"/>
      <c r="Q2448" s="1139"/>
      <c r="R2448" s="1110"/>
      <c r="S2448" s="1146"/>
      <c r="T2448" s="1629"/>
      <c r="U2448" s="1146"/>
      <c r="V2448" s="1629"/>
      <c r="W2448" s="1146"/>
      <c r="X2448" s="1629"/>
      <c r="Y2448" s="1146"/>
      <c r="Z2448" s="2114">
        <f>C2448-'Blocking-Step2'!C2448</f>
        <v>0</v>
      </c>
      <c r="AA2448" s="2114">
        <f>D2448-'Blocking-Step2'!D2448</f>
        <v>0</v>
      </c>
      <c r="AC2448" s="2114">
        <f>F2448-'Blocking-Step2'!F2448</f>
        <v>0</v>
      </c>
      <c r="AE2448" s="2114">
        <f>H2448-'Blocking-Step2'!H2448</f>
        <v>0</v>
      </c>
      <c r="AF2448" s="2114">
        <f>I2448-'Blocking-Step2'!I2448</f>
        <v>0</v>
      </c>
      <c r="AH2448" s="2136">
        <f>K2448-'Blocking-Step2'!K2448</f>
        <v>0</v>
      </c>
      <c r="AJ2448" s="2136">
        <f>M2448-'Blocking-Step2'!M2448</f>
        <v>0</v>
      </c>
      <c r="AL2448" s="2136">
        <f>O2448-'Blocking-Step2'!O2448</f>
        <v>0</v>
      </c>
      <c r="AN2448" s="2137">
        <f>Q2448-'Blocking-Step2'!Q2448</f>
        <v>0</v>
      </c>
      <c r="AP2448" s="2127">
        <f>S2448-'Blocking-Step2'!S2448</f>
        <v>0</v>
      </c>
      <c r="AR2448" s="2127">
        <f>U2448-'Blocking-Step2'!U2448</f>
        <v>0</v>
      </c>
      <c r="AT2448" s="2127">
        <f>W2448-'Blocking-Step2'!W2448</f>
        <v>0</v>
      </c>
      <c r="AV2448" s="2128">
        <f>Y2448-'Blocking-Step2'!Y2448</f>
        <v>0</v>
      </c>
    </row>
    <row r="2449" spans="1:48" ht="16.5" hidden="1" thickTop="1">
      <c r="A2449" s="1116" t="s">
        <v>1668</v>
      </c>
      <c r="C2449" s="1105"/>
      <c r="D2449" s="1105"/>
      <c r="F2449" s="1139"/>
      <c r="G2449" s="1110"/>
      <c r="H2449" s="1146"/>
      <c r="I2449" s="1146"/>
      <c r="K2449" s="1139">
        <v>0</v>
      </c>
      <c r="L2449" s="1110"/>
      <c r="M2449" s="1139">
        <v>42.33</v>
      </c>
      <c r="N2449" s="1110"/>
      <c r="O2449" s="1139">
        <v>0</v>
      </c>
      <c r="P2449" s="1110"/>
      <c r="Q2449" s="1139">
        <v>42.33</v>
      </c>
      <c r="R2449" s="1110"/>
      <c r="S2449" s="1146">
        <v>0</v>
      </c>
      <c r="T2449" s="1629"/>
      <c r="U2449" s="1146">
        <v>0</v>
      </c>
      <c r="V2449" s="1629"/>
      <c r="W2449" s="1146">
        <v>0</v>
      </c>
      <c r="X2449" s="1629"/>
      <c r="Y2449" s="1146">
        <v>0</v>
      </c>
      <c r="Z2449" s="2114">
        <f>C2449-'Blocking-Step2'!C2449</f>
        <v>0</v>
      </c>
      <c r="AA2449" s="2114">
        <f>D2449-'Blocking-Step2'!D2449</f>
        <v>0</v>
      </c>
      <c r="AC2449" s="2114">
        <f>F2449-'Blocking-Step2'!F2449</f>
        <v>0</v>
      </c>
      <c r="AE2449" s="2114">
        <f>H2449-'Blocking-Step2'!H2449</f>
        <v>0</v>
      </c>
      <c r="AF2449" s="2114">
        <f>I2449-'Blocking-Step2'!I2449</f>
        <v>0</v>
      </c>
      <c r="AH2449" s="2136">
        <f>K2449-'Blocking-Step2'!K2449</f>
        <v>-19.54</v>
      </c>
      <c r="AJ2449" s="2136">
        <f>M2449-'Blocking-Step2'!M2449</f>
        <v>19.54</v>
      </c>
      <c r="AL2449" s="2136">
        <f>O2449-'Blocking-Step2'!O2449</f>
        <v>0</v>
      </c>
      <c r="AN2449" s="2137">
        <f>Q2449-'Blocking-Step2'!Q2449</f>
        <v>0</v>
      </c>
      <c r="AP2449" s="2127">
        <f>S2449-'Blocking-Step2'!S2449</f>
        <v>0</v>
      </c>
      <c r="AR2449" s="2127">
        <f>U2449-'Blocking-Step2'!U2449</f>
        <v>0</v>
      </c>
      <c r="AT2449" s="2127">
        <f>W2449-'Blocking-Step2'!W2449</f>
        <v>0</v>
      </c>
      <c r="AV2449" s="2128">
        <f>Y2449-'Blocking-Step2'!Y2449</f>
        <v>0</v>
      </c>
    </row>
    <row r="2450" spans="1:48" ht="16.5" hidden="1" thickTop="1">
      <c r="A2450" s="1116" t="s">
        <v>1669</v>
      </c>
      <c r="C2450" s="1105"/>
      <c r="D2450" s="1105"/>
      <c r="F2450" s="1139"/>
      <c r="G2450" s="1110"/>
      <c r="H2450" s="1146"/>
      <c r="I2450" s="1146"/>
      <c r="K2450" s="1139">
        <v>0</v>
      </c>
      <c r="L2450" s="1110"/>
      <c r="M2450" s="1139">
        <v>37.46</v>
      </c>
      <c r="N2450" s="1110"/>
      <c r="O2450" s="1139">
        <v>0</v>
      </c>
      <c r="P2450" s="1110"/>
      <c r="Q2450" s="1139">
        <v>37.46</v>
      </c>
      <c r="R2450" s="1110"/>
      <c r="S2450" s="1146">
        <v>0</v>
      </c>
      <c r="T2450" s="1629"/>
      <c r="U2450" s="1146">
        <v>0</v>
      </c>
      <c r="V2450" s="1629"/>
      <c r="W2450" s="1146">
        <v>0</v>
      </c>
      <c r="X2450" s="1629"/>
      <c r="Y2450" s="1146">
        <v>0</v>
      </c>
      <c r="Z2450" s="2114">
        <f>C2450-'Blocking-Step2'!C2450</f>
        <v>0</v>
      </c>
      <c r="AA2450" s="2114">
        <f>D2450-'Blocking-Step2'!D2450</f>
        <v>0</v>
      </c>
      <c r="AC2450" s="2114">
        <f>F2450-'Blocking-Step2'!F2450</f>
        <v>0</v>
      </c>
      <c r="AE2450" s="2114">
        <f>H2450-'Blocking-Step2'!H2450</f>
        <v>0</v>
      </c>
      <c r="AF2450" s="2114">
        <f>I2450-'Blocking-Step2'!I2450</f>
        <v>0</v>
      </c>
      <c r="AH2450" s="2136">
        <f>K2450-'Blocking-Step2'!K2450</f>
        <v>-17.11</v>
      </c>
      <c r="AJ2450" s="2136">
        <f>M2450-'Blocking-Step2'!M2450</f>
        <v>17.11</v>
      </c>
      <c r="AL2450" s="2136">
        <f>O2450-'Blocking-Step2'!O2450</f>
        <v>0</v>
      </c>
      <c r="AN2450" s="2137">
        <f>Q2450-'Blocking-Step2'!Q2450</f>
        <v>0</v>
      </c>
      <c r="AP2450" s="2127">
        <f>S2450-'Blocking-Step2'!S2450</f>
        <v>0</v>
      </c>
      <c r="AR2450" s="2127">
        <f>U2450-'Blocking-Step2'!U2450</f>
        <v>0</v>
      </c>
      <c r="AT2450" s="2127">
        <f>W2450-'Blocking-Step2'!W2450</f>
        <v>0</v>
      </c>
      <c r="AV2450" s="2128">
        <f>Y2450-'Blocking-Step2'!Y2450</f>
        <v>0</v>
      </c>
    </row>
    <row r="2451" spans="1:48" ht="16.5" hidden="1" thickTop="1">
      <c r="A2451" s="1116" t="s">
        <v>315</v>
      </c>
      <c r="C2451" s="1105"/>
      <c r="D2451" s="1105"/>
      <c r="F2451" s="1139"/>
      <c r="G2451" s="1111"/>
      <c r="H2451" s="1146"/>
      <c r="I2451" s="1146"/>
      <c r="K2451" s="1139"/>
      <c r="L2451" s="1111"/>
      <c r="M2451" s="1139"/>
      <c r="N2451" s="1111"/>
      <c r="O2451" s="1139"/>
      <c r="P2451" s="1111"/>
      <c r="Q2451" s="1139"/>
      <c r="R2451" s="1111"/>
      <c r="S2451" s="1146"/>
      <c r="T2451" s="1629"/>
      <c r="U2451" s="1146"/>
      <c r="V2451" s="1629"/>
      <c r="W2451" s="1146"/>
      <c r="X2451" s="1629"/>
      <c r="Y2451" s="1146"/>
      <c r="Z2451" s="2114">
        <f>C2451-'Blocking-Step2'!C2451</f>
        <v>0</v>
      </c>
      <c r="AA2451" s="2114">
        <f>D2451-'Blocking-Step2'!D2451</f>
        <v>0</v>
      </c>
      <c r="AC2451" s="2114">
        <f>F2451-'Blocking-Step2'!F2451</f>
        <v>0</v>
      </c>
      <c r="AE2451" s="2114">
        <f>H2451-'Blocking-Step2'!H2451</f>
        <v>0</v>
      </c>
      <c r="AF2451" s="2114">
        <f>I2451-'Blocking-Step2'!I2451</f>
        <v>0</v>
      </c>
      <c r="AH2451" s="2136">
        <f>K2451-'Blocking-Step2'!K2451</f>
        <v>0</v>
      </c>
      <c r="AJ2451" s="2136">
        <f>M2451-'Blocking-Step2'!M2451</f>
        <v>0</v>
      </c>
      <c r="AL2451" s="2136">
        <f>O2451-'Blocking-Step2'!O2451</f>
        <v>0</v>
      </c>
      <c r="AN2451" s="2137">
        <f>Q2451-'Blocking-Step2'!Q2451</f>
        <v>0</v>
      </c>
      <c r="AP2451" s="2127">
        <f>S2451-'Blocking-Step2'!S2451</f>
        <v>0</v>
      </c>
      <c r="AR2451" s="2127">
        <f>U2451-'Blocking-Step2'!U2451</f>
        <v>0</v>
      </c>
      <c r="AT2451" s="2127">
        <f>W2451-'Blocking-Step2'!W2451</f>
        <v>0</v>
      </c>
      <c r="AV2451" s="2128">
        <f>Y2451-'Blocking-Step2'!Y2451</f>
        <v>0</v>
      </c>
    </row>
    <row r="2452" spans="1:48" ht="16.5" hidden="1" thickTop="1">
      <c r="A2452" s="1116" t="s">
        <v>944</v>
      </c>
      <c r="C2452" s="1105"/>
      <c r="D2452" s="1105"/>
      <c r="F2452" s="1139">
        <v>0.88</v>
      </c>
      <c r="G2452" s="1111"/>
      <c r="H2452" s="1146">
        <v>0</v>
      </c>
      <c r="I2452" s="1146">
        <v>0</v>
      </c>
      <c r="K2452" s="1139"/>
      <c r="L2452" s="1111"/>
      <c r="M2452" s="1139"/>
      <c r="N2452" s="1111"/>
      <c r="O2452" s="1139"/>
      <c r="P2452" s="1111"/>
      <c r="Q2452" s="1139"/>
      <c r="R2452" s="1111"/>
      <c r="S2452" s="1146"/>
      <c r="T2452" s="1629"/>
      <c r="U2452" s="1146"/>
      <c r="V2452" s="1629"/>
      <c r="W2452" s="1146"/>
      <c r="X2452" s="1629"/>
      <c r="Y2452" s="1146"/>
      <c r="Z2452" s="2114">
        <f>C2452-'Blocking-Step2'!C2452</f>
        <v>0</v>
      </c>
      <c r="AA2452" s="2114">
        <f>D2452-'Blocking-Step2'!D2452</f>
        <v>0</v>
      </c>
      <c r="AC2452" s="2114">
        <f>F2452-'Blocking-Step2'!F2452</f>
        <v>0</v>
      </c>
      <c r="AE2452" s="2114">
        <f>H2452-'Blocking-Step2'!H2452</f>
        <v>0</v>
      </c>
      <c r="AF2452" s="2114">
        <f>I2452-'Blocking-Step2'!I2452</f>
        <v>0</v>
      </c>
      <c r="AH2452" s="2136">
        <f>K2452-'Blocking-Step2'!K2452</f>
        <v>0</v>
      </c>
      <c r="AJ2452" s="2136">
        <f>M2452-'Blocking-Step2'!M2452</f>
        <v>0</v>
      </c>
      <c r="AL2452" s="2136">
        <f>O2452-'Blocking-Step2'!O2452</f>
        <v>0</v>
      </c>
      <c r="AN2452" s="2137">
        <f>Q2452-'Blocking-Step2'!Q2452</f>
        <v>0</v>
      </c>
      <c r="AP2452" s="2127">
        <f>S2452-'Blocking-Step2'!S2452</f>
        <v>0</v>
      </c>
      <c r="AR2452" s="2127">
        <f>U2452-'Blocking-Step2'!U2452</f>
        <v>0</v>
      </c>
      <c r="AT2452" s="2127">
        <f>W2452-'Blocking-Step2'!W2452</f>
        <v>0</v>
      </c>
      <c r="AV2452" s="2128">
        <f>Y2452-'Blocking-Step2'!Y2452</f>
        <v>0</v>
      </c>
    </row>
    <row r="2453" spans="1:48" ht="16.5" hidden="1" thickTop="1">
      <c r="A2453" s="1116" t="s">
        <v>945</v>
      </c>
      <c r="C2453" s="1105"/>
      <c r="D2453" s="1105"/>
      <c r="F2453" s="1139">
        <v>0.62</v>
      </c>
      <c r="G2453" s="1111"/>
      <c r="H2453" s="1146">
        <v>0</v>
      </c>
      <c r="I2453" s="1146">
        <v>0</v>
      </c>
      <c r="K2453" s="1139"/>
      <c r="L2453" s="1111"/>
      <c r="M2453" s="1139"/>
      <c r="N2453" s="1111"/>
      <c r="O2453" s="1139"/>
      <c r="P2453" s="1111"/>
      <c r="Q2453" s="1139"/>
      <c r="R2453" s="1111"/>
      <c r="S2453" s="1146"/>
      <c r="T2453" s="1629"/>
      <c r="U2453" s="1146"/>
      <c r="V2453" s="1629"/>
      <c r="W2453" s="1146"/>
      <c r="X2453" s="1629"/>
      <c r="Y2453" s="1146"/>
      <c r="Z2453" s="2114">
        <f>C2453-'Blocking-Step2'!C2453</f>
        <v>0</v>
      </c>
      <c r="AA2453" s="2114">
        <f>D2453-'Blocking-Step2'!D2453</f>
        <v>0</v>
      </c>
      <c r="AC2453" s="2114">
        <f>F2453-'Blocking-Step2'!F2453</f>
        <v>0</v>
      </c>
      <c r="AE2453" s="2114">
        <f>H2453-'Blocking-Step2'!H2453</f>
        <v>0</v>
      </c>
      <c r="AF2453" s="2114">
        <f>I2453-'Blocking-Step2'!I2453</f>
        <v>0</v>
      </c>
      <c r="AH2453" s="2136">
        <f>K2453-'Blocking-Step2'!K2453</f>
        <v>0</v>
      </c>
      <c r="AJ2453" s="2136">
        <f>M2453-'Blocking-Step2'!M2453</f>
        <v>0</v>
      </c>
      <c r="AL2453" s="2136">
        <f>O2453-'Blocking-Step2'!O2453</f>
        <v>0</v>
      </c>
      <c r="AN2453" s="2137">
        <f>Q2453-'Blocking-Step2'!Q2453</f>
        <v>0</v>
      </c>
      <c r="AP2453" s="2127">
        <f>S2453-'Blocking-Step2'!S2453</f>
        <v>0</v>
      </c>
      <c r="AR2453" s="2127">
        <f>U2453-'Blocking-Step2'!U2453</f>
        <v>0</v>
      </c>
      <c r="AT2453" s="2127">
        <f>W2453-'Blocking-Step2'!W2453</f>
        <v>0</v>
      </c>
      <c r="AV2453" s="2128">
        <f>Y2453-'Blocking-Step2'!Y2453</f>
        <v>0</v>
      </c>
    </row>
    <row r="2454" spans="1:48" ht="16.5" hidden="1" thickTop="1">
      <c r="A2454" s="1116" t="s">
        <v>316</v>
      </c>
      <c r="C2454" s="1105"/>
      <c r="D2454" s="1105"/>
      <c r="F2454" s="1140"/>
      <c r="G2454" s="1112"/>
      <c r="H2454" s="1146"/>
      <c r="I2454" s="1146"/>
      <c r="K2454" s="1140"/>
      <c r="L2454" s="1112"/>
      <c r="M2454" s="1140"/>
      <c r="N2454" s="1112"/>
      <c r="O2454" s="1140"/>
      <c r="P2454" s="1112"/>
      <c r="Q2454" s="1140"/>
      <c r="R2454" s="1112"/>
      <c r="S2454" s="1146"/>
      <c r="T2454" s="1114"/>
      <c r="U2454" s="1146"/>
      <c r="V2454" s="1114"/>
      <c r="W2454" s="1146"/>
      <c r="X2454" s="1114"/>
      <c r="Y2454" s="1146"/>
      <c r="Z2454" s="2114">
        <f>C2454-'Blocking-Step2'!C2454</f>
        <v>0</v>
      </c>
      <c r="AA2454" s="2114">
        <f>D2454-'Blocking-Step2'!D2454</f>
        <v>0</v>
      </c>
      <c r="AC2454" s="2114">
        <f>F2454-'Blocking-Step2'!F2454</f>
        <v>0</v>
      </c>
      <c r="AE2454" s="2114">
        <f>H2454-'Blocking-Step2'!H2454</f>
        <v>0</v>
      </c>
      <c r="AF2454" s="2114">
        <f>I2454-'Blocking-Step2'!I2454</f>
        <v>0</v>
      </c>
      <c r="AH2454" s="2136">
        <f>K2454-'Blocking-Step2'!K2454</f>
        <v>0</v>
      </c>
      <c r="AJ2454" s="2136">
        <f>M2454-'Blocking-Step2'!M2454</f>
        <v>0</v>
      </c>
      <c r="AL2454" s="2136">
        <f>O2454-'Blocking-Step2'!O2454</f>
        <v>0</v>
      </c>
      <c r="AN2454" s="2137">
        <f>Q2454-'Blocking-Step2'!Q2454</f>
        <v>0</v>
      </c>
      <c r="AP2454" s="2127">
        <f>S2454-'Blocking-Step2'!S2454</f>
        <v>0</v>
      </c>
      <c r="AR2454" s="2127">
        <f>U2454-'Blocking-Step2'!U2454</f>
        <v>0</v>
      </c>
      <c r="AT2454" s="2127">
        <f>W2454-'Blocking-Step2'!W2454</f>
        <v>0</v>
      </c>
      <c r="AV2454" s="2128">
        <f>Y2454-'Blocking-Step2'!Y2454</f>
        <v>0</v>
      </c>
    </row>
    <row r="2455" spans="1:48" ht="16.5" hidden="1" thickTop="1">
      <c r="A2455" s="1116" t="s">
        <v>944</v>
      </c>
      <c r="C2455" s="1105"/>
      <c r="D2455" s="1105"/>
      <c r="F2455" s="1140">
        <v>0.44</v>
      </c>
      <c r="G2455" s="1112"/>
      <c r="H2455" s="1146">
        <v>0</v>
      </c>
      <c r="I2455" s="1146">
        <v>0</v>
      </c>
      <c r="K2455" s="1140"/>
      <c r="L2455" s="1112"/>
      <c r="M2455" s="1140"/>
      <c r="N2455" s="1112"/>
      <c r="O2455" s="1140"/>
      <c r="P2455" s="1112"/>
      <c r="Q2455" s="1140"/>
      <c r="R2455" s="1112"/>
      <c r="S2455" s="1146"/>
      <c r="T2455" s="1114"/>
      <c r="U2455" s="1146"/>
      <c r="V2455" s="1114"/>
      <c r="W2455" s="1146"/>
      <c r="X2455" s="1114"/>
      <c r="Y2455" s="1146"/>
      <c r="Z2455" s="2114">
        <f>C2455-'Blocking-Step2'!C2455</f>
        <v>0</v>
      </c>
      <c r="AA2455" s="2114">
        <f>D2455-'Blocking-Step2'!D2455</f>
        <v>0</v>
      </c>
      <c r="AC2455" s="2114">
        <f>F2455-'Blocking-Step2'!F2455</f>
        <v>0</v>
      </c>
      <c r="AE2455" s="2114">
        <f>H2455-'Blocking-Step2'!H2455</f>
        <v>0</v>
      </c>
      <c r="AF2455" s="2114">
        <f>I2455-'Blocking-Step2'!I2455</f>
        <v>0</v>
      </c>
      <c r="AH2455" s="2136">
        <f>K2455-'Blocking-Step2'!K2455</f>
        <v>0</v>
      </c>
      <c r="AJ2455" s="2136">
        <f>M2455-'Blocking-Step2'!M2455</f>
        <v>0</v>
      </c>
      <c r="AL2455" s="2136">
        <f>O2455-'Blocking-Step2'!O2455</f>
        <v>0</v>
      </c>
      <c r="AN2455" s="2137">
        <f>Q2455-'Blocking-Step2'!Q2455</f>
        <v>0</v>
      </c>
      <c r="AP2455" s="2127">
        <f>S2455-'Blocking-Step2'!S2455</f>
        <v>0</v>
      </c>
      <c r="AR2455" s="2127">
        <f>U2455-'Blocking-Step2'!U2455</f>
        <v>0</v>
      </c>
      <c r="AT2455" s="2127">
        <f>W2455-'Blocking-Step2'!W2455</f>
        <v>0</v>
      </c>
      <c r="AV2455" s="2128">
        <f>Y2455-'Blocking-Step2'!Y2455</f>
        <v>0</v>
      </c>
    </row>
    <row r="2456" spans="1:48" ht="16.5" hidden="1" thickTop="1">
      <c r="A2456" s="1116" t="s">
        <v>945</v>
      </c>
      <c r="C2456" s="1105"/>
      <c r="D2456" s="1105"/>
      <c r="F2456" s="1140">
        <v>0.31</v>
      </c>
      <c r="G2456" s="1112"/>
      <c r="H2456" s="1146">
        <v>0</v>
      </c>
      <c r="I2456" s="1146">
        <v>0</v>
      </c>
      <c r="K2456" s="1140"/>
      <c r="L2456" s="1112"/>
      <c r="M2456" s="1140"/>
      <c r="N2456" s="1112"/>
      <c r="O2456" s="1140"/>
      <c r="P2456" s="1112"/>
      <c r="Q2456" s="1140"/>
      <c r="R2456" s="1112"/>
      <c r="S2456" s="1146"/>
      <c r="T2456" s="1114"/>
      <c r="U2456" s="1146"/>
      <c r="V2456" s="1114"/>
      <c r="W2456" s="1146"/>
      <c r="X2456" s="1114"/>
      <c r="Y2456" s="1146"/>
      <c r="Z2456" s="2114">
        <f>C2456-'Blocking-Step2'!C2456</f>
        <v>0</v>
      </c>
      <c r="AA2456" s="2114">
        <f>D2456-'Blocking-Step2'!D2456</f>
        <v>0</v>
      </c>
      <c r="AC2456" s="2114">
        <f>F2456-'Blocking-Step2'!F2456</f>
        <v>0</v>
      </c>
      <c r="AE2456" s="2114">
        <f>H2456-'Blocking-Step2'!H2456</f>
        <v>0</v>
      </c>
      <c r="AF2456" s="2114">
        <f>I2456-'Blocking-Step2'!I2456</f>
        <v>0</v>
      </c>
      <c r="AH2456" s="2136">
        <f>K2456-'Blocking-Step2'!K2456</f>
        <v>0</v>
      </c>
      <c r="AJ2456" s="2136">
        <f>M2456-'Blocking-Step2'!M2456</f>
        <v>0</v>
      </c>
      <c r="AL2456" s="2136">
        <f>O2456-'Blocking-Step2'!O2456</f>
        <v>0</v>
      </c>
      <c r="AN2456" s="2137">
        <f>Q2456-'Blocking-Step2'!Q2456</f>
        <v>0</v>
      </c>
      <c r="AP2456" s="2127">
        <f>S2456-'Blocking-Step2'!S2456</f>
        <v>0</v>
      </c>
      <c r="AR2456" s="2127">
        <f>U2456-'Blocking-Step2'!U2456</f>
        <v>0</v>
      </c>
      <c r="AT2456" s="2127">
        <f>W2456-'Blocking-Step2'!W2456</f>
        <v>0</v>
      </c>
      <c r="AV2456" s="2128">
        <f>Y2456-'Blocking-Step2'!Y2456</f>
        <v>0</v>
      </c>
    </row>
    <row r="2457" spans="1:48" ht="16.5" hidden="1" thickTop="1">
      <c r="A2457" s="1116" t="s">
        <v>317</v>
      </c>
      <c r="C2457" s="1105"/>
      <c r="D2457" s="1105"/>
      <c r="F2457" s="1139"/>
      <c r="G2457" s="1110"/>
      <c r="H2457" s="1146"/>
      <c r="I2457" s="1146"/>
      <c r="K2457" s="1139"/>
      <c r="L2457" s="1110"/>
      <c r="M2457" s="1139"/>
      <c r="N2457" s="1110"/>
      <c r="O2457" s="1139"/>
      <c r="P2457" s="1110"/>
      <c r="Q2457" s="1139"/>
      <c r="R2457" s="1110"/>
      <c r="S2457" s="1146"/>
      <c r="T2457" s="1629"/>
      <c r="U2457" s="1146"/>
      <c r="V2457" s="1629"/>
      <c r="W2457" s="1146"/>
      <c r="X2457" s="1629"/>
      <c r="Y2457" s="1146"/>
      <c r="Z2457" s="2114">
        <f>C2457-'Blocking-Step2'!C2457</f>
        <v>0</v>
      </c>
      <c r="AA2457" s="2114">
        <f>D2457-'Blocking-Step2'!D2457</f>
        <v>0</v>
      </c>
      <c r="AC2457" s="2114">
        <f>F2457-'Blocking-Step2'!F2457</f>
        <v>0</v>
      </c>
      <c r="AE2457" s="2114">
        <f>H2457-'Blocking-Step2'!H2457</f>
        <v>0</v>
      </c>
      <c r="AF2457" s="2114">
        <f>I2457-'Blocking-Step2'!I2457</f>
        <v>0</v>
      </c>
      <c r="AH2457" s="2136">
        <f>K2457-'Blocking-Step2'!K2457</f>
        <v>0</v>
      </c>
      <c r="AJ2457" s="2136">
        <f>M2457-'Blocking-Step2'!M2457</f>
        <v>0</v>
      </c>
      <c r="AL2457" s="2136">
        <f>O2457-'Blocking-Step2'!O2457</f>
        <v>0</v>
      </c>
      <c r="AN2457" s="2137">
        <f>Q2457-'Blocking-Step2'!Q2457</f>
        <v>0</v>
      </c>
      <c r="AP2457" s="2127">
        <f>S2457-'Blocking-Step2'!S2457</f>
        <v>0</v>
      </c>
      <c r="AR2457" s="2127">
        <f>U2457-'Blocking-Step2'!U2457</f>
        <v>0</v>
      </c>
      <c r="AT2457" s="2127">
        <f>W2457-'Blocking-Step2'!W2457</f>
        <v>0</v>
      </c>
      <c r="AV2457" s="2128">
        <f>Y2457-'Blocking-Step2'!Y2457</f>
        <v>0</v>
      </c>
    </row>
    <row r="2458" spans="1:48" ht="16.5" hidden="1" thickTop="1">
      <c r="A2458" s="1116" t="s">
        <v>944</v>
      </c>
      <c r="C2458" s="1105"/>
      <c r="D2458" s="1105"/>
      <c r="F2458" s="1139">
        <v>40.81</v>
      </c>
      <c r="G2458" s="1110"/>
      <c r="H2458" s="1146">
        <v>0</v>
      </c>
      <c r="I2458" s="1146">
        <v>0</v>
      </c>
      <c r="K2458" s="1139"/>
      <c r="L2458" s="1110"/>
      <c r="M2458" s="1139"/>
      <c r="N2458" s="1110"/>
      <c r="O2458" s="1139"/>
      <c r="P2458" s="1110"/>
      <c r="Q2458" s="1139"/>
      <c r="R2458" s="1110"/>
      <c r="S2458" s="1146"/>
      <c r="T2458" s="1629"/>
      <c r="U2458" s="1146"/>
      <c r="V2458" s="1629"/>
      <c r="W2458" s="1146"/>
      <c r="X2458" s="1629"/>
      <c r="Y2458" s="1146"/>
      <c r="Z2458" s="2114">
        <f>C2458-'Blocking-Step2'!C2458</f>
        <v>0</v>
      </c>
      <c r="AA2458" s="2114">
        <f>D2458-'Blocking-Step2'!D2458</f>
        <v>0</v>
      </c>
      <c r="AC2458" s="2114">
        <f>F2458-'Blocking-Step2'!F2458</f>
        <v>0</v>
      </c>
      <c r="AE2458" s="2114">
        <f>H2458-'Blocking-Step2'!H2458</f>
        <v>0</v>
      </c>
      <c r="AF2458" s="2114">
        <f>I2458-'Blocking-Step2'!I2458</f>
        <v>0</v>
      </c>
      <c r="AH2458" s="2136">
        <f>K2458-'Blocking-Step2'!K2458</f>
        <v>0</v>
      </c>
      <c r="AJ2458" s="2136">
        <f>M2458-'Blocking-Step2'!M2458</f>
        <v>0</v>
      </c>
      <c r="AL2458" s="2136">
        <f>O2458-'Blocking-Step2'!O2458</f>
        <v>0</v>
      </c>
      <c r="AN2458" s="2137">
        <f>Q2458-'Blocking-Step2'!Q2458</f>
        <v>0</v>
      </c>
      <c r="AP2458" s="2127">
        <f>S2458-'Blocking-Step2'!S2458</f>
        <v>0</v>
      </c>
      <c r="AR2458" s="2127">
        <f>U2458-'Blocking-Step2'!U2458</f>
        <v>0</v>
      </c>
      <c r="AT2458" s="2127">
        <f>W2458-'Blocking-Step2'!W2458</f>
        <v>0</v>
      </c>
      <c r="AV2458" s="2128">
        <f>Y2458-'Blocking-Step2'!Y2458</f>
        <v>0</v>
      </c>
    </row>
    <row r="2459" spans="1:48" ht="16.5" hidden="1" thickTop="1">
      <c r="A2459" s="1116" t="s">
        <v>945</v>
      </c>
      <c r="C2459" s="1105"/>
      <c r="D2459" s="1105"/>
      <c r="F2459" s="1139">
        <v>32.04</v>
      </c>
      <c r="G2459" s="1110"/>
      <c r="H2459" s="1146">
        <v>0</v>
      </c>
      <c r="I2459" s="1146">
        <v>0</v>
      </c>
      <c r="K2459" s="1139"/>
      <c r="L2459" s="1110"/>
      <c r="M2459" s="1139"/>
      <c r="N2459" s="1110"/>
      <c r="O2459" s="1139"/>
      <c r="P2459" s="1110"/>
      <c r="Q2459" s="1139"/>
      <c r="R2459" s="1110"/>
      <c r="S2459" s="1146"/>
      <c r="T2459" s="1629"/>
      <c r="U2459" s="1146"/>
      <c r="V2459" s="1629"/>
      <c r="W2459" s="1146"/>
      <c r="X2459" s="1629"/>
      <c r="Y2459" s="1146"/>
      <c r="Z2459" s="2114">
        <f>C2459-'Blocking-Step2'!C2459</f>
        <v>0</v>
      </c>
      <c r="AA2459" s="2114">
        <f>D2459-'Blocking-Step2'!D2459</f>
        <v>0</v>
      </c>
      <c r="AC2459" s="2114">
        <f>F2459-'Blocking-Step2'!F2459</f>
        <v>0</v>
      </c>
      <c r="AE2459" s="2114">
        <f>H2459-'Blocking-Step2'!H2459</f>
        <v>0</v>
      </c>
      <c r="AF2459" s="2114">
        <f>I2459-'Blocking-Step2'!I2459</f>
        <v>0</v>
      </c>
      <c r="AH2459" s="2136">
        <f>K2459-'Blocking-Step2'!K2459</f>
        <v>0</v>
      </c>
      <c r="AJ2459" s="2136">
        <f>M2459-'Blocking-Step2'!M2459</f>
        <v>0</v>
      </c>
      <c r="AL2459" s="2136">
        <f>O2459-'Blocking-Step2'!O2459</f>
        <v>0</v>
      </c>
      <c r="AN2459" s="2137">
        <f>Q2459-'Blocking-Step2'!Q2459</f>
        <v>0</v>
      </c>
      <c r="AP2459" s="2127">
        <f>S2459-'Blocking-Step2'!S2459</f>
        <v>0</v>
      </c>
      <c r="AR2459" s="2127">
        <f>U2459-'Blocking-Step2'!U2459</f>
        <v>0</v>
      </c>
      <c r="AT2459" s="2127">
        <f>W2459-'Blocking-Step2'!W2459</f>
        <v>0</v>
      </c>
      <c r="AV2459" s="2128">
        <f>Y2459-'Blocking-Step2'!Y2459</f>
        <v>0</v>
      </c>
    </row>
    <row r="2460" spans="1:48" ht="16.5" hidden="1" thickTop="1">
      <c r="A2460" s="2008" t="s">
        <v>183</v>
      </c>
      <c r="C2460" s="1105"/>
      <c r="D2460" s="1105"/>
      <c r="F2460" s="1141"/>
      <c r="K2460" s="1141"/>
      <c r="M2460" s="1141"/>
      <c r="O2460" s="1141"/>
      <c r="Q2460" s="1141"/>
      <c r="S2460" s="1627"/>
      <c r="U2460" s="1627"/>
      <c r="W2460" s="1627"/>
      <c r="Z2460" s="2114">
        <f>C2460-'Blocking-Step2'!C2460</f>
        <v>0</v>
      </c>
      <c r="AA2460" s="2114">
        <f>D2460-'Blocking-Step2'!D2460</f>
        <v>0</v>
      </c>
      <c r="AC2460" s="2114">
        <f>F2460-'Blocking-Step2'!F2460</f>
        <v>0</v>
      </c>
      <c r="AE2460" s="2114">
        <f>H2460-'Blocking-Step2'!H2460</f>
        <v>0</v>
      </c>
      <c r="AF2460" s="2114">
        <f>I2460-'Blocking-Step2'!I2460</f>
        <v>0</v>
      </c>
      <c r="AH2460" s="2136">
        <f>K2460-'Blocking-Step2'!K2460</f>
        <v>0</v>
      </c>
      <c r="AJ2460" s="2136">
        <f>M2460-'Blocking-Step2'!M2460</f>
        <v>0</v>
      </c>
      <c r="AL2460" s="2136">
        <f>O2460-'Blocking-Step2'!O2460</f>
        <v>0</v>
      </c>
      <c r="AN2460" s="2137">
        <f>Q2460-'Blocking-Step2'!Q2460</f>
        <v>0</v>
      </c>
      <c r="AP2460" s="2127">
        <f>S2460-'Blocking-Step2'!S2460</f>
        <v>0</v>
      </c>
      <c r="AR2460" s="2127">
        <f>U2460-'Blocking-Step2'!U2460</f>
        <v>0</v>
      </c>
      <c r="AT2460" s="2127">
        <f>W2460-'Blocking-Step2'!W2460</f>
        <v>0</v>
      </c>
      <c r="AV2460" s="2128">
        <f>Y2460-'Blocking-Step2'!Y2460</f>
        <v>0</v>
      </c>
    </row>
    <row r="2461" spans="1:48" ht="16.5" hidden="1" thickTop="1">
      <c r="A2461" s="1116" t="s">
        <v>312</v>
      </c>
      <c r="C2461" s="1105"/>
      <c r="D2461" s="1105"/>
      <c r="F2461" s="1139">
        <v>605</v>
      </c>
      <c r="G2461" s="1110"/>
      <c r="H2461" s="1146">
        <v>0</v>
      </c>
      <c r="I2461" s="1146">
        <v>0</v>
      </c>
      <c r="K2461" s="1139">
        <v>627</v>
      </c>
      <c r="L2461" s="1110"/>
      <c r="M2461" s="1139">
        <v>0</v>
      </c>
      <c r="N2461" s="1110"/>
      <c r="O2461" s="1139">
        <v>0</v>
      </c>
      <c r="P2461" s="1110"/>
      <c r="Q2461" s="1139">
        <v>627</v>
      </c>
      <c r="R2461" s="1110"/>
      <c r="S2461" s="1146">
        <v>0</v>
      </c>
      <c r="T2461" s="1629"/>
      <c r="U2461" s="1146">
        <v>0</v>
      </c>
      <c r="V2461" s="1629"/>
      <c r="W2461" s="1146">
        <v>0</v>
      </c>
      <c r="X2461" s="1629"/>
      <c r="Y2461" s="1146">
        <v>0</v>
      </c>
      <c r="Z2461" s="2114">
        <f>C2461-'Blocking-Step2'!C2461</f>
        <v>0</v>
      </c>
      <c r="AA2461" s="2114">
        <f>D2461-'Blocking-Step2'!D2461</f>
        <v>0</v>
      </c>
      <c r="AC2461" s="2114">
        <f>F2461-'Blocking-Step2'!F2461</f>
        <v>0</v>
      </c>
      <c r="AE2461" s="2114">
        <f>H2461-'Blocking-Step2'!H2461</f>
        <v>0</v>
      </c>
      <c r="AF2461" s="2114">
        <f>I2461-'Blocking-Step2'!I2461</f>
        <v>0</v>
      </c>
      <c r="AH2461" s="2136">
        <f>K2461-'Blocking-Step2'!K2461</f>
        <v>0</v>
      </c>
      <c r="AJ2461" s="2136">
        <f>M2461-'Blocking-Step2'!M2461</f>
        <v>0</v>
      </c>
      <c r="AL2461" s="2136">
        <f>O2461-'Blocking-Step2'!O2461</f>
        <v>0</v>
      </c>
      <c r="AN2461" s="2137">
        <f>Q2461-'Blocking-Step2'!Q2461</f>
        <v>0</v>
      </c>
      <c r="AP2461" s="2127">
        <f>S2461-'Blocking-Step2'!S2461</f>
        <v>0</v>
      </c>
      <c r="AR2461" s="2127">
        <f>U2461-'Blocking-Step2'!U2461</f>
        <v>0</v>
      </c>
      <c r="AT2461" s="2127">
        <f>W2461-'Blocking-Step2'!W2461</f>
        <v>0</v>
      </c>
      <c r="AV2461" s="2128">
        <f>Y2461-'Blocking-Step2'!Y2461</f>
        <v>0</v>
      </c>
    </row>
    <row r="2462" spans="1:48" ht="16.5" hidden="1" thickTop="1">
      <c r="A2462" s="1116" t="s">
        <v>313</v>
      </c>
      <c r="C2462" s="1105"/>
      <c r="D2462" s="1105"/>
      <c r="F2462" s="1139">
        <v>4.46</v>
      </c>
      <c r="G2462" s="1110"/>
      <c r="H2462" s="1146">
        <v>0</v>
      </c>
      <c r="I2462" s="1146">
        <v>0</v>
      </c>
      <c r="K2462" s="1139">
        <v>4.63</v>
      </c>
      <c r="L2462" s="1110"/>
      <c r="M2462" s="1139">
        <v>0</v>
      </c>
      <c r="N2462" s="1110"/>
      <c r="O2462" s="1139">
        <v>0</v>
      </c>
      <c r="P2462" s="1110"/>
      <c r="Q2462" s="1139">
        <v>4.63</v>
      </c>
      <c r="R2462" s="1110"/>
      <c r="S2462" s="1146">
        <v>0</v>
      </c>
      <c r="T2462" s="1629"/>
      <c r="U2462" s="1146">
        <v>0</v>
      </c>
      <c r="V2462" s="1629"/>
      <c r="W2462" s="1146">
        <v>0</v>
      </c>
      <c r="X2462" s="1629"/>
      <c r="Y2462" s="1146">
        <v>0</v>
      </c>
      <c r="Z2462" s="2114">
        <f>C2462-'Blocking-Step2'!C2462</f>
        <v>0</v>
      </c>
      <c r="AA2462" s="2114">
        <f>D2462-'Blocking-Step2'!D2462</f>
        <v>0</v>
      </c>
      <c r="AC2462" s="2114">
        <f>F2462-'Blocking-Step2'!F2462</f>
        <v>0</v>
      </c>
      <c r="AE2462" s="2114">
        <f>H2462-'Blocking-Step2'!H2462</f>
        <v>0</v>
      </c>
      <c r="AF2462" s="2114">
        <f>I2462-'Blocking-Step2'!I2462</f>
        <v>0</v>
      </c>
      <c r="AH2462" s="2136">
        <f>K2462-'Blocking-Step2'!K2462</f>
        <v>0</v>
      </c>
      <c r="AJ2462" s="2136">
        <f>M2462-'Blocking-Step2'!M2462</f>
        <v>0</v>
      </c>
      <c r="AL2462" s="2136">
        <f>O2462-'Blocking-Step2'!O2462</f>
        <v>0</v>
      </c>
      <c r="AN2462" s="2137">
        <f>Q2462-'Blocking-Step2'!Q2462</f>
        <v>0</v>
      </c>
      <c r="AP2462" s="2127">
        <f>S2462-'Blocking-Step2'!S2462</f>
        <v>0</v>
      </c>
      <c r="AR2462" s="2127">
        <f>U2462-'Blocking-Step2'!U2462</f>
        <v>0</v>
      </c>
      <c r="AT2462" s="2127">
        <f>W2462-'Blocking-Step2'!W2462</f>
        <v>0</v>
      </c>
      <c r="AV2462" s="2128">
        <f>Y2462-'Blocking-Step2'!Y2462</f>
        <v>0</v>
      </c>
    </row>
    <row r="2463" spans="1:48" ht="16.5" hidden="1" thickTop="1">
      <c r="A2463" s="1116" t="s">
        <v>314</v>
      </c>
      <c r="C2463" s="1105"/>
      <c r="D2463" s="1105"/>
      <c r="F2463" s="1139"/>
      <c r="G2463" s="1110"/>
      <c r="H2463" s="1146"/>
      <c r="I2463" s="1146"/>
      <c r="K2463" s="1139"/>
      <c r="L2463" s="1110"/>
      <c r="M2463" s="1139"/>
      <c r="N2463" s="1110"/>
      <c r="O2463" s="1139"/>
      <c r="P2463" s="1110"/>
      <c r="Q2463" s="1139"/>
      <c r="R2463" s="1110"/>
      <c r="S2463" s="1146"/>
      <c r="T2463" s="1629"/>
      <c r="U2463" s="1146"/>
      <c r="V2463" s="1629"/>
      <c r="W2463" s="1146"/>
      <c r="X2463" s="1629"/>
      <c r="Y2463" s="1146"/>
      <c r="Z2463" s="2114">
        <f>C2463-'Blocking-Step2'!C2463</f>
        <v>0</v>
      </c>
      <c r="AA2463" s="2114">
        <f>D2463-'Blocking-Step2'!D2463</f>
        <v>0</v>
      </c>
      <c r="AC2463" s="2114">
        <f>F2463-'Blocking-Step2'!F2463</f>
        <v>0</v>
      </c>
      <c r="AE2463" s="2114">
        <f>H2463-'Blocking-Step2'!H2463</f>
        <v>0</v>
      </c>
      <c r="AF2463" s="2114">
        <f>I2463-'Blocking-Step2'!I2463</f>
        <v>0</v>
      </c>
      <c r="AH2463" s="2136">
        <f>K2463-'Blocking-Step2'!K2463</f>
        <v>0</v>
      </c>
      <c r="AJ2463" s="2136">
        <f>M2463-'Blocking-Step2'!M2463</f>
        <v>0</v>
      </c>
      <c r="AL2463" s="2136">
        <f>O2463-'Blocking-Step2'!O2463</f>
        <v>0</v>
      </c>
      <c r="AN2463" s="2137">
        <f>Q2463-'Blocking-Step2'!Q2463</f>
        <v>0</v>
      </c>
      <c r="AP2463" s="2127">
        <f>S2463-'Blocking-Step2'!S2463</f>
        <v>0</v>
      </c>
      <c r="AR2463" s="2127">
        <f>U2463-'Blocking-Step2'!U2463</f>
        <v>0</v>
      </c>
      <c r="AT2463" s="2127">
        <f>W2463-'Blocking-Step2'!W2463</f>
        <v>0</v>
      </c>
      <c r="AV2463" s="2128">
        <f>Y2463-'Blocking-Step2'!Y2463</f>
        <v>0</v>
      </c>
    </row>
    <row r="2464" spans="1:48" ht="16.5" hidden="1" thickTop="1">
      <c r="A2464" s="1116" t="s">
        <v>315</v>
      </c>
      <c r="C2464" s="1105"/>
      <c r="D2464" s="1105"/>
      <c r="F2464" s="1139"/>
      <c r="G2464" s="1111"/>
      <c r="H2464" s="1146"/>
      <c r="I2464" s="1146"/>
      <c r="K2464" s="1139"/>
      <c r="L2464" s="1111"/>
      <c r="M2464" s="1139"/>
      <c r="N2464" s="1111"/>
      <c r="O2464" s="1139"/>
      <c r="P2464" s="1111"/>
      <c r="Q2464" s="1139"/>
      <c r="R2464" s="1111"/>
      <c r="S2464" s="1146"/>
      <c r="T2464" s="1629"/>
      <c r="U2464" s="1146"/>
      <c r="V2464" s="1629"/>
      <c r="W2464" s="1146"/>
      <c r="X2464" s="1629"/>
      <c r="Y2464" s="1146"/>
      <c r="Z2464" s="2114">
        <f>C2464-'Blocking-Step2'!C2464</f>
        <v>0</v>
      </c>
      <c r="AA2464" s="2114">
        <f>D2464-'Blocking-Step2'!D2464</f>
        <v>0</v>
      </c>
      <c r="AC2464" s="2114">
        <f>F2464-'Blocking-Step2'!F2464</f>
        <v>0</v>
      </c>
      <c r="AE2464" s="2114">
        <f>H2464-'Blocking-Step2'!H2464</f>
        <v>0</v>
      </c>
      <c r="AF2464" s="2114">
        <f>I2464-'Blocking-Step2'!I2464</f>
        <v>0</v>
      </c>
      <c r="AH2464" s="2136">
        <f>K2464-'Blocking-Step2'!K2464</f>
        <v>0</v>
      </c>
      <c r="AJ2464" s="2136">
        <f>M2464-'Blocking-Step2'!M2464</f>
        <v>0</v>
      </c>
      <c r="AL2464" s="2136">
        <f>O2464-'Blocking-Step2'!O2464</f>
        <v>0</v>
      </c>
      <c r="AN2464" s="2137">
        <f>Q2464-'Blocking-Step2'!Q2464</f>
        <v>0</v>
      </c>
      <c r="AP2464" s="2127">
        <f>S2464-'Blocking-Step2'!S2464</f>
        <v>0</v>
      </c>
      <c r="AR2464" s="2127">
        <f>U2464-'Blocking-Step2'!U2464</f>
        <v>0</v>
      </c>
      <c r="AT2464" s="2127">
        <f>W2464-'Blocking-Step2'!W2464</f>
        <v>0</v>
      </c>
      <c r="AV2464" s="2128">
        <f>Y2464-'Blocking-Step2'!Y2464</f>
        <v>0</v>
      </c>
    </row>
    <row r="2465" spans="1:48" ht="16.5" hidden="1" thickTop="1">
      <c r="A2465" s="1116" t="s">
        <v>1668</v>
      </c>
      <c r="C2465" s="1105"/>
      <c r="D2465" s="1105"/>
      <c r="F2465" s="1139"/>
      <c r="G2465" s="1111"/>
      <c r="H2465" s="1146"/>
      <c r="I2465" s="1146"/>
      <c r="K2465" s="1139">
        <v>0</v>
      </c>
      <c r="L2465" s="1111"/>
      <c r="M2465" s="1139">
        <v>0.89</v>
      </c>
      <c r="N2465" s="1111"/>
      <c r="O2465" s="1139">
        <v>0</v>
      </c>
      <c r="P2465" s="1111"/>
      <c r="Q2465" s="1139">
        <v>0.89</v>
      </c>
      <c r="R2465" s="1111"/>
      <c r="S2465" s="1146">
        <v>0</v>
      </c>
      <c r="T2465" s="1629"/>
      <c r="U2465" s="1146">
        <v>0</v>
      </c>
      <c r="V2465" s="1629"/>
      <c r="W2465" s="1146">
        <v>0</v>
      </c>
      <c r="X2465" s="1629"/>
      <c r="Y2465" s="1146">
        <v>0</v>
      </c>
      <c r="Z2465" s="2114">
        <f>C2465-'Blocking-Step2'!C2465</f>
        <v>0</v>
      </c>
      <c r="AA2465" s="2114">
        <f>D2465-'Blocking-Step2'!D2465</f>
        <v>0</v>
      </c>
      <c r="AC2465" s="2114">
        <f>F2465-'Blocking-Step2'!F2465</f>
        <v>0</v>
      </c>
      <c r="AE2465" s="2114">
        <f>H2465-'Blocking-Step2'!H2465</f>
        <v>0</v>
      </c>
      <c r="AF2465" s="2114">
        <f>I2465-'Blocking-Step2'!I2465</f>
        <v>0</v>
      </c>
      <c r="AH2465" s="2136">
        <f>K2465-'Blocking-Step2'!K2465</f>
        <v>-0.41</v>
      </c>
      <c r="AJ2465" s="2136">
        <f>M2465-'Blocking-Step2'!M2465</f>
        <v>0.41</v>
      </c>
      <c r="AL2465" s="2136">
        <f>O2465-'Blocking-Step2'!O2465</f>
        <v>0</v>
      </c>
      <c r="AN2465" s="2137">
        <f>Q2465-'Blocking-Step2'!Q2465</f>
        <v>0</v>
      </c>
      <c r="AP2465" s="2127">
        <f>S2465-'Blocking-Step2'!S2465</f>
        <v>0</v>
      </c>
      <c r="AR2465" s="2127">
        <f>U2465-'Blocking-Step2'!U2465</f>
        <v>0</v>
      </c>
      <c r="AT2465" s="2127">
        <f>W2465-'Blocking-Step2'!W2465</f>
        <v>0</v>
      </c>
      <c r="AV2465" s="2128">
        <f>Y2465-'Blocking-Step2'!Y2465</f>
        <v>0</v>
      </c>
    </row>
    <row r="2466" spans="1:48" ht="16.5" hidden="1" thickTop="1">
      <c r="A2466" s="1116" t="s">
        <v>1669</v>
      </c>
      <c r="C2466" s="1105"/>
      <c r="D2466" s="1105"/>
      <c r="F2466" s="1139"/>
      <c r="G2466" s="1111"/>
      <c r="H2466" s="1146"/>
      <c r="I2466" s="1146"/>
      <c r="K2466" s="1139">
        <v>0</v>
      </c>
      <c r="L2466" s="1111"/>
      <c r="M2466" s="1139">
        <v>0.79</v>
      </c>
      <c r="N2466" s="1111"/>
      <c r="O2466" s="1139">
        <v>0</v>
      </c>
      <c r="P2466" s="1111"/>
      <c r="Q2466" s="1139">
        <v>0.79</v>
      </c>
      <c r="R2466" s="1111"/>
      <c r="S2466" s="1146">
        <v>0</v>
      </c>
      <c r="T2466" s="1629"/>
      <c r="U2466" s="1146">
        <v>0</v>
      </c>
      <c r="V2466" s="1629"/>
      <c r="W2466" s="1146">
        <v>0</v>
      </c>
      <c r="X2466" s="1629"/>
      <c r="Y2466" s="1146">
        <v>0</v>
      </c>
      <c r="Z2466" s="2114">
        <f>C2466-'Blocking-Step2'!C2466</f>
        <v>0</v>
      </c>
      <c r="AA2466" s="2114">
        <f>D2466-'Blocking-Step2'!D2466</f>
        <v>0</v>
      </c>
      <c r="AC2466" s="2114">
        <f>F2466-'Blocking-Step2'!F2466</f>
        <v>0</v>
      </c>
      <c r="AE2466" s="2114">
        <f>H2466-'Blocking-Step2'!H2466</f>
        <v>0</v>
      </c>
      <c r="AF2466" s="2114">
        <f>I2466-'Blocking-Step2'!I2466</f>
        <v>0</v>
      </c>
      <c r="AH2466" s="2136">
        <f>K2466-'Blocking-Step2'!K2466</f>
        <v>-0.36</v>
      </c>
      <c r="AJ2466" s="2136">
        <f>M2466-'Blocking-Step2'!M2466</f>
        <v>0.36</v>
      </c>
      <c r="AL2466" s="2136">
        <f>O2466-'Blocking-Step2'!O2466</f>
        <v>0</v>
      </c>
      <c r="AN2466" s="2137">
        <f>Q2466-'Blocking-Step2'!Q2466</f>
        <v>0</v>
      </c>
      <c r="AP2466" s="2127">
        <f>S2466-'Blocking-Step2'!S2466</f>
        <v>0</v>
      </c>
      <c r="AR2466" s="2127">
        <f>U2466-'Blocking-Step2'!U2466</f>
        <v>0</v>
      </c>
      <c r="AT2466" s="2127">
        <f>W2466-'Blocking-Step2'!W2466</f>
        <v>0</v>
      </c>
      <c r="AV2466" s="2128">
        <f>Y2466-'Blocking-Step2'!Y2466</f>
        <v>0</v>
      </c>
    </row>
    <row r="2467" spans="1:48" ht="16.5" hidden="1" thickTop="1">
      <c r="A2467" s="1116" t="s">
        <v>316</v>
      </c>
      <c r="C2467" s="1105"/>
      <c r="D2467" s="1105"/>
      <c r="F2467" s="1140"/>
      <c r="G2467" s="1112"/>
      <c r="H2467" s="1146"/>
      <c r="I2467" s="1146"/>
      <c r="K2467" s="1140"/>
      <c r="L2467" s="1112"/>
      <c r="M2467" s="1140"/>
      <c r="N2467" s="1112"/>
      <c r="O2467" s="1140"/>
      <c r="P2467" s="1112"/>
      <c r="Q2467" s="1140"/>
      <c r="R2467" s="1112"/>
      <c r="S2467" s="1146"/>
      <c r="T2467" s="1114"/>
      <c r="U2467" s="1146"/>
      <c r="V2467" s="1114"/>
      <c r="W2467" s="1146"/>
      <c r="X2467" s="1114"/>
      <c r="Y2467" s="1146"/>
      <c r="Z2467" s="2114">
        <f>C2467-'Blocking-Step2'!C2467</f>
        <v>0</v>
      </c>
      <c r="AA2467" s="2114">
        <f>D2467-'Blocking-Step2'!D2467</f>
        <v>0</v>
      </c>
      <c r="AC2467" s="2114">
        <f>F2467-'Blocking-Step2'!F2467</f>
        <v>0</v>
      </c>
      <c r="AE2467" s="2114">
        <f>H2467-'Blocking-Step2'!H2467</f>
        <v>0</v>
      </c>
      <c r="AF2467" s="2114">
        <f>I2467-'Blocking-Step2'!I2467</f>
        <v>0</v>
      </c>
      <c r="AH2467" s="2136">
        <f>K2467-'Blocking-Step2'!K2467</f>
        <v>0</v>
      </c>
      <c r="AJ2467" s="2136">
        <f>M2467-'Blocking-Step2'!M2467</f>
        <v>0</v>
      </c>
      <c r="AL2467" s="2136">
        <f>O2467-'Blocking-Step2'!O2467</f>
        <v>0</v>
      </c>
      <c r="AN2467" s="2137">
        <f>Q2467-'Blocking-Step2'!Q2467</f>
        <v>0</v>
      </c>
      <c r="AP2467" s="2127">
        <f>S2467-'Blocking-Step2'!S2467</f>
        <v>0</v>
      </c>
      <c r="AR2467" s="2127">
        <f>U2467-'Blocking-Step2'!U2467</f>
        <v>0</v>
      </c>
      <c r="AT2467" s="2127">
        <f>W2467-'Blocking-Step2'!W2467</f>
        <v>0</v>
      </c>
      <c r="AV2467" s="2128">
        <f>Y2467-'Blocking-Step2'!Y2467</f>
        <v>0</v>
      </c>
    </row>
    <row r="2468" spans="1:48" ht="16.5" hidden="1" thickTop="1">
      <c r="A2468" s="1116" t="s">
        <v>1668</v>
      </c>
      <c r="C2468" s="1105"/>
      <c r="D2468" s="1105"/>
      <c r="F2468" s="1140"/>
      <c r="G2468" s="1112"/>
      <c r="H2468" s="1146"/>
      <c r="I2468" s="1146"/>
      <c r="K2468" s="1140">
        <v>0</v>
      </c>
      <c r="L2468" s="1112"/>
      <c r="M2468" s="1140">
        <v>0.45</v>
      </c>
      <c r="N2468" s="1112"/>
      <c r="O2468" s="1140">
        <v>0</v>
      </c>
      <c r="P2468" s="1112"/>
      <c r="Q2468" s="1140">
        <v>0.45</v>
      </c>
      <c r="R2468" s="1112"/>
      <c r="S2468" s="1146">
        <v>0</v>
      </c>
      <c r="T2468" s="1114"/>
      <c r="U2468" s="1146">
        <v>0</v>
      </c>
      <c r="V2468" s="1114"/>
      <c r="W2468" s="1146">
        <v>0</v>
      </c>
      <c r="X2468" s="1114"/>
      <c r="Y2468" s="1146">
        <v>0</v>
      </c>
      <c r="Z2468" s="2114">
        <f>C2468-'Blocking-Step2'!C2468</f>
        <v>0</v>
      </c>
      <c r="AA2468" s="2114">
        <f>D2468-'Blocking-Step2'!D2468</f>
        <v>0</v>
      </c>
      <c r="AC2468" s="2114">
        <f>F2468-'Blocking-Step2'!F2468</f>
        <v>0</v>
      </c>
      <c r="AE2468" s="2114">
        <f>H2468-'Blocking-Step2'!H2468</f>
        <v>0</v>
      </c>
      <c r="AF2468" s="2114">
        <f>I2468-'Blocking-Step2'!I2468</f>
        <v>0</v>
      </c>
      <c r="AH2468" s="2136">
        <f>K2468-'Blocking-Step2'!K2468</f>
        <v>-0.21</v>
      </c>
      <c r="AJ2468" s="2136">
        <f>M2468-'Blocking-Step2'!M2468</f>
        <v>0.21</v>
      </c>
      <c r="AL2468" s="2136">
        <f>O2468-'Blocking-Step2'!O2468</f>
        <v>0</v>
      </c>
      <c r="AN2468" s="2137">
        <f>Q2468-'Blocking-Step2'!Q2468</f>
        <v>0</v>
      </c>
      <c r="AP2468" s="2127">
        <f>S2468-'Blocking-Step2'!S2468</f>
        <v>0</v>
      </c>
      <c r="AR2468" s="2127">
        <f>U2468-'Blocking-Step2'!U2468</f>
        <v>0</v>
      </c>
      <c r="AT2468" s="2127">
        <f>W2468-'Blocking-Step2'!W2468</f>
        <v>0</v>
      </c>
      <c r="AV2468" s="2128">
        <f>Y2468-'Blocking-Step2'!Y2468</f>
        <v>0</v>
      </c>
    </row>
    <row r="2469" spans="1:48" ht="16.5" hidden="1" thickTop="1">
      <c r="A2469" s="1116" t="s">
        <v>1669</v>
      </c>
      <c r="C2469" s="1105"/>
      <c r="D2469" s="1105"/>
      <c r="F2469" s="1140"/>
      <c r="G2469" s="1112"/>
      <c r="H2469" s="1146"/>
      <c r="I2469" s="1146"/>
      <c r="K2469" s="1140">
        <v>0</v>
      </c>
      <c r="L2469" s="1112"/>
      <c r="M2469" s="1140">
        <v>0.4</v>
      </c>
      <c r="N2469" s="1112"/>
      <c r="O2469" s="1140">
        <v>0</v>
      </c>
      <c r="P2469" s="1112"/>
      <c r="Q2469" s="1140">
        <v>0.4</v>
      </c>
      <c r="R2469" s="1112"/>
      <c r="S2469" s="1146">
        <v>0</v>
      </c>
      <c r="T2469" s="1114"/>
      <c r="U2469" s="1146">
        <v>0</v>
      </c>
      <c r="V2469" s="1114"/>
      <c r="W2469" s="1146">
        <v>0</v>
      </c>
      <c r="X2469" s="1114"/>
      <c r="Y2469" s="1146">
        <v>0</v>
      </c>
      <c r="Z2469" s="2114">
        <f>C2469-'Blocking-Step2'!C2469</f>
        <v>0</v>
      </c>
      <c r="AA2469" s="2114">
        <f>D2469-'Blocking-Step2'!D2469</f>
        <v>0</v>
      </c>
      <c r="AC2469" s="2114">
        <f>F2469-'Blocking-Step2'!F2469</f>
        <v>0</v>
      </c>
      <c r="AE2469" s="2114">
        <f>H2469-'Blocking-Step2'!H2469</f>
        <v>0</v>
      </c>
      <c r="AF2469" s="2114">
        <f>I2469-'Blocking-Step2'!I2469</f>
        <v>0</v>
      </c>
      <c r="AH2469" s="2136">
        <f>K2469-'Blocking-Step2'!K2469</f>
        <v>-0.18</v>
      </c>
      <c r="AJ2469" s="2136">
        <f>M2469-'Blocking-Step2'!M2469</f>
        <v>0.18</v>
      </c>
      <c r="AL2469" s="2136">
        <f>O2469-'Blocking-Step2'!O2469</f>
        <v>0</v>
      </c>
      <c r="AN2469" s="2137">
        <f>Q2469-'Blocking-Step2'!Q2469</f>
        <v>0</v>
      </c>
      <c r="AP2469" s="2127">
        <f>S2469-'Blocking-Step2'!S2469</f>
        <v>0</v>
      </c>
      <c r="AR2469" s="2127">
        <f>U2469-'Blocking-Step2'!U2469</f>
        <v>0</v>
      </c>
      <c r="AT2469" s="2127">
        <f>W2469-'Blocking-Step2'!W2469</f>
        <v>0</v>
      </c>
      <c r="AV2469" s="2128">
        <f>Y2469-'Blocking-Step2'!Y2469</f>
        <v>0</v>
      </c>
    </row>
    <row r="2470" spans="1:48" ht="16.5" hidden="1" thickTop="1">
      <c r="A2470" s="1116" t="s">
        <v>317</v>
      </c>
      <c r="C2470" s="1105"/>
      <c r="D2470" s="1105"/>
      <c r="F2470" s="1139"/>
      <c r="G2470" s="1110"/>
      <c r="H2470" s="1146"/>
      <c r="I2470" s="1146"/>
      <c r="K2470" s="1139"/>
      <c r="L2470" s="1110"/>
      <c r="M2470" s="1139"/>
      <c r="N2470" s="1110"/>
      <c r="O2470" s="1139"/>
      <c r="P2470" s="1110"/>
      <c r="Q2470" s="1139"/>
      <c r="R2470" s="1110"/>
      <c r="S2470" s="1146"/>
      <c r="T2470" s="1629"/>
      <c r="U2470" s="1146"/>
      <c r="V2470" s="1629"/>
      <c r="W2470" s="1146"/>
      <c r="X2470" s="1629"/>
      <c r="Y2470" s="1146"/>
      <c r="Z2470" s="2114">
        <f>C2470-'Blocking-Step2'!C2470</f>
        <v>0</v>
      </c>
      <c r="AA2470" s="2114">
        <f>D2470-'Blocking-Step2'!D2470</f>
        <v>0</v>
      </c>
      <c r="AC2470" s="2114">
        <f>F2470-'Blocking-Step2'!F2470</f>
        <v>0</v>
      </c>
      <c r="AE2470" s="2114">
        <f>H2470-'Blocking-Step2'!H2470</f>
        <v>0</v>
      </c>
      <c r="AF2470" s="2114">
        <f>I2470-'Blocking-Step2'!I2470</f>
        <v>0</v>
      </c>
      <c r="AH2470" s="2136">
        <f>K2470-'Blocking-Step2'!K2470</f>
        <v>0</v>
      </c>
      <c r="AJ2470" s="2136">
        <f>M2470-'Blocking-Step2'!M2470</f>
        <v>0</v>
      </c>
      <c r="AL2470" s="2136">
        <f>O2470-'Blocking-Step2'!O2470</f>
        <v>0</v>
      </c>
      <c r="AN2470" s="2137">
        <f>Q2470-'Blocking-Step2'!Q2470</f>
        <v>0</v>
      </c>
      <c r="AP2470" s="2127">
        <f>S2470-'Blocking-Step2'!S2470</f>
        <v>0</v>
      </c>
      <c r="AR2470" s="2127">
        <f>U2470-'Blocking-Step2'!U2470</f>
        <v>0</v>
      </c>
      <c r="AT2470" s="2127">
        <f>W2470-'Blocking-Step2'!W2470</f>
        <v>0</v>
      </c>
      <c r="AV2470" s="2128">
        <f>Y2470-'Blocking-Step2'!Y2470</f>
        <v>0</v>
      </c>
    </row>
    <row r="2471" spans="1:48" ht="16.5" hidden="1" thickTop="1">
      <c r="A2471" s="1116" t="s">
        <v>1668</v>
      </c>
      <c r="C2471" s="1105"/>
      <c r="D2471" s="1105"/>
      <c r="F2471" s="1139"/>
      <c r="G2471" s="1110"/>
      <c r="H2471" s="1146"/>
      <c r="I2471" s="1146"/>
      <c r="K2471" s="1139">
        <v>0</v>
      </c>
      <c r="L2471" s="1110"/>
      <c r="M2471" s="1139">
        <v>39.97</v>
      </c>
      <c r="N2471" s="1110"/>
      <c r="O2471" s="1139">
        <v>0</v>
      </c>
      <c r="P2471" s="1110"/>
      <c r="Q2471" s="1139">
        <v>39.97</v>
      </c>
      <c r="R2471" s="1110"/>
      <c r="S2471" s="1146">
        <v>0</v>
      </c>
      <c r="T2471" s="1629"/>
      <c r="U2471" s="1146">
        <v>0</v>
      </c>
      <c r="V2471" s="1629"/>
      <c r="W2471" s="1146">
        <v>0</v>
      </c>
      <c r="X2471" s="1629"/>
      <c r="Y2471" s="1146">
        <v>0</v>
      </c>
      <c r="Z2471" s="2114">
        <f>C2471-'Blocking-Step2'!C2471</f>
        <v>0</v>
      </c>
      <c r="AA2471" s="2114">
        <f>D2471-'Blocking-Step2'!D2471</f>
        <v>0</v>
      </c>
      <c r="AC2471" s="2114">
        <f>F2471-'Blocking-Step2'!F2471</f>
        <v>0</v>
      </c>
      <c r="AE2471" s="2114">
        <f>H2471-'Blocking-Step2'!H2471</f>
        <v>0</v>
      </c>
      <c r="AF2471" s="2114">
        <f>I2471-'Blocking-Step2'!I2471</f>
        <v>0</v>
      </c>
      <c r="AH2471" s="2136">
        <f>K2471-'Blocking-Step2'!K2471</f>
        <v>-18.41</v>
      </c>
      <c r="AJ2471" s="2136">
        <f>M2471-'Blocking-Step2'!M2471</f>
        <v>18.41</v>
      </c>
      <c r="AL2471" s="2136">
        <f>O2471-'Blocking-Step2'!O2471</f>
        <v>0</v>
      </c>
      <c r="AN2471" s="2137">
        <f>Q2471-'Blocking-Step2'!Q2471</f>
        <v>0</v>
      </c>
      <c r="AP2471" s="2127">
        <f>S2471-'Blocking-Step2'!S2471</f>
        <v>0</v>
      </c>
      <c r="AR2471" s="2127">
        <f>U2471-'Blocking-Step2'!U2471</f>
        <v>0</v>
      </c>
      <c r="AT2471" s="2127">
        <f>W2471-'Blocking-Step2'!W2471</f>
        <v>0</v>
      </c>
      <c r="AV2471" s="2128">
        <f>Y2471-'Blocking-Step2'!Y2471</f>
        <v>0</v>
      </c>
    </row>
    <row r="2472" spans="1:48" ht="16.5" hidden="1" thickTop="1">
      <c r="A2472" s="1116" t="s">
        <v>1669</v>
      </c>
      <c r="C2472" s="1105"/>
      <c r="D2472" s="1105"/>
      <c r="F2472" s="1139"/>
      <c r="G2472" s="1110"/>
      <c r="H2472" s="1146"/>
      <c r="I2472" s="1146"/>
      <c r="K2472" s="1139">
        <v>0</v>
      </c>
      <c r="L2472" s="1110"/>
      <c r="M2472" s="1139">
        <v>35.369999999999997</v>
      </c>
      <c r="N2472" s="1110"/>
      <c r="O2472" s="1139">
        <v>0</v>
      </c>
      <c r="P2472" s="1110"/>
      <c r="Q2472" s="1139">
        <v>35.369999999999997</v>
      </c>
      <c r="R2472" s="1110"/>
      <c r="S2472" s="1146">
        <v>0</v>
      </c>
      <c r="T2472" s="1629"/>
      <c r="U2472" s="1146">
        <v>0</v>
      </c>
      <c r="V2472" s="1629"/>
      <c r="W2472" s="1146">
        <v>0</v>
      </c>
      <c r="X2472" s="1629"/>
      <c r="Y2472" s="1146">
        <v>0</v>
      </c>
      <c r="Z2472" s="2114">
        <f>C2472-'Blocking-Step2'!C2472</f>
        <v>0</v>
      </c>
      <c r="AA2472" s="2114">
        <f>D2472-'Blocking-Step2'!D2472</f>
        <v>0</v>
      </c>
      <c r="AC2472" s="2114">
        <f>F2472-'Blocking-Step2'!F2472</f>
        <v>0</v>
      </c>
      <c r="AE2472" s="2114">
        <f>H2472-'Blocking-Step2'!H2472</f>
        <v>0</v>
      </c>
      <c r="AF2472" s="2114">
        <f>I2472-'Blocking-Step2'!I2472</f>
        <v>0</v>
      </c>
      <c r="AH2472" s="2136">
        <f>K2472-'Blocking-Step2'!K2472</f>
        <v>-16.12</v>
      </c>
      <c r="AJ2472" s="2136">
        <f>M2472-'Blocking-Step2'!M2472</f>
        <v>16.12</v>
      </c>
      <c r="AL2472" s="2136">
        <f>O2472-'Blocking-Step2'!O2472</f>
        <v>0</v>
      </c>
      <c r="AN2472" s="2137">
        <f>Q2472-'Blocking-Step2'!Q2472</f>
        <v>0</v>
      </c>
      <c r="AP2472" s="2127">
        <f>S2472-'Blocking-Step2'!S2472</f>
        <v>0</v>
      </c>
      <c r="AR2472" s="2127">
        <f>U2472-'Blocking-Step2'!U2472</f>
        <v>0</v>
      </c>
      <c r="AT2472" s="2127">
        <f>W2472-'Blocking-Step2'!W2472</f>
        <v>0</v>
      </c>
      <c r="AV2472" s="2128">
        <f>Y2472-'Blocking-Step2'!Y2472</f>
        <v>0</v>
      </c>
    </row>
    <row r="2473" spans="1:48" ht="16.5" hidden="1" thickTop="1">
      <c r="A2473" s="1116" t="s">
        <v>315</v>
      </c>
      <c r="C2473" s="1105"/>
      <c r="D2473" s="1105"/>
      <c r="F2473" s="1139"/>
      <c r="G2473" s="1111"/>
      <c r="H2473" s="1146"/>
      <c r="I2473" s="1146"/>
      <c r="K2473" s="1139"/>
      <c r="L2473" s="1111"/>
      <c r="M2473" s="1139"/>
      <c r="N2473" s="1111"/>
      <c r="O2473" s="1139"/>
      <c r="P2473" s="1111"/>
      <c r="Q2473" s="1139"/>
      <c r="R2473" s="1111"/>
      <c r="S2473" s="1146"/>
      <c r="T2473" s="1629"/>
      <c r="U2473" s="1146"/>
      <c r="V2473" s="1629"/>
      <c r="W2473" s="1146"/>
      <c r="X2473" s="1629"/>
      <c r="Y2473" s="1146"/>
      <c r="Z2473" s="2114">
        <f>C2473-'Blocking-Step2'!C2473</f>
        <v>0</v>
      </c>
      <c r="AA2473" s="2114">
        <f>D2473-'Blocking-Step2'!D2473</f>
        <v>0</v>
      </c>
      <c r="AC2473" s="2114">
        <f>F2473-'Blocking-Step2'!F2473</f>
        <v>0</v>
      </c>
      <c r="AE2473" s="2114">
        <f>H2473-'Blocking-Step2'!H2473</f>
        <v>0</v>
      </c>
      <c r="AF2473" s="2114">
        <f>I2473-'Blocking-Step2'!I2473</f>
        <v>0</v>
      </c>
      <c r="AH2473" s="2136">
        <f>K2473-'Blocking-Step2'!K2473</f>
        <v>0</v>
      </c>
      <c r="AJ2473" s="2136">
        <f>M2473-'Blocking-Step2'!M2473</f>
        <v>0</v>
      </c>
      <c r="AL2473" s="2136">
        <f>O2473-'Blocking-Step2'!O2473</f>
        <v>0</v>
      </c>
      <c r="AN2473" s="2137">
        <f>Q2473-'Blocking-Step2'!Q2473</f>
        <v>0</v>
      </c>
      <c r="AP2473" s="2127">
        <f>S2473-'Blocking-Step2'!S2473</f>
        <v>0</v>
      </c>
      <c r="AR2473" s="2127">
        <f>U2473-'Blocking-Step2'!U2473</f>
        <v>0</v>
      </c>
      <c r="AT2473" s="2127">
        <f>W2473-'Blocking-Step2'!W2473</f>
        <v>0</v>
      </c>
      <c r="AV2473" s="2128">
        <f>Y2473-'Blocking-Step2'!Y2473</f>
        <v>0</v>
      </c>
    </row>
    <row r="2474" spans="1:48" ht="16.5" hidden="1" thickTop="1">
      <c r="A2474" s="1116" t="s">
        <v>944</v>
      </c>
      <c r="C2474" s="1105"/>
      <c r="D2474" s="1105"/>
      <c r="F2474" s="1139">
        <v>0.86</v>
      </c>
      <c r="G2474" s="1111"/>
      <c r="H2474" s="1146">
        <v>0</v>
      </c>
      <c r="I2474" s="1146">
        <v>0</v>
      </c>
      <c r="K2474" s="1139"/>
      <c r="L2474" s="1111"/>
      <c r="M2474" s="1139"/>
      <c r="N2474" s="1111"/>
      <c r="O2474" s="1139"/>
      <c r="P2474" s="1111"/>
      <c r="Q2474" s="1139"/>
      <c r="R2474" s="1111"/>
      <c r="S2474" s="1146"/>
      <c r="T2474" s="1629"/>
      <c r="U2474" s="1146"/>
      <c r="V2474" s="1629"/>
      <c r="W2474" s="1146"/>
      <c r="X2474" s="1629"/>
      <c r="Y2474" s="1146"/>
      <c r="Z2474" s="2114">
        <f>C2474-'Blocking-Step2'!C2474</f>
        <v>0</v>
      </c>
      <c r="AA2474" s="2114">
        <f>D2474-'Blocking-Step2'!D2474</f>
        <v>0</v>
      </c>
      <c r="AC2474" s="2114">
        <f>F2474-'Blocking-Step2'!F2474</f>
        <v>0</v>
      </c>
      <c r="AE2474" s="2114">
        <f>H2474-'Blocking-Step2'!H2474</f>
        <v>0</v>
      </c>
      <c r="AF2474" s="2114">
        <f>I2474-'Blocking-Step2'!I2474</f>
        <v>0</v>
      </c>
      <c r="AH2474" s="2136">
        <f>K2474-'Blocking-Step2'!K2474</f>
        <v>0</v>
      </c>
      <c r="AJ2474" s="2136">
        <f>M2474-'Blocking-Step2'!M2474</f>
        <v>0</v>
      </c>
      <c r="AL2474" s="2136">
        <f>O2474-'Blocking-Step2'!O2474</f>
        <v>0</v>
      </c>
      <c r="AN2474" s="2137">
        <f>Q2474-'Blocking-Step2'!Q2474</f>
        <v>0</v>
      </c>
      <c r="AP2474" s="2127">
        <f>S2474-'Blocking-Step2'!S2474</f>
        <v>0</v>
      </c>
      <c r="AR2474" s="2127">
        <f>U2474-'Blocking-Step2'!U2474</f>
        <v>0</v>
      </c>
      <c r="AT2474" s="2127">
        <f>W2474-'Blocking-Step2'!W2474</f>
        <v>0</v>
      </c>
      <c r="AV2474" s="2128">
        <f>Y2474-'Blocking-Step2'!Y2474</f>
        <v>0</v>
      </c>
    </row>
    <row r="2475" spans="1:48" ht="16.5" hidden="1" thickTop="1">
      <c r="A2475" s="1116" t="s">
        <v>945</v>
      </c>
      <c r="C2475" s="1105"/>
      <c r="D2475" s="1105"/>
      <c r="F2475" s="1139">
        <v>0.6</v>
      </c>
      <c r="G2475" s="1111"/>
      <c r="H2475" s="1146">
        <v>0</v>
      </c>
      <c r="I2475" s="1146">
        <v>0</v>
      </c>
      <c r="K2475" s="1139"/>
      <c r="L2475" s="1111"/>
      <c r="M2475" s="1139"/>
      <c r="N2475" s="1111"/>
      <c r="O2475" s="1139"/>
      <c r="P2475" s="1111"/>
      <c r="Q2475" s="1139"/>
      <c r="R2475" s="1111"/>
      <c r="S2475" s="1146"/>
      <c r="T2475" s="1629"/>
      <c r="U2475" s="1146"/>
      <c r="V2475" s="1629"/>
      <c r="W2475" s="1146"/>
      <c r="X2475" s="1629"/>
      <c r="Y2475" s="1146"/>
      <c r="Z2475" s="2114">
        <f>C2475-'Blocking-Step2'!C2475</f>
        <v>0</v>
      </c>
      <c r="AA2475" s="2114">
        <f>D2475-'Blocking-Step2'!D2475</f>
        <v>0</v>
      </c>
      <c r="AC2475" s="2114">
        <f>F2475-'Blocking-Step2'!F2475</f>
        <v>0</v>
      </c>
      <c r="AE2475" s="2114">
        <f>H2475-'Blocking-Step2'!H2475</f>
        <v>0</v>
      </c>
      <c r="AF2475" s="2114">
        <f>I2475-'Blocking-Step2'!I2475</f>
        <v>0</v>
      </c>
      <c r="AH2475" s="2136">
        <f>K2475-'Blocking-Step2'!K2475</f>
        <v>0</v>
      </c>
      <c r="AJ2475" s="2136">
        <f>M2475-'Blocking-Step2'!M2475</f>
        <v>0</v>
      </c>
      <c r="AL2475" s="2136">
        <f>O2475-'Blocking-Step2'!O2475</f>
        <v>0</v>
      </c>
      <c r="AN2475" s="2137">
        <f>Q2475-'Blocking-Step2'!Q2475</f>
        <v>0</v>
      </c>
      <c r="AP2475" s="2127">
        <f>S2475-'Blocking-Step2'!S2475</f>
        <v>0</v>
      </c>
      <c r="AR2475" s="2127">
        <f>U2475-'Blocking-Step2'!U2475</f>
        <v>0</v>
      </c>
      <c r="AT2475" s="2127">
        <f>W2475-'Blocking-Step2'!W2475</f>
        <v>0</v>
      </c>
      <c r="AV2475" s="2128">
        <f>Y2475-'Blocking-Step2'!Y2475</f>
        <v>0</v>
      </c>
    </row>
    <row r="2476" spans="1:48" ht="16.5" hidden="1" thickTop="1">
      <c r="A2476" s="1116" t="s">
        <v>316</v>
      </c>
      <c r="C2476" s="1105"/>
      <c r="D2476" s="1105"/>
      <c r="F2476" s="1140"/>
      <c r="G2476" s="1112"/>
      <c r="H2476" s="1146"/>
      <c r="I2476" s="1146"/>
      <c r="K2476" s="1140"/>
      <c r="L2476" s="1112"/>
      <c r="M2476" s="1140"/>
      <c r="N2476" s="1112"/>
      <c r="O2476" s="1140"/>
      <c r="P2476" s="1112"/>
      <c r="Q2476" s="1140"/>
      <c r="R2476" s="1112"/>
      <c r="S2476" s="1146"/>
      <c r="T2476" s="1114"/>
      <c r="U2476" s="1146"/>
      <c r="V2476" s="1114"/>
      <c r="W2476" s="1146"/>
      <c r="X2476" s="1114"/>
      <c r="Y2476" s="1146"/>
      <c r="Z2476" s="2114">
        <f>C2476-'Blocking-Step2'!C2476</f>
        <v>0</v>
      </c>
      <c r="AA2476" s="2114">
        <f>D2476-'Blocking-Step2'!D2476</f>
        <v>0</v>
      </c>
      <c r="AC2476" s="2114">
        <f>F2476-'Blocking-Step2'!F2476</f>
        <v>0</v>
      </c>
      <c r="AE2476" s="2114">
        <f>H2476-'Blocking-Step2'!H2476</f>
        <v>0</v>
      </c>
      <c r="AF2476" s="2114">
        <f>I2476-'Blocking-Step2'!I2476</f>
        <v>0</v>
      </c>
      <c r="AH2476" s="2136">
        <f>K2476-'Blocking-Step2'!K2476</f>
        <v>0</v>
      </c>
      <c r="AJ2476" s="2136">
        <f>M2476-'Blocking-Step2'!M2476</f>
        <v>0</v>
      </c>
      <c r="AL2476" s="2136">
        <f>O2476-'Blocking-Step2'!O2476</f>
        <v>0</v>
      </c>
      <c r="AN2476" s="2137">
        <f>Q2476-'Blocking-Step2'!Q2476</f>
        <v>0</v>
      </c>
      <c r="AP2476" s="2127">
        <f>S2476-'Blocking-Step2'!S2476</f>
        <v>0</v>
      </c>
      <c r="AR2476" s="2127">
        <f>U2476-'Blocking-Step2'!U2476</f>
        <v>0</v>
      </c>
      <c r="AT2476" s="2127">
        <f>W2476-'Blocking-Step2'!W2476</f>
        <v>0</v>
      </c>
      <c r="AV2476" s="2128">
        <f>Y2476-'Blocking-Step2'!Y2476</f>
        <v>0</v>
      </c>
    </row>
    <row r="2477" spans="1:48" ht="16.5" hidden="1" thickTop="1">
      <c r="A2477" s="1116" t="s">
        <v>944</v>
      </c>
      <c r="C2477" s="1105"/>
      <c r="D2477" s="1105"/>
      <c r="F2477" s="1140">
        <v>0.43</v>
      </c>
      <c r="G2477" s="1112"/>
      <c r="H2477" s="1146">
        <v>0</v>
      </c>
      <c r="I2477" s="1146">
        <v>0</v>
      </c>
      <c r="K2477" s="1140"/>
      <c r="L2477" s="1112"/>
      <c r="M2477" s="1140"/>
      <c r="N2477" s="1112"/>
      <c r="O2477" s="1140"/>
      <c r="P2477" s="1112"/>
      <c r="Q2477" s="1140"/>
      <c r="R2477" s="1112"/>
      <c r="S2477" s="1146"/>
      <c r="T2477" s="1114"/>
      <c r="U2477" s="1146"/>
      <c r="V2477" s="1114"/>
      <c r="W2477" s="1146"/>
      <c r="X2477" s="1114"/>
      <c r="Y2477" s="1146"/>
      <c r="Z2477" s="2114">
        <f>C2477-'Blocking-Step2'!C2477</f>
        <v>0</v>
      </c>
      <c r="AA2477" s="2114">
        <f>D2477-'Blocking-Step2'!D2477</f>
        <v>0</v>
      </c>
      <c r="AC2477" s="2114">
        <f>F2477-'Blocking-Step2'!F2477</f>
        <v>0</v>
      </c>
      <c r="AE2477" s="2114">
        <f>H2477-'Blocking-Step2'!H2477</f>
        <v>0</v>
      </c>
      <c r="AF2477" s="2114">
        <f>I2477-'Blocking-Step2'!I2477</f>
        <v>0</v>
      </c>
      <c r="AH2477" s="2136">
        <f>K2477-'Blocking-Step2'!K2477</f>
        <v>0</v>
      </c>
      <c r="AJ2477" s="2136">
        <f>M2477-'Blocking-Step2'!M2477</f>
        <v>0</v>
      </c>
      <c r="AL2477" s="2136">
        <f>O2477-'Blocking-Step2'!O2477</f>
        <v>0</v>
      </c>
      <c r="AN2477" s="2137">
        <f>Q2477-'Blocking-Step2'!Q2477</f>
        <v>0</v>
      </c>
      <c r="AP2477" s="2127">
        <f>S2477-'Blocking-Step2'!S2477</f>
        <v>0</v>
      </c>
      <c r="AR2477" s="2127">
        <f>U2477-'Blocking-Step2'!U2477</f>
        <v>0</v>
      </c>
      <c r="AT2477" s="2127">
        <f>W2477-'Blocking-Step2'!W2477</f>
        <v>0</v>
      </c>
      <c r="AV2477" s="2128">
        <f>Y2477-'Blocking-Step2'!Y2477</f>
        <v>0</v>
      </c>
    </row>
    <row r="2478" spans="1:48" ht="16.5" hidden="1" thickTop="1">
      <c r="A2478" s="1116" t="s">
        <v>945</v>
      </c>
      <c r="C2478" s="1105"/>
      <c r="D2478" s="1105"/>
      <c r="F2478" s="1140">
        <v>0.3</v>
      </c>
      <c r="G2478" s="1112"/>
      <c r="H2478" s="1146">
        <v>0</v>
      </c>
      <c r="I2478" s="1146">
        <v>0</v>
      </c>
      <c r="K2478" s="1140"/>
      <c r="L2478" s="1112"/>
      <c r="M2478" s="1140"/>
      <c r="N2478" s="1112"/>
      <c r="O2478" s="1140"/>
      <c r="P2478" s="1112"/>
      <c r="Q2478" s="1140"/>
      <c r="R2478" s="1112"/>
      <c r="S2478" s="1146"/>
      <c r="T2478" s="1114"/>
      <c r="U2478" s="1146"/>
      <c r="V2478" s="1114"/>
      <c r="W2478" s="1146"/>
      <c r="X2478" s="1114"/>
      <c r="Y2478" s="1146"/>
      <c r="Z2478" s="2114">
        <f>C2478-'Blocking-Step2'!C2478</f>
        <v>0</v>
      </c>
      <c r="AA2478" s="2114">
        <f>D2478-'Blocking-Step2'!D2478</f>
        <v>0</v>
      </c>
      <c r="AC2478" s="2114">
        <f>F2478-'Blocking-Step2'!F2478</f>
        <v>0</v>
      </c>
      <c r="AE2478" s="2114">
        <f>H2478-'Blocking-Step2'!H2478</f>
        <v>0</v>
      </c>
      <c r="AF2478" s="2114">
        <f>I2478-'Blocking-Step2'!I2478</f>
        <v>0</v>
      </c>
      <c r="AH2478" s="2136">
        <f>K2478-'Blocking-Step2'!K2478</f>
        <v>0</v>
      </c>
      <c r="AJ2478" s="2136">
        <f>M2478-'Blocking-Step2'!M2478</f>
        <v>0</v>
      </c>
      <c r="AL2478" s="2136">
        <f>O2478-'Blocking-Step2'!O2478</f>
        <v>0</v>
      </c>
      <c r="AN2478" s="2137">
        <f>Q2478-'Blocking-Step2'!Q2478</f>
        <v>0</v>
      </c>
      <c r="AP2478" s="2127">
        <f>S2478-'Blocking-Step2'!S2478</f>
        <v>0</v>
      </c>
      <c r="AR2478" s="2127">
        <f>U2478-'Blocking-Step2'!U2478</f>
        <v>0</v>
      </c>
      <c r="AT2478" s="2127">
        <f>W2478-'Blocking-Step2'!W2478</f>
        <v>0</v>
      </c>
      <c r="AV2478" s="2128">
        <f>Y2478-'Blocking-Step2'!Y2478</f>
        <v>0</v>
      </c>
    </row>
    <row r="2479" spans="1:48" ht="16.5" hidden="1" thickTop="1">
      <c r="A2479" s="1116" t="s">
        <v>317</v>
      </c>
      <c r="C2479" s="1105"/>
      <c r="D2479" s="1105"/>
      <c r="F2479" s="1139"/>
      <c r="G2479" s="1110"/>
      <c r="H2479" s="1146"/>
      <c r="I2479" s="1146"/>
      <c r="K2479" s="1139"/>
      <c r="L2479" s="1110"/>
      <c r="M2479" s="1139"/>
      <c r="N2479" s="1110"/>
      <c r="O2479" s="1139"/>
      <c r="P2479" s="1110"/>
      <c r="Q2479" s="1139"/>
      <c r="R2479" s="1110"/>
      <c r="S2479" s="1146"/>
      <c r="T2479" s="1629"/>
      <c r="U2479" s="1146"/>
      <c r="V2479" s="1629"/>
      <c r="W2479" s="1146"/>
      <c r="X2479" s="1629"/>
      <c r="Y2479" s="1146"/>
      <c r="Z2479" s="2114">
        <f>C2479-'Blocking-Step2'!C2479</f>
        <v>0</v>
      </c>
      <c r="AA2479" s="2114">
        <f>D2479-'Blocking-Step2'!D2479</f>
        <v>0</v>
      </c>
      <c r="AC2479" s="2114">
        <f>F2479-'Blocking-Step2'!F2479</f>
        <v>0</v>
      </c>
      <c r="AE2479" s="2114">
        <f>H2479-'Blocking-Step2'!H2479</f>
        <v>0</v>
      </c>
      <c r="AF2479" s="2114">
        <f>I2479-'Blocking-Step2'!I2479</f>
        <v>0</v>
      </c>
      <c r="AH2479" s="2136">
        <f>K2479-'Blocking-Step2'!K2479</f>
        <v>0</v>
      </c>
      <c r="AJ2479" s="2136">
        <f>M2479-'Blocking-Step2'!M2479</f>
        <v>0</v>
      </c>
      <c r="AL2479" s="2136">
        <f>O2479-'Blocking-Step2'!O2479</f>
        <v>0</v>
      </c>
      <c r="AN2479" s="2137">
        <f>Q2479-'Blocking-Step2'!Q2479</f>
        <v>0</v>
      </c>
      <c r="AP2479" s="2127">
        <f>S2479-'Blocking-Step2'!S2479</f>
        <v>0</v>
      </c>
      <c r="AR2479" s="2127">
        <f>U2479-'Blocking-Step2'!U2479</f>
        <v>0</v>
      </c>
      <c r="AT2479" s="2127">
        <f>W2479-'Blocking-Step2'!W2479</f>
        <v>0</v>
      </c>
      <c r="AV2479" s="2128">
        <f>Y2479-'Blocking-Step2'!Y2479</f>
        <v>0</v>
      </c>
    </row>
    <row r="2480" spans="1:48" ht="16.5" hidden="1" thickTop="1">
      <c r="A2480" s="1116" t="s">
        <v>944</v>
      </c>
      <c r="C2480" s="1105"/>
      <c r="D2480" s="1105"/>
      <c r="F2480" s="1139">
        <v>38.54</v>
      </c>
      <c r="G2480" s="1110"/>
      <c r="H2480" s="1146">
        <v>0</v>
      </c>
      <c r="I2480" s="1146">
        <v>0</v>
      </c>
      <c r="K2480" s="1139"/>
      <c r="L2480" s="1110"/>
      <c r="M2480" s="1139"/>
      <c r="N2480" s="1110"/>
      <c r="O2480" s="1139"/>
      <c r="P2480" s="1110"/>
      <c r="Q2480" s="1139"/>
      <c r="R2480" s="1110"/>
      <c r="S2480" s="1146"/>
      <c r="T2480" s="1629"/>
      <c r="U2480" s="1146"/>
      <c r="V2480" s="1629"/>
      <c r="W2480" s="1146"/>
      <c r="X2480" s="1629"/>
      <c r="Y2480" s="1146"/>
      <c r="Z2480" s="2114">
        <f>C2480-'Blocking-Step2'!C2480</f>
        <v>0</v>
      </c>
      <c r="AA2480" s="2114">
        <f>D2480-'Blocking-Step2'!D2480</f>
        <v>0</v>
      </c>
      <c r="AC2480" s="2114">
        <f>F2480-'Blocking-Step2'!F2480</f>
        <v>0</v>
      </c>
      <c r="AE2480" s="2114">
        <f>H2480-'Blocking-Step2'!H2480</f>
        <v>0</v>
      </c>
      <c r="AF2480" s="2114">
        <f>I2480-'Blocking-Step2'!I2480</f>
        <v>0</v>
      </c>
      <c r="AH2480" s="2136">
        <f>K2480-'Blocking-Step2'!K2480</f>
        <v>0</v>
      </c>
      <c r="AJ2480" s="2136">
        <f>M2480-'Blocking-Step2'!M2480</f>
        <v>0</v>
      </c>
      <c r="AL2480" s="2136">
        <f>O2480-'Blocking-Step2'!O2480</f>
        <v>0</v>
      </c>
      <c r="AN2480" s="2137">
        <f>Q2480-'Blocking-Step2'!Q2480</f>
        <v>0</v>
      </c>
      <c r="AP2480" s="2127">
        <f>S2480-'Blocking-Step2'!S2480</f>
        <v>0</v>
      </c>
      <c r="AR2480" s="2127">
        <f>U2480-'Blocking-Step2'!U2480</f>
        <v>0</v>
      </c>
      <c r="AT2480" s="2127">
        <f>W2480-'Blocking-Step2'!W2480</f>
        <v>0</v>
      </c>
      <c r="AV2480" s="2128">
        <f>Y2480-'Blocking-Step2'!Y2480</f>
        <v>0</v>
      </c>
    </row>
    <row r="2481" spans="1:48" ht="16.5" hidden="1" thickTop="1">
      <c r="A2481" s="1116" t="s">
        <v>945</v>
      </c>
      <c r="C2481" s="1105"/>
      <c r="D2481" s="1105"/>
      <c r="F2481" s="1139">
        <v>29.77</v>
      </c>
      <c r="G2481" s="1110"/>
      <c r="H2481" s="1146">
        <v>0</v>
      </c>
      <c r="I2481" s="1146">
        <v>0</v>
      </c>
      <c r="K2481" s="1139"/>
      <c r="L2481" s="1110"/>
      <c r="M2481" s="1139"/>
      <c r="N2481" s="1110"/>
      <c r="O2481" s="1139"/>
      <c r="P2481" s="1110"/>
      <c r="Q2481" s="1139"/>
      <c r="R2481" s="1110"/>
      <c r="S2481" s="1146"/>
      <c r="T2481" s="1629"/>
      <c r="U2481" s="1146"/>
      <c r="V2481" s="1629"/>
      <c r="W2481" s="1146"/>
      <c r="X2481" s="1629"/>
      <c r="Y2481" s="1146"/>
      <c r="Z2481" s="2114">
        <f>C2481-'Blocking-Step2'!C2481</f>
        <v>0</v>
      </c>
      <c r="AA2481" s="2114">
        <f>D2481-'Blocking-Step2'!D2481</f>
        <v>0</v>
      </c>
      <c r="AC2481" s="2114">
        <f>F2481-'Blocking-Step2'!F2481</f>
        <v>0</v>
      </c>
      <c r="AE2481" s="2114">
        <f>H2481-'Blocking-Step2'!H2481</f>
        <v>0</v>
      </c>
      <c r="AF2481" s="2114">
        <f>I2481-'Blocking-Step2'!I2481</f>
        <v>0</v>
      </c>
      <c r="AH2481" s="2136">
        <f>K2481-'Blocking-Step2'!K2481</f>
        <v>0</v>
      </c>
      <c r="AJ2481" s="2136">
        <f>M2481-'Blocking-Step2'!M2481</f>
        <v>0</v>
      </c>
      <c r="AL2481" s="2136">
        <f>O2481-'Blocking-Step2'!O2481</f>
        <v>0</v>
      </c>
      <c r="AN2481" s="2137">
        <f>Q2481-'Blocking-Step2'!Q2481</f>
        <v>0</v>
      </c>
      <c r="AP2481" s="2127">
        <f>S2481-'Blocking-Step2'!S2481</f>
        <v>0</v>
      </c>
      <c r="AR2481" s="2127">
        <f>U2481-'Blocking-Step2'!U2481</f>
        <v>0</v>
      </c>
      <c r="AT2481" s="2127">
        <f>W2481-'Blocking-Step2'!W2481</f>
        <v>0</v>
      </c>
      <c r="AV2481" s="2128">
        <f>Y2481-'Blocking-Step2'!Y2481</f>
        <v>0</v>
      </c>
    </row>
    <row r="2482" spans="1:48" ht="16.5" hidden="1" thickTop="1">
      <c r="A2482" s="2008" t="s">
        <v>182</v>
      </c>
      <c r="C2482" s="1105"/>
      <c r="D2482" s="1105"/>
      <c r="F2482" s="1141"/>
      <c r="K2482" s="1141"/>
      <c r="M2482" s="1141"/>
      <c r="O2482" s="1141"/>
      <c r="Q2482" s="1141"/>
      <c r="S2482" s="1627"/>
      <c r="U2482" s="1627"/>
      <c r="W2482" s="1627"/>
      <c r="Z2482" s="2114">
        <f>C2482-'Blocking-Step2'!C2482</f>
        <v>0</v>
      </c>
      <c r="AA2482" s="2114">
        <f>D2482-'Blocking-Step2'!D2482</f>
        <v>0</v>
      </c>
      <c r="AC2482" s="2114">
        <f>F2482-'Blocking-Step2'!F2482</f>
        <v>0</v>
      </c>
      <c r="AE2482" s="2114">
        <f>H2482-'Blocking-Step2'!H2482</f>
        <v>0</v>
      </c>
      <c r="AF2482" s="2114">
        <f>I2482-'Blocking-Step2'!I2482</f>
        <v>0</v>
      </c>
      <c r="AH2482" s="2136">
        <f>K2482-'Blocking-Step2'!K2482</f>
        <v>0</v>
      </c>
      <c r="AJ2482" s="2136">
        <f>M2482-'Blocking-Step2'!M2482</f>
        <v>0</v>
      </c>
      <c r="AL2482" s="2136">
        <f>O2482-'Blocking-Step2'!O2482</f>
        <v>0</v>
      </c>
      <c r="AN2482" s="2137">
        <f>Q2482-'Blocking-Step2'!Q2482</f>
        <v>0</v>
      </c>
      <c r="AP2482" s="2127">
        <f>S2482-'Blocking-Step2'!S2482</f>
        <v>0</v>
      </c>
      <c r="AR2482" s="2127">
        <f>U2482-'Blocking-Step2'!U2482</f>
        <v>0</v>
      </c>
      <c r="AT2482" s="2127">
        <f>W2482-'Blocking-Step2'!W2482</f>
        <v>0</v>
      </c>
      <c r="AV2482" s="2128">
        <f>Y2482-'Blocking-Step2'!Y2482</f>
        <v>0</v>
      </c>
    </row>
    <row r="2483" spans="1:48" ht="16.5" hidden="1" thickTop="1">
      <c r="A2483" s="1116" t="s">
        <v>312</v>
      </c>
      <c r="C2483" s="1105">
        <v>36</v>
      </c>
      <c r="D2483" s="1105">
        <v>36</v>
      </c>
      <c r="F2483" s="1139">
        <v>678</v>
      </c>
      <c r="G2483" s="1110"/>
      <c r="H2483" s="1146">
        <v>24408</v>
      </c>
      <c r="I2483" s="1146">
        <v>24408</v>
      </c>
      <c r="K2483" s="1139">
        <v>-110</v>
      </c>
      <c r="L2483" s="1110"/>
      <c r="M2483" s="1139">
        <v>813</v>
      </c>
      <c r="N2483" s="1110"/>
      <c r="O2483" s="1139">
        <v>0</v>
      </c>
      <c r="P2483" s="1110"/>
      <c r="Q2483" s="1139">
        <v>703</v>
      </c>
      <c r="R2483" s="1110"/>
      <c r="S2483" s="1146">
        <v>-3960</v>
      </c>
      <c r="T2483" s="1629"/>
      <c r="U2483" s="1146">
        <v>29268</v>
      </c>
      <c r="V2483" s="1629"/>
      <c r="W2483" s="1146">
        <v>0</v>
      </c>
      <c r="X2483" s="1629"/>
      <c r="Y2483" s="1146">
        <v>25308</v>
      </c>
      <c r="Z2483" s="2114">
        <f>C2483-'Blocking-Step2'!C2483</f>
        <v>0</v>
      </c>
      <c r="AA2483" s="2114">
        <f>D2483-'Blocking-Step2'!D2483</f>
        <v>0</v>
      </c>
      <c r="AC2483" s="2114">
        <f>F2483-'Blocking-Step2'!F2483</f>
        <v>0</v>
      </c>
      <c r="AE2483" s="2114">
        <f>H2483-'Blocking-Step2'!H2483</f>
        <v>0</v>
      </c>
      <c r="AF2483" s="2114">
        <f>I2483-'Blocking-Step2'!I2483</f>
        <v>0</v>
      </c>
      <c r="AH2483" s="2136">
        <f>K2483-'Blocking-Step2'!K2483</f>
        <v>-813</v>
      </c>
      <c r="AJ2483" s="2136">
        <f>M2483-'Blocking-Step2'!M2483</f>
        <v>813</v>
      </c>
      <c r="AL2483" s="2136">
        <f>O2483-'Blocking-Step2'!O2483</f>
        <v>0</v>
      </c>
      <c r="AN2483" s="2137">
        <f>Q2483-'Blocking-Step2'!Q2483</f>
        <v>0</v>
      </c>
      <c r="AP2483" s="2127">
        <f>S2483-'Blocking-Step2'!S2483</f>
        <v>-29268</v>
      </c>
      <c r="AR2483" s="2127">
        <f>U2483-'Blocking-Step2'!U2483</f>
        <v>29268</v>
      </c>
      <c r="AT2483" s="2127">
        <f>W2483-'Blocking-Step2'!W2483</f>
        <v>0</v>
      </c>
      <c r="AV2483" s="2128">
        <f>Y2483-'Blocking-Step2'!Y2483</f>
        <v>0</v>
      </c>
    </row>
    <row r="2484" spans="1:48" ht="16.5" hidden="1" thickTop="1">
      <c r="A2484" s="1116" t="s">
        <v>313</v>
      </c>
      <c r="C2484" s="1105">
        <v>189039</v>
      </c>
      <c r="D2484" s="1105">
        <v>228822</v>
      </c>
      <c r="F2484" s="1139">
        <v>2.63</v>
      </c>
      <c r="G2484" s="1110"/>
      <c r="H2484" s="1146">
        <v>497173</v>
      </c>
      <c r="I2484" s="1146">
        <v>601802</v>
      </c>
      <c r="K2484" s="1139">
        <v>0</v>
      </c>
      <c r="L2484" s="1110"/>
      <c r="M2484" s="1139">
        <v>2.73</v>
      </c>
      <c r="N2484" s="1110"/>
      <c r="O2484" s="1139">
        <v>0</v>
      </c>
      <c r="P2484" s="1110"/>
      <c r="Q2484" s="1139">
        <v>2.73</v>
      </c>
      <c r="R2484" s="1110"/>
      <c r="S2484" s="1146">
        <v>0</v>
      </c>
      <c r="T2484" s="1629"/>
      <c r="U2484" s="1146">
        <v>624684</v>
      </c>
      <c r="V2484" s="1629"/>
      <c r="W2484" s="1146">
        <v>0</v>
      </c>
      <c r="X2484" s="1629"/>
      <c r="Y2484" s="1146">
        <v>624684</v>
      </c>
      <c r="Z2484" s="2114">
        <f>C2484-'Blocking-Step2'!C2484</f>
        <v>0</v>
      </c>
      <c r="AA2484" s="2114">
        <f>D2484-'Blocking-Step2'!D2484</f>
        <v>0</v>
      </c>
      <c r="AC2484" s="2114">
        <f>F2484-'Blocking-Step2'!F2484</f>
        <v>0</v>
      </c>
      <c r="AE2484" s="2114">
        <f>H2484-'Blocking-Step2'!H2484</f>
        <v>0</v>
      </c>
      <c r="AF2484" s="2114">
        <f>I2484-'Blocking-Step2'!I2484</f>
        <v>0</v>
      </c>
      <c r="AH2484" s="2136">
        <f>K2484-'Blocking-Step2'!K2484</f>
        <v>-2.73</v>
      </c>
      <c r="AJ2484" s="2136">
        <f>M2484-'Blocking-Step2'!M2484</f>
        <v>2.73</v>
      </c>
      <c r="AL2484" s="2136">
        <f>O2484-'Blocking-Step2'!O2484</f>
        <v>0</v>
      </c>
      <c r="AN2484" s="2137">
        <f>Q2484-'Blocking-Step2'!Q2484</f>
        <v>0</v>
      </c>
      <c r="AP2484" s="2127">
        <f>S2484-'Blocking-Step2'!S2484</f>
        <v>-624684</v>
      </c>
      <c r="AR2484" s="2127">
        <f>U2484-'Blocking-Step2'!U2484</f>
        <v>624684</v>
      </c>
      <c r="AT2484" s="2127">
        <f>W2484-'Blocking-Step2'!W2484</f>
        <v>0</v>
      </c>
      <c r="AV2484" s="2128">
        <f>Y2484-'Blocking-Step2'!Y2484</f>
        <v>0</v>
      </c>
    </row>
    <row r="2485" spans="1:48" ht="16.5" hidden="1" thickTop="1">
      <c r="A2485" s="1116" t="s">
        <v>314</v>
      </c>
      <c r="C2485" s="1105"/>
      <c r="D2485" s="1105"/>
      <c r="F2485" s="1140"/>
      <c r="G2485" s="617"/>
      <c r="H2485" s="1146"/>
      <c r="I2485" s="1146"/>
      <c r="K2485" s="1140"/>
      <c r="L2485" s="617"/>
      <c r="M2485" s="1140"/>
      <c r="N2485" s="617"/>
      <c r="O2485" s="1140"/>
      <c r="P2485" s="617"/>
      <c r="Q2485" s="1140"/>
      <c r="R2485" s="617"/>
      <c r="S2485" s="1146"/>
      <c r="T2485" s="1114"/>
      <c r="U2485" s="1146"/>
      <c r="V2485" s="1114"/>
      <c r="W2485" s="1146"/>
      <c r="X2485" s="1114"/>
      <c r="Y2485" s="1146"/>
      <c r="Z2485" s="2114">
        <f>C2485-'Blocking-Step2'!C2485</f>
        <v>0</v>
      </c>
      <c r="AA2485" s="2114">
        <f>D2485-'Blocking-Step2'!D2485</f>
        <v>0</v>
      </c>
      <c r="AC2485" s="2114">
        <f>F2485-'Blocking-Step2'!F2485</f>
        <v>0</v>
      </c>
      <c r="AE2485" s="2114">
        <f>H2485-'Blocking-Step2'!H2485</f>
        <v>0</v>
      </c>
      <c r="AF2485" s="2114">
        <f>I2485-'Blocking-Step2'!I2485</f>
        <v>0</v>
      </c>
      <c r="AH2485" s="2136">
        <f>K2485-'Blocking-Step2'!K2485</f>
        <v>0</v>
      </c>
      <c r="AJ2485" s="2136">
        <f>M2485-'Blocking-Step2'!M2485</f>
        <v>0</v>
      </c>
      <c r="AL2485" s="2136">
        <f>O2485-'Blocking-Step2'!O2485</f>
        <v>0</v>
      </c>
      <c r="AN2485" s="2137">
        <f>Q2485-'Blocking-Step2'!Q2485</f>
        <v>0</v>
      </c>
      <c r="AP2485" s="2127">
        <f>S2485-'Blocking-Step2'!S2485</f>
        <v>0</v>
      </c>
      <c r="AR2485" s="2127">
        <f>U2485-'Blocking-Step2'!U2485</f>
        <v>0</v>
      </c>
      <c r="AT2485" s="2127">
        <f>W2485-'Blocking-Step2'!W2485</f>
        <v>0</v>
      </c>
      <c r="AV2485" s="2128">
        <f>Y2485-'Blocking-Step2'!Y2485</f>
        <v>0</v>
      </c>
    </row>
    <row r="2486" spans="1:48" ht="16.5" hidden="1" thickTop="1">
      <c r="A2486" s="1116" t="s">
        <v>315</v>
      </c>
      <c r="C2486" s="1105"/>
      <c r="D2486" s="1105"/>
      <c r="F2486" s="1139"/>
      <c r="G2486" s="1111"/>
      <c r="H2486" s="1146"/>
      <c r="I2486" s="1146"/>
      <c r="K2486" s="1139"/>
      <c r="L2486" s="1111"/>
      <c r="M2486" s="1139"/>
      <c r="N2486" s="1111"/>
      <c r="O2486" s="1139"/>
      <c r="P2486" s="1111"/>
      <c r="Q2486" s="1139"/>
      <c r="R2486" s="1111"/>
      <c r="S2486" s="1146"/>
      <c r="T2486" s="1629"/>
      <c r="U2486" s="1146"/>
      <c r="V2486" s="1629"/>
      <c r="W2486" s="1146"/>
      <c r="X2486" s="1629"/>
      <c r="Y2486" s="1146"/>
      <c r="Z2486" s="2114">
        <f>C2486-'Blocking-Step2'!C2486</f>
        <v>0</v>
      </c>
      <c r="AA2486" s="2114">
        <f>D2486-'Blocking-Step2'!D2486</f>
        <v>0</v>
      </c>
      <c r="AC2486" s="2114">
        <f>F2486-'Blocking-Step2'!F2486</f>
        <v>0</v>
      </c>
      <c r="AE2486" s="2114">
        <f>H2486-'Blocking-Step2'!H2486</f>
        <v>0</v>
      </c>
      <c r="AF2486" s="2114">
        <f>I2486-'Blocking-Step2'!I2486</f>
        <v>0</v>
      </c>
      <c r="AH2486" s="2136">
        <f>K2486-'Blocking-Step2'!K2486</f>
        <v>0</v>
      </c>
      <c r="AJ2486" s="2136">
        <f>M2486-'Blocking-Step2'!M2486</f>
        <v>0</v>
      </c>
      <c r="AL2486" s="2136">
        <f>O2486-'Blocking-Step2'!O2486</f>
        <v>0</v>
      </c>
      <c r="AN2486" s="2137">
        <f>Q2486-'Blocking-Step2'!Q2486</f>
        <v>0</v>
      </c>
      <c r="AP2486" s="2127">
        <f>S2486-'Blocking-Step2'!S2486</f>
        <v>0</v>
      </c>
      <c r="AR2486" s="2127">
        <f>U2486-'Blocking-Step2'!U2486</f>
        <v>0</v>
      </c>
      <c r="AT2486" s="2127">
        <f>W2486-'Blocking-Step2'!W2486</f>
        <v>0</v>
      </c>
      <c r="AV2486" s="2128">
        <f>Y2486-'Blocking-Step2'!Y2486</f>
        <v>0</v>
      </c>
    </row>
    <row r="2487" spans="1:48" ht="16.5" hidden="1" thickTop="1">
      <c r="A2487" s="1116" t="s">
        <v>1668</v>
      </c>
      <c r="C2487" s="1105">
        <v>329715.6555539706</v>
      </c>
      <c r="D2487" s="1105">
        <v>399104</v>
      </c>
      <c r="F2487" s="1139"/>
      <c r="G2487" s="1111"/>
      <c r="H2487" s="1146"/>
      <c r="I2487" s="1146"/>
      <c r="K2487" s="1139">
        <v>0</v>
      </c>
      <c r="L2487" s="1111"/>
      <c r="M2487" s="1139">
        <v>0.79</v>
      </c>
      <c r="N2487" s="1111"/>
      <c r="O2487" s="1139">
        <v>0</v>
      </c>
      <c r="P2487" s="1111"/>
      <c r="Q2487" s="1139">
        <v>0.79</v>
      </c>
      <c r="R2487" s="1111"/>
      <c r="S2487" s="1146">
        <v>0</v>
      </c>
      <c r="T2487" s="1629"/>
      <c r="U2487" s="1146">
        <v>315292</v>
      </c>
      <c r="V2487" s="1629"/>
      <c r="W2487" s="1146">
        <v>0</v>
      </c>
      <c r="X2487" s="1629"/>
      <c r="Y2487" s="1146">
        <v>315292</v>
      </c>
      <c r="Z2487" s="2114">
        <f>C2487-'Blocking-Step2'!C2487</f>
        <v>0</v>
      </c>
      <c r="AA2487" s="2114">
        <f>D2487-'Blocking-Step2'!D2487</f>
        <v>0</v>
      </c>
      <c r="AC2487" s="2114">
        <f>F2487-'Blocking-Step2'!F2487</f>
        <v>0</v>
      </c>
      <c r="AE2487" s="2114">
        <f>H2487-'Blocking-Step2'!H2487</f>
        <v>0</v>
      </c>
      <c r="AF2487" s="2114">
        <f>I2487-'Blocking-Step2'!I2487</f>
        <v>0</v>
      </c>
      <c r="AH2487" s="2136">
        <f>K2487-'Blocking-Step2'!K2487</f>
        <v>-0.26</v>
      </c>
      <c r="AJ2487" s="2136">
        <f>M2487-'Blocking-Step2'!M2487</f>
        <v>0.26</v>
      </c>
      <c r="AL2487" s="2136">
        <f>O2487-'Blocking-Step2'!O2487</f>
        <v>0</v>
      </c>
      <c r="AN2487" s="2137">
        <f>Q2487-'Blocking-Step2'!Q2487</f>
        <v>0</v>
      </c>
      <c r="AP2487" s="2127">
        <f>S2487-'Blocking-Step2'!S2487</f>
        <v>-103767</v>
      </c>
      <c r="AR2487" s="2127">
        <f>U2487-'Blocking-Step2'!U2487</f>
        <v>103767</v>
      </c>
      <c r="AT2487" s="2127">
        <f>W2487-'Blocking-Step2'!W2487</f>
        <v>0</v>
      </c>
      <c r="AV2487" s="2128">
        <f>Y2487-'Blocking-Step2'!Y2487</f>
        <v>0</v>
      </c>
    </row>
    <row r="2488" spans="1:48" ht="16.5" hidden="1" thickTop="1">
      <c r="A2488" s="1116" t="s">
        <v>1669</v>
      </c>
      <c r="C2488" s="1105">
        <v>164694.72370750239</v>
      </c>
      <c r="D2488" s="1105">
        <v>199354</v>
      </c>
      <c r="F2488" s="1139"/>
      <c r="G2488" s="1111"/>
      <c r="H2488" s="1146"/>
      <c r="I2488" s="1146"/>
      <c r="K2488" s="1139">
        <v>0</v>
      </c>
      <c r="L2488" s="1111"/>
      <c r="M2488" s="1139">
        <v>0.7</v>
      </c>
      <c r="N2488" s="1111"/>
      <c r="O2488" s="1139">
        <v>0</v>
      </c>
      <c r="P2488" s="1111"/>
      <c r="Q2488" s="1139">
        <v>0.7</v>
      </c>
      <c r="R2488" s="1111"/>
      <c r="S2488" s="1146">
        <v>0</v>
      </c>
      <c r="T2488" s="1629"/>
      <c r="U2488" s="1146">
        <v>139548</v>
      </c>
      <c r="V2488" s="1629"/>
      <c r="W2488" s="1146">
        <v>0</v>
      </c>
      <c r="X2488" s="1629"/>
      <c r="Y2488" s="1146">
        <v>139548</v>
      </c>
      <c r="Z2488" s="2114">
        <f>C2488-'Blocking-Step2'!C2488</f>
        <v>0</v>
      </c>
      <c r="AA2488" s="2114">
        <f>D2488-'Blocking-Step2'!D2488</f>
        <v>0</v>
      </c>
      <c r="AC2488" s="2114">
        <f>F2488-'Blocking-Step2'!F2488</f>
        <v>0</v>
      </c>
      <c r="AE2488" s="2114">
        <f>H2488-'Blocking-Step2'!H2488</f>
        <v>0</v>
      </c>
      <c r="AF2488" s="2114">
        <f>I2488-'Blocking-Step2'!I2488</f>
        <v>0</v>
      </c>
      <c r="AH2488" s="2136">
        <f>K2488-'Blocking-Step2'!K2488</f>
        <v>-0.23</v>
      </c>
      <c r="AJ2488" s="2136">
        <f>M2488-'Blocking-Step2'!M2488</f>
        <v>0.22999999999999998</v>
      </c>
      <c r="AL2488" s="2136">
        <f>O2488-'Blocking-Step2'!O2488</f>
        <v>0</v>
      </c>
      <c r="AN2488" s="2137">
        <f>Q2488-'Blocking-Step2'!Q2488</f>
        <v>0</v>
      </c>
      <c r="AP2488" s="2127">
        <f>S2488-'Blocking-Step2'!S2488</f>
        <v>-45851</v>
      </c>
      <c r="AR2488" s="2127">
        <f>U2488-'Blocking-Step2'!U2488</f>
        <v>45852</v>
      </c>
      <c r="AT2488" s="2127">
        <f>W2488-'Blocking-Step2'!W2488</f>
        <v>0</v>
      </c>
      <c r="AV2488" s="2128">
        <f>Y2488-'Blocking-Step2'!Y2488</f>
        <v>0</v>
      </c>
    </row>
    <row r="2489" spans="1:48" ht="16.5" hidden="1" thickTop="1">
      <c r="A2489" s="1116" t="s">
        <v>316</v>
      </c>
      <c r="C2489" s="1105"/>
      <c r="D2489" s="1105"/>
      <c r="F2489" s="1140"/>
      <c r="G2489" s="1112"/>
      <c r="H2489" s="1146"/>
      <c r="I2489" s="1146"/>
      <c r="K2489" s="1140"/>
      <c r="L2489" s="1112"/>
      <c r="M2489" s="1140"/>
      <c r="N2489" s="1112"/>
      <c r="O2489" s="1140"/>
      <c r="P2489" s="1112"/>
      <c r="Q2489" s="1140"/>
      <c r="R2489" s="1112"/>
      <c r="S2489" s="1146"/>
      <c r="T2489" s="1114"/>
      <c r="U2489" s="1146"/>
      <c r="V2489" s="1114"/>
      <c r="W2489" s="1146"/>
      <c r="X2489" s="1114"/>
      <c r="Y2489" s="1146"/>
      <c r="Z2489" s="2114">
        <f>C2489-'Blocking-Step2'!C2489</f>
        <v>0</v>
      </c>
      <c r="AA2489" s="2114">
        <f>D2489-'Blocking-Step2'!D2489</f>
        <v>0</v>
      </c>
      <c r="AC2489" s="2114">
        <f>F2489-'Blocking-Step2'!F2489</f>
        <v>0</v>
      </c>
      <c r="AE2489" s="2114">
        <f>H2489-'Blocking-Step2'!H2489</f>
        <v>0</v>
      </c>
      <c r="AF2489" s="2114">
        <f>I2489-'Blocking-Step2'!I2489</f>
        <v>0</v>
      </c>
      <c r="AH2489" s="2136">
        <f>K2489-'Blocking-Step2'!K2489</f>
        <v>0</v>
      </c>
      <c r="AJ2489" s="2136">
        <f>M2489-'Blocking-Step2'!M2489</f>
        <v>0</v>
      </c>
      <c r="AL2489" s="2136">
        <f>O2489-'Blocking-Step2'!O2489</f>
        <v>0</v>
      </c>
      <c r="AN2489" s="2137">
        <f>Q2489-'Blocking-Step2'!Q2489</f>
        <v>0</v>
      </c>
      <c r="AP2489" s="2127">
        <f>S2489-'Blocking-Step2'!S2489</f>
        <v>0</v>
      </c>
      <c r="AR2489" s="2127">
        <f>U2489-'Blocking-Step2'!U2489</f>
        <v>0</v>
      </c>
      <c r="AT2489" s="2127">
        <f>W2489-'Blocking-Step2'!W2489</f>
        <v>0</v>
      </c>
      <c r="AV2489" s="2128">
        <f>Y2489-'Blocking-Step2'!Y2489</f>
        <v>0</v>
      </c>
    </row>
    <row r="2490" spans="1:48" ht="16.5" hidden="1" thickTop="1">
      <c r="A2490" s="1116" t="s">
        <v>1668</v>
      </c>
      <c r="C2490" s="1105">
        <v>0</v>
      </c>
      <c r="D2490" s="1105">
        <v>0</v>
      </c>
      <c r="F2490" s="1140"/>
      <c r="G2490" s="1112"/>
      <c r="H2490" s="1146"/>
      <c r="I2490" s="1146"/>
      <c r="K2490" s="1140">
        <v>0</v>
      </c>
      <c r="L2490" s="1112"/>
      <c r="M2490" s="1140">
        <v>0.39</v>
      </c>
      <c r="N2490" s="1112"/>
      <c r="O2490" s="1140">
        <v>0</v>
      </c>
      <c r="P2490" s="1112"/>
      <c r="Q2490" s="1140">
        <v>0.39</v>
      </c>
      <c r="R2490" s="1112"/>
      <c r="S2490" s="1146">
        <v>0</v>
      </c>
      <c r="T2490" s="1114"/>
      <c r="U2490" s="1146">
        <v>0</v>
      </c>
      <c r="V2490" s="1114"/>
      <c r="W2490" s="1146">
        <v>0</v>
      </c>
      <c r="X2490" s="1114"/>
      <c r="Y2490" s="1146">
        <v>0</v>
      </c>
      <c r="Z2490" s="2114">
        <f>C2490-'Blocking-Step2'!C2490</f>
        <v>0</v>
      </c>
      <c r="AA2490" s="2114">
        <f>D2490-'Blocking-Step2'!D2490</f>
        <v>0</v>
      </c>
      <c r="AC2490" s="2114">
        <f>F2490-'Blocking-Step2'!F2490</f>
        <v>0</v>
      </c>
      <c r="AE2490" s="2114">
        <f>H2490-'Blocking-Step2'!H2490</f>
        <v>0</v>
      </c>
      <c r="AF2490" s="2114">
        <f>I2490-'Blocking-Step2'!I2490</f>
        <v>0</v>
      </c>
      <c r="AH2490" s="2136">
        <f>K2490-'Blocking-Step2'!K2490</f>
        <v>-0.13</v>
      </c>
      <c r="AJ2490" s="2136">
        <f>M2490-'Blocking-Step2'!M2490</f>
        <v>0.13</v>
      </c>
      <c r="AL2490" s="2136">
        <f>O2490-'Blocking-Step2'!O2490</f>
        <v>0</v>
      </c>
      <c r="AN2490" s="2137">
        <f>Q2490-'Blocking-Step2'!Q2490</f>
        <v>0</v>
      </c>
      <c r="AP2490" s="2127">
        <f>S2490-'Blocking-Step2'!S2490</f>
        <v>0</v>
      </c>
      <c r="AR2490" s="2127">
        <f>U2490-'Blocking-Step2'!U2490</f>
        <v>0</v>
      </c>
      <c r="AT2490" s="2127">
        <f>W2490-'Blocking-Step2'!W2490</f>
        <v>0</v>
      </c>
      <c r="AV2490" s="2128">
        <f>Y2490-'Blocking-Step2'!Y2490</f>
        <v>0</v>
      </c>
    </row>
    <row r="2491" spans="1:48" ht="16.5" hidden="1" thickTop="1">
      <c r="A2491" s="1116" t="s">
        <v>1669</v>
      </c>
      <c r="C2491" s="1105">
        <v>124384.92161982199</v>
      </c>
      <c r="D2491" s="1105">
        <v>150561</v>
      </c>
      <c r="F2491" s="1140"/>
      <c r="G2491" s="1112"/>
      <c r="H2491" s="1146"/>
      <c r="I2491" s="1146"/>
      <c r="K2491" s="1140">
        <v>0</v>
      </c>
      <c r="L2491" s="1112"/>
      <c r="M2491" s="1140">
        <v>0.35</v>
      </c>
      <c r="N2491" s="1112"/>
      <c r="O2491" s="1140">
        <v>0</v>
      </c>
      <c r="P2491" s="1112"/>
      <c r="Q2491" s="1140">
        <v>0.35</v>
      </c>
      <c r="R2491" s="1112"/>
      <c r="S2491" s="1146">
        <v>0</v>
      </c>
      <c r="T2491" s="1114"/>
      <c r="U2491" s="1146">
        <v>52696</v>
      </c>
      <c r="V2491" s="1114"/>
      <c r="W2491" s="1146">
        <v>0</v>
      </c>
      <c r="X2491" s="1114"/>
      <c r="Y2491" s="1146">
        <v>52696</v>
      </c>
      <c r="Z2491" s="2114">
        <f>C2491-'Blocking-Step2'!C2491</f>
        <v>0</v>
      </c>
      <c r="AA2491" s="2114">
        <f>D2491-'Blocking-Step2'!D2491</f>
        <v>0</v>
      </c>
      <c r="AC2491" s="2114">
        <f>F2491-'Blocking-Step2'!F2491</f>
        <v>0</v>
      </c>
      <c r="AE2491" s="2114">
        <f>H2491-'Blocking-Step2'!H2491</f>
        <v>0</v>
      </c>
      <c r="AF2491" s="2114">
        <f>I2491-'Blocking-Step2'!I2491</f>
        <v>0</v>
      </c>
      <c r="AH2491" s="2136">
        <f>K2491-'Blocking-Step2'!K2491</f>
        <v>-0.12</v>
      </c>
      <c r="AJ2491" s="2136">
        <f>M2491-'Blocking-Step2'!M2491</f>
        <v>0.12</v>
      </c>
      <c r="AL2491" s="2136">
        <f>O2491-'Blocking-Step2'!O2491</f>
        <v>0</v>
      </c>
      <c r="AN2491" s="2137">
        <f>Q2491-'Blocking-Step2'!Q2491</f>
        <v>0</v>
      </c>
      <c r="AP2491" s="2127">
        <f>S2491-'Blocking-Step2'!S2491</f>
        <v>-18067</v>
      </c>
      <c r="AR2491" s="2127">
        <f>U2491-'Blocking-Step2'!U2491</f>
        <v>18067</v>
      </c>
      <c r="AT2491" s="2127">
        <f>W2491-'Blocking-Step2'!W2491</f>
        <v>0</v>
      </c>
      <c r="AV2491" s="2128">
        <f>Y2491-'Blocking-Step2'!Y2491</f>
        <v>0</v>
      </c>
    </row>
    <row r="2492" spans="1:48" ht="16.5" hidden="1" thickTop="1">
      <c r="A2492" s="1116" t="s">
        <v>317</v>
      </c>
      <c r="C2492" s="1105"/>
      <c r="D2492" s="1105"/>
      <c r="F2492" s="1139"/>
      <c r="G2492" s="1110"/>
      <c r="H2492" s="1146"/>
      <c r="I2492" s="1146"/>
      <c r="K2492" s="1139"/>
      <c r="L2492" s="1110"/>
      <c r="M2492" s="1139"/>
      <c r="N2492" s="1110"/>
      <c r="O2492" s="1139"/>
      <c r="P2492" s="1110"/>
      <c r="Q2492" s="1139"/>
      <c r="R2492" s="1110"/>
      <c r="S2492" s="1146"/>
      <c r="T2492" s="1629"/>
      <c r="U2492" s="1146"/>
      <c r="V2492" s="1629"/>
      <c r="W2492" s="1146"/>
      <c r="X2492" s="1629"/>
      <c r="Y2492" s="1146"/>
      <c r="Z2492" s="2114">
        <f>C2492-'Blocking-Step2'!C2492</f>
        <v>0</v>
      </c>
      <c r="AA2492" s="2114">
        <f>D2492-'Blocking-Step2'!D2492</f>
        <v>0</v>
      </c>
      <c r="AC2492" s="2114">
        <f>F2492-'Blocking-Step2'!F2492</f>
        <v>0</v>
      </c>
      <c r="AE2492" s="2114">
        <f>H2492-'Blocking-Step2'!H2492</f>
        <v>0</v>
      </c>
      <c r="AF2492" s="2114">
        <f>I2492-'Blocking-Step2'!I2492</f>
        <v>0</v>
      </c>
      <c r="AH2492" s="2136">
        <f>K2492-'Blocking-Step2'!K2492</f>
        <v>0</v>
      </c>
      <c r="AJ2492" s="2136">
        <f>M2492-'Blocking-Step2'!M2492</f>
        <v>0</v>
      </c>
      <c r="AL2492" s="2136">
        <f>O2492-'Blocking-Step2'!O2492</f>
        <v>0</v>
      </c>
      <c r="AN2492" s="2137">
        <f>Q2492-'Blocking-Step2'!Q2492</f>
        <v>0</v>
      </c>
      <c r="AP2492" s="2127">
        <f>S2492-'Blocking-Step2'!S2492</f>
        <v>0</v>
      </c>
      <c r="AR2492" s="2127">
        <f>U2492-'Blocking-Step2'!U2492</f>
        <v>0</v>
      </c>
      <c r="AT2492" s="2127">
        <f>W2492-'Blocking-Step2'!W2492</f>
        <v>0</v>
      </c>
      <c r="AV2492" s="2128">
        <f>Y2492-'Blocking-Step2'!Y2492</f>
        <v>0</v>
      </c>
    </row>
    <row r="2493" spans="1:48" ht="16.5" hidden="1" thickTop="1">
      <c r="A2493" s="1116" t="s">
        <v>1668</v>
      </c>
      <c r="C2493" s="1105">
        <v>0</v>
      </c>
      <c r="D2493" s="1105">
        <v>0</v>
      </c>
      <c r="F2493" s="1139"/>
      <c r="G2493" s="1110"/>
      <c r="H2493" s="1146"/>
      <c r="I2493" s="1146"/>
      <c r="K2493" s="1139">
        <v>0</v>
      </c>
      <c r="L2493" s="1110"/>
      <c r="M2493" s="1139">
        <v>33.549999999999997</v>
      </c>
      <c r="N2493" s="1110"/>
      <c r="O2493" s="1139">
        <v>0</v>
      </c>
      <c r="P2493" s="1110"/>
      <c r="Q2493" s="1139">
        <v>33.549999999999997</v>
      </c>
      <c r="R2493" s="1110"/>
      <c r="S2493" s="1146">
        <v>0</v>
      </c>
      <c r="T2493" s="1629"/>
      <c r="U2493" s="1146">
        <v>0</v>
      </c>
      <c r="V2493" s="1629"/>
      <c r="W2493" s="1146">
        <v>0</v>
      </c>
      <c r="X2493" s="1629"/>
      <c r="Y2493" s="1146">
        <v>0</v>
      </c>
      <c r="Z2493" s="2114">
        <f>C2493-'Blocking-Step2'!C2493</f>
        <v>0</v>
      </c>
      <c r="AA2493" s="2114">
        <f>D2493-'Blocking-Step2'!D2493</f>
        <v>0</v>
      </c>
      <c r="AC2493" s="2114">
        <f>F2493-'Blocking-Step2'!F2493</f>
        <v>0</v>
      </c>
      <c r="AE2493" s="2114">
        <f>H2493-'Blocking-Step2'!H2493</f>
        <v>0</v>
      </c>
      <c r="AF2493" s="2114">
        <f>I2493-'Blocking-Step2'!I2493</f>
        <v>0</v>
      </c>
      <c r="AH2493" s="2136">
        <f>K2493-'Blocking-Step2'!K2493</f>
        <v>-11.04</v>
      </c>
      <c r="AJ2493" s="2136">
        <f>M2493-'Blocking-Step2'!M2493</f>
        <v>11.04</v>
      </c>
      <c r="AL2493" s="2136">
        <f>O2493-'Blocking-Step2'!O2493</f>
        <v>0</v>
      </c>
      <c r="AN2493" s="2137">
        <f>Q2493-'Blocking-Step2'!Q2493</f>
        <v>0</v>
      </c>
      <c r="AP2493" s="2127">
        <f>S2493-'Blocking-Step2'!S2493</f>
        <v>0</v>
      </c>
      <c r="AR2493" s="2127">
        <f>U2493-'Blocking-Step2'!U2493</f>
        <v>0</v>
      </c>
      <c r="AT2493" s="2127">
        <f>W2493-'Blocking-Step2'!W2493</f>
        <v>0</v>
      </c>
      <c r="AV2493" s="2128">
        <f>Y2493-'Blocking-Step2'!Y2493</f>
        <v>0</v>
      </c>
    </row>
    <row r="2494" spans="1:48" ht="16.5" hidden="1" thickTop="1">
      <c r="A2494" s="1116" t="s">
        <v>1669</v>
      </c>
      <c r="C2494" s="1105">
        <v>0</v>
      </c>
      <c r="D2494" s="1105">
        <v>0</v>
      </c>
      <c r="F2494" s="1139"/>
      <c r="G2494" s="1110"/>
      <c r="H2494" s="1146"/>
      <c r="I2494" s="1146"/>
      <c r="K2494" s="1139">
        <v>0</v>
      </c>
      <c r="L2494" s="1110"/>
      <c r="M2494" s="1139">
        <v>29.69</v>
      </c>
      <c r="N2494" s="1110"/>
      <c r="O2494" s="1139">
        <v>0</v>
      </c>
      <c r="P2494" s="1110"/>
      <c r="Q2494" s="1139">
        <v>29.69</v>
      </c>
      <c r="R2494" s="1110"/>
      <c r="S2494" s="1146">
        <v>0</v>
      </c>
      <c r="T2494" s="1629"/>
      <c r="U2494" s="1146">
        <v>0</v>
      </c>
      <c r="V2494" s="1629"/>
      <c r="W2494" s="1146">
        <v>0</v>
      </c>
      <c r="X2494" s="1629"/>
      <c r="Y2494" s="1146">
        <v>0</v>
      </c>
      <c r="Z2494" s="2114">
        <f>C2494-'Blocking-Step2'!C2494</f>
        <v>0</v>
      </c>
      <c r="AA2494" s="2114">
        <f>D2494-'Blocking-Step2'!D2494</f>
        <v>0</v>
      </c>
      <c r="AC2494" s="2114">
        <f>F2494-'Blocking-Step2'!F2494</f>
        <v>0</v>
      </c>
      <c r="AE2494" s="2114">
        <f>H2494-'Blocking-Step2'!H2494</f>
        <v>0</v>
      </c>
      <c r="AF2494" s="2114">
        <f>I2494-'Blocking-Step2'!I2494</f>
        <v>0</v>
      </c>
      <c r="AH2494" s="2136">
        <f>K2494-'Blocking-Step2'!K2494</f>
        <v>-9.76</v>
      </c>
      <c r="AJ2494" s="2136">
        <f>M2494-'Blocking-Step2'!M2494</f>
        <v>9.7600000000000016</v>
      </c>
      <c r="AL2494" s="2136">
        <f>O2494-'Blocking-Step2'!O2494</f>
        <v>0</v>
      </c>
      <c r="AN2494" s="2137">
        <f>Q2494-'Blocking-Step2'!Q2494</f>
        <v>0</v>
      </c>
      <c r="AP2494" s="2127">
        <f>S2494-'Blocking-Step2'!S2494</f>
        <v>0</v>
      </c>
      <c r="AR2494" s="2127">
        <f>U2494-'Blocking-Step2'!U2494</f>
        <v>0</v>
      </c>
      <c r="AT2494" s="2127">
        <f>W2494-'Blocking-Step2'!W2494</f>
        <v>0</v>
      </c>
      <c r="AV2494" s="2128">
        <f>Y2494-'Blocking-Step2'!Y2494</f>
        <v>0</v>
      </c>
    </row>
    <row r="2495" spans="1:48" ht="16.5" hidden="1" thickTop="1">
      <c r="A2495" s="1116" t="s">
        <v>315</v>
      </c>
      <c r="C2495" s="1105"/>
      <c r="D2495" s="1105"/>
      <c r="F2495" s="1139"/>
      <c r="G2495" s="1111"/>
      <c r="H2495" s="1146"/>
      <c r="I2495" s="1146"/>
      <c r="K2495" s="1139"/>
      <c r="L2495" s="1111"/>
      <c r="M2495" s="1139"/>
      <c r="N2495" s="1111"/>
      <c r="O2495" s="1139"/>
      <c r="P2495" s="1111"/>
      <c r="Q2495" s="1139"/>
      <c r="R2495" s="1111"/>
      <c r="S2495" s="1146"/>
      <c r="T2495" s="1629"/>
      <c r="U2495" s="1146"/>
      <c r="V2495" s="1629"/>
      <c r="W2495" s="1146"/>
      <c r="X2495" s="1629"/>
      <c r="Y2495" s="1146"/>
      <c r="Z2495" s="2114">
        <f>C2495-'Blocking-Step2'!C2495</f>
        <v>0</v>
      </c>
      <c r="AA2495" s="2114">
        <f>D2495-'Blocking-Step2'!D2495</f>
        <v>0</v>
      </c>
      <c r="AC2495" s="2114">
        <f>F2495-'Blocking-Step2'!F2495</f>
        <v>0</v>
      </c>
      <c r="AE2495" s="2114">
        <f>H2495-'Blocking-Step2'!H2495</f>
        <v>0</v>
      </c>
      <c r="AF2495" s="2114">
        <f>I2495-'Blocking-Step2'!I2495</f>
        <v>0</v>
      </c>
      <c r="AH2495" s="2136">
        <f>K2495-'Blocking-Step2'!K2495</f>
        <v>0</v>
      </c>
      <c r="AJ2495" s="2136">
        <f>M2495-'Blocking-Step2'!M2495</f>
        <v>0</v>
      </c>
      <c r="AL2495" s="2136">
        <f>O2495-'Blocking-Step2'!O2495</f>
        <v>0</v>
      </c>
      <c r="AN2495" s="2137">
        <f>Q2495-'Blocking-Step2'!Q2495</f>
        <v>0</v>
      </c>
      <c r="AP2495" s="2127">
        <f>S2495-'Blocking-Step2'!S2495</f>
        <v>0</v>
      </c>
      <c r="AR2495" s="2127">
        <f>U2495-'Blocking-Step2'!U2495</f>
        <v>0</v>
      </c>
      <c r="AT2495" s="2127">
        <f>W2495-'Blocking-Step2'!W2495</f>
        <v>0</v>
      </c>
      <c r="AV2495" s="2128">
        <f>Y2495-'Blocking-Step2'!Y2495</f>
        <v>0</v>
      </c>
    </row>
    <row r="2496" spans="1:48" ht="16.5" hidden="1" thickTop="1">
      <c r="A2496" s="1116" t="s">
        <v>944</v>
      </c>
      <c r="C2496" s="1105">
        <v>406339</v>
      </c>
      <c r="D2496" s="1105">
        <v>491852</v>
      </c>
      <c r="F2496" s="1139">
        <v>0.76</v>
      </c>
      <c r="G2496" s="1111"/>
      <c r="H2496" s="1146">
        <v>308818</v>
      </c>
      <c r="I2496" s="1146">
        <v>373808</v>
      </c>
      <c r="K2496" s="1139"/>
      <c r="L2496" s="1111"/>
      <c r="M2496" s="1139"/>
      <c r="N2496" s="1111"/>
      <c r="O2496" s="1139"/>
      <c r="P2496" s="1111"/>
      <c r="Q2496" s="1139"/>
      <c r="R2496" s="1111"/>
      <c r="S2496" s="1146"/>
      <c r="T2496" s="1629"/>
      <c r="U2496" s="1146"/>
      <c r="V2496" s="1629"/>
      <c r="W2496" s="1146"/>
      <c r="X2496" s="1629"/>
      <c r="Y2496" s="1146"/>
      <c r="Z2496" s="2114">
        <f>C2496-'Blocking-Step2'!C2496</f>
        <v>0</v>
      </c>
      <c r="AA2496" s="2114">
        <f>D2496-'Blocking-Step2'!D2496</f>
        <v>0</v>
      </c>
      <c r="AC2496" s="2114">
        <f>F2496-'Blocking-Step2'!F2496</f>
        <v>0</v>
      </c>
      <c r="AE2496" s="2114">
        <f>H2496-'Blocking-Step2'!H2496</f>
        <v>0</v>
      </c>
      <c r="AF2496" s="2114">
        <f>I2496-'Blocking-Step2'!I2496</f>
        <v>0</v>
      </c>
      <c r="AH2496" s="2136">
        <f>K2496-'Blocking-Step2'!K2496</f>
        <v>0</v>
      </c>
      <c r="AJ2496" s="2136">
        <f>M2496-'Blocking-Step2'!M2496</f>
        <v>0</v>
      </c>
      <c r="AL2496" s="2136">
        <f>O2496-'Blocking-Step2'!O2496</f>
        <v>0</v>
      </c>
      <c r="AN2496" s="2137">
        <f>Q2496-'Blocking-Step2'!Q2496</f>
        <v>0</v>
      </c>
      <c r="AP2496" s="2127">
        <f>S2496-'Blocking-Step2'!S2496</f>
        <v>0</v>
      </c>
      <c r="AR2496" s="2127">
        <f>U2496-'Blocking-Step2'!U2496</f>
        <v>0</v>
      </c>
      <c r="AT2496" s="2127">
        <f>W2496-'Blocking-Step2'!W2496</f>
        <v>0</v>
      </c>
      <c r="AV2496" s="2128">
        <f>Y2496-'Blocking-Step2'!Y2496</f>
        <v>0</v>
      </c>
    </row>
    <row r="2497" spans="1:48" ht="16.5" hidden="1" thickTop="1">
      <c r="A2497" s="1116" t="s">
        <v>945</v>
      </c>
      <c r="C2497" s="1105">
        <v>144986</v>
      </c>
      <c r="D2497" s="1105">
        <v>175498</v>
      </c>
      <c r="F2497" s="1139">
        <v>0.51</v>
      </c>
      <c r="G2497" s="1111"/>
      <c r="H2497" s="1146">
        <v>73943</v>
      </c>
      <c r="I2497" s="1146">
        <v>89504</v>
      </c>
      <c r="K2497" s="1139"/>
      <c r="L2497" s="1111"/>
      <c r="M2497" s="1139"/>
      <c r="N2497" s="1111"/>
      <c r="O2497" s="1139"/>
      <c r="P2497" s="1111"/>
      <c r="Q2497" s="1139"/>
      <c r="R2497" s="1111"/>
      <c r="S2497" s="1146"/>
      <c r="T2497" s="1629"/>
      <c r="U2497" s="1146"/>
      <c r="V2497" s="1629"/>
      <c r="W2497" s="1146"/>
      <c r="X2497" s="1629"/>
      <c r="Y2497" s="1146"/>
      <c r="Z2497" s="2114">
        <f>C2497-'Blocking-Step2'!C2497</f>
        <v>0</v>
      </c>
      <c r="AA2497" s="2114">
        <f>D2497-'Blocking-Step2'!D2497</f>
        <v>0</v>
      </c>
      <c r="AC2497" s="2114">
        <f>F2497-'Blocking-Step2'!F2497</f>
        <v>0</v>
      </c>
      <c r="AE2497" s="2114">
        <f>H2497-'Blocking-Step2'!H2497</f>
        <v>0</v>
      </c>
      <c r="AF2497" s="2114">
        <f>I2497-'Blocking-Step2'!I2497</f>
        <v>0</v>
      </c>
      <c r="AH2497" s="2136">
        <f>K2497-'Blocking-Step2'!K2497</f>
        <v>0</v>
      </c>
      <c r="AJ2497" s="2136">
        <f>M2497-'Blocking-Step2'!M2497</f>
        <v>0</v>
      </c>
      <c r="AL2497" s="2136">
        <f>O2497-'Blocking-Step2'!O2497</f>
        <v>0</v>
      </c>
      <c r="AN2497" s="2137">
        <f>Q2497-'Blocking-Step2'!Q2497</f>
        <v>0</v>
      </c>
      <c r="AP2497" s="2127">
        <f>S2497-'Blocking-Step2'!S2497</f>
        <v>0</v>
      </c>
      <c r="AR2497" s="2127">
        <f>U2497-'Blocking-Step2'!U2497</f>
        <v>0</v>
      </c>
      <c r="AT2497" s="2127">
        <f>W2497-'Blocking-Step2'!W2497</f>
        <v>0</v>
      </c>
      <c r="AV2497" s="2128">
        <f>Y2497-'Blocking-Step2'!Y2497</f>
        <v>0</v>
      </c>
    </row>
    <row r="2498" spans="1:48" ht="16.5" hidden="1" thickTop="1">
      <c r="A2498" s="1116" t="s">
        <v>316</v>
      </c>
      <c r="C2498" s="1105"/>
      <c r="D2498" s="1105"/>
      <c r="F2498" s="1140"/>
      <c r="G2498" s="1112"/>
      <c r="H2498" s="1146"/>
      <c r="I2498" s="1146"/>
      <c r="K2498" s="1140"/>
      <c r="L2498" s="1112"/>
      <c r="M2498" s="1140"/>
      <c r="N2498" s="1112"/>
      <c r="O2498" s="1140"/>
      <c r="P2498" s="1112"/>
      <c r="Q2498" s="1140"/>
      <c r="R2498" s="1112"/>
      <c r="S2498" s="1146"/>
      <c r="T2498" s="1114"/>
      <c r="U2498" s="1146"/>
      <c r="V2498" s="1114"/>
      <c r="W2498" s="1146"/>
      <c r="X2498" s="1114"/>
      <c r="Y2498" s="1146"/>
      <c r="Z2498" s="2114">
        <f>C2498-'Blocking-Step2'!C2498</f>
        <v>0</v>
      </c>
      <c r="AA2498" s="2114">
        <f>D2498-'Blocking-Step2'!D2498</f>
        <v>0</v>
      </c>
      <c r="AC2498" s="2114">
        <f>F2498-'Blocking-Step2'!F2498</f>
        <v>0</v>
      </c>
      <c r="AE2498" s="2114">
        <f>H2498-'Blocking-Step2'!H2498</f>
        <v>0</v>
      </c>
      <c r="AF2498" s="2114">
        <f>I2498-'Blocking-Step2'!I2498</f>
        <v>0</v>
      </c>
      <c r="AH2498" s="2136">
        <f>K2498-'Blocking-Step2'!K2498</f>
        <v>0</v>
      </c>
      <c r="AJ2498" s="2136">
        <f>M2498-'Blocking-Step2'!M2498</f>
        <v>0</v>
      </c>
      <c r="AL2498" s="2136">
        <f>O2498-'Blocking-Step2'!O2498</f>
        <v>0</v>
      </c>
      <c r="AN2498" s="2137">
        <f>Q2498-'Blocking-Step2'!Q2498</f>
        <v>0</v>
      </c>
      <c r="AP2498" s="2127">
        <f>S2498-'Blocking-Step2'!S2498</f>
        <v>0</v>
      </c>
      <c r="AR2498" s="2127">
        <f>U2498-'Blocking-Step2'!U2498</f>
        <v>0</v>
      </c>
      <c r="AT2498" s="2127">
        <f>W2498-'Blocking-Step2'!W2498</f>
        <v>0</v>
      </c>
      <c r="AV2498" s="2128">
        <f>Y2498-'Blocking-Step2'!Y2498</f>
        <v>0</v>
      </c>
    </row>
    <row r="2499" spans="1:48" ht="16.5" hidden="1" thickTop="1">
      <c r="A2499" s="1116" t="s">
        <v>944</v>
      </c>
      <c r="C2499" s="1105">
        <v>0</v>
      </c>
      <c r="D2499" s="1105">
        <v>0</v>
      </c>
      <c r="F2499" s="1140">
        <v>0.38</v>
      </c>
      <c r="G2499" s="1112"/>
      <c r="H2499" s="1146">
        <v>0</v>
      </c>
      <c r="I2499" s="1146">
        <v>0</v>
      </c>
      <c r="K2499" s="1140"/>
      <c r="L2499" s="1112"/>
      <c r="M2499" s="1140"/>
      <c r="N2499" s="1112"/>
      <c r="O2499" s="1140"/>
      <c r="P2499" s="1112"/>
      <c r="Q2499" s="1140"/>
      <c r="R2499" s="1112"/>
      <c r="S2499" s="1146"/>
      <c r="T2499" s="1114"/>
      <c r="U2499" s="1146"/>
      <c r="V2499" s="1114"/>
      <c r="W2499" s="1146"/>
      <c r="X2499" s="1114"/>
      <c r="Y2499" s="1146"/>
      <c r="Z2499" s="2114">
        <f>C2499-'Blocking-Step2'!C2499</f>
        <v>0</v>
      </c>
      <c r="AA2499" s="2114">
        <f>D2499-'Blocking-Step2'!D2499</f>
        <v>0</v>
      </c>
      <c r="AC2499" s="2114">
        <f>F2499-'Blocking-Step2'!F2499</f>
        <v>0</v>
      </c>
      <c r="AE2499" s="2114">
        <f>H2499-'Blocking-Step2'!H2499</f>
        <v>0</v>
      </c>
      <c r="AF2499" s="2114">
        <f>I2499-'Blocking-Step2'!I2499</f>
        <v>0</v>
      </c>
      <c r="AH2499" s="2136">
        <f>K2499-'Blocking-Step2'!K2499</f>
        <v>0</v>
      </c>
      <c r="AJ2499" s="2136">
        <f>M2499-'Blocking-Step2'!M2499</f>
        <v>0</v>
      </c>
      <c r="AL2499" s="2136">
        <f>O2499-'Blocking-Step2'!O2499</f>
        <v>0</v>
      </c>
      <c r="AN2499" s="2137">
        <f>Q2499-'Blocking-Step2'!Q2499</f>
        <v>0</v>
      </c>
      <c r="AP2499" s="2127">
        <f>S2499-'Blocking-Step2'!S2499</f>
        <v>0</v>
      </c>
      <c r="AR2499" s="2127">
        <f>U2499-'Blocking-Step2'!U2499</f>
        <v>0</v>
      </c>
      <c r="AT2499" s="2127">
        <f>W2499-'Blocking-Step2'!W2499</f>
        <v>0</v>
      </c>
      <c r="AV2499" s="2128">
        <f>Y2499-'Blocking-Step2'!Y2499</f>
        <v>0</v>
      </c>
    </row>
    <row r="2500" spans="1:48" ht="16.5" hidden="1" thickTop="1">
      <c r="A2500" s="1116" t="s">
        <v>945</v>
      </c>
      <c r="C2500" s="1105">
        <v>109500</v>
      </c>
      <c r="D2500" s="1105">
        <v>132544</v>
      </c>
      <c r="F2500" s="1140">
        <v>0.255</v>
      </c>
      <c r="G2500" s="1112"/>
      <c r="H2500" s="1146">
        <v>27923</v>
      </c>
      <c r="I2500" s="1146">
        <v>33799</v>
      </c>
      <c r="K2500" s="1140"/>
      <c r="L2500" s="1112"/>
      <c r="M2500" s="1140"/>
      <c r="N2500" s="1112"/>
      <c r="O2500" s="1140"/>
      <c r="P2500" s="1112"/>
      <c r="Q2500" s="1140"/>
      <c r="R2500" s="1112"/>
      <c r="S2500" s="1146"/>
      <c r="T2500" s="1114"/>
      <c r="U2500" s="1146"/>
      <c r="V2500" s="1114"/>
      <c r="W2500" s="1146"/>
      <c r="X2500" s="1114"/>
      <c r="Y2500" s="1146"/>
      <c r="Z2500" s="2114">
        <f>C2500-'Blocking-Step2'!C2500</f>
        <v>0</v>
      </c>
      <c r="AA2500" s="2114">
        <f>D2500-'Blocking-Step2'!D2500</f>
        <v>0</v>
      </c>
      <c r="AC2500" s="2114">
        <f>F2500-'Blocking-Step2'!F2500</f>
        <v>0</v>
      </c>
      <c r="AE2500" s="2114">
        <f>H2500-'Blocking-Step2'!H2500</f>
        <v>0</v>
      </c>
      <c r="AF2500" s="2114">
        <f>I2500-'Blocking-Step2'!I2500</f>
        <v>0</v>
      </c>
      <c r="AH2500" s="2136">
        <f>K2500-'Blocking-Step2'!K2500</f>
        <v>0</v>
      </c>
      <c r="AJ2500" s="2136">
        <f>M2500-'Blocking-Step2'!M2500</f>
        <v>0</v>
      </c>
      <c r="AL2500" s="2136">
        <f>O2500-'Blocking-Step2'!O2500</f>
        <v>0</v>
      </c>
      <c r="AN2500" s="2137">
        <f>Q2500-'Blocking-Step2'!Q2500</f>
        <v>0</v>
      </c>
      <c r="AP2500" s="2127">
        <f>S2500-'Blocking-Step2'!S2500</f>
        <v>0</v>
      </c>
      <c r="AR2500" s="2127">
        <f>U2500-'Blocking-Step2'!U2500</f>
        <v>0</v>
      </c>
      <c r="AT2500" s="2127">
        <f>W2500-'Blocking-Step2'!W2500</f>
        <v>0</v>
      </c>
      <c r="AV2500" s="2128">
        <f>Y2500-'Blocking-Step2'!Y2500</f>
        <v>0</v>
      </c>
    </row>
    <row r="2501" spans="1:48" ht="16.5" hidden="1" thickTop="1">
      <c r="A2501" s="1116" t="s">
        <v>317</v>
      </c>
      <c r="C2501" s="1105"/>
      <c r="D2501" s="1105"/>
      <c r="F2501" s="1139"/>
      <c r="G2501" s="1110"/>
      <c r="H2501" s="1146"/>
      <c r="I2501" s="1146"/>
      <c r="K2501" s="1139"/>
      <c r="L2501" s="1110"/>
      <c r="M2501" s="1139"/>
      <c r="N2501" s="1110"/>
      <c r="O2501" s="1139"/>
      <c r="P2501" s="1110"/>
      <c r="Q2501" s="1139"/>
      <c r="R2501" s="1110"/>
      <c r="S2501" s="1146"/>
      <c r="T2501" s="1629"/>
      <c r="U2501" s="1146"/>
      <c r="V2501" s="1629"/>
      <c r="W2501" s="1146"/>
      <c r="X2501" s="1629"/>
      <c r="Y2501" s="1146"/>
      <c r="Z2501" s="2114">
        <f>C2501-'Blocking-Step2'!C2501</f>
        <v>0</v>
      </c>
      <c r="AA2501" s="2114">
        <f>D2501-'Blocking-Step2'!D2501</f>
        <v>0</v>
      </c>
      <c r="AC2501" s="2114">
        <f>F2501-'Blocking-Step2'!F2501</f>
        <v>0</v>
      </c>
      <c r="AE2501" s="2114">
        <f>H2501-'Blocking-Step2'!H2501</f>
        <v>0</v>
      </c>
      <c r="AF2501" s="2114">
        <f>I2501-'Blocking-Step2'!I2501</f>
        <v>0</v>
      </c>
      <c r="AH2501" s="2136">
        <f>K2501-'Blocking-Step2'!K2501</f>
        <v>0</v>
      </c>
      <c r="AJ2501" s="2136">
        <f>M2501-'Blocking-Step2'!M2501</f>
        <v>0</v>
      </c>
      <c r="AL2501" s="2136">
        <f>O2501-'Blocking-Step2'!O2501</f>
        <v>0</v>
      </c>
      <c r="AN2501" s="2137">
        <f>Q2501-'Blocking-Step2'!Q2501</f>
        <v>0</v>
      </c>
      <c r="AP2501" s="2127">
        <f>S2501-'Blocking-Step2'!S2501</f>
        <v>0</v>
      </c>
      <c r="AR2501" s="2127">
        <f>U2501-'Blocking-Step2'!U2501</f>
        <v>0</v>
      </c>
      <c r="AT2501" s="2127">
        <f>W2501-'Blocking-Step2'!W2501</f>
        <v>0</v>
      </c>
      <c r="AV2501" s="2128">
        <f>Y2501-'Blocking-Step2'!Y2501</f>
        <v>0</v>
      </c>
    </row>
    <row r="2502" spans="1:48" ht="16.5" hidden="1" thickTop="1">
      <c r="A2502" s="1116" t="s">
        <v>944</v>
      </c>
      <c r="C2502" s="1105">
        <v>0</v>
      </c>
      <c r="D2502" s="1105">
        <v>0</v>
      </c>
      <c r="F2502" s="1139">
        <v>32.35</v>
      </c>
      <c r="G2502" s="1110"/>
      <c r="H2502" s="1146">
        <v>0</v>
      </c>
      <c r="I2502" s="1146">
        <v>0</v>
      </c>
      <c r="K2502" s="1139"/>
      <c r="L2502" s="1110"/>
      <c r="M2502" s="1139"/>
      <c r="N2502" s="1110"/>
      <c r="O2502" s="1139"/>
      <c r="P2502" s="1110"/>
      <c r="Q2502" s="1139"/>
      <c r="R2502" s="1110"/>
      <c r="S2502" s="1146"/>
      <c r="T2502" s="1629"/>
      <c r="U2502" s="1146"/>
      <c r="V2502" s="1629"/>
      <c r="W2502" s="1146"/>
      <c r="X2502" s="1629"/>
      <c r="Y2502" s="1146"/>
      <c r="Z2502" s="2114">
        <f>C2502-'Blocking-Step2'!C2502</f>
        <v>0</v>
      </c>
      <c r="AA2502" s="2114">
        <f>D2502-'Blocking-Step2'!D2502</f>
        <v>0</v>
      </c>
      <c r="AC2502" s="2114">
        <f>F2502-'Blocking-Step2'!F2502</f>
        <v>0</v>
      </c>
      <c r="AE2502" s="2114">
        <f>H2502-'Blocking-Step2'!H2502</f>
        <v>0</v>
      </c>
      <c r="AF2502" s="2114">
        <f>I2502-'Blocking-Step2'!I2502</f>
        <v>0</v>
      </c>
      <c r="AH2502" s="2136">
        <f>K2502-'Blocking-Step2'!K2502</f>
        <v>0</v>
      </c>
      <c r="AJ2502" s="2136">
        <f>M2502-'Blocking-Step2'!M2502</f>
        <v>0</v>
      </c>
      <c r="AL2502" s="2136">
        <f>O2502-'Blocking-Step2'!O2502</f>
        <v>0</v>
      </c>
      <c r="AN2502" s="2137">
        <f>Q2502-'Blocking-Step2'!Q2502</f>
        <v>0</v>
      </c>
      <c r="AP2502" s="2127">
        <f>S2502-'Blocking-Step2'!S2502</f>
        <v>0</v>
      </c>
      <c r="AR2502" s="2127">
        <f>U2502-'Blocking-Step2'!U2502</f>
        <v>0</v>
      </c>
      <c r="AT2502" s="2127">
        <f>W2502-'Blocking-Step2'!W2502</f>
        <v>0</v>
      </c>
      <c r="AV2502" s="2128">
        <f>Y2502-'Blocking-Step2'!Y2502</f>
        <v>0</v>
      </c>
    </row>
    <row r="2503" spans="1:48" ht="16.5" hidden="1" thickTop="1">
      <c r="A2503" s="1116" t="s">
        <v>945</v>
      </c>
      <c r="C2503" s="1105">
        <v>0</v>
      </c>
      <c r="D2503" s="1105">
        <v>0</v>
      </c>
      <c r="F2503" s="1139">
        <v>23.36</v>
      </c>
      <c r="G2503" s="1110"/>
      <c r="H2503" s="1146">
        <v>0</v>
      </c>
      <c r="I2503" s="1146">
        <v>0</v>
      </c>
      <c r="K2503" s="1139"/>
      <c r="L2503" s="1110"/>
      <c r="M2503" s="1139"/>
      <c r="N2503" s="1110"/>
      <c r="O2503" s="1139"/>
      <c r="P2503" s="1110"/>
      <c r="Q2503" s="1139"/>
      <c r="R2503" s="1110"/>
      <c r="S2503" s="1146"/>
      <c r="T2503" s="1629"/>
      <c r="U2503" s="1146"/>
      <c r="V2503" s="1629"/>
      <c r="W2503" s="1146"/>
      <c r="X2503" s="1629"/>
      <c r="Y2503" s="1146"/>
      <c r="Z2503" s="2114">
        <f>C2503-'Blocking-Step2'!C2503</f>
        <v>0</v>
      </c>
      <c r="AA2503" s="2114">
        <f>D2503-'Blocking-Step2'!D2503</f>
        <v>0</v>
      </c>
      <c r="AC2503" s="2114">
        <f>F2503-'Blocking-Step2'!F2503</f>
        <v>0</v>
      </c>
      <c r="AE2503" s="2114">
        <f>H2503-'Blocking-Step2'!H2503</f>
        <v>0</v>
      </c>
      <c r="AF2503" s="2114">
        <f>I2503-'Blocking-Step2'!I2503</f>
        <v>0</v>
      </c>
      <c r="AH2503" s="2136">
        <f>K2503-'Blocking-Step2'!K2503</f>
        <v>0</v>
      </c>
      <c r="AJ2503" s="2136">
        <f>M2503-'Blocking-Step2'!M2503</f>
        <v>0</v>
      </c>
      <c r="AL2503" s="2136">
        <f>O2503-'Blocking-Step2'!O2503</f>
        <v>0</v>
      </c>
      <c r="AN2503" s="2137">
        <f>Q2503-'Blocking-Step2'!Q2503</f>
        <v>0</v>
      </c>
      <c r="AP2503" s="2127">
        <f>S2503-'Blocking-Step2'!S2503</f>
        <v>0</v>
      </c>
      <c r="AR2503" s="2127">
        <f>U2503-'Blocking-Step2'!U2503</f>
        <v>0</v>
      </c>
      <c r="AT2503" s="2127">
        <f>W2503-'Blocking-Step2'!W2503</f>
        <v>0</v>
      </c>
      <c r="AV2503" s="2128">
        <f>Y2503-'Blocking-Step2'!Y2503</f>
        <v>0</v>
      </c>
    </row>
    <row r="2504" spans="1:48" ht="16.5" hidden="1" thickTop="1">
      <c r="A2504" s="1116" t="s">
        <v>397</v>
      </c>
      <c r="C2504" s="1136"/>
      <c r="D2504" s="1136"/>
      <c r="F2504" s="1106"/>
      <c r="G2504" s="1107"/>
      <c r="H2504" s="1147">
        <v>932265</v>
      </c>
      <c r="I2504" s="1147">
        <v>1123321</v>
      </c>
      <c r="K2504" s="1106"/>
      <c r="L2504" s="1107"/>
      <c r="M2504" s="1106"/>
      <c r="N2504" s="1107"/>
      <c r="O2504" s="1106"/>
      <c r="P2504" s="1107"/>
      <c r="Q2504" s="1106"/>
      <c r="R2504" s="1107"/>
      <c r="S2504" s="1147">
        <v>-3960</v>
      </c>
      <c r="T2504" s="1114"/>
      <c r="U2504" s="1147">
        <v>1161488</v>
      </c>
      <c r="V2504" s="1114"/>
      <c r="W2504" s="1147">
        <v>0</v>
      </c>
      <c r="X2504" s="1114"/>
      <c r="Y2504" s="1147">
        <v>1157528</v>
      </c>
      <c r="Z2504" s="2114">
        <f>C2504-'Blocking-Step2'!C2504</f>
        <v>0</v>
      </c>
      <c r="AA2504" s="2114">
        <f>D2504-'Blocking-Step2'!D2504</f>
        <v>0</v>
      </c>
      <c r="AC2504" s="2114">
        <f>F2504-'Blocking-Step2'!F2504</f>
        <v>0</v>
      </c>
      <c r="AE2504" s="2114">
        <f>H2504-'Blocking-Step2'!H2504</f>
        <v>0</v>
      </c>
      <c r="AF2504" s="2114">
        <f>I2504-'Blocking-Step2'!I2504</f>
        <v>0</v>
      </c>
      <c r="AH2504" s="2136">
        <f>K2504-'Blocking-Step2'!K2504</f>
        <v>0</v>
      </c>
      <c r="AJ2504" s="2136">
        <f>M2504-'Blocking-Step2'!M2504</f>
        <v>0</v>
      </c>
      <c r="AL2504" s="2136">
        <f>O2504-'Blocking-Step2'!O2504</f>
        <v>0</v>
      </c>
      <c r="AN2504" s="2137">
        <f>Q2504-'Blocking-Step2'!Q2504</f>
        <v>0</v>
      </c>
      <c r="AP2504" s="2127">
        <f>S2504-'Blocking-Step2'!S2504</f>
        <v>-821637</v>
      </c>
      <c r="AR2504" s="2127">
        <f>U2504-'Blocking-Step2'!U2504</f>
        <v>821638</v>
      </c>
      <c r="AT2504" s="2127">
        <f>W2504-'Blocking-Step2'!W2504</f>
        <v>0</v>
      </c>
      <c r="AV2504" s="2128">
        <f>Y2504-'Blocking-Step2'!Y2504</f>
        <v>0</v>
      </c>
    </row>
    <row r="2505" spans="1:48" ht="16.5" hidden="1" thickTop="1">
      <c r="A2505" s="2008" t="s">
        <v>442</v>
      </c>
      <c r="S2505" s="1627"/>
      <c r="U2505" s="1627"/>
      <c r="W2505" s="1627"/>
      <c r="Z2505" s="2114">
        <f>C2505-'Blocking-Step2'!C2505</f>
        <v>0</v>
      </c>
      <c r="AA2505" s="2114">
        <f>D2505-'Blocking-Step2'!D2505</f>
        <v>0</v>
      </c>
      <c r="AC2505" s="2114">
        <f>F2505-'Blocking-Step2'!F2505</f>
        <v>0</v>
      </c>
      <c r="AE2505" s="2114">
        <f>H2505-'Blocking-Step2'!H2505</f>
        <v>0</v>
      </c>
      <c r="AF2505" s="2114">
        <f>I2505-'Blocking-Step2'!I2505</f>
        <v>0</v>
      </c>
      <c r="AH2505" s="2136">
        <f>K2505-'Blocking-Step2'!K2505</f>
        <v>0</v>
      </c>
      <c r="AJ2505" s="2136">
        <f>M2505-'Blocking-Step2'!M2505</f>
        <v>0</v>
      </c>
      <c r="AL2505" s="2136">
        <f>O2505-'Blocking-Step2'!O2505</f>
        <v>0</v>
      </c>
      <c r="AN2505" s="2137">
        <f>Q2505-'Blocking-Step2'!Q2505</f>
        <v>0</v>
      </c>
      <c r="AP2505" s="2127">
        <f>S2505-'Blocking-Step2'!S2505</f>
        <v>0</v>
      </c>
      <c r="AR2505" s="2127">
        <f>U2505-'Blocking-Step2'!U2505</f>
        <v>0</v>
      </c>
      <c r="AT2505" s="2127">
        <f>W2505-'Blocking-Step2'!W2505</f>
        <v>0</v>
      </c>
      <c r="AV2505" s="2128">
        <f>Y2505-'Blocking-Step2'!Y2505</f>
        <v>0</v>
      </c>
    </row>
    <row r="2506" spans="1:48" ht="16.5" hidden="1" thickTop="1">
      <c r="A2506" s="1115" t="s">
        <v>443</v>
      </c>
      <c r="C2506" s="1105"/>
      <c r="D2506" s="1105"/>
      <c r="F2506" s="1142"/>
      <c r="G2506" s="617"/>
      <c r="H2506" s="1146"/>
      <c r="I2506" s="1146"/>
      <c r="K2506" s="1142"/>
      <c r="L2506" s="617"/>
      <c r="M2506" s="1142"/>
      <c r="N2506" s="617"/>
      <c r="O2506" s="1142"/>
      <c r="P2506" s="617"/>
      <c r="Q2506" s="1142"/>
      <c r="R2506" s="617"/>
      <c r="S2506" s="1146"/>
      <c r="T2506" s="1114"/>
      <c r="U2506" s="1146"/>
      <c r="V2506" s="1114"/>
      <c r="W2506" s="1146"/>
      <c r="X2506" s="1114"/>
      <c r="Y2506" s="1146"/>
      <c r="Z2506" s="2114">
        <f>C2506-'Blocking-Step2'!C2506</f>
        <v>0</v>
      </c>
      <c r="AA2506" s="2114">
        <f>D2506-'Blocking-Step2'!D2506</f>
        <v>0</v>
      </c>
      <c r="AC2506" s="2114">
        <f>F2506-'Blocking-Step2'!F2506</f>
        <v>0</v>
      </c>
      <c r="AE2506" s="2114">
        <f>H2506-'Blocking-Step2'!H2506</f>
        <v>0</v>
      </c>
      <c r="AF2506" s="2114">
        <f>I2506-'Blocking-Step2'!I2506</f>
        <v>0</v>
      </c>
      <c r="AH2506" s="2136">
        <f>K2506-'Blocking-Step2'!K2506</f>
        <v>0</v>
      </c>
      <c r="AJ2506" s="2136">
        <f>M2506-'Blocking-Step2'!M2506</f>
        <v>0</v>
      </c>
      <c r="AL2506" s="2136">
        <f>O2506-'Blocking-Step2'!O2506</f>
        <v>0</v>
      </c>
      <c r="AN2506" s="2137">
        <f>Q2506-'Blocking-Step2'!Q2506</f>
        <v>0</v>
      </c>
      <c r="AP2506" s="2127">
        <f>S2506-'Blocking-Step2'!S2506</f>
        <v>0</v>
      </c>
      <c r="AR2506" s="2127">
        <f>U2506-'Blocking-Step2'!U2506</f>
        <v>0</v>
      </c>
      <c r="AT2506" s="2127">
        <f>W2506-'Blocking-Step2'!W2506</f>
        <v>0</v>
      </c>
      <c r="AV2506" s="2128">
        <f>Y2506-'Blocking-Step2'!Y2506</f>
        <v>0</v>
      </c>
    </row>
    <row r="2507" spans="1:48" ht="16.5" hidden="1" thickTop="1">
      <c r="A2507" s="1116" t="s">
        <v>168</v>
      </c>
      <c r="C2507" s="1105"/>
      <c r="D2507" s="1105"/>
      <c r="F2507" s="1142">
        <v>4.76</v>
      </c>
      <c r="G2507" s="617"/>
      <c r="H2507" s="1146">
        <v>0</v>
      </c>
      <c r="I2507" s="1146">
        <v>0</v>
      </c>
      <c r="K2507" s="1142">
        <v>4.84</v>
      </c>
      <c r="L2507" s="617"/>
      <c r="M2507" s="1142">
        <v>0</v>
      </c>
      <c r="N2507" s="617"/>
      <c r="O2507" s="1142">
        <v>0</v>
      </c>
      <c r="P2507" s="617"/>
      <c r="Q2507" s="1142">
        <v>4.84</v>
      </c>
      <c r="R2507" s="617"/>
      <c r="S2507" s="1146">
        <v>0</v>
      </c>
      <c r="T2507" s="1114"/>
      <c r="U2507" s="1146">
        <v>0</v>
      </c>
      <c r="V2507" s="1114"/>
      <c r="W2507" s="1146">
        <v>0</v>
      </c>
      <c r="X2507" s="1114"/>
      <c r="Y2507" s="1146">
        <v>0</v>
      </c>
      <c r="Z2507" s="2114">
        <f>C2507-'Blocking-Step2'!C2507</f>
        <v>0</v>
      </c>
      <c r="AA2507" s="2114">
        <f>D2507-'Blocking-Step2'!D2507</f>
        <v>0</v>
      </c>
      <c r="AC2507" s="2114">
        <f>F2507-'Blocking-Step2'!F2507</f>
        <v>0</v>
      </c>
      <c r="AE2507" s="2114">
        <f>H2507-'Blocking-Step2'!H2507</f>
        <v>0</v>
      </c>
      <c r="AF2507" s="2114">
        <f>I2507-'Blocking-Step2'!I2507</f>
        <v>0</v>
      </c>
      <c r="AH2507" s="2136">
        <f>K2507-'Blocking-Step2'!K2507</f>
        <v>0</v>
      </c>
      <c r="AJ2507" s="2136">
        <f>M2507-'Blocking-Step2'!M2507</f>
        <v>0</v>
      </c>
      <c r="AL2507" s="2136">
        <f>O2507-'Blocking-Step2'!O2507</f>
        <v>0</v>
      </c>
      <c r="AN2507" s="2137">
        <f>Q2507-'Blocking-Step2'!Q2507</f>
        <v>0</v>
      </c>
      <c r="AP2507" s="2127">
        <f>S2507-'Blocking-Step2'!S2507</f>
        <v>0</v>
      </c>
      <c r="AR2507" s="2127">
        <f>U2507-'Blocking-Step2'!U2507</f>
        <v>0</v>
      </c>
      <c r="AT2507" s="2127">
        <f>W2507-'Blocking-Step2'!W2507</f>
        <v>0</v>
      </c>
      <c r="AV2507" s="2128">
        <f>Y2507-'Blocking-Step2'!Y2507</f>
        <v>0</v>
      </c>
    </row>
    <row r="2508" spans="1:48" ht="16.5" hidden="1" thickTop="1">
      <c r="A2508" s="1116" t="s">
        <v>1651</v>
      </c>
      <c r="C2508" s="1105"/>
      <c r="D2508" s="1105"/>
      <c r="F2508" s="1142"/>
      <c r="G2508" s="617"/>
      <c r="H2508" s="1146"/>
      <c r="I2508" s="1146"/>
      <c r="K2508" s="1142">
        <v>0</v>
      </c>
      <c r="L2508" s="617"/>
      <c r="M2508" s="1142">
        <v>15.83</v>
      </c>
      <c r="N2508" s="617"/>
      <c r="O2508" s="1142">
        <v>0</v>
      </c>
      <c r="P2508" s="617"/>
      <c r="Q2508" s="1142">
        <v>15.83</v>
      </c>
      <c r="R2508" s="617"/>
      <c r="S2508" s="1146">
        <v>0</v>
      </c>
      <c r="T2508" s="1114"/>
      <c r="U2508" s="1146">
        <v>0</v>
      </c>
      <c r="V2508" s="1114"/>
      <c r="W2508" s="1146">
        <v>0</v>
      </c>
      <c r="X2508" s="1114"/>
      <c r="Y2508" s="1146">
        <v>0</v>
      </c>
      <c r="Z2508" s="2114">
        <f>C2508-'Blocking-Step2'!C2508</f>
        <v>0</v>
      </c>
      <c r="AA2508" s="2114">
        <f>D2508-'Blocking-Step2'!D2508</f>
        <v>0</v>
      </c>
      <c r="AC2508" s="2114">
        <f>F2508-'Blocking-Step2'!F2508</f>
        <v>0</v>
      </c>
      <c r="AE2508" s="2114">
        <f>H2508-'Blocking-Step2'!H2508</f>
        <v>0</v>
      </c>
      <c r="AF2508" s="2114">
        <f>I2508-'Blocking-Step2'!I2508</f>
        <v>0</v>
      </c>
      <c r="AH2508" s="2136">
        <f>K2508-'Blocking-Step2'!K2508</f>
        <v>-7.23</v>
      </c>
      <c r="AJ2508" s="2136">
        <f>M2508-'Blocking-Step2'!M2508</f>
        <v>7.23</v>
      </c>
      <c r="AL2508" s="2136">
        <f>O2508-'Blocking-Step2'!O2508</f>
        <v>0</v>
      </c>
      <c r="AN2508" s="2137">
        <f>Q2508-'Blocking-Step2'!Q2508</f>
        <v>0</v>
      </c>
      <c r="AP2508" s="2127">
        <f>S2508-'Blocking-Step2'!S2508</f>
        <v>0</v>
      </c>
      <c r="AR2508" s="2127">
        <f>U2508-'Blocking-Step2'!U2508</f>
        <v>0</v>
      </c>
      <c r="AT2508" s="2127">
        <f>W2508-'Blocking-Step2'!W2508</f>
        <v>0</v>
      </c>
      <c r="AV2508" s="2128">
        <f>Y2508-'Blocking-Step2'!Y2508</f>
        <v>0</v>
      </c>
    </row>
    <row r="2509" spans="1:48" ht="16.5" hidden="1" thickTop="1">
      <c r="A2509" s="1116" t="s">
        <v>1652</v>
      </c>
      <c r="C2509" s="1105"/>
      <c r="D2509" s="1105"/>
      <c r="F2509" s="1142"/>
      <c r="G2509" s="617"/>
      <c r="H2509" s="1146"/>
      <c r="I2509" s="1146"/>
      <c r="K2509" s="1142">
        <v>0</v>
      </c>
      <c r="L2509" s="617"/>
      <c r="M2509" s="1142">
        <v>14.01</v>
      </c>
      <c r="N2509" s="617"/>
      <c r="O2509" s="1142">
        <v>0</v>
      </c>
      <c r="P2509" s="617"/>
      <c r="Q2509" s="1142">
        <v>14.01</v>
      </c>
      <c r="R2509" s="617"/>
      <c r="S2509" s="1146">
        <v>0</v>
      </c>
      <c r="T2509" s="1114"/>
      <c r="U2509" s="1146">
        <v>0</v>
      </c>
      <c r="V2509" s="1114"/>
      <c r="W2509" s="1146">
        <v>0</v>
      </c>
      <c r="X2509" s="1114"/>
      <c r="Y2509" s="1146">
        <v>0</v>
      </c>
      <c r="Z2509" s="2114">
        <f>C2509-'Blocking-Step2'!C2509</f>
        <v>0</v>
      </c>
      <c r="AA2509" s="2114">
        <f>D2509-'Blocking-Step2'!D2509</f>
        <v>0</v>
      </c>
      <c r="AC2509" s="2114">
        <f>F2509-'Blocking-Step2'!F2509</f>
        <v>0</v>
      </c>
      <c r="AE2509" s="2114">
        <f>H2509-'Blocking-Step2'!H2509</f>
        <v>0</v>
      </c>
      <c r="AF2509" s="2114">
        <f>I2509-'Blocking-Step2'!I2509</f>
        <v>0</v>
      </c>
      <c r="AH2509" s="2136">
        <f>K2509-'Blocking-Step2'!K2509</f>
        <v>-6.4</v>
      </c>
      <c r="AJ2509" s="2136">
        <f>M2509-'Blocking-Step2'!M2509</f>
        <v>6.4</v>
      </c>
      <c r="AL2509" s="2136">
        <f>O2509-'Blocking-Step2'!O2509</f>
        <v>0</v>
      </c>
      <c r="AN2509" s="2137">
        <f>Q2509-'Blocking-Step2'!Q2509</f>
        <v>0</v>
      </c>
      <c r="AP2509" s="2127">
        <f>S2509-'Blocking-Step2'!S2509</f>
        <v>0</v>
      </c>
      <c r="AR2509" s="2127">
        <f>U2509-'Blocking-Step2'!U2509</f>
        <v>0</v>
      </c>
      <c r="AT2509" s="2127">
        <f>W2509-'Blocking-Step2'!W2509</f>
        <v>0</v>
      </c>
      <c r="AV2509" s="2128">
        <f>Y2509-'Blocking-Step2'!Y2509</f>
        <v>0</v>
      </c>
    </row>
    <row r="2510" spans="1:48" ht="16.5" hidden="1" thickTop="1">
      <c r="A2510" s="1116" t="s">
        <v>1532</v>
      </c>
      <c r="C2510" s="1105"/>
      <c r="D2510" s="1105"/>
      <c r="F2510" s="1106"/>
      <c r="G2510" s="1921"/>
      <c r="H2510" s="1146"/>
      <c r="I2510" s="1146"/>
      <c r="K2510" s="1106">
        <v>0</v>
      </c>
      <c r="L2510" s="1921" t="s">
        <v>495</v>
      </c>
      <c r="M2510" s="1106">
        <v>1.4166000000000001</v>
      </c>
      <c r="N2510" s="1921" t="s">
        <v>495</v>
      </c>
      <c r="O2510" s="1106">
        <v>4.4476704152740005</v>
      </c>
      <c r="P2510" s="1921" t="s">
        <v>495</v>
      </c>
      <c r="Q2510" s="1106">
        <v>5.8642704152740004</v>
      </c>
      <c r="R2510" s="1921" t="s">
        <v>495</v>
      </c>
      <c r="S2510" s="1146">
        <v>0</v>
      </c>
      <c r="T2510" s="1648"/>
      <c r="U2510" s="1146">
        <v>0</v>
      </c>
      <c r="V2510" s="1648"/>
      <c r="W2510" s="1146">
        <v>0</v>
      </c>
      <c r="X2510" s="1648"/>
      <c r="Y2510" s="1146">
        <v>0</v>
      </c>
      <c r="Z2510" s="2114">
        <f>C2510-'Blocking-Step2'!C2510</f>
        <v>0</v>
      </c>
      <c r="AA2510" s="2114">
        <f>D2510-'Blocking-Step2'!D2510</f>
        <v>0</v>
      </c>
      <c r="AC2510" s="2114">
        <f>F2510-'Blocking-Step2'!F2510</f>
        <v>0</v>
      </c>
      <c r="AE2510" s="2114">
        <f>H2510-'Blocking-Step2'!H2510</f>
        <v>0</v>
      </c>
      <c r="AF2510" s="2114">
        <f>I2510-'Blocking-Step2'!I2510</f>
        <v>0</v>
      </c>
      <c r="AH2510" s="2136">
        <f>K2510-'Blocking-Step2'!K2510</f>
        <v>0</v>
      </c>
      <c r="AJ2510" s="2136">
        <f>M2510-'Blocking-Step2'!M2510</f>
        <v>0</v>
      </c>
      <c r="AL2510" s="2136">
        <f>O2510-'Blocking-Step2'!O2510</f>
        <v>0</v>
      </c>
      <c r="AN2510" s="2137">
        <f>Q2510-'Blocking-Step2'!Q2510</f>
        <v>0</v>
      </c>
      <c r="AP2510" s="2127">
        <f>S2510-'Blocking-Step2'!S2510</f>
        <v>0</v>
      </c>
      <c r="AR2510" s="2127">
        <f>U2510-'Blocking-Step2'!U2510</f>
        <v>0</v>
      </c>
      <c r="AT2510" s="2127">
        <f>W2510-'Blocking-Step2'!W2510</f>
        <v>0</v>
      </c>
      <c r="AV2510" s="2128">
        <f>Y2510-'Blocking-Step2'!Y2510</f>
        <v>0</v>
      </c>
    </row>
    <row r="2511" spans="1:48" ht="16.5" hidden="1" thickTop="1">
      <c r="A2511" s="1116" t="s">
        <v>1653</v>
      </c>
      <c r="C2511" s="1105"/>
      <c r="D2511" s="1105"/>
      <c r="F2511" s="1106"/>
      <c r="G2511" s="1921"/>
      <c r="H2511" s="1146"/>
      <c r="I2511" s="1146"/>
      <c r="K2511" s="1106">
        <v>0</v>
      </c>
      <c r="L2511" s="1921" t="s">
        <v>495</v>
      </c>
      <c r="M2511" s="1106">
        <v>1.4166000000000001</v>
      </c>
      <c r="N2511" s="1921" t="s">
        <v>495</v>
      </c>
      <c r="O2511" s="1106">
        <v>3.7730198365260001</v>
      </c>
      <c r="P2511" s="1921" t="s">
        <v>495</v>
      </c>
      <c r="Q2511" s="1106">
        <v>5.189619836526</v>
      </c>
      <c r="R2511" s="1921" t="s">
        <v>495</v>
      </c>
      <c r="S2511" s="1146">
        <v>0</v>
      </c>
      <c r="T2511" s="1648"/>
      <c r="U2511" s="1146">
        <v>0</v>
      </c>
      <c r="V2511" s="1648"/>
      <c r="W2511" s="1146">
        <v>0</v>
      </c>
      <c r="X2511" s="1648"/>
      <c r="Y2511" s="1146">
        <v>0</v>
      </c>
      <c r="Z2511" s="2114">
        <f>C2511-'Blocking-Step2'!C2511</f>
        <v>0</v>
      </c>
      <c r="AA2511" s="2114">
        <f>D2511-'Blocking-Step2'!D2511</f>
        <v>0</v>
      </c>
      <c r="AC2511" s="2114">
        <f>F2511-'Blocking-Step2'!F2511</f>
        <v>0</v>
      </c>
      <c r="AE2511" s="2114">
        <f>H2511-'Blocking-Step2'!H2511</f>
        <v>0</v>
      </c>
      <c r="AF2511" s="2114">
        <f>I2511-'Blocking-Step2'!I2511</f>
        <v>0</v>
      </c>
      <c r="AH2511" s="2136">
        <f>K2511-'Blocking-Step2'!K2511</f>
        <v>0</v>
      </c>
      <c r="AJ2511" s="2136">
        <f>M2511-'Blocking-Step2'!M2511</f>
        <v>0</v>
      </c>
      <c r="AL2511" s="2136">
        <f>O2511-'Blocking-Step2'!O2511</f>
        <v>0</v>
      </c>
      <c r="AN2511" s="2137">
        <f>Q2511-'Blocking-Step2'!Q2511</f>
        <v>0</v>
      </c>
      <c r="AP2511" s="2127">
        <f>S2511-'Blocking-Step2'!S2511</f>
        <v>0</v>
      </c>
      <c r="AR2511" s="2127">
        <f>U2511-'Blocking-Step2'!U2511</f>
        <v>0</v>
      </c>
      <c r="AT2511" s="2127">
        <f>W2511-'Blocking-Step2'!W2511</f>
        <v>0</v>
      </c>
      <c r="AV2511" s="2128">
        <f>Y2511-'Blocking-Step2'!Y2511</f>
        <v>0</v>
      </c>
    </row>
    <row r="2512" spans="1:48" ht="16.5" hidden="1" thickTop="1">
      <c r="A2512" s="1116" t="s">
        <v>1533</v>
      </c>
      <c r="C2512" s="1105"/>
      <c r="D2512" s="1105"/>
      <c r="F2512" s="1106"/>
      <c r="G2512" s="1921"/>
      <c r="H2512" s="1146"/>
      <c r="I2512" s="1146"/>
      <c r="K2512" s="1106">
        <v>0</v>
      </c>
      <c r="L2512" s="1921" t="s">
        <v>495</v>
      </c>
      <c r="M2512" s="1106">
        <v>1.4166000000000001</v>
      </c>
      <c r="N2512" s="1921" t="s">
        <v>495</v>
      </c>
      <c r="O2512" s="1106">
        <v>1.5641055047420001</v>
      </c>
      <c r="P2512" s="1921" t="s">
        <v>495</v>
      </c>
      <c r="Q2512" s="1106">
        <v>2.9807055047420001</v>
      </c>
      <c r="R2512" s="1921" t="s">
        <v>495</v>
      </c>
      <c r="S2512" s="1146">
        <v>0</v>
      </c>
      <c r="T2512" s="1648"/>
      <c r="U2512" s="1146">
        <v>0</v>
      </c>
      <c r="V2512" s="1648"/>
      <c r="W2512" s="1146">
        <v>0</v>
      </c>
      <c r="X2512" s="1648"/>
      <c r="Y2512" s="1146">
        <v>0</v>
      </c>
      <c r="Z2512" s="2114">
        <f>C2512-'Blocking-Step2'!C2512</f>
        <v>0</v>
      </c>
      <c r="AA2512" s="2114">
        <f>D2512-'Blocking-Step2'!D2512</f>
        <v>0</v>
      </c>
      <c r="AC2512" s="2114">
        <f>F2512-'Blocking-Step2'!F2512</f>
        <v>0</v>
      </c>
      <c r="AE2512" s="2114">
        <f>H2512-'Blocking-Step2'!H2512</f>
        <v>0</v>
      </c>
      <c r="AF2512" s="2114">
        <f>I2512-'Blocking-Step2'!I2512</f>
        <v>0</v>
      </c>
      <c r="AH2512" s="2136">
        <f>K2512-'Blocking-Step2'!K2512</f>
        <v>0</v>
      </c>
      <c r="AJ2512" s="2136">
        <f>M2512-'Blocking-Step2'!M2512</f>
        <v>0</v>
      </c>
      <c r="AL2512" s="2136">
        <f>O2512-'Blocking-Step2'!O2512</f>
        <v>0</v>
      </c>
      <c r="AN2512" s="2137">
        <f>Q2512-'Blocking-Step2'!Q2512</f>
        <v>0</v>
      </c>
      <c r="AP2512" s="2127">
        <f>S2512-'Blocking-Step2'!S2512</f>
        <v>0</v>
      </c>
      <c r="AR2512" s="2127">
        <f>U2512-'Blocking-Step2'!U2512</f>
        <v>0</v>
      </c>
      <c r="AT2512" s="2127">
        <f>W2512-'Blocking-Step2'!W2512</f>
        <v>0</v>
      </c>
      <c r="AV2512" s="2128">
        <f>Y2512-'Blocking-Step2'!Y2512</f>
        <v>0</v>
      </c>
    </row>
    <row r="2513" spans="1:48" ht="16.5" hidden="1" thickTop="1">
      <c r="A2513" s="1116" t="s">
        <v>2177</v>
      </c>
      <c r="C2513" s="1105"/>
      <c r="D2513" s="1105"/>
      <c r="F2513" s="1106"/>
      <c r="G2513" s="1921"/>
      <c r="H2513" s="2100"/>
      <c r="I2513" s="2100"/>
      <c r="K2513" s="1106">
        <v>0</v>
      </c>
      <c r="L2513" s="1921" t="s">
        <v>495</v>
      </c>
      <c r="M2513" s="1106">
        <v>1.4166000000000001</v>
      </c>
      <c r="N2513" s="1921" t="s">
        <v>495</v>
      </c>
      <c r="O2513" s="1106">
        <v>1.2211924820729998</v>
      </c>
      <c r="P2513" s="1921" t="s">
        <v>495</v>
      </c>
      <c r="Q2513" s="1106">
        <v>2.6377924820729999</v>
      </c>
      <c r="R2513" s="1921" t="s">
        <v>495</v>
      </c>
      <c r="S2513" s="1146">
        <v>0</v>
      </c>
      <c r="T2513" s="1648"/>
      <c r="U2513" s="1146">
        <v>0</v>
      </c>
      <c r="V2513" s="1648"/>
      <c r="W2513" s="1146">
        <v>0</v>
      </c>
      <c r="X2513" s="1648"/>
      <c r="Y2513" s="1146">
        <v>0</v>
      </c>
      <c r="Z2513" s="2114">
        <f>C2513-'Blocking-Step2'!C2513</f>
        <v>0</v>
      </c>
      <c r="AA2513" s="2114">
        <f>D2513-'Blocking-Step2'!D2513</f>
        <v>0</v>
      </c>
      <c r="AC2513" s="2114">
        <f>F2513-'Blocking-Step2'!F2513</f>
        <v>0</v>
      </c>
      <c r="AE2513" s="2114">
        <f>H2513-'Blocking-Step2'!H2513</f>
        <v>0</v>
      </c>
      <c r="AF2513" s="2114">
        <f>I2513-'Blocking-Step2'!I2513</f>
        <v>0</v>
      </c>
      <c r="AH2513" s="2136">
        <f>K2513-'Blocking-Step2'!K2513</f>
        <v>0</v>
      </c>
      <c r="AJ2513" s="2136">
        <f>M2513-'Blocking-Step2'!M2513</f>
        <v>0</v>
      </c>
      <c r="AL2513" s="2136">
        <f>O2513-'Blocking-Step2'!O2513</f>
        <v>0</v>
      </c>
      <c r="AN2513" s="2137">
        <f>Q2513-'Blocking-Step2'!Q2513</f>
        <v>0</v>
      </c>
      <c r="AP2513" s="2127">
        <f>S2513-'Blocking-Step2'!S2513</f>
        <v>0</v>
      </c>
      <c r="AR2513" s="2127">
        <f>U2513-'Blocking-Step2'!U2513</f>
        <v>0</v>
      </c>
      <c r="AT2513" s="2127">
        <f>W2513-'Blocking-Step2'!W2513</f>
        <v>0</v>
      </c>
      <c r="AV2513" s="2128">
        <f>Y2513-'Blocking-Step2'!Y2513</f>
        <v>0</v>
      </c>
    </row>
    <row r="2514" spans="1:48" ht="16.5" hidden="1" thickTop="1">
      <c r="A2514" s="1116" t="s">
        <v>18</v>
      </c>
      <c r="C2514" s="1105"/>
      <c r="D2514" s="1105"/>
      <c r="F2514" s="1142">
        <v>15.56</v>
      </c>
      <c r="G2514" s="617"/>
      <c r="H2514" s="1146">
        <v>0</v>
      </c>
      <c r="I2514" s="1146">
        <v>0</v>
      </c>
      <c r="K2514" s="1142"/>
      <c r="L2514" s="617"/>
      <c r="M2514" s="1142"/>
      <c r="N2514" s="617"/>
      <c r="O2514" s="1142"/>
      <c r="P2514" s="617"/>
      <c r="Q2514" s="1142"/>
      <c r="R2514" s="617"/>
      <c r="S2514" s="1146"/>
      <c r="T2514" s="1114"/>
      <c r="U2514" s="1146"/>
      <c r="V2514" s="1114"/>
      <c r="W2514" s="1146"/>
      <c r="X2514" s="1114"/>
      <c r="Y2514" s="1146"/>
      <c r="Z2514" s="2114">
        <f>C2514-'Blocking-Step2'!C2514</f>
        <v>0</v>
      </c>
      <c r="AA2514" s="2114">
        <f>D2514-'Blocking-Step2'!D2514</f>
        <v>0</v>
      </c>
      <c r="AC2514" s="2114">
        <f>F2514-'Blocking-Step2'!F2514</f>
        <v>0</v>
      </c>
      <c r="AE2514" s="2114">
        <f>H2514-'Blocking-Step2'!H2514</f>
        <v>0</v>
      </c>
      <c r="AF2514" s="2114">
        <f>I2514-'Blocking-Step2'!I2514</f>
        <v>0</v>
      </c>
      <c r="AH2514" s="2136">
        <f>K2514-'Blocking-Step2'!K2514</f>
        <v>0</v>
      </c>
      <c r="AJ2514" s="2136">
        <f>M2514-'Blocking-Step2'!M2514</f>
        <v>0</v>
      </c>
      <c r="AL2514" s="2136">
        <f>O2514-'Blocking-Step2'!O2514</f>
        <v>0</v>
      </c>
      <c r="AN2514" s="2137">
        <f>Q2514-'Blocking-Step2'!Q2514</f>
        <v>0</v>
      </c>
      <c r="AP2514" s="2127">
        <f>S2514-'Blocking-Step2'!S2514</f>
        <v>0</v>
      </c>
      <c r="AR2514" s="2127">
        <f>U2514-'Blocking-Step2'!U2514</f>
        <v>0</v>
      </c>
      <c r="AT2514" s="2127">
        <f>W2514-'Blocking-Step2'!W2514</f>
        <v>0</v>
      </c>
      <c r="AV2514" s="2128">
        <f>Y2514-'Blocking-Step2'!Y2514</f>
        <v>0</v>
      </c>
    </row>
    <row r="2515" spans="1:48" ht="16.5" hidden="1" thickTop="1">
      <c r="A2515" s="1116" t="s">
        <v>166</v>
      </c>
      <c r="C2515" s="1105"/>
      <c r="D2515" s="1105"/>
      <c r="F2515" s="1142">
        <v>11.19</v>
      </c>
      <c r="G2515" s="617"/>
      <c r="H2515" s="1146">
        <v>0</v>
      </c>
      <c r="I2515" s="1146">
        <v>0</v>
      </c>
      <c r="K2515" s="1142"/>
      <c r="L2515" s="617"/>
      <c r="M2515" s="1142"/>
      <c r="N2515" s="617"/>
      <c r="O2515" s="1142"/>
      <c r="P2515" s="617"/>
      <c r="Q2515" s="1142"/>
      <c r="R2515" s="617"/>
      <c r="S2515" s="1146"/>
      <c r="T2515" s="1114"/>
      <c r="U2515" s="1146"/>
      <c r="V2515" s="1114"/>
      <c r="W2515" s="1146"/>
      <c r="X2515" s="1114"/>
      <c r="Y2515" s="1146"/>
      <c r="Z2515" s="2114">
        <f>C2515-'Blocking-Step2'!C2515</f>
        <v>0</v>
      </c>
      <c r="AA2515" s="2114">
        <f>D2515-'Blocking-Step2'!D2515</f>
        <v>0</v>
      </c>
      <c r="AC2515" s="2114">
        <f>F2515-'Blocking-Step2'!F2515</f>
        <v>0</v>
      </c>
      <c r="AE2515" s="2114">
        <f>H2515-'Blocking-Step2'!H2515</f>
        <v>0</v>
      </c>
      <c r="AF2515" s="2114">
        <f>I2515-'Blocking-Step2'!I2515</f>
        <v>0</v>
      </c>
      <c r="AH2515" s="2136">
        <f>K2515-'Blocking-Step2'!K2515</f>
        <v>0</v>
      </c>
      <c r="AJ2515" s="2136">
        <f>M2515-'Blocking-Step2'!M2515</f>
        <v>0</v>
      </c>
      <c r="AL2515" s="2136">
        <f>O2515-'Blocking-Step2'!O2515</f>
        <v>0</v>
      </c>
      <c r="AN2515" s="2137">
        <f>Q2515-'Blocking-Step2'!Q2515</f>
        <v>0</v>
      </c>
      <c r="AP2515" s="2127">
        <f>S2515-'Blocking-Step2'!S2515</f>
        <v>0</v>
      </c>
      <c r="AR2515" s="2127">
        <f>U2515-'Blocking-Step2'!U2515</f>
        <v>0</v>
      </c>
      <c r="AT2515" s="2127">
        <f>W2515-'Blocking-Step2'!W2515</f>
        <v>0</v>
      </c>
      <c r="AV2515" s="2128">
        <f>Y2515-'Blocking-Step2'!Y2515</f>
        <v>0</v>
      </c>
    </row>
    <row r="2516" spans="1:48" ht="16.5" hidden="1" thickTop="1">
      <c r="A2516" s="1116" t="s">
        <v>261</v>
      </c>
      <c r="C2516" s="1105"/>
      <c r="D2516" s="1105"/>
      <c r="F2516" s="1142">
        <v>-1.1299999999999999</v>
      </c>
      <c r="G2516" s="617"/>
      <c r="H2516" s="1146">
        <v>0</v>
      </c>
      <c r="I2516" s="1146">
        <v>0</v>
      </c>
      <c r="K2516" s="1142">
        <v>-1.1299999999999999</v>
      </c>
      <c r="L2516" s="617"/>
      <c r="M2516" s="1142">
        <v>0</v>
      </c>
      <c r="N2516" s="617"/>
      <c r="O2516" s="1142">
        <v>0</v>
      </c>
      <c r="P2516" s="617"/>
      <c r="Q2516" s="1142">
        <v>-1.1299999999999999</v>
      </c>
      <c r="R2516" s="617"/>
      <c r="S2516" s="1146">
        <v>0</v>
      </c>
      <c r="T2516" s="1114"/>
      <c r="U2516" s="1146">
        <v>0</v>
      </c>
      <c r="V2516" s="1114"/>
      <c r="W2516" s="1146">
        <v>0</v>
      </c>
      <c r="X2516" s="1114"/>
      <c r="Y2516" s="1146">
        <v>0</v>
      </c>
      <c r="Z2516" s="2114">
        <f>C2516-'Blocking-Step2'!C2516</f>
        <v>0</v>
      </c>
      <c r="AA2516" s="2114">
        <f>D2516-'Blocking-Step2'!D2516</f>
        <v>0</v>
      </c>
      <c r="AC2516" s="2114">
        <f>F2516-'Blocking-Step2'!F2516</f>
        <v>0</v>
      </c>
      <c r="AE2516" s="2114">
        <f>H2516-'Blocking-Step2'!H2516</f>
        <v>0</v>
      </c>
      <c r="AF2516" s="2114">
        <f>I2516-'Blocking-Step2'!I2516</f>
        <v>0</v>
      </c>
      <c r="AH2516" s="2136">
        <f>K2516-'Blocking-Step2'!K2516</f>
        <v>0</v>
      </c>
      <c r="AJ2516" s="2136">
        <f>M2516-'Blocking-Step2'!M2516</f>
        <v>0</v>
      </c>
      <c r="AL2516" s="2136">
        <f>O2516-'Blocking-Step2'!O2516</f>
        <v>0</v>
      </c>
      <c r="AN2516" s="2137">
        <f>Q2516-'Blocking-Step2'!Q2516</f>
        <v>0</v>
      </c>
      <c r="AP2516" s="2127">
        <f>S2516-'Blocking-Step2'!S2516</f>
        <v>0</v>
      </c>
      <c r="AR2516" s="2127">
        <f>U2516-'Blocking-Step2'!U2516</f>
        <v>0</v>
      </c>
      <c r="AT2516" s="2127">
        <f>W2516-'Blocking-Step2'!W2516</f>
        <v>0</v>
      </c>
      <c r="AV2516" s="2128">
        <f>Y2516-'Blocking-Step2'!Y2516</f>
        <v>0</v>
      </c>
    </row>
    <row r="2517" spans="1:48" ht="16.5" hidden="1" thickTop="1">
      <c r="A2517" s="1116" t="s">
        <v>188</v>
      </c>
      <c r="C2517" s="1105"/>
      <c r="D2517" s="1105"/>
      <c r="F2517" s="1106">
        <v>5.0473999999999997</v>
      </c>
      <c r="G2517" s="1921" t="s">
        <v>495</v>
      </c>
      <c r="H2517" s="1146">
        <v>0</v>
      </c>
      <c r="I2517" s="1146">
        <v>0</v>
      </c>
      <c r="K2517" s="1106"/>
      <c r="L2517" s="1921"/>
      <c r="M2517" s="1106"/>
      <c r="N2517" s="1921"/>
      <c r="O2517" s="1106"/>
      <c r="P2517" s="1921"/>
      <c r="Q2517" s="1106"/>
      <c r="R2517" s="1921"/>
      <c r="S2517" s="1146"/>
      <c r="T2517" s="1648"/>
      <c r="U2517" s="1146"/>
      <c r="V2517" s="1648"/>
      <c r="W2517" s="1146"/>
      <c r="X2517" s="1648"/>
      <c r="Y2517" s="1146"/>
      <c r="Z2517" s="2114">
        <f>C2517-'Blocking-Step2'!C2517</f>
        <v>0</v>
      </c>
      <c r="AA2517" s="2114">
        <f>D2517-'Blocking-Step2'!D2517</f>
        <v>0</v>
      </c>
      <c r="AC2517" s="2114">
        <f>F2517-'Blocking-Step2'!F2517</f>
        <v>0</v>
      </c>
      <c r="AE2517" s="2114">
        <f>H2517-'Blocking-Step2'!H2517</f>
        <v>0</v>
      </c>
      <c r="AF2517" s="2114">
        <f>I2517-'Blocking-Step2'!I2517</f>
        <v>0</v>
      </c>
      <c r="AH2517" s="2136">
        <f>K2517-'Blocking-Step2'!K2517</f>
        <v>0</v>
      </c>
      <c r="AJ2517" s="2136">
        <f>M2517-'Blocking-Step2'!M2517</f>
        <v>0</v>
      </c>
      <c r="AL2517" s="2136">
        <f>O2517-'Blocking-Step2'!O2517</f>
        <v>0</v>
      </c>
      <c r="AN2517" s="2137">
        <f>Q2517-'Blocking-Step2'!Q2517</f>
        <v>0</v>
      </c>
      <c r="AP2517" s="2127">
        <f>S2517-'Blocking-Step2'!S2517</f>
        <v>0</v>
      </c>
      <c r="AR2517" s="2127">
        <f>U2517-'Blocking-Step2'!U2517</f>
        <v>0</v>
      </c>
      <c r="AT2517" s="2127">
        <f>W2517-'Blocking-Step2'!W2517</f>
        <v>0</v>
      </c>
      <c r="AV2517" s="2128">
        <f>Y2517-'Blocking-Step2'!Y2517</f>
        <v>0</v>
      </c>
    </row>
    <row r="2518" spans="1:48" ht="16.5" hidden="1" thickTop="1">
      <c r="A2518" s="1116" t="s">
        <v>163</v>
      </c>
      <c r="C2518" s="1105"/>
      <c r="D2518" s="1105"/>
      <c r="F2518" s="1106">
        <v>3.9510999999999998</v>
      </c>
      <c r="G2518" s="1921" t="s">
        <v>495</v>
      </c>
      <c r="H2518" s="1146">
        <v>0</v>
      </c>
      <c r="I2518" s="1146">
        <v>0</v>
      </c>
      <c r="K2518" s="1106"/>
      <c r="L2518" s="1921"/>
      <c r="M2518" s="1106"/>
      <c r="N2518" s="1921"/>
      <c r="O2518" s="1106"/>
      <c r="P2518" s="1921"/>
      <c r="Q2518" s="1106"/>
      <c r="R2518" s="1921"/>
      <c r="S2518" s="1146"/>
      <c r="T2518" s="1648"/>
      <c r="U2518" s="1146"/>
      <c r="V2518" s="1648"/>
      <c r="W2518" s="1146"/>
      <c r="X2518" s="1648"/>
      <c r="Y2518" s="1146"/>
      <c r="Z2518" s="2114">
        <f>C2518-'Blocking-Step2'!C2518</f>
        <v>0</v>
      </c>
      <c r="AA2518" s="2114">
        <f>D2518-'Blocking-Step2'!D2518</f>
        <v>0</v>
      </c>
      <c r="AC2518" s="2114">
        <f>F2518-'Blocking-Step2'!F2518</f>
        <v>0</v>
      </c>
      <c r="AE2518" s="2114">
        <f>H2518-'Blocking-Step2'!H2518</f>
        <v>0</v>
      </c>
      <c r="AF2518" s="2114">
        <f>I2518-'Blocking-Step2'!I2518</f>
        <v>0</v>
      </c>
      <c r="AH2518" s="2136">
        <f>K2518-'Blocking-Step2'!K2518</f>
        <v>0</v>
      </c>
      <c r="AJ2518" s="2136">
        <f>M2518-'Blocking-Step2'!M2518</f>
        <v>0</v>
      </c>
      <c r="AL2518" s="2136">
        <f>O2518-'Blocking-Step2'!O2518</f>
        <v>0</v>
      </c>
      <c r="AN2518" s="2137">
        <f>Q2518-'Blocking-Step2'!Q2518</f>
        <v>0</v>
      </c>
      <c r="AP2518" s="2127">
        <f>S2518-'Blocking-Step2'!S2518</f>
        <v>0</v>
      </c>
      <c r="AR2518" s="2127">
        <f>U2518-'Blocking-Step2'!U2518</f>
        <v>0</v>
      </c>
      <c r="AT2518" s="2127">
        <f>W2518-'Blocking-Step2'!W2518</f>
        <v>0</v>
      </c>
      <c r="AV2518" s="2128">
        <f>Y2518-'Blocking-Step2'!Y2518</f>
        <v>0</v>
      </c>
    </row>
    <row r="2519" spans="1:48" ht="16.5" hidden="1" thickTop="1">
      <c r="A2519" s="1116" t="s">
        <v>249</v>
      </c>
      <c r="C2519" s="2093"/>
      <c r="D2519" s="2093"/>
      <c r="F2519" s="1106">
        <v>3.4001999999999999</v>
      </c>
      <c r="G2519" s="1921" t="s">
        <v>495</v>
      </c>
      <c r="H2519" s="2100">
        <v>0</v>
      </c>
      <c r="I2519" s="2100">
        <v>0</v>
      </c>
      <c r="K2519" s="1106"/>
      <c r="L2519" s="1921"/>
      <c r="M2519" s="1106"/>
      <c r="N2519" s="1921"/>
      <c r="O2519" s="1106"/>
      <c r="P2519" s="1921"/>
      <c r="Q2519" s="1106"/>
      <c r="R2519" s="1921"/>
      <c r="S2519" s="2100"/>
      <c r="T2519" s="1648"/>
      <c r="U2519" s="2100"/>
      <c r="V2519" s="1648"/>
      <c r="W2519" s="2100"/>
      <c r="X2519" s="1648"/>
      <c r="Y2519" s="2100"/>
      <c r="Z2519" s="2114">
        <f>C2519-'Blocking-Step2'!C2519</f>
        <v>0</v>
      </c>
      <c r="AA2519" s="2114">
        <f>D2519-'Blocking-Step2'!D2519</f>
        <v>0</v>
      </c>
      <c r="AC2519" s="2114">
        <f>F2519-'Blocking-Step2'!F2519</f>
        <v>0</v>
      </c>
      <c r="AE2519" s="2114">
        <f>H2519-'Blocking-Step2'!H2519</f>
        <v>0</v>
      </c>
      <c r="AF2519" s="2114">
        <f>I2519-'Blocking-Step2'!I2519</f>
        <v>0</v>
      </c>
      <c r="AH2519" s="2136">
        <f>K2519-'Blocking-Step2'!K2519</f>
        <v>0</v>
      </c>
      <c r="AJ2519" s="2136">
        <f>M2519-'Blocking-Step2'!M2519</f>
        <v>0</v>
      </c>
      <c r="AL2519" s="2136">
        <f>O2519-'Blocking-Step2'!O2519</f>
        <v>0</v>
      </c>
      <c r="AN2519" s="2137">
        <f>Q2519-'Blocking-Step2'!Q2519</f>
        <v>0</v>
      </c>
      <c r="AP2519" s="2127">
        <f>S2519-'Blocking-Step2'!S2519</f>
        <v>0</v>
      </c>
      <c r="AR2519" s="2127">
        <f>U2519-'Blocking-Step2'!U2519</f>
        <v>0</v>
      </c>
      <c r="AT2519" s="2127">
        <f>W2519-'Blocking-Step2'!W2519</f>
        <v>0</v>
      </c>
      <c r="AV2519" s="2128">
        <f>Y2519-'Blocking-Step2'!Y2519</f>
        <v>0</v>
      </c>
    </row>
    <row r="2520" spans="1:48" ht="16.5" hidden="1" thickTop="1">
      <c r="A2520" s="1116" t="s">
        <v>1240</v>
      </c>
      <c r="C2520" s="1024"/>
      <c r="D2520" s="1024"/>
      <c r="F2520" s="2076">
        <v>-3.1800000000000002E-2</v>
      </c>
      <c r="G2520" s="617"/>
      <c r="H2520" s="1146">
        <v>0</v>
      </c>
      <c r="I2520" s="1146">
        <v>0</v>
      </c>
      <c r="K2520" s="2076"/>
      <c r="L2520" s="617"/>
      <c r="M2520" s="2076"/>
      <c r="N2520" s="617"/>
      <c r="O2520" s="2077" t="s">
        <v>2323</v>
      </c>
      <c r="P2520" s="617"/>
      <c r="Q2520" s="2076">
        <v>-2.6499999999999999E-2</v>
      </c>
      <c r="R2520" s="617"/>
      <c r="S2520" s="1146"/>
      <c r="T2520" s="1114"/>
      <c r="U2520" s="1146"/>
      <c r="V2520" s="1114"/>
      <c r="W2520" s="1146"/>
      <c r="X2520" s="1114"/>
      <c r="Y2520" s="1146">
        <v>0</v>
      </c>
      <c r="Z2520" s="2114">
        <f>C2520-'Blocking-Step2'!C2520</f>
        <v>0</v>
      </c>
      <c r="AA2520" s="2114">
        <f>D2520-'Blocking-Step2'!D2520</f>
        <v>0</v>
      </c>
      <c r="AC2520" s="2114">
        <f>F2520-'Blocking-Step2'!F2520</f>
        <v>0</v>
      </c>
      <c r="AE2520" s="2114">
        <f>H2520-'Blocking-Step2'!H2520</f>
        <v>0</v>
      </c>
      <c r="AF2520" s="2114">
        <f>I2520-'Blocking-Step2'!I2520</f>
        <v>0</v>
      </c>
      <c r="AH2520" s="2136">
        <f>K2520-'Blocking-Step2'!K2520</f>
        <v>0</v>
      </c>
      <c r="AJ2520" s="2136">
        <f>M2520-'Blocking-Step2'!M2520</f>
        <v>0</v>
      </c>
      <c r="AL2520" s="2136" t="e">
        <f>O2520-'Blocking-Step2'!O2520</f>
        <v>#VALUE!</v>
      </c>
      <c r="AN2520" s="2137">
        <f>Q2520-'Blocking-Step2'!Q2520</f>
        <v>0</v>
      </c>
      <c r="AP2520" s="2127">
        <f>S2520-'Blocking-Step2'!S2520</f>
        <v>0</v>
      </c>
      <c r="AR2520" s="2127">
        <f>U2520-'Blocking-Step2'!U2520</f>
        <v>0</v>
      </c>
      <c r="AT2520" s="2127">
        <f>W2520-'Blocking-Step2'!W2520</f>
        <v>0</v>
      </c>
      <c r="AV2520" s="2128">
        <f>Y2520-'Blocking-Step2'!Y2520</f>
        <v>0</v>
      </c>
    </row>
    <row r="2521" spans="1:48" ht="16.5" hidden="1" thickTop="1">
      <c r="A2521" s="1116"/>
      <c r="C2521" s="1024"/>
      <c r="D2521" s="1024"/>
      <c r="F2521" s="2076"/>
      <c r="G2521" s="617"/>
      <c r="H2521" s="1146"/>
      <c r="I2521" s="1146"/>
      <c r="K2521" s="2076"/>
      <c r="L2521" s="617"/>
      <c r="M2521" s="2076"/>
      <c r="N2521" s="617"/>
      <c r="O2521" s="2077" t="s">
        <v>2324</v>
      </c>
      <c r="P2521" s="617"/>
      <c r="Q2521" s="2076">
        <v>-1.44E-2</v>
      </c>
      <c r="R2521" s="617"/>
      <c r="S2521" s="1146"/>
      <c r="T2521" s="1114"/>
      <c r="U2521" s="1146"/>
      <c r="V2521" s="1114"/>
      <c r="W2521" s="1146"/>
      <c r="X2521" s="1114"/>
      <c r="Y2521" s="1146">
        <v>0</v>
      </c>
      <c r="Z2521" s="2114">
        <f>C2521-'Blocking-Step2'!C2521</f>
        <v>0</v>
      </c>
      <c r="AA2521" s="2114">
        <f>D2521-'Blocking-Step2'!D2521</f>
        <v>0</v>
      </c>
      <c r="AC2521" s="2114">
        <f>F2521-'Blocking-Step2'!F2521</f>
        <v>0</v>
      </c>
      <c r="AE2521" s="2114">
        <f>H2521-'Blocking-Step2'!H2521</f>
        <v>0</v>
      </c>
      <c r="AF2521" s="2114">
        <f>I2521-'Blocking-Step2'!I2521</f>
        <v>0</v>
      </c>
      <c r="AH2521" s="2136">
        <f>K2521-'Blocking-Step2'!K2521</f>
        <v>0</v>
      </c>
      <c r="AJ2521" s="2136">
        <f>M2521-'Blocking-Step2'!M2521</f>
        <v>0</v>
      </c>
      <c r="AL2521" s="2136" t="e">
        <f>O2521-'Blocking-Step2'!O2521</f>
        <v>#VALUE!</v>
      </c>
      <c r="AN2521" s="2137">
        <f>Q2521-'Blocking-Step2'!Q2521</f>
        <v>0</v>
      </c>
      <c r="AP2521" s="2127">
        <f>S2521-'Blocking-Step2'!S2521</f>
        <v>0</v>
      </c>
      <c r="AR2521" s="2127">
        <f>U2521-'Blocking-Step2'!U2521</f>
        <v>0</v>
      </c>
      <c r="AT2521" s="2127">
        <f>W2521-'Blocking-Step2'!W2521</f>
        <v>0</v>
      </c>
      <c r="AV2521" s="2128">
        <f>Y2521-'Blocking-Step2'!Y2521</f>
        <v>0</v>
      </c>
    </row>
    <row r="2522" spans="1:48" ht="16.5" hidden="1" thickTop="1">
      <c r="A2522" s="1115" t="s">
        <v>444</v>
      </c>
      <c r="C2522" s="1105"/>
      <c r="D2522" s="1105"/>
      <c r="F2522" s="1106"/>
      <c r="G2522" s="1921"/>
      <c r="H2522" s="1146"/>
      <c r="I2522" s="1146"/>
      <c r="K2522" s="1106"/>
      <c r="L2522" s="1921"/>
      <c r="M2522" s="1106"/>
      <c r="N2522" s="1921"/>
      <c r="O2522" s="1106"/>
      <c r="P2522" s="1921"/>
      <c r="Q2522" s="1106"/>
      <c r="R2522" s="1921"/>
      <c r="S2522" s="1146"/>
      <c r="T2522" s="1648"/>
      <c r="U2522" s="1146"/>
      <c r="V2522" s="1648"/>
      <c r="W2522" s="1146"/>
      <c r="X2522" s="1648"/>
      <c r="Y2522" s="1146"/>
      <c r="Z2522" s="2114">
        <f>C2522-'Blocking-Step2'!C2522</f>
        <v>0</v>
      </c>
      <c r="AA2522" s="2114">
        <f>D2522-'Blocking-Step2'!D2522</f>
        <v>0</v>
      </c>
      <c r="AC2522" s="2114">
        <f>F2522-'Blocking-Step2'!F2522</f>
        <v>0</v>
      </c>
      <c r="AE2522" s="2114">
        <f>H2522-'Blocking-Step2'!H2522</f>
        <v>0</v>
      </c>
      <c r="AF2522" s="2114">
        <f>I2522-'Blocking-Step2'!I2522</f>
        <v>0</v>
      </c>
      <c r="AH2522" s="2136">
        <f>K2522-'Blocking-Step2'!K2522</f>
        <v>0</v>
      </c>
      <c r="AJ2522" s="2136">
        <f>M2522-'Blocking-Step2'!M2522</f>
        <v>0</v>
      </c>
      <c r="AL2522" s="2136">
        <f>O2522-'Blocking-Step2'!O2522</f>
        <v>0</v>
      </c>
      <c r="AN2522" s="2137">
        <f>Q2522-'Blocking-Step2'!Q2522</f>
        <v>0</v>
      </c>
      <c r="AP2522" s="2127">
        <f>S2522-'Blocking-Step2'!S2522</f>
        <v>0</v>
      </c>
      <c r="AR2522" s="2127">
        <f>U2522-'Blocking-Step2'!U2522</f>
        <v>0</v>
      </c>
      <c r="AT2522" s="2127">
        <f>W2522-'Blocking-Step2'!W2522</f>
        <v>0</v>
      </c>
      <c r="AV2522" s="2128">
        <f>Y2522-'Blocking-Step2'!Y2522</f>
        <v>0</v>
      </c>
    </row>
    <row r="2523" spans="1:48" ht="16.5" hidden="1" thickTop="1">
      <c r="A2523" s="1116" t="s">
        <v>168</v>
      </c>
      <c r="C2523" s="1105">
        <v>91799</v>
      </c>
      <c r="D2523" s="1105">
        <v>111118</v>
      </c>
      <c r="F2523" s="1142">
        <v>2.2200000000000002</v>
      </c>
      <c r="G2523" s="617"/>
      <c r="H2523" s="1146">
        <v>203794</v>
      </c>
      <c r="I2523" s="1146">
        <v>246682</v>
      </c>
      <c r="K2523" s="1142">
        <v>0</v>
      </c>
      <c r="L2523" s="617"/>
      <c r="M2523" s="1142">
        <v>2.2999999999999998</v>
      </c>
      <c r="N2523" s="617"/>
      <c r="O2523" s="1142">
        <v>0</v>
      </c>
      <c r="P2523" s="617"/>
      <c r="Q2523" s="1142">
        <v>2.2999999999999998</v>
      </c>
      <c r="R2523" s="617"/>
      <c r="S2523" s="1146">
        <v>0</v>
      </c>
      <c r="T2523" s="1114"/>
      <c r="U2523" s="1146">
        <v>255571</v>
      </c>
      <c r="V2523" s="1114"/>
      <c r="W2523" s="1146">
        <v>0</v>
      </c>
      <c r="X2523" s="1114"/>
      <c r="Y2523" s="1146">
        <v>255571</v>
      </c>
      <c r="Z2523" s="2114">
        <f>C2523-'Blocking-Step2'!C2523</f>
        <v>0</v>
      </c>
      <c r="AA2523" s="2114">
        <f>D2523-'Blocking-Step2'!D2523</f>
        <v>0</v>
      </c>
      <c r="AC2523" s="2114">
        <f>F2523-'Blocking-Step2'!F2523</f>
        <v>0</v>
      </c>
      <c r="AE2523" s="2114">
        <f>H2523-'Blocking-Step2'!H2523</f>
        <v>0</v>
      </c>
      <c r="AF2523" s="2114">
        <f>I2523-'Blocking-Step2'!I2523</f>
        <v>0</v>
      </c>
      <c r="AH2523" s="2136">
        <f>K2523-'Blocking-Step2'!K2523</f>
        <v>-2.2999999999999998</v>
      </c>
      <c r="AJ2523" s="2136">
        <f>M2523-'Blocking-Step2'!M2523</f>
        <v>2.2999999999999998</v>
      </c>
      <c r="AL2523" s="2136">
        <f>O2523-'Blocking-Step2'!O2523</f>
        <v>0</v>
      </c>
      <c r="AN2523" s="2137">
        <f>Q2523-'Blocking-Step2'!Q2523</f>
        <v>0</v>
      </c>
      <c r="AP2523" s="2127">
        <f>S2523-'Blocking-Step2'!S2523</f>
        <v>-255571</v>
      </c>
      <c r="AR2523" s="2127">
        <f>U2523-'Blocking-Step2'!U2523</f>
        <v>255571</v>
      </c>
      <c r="AT2523" s="2127">
        <f>W2523-'Blocking-Step2'!W2523</f>
        <v>0</v>
      </c>
      <c r="AV2523" s="2128">
        <f>Y2523-'Blocking-Step2'!Y2523</f>
        <v>0</v>
      </c>
    </row>
    <row r="2524" spans="1:48" ht="16.5" hidden="1" thickTop="1">
      <c r="A2524" s="1116" t="s">
        <v>1651</v>
      </c>
      <c r="C2524" s="1105">
        <v>26466.412372929644</v>
      </c>
      <c r="D2524" s="1105">
        <v>32036</v>
      </c>
      <c r="F2524" s="1142"/>
      <c r="G2524" s="617"/>
      <c r="H2524" s="1146"/>
      <c r="I2524" s="1146"/>
      <c r="K2524" s="1142">
        <v>0</v>
      </c>
      <c r="L2524" s="617"/>
      <c r="M2524" s="1142">
        <v>14.48</v>
      </c>
      <c r="N2524" s="617"/>
      <c r="O2524" s="1142">
        <v>0</v>
      </c>
      <c r="P2524" s="617"/>
      <c r="Q2524" s="1142">
        <v>14.48</v>
      </c>
      <c r="R2524" s="617"/>
      <c r="S2524" s="1146">
        <v>0</v>
      </c>
      <c r="T2524" s="1114"/>
      <c r="U2524" s="1146">
        <v>463881</v>
      </c>
      <c r="V2524" s="1114"/>
      <c r="W2524" s="1146">
        <v>0</v>
      </c>
      <c r="X2524" s="1114"/>
      <c r="Y2524" s="1146">
        <v>463881</v>
      </c>
      <c r="Z2524" s="2114">
        <f>C2524-'Blocking-Step2'!C2524</f>
        <v>0</v>
      </c>
      <c r="AA2524" s="2114">
        <f>D2524-'Blocking-Step2'!D2524</f>
        <v>0</v>
      </c>
      <c r="AC2524" s="2114">
        <f>F2524-'Blocking-Step2'!F2524</f>
        <v>0</v>
      </c>
      <c r="AE2524" s="2114">
        <f>H2524-'Blocking-Step2'!H2524</f>
        <v>0</v>
      </c>
      <c r="AF2524" s="2114">
        <f>I2524-'Blocking-Step2'!I2524</f>
        <v>0</v>
      </c>
      <c r="AH2524" s="2136">
        <f>K2524-'Blocking-Step2'!K2524</f>
        <v>-4.8</v>
      </c>
      <c r="AJ2524" s="2136">
        <f>M2524-'Blocking-Step2'!M2524</f>
        <v>4.8000000000000007</v>
      </c>
      <c r="AL2524" s="2136">
        <f>O2524-'Blocking-Step2'!O2524</f>
        <v>0</v>
      </c>
      <c r="AN2524" s="2137">
        <f>Q2524-'Blocking-Step2'!Q2524</f>
        <v>0</v>
      </c>
      <c r="AP2524" s="2127">
        <f>S2524-'Blocking-Step2'!S2524</f>
        <v>-153773</v>
      </c>
      <c r="AR2524" s="2127">
        <f>U2524-'Blocking-Step2'!U2524</f>
        <v>153773</v>
      </c>
      <c r="AT2524" s="2127">
        <f>W2524-'Blocking-Step2'!W2524</f>
        <v>0</v>
      </c>
      <c r="AV2524" s="2128">
        <f>Y2524-'Blocking-Step2'!Y2524</f>
        <v>0</v>
      </c>
    </row>
    <row r="2525" spans="1:48" ht="16.5" hidden="1" thickTop="1">
      <c r="A2525" s="1116" t="s">
        <v>1652</v>
      </c>
      <c r="C2525" s="1105">
        <v>65712.72448205555</v>
      </c>
      <c r="D2525" s="1105">
        <v>79542</v>
      </c>
      <c r="F2525" s="1142"/>
      <c r="G2525" s="617"/>
      <c r="H2525" s="1146"/>
      <c r="I2525" s="1146"/>
      <c r="K2525" s="1142">
        <v>0</v>
      </c>
      <c r="L2525" s="617"/>
      <c r="M2525" s="1142">
        <v>12.81</v>
      </c>
      <c r="N2525" s="617"/>
      <c r="O2525" s="1142">
        <v>0</v>
      </c>
      <c r="P2525" s="617"/>
      <c r="Q2525" s="1142">
        <v>12.81</v>
      </c>
      <c r="R2525" s="617"/>
      <c r="S2525" s="1146">
        <v>0</v>
      </c>
      <c r="T2525" s="1114"/>
      <c r="U2525" s="1146">
        <v>1018933</v>
      </c>
      <c r="V2525" s="1114"/>
      <c r="W2525" s="1146">
        <v>0</v>
      </c>
      <c r="X2525" s="1114"/>
      <c r="Y2525" s="1146">
        <v>1018933</v>
      </c>
      <c r="Z2525" s="2114">
        <f>C2525-'Blocking-Step2'!C2525</f>
        <v>0</v>
      </c>
      <c r="AA2525" s="2114">
        <f>D2525-'Blocking-Step2'!D2525</f>
        <v>0</v>
      </c>
      <c r="AC2525" s="2114">
        <f>F2525-'Blocking-Step2'!F2525</f>
        <v>0</v>
      </c>
      <c r="AE2525" s="2114">
        <f>H2525-'Blocking-Step2'!H2525</f>
        <v>0</v>
      </c>
      <c r="AF2525" s="2114">
        <f>I2525-'Blocking-Step2'!I2525</f>
        <v>0</v>
      </c>
      <c r="AH2525" s="2136">
        <f>K2525-'Blocking-Step2'!K2525</f>
        <v>-4.25</v>
      </c>
      <c r="AJ2525" s="2136">
        <f>M2525-'Blocking-Step2'!M2525</f>
        <v>4.25</v>
      </c>
      <c r="AL2525" s="2136">
        <f>O2525-'Blocking-Step2'!O2525</f>
        <v>0</v>
      </c>
      <c r="AN2525" s="2137">
        <f>Q2525-'Blocking-Step2'!Q2525</f>
        <v>0</v>
      </c>
      <c r="AP2525" s="2127">
        <f>S2525-'Blocking-Step2'!S2525</f>
        <v>-338054</v>
      </c>
      <c r="AR2525" s="2127">
        <f>U2525-'Blocking-Step2'!U2525</f>
        <v>338053</v>
      </c>
      <c r="AT2525" s="2127">
        <f>W2525-'Blocking-Step2'!W2525</f>
        <v>0</v>
      </c>
      <c r="AV2525" s="2128">
        <f>Y2525-'Blocking-Step2'!Y2525</f>
        <v>0</v>
      </c>
    </row>
    <row r="2526" spans="1:48" ht="16.5" hidden="1" thickTop="1">
      <c r="A2526" s="1116" t="s">
        <v>1532</v>
      </c>
      <c r="C2526" s="1105">
        <v>3857203.6053539133</v>
      </c>
      <c r="D2526" s="1105">
        <v>4593259</v>
      </c>
      <c r="F2526" s="1143"/>
      <c r="G2526" s="1921"/>
      <c r="H2526" s="1146"/>
      <c r="I2526" s="1146"/>
      <c r="K2526" s="1143">
        <v>0</v>
      </c>
      <c r="L2526" s="1921" t="s">
        <v>495</v>
      </c>
      <c r="M2526" s="1143">
        <v>1.0927</v>
      </c>
      <c r="N2526" s="1921" t="s">
        <v>495</v>
      </c>
      <c r="O2526" s="1143">
        <v>4.1108761607000002</v>
      </c>
      <c r="P2526" s="1921" t="s">
        <v>495</v>
      </c>
      <c r="Q2526" s="1143">
        <v>5.2035761607</v>
      </c>
      <c r="R2526" s="1921" t="s">
        <v>495</v>
      </c>
      <c r="S2526" s="1146">
        <v>0</v>
      </c>
      <c r="T2526" s="1648"/>
      <c r="U2526" s="1146">
        <v>50191</v>
      </c>
      <c r="V2526" s="1648"/>
      <c r="W2526" s="1146">
        <v>188823</v>
      </c>
      <c r="X2526" s="1648"/>
      <c r="Y2526" s="1146">
        <v>239014</v>
      </c>
      <c r="Z2526" s="2114">
        <f>C2526-'Blocking-Step2'!C2526</f>
        <v>0</v>
      </c>
      <c r="AA2526" s="2114">
        <f>D2526-'Blocking-Step2'!D2526</f>
        <v>0</v>
      </c>
      <c r="AC2526" s="2114">
        <f>F2526-'Blocking-Step2'!F2526</f>
        <v>0</v>
      </c>
      <c r="AE2526" s="2114">
        <f>H2526-'Blocking-Step2'!H2526</f>
        <v>0</v>
      </c>
      <c r="AF2526" s="2114">
        <f>I2526-'Blocking-Step2'!I2526</f>
        <v>0</v>
      </c>
      <c r="AH2526" s="2136">
        <f>K2526-'Blocking-Step2'!K2526</f>
        <v>0</v>
      </c>
      <c r="AJ2526" s="2136">
        <f>M2526-'Blocking-Step2'!M2526</f>
        <v>0</v>
      </c>
      <c r="AL2526" s="2136">
        <f>O2526-'Blocking-Step2'!O2526</f>
        <v>0</v>
      </c>
      <c r="AN2526" s="2137">
        <f>Q2526-'Blocking-Step2'!Q2526</f>
        <v>0</v>
      </c>
      <c r="AP2526" s="2127">
        <f>S2526-'Blocking-Step2'!S2526</f>
        <v>0</v>
      </c>
      <c r="AR2526" s="2127">
        <f>U2526-'Blocking-Step2'!U2526</f>
        <v>0</v>
      </c>
      <c r="AT2526" s="2127">
        <f>W2526-'Blocking-Step2'!W2526</f>
        <v>0</v>
      </c>
      <c r="AV2526" s="2128">
        <f>Y2526-'Blocking-Step2'!Y2526</f>
        <v>0</v>
      </c>
    </row>
    <row r="2527" spans="1:48" ht="16.5" hidden="1" thickTop="1">
      <c r="A2527" s="1116" t="s">
        <v>1653</v>
      </c>
      <c r="C2527" s="1105">
        <v>6953710.2220234424</v>
      </c>
      <c r="D2527" s="1105">
        <v>8280661</v>
      </c>
      <c r="F2527" s="1143"/>
      <c r="G2527" s="1921"/>
      <c r="H2527" s="1146"/>
      <c r="I2527" s="1146"/>
      <c r="K2527" s="1143">
        <v>0</v>
      </c>
      <c r="L2527" s="1921" t="s">
        <v>495</v>
      </c>
      <c r="M2527" s="1143">
        <v>1.0927</v>
      </c>
      <c r="N2527" s="1921" t="s">
        <v>495</v>
      </c>
      <c r="O2527" s="1143">
        <v>3.5122346554870001</v>
      </c>
      <c r="P2527" s="1921" t="s">
        <v>495</v>
      </c>
      <c r="Q2527" s="1143">
        <v>4.6049346554869999</v>
      </c>
      <c r="R2527" s="1921" t="s">
        <v>495</v>
      </c>
      <c r="S2527" s="1146">
        <v>0</v>
      </c>
      <c r="T2527" s="1648"/>
      <c r="U2527" s="1146">
        <v>90483</v>
      </c>
      <c r="V2527" s="1648"/>
      <c r="W2527" s="1146">
        <v>290836</v>
      </c>
      <c r="X2527" s="1648"/>
      <c r="Y2527" s="1146">
        <v>381319</v>
      </c>
      <c r="Z2527" s="2114">
        <f>C2527-'Blocking-Step2'!C2527</f>
        <v>0</v>
      </c>
      <c r="AA2527" s="2114">
        <f>D2527-'Blocking-Step2'!D2527</f>
        <v>0</v>
      </c>
      <c r="AC2527" s="2114">
        <f>F2527-'Blocking-Step2'!F2527</f>
        <v>0</v>
      </c>
      <c r="AE2527" s="2114">
        <f>H2527-'Blocking-Step2'!H2527</f>
        <v>0</v>
      </c>
      <c r="AF2527" s="2114">
        <f>I2527-'Blocking-Step2'!I2527</f>
        <v>0</v>
      </c>
      <c r="AH2527" s="2136">
        <f>K2527-'Blocking-Step2'!K2527</f>
        <v>0</v>
      </c>
      <c r="AJ2527" s="2136">
        <f>M2527-'Blocking-Step2'!M2527</f>
        <v>0</v>
      </c>
      <c r="AL2527" s="2136">
        <f>O2527-'Blocking-Step2'!O2527</f>
        <v>0</v>
      </c>
      <c r="AN2527" s="2137">
        <f>Q2527-'Blocking-Step2'!Q2527</f>
        <v>0</v>
      </c>
      <c r="AP2527" s="2127">
        <f>S2527-'Blocking-Step2'!S2527</f>
        <v>0</v>
      </c>
      <c r="AR2527" s="2127">
        <f>U2527-'Blocking-Step2'!U2527</f>
        <v>0</v>
      </c>
      <c r="AT2527" s="2127">
        <f>W2527-'Blocking-Step2'!W2527</f>
        <v>0</v>
      </c>
      <c r="AV2527" s="2128">
        <f>Y2527-'Blocking-Step2'!Y2527</f>
        <v>0</v>
      </c>
    </row>
    <row r="2528" spans="1:48" ht="16.5" hidden="1" thickTop="1">
      <c r="A2528" s="1116" t="s">
        <v>1533</v>
      </c>
      <c r="C2528" s="1105">
        <v>13709027.765005577</v>
      </c>
      <c r="D2528" s="1105">
        <v>16325070</v>
      </c>
      <c r="F2528" s="1143"/>
      <c r="G2528" s="1921"/>
      <c r="H2528" s="1146"/>
      <c r="I2528" s="1146"/>
      <c r="K2528" s="1143">
        <v>0</v>
      </c>
      <c r="L2528" s="1921" t="s">
        <v>495</v>
      </c>
      <c r="M2528" s="1143">
        <v>1.0927</v>
      </c>
      <c r="N2528" s="1921" t="s">
        <v>495</v>
      </c>
      <c r="O2528" s="1143">
        <v>1.5521862361710002</v>
      </c>
      <c r="P2528" s="1921" t="s">
        <v>495</v>
      </c>
      <c r="Q2528" s="1143">
        <v>2.6448862361710002</v>
      </c>
      <c r="R2528" s="1921" t="s">
        <v>495</v>
      </c>
      <c r="S2528" s="1146">
        <v>0</v>
      </c>
      <c r="T2528" s="1648"/>
      <c r="U2528" s="1146">
        <v>178384</v>
      </c>
      <c r="V2528" s="1648"/>
      <c r="W2528" s="1146">
        <v>253395</v>
      </c>
      <c r="X2528" s="1648"/>
      <c r="Y2528" s="1146">
        <v>431780</v>
      </c>
      <c r="Z2528" s="2114">
        <f>C2528-'Blocking-Step2'!C2528</f>
        <v>0</v>
      </c>
      <c r="AA2528" s="2114">
        <f>D2528-'Blocking-Step2'!D2528</f>
        <v>0</v>
      </c>
      <c r="AC2528" s="2114">
        <f>F2528-'Blocking-Step2'!F2528</f>
        <v>0</v>
      </c>
      <c r="AE2528" s="2114">
        <f>H2528-'Blocking-Step2'!H2528</f>
        <v>0</v>
      </c>
      <c r="AF2528" s="2114">
        <f>I2528-'Blocking-Step2'!I2528</f>
        <v>0</v>
      </c>
      <c r="AH2528" s="2136">
        <f>K2528-'Blocking-Step2'!K2528</f>
        <v>0</v>
      </c>
      <c r="AJ2528" s="2136">
        <f>M2528-'Blocking-Step2'!M2528</f>
        <v>0</v>
      </c>
      <c r="AL2528" s="2136">
        <f>O2528-'Blocking-Step2'!O2528</f>
        <v>0</v>
      </c>
      <c r="AN2528" s="2137">
        <f>Q2528-'Blocking-Step2'!Q2528</f>
        <v>0</v>
      </c>
      <c r="AP2528" s="2127">
        <f>S2528-'Blocking-Step2'!S2528</f>
        <v>0</v>
      </c>
      <c r="AR2528" s="2127">
        <f>U2528-'Blocking-Step2'!U2528</f>
        <v>0</v>
      </c>
      <c r="AT2528" s="2127">
        <f>W2528-'Blocking-Step2'!W2528</f>
        <v>0</v>
      </c>
      <c r="AV2528" s="2128">
        <f>Y2528-'Blocking-Step2'!Y2528</f>
        <v>0</v>
      </c>
    </row>
    <row r="2529" spans="1:48" ht="16.5" hidden="1" thickTop="1">
      <c r="A2529" s="1116" t="s">
        <v>2177</v>
      </c>
      <c r="C2529" s="1105">
        <v>25887167.407617066</v>
      </c>
      <c r="D2529" s="1105">
        <v>30827119</v>
      </c>
      <c r="F2529" s="2102"/>
      <c r="G2529" s="1921"/>
      <c r="H2529" s="2100"/>
      <c r="I2529" s="2100"/>
      <c r="K2529" s="2102">
        <v>0</v>
      </c>
      <c r="L2529" s="1921" t="s">
        <v>495</v>
      </c>
      <c r="M2529" s="2102">
        <v>1.0927</v>
      </c>
      <c r="N2529" s="1921" t="s">
        <v>495</v>
      </c>
      <c r="O2529" s="2102">
        <v>1.247907288647</v>
      </c>
      <c r="P2529" s="1921" t="s">
        <v>495</v>
      </c>
      <c r="Q2529" s="2102">
        <v>2.340607288647</v>
      </c>
      <c r="R2529" s="1921" t="s">
        <v>495</v>
      </c>
      <c r="S2529" s="1146">
        <v>0</v>
      </c>
      <c r="T2529" s="1648"/>
      <c r="U2529" s="1146">
        <v>336848</v>
      </c>
      <c r="V2529" s="1648"/>
      <c r="W2529" s="1146">
        <v>384694</v>
      </c>
      <c r="X2529" s="1648"/>
      <c r="Y2529" s="1146">
        <v>721542</v>
      </c>
      <c r="Z2529" s="2114">
        <f>C2529-'Blocking-Step2'!C2529</f>
        <v>0</v>
      </c>
      <c r="AA2529" s="2114">
        <f>D2529-'Blocking-Step2'!D2529</f>
        <v>0</v>
      </c>
      <c r="AC2529" s="2114">
        <f>F2529-'Blocking-Step2'!F2529</f>
        <v>0</v>
      </c>
      <c r="AE2529" s="2114">
        <f>H2529-'Blocking-Step2'!H2529</f>
        <v>0</v>
      </c>
      <c r="AF2529" s="2114">
        <f>I2529-'Blocking-Step2'!I2529</f>
        <v>0</v>
      </c>
      <c r="AH2529" s="2136">
        <f>K2529-'Blocking-Step2'!K2529</f>
        <v>0</v>
      </c>
      <c r="AJ2529" s="2136">
        <f>M2529-'Blocking-Step2'!M2529</f>
        <v>0</v>
      </c>
      <c r="AL2529" s="2136">
        <f>O2529-'Blocking-Step2'!O2529</f>
        <v>0</v>
      </c>
      <c r="AN2529" s="2137">
        <f>Q2529-'Blocking-Step2'!Q2529</f>
        <v>0</v>
      </c>
      <c r="AP2529" s="2127">
        <f>S2529-'Blocking-Step2'!S2529</f>
        <v>0</v>
      </c>
      <c r="AR2529" s="2127">
        <f>U2529-'Blocking-Step2'!U2529</f>
        <v>0</v>
      </c>
      <c r="AT2529" s="2127">
        <f>W2529-'Blocking-Step2'!W2529</f>
        <v>0</v>
      </c>
      <c r="AV2529" s="2128">
        <f>Y2529-'Blocking-Step2'!Y2529</f>
        <v>0</v>
      </c>
    </row>
    <row r="2530" spans="1:48" ht="16.5" hidden="1" thickTop="1">
      <c r="A2530" s="1116" t="s">
        <v>18</v>
      </c>
      <c r="C2530" s="1105">
        <v>32617</v>
      </c>
      <c r="D2530" s="1105">
        <v>39481</v>
      </c>
      <c r="F2530" s="1142">
        <v>13.96</v>
      </c>
      <c r="G2530" s="617"/>
      <c r="H2530" s="1146">
        <v>455333</v>
      </c>
      <c r="I2530" s="1146">
        <v>551155</v>
      </c>
      <c r="K2530" s="1142"/>
      <c r="L2530" s="617"/>
      <c r="M2530" s="1142"/>
      <c r="N2530" s="617"/>
      <c r="O2530" s="1142"/>
      <c r="P2530" s="617"/>
      <c r="Q2530" s="1142"/>
      <c r="R2530" s="617"/>
      <c r="S2530" s="1146"/>
      <c r="T2530" s="1114"/>
      <c r="U2530" s="1146"/>
      <c r="V2530" s="1114"/>
      <c r="W2530" s="1146"/>
      <c r="X2530" s="1114"/>
      <c r="Y2530" s="1146"/>
      <c r="Z2530" s="2114">
        <f>C2530-'Blocking-Step2'!C2530</f>
        <v>0</v>
      </c>
      <c r="AA2530" s="2114">
        <f>D2530-'Blocking-Step2'!D2530</f>
        <v>0</v>
      </c>
      <c r="AC2530" s="2114">
        <f>F2530-'Blocking-Step2'!F2530</f>
        <v>0</v>
      </c>
      <c r="AE2530" s="2114">
        <f>H2530-'Blocking-Step2'!H2530</f>
        <v>0</v>
      </c>
      <c r="AF2530" s="2114">
        <f>I2530-'Blocking-Step2'!I2530</f>
        <v>0</v>
      </c>
      <c r="AH2530" s="2136">
        <f>K2530-'Blocking-Step2'!K2530</f>
        <v>0</v>
      </c>
      <c r="AJ2530" s="2136">
        <f>M2530-'Blocking-Step2'!M2530</f>
        <v>0</v>
      </c>
      <c r="AL2530" s="2136">
        <f>O2530-'Blocking-Step2'!O2530</f>
        <v>0</v>
      </c>
      <c r="AN2530" s="2137">
        <f>Q2530-'Blocking-Step2'!Q2530</f>
        <v>0</v>
      </c>
      <c r="AP2530" s="2127">
        <f>S2530-'Blocking-Step2'!S2530</f>
        <v>0</v>
      </c>
      <c r="AR2530" s="2127">
        <f>U2530-'Blocking-Step2'!U2530</f>
        <v>0</v>
      </c>
      <c r="AT2530" s="2127">
        <f>W2530-'Blocking-Step2'!W2530</f>
        <v>0</v>
      </c>
      <c r="AV2530" s="2128">
        <f>Y2530-'Blocking-Step2'!Y2530</f>
        <v>0</v>
      </c>
    </row>
    <row r="2531" spans="1:48" ht="16.5" hidden="1" thickTop="1">
      <c r="A2531" s="1116" t="s">
        <v>166</v>
      </c>
      <c r="C2531" s="1105">
        <v>57849</v>
      </c>
      <c r="D2531" s="1105">
        <v>70023</v>
      </c>
      <c r="F2531" s="1142">
        <v>9.4700000000000006</v>
      </c>
      <c r="G2531" s="617"/>
      <c r="H2531" s="1146">
        <v>547830</v>
      </c>
      <c r="I2531" s="1146">
        <v>663118</v>
      </c>
      <c r="K2531" s="1142"/>
      <c r="L2531" s="617"/>
      <c r="M2531" s="1142"/>
      <c r="N2531" s="617"/>
      <c r="O2531" s="1142"/>
      <c r="P2531" s="617"/>
      <c r="Q2531" s="1142"/>
      <c r="R2531" s="617"/>
      <c r="S2531" s="1146"/>
      <c r="T2531" s="1114"/>
      <c r="U2531" s="1146"/>
      <c r="V2531" s="1114"/>
      <c r="W2531" s="1146"/>
      <c r="X2531" s="1114"/>
      <c r="Y2531" s="1146"/>
      <c r="Z2531" s="2114">
        <f>C2531-'Blocking-Step2'!C2531</f>
        <v>0</v>
      </c>
      <c r="AA2531" s="2114">
        <f>D2531-'Blocking-Step2'!D2531</f>
        <v>0</v>
      </c>
      <c r="AC2531" s="2114">
        <f>F2531-'Blocking-Step2'!F2531</f>
        <v>0</v>
      </c>
      <c r="AE2531" s="2114">
        <f>H2531-'Blocking-Step2'!H2531</f>
        <v>0</v>
      </c>
      <c r="AF2531" s="2114">
        <f>I2531-'Blocking-Step2'!I2531</f>
        <v>0</v>
      </c>
      <c r="AH2531" s="2136">
        <f>K2531-'Blocking-Step2'!K2531</f>
        <v>0</v>
      </c>
      <c r="AJ2531" s="2136">
        <f>M2531-'Blocking-Step2'!M2531</f>
        <v>0</v>
      </c>
      <c r="AL2531" s="2136">
        <f>O2531-'Blocking-Step2'!O2531</f>
        <v>0</v>
      </c>
      <c r="AN2531" s="2137">
        <f>Q2531-'Blocking-Step2'!Q2531</f>
        <v>0</v>
      </c>
      <c r="AP2531" s="2127">
        <f>S2531-'Blocking-Step2'!S2531</f>
        <v>0</v>
      </c>
      <c r="AR2531" s="2127">
        <f>U2531-'Blocking-Step2'!U2531</f>
        <v>0</v>
      </c>
      <c r="AT2531" s="2127">
        <f>W2531-'Blocking-Step2'!W2531</f>
        <v>0</v>
      </c>
      <c r="AV2531" s="2128">
        <f>Y2531-'Blocking-Step2'!Y2531</f>
        <v>0</v>
      </c>
    </row>
    <row r="2532" spans="1:48" ht="16.5" hidden="1" thickTop="1">
      <c r="A2532" s="1116" t="s">
        <v>19</v>
      </c>
      <c r="C2532" s="1105">
        <v>5576884</v>
      </c>
      <c r="D2532" s="1105">
        <v>6641100</v>
      </c>
      <c r="F2532" s="1143">
        <v>4.6531000000000002</v>
      </c>
      <c r="G2532" s="1921" t="s">
        <v>495</v>
      </c>
      <c r="H2532" s="1146">
        <v>259498</v>
      </c>
      <c r="I2532" s="1146">
        <v>309017</v>
      </c>
      <c r="K2532" s="1143"/>
      <c r="L2532" s="1921"/>
      <c r="M2532" s="1143"/>
      <c r="N2532" s="1921"/>
      <c r="O2532" s="1143"/>
      <c r="P2532" s="1921"/>
      <c r="Q2532" s="1143"/>
      <c r="R2532" s="1921"/>
      <c r="S2532" s="1146"/>
      <c r="T2532" s="1648"/>
      <c r="U2532" s="1146"/>
      <c r="V2532" s="1648"/>
      <c r="W2532" s="1146"/>
      <c r="X2532" s="1648"/>
      <c r="Y2532" s="1146"/>
      <c r="Z2532" s="2114">
        <f>C2532-'Blocking-Step2'!C2532</f>
        <v>0</v>
      </c>
      <c r="AA2532" s="2114">
        <f>D2532-'Blocking-Step2'!D2532</f>
        <v>0</v>
      </c>
      <c r="AC2532" s="2114">
        <f>F2532-'Blocking-Step2'!F2532</f>
        <v>0</v>
      </c>
      <c r="AE2532" s="2114">
        <f>H2532-'Blocking-Step2'!H2532</f>
        <v>0</v>
      </c>
      <c r="AF2532" s="2114">
        <f>I2532-'Blocking-Step2'!I2532</f>
        <v>0</v>
      </c>
      <c r="AH2532" s="2136">
        <f>K2532-'Blocking-Step2'!K2532</f>
        <v>0</v>
      </c>
      <c r="AJ2532" s="2136">
        <f>M2532-'Blocking-Step2'!M2532</f>
        <v>0</v>
      </c>
      <c r="AL2532" s="2136">
        <f>O2532-'Blocking-Step2'!O2532</f>
        <v>0</v>
      </c>
      <c r="AN2532" s="2137">
        <f>Q2532-'Blocking-Step2'!Q2532</f>
        <v>0</v>
      </c>
      <c r="AP2532" s="2127">
        <f>S2532-'Blocking-Step2'!S2532</f>
        <v>0</v>
      </c>
      <c r="AR2532" s="2127">
        <f>U2532-'Blocking-Step2'!U2532</f>
        <v>0</v>
      </c>
      <c r="AT2532" s="2127">
        <f>W2532-'Blocking-Step2'!W2532</f>
        <v>0</v>
      </c>
      <c r="AV2532" s="2128">
        <f>Y2532-'Blocking-Step2'!Y2532</f>
        <v>0</v>
      </c>
    </row>
    <row r="2533" spans="1:48" ht="16.5" hidden="1" thickTop="1">
      <c r="A2533" s="1116" t="s">
        <v>257</v>
      </c>
      <c r="C2533" s="1105">
        <v>13917897</v>
      </c>
      <c r="D2533" s="1105">
        <v>16573797</v>
      </c>
      <c r="F2533" s="1143">
        <v>3.4988999999999999</v>
      </c>
      <c r="G2533" s="1921" t="s">
        <v>495</v>
      </c>
      <c r="H2533" s="1146">
        <v>486973</v>
      </c>
      <c r="I2533" s="1146">
        <v>579901</v>
      </c>
      <c r="K2533" s="1143"/>
      <c r="L2533" s="1921"/>
      <c r="M2533" s="1143"/>
      <c r="N2533" s="1921"/>
      <c r="O2533" s="1143"/>
      <c r="P2533" s="1921"/>
      <c r="Q2533" s="1143"/>
      <c r="R2533" s="1921"/>
      <c r="S2533" s="1146"/>
      <c r="T2533" s="1648"/>
      <c r="U2533" s="1146"/>
      <c r="V2533" s="1648"/>
      <c r="W2533" s="1146"/>
      <c r="X2533" s="1648"/>
      <c r="Y2533" s="1146"/>
      <c r="Z2533" s="2114">
        <f>C2533-'Blocking-Step2'!C2533</f>
        <v>0</v>
      </c>
      <c r="AA2533" s="2114">
        <f>D2533-'Blocking-Step2'!D2533</f>
        <v>0</v>
      </c>
      <c r="AC2533" s="2114">
        <f>F2533-'Blocking-Step2'!F2533</f>
        <v>0</v>
      </c>
      <c r="AE2533" s="2114">
        <f>H2533-'Blocking-Step2'!H2533</f>
        <v>0</v>
      </c>
      <c r="AF2533" s="2114">
        <f>I2533-'Blocking-Step2'!I2533</f>
        <v>0</v>
      </c>
      <c r="AH2533" s="2136">
        <f>K2533-'Blocking-Step2'!K2533</f>
        <v>0</v>
      </c>
      <c r="AJ2533" s="2136">
        <f>M2533-'Blocking-Step2'!M2533</f>
        <v>0</v>
      </c>
      <c r="AL2533" s="2136">
        <f>O2533-'Blocking-Step2'!O2533</f>
        <v>0</v>
      </c>
      <c r="AN2533" s="2137">
        <f>Q2533-'Blocking-Step2'!Q2533</f>
        <v>0</v>
      </c>
      <c r="AP2533" s="2127">
        <f>S2533-'Blocking-Step2'!S2533</f>
        <v>0</v>
      </c>
      <c r="AR2533" s="2127">
        <f>U2533-'Blocking-Step2'!U2533</f>
        <v>0</v>
      </c>
      <c r="AT2533" s="2127">
        <f>W2533-'Blocking-Step2'!W2533</f>
        <v>0</v>
      </c>
      <c r="AV2533" s="2128">
        <f>Y2533-'Blocking-Step2'!Y2533</f>
        <v>0</v>
      </c>
    </row>
    <row r="2534" spans="1:48" ht="16.5" hidden="1" thickTop="1">
      <c r="A2534" s="1116" t="s">
        <v>249</v>
      </c>
      <c r="C2534" s="2093">
        <v>30912328</v>
      </c>
      <c r="D2534" s="2093">
        <v>36811212</v>
      </c>
      <c r="F2534" s="2102">
        <v>2.9224999999999999</v>
      </c>
      <c r="G2534" s="1921" t="s">
        <v>495</v>
      </c>
      <c r="H2534" s="2100">
        <v>903413</v>
      </c>
      <c r="I2534" s="2100">
        <v>1075808</v>
      </c>
      <c r="K2534" s="2102"/>
      <c r="L2534" s="1921"/>
      <c r="M2534" s="2102"/>
      <c r="N2534" s="1921"/>
      <c r="O2534" s="2102"/>
      <c r="P2534" s="1921"/>
      <c r="Q2534" s="2102"/>
      <c r="R2534" s="1921"/>
      <c r="S2534" s="2100"/>
      <c r="T2534" s="1648"/>
      <c r="U2534" s="2100"/>
      <c r="V2534" s="1648"/>
      <c r="W2534" s="2100"/>
      <c r="X2534" s="1648"/>
      <c r="Y2534" s="2100"/>
      <c r="Z2534" s="2114">
        <f>C2534-'Blocking-Step2'!C2534</f>
        <v>0</v>
      </c>
      <c r="AA2534" s="2114">
        <f>D2534-'Blocking-Step2'!D2534</f>
        <v>0</v>
      </c>
      <c r="AC2534" s="2114">
        <f>F2534-'Blocking-Step2'!F2534</f>
        <v>0</v>
      </c>
      <c r="AE2534" s="2114">
        <f>H2534-'Blocking-Step2'!H2534</f>
        <v>0</v>
      </c>
      <c r="AF2534" s="2114">
        <f>I2534-'Blocking-Step2'!I2534</f>
        <v>0</v>
      </c>
      <c r="AH2534" s="2136">
        <f>K2534-'Blocking-Step2'!K2534</f>
        <v>0</v>
      </c>
      <c r="AJ2534" s="2136">
        <f>M2534-'Blocking-Step2'!M2534</f>
        <v>0</v>
      </c>
      <c r="AL2534" s="2136">
        <f>O2534-'Blocking-Step2'!O2534</f>
        <v>0</v>
      </c>
      <c r="AN2534" s="2137">
        <f>Q2534-'Blocking-Step2'!Q2534</f>
        <v>0</v>
      </c>
      <c r="AP2534" s="2127">
        <f>S2534-'Blocking-Step2'!S2534</f>
        <v>0</v>
      </c>
      <c r="AR2534" s="2127">
        <f>U2534-'Blocking-Step2'!U2534</f>
        <v>0</v>
      </c>
      <c r="AT2534" s="2127">
        <f>W2534-'Blocking-Step2'!W2534</f>
        <v>0</v>
      </c>
      <c r="AV2534" s="2128">
        <f>Y2534-'Blocking-Step2'!Y2534</f>
        <v>0</v>
      </c>
    </row>
    <row r="2535" spans="1:48" ht="16.5" hidden="1" thickTop="1">
      <c r="A2535" s="1116" t="s">
        <v>1240</v>
      </c>
      <c r="C2535" s="1024"/>
      <c r="D2535" s="1024"/>
      <c r="F2535" s="2103">
        <v>-3.0700000000000002E-2</v>
      </c>
      <c r="G2535" s="617"/>
      <c r="H2535" s="2104">
        <v>-81448.5429</v>
      </c>
      <c r="I2535" s="2104">
        <v>-97595.2693</v>
      </c>
      <c r="K2535" s="2103"/>
      <c r="L2535" s="617"/>
      <c r="M2535" s="2103"/>
      <c r="N2535" s="617"/>
      <c r="O2535" s="2077" t="s">
        <v>2323</v>
      </c>
      <c r="P2535" s="617"/>
      <c r="Q2535" s="2076">
        <v>-2.5700000000000001E-2</v>
      </c>
      <c r="R2535" s="617"/>
      <c r="S2535" s="1146"/>
      <c r="T2535" s="1114"/>
      <c r="U2535" s="1146"/>
      <c r="V2535" s="1114"/>
      <c r="W2535" s="1146"/>
      <c r="X2535" s="1114"/>
      <c r="Y2535" s="1146">
        <v>-83691.253299999997</v>
      </c>
      <c r="Z2535" s="2114">
        <f>C2535-'Blocking-Step2'!C2535</f>
        <v>0</v>
      </c>
      <c r="AA2535" s="2114">
        <f>D2535-'Blocking-Step2'!D2535</f>
        <v>0</v>
      </c>
      <c r="AC2535" s="2114">
        <f>F2535-'Blocking-Step2'!F2535</f>
        <v>0</v>
      </c>
      <c r="AE2535" s="2114">
        <f>H2535-'Blocking-Step2'!H2535</f>
        <v>0</v>
      </c>
      <c r="AF2535" s="2114">
        <f>I2535-'Blocking-Step2'!I2535</f>
        <v>0</v>
      </c>
      <c r="AH2535" s="2136">
        <f>K2535-'Blocking-Step2'!K2535</f>
        <v>0</v>
      </c>
      <c r="AJ2535" s="2136">
        <f>M2535-'Blocking-Step2'!M2535</f>
        <v>0</v>
      </c>
      <c r="AL2535" s="2136" t="e">
        <f>O2535-'Blocking-Step2'!O2535</f>
        <v>#VALUE!</v>
      </c>
      <c r="AN2535" s="2137">
        <f>Q2535-'Blocking-Step2'!Q2535</f>
        <v>0</v>
      </c>
      <c r="AP2535" s="2127">
        <f>S2535-'Blocking-Step2'!S2535</f>
        <v>0</v>
      </c>
      <c r="AR2535" s="2127">
        <f>U2535-'Blocking-Step2'!U2535</f>
        <v>0</v>
      </c>
      <c r="AT2535" s="2127">
        <f>W2535-'Blocking-Step2'!W2535</f>
        <v>0</v>
      </c>
      <c r="AV2535" s="2128">
        <f>Y2535-'Blocking-Step2'!Y2535</f>
        <v>0</v>
      </c>
    </row>
    <row r="2536" spans="1:48" ht="16.5" hidden="1" thickTop="1">
      <c r="A2536" s="1116"/>
      <c r="C2536" s="1024"/>
      <c r="D2536" s="1024"/>
      <c r="F2536" s="1118"/>
      <c r="G2536" s="617"/>
      <c r="H2536" s="1114"/>
      <c r="I2536" s="1114"/>
      <c r="K2536" s="1118"/>
      <c r="L2536" s="617"/>
      <c r="M2536" s="1118"/>
      <c r="N2536" s="617"/>
      <c r="O2536" s="2077" t="s">
        <v>2324</v>
      </c>
      <c r="P2536" s="617"/>
      <c r="Q2536" s="2076">
        <v>-1.3899999999999999E-2</v>
      </c>
      <c r="R2536" s="617"/>
      <c r="S2536" s="1146"/>
      <c r="T2536" s="1114"/>
      <c r="U2536" s="1146"/>
      <c r="V2536" s="1114"/>
      <c r="W2536" s="1146"/>
      <c r="X2536" s="1114"/>
      <c r="Y2536" s="1146">
        <v>-45264.919099999999</v>
      </c>
      <c r="Z2536" s="2114">
        <f>C2536-'Blocking-Step2'!C2536</f>
        <v>0</v>
      </c>
      <c r="AA2536" s="2114">
        <f>D2536-'Blocking-Step2'!D2536</f>
        <v>0</v>
      </c>
      <c r="AC2536" s="2114">
        <f>F2536-'Blocking-Step2'!F2536</f>
        <v>0</v>
      </c>
      <c r="AE2536" s="2114">
        <f>H2536-'Blocking-Step2'!H2536</f>
        <v>0</v>
      </c>
      <c r="AF2536" s="2114">
        <f>I2536-'Blocking-Step2'!I2536</f>
        <v>0</v>
      </c>
      <c r="AH2536" s="2136">
        <f>K2536-'Blocking-Step2'!K2536</f>
        <v>0</v>
      </c>
      <c r="AJ2536" s="2136">
        <f>M2536-'Blocking-Step2'!M2536</f>
        <v>0</v>
      </c>
      <c r="AL2536" s="2136" t="e">
        <f>O2536-'Blocking-Step2'!O2536</f>
        <v>#VALUE!</v>
      </c>
      <c r="AN2536" s="2137">
        <f>Q2536-'Blocking-Step2'!Q2536</f>
        <v>0</v>
      </c>
      <c r="AP2536" s="2127">
        <f>S2536-'Blocking-Step2'!S2536</f>
        <v>0</v>
      </c>
      <c r="AR2536" s="2127">
        <f>U2536-'Blocking-Step2'!U2536</f>
        <v>0</v>
      </c>
      <c r="AT2536" s="2127">
        <f>W2536-'Blocking-Step2'!W2536</f>
        <v>0</v>
      </c>
      <c r="AV2536" s="2128">
        <f>Y2536-'Blocking-Step2'!Y2536</f>
        <v>0</v>
      </c>
    </row>
    <row r="2537" spans="1:48" ht="16.5" hidden="1" thickTop="1">
      <c r="A2537" s="1116" t="s">
        <v>397</v>
      </c>
      <c r="C2537" s="1024"/>
      <c r="D2537" s="1024"/>
      <c r="F2537" s="1113"/>
      <c r="G2537" s="1921"/>
      <c r="H2537" s="1114">
        <v>2775392.4571000002</v>
      </c>
      <c r="I2537" s="1114">
        <v>3328085.7307000002</v>
      </c>
      <c r="K2537" s="1113"/>
      <c r="L2537" s="1921"/>
      <c r="M2537" s="1113"/>
      <c r="N2537" s="1921"/>
      <c r="O2537" s="1113"/>
      <c r="P2537" s="1921"/>
      <c r="Q2537" s="1113"/>
      <c r="R2537" s="1921"/>
      <c r="S2537" s="1114">
        <v>0</v>
      </c>
      <c r="T2537" s="1648"/>
      <c r="U2537" s="1114">
        <v>2394291</v>
      </c>
      <c r="V2537" s="1648"/>
      <c r="W2537" s="1114">
        <v>1117748</v>
      </c>
      <c r="X2537" s="1648"/>
      <c r="Y2537" s="1114">
        <v>3512040</v>
      </c>
      <c r="Z2537" s="2114">
        <f>C2537-'Blocking-Step2'!C2537</f>
        <v>0</v>
      </c>
      <c r="AA2537" s="2114">
        <f>D2537-'Blocking-Step2'!D2537</f>
        <v>0</v>
      </c>
      <c r="AC2537" s="2114">
        <f>F2537-'Blocking-Step2'!F2537</f>
        <v>0</v>
      </c>
      <c r="AE2537" s="2114">
        <f>H2537-'Blocking-Step2'!H2537</f>
        <v>0</v>
      </c>
      <c r="AF2537" s="2114">
        <f>I2537-'Blocking-Step2'!I2537</f>
        <v>0</v>
      </c>
      <c r="AH2537" s="2136">
        <f>K2537-'Blocking-Step2'!K2537</f>
        <v>0</v>
      </c>
      <c r="AJ2537" s="2136">
        <f>M2537-'Blocking-Step2'!M2537</f>
        <v>0</v>
      </c>
      <c r="AL2537" s="2136">
        <f>O2537-'Blocking-Step2'!O2537</f>
        <v>0</v>
      </c>
      <c r="AN2537" s="2137">
        <f>Q2537-'Blocking-Step2'!Q2537</f>
        <v>0</v>
      </c>
      <c r="AP2537" s="2127">
        <f>S2537-'Blocking-Step2'!S2537</f>
        <v>-747398</v>
      </c>
      <c r="AR2537" s="2127">
        <f>U2537-'Blocking-Step2'!U2537</f>
        <v>747397</v>
      </c>
      <c r="AT2537" s="2127">
        <f>W2537-'Blocking-Step2'!W2537</f>
        <v>0</v>
      </c>
      <c r="AV2537" s="2128">
        <f>Y2537-'Blocking-Step2'!Y2537</f>
        <v>0</v>
      </c>
    </row>
    <row r="2538" spans="1:48" ht="16.5" hidden="1" thickTop="1">
      <c r="A2538" s="1104" t="s">
        <v>136</v>
      </c>
      <c r="C2538" s="1136">
        <v>-817118</v>
      </c>
      <c r="D2538" s="1136">
        <v>0</v>
      </c>
      <c r="F2538" s="1106"/>
      <c r="G2538" s="1107"/>
      <c r="H2538" s="1147">
        <v>-56334</v>
      </c>
      <c r="I2538" s="1147">
        <v>0</v>
      </c>
      <c r="K2538" s="1106"/>
      <c r="L2538" s="1107"/>
      <c r="M2538" s="1106"/>
      <c r="N2538" s="1107"/>
      <c r="O2538" s="1106"/>
      <c r="P2538" s="1107"/>
      <c r="Q2538" s="1106"/>
      <c r="R2538" s="1107"/>
      <c r="S2538" s="1147"/>
      <c r="T2538" s="1114"/>
      <c r="U2538" s="1147"/>
      <c r="V2538" s="1114"/>
      <c r="W2538" s="1147"/>
      <c r="X2538" s="1114"/>
      <c r="Y2538" s="1147"/>
      <c r="Z2538" s="2114">
        <f>C2538-'Blocking-Step2'!C2538</f>
        <v>0</v>
      </c>
      <c r="AA2538" s="2114">
        <f>D2538-'Blocking-Step2'!D2538</f>
        <v>0</v>
      </c>
      <c r="AC2538" s="2114">
        <f>F2538-'Blocking-Step2'!F2538</f>
        <v>0</v>
      </c>
      <c r="AE2538" s="2114">
        <f>H2538-'Blocking-Step2'!H2538</f>
        <v>0</v>
      </c>
      <c r="AF2538" s="2114">
        <f>I2538-'Blocking-Step2'!I2538</f>
        <v>0</v>
      </c>
      <c r="AH2538" s="2136">
        <f>K2538-'Blocking-Step2'!K2538</f>
        <v>0</v>
      </c>
      <c r="AJ2538" s="2136">
        <f>M2538-'Blocking-Step2'!M2538</f>
        <v>0</v>
      </c>
      <c r="AL2538" s="2136">
        <f>O2538-'Blocking-Step2'!O2538</f>
        <v>0</v>
      </c>
      <c r="AN2538" s="2137">
        <f>Q2538-'Blocking-Step2'!Q2538</f>
        <v>0</v>
      </c>
      <c r="AP2538" s="2127">
        <f>S2538-'Blocking-Step2'!S2538</f>
        <v>0</v>
      </c>
      <c r="AR2538" s="2127">
        <f>U2538-'Blocking-Step2'!U2538</f>
        <v>0</v>
      </c>
      <c r="AT2538" s="2127">
        <f>W2538-'Blocking-Step2'!W2538</f>
        <v>0</v>
      </c>
      <c r="AV2538" s="2128">
        <f>Y2538-'Blocking-Step2'!Y2538</f>
        <v>0</v>
      </c>
    </row>
    <row r="2539" spans="1:48" ht="17.25" hidden="1" thickTop="1" thickBot="1">
      <c r="A2539" s="1116" t="s">
        <v>173</v>
      </c>
      <c r="C2539" s="1138">
        <v>49589991</v>
      </c>
      <c r="D2539" s="1138">
        <v>60026109</v>
      </c>
      <c r="F2539" s="1145"/>
      <c r="H2539" s="1149">
        <v>3651323.4571000002</v>
      </c>
      <c r="I2539" s="1149">
        <v>4451406.7307000002</v>
      </c>
      <c r="K2539" s="1145"/>
      <c r="M2539" s="1145"/>
      <c r="O2539" s="1145"/>
      <c r="Q2539" s="1145"/>
      <c r="S2539" s="1149">
        <v>-3960</v>
      </c>
      <c r="U2539" s="1149">
        <v>3555779</v>
      </c>
      <c r="W2539" s="1149">
        <v>1117748</v>
      </c>
      <c r="Y2539" s="1149">
        <v>4669568</v>
      </c>
      <c r="Z2539" s="2114">
        <f>C2539-'Blocking-Step2'!C2539</f>
        <v>0</v>
      </c>
      <c r="AA2539" s="2114">
        <f>D2539-'Blocking-Step2'!D2539</f>
        <v>0</v>
      </c>
      <c r="AC2539" s="2114">
        <f>F2539-'Blocking-Step2'!F2539</f>
        <v>0</v>
      </c>
      <c r="AE2539" s="2114">
        <f>H2539-'Blocking-Step2'!H2539</f>
        <v>0</v>
      </c>
      <c r="AF2539" s="2114">
        <f>I2539-'Blocking-Step2'!I2539</f>
        <v>0</v>
      </c>
      <c r="AH2539" s="2136">
        <f>K2539-'Blocking-Step2'!K2539</f>
        <v>0</v>
      </c>
      <c r="AJ2539" s="2136">
        <f>M2539-'Blocking-Step2'!M2539</f>
        <v>0</v>
      </c>
      <c r="AL2539" s="2136">
        <f>O2539-'Blocking-Step2'!O2539</f>
        <v>0</v>
      </c>
      <c r="AN2539" s="2137">
        <f>Q2539-'Blocking-Step2'!Q2539</f>
        <v>0</v>
      </c>
      <c r="AP2539" s="2127">
        <f>S2539-'Blocking-Step2'!S2539</f>
        <v>-1569035</v>
      </c>
      <c r="AR2539" s="2127">
        <f>U2539-'Blocking-Step2'!U2539</f>
        <v>1569035</v>
      </c>
      <c r="AT2539" s="2127">
        <f>W2539-'Blocking-Step2'!W2539</f>
        <v>0</v>
      </c>
      <c r="AV2539" s="2128">
        <f>Y2539-'Blocking-Step2'!Y2539</f>
        <v>0</v>
      </c>
    </row>
    <row r="2540" spans="1:48" ht="16.5" thickTop="1">
      <c r="A2540" s="2096"/>
      <c r="C2540" s="1105"/>
      <c r="D2540" s="1105"/>
      <c r="E2540" s="1105"/>
      <c r="F2540" s="1105"/>
      <c r="G2540" s="1106"/>
      <c r="H2540" s="1114"/>
      <c r="J2540" s="1104"/>
      <c r="L2540" s="1104"/>
      <c r="N2540" s="1104"/>
      <c r="P2540" s="1104"/>
      <c r="R2540" s="1104"/>
      <c r="S2540" s="1627"/>
      <c r="T2540" s="1627"/>
      <c r="U2540" s="1627"/>
      <c r="V2540" s="1627"/>
      <c r="W2540" s="1627"/>
      <c r="X2540" s="1627"/>
      <c r="Z2540" s="2114">
        <f>C2540-'Blocking-Step2'!C2540</f>
        <v>0</v>
      </c>
      <c r="AA2540" s="2114">
        <f>D2540-'Blocking-Step2'!D2540</f>
        <v>0</v>
      </c>
      <c r="AC2540" s="2114">
        <f>F2540-'Blocking-Step2'!F2540</f>
        <v>0</v>
      </c>
      <c r="AE2540" s="2114">
        <f>H2540-'Blocking-Step2'!H2540</f>
        <v>0</v>
      </c>
      <c r="AF2540" s="2114">
        <f>I2540-'Blocking-Step2'!I2540</f>
        <v>0</v>
      </c>
      <c r="AH2540" s="2136">
        <f>K2540-'Blocking-Step2'!K2540</f>
        <v>0</v>
      </c>
      <c r="AJ2540" s="2136">
        <f>M2540-'Blocking-Step2'!M2540</f>
        <v>0</v>
      </c>
      <c r="AL2540" s="2136">
        <f>O2540-'Blocking-Step2'!O2540</f>
        <v>0</v>
      </c>
      <c r="AN2540" s="2137">
        <f>Q2540-'Blocking-Step2'!Q2540</f>
        <v>0</v>
      </c>
      <c r="AP2540" s="2127">
        <f>S2540-'Blocking-Step2'!S2540</f>
        <v>0</v>
      </c>
      <c r="AR2540" s="2127">
        <f>U2540-'Blocking-Step2'!U2540</f>
        <v>0</v>
      </c>
      <c r="AT2540" s="2127">
        <f>W2540-'Blocking-Step2'!W2540</f>
        <v>0</v>
      </c>
      <c r="AV2540" s="2128">
        <f>Y2540-'Blocking-Step2'!Y2540</f>
        <v>0</v>
      </c>
    </row>
    <row r="2541" spans="1:48" ht="18.75">
      <c r="A2541" s="2007" t="s">
        <v>1488</v>
      </c>
      <c r="C2541" s="1105"/>
      <c r="D2541" s="1105"/>
      <c r="E2541" s="1105"/>
      <c r="F2541" s="1105"/>
      <c r="G2541" s="1106"/>
      <c r="H2541" s="1114"/>
      <c r="J2541" s="1104"/>
      <c r="L2541" s="1104"/>
      <c r="N2541" s="1104"/>
      <c r="P2541" s="1104"/>
      <c r="R2541" s="1104"/>
      <c r="S2541" s="1627"/>
      <c r="T2541" s="1627"/>
      <c r="U2541" s="1627"/>
      <c r="V2541" s="1627"/>
      <c r="W2541" s="1627"/>
      <c r="X2541" s="1627"/>
      <c r="Z2541" s="2114">
        <f>C2541-'Blocking-Step2'!C2541</f>
        <v>0</v>
      </c>
      <c r="AA2541" s="2114">
        <f>D2541-'Blocking-Step2'!D2541</f>
        <v>0</v>
      </c>
      <c r="AC2541" s="2114">
        <f>F2541-'Blocking-Step2'!F2541</f>
        <v>0</v>
      </c>
      <c r="AE2541" s="2114">
        <f>H2541-'Blocking-Step2'!H2541</f>
        <v>0</v>
      </c>
      <c r="AF2541" s="2114">
        <f>I2541-'Blocking-Step2'!I2541</f>
        <v>0</v>
      </c>
      <c r="AH2541" s="2136">
        <f>K2541-'Blocking-Step2'!K2541</f>
        <v>0</v>
      </c>
      <c r="AJ2541" s="2136">
        <f>M2541-'Blocking-Step2'!M2541</f>
        <v>0</v>
      </c>
      <c r="AL2541" s="2136">
        <f>O2541-'Blocking-Step2'!O2541</f>
        <v>0</v>
      </c>
      <c r="AN2541" s="2137">
        <f>Q2541-'Blocking-Step2'!Q2541</f>
        <v>0</v>
      </c>
      <c r="AP2541" s="2127">
        <f>S2541-'Blocking-Step2'!S2541</f>
        <v>0</v>
      </c>
      <c r="AR2541" s="2127">
        <f>U2541-'Blocking-Step2'!U2541</f>
        <v>0</v>
      </c>
      <c r="AT2541" s="2127">
        <f>W2541-'Blocking-Step2'!W2541</f>
        <v>0</v>
      </c>
      <c r="AV2541" s="2128">
        <f>Y2541-'Blocking-Step2'!Y2541</f>
        <v>0</v>
      </c>
    </row>
    <row r="2542" spans="1:48">
      <c r="A2542" s="1116" t="s">
        <v>1434</v>
      </c>
      <c r="C2542" s="1024"/>
      <c r="D2542" s="1024"/>
      <c r="E2542" s="1024"/>
      <c r="F2542" s="1024"/>
      <c r="H2542" s="1628"/>
      <c r="I2542" s="1628"/>
      <c r="K2542" s="1109"/>
      <c r="M2542" s="1109"/>
      <c r="O2542" s="1109"/>
      <c r="Q2542" s="1109"/>
      <c r="Y2542" s="1628"/>
      <c r="Z2542" s="2114">
        <f>C2542-'Blocking-Step2'!C2542</f>
        <v>0</v>
      </c>
      <c r="AA2542" s="2114">
        <f>D2542-'Blocking-Step2'!D2542</f>
        <v>0</v>
      </c>
      <c r="AC2542" s="2114">
        <f>F2542-'Blocking-Step2'!F2542</f>
        <v>0</v>
      </c>
      <c r="AE2542" s="2114">
        <f>H2542-'Blocking-Step2'!H2542</f>
        <v>0</v>
      </c>
      <c r="AF2542" s="2114">
        <f>I2542-'Blocking-Step2'!I2542</f>
        <v>0</v>
      </c>
      <c r="AH2542" s="2136">
        <f>K2542-'Blocking-Step2'!K2542</f>
        <v>0</v>
      </c>
      <c r="AJ2542" s="2136">
        <f>M2542-'Blocking-Step2'!M2542</f>
        <v>0</v>
      </c>
      <c r="AL2542" s="2136">
        <f>O2542-'Blocking-Step2'!O2542</f>
        <v>0</v>
      </c>
      <c r="AN2542" s="2137">
        <f>Q2542-'Blocking-Step2'!Q2542</f>
        <v>0</v>
      </c>
      <c r="AP2542" s="2127">
        <f>S2542-'Blocking-Step2'!S2542</f>
        <v>0</v>
      </c>
      <c r="AR2542" s="2127">
        <f>U2542-'Blocking-Step2'!U2542</f>
        <v>0</v>
      </c>
      <c r="AT2542" s="2127">
        <f>W2542-'Blocking-Step2'!W2542</f>
        <v>0</v>
      </c>
      <c r="AV2542" s="2128">
        <f>Y2542-'Blocking-Step2'!Y2542</f>
        <v>0</v>
      </c>
    </row>
    <row r="2543" spans="1:48">
      <c r="A2543" s="1116" t="s">
        <v>1435</v>
      </c>
      <c r="B2543" s="1116"/>
      <c r="C2543" s="1024"/>
      <c r="D2543" s="1024"/>
      <c r="E2543" s="1024"/>
      <c r="F2543" s="1139">
        <v>54</v>
      </c>
      <c r="G2543" s="1110"/>
      <c r="H2543" s="1629"/>
      <c r="I2543" s="1146">
        <v>0</v>
      </c>
      <c r="J2543" s="1114"/>
      <c r="K2543" s="1139">
        <v>56</v>
      </c>
      <c r="L2543" s="1110"/>
      <c r="M2543" s="1139">
        <v>0</v>
      </c>
      <c r="N2543" s="1110"/>
      <c r="O2543" s="1139">
        <v>0</v>
      </c>
      <c r="P2543" s="1114"/>
      <c r="Q2543" s="1139">
        <v>56</v>
      </c>
      <c r="R2543" s="1114"/>
      <c r="S2543" s="1114">
        <v>0</v>
      </c>
      <c r="T2543" s="1114"/>
      <c r="U2543" s="1114">
        <v>0</v>
      </c>
      <c r="V2543" s="1114"/>
      <c r="W2543" s="1114">
        <v>0</v>
      </c>
      <c r="X2543" s="1114"/>
      <c r="Y2543" s="1114">
        <v>0</v>
      </c>
      <c r="Z2543" s="2114">
        <f>C2543-'Blocking-Step2'!C2543</f>
        <v>0</v>
      </c>
      <c r="AA2543" s="2114">
        <f>D2543-'Blocking-Step2'!D2543</f>
        <v>0</v>
      </c>
      <c r="AC2543" s="2114">
        <f>F2543-'Blocking-Step2'!F2543</f>
        <v>0</v>
      </c>
      <c r="AE2543" s="2114">
        <f>H2543-'Blocking-Step2'!H2543</f>
        <v>0</v>
      </c>
      <c r="AF2543" s="2114">
        <f>I2543-'Blocking-Step2'!I2543</f>
        <v>0</v>
      </c>
      <c r="AH2543" s="2136">
        <f>K2543-'Blocking-Step2'!K2543</f>
        <v>0</v>
      </c>
      <c r="AJ2543" s="2136">
        <f>M2543-'Blocking-Step2'!M2543</f>
        <v>0</v>
      </c>
      <c r="AL2543" s="2136">
        <f>O2543-'Blocking-Step2'!O2543</f>
        <v>0</v>
      </c>
      <c r="AN2543" s="2137">
        <f>Q2543-'Blocking-Step2'!Q2543</f>
        <v>0</v>
      </c>
      <c r="AP2543" s="2127">
        <f>S2543-'Blocking-Step2'!S2543</f>
        <v>0</v>
      </c>
      <c r="AR2543" s="2127">
        <f>U2543-'Blocking-Step2'!U2543</f>
        <v>0</v>
      </c>
      <c r="AT2543" s="2127">
        <f>W2543-'Blocking-Step2'!W2543</f>
        <v>0</v>
      </c>
      <c r="AV2543" s="2128">
        <f>Y2543-'Blocking-Step2'!Y2543</f>
        <v>0</v>
      </c>
    </row>
    <row r="2544" spans="1:48">
      <c r="A2544" s="1116" t="s">
        <v>1436</v>
      </c>
      <c r="B2544" s="1116"/>
      <c r="C2544" s="1024"/>
      <c r="D2544" s="1024"/>
      <c r="E2544" s="1024"/>
      <c r="F2544" s="1139">
        <v>70</v>
      </c>
      <c r="G2544" s="1110"/>
      <c r="H2544" s="1629"/>
      <c r="I2544" s="1146">
        <v>0</v>
      </c>
      <c r="J2544" s="1114"/>
      <c r="K2544" s="1139">
        <v>73</v>
      </c>
      <c r="L2544" s="1110"/>
      <c r="M2544" s="1139">
        <v>0</v>
      </c>
      <c r="N2544" s="1110"/>
      <c r="O2544" s="1139">
        <v>0</v>
      </c>
      <c r="P2544" s="1114"/>
      <c r="Q2544" s="1139">
        <v>73</v>
      </c>
      <c r="R2544" s="1114"/>
      <c r="S2544" s="1114">
        <v>0</v>
      </c>
      <c r="T2544" s="1114"/>
      <c r="U2544" s="1114">
        <v>0</v>
      </c>
      <c r="V2544" s="1114"/>
      <c r="W2544" s="1114">
        <v>0</v>
      </c>
      <c r="X2544" s="1114"/>
      <c r="Y2544" s="1114">
        <v>0</v>
      </c>
      <c r="Z2544" s="2114">
        <f>C2544-'Blocking-Step2'!C2544</f>
        <v>0</v>
      </c>
      <c r="AA2544" s="2114">
        <f>D2544-'Blocking-Step2'!D2544</f>
        <v>0</v>
      </c>
      <c r="AC2544" s="2114">
        <f>F2544-'Blocking-Step2'!F2544</f>
        <v>0</v>
      </c>
      <c r="AE2544" s="2114">
        <f>H2544-'Blocking-Step2'!H2544</f>
        <v>0</v>
      </c>
      <c r="AF2544" s="2114">
        <f>I2544-'Blocking-Step2'!I2544</f>
        <v>0</v>
      </c>
      <c r="AH2544" s="2136">
        <f>K2544-'Blocking-Step2'!K2544</f>
        <v>0</v>
      </c>
      <c r="AJ2544" s="2136">
        <f>M2544-'Blocking-Step2'!M2544</f>
        <v>0</v>
      </c>
      <c r="AL2544" s="2136">
        <f>O2544-'Blocking-Step2'!O2544</f>
        <v>0</v>
      </c>
      <c r="AN2544" s="2137">
        <f>Q2544-'Blocking-Step2'!Q2544</f>
        <v>0</v>
      </c>
      <c r="AP2544" s="2127">
        <f>S2544-'Blocking-Step2'!S2544</f>
        <v>0</v>
      </c>
      <c r="AR2544" s="2127">
        <f>U2544-'Blocking-Step2'!U2544</f>
        <v>0</v>
      </c>
      <c r="AT2544" s="2127">
        <f>W2544-'Blocking-Step2'!W2544</f>
        <v>0</v>
      </c>
      <c r="AV2544" s="2128">
        <f>Y2544-'Blocking-Step2'!Y2544</f>
        <v>0</v>
      </c>
    </row>
    <row r="2545" spans="1:48">
      <c r="A2545" s="1116" t="s">
        <v>1437</v>
      </c>
      <c r="B2545" s="1116"/>
      <c r="C2545" s="1024">
        <v>36.133359073359102</v>
      </c>
      <c r="D2545" s="1105">
        <v>36</v>
      </c>
      <c r="E2545" s="1024"/>
      <c r="F2545" s="1140">
        <v>259</v>
      </c>
      <c r="G2545" s="617"/>
      <c r="H2545" s="1146">
        <v>9359</v>
      </c>
      <c r="I2545" s="1146">
        <v>9324</v>
      </c>
      <c r="J2545" s="1114"/>
      <c r="K2545" s="1139">
        <v>-42.09</v>
      </c>
      <c r="L2545" s="1110"/>
      <c r="M2545" s="1139">
        <v>311.09000000000003</v>
      </c>
      <c r="N2545" s="1110"/>
      <c r="O2545" s="1139">
        <v>0</v>
      </c>
      <c r="P2545" s="1114"/>
      <c r="Q2545" s="1139">
        <v>269</v>
      </c>
      <c r="R2545" s="1114"/>
      <c r="S2545" s="1114">
        <v>-1515</v>
      </c>
      <c r="T2545" s="1114"/>
      <c r="U2545" s="1114">
        <v>11199</v>
      </c>
      <c r="V2545" s="1114"/>
      <c r="W2545" s="1114">
        <v>0</v>
      </c>
      <c r="X2545" s="1114"/>
      <c r="Y2545" s="1114">
        <v>9684</v>
      </c>
      <c r="Z2545" s="2114">
        <f>C2545-'Blocking-Step2'!C2545</f>
        <v>0</v>
      </c>
      <c r="AA2545" s="2114">
        <f>D2545-'Blocking-Step2'!D2545</f>
        <v>0</v>
      </c>
      <c r="AC2545" s="2114">
        <f>F2545-'Blocking-Step2'!F2545</f>
        <v>0</v>
      </c>
      <c r="AE2545" s="2114">
        <f>H2545-'Blocking-Step2'!H2545</f>
        <v>0</v>
      </c>
      <c r="AF2545" s="2114">
        <f>I2545-'Blocking-Step2'!I2545</f>
        <v>0</v>
      </c>
      <c r="AH2545" s="2136">
        <f>K2545-'Blocking-Step2'!K2545</f>
        <v>-311.09000000000003</v>
      </c>
      <c r="AJ2545" s="2136">
        <f>M2545-'Blocking-Step2'!M2545</f>
        <v>311.09000000000003</v>
      </c>
      <c r="AL2545" s="2136">
        <f>O2545-'Blocking-Step2'!O2545</f>
        <v>0</v>
      </c>
      <c r="AN2545" s="2137">
        <f>Q2545-'Blocking-Step2'!Q2545</f>
        <v>0</v>
      </c>
      <c r="AP2545" s="2127">
        <f>S2545-'Blocking-Step2'!S2545</f>
        <v>-11199</v>
      </c>
      <c r="AR2545" s="2127">
        <f>U2545-'Blocking-Step2'!U2545</f>
        <v>11199</v>
      </c>
      <c r="AT2545" s="2127">
        <f>W2545-'Blocking-Step2'!W2545</f>
        <v>0</v>
      </c>
      <c r="AV2545" s="2128">
        <f>Y2545-'Blocking-Step2'!Y2545</f>
        <v>0</v>
      </c>
    </row>
    <row r="2546" spans="1:48">
      <c r="A2546" s="1116" t="s">
        <v>1438</v>
      </c>
      <c r="B2546" s="1116"/>
      <c r="C2546" s="1024"/>
      <c r="D2546" s="1105"/>
      <c r="E2546" s="1024"/>
      <c r="F2546" s="1139"/>
      <c r="G2546" s="1111"/>
      <c r="H2546" s="1629"/>
      <c r="I2546" s="1146"/>
      <c r="J2546" s="1114"/>
      <c r="K2546" s="1139"/>
      <c r="L2546" s="1114"/>
      <c r="M2546" s="1139"/>
      <c r="N2546" s="1114"/>
      <c r="O2546" s="1139"/>
      <c r="P2546" s="1114"/>
      <c r="Q2546" s="1139"/>
      <c r="R2546" s="1114"/>
      <c r="S2546" s="1114"/>
      <c r="T2546" s="1114"/>
      <c r="U2546" s="1114"/>
      <c r="V2546" s="1114"/>
      <c r="W2546" s="1114"/>
      <c r="X2546" s="1114"/>
      <c r="Y2546" s="1114"/>
      <c r="Z2546" s="2114">
        <f>C2546-'Blocking-Step2'!C2546</f>
        <v>0</v>
      </c>
      <c r="AA2546" s="2114">
        <f>D2546-'Blocking-Step2'!D2546</f>
        <v>0</v>
      </c>
      <c r="AC2546" s="2114">
        <f>F2546-'Blocking-Step2'!F2546</f>
        <v>0</v>
      </c>
      <c r="AE2546" s="2114">
        <f>H2546-'Blocking-Step2'!H2546</f>
        <v>0</v>
      </c>
      <c r="AF2546" s="2114">
        <f>I2546-'Blocking-Step2'!I2546</f>
        <v>0</v>
      </c>
      <c r="AH2546" s="2136">
        <f>K2546-'Blocking-Step2'!K2546</f>
        <v>0</v>
      </c>
      <c r="AJ2546" s="2136">
        <f>M2546-'Blocking-Step2'!M2546</f>
        <v>0</v>
      </c>
      <c r="AL2546" s="2136">
        <f>O2546-'Blocking-Step2'!O2546</f>
        <v>0</v>
      </c>
      <c r="AN2546" s="2137">
        <f>Q2546-'Blocking-Step2'!Q2546</f>
        <v>0</v>
      </c>
      <c r="AP2546" s="2127">
        <f>S2546-'Blocking-Step2'!S2546</f>
        <v>0</v>
      </c>
      <c r="AR2546" s="2127">
        <f>U2546-'Blocking-Step2'!U2546</f>
        <v>0</v>
      </c>
      <c r="AT2546" s="2127">
        <f>W2546-'Blocking-Step2'!W2546</f>
        <v>0</v>
      </c>
      <c r="AV2546" s="2128">
        <f>Y2546-'Blocking-Step2'!Y2546</f>
        <v>0</v>
      </c>
    </row>
    <row r="2547" spans="1:48">
      <c r="A2547" s="1116" t="s">
        <v>1439</v>
      </c>
      <c r="B2547" s="1116"/>
      <c r="C2547" s="1024">
        <v>2</v>
      </c>
      <c r="D2547" s="1105">
        <v>12.83952950842653</v>
      </c>
      <c r="E2547" s="1024"/>
      <c r="F2547" s="1139">
        <v>110</v>
      </c>
      <c r="G2547" s="1111"/>
      <c r="H2547" s="1146">
        <v>220</v>
      </c>
      <c r="I2547" s="1146">
        <v>1412</v>
      </c>
      <c r="J2547" s="1114"/>
      <c r="K2547" s="1139">
        <v>114</v>
      </c>
      <c r="L2547" s="1114"/>
      <c r="M2547" s="1139">
        <v>0</v>
      </c>
      <c r="N2547" s="1114"/>
      <c r="O2547" s="1139">
        <v>0</v>
      </c>
      <c r="P2547" s="1114"/>
      <c r="Q2547" s="1139">
        <v>114</v>
      </c>
      <c r="R2547" s="1114"/>
      <c r="S2547" s="1114">
        <v>1464</v>
      </c>
      <c r="T2547" s="1114"/>
      <c r="U2547" s="1114">
        <v>0</v>
      </c>
      <c r="V2547" s="1114"/>
      <c r="W2547" s="1114">
        <v>0</v>
      </c>
      <c r="X2547" s="1114"/>
      <c r="Y2547" s="1114">
        <v>1464</v>
      </c>
      <c r="Z2547" s="2114">
        <f>C2547-'Blocking-Step2'!C2547</f>
        <v>0</v>
      </c>
      <c r="AA2547" s="2114">
        <f>D2547-'Blocking-Step2'!D2547</f>
        <v>0</v>
      </c>
      <c r="AC2547" s="2114">
        <f>F2547-'Blocking-Step2'!F2547</f>
        <v>0</v>
      </c>
      <c r="AE2547" s="2114">
        <f>H2547-'Blocking-Step2'!H2547</f>
        <v>0</v>
      </c>
      <c r="AF2547" s="2114">
        <f>I2547-'Blocking-Step2'!I2547</f>
        <v>0</v>
      </c>
      <c r="AH2547" s="2136">
        <f>K2547-'Blocking-Step2'!K2547</f>
        <v>0</v>
      </c>
      <c r="AJ2547" s="2136">
        <f>M2547-'Blocking-Step2'!M2547</f>
        <v>0</v>
      </c>
      <c r="AL2547" s="2136">
        <f>O2547-'Blocking-Step2'!O2547</f>
        <v>0</v>
      </c>
      <c r="AN2547" s="2137">
        <f>Q2547-'Blocking-Step2'!Q2547</f>
        <v>0</v>
      </c>
      <c r="AP2547" s="2127">
        <f>S2547-'Blocking-Step2'!S2547</f>
        <v>0</v>
      </c>
      <c r="AR2547" s="2127">
        <f>U2547-'Blocking-Step2'!U2547</f>
        <v>0</v>
      </c>
      <c r="AT2547" s="2127">
        <f>W2547-'Blocking-Step2'!W2547</f>
        <v>0</v>
      </c>
      <c r="AV2547" s="2128">
        <f>Y2547-'Blocking-Step2'!Y2547</f>
        <v>0</v>
      </c>
    </row>
    <row r="2548" spans="1:48" s="1874" customFormat="1">
      <c r="A2548" s="1116" t="s">
        <v>1440</v>
      </c>
      <c r="B2548" s="1116"/>
      <c r="C2548" s="1024">
        <v>6</v>
      </c>
      <c r="D2548" s="1105">
        <v>38.518588525279576</v>
      </c>
      <c r="E2548" s="1024"/>
      <c r="F2548" s="1139">
        <v>150</v>
      </c>
      <c r="G2548" s="1111"/>
      <c r="H2548" s="1146">
        <v>900</v>
      </c>
      <c r="I2548" s="1146">
        <v>5778</v>
      </c>
      <c r="J2548" s="1114"/>
      <c r="K2548" s="1139">
        <v>156</v>
      </c>
      <c r="L2548" s="1114"/>
      <c r="M2548" s="1139">
        <v>0</v>
      </c>
      <c r="N2548" s="1114"/>
      <c r="O2548" s="1139">
        <v>0</v>
      </c>
      <c r="P2548" s="1114"/>
      <c r="Q2548" s="1139">
        <v>156</v>
      </c>
      <c r="R2548" s="1114"/>
      <c r="S2548" s="1114">
        <v>6009</v>
      </c>
      <c r="T2548" s="1114"/>
      <c r="U2548" s="1114">
        <v>0</v>
      </c>
      <c r="V2548" s="1114"/>
      <c r="W2548" s="1114">
        <v>0</v>
      </c>
      <c r="X2548" s="1114"/>
      <c r="Y2548" s="1114">
        <v>6009</v>
      </c>
      <c r="Z2548" s="2114">
        <f>C2548-'Blocking-Step2'!C2548</f>
        <v>0</v>
      </c>
      <c r="AA2548" s="2114">
        <f>D2548-'Blocking-Step2'!D2548</f>
        <v>0</v>
      </c>
      <c r="AB2548" s="2114"/>
      <c r="AC2548" s="2114">
        <f>F2548-'Blocking-Step2'!F2548</f>
        <v>0</v>
      </c>
      <c r="AD2548" s="2114"/>
      <c r="AE2548" s="2114">
        <f>H2548-'Blocking-Step2'!H2548</f>
        <v>0</v>
      </c>
      <c r="AF2548" s="2114">
        <f>I2548-'Blocking-Step2'!I2548</f>
        <v>0</v>
      </c>
      <c r="AG2548" s="2114"/>
      <c r="AH2548" s="2136">
        <f>K2548-'Blocking-Step2'!K2548</f>
        <v>0</v>
      </c>
      <c r="AI2548" s="2136"/>
      <c r="AJ2548" s="2136">
        <f>M2548-'Blocking-Step2'!M2548</f>
        <v>0</v>
      </c>
      <c r="AK2548" s="2136"/>
      <c r="AL2548" s="2136">
        <f>O2548-'Blocking-Step2'!O2548</f>
        <v>0</v>
      </c>
      <c r="AM2548" s="2136"/>
      <c r="AN2548" s="2137">
        <f>Q2548-'Blocking-Step2'!Q2548</f>
        <v>0</v>
      </c>
      <c r="AO2548" s="2114"/>
      <c r="AP2548" s="2127">
        <f>S2548-'Blocking-Step2'!S2548</f>
        <v>0</v>
      </c>
      <c r="AQ2548" s="2127"/>
      <c r="AR2548" s="2127">
        <f>U2548-'Blocking-Step2'!U2548</f>
        <v>0</v>
      </c>
      <c r="AS2548" s="2127"/>
      <c r="AT2548" s="2127">
        <f>W2548-'Blocking-Step2'!W2548</f>
        <v>0</v>
      </c>
      <c r="AU2548" s="2127"/>
      <c r="AV2548" s="2128">
        <f>Y2548-'Blocking-Step2'!Y2548</f>
        <v>0</v>
      </c>
    </row>
    <row r="2549" spans="1:48" s="1874" customFormat="1">
      <c r="A2549" s="1116" t="s">
        <v>1441</v>
      </c>
      <c r="B2549" s="1116"/>
      <c r="C2549" s="1024"/>
      <c r="D2549" s="1105"/>
      <c r="E2549" s="1024"/>
      <c r="F2549" s="1140"/>
      <c r="G2549" s="1112"/>
      <c r="H2549" s="1114"/>
      <c r="I2549" s="1146"/>
      <c r="J2549" s="1114"/>
      <c r="K2549" s="1140"/>
      <c r="L2549" s="1114"/>
      <c r="M2549" s="1140"/>
      <c r="N2549" s="1114"/>
      <c r="O2549" s="1140"/>
      <c r="P2549" s="1114"/>
      <c r="Q2549" s="1140"/>
      <c r="R2549" s="1114"/>
      <c r="S2549" s="1114"/>
      <c r="T2549" s="1114"/>
      <c r="U2549" s="1114"/>
      <c r="V2549" s="1114"/>
      <c r="W2549" s="1114"/>
      <c r="X2549" s="1114"/>
      <c r="Y2549" s="1114"/>
      <c r="Z2549" s="2114">
        <f>C2549-'Blocking-Step2'!C2549</f>
        <v>0</v>
      </c>
      <c r="AA2549" s="2114">
        <f>D2549-'Blocking-Step2'!D2549</f>
        <v>0</v>
      </c>
      <c r="AB2549" s="2114"/>
      <c r="AC2549" s="2114">
        <f>F2549-'Blocking-Step2'!F2549</f>
        <v>0</v>
      </c>
      <c r="AD2549" s="2114"/>
      <c r="AE2549" s="2114">
        <f>H2549-'Blocking-Step2'!H2549</f>
        <v>0</v>
      </c>
      <c r="AF2549" s="2114">
        <f>I2549-'Blocking-Step2'!I2549</f>
        <v>0</v>
      </c>
      <c r="AG2549" s="2114"/>
      <c r="AH2549" s="2136">
        <f>K2549-'Blocking-Step2'!K2549</f>
        <v>0</v>
      </c>
      <c r="AI2549" s="2136"/>
      <c r="AJ2549" s="2136">
        <f>M2549-'Blocking-Step2'!M2549</f>
        <v>0</v>
      </c>
      <c r="AK2549" s="2136"/>
      <c r="AL2549" s="2136">
        <f>O2549-'Blocking-Step2'!O2549</f>
        <v>0</v>
      </c>
      <c r="AM2549" s="2136"/>
      <c r="AN2549" s="2137">
        <f>Q2549-'Blocking-Step2'!Q2549</f>
        <v>0</v>
      </c>
      <c r="AO2549" s="2114"/>
      <c r="AP2549" s="2127">
        <f>S2549-'Blocking-Step2'!S2549</f>
        <v>0</v>
      </c>
      <c r="AQ2549" s="2127"/>
      <c r="AR2549" s="2127">
        <f>U2549-'Blocking-Step2'!U2549</f>
        <v>0</v>
      </c>
      <c r="AS2549" s="2127"/>
      <c r="AT2549" s="2127">
        <f>W2549-'Blocking-Step2'!W2549</f>
        <v>0</v>
      </c>
      <c r="AU2549" s="2127"/>
      <c r="AV2549" s="2128">
        <f>Y2549-'Blocking-Step2'!Y2549</f>
        <v>0</v>
      </c>
    </row>
    <row r="2550" spans="1:48" s="1874" customFormat="1">
      <c r="A2550" s="1116" t="s">
        <v>1442</v>
      </c>
      <c r="B2550" s="1116"/>
      <c r="C2550" s="1024"/>
      <c r="D2550" s="1105"/>
      <c r="E2550" s="1024"/>
      <c r="F2550" s="1139">
        <v>7.62</v>
      </c>
      <c r="G2550" s="1111"/>
      <c r="H2550" s="1629"/>
      <c r="I2550" s="1146">
        <v>0</v>
      </c>
      <c r="J2550" s="1114"/>
      <c r="K2550" s="2039">
        <v>7.69</v>
      </c>
      <c r="L2550" s="1110"/>
      <c r="M2550" s="1139">
        <v>0</v>
      </c>
      <c r="N2550" s="1110"/>
      <c r="O2550" s="1139">
        <v>0</v>
      </c>
      <c r="P2550" s="1114"/>
      <c r="Q2550" s="1139">
        <v>7.69</v>
      </c>
      <c r="R2550" s="1114"/>
      <c r="S2550" s="1114">
        <v>0</v>
      </c>
      <c r="T2550" s="1114"/>
      <c r="U2550" s="1114">
        <v>0</v>
      </c>
      <c r="V2550" s="1114"/>
      <c r="W2550" s="1114">
        <v>0</v>
      </c>
      <c r="X2550" s="1114"/>
      <c r="Y2550" s="1114">
        <v>0</v>
      </c>
      <c r="Z2550" s="2114">
        <f>C2550-'Blocking-Step2'!C2550</f>
        <v>0</v>
      </c>
      <c r="AA2550" s="2114">
        <f>D2550-'Blocking-Step2'!D2550</f>
        <v>0</v>
      </c>
      <c r="AB2550" s="2114"/>
      <c r="AC2550" s="2114">
        <f>F2550-'Blocking-Step2'!F2550</f>
        <v>0</v>
      </c>
      <c r="AD2550" s="2114"/>
      <c r="AE2550" s="2114">
        <f>H2550-'Blocking-Step2'!H2550</f>
        <v>0</v>
      </c>
      <c r="AF2550" s="2114">
        <f>I2550-'Blocking-Step2'!I2550</f>
        <v>0</v>
      </c>
      <c r="AG2550" s="2114"/>
      <c r="AH2550" s="2136">
        <f>K2550-'Blocking-Step2'!K2550</f>
        <v>0</v>
      </c>
      <c r="AI2550" s="2136"/>
      <c r="AJ2550" s="2136">
        <f>M2550-'Blocking-Step2'!M2550</f>
        <v>0</v>
      </c>
      <c r="AK2550" s="2136"/>
      <c r="AL2550" s="2136">
        <f>O2550-'Blocking-Step2'!O2550</f>
        <v>0</v>
      </c>
      <c r="AM2550" s="2136"/>
      <c r="AN2550" s="2137">
        <f>Q2550-'Blocking-Step2'!Q2550</f>
        <v>0</v>
      </c>
      <c r="AO2550" s="2114"/>
      <c r="AP2550" s="2127">
        <f>S2550-'Blocking-Step2'!S2550</f>
        <v>0</v>
      </c>
      <c r="AQ2550" s="2127"/>
      <c r="AR2550" s="2127">
        <f>U2550-'Blocking-Step2'!U2550</f>
        <v>0</v>
      </c>
      <c r="AS2550" s="2127"/>
      <c r="AT2550" s="2127">
        <f>W2550-'Blocking-Step2'!W2550</f>
        <v>0</v>
      </c>
      <c r="AU2550" s="2127"/>
      <c r="AV2550" s="2128">
        <f>Y2550-'Blocking-Step2'!Y2550</f>
        <v>0</v>
      </c>
    </row>
    <row r="2551" spans="1:48" s="1874" customFormat="1">
      <c r="A2551" s="1116" t="s">
        <v>1443</v>
      </c>
      <c r="B2551" s="1116"/>
      <c r="C2551" s="1024"/>
      <c r="D2551" s="1105"/>
      <c r="E2551" s="1024"/>
      <c r="F2551" s="1139">
        <v>6.67</v>
      </c>
      <c r="G2551" s="1111"/>
      <c r="H2551" s="1629"/>
      <c r="I2551" s="1146">
        <v>0</v>
      </c>
      <c r="J2551" s="1114"/>
      <c r="K2551" s="2039">
        <v>6.73</v>
      </c>
      <c r="L2551" s="1110"/>
      <c r="M2551" s="1139">
        <v>0</v>
      </c>
      <c r="N2551" s="1110"/>
      <c r="O2551" s="1139">
        <v>0</v>
      </c>
      <c r="P2551" s="1114"/>
      <c r="Q2551" s="1139">
        <v>6.73</v>
      </c>
      <c r="R2551" s="1114"/>
      <c r="S2551" s="1114">
        <v>0</v>
      </c>
      <c r="T2551" s="1114"/>
      <c r="U2551" s="1114">
        <v>0</v>
      </c>
      <c r="V2551" s="1114"/>
      <c r="W2551" s="1114">
        <v>0</v>
      </c>
      <c r="X2551" s="1114"/>
      <c r="Y2551" s="1114">
        <v>0</v>
      </c>
      <c r="Z2551" s="2114">
        <f>C2551-'Blocking-Step2'!C2551</f>
        <v>0</v>
      </c>
      <c r="AA2551" s="2114">
        <f>D2551-'Blocking-Step2'!D2551</f>
        <v>0</v>
      </c>
      <c r="AB2551" s="2114"/>
      <c r="AC2551" s="2114">
        <f>F2551-'Blocking-Step2'!F2551</f>
        <v>0</v>
      </c>
      <c r="AD2551" s="2114"/>
      <c r="AE2551" s="2114">
        <f>H2551-'Blocking-Step2'!H2551</f>
        <v>0</v>
      </c>
      <c r="AF2551" s="2114">
        <f>I2551-'Blocking-Step2'!I2551</f>
        <v>0</v>
      </c>
      <c r="AG2551" s="2114"/>
      <c r="AH2551" s="2136">
        <f>K2551-'Blocking-Step2'!K2551</f>
        <v>0</v>
      </c>
      <c r="AI2551" s="2136"/>
      <c r="AJ2551" s="2136">
        <f>M2551-'Blocking-Step2'!M2551</f>
        <v>0</v>
      </c>
      <c r="AK2551" s="2136"/>
      <c r="AL2551" s="2136">
        <f>O2551-'Blocking-Step2'!O2551</f>
        <v>0</v>
      </c>
      <c r="AM2551" s="2136"/>
      <c r="AN2551" s="2137">
        <f>Q2551-'Blocking-Step2'!Q2551</f>
        <v>0</v>
      </c>
      <c r="AO2551" s="2114"/>
      <c r="AP2551" s="2127">
        <f>S2551-'Blocking-Step2'!S2551</f>
        <v>0</v>
      </c>
      <c r="AQ2551" s="2127"/>
      <c r="AR2551" s="2127">
        <f>U2551-'Blocking-Step2'!U2551</f>
        <v>0</v>
      </c>
      <c r="AS2551" s="2127"/>
      <c r="AT2551" s="2127">
        <f>W2551-'Blocking-Step2'!W2551</f>
        <v>0</v>
      </c>
      <c r="AU2551" s="2127"/>
      <c r="AV2551" s="2128">
        <f>Y2551-'Blocking-Step2'!Y2551</f>
        <v>0</v>
      </c>
    </row>
    <row r="2552" spans="1:48" s="1874" customFormat="1">
      <c r="A2552" s="1116" t="s">
        <v>1444</v>
      </c>
      <c r="B2552" s="1116"/>
      <c r="C2552" s="1024"/>
      <c r="D2552" s="1105"/>
      <c r="E2552" s="1024"/>
      <c r="F2552" s="1139">
        <v>7.9</v>
      </c>
      <c r="G2552" s="1110"/>
      <c r="H2552" s="1629"/>
      <c r="I2552" s="1146">
        <v>0</v>
      </c>
      <c r="J2552" s="1114"/>
      <c r="K2552" s="2039">
        <v>8.5500000000000007</v>
      </c>
      <c r="L2552" s="1110"/>
      <c r="M2552" s="1139">
        <v>0</v>
      </c>
      <c r="N2552" s="1110"/>
      <c r="O2552" s="1139">
        <v>0</v>
      </c>
      <c r="P2552" s="1114"/>
      <c r="Q2552" s="1139">
        <v>8.5500000000000007</v>
      </c>
      <c r="R2552" s="1114"/>
      <c r="S2552" s="1114">
        <v>0</v>
      </c>
      <c r="T2552" s="1114"/>
      <c r="U2552" s="1114">
        <v>0</v>
      </c>
      <c r="V2552" s="1114"/>
      <c r="W2552" s="1114">
        <v>0</v>
      </c>
      <c r="X2552" s="1114"/>
      <c r="Y2552" s="1114">
        <v>0</v>
      </c>
      <c r="Z2552" s="2114">
        <f>C2552-'Blocking-Step2'!C2552</f>
        <v>0</v>
      </c>
      <c r="AA2552" s="2114">
        <f>D2552-'Blocking-Step2'!D2552</f>
        <v>0</v>
      </c>
      <c r="AB2552" s="2114"/>
      <c r="AC2552" s="2114">
        <f>F2552-'Blocking-Step2'!F2552</f>
        <v>0</v>
      </c>
      <c r="AD2552" s="2114"/>
      <c r="AE2552" s="2114">
        <f>H2552-'Blocking-Step2'!H2552</f>
        <v>0</v>
      </c>
      <c r="AF2552" s="2114">
        <f>I2552-'Blocking-Step2'!I2552</f>
        <v>0</v>
      </c>
      <c r="AG2552" s="2114"/>
      <c r="AH2552" s="2136">
        <f>K2552-'Blocking-Step2'!K2552</f>
        <v>0</v>
      </c>
      <c r="AI2552" s="2136"/>
      <c r="AJ2552" s="2136">
        <f>M2552-'Blocking-Step2'!M2552</f>
        <v>0</v>
      </c>
      <c r="AK2552" s="2136"/>
      <c r="AL2552" s="2136">
        <f>O2552-'Blocking-Step2'!O2552</f>
        <v>0</v>
      </c>
      <c r="AM2552" s="2136"/>
      <c r="AN2552" s="2137">
        <f>Q2552-'Blocking-Step2'!Q2552</f>
        <v>0</v>
      </c>
      <c r="AO2552" s="2114"/>
      <c r="AP2552" s="2127">
        <f>S2552-'Blocking-Step2'!S2552</f>
        <v>0</v>
      </c>
      <c r="AQ2552" s="2127"/>
      <c r="AR2552" s="2127">
        <f>U2552-'Blocking-Step2'!U2552</f>
        <v>0</v>
      </c>
      <c r="AS2552" s="2127"/>
      <c r="AT2552" s="2127">
        <f>W2552-'Blocking-Step2'!W2552</f>
        <v>0</v>
      </c>
      <c r="AU2552" s="2127"/>
      <c r="AV2552" s="2128">
        <f>Y2552-'Blocking-Step2'!Y2552</f>
        <v>0</v>
      </c>
    </row>
    <row r="2553" spans="1:48" s="1874" customFormat="1">
      <c r="A2553" s="1116" t="s">
        <v>1445</v>
      </c>
      <c r="B2553" s="1116"/>
      <c r="C2553" s="1024"/>
      <c r="D2553" s="1105"/>
      <c r="E2553" s="1024"/>
      <c r="F2553" s="1139">
        <v>6.75</v>
      </c>
      <c r="G2553" s="1111"/>
      <c r="H2553" s="1629"/>
      <c r="I2553" s="1146">
        <v>0</v>
      </c>
      <c r="J2553" s="1114"/>
      <c r="K2553" s="2039">
        <v>7.42</v>
      </c>
      <c r="L2553" s="1110"/>
      <c r="M2553" s="1139">
        <v>0</v>
      </c>
      <c r="N2553" s="1110"/>
      <c r="O2553" s="1139">
        <v>0</v>
      </c>
      <c r="P2553" s="1114"/>
      <c r="Q2553" s="1139">
        <v>7.42</v>
      </c>
      <c r="R2553" s="1114"/>
      <c r="S2553" s="1114">
        <v>0</v>
      </c>
      <c r="T2553" s="1114"/>
      <c r="U2553" s="1114">
        <v>0</v>
      </c>
      <c r="V2553" s="1114"/>
      <c r="W2553" s="1114">
        <v>0</v>
      </c>
      <c r="X2553" s="1114"/>
      <c r="Y2553" s="1114">
        <v>0</v>
      </c>
      <c r="Z2553" s="2114">
        <f>C2553-'Blocking-Step2'!C2553</f>
        <v>0</v>
      </c>
      <c r="AA2553" s="2114">
        <f>D2553-'Blocking-Step2'!D2553</f>
        <v>0</v>
      </c>
      <c r="AB2553" s="2114"/>
      <c r="AC2553" s="2114">
        <f>F2553-'Blocking-Step2'!F2553</f>
        <v>0</v>
      </c>
      <c r="AD2553" s="2114"/>
      <c r="AE2553" s="2114">
        <f>H2553-'Blocking-Step2'!H2553</f>
        <v>0</v>
      </c>
      <c r="AF2553" s="2114">
        <f>I2553-'Blocking-Step2'!I2553</f>
        <v>0</v>
      </c>
      <c r="AG2553" s="2114"/>
      <c r="AH2553" s="2136">
        <f>K2553-'Blocking-Step2'!K2553</f>
        <v>0</v>
      </c>
      <c r="AI2553" s="2136"/>
      <c r="AJ2553" s="2136">
        <f>M2553-'Blocking-Step2'!M2553</f>
        <v>0</v>
      </c>
      <c r="AK2553" s="2136"/>
      <c r="AL2553" s="2136">
        <f>O2553-'Blocking-Step2'!O2553</f>
        <v>0</v>
      </c>
      <c r="AM2553" s="2136"/>
      <c r="AN2553" s="2137">
        <f>Q2553-'Blocking-Step2'!Q2553</f>
        <v>0</v>
      </c>
      <c r="AO2553" s="2114"/>
      <c r="AP2553" s="2127">
        <f>S2553-'Blocking-Step2'!S2553</f>
        <v>0</v>
      </c>
      <c r="AQ2553" s="2127"/>
      <c r="AR2553" s="2127">
        <f>U2553-'Blocking-Step2'!U2553</f>
        <v>0</v>
      </c>
      <c r="AS2553" s="2127"/>
      <c r="AT2553" s="2127">
        <f>W2553-'Blocking-Step2'!W2553</f>
        <v>0</v>
      </c>
      <c r="AU2553" s="2127"/>
      <c r="AV2553" s="2128">
        <f>Y2553-'Blocking-Step2'!Y2553</f>
        <v>0</v>
      </c>
    </row>
    <row r="2554" spans="1:48" s="1874" customFormat="1">
      <c r="A2554" s="1116" t="s">
        <v>1437</v>
      </c>
      <c r="B2554" s="1116"/>
      <c r="C2554" s="1024">
        <v>38848</v>
      </c>
      <c r="D2554" s="1105">
        <v>245395.50772980196</v>
      </c>
      <c r="E2554" s="1024"/>
      <c r="F2554" s="1139">
        <v>3.85</v>
      </c>
      <c r="G2554" s="1111"/>
      <c r="H2554" s="1146">
        <v>149565</v>
      </c>
      <c r="I2554" s="1146">
        <v>944773</v>
      </c>
      <c r="J2554" s="1114"/>
      <c r="K2554" s="2039">
        <v>5.01</v>
      </c>
      <c r="L2554" s="1110"/>
      <c r="M2554" s="1139">
        <v>0</v>
      </c>
      <c r="N2554" s="1110"/>
      <c r="O2554" s="1139">
        <v>0</v>
      </c>
      <c r="P2554" s="1114"/>
      <c r="Q2554" s="1139">
        <v>5.01</v>
      </c>
      <c r="R2554" s="1114"/>
      <c r="S2554" s="1114">
        <v>1229431</v>
      </c>
      <c r="T2554" s="1114"/>
      <c r="U2554" s="1114">
        <v>0</v>
      </c>
      <c r="V2554" s="1114"/>
      <c r="W2554" s="1114">
        <v>0</v>
      </c>
      <c r="X2554" s="1114"/>
      <c r="Y2554" s="1114">
        <v>1229431</v>
      </c>
      <c r="Z2554" s="2114">
        <f>C2554-'Blocking-Step2'!C2554</f>
        <v>0</v>
      </c>
      <c r="AA2554" s="2114">
        <f>D2554-'Blocking-Step2'!D2554</f>
        <v>0</v>
      </c>
      <c r="AB2554" s="2114"/>
      <c r="AC2554" s="2114">
        <f>F2554-'Blocking-Step2'!F2554</f>
        <v>0</v>
      </c>
      <c r="AD2554" s="2114"/>
      <c r="AE2554" s="2114">
        <f>H2554-'Blocking-Step2'!H2554</f>
        <v>0</v>
      </c>
      <c r="AF2554" s="2114">
        <f>I2554-'Blocking-Step2'!I2554</f>
        <v>0</v>
      </c>
      <c r="AG2554" s="2114"/>
      <c r="AH2554" s="2136">
        <f>K2554-'Blocking-Step2'!K2554</f>
        <v>0</v>
      </c>
      <c r="AI2554" s="2136"/>
      <c r="AJ2554" s="2136">
        <f>M2554-'Blocking-Step2'!M2554</f>
        <v>0</v>
      </c>
      <c r="AK2554" s="2136"/>
      <c r="AL2554" s="2136">
        <f>O2554-'Blocking-Step2'!O2554</f>
        <v>0</v>
      </c>
      <c r="AM2554" s="2136"/>
      <c r="AN2554" s="2137">
        <f>Q2554-'Blocking-Step2'!Q2554</f>
        <v>0</v>
      </c>
      <c r="AO2554" s="2114"/>
      <c r="AP2554" s="2127">
        <f>S2554-'Blocking-Step2'!S2554</f>
        <v>0</v>
      </c>
      <c r="AQ2554" s="2127"/>
      <c r="AR2554" s="2127">
        <f>U2554-'Blocking-Step2'!U2554</f>
        <v>0</v>
      </c>
      <c r="AS2554" s="2127"/>
      <c r="AT2554" s="2127">
        <f>W2554-'Blocking-Step2'!W2554</f>
        <v>0</v>
      </c>
      <c r="AU2554" s="2127"/>
      <c r="AV2554" s="2128">
        <f>Y2554-'Blocking-Step2'!Y2554</f>
        <v>0</v>
      </c>
    </row>
    <row r="2555" spans="1:48" s="1874" customFormat="1">
      <c r="A2555" s="1116" t="s">
        <v>1446</v>
      </c>
      <c r="B2555" s="1104"/>
      <c r="C2555" s="1024"/>
      <c r="D2555" s="1105"/>
      <c r="E2555" s="1024"/>
      <c r="F2555" s="1141"/>
      <c r="G2555" s="1109"/>
      <c r="H2555" s="1628"/>
      <c r="I2555" s="1627"/>
      <c r="J2555" s="1109"/>
      <c r="K2555" s="1141"/>
      <c r="L2555" s="1109"/>
      <c r="M2555" s="1141"/>
      <c r="N2555" s="1109"/>
      <c r="O2555" s="1141"/>
      <c r="P2555" s="1109"/>
      <c r="Q2555" s="1141"/>
      <c r="R2555" s="1109"/>
      <c r="S2555" s="1628"/>
      <c r="T2555" s="1628"/>
      <c r="U2555" s="1628"/>
      <c r="V2555" s="1628"/>
      <c r="W2555" s="1628"/>
      <c r="X2555" s="1628"/>
      <c r="Y2555" s="1628"/>
      <c r="Z2555" s="2114">
        <f>C2555-'Blocking-Step2'!C2555</f>
        <v>0</v>
      </c>
      <c r="AA2555" s="2114">
        <f>D2555-'Blocking-Step2'!D2555</f>
        <v>0</v>
      </c>
      <c r="AB2555" s="2114"/>
      <c r="AC2555" s="2114">
        <f>F2555-'Blocking-Step2'!F2555</f>
        <v>0</v>
      </c>
      <c r="AD2555" s="2114"/>
      <c r="AE2555" s="2114">
        <f>H2555-'Blocking-Step2'!H2555</f>
        <v>0</v>
      </c>
      <c r="AF2555" s="2114">
        <f>I2555-'Blocking-Step2'!I2555</f>
        <v>0</v>
      </c>
      <c r="AG2555" s="2114"/>
      <c r="AH2555" s="2136">
        <f>K2555-'Blocking-Step2'!K2555</f>
        <v>0</v>
      </c>
      <c r="AI2555" s="2136"/>
      <c r="AJ2555" s="2136">
        <f>M2555-'Blocking-Step2'!M2555</f>
        <v>0</v>
      </c>
      <c r="AK2555" s="2136"/>
      <c r="AL2555" s="2136">
        <f>O2555-'Blocking-Step2'!O2555</f>
        <v>0</v>
      </c>
      <c r="AM2555" s="2136"/>
      <c r="AN2555" s="2137">
        <f>Q2555-'Blocking-Step2'!Q2555</f>
        <v>0</v>
      </c>
      <c r="AO2555" s="2114"/>
      <c r="AP2555" s="2127">
        <f>S2555-'Blocking-Step2'!S2555</f>
        <v>0</v>
      </c>
      <c r="AQ2555" s="2127"/>
      <c r="AR2555" s="2127">
        <f>U2555-'Blocking-Step2'!U2555</f>
        <v>0</v>
      </c>
      <c r="AS2555" s="2127"/>
      <c r="AT2555" s="2127">
        <f>W2555-'Blocking-Step2'!W2555</f>
        <v>0</v>
      </c>
      <c r="AU2555" s="2127"/>
      <c r="AV2555" s="2128">
        <f>Y2555-'Blocking-Step2'!Y2555</f>
        <v>0</v>
      </c>
    </row>
    <row r="2556" spans="1:48" s="1874" customFormat="1">
      <c r="A2556" s="1116" t="s">
        <v>1447</v>
      </c>
      <c r="B2556" s="1104"/>
      <c r="C2556" s="1024"/>
      <c r="D2556" s="1105"/>
      <c r="E2556" s="1024"/>
      <c r="F2556" s="1139"/>
      <c r="G2556" s="1110"/>
      <c r="H2556" s="1629"/>
      <c r="I2556" s="1146"/>
      <c r="J2556" s="1114"/>
      <c r="K2556" s="1139"/>
      <c r="L2556" s="1114"/>
      <c r="M2556" s="1139"/>
      <c r="N2556" s="1114"/>
      <c r="O2556" s="1139"/>
      <c r="P2556" s="1114"/>
      <c r="Q2556" s="1139"/>
      <c r="R2556" s="1114"/>
      <c r="S2556" s="1114"/>
      <c r="T2556" s="1114"/>
      <c r="U2556" s="1114"/>
      <c r="V2556" s="1114"/>
      <c r="W2556" s="1114"/>
      <c r="X2556" s="1114"/>
      <c r="Y2556" s="1114"/>
      <c r="Z2556" s="2114">
        <f>C2556-'Blocking-Step2'!C2556</f>
        <v>0</v>
      </c>
      <c r="AA2556" s="2114">
        <f>D2556-'Blocking-Step2'!D2556</f>
        <v>0</v>
      </c>
      <c r="AB2556" s="2114"/>
      <c r="AC2556" s="2114">
        <f>F2556-'Blocking-Step2'!F2556</f>
        <v>0</v>
      </c>
      <c r="AD2556" s="2114"/>
      <c r="AE2556" s="2114">
        <f>H2556-'Blocking-Step2'!H2556</f>
        <v>0</v>
      </c>
      <c r="AF2556" s="2114">
        <f>I2556-'Blocking-Step2'!I2556</f>
        <v>0</v>
      </c>
      <c r="AG2556" s="2114"/>
      <c r="AH2556" s="2136">
        <f>K2556-'Blocking-Step2'!K2556</f>
        <v>0</v>
      </c>
      <c r="AI2556" s="2136"/>
      <c r="AJ2556" s="2136">
        <f>M2556-'Blocking-Step2'!M2556</f>
        <v>0</v>
      </c>
      <c r="AK2556" s="2136"/>
      <c r="AL2556" s="2136">
        <f>O2556-'Blocking-Step2'!O2556</f>
        <v>0</v>
      </c>
      <c r="AM2556" s="2136"/>
      <c r="AN2556" s="2137">
        <f>Q2556-'Blocking-Step2'!Q2556</f>
        <v>0</v>
      </c>
      <c r="AO2556" s="2114"/>
      <c r="AP2556" s="2127">
        <f>S2556-'Blocking-Step2'!S2556</f>
        <v>0</v>
      </c>
      <c r="AQ2556" s="2127"/>
      <c r="AR2556" s="2127">
        <f>U2556-'Blocking-Step2'!U2556</f>
        <v>0</v>
      </c>
      <c r="AS2556" s="2127"/>
      <c r="AT2556" s="2127">
        <f>W2556-'Blocking-Step2'!W2556</f>
        <v>0</v>
      </c>
      <c r="AU2556" s="2127"/>
      <c r="AV2556" s="2128">
        <f>Y2556-'Blocking-Step2'!Y2556</f>
        <v>0</v>
      </c>
    </row>
    <row r="2557" spans="1:48" s="1874" customFormat="1">
      <c r="A2557" s="1116" t="s">
        <v>1670</v>
      </c>
      <c r="B2557" s="1104"/>
      <c r="C2557" s="1024"/>
      <c r="D2557" s="1105"/>
      <c r="E2557" s="1024"/>
      <c r="F2557" s="1139"/>
      <c r="G2557" s="1110"/>
      <c r="H2557" s="1629"/>
      <c r="I2557" s="1146"/>
      <c r="J2557" s="1114"/>
      <c r="K2557" s="1139">
        <v>0</v>
      </c>
      <c r="L2557" s="1111"/>
      <c r="M2557" s="1139">
        <v>0.56999999999999995</v>
      </c>
      <c r="N2557" s="1111"/>
      <c r="O2557" s="1139">
        <v>0</v>
      </c>
      <c r="P2557" s="1114"/>
      <c r="Q2557" s="2039">
        <v>0.56999999999999995</v>
      </c>
      <c r="R2557" s="1114"/>
      <c r="S2557" s="1114">
        <v>0</v>
      </c>
      <c r="T2557" s="1114"/>
      <c r="U2557" s="1114">
        <v>0</v>
      </c>
      <c r="V2557" s="1114"/>
      <c r="W2557" s="1114">
        <v>0</v>
      </c>
      <c r="X2557" s="1114"/>
      <c r="Y2557" s="1114">
        <v>0</v>
      </c>
      <c r="Z2557" s="2114">
        <f>C2557-'Blocking-Step2'!C2557</f>
        <v>0</v>
      </c>
      <c r="AA2557" s="2114">
        <f>D2557-'Blocking-Step2'!D2557</f>
        <v>0</v>
      </c>
      <c r="AB2557" s="2114"/>
      <c r="AC2557" s="2114">
        <f>F2557-'Blocking-Step2'!F2557</f>
        <v>0</v>
      </c>
      <c r="AD2557" s="2114"/>
      <c r="AE2557" s="2114">
        <f>H2557-'Blocking-Step2'!H2557</f>
        <v>0</v>
      </c>
      <c r="AF2557" s="2114">
        <f>I2557-'Blocking-Step2'!I2557</f>
        <v>0</v>
      </c>
      <c r="AG2557" s="2114"/>
      <c r="AH2557" s="2136">
        <f>K2557-'Blocking-Step2'!K2557</f>
        <v>-0.26</v>
      </c>
      <c r="AI2557" s="2136"/>
      <c r="AJ2557" s="2136">
        <f>M2557-'Blocking-Step2'!M2557</f>
        <v>0.25999999999999995</v>
      </c>
      <c r="AK2557" s="2136"/>
      <c r="AL2557" s="2136">
        <f>O2557-'Blocking-Step2'!O2557</f>
        <v>0</v>
      </c>
      <c r="AM2557" s="2136"/>
      <c r="AN2557" s="2137">
        <f>Q2557-'Blocking-Step2'!Q2557</f>
        <v>0</v>
      </c>
      <c r="AO2557" s="2114"/>
      <c r="AP2557" s="2127">
        <f>S2557-'Blocking-Step2'!S2557</f>
        <v>0</v>
      </c>
      <c r="AQ2557" s="2127"/>
      <c r="AR2557" s="2127">
        <f>U2557-'Blocking-Step2'!U2557</f>
        <v>0</v>
      </c>
      <c r="AS2557" s="2127"/>
      <c r="AT2557" s="2127">
        <f>W2557-'Blocking-Step2'!W2557</f>
        <v>0</v>
      </c>
      <c r="AU2557" s="2127"/>
      <c r="AV2557" s="2128">
        <f>Y2557-'Blocking-Step2'!Y2557</f>
        <v>0</v>
      </c>
    </row>
    <row r="2558" spans="1:48" s="1874" customFormat="1">
      <c r="A2558" s="1116" t="s">
        <v>1671</v>
      </c>
      <c r="B2558" s="1104"/>
      <c r="C2558" s="1024"/>
      <c r="D2558" s="1105"/>
      <c r="E2558" s="1024"/>
      <c r="F2558" s="1139"/>
      <c r="G2558" s="1110"/>
      <c r="H2558" s="1629"/>
      <c r="I2558" s="1146"/>
      <c r="J2558" s="1114"/>
      <c r="K2558" s="1139">
        <v>0</v>
      </c>
      <c r="L2558" s="1111"/>
      <c r="M2558" s="1139">
        <v>0.48</v>
      </c>
      <c r="N2558" s="1111"/>
      <c r="O2558" s="1139">
        <v>0</v>
      </c>
      <c r="P2558" s="1114"/>
      <c r="Q2558" s="2039">
        <v>0.48</v>
      </c>
      <c r="R2558" s="1114"/>
      <c r="S2558" s="1114">
        <v>0</v>
      </c>
      <c r="T2558" s="1114"/>
      <c r="U2558" s="1114">
        <v>0</v>
      </c>
      <c r="V2558" s="1114"/>
      <c r="W2558" s="1114">
        <v>0</v>
      </c>
      <c r="X2558" s="1114"/>
      <c r="Y2558" s="1114">
        <v>0</v>
      </c>
      <c r="Z2558" s="2114">
        <f>C2558-'Blocking-Step2'!C2558</f>
        <v>0</v>
      </c>
      <c r="AA2558" s="2114">
        <f>D2558-'Blocking-Step2'!D2558</f>
        <v>0</v>
      </c>
      <c r="AB2558" s="2114"/>
      <c r="AC2558" s="2114">
        <f>F2558-'Blocking-Step2'!F2558</f>
        <v>0</v>
      </c>
      <c r="AD2558" s="2114"/>
      <c r="AE2558" s="2114">
        <f>H2558-'Blocking-Step2'!H2558</f>
        <v>0</v>
      </c>
      <c r="AF2558" s="2114">
        <f>I2558-'Blocking-Step2'!I2558</f>
        <v>0</v>
      </c>
      <c r="AG2558" s="2114"/>
      <c r="AH2558" s="2136">
        <f>K2558-'Blocking-Step2'!K2558</f>
        <v>-0.22</v>
      </c>
      <c r="AI2558" s="2136"/>
      <c r="AJ2558" s="2136">
        <f>M2558-'Blocking-Step2'!M2558</f>
        <v>0.21999999999999997</v>
      </c>
      <c r="AK2558" s="2136"/>
      <c r="AL2558" s="2136">
        <f>O2558-'Blocking-Step2'!O2558</f>
        <v>0</v>
      </c>
      <c r="AM2558" s="2136"/>
      <c r="AN2558" s="2137">
        <f>Q2558-'Blocking-Step2'!Q2558</f>
        <v>0</v>
      </c>
      <c r="AO2558" s="2114"/>
      <c r="AP2558" s="2127">
        <f>S2558-'Blocking-Step2'!S2558</f>
        <v>0</v>
      </c>
      <c r="AQ2558" s="2127"/>
      <c r="AR2558" s="2127">
        <f>U2558-'Blocking-Step2'!U2558</f>
        <v>0</v>
      </c>
      <c r="AS2558" s="2127"/>
      <c r="AT2558" s="2127">
        <f>W2558-'Blocking-Step2'!W2558</f>
        <v>0</v>
      </c>
      <c r="AU2558" s="2127"/>
      <c r="AV2558" s="2128">
        <f>Y2558-'Blocking-Step2'!Y2558</f>
        <v>0</v>
      </c>
    </row>
    <row r="2559" spans="1:48" s="1874" customFormat="1">
      <c r="A2559" s="1116" t="s">
        <v>1450</v>
      </c>
      <c r="B2559" s="1104"/>
      <c r="C2559" s="1024"/>
      <c r="D2559" s="1105"/>
      <c r="E2559" s="1024"/>
      <c r="F2559" s="1139"/>
      <c r="G2559" s="1111"/>
      <c r="H2559" s="1629"/>
      <c r="I2559" s="1146"/>
      <c r="J2559" s="1114"/>
      <c r="K2559" s="1139"/>
      <c r="L2559" s="1114"/>
      <c r="M2559" s="1139"/>
      <c r="N2559" s="1114"/>
      <c r="O2559" s="1139"/>
      <c r="P2559" s="1114"/>
      <c r="Q2559" s="2039"/>
      <c r="R2559" s="1114"/>
      <c r="S2559" s="1114"/>
      <c r="T2559" s="1114"/>
      <c r="U2559" s="1114"/>
      <c r="V2559" s="1114"/>
      <c r="W2559" s="1114"/>
      <c r="X2559" s="1114"/>
      <c r="Y2559" s="1114"/>
      <c r="Z2559" s="2114">
        <f>C2559-'Blocking-Step2'!C2559</f>
        <v>0</v>
      </c>
      <c r="AA2559" s="2114">
        <f>D2559-'Blocking-Step2'!D2559</f>
        <v>0</v>
      </c>
      <c r="AB2559" s="2114"/>
      <c r="AC2559" s="2114">
        <f>F2559-'Blocking-Step2'!F2559</f>
        <v>0</v>
      </c>
      <c r="AD2559" s="2114"/>
      <c r="AE2559" s="2114">
        <f>H2559-'Blocking-Step2'!H2559</f>
        <v>0</v>
      </c>
      <c r="AF2559" s="2114">
        <f>I2559-'Blocking-Step2'!I2559</f>
        <v>0</v>
      </c>
      <c r="AG2559" s="2114"/>
      <c r="AH2559" s="2136">
        <f>K2559-'Blocking-Step2'!K2559</f>
        <v>0</v>
      </c>
      <c r="AI2559" s="2136"/>
      <c r="AJ2559" s="2136">
        <f>M2559-'Blocking-Step2'!M2559</f>
        <v>0</v>
      </c>
      <c r="AK2559" s="2136"/>
      <c r="AL2559" s="2136">
        <f>O2559-'Blocking-Step2'!O2559</f>
        <v>0</v>
      </c>
      <c r="AM2559" s="2136"/>
      <c r="AN2559" s="2137">
        <f>Q2559-'Blocking-Step2'!Q2559</f>
        <v>0</v>
      </c>
      <c r="AO2559" s="2114"/>
      <c r="AP2559" s="2127">
        <f>S2559-'Blocking-Step2'!S2559</f>
        <v>0</v>
      </c>
      <c r="AQ2559" s="2127"/>
      <c r="AR2559" s="2127">
        <f>U2559-'Blocking-Step2'!U2559</f>
        <v>0</v>
      </c>
      <c r="AS2559" s="2127"/>
      <c r="AT2559" s="2127">
        <f>W2559-'Blocking-Step2'!W2559</f>
        <v>0</v>
      </c>
      <c r="AU2559" s="2127"/>
      <c r="AV2559" s="2128">
        <f>Y2559-'Blocking-Step2'!Y2559</f>
        <v>0</v>
      </c>
    </row>
    <row r="2560" spans="1:48" s="1874" customFormat="1">
      <c r="A2560" s="1116" t="s">
        <v>1670</v>
      </c>
      <c r="B2560" s="1104"/>
      <c r="C2560" s="1024"/>
      <c r="D2560" s="1105"/>
      <c r="E2560" s="1024"/>
      <c r="F2560" s="1139"/>
      <c r="G2560" s="1111"/>
      <c r="H2560" s="1629"/>
      <c r="I2560" s="1146"/>
      <c r="J2560" s="1114"/>
      <c r="K2560" s="1139">
        <v>0</v>
      </c>
      <c r="L2560" s="1114"/>
      <c r="M2560" s="1139">
        <v>0.56999999999999995</v>
      </c>
      <c r="N2560" s="1114"/>
      <c r="O2560" s="1139">
        <v>0</v>
      </c>
      <c r="P2560" s="1114"/>
      <c r="Q2560" s="2039">
        <v>0.56999999999999995</v>
      </c>
      <c r="R2560" s="1114"/>
      <c r="S2560" s="1114">
        <v>0</v>
      </c>
      <c r="T2560" s="1114"/>
      <c r="U2560" s="1114">
        <v>0</v>
      </c>
      <c r="V2560" s="1114"/>
      <c r="W2560" s="1114">
        <v>0</v>
      </c>
      <c r="X2560" s="1114"/>
      <c r="Y2560" s="1114">
        <v>0</v>
      </c>
      <c r="Z2560" s="2114">
        <f>C2560-'Blocking-Step2'!C2560</f>
        <v>0</v>
      </c>
      <c r="AA2560" s="2114">
        <f>D2560-'Blocking-Step2'!D2560</f>
        <v>0</v>
      </c>
      <c r="AB2560" s="2114"/>
      <c r="AC2560" s="2114">
        <f>F2560-'Blocking-Step2'!F2560</f>
        <v>0</v>
      </c>
      <c r="AD2560" s="2114"/>
      <c r="AE2560" s="2114">
        <f>H2560-'Blocking-Step2'!H2560</f>
        <v>0</v>
      </c>
      <c r="AF2560" s="2114">
        <f>I2560-'Blocking-Step2'!I2560</f>
        <v>0</v>
      </c>
      <c r="AG2560" s="2114"/>
      <c r="AH2560" s="2136">
        <f>K2560-'Blocking-Step2'!K2560</f>
        <v>-0.26</v>
      </c>
      <c r="AI2560" s="2136"/>
      <c r="AJ2560" s="2136">
        <f>M2560-'Blocking-Step2'!M2560</f>
        <v>0.25999999999999995</v>
      </c>
      <c r="AK2560" s="2136"/>
      <c r="AL2560" s="2136">
        <f>O2560-'Blocking-Step2'!O2560</f>
        <v>0</v>
      </c>
      <c r="AM2560" s="2136"/>
      <c r="AN2560" s="2137">
        <f>Q2560-'Blocking-Step2'!Q2560</f>
        <v>0</v>
      </c>
      <c r="AO2560" s="2114"/>
      <c r="AP2560" s="2127">
        <f>S2560-'Blocking-Step2'!S2560</f>
        <v>0</v>
      </c>
      <c r="AQ2560" s="2127"/>
      <c r="AR2560" s="2127">
        <f>U2560-'Blocking-Step2'!U2560</f>
        <v>0</v>
      </c>
      <c r="AS2560" s="2127"/>
      <c r="AT2560" s="2127">
        <f>W2560-'Blocking-Step2'!W2560</f>
        <v>0</v>
      </c>
      <c r="AU2560" s="2127"/>
      <c r="AV2560" s="2128">
        <f>Y2560-'Blocking-Step2'!Y2560</f>
        <v>0</v>
      </c>
    </row>
    <row r="2561" spans="1:48" s="1874" customFormat="1">
      <c r="A2561" s="1116" t="s">
        <v>1671</v>
      </c>
      <c r="B2561" s="1104"/>
      <c r="C2561" s="1024"/>
      <c r="D2561" s="1105"/>
      <c r="E2561" s="1024"/>
      <c r="F2561" s="1139"/>
      <c r="G2561" s="1111"/>
      <c r="H2561" s="1629"/>
      <c r="I2561" s="1146"/>
      <c r="J2561" s="1114"/>
      <c r="K2561" s="1139">
        <v>0</v>
      </c>
      <c r="L2561" s="1114"/>
      <c r="M2561" s="1139">
        <v>0.47</v>
      </c>
      <c r="N2561" s="1114"/>
      <c r="O2561" s="1139">
        <v>0</v>
      </c>
      <c r="P2561" s="1114"/>
      <c r="Q2561" s="2039">
        <v>0.47</v>
      </c>
      <c r="R2561" s="1114"/>
      <c r="S2561" s="1114">
        <v>0</v>
      </c>
      <c r="T2561" s="1114"/>
      <c r="U2561" s="1114">
        <v>0</v>
      </c>
      <c r="V2561" s="1114"/>
      <c r="W2561" s="1114">
        <v>0</v>
      </c>
      <c r="X2561" s="1114"/>
      <c r="Y2561" s="1114">
        <v>0</v>
      </c>
      <c r="Z2561" s="2114">
        <f>C2561-'Blocking-Step2'!C2561</f>
        <v>0</v>
      </c>
      <c r="AA2561" s="2114">
        <f>D2561-'Blocking-Step2'!D2561</f>
        <v>0</v>
      </c>
      <c r="AB2561" s="2114"/>
      <c r="AC2561" s="2114">
        <f>F2561-'Blocking-Step2'!F2561</f>
        <v>0</v>
      </c>
      <c r="AD2561" s="2114"/>
      <c r="AE2561" s="2114">
        <f>H2561-'Blocking-Step2'!H2561</f>
        <v>0</v>
      </c>
      <c r="AF2561" s="2114">
        <f>I2561-'Blocking-Step2'!I2561</f>
        <v>0</v>
      </c>
      <c r="AG2561" s="2114"/>
      <c r="AH2561" s="2136">
        <f>K2561-'Blocking-Step2'!K2561</f>
        <v>-0.22</v>
      </c>
      <c r="AI2561" s="2136"/>
      <c r="AJ2561" s="2136">
        <f>M2561-'Blocking-Step2'!M2561</f>
        <v>0.21999999999999997</v>
      </c>
      <c r="AK2561" s="2136"/>
      <c r="AL2561" s="2136">
        <f>O2561-'Blocking-Step2'!O2561</f>
        <v>0</v>
      </c>
      <c r="AM2561" s="2136"/>
      <c r="AN2561" s="2137">
        <f>Q2561-'Blocking-Step2'!Q2561</f>
        <v>0</v>
      </c>
      <c r="AO2561" s="2114"/>
      <c r="AP2561" s="2127">
        <f>S2561-'Blocking-Step2'!S2561</f>
        <v>0</v>
      </c>
      <c r="AQ2561" s="2127"/>
      <c r="AR2561" s="2127">
        <f>U2561-'Blocking-Step2'!U2561</f>
        <v>0</v>
      </c>
      <c r="AS2561" s="2127"/>
      <c r="AT2561" s="2127">
        <f>W2561-'Blocking-Step2'!W2561</f>
        <v>0</v>
      </c>
      <c r="AU2561" s="2127"/>
      <c r="AV2561" s="2128">
        <f>Y2561-'Blocking-Step2'!Y2561</f>
        <v>0</v>
      </c>
    </row>
    <row r="2562" spans="1:48" s="1874" customFormat="1">
      <c r="A2562" s="1116" t="s">
        <v>1451</v>
      </c>
      <c r="B2562" s="1104"/>
      <c r="C2562" s="1024"/>
      <c r="D2562" s="1105"/>
      <c r="E2562" s="1024"/>
      <c r="F2562" s="1140"/>
      <c r="G2562" s="1112"/>
      <c r="H2562" s="1114"/>
      <c r="I2562" s="1146"/>
      <c r="J2562" s="1114"/>
      <c r="K2562" s="1140"/>
      <c r="L2562" s="1114"/>
      <c r="M2562" s="1140"/>
      <c r="N2562" s="1114"/>
      <c r="O2562" s="1140"/>
      <c r="P2562" s="1114"/>
      <c r="Q2562" s="2040"/>
      <c r="R2562" s="1114"/>
      <c r="S2562" s="1114"/>
      <c r="T2562" s="1114"/>
      <c r="U2562" s="1114"/>
      <c r="V2562" s="1114"/>
      <c r="W2562" s="1114"/>
      <c r="X2562" s="1114"/>
      <c r="Y2562" s="1114"/>
      <c r="Z2562" s="2114">
        <f>C2562-'Blocking-Step2'!C2562</f>
        <v>0</v>
      </c>
      <c r="AA2562" s="2114">
        <f>D2562-'Blocking-Step2'!D2562</f>
        <v>0</v>
      </c>
      <c r="AB2562" s="2114"/>
      <c r="AC2562" s="2114">
        <f>F2562-'Blocking-Step2'!F2562</f>
        <v>0</v>
      </c>
      <c r="AD2562" s="2114"/>
      <c r="AE2562" s="2114">
        <f>H2562-'Blocking-Step2'!H2562</f>
        <v>0</v>
      </c>
      <c r="AF2562" s="2114">
        <f>I2562-'Blocking-Step2'!I2562</f>
        <v>0</v>
      </c>
      <c r="AG2562" s="2114"/>
      <c r="AH2562" s="2136">
        <f>K2562-'Blocking-Step2'!K2562</f>
        <v>0</v>
      </c>
      <c r="AI2562" s="2136"/>
      <c r="AJ2562" s="2136">
        <f>M2562-'Blocking-Step2'!M2562</f>
        <v>0</v>
      </c>
      <c r="AK2562" s="2136"/>
      <c r="AL2562" s="2136">
        <f>O2562-'Blocking-Step2'!O2562</f>
        <v>0</v>
      </c>
      <c r="AM2562" s="2136"/>
      <c r="AN2562" s="2137">
        <f>Q2562-'Blocking-Step2'!Q2562</f>
        <v>0</v>
      </c>
      <c r="AO2562" s="2114"/>
      <c r="AP2562" s="2127">
        <f>S2562-'Blocking-Step2'!S2562</f>
        <v>0</v>
      </c>
      <c r="AQ2562" s="2127"/>
      <c r="AR2562" s="2127">
        <f>U2562-'Blocking-Step2'!U2562</f>
        <v>0</v>
      </c>
      <c r="AS2562" s="2127"/>
      <c r="AT2562" s="2127">
        <f>W2562-'Blocking-Step2'!W2562</f>
        <v>0</v>
      </c>
      <c r="AU2562" s="2127"/>
      <c r="AV2562" s="2128">
        <f>Y2562-'Blocking-Step2'!Y2562</f>
        <v>0</v>
      </c>
    </row>
    <row r="2563" spans="1:48" s="1874" customFormat="1">
      <c r="A2563" s="1116" t="s">
        <v>1670</v>
      </c>
      <c r="B2563" s="1104"/>
      <c r="C2563" s="1024"/>
      <c r="D2563" s="1105"/>
      <c r="E2563" s="1024"/>
      <c r="F2563" s="1139"/>
      <c r="G2563" s="1111"/>
      <c r="H2563" s="1629"/>
      <c r="I2563" s="1146"/>
      <c r="J2563" s="1114"/>
      <c r="K2563" s="1139">
        <v>0</v>
      </c>
      <c r="L2563" s="1114"/>
      <c r="M2563" s="1139">
        <v>0.71</v>
      </c>
      <c r="N2563" s="1114"/>
      <c r="O2563" s="1139">
        <v>0</v>
      </c>
      <c r="P2563" s="1114"/>
      <c r="Q2563" s="2039">
        <v>0.71</v>
      </c>
      <c r="R2563" s="1114"/>
      <c r="S2563" s="1114">
        <v>0</v>
      </c>
      <c r="T2563" s="1114"/>
      <c r="U2563" s="1114">
        <v>0</v>
      </c>
      <c r="V2563" s="1114"/>
      <c r="W2563" s="1114">
        <v>0</v>
      </c>
      <c r="X2563" s="1114"/>
      <c r="Y2563" s="1114">
        <v>0</v>
      </c>
      <c r="Z2563" s="2114">
        <f>C2563-'Blocking-Step2'!C2563</f>
        <v>0</v>
      </c>
      <c r="AA2563" s="2114">
        <f>D2563-'Blocking-Step2'!D2563</f>
        <v>0</v>
      </c>
      <c r="AB2563" s="2114"/>
      <c r="AC2563" s="2114">
        <f>F2563-'Blocking-Step2'!F2563</f>
        <v>0</v>
      </c>
      <c r="AD2563" s="2114"/>
      <c r="AE2563" s="2114">
        <f>H2563-'Blocking-Step2'!H2563</f>
        <v>0</v>
      </c>
      <c r="AF2563" s="2114">
        <f>I2563-'Blocking-Step2'!I2563</f>
        <v>0</v>
      </c>
      <c r="AG2563" s="2114"/>
      <c r="AH2563" s="2136">
        <f>K2563-'Blocking-Step2'!K2563</f>
        <v>-0.32</v>
      </c>
      <c r="AI2563" s="2136"/>
      <c r="AJ2563" s="2136">
        <f>M2563-'Blocking-Step2'!M2563</f>
        <v>0.31999999999999995</v>
      </c>
      <c r="AK2563" s="2136"/>
      <c r="AL2563" s="2136">
        <f>O2563-'Blocking-Step2'!O2563</f>
        <v>0</v>
      </c>
      <c r="AM2563" s="2136"/>
      <c r="AN2563" s="2137">
        <f>Q2563-'Blocking-Step2'!Q2563</f>
        <v>0</v>
      </c>
      <c r="AO2563" s="2114"/>
      <c r="AP2563" s="2127">
        <f>S2563-'Blocking-Step2'!S2563</f>
        <v>0</v>
      </c>
      <c r="AQ2563" s="2127"/>
      <c r="AR2563" s="2127">
        <f>U2563-'Blocking-Step2'!U2563</f>
        <v>0</v>
      </c>
      <c r="AS2563" s="2127"/>
      <c r="AT2563" s="2127">
        <f>W2563-'Blocking-Step2'!W2563</f>
        <v>0</v>
      </c>
      <c r="AU2563" s="2127"/>
      <c r="AV2563" s="2128">
        <f>Y2563-'Blocking-Step2'!Y2563</f>
        <v>0</v>
      </c>
    </row>
    <row r="2564" spans="1:48" s="1874" customFormat="1">
      <c r="A2564" s="1116" t="s">
        <v>1671</v>
      </c>
      <c r="B2564" s="1104"/>
      <c r="C2564" s="1024"/>
      <c r="D2564" s="1105"/>
      <c r="E2564" s="1024"/>
      <c r="F2564" s="1139"/>
      <c r="G2564" s="1111"/>
      <c r="H2564" s="1629"/>
      <c r="I2564" s="1146"/>
      <c r="J2564" s="1114"/>
      <c r="K2564" s="1139">
        <v>0</v>
      </c>
      <c r="L2564" s="1114"/>
      <c r="M2564" s="1139">
        <v>0.61</v>
      </c>
      <c r="N2564" s="1114"/>
      <c r="O2564" s="1139">
        <v>0</v>
      </c>
      <c r="P2564" s="1114"/>
      <c r="Q2564" s="2039">
        <v>0.61</v>
      </c>
      <c r="R2564" s="1114"/>
      <c r="S2564" s="1114">
        <v>0</v>
      </c>
      <c r="T2564" s="1114"/>
      <c r="U2564" s="1114">
        <v>0</v>
      </c>
      <c r="V2564" s="1114"/>
      <c r="W2564" s="1114">
        <v>0</v>
      </c>
      <c r="X2564" s="1114"/>
      <c r="Y2564" s="1114">
        <v>0</v>
      </c>
      <c r="Z2564" s="2114">
        <f>C2564-'Blocking-Step2'!C2564</f>
        <v>0</v>
      </c>
      <c r="AA2564" s="2114">
        <f>D2564-'Blocking-Step2'!D2564</f>
        <v>0</v>
      </c>
      <c r="AB2564" s="2114"/>
      <c r="AC2564" s="2114">
        <f>F2564-'Blocking-Step2'!F2564</f>
        <v>0</v>
      </c>
      <c r="AD2564" s="2114"/>
      <c r="AE2564" s="2114">
        <f>H2564-'Blocking-Step2'!H2564</f>
        <v>0</v>
      </c>
      <c r="AF2564" s="2114">
        <f>I2564-'Blocking-Step2'!I2564</f>
        <v>0</v>
      </c>
      <c r="AG2564" s="2114"/>
      <c r="AH2564" s="2136">
        <f>K2564-'Blocking-Step2'!K2564</f>
        <v>-0.28999999999999998</v>
      </c>
      <c r="AI2564" s="2136"/>
      <c r="AJ2564" s="2136">
        <f>M2564-'Blocking-Step2'!M2564</f>
        <v>0.28999999999999998</v>
      </c>
      <c r="AK2564" s="2136"/>
      <c r="AL2564" s="2136">
        <f>O2564-'Blocking-Step2'!O2564</f>
        <v>0</v>
      </c>
      <c r="AM2564" s="2136"/>
      <c r="AN2564" s="2137">
        <f>Q2564-'Blocking-Step2'!Q2564</f>
        <v>0</v>
      </c>
      <c r="AO2564" s="2114"/>
      <c r="AP2564" s="2127">
        <f>S2564-'Blocking-Step2'!S2564</f>
        <v>0</v>
      </c>
      <c r="AQ2564" s="2127"/>
      <c r="AR2564" s="2127">
        <f>U2564-'Blocking-Step2'!U2564</f>
        <v>0</v>
      </c>
      <c r="AS2564" s="2127"/>
      <c r="AT2564" s="2127">
        <f>W2564-'Blocking-Step2'!W2564</f>
        <v>0</v>
      </c>
      <c r="AU2564" s="2127"/>
      <c r="AV2564" s="2128">
        <f>Y2564-'Blocking-Step2'!Y2564</f>
        <v>0</v>
      </c>
    </row>
    <row r="2565" spans="1:48" s="1874" customFormat="1">
      <c r="A2565" s="1116" t="s">
        <v>1452</v>
      </c>
      <c r="B2565" s="1104"/>
      <c r="C2565" s="1024"/>
      <c r="D2565" s="1105"/>
      <c r="E2565" s="1024"/>
      <c r="F2565" s="1139"/>
      <c r="G2565" s="1110"/>
      <c r="H2565" s="1629"/>
      <c r="I2565" s="1146"/>
      <c r="J2565" s="1114"/>
      <c r="K2565" s="1139"/>
      <c r="L2565" s="1114"/>
      <c r="M2565" s="1139"/>
      <c r="N2565" s="1114"/>
      <c r="O2565" s="1139"/>
      <c r="P2565" s="1114"/>
      <c r="Q2565" s="2039"/>
      <c r="R2565" s="1114"/>
      <c r="S2565" s="1114"/>
      <c r="T2565" s="1114"/>
      <c r="U2565" s="1114"/>
      <c r="V2565" s="1114"/>
      <c r="W2565" s="1114"/>
      <c r="X2565" s="1114"/>
      <c r="Y2565" s="1114"/>
      <c r="Z2565" s="2114">
        <f>C2565-'Blocking-Step2'!C2565</f>
        <v>0</v>
      </c>
      <c r="AA2565" s="2114">
        <f>D2565-'Blocking-Step2'!D2565</f>
        <v>0</v>
      </c>
      <c r="AB2565" s="2114"/>
      <c r="AC2565" s="2114">
        <f>F2565-'Blocking-Step2'!F2565</f>
        <v>0</v>
      </c>
      <c r="AD2565" s="2114"/>
      <c r="AE2565" s="2114">
        <f>H2565-'Blocking-Step2'!H2565</f>
        <v>0</v>
      </c>
      <c r="AF2565" s="2114">
        <f>I2565-'Blocking-Step2'!I2565</f>
        <v>0</v>
      </c>
      <c r="AG2565" s="2114"/>
      <c r="AH2565" s="2136">
        <f>K2565-'Blocking-Step2'!K2565</f>
        <v>0</v>
      </c>
      <c r="AI2565" s="2136"/>
      <c r="AJ2565" s="2136">
        <f>M2565-'Blocking-Step2'!M2565</f>
        <v>0</v>
      </c>
      <c r="AK2565" s="2136"/>
      <c r="AL2565" s="2136">
        <f>O2565-'Blocking-Step2'!O2565</f>
        <v>0</v>
      </c>
      <c r="AM2565" s="2136"/>
      <c r="AN2565" s="2137">
        <f>Q2565-'Blocking-Step2'!Q2565</f>
        <v>0</v>
      </c>
      <c r="AO2565" s="2114"/>
      <c r="AP2565" s="2127">
        <f>S2565-'Blocking-Step2'!S2565</f>
        <v>0</v>
      </c>
      <c r="AQ2565" s="2127"/>
      <c r="AR2565" s="2127">
        <f>U2565-'Blocking-Step2'!U2565</f>
        <v>0</v>
      </c>
      <c r="AS2565" s="2127"/>
      <c r="AT2565" s="2127">
        <f>W2565-'Blocking-Step2'!W2565</f>
        <v>0</v>
      </c>
      <c r="AU2565" s="2127"/>
      <c r="AV2565" s="2128">
        <f>Y2565-'Blocking-Step2'!Y2565</f>
        <v>0</v>
      </c>
    </row>
    <row r="2566" spans="1:48" s="1874" customFormat="1">
      <c r="A2566" s="1116" t="s">
        <v>1670</v>
      </c>
      <c r="B2566" s="1104"/>
      <c r="C2566" s="1024"/>
      <c r="D2566" s="1105"/>
      <c r="E2566" s="1024"/>
      <c r="F2566" s="1139"/>
      <c r="G2566" s="1111"/>
      <c r="H2566" s="1629"/>
      <c r="I2566" s="1146"/>
      <c r="J2566" s="1114"/>
      <c r="K2566" s="1139">
        <v>0</v>
      </c>
      <c r="L2566" s="1114"/>
      <c r="M2566" s="1139">
        <v>0.7</v>
      </c>
      <c r="N2566" s="1114"/>
      <c r="O2566" s="1139">
        <v>0</v>
      </c>
      <c r="P2566" s="1114"/>
      <c r="Q2566" s="2039">
        <v>0.7</v>
      </c>
      <c r="R2566" s="1114"/>
      <c r="S2566" s="1114">
        <v>0</v>
      </c>
      <c r="T2566" s="1114"/>
      <c r="U2566" s="1114">
        <v>0</v>
      </c>
      <c r="V2566" s="1114"/>
      <c r="W2566" s="1114">
        <v>0</v>
      </c>
      <c r="X2566" s="1114"/>
      <c r="Y2566" s="1114">
        <v>0</v>
      </c>
      <c r="Z2566" s="2114">
        <f>C2566-'Blocking-Step2'!C2566</f>
        <v>0</v>
      </c>
      <c r="AA2566" s="2114">
        <f>D2566-'Blocking-Step2'!D2566</f>
        <v>0</v>
      </c>
      <c r="AB2566" s="2114"/>
      <c r="AC2566" s="2114">
        <f>F2566-'Blocking-Step2'!F2566</f>
        <v>0</v>
      </c>
      <c r="AD2566" s="2114"/>
      <c r="AE2566" s="2114">
        <f>H2566-'Blocking-Step2'!H2566</f>
        <v>0</v>
      </c>
      <c r="AF2566" s="2114">
        <f>I2566-'Blocking-Step2'!I2566</f>
        <v>0</v>
      </c>
      <c r="AG2566" s="2114"/>
      <c r="AH2566" s="2136">
        <f>K2566-'Blocking-Step2'!K2566</f>
        <v>-0.32</v>
      </c>
      <c r="AI2566" s="2136"/>
      <c r="AJ2566" s="2136">
        <f>M2566-'Blocking-Step2'!M2566</f>
        <v>0.31999999999999995</v>
      </c>
      <c r="AK2566" s="2136"/>
      <c r="AL2566" s="2136">
        <f>O2566-'Blocking-Step2'!O2566</f>
        <v>0</v>
      </c>
      <c r="AM2566" s="2136"/>
      <c r="AN2566" s="2137">
        <f>Q2566-'Blocking-Step2'!Q2566</f>
        <v>0</v>
      </c>
      <c r="AO2566" s="2114"/>
      <c r="AP2566" s="2127">
        <f>S2566-'Blocking-Step2'!S2566</f>
        <v>0</v>
      </c>
      <c r="AQ2566" s="2127"/>
      <c r="AR2566" s="2127">
        <f>U2566-'Blocking-Step2'!U2566</f>
        <v>0</v>
      </c>
      <c r="AS2566" s="2127"/>
      <c r="AT2566" s="2127">
        <f>W2566-'Blocking-Step2'!W2566</f>
        <v>0</v>
      </c>
      <c r="AU2566" s="2127"/>
      <c r="AV2566" s="2128">
        <f>Y2566-'Blocking-Step2'!Y2566</f>
        <v>0</v>
      </c>
    </row>
    <row r="2567" spans="1:48" s="1874" customFormat="1">
      <c r="A2567" s="1116" t="s">
        <v>1671</v>
      </c>
      <c r="B2567" s="1104"/>
      <c r="C2567" s="1024"/>
      <c r="D2567" s="1105"/>
      <c r="E2567" s="1024"/>
      <c r="F2567" s="1139"/>
      <c r="G2567" s="1111"/>
      <c r="H2567" s="1629"/>
      <c r="I2567" s="1146"/>
      <c r="J2567" s="1114"/>
      <c r="K2567" s="1139">
        <v>0</v>
      </c>
      <c r="L2567" s="1114"/>
      <c r="M2567" s="1139">
        <v>0.59</v>
      </c>
      <c r="N2567" s="1114"/>
      <c r="O2567" s="1139">
        <v>0</v>
      </c>
      <c r="P2567" s="1114"/>
      <c r="Q2567" s="2039">
        <v>0.59</v>
      </c>
      <c r="R2567" s="1114"/>
      <c r="S2567" s="1114">
        <v>0</v>
      </c>
      <c r="T2567" s="1114"/>
      <c r="U2567" s="1114">
        <v>0</v>
      </c>
      <c r="V2567" s="1114"/>
      <c r="W2567" s="1114">
        <v>0</v>
      </c>
      <c r="X2567" s="1114"/>
      <c r="Y2567" s="1114">
        <v>0</v>
      </c>
      <c r="Z2567" s="2114">
        <f>C2567-'Blocking-Step2'!C2567</f>
        <v>0</v>
      </c>
      <c r="AA2567" s="2114">
        <f>D2567-'Blocking-Step2'!D2567</f>
        <v>0</v>
      </c>
      <c r="AB2567" s="2114"/>
      <c r="AC2567" s="2114">
        <f>F2567-'Blocking-Step2'!F2567</f>
        <v>0</v>
      </c>
      <c r="AD2567" s="2114"/>
      <c r="AE2567" s="2114">
        <f>H2567-'Blocking-Step2'!H2567</f>
        <v>0</v>
      </c>
      <c r="AF2567" s="2114">
        <f>I2567-'Blocking-Step2'!I2567</f>
        <v>0</v>
      </c>
      <c r="AG2567" s="2114"/>
      <c r="AH2567" s="2136">
        <f>K2567-'Blocking-Step2'!K2567</f>
        <v>-0.28000000000000003</v>
      </c>
      <c r="AI2567" s="2136"/>
      <c r="AJ2567" s="2136">
        <f>M2567-'Blocking-Step2'!M2567</f>
        <v>0.27999999999999997</v>
      </c>
      <c r="AK2567" s="2136"/>
      <c r="AL2567" s="2136">
        <f>O2567-'Blocking-Step2'!O2567</f>
        <v>0</v>
      </c>
      <c r="AM2567" s="2136"/>
      <c r="AN2567" s="2137">
        <f>Q2567-'Blocking-Step2'!Q2567</f>
        <v>0</v>
      </c>
      <c r="AO2567" s="2114"/>
      <c r="AP2567" s="2127">
        <f>S2567-'Blocking-Step2'!S2567</f>
        <v>0</v>
      </c>
      <c r="AQ2567" s="2127"/>
      <c r="AR2567" s="2127">
        <f>U2567-'Blocking-Step2'!U2567</f>
        <v>0</v>
      </c>
      <c r="AS2567" s="2127"/>
      <c r="AT2567" s="2127">
        <f>W2567-'Blocking-Step2'!W2567</f>
        <v>0</v>
      </c>
      <c r="AU2567" s="2127"/>
      <c r="AV2567" s="2128">
        <f>Y2567-'Blocking-Step2'!Y2567</f>
        <v>0</v>
      </c>
    </row>
    <row r="2568" spans="1:48" s="1874" customFormat="1">
      <c r="A2568" s="1116" t="s">
        <v>1453</v>
      </c>
      <c r="B2568" s="1104"/>
      <c r="C2568" s="1024"/>
      <c r="D2568" s="1105"/>
      <c r="E2568" s="1024"/>
      <c r="F2568" s="1141"/>
      <c r="G2568" s="1109"/>
      <c r="H2568" s="1628"/>
      <c r="I2568" s="1627"/>
      <c r="J2568" s="1109"/>
      <c r="K2568" s="1141"/>
      <c r="L2568" s="1109"/>
      <c r="M2568" s="1141"/>
      <c r="N2568" s="1109"/>
      <c r="O2568" s="1141"/>
      <c r="P2568" s="1109"/>
      <c r="Q2568" s="2041"/>
      <c r="R2568" s="1109"/>
      <c r="S2568" s="1628"/>
      <c r="T2568" s="1628"/>
      <c r="U2568" s="1628"/>
      <c r="V2568" s="1628"/>
      <c r="W2568" s="1628"/>
      <c r="X2568" s="1628"/>
      <c r="Y2568" s="1628"/>
      <c r="Z2568" s="2114">
        <f>C2568-'Blocking-Step2'!C2568</f>
        <v>0</v>
      </c>
      <c r="AA2568" s="2114">
        <f>D2568-'Blocking-Step2'!D2568</f>
        <v>0</v>
      </c>
      <c r="AB2568" s="2114"/>
      <c r="AC2568" s="2114">
        <f>F2568-'Blocking-Step2'!F2568</f>
        <v>0</v>
      </c>
      <c r="AD2568" s="2114"/>
      <c r="AE2568" s="2114">
        <f>H2568-'Blocking-Step2'!H2568</f>
        <v>0</v>
      </c>
      <c r="AF2568" s="2114">
        <f>I2568-'Blocking-Step2'!I2568</f>
        <v>0</v>
      </c>
      <c r="AG2568" s="2114"/>
      <c r="AH2568" s="2136">
        <f>K2568-'Blocking-Step2'!K2568</f>
        <v>0</v>
      </c>
      <c r="AI2568" s="2136"/>
      <c r="AJ2568" s="2136">
        <f>M2568-'Blocking-Step2'!M2568</f>
        <v>0</v>
      </c>
      <c r="AK2568" s="2136"/>
      <c r="AL2568" s="2136">
        <f>O2568-'Blocking-Step2'!O2568</f>
        <v>0</v>
      </c>
      <c r="AM2568" s="2136"/>
      <c r="AN2568" s="2137">
        <f>Q2568-'Blocking-Step2'!Q2568</f>
        <v>0</v>
      </c>
      <c r="AO2568" s="2114"/>
      <c r="AP2568" s="2127">
        <f>S2568-'Blocking-Step2'!S2568</f>
        <v>0</v>
      </c>
      <c r="AQ2568" s="2127"/>
      <c r="AR2568" s="2127">
        <f>U2568-'Blocking-Step2'!U2568</f>
        <v>0</v>
      </c>
      <c r="AS2568" s="2127"/>
      <c r="AT2568" s="2127">
        <f>W2568-'Blocking-Step2'!W2568</f>
        <v>0</v>
      </c>
      <c r="AU2568" s="2127"/>
      <c r="AV2568" s="2128">
        <f>Y2568-'Blocking-Step2'!Y2568</f>
        <v>0</v>
      </c>
    </row>
    <row r="2569" spans="1:48" s="1874" customFormat="1">
      <c r="A2569" s="1116" t="s">
        <v>1670</v>
      </c>
      <c r="B2569" s="1104"/>
      <c r="C2569" s="1024">
        <v>0</v>
      </c>
      <c r="D2569" s="1105">
        <v>526626.49852888589</v>
      </c>
      <c r="E2569" s="1024"/>
      <c r="F2569" s="1139"/>
      <c r="G2569" s="1110"/>
      <c r="H2569" s="1146"/>
      <c r="I2569" s="1146"/>
      <c r="J2569" s="1114"/>
      <c r="K2569" s="1139">
        <v>0</v>
      </c>
      <c r="L2569" s="1111"/>
      <c r="M2569" s="1139">
        <v>0.65</v>
      </c>
      <c r="N2569" s="1111"/>
      <c r="O2569" s="1139">
        <v>0</v>
      </c>
      <c r="P2569" s="1114"/>
      <c r="Q2569" s="2039">
        <v>0.65</v>
      </c>
      <c r="R2569" s="1114"/>
      <c r="S2569" s="1114">
        <v>0</v>
      </c>
      <c r="T2569" s="1114"/>
      <c r="U2569" s="1114">
        <v>342307</v>
      </c>
      <c r="V2569" s="1114"/>
      <c r="W2569" s="1114">
        <v>0</v>
      </c>
      <c r="X2569" s="1114"/>
      <c r="Y2569" s="1114">
        <v>342307</v>
      </c>
      <c r="Z2569" s="2114">
        <f>C2569-'Blocking-Step2'!C2569</f>
        <v>0</v>
      </c>
      <c r="AA2569" s="2114">
        <f>D2569-'Blocking-Step2'!D2569</f>
        <v>0</v>
      </c>
      <c r="AB2569" s="2114"/>
      <c r="AC2569" s="2114">
        <f>F2569-'Blocking-Step2'!F2569</f>
        <v>0</v>
      </c>
      <c r="AD2569" s="2114"/>
      <c r="AE2569" s="2114">
        <f>H2569-'Blocking-Step2'!H2569</f>
        <v>0</v>
      </c>
      <c r="AF2569" s="2114">
        <f>I2569-'Blocking-Step2'!I2569</f>
        <v>0</v>
      </c>
      <c r="AG2569" s="2114"/>
      <c r="AH2569" s="2136">
        <f>K2569-'Blocking-Step2'!K2569</f>
        <v>-0.22</v>
      </c>
      <c r="AI2569" s="2136"/>
      <c r="AJ2569" s="2136">
        <f>M2569-'Blocking-Step2'!M2569</f>
        <v>0.22000000000000003</v>
      </c>
      <c r="AK2569" s="2136"/>
      <c r="AL2569" s="2136">
        <f>O2569-'Blocking-Step2'!O2569</f>
        <v>0</v>
      </c>
      <c r="AM2569" s="2136"/>
      <c r="AN2569" s="2137">
        <f>Q2569-'Blocking-Step2'!Q2569</f>
        <v>0</v>
      </c>
      <c r="AO2569" s="2114"/>
      <c r="AP2569" s="2127">
        <f>S2569-'Blocking-Step2'!S2569</f>
        <v>-115858</v>
      </c>
      <c r="AQ2569" s="2127"/>
      <c r="AR2569" s="2127">
        <f>U2569-'Blocking-Step2'!U2569</f>
        <v>115858</v>
      </c>
      <c r="AS2569" s="2127"/>
      <c r="AT2569" s="2127">
        <f>W2569-'Blocking-Step2'!W2569</f>
        <v>0</v>
      </c>
      <c r="AU2569" s="2127"/>
      <c r="AV2569" s="2128">
        <f>Y2569-'Blocking-Step2'!Y2569</f>
        <v>0</v>
      </c>
    </row>
    <row r="2570" spans="1:48" s="1874" customFormat="1">
      <c r="A2570" s="1116" t="s">
        <v>1671</v>
      </c>
      <c r="B2570" s="1104"/>
      <c r="C2570" s="1024">
        <v>249715</v>
      </c>
      <c r="D2570" s="1105">
        <v>913270.88847378257</v>
      </c>
      <c r="E2570" s="1024"/>
      <c r="F2570" s="1139"/>
      <c r="G2570" s="1110"/>
      <c r="H2570" s="1146"/>
      <c r="I2570" s="1146"/>
      <c r="J2570" s="1114"/>
      <c r="K2570" s="1139">
        <v>0</v>
      </c>
      <c r="L2570" s="1111"/>
      <c r="M2570" s="1139">
        <v>0.56000000000000005</v>
      </c>
      <c r="N2570" s="1111"/>
      <c r="O2570" s="1139">
        <v>0</v>
      </c>
      <c r="P2570" s="1114"/>
      <c r="Q2570" s="2039">
        <v>0.56000000000000005</v>
      </c>
      <c r="R2570" s="1114"/>
      <c r="S2570" s="1114">
        <v>0</v>
      </c>
      <c r="T2570" s="1114"/>
      <c r="U2570" s="1114">
        <v>511432</v>
      </c>
      <c r="V2570" s="1114"/>
      <c r="W2570" s="1114">
        <v>0</v>
      </c>
      <c r="X2570" s="1114"/>
      <c r="Y2570" s="1114">
        <v>511432</v>
      </c>
      <c r="Z2570" s="2114">
        <f>C2570-'Blocking-Step2'!C2570</f>
        <v>0</v>
      </c>
      <c r="AA2570" s="2114">
        <f>D2570-'Blocking-Step2'!D2570</f>
        <v>0</v>
      </c>
      <c r="AB2570" s="2114"/>
      <c r="AC2570" s="2114">
        <f>F2570-'Blocking-Step2'!F2570</f>
        <v>0</v>
      </c>
      <c r="AD2570" s="2114"/>
      <c r="AE2570" s="2114">
        <f>H2570-'Blocking-Step2'!H2570</f>
        <v>0</v>
      </c>
      <c r="AF2570" s="2114">
        <f>I2570-'Blocking-Step2'!I2570</f>
        <v>0</v>
      </c>
      <c r="AG2570" s="2114"/>
      <c r="AH2570" s="2136">
        <f>K2570-'Blocking-Step2'!K2570</f>
        <v>-0.19</v>
      </c>
      <c r="AI2570" s="2136"/>
      <c r="AJ2570" s="2136">
        <f>M2570-'Blocking-Step2'!M2570</f>
        <v>0.19000000000000006</v>
      </c>
      <c r="AK2570" s="2136"/>
      <c r="AL2570" s="2136">
        <f>O2570-'Blocking-Step2'!O2570</f>
        <v>0</v>
      </c>
      <c r="AM2570" s="2136"/>
      <c r="AN2570" s="2137">
        <f>Q2570-'Blocking-Step2'!Q2570</f>
        <v>0</v>
      </c>
      <c r="AO2570" s="2114"/>
      <c r="AP2570" s="2127">
        <f>S2570-'Blocking-Step2'!S2570</f>
        <v>-173521</v>
      </c>
      <c r="AQ2570" s="2127"/>
      <c r="AR2570" s="2127">
        <f>U2570-'Blocking-Step2'!U2570</f>
        <v>173522</v>
      </c>
      <c r="AS2570" s="2127"/>
      <c r="AT2570" s="2127">
        <f>W2570-'Blocking-Step2'!W2570</f>
        <v>0</v>
      </c>
      <c r="AU2570" s="2127"/>
      <c r="AV2570" s="2128">
        <f>Y2570-'Blocking-Step2'!Y2570</f>
        <v>0</v>
      </c>
    </row>
    <row r="2571" spans="1:48" s="1874" customFormat="1">
      <c r="A2571" s="1116" t="s">
        <v>1447</v>
      </c>
      <c r="B2571" s="1104"/>
      <c r="C2571" s="1024"/>
      <c r="D2571" s="1105"/>
      <c r="E2571" s="1024"/>
      <c r="F2571" s="1139"/>
      <c r="G2571" s="1110"/>
      <c r="H2571" s="1629"/>
      <c r="I2571" s="1146"/>
      <c r="J2571" s="1114"/>
      <c r="K2571" s="1114"/>
      <c r="L2571" s="1114"/>
      <c r="M2571" s="1114"/>
      <c r="N2571" s="1114"/>
      <c r="O2571" s="1114"/>
      <c r="P2571" s="1114"/>
      <c r="Q2571" s="1114"/>
      <c r="R2571" s="1114"/>
      <c r="S2571" s="1114"/>
      <c r="T2571" s="1114"/>
      <c r="U2571" s="1114"/>
      <c r="V2571" s="1114"/>
      <c r="W2571" s="1114"/>
      <c r="X2571" s="1114"/>
      <c r="Y2571" s="1114"/>
      <c r="Z2571" s="2114">
        <f>C2571-'Blocking-Step2'!C2571</f>
        <v>0</v>
      </c>
      <c r="AA2571" s="2114">
        <f>D2571-'Blocking-Step2'!D2571</f>
        <v>0</v>
      </c>
      <c r="AB2571" s="2114"/>
      <c r="AC2571" s="2114">
        <f>F2571-'Blocking-Step2'!F2571</f>
        <v>0</v>
      </c>
      <c r="AD2571" s="2114"/>
      <c r="AE2571" s="2114">
        <f>H2571-'Blocking-Step2'!H2571</f>
        <v>0</v>
      </c>
      <c r="AF2571" s="2114">
        <f>I2571-'Blocking-Step2'!I2571</f>
        <v>0</v>
      </c>
      <c r="AG2571" s="2114"/>
      <c r="AH2571" s="2136">
        <f>K2571-'Blocking-Step2'!K2571</f>
        <v>0</v>
      </c>
      <c r="AI2571" s="2136"/>
      <c r="AJ2571" s="2136">
        <f>M2571-'Blocking-Step2'!M2571</f>
        <v>0</v>
      </c>
      <c r="AK2571" s="2136"/>
      <c r="AL2571" s="2136">
        <f>O2571-'Blocking-Step2'!O2571</f>
        <v>0</v>
      </c>
      <c r="AM2571" s="2136"/>
      <c r="AN2571" s="2137">
        <f>Q2571-'Blocking-Step2'!Q2571</f>
        <v>0</v>
      </c>
      <c r="AO2571" s="2114"/>
      <c r="AP2571" s="2127">
        <f>S2571-'Blocking-Step2'!S2571</f>
        <v>0</v>
      </c>
      <c r="AQ2571" s="2127"/>
      <c r="AR2571" s="2127">
        <f>U2571-'Blocking-Step2'!U2571</f>
        <v>0</v>
      </c>
      <c r="AS2571" s="2127"/>
      <c r="AT2571" s="2127">
        <f>W2571-'Blocking-Step2'!W2571</f>
        <v>0</v>
      </c>
      <c r="AU2571" s="2127"/>
      <c r="AV2571" s="2128">
        <f>Y2571-'Blocking-Step2'!Y2571</f>
        <v>0</v>
      </c>
    </row>
    <row r="2572" spans="1:48" s="1874" customFormat="1">
      <c r="A2572" s="1116" t="s">
        <v>1448</v>
      </c>
      <c r="B2572" s="1104"/>
      <c r="C2572" s="1024"/>
      <c r="D2572" s="1105"/>
      <c r="E2572" s="1024"/>
      <c r="F2572" s="1139">
        <v>0.64</v>
      </c>
      <c r="G2572" s="1110"/>
      <c r="H2572" s="1629"/>
      <c r="I2572" s="1146">
        <v>0</v>
      </c>
      <c r="J2572" s="1114"/>
      <c r="K2572" s="1114"/>
      <c r="L2572" s="1114"/>
      <c r="M2572" s="1114"/>
      <c r="N2572" s="1114"/>
      <c r="O2572" s="1114"/>
      <c r="P2572" s="1114"/>
      <c r="Q2572" s="1114"/>
      <c r="R2572" s="1114"/>
      <c r="S2572" s="1114"/>
      <c r="T2572" s="1114"/>
      <c r="U2572" s="1114"/>
      <c r="V2572" s="1114"/>
      <c r="W2572" s="1114"/>
      <c r="X2572" s="1114"/>
      <c r="Y2572" s="1114"/>
      <c r="Z2572" s="2114">
        <f>C2572-'Blocking-Step2'!C2572</f>
        <v>0</v>
      </c>
      <c r="AA2572" s="2114">
        <f>D2572-'Blocking-Step2'!D2572</f>
        <v>0</v>
      </c>
      <c r="AB2572" s="2114"/>
      <c r="AC2572" s="2114">
        <f>F2572-'Blocking-Step2'!F2572</f>
        <v>0</v>
      </c>
      <c r="AD2572" s="2114"/>
      <c r="AE2572" s="2114">
        <f>H2572-'Blocking-Step2'!H2572</f>
        <v>0</v>
      </c>
      <c r="AF2572" s="2114">
        <f>I2572-'Blocking-Step2'!I2572</f>
        <v>0</v>
      </c>
      <c r="AG2572" s="2114"/>
      <c r="AH2572" s="2136">
        <f>K2572-'Blocking-Step2'!K2572</f>
        <v>0</v>
      </c>
      <c r="AI2572" s="2136"/>
      <c r="AJ2572" s="2136">
        <f>M2572-'Blocking-Step2'!M2572</f>
        <v>0</v>
      </c>
      <c r="AK2572" s="2136"/>
      <c r="AL2572" s="2136">
        <f>O2572-'Blocking-Step2'!O2572</f>
        <v>0</v>
      </c>
      <c r="AM2572" s="2136"/>
      <c r="AN2572" s="2137">
        <f>Q2572-'Blocking-Step2'!Q2572</f>
        <v>0</v>
      </c>
      <c r="AO2572" s="2114"/>
      <c r="AP2572" s="2127">
        <f>S2572-'Blocking-Step2'!S2572</f>
        <v>0</v>
      </c>
      <c r="AQ2572" s="2127"/>
      <c r="AR2572" s="2127">
        <f>U2572-'Blocking-Step2'!U2572</f>
        <v>0</v>
      </c>
      <c r="AS2572" s="2127"/>
      <c r="AT2572" s="2127">
        <f>W2572-'Blocking-Step2'!W2572</f>
        <v>0</v>
      </c>
      <c r="AU2572" s="2127"/>
      <c r="AV2572" s="2128">
        <f>Y2572-'Blocking-Step2'!Y2572</f>
        <v>0</v>
      </c>
    </row>
    <row r="2573" spans="1:48" s="1874" customFormat="1">
      <c r="A2573" s="1116" t="s">
        <v>1449</v>
      </c>
      <c r="B2573" s="1104"/>
      <c r="C2573" s="1024"/>
      <c r="D2573" s="1105"/>
      <c r="E2573" s="1024"/>
      <c r="F2573" s="1139">
        <v>0.42</v>
      </c>
      <c r="G2573" s="1110"/>
      <c r="H2573" s="1629"/>
      <c r="I2573" s="1146">
        <v>0</v>
      </c>
      <c r="J2573" s="1114"/>
      <c r="K2573" s="1114"/>
      <c r="L2573" s="1114"/>
      <c r="M2573" s="1114"/>
      <c r="N2573" s="1114"/>
      <c r="O2573" s="1114"/>
      <c r="P2573" s="1114"/>
      <c r="Q2573" s="1114"/>
      <c r="R2573" s="1114"/>
      <c r="S2573" s="1114"/>
      <c r="T2573" s="1114"/>
      <c r="U2573" s="1114"/>
      <c r="V2573" s="1114"/>
      <c r="W2573" s="1114"/>
      <c r="X2573" s="1114"/>
      <c r="Y2573" s="1114"/>
      <c r="Z2573" s="2114">
        <f>C2573-'Blocking-Step2'!C2573</f>
        <v>0</v>
      </c>
      <c r="AA2573" s="2114">
        <f>D2573-'Blocking-Step2'!D2573</f>
        <v>0</v>
      </c>
      <c r="AB2573" s="2114"/>
      <c r="AC2573" s="2114">
        <f>F2573-'Blocking-Step2'!F2573</f>
        <v>0</v>
      </c>
      <c r="AD2573" s="2114"/>
      <c r="AE2573" s="2114">
        <f>H2573-'Blocking-Step2'!H2573</f>
        <v>0</v>
      </c>
      <c r="AF2573" s="2114">
        <f>I2573-'Blocking-Step2'!I2573</f>
        <v>0</v>
      </c>
      <c r="AG2573" s="2114"/>
      <c r="AH2573" s="2136">
        <f>K2573-'Blocking-Step2'!K2573</f>
        <v>0</v>
      </c>
      <c r="AI2573" s="2136"/>
      <c r="AJ2573" s="2136">
        <f>M2573-'Blocking-Step2'!M2573</f>
        <v>0</v>
      </c>
      <c r="AK2573" s="2136"/>
      <c r="AL2573" s="2136">
        <f>O2573-'Blocking-Step2'!O2573</f>
        <v>0</v>
      </c>
      <c r="AM2573" s="2136"/>
      <c r="AN2573" s="2137">
        <f>Q2573-'Blocking-Step2'!Q2573</f>
        <v>0</v>
      </c>
      <c r="AO2573" s="2114"/>
      <c r="AP2573" s="2127">
        <f>S2573-'Blocking-Step2'!S2573</f>
        <v>0</v>
      </c>
      <c r="AQ2573" s="2127"/>
      <c r="AR2573" s="2127">
        <f>U2573-'Blocking-Step2'!U2573</f>
        <v>0</v>
      </c>
      <c r="AS2573" s="2127"/>
      <c r="AT2573" s="2127">
        <f>W2573-'Blocking-Step2'!W2573</f>
        <v>0</v>
      </c>
      <c r="AU2573" s="2127"/>
      <c r="AV2573" s="2128">
        <f>Y2573-'Blocking-Step2'!Y2573</f>
        <v>0</v>
      </c>
    </row>
    <row r="2574" spans="1:48" s="1874" customFormat="1">
      <c r="A2574" s="1116" t="s">
        <v>1450</v>
      </c>
      <c r="B2574" s="1104"/>
      <c r="C2574" s="1024"/>
      <c r="D2574" s="1105"/>
      <c r="E2574" s="1024"/>
      <c r="F2574" s="1139"/>
      <c r="G2574" s="1111"/>
      <c r="H2574" s="1629"/>
      <c r="I2574" s="1146"/>
      <c r="J2574" s="1114"/>
      <c r="K2574" s="1114"/>
      <c r="L2574" s="1114"/>
      <c r="M2574" s="1114"/>
      <c r="N2574" s="1114"/>
      <c r="O2574" s="1114"/>
      <c r="P2574" s="1114"/>
      <c r="Q2574" s="1114"/>
      <c r="R2574" s="1114"/>
      <c r="S2574" s="1114"/>
      <c r="T2574" s="1114"/>
      <c r="U2574" s="1114"/>
      <c r="V2574" s="1114"/>
      <c r="W2574" s="1114"/>
      <c r="X2574" s="1114"/>
      <c r="Y2574" s="1114"/>
      <c r="Z2574" s="2114">
        <f>C2574-'Blocking-Step2'!C2574</f>
        <v>0</v>
      </c>
      <c r="AA2574" s="2114">
        <f>D2574-'Blocking-Step2'!D2574</f>
        <v>0</v>
      </c>
      <c r="AB2574" s="2114"/>
      <c r="AC2574" s="2114">
        <f>F2574-'Blocking-Step2'!F2574</f>
        <v>0</v>
      </c>
      <c r="AD2574" s="2114"/>
      <c r="AE2574" s="2114">
        <f>H2574-'Blocking-Step2'!H2574</f>
        <v>0</v>
      </c>
      <c r="AF2574" s="2114">
        <f>I2574-'Blocking-Step2'!I2574</f>
        <v>0</v>
      </c>
      <c r="AG2574" s="2114"/>
      <c r="AH2574" s="2136">
        <f>K2574-'Blocking-Step2'!K2574</f>
        <v>0</v>
      </c>
      <c r="AI2574" s="2136"/>
      <c r="AJ2574" s="2136">
        <f>M2574-'Blocking-Step2'!M2574</f>
        <v>0</v>
      </c>
      <c r="AK2574" s="2136"/>
      <c r="AL2574" s="2136">
        <f>O2574-'Blocking-Step2'!O2574</f>
        <v>0</v>
      </c>
      <c r="AM2574" s="2136"/>
      <c r="AN2574" s="2137">
        <f>Q2574-'Blocking-Step2'!Q2574</f>
        <v>0</v>
      </c>
      <c r="AO2574" s="2114"/>
      <c r="AP2574" s="2127">
        <f>S2574-'Blocking-Step2'!S2574</f>
        <v>0</v>
      </c>
      <c r="AQ2574" s="2127"/>
      <c r="AR2574" s="2127">
        <f>U2574-'Blocking-Step2'!U2574</f>
        <v>0</v>
      </c>
      <c r="AS2574" s="2127"/>
      <c r="AT2574" s="2127">
        <f>W2574-'Blocking-Step2'!W2574</f>
        <v>0</v>
      </c>
      <c r="AU2574" s="2127"/>
      <c r="AV2574" s="2128">
        <f>Y2574-'Blocking-Step2'!Y2574</f>
        <v>0</v>
      </c>
    </row>
    <row r="2575" spans="1:48" s="1874" customFormat="1">
      <c r="A2575" s="1116" t="s">
        <v>1448</v>
      </c>
      <c r="B2575" s="1104"/>
      <c r="C2575" s="1024"/>
      <c r="D2575" s="1105"/>
      <c r="E2575" s="1024"/>
      <c r="F2575" s="1139">
        <v>0.63</v>
      </c>
      <c r="G2575" s="1111"/>
      <c r="H2575" s="1629"/>
      <c r="I2575" s="1146">
        <v>0</v>
      </c>
      <c r="J2575" s="1114"/>
      <c r="K2575" s="1114"/>
      <c r="L2575" s="1114"/>
      <c r="M2575" s="1114"/>
      <c r="N2575" s="1114"/>
      <c r="O2575" s="1114"/>
      <c r="P2575" s="1114"/>
      <c r="Q2575" s="1114"/>
      <c r="R2575" s="1114"/>
      <c r="S2575" s="1114"/>
      <c r="T2575" s="1114"/>
      <c r="U2575" s="1114"/>
      <c r="V2575" s="1114"/>
      <c r="W2575" s="1114"/>
      <c r="X2575" s="1114"/>
      <c r="Y2575" s="1114"/>
      <c r="Z2575" s="2114">
        <f>C2575-'Blocking-Step2'!C2575</f>
        <v>0</v>
      </c>
      <c r="AA2575" s="2114">
        <f>D2575-'Blocking-Step2'!D2575</f>
        <v>0</v>
      </c>
      <c r="AB2575" s="2114"/>
      <c r="AC2575" s="2114">
        <f>F2575-'Blocking-Step2'!F2575</f>
        <v>0</v>
      </c>
      <c r="AD2575" s="2114"/>
      <c r="AE2575" s="2114">
        <f>H2575-'Blocking-Step2'!H2575</f>
        <v>0</v>
      </c>
      <c r="AF2575" s="2114">
        <f>I2575-'Blocking-Step2'!I2575</f>
        <v>0</v>
      </c>
      <c r="AG2575" s="2114"/>
      <c r="AH2575" s="2136">
        <f>K2575-'Blocking-Step2'!K2575</f>
        <v>0</v>
      </c>
      <c r="AI2575" s="2136"/>
      <c r="AJ2575" s="2136">
        <f>M2575-'Blocking-Step2'!M2575</f>
        <v>0</v>
      </c>
      <c r="AK2575" s="2136"/>
      <c r="AL2575" s="2136">
        <f>O2575-'Blocking-Step2'!O2575</f>
        <v>0</v>
      </c>
      <c r="AM2575" s="2136"/>
      <c r="AN2575" s="2137">
        <f>Q2575-'Blocking-Step2'!Q2575</f>
        <v>0</v>
      </c>
      <c r="AO2575" s="2114"/>
      <c r="AP2575" s="2127">
        <f>S2575-'Blocking-Step2'!S2575</f>
        <v>0</v>
      </c>
      <c r="AQ2575" s="2127"/>
      <c r="AR2575" s="2127">
        <f>U2575-'Blocking-Step2'!U2575</f>
        <v>0</v>
      </c>
      <c r="AS2575" s="2127"/>
      <c r="AT2575" s="2127">
        <f>W2575-'Blocking-Step2'!W2575</f>
        <v>0</v>
      </c>
      <c r="AU2575" s="2127"/>
      <c r="AV2575" s="2128">
        <f>Y2575-'Blocking-Step2'!Y2575</f>
        <v>0</v>
      </c>
    </row>
    <row r="2576" spans="1:48" s="1874" customFormat="1">
      <c r="A2576" s="1116" t="s">
        <v>1449</v>
      </c>
      <c r="B2576" s="1104"/>
      <c r="C2576" s="1024"/>
      <c r="D2576" s="1105"/>
      <c r="E2576" s="1024"/>
      <c r="F2576" s="1139">
        <v>0.41</v>
      </c>
      <c r="G2576" s="1111"/>
      <c r="H2576" s="1629"/>
      <c r="I2576" s="1146">
        <v>0</v>
      </c>
      <c r="J2576" s="1114"/>
      <c r="K2576" s="1114"/>
      <c r="L2576" s="1114"/>
      <c r="M2576" s="1114"/>
      <c r="N2576" s="1114"/>
      <c r="O2576" s="1114"/>
      <c r="P2576" s="1114"/>
      <c r="Q2576" s="1114"/>
      <c r="R2576" s="1114"/>
      <c r="S2576" s="1114"/>
      <c r="T2576" s="1114"/>
      <c r="U2576" s="1114"/>
      <c r="V2576" s="1114"/>
      <c r="W2576" s="1114"/>
      <c r="X2576" s="1114"/>
      <c r="Y2576" s="1114"/>
      <c r="Z2576" s="2114">
        <f>C2576-'Blocking-Step2'!C2576</f>
        <v>0</v>
      </c>
      <c r="AA2576" s="2114">
        <f>D2576-'Blocking-Step2'!D2576</f>
        <v>0</v>
      </c>
      <c r="AB2576" s="2114"/>
      <c r="AC2576" s="2114">
        <f>F2576-'Blocking-Step2'!F2576</f>
        <v>0</v>
      </c>
      <c r="AD2576" s="2114"/>
      <c r="AE2576" s="2114">
        <f>H2576-'Blocking-Step2'!H2576</f>
        <v>0</v>
      </c>
      <c r="AF2576" s="2114">
        <f>I2576-'Blocking-Step2'!I2576</f>
        <v>0</v>
      </c>
      <c r="AG2576" s="2114"/>
      <c r="AH2576" s="2136">
        <f>K2576-'Blocking-Step2'!K2576</f>
        <v>0</v>
      </c>
      <c r="AI2576" s="2136"/>
      <c r="AJ2576" s="2136">
        <f>M2576-'Blocking-Step2'!M2576</f>
        <v>0</v>
      </c>
      <c r="AK2576" s="2136"/>
      <c r="AL2576" s="2136">
        <f>O2576-'Blocking-Step2'!O2576</f>
        <v>0</v>
      </c>
      <c r="AM2576" s="2136"/>
      <c r="AN2576" s="2137">
        <f>Q2576-'Blocking-Step2'!Q2576</f>
        <v>0</v>
      </c>
      <c r="AO2576" s="2114"/>
      <c r="AP2576" s="2127">
        <f>S2576-'Blocking-Step2'!S2576</f>
        <v>0</v>
      </c>
      <c r="AQ2576" s="2127"/>
      <c r="AR2576" s="2127">
        <f>U2576-'Blocking-Step2'!U2576</f>
        <v>0</v>
      </c>
      <c r="AS2576" s="2127"/>
      <c r="AT2576" s="2127">
        <f>W2576-'Blocking-Step2'!W2576</f>
        <v>0</v>
      </c>
      <c r="AU2576" s="2127"/>
      <c r="AV2576" s="2128">
        <f>Y2576-'Blocking-Step2'!Y2576</f>
        <v>0</v>
      </c>
    </row>
    <row r="2577" spans="1:48" s="1874" customFormat="1">
      <c r="A2577" s="1116" t="s">
        <v>1451</v>
      </c>
      <c r="B2577" s="1104"/>
      <c r="C2577" s="1024"/>
      <c r="D2577" s="1105"/>
      <c r="E2577" s="1024"/>
      <c r="F2577" s="1140"/>
      <c r="G2577" s="1112"/>
      <c r="H2577" s="1114"/>
      <c r="I2577" s="1146"/>
      <c r="J2577" s="1114"/>
      <c r="K2577" s="1114"/>
      <c r="L2577" s="1114"/>
      <c r="M2577" s="1114"/>
      <c r="N2577" s="1114"/>
      <c r="O2577" s="1114"/>
      <c r="P2577" s="1114"/>
      <c r="Q2577" s="1114"/>
      <c r="R2577" s="1114"/>
      <c r="S2577" s="1114"/>
      <c r="T2577" s="1114"/>
      <c r="U2577" s="1114"/>
      <c r="V2577" s="1114"/>
      <c r="W2577" s="1114"/>
      <c r="X2577" s="1114"/>
      <c r="Y2577" s="1114"/>
      <c r="Z2577" s="2114">
        <f>C2577-'Blocking-Step2'!C2577</f>
        <v>0</v>
      </c>
      <c r="AA2577" s="2114">
        <f>D2577-'Blocking-Step2'!D2577</f>
        <v>0</v>
      </c>
      <c r="AB2577" s="2114"/>
      <c r="AC2577" s="2114">
        <f>F2577-'Blocking-Step2'!F2577</f>
        <v>0</v>
      </c>
      <c r="AD2577" s="2114"/>
      <c r="AE2577" s="2114">
        <f>H2577-'Blocking-Step2'!H2577</f>
        <v>0</v>
      </c>
      <c r="AF2577" s="2114">
        <f>I2577-'Blocking-Step2'!I2577</f>
        <v>0</v>
      </c>
      <c r="AG2577" s="2114"/>
      <c r="AH2577" s="2136">
        <f>K2577-'Blocking-Step2'!K2577</f>
        <v>0</v>
      </c>
      <c r="AI2577" s="2136"/>
      <c r="AJ2577" s="2136">
        <f>M2577-'Blocking-Step2'!M2577</f>
        <v>0</v>
      </c>
      <c r="AK2577" s="2136"/>
      <c r="AL2577" s="2136">
        <f>O2577-'Blocking-Step2'!O2577</f>
        <v>0</v>
      </c>
      <c r="AM2577" s="2136"/>
      <c r="AN2577" s="2137">
        <f>Q2577-'Blocking-Step2'!Q2577</f>
        <v>0</v>
      </c>
      <c r="AO2577" s="2114"/>
      <c r="AP2577" s="2127">
        <f>S2577-'Blocking-Step2'!S2577</f>
        <v>0</v>
      </c>
      <c r="AQ2577" s="2127"/>
      <c r="AR2577" s="2127">
        <f>U2577-'Blocking-Step2'!U2577</f>
        <v>0</v>
      </c>
      <c r="AS2577" s="2127"/>
      <c r="AT2577" s="2127">
        <f>W2577-'Blocking-Step2'!W2577</f>
        <v>0</v>
      </c>
      <c r="AU2577" s="2127"/>
      <c r="AV2577" s="2128">
        <f>Y2577-'Blocking-Step2'!Y2577</f>
        <v>0</v>
      </c>
    </row>
    <row r="2578" spans="1:48" s="1874" customFormat="1">
      <c r="A2578" s="1116" t="s">
        <v>1448</v>
      </c>
      <c r="B2578" s="1104"/>
      <c r="C2578" s="1024"/>
      <c r="D2578" s="1105"/>
      <c r="E2578" s="1024"/>
      <c r="F2578" s="1139">
        <v>0.72</v>
      </c>
      <c r="G2578" s="1111"/>
      <c r="H2578" s="1629"/>
      <c r="I2578" s="1146">
        <v>0</v>
      </c>
      <c r="J2578" s="1114"/>
      <c r="K2578" s="1114"/>
      <c r="L2578" s="1114"/>
      <c r="M2578" s="1114"/>
      <c r="N2578" s="1114"/>
      <c r="O2578" s="1114"/>
      <c r="P2578" s="1114"/>
      <c r="Q2578" s="1114"/>
      <c r="R2578" s="1114"/>
      <c r="S2578" s="1114"/>
      <c r="T2578" s="1114"/>
      <c r="U2578" s="1114"/>
      <c r="V2578" s="1114"/>
      <c r="W2578" s="1114"/>
      <c r="X2578" s="1114"/>
      <c r="Y2578" s="1114"/>
      <c r="Z2578" s="2114">
        <f>C2578-'Blocking-Step2'!C2578</f>
        <v>0</v>
      </c>
      <c r="AA2578" s="2114">
        <f>D2578-'Blocking-Step2'!D2578</f>
        <v>0</v>
      </c>
      <c r="AB2578" s="2114"/>
      <c r="AC2578" s="2114">
        <f>F2578-'Blocking-Step2'!F2578</f>
        <v>0</v>
      </c>
      <c r="AD2578" s="2114"/>
      <c r="AE2578" s="2114">
        <f>H2578-'Blocking-Step2'!H2578</f>
        <v>0</v>
      </c>
      <c r="AF2578" s="2114">
        <f>I2578-'Blocking-Step2'!I2578</f>
        <v>0</v>
      </c>
      <c r="AG2578" s="2114"/>
      <c r="AH2578" s="2136">
        <f>K2578-'Blocking-Step2'!K2578</f>
        <v>0</v>
      </c>
      <c r="AI2578" s="2136"/>
      <c r="AJ2578" s="2136">
        <f>M2578-'Blocking-Step2'!M2578</f>
        <v>0</v>
      </c>
      <c r="AK2578" s="2136"/>
      <c r="AL2578" s="2136">
        <f>O2578-'Blocking-Step2'!O2578</f>
        <v>0</v>
      </c>
      <c r="AM2578" s="2136"/>
      <c r="AN2578" s="2137">
        <f>Q2578-'Blocking-Step2'!Q2578</f>
        <v>0</v>
      </c>
      <c r="AO2578" s="2114"/>
      <c r="AP2578" s="2127">
        <f>S2578-'Blocking-Step2'!S2578</f>
        <v>0</v>
      </c>
      <c r="AQ2578" s="2127"/>
      <c r="AR2578" s="2127">
        <f>U2578-'Blocking-Step2'!U2578</f>
        <v>0</v>
      </c>
      <c r="AS2578" s="2127"/>
      <c r="AT2578" s="2127">
        <f>W2578-'Blocking-Step2'!W2578</f>
        <v>0</v>
      </c>
      <c r="AU2578" s="2127"/>
      <c r="AV2578" s="2128">
        <f>Y2578-'Blocking-Step2'!Y2578</f>
        <v>0</v>
      </c>
    </row>
    <row r="2579" spans="1:48" s="1874" customFormat="1">
      <c r="A2579" s="1116" t="s">
        <v>1449</v>
      </c>
      <c r="B2579" s="1104"/>
      <c r="C2579" s="1024"/>
      <c r="D2579" s="1105"/>
      <c r="E2579" s="1024"/>
      <c r="F2579" s="1139">
        <v>0.46</v>
      </c>
      <c r="G2579" s="1111"/>
      <c r="H2579" s="1629"/>
      <c r="I2579" s="1146">
        <v>0</v>
      </c>
      <c r="J2579" s="1114"/>
      <c r="K2579" s="1114"/>
      <c r="L2579" s="1114"/>
      <c r="M2579" s="1114"/>
      <c r="N2579" s="1114"/>
      <c r="O2579" s="1114"/>
      <c r="P2579" s="1114"/>
      <c r="Q2579" s="1114"/>
      <c r="R2579" s="1114"/>
      <c r="S2579" s="1114"/>
      <c r="T2579" s="1114"/>
      <c r="U2579" s="1114"/>
      <c r="V2579" s="1114"/>
      <c r="W2579" s="1114"/>
      <c r="X2579" s="1114"/>
      <c r="Y2579" s="1114"/>
      <c r="Z2579" s="2114">
        <f>C2579-'Blocking-Step2'!C2579</f>
        <v>0</v>
      </c>
      <c r="AA2579" s="2114">
        <f>D2579-'Blocking-Step2'!D2579</f>
        <v>0</v>
      </c>
      <c r="AB2579" s="2114"/>
      <c r="AC2579" s="2114">
        <f>F2579-'Blocking-Step2'!F2579</f>
        <v>0</v>
      </c>
      <c r="AD2579" s="2114"/>
      <c r="AE2579" s="2114">
        <f>H2579-'Blocking-Step2'!H2579</f>
        <v>0</v>
      </c>
      <c r="AF2579" s="2114">
        <f>I2579-'Blocking-Step2'!I2579</f>
        <v>0</v>
      </c>
      <c r="AG2579" s="2114"/>
      <c r="AH2579" s="2136">
        <f>K2579-'Blocking-Step2'!K2579</f>
        <v>0</v>
      </c>
      <c r="AI2579" s="2136"/>
      <c r="AJ2579" s="2136">
        <f>M2579-'Blocking-Step2'!M2579</f>
        <v>0</v>
      </c>
      <c r="AK2579" s="2136"/>
      <c r="AL2579" s="2136">
        <f>O2579-'Blocking-Step2'!O2579</f>
        <v>0</v>
      </c>
      <c r="AM2579" s="2136"/>
      <c r="AN2579" s="2137">
        <f>Q2579-'Blocking-Step2'!Q2579</f>
        <v>0</v>
      </c>
      <c r="AO2579" s="2114"/>
      <c r="AP2579" s="2127">
        <f>S2579-'Blocking-Step2'!S2579</f>
        <v>0</v>
      </c>
      <c r="AQ2579" s="2127"/>
      <c r="AR2579" s="2127">
        <f>U2579-'Blocking-Step2'!U2579</f>
        <v>0</v>
      </c>
      <c r="AS2579" s="2127"/>
      <c r="AT2579" s="2127">
        <f>W2579-'Blocking-Step2'!W2579</f>
        <v>0</v>
      </c>
      <c r="AU2579" s="2127"/>
      <c r="AV2579" s="2128">
        <f>Y2579-'Blocking-Step2'!Y2579</f>
        <v>0</v>
      </c>
    </row>
    <row r="2580" spans="1:48" s="1874" customFormat="1">
      <c r="A2580" s="1116" t="s">
        <v>1452</v>
      </c>
      <c r="B2580" s="1104"/>
      <c r="C2580" s="1024"/>
      <c r="D2580" s="1105"/>
      <c r="E2580" s="1024"/>
      <c r="F2580" s="1139"/>
      <c r="G2580" s="1110"/>
      <c r="H2580" s="1629"/>
      <c r="I2580" s="1146"/>
      <c r="J2580" s="1114"/>
      <c r="K2580" s="1114"/>
      <c r="L2580" s="1114"/>
      <c r="M2580" s="1114"/>
      <c r="N2580" s="1114"/>
      <c r="O2580" s="1114"/>
      <c r="P2580" s="1114"/>
      <c r="Q2580" s="1114"/>
      <c r="R2580" s="1114"/>
      <c r="S2580" s="1114"/>
      <c r="T2580" s="1114"/>
      <c r="U2580" s="1114"/>
      <c r="V2580" s="1114"/>
      <c r="W2580" s="1114"/>
      <c r="X2580" s="1114"/>
      <c r="Y2580" s="1114"/>
      <c r="Z2580" s="2114">
        <f>C2580-'Blocking-Step2'!C2580</f>
        <v>0</v>
      </c>
      <c r="AA2580" s="2114">
        <f>D2580-'Blocking-Step2'!D2580</f>
        <v>0</v>
      </c>
      <c r="AB2580" s="2114"/>
      <c r="AC2580" s="2114">
        <f>F2580-'Blocking-Step2'!F2580</f>
        <v>0</v>
      </c>
      <c r="AD2580" s="2114"/>
      <c r="AE2580" s="2114">
        <f>H2580-'Blocking-Step2'!H2580</f>
        <v>0</v>
      </c>
      <c r="AF2580" s="2114">
        <f>I2580-'Blocking-Step2'!I2580</f>
        <v>0</v>
      </c>
      <c r="AG2580" s="2114"/>
      <c r="AH2580" s="2136">
        <f>K2580-'Blocking-Step2'!K2580</f>
        <v>0</v>
      </c>
      <c r="AI2580" s="2136"/>
      <c r="AJ2580" s="2136">
        <f>M2580-'Blocking-Step2'!M2580</f>
        <v>0</v>
      </c>
      <c r="AK2580" s="2136"/>
      <c r="AL2580" s="2136">
        <f>O2580-'Blocking-Step2'!O2580</f>
        <v>0</v>
      </c>
      <c r="AM2580" s="2136"/>
      <c r="AN2580" s="2137">
        <f>Q2580-'Blocking-Step2'!Q2580</f>
        <v>0</v>
      </c>
      <c r="AO2580" s="2114"/>
      <c r="AP2580" s="2127">
        <f>S2580-'Blocking-Step2'!S2580</f>
        <v>0</v>
      </c>
      <c r="AQ2580" s="2127"/>
      <c r="AR2580" s="2127">
        <f>U2580-'Blocking-Step2'!U2580</f>
        <v>0</v>
      </c>
      <c r="AS2580" s="2127"/>
      <c r="AT2580" s="2127">
        <f>W2580-'Blocking-Step2'!W2580</f>
        <v>0</v>
      </c>
      <c r="AU2580" s="2127"/>
      <c r="AV2580" s="2128">
        <f>Y2580-'Blocking-Step2'!Y2580</f>
        <v>0</v>
      </c>
    </row>
    <row r="2581" spans="1:48" s="1874" customFormat="1">
      <c r="A2581" s="1116" t="s">
        <v>1448</v>
      </c>
      <c r="B2581" s="1104"/>
      <c r="C2581" s="1024"/>
      <c r="D2581" s="1105"/>
      <c r="E2581" s="1024"/>
      <c r="F2581" s="1139">
        <v>0.7</v>
      </c>
      <c r="G2581" s="1111"/>
      <c r="H2581" s="1629"/>
      <c r="I2581" s="1146">
        <v>0</v>
      </c>
      <c r="J2581" s="1114"/>
      <c r="K2581" s="1114"/>
      <c r="L2581" s="1114"/>
      <c r="M2581" s="1114"/>
      <c r="N2581" s="1114"/>
      <c r="O2581" s="1114"/>
      <c r="P2581" s="1114"/>
      <c r="Q2581" s="1114"/>
      <c r="R2581" s="1114"/>
      <c r="S2581" s="1114"/>
      <c r="T2581" s="1114"/>
      <c r="U2581" s="1114"/>
      <c r="V2581" s="1114"/>
      <c r="W2581" s="1114"/>
      <c r="X2581" s="1114"/>
      <c r="Y2581" s="1114"/>
      <c r="Z2581" s="2114">
        <f>C2581-'Blocking-Step2'!C2581</f>
        <v>0</v>
      </c>
      <c r="AA2581" s="2114">
        <f>D2581-'Blocking-Step2'!D2581</f>
        <v>0</v>
      </c>
      <c r="AB2581" s="2114"/>
      <c r="AC2581" s="2114">
        <f>F2581-'Blocking-Step2'!F2581</f>
        <v>0</v>
      </c>
      <c r="AD2581" s="2114"/>
      <c r="AE2581" s="2114">
        <f>H2581-'Blocking-Step2'!H2581</f>
        <v>0</v>
      </c>
      <c r="AF2581" s="2114">
        <f>I2581-'Blocking-Step2'!I2581</f>
        <v>0</v>
      </c>
      <c r="AG2581" s="2114"/>
      <c r="AH2581" s="2136">
        <f>K2581-'Blocking-Step2'!K2581</f>
        <v>0</v>
      </c>
      <c r="AI2581" s="2136"/>
      <c r="AJ2581" s="2136">
        <f>M2581-'Blocking-Step2'!M2581</f>
        <v>0</v>
      </c>
      <c r="AK2581" s="2136"/>
      <c r="AL2581" s="2136">
        <f>O2581-'Blocking-Step2'!O2581</f>
        <v>0</v>
      </c>
      <c r="AM2581" s="2136"/>
      <c r="AN2581" s="2137">
        <f>Q2581-'Blocking-Step2'!Q2581</f>
        <v>0</v>
      </c>
      <c r="AO2581" s="2114"/>
      <c r="AP2581" s="2127">
        <f>S2581-'Blocking-Step2'!S2581</f>
        <v>0</v>
      </c>
      <c r="AQ2581" s="2127"/>
      <c r="AR2581" s="2127">
        <f>U2581-'Blocking-Step2'!U2581</f>
        <v>0</v>
      </c>
      <c r="AS2581" s="2127"/>
      <c r="AT2581" s="2127">
        <f>W2581-'Blocking-Step2'!W2581</f>
        <v>0</v>
      </c>
      <c r="AU2581" s="2127"/>
      <c r="AV2581" s="2128">
        <f>Y2581-'Blocking-Step2'!Y2581</f>
        <v>0</v>
      </c>
    </row>
    <row r="2582" spans="1:48" s="1874" customFormat="1">
      <c r="A2582" s="1116" t="s">
        <v>1449</v>
      </c>
      <c r="B2582" s="1104"/>
      <c r="C2582" s="1024"/>
      <c r="D2582" s="1105"/>
      <c r="E2582" s="1024"/>
      <c r="F2582" s="1139">
        <v>0.45</v>
      </c>
      <c r="G2582" s="1111"/>
      <c r="H2582" s="1629"/>
      <c r="I2582" s="1146">
        <v>0</v>
      </c>
      <c r="J2582" s="1114"/>
      <c r="K2582" s="1114"/>
      <c r="L2582" s="1114"/>
      <c r="M2582" s="1114"/>
      <c r="N2582" s="1114"/>
      <c r="O2582" s="1114"/>
      <c r="P2582" s="1114"/>
      <c r="Q2582" s="1114"/>
      <c r="R2582" s="1114"/>
      <c r="S2582" s="1114"/>
      <c r="T2582" s="1114"/>
      <c r="U2582" s="1114"/>
      <c r="V2582" s="1114"/>
      <c r="W2582" s="1114"/>
      <c r="X2582" s="1114"/>
      <c r="Y2582" s="1114"/>
      <c r="Z2582" s="2114">
        <f>C2582-'Blocking-Step2'!C2582</f>
        <v>0</v>
      </c>
      <c r="AA2582" s="2114">
        <f>D2582-'Blocking-Step2'!D2582</f>
        <v>0</v>
      </c>
      <c r="AB2582" s="2114"/>
      <c r="AC2582" s="2114">
        <f>F2582-'Blocking-Step2'!F2582</f>
        <v>0</v>
      </c>
      <c r="AD2582" s="2114"/>
      <c r="AE2582" s="2114">
        <f>H2582-'Blocking-Step2'!H2582</f>
        <v>0</v>
      </c>
      <c r="AF2582" s="2114">
        <f>I2582-'Blocking-Step2'!I2582</f>
        <v>0</v>
      </c>
      <c r="AG2582" s="2114"/>
      <c r="AH2582" s="2136">
        <f>K2582-'Blocking-Step2'!K2582</f>
        <v>0</v>
      </c>
      <c r="AI2582" s="2136"/>
      <c r="AJ2582" s="2136">
        <f>M2582-'Blocking-Step2'!M2582</f>
        <v>0</v>
      </c>
      <c r="AK2582" s="2136"/>
      <c r="AL2582" s="2136">
        <f>O2582-'Blocking-Step2'!O2582</f>
        <v>0</v>
      </c>
      <c r="AM2582" s="2136"/>
      <c r="AN2582" s="2137">
        <f>Q2582-'Blocking-Step2'!Q2582</f>
        <v>0</v>
      </c>
      <c r="AO2582" s="2114"/>
      <c r="AP2582" s="2127">
        <f>S2582-'Blocking-Step2'!S2582</f>
        <v>0</v>
      </c>
      <c r="AQ2582" s="2127"/>
      <c r="AR2582" s="2127">
        <f>U2582-'Blocking-Step2'!U2582</f>
        <v>0</v>
      </c>
      <c r="AS2582" s="2127"/>
      <c r="AT2582" s="2127">
        <f>W2582-'Blocking-Step2'!W2582</f>
        <v>0</v>
      </c>
      <c r="AU2582" s="2127"/>
      <c r="AV2582" s="2128">
        <f>Y2582-'Blocking-Step2'!Y2582</f>
        <v>0</v>
      </c>
    </row>
    <row r="2583" spans="1:48" s="1874" customFormat="1">
      <c r="A2583" s="1116" t="s">
        <v>1453</v>
      </c>
      <c r="B2583" s="1104"/>
      <c r="C2583" s="1024"/>
      <c r="D2583" s="1105"/>
      <c r="E2583" s="1024"/>
      <c r="F2583" s="1141"/>
      <c r="G2583" s="1109"/>
      <c r="H2583" s="1628"/>
      <c r="I2583" s="1627"/>
      <c r="J2583" s="1109"/>
      <c r="K2583" s="1109"/>
      <c r="L2583" s="1109"/>
      <c r="M2583" s="1109"/>
      <c r="N2583" s="1109"/>
      <c r="O2583" s="1109"/>
      <c r="P2583" s="1109"/>
      <c r="Q2583" s="1109"/>
      <c r="R2583" s="1109"/>
      <c r="S2583" s="1628"/>
      <c r="T2583" s="1628"/>
      <c r="U2583" s="1628"/>
      <c r="V2583" s="1628"/>
      <c r="W2583" s="1628"/>
      <c r="X2583" s="1628"/>
      <c r="Y2583" s="1628"/>
      <c r="Z2583" s="2114">
        <f>C2583-'Blocking-Step2'!C2583</f>
        <v>0</v>
      </c>
      <c r="AA2583" s="2114">
        <f>D2583-'Blocking-Step2'!D2583</f>
        <v>0</v>
      </c>
      <c r="AB2583" s="2114"/>
      <c r="AC2583" s="2114">
        <f>F2583-'Blocking-Step2'!F2583</f>
        <v>0</v>
      </c>
      <c r="AD2583" s="2114"/>
      <c r="AE2583" s="2114">
        <f>H2583-'Blocking-Step2'!H2583</f>
        <v>0</v>
      </c>
      <c r="AF2583" s="2114">
        <f>I2583-'Blocking-Step2'!I2583</f>
        <v>0</v>
      </c>
      <c r="AG2583" s="2114"/>
      <c r="AH2583" s="2136">
        <f>K2583-'Blocking-Step2'!K2583</f>
        <v>0</v>
      </c>
      <c r="AI2583" s="2136"/>
      <c r="AJ2583" s="2136">
        <f>M2583-'Blocking-Step2'!M2583</f>
        <v>0</v>
      </c>
      <c r="AK2583" s="2136"/>
      <c r="AL2583" s="2136">
        <f>O2583-'Blocking-Step2'!O2583</f>
        <v>0</v>
      </c>
      <c r="AM2583" s="2136"/>
      <c r="AN2583" s="2137">
        <f>Q2583-'Blocking-Step2'!Q2583</f>
        <v>0</v>
      </c>
      <c r="AO2583" s="2114"/>
      <c r="AP2583" s="2127">
        <f>S2583-'Blocking-Step2'!S2583</f>
        <v>0</v>
      </c>
      <c r="AQ2583" s="2127"/>
      <c r="AR2583" s="2127">
        <f>U2583-'Blocking-Step2'!U2583</f>
        <v>0</v>
      </c>
      <c r="AS2583" s="2127"/>
      <c r="AT2583" s="2127">
        <f>W2583-'Blocking-Step2'!W2583</f>
        <v>0</v>
      </c>
      <c r="AU2583" s="2127"/>
      <c r="AV2583" s="2128">
        <f>Y2583-'Blocking-Step2'!Y2583</f>
        <v>0</v>
      </c>
    </row>
    <row r="2584" spans="1:48" s="1874" customFormat="1">
      <c r="A2584" s="1116" t="s">
        <v>1448</v>
      </c>
      <c r="B2584" s="1104"/>
      <c r="C2584" s="1024">
        <v>0</v>
      </c>
      <c r="D2584" s="1105">
        <v>649010.38571006362</v>
      </c>
      <c r="E2584" s="1024"/>
      <c r="F2584" s="1139">
        <v>0.66</v>
      </c>
      <c r="G2584" s="1110"/>
      <c r="H2584" s="1146">
        <v>0</v>
      </c>
      <c r="I2584" s="1146">
        <v>428347</v>
      </c>
      <c r="J2584" s="1114"/>
      <c r="K2584" s="1114"/>
      <c r="L2584" s="1114"/>
      <c r="M2584" s="1114"/>
      <c r="N2584" s="1114"/>
      <c r="O2584" s="1114"/>
      <c r="P2584" s="1114"/>
      <c r="Q2584" s="1114"/>
      <c r="R2584" s="1114"/>
      <c r="S2584" s="1114"/>
      <c r="T2584" s="1114"/>
      <c r="U2584" s="1114"/>
      <c r="V2584" s="1114"/>
      <c r="W2584" s="1114"/>
      <c r="X2584" s="1114"/>
      <c r="Y2584" s="1114"/>
      <c r="Z2584" s="2114">
        <f>C2584-'Blocking-Step2'!C2584</f>
        <v>0</v>
      </c>
      <c r="AA2584" s="2114">
        <f>D2584-'Blocking-Step2'!D2584</f>
        <v>0</v>
      </c>
      <c r="AB2584" s="2114"/>
      <c r="AC2584" s="2114">
        <f>F2584-'Blocking-Step2'!F2584</f>
        <v>0</v>
      </c>
      <c r="AD2584" s="2114"/>
      <c r="AE2584" s="2114">
        <f>H2584-'Blocking-Step2'!H2584</f>
        <v>0</v>
      </c>
      <c r="AF2584" s="2114">
        <f>I2584-'Blocking-Step2'!I2584</f>
        <v>0</v>
      </c>
      <c r="AG2584" s="2114"/>
      <c r="AH2584" s="2136">
        <f>K2584-'Blocking-Step2'!K2584</f>
        <v>0</v>
      </c>
      <c r="AI2584" s="2136"/>
      <c r="AJ2584" s="2136">
        <f>M2584-'Blocking-Step2'!M2584</f>
        <v>0</v>
      </c>
      <c r="AK2584" s="2136"/>
      <c r="AL2584" s="2136">
        <f>O2584-'Blocking-Step2'!O2584</f>
        <v>0</v>
      </c>
      <c r="AM2584" s="2136"/>
      <c r="AN2584" s="2137">
        <f>Q2584-'Blocking-Step2'!Q2584</f>
        <v>0</v>
      </c>
      <c r="AO2584" s="2114"/>
      <c r="AP2584" s="2127">
        <f>S2584-'Blocking-Step2'!S2584</f>
        <v>0</v>
      </c>
      <c r="AQ2584" s="2127"/>
      <c r="AR2584" s="2127">
        <f>U2584-'Blocking-Step2'!U2584</f>
        <v>0</v>
      </c>
      <c r="AS2584" s="2127"/>
      <c r="AT2584" s="2127">
        <f>W2584-'Blocking-Step2'!W2584</f>
        <v>0</v>
      </c>
      <c r="AU2584" s="2127"/>
      <c r="AV2584" s="2128">
        <f>Y2584-'Blocking-Step2'!Y2584</f>
        <v>0</v>
      </c>
    </row>
    <row r="2585" spans="1:48" s="1874" customFormat="1">
      <c r="A2585" s="1116" t="s">
        <v>1454</v>
      </c>
      <c r="B2585" s="1104"/>
      <c r="C2585" s="1024">
        <v>249715</v>
      </c>
      <c r="D2585" s="1105">
        <v>803981.39087577863</v>
      </c>
      <c r="E2585" s="1024"/>
      <c r="F2585" s="1139">
        <v>0.41</v>
      </c>
      <c r="G2585" s="1110"/>
      <c r="H2585" s="1146">
        <v>102383</v>
      </c>
      <c r="I2585" s="1146">
        <v>329632</v>
      </c>
      <c r="J2585" s="1114"/>
      <c r="K2585" s="1114"/>
      <c r="L2585" s="1114"/>
      <c r="M2585" s="1114"/>
      <c r="N2585" s="1114"/>
      <c r="O2585" s="1114"/>
      <c r="P2585" s="1114"/>
      <c r="Q2585" s="1114"/>
      <c r="R2585" s="1114"/>
      <c r="S2585" s="1114"/>
      <c r="T2585" s="1114"/>
      <c r="U2585" s="1114"/>
      <c r="V2585" s="1114"/>
      <c r="W2585" s="1114"/>
      <c r="X2585" s="1114"/>
      <c r="Y2585" s="1114"/>
      <c r="Z2585" s="2114">
        <f>C2585-'Blocking-Step2'!C2585</f>
        <v>0</v>
      </c>
      <c r="AA2585" s="2114">
        <f>D2585-'Blocking-Step2'!D2585</f>
        <v>0</v>
      </c>
      <c r="AB2585" s="2114"/>
      <c r="AC2585" s="2114">
        <f>F2585-'Blocking-Step2'!F2585</f>
        <v>0</v>
      </c>
      <c r="AD2585" s="2114"/>
      <c r="AE2585" s="2114">
        <f>H2585-'Blocking-Step2'!H2585</f>
        <v>0</v>
      </c>
      <c r="AF2585" s="2114">
        <f>I2585-'Blocking-Step2'!I2585</f>
        <v>0</v>
      </c>
      <c r="AG2585" s="2114"/>
      <c r="AH2585" s="2136">
        <f>K2585-'Blocking-Step2'!K2585</f>
        <v>0</v>
      </c>
      <c r="AI2585" s="2136"/>
      <c r="AJ2585" s="2136">
        <f>M2585-'Blocking-Step2'!M2585</f>
        <v>0</v>
      </c>
      <c r="AK2585" s="2136"/>
      <c r="AL2585" s="2136">
        <f>O2585-'Blocking-Step2'!O2585</f>
        <v>0</v>
      </c>
      <c r="AM2585" s="2136"/>
      <c r="AN2585" s="2137">
        <f>Q2585-'Blocking-Step2'!Q2585</f>
        <v>0</v>
      </c>
      <c r="AO2585" s="2114"/>
      <c r="AP2585" s="2127">
        <f>S2585-'Blocking-Step2'!S2585</f>
        <v>0</v>
      </c>
      <c r="AQ2585" s="2127"/>
      <c r="AR2585" s="2127">
        <f>U2585-'Blocking-Step2'!U2585</f>
        <v>0</v>
      </c>
      <c r="AS2585" s="2127"/>
      <c r="AT2585" s="2127">
        <f>W2585-'Blocking-Step2'!W2585</f>
        <v>0</v>
      </c>
      <c r="AU2585" s="2127"/>
      <c r="AV2585" s="2128">
        <f>Y2585-'Blocking-Step2'!Y2585</f>
        <v>0</v>
      </c>
    </row>
    <row r="2586" spans="1:48" s="1874" customFormat="1">
      <c r="A2586" s="1116" t="s">
        <v>1455</v>
      </c>
      <c r="B2586" s="1104"/>
      <c r="C2586" s="1024">
        <v>24611000</v>
      </c>
      <c r="D2586" s="1105">
        <v>172556856.82849827</v>
      </c>
      <c r="E2586" s="1024"/>
      <c r="F2586" s="1143">
        <v>5.7290000000000001</v>
      </c>
      <c r="G2586" s="1875" t="s">
        <v>495</v>
      </c>
      <c r="H2586" s="1146">
        <v>1409964</v>
      </c>
      <c r="I2586" s="1146">
        <v>9885782</v>
      </c>
      <c r="J2586" s="1114"/>
      <c r="K2586" s="1143">
        <v>-2.3999999999999998E-3</v>
      </c>
      <c r="L2586" s="1875" t="s">
        <v>495</v>
      </c>
      <c r="M2586" s="1143">
        <v>5.7313999999999998</v>
      </c>
      <c r="N2586" s="1875" t="s">
        <v>495</v>
      </c>
      <c r="O2586" s="1143">
        <v>0</v>
      </c>
      <c r="P2586" s="1875" t="s">
        <v>495</v>
      </c>
      <c r="Q2586" s="1143">
        <v>5.7290000000000001</v>
      </c>
      <c r="R2586" s="1875" t="s">
        <v>495</v>
      </c>
      <c r="S2586" s="1114">
        <v>-4141</v>
      </c>
      <c r="T2586" s="1876"/>
      <c r="U2586" s="1114">
        <v>9889924</v>
      </c>
      <c r="V2586" s="1876"/>
      <c r="W2586" s="1114">
        <v>0</v>
      </c>
      <c r="X2586" s="1876"/>
      <c r="Y2586" s="1114">
        <v>9885782</v>
      </c>
      <c r="Z2586" s="2114">
        <f>C2586-'Blocking-Step2'!C2586</f>
        <v>0</v>
      </c>
      <c r="AA2586" s="2114">
        <f>D2586-'Blocking-Step2'!D2586</f>
        <v>0</v>
      </c>
      <c r="AB2586" s="2114"/>
      <c r="AC2586" s="2114">
        <f>F2586-'Blocking-Step2'!F2586</f>
        <v>0</v>
      </c>
      <c r="AD2586" s="2114"/>
      <c r="AE2586" s="2114">
        <f>H2586-'Blocking-Step2'!H2586</f>
        <v>0</v>
      </c>
      <c r="AF2586" s="2114">
        <f>I2586-'Blocking-Step2'!I2586</f>
        <v>0</v>
      </c>
      <c r="AG2586" s="2114"/>
      <c r="AH2586" s="2136">
        <f>K2586-'Blocking-Step2'!K2586</f>
        <v>-1.7875999999999999</v>
      </c>
      <c r="AI2586" s="2136"/>
      <c r="AJ2586" s="2136">
        <f>M2586-'Blocking-Step2'!M2586</f>
        <v>1.7875999999999994</v>
      </c>
      <c r="AK2586" s="2136"/>
      <c r="AL2586" s="2136">
        <f>O2586-'Blocking-Step2'!O2586</f>
        <v>0</v>
      </c>
      <c r="AM2586" s="2136"/>
      <c r="AN2586" s="2137">
        <f>Q2586-'Blocking-Step2'!Q2586</f>
        <v>0</v>
      </c>
      <c r="AO2586" s="2114"/>
      <c r="AP2586" s="2127">
        <f>S2586-'Blocking-Step2'!S2586</f>
        <v>-3084626</v>
      </c>
      <c r="AQ2586" s="2127"/>
      <c r="AR2586" s="2127">
        <f>U2586-'Blocking-Step2'!U2586</f>
        <v>3084627</v>
      </c>
      <c r="AS2586" s="2127"/>
      <c r="AT2586" s="2127">
        <f>W2586-'Blocking-Step2'!W2586</f>
        <v>0</v>
      </c>
      <c r="AU2586" s="2127"/>
      <c r="AV2586" s="2128">
        <f>Y2586-'Blocking-Step2'!Y2586</f>
        <v>0</v>
      </c>
    </row>
    <row r="2587" spans="1:48">
      <c r="A2587" s="1116" t="s">
        <v>397</v>
      </c>
      <c r="C2587" s="1117"/>
      <c r="D2587" s="1136">
        <v>172556856.82849827</v>
      </c>
      <c r="E2587" s="1117"/>
      <c r="F2587" s="1106"/>
      <c r="G2587" s="1107"/>
      <c r="H2587" s="1147">
        <v>1672391</v>
      </c>
      <c r="I2587" s="1147">
        <v>11605048</v>
      </c>
      <c r="J2587" s="1114"/>
      <c r="K2587" s="1114"/>
      <c r="L2587" s="1114"/>
      <c r="M2587" s="1114"/>
      <c r="N2587" s="1114"/>
      <c r="O2587" s="1114"/>
      <c r="P2587" s="1114"/>
      <c r="Q2587" s="1114"/>
      <c r="R2587" s="1114"/>
      <c r="S2587" s="1147">
        <v>1231248</v>
      </c>
      <c r="T2587" s="1114"/>
      <c r="U2587" s="1147">
        <v>10754862</v>
      </c>
      <c r="V2587" s="1114"/>
      <c r="W2587" s="1147">
        <v>0</v>
      </c>
      <c r="X2587" s="1114"/>
      <c r="Y2587" s="1147">
        <v>11986109</v>
      </c>
      <c r="Z2587" s="2114">
        <f>C2587-'Blocking-Step2'!C2587</f>
        <v>0</v>
      </c>
      <c r="AA2587" s="2114">
        <f>D2587-'Blocking-Step2'!D2587</f>
        <v>0</v>
      </c>
      <c r="AC2587" s="2114">
        <f>F2587-'Blocking-Step2'!F2587</f>
        <v>0</v>
      </c>
      <c r="AE2587" s="2114">
        <f>H2587-'Blocking-Step2'!H2587</f>
        <v>0</v>
      </c>
      <c r="AF2587" s="2114">
        <f>I2587-'Blocking-Step2'!I2587</f>
        <v>0</v>
      </c>
      <c r="AH2587" s="2136">
        <f>K2587-'Blocking-Step2'!K2587</f>
        <v>0</v>
      </c>
      <c r="AJ2587" s="2136">
        <f>M2587-'Blocking-Step2'!M2587</f>
        <v>0</v>
      </c>
      <c r="AL2587" s="2136">
        <f>O2587-'Blocking-Step2'!O2587</f>
        <v>0</v>
      </c>
      <c r="AN2587" s="2137">
        <f>Q2587-'Blocking-Step2'!Q2587</f>
        <v>0</v>
      </c>
      <c r="AP2587" s="2127">
        <f>S2587-'Blocking-Step2'!S2587</f>
        <v>-3385204</v>
      </c>
      <c r="AR2587" s="2127">
        <f>U2587-'Blocking-Step2'!U2587</f>
        <v>3385206</v>
      </c>
      <c r="AT2587" s="2127">
        <f>W2587-'Blocking-Step2'!W2587</f>
        <v>0</v>
      </c>
      <c r="AV2587" s="2128">
        <f>Y2587-'Blocking-Step2'!Y2587</f>
        <v>0</v>
      </c>
    </row>
    <row r="2588" spans="1:48">
      <c r="A2588" s="2008" t="s">
        <v>442</v>
      </c>
      <c r="C2588" s="1632"/>
      <c r="H2588" s="1628"/>
      <c r="K2588" s="1109"/>
      <c r="M2588" s="1109"/>
      <c r="O2588" s="1109"/>
      <c r="Q2588" s="1109"/>
      <c r="Y2588" s="1628"/>
      <c r="Z2588" s="2114">
        <f>C2588-'Blocking-Step2'!C2588</f>
        <v>0</v>
      </c>
      <c r="AA2588" s="2114">
        <f>D2588-'Blocking-Step2'!D2588</f>
        <v>0</v>
      </c>
      <c r="AC2588" s="2114">
        <f>F2588-'Blocking-Step2'!F2588</f>
        <v>0</v>
      </c>
      <c r="AE2588" s="2114">
        <f>H2588-'Blocking-Step2'!H2588</f>
        <v>0</v>
      </c>
      <c r="AF2588" s="2114">
        <f>I2588-'Blocking-Step2'!I2588</f>
        <v>0</v>
      </c>
      <c r="AH2588" s="2136">
        <f>K2588-'Blocking-Step2'!K2588</f>
        <v>0</v>
      </c>
      <c r="AJ2588" s="2136">
        <f>M2588-'Blocking-Step2'!M2588</f>
        <v>0</v>
      </c>
      <c r="AL2588" s="2136">
        <f>O2588-'Blocking-Step2'!O2588</f>
        <v>0</v>
      </c>
      <c r="AN2588" s="2137">
        <f>Q2588-'Blocking-Step2'!Q2588</f>
        <v>0</v>
      </c>
      <c r="AP2588" s="2127">
        <f>S2588-'Blocking-Step2'!S2588</f>
        <v>0</v>
      </c>
      <c r="AR2588" s="2127">
        <f>U2588-'Blocking-Step2'!U2588</f>
        <v>0</v>
      </c>
      <c r="AT2588" s="2127">
        <f>W2588-'Blocking-Step2'!W2588</f>
        <v>0</v>
      </c>
      <c r="AV2588" s="2128">
        <f>Y2588-'Blocking-Step2'!Y2588</f>
        <v>0</v>
      </c>
    </row>
    <row r="2589" spans="1:48">
      <c r="A2589" s="1115" t="s">
        <v>444</v>
      </c>
      <c r="C2589" s="1024"/>
      <c r="D2589" s="1105"/>
      <c r="E2589" s="1024"/>
      <c r="F2589" s="1142"/>
      <c r="G2589" s="617"/>
      <c r="H2589" s="1114"/>
      <c r="I2589" s="1146"/>
      <c r="J2589" s="1114"/>
      <c r="K2589" s="1114"/>
      <c r="L2589" s="1114"/>
      <c r="M2589" s="1114"/>
      <c r="N2589" s="1114"/>
      <c r="O2589" s="1114"/>
      <c r="P2589" s="1114"/>
      <c r="Q2589" s="1114"/>
      <c r="R2589" s="1114"/>
      <c r="S2589" s="1114"/>
      <c r="T2589" s="1114"/>
      <c r="U2589" s="1114"/>
      <c r="V2589" s="1114"/>
      <c r="W2589" s="1114"/>
      <c r="X2589" s="1114"/>
      <c r="Y2589" s="1114"/>
      <c r="Z2589" s="2114">
        <f>C2589-'Blocking-Step2'!C2589</f>
        <v>0</v>
      </c>
      <c r="AA2589" s="2114">
        <f>D2589-'Blocking-Step2'!D2589</f>
        <v>0</v>
      </c>
      <c r="AC2589" s="2114">
        <f>F2589-'Blocking-Step2'!F2589</f>
        <v>0</v>
      </c>
      <c r="AE2589" s="2114">
        <f>H2589-'Blocking-Step2'!H2589</f>
        <v>0</v>
      </c>
      <c r="AF2589" s="2114">
        <f>I2589-'Blocking-Step2'!I2589</f>
        <v>0</v>
      </c>
      <c r="AH2589" s="2136">
        <f>K2589-'Blocking-Step2'!K2589</f>
        <v>0</v>
      </c>
      <c r="AJ2589" s="2136">
        <f>M2589-'Blocking-Step2'!M2589</f>
        <v>0</v>
      </c>
      <c r="AL2589" s="2136">
        <f>O2589-'Blocking-Step2'!O2589</f>
        <v>0</v>
      </c>
      <c r="AN2589" s="2137">
        <f>Q2589-'Blocking-Step2'!Q2589</f>
        <v>0</v>
      </c>
      <c r="AP2589" s="2127">
        <f>S2589-'Blocking-Step2'!S2589</f>
        <v>0</v>
      </c>
      <c r="AR2589" s="2127">
        <f>U2589-'Blocking-Step2'!U2589</f>
        <v>0</v>
      </c>
      <c r="AT2589" s="2127">
        <f>W2589-'Blocking-Step2'!W2589</f>
        <v>0</v>
      </c>
      <c r="AV2589" s="2128">
        <f>Y2589-'Blocking-Step2'!Y2589</f>
        <v>0</v>
      </c>
    </row>
    <row r="2590" spans="1:48">
      <c r="A2590" s="1116" t="s">
        <v>168</v>
      </c>
      <c r="C2590" s="1105">
        <v>271679.46396396402</v>
      </c>
      <c r="D2590" s="1105">
        <v>41882.545256487327</v>
      </c>
      <c r="E2590" s="1024"/>
      <c r="F2590" s="1142">
        <v>2.2200000000000002</v>
      </c>
      <c r="G2590" s="617"/>
      <c r="H2590" s="1146">
        <v>603128</v>
      </c>
      <c r="I2590" s="1146">
        <v>92979</v>
      </c>
      <c r="J2590" s="1114"/>
      <c r="K2590" s="1142">
        <v>0</v>
      </c>
      <c r="L2590" s="617"/>
      <c r="M2590" s="1142">
        <v>2.2999999999999998</v>
      </c>
      <c r="N2590" s="617"/>
      <c r="O2590" s="1142">
        <v>0</v>
      </c>
      <c r="P2590" s="1114"/>
      <c r="Q2590" s="1142">
        <v>2.2999999999999998</v>
      </c>
      <c r="R2590" s="617"/>
      <c r="S2590" s="1193">
        <v>0</v>
      </c>
      <c r="T2590" s="1114"/>
      <c r="U2590" s="1193">
        <v>96330</v>
      </c>
      <c r="V2590" s="1114"/>
      <c r="W2590" s="1193">
        <v>0</v>
      </c>
      <c r="X2590" s="1114"/>
      <c r="Y2590" s="1193">
        <v>96330</v>
      </c>
      <c r="Z2590" s="2114">
        <f>C2590-'Blocking-Step2'!C2590</f>
        <v>0</v>
      </c>
      <c r="AA2590" s="2114">
        <f>D2590-'Blocking-Step2'!D2590</f>
        <v>0</v>
      </c>
      <c r="AC2590" s="2114">
        <f>F2590-'Blocking-Step2'!F2590</f>
        <v>0</v>
      </c>
      <c r="AE2590" s="2114">
        <f>H2590-'Blocking-Step2'!H2590</f>
        <v>0</v>
      </c>
      <c r="AF2590" s="2114">
        <f>I2590-'Blocking-Step2'!I2590</f>
        <v>0</v>
      </c>
      <c r="AH2590" s="2136">
        <f>K2590-'Blocking-Step2'!K2590</f>
        <v>-2.2999999999999998</v>
      </c>
      <c r="AJ2590" s="2136">
        <f>M2590-'Blocking-Step2'!M2590</f>
        <v>2.2999999999999998</v>
      </c>
      <c r="AL2590" s="2136">
        <f>O2590-'Blocking-Step2'!O2590</f>
        <v>0</v>
      </c>
      <c r="AN2590" s="2137">
        <f>Q2590-'Blocking-Step2'!Q2590</f>
        <v>0</v>
      </c>
      <c r="AP2590" s="2127">
        <f>S2590-'Blocking-Step2'!S2590</f>
        <v>-96330</v>
      </c>
      <c r="AR2590" s="2127">
        <f>U2590-'Blocking-Step2'!U2590</f>
        <v>96330</v>
      </c>
      <c r="AT2590" s="2127">
        <f>W2590-'Blocking-Step2'!W2590</f>
        <v>0</v>
      </c>
      <c r="AV2590" s="2128">
        <f>Y2590-'Blocking-Step2'!Y2590</f>
        <v>0</v>
      </c>
    </row>
    <row r="2591" spans="1:48">
      <c r="A2591" s="1116" t="s">
        <v>1651</v>
      </c>
      <c r="C2591" s="1105">
        <v>113286.1768593625</v>
      </c>
      <c r="D2591" s="1105">
        <v>15180.02958676651</v>
      </c>
      <c r="E2591" s="1024"/>
      <c r="F2591" s="1142"/>
      <c r="G2591" s="617"/>
      <c r="H2591" s="1146"/>
      <c r="I2591" s="1146"/>
      <c r="J2591" s="1114"/>
      <c r="K2591" s="1142">
        <v>0</v>
      </c>
      <c r="L2591" s="617"/>
      <c r="M2591" s="1142">
        <v>14.48</v>
      </c>
      <c r="N2591" s="617"/>
      <c r="O2591" s="1142">
        <v>0</v>
      </c>
      <c r="P2591" s="1118"/>
      <c r="Q2591" s="1142">
        <v>14.48</v>
      </c>
      <c r="R2591" s="617"/>
      <c r="S2591" s="1146">
        <v>0</v>
      </c>
      <c r="T2591" s="1114"/>
      <c r="U2591" s="1146">
        <v>219807</v>
      </c>
      <c r="V2591" s="1114"/>
      <c r="W2591" s="1146">
        <v>0</v>
      </c>
      <c r="X2591" s="1114"/>
      <c r="Y2591" s="1146">
        <v>219807</v>
      </c>
      <c r="Z2591" s="2114">
        <f>C2591-'Blocking-Step2'!C2591</f>
        <v>0</v>
      </c>
      <c r="AA2591" s="2114">
        <f>D2591-'Blocking-Step2'!D2591</f>
        <v>0</v>
      </c>
      <c r="AC2591" s="2114">
        <f>F2591-'Blocking-Step2'!F2591</f>
        <v>0</v>
      </c>
      <c r="AE2591" s="2114">
        <f>H2591-'Blocking-Step2'!H2591</f>
        <v>0</v>
      </c>
      <c r="AF2591" s="2114">
        <f>I2591-'Blocking-Step2'!I2591</f>
        <v>0</v>
      </c>
      <c r="AH2591" s="2136">
        <f>K2591-'Blocking-Step2'!K2591</f>
        <v>-4.8</v>
      </c>
      <c r="AJ2591" s="2136">
        <f>M2591-'Blocking-Step2'!M2591</f>
        <v>4.8000000000000007</v>
      </c>
      <c r="AL2591" s="2136">
        <f>O2591-'Blocking-Step2'!O2591</f>
        <v>0</v>
      </c>
      <c r="AN2591" s="2137">
        <f>Q2591-'Blocking-Step2'!Q2591</f>
        <v>0</v>
      </c>
      <c r="AP2591" s="2127">
        <f>S2591-'Blocking-Step2'!S2591</f>
        <v>-72864</v>
      </c>
      <c r="AR2591" s="2127">
        <f>U2591-'Blocking-Step2'!U2591</f>
        <v>72864</v>
      </c>
      <c r="AT2591" s="2127">
        <f>W2591-'Blocking-Step2'!W2591</f>
        <v>0</v>
      </c>
      <c r="AV2591" s="2128">
        <f>Y2591-'Blocking-Step2'!Y2591</f>
        <v>0</v>
      </c>
    </row>
    <row r="2592" spans="1:48">
      <c r="A2592" s="1116" t="s">
        <v>1652</v>
      </c>
      <c r="C2592" s="1105">
        <v>147021.2356670486</v>
      </c>
      <c r="D2592" s="1105">
        <v>26325.06937362958</v>
      </c>
      <c r="E2592" s="1024"/>
      <c r="F2592" s="1142"/>
      <c r="G2592" s="617"/>
      <c r="H2592" s="1146"/>
      <c r="I2592" s="1146"/>
      <c r="J2592" s="1114"/>
      <c r="K2592" s="1142">
        <v>0</v>
      </c>
      <c r="L2592" s="617"/>
      <c r="M2592" s="1142">
        <v>12.81</v>
      </c>
      <c r="N2592" s="617"/>
      <c r="O2592" s="1142">
        <v>0</v>
      </c>
      <c r="P2592" s="1118"/>
      <c r="Q2592" s="1142">
        <v>12.81</v>
      </c>
      <c r="R2592" s="617"/>
      <c r="S2592" s="1146">
        <v>0</v>
      </c>
      <c r="T2592" s="1114"/>
      <c r="U2592" s="1146">
        <v>337224</v>
      </c>
      <c r="V2592" s="1114"/>
      <c r="W2592" s="1146">
        <v>0</v>
      </c>
      <c r="X2592" s="1114"/>
      <c r="Y2592" s="1146">
        <v>337224</v>
      </c>
      <c r="Z2592" s="2114">
        <f>C2592-'Blocking-Step2'!C2592</f>
        <v>0</v>
      </c>
      <c r="AA2592" s="2114">
        <f>D2592-'Blocking-Step2'!D2592</f>
        <v>0</v>
      </c>
      <c r="AC2592" s="2114">
        <f>F2592-'Blocking-Step2'!F2592</f>
        <v>0</v>
      </c>
      <c r="AE2592" s="2114">
        <f>H2592-'Blocking-Step2'!H2592</f>
        <v>0</v>
      </c>
      <c r="AF2592" s="2114">
        <f>I2592-'Blocking-Step2'!I2592</f>
        <v>0</v>
      </c>
      <c r="AH2592" s="2136">
        <f>K2592-'Blocking-Step2'!K2592</f>
        <v>-4.25</v>
      </c>
      <c r="AJ2592" s="2136">
        <f>M2592-'Blocking-Step2'!M2592</f>
        <v>4.25</v>
      </c>
      <c r="AL2592" s="2136">
        <f>O2592-'Blocking-Step2'!O2592</f>
        <v>0</v>
      </c>
      <c r="AN2592" s="2137">
        <f>Q2592-'Blocking-Step2'!Q2592</f>
        <v>0</v>
      </c>
      <c r="AP2592" s="2127">
        <f>S2592-'Blocking-Step2'!S2592</f>
        <v>-111882</v>
      </c>
      <c r="AR2592" s="2127">
        <f>U2592-'Blocking-Step2'!U2592</f>
        <v>111881</v>
      </c>
      <c r="AT2592" s="2127">
        <f>W2592-'Blocking-Step2'!W2592</f>
        <v>0</v>
      </c>
      <c r="AV2592" s="2128">
        <f>Y2592-'Blocking-Step2'!Y2592</f>
        <v>0</v>
      </c>
    </row>
    <row r="2593" spans="1:48">
      <c r="A2593" s="1116" t="s">
        <v>1532</v>
      </c>
      <c r="C2593" s="1105">
        <v>13810694.572759079</v>
      </c>
      <c r="D2593" s="1105">
        <v>4703542.3042796534</v>
      </c>
      <c r="E2593" s="1024"/>
      <c r="F2593" s="1143"/>
      <c r="G2593" s="1875"/>
      <c r="H2593" s="1146"/>
      <c r="I2593" s="1146"/>
      <c r="J2593" s="1114"/>
      <c r="K2593" s="1143">
        <v>0</v>
      </c>
      <c r="L2593" s="1875" t="s">
        <v>495</v>
      </c>
      <c r="M2593" s="1143">
        <v>1.0927</v>
      </c>
      <c r="N2593" s="1875" t="s">
        <v>495</v>
      </c>
      <c r="O2593" s="1143">
        <v>4.1108761607000002</v>
      </c>
      <c r="P2593" s="1875" t="s">
        <v>495</v>
      </c>
      <c r="Q2593" s="1143">
        <v>5.2035761607</v>
      </c>
      <c r="R2593" s="1875" t="s">
        <v>495</v>
      </c>
      <c r="S2593" s="1146">
        <v>0</v>
      </c>
      <c r="T2593" s="1876"/>
      <c r="U2593" s="1146">
        <v>51396</v>
      </c>
      <c r="V2593" s="1876"/>
      <c r="W2593" s="1146">
        <v>193357</v>
      </c>
      <c r="X2593" s="1876"/>
      <c r="Y2593" s="1146">
        <v>244752</v>
      </c>
      <c r="Z2593" s="2114">
        <f>C2593-'Blocking-Step2'!C2593</f>
        <v>0</v>
      </c>
      <c r="AA2593" s="2114">
        <f>D2593-'Blocking-Step2'!D2593</f>
        <v>0</v>
      </c>
      <c r="AC2593" s="2114">
        <f>F2593-'Blocking-Step2'!F2593</f>
        <v>0</v>
      </c>
      <c r="AE2593" s="2114">
        <f>H2593-'Blocking-Step2'!H2593</f>
        <v>0</v>
      </c>
      <c r="AF2593" s="2114">
        <f>I2593-'Blocking-Step2'!I2593</f>
        <v>0</v>
      </c>
      <c r="AH2593" s="2136">
        <f>K2593-'Blocking-Step2'!K2593</f>
        <v>0</v>
      </c>
      <c r="AJ2593" s="2136">
        <f>M2593-'Blocking-Step2'!M2593</f>
        <v>0</v>
      </c>
      <c r="AL2593" s="2136">
        <f>O2593-'Blocking-Step2'!O2593</f>
        <v>0</v>
      </c>
      <c r="AN2593" s="2137">
        <f>Q2593-'Blocking-Step2'!Q2593</f>
        <v>0</v>
      </c>
      <c r="AP2593" s="2127">
        <f>S2593-'Blocking-Step2'!S2593</f>
        <v>0</v>
      </c>
      <c r="AR2593" s="2127">
        <f>U2593-'Blocking-Step2'!U2593</f>
        <v>0</v>
      </c>
      <c r="AT2593" s="2127">
        <f>W2593-'Blocking-Step2'!W2593</f>
        <v>0</v>
      </c>
      <c r="AV2593" s="2128">
        <f>Y2593-'Blocking-Step2'!Y2593</f>
        <v>0</v>
      </c>
    </row>
    <row r="2594" spans="1:48">
      <c r="A2594" s="1116" t="s">
        <v>1653</v>
      </c>
      <c r="C2594" s="1105">
        <v>19233159.527981713</v>
      </c>
      <c r="D2594" s="1105">
        <v>4209024.1937161162</v>
      </c>
      <c r="E2594" s="1024"/>
      <c r="F2594" s="1143"/>
      <c r="G2594" s="1875"/>
      <c r="H2594" s="1146"/>
      <c r="I2594" s="1146"/>
      <c r="J2594" s="1114"/>
      <c r="K2594" s="1143">
        <v>0</v>
      </c>
      <c r="L2594" s="1875" t="s">
        <v>495</v>
      </c>
      <c r="M2594" s="1143">
        <v>1.0927</v>
      </c>
      <c r="N2594" s="1875" t="s">
        <v>495</v>
      </c>
      <c r="O2594" s="1143">
        <v>3.5122346554870001</v>
      </c>
      <c r="P2594" s="1875" t="s">
        <v>495</v>
      </c>
      <c r="Q2594" s="1143">
        <v>4.6049346554869999</v>
      </c>
      <c r="R2594" s="1875" t="s">
        <v>495</v>
      </c>
      <c r="S2594" s="1146">
        <v>0</v>
      </c>
      <c r="T2594" s="1876"/>
      <c r="U2594" s="1146">
        <v>45992</v>
      </c>
      <c r="V2594" s="1876"/>
      <c r="W2594" s="1146">
        <v>147831</v>
      </c>
      <c r="X2594" s="1876"/>
      <c r="Y2594" s="1146">
        <v>193823</v>
      </c>
      <c r="Z2594" s="2114">
        <f>C2594-'Blocking-Step2'!C2594</f>
        <v>0</v>
      </c>
      <c r="AA2594" s="2114">
        <f>D2594-'Blocking-Step2'!D2594</f>
        <v>0</v>
      </c>
      <c r="AC2594" s="2114">
        <f>F2594-'Blocking-Step2'!F2594</f>
        <v>0</v>
      </c>
      <c r="AE2594" s="2114">
        <f>H2594-'Blocking-Step2'!H2594</f>
        <v>0</v>
      </c>
      <c r="AF2594" s="2114">
        <f>I2594-'Blocking-Step2'!I2594</f>
        <v>0</v>
      </c>
      <c r="AH2594" s="2136">
        <f>K2594-'Blocking-Step2'!K2594</f>
        <v>0</v>
      </c>
      <c r="AJ2594" s="2136">
        <f>M2594-'Blocking-Step2'!M2594</f>
        <v>0</v>
      </c>
      <c r="AL2594" s="2136">
        <f>O2594-'Blocking-Step2'!O2594</f>
        <v>0</v>
      </c>
      <c r="AN2594" s="2137">
        <f>Q2594-'Blocking-Step2'!Q2594</f>
        <v>0</v>
      </c>
      <c r="AP2594" s="2127">
        <f>S2594-'Blocking-Step2'!S2594</f>
        <v>0</v>
      </c>
      <c r="AR2594" s="2127">
        <f>U2594-'Blocking-Step2'!U2594</f>
        <v>0</v>
      </c>
      <c r="AT2594" s="2127">
        <f>W2594-'Blocking-Step2'!W2594</f>
        <v>0</v>
      </c>
      <c r="AV2594" s="2128">
        <f>Y2594-'Blocking-Step2'!Y2594</f>
        <v>0</v>
      </c>
    </row>
    <row r="2595" spans="1:48">
      <c r="A2595" s="1116" t="s">
        <v>1533</v>
      </c>
      <c r="C2595" s="1105">
        <v>42155021.54351145</v>
      </c>
      <c r="D2595" s="1105">
        <v>6552516.860153473</v>
      </c>
      <c r="E2595" s="1024"/>
      <c r="F2595" s="1143"/>
      <c r="G2595" s="1875"/>
      <c r="H2595" s="1146"/>
      <c r="I2595" s="1146"/>
      <c r="J2595" s="1114"/>
      <c r="K2595" s="1143">
        <v>0</v>
      </c>
      <c r="L2595" s="1875" t="s">
        <v>495</v>
      </c>
      <c r="M2595" s="1143">
        <v>1.0927</v>
      </c>
      <c r="N2595" s="1875" t="s">
        <v>495</v>
      </c>
      <c r="O2595" s="1143">
        <v>1.5521862361710002</v>
      </c>
      <c r="P2595" s="1875" t="s">
        <v>495</v>
      </c>
      <c r="Q2595" s="1143">
        <v>2.6448862361710002</v>
      </c>
      <c r="R2595" s="1875" t="s">
        <v>495</v>
      </c>
      <c r="S2595" s="1146">
        <v>0</v>
      </c>
      <c r="T2595" s="1876"/>
      <c r="U2595" s="1146">
        <v>71599</v>
      </c>
      <c r="V2595" s="1876"/>
      <c r="W2595" s="1146">
        <v>101707</v>
      </c>
      <c r="X2595" s="1876"/>
      <c r="Y2595" s="1146">
        <v>173307</v>
      </c>
      <c r="Z2595" s="2114">
        <f>C2595-'Blocking-Step2'!C2595</f>
        <v>0</v>
      </c>
      <c r="AA2595" s="2114">
        <f>D2595-'Blocking-Step2'!D2595</f>
        <v>0</v>
      </c>
      <c r="AC2595" s="2114">
        <f>F2595-'Blocking-Step2'!F2595</f>
        <v>0</v>
      </c>
      <c r="AE2595" s="2114">
        <f>H2595-'Blocking-Step2'!H2595</f>
        <v>0</v>
      </c>
      <c r="AF2595" s="2114">
        <f>I2595-'Blocking-Step2'!I2595</f>
        <v>0</v>
      </c>
      <c r="AH2595" s="2136">
        <f>K2595-'Blocking-Step2'!K2595</f>
        <v>0</v>
      </c>
      <c r="AJ2595" s="2136">
        <f>M2595-'Blocking-Step2'!M2595</f>
        <v>0</v>
      </c>
      <c r="AL2595" s="2136">
        <f>O2595-'Blocking-Step2'!O2595</f>
        <v>0</v>
      </c>
      <c r="AN2595" s="2137">
        <f>Q2595-'Blocking-Step2'!Q2595</f>
        <v>0</v>
      </c>
      <c r="AP2595" s="2127">
        <f>S2595-'Blocking-Step2'!S2595</f>
        <v>0</v>
      </c>
      <c r="AR2595" s="2127">
        <f>U2595-'Blocking-Step2'!U2595</f>
        <v>0</v>
      </c>
      <c r="AT2595" s="2127">
        <f>W2595-'Blocking-Step2'!W2595</f>
        <v>0</v>
      </c>
      <c r="AV2595" s="2128">
        <f>Y2595-'Blocking-Step2'!Y2595</f>
        <v>0</v>
      </c>
    </row>
    <row r="2596" spans="1:48">
      <c r="A2596" s="1116" t="s">
        <v>2177</v>
      </c>
      <c r="C2596" s="1105">
        <v>79802106.355747759</v>
      </c>
      <c r="D2596" s="1105">
        <v>8628049.8133524694</v>
      </c>
      <c r="E2596" s="1024"/>
      <c r="F2596" s="1144"/>
      <c r="G2596" s="1875"/>
      <c r="H2596" s="1148"/>
      <c r="I2596" s="1148"/>
      <c r="J2596" s="1114"/>
      <c r="K2596" s="1144">
        <v>0</v>
      </c>
      <c r="L2596" s="1875" t="s">
        <v>495</v>
      </c>
      <c r="M2596" s="1144">
        <v>1.0927</v>
      </c>
      <c r="N2596" s="1875" t="s">
        <v>495</v>
      </c>
      <c r="O2596" s="1144">
        <v>1.247907288647</v>
      </c>
      <c r="P2596" s="1875" t="s">
        <v>495</v>
      </c>
      <c r="Q2596" s="1144">
        <v>2.340607288647</v>
      </c>
      <c r="R2596" s="1875" t="s">
        <v>495</v>
      </c>
      <c r="S2596" s="1146">
        <v>0</v>
      </c>
      <c r="T2596" s="1876"/>
      <c r="U2596" s="1146">
        <v>94279</v>
      </c>
      <c r="V2596" s="1876"/>
      <c r="W2596" s="1146">
        <v>107670</v>
      </c>
      <c r="X2596" s="1876"/>
      <c r="Y2596" s="1146">
        <v>201949</v>
      </c>
      <c r="Z2596" s="2114">
        <f>C2596-'Blocking-Step2'!C2596</f>
        <v>0</v>
      </c>
      <c r="AA2596" s="2114">
        <f>D2596-'Blocking-Step2'!D2596</f>
        <v>0</v>
      </c>
      <c r="AC2596" s="2114">
        <f>F2596-'Blocking-Step2'!F2596</f>
        <v>0</v>
      </c>
      <c r="AE2596" s="2114">
        <f>H2596-'Blocking-Step2'!H2596</f>
        <v>0</v>
      </c>
      <c r="AF2596" s="2114">
        <f>I2596-'Blocking-Step2'!I2596</f>
        <v>0</v>
      </c>
      <c r="AH2596" s="2136">
        <f>K2596-'Blocking-Step2'!K2596</f>
        <v>0</v>
      </c>
      <c r="AJ2596" s="2136">
        <f>M2596-'Blocking-Step2'!M2596</f>
        <v>0</v>
      </c>
      <c r="AL2596" s="2136">
        <f>O2596-'Blocking-Step2'!O2596</f>
        <v>0</v>
      </c>
      <c r="AN2596" s="2137">
        <f>Q2596-'Blocking-Step2'!Q2596</f>
        <v>0</v>
      </c>
      <c r="AP2596" s="2127">
        <f>S2596-'Blocking-Step2'!S2596</f>
        <v>0</v>
      </c>
      <c r="AR2596" s="2127">
        <f>U2596-'Blocking-Step2'!U2596</f>
        <v>0</v>
      </c>
      <c r="AT2596" s="2127">
        <f>W2596-'Blocking-Step2'!W2596</f>
        <v>0</v>
      </c>
      <c r="AV2596" s="2128">
        <f>Y2596-'Blocking-Step2'!Y2596</f>
        <v>0</v>
      </c>
    </row>
    <row r="2597" spans="1:48">
      <c r="A2597" s="1116" t="s">
        <v>18</v>
      </c>
      <c r="C2597" s="1105">
        <v>139613</v>
      </c>
      <c r="D2597" s="1105">
        <v>18707.749960776273</v>
      </c>
      <c r="E2597" s="1024"/>
      <c r="F2597" s="1142">
        <v>13.96</v>
      </c>
      <c r="G2597" s="617"/>
      <c r="H2597" s="1146">
        <v>1948997</v>
      </c>
      <c r="I2597" s="1146">
        <v>261160</v>
      </c>
      <c r="J2597" s="1114"/>
      <c r="K2597" s="1114"/>
      <c r="L2597" s="1118"/>
      <c r="M2597" s="1114"/>
      <c r="N2597" s="1118"/>
      <c r="O2597" s="1114"/>
      <c r="P2597" s="1118"/>
      <c r="Q2597" s="1114"/>
      <c r="R2597" s="1118"/>
      <c r="S2597" s="1114"/>
      <c r="T2597" s="1114"/>
      <c r="U2597" s="1114"/>
      <c r="V2597" s="1114"/>
      <c r="W2597" s="1114"/>
      <c r="X2597" s="1114"/>
      <c r="Y2597" s="1114"/>
      <c r="Z2597" s="2114">
        <f>C2597-'Blocking-Step2'!C2597</f>
        <v>0</v>
      </c>
      <c r="AA2597" s="2114">
        <f>D2597-'Blocking-Step2'!D2597</f>
        <v>0</v>
      </c>
      <c r="AC2597" s="2114">
        <f>F2597-'Blocking-Step2'!F2597</f>
        <v>0</v>
      </c>
      <c r="AE2597" s="2114">
        <f>H2597-'Blocking-Step2'!H2597</f>
        <v>0</v>
      </c>
      <c r="AF2597" s="2114">
        <f>I2597-'Blocking-Step2'!I2597</f>
        <v>0</v>
      </c>
      <c r="AH2597" s="2136">
        <f>K2597-'Blocking-Step2'!K2597</f>
        <v>0</v>
      </c>
      <c r="AJ2597" s="2136">
        <f>M2597-'Blocking-Step2'!M2597</f>
        <v>0</v>
      </c>
      <c r="AL2597" s="2136">
        <f>O2597-'Blocking-Step2'!O2597</f>
        <v>0</v>
      </c>
      <c r="AN2597" s="2137">
        <f>Q2597-'Blocking-Step2'!Q2597</f>
        <v>0</v>
      </c>
      <c r="AP2597" s="2127">
        <f>S2597-'Blocking-Step2'!S2597</f>
        <v>0</v>
      </c>
      <c r="AR2597" s="2127">
        <f>U2597-'Blocking-Step2'!U2597</f>
        <v>0</v>
      </c>
      <c r="AT2597" s="2127">
        <f>W2597-'Blocking-Step2'!W2597</f>
        <v>0</v>
      </c>
      <c r="AV2597" s="2128">
        <f>Y2597-'Blocking-Step2'!Y2597</f>
        <v>0</v>
      </c>
    </row>
    <row r="2598" spans="1:48">
      <c r="A2598" s="1116" t="s">
        <v>166</v>
      </c>
      <c r="C2598" s="1105">
        <v>129427.46673706399</v>
      </c>
      <c r="D2598" s="1105">
        <v>23174.795295711054</v>
      </c>
      <c r="E2598" s="1024"/>
      <c r="F2598" s="1142">
        <v>9.4700000000000006</v>
      </c>
      <c r="G2598" s="617"/>
      <c r="H2598" s="1146">
        <v>1225678</v>
      </c>
      <c r="I2598" s="1146">
        <v>219465</v>
      </c>
      <c r="J2598" s="1114"/>
      <c r="K2598" s="1114"/>
      <c r="L2598" s="1118"/>
      <c r="M2598" s="1114"/>
      <c r="N2598" s="1118"/>
      <c r="O2598" s="1114"/>
      <c r="P2598" s="1118"/>
      <c r="Q2598" s="1114"/>
      <c r="R2598" s="1118"/>
      <c r="S2598" s="1114"/>
      <c r="T2598" s="1114"/>
      <c r="U2598" s="1114"/>
      <c r="V2598" s="1114"/>
      <c r="W2598" s="1114"/>
      <c r="X2598" s="1114"/>
      <c r="Y2598" s="1114"/>
      <c r="Z2598" s="2114">
        <f>C2598-'Blocking-Step2'!C2598</f>
        <v>0</v>
      </c>
      <c r="AA2598" s="2114">
        <f>D2598-'Blocking-Step2'!D2598</f>
        <v>0</v>
      </c>
      <c r="AC2598" s="2114">
        <f>F2598-'Blocking-Step2'!F2598</f>
        <v>0</v>
      </c>
      <c r="AE2598" s="2114">
        <f>H2598-'Blocking-Step2'!H2598</f>
        <v>0</v>
      </c>
      <c r="AF2598" s="2114">
        <f>I2598-'Blocking-Step2'!I2598</f>
        <v>0</v>
      </c>
      <c r="AH2598" s="2136">
        <f>K2598-'Blocking-Step2'!K2598</f>
        <v>0</v>
      </c>
      <c r="AJ2598" s="2136">
        <f>M2598-'Blocking-Step2'!M2598</f>
        <v>0</v>
      </c>
      <c r="AL2598" s="2136">
        <f>O2598-'Blocking-Step2'!O2598</f>
        <v>0</v>
      </c>
      <c r="AN2598" s="2137">
        <f>Q2598-'Blocking-Step2'!Q2598</f>
        <v>0</v>
      </c>
      <c r="AP2598" s="2127">
        <f>S2598-'Blocking-Step2'!S2598</f>
        <v>0</v>
      </c>
      <c r="AR2598" s="2127">
        <f>U2598-'Blocking-Step2'!U2598</f>
        <v>0</v>
      </c>
      <c r="AT2598" s="2127">
        <f>W2598-'Blocking-Step2'!W2598</f>
        <v>0</v>
      </c>
      <c r="AV2598" s="2128">
        <f>Y2598-'Blocking-Step2'!Y2598</f>
        <v>0</v>
      </c>
    </row>
    <row r="2599" spans="1:48">
      <c r="A2599" s="1116" t="s">
        <v>19</v>
      </c>
      <c r="C2599" s="1105">
        <v>19968000</v>
      </c>
      <c r="D2599" s="1105">
        <v>6800550.9959730338</v>
      </c>
      <c r="E2599" s="1024"/>
      <c r="F2599" s="1143">
        <v>4.6531000000000002</v>
      </c>
      <c r="G2599" s="1875" t="s">
        <v>495</v>
      </c>
      <c r="H2599" s="1146">
        <v>929131</v>
      </c>
      <c r="I2599" s="1146">
        <v>316436</v>
      </c>
      <c r="J2599" s="1114"/>
      <c r="K2599" s="1114"/>
      <c r="L2599" s="1118"/>
      <c r="M2599" s="1114"/>
      <c r="N2599" s="1118"/>
      <c r="O2599" s="1114"/>
      <c r="P2599" s="1118"/>
      <c r="Q2599" s="1114"/>
      <c r="R2599" s="1118"/>
      <c r="S2599" s="1114"/>
      <c r="T2599" s="1114"/>
      <c r="U2599" s="1114"/>
      <c r="V2599" s="1114"/>
      <c r="W2599" s="1114"/>
      <c r="X2599" s="1114"/>
      <c r="Y2599" s="1114"/>
      <c r="Z2599" s="2114">
        <f>C2599-'Blocking-Step2'!C2599</f>
        <v>0</v>
      </c>
      <c r="AA2599" s="2114">
        <f>D2599-'Blocking-Step2'!D2599</f>
        <v>0</v>
      </c>
      <c r="AC2599" s="2114">
        <f>F2599-'Blocking-Step2'!F2599</f>
        <v>0</v>
      </c>
      <c r="AE2599" s="2114">
        <f>H2599-'Blocking-Step2'!H2599</f>
        <v>0</v>
      </c>
      <c r="AF2599" s="2114">
        <f>I2599-'Blocking-Step2'!I2599</f>
        <v>0</v>
      </c>
      <c r="AH2599" s="2136">
        <f>K2599-'Blocking-Step2'!K2599</f>
        <v>0</v>
      </c>
      <c r="AJ2599" s="2136">
        <f>M2599-'Blocking-Step2'!M2599</f>
        <v>0</v>
      </c>
      <c r="AL2599" s="2136">
        <f>O2599-'Blocking-Step2'!O2599</f>
        <v>0</v>
      </c>
      <c r="AN2599" s="2137">
        <f>Q2599-'Blocking-Step2'!Q2599</f>
        <v>0</v>
      </c>
      <c r="AP2599" s="2127">
        <f>S2599-'Blocking-Step2'!S2599</f>
        <v>0</v>
      </c>
      <c r="AR2599" s="2127">
        <f>U2599-'Blocking-Step2'!U2599</f>
        <v>0</v>
      </c>
      <c r="AT2599" s="2127">
        <f>W2599-'Blocking-Step2'!W2599</f>
        <v>0</v>
      </c>
      <c r="AV2599" s="2128">
        <f>Y2599-'Blocking-Step2'!Y2599</f>
        <v>0</v>
      </c>
    </row>
    <row r="2600" spans="1:48">
      <c r="A2600" s="1116" t="s">
        <v>257</v>
      </c>
      <c r="C2600" s="1105">
        <v>38495296</v>
      </c>
      <c r="D2600" s="1105">
        <v>8424389.7614707742</v>
      </c>
      <c r="E2600" s="1024"/>
      <c r="F2600" s="1143">
        <v>3.4988999999999999</v>
      </c>
      <c r="G2600" s="1875" t="s">
        <v>495</v>
      </c>
      <c r="H2600" s="1146">
        <v>1346912</v>
      </c>
      <c r="I2600" s="1146">
        <v>294761</v>
      </c>
      <c r="J2600" s="1114"/>
      <c r="K2600" s="1114"/>
      <c r="L2600" s="1118"/>
      <c r="M2600" s="1114"/>
      <c r="N2600" s="1118"/>
      <c r="O2600" s="1114"/>
      <c r="P2600" s="1118"/>
      <c r="Q2600" s="1114"/>
      <c r="R2600" s="1118"/>
      <c r="S2600" s="1114"/>
      <c r="T2600" s="1114"/>
      <c r="U2600" s="1114"/>
      <c r="V2600" s="1114"/>
      <c r="W2600" s="1114"/>
      <c r="X2600" s="1114"/>
      <c r="Y2600" s="1114"/>
      <c r="Z2600" s="2114">
        <f>C2600-'Blocking-Step2'!C2600</f>
        <v>0</v>
      </c>
      <c r="AA2600" s="2114">
        <f>D2600-'Blocking-Step2'!D2600</f>
        <v>0</v>
      </c>
      <c r="AC2600" s="2114">
        <f>F2600-'Blocking-Step2'!F2600</f>
        <v>0</v>
      </c>
      <c r="AE2600" s="2114">
        <f>H2600-'Blocking-Step2'!H2600</f>
        <v>0</v>
      </c>
      <c r="AF2600" s="2114">
        <f>I2600-'Blocking-Step2'!I2600</f>
        <v>0</v>
      </c>
      <c r="AH2600" s="2136">
        <f>K2600-'Blocking-Step2'!K2600</f>
        <v>0</v>
      </c>
      <c r="AJ2600" s="2136">
        <f>M2600-'Blocking-Step2'!M2600</f>
        <v>0</v>
      </c>
      <c r="AL2600" s="2136">
        <f>O2600-'Blocking-Step2'!O2600</f>
        <v>0</v>
      </c>
      <c r="AN2600" s="2137">
        <f>Q2600-'Blocking-Step2'!Q2600</f>
        <v>0</v>
      </c>
      <c r="AP2600" s="2127">
        <f>S2600-'Blocking-Step2'!S2600</f>
        <v>0</v>
      </c>
      <c r="AR2600" s="2127">
        <f>U2600-'Blocking-Step2'!U2600</f>
        <v>0</v>
      </c>
      <c r="AT2600" s="2127">
        <f>W2600-'Blocking-Step2'!W2600</f>
        <v>0</v>
      </c>
      <c r="AV2600" s="2128">
        <f>Y2600-'Blocking-Step2'!Y2600</f>
        <v>0</v>
      </c>
    </row>
    <row r="2601" spans="1:48">
      <c r="A2601" s="1116" t="s">
        <v>249</v>
      </c>
      <c r="C2601" s="1137">
        <v>96537686</v>
      </c>
      <c r="D2601" s="1137">
        <v>8868192.4140579049</v>
      </c>
      <c r="E2601" s="1024"/>
      <c r="F2601" s="1144">
        <v>2.9224999999999999</v>
      </c>
      <c r="G2601" s="1875" t="s">
        <v>495</v>
      </c>
      <c r="H2601" s="1148">
        <v>2821314</v>
      </c>
      <c r="I2601" s="1148">
        <v>259173</v>
      </c>
      <c r="J2601" s="1114"/>
      <c r="K2601" s="1114"/>
      <c r="L2601" s="1118"/>
      <c r="M2601" s="1114"/>
      <c r="N2601" s="1118"/>
      <c r="O2601" s="1114"/>
      <c r="P2601" s="1118"/>
      <c r="Q2601" s="1114"/>
      <c r="R2601" s="1118"/>
      <c r="S2601" s="1114"/>
      <c r="T2601" s="1114"/>
      <c r="U2601" s="1114"/>
      <c r="V2601" s="1114"/>
      <c r="W2601" s="1114"/>
      <c r="X2601" s="1114"/>
      <c r="Y2601" s="1114"/>
      <c r="Z2601" s="2114">
        <f>C2601-'Blocking-Step2'!C2601</f>
        <v>0</v>
      </c>
      <c r="AA2601" s="2114">
        <f>D2601-'Blocking-Step2'!D2601</f>
        <v>0</v>
      </c>
      <c r="AC2601" s="2114">
        <f>F2601-'Blocking-Step2'!F2601</f>
        <v>0</v>
      </c>
      <c r="AE2601" s="2114">
        <f>H2601-'Blocking-Step2'!H2601</f>
        <v>0</v>
      </c>
      <c r="AF2601" s="2114">
        <f>I2601-'Blocking-Step2'!I2601</f>
        <v>0</v>
      </c>
      <c r="AH2601" s="2136">
        <f>K2601-'Blocking-Step2'!K2601</f>
        <v>0</v>
      </c>
      <c r="AJ2601" s="2136">
        <f>M2601-'Blocking-Step2'!M2601</f>
        <v>0</v>
      </c>
      <c r="AL2601" s="2136">
        <f>O2601-'Blocking-Step2'!O2601</f>
        <v>0</v>
      </c>
      <c r="AN2601" s="2137">
        <f>Q2601-'Blocking-Step2'!Q2601</f>
        <v>0</v>
      </c>
      <c r="AP2601" s="2127">
        <f>S2601-'Blocking-Step2'!S2601</f>
        <v>0</v>
      </c>
      <c r="AR2601" s="2127">
        <f>U2601-'Blocking-Step2'!U2601</f>
        <v>0</v>
      </c>
      <c r="AT2601" s="2127">
        <f>W2601-'Blocking-Step2'!W2601</f>
        <v>0</v>
      </c>
      <c r="AV2601" s="2128">
        <f>Y2601-'Blocking-Step2'!Y2601</f>
        <v>0</v>
      </c>
    </row>
    <row r="2602" spans="1:48">
      <c r="A2602" s="1116" t="s">
        <v>1240</v>
      </c>
      <c r="C2602" s="1024"/>
      <c r="D2602" s="1024"/>
      <c r="F2602" s="2103">
        <v>-3.0700000000000002E-2</v>
      </c>
      <c r="G2602" s="617"/>
      <c r="H2602" s="2104">
        <v>-253951.3824</v>
      </c>
      <c r="I2602" s="2104">
        <v>-41475.546500000004</v>
      </c>
      <c r="K2602" s="2103"/>
      <c r="L2602" s="617"/>
      <c r="M2602" s="2103"/>
      <c r="N2602" s="617"/>
      <c r="O2602" s="2077" t="s">
        <v>2323</v>
      </c>
      <c r="P2602" s="617"/>
      <c r="Q2602" s="2076">
        <v>-2.5700000000000001E-2</v>
      </c>
      <c r="R2602" s="617"/>
      <c r="S2602" s="1146"/>
      <c r="T2602" s="1114"/>
      <c r="U2602" s="1146"/>
      <c r="V2602" s="1114"/>
      <c r="W2602" s="1146"/>
      <c r="X2602" s="1114"/>
      <c r="Y2602" s="1146">
        <v>-35231.153400000003</v>
      </c>
      <c r="Z2602" s="2114">
        <f>C2602-'Blocking-Step2'!C2602</f>
        <v>0</v>
      </c>
      <c r="AA2602" s="2114">
        <f>D2602-'Blocking-Step2'!D2602</f>
        <v>0</v>
      </c>
      <c r="AC2602" s="2114">
        <f>F2602-'Blocking-Step2'!F2602</f>
        <v>0</v>
      </c>
      <c r="AE2602" s="2114">
        <f>H2602-'Blocking-Step2'!H2602</f>
        <v>0</v>
      </c>
      <c r="AF2602" s="2114">
        <f>I2602-'Blocking-Step2'!I2602</f>
        <v>0</v>
      </c>
      <c r="AH2602" s="2136">
        <f>K2602-'Blocking-Step2'!K2602</f>
        <v>0</v>
      </c>
      <c r="AJ2602" s="2136">
        <f>M2602-'Blocking-Step2'!M2602</f>
        <v>0</v>
      </c>
      <c r="AL2602" s="2136" t="e">
        <f>O2602-'Blocking-Step2'!O2602</f>
        <v>#VALUE!</v>
      </c>
      <c r="AN2602" s="2137">
        <f>Q2602-'Blocking-Step2'!Q2602</f>
        <v>0</v>
      </c>
      <c r="AP2602" s="2127">
        <f>S2602-'Blocking-Step2'!S2602</f>
        <v>0</v>
      </c>
      <c r="AR2602" s="2127">
        <f>U2602-'Blocking-Step2'!U2602</f>
        <v>0</v>
      </c>
      <c r="AT2602" s="2127">
        <f>W2602-'Blocking-Step2'!W2602</f>
        <v>0</v>
      </c>
      <c r="AV2602" s="2128">
        <f>Y2602-'Blocking-Step2'!Y2602</f>
        <v>0</v>
      </c>
    </row>
    <row r="2603" spans="1:48">
      <c r="A2603" s="1116"/>
      <c r="C2603" s="1024"/>
      <c r="D2603" s="1024"/>
      <c r="F2603" s="1118"/>
      <c r="G2603" s="617"/>
      <c r="H2603" s="1114"/>
      <c r="I2603" s="1114"/>
      <c r="K2603" s="1118"/>
      <c r="L2603" s="617"/>
      <c r="M2603" s="1118"/>
      <c r="N2603" s="617"/>
      <c r="O2603" s="2077" t="s">
        <v>2324</v>
      </c>
      <c r="P2603" s="617"/>
      <c r="Q2603" s="2076">
        <v>-1.3899999999999999E-2</v>
      </c>
      <c r="R2603" s="617"/>
      <c r="S2603" s="1146"/>
      <c r="T2603" s="1114"/>
      <c r="U2603" s="1146"/>
      <c r="V2603" s="1114"/>
      <c r="W2603" s="1146"/>
      <c r="X2603" s="1114"/>
      <c r="Y2603" s="1146">
        <v>-19054.981799999998</v>
      </c>
      <c r="Z2603" s="2114">
        <f>C2603-'Blocking-Step2'!C2603</f>
        <v>0</v>
      </c>
      <c r="AA2603" s="2114">
        <f>D2603-'Blocking-Step2'!D2603</f>
        <v>0</v>
      </c>
      <c r="AC2603" s="2114">
        <f>F2603-'Blocking-Step2'!F2603</f>
        <v>0</v>
      </c>
      <c r="AE2603" s="2114">
        <f>H2603-'Blocking-Step2'!H2603</f>
        <v>0</v>
      </c>
      <c r="AF2603" s="2114">
        <f>I2603-'Blocking-Step2'!I2603</f>
        <v>0</v>
      </c>
      <c r="AH2603" s="2136">
        <f>K2603-'Blocking-Step2'!K2603</f>
        <v>0</v>
      </c>
      <c r="AJ2603" s="2136">
        <f>M2603-'Blocking-Step2'!M2603</f>
        <v>0</v>
      </c>
      <c r="AL2603" s="2136" t="e">
        <f>O2603-'Blocking-Step2'!O2603</f>
        <v>#VALUE!</v>
      </c>
      <c r="AN2603" s="2137">
        <f>Q2603-'Blocking-Step2'!Q2603</f>
        <v>0</v>
      </c>
      <c r="AP2603" s="2127">
        <f>S2603-'Blocking-Step2'!S2603</f>
        <v>0</v>
      </c>
      <c r="AR2603" s="2127">
        <f>U2603-'Blocking-Step2'!U2603</f>
        <v>0</v>
      </c>
      <c r="AT2603" s="2127">
        <f>W2603-'Blocking-Step2'!W2603</f>
        <v>0</v>
      </c>
      <c r="AV2603" s="2128">
        <f>Y2603-'Blocking-Step2'!Y2603</f>
        <v>0</v>
      </c>
    </row>
    <row r="2604" spans="1:48">
      <c r="A2604" s="1116" t="s">
        <v>397</v>
      </c>
      <c r="C2604" s="1024"/>
      <c r="D2604" s="1024"/>
      <c r="E2604" s="1024"/>
      <c r="F2604" s="1113"/>
      <c r="G2604" s="1875"/>
      <c r="H2604" s="1114">
        <v>8621208.6175999995</v>
      </c>
      <c r="I2604" s="1114">
        <v>1402498.4535000001</v>
      </c>
      <c r="J2604" s="1114"/>
      <c r="K2604" s="1114"/>
      <c r="L2604" s="1114"/>
      <c r="M2604" s="1114"/>
      <c r="N2604" s="1114"/>
      <c r="O2604" s="1114"/>
      <c r="P2604" s="1114"/>
      <c r="Q2604" s="1114"/>
      <c r="R2604" s="1114"/>
      <c r="S2604" s="1114">
        <v>0</v>
      </c>
      <c r="T2604" s="1114"/>
      <c r="U2604" s="1114">
        <v>916627</v>
      </c>
      <c r="V2604" s="1114"/>
      <c r="W2604" s="1114">
        <v>550565</v>
      </c>
      <c r="X2604" s="1114"/>
      <c r="Y2604" s="1114">
        <v>1467192</v>
      </c>
      <c r="Z2604" s="2114">
        <f>C2604-'Blocking-Step2'!C2604</f>
        <v>0</v>
      </c>
      <c r="AA2604" s="2114">
        <f>D2604-'Blocking-Step2'!D2604</f>
        <v>0</v>
      </c>
      <c r="AC2604" s="2114">
        <f>F2604-'Blocking-Step2'!F2604</f>
        <v>0</v>
      </c>
      <c r="AE2604" s="2114">
        <f>H2604-'Blocking-Step2'!H2604</f>
        <v>0</v>
      </c>
      <c r="AF2604" s="2114">
        <f>I2604-'Blocking-Step2'!I2604</f>
        <v>0</v>
      </c>
      <c r="AH2604" s="2136">
        <f>K2604-'Blocking-Step2'!K2604</f>
        <v>0</v>
      </c>
      <c r="AJ2604" s="2136">
        <f>M2604-'Blocking-Step2'!M2604</f>
        <v>0</v>
      </c>
      <c r="AL2604" s="2136">
        <f>O2604-'Blocking-Step2'!O2604</f>
        <v>0</v>
      </c>
      <c r="AN2604" s="2137">
        <f>Q2604-'Blocking-Step2'!Q2604</f>
        <v>0</v>
      </c>
      <c r="AP2604" s="2127">
        <f>S2604-'Blocking-Step2'!S2604</f>
        <v>-281076</v>
      </c>
      <c r="AR2604" s="2127">
        <f>U2604-'Blocking-Step2'!U2604</f>
        <v>281075</v>
      </c>
      <c r="AT2604" s="2127">
        <f>W2604-'Blocking-Step2'!W2604</f>
        <v>0</v>
      </c>
      <c r="AV2604" s="2128">
        <f>Y2604-'Blocking-Step2'!Y2604</f>
        <v>0</v>
      </c>
    </row>
    <row r="2605" spans="1:48">
      <c r="A2605" s="1104" t="s">
        <v>136</v>
      </c>
      <c r="C2605" s="1136">
        <v>952892</v>
      </c>
      <c r="D2605" s="1136">
        <v>0</v>
      </c>
      <c r="F2605" s="1106"/>
      <c r="G2605" s="1107"/>
      <c r="H2605" s="1147">
        <v>60349</v>
      </c>
      <c r="I2605" s="1147">
        <v>0</v>
      </c>
      <c r="K2605" s="1106"/>
      <c r="L2605" s="1107"/>
      <c r="M2605" s="1106"/>
      <c r="N2605" s="1107"/>
      <c r="O2605" s="1106"/>
      <c r="P2605" s="1107"/>
      <c r="Q2605" s="1106"/>
      <c r="R2605" s="1107"/>
      <c r="S2605" s="1147"/>
      <c r="T2605" s="1114"/>
      <c r="U2605" s="1147"/>
      <c r="V2605" s="1114"/>
      <c r="W2605" s="1147"/>
      <c r="X2605" s="1114"/>
      <c r="Y2605" s="1147"/>
      <c r="Z2605" s="2114">
        <f>C2605-'Blocking-Step2'!C2605</f>
        <v>0</v>
      </c>
      <c r="AA2605" s="2114">
        <f>D2605-'Blocking-Step2'!D2605</f>
        <v>0</v>
      </c>
      <c r="AC2605" s="2114">
        <f>F2605-'Blocking-Step2'!F2605</f>
        <v>0</v>
      </c>
      <c r="AE2605" s="2114">
        <f>H2605-'Blocking-Step2'!H2605</f>
        <v>0</v>
      </c>
      <c r="AF2605" s="2114">
        <f>I2605-'Blocking-Step2'!I2605</f>
        <v>0</v>
      </c>
      <c r="AH2605" s="2136">
        <f>K2605-'Blocking-Step2'!K2605</f>
        <v>0</v>
      </c>
      <c r="AJ2605" s="2136">
        <f>M2605-'Blocking-Step2'!M2605</f>
        <v>0</v>
      </c>
      <c r="AL2605" s="2136">
        <f>O2605-'Blocking-Step2'!O2605</f>
        <v>0</v>
      </c>
      <c r="AN2605" s="2137">
        <f>Q2605-'Blocking-Step2'!Q2605</f>
        <v>0</v>
      </c>
      <c r="AP2605" s="2127">
        <f>S2605-'Blocking-Step2'!S2605</f>
        <v>0</v>
      </c>
      <c r="AR2605" s="2127">
        <f>U2605-'Blocking-Step2'!U2605</f>
        <v>0</v>
      </c>
      <c r="AT2605" s="2127">
        <f>W2605-'Blocking-Step2'!W2605</f>
        <v>0</v>
      </c>
      <c r="AV2605" s="2128">
        <f>Y2605-'Blocking-Step2'!Y2605</f>
        <v>0</v>
      </c>
    </row>
    <row r="2606" spans="1:48" ht="16.5" thickBot="1">
      <c r="A2606" s="1116" t="s">
        <v>173</v>
      </c>
      <c r="C2606" s="1138">
        <v>180564874</v>
      </c>
      <c r="D2606" s="1138">
        <v>196649989.99999997</v>
      </c>
      <c r="E2606" s="1024"/>
      <c r="F2606" s="1145"/>
      <c r="H2606" s="1149">
        <v>10353948.6176</v>
      </c>
      <c r="I2606" s="1149">
        <v>13007546.453500001</v>
      </c>
      <c r="J2606" s="1114"/>
      <c r="K2606" s="1114"/>
      <c r="L2606" s="1114"/>
      <c r="M2606" s="1114"/>
      <c r="N2606" s="1114"/>
      <c r="O2606" s="1114"/>
      <c r="P2606" s="1114"/>
      <c r="Q2606" s="1114"/>
      <c r="R2606" s="1114"/>
      <c r="S2606" s="1149">
        <v>1231248</v>
      </c>
      <c r="T2606" s="1114"/>
      <c r="U2606" s="1149">
        <v>11671489</v>
      </c>
      <c r="V2606" s="1114"/>
      <c r="W2606" s="1149">
        <v>550565</v>
      </c>
      <c r="X2606" s="1114"/>
      <c r="Y2606" s="1149">
        <v>13453301</v>
      </c>
      <c r="Z2606" s="2114">
        <f>C2606-'Blocking-Step2'!C2606</f>
        <v>0</v>
      </c>
      <c r="AA2606" s="2114">
        <f>D2606-'Blocking-Step2'!D2606</f>
        <v>0</v>
      </c>
      <c r="AC2606" s="2114">
        <f>F2606-'Blocking-Step2'!F2606</f>
        <v>0</v>
      </c>
      <c r="AE2606" s="2114">
        <f>H2606-'Blocking-Step2'!H2606</f>
        <v>0</v>
      </c>
      <c r="AF2606" s="2114">
        <f>I2606-'Blocking-Step2'!I2606</f>
        <v>0</v>
      </c>
      <c r="AH2606" s="2136">
        <f>K2606-'Blocking-Step2'!K2606</f>
        <v>0</v>
      </c>
      <c r="AJ2606" s="2136">
        <f>M2606-'Blocking-Step2'!M2606</f>
        <v>0</v>
      </c>
      <c r="AL2606" s="2136">
        <f>O2606-'Blocking-Step2'!O2606</f>
        <v>0</v>
      </c>
      <c r="AN2606" s="2137">
        <f>Q2606-'Blocking-Step2'!Q2606</f>
        <v>0</v>
      </c>
      <c r="AP2606" s="2127">
        <f>S2606-'Blocking-Step2'!S2606</f>
        <v>-3666280</v>
      </c>
      <c r="AR2606" s="2127">
        <f>U2606-'Blocking-Step2'!U2606</f>
        <v>3666281</v>
      </c>
      <c r="AT2606" s="2127">
        <f>W2606-'Blocking-Step2'!W2606</f>
        <v>0</v>
      </c>
      <c r="AV2606" s="2128">
        <f>Y2606-'Blocking-Step2'!Y2606</f>
        <v>0</v>
      </c>
    </row>
    <row r="2607" spans="1:48" ht="16.5" thickTop="1">
      <c r="C2607" s="1632"/>
      <c r="D2607" s="1632"/>
      <c r="F2607" s="1109"/>
      <c r="H2607" s="1628"/>
      <c r="I2607" s="1628"/>
      <c r="K2607" s="1109"/>
      <c r="M2607" s="1109"/>
      <c r="O2607" s="1109"/>
      <c r="Q2607" s="1109"/>
      <c r="Y2607" s="1628"/>
      <c r="Z2607" s="2114">
        <f>C2607-'Blocking-Step2'!C2607</f>
        <v>0</v>
      </c>
      <c r="AA2607" s="2114">
        <f>D2607-'Blocking-Step2'!D2607</f>
        <v>0</v>
      </c>
      <c r="AC2607" s="2114">
        <f>F2607-'Blocking-Step2'!F2607</f>
        <v>0</v>
      </c>
      <c r="AE2607" s="2114">
        <f>H2607-'Blocking-Step2'!H2607</f>
        <v>0</v>
      </c>
      <c r="AF2607" s="2114">
        <f>I2607-'Blocking-Step2'!I2607</f>
        <v>0</v>
      </c>
      <c r="AH2607" s="2136">
        <f>K2607-'Blocking-Step2'!K2607</f>
        <v>0</v>
      </c>
      <c r="AJ2607" s="2136">
        <f>M2607-'Blocking-Step2'!M2607</f>
        <v>0</v>
      </c>
      <c r="AL2607" s="2136">
        <f>O2607-'Blocking-Step2'!O2607</f>
        <v>0</v>
      </c>
      <c r="AN2607" s="2137">
        <f>Q2607-'Blocking-Step2'!Q2607</f>
        <v>0</v>
      </c>
      <c r="AP2607" s="2127">
        <f>S2607-'Blocking-Step2'!S2607</f>
        <v>0</v>
      </c>
      <c r="AR2607" s="2127">
        <f>U2607-'Blocking-Step2'!U2607</f>
        <v>0</v>
      </c>
      <c r="AT2607" s="2127">
        <f>W2607-'Blocking-Step2'!W2607</f>
        <v>0</v>
      </c>
      <c r="AV2607" s="2128">
        <f>Y2607-'Blocking-Step2'!Y2607</f>
        <v>0</v>
      </c>
    </row>
    <row r="2608" spans="1:48">
      <c r="A2608" s="1115" t="s">
        <v>1487</v>
      </c>
      <c r="C2608" s="1024"/>
      <c r="D2608" s="1024"/>
      <c r="E2608" s="1024"/>
      <c r="F2608" s="1024"/>
      <c r="G2608" s="1107"/>
      <c r="H2608" s="1114"/>
      <c r="I2608" s="1628"/>
      <c r="K2608" s="1109"/>
      <c r="M2608" s="1109"/>
      <c r="O2608" s="1109"/>
      <c r="Q2608" s="1109"/>
      <c r="Y2608" s="1628"/>
      <c r="Z2608" s="2114">
        <f>C2608-'Blocking-Step2'!C2608</f>
        <v>0</v>
      </c>
      <c r="AA2608" s="2114">
        <f>D2608-'Blocking-Step2'!D2608</f>
        <v>0</v>
      </c>
      <c r="AC2608" s="2114">
        <f>F2608-'Blocking-Step2'!F2608</f>
        <v>0</v>
      </c>
      <c r="AE2608" s="2114">
        <f>H2608-'Blocking-Step2'!H2608</f>
        <v>0</v>
      </c>
      <c r="AF2608" s="2114">
        <f>I2608-'Blocking-Step2'!I2608</f>
        <v>0</v>
      </c>
      <c r="AH2608" s="2136">
        <f>K2608-'Blocking-Step2'!K2608</f>
        <v>0</v>
      </c>
      <c r="AJ2608" s="2136">
        <f>M2608-'Blocking-Step2'!M2608</f>
        <v>0</v>
      </c>
      <c r="AL2608" s="2136">
        <f>O2608-'Blocking-Step2'!O2608</f>
        <v>0</v>
      </c>
      <c r="AN2608" s="2137">
        <f>Q2608-'Blocking-Step2'!Q2608</f>
        <v>0</v>
      </c>
      <c r="AP2608" s="2127">
        <f>S2608-'Blocking-Step2'!S2608</f>
        <v>0</v>
      </c>
      <c r="AR2608" s="2127">
        <f>U2608-'Blocking-Step2'!U2608</f>
        <v>0</v>
      </c>
      <c r="AT2608" s="2127">
        <f>W2608-'Blocking-Step2'!W2608</f>
        <v>0</v>
      </c>
      <c r="AV2608" s="2128">
        <f>Y2608-'Blocking-Step2'!Y2608</f>
        <v>0</v>
      </c>
    </row>
    <row r="2609" spans="1:48">
      <c r="A2609" s="2096" t="s">
        <v>925</v>
      </c>
      <c r="C2609" s="1024"/>
      <c r="D2609" s="1024">
        <v>12</v>
      </c>
      <c r="E2609" s="1024"/>
      <c r="F2609" s="1024"/>
      <c r="G2609" s="1107"/>
      <c r="H2609" s="1114"/>
      <c r="I2609" s="1628"/>
      <c r="K2609" s="1109"/>
      <c r="M2609" s="1109"/>
      <c r="O2609" s="1109"/>
      <c r="Q2609" s="1109"/>
      <c r="Y2609" s="1628"/>
      <c r="Z2609" s="2114">
        <f>C2609-'Blocking-Step2'!C2609</f>
        <v>0</v>
      </c>
      <c r="AA2609" s="2114">
        <f>D2609-'Blocking-Step2'!D2609</f>
        <v>0</v>
      </c>
      <c r="AC2609" s="2114">
        <f>F2609-'Blocking-Step2'!F2609</f>
        <v>0</v>
      </c>
      <c r="AE2609" s="2114">
        <f>H2609-'Blocking-Step2'!H2609</f>
        <v>0</v>
      </c>
      <c r="AF2609" s="2114">
        <f>I2609-'Blocking-Step2'!I2609</f>
        <v>0</v>
      </c>
      <c r="AH2609" s="2136">
        <f>K2609-'Blocking-Step2'!K2609</f>
        <v>0</v>
      </c>
      <c r="AJ2609" s="2136">
        <f>M2609-'Blocking-Step2'!M2609</f>
        <v>0</v>
      </c>
      <c r="AL2609" s="2136">
        <f>O2609-'Blocking-Step2'!O2609</f>
        <v>0</v>
      </c>
      <c r="AN2609" s="2137">
        <f>Q2609-'Blocking-Step2'!Q2609</f>
        <v>0</v>
      </c>
      <c r="AP2609" s="2127">
        <f>S2609-'Blocking-Step2'!S2609</f>
        <v>0</v>
      </c>
      <c r="AR2609" s="2127">
        <f>U2609-'Blocking-Step2'!U2609</f>
        <v>0</v>
      </c>
      <c r="AT2609" s="2127">
        <f>W2609-'Blocking-Step2'!W2609</f>
        <v>0</v>
      </c>
      <c r="AV2609" s="2128">
        <f>Y2609-'Blocking-Step2'!Y2609</f>
        <v>0</v>
      </c>
    </row>
    <row r="2610" spans="1:48" ht="16.5" thickBot="1">
      <c r="A2610" s="1116" t="s">
        <v>402</v>
      </c>
      <c r="C2610" s="1024"/>
      <c r="D2610" s="1138">
        <v>242230000</v>
      </c>
      <c r="E2610" s="1024"/>
      <c r="F2610" s="1024"/>
      <c r="G2610" s="1107"/>
      <c r="H2610" s="1114"/>
      <c r="I2610" s="1154">
        <v>13027758.191234671</v>
      </c>
      <c r="J2610" s="1114"/>
      <c r="K2610" s="1143">
        <v>-2.3E-3</v>
      </c>
      <c r="L2610" s="1875" t="s">
        <v>495</v>
      </c>
      <c r="M2610" s="1143">
        <v>5.3806000000000003</v>
      </c>
      <c r="N2610" s="1875" t="s">
        <v>495</v>
      </c>
      <c r="O2610" s="1143">
        <v>0</v>
      </c>
      <c r="P2610" s="1921" t="s">
        <v>495</v>
      </c>
      <c r="Q2610" s="1143">
        <v>5.3783000000000003</v>
      </c>
      <c r="R2610" s="1921" t="s">
        <v>495</v>
      </c>
      <c r="S2610" s="1154">
        <v>-5571</v>
      </c>
      <c r="T2610" s="1154"/>
      <c r="U2610" s="1154">
        <v>13033427</v>
      </c>
      <c r="V2610" s="1154"/>
      <c r="W2610" s="1154">
        <v>0</v>
      </c>
      <c r="X2610" s="1114"/>
      <c r="Y2610" s="1154">
        <v>13027758.191234671</v>
      </c>
      <c r="Z2610" s="2114">
        <f>C2610-'Blocking-Step2'!C2610</f>
        <v>0</v>
      </c>
      <c r="AA2610" s="2114">
        <f>D2610-'Blocking-Step2'!D2610</f>
        <v>0</v>
      </c>
      <c r="AC2610" s="2114">
        <f>F2610-'Blocking-Step2'!F2610</f>
        <v>0</v>
      </c>
      <c r="AE2610" s="2114">
        <f>H2610-'Blocking-Step2'!H2610</f>
        <v>0</v>
      </c>
      <c r="AF2610" s="2114">
        <f>I2610-'Blocking-Step2'!I2610</f>
        <v>0</v>
      </c>
      <c r="AH2610" s="2136">
        <f>K2610-'Blocking-Step2'!K2610</f>
        <v>-1.6781999999999999</v>
      </c>
      <c r="AJ2610" s="2136">
        <f>M2610-'Blocking-Step2'!M2610</f>
        <v>1.6781999999999999</v>
      </c>
      <c r="AL2610" s="2136">
        <f>O2610-'Blocking-Step2'!O2610</f>
        <v>0</v>
      </c>
      <c r="AN2610" s="2137">
        <f>Q2610-'Blocking-Step2'!Q2610</f>
        <v>0</v>
      </c>
      <c r="AP2610" s="2127">
        <f>S2610-'Blocking-Step2'!S2610</f>
        <v>-4065104</v>
      </c>
      <c r="AR2610" s="2127">
        <f>U2610-'Blocking-Step2'!U2610</f>
        <v>4065103</v>
      </c>
      <c r="AT2610" s="2127">
        <f>W2610-'Blocking-Step2'!W2610</f>
        <v>0</v>
      </c>
      <c r="AV2610" s="2128">
        <f>Y2610-'Blocking-Step2'!Y2610</f>
        <v>0</v>
      </c>
    </row>
    <row r="2611" spans="1:48" ht="16.5" thickTop="1">
      <c r="Z2611" s="2114">
        <f>C2611-'Blocking-Step2'!C2611</f>
        <v>0</v>
      </c>
      <c r="AA2611" s="2114">
        <f>D2611-'Blocking-Step2'!D2611</f>
        <v>0</v>
      </c>
      <c r="AC2611" s="2114">
        <f>F2611-'Blocking-Step2'!F2611</f>
        <v>0</v>
      </c>
      <c r="AE2611" s="2114">
        <f>H2611-'Blocking-Step2'!H2611</f>
        <v>0</v>
      </c>
      <c r="AF2611" s="2114">
        <f>I2611-'Blocking-Step2'!I2611</f>
        <v>0</v>
      </c>
      <c r="AH2611" s="2136">
        <f>K2611-'Blocking-Step2'!K2611</f>
        <v>0</v>
      </c>
      <c r="AJ2611" s="2136">
        <f>M2611-'Blocking-Step2'!M2611</f>
        <v>0</v>
      </c>
      <c r="AL2611" s="2136">
        <f>O2611-'Blocking-Step2'!O2611</f>
        <v>0</v>
      </c>
      <c r="AN2611" s="2137">
        <f>Q2611-'Blocking-Step2'!Q2611</f>
        <v>0</v>
      </c>
      <c r="AP2611" s="2127">
        <f>S2611-'Blocking-Step2'!S2611</f>
        <v>0</v>
      </c>
      <c r="AR2611" s="2127">
        <f>U2611-'Blocking-Step2'!U2611</f>
        <v>0</v>
      </c>
      <c r="AT2611" s="2127">
        <f>W2611-'Blocking-Step2'!W2611</f>
        <v>0</v>
      </c>
      <c r="AV2611" s="2128">
        <f>Y2611-'Blocking-Step2'!Y2611</f>
        <v>0</v>
      </c>
    </row>
    <row r="2612" spans="1:48">
      <c r="A2612" s="1115" t="s">
        <v>680</v>
      </c>
      <c r="C2612" s="1105"/>
      <c r="D2612" s="1105"/>
      <c r="Z2612" s="2114">
        <f>C2612-'Blocking-Step2'!C2612</f>
        <v>0</v>
      </c>
      <c r="AA2612" s="2114">
        <f>D2612-'Blocking-Step2'!D2612</f>
        <v>0</v>
      </c>
      <c r="AC2612" s="2114">
        <f>F2612-'Blocking-Step2'!F2612</f>
        <v>0</v>
      </c>
      <c r="AE2612" s="2114">
        <f>H2612-'Blocking-Step2'!H2612</f>
        <v>0</v>
      </c>
      <c r="AF2612" s="2114">
        <f>I2612-'Blocking-Step2'!I2612</f>
        <v>0</v>
      </c>
      <c r="AH2612" s="2136">
        <f>K2612-'Blocking-Step2'!K2612</f>
        <v>0</v>
      </c>
      <c r="AJ2612" s="2136">
        <f>M2612-'Blocking-Step2'!M2612</f>
        <v>0</v>
      </c>
      <c r="AL2612" s="2136">
        <f>O2612-'Blocking-Step2'!O2612</f>
        <v>0</v>
      </c>
      <c r="AN2612" s="2137">
        <f>Q2612-'Blocking-Step2'!Q2612</f>
        <v>0</v>
      </c>
      <c r="AP2612" s="2127">
        <f>S2612-'Blocking-Step2'!S2612</f>
        <v>0</v>
      </c>
      <c r="AR2612" s="2127">
        <f>U2612-'Blocking-Step2'!U2612</f>
        <v>0</v>
      </c>
      <c r="AT2612" s="2127">
        <f>W2612-'Blocking-Step2'!W2612</f>
        <v>0</v>
      </c>
      <c r="AV2612" s="2128">
        <f>Y2612-'Blocking-Step2'!Y2612</f>
        <v>0</v>
      </c>
    </row>
    <row r="2613" spans="1:48">
      <c r="A2613" s="1116" t="s">
        <v>1022</v>
      </c>
      <c r="C2613" s="1105">
        <v>12</v>
      </c>
      <c r="D2613" s="1105">
        <v>12</v>
      </c>
      <c r="F2613" s="617">
        <v>235.66</v>
      </c>
      <c r="G2613" s="1107"/>
      <c r="H2613" s="1146">
        <v>2828</v>
      </c>
      <c r="I2613" s="1146">
        <v>2828</v>
      </c>
      <c r="K2613" s="617">
        <v>236</v>
      </c>
      <c r="L2613" s="1107"/>
      <c r="M2613" s="617">
        <v>0</v>
      </c>
      <c r="N2613" s="1107"/>
      <c r="O2613" s="617">
        <v>0</v>
      </c>
      <c r="P2613" s="1107"/>
      <c r="Q2613" s="617">
        <v>236</v>
      </c>
      <c r="R2613" s="1107"/>
      <c r="S2613" s="1114">
        <v>2832</v>
      </c>
      <c r="T2613" s="1114"/>
      <c r="U2613" s="1114"/>
      <c r="V2613" s="1114"/>
      <c r="W2613" s="1114"/>
      <c r="X2613" s="1114"/>
      <c r="Y2613" s="1146">
        <v>2832</v>
      </c>
      <c r="Z2613" s="2114">
        <f>C2613-'Blocking-Step2'!C2613</f>
        <v>0</v>
      </c>
      <c r="AA2613" s="2114">
        <f>D2613-'Blocking-Step2'!D2613</f>
        <v>0</v>
      </c>
      <c r="AC2613" s="2114">
        <f>F2613-'Blocking-Step2'!F2613</f>
        <v>0</v>
      </c>
      <c r="AE2613" s="2114">
        <f>H2613-'Blocking-Step2'!H2613</f>
        <v>0</v>
      </c>
      <c r="AF2613" s="2114">
        <f>I2613-'Blocking-Step2'!I2613</f>
        <v>0</v>
      </c>
      <c r="AH2613" s="2136">
        <f>K2613-'Blocking-Step2'!K2613</f>
        <v>0</v>
      </c>
      <c r="AJ2613" s="2136">
        <f>M2613-'Blocking-Step2'!M2613</f>
        <v>0</v>
      </c>
      <c r="AL2613" s="2136">
        <f>O2613-'Blocking-Step2'!O2613</f>
        <v>0</v>
      </c>
      <c r="AN2613" s="2137">
        <f>Q2613-'Blocking-Step2'!Q2613</f>
        <v>0</v>
      </c>
      <c r="AP2613" s="2127">
        <f>S2613-'Blocking-Step2'!S2613</f>
        <v>0</v>
      </c>
      <c r="AR2613" s="2127">
        <f>U2613-'Blocking-Step2'!U2613</f>
        <v>0</v>
      </c>
      <c r="AT2613" s="2127">
        <f>W2613-'Blocking-Step2'!W2613</f>
        <v>0</v>
      </c>
      <c r="AV2613" s="2128">
        <f>Y2613-'Blocking-Step2'!Y2613</f>
        <v>0</v>
      </c>
    </row>
    <row r="2614" spans="1:48">
      <c r="A2614" s="1116" t="s">
        <v>1023</v>
      </c>
      <c r="C2614" s="1105">
        <v>981560</v>
      </c>
      <c r="D2614" s="1105">
        <v>1004562</v>
      </c>
      <c r="F2614" s="617">
        <v>1.95</v>
      </c>
      <c r="G2614" s="1107"/>
      <c r="H2614" s="1146">
        <v>1914042</v>
      </c>
      <c r="I2614" s="1146">
        <v>1958896</v>
      </c>
      <c r="K2614" s="617">
        <v>0.12</v>
      </c>
      <c r="L2614" s="1107"/>
      <c r="M2614" s="617">
        <v>1.84</v>
      </c>
      <c r="N2614" s="1107"/>
      <c r="O2614" s="617">
        <v>0</v>
      </c>
      <c r="P2614" s="1107"/>
      <c r="Q2614" s="617">
        <v>1.96</v>
      </c>
      <c r="R2614" s="1107"/>
      <c r="S2614" s="1114">
        <v>117514.56276583023</v>
      </c>
      <c r="T2614" s="1114"/>
      <c r="U2614" s="1114">
        <v>1851427.4372341698</v>
      </c>
      <c r="V2614" s="1114"/>
      <c r="W2614" s="1114">
        <v>0</v>
      </c>
      <c r="X2614" s="1114"/>
      <c r="Y2614" s="1146">
        <v>1968942</v>
      </c>
      <c r="Z2614" s="2114">
        <f>C2614-'Blocking-Step2'!C2614</f>
        <v>0</v>
      </c>
      <c r="AA2614" s="2114">
        <f>D2614-'Blocking-Step2'!D2614</f>
        <v>0</v>
      </c>
      <c r="AC2614" s="2114">
        <f>F2614-'Blocking-Step2'!F2614</f>
        <v>0</v>
      </c>
      <c r="AE2614" s="2114">
        <f>H2614-'Blocking-Step2'!H2614</f>
        <v>0</v>
      </c>
      <c r="AF2614" s="2114">
        <f>I2614-'Blocking-Step2'!I2614</f>
        <v>0</v>
      </c>
      <c r="AH2614" s="2136">
        <f>K2614-'Blocking-Step2'!K2614</f>
        <v>-1.8399999999999999</v>
      </c>
      <c r="AJ2614" s="2136">
        <f>M2614-'Blocking-Step2'!M2614</f>
        <v>1.84</v>
      </c>
      <c r="AL2614" s="2136">
        <f>O2614-'Blocking-Step2'!O2614</f>
        <v>0</v>
      </c>
      <c r="AN2614" s="2137">
        <f>Q2614-'Blocking-Step2'!Q2614</f>
        <v>0</v>
      </c>
      <c r="AP2614" s="2127">
        <f>S2614-'Blocking-Step2'!S2614</f>
        <v>-1851427.4372341698</v>
      </c>
      <c r="AR2614" s="2127">
        <f>U2614-'Blocking-Step2'!U2614</f>
        <v>1851427.4372341698</v>
      </c>
      <c r="AT2614" s="2127">
        <f>W2614-'Blocking-Step2'!W2614</f>
        <v>0</v>
      </c>
      <c r="AV2614" s="2128">
        <f>Y2614-'Blocking-Step2'!Y2614</f>
        <v>0</v>
      </c>
    </row>
    <row r="2615" spans="1:48">
      <c r="A2615" s="1116" t="s">
        <v>1024</v>
      </c>
      <c r="C2615" s="1105">
        <v>373210</v>
      </c>
      <c r="D2615" s="1105">
        <v>381956</v>
      </c>
      <c r="F2615" s="617">
        <v>13.15</v>
      </c>
      <c r="G2615" s="1107"/>
      <c r="H2615" s="1146">
        <v>4907712</v>
      </c>
      <c r="I2615" s="1146">
        <v>5022721</v>
      </c>
      <c r="K2615" s="617">
        <v>0</v>
      </c>
      <c r="L2615" s="1107"/>
      <c r="M2615" s="617">
        <v>13.19</v>
      </c>
      <c r="N2615" s="1107"/>
      <c r="O2615" s="617">
        <v>0</v>
      </c>
      <c r="P2615" s="1107"/>
      <c r="Q2615" s="617">
        <v>13.19</v>
      </c>
      <c r="R2615" s="1107"/>
      <c r="S2615" s="1114">
        <v>0</v>
      </c>
      <c r="T2615" s="1114"/>
      <c r="U2615" s="1114">
        <v>5038000</v>
      </c>
      <c r="V2615" s="1114"/>
      <c r="W2615" s="1114">
        <v>0</v>
      </c>
      <c r="X2615" s="1114"/>
      <c r="Y2615" s="1146">
        <v>5038000</v>
      </c>
      <c r="Z2615" s="2114">
        <f>C2615-'Blocking-Step2'!C2615</f>
        <v>0</v>
      </c>
      <c r="AA2615" s="2114">
        <f>D2615-'Blocking-Step2'!D2615</f>
        <v>0</v>
      </c>
      <c r="AC2615" s="2114">
        <f>F2615-'Blocking-Step2'!F2615</f>
        <v>0</v>
      </c>
      <c r="AE2615" s="2114">
        <f>H2615-'Blocking-Step2'!H2615</f>
        <v>0</v>
      </c>
      <c r="AF2615" s="2114">
        <f>I2615-'Blocking-Step2'!I2615</f>
        <v>0</v>
      </c>
      <c r="AH2615" s="2136">
        <f>K2615-'Blocking-Step2'!K2615</f>
        <v>-6.22</v>
      </c>
      <c r="AJ2615" s="2136">
        <f>M2615-'Blocking-Step2'!M2615</f>
        <v>6.22</v>
      </c>
      <c r="AL2615" s="2136">
        <f>O2615-'Blocking-Step2'!O2615</f>
        <v>0</v>
      </c>
      <c r="AN2615" s="2137">
        <f>Q2615-'Blocking-Step2'!Q2615</f>
        <v>0</v>
      </c>
      <c r="AP2615" s="2127">
        <f>S2615-'Blocking-Step2'!S2615</f>
        <v>-2375581.4708815278</v>
      </c>
      <c r="AR2615" s="2127">
        <f>U2615-'Blocking-Step2'!U2615</f>
        <v>2375581.4708815278</v>
      </c>
      <c r="AT2615" s="2127">
        <f>W2615-'Blocking-Step2'!W2615</f>
        <v>0</v>
      </c>
      <c r="AV2615" s="2128">
        <f>Y2615-'Blocking-Step2'!Y2615</f>
        <v>0</v>
      </c>
    </row>
    <row r="2616" spans="1:48">
      <c r="A2616" s="1116" t="s">
        <v>1025</v>
      </c>
      <c r="C2616" s="1105">
        <v>608350</v>
      </c>
      <c r="D2616" s="1105">
        <v>622606</v>
      </c>
      <c r="F2616" s="617">
        <v>8.81</v>
      </c>
      <c r="G2616" s="1107"/>
      <c r="H2616" s="1146">
        <v>5359564</v>
      </c>
      <c r="I2616" s="1146">
        <v>5485159</v>
      </c>
      <c r="K2616" s="617">
        <v>0</v>
      </c>
      <c r="L2616" s="1107"/>
      <c r="M2616" s="617">
        <v>8.84</v>
      </c>
      <c r="N2616" s="1107"/>
      <c r="O2616" s="617">
        <v>0</v>
      </c>
      <c r="P2616" s="1107"/>
      <c r="Q2616" s="617">
        <v>8.84</v>
      </c>
      <c r="R2616" s="1107"/>
      <c r="S2616" s="1114"/>
      <c r="T2616" s="1114"/>
      <c r="U2616" s="1114">
        <v>5503837</v>
      </c>
      <c r="V2616" s="1114"/>
      <c r="W2616" s="1114">
        <v>0</v>
      </c>
      <c r="X2616" s="1114"/>
      <c r="Y2616" s="1146">
        <v>5503837</v>
      </c>
      <c r="Z2616" s="2114">
        <f>C2616-'Blocking-Step2'!C2616</f>
        <v>0</v>
      </c>
      <c r="AA2616" s="2114">
        <f>D2616-'Blocking-Step2'!D2616</f>
        <v>0</v>
      </c>
      <c r="AC2616" s="2114">
        <f>F2616-'Blocking-Step2'!F2616</f>
        <v>0</v>
      </c>
      <c r="AE2616" s="2114">
        <f>H2616-'Blocking-Step2'!H2616</f>
        <v>0</v>
      </c>
      <c r="AF2616" s="2114">
        <f>I2616-'Blocking-Step2'!I2616</f>
        <v>0</v>
      </c>
      <c r="AH2616" s="2136">
        <f>K2616-'Blocking-Step2'!K2616</f>
        <v>-4.17</v>
      </c>
      <c r="AJ2616" s="2136">
        <f>M2616-'Blocking-Step2'!M2616</f>
        <v>4.17</v>
      </c>
      <c r="AL2616" s="2136">
        <f>O2616-'Blocking-Step2'!O2616</f>
        <v>0</v>
      </c>
      <c r="AN2616" s="2137">
        <f>Q2616-'Blocking-Step2'!Q2616</f>
        <v>0</v>
      </c>
      <c r="AP2616" s="2127">
        <f>S2616-'Blocking-Step2'!S2616</f>
        <v>-2595238.8241270692</v>
      </c>
      <c r="AR2616" s="2127">
        <f>U2616-'Blocking-Step2'!U2616</f>
        <v>2595238.8241270692</v>
      </c>
      <c r="AT2616" s="2127">
        <f>W2616-'Blocking-Step2'!W2616</f>
        <v>0</v>
      </c>
      <c r="AV2616" s="2128">
        <f>Y2616-'Blocking-Step2'!Y2616</f>
        <v>0</v>
      </c>
    </row>
    <row r="2617" spans="1:48">
      <c r="A2617" s="1116" t="s">
        <v>1026</v>
      </c>
      <c r="C2617" s="1105">
        <v>98922553</v>
      </c>
      <c r="D2617" s="1105">
        <v>101240704</v>
      </c>
      <c r="F2617" s="1143">
        <v>4.47</v>
      </c>
      <c r="G2617" s="1921" t="s">
        <v>495</v>
      </c>
      <c r="H2617" s="1146">
        <v>4421838</v>
      </c>
      <c r="I2617" s="1146">
        <v>4525459</v>
      </c>
      <c r="K2617" s="1143">
        <v>0</v>
      </c>
      <c r="L2617" s="1921" t="s">
        <v>495</v>
      </c>
      <c r="M2617" s="1143">
        <v>2.1230000000000002</v>
      </c>
      <c r="N2617" s="1921" t="s">
        <v>495</v>
      </c>
      <c r="O2617" s="1143">
        <v>2.36</v>
      </c>
      <c r="P2617" s="1921" t="s">
        <v>495</v>
      </c>
      <c r="Q2617" s="1143">
        <v>4.4829999999999997</v>
      </c>
      <c r="R2617" s="1921" t="s">
        <v>495</v>
      </c>
      <c r="S2617" s="1648"/>
      <c r="T2617" s="1648"/>
      <c r="U2617" s="617">
        <v>2149306.6290063709</v>
      </c>
      <c r="V2617" s="1648"/>
      <c r="W2617" s="1114">
        <v>2389314.3709936291</v>
      </c>
      <c r="X2617" s="1648"/>
      <c r="Y2617" s="1146">
        <v>4538621</v>
      </c>
      <c r="Z2617" s="2114">
        <f>C2617-'Blocking-Step2'!C2617</f>
        <v>0</v>
      </c>
      <c r="AA2617" s="2114">
        <f>D2617-'Blocking-Step2'!D2617</f>
        <v>0</v>
      </c>
      <c r="AC2617" s="2114">
        <f>F2617-'Blocking-Step2'!F2617</f>
        <v>0</v>
      </c>
      <c r="AE2617" s="2114">
        <f>H2617-'Blocking-Step2'!H2617</f>
        <v>0</v>
      </c>
      <c r="AF2617" s="2114">
        <f>I2617-'Blocking-Step2'!I2617</f>
        <v>0</v>
      </c>
      <c r="AH2617" s="2136">
        <f>K2617-'Blocking-Step2'!K2617</f>
        <v>0</v>
      </c>
      <c r="AJ2617" s="2136">
        <f>M2617-'Blocking-Step2'!M2617</f>
        <v>0</v>
      </c>
      <c r="AL2617" s="2136">
        <f>O2617-'Blocking-Step2'!O2617</f>
        <v>0</v>
      </c>
      <c r="AN2617" s="2137">
        <f>Q2617-'Blocking-Step2'!Q2617</f>
        <v>0</v>
      </c>
      <c r="AP2617" s="2127">
        <f>S2617-'Blocking-Step2'!S2617</f>
        <v>0</v>
      </c>
      <c r="AR2617" s="2127">
        <f>U2617-'Blocking-Step2'!U2617</f>
        <v>-47.333068440668285</v>
      </c>
      <c r="AT2617" s="2127">
        <f>W2617-'Blocking-Step2'!W2617</f>
        <v>47.333068440668285</v>
      </c>
      <c r="AV2617" s="2128">
        <f>Y2617-'Blocking-Step2'!Y2617</f>
        <v>0</v>
      </c>
    </row>
    <row r="2618" spans="1:48">
      <c r="A2618" s="1116" t="s">
        <v>1027</v>
      </c>
      <c r="C2618" s="1105">
        <v>139678447</v>
      </c>
      <c r="D2618" s="1105">
        <v>142951672</v>
      </c>
      <c r="F2618" s="1143">
        <v>2.806</v>
      </c>
      <c r="G2618" s="1921" t="s">
        <v>495</v>
      </c>
      <c r="H2618" s="1146">
        <v>3919377</v>
      </c>
      <c r="I2618" s="1146">
        <v>4011224</v>
      </c>
      <c r="K2618" s="1143">
        <v>0</v>
      </c>
      <c r="L2618" s="1921" t="s">
        <v>495</v>
      </c>
      <c r="M2618" s="1143">
        <v>1.3331</v>
      </c>
      <c r="N2618" s="1921" t="s">
        <v>495</v>
      </c>
      <c r="O2618" s="1143">
        <v>1.4819</v>
      </c>
      <c r="P2618" s="1921" t="s">
        <v>495</v>
      </c>
      <c r="Q2618" s="1143">
        <v>2.8149999999999999</v>
      </c>
      <c r="R2618" s="1921" t="s">
        <v>495</v>
      </c>
      <c r="S2618" s="1648"/>
      <c r="T2618" s="1648"/>
      <c r="U2618" s="1114">
        <v>1905645.6383377784</v>
      </c>
      <c r="V2618" s="1648"/>
      <c r="W2618" s="1114">
        <v>2118444.3616622216</v>
      </c>
      <c r="X2618" s="1648"/>
      <c r="Y2618" s="1146">
        <v>4024090</v>
      </c>
      <c r="Z2618" s="2114">
        <f>C2618-'Blocking-Step2'!C2618</f>
        <v>0</v>
      </c>
      <c r="AA2618" s="2114">
        <f>D2618-'Blocking-Step2'!D2618</f>
        <v>0</v>
      </c>
      <c r="AC2618" s="2114">
        <f>F2618-'Blocking-Step2'!F2618</f>
        <v>0</v>
      </c>
      <c r="AE2618" s="2114">
        <f>H2618-'Blocking-Step2'!H2618</f>
        <v>0</v>
      </c>
      <c r="AF2618" s="2114">
        <f>I2618-'Blocking-Step2'!I2618</f>
        <v>0</v>
      </c>
      <c r="AH2618" s="2136">
        <f>K2618-'Blocking-Step2'!K2618</f>
        <v>0</v>
      </c>
      <c r="AJ2618" s="2136">
        <f>M2618-'Blocking-Step2'!M2618</f>
        <v>0</v>
      </c>
      <c r="AL2618" s="2136">
        <f>O2618-'Blocking-Step2'!O2618</f>
        <v>0</v>
      </c>
      <c r="AN2618" s="2137">
        <f>Q2618-'Blocking-Step2'!Q2618</f>
        <v>0</v>
      </c>
      <c r="AP2618" s="2127">
        <f>S2618-'Blocking-Step2'!S2618</f>
        <v>0</v>
      </c>
      <c r="AR2618" s="2127">
        <f>U2618-'Blocking-Step2'!U2618</f>
        <v>-41.967048445250839</v>
      </c>
      <c r="AT2618" s="2127">
        <f>W2618-'Blocking-Step2'!W2618</f>
        <v>41.967048445250839</v>
      </c>
      <c r="AV2618" s="2128">
        <f>Y2618-'Blocking-Step2'!Y2618</f>
        <v>0</v>
      </c>
    </row>
    <row r="2619" spans="1:48">
      <c r="A2619" s="1116" t="s">
        <v>1028</v>
      </c>
      <c r="C2619" s="1105">
        <v>164618614</v>
      </c>
      <c r="D2619" s="1105">
        <v>168476287</v>
      </c>
      <c r="F2619" s="1143">
        <v>3.3610000000000002</v>
      </c>
      <c r="G2619" s="1921" t="s">
        <v>495</v>
      </c>
      <c r="H2619" s="1146">
        <v>5532832</v>
      </c>
      <c r="I2619" s="1146">
        <v>5662488</v>
      </c>
      <c r="K2619" s="1143">
        <v>0</v>
      </c>
      <c r="L2619" s="1921" t="s">
        <v>495</v>
      </c>
      <c r="M2619" s="1143">
        <v>1.5968</v>
      </c>
      <c r="N2619" s="1921" t="s">
        <v>495</v>
      </c>
      <c r="O2619" s="1143">
        <v>1.7751999999999999</v>
      </c>
      <c r="P2619" s="1921" t="s">
        <v>495</v>
      </c>
      <c r="Q2619" s="1143">
        <v>3.3719999999999999</v>
      </c>
      <c r="R2619" s="1921" t="s">
        <v>495</v>
      </c>
      <c r="S2619" s="1648"/>
      <c r="T2619" s="1648"/>
      <c r="U2619" s="1114">
        <v>2690300.4118470727</v>
      </c>
      <c r="V2619" s="1648"/>
      <c r="W2619" s="1114">
        <v>2990719.5881529273</v>
      </c>
      <c r="X2619" s="1648"/>
      <c r="Y2619" s="1146">
        <v>5681020</v>
      </c>
      <c r="Z2619" s="2114">
        <f>C2619-'Blocking-Step2'!C2619</f>
        <v>0</v>
      </c>
      <c r="AA2619" s="2114">
        <f>D2619-'Blocking-Step2'!D2619</f>
        <v>0</v>
      </c>
      <c r="AC2619" s="2114">
        <f>F2619-'Blocking-Step2'!F2619</f>
        <v>0</v>
      </c>
      <c r="AE2619" s="2114">
        <f>H2619-'Blocking-Step2'!H2619</f>
        <v>0</v>
      </c>
      <c r="AF2619" s="2114">
        <f>I2619-'Blocking-Step2'!I2619</f>
        <v>0</v>
      </c>
      <c r="AH2619" s="2136">
        <f>K2619-'Blocking-Step2'!K2619</f>
        <v>0</v>
      </c>
      <c r="AJ2619" s="2136">
        <f>M2619-'Blocking-Step2'!M2619</f>
        <v>-9.9999999999988987E-5</v>
      </c>
      <c r="AL2619" s="2136">
        <f>O2619-'Blocking-Step2'!O2619</f>
        <v>9.9999999999988987E-5</v>
      </c>
      <c r="AN2619" s="2137">
        <f>Q2619-'Blocking-Step2'!Q2619</f>
        <v>0</v>
      </c>
      <c r="AP2619" s="2127">
        <f>S2619-'Blocking-Step2'!S2619</f>
        <v>0</v>
      </c>
      <c r="AR2619" s="2127">
        <f>U2619-'Blocking-Step2'!U2619</f>
        <v>-59.247094761580229</v>
      </c>
      <c r="AT2619" s="2127">
        <f>W2619-'Blocking-Step2'!W2619</f>
        <v>59.247094761580229</v>
      </c>
      <c r="AV2619" s="2128">
        <f>Y2619-'Blocking-Step2'!Y2619</f>
        <v>0</v>
      </c>
    </row>
    <row r="2620" spans="1:48">
      <c r="A2620" s="1116" t="s">
        <v>1029</v>
      </c>
      <c r="C2620" s="1137">
        <v>199750386</v>
      </c>
      <c r="D2620" s="1137">
        <v>204431337</v>
      </c>
      <c r="F2620" s="1143">
        <v>2.806</v>
      </c>
      <c r="G2620" s="1921" t="s">
        <v>495</v>
      </c>
      <c r="H2620" s="1147">
        <v>5604996</v>
      </c>
      <c r="I2620" s="1147">
        <v>5736343</v>
      </c>
      <c r="K2620" s="1143">
        <v>0</v>
      </c>
      <c r="L2620" s="1921" t="s">
        <v>495</v>
      </c>
      <c r="M2620" s="1143">
        <v>1.3331</v>
      </c>
      <c r="N2620" s="1921" t="s">
        <v>495</v>
      </c>
      <c r="O2620" s="1143">
        <v>1.4819</v>
      </c>
      <c r="P2620" s="1921" t="s">
        <v>495</v>
      </c>
      <c r="Q2620" s="1143">
        <v>2.8149999999999999</v>
      </c>
      <c r="R2620" s="1921" t="s">
        <v>495</v>
      </c>
      <c r="S2620" s="1648"/>
      <c r="T2620" s="1648"/>
      <c r="U2620" s="1114">
        <v>2725212.1577944891</v>
      </c>
      <c r="V2620" s="1648"/>
      <c r="W2620" s="1114">
        <v>3029529.8422055109</v>
      </c>
      <c r="X2620" s="1648"/>
      <c r="Y2620" s="1146">
        <v>5754742</v>
      </c>
      <c r="Z2620" s="2114">
        <f>C2620-'Blocking-Step2'!C2620</f>
        <v>0</v>
      </c>
      <c r="AA2620" s="2114">
        <f>D2620-'Blocking-Step2'!D2620</f>
        <v>0</v>
      </c>
      <c r="AC2620" s="2114">
        <f>F2620-'Blocking-Step2'!F2620</f>
        <v>0</v>
      </c>
      <c r="AE2620" s="2114">
        <f>H2620-'Blocking-Step2'!H2620</f>
        <v>0</v>
      </c>
      <c r="AF2620" s="2114">
        <f>I2620-'Blocking-Step2'!I2620</f>
        <v>0</v>
      </c>
      <c r="AH2620" s="2136">
        <f>K2620-'Blocking-Step2'!K2620</f>
        <v>0</v>
      </c>
      <c r="AJ2620" s="2136">
        <f>M2620-'Blocking-Step2'!M2620</f>
        <v>0</v>
      </c>
      <c r="AL2620" s="2136">
        <f>O2620-'Blocking-Step2'!O2620</f>
        <v>0</v>
      </c>
      <c r="AN2620" s="2137">
        <f>Q2620-'Blocking-Step2'!Q2620</f>
        <v>0</v>
      </c>
      <c r="AP2620" s="2127">
        <f>S2620-'Blocking-Step2'!S2620</f>
        <v>0</v>
      </c>
      <c r="AR2620" s="2127">
        <f>U2620-'Blocking-Step2'!U2620</f>
        <v>-60.015938088297844</v>
      </c>
      <c r="AT2620" s="2127">
        <f>W2620-'Blocking-Step2'!W2620</f>
        <v>60.015938088297844</v>
      </c>
      <c r="AV2620" s="2128">
        <f>Y2620-'Blocking-Step2'!Y2620</f>
        <v>0</v>
      </c>
    </row>
    <row r="2621" spans="1:48">
      <c r="A2621" s="1116" t="s">
        <v>1240</v>
      </c>
      <c r="C2621" s="1024"/>
      <c r="D2621" s="1024"/>
      <c r="F2621" s="2103">
        <v>-3.3599999999999998E-2</v>
      </c>
      <c r="G2621" s="617"/>
      <c r="H2621" s="2104">
        <v>-999476.31839999999</v>
      </c>
      <c r="I2621" s="2104">
        <v>-1022898.0384</v>
      </c>
      <c r="K2621" s="2103"/>
      <c r="L2621" s="617"/>
      <c r="M2621" s="2103"/>
      <c r="N2621" s="617"/>
      <c r="O2621" s="2077" t="s">
        <v>2323</v>
      </c>
      <c r="P2621" s="617"/>
      <c r="Q2621" s="2076">
        <v>-2.5399999999999999E-2</v>
      </c>
      <c r="R2621" s="617"/>
      <c r="S2621" s="1114"/>
      <c r="T2621" s="1114"/>
      <c r="U2621" s="1114"/>
      <c r="V2621" s="1114"/>
      <c r="W2621" s="1114"/>
      <c r="X2621" s="1114"/>
      <c r="Y2621" s="1146">
        <v>-775723.87399999995</v>
      </c>
      <c r="Z2621" s="2114">
        <f>C2621-'Blocking-Step2'!C2621</f>
        <v>0</v>
      </c>
      <c r="AA2621" s="2114">
        <f>D2621-'Blocking-Step2'!D2621</f>
        <v>0</v>
      </c>
      <c r="AC2621" s="2114">
        <f>F2621-'Blocking-Step2'!F2621</f>
        <v>0</v>
      </c>
      <c r="AE2621" s="2114">
        <f>H2621-'Blocking-Step2'!H2621</f>
        <v>0</v>
      </c>
      <c r="AF2621" s="2114">
        <f>I2621-'Blocking-Step2'!I2621</f>
        <v>0</v>
      </c>
      <c r="AH2621" s="2136">
        <f>K2621-'Blocking-Step2'!K2621</f>
        <v>0</v>
      </c>
      <c r="AJ2621" s="2136">
        <f>M2621-'Blocking-Step2'!M2621</f>
        <v>0</v>
      </c>
      <c r="AL2621" s="2136" t="e">
        <f>O2621-'Blocking-Step2'!O2621</f>
        <v>#VALUE!</v>
      </c>
      <c r="AN2621" s="2137">
        <f>Q2621-'Blocking-Step2'!Q2621</f>
        <v>0</v>
      </c>
      <c r="AP2621" s="2127">
        <f>S2621-'Blocking-Step2'!S2621</f>
        <v>0</v>
      </c>
      <c r="AR2621" s="2127">
        <f>U2621-'Blocking-Step2'!U2621</f>
        <v>0</v>
      </c>
      <c r="AT2621" s="2127">
        <f>W2621-'Blocking-Step2'!W2621</f>
        <v>0</v>
      </c>
      <c r="AV2621" s="2128">
        <f>Y2621-'Blocking-Step2'!Y2621</f>
        <v>0</v>
      </c>
    </row>
    <row r="2622" spans="1:48">
      <c r="A2622" s="1116"/>
      <c r="C2622" s="1024"/>
      <c r="D2622" s="1024"/>
      <c r="F2622" s="1118"/>
      <c r="G2622" s="617"/>
      <c r="H2622" s="1114"/>
      <c r="I2622" s="1114"/>
      <c r="K2622" s="1118"/>
      <c r="L2622" s="617"/>
      <c r="M2622" s="1118"/>
      <c r="N2622" s="617"/>
      <c r="O2622" s="2077" t="s">
        <v>2324</v>
      </c>
      <c r="P2622" s="617"/>
      <c r="Q2622" s="2076">
        <v>-1.38E-2</v>
      </c>
      <c r="R2622" s="617"/>
      <c r="S2622" s="1114"/>
      <c r="T2622" s="1114"/>
      <c r="U2622" s="1114"/>
      <c r="V2622" s="1114"/>
      <c r="W2622" s="1114"/>
      <c r="X2622" s="1114"/>
      <c r="Y2622" s="1146">
        <v>-421456.27799999999</v>
      </c>
      <c r="Z2622" s="2114">
        <f>C2622-'Blocking-Step2'!C2622</f>
        <v>0</v>
      </c>
      <c r="AA2622" s="2114">
        <f>D2622-'Blocking-Step2'!D2622</f>
        <v>0</v>
      </c>
      <c r="AC2622" s="2114">
        <f>F2622-'Blocking-Step2'!F2622</f>
        <v>0</v>
      </c>
      <c r="AE2622" s="2114">
        <f>H2622-'Blocking-Step2'!H2622</f>
        <v>0</v>
      </c>
      <c r="AF2622" s="2114">
        <f>I2622-'Blocking-Step2'!I2622</f>
        <v>0</v>
      </c>
      <c r="AH2622" s="2136">
        <f>K2622-'Blocking-Step2'!K2622</f>
        <v>0</v>
      </c>
      <c r="AJ2622" s="2136">
        <f>M2622-'Blocking-Step2'!M2622</f>
        <v>0</v>
      </c>
      <c r="AL2622" s="2136" t="e">
        <f>O2622-'Blocking-Step2'!O2622</f>
        <v>#VALUE!</v>
      </c>
      <c r="AN2622" s="2137">
        <f>Q2622-'Blocking-Step2'!Q2622</f>
        <v>0</v>
      </c>
      <c r="AP2622" s="2127">
        <f>S2622-'Blocking-Step2'!S2622</f>
        <v>0</v>
      </c>
      <c r="AR2622" s="2127">
        <f>U2622-'Blocking-Step2'!U2622</f>
        <v>0</v>
      </c>
      <c r="AT2622" s="2127">
        <f>W2622-'Blocking-Step2'!W2622</f>
        <v>0</v>
      </c>
      <c r="AV2622" s="2128">
        <f>Y2622-'Blocking-Step2'!Y2622</f>
        <v>0</v>
      </c>
    </row>
    <row r="2623" spans="1:48" ht="16.5" thickBot="1">
      <c r="A2623" s="1116" t="s">
        <v>247</v>
      </c>
      <c r="C2623" s="1138">
        <v>602970000</v>
      </c>
      <c r="D2623" s="1138">
        <v>617100000</v>
      </c>
      <c r="F2623" s="2105"/>
      <c r="G2623" s="1107"/>
      <c r="H2623" s="1149">
        <v>30663712.681600001</v>
      </c>
      <c r="I2623" s="1149">
        <v>31382219.961599998</v>
      </c>
      <c r="K2623" s="2105"/>
      <c r="L2623" s="1107"/>
      <c r="M2623" s="2105"/>
      <c r="N2623" s="1107"/>
      <c r="O2623" s="2105"/>
      <c r="P2623" s="1107"/>
      <c r="Q2623" s="2105"/>
      <c r="R2623" s="1107"/>
      <c r="S2623" s="1154">
        <v>120346.56276583023</v>
      </c>
      <c r="T2623" s="1154"/>
      <c r="U2623" s="1154">
        <v>21863729.274219882</v>
      </c>
      <c r="V2623" s="1154"/>
      <c r="W2623" s="1154">
        <v>10528008.163014289</v>
      </c>
      <c r="X2623" s="1114"/>
      <c r="Y2623" s="1149">
        <v>32512084</v>
      </c>
      <c r="Z2623" s="2114">
        <f>C2623-'Blocking-Step2'!C2623</f>
        <v>0</v>
      </c>
      <c r="AA2623" s="2114">
        <f>D2623-'Blocking-Step2'!D2623</f>
        <v>0</v>
      </c>
      <c r="AC2623" s="2114">
        <f>F2623-'Blocking-Step2'!F2623</f>
        <v>0</v>
      </c>
      <c r="AE2623" s="2114">
        <f>H2623-'Blocking-Step2'!H2623</f>
        <v>0</v>
      </c>
      <c r="AF2623" s="2114">
        <f>I2623-'Blocking-Step2'!I2623</f>
        <v>0</v>
      </c>
      <c r="AH2623" s="2136">
        <f>K2623-'Blocking-Step2'!K2623</f>
        <v>0</v>
      </c>
      <c r="AJ2623" s="2136">
        <f>M2623-'Blocking-Step2'!M2623</f>
        <v>0</v>
      </c>
      <c r="AL2623" s="2136">
        <f>O2623-'Blocking-Step2'!O2623</f>
        <v>0</v>
      </c>
      <c r="AN2623" s="2137">
        <f>Q2623-'Blocking-Step2'!Q2623</f>
        <v>0</v>
      </c>
      <c r="AP2623" s="2127">
        <f>S2623-'Blocking-Step2'!S2623</f>
        <v>-6822247.7322427668</v>
      </c>
      <c r="AR2623" s="2127">
        <f>U2623-'Blocking-Step2'!U2623</f>
        <v>6822039.1690930314</v>
      </c>
      <c r="AT2623" s="2127">
        <f>W2623-'Blocking-Step2'!W2623</f>
        <v>208.56314973533154</v>
      </c>
      <c r="AV2623" s="2128">
        <f>Y2623-'Blocking-Step2'!Y2623</f>
        <v>0</v>
      </c>
    </row>
    <row r="2624" spans="1:48" ht="16.5" thickTop="1">
      <c r="C2624" s="1105"/>
      <c r="D2624" s="1105"/>
      <c r="H2624" s="1146"/>
      <c r="I2624" s="1146"/>
      <c r="Y2624" s="1146"/>
      <c r="Z2624" s="2114">
        <f>C2624-'Blocking-Step2'!C2624</f>
        <v>0</v>
      </c>
      <c r="AA2624" s="2114">
        <f>D2624-'Blocking-Step2'!D2624</f>
        <v>0</v>
      </c>
      <c r="AC2624" s="2114">
        <f>F2624-'Blocking-Step2'!F2624</f>
        <v>0</v>
      </c>
      <c r="AE2624" s="2114">
        <f>H2624-'Blocking-Step2'!H2624</f>
        <v>0</v>
      </c>
      <c r="AF2624" s="2114">
        <f>I2624-'Blocking-Step2'!I2624</f>
        <v>0</v>
      </c>
      <c r="AH2624" s="2136">
        <f>K2624-'Blocking-Step2'!K2624</f>
        <v>0</v>
      </c>
      <c r="AJ2624" s="2136">
        <f>M2624-'Blocking-Step2'!M2624</f>
        <v>0</v>
      </c>
      <c r="AL2624" s="2136">
        <f>O2624-'Blocking-Step2'!O2624</f>
        <v>0</v>
      </c>
      <c r="AN2624" s="2137">
        <f>Q2624-'Blocking-Step2'!Q2624</f>
        <v>0</v>
      </c>
      <c r="AP2624" s="2127">
        <f>S2624-'Blocking-Step2'!S2624</f>
        <v>0</v>
      </c>
      <c r="AR2624" s="2127">
        <f>U2624-'Blocking-Step2'!U2624</f>
        <v>0</v>
      </c>
      <c r="AT2624" s="2127">
        <f>W2624-'Blocking-Step2'!W2624</f>
        <v>0</v>
      </c>
      <c r="AV2624" s="2128">
        <f>Y2624-'Blocking-Step2'!Y2624</f>
        <v>0</v>
      </c>
    </row>
    <row r="2625" spans="1:48">
      <c r="A2625" s="2069" t="s">
        <v>681</v>
      </c>
      <c r="B2625" s="1109"/>
      <c r="C2625" s="1105"/>
      <c r="D2625" s="1105"/>
      <c r="F2625" s="1106"/>
      <c r="G2625" s="1107"/>
      <c r="K2625" s="1106"/>
      <c r="L2625" s="1107"/>
      <c r="M2625" s="1106"/>
      <c r="N2625" s="1107"/>
      <c r="O2625" s="1106"/>
      <c r="P2625" s="1107"/>
      <c r="Q2625" s="1106"/>
      <c r="R2625" s="1107"/>
      <c r="S2625" s="1114"/>
      <c r="T2625" s="1114"/>
      <c r="U2625" s="1114"/>
      <c r="V2625" s="1114"/>
      <c r="W2625" s="1114"/>
      <c r="X2625" s="1114"/>
      <c r="Z2625" s="2114">
        <f>C2625-'Blocking-Step2'!C2625</f>
        <v>0</v>
      </c>
      <c r="AA2625" s="2114">
        <f>D2625-'Blocking-Step2'!D2625</f>
        <v>0</v>
      </c>
      <c r="AC2625" s="2114">
        <f>F2625-'Blocking-Step2'!F2625</f>
        <v>0</v>
      </c>
      <c r="AE2625" s="2114">
        <f>H2625-'Blocking-Step2'!H2625</f>
        <v>0</v>
      </c>
      <c r="AF2625" s="2114">
        <f>I2625-'Blocking-Step2'!I2625</f>
        <v>0</v>
      </c>
      <c r="AH2625" s="2136">
        <f>K2625-'Blocking-Step2'!K2625</f>
        <v>0</v>
      </c>
      <c r="AJ2625" s="2136">
        <f>M2625-'Blocking-Step2'!M2625</f>
        <v>0</v>
      </c>
      <c r="AL2625" s="2136">
        <f>O2625-'Blocking-Step2'!O2625</f>
        <v>0</v>
      </c>
      <c r="AN2625" s="2137">
        <f>Q2625-'Blocking-Step2'!Q2625</f>
        <v>0</v>
      </c>
      <c r="AP2625" s="2127">
        <f>S2625-'Blocking-Step2'!S2625</f>
        <v>0</v>
      </c>
      <c r="AR2625" s="2127">
        <f>U2625-'Blocking-Step2'!U2625</f>
        <v>0</v>
      </c>
      <c r="AT2625" s="2127">
        <f>W2625-'Blocking-Step2'!W2625</f>
        <v>0</v>
      </c>
      <c r="AV2625" s="2128">
        <f>Y2625-'Blocking-Step2'!Y2625</f>
        <v>0</v>
      </c>
    </row>
    <row r="2626" spans="1:48">
      <c r="A2626" s="2096" t="s">
        <v>240</v>
      </c>
      <c r="B2626" s="1109"/>
      <c r="C2626" s="1105">
        <v>12</v>
      </c>
      <c r="D2626" s="1105">
        <v>12</v>
      </c>
      <c r="Z2626" s="2114">
        <f>C2626-'Blocking-Step2'!C2626</f>
        <v>0</v>
      </c>
      <c r="AA2626" s="2114">
        <f>D2626-'Blocking-Step2'!D2626</f>
        <v>0</v>
      </c>
      <c r="AC2626" s="2114">
        <f>F2626-'Blocking-Step2'!F2626</f>
        <v>0</v>
      </c>
      <c r="AE2626" s="2114">
        <f>H2626-'Blocking-Step2'!H2626</f>
        <v>0</v>
      </c>
      <c r="AF2626" s="2114">
        <f>I2626-'Blocking-Step2'!I2626</f>
        <v>0</v>
      </c>
      <c r="AH2626" s="2136">
        <f>K2626-'Blocking-Step2'!K2626</f>
        <v>0</v>
      </c>
      <c r="AJ2626" s="2136">
        <f>M2626-'Blocking-Step2'!M2626</f>
        <v>0</v>
      </c>
      <c r="AL2626" s="2136">
        <f>O2626-'Blocking-Step2'!O2626</f>
        <v>0</v>
      </c>
      <c r="AN2626" s="2137">
        <f>Q2626-'Blocking-Step2'!Q2626</f>
        <v>0</v>
      </c>
      <c r="AP2626" s="2127">
        <f>S2626-'Blocking-Step2'!S2626</f>
        <v>0</v>
      </c>
      <c r="AR2626" s="2127">
        <f>U2626-'Blocking-Step2'!U2626</f>
        <v>0</v>
      </c>
      <c r="AT2626" s="2127">
        <f>W2626-'Blocking-Step2'!W2626</f>
        <v>0</v>
      </c>
      <c r="AV2626" s="2128">
        <f>Y2626-'Blocking-Step2'!Y2626</f>
        <v>0</v>
      </c>
    </row>
    <row r="2627" spans="1:48">
      <c r="A2627" s="1116" t="s">
        <v>19</v>
      </c>
      <c r="C2627" s="1105">
        <v>65661217</v>
      </c>
      <c r="D2627" s="1105">
        <v>57264151</v>
      </c>
      <c r="F2627" s="1143">
        <v>6.68</v>
      </c>
      <c r="G2627" s="1921" t="s">
        <v>495</v>
      </c>
      <c r="H2627" s="1146">
        <v>4386169</v>
      </c>
      <c r="I2627" s="1146">
        <v>3825245</v>
      </c>
      <c r="K2627" s="1143">
        <v>2.2700000000000001E-2</v>
      </c>
      <c r="L2627" s="1921" t="s">
        <v>495</v>
      </c>
      <c r="M2627" s="1143">
        <v>3.8504999999999998</v>
      </c>
      <c r="N2627" s="1921" t="s">
        <v>495</v>
      </c>
      <c r="O2627" s="1143">
        <v>2.8298000000000001</v>
      </c>
      <c r="P2627" s="1921" t="s">
        <v>495</v>
      </c>
      <c r="Q2627" s="1143">
        <v>6.7030000000000003</v>
      </c>
      <c r="R2627" s="1921" t="s">
        <v>495</v>
      </c>
      <c r="S2627" s="2037">
        <v>12988.965972436414</v>
      </c>
      <c r="T2627" s="1648"/>
      <c r="U2627" s="1648">
        <v>2204954.467856986</v>
      </c>
      <c r="V2627" s="1648"/>
      <c r="W2627" s="1648">
        <v>1620472.5661705774</v>
      </c>
      <c r="X2627" s="1648"/>
      <c r="Y2627" s="1146">
        <v>3838416</v>
      </c>
      <c r="Z2627" s="2114">
        <f>C2627-'Blocking-Step2'!C2627</f>
        <v>0</v>
      </c>
      <c r="AA2627" s="2114">
        <f>D2627-'Blocking-Step2'!D2627</f>
        <v>0</v>
      </c>
      <c r="AC2627" s="2114">
        <f>F2627-'Blocking-Step2'!F2627</f>
        <v>0</v>
      </c>
      <c r="AE2627" s="2114">
        <f>H2627-'Blocking-Step2'!H2627</f>
        <v>0</v>
      </c>
      <c r="AF2627" s="2114">
        <f>I2627-'Blocking-Step2'!I2627</f>
        <v>0</v>
      </c>
      <c r="AH2627" s="2136">
        <f>K2627-'Blocking-Step2'!K2627</f>
        <v>-1.2051000000000001</v>
      </c>
      <c r="AJ2627" s="2136">
        <f>M2627-'Blocking-Step2'!M2627</f>
        <v>1.2050999999999998</v>
      </c>
      <c r="AL2627" s="2136">
        <f>O2627-'Blocking-Step2'!O2627</f>
        <v>0</v>
      </c>
      <c r="AN2627" s="2137">
        <f>Q2627-'Blocking-Step2'!Q2627</f>
        <v>0</v>
      </c>
      <c r="AP2627" s="2127">
        <f>S2627-'Blocking-Step2'!S2627</f>
        <v>-690113.7048290011</v>
      </c>
      <c r="AR2627" s="2127">
        <f>U2627-'Blocking-Step2'!U2627</f>
        <v>690092.66317721969</v>
      </c>
      <c r="AT2627" s="2127">
        <f>W2627-'Blocking-Step2'!W2627</f>
        <v>21.041651781182736</v>
      </c>
      <c r="AV2627" s="2128">
        <f>Y2627-'Blocking-Step2'!Y2627</f>
        <v>0</v>
      </c>
    </row>
    <row r="2628" spans="1:48">
      <c r="A2628" s="1116" t="s">
        <v>257</v>
      </c>
      <c r="C2628" s="1105">
        <v>195234517</v>
      </c>
      <c r="D2628" s="1105">
        <v>179663027</v>
      </c>
      <c r="F2628" s="1143">
        <v>5.0229999999999997</v>
      </c>
      <c r="G2628" s="1921" t="s">
        <v>495</v>
      </c>
      <c r="H2628" s="1146">
        <v>9806630</v>
      </c>
      <c r="I2628" s="1146">
        <v>9024474</v>
      </c>
      <c r="K2628" s="1143">
        <v>1.7100000000000001E-2</v>
      </c>
      <c r="L2628" s="1921" t="s">
        <v>495</v>
      </c>
      <c r="M2628" s="1143">
        <v>2.8952</v>
      </c>
      <c r="N2628" s="1921" t="s">
        <v>495</v>
      </c>
      <c r="O2628" s="1143">
        <v>2.1276999999999999</v>
      </c>
      <c r="P2628" s="1921" t="s">
        <v>495</v>
      </c>
      <c r="Q2628" s="1143">
        <v>5.04</v>
      </c>
      <c r="R2628" s="1921" t="s">
        <v>495</v>
      </c>
      <c r="S2628" s="1648">
        <v>30641.626049087245</v>
      </c>
      <c r="T2628" s="1648"/>
      <c r="U2628" s="1648">
        <v>5201598.834172993</v>
      </c>
      <c r="V2628" s="1648"/>
      <c r="W2628" s="1648">
        <v>3822776.5397779206</v>
      </c>
      <c r="X2628" s="1648"/>
      <c r="Y2628" s="1146">
        <v>9055017</v>
      </c>
      <c r="Z2628" s="2114">
        <f>C2628-'Blocking-Step2'!C2628</f>
        <v>0</v>
      </c>
      <c r="AA2628" s="2114">
        <f>D2628-'Blocking-Step2'!D2628</f>
        <v>0</v>
      </c>
      <c r="AC2628" s="2114">
        <f>F2628-'Blocking-Step2'!F2628</f>
        <v>0</v>
      </c>
      <c r="AE2628" s="2114">
        <f>H2628-'Blocking-Step2'!H2628</f>
        <v>0</v>
      </c>
      <c r="AF2628" s="2114">
        <f>I2628-'Blocking-Step2'!I2628</f>
        <v>0</v>
      </c>
      <c r="AH2628" s="2136">
        <f>K2628-'Blocking-Step2'!K2628</f>
        <v>-0.90610000000000002</v>
      </c>
      <c r="AJ2628" s="2136">
        <f>M2628-'Blocking-Step2'!M2628</f>
        <v>0.90609999999999991</v>
      </c>
      <c r="AL2628" s="2136">
        <f>O2628-'Blocking-Step2'!O2628</f>
        <v>0</v>
      </c>
      <c r="AN2628" s="2137">
        <f>Q2628-'Blocking-Step2'!Q2628</f>
        <v>0</v>
      </c>
      <c r="AP2628" s="2127">
        <f>S2628-'Blocking-Step2'!S2628</f>
        <v>-1628013.0473506746</v>
      </c>
      <c r="AR2628" s="2127">
        <f>U2628-'Blocking-Step2'!U2628</f>
        <v>1627963.4090325278</v>
      </c>
      <c r="AT2628" s="2127">
        <f>W2628-'Blocking-Step2'!W2628</f>
        <v>49.638318147044629</v>
      </c>
      <c r="AV2628" s="2128">
        <f>Y2628-'Blocking-Step2'!Y2628</f>
        <v>0</v>
      </c>
    </row>
    <row r="2629" spans="1:48">
      <c r="A2629" s="1116" t="s">
        <v>189</v>
      </c>
      <c r="C2629" s="1105">
        <v>274611200</v>
      </c>
      <c r="D2629" s="1105">
        <v>239492625.9472512</v>
      </c>
      <c r="F2629" s="1143">
        <v>4.1959999999999997</v>
      </c>
      <c r="G2629" s="1921" t="s">
        <v>495</v>
      </c>
      <c r="H2629" s="1146">
        <v>11522686</v>
      </c>
      <c r="I2629" s="1146">
        <v>10049111</v>
      </c>
      <c r="K2629" s="1143">
        <v>1.4200000000000001E-2</v>
      </c>
      <c r="L2629" s="1921" t="s">
        <v>495</v>
      </c>
      <c r="M2629" s="1143">
        <v>2.4184000000000001</v>
      </c>
      <c r="N2629" s="1921" t="s">
        <v>495</v>
      </c>
      <c r="O2629" s="1143">
        <v>1.7774000000000001</v>
      </c>
      <c r="P2629" s="1921" t="s">
        <v>495</v>
      </c>
      <c r="Q2629" s="1143">
        <v>4.21</v>
      </c>
      <c r="R2629" s="1921" t="s">
        <v>495</v>
      </c>
      <c r="S2629" s="1648">
        <v>34119.039695626081</v>
      </c>
      <c r="T2629" s="1648"/>
      <c r="U2629" s="1648">
        <v>5791910.5474220514</v>
      </c>
      <c r="V2629" s="1648"/>
      <c r="W2629" s="1648">
        <v>4256610.4128823224</v>
      </c>
      <c r="X2629" s="1648"/>
      <c r="Y2629" s="1146">
        <v>10082640</v>
      </c>
      <c r="Z2629" s="2114">
        <f>C2629-'Blocking-Step2'!C2629</f>
        <v>0</v>
      </c>
      <c r="AA2629" s="2114">
        <f>D2629-'Blocking-Step2'!D2629</f>
        <v>0</v>
      </c>
      <c r="AC2629" s="2114">
        <f>F2629-'Blocking-Step2'!F2629</f>
        <v>0</v>
      </c>
      <c r="AE2629" s="2114">
        <f>H2629-'Blocking-Step2'!H2629</f>
        <v>0</v>
      </c>
      <c r="AF2629" s="2114">
        <f>I2629-'Blocking-Step2'!I2629</f>
        <v>0</v>
      </c>
      <c r="AH2629" s="2136">
        <f>K2629-'Blocking-Step2'!K2629</f>
        <v>-0.75700000000000001</v>
      </c>
      <c r="AJ2629" s="2136">
        <f>M2629-'Blocking-Step2'!M2629</f>
        <v>0.75690000000000013</v>
      </c>
      <c r="AL2629" s="2136">
        <f>O2629-'Blocking-Step2'!O2629</f>
        <v>9.9999999999988987E-5</v>
      </c>
      <c r="AN2629" s="2137">
        <f>Q2629-'Blocking-Step2'!Q2629</f>
        <v>0</v>
      </c>
      <c r="AP2629" s="2127">
        <f>S2629-'Blocking-Step2'!S2629</f>
        <v>-1812770.696260405</v>
      </c>
      <c r="AR2629" s="2127">
        <f>U2629-'Blocking-Step2'!U2629</f>
        <v>1812715.4246588075</v>
      </c>
      <c r="AT2629" s="2127">
        <f>W2629-'Blocking-Step2'!W2629</f>
        <v>55.271601596847177</v>
      </c>
      <c r="AV2629" s="2128">
        <f>Y2629-'Blocking-Step2'!Y2629</f>
        <v>0</v>
      </c>
    </row>
    <row r="2630" spans="1:48">
      <c r="A2630" s="1116" t="s">
        <v>1039</v>
      </c>
      <c r="C2630" s="1137">
        <v>248886394</v>
      </c>
      <c r="D2630" s="1137">
        <v>229035744.99930882</v>
      </c>
      <c r="F2630" s="1143">
        <v>4.1959999999999997</v>
      </c>
      <c r="G2630" s="1921" t="s">
        <v>495</v>
      </c>
      <c r="H2630" s="1147">
        <v>10443273</v>
      </c>
      <c r="I2630" s="1147">
        <v>9610340</v>
      </c>
      <c r="K2630" s="1143">
        <v>1.4200000000000001E-2</v>
      </c>
      <c r="L2630" s="1921" t="s">
        <v>495</v>
      </c>
      <c r="M2630" s="1143">
        <v>2.4184000000000001</v>
      </c>
      <c r="N2630" s="1921" t="s">
        <v>495</v>
      </c>
      <c r="O2630" s="1143">
        <v>1.7774000000000001</v>
      </c>
      <c r="P2630" s="1921" t="s">
        <v>495</v>
      </c>
      <c r="Q2630" s="1143">
        <v>4.21</v>
      </c>
      <c r="R2630" s="1921" t="s">
        <v>495</v>
      </c>
      <c r="S2630" s="1648">
        <v>32629.311267317229</v>
      </c>
      <c r="T2630" s="1648"/>
      <c r="U2630" s="1648">
        <v>5539020.2587829307</v>
      </c>
      <c r="V2630" s="1648"/>
      <c r="W2630" s="1648">
        <v>4070755.429949753</v>
      </c>
      <c r="X2630" s="1648"/>
      <c r="Y2630" s="1147">
        <v>9642405</v>
      </c>
      <c r="Z2630" s="2114">
        <f>C2630-'Blocking-Step2'!C2630</f>
        <v>0</v>
      </c>
      <c r="AA2630" s="2114">
        <f>D2630-'Blocking-Step2'!D2630</f>
        <v>0</v>
      </c>
      <c r="AC2630" s="2114">
        <f>F2630-'Blocking-Step2'!F2630</f>
        <v>0</v>
      </c>
      <c r="AE2630" s="2114">
        <f>H2630-'Blocking-Step2'!H2630</f>
        <v>0</v>
      </c>
      <c r="AF2630" s="2114">
        <f>I2630-'Blocking-Step2'!I2630</f>
        <v>0</v>
      </c>
      <c r="AH2630" s="2136">
        <f>K2630-'Blocking-Step2'!K2630</f>
        <v>-0.75700000000000001</v>
      </c>
      <c r="AJ2630" s="2136">
        <f>M2630-'Blocking-Step2'!M2630</f>
        <v>0.75690000000000013</v>
      </c>
      <c r="AL2630" s="2136">
        <f>O2630-'Blocking-Step2'!O2630</f>
        <v>9.9999999999988987E-5</v>
      </c>
      <c r="AN2630" s="2137">
        <f>Q2630-'Blocking-Step2'!Q2630</f>
        <v>0</v>
      </c>
      <c r="AP2630" s="2127">
        <f>S2630-'Blocking-Step2'!S2630</f>
        <v>-1733620.2845162388</v>
      </c>
      <c r="AR2630" s="2127">
        <f>U2630-'Blocking-Step2'!U2630</f>
        <v>1733567.4262204356</v>
      </c>
      <c r="AT2630" s="2127">
        <f>W2630-'Blocking-Step2'!W2630</f>
        <v>52.858295803889632</v>
      </c>
      <c r="AV2630" s="2128">
        <f>Y2630-'Blocking-Step2'!Y2630</f>
        <v>0</v>
      </c>
    </row>
    <row r="2631" spans="1:48">
      <c r="A2631" s="1116" t="s">
        <v>1240</v>
      </c>
      <c r="C2631" s="1024"/>
      <c r="D2631" s="1024"/>
      <c r="F2631" s="2103">
        <v>-3.15E-2</v>
      </c>
      <c r="G2631" s="617"/>
      <c r="H2631" s="2104">
        <v>-1139000.8770000001</v>
      </c>
      <c r="I2631" s="2104">
        <v>-1024038.855</v>
      </c>
      <c r="K2631" s="2103"/>
      <c r="L2631" s="617"/>
      <c r="M2631" s="2103"/>
      <c r="N2631" s="617"/>
      <c r="O2631" s="2077" t="s">
        <v>2323</v>
      </c>
      <c r="P2631" s="617"/>
      <c r="Q2631" s="2076">
        <v>-2.3800000000000002E-2</v>
      </c>
      <c r="R2631" s="617"/>
      <c r="S2631" s="1114"/>
      <c r="T2631" s="1114"/>
      <c r="U2631" s="1114"/>
      <c r="V2631" s="1114"/>
      <c r="W2631" s="1114"/>
      <c r="X2631" s="1114"/>
      <c r="Y2631" s="1146">
        <v>-776319.77640000009</v>
      </c>
      <c r="Z2631" s="2114">
        <f>C2631-'Blocking-Step2'!C2631</f>
        <v>0</v>
      </c>
      <c r="AA2631" s="2114">
        <f>D2631-'Blocking-Step2'!D2631</f>
        <v>0</v>
      </c>
      <c r="AC2631" s="2114">
        <f>F2631-'Blocking-Step2'!F2631</f>
        <v>0</v>
      </c>
      <c r="AE2631" s="2114">
        <f>H2631-'Blocking-Step2'!H2631</f>
        <v>0</v>
      </c>
      <c r="AF2631" s="2114">
        <f>I2631-'Blocking-Step2'!I2631</f>
        <v>0</v>
      </c>
      <c r="AH2631" s="2136">
        <f>K2631-'Blocking-Step2'!K2631</f>
        <v>0</v>
      </c>
      <c r="AJ2631" s="2136">
        <f>M2631-'Blocking-Step2'!M2631</f>
        <v>0</v>
      </c>
      <c r="AL2631" s="2136" t="e">
        <f>O2631-'Blocking-Step2'!O2631</f>
        <v>#VALUE!</v>
      </c>
      <c r="AN2631" s="2137">
        <f>Q2631-'Blocking-Step2'!Q2631</f>
        <v>0</v>
      </c>
      <c r="AP2631" s="2127">
        <f>S2631-'Blocking-Step2'!S2631</f>
        <v>0</v>
      </c>
      <c r="AR2631" s="2127">
        <f>U2631-'Blocking-Step2'!U2631</f>
        <v>0</v>
      </c>
      <c r="AT2631" s="2127">
        <f>W2631-'Blocking-Step2'!W2631</f>
        <v>0</v>
      </c>
      <c r="AV2631" s="2128">
        <f>Y2631-'Blocking-Step2'!Y2631</f>
        <v>0</v>
      </c>
    </row>
    <row r="2632" spans="1:48">
      <c r="A2632" s="1116"/>
      <c r="C2632" s="1024"/>
      <c r="D2632" s="1024"/>
      <c r="F2632" s="1118"/>
      <c r="G2632" s="617"/>
      <c r="H2632" s="1114"/>
      <c r="I2632" s="1114"/>
      <c r="K2632" s="1118"/>
      <c r="L2632" s="617"/>
      <c r="M2632" s="1118"/>
      <c r="N2632" s="617"/>
      <c r="O2632" s="2077" t="s">
        <v>2324</v>
      </c>
      <c r="P2632" s="617"/>
      <c r="Q2632" s="2076">
        <v>-1.29E-2</v>
      </c>
      <c r="R2632" s="617"/>
      <c r="S2632" s="1114"/>
      <c r="T2632" s="1114"/>
      <c r="U2632" s="1114"/>
      <c r="V2632" s="1114"/>
      <c r="W2632" s="1114"/>
      <c r="X2632" s="1114"/>
      <c r="Y2632" s="1146">
        <v>-420778.36619999999</v>
      </c>
      <c r="Z2632" s="2114">
        <f>C2632-'Blocking-Step2'!C2632</f>
        <v>0</v>
      </c>
      <c r="AA2632" s="2114">
        <f>D2632-'Blocking-Step2'!D2632</f>
        <v>0</v>
      </c>
      <c r="AC2632" s="2114">
        <f>F2632-'Blocking-Step2'!F2632</f>
        <v>0</v>
      </c>
      <c r="AE2632" s="2114">
        <f>H2632-'Blocking-Step2'!H2632</f>
        <v>0</v>
      </c>
      <c r="AF2632" s="2114">
        <f>I2632-'Blocking-Step2'!I2632</f>
        <v>0</v>
      </c>
      <c r="AH2632" s="2136">
        <f>K2632-'Blocking-Step2'!K2632</f>
        <v>0</v>
      </c>
      <c r="AJ2632" s="2136">
        <f>M2632-'Blocking-Step2'!M2632</f>
        <v>0</v>
      </c>
      <c r="AL2632" s="2136" t="e">
        <f>O2632-'Blocking-Step2'!O2632</f>
        <v>#VALUE!</v>
      </c>
      <c r="AN2632" s="2137">
        <f>Q2632-'Blocking-Step2'!Q2632</f>
        <v>0</v>
      </c>
      <c r="AP2632" s="2127">
        <f>S2632-'Blocking-Step2'!S2632</f>
        <v>0</v>
      </c>
      <c r="AR2632" s="2127">
        <f>U2632-'Blocking-Step2'!U2632</f>
        <v>0</v>
      </c>
      <c r="AT2632" s="2127">
        <f>W2632-'Blocking-Step2'!W2632</f>
        <v>0</v>
      </c>
      <c r="AV2632" s="2128">
        <f>Y2632-'Blocking-Step2'!Y2632</f>
        <v>0</v>
      </c>
    </row>
    <row r="2633" spans="1:48" ht="16.5" thickBot="1">
      <c r="A2633" s="1116" t="s">
        <v>247</v>
      </c>
      <c r="B2633" s="1109"/>
      <c r="C2633" s="2106">
        <v>784393328</v>
      </c>
      <c r="D2633" s="2106">
        <v>705455548.94656003</v>
      </c>
      <c r="F2633" s="2107"/>
      <c r="G2633" s="1107"/>
      <c r="H2633" s="1154">
        <v>35019757.123000003</v>
      </c>
      <c r="I2633" s="1154">
        <v>31485131.145</v>
      </c>
      <c r="K2633" s="2107"/>
      <c r="L2633" s="1107"/>
      <c r="M2633" s="2107"/>
      <c r="N2633" s="1107"/>
      <c r="O2633" s="2107"/>
      <c r="P2633" s="1107"/>
      <c r="Q2633" s="2107"/>
      <c r="R2633" s="1107"/>
      <c r="S2633" s="1154">
        <v>110378.94298446696</v>
      </c>
      <c r="T2633" s="1154"/>
      <c r="U2633" s="1154">
        <v>18737484.108234961</v>
      </c>
      <c r="V2633" s="1154"/>
      <c r="W2633" s="1154">
        <v>13770614.948780574</v>
      </c>
      <c r="X2633" s="1114"/>
      <c r="Y2633" s="1154">
        <v>32618478</v>
      </c>
      <c r="Z2633" s="2114">
        <f>C2633-'Blocking-Step2'!C2633</f>
        <v>0</v>
      </c>
      <c r="AA2633" s="2114">
        <f>D2633-'Blocking-Step2'!D2633</f>
        <v>0</v>
      </c>
      <c r="AC2633" s="2114">
        <f>F2633-'Blocking-Step2'!F2633</f>
        <v>0</v>
      </c>
      <c r="AE2633" s="2114">
        <f>H2633-'Blocking-Step2'!H2633</f>
        <v>0</v>
      </c>
      <c r="AF2633" s="2114">
        <f>I2633-'Blocking-Step2'!I2633</f>
        <v>0</v>
      </c>
      <c r="AH2633" s="2136">
        <f>K2633-'Blocking-Step2'!K2633</f>
        <v>0</v>
      </c>
      <c r="AJ2633" s="2136">
        <f>M2633-'Blocking-Step2'!M2633</f>
        <v>0</v>
      </c>
      <c r="AL2633" s="2136">
        <f>O2633-'Blocking-Step2'!O2633</f>
        <v>0</v>
      </c>
      <c r="AN2633" s="2137">
        <f>Q2633-'Blocking-Step2'!Q2633</f>
        <v>0</v>
      </c>
      <c r="AP2633" s="2127">
        <f>S2633-'Blocking-Step2'!S2633</f>
        <v>-5864517.7329563191</v>
      </c>
      <c r="AR2633" s="2127">
        <f>U2633-'Blocking-Step2'!U2633</f>
        <v>5864338.9230889902</v>
      </c>
      <c r="AT2633" s="2127">
        <f>W2633-'Blocking-Step2'!W2633</f>
        <v>178.8098673298955</v>
      </c>
      <c r="AV2633" s="2128">
        <f>Y2633-'Blocking-Step2'!Y2633</f>
        <v>0</v>
      </c>
    </row>
    <row r="2634" spans="1:48" ht="16.5" thickTop="1">
      <c r="A2634" s="2096"/>
      <c r="B2634" s="1109"/>
      <c r="C2634" s="1024"/>
      <c r="D2634" s="1024"/>
      <c r="F2634" s="1986"/>
      <c r="G2634" s="1986"/>
      <c r="H2634" s="1114"/>
      <c r="I2634" s="1114"/>
      <c r="K2634" s="1986"/>
      <c r="L2634" s="1986"/>
      <c r="M2634" s="1986"/>
      <c r="N2634" s="1986"/>
      <c r="O2634" s="1986"/>
      <c r="P2634" s="1986"/>
      <c r="Q2634" s="1986"/>
      <c r="R2634" s="1986"/>
      <c r="S2634" s="1652"/>
      <c r="T2634" s="1652"/>
      <c r="U2634" s="1652"/>
      <c r="V2634" s="1652"/>
      <c r="W2634" s="1652"/>
      <c r="X2634" s="1652"/>
      <c r="Y2634" s="1114"/>
      <c r="Z2634" s="2114">
        <f>C2634-'Blocking-Step2'!C2634</f>
        <v>0</v>
      </c>
      <c r="AA2634" s="2114">
        <f>D2634-'Blocking-Step2'!D2634</f>
        <v>0</v>
      </c>
      <c r="AC2634" s="2114">
        <f>F2634-'Blocking-Step2'!F2634</f>
        <v>0</v>
      </c>
      <c r="AE2634" s="2114">
        <f>H2634-'Blocking-Step2'!H2634</f>
        <v>0</v>
      </c>
      <c r="AF2634" s="2114">
        <f>I2634-'Blocking-Step2'!I2634</f>
        <v>0</v>
      </c>
      <c r="AH2634" s="2136">
        <f>K2634-'Blocking-Step2'!K2634</f>
        <v>0</v>
      </c>
      <c r="AJ2634" s="2136">
        <f>M2634-'Blocking-Step2'!M2634</f>
        <v>0</v>
      </c>
      <c r="AL2634" s="2136">
        <f>O2634-'Blocking-Step2'!O2634</f>
        <v>0</v>
      </c>
      <c r="AN2634" s="2137">
        <f>Q2634-'Blocking-Step2'!Q2634</f>
        <v>0</v>
      </c>
      <c r="AP2634" s="2127">
        <f>S2634-'Blocking-Step2'!S2634</f>
        <v>0</v>
      </c>
      <c r="AR2634" s="2127">
        <f>U2634-'Blocking-Step2'!U2634</f>
        <v>0</v>
      </c>
      <c r="AT2634" s="2127">
        <f>W2634-'Blocking-Step2'!W2634</f>
        <v>0</v>
      </c>
      <c r="AV2634" s="2128">
        <f>Y2634-'Blocking-Step2'!Y2634</f>
        <v>0</v>
      </c>
    </row>
    <row r="2635" spans="1:48">
      <c r="A2635" s="1115" t="s">
        <v>682</v>
      </c>
      <c r="C2635" s="1105"/>
      <c r="D2635" s="1105"/>
      <c r="F2635" s="1106"/>
      <c r="G2635" s="1107"/>
      <c r="K2635" s="1106"/>
      <c r="L2635" s="1107"/>
      <c r="M2635" s="1106"/>
      <c r="N2635" s="1107"/>
      <c r="O2635" s="1106"/>
      <c r="P2635" s="1107"/>
      <c r="Q2635" s="1106"/>
      <c r="R2635" s="1107"/>
      <c r="S2635" s="1114"/>
      <c r="T2635" s="1114"/>
      <c r="U2635" s="1114"/>
      <c r="V2635" s="1114"/>
      <c r="W2635" s="1114"/>
      <c r="X2635" s="1114"/>
      <c r="Z2635" s="2114">
        <f>C2635-'Blocking-Step2'!C2635</f>
        <v>0</v>
      </c>
      <c r="AA2635" s="2114">
        <f>D2635-'Blocking-Step2'!D2635</f>
        <v>0</v>
      </c>
      <c r="AC2635" s="2114">
        <f>F2635-'Blocking-Step2'!F2635</f>
        <v>0</v>
      </c>
      <c r="AE2635" s="2114">
        <f>H2635-'Blocking-Step2'!H2635</f>
        <v>0</v>
      </c>
      <c r="AF2635" s="2114">
        <f>I2635-'Blocking-Step2'!I2635</f>
        <v>0</v>
      </c>
      <c r="AH2635" s="2136">
        <f>K2635-'Blocking-Step2'!K2635</f>
        <v>0</v>
      </c>
      <c r="AJ2635" s="2136">
        <f>M2635-'Blocking-Step2'!M2635</f>
        <v>0</v>
      </c>
      <c r="AL2635" s="2136">
        <f>O2635-'Blocking-Step2'!O2635</f>
        <v>0</v>
      </c>
      <c r="AN2635" s="2137">
        <f>Q2635-'Blocking-Step2'!Q2635</f>
        <v>0</v>
      </c>
      <c r="AP2635" s="2127">
        <f>S2635-'Blocking-Step2'!S2635</f>
        <v>0</v>
      </c>
      <c r="AR2635" s="2127">
        <f>U2635-'Blocking-Step2'!U2635</f>
        <v>0</v>
      </c>
      <c r="AT2635" s="2127">
        <f>W2635-'Blocking-Step2'!W2635</f>
        <v>0</v>
      </c>
      <c r="AV2635" s="2128">
        <f>Y2635-'Blocking-Step2'!Y2635</f>
        <v>0</v>
      </c>
    </row>
    <row r="2636" spans="1:48">
      <c r="A2636" s="2096" t="s">
        <v>240</v>
      </c>
      <c r="B2636" s="1109"/>
      <c r="C2636" s="1105">
        <v>12</v>
      </c>
      <c r="D2636" s="1105">
        <v>12</v>
      </c>
      <c r="Z2636" s="2114">
        <f>C2636-'Blocking-Step2'!C2636</f>
        <v>0</v>
      </c>
      <c r="AA2636" s="2114">
        <f>D2636-'Blocking-Step2'!D2636</f>
        <v>0</v>
      </c>
      <c r="AC2636" s="2114">
        <f>F2636-'Blocking-Step2'!F2636</f>
        <v>0</v>
      </c>
      <c r="AE2636" s="2114">
        <f>H2636-'Blocking-Step2'!H2636</f>
        <v>0</v>
      </c>
      <c r="AF2636" s="2114">
        <f>I2636-'Blocking-Step2'!I2636</f>
        <v>0</v>
      </c>
      <c r="AH2636" s="2136">
        <f>K2636-'Blocking-Step2'!K2636</f>
        <v>0</v>
      </c>
      <c r="AJ2636" s="2136">
        <f>M2636-'Blocking-Step2'!M2636</f>
        <v>0</v>
      </c>
      <c r="AL2636" s="2136">
        <f>O2636-'Blocking-Step2'!O2636</f>
        <v>0</v>
      </c>
      <c r="AN2636" s="2137">
        <f>Q2636-'Blocking-Step2'!Q2636</f>
        <v>0</v>
      </c>
      <c r="AP2636" s="2127">
        <f>S2636-'Blocking-Step2'!S2636</f>
        <v>0</v>
      </c>
      <c r="AR2636" s="2127">
        <f>U2636-'Blocking-Step2'!U2636</f>
        <v>0</v>
      </c>
      <c r="AT2636" s="2127">
        <f>W2636-'Blocking-Step2'!W2636</f>
        <v>0</v>
      </c>
      <c r="AV2636" s="2128">
        <f>Y2636-'Blocking-Step2'!Y2636</f>
        <v>0</v>
      </c>
    </row>
    <row r="2637" spans="1:48">
      <c r="A2637" s="1116" t="s">
        <v>1174</v>
      </c>
      <c r="C2637" s="1105">
        <v>375537561</v>
      </c>
      <c r="D2637" s="1105">
        <v>376680000</v>
      </c>
      <c r="F2637" s="1143">
        <v>5.6154999999999999</v>
      </c>
      <c r="G2637" s="1921" t="s">
        <v>495</v>
      </c>
      <c r="H2637" s="1146">
        <v>21088466.710000001</v>
      </c>
      <c r="I2637" s="1146">
        <v>22005408.239999995</v>
      </c>
      <c r="K2637" s="1143">
        <v>-2.5000000000000001E-3</v>
      </c>
      <c r="L2637" s="1875" t="s">
        <v>495</v>
      </c>
      <c r="M2637" s="1143">
        <v>5.8444000000000003</v>
      </c>
      <c r="N2637" s="1875" t="s">
        <v>495</v>
      </c>
      <c r="O2637" s="1143">
        <v>0</v>
      </c>
      <c r="P2637" s="1921" t="s">
        <v>495</v>
      </c>
      <c r="Q2637" s="1143">
        <v>5.8418999999999999</v>
      </c>
      <c r="R2637" s="1921" t="s">
        <v>495</v>
      </c>
      <c r="S2637" s="1193">
        <v>-9417</v>
      </c>
      <c r="T2637" s="1114"/>
      <c r="U2637" s="1193">
        <v>22014686</v>
      </c>
      <c r="V2637" s="1114"/>
      <c r="W2637" s="1193">
        <v>0</v>
      </c>
      <c r="X2637" s="1648"/>
      <c r="Y2637" s="1146">
        <v>22005408.239999995</v>
      </c>
      <c r="Z2637" s="2114">
        <f>C2637-'Blocking-Step2'!C2637</f>
        <v>0</v>
      </c>
      <c r="AA2637" s="2114">
        <f>D2637-'Blocking-Step2'!D2637</f>
        <v>0</v>
      </c>
      <c r="AC2637" s="2114">
        <f>F2637-'Blocking-Step2'!F2637</f>
        <v>0</v>
      </c>
      <c r="AE2637" s="2114">
        <f>H2637-'Blocking-Step2'!H2637</f>
        <v>0</v>
      </c>
      <c r="AF2637" s="2114">
        <f>I2637-'Blocking-Step2'!I2637</f>
        <v>0</v>
      </c>
      <c r="AH2637" s="2136">
        <f>K2637-'Blocking-Step2'!K2637</f>
        <v>-1.8229</v>
      </c>
      <c r="AJ2637" s="2136">
        <f>M2637-'Blocking-Step2'!M2637</f>
        <v>1.8229000000000006</v>
      </c>
      <c r="AL2637" s="2136">
        <f>O2637-'Blocking-Step2'!O2637</f>
        <v>0</v>
      </c>
      <c r="AN2637" s="2137">
        <f>Q2637-'Blocking-Step2'!Q2637</f>
        <v>0</v>
      </c>
      <c r="AP2637" s="2127">
        <f>S2637-'Blocking-Step2'!S2637</f>
        <v>-6866500</v>
      </c>
      <c r="AR2637" s="2127">
        <f>U2637-'Blocking-Step2'!U2637</f>
        <v>6866500</v>
      </c>
      <c r="AT2637" s="2127">
        <f>W2637-'Blocking-Step2'!W2637</f>
        <v>0</v>
      </c>
      <c r="AV2637" s="2128">
        <f>Y2637-'Blocking-Step2'!Y2637</f>
        <v>0</v>
      </c>
    </row>
    <row r="2638" spans="1:48">
      <c r="A2638" s="1116" t="s">
        <v>1175</v>
      </c>
      <c r="C2638" s="1105"/>
      <c r="D2638" s="1105"/>
      <c r="F2638" s="1143"/>
      <c r="G2638" s="1921"/>
      <c r="H2638" s="1146"/>
      <c r="I2638" s="1146"/>
      <c r="K2638" s="1143"/>
      <c r="L2638" s="1921"/>
      <c r="M2638" s="1143"/>
      <c r="N2638" s="1921"/>
      <c r="O2638" s="1143"/>
      <c r="P2638" s="1921"/>
      <c r="Q2638" s="1143"/>
      <c r="R2638" s="1921"/>
      <c r="S2638" s="1648"/>
      <c r="T2638" s="1648"/>
      <c r="U2638" s="1648"/>
      <c r="V2638" s="1648"/>
      <c r="W2638" s="1648"/>
      <c r="X2638" s="1648"/>
      <c r="Y2638" s="1146"/>
      <c r="Z2638" s="2114">
        <f>C2638-'Blocking-Step2'!C2638</f>
        <v>0</v>
      </c>
      <c r="AA2638" s="2114">
        <f>D2638-'Blocking-Step2'!D2638</f>
        <v>0</v>
      </c>
      <c r="AC2638" s="2114">
        <f>F2638-'Blocking-Step2'!F2638</f>
        <v>0</v>
      </c>
      <c r="AE2638" s="2114">
        <f>H2638-'Blocking-Step2'!H2638</f>
        <v>0</v>
      </c>
      <c r="AF2638" s="2114">
        <f>I2638-'Blocking-Step2'!I2638</f>
        <v>0</v>
      </c>
      <c r="AH2638" s="2136">
        <f>K2638-'Blocking-Step2'!K2638</f>
        <v>0</v>
      </c>
      <c r="AJ2638" s="2136">
        <f>M2638-'Blocking-Step2'!M2638</f>
        <v>0</v>
      </c>
      <c r="AL2638" s="2136">
        <f>O2638-'Blocking-Step2'!O2638</f>
        <v>0</v>
      </c>
      <c r="AN2638" s="2137">
        <f>Q2638-'Blocking-Step2'!Q2638</f>
        <v>0</v>
      </c>
      <c r="AP2638" s="2127">
        <f>S2638-'Blocking-Step2'!S2638</f>
        <v>0</v>
      </c>
      <c r="AR2638" s="2127">
        <f>U2638-'Blocking-Step2'!U2638</f>
        <v>0</v>
      </c>
      <c r="AT2638" s="2127">
        <f>W2638-'Blocking-Step2'!W2638</f>
        <v>0</v>
      </c>
      <c r="AV2638" s="2128">
        <f>Y2638-'Blocking-Step2'!Y2638</f>
        <v>0</v>
      </c>
    </row>
    <row r="2639" spans="1:48">
      <c r="A2639" s="1116" t="s">
        <v>1176</v>
      </c>
      <c r="C2639" s="1105">
        <v>909325685</v>
      </c>
      <c r="D2639" s="1105">
        <v>911946197</v>
      </c>
      <c r="F2639" s="1143">
        <v>4.9291</v>
      </c>
      <c r="G2639" s="1921" t="s">
        <v>495</v>
      </c>
      <c r="H2639" s="1146">
        <v>44821227.529999994</v>
      </c>
      <c r="I2639" s="1146">
        <v>40952184.777309686</v>
      </c>
      <c r="K2639" s="1143">
        <v>-1.9E-3</v>
      </c>
      <c r="L2639" s="1875" t="s">
        <v>495</v>
      </c>
      <c r="M2639" s="1143">
        <v>4.4924999999999997</v>
      </c>
      <c r="N2639" s="1875" t="s">
        <v>495</v>
      </c>
      <c r="O2639" s="1143">
        <v>0</v>
      </c>
      <c r="P2639" s="1921" t="s">
        <v>495</v>
      </c>
      <c r="Q2639" s="1143">
        <v>4.4905999999999997</v>
      </c>
      <c r="R2639" s="1921" t="s">
        <v>495</v>
      </c>
      <c r="S2639" s="1193">
        <v>-17327</v>
      </c>
      <c r="T2639" s="1114"/>
      <c r="U2639" s="1193">
        <v>40969183</v>
      </c>
      <c r="V2639" s="1114"/>
      <c r="W2639" s="1193">
        <v>0</v>
      </c>
      <c r="X2639" s="1648"/>
      <c r="Y2639" s="1146">
        <v>40952184.777309686</v>
      </c>
      <c r="Z2639" s="2114">
        <f>C2639-'Blocking-Step2'!C2639</f>
        <v>0</v>
      </c>
      <c r="AA2639" s="2114">
        <f>D2639-'Blocking-Step2'!D2639</f>
        <v>0</v>
      </c>
      <c r="AC2639" s="2114">
        <f>F2639-'Blocking-Step2'!F2639</f>
        <v>0</v>
      </c>
      <c r="AE2639" s="2114">
        <f>H2639-'Blocking-Step2'!H2639</f>
        <v>0</v>
      </c>
      <c r="AF2639" s="2114">
        <f>I2639-'Blocking-Step2'!I2639</f>
        <v>0</v>
      </c>
      <c r="AH2639" s="2136">
        <f>K2639-'Blocking-Step2'!K2639</f>
        <v>-1.4012</v>
      </c>
      <c r="AJ2639" s="2136">
        <f>M2639-'Blocking-Step2'!M2639</f>
        <v>1.4012000000000002</v>
      </c>
      <c r="AL2639" s="2136">
        <f>O2639-'Blocking-Step2'!O2639</f>
        <v>0</v>
      </c>
      <c r="AN2639" s="2137">
        <f>Q2639-'Blocking-Step2'!Q2639</f>
        <v>0</v>
      </c>
      <c r="AP2639" s="2127">
        <f>S2639-'Blocking-Step2'!S2639</f>
        <v>-12778190</v>
      </c>
      <c r="AR2639" s="2127">
        <f>U2639-'Blocking-Step2'!U2639</f>
        <v>12778190</v>
      </c>
      <c r="AT2639" s="2127">
        <f>W2639-'Blocking-Step2'!W2639</f>
        <v>0</v>
      </c>
      <c r="AV2639" s="2128">
        <f>Y2639-'Blocking-Step2'!Y2639</f>
        <v>0</v>
      </c>
    </row>
    <row r="2640" spans="1:48" ht="16.5" thickBot="1">
      <c r="A2640" s="1116" t="s">
        <v>402</v>
      </c>
      <c r="C2640" s="1138">
        <v>1284863246</v>
      </c>
      <c r="D2640" s="1138">
        <v>1288626197</v>
      </c>
      <c r="F2640" s="2105"/>
      <c r="G2640" s="1107"/>
      <c r="H2640" s="1149">
        <v>65909694.239999995</v>
      </c>
      <c r="I2640" s="1149">
        <v>62957593.017309681</v>
      </c>
      <c r="K2640" s="2105"/>
      <c r="L2640" s="1107"/>
      <c r="M2640" s="2105"/>
      <c r="N2640" s="1107"/>
      <c r="O2640" s="2105"/>
      <c r="P2640" s="1107"/>
      <c r="Q2640" s="2105"/>
      <c r="R2640" s="1107"/>
      <c r="S2640" s="1149">
        <v>-26744</v>
      </c>
      <c r="T2640" s="1154"/>
      <c r="U2640" s="1149">
        <v>62983869</v>
      </c>
      <c r="V2640" s="1154"/>
      <c r="W2640" s="1149">
        <v>0</v>
      </c>
      <c r="X2640" s="1114"/>
      <c r="Y2640" s="1149">
        <v>62957593.017309681</v>
      </c>
      <c r="Z2640" s="2114">
        <f>C2640-'Blocking-Step2'!C2640</f>
        <v>0</v>
      </c>
      <c r="AA2640" s="2114">
        <f>D2640-'Blocking-Step2'!D2640</f>
        <v>0</v>
      </c>
      <c r="AC2640" s="2114">
        <f>F2640-'Blocking-Step2'!F2640</f>
        <v>0</v>
      </c>
      <c r="AE2640" s="2114">
        <f>H2640-'Blocking-Step2'!H2640</f>
        <v>0</v>
      </c>
      <c r="AF2640" s="2114">
        <f>I2640-'Blocking-Step2'!I2640</f>
        <v>0</v>
      </c>
      <c r="AH2640" s="2136">
        <f>K2640-'Blocking-Step2'!K2640</f>
        <v>0</v>
      </c>
      <c r="AJ2640" s="2136">
        <f>M2640-'Blocking-Step2'!M2640</f>
        <v>0</v>
      </c>
      <c r="AL2640" s="2136">
        <f>O2640-'Blocking-Step2'!O2640</f>
        <v>0</v>
      </c>
      <c r="AN2640" s="2137">
        <f>Q2640-'Blocking-Step2'!Q2640</f>
        <v>0</v>
      </c>
      <c r="AP2640" s="2127">
        <f>S2640-'Blocking-Step2'!S2640</f>
        <v>-19644690</v>
      </c>
      <c r="AR2640" s="2127">
        <f>U2640-'Blocking-Step2'!U2640</f>
        <v>19644690</v>
      </c>
      <c r="AT2640" s="2127">
        <f>W2640-'Blocking-Step2'!W2640</f>
        <v>0</v>
      </c>
      <c r="AV2640" s="2128">
        <f>Y2640-'Blocking-Step2'!Y2640</f>
        <v>0</v>
      </c>
    </row>
    <row r="2641" spans="1:48" ht="16.5" thickTop="1">
      <c r="C2641" s="1105"/>
      <c r="D2641" s="1105"/>
      <c r="F2641" s="1106"/>
      <c r="G2641" s="1107"/>
      <c r="K2641" s="1106"/>
      <c r="L2641" s="1107"/>
      <c r="M2641" s="1106"/>
      <c r="N2641" s="1107"/>
      <c r="O2641" s="1106"/>
      <c r="P2641" s="1107"/>
      <c r="Q2641" s="1106"/>
      <c r="R2641" s="1107"/>
      <c r="S2641" s="1114"/>
      <c r="T2641" s="1114"/>
      <c r="U2641" s="1114"/>
      <c r="V2641" s="1114"/>
      <c r="W2641" s="1114"/>
      <c r="X2641" s="1114"/>
      <c r="Z2641" s="2114">
        <f>C2641-'Blocking-Step2'!C2641</f>
        <v>0</v>
      </c>
      <c r="AA2641" s="2114">
        <f>D2641-'Blocking-Step2'!D2641</f>
        <v>0</v>
      </c>
      <c r="AC2641" s="2114">
        <f>F2641-'Blocking-Step2'!F2641</f>
        <v>0</v>
      </c>
      <c r="AE2641" s="2114">
        <f>H2641-'Blocking-Step2'!H2641</f>
        <v>0</v>
      </c>
      <c r="AF2641" s="2114">
        <f>I2641-'Blocking-Step2'!I2641</f>
        <v>0</v>
      </c>
      <c r="AH2641" s="2136">
        <f>K2641-'Blocking-Step2'!K2641</f>
        <v>0</v>
      </c>
      <c r="AJ2641" s="2136">
        <f>M2641-'Blocking-Step2'!M2641</f>
        <v>0</v>
      </c>
      <c r="AL2641" s="2136">
        <f>O2641-'Blocking-Step2'!O2641</f>
        <v>0</v>
      </c>
      <c r="AN2641" s="2137">
        <f>Q2641-'Blocking-Step2'!Q2641</f>
        <v>0</v>
      </c>
      <c r="AP2641" s="2127">
        <f>S2641-'Blocking-Step2'!S2641</f>
        <v>0</v>
      </c>
      <c r="AR2641" s="2127">
        <f>U2641-'Blocking-Step2'!U2641</f>
        <v>0</v>
      </c>
      <c r="AT2641" s="2127">
        <f>W2641-'Blocking-Step2'!W2641</f>
        <v>0</v>
      </c>
      <c r="AV2641" s="2128">
        <f>Y2641-'Blocking-Step2'!Y2641</f>
        <v>0</v>
      </c>
    </row>
    <row r="2642" spans="1:48">
      <c r="A2642" s="1115" t="s">
        <v>928</v>
      </c>
      <c r="C2642" s="1105"/>
      <c r="D2642" s="1105"/>
      <c r="Z2642" s="2114">
        <f>C2642-'Blocking-Step2'!C2642</f>
        <v>0</v>
      </c>
      <c r="AA2642" s="2114">
        <f>D2642-'Blocking-Step2'!D2642</f>
        <v>0</v>
      </c>
      <c r="AC2642" s="2114">
        <f>F2642-'Blocking-Step2'!F2642</f>
        <v>0</v>
      </c>
      <c r="AE2642" s="2114">
        <f>H2642-'Blocking-Step2'!H2642</f>
        <v>0</v>
      </c>
      <c r="AF2642" s="2114">
        <f>I2642-'Blocking-Step2'!I2642</f>
        <v>0</v>
      </c>
      <c r="AH2642" s="2136">
        <f>K2642-'Blocking-Step2'!K2642</f>
        <v>0</v>
      </c>
      <c r="AJ2642" s="2136">
        <f>M2642-'Blocking-Step2'!M2642</f>
        <v>0</v>
      </c>
      <c r="AL2642" s="2136">
        <f>O2642-'Blocking-Step2'!O2642</f>
        <v>0</v>
      </c>
      <c r="AN2642" s="2137">
        <f>Q2642-'Blocking-Step2'!Q2642</f>
        <v>0</v>
      </c>
      <c r="AP2642" s="2127">
        <f>S2642-'Blocking-Step2'!S2642</f>
        <v>0</v>
      </c>
      <c r="AR2642" s="2127">
        <f>U2642-'Blocking-Step2'!U2642</f>
        <v>0</v>
      </c>
      <c r="AT2642" s="2127">
        <f>W2642-'Blocking-Step2'!W2642</f>
        <v>0</v>
      </c>
      <c r="AV2642" s="2128">
        <f>Y2642-'Blocking-Step2'!Y2642</f>
        <v>0</v>
      </c>
    </row>
    <row r="2643" spans="1:48">
      <c r="A2643" s="1116" t="s">
        <v>141</v>
      </c>
      <c r="C2643" s="1117">
        <v>4</v>
      </c>
      <c r="D2643" s="1117">
        <v>4</v>
      </c>
      <c r="F2643" s="1109"/>
      <c r="H2643" s="1628"/>
      <c r="I2643" s="1628"/>
      <c r="K2643" s="1109"/>
      <c r="M2643" s="1109"/>
      <c r="O2643" s="1109"/>
      <c r="Q2643" s="1109"/>
      <c r="Y2643" s="1628"/>
      <c r="Z2643" s="2114">
        <f>C2643-'Blocking-Step2'!C2643</f>
        <v>0</v>
      </c>
      <c r="AA2643" s="2114">
        <f>D2643-'Blocking-Step2'!D2643</f>
        <v>0</v>
      </c>
      <c r="AC2643" s="2114">
        <f>F2643-'Blocking-Step2'!F2643</f>
        <v>0</v>
      </c>
      <c r="AE2643" s="2114">
        <f>H2643-'Blocking-Step2'!H2643</f>
        <v>0</v>
      </c>
      <c r="AF2643" s="2114">
        <f>I2643-'Blocking-Step2'!I2643</f>
        <v>0</v>
      </c>
      <c r="AH2643" s="2136">
        <f>K2643-'Blocking-Step2'!K2643</f>
        <v>0</v>
      </c>
      <c r="AJ2643" s="2136">
        <f>M2643-'Blocking-Step2'!M2643</f>
        <v>0</v>
      </c>
      <c r="AL2643" s="2136">
        <f>O2643-'Blocking-Step2'!O2643</f>
        <v>0</v>
      </c>
      <c r="AN2643" s="2137">
        <f>Q2643-'Blocking-Step2'!Q2643</f>
        <v>0</v>
      </c>
      <c r="AP2643" s="2127">
        <f>S2643-'Blocking-Step2'!S2643</f>
        <v>0</v>
      </c>
      <c r="AR2643" s="2127">
        <f>U2643-'Blocking-Step2'!U2643</f>
        <v>0</v>
      </c>
      <c r="AT2643" s="2127">
        <f>W2643-'Blocking-Step2'!W2643</f>
        <v>0</v>
      </c>
      <c r="AV2643" s="2128">
        <f>Y2643-'Blocking-Step2'!Y2643</f>
        <v>0</v>
      </c>
    </row>
    <row r="2644" spans="1:48">
      <c r="A2644" s="1116" t="s">
        <v>152</v>
      </c>
      <c r="C2644" s="1105">
        <v>48</v>
      </c>
      <c r="D2644" s="1105">
        <v>48</v>
      </c>
      <c r="F2644" s="2108">
        <v>2.1800000000000002</v>
      </c>
      <c r="G2644" s="1110"/>
      <c r="H2644" s="1146">
        <v>105</v>
      </c>
      <c r="I2644" s="1146">
        <v>105</v>
      </c>
      <c r="K2644" s="1907">
        <v>1.4879</v>
      </c>
      <c r="L2644" s="1110"/>
      <c r="M2644" s="1907">
        <v>0.35449999999999998</v>
      </c>
      <c r="N2644" s="1110"/>
      <c r="O2644" s="1907">
        <v>0.33760000000000001</v>
      </c>
      <c r="P2644" s="1110"/>
      <c r="Q2644" s="2108">
        <v>2.1800000000000002</v>
      </c>
      <c r="R2644" s="1110"/>
      <c r="S2644" s="1629">
        <v>71.420176899036974</v>
      </c>
      <c r="T2644" s="1629"/>
      <c r="U2644" s="1629">
        <v>17.016332587634057</v>
      </c>
      <c r="V2644" s="1629"/>
      <c r="W2644" s="1629">
        <v>16.563490513328968</v>
      </c>
      <c r="X2644" s="1629"/>
      <c r="Y2644" s="1146">
        <v>105</v>
      </c>
      <c r="Z2644" s="2114">
        <f>C2644-'Blocking-Step2'!C2644</f>
        <v>0</v>
      </c>
      <c r="AA2644" s="2114">
        <f>D2644-'Blocking-Step2'!D2644</f>
        <v>0</v>
      </c>
      <c r="AC2644" s="2114">
        <f>F2644-'Blocking-Step2'!F2644</f>
        <v>0</v>
      </c>
      <c r="AE2644" s="2114">
        <f>H2644-'Blocking-Step2'!H2644</f>
        <v>0</v>
      </c>
      <c r="AF2644" s="2114">
        <f>I2644-'Blocking-Step2'!I2644</f>
        <v>0</v>
      </c>
      <c r="AH2644" s="2136">
        <f>K2644-'Blocking-Step2'!K2644</f>
        <v>-0.11709999999999998</v>
      </c>
      <c r="AJ2644" s="2136">
        <f>M2644-'Blocking-Step2'!M2644</f>
        <v>0.11709999999999998</v>
      </c>
      <c r="AL2644" s="2136">
        <f>O2644-'Blocking-Step2'!O2644</f>
        <v>0</v>
      </c>
      <c r="AN2644" s="2137">
        <f>Q2644-'Blocking-Step2'!Q2644</f>
        <v>0</v>
      </c>
      <c r="AP2644" s="2127">
        <f>S2644-'Blocking-Step2'!S2644</f>
        <v>-5.6202997275370876</v>
      </c>
      <c r="AR2644" s="2127">
        <f>U2644-'Blocking-Step2'!U2644</f>
        <v>5.6202997275370805</v>
      </c>
      <c r="AT2644" s="2127">
        <f>W2644-'Blocking-Step2'!W2644</f>
        <v>0</v>
      </c>
      <c r="AV2644" s="2128">
        <f>Y2644-'Blocking-Step2'!Y2644</f>
        <v>0</v>
      </c>
    </row>
    <row r="2645" spans="1:48">
      <c r="A2645" s="1116" t="s">
        <v>153</v>
      </c>
      <c r="C2645" s="1024">
        <v>206.830451093421</v>
      </c>
      <c r="D2645" s="1024">
        <v>207</v>
      </c>
      <c r="F2645" s="1112">
        <v>2.1858</v>
      </c>
      <c r="G2645" s="1921"/>
      <c r="H2645" s="1146">
        <v>452</v>
      </c>
      <c r="I2645" s="1146">
        <v>452</v>
      </c>
      <c r="K2645" s="1907">
        <v>1.4853000000000001</v>
      </c>
      <c r="L2645" s="1110"/>
      <c r="M2645" s="1907">
        <v>0.35389999999999999</v>
      </c>
      <c r="N2645" s="1110"/>
      <c r="O2645" s="1907">
        <v>0.34660000000000002</v>
      </c>
      <c r="P2645" s="1921"/>
      <c r="Q2645" s="1112">
        <v>2.1858</v>
      </c>
      <c r="R2645" s="1921"/>
      <c r="S2645" s="1629">
        <v>307.44685674633064</v>
      </c>
      <c r="T2645" s="1648"/>
      <c r="U2645" s="1629">
        <v>73.251260282005674</v>
      </c>
      <c r="V2645" s="1648"/>
      <c r="W2645" s="1629">
        <v>71.301882971663687</v>
      </c>
      <c r="X2645" s="1648"/>
      <c r="Y2645" s="1146">
        <v>452</v>
      </c>
      <c r="Z2645" s="2114">
        <f>C2645-'Blocking-Step2'!C2645</f>
        <v>0</v>
      </c>
      <c r="AA2645" s="2114">
        <f>D2645-'Blocking-Step2'!D2645</f>
        <v>0</v>
      </c>
      <c r="AC2645" s="2114">
        <f>F2645-'Blocking-Step2'!F2645</f>
        <v>0</v>
      </c>
      <c r="AE2645" s="2114">
        <f>H2645-'Blocking-Step2'!H2645</f>
        <v>0</v>
      </c>
      <c r="AF2645" s="2114">
        <f>I2645-'Blocking-Step2'!I2645</f>
        <v>0</v>
      </c>
      <c r="AH2645" s="2136">
        <f>K2645-'Blocking-Step2'!K2645</f>
        <v>-0.11680000000000001</v>
      </c>
      <c r="AJ2645" s="2136">
        <f>M2645-'Blocking-Step2'!M2645</f>
        <v>0.1169</v>
      </c>
      <c r="AL2645" s="2136">
        <f>O2645-'Blocking-Step2'!O2645</f>
        <v>-9.9999999999988987E-5</v>
      </c>
      <c r="AN2645" s="2137">
        <f>Q2645-'Blocking-Step2'!Q2645</f>
        <v>0</v>
      </c>
      <c r="AP2645" s="2127">
        <f>S2645-'Blocking-Step2'!S2645</f>
        <v>-24.194052160445381</v>
      </c>
      <c r="AR2645" s="2127">
        <f>U2645-'Blocking-Step2'!U2645</f>
        <v>24.194052160445359</v>
      </c>
      <c r="AT2645" s="2127">
        <f>W2645-'Blocking-Step2'!W2645</f>
        <v>0</v>
      </c>
      <c r="AV2645" s="2128">
        <f>Y2645-'Blocking-Step2'!Y2645</f>
        <v>0</v>
      </c>
    </row>
    <row r="2646" spans="1:48">
      <c r="A2646" s="1116" t="s">
        <v>154</v>
      </c>
      <c r="C2646" s="1137">
        <v>254.830451093421</v>
      </c>
      <c r="D2646" s="1137">
        <v>255</v>
      </c>
      <c r="F2646" s="1144"/>
      <c r="G2646" s="1921"/>
      <c r="H2646" s="1148">
        <v>557</v>
      </c>
      <c r="I2646" s="1148">
        <v>557</v>
      </c>
      <c r="K2646" s="1144"/>
      <c r="L2646" s="1921"/>
      <c r="M2646" s="1144"/>
      <c r="N2646" s="1921"/>
      <c r="O2646" s="1144"/>
      <c r="P2646" s="1921"/>
      <c r="Q2646" s="1144"/>
      <c r="R2646" s="1921"/>
      <c r="S2646" s="1648"/>
      <c r="T2646" s="1648"/>
      <c r="U2646" s="1648"/>
      <c r="V2646" s="1648"/>
      <c r="W2646" s="1648"/>
      <c r="X2646" s="1648"/>
      <c r="Y2646" s="1148">
        <v>557</v>
      </c>
      <c r="Z2646" s="2114">
        <f>C2646-'Blocking-Step2'!C2646</f>
        <v>0</v>
      </c>
      <c r="AA2646" s="2114">
        <f>D2646-'Blocking-Step2'!D2646</f>
        <v>0</v>
      </c>
      <c r="AC2646" s="2114">
        <f>F2646-'Blocking-Step2'!F2646</f>
        <v>0</v>
      </c>
      <c r="AE2646" s="2114">
        <f>H2646-'Blocking-Step2'!H2646</f>
        <v>0</v>
      </c>
      <c r="AF2646" s="2114">
        <f>I2646-'Blocking-Step2'!I2646</f>
        <v>0</v>
      </c>
      <c r="AH2646" s="2136">
        <f>K2646-'Blocking-Step2'!K2646</f>
        <v>0</v>
      </c>
      <c r="AJ2646" s="2136">
        <f>M2646-'Blocking-Step2'!M2646</f>
        <v>0</v>
      </c>
      <c r="AL2646" s="2136">
        <f>O2646-'Blocking-Step2'!O2646</f>
        <v>0</v>
      </c>
      <c r="AN2646" s="2137">
        <f>Q2646-'Blocking-Step2'!Q2646</f>
        <v>0</v>
      </c>
      <c r="AP2646" s="2127">
        <f>S2646-'Blocking-Step2'!S2646</f>
        <v>0</v>
      </c>
      <c r="AR2646" s="2127">
        <f>U2646-'Blocking-Step2'!U2646</f>
        <v>0</v>
      </c>
      <c r="AT2646" s="2127">
        <f>W2646-'Blocking-Step2'!W2646</f>
        <v>0</v>
      </c>
      <c r="AV2646" s="2128">
        <f>Y2646-'Blocking-Step2'!Y2646</f>
        <v>0</v>
      </c>
    </row>
    <row r="2647" spans="1:48">
      <c r="A2647" s="1116" t="s">
        <v>301</v>
      </c>
      <c r="C2647" s="1117">
        <v>7390.0830817092101</v>
      </c>
      <c r="D2647" s="1117">
        <v>7387</v>
      </c>
      <c r="F2647" s="1109"/>
      <c r="H2647" s="1628"/>
      <c r="I2647" s="1628"/>
      <c r="K2647" s="1109"/>
      <c r="M2647" s="1109"/>
      <c r="O2647" s="1109"/>
      <c r="Q2647" s="1109"/>
      <c r="Y2647" s="1628"/>
      <c r="Z2647" s="2114">
        <f>C2647-'Blocking-Step2'!C2647</f>
        <v>0</v>
      </c>
      <c r="AA2647" s="2114">
        <f>D2647-'Blocking-Step2'!D2647</f>
        <v>0</v>
      </c>
      <c r="AC2647" s="2114">
        <f>F2647-'Blocking-Step2'!F2647</f>
        <v>0</v>
      </c>
      <c r="AE2647" s="2114">
        <f>H2647-'Blocking-Step2'!H2647</f>
        <v>0</v>
      </c>
      <c r="AF2647" s="2114">
        <f>I2647-'Blocking-Step2'!I2647</f>
        <v>0</v>
      </c>
      <c r="AH2647" s="2136">
        <f>K2647-'Blocking-Step2'!K2647</f>
        <v>0</v>
      </c>
      <c r="AJ2647" s="2136">
        <f>M2647-'Blocking-Step2'!M2647</f>
        <v>0</v>
      </c>
      <c r="AL2647" s="2136">
        <f>O2647-'Blocking-Step2'!O2647</f>
        <v>0</v>
      </c>
      <c r="AN2647" s="2137">
        <f>Q2647-'Blocking-Step2'!Q2647</f>
        <v>0</v>
      </c>
      <c r="AP2647" s="2127">
        <f>S2647-'Blocking-Step2'!S2647</f>
        <v>0</v>
      </c>
      <c r="AR2647" s="2127">
        <f>U2647-'Blocking-Step2'!U2647</f>
        <v>0</v>
      </c>
      <c r="AT2647" s="2127">
        <f>W2647-'Blocking-Step2'!W2647</f>
        <v>0</v>
      </c>
      <c r="AV2647" s="2128">
        <f>Y2647-'Blocking-Step2'!Y2647</f>
        <v>0</v>
      </c>
    </row>
    <row r="2648" spans="1:48">
      <c r="A2648" s="1116" t="s">
        <v>136</v>
      </c>
      <c r="C2648" s="1117">
        <v>40</v>
      </c>
      <c r="D2648" s="1117">
        <v>0</v>
      </c>
      <c r="F2648" s="1109"/>
      <c r="H2648" s="1114">
        <v>4</v>
      </c>
      <c r="I2648" s="1114">
        <v>0</v>
      </c>
      <c r="K2648" s="1109"/>
      <c r="M2648" s="1109"/>
      <c r="O2648" s="1109"/>
      <c r="Q2648" s="1109"/>
      <c r="Y2648" s="1114"/>
      <c r="Z2648" s="2114">
        <f>C2648-'Blocking-Step2'!C2648</f>
        <v>0</v>
      </c>
      <c r="AA2648" s="2114">
        <f>D2648-'Blocking-Step2'!D2648</f>
        <v>0</v>
      </c>
      <c r="AC2648" s="2114">
        <f>F2648-'Blocking-Step2'!F2648</f>
        <v>0</v>
      </c>
      <c r="AE2648" s="2114">
        <f>H2648-'Blocking-Step2'!H2648</f>
        <v>0</v>
      </c>
      <c r="AF2648" s="2114">
        <f>I2648-'Blocking-Step2'!I2648</f>
        <v>0</v>
      </c>
      <c r="AH2648" s="2136">
        <f>K2648-'Blocking-Step2'!K2648</f>
        <v>0</v>
      </c>
      <c r="AJ2648" s="2136">
        <f>M2648-'Blocking-Step2'!M2648</f>
        <v>0</v>
      </c>
      <c r="AL2648" s="2136">
        <f>O2648-'Blocking-Step2'!O2648</f>
        <v>0</v>
      </c>
      <c r="AN2648" s="2137">
        <f>Q2648-'Blocking-Step2'!Q2648</f>
        <v>0</v>
      </c>
      <c r="AP2648" s="2127">
        <f>S2648-'Blocking-Step2'!S2648</f>
        <v>0</v>
      </c>
      <c r="AR2648" s="2127">
        <f>U2648-'Blocking-Step2'!U2648</f>
        <v>0</v>
      </c>
      <c r="AT2648" s="2127">
        <f>W2648-'Blocking-Step2'!W2648</f>
        <v>0</v>
      </c>
      <c r="AV2648" s="2128">
        <f>Y2648-'Blocking-Step2'!Y2648</f>
        <v>0</v>
      </c>
    </row>
    <row r="2649" spans="1:48" ht="16.5" thickBot="1">
      <c r="A2649" s="1116" t="s">
        <v>93</v>
      </c>
      <c r="C2649" s="2089">
        <v>7430.0830817092101</v>
      </c>
      <c r="D2649" s="2089">
        <v>7387</v>
      </c>
      <c r="F2649" s="1979"/>
      <c r="G2649" s="1980"/>
      <c r="H2649" s="1651">
        <v>561</v>
      </c>
      <c r="I2649" s="1651">
        <v>557</v>
      </c>
      <c r="K2649" s="1979"/>
      <c r="L2649" s="1980"/>
      <c r="M2649" s="1979"/>
      <c r="N2649" s="1980"/>
      <c r="O2649" s="1979"/>
      <c r="P2649" s="1980"/>
      <c r="Q2649" s="1979"/>
      <c r="R2649" s="1980"/>
      <c r="S2649" s="1651">
        <v>378.8670336453676</v>
      </c>
      <c r="U2649" s="1651">
        <v>90.267592869639728</v>
      </c>
      <c r="W2649" s="1651">
        <v>87.865373484992674</v>
      </c>
      <c r="X2649" s="1650"/>
      <c r="Y2649" s="1651">
        <v>557</v>
      </c>
      <c r="Z2649" s="2114">
        <f>C2649-'Blocking-Step2'!C2649</f>
        <v>0</v>
      </c>
      <c r="AA2649" s="2114">
        <f>D2649-'Blocking-Step2'!D2649</f>
        <v>0</v>
      </c>
      <c r="AC2649" s="2114">
        <f>F2649-'Blocking-Step2'!F2649</f>
        <v>0</v>
      </c>
      <c r="AE2649" s="2114">
        <f>H2649-'Blocking-Step2'!H2649</f>
        <v>0</v>
      </c>
      <c r="AF2649" s="2114">
        <f>I2649-'Blocking-Step2'!I2649</f>
        <v>0</v>
      </c>
      <c r="AH2649" s="2136">
        <f>K2649-'Blocking-Step2'!K2649</f>
        <v>0</v>
      </c>
      <c r="AJ2649" s="2136">
        <f>M2649-'Blocking-Step2'!M2649</f>
        <v>0</v>
      </c>
      <c r="AL2649" s="2136">
        <f>O2649-'Blocking-Step2'!O2649</f>
        <v>0</v>
      </c>
      <c r="AN2649" s="2137">
        <f>Q2649-'Blocking-Step2'!Q2649</f>
        <v>0</v>
      </c>
      <c r="AP2649" s="2127">
        <f>S2649-'Blocking-Step2'!S2649</f>
        <v>-29.814351887982468</v>
      </c>
      <c r="AR2649" s="2127">
        <f>U2649-'Blocking-Step2'!U2649</f>
        <v>29.81435188798244</v>
      </c>
      <c r="AT2649" s="2127">
        <f>W2649-'Blocking-Step2'!W2649</f>
        <v>0</v>
      </c>
      <c r="AV2649" s="2128">
        <f>Y2649-'Blocking-Step2'!Y2649</f>
        <v>0</v>
      </c>
    </row>
    <row r="2650" spans="1:48" ht="16.5" hidden="1" thickTop="1">
      <c r="C2650" s="1105"/>
      <c r="D2650" s="1105"/>
      <c r="F2650" s="1106"/>
      <c r="G2650" s="1107"/>
      <c r="K2650" s="1106"/>
      <c r="L2650" s="1107"/>
      <c r="M2650" s="1106"/>
      <c r="N2650" s="1107"/>
      <c r="O2650" s="1106"/>
      <c r="P2650" s="1107"/>
      <c r="Q2650" s="1106"/>
      <c r="R2650" s="1107"/>
      <c r="S2650" s="1114"/>
      <c r="T2650" s="1114"/>
      <c r="U2650" s="1114"/>
      <c r="V2650" s="1114"/>
      <c r="W2650" s="1114"/>
      <c r="X2650" s="1114"/>
      <c r="Z2650" s="2114">
        <f>C2650-'Blocking-Step2'!C2650</f>
        <v>0</v>
      </c>
      <c r="AA2650" s="2114">
        <f>D2650-'Blocking-Step2'!D2650</f>
        <v>0</v>
      </c>
      <c r="AC2650" s="2114">
        <f>F2650-'Blocking-Step2'!F2650</f>
        <v>0</v>
      </c>
      <c r="AE2650" s="2114">
        <f>H2650-'Blocking-Step2'!H2650</f>
        <v>0</v>
      </c>
      <c r="AF2650" s="2114">
        <f>I2650-'Blocking-Step2'!I2650</f>
        <v>0</v>
      </c>
      <c r="AH2650" s="2136">
        <f>K2650-'Blocking-Step2'!K2650</f>
        <v>0</v>
      </c>
      <c r="AJ2650" s="2136">
        <f>M2650-'Blocking-Step2'!M2650</f>
        <v>0</v>
      </c>
      <c r="AL2650" s="2136">
        <f>O2650-'Blocking-Step2'!O2650</f>
        <v>0</v>
      </c>
      <c r="AN2650" s="2137">
        <f>Q2650-'Blocking-Step2'!Q2650</f>
        <v>0</v>
      </c>
      <c r="AP2650" s="2127">
        <f>S2650-'Blocking-Step2'!S2650</f>
        <v>0</v>
      </c>
      <c r="AR2650" s="2127">
        <f>U2650-'Blocking-Step2'!U2650</f>
        <v>0</v>
      </c>
      <c r="AT2650" s="2127">
        <f>W2650-'Blocking-Step2'!W2650</f>
        <v>0</v>
      </c>
      <c r="AV2650" s="2128">
        <f>Y2650-'Blocking-Step2'!Y2650</f>
        <v>0</v>
      </c>
    </row>
    <row r="2651" spans="1:48" ht="16.5" hidden="1" thickTop="1">
      <c r="A2651" s="1115" t="s">
        <v>929</v>
      </c>
      <c r="C2651" s="1105"/>
      <c r="D2651" s="1105"/>
      <c r="Z2651" s="2114">
        <f>C2651-'Blocking-Step2'!C2651</f>
        <v>0</v>
      </c>
      <c r="AA2651" s="2114">
        <f>D2651-'Blocking-Step2'!D2651</f>
        <v>0</v>
      </c>
      <c r="AC2651" s="2114">
        <f>F2651-'Blocking-Step2'!F2651</f>
        <v>0</v>
      </c>
      <c r="AE2651" s="2114">
        <f>H2651-'Blocking-Step2'!H2651</f>
        <v>0</v>
      </c>
      <c r="AF2651" s="2114">
        <f>I2651-'Blocking-Step2'!I2651</f>
        <v>0</v>
      </c>
      <c r="AH2651" s="2136">
        <f>K2651-'Blocking-Step2'!K2651</f>
        <v>0</v>
      </c>
      <c r="AJ2651" s="2136">
        <f>M2651-'Blocking-Step2'!M2651</f>
        <v>0</v>
      </c>
      <c r="AL2651" s="2136">
        <f>O2651-'Blocking-Step2'!O2651</f>
        <v>0</v>
      </c>
      <c r="AN2651" s="2137">
        <f>Q2651-'Blocking-Step2'!Q2651</f>
        <v>0</v>
      </c>
      <c r="AP2651" s="2127">
        <f>S2651-'Blocking-Step2'!S2651</f>
        <v>0</v>
      </c>
      <c r="AR2651" s="2127">
        <f>U2651-'Blocking-Step2'!U2651</f>
        <v>0</v>
      </c>
      <c r="AT2651" s="2127">
        <f>W2651-'Blocking-Step2'!W2651</f>
        <v>0</v>
      </c>
      <c r="AV2651" s="2128">
        <f>Y2651-'Blocking-Step2'!Y2651</f>
        <v>0</v>
      </c>
    </row>
    <row r="2652" spans="1:48" ht="16.5" hidden="1" thickTop="1">
      <c r="A2652" s="1116" t="s">
        <v>141</v>
      </c>
      <c r="C2652" s="1117">
        <v>2</v>
      </c>
      <c r="D2652" s="1117">
        <v>2</v>
      </c>
      <c r="F2652" s="1109"/>
      <c r="H2652" s="1628"/>
      <c r="I2652" s="1628"/>
      <c r="K2652" s="1109"/>
      <c r="M2652" s="1109"/>
      <c r="O2652" s="1109"/>
      <c r="Q2652" s="1109"/>
      <c r="Y2652" s="1628"/>
      <c r="Z2652" s="2114">
        <f>C2652-'Blocking-Step2'!C2652</f>
        <v>0</v>
      </c>
      <c r="AA2652" s="2114">
        <f>D2652-'Blocking-Step2'!D2652</f>
        <v>0</v>
      </c>
      <c r="AC2652" s="2114">
        <f>F2652-'Blocking-Step2'!F2652</f>
        <v>0</v>
      </c>
      <c r="AE2652" s="2114">
        <f>H2652-'Blocking-Step2'!H2652</f>
        <v>0</v>
      </c>
      <c r="AF2652" s="2114">
        <f>I2652-'Blocking-Step2'!I2652</f>
        <v>0</v>
      </c>
      <c r="AH2652" s="2136">
        <f>K2652-'Blocking-Step2'!K2652</f>
        <v>0</v>
      </c>
      <c r="AJ2652" s="2136">
        <f>M2652-'Blocking-Step2'!M2652</f>
        <v>0</v>
      </c>
      <c r="AL2652" s="2136">
        <f>O2652-'Blocking-Step2'!O2652</f>
        <v>0</v>
      </c>
      <c r="AN2652" s="2137">
        <f>Q2652-'Blocking-Step2'!Q2652</f>
        <v>0</v>
      </c>
      <c r="AP2652" s="2127">
        <f>S2652-'Blocking-Step2'!S2652</f>
        <v>0</v>
      </c>
      <c r="AR2652" s="2127">
        <f>U2652-'Blocking-Step2'!U2652</f>
        <v>0</v>
      </c>
      <c r="AT2652" s="2127">
        <f>W2652-'Blocking-Step2'!W2652</f>
        <v>0</v>
      </c>
      <c r="AV2652" s="2128">
        <f>Y2652-'Blocking-Step2'!Y2652</f>
        <v>0</v>
      </c>
    </row>
    <row r="2653" spans="1:48" ht="16.5" hidden="1" thickTop="1">
      <c r="A2653" s="1116" t="s">
        <v>152</v>
      </c>
      <c r="C2653" s="1105">
        <v>0</v>
      </c>
      <c r="D2653" s="1105">
        <v>0</v>
      </c>
      <c r="F2653" s="2108">
        <v>2.1800000000000002</v>
      </c>
      <c r="G2653" s="1110"/>
      <c r="H2653" s="1146">
        <v>0</v>
      </c>
      <c r="I2653" s="1146">
        <v>0</v>
      </c>
      <c r="K2653" s="2108">
        <v>1.4879</v>
      </c>
      <c r="L2653" s="1110"/>
      <c r="M2653" s="2108">
        <v>0.35449999999999998</v>
      </c>
      <c r="N2653" s="1110"/>
      <c r="O2653" s="2108">
        <v>0.33760000000000001</v>
      </c>
      <c r="P2653" s="1110"/>
      <c r="Q2653" s="2108">
        <v>2.1800000000000002</v>
      </c>
      <c r="R2653" s="1110"/>
      <c r="S2653" s="1146">
        <v>0</v>
      </c>
      <c r="T2653" s="1114"/>
      <c r="U2653" s="1146">
        <v>0</v>
      </c>
      <c r="V2653" s="1114"/>
      <c r="W2653" s="1146">
        <v>0</v>
      </c>
      <c r="X2653" s="1629"/>
      <c r="Y2653" s="1146">
        <v>0</v>
      </c>
      <c r="Z2653" s="2114">
        <f>C2653-'Blocking-Step2'!C2653</f>
        <v>0</v>
      </c>
      <c r="AA2653" s="2114">
        <f>D2653-'Blocking-Step2'!D2653</f>
        <v>0</v>
      </c>
      <c r="AC2653" s="2114">
        <f>F2653-'Blocking-Step2'!F2653</f>
        <v>0</v>
      </c>
      <c r="AE2653" s="2114">
        <f>H2653-'Blocking-Step2'!H2653</f>
        <v>0</v>
      </c>
      <c r="AF2653" s="2114">
        <f>I2653-'Blocking-Step2'!I2653</f>
        <v>0</v>
      </c>
      <c r="AH2653" s="2136">
        <f>K2653-'Blocking-Step2'!K2653</f>
        <v>-0.11709999999999998</v>
      </c>
      <c r="AJ2653" s="2136">
        <f>M2653-'Blocking-Step2'!M2653</f>
        <v>0.11709999999999998</v>
      </c>
      <c r="AL2653" s="2136">
        <f>O2653-'Blocking-Step2'!O2653</f>
        <v>0</v>
      </c>
      <c r="AN2653" s="2137">
        <f>Q2653-'Blocking-Step2'!Q2653</f>
        <v>0</v>
      </c>
      <c r="AP2653" s="2127">
        <f>S2653-'Blocking-Step2'!S2653</f>
        <v>0</v>
      </c>
      <c r="AR2653" s="2127">
        <f>U2653-'Blocking-Step2'!U2653</f>
        <v>0</v>
      </c>
      <c r="AT2653" s="2127">
        <f>W2653-'Blocking-Step2'!W2653</f>
        <v>0</v>
      </c>
      <c r="AV2653" s="2128">
        <f>Y2653-'Blocking-Step2'!Y2653</f>
        <v>0</v>
      </c>
    </row>
    <row r="2654" spans="1:48" ht="16.5" hidden="1" thickTop="1">
      <c r="A2654" s="1116" t="s">
        <v>153</v>
      </c>
      <c r="C2654" s="1024">
        <v>206.830451093421</v>
      </c>
      <c r="D2654" s="1105">
        <v>207</v>
      </c>
      <c r="F2654" s="1112">
        <v>2.1858</v>
      </c>
      <c r="G2654" s="1921"/>
      <c r="H2654" s="1146">
        <v>452</v>
      </c>
      <c r="I2654" s="1146">
        <v>452</v>
      </c>
      <c r="K2654" s="2108">
        <v>1.4853000000000001</v>
      </c>
      <c r="L2654" s="1921"/>
      <c r="M2654" s="2108">
        <v>0.35389999999999999</v>
      </c>
      <c r="N2654" s="1921"/>
      <c r="O2654" s="2108">
        <v>0.34660000000000002</v>
      </c>
      <c r="P2654" s="1921"/>
      <c r="Q2654" s="1112">
        <v>2.1858</v>
      </c>
      <c r="R2654" s="1921"/>
      <c r="S2654" s="1146">
        <v>307</v>
      </c>
      <c r="T2654" s="1114"/>
      <c r="U2654" s="1146">
        <v>73</v>
      </c>
      <c r="V2654" s="1114"/>
      <c r="W2654" s="1146">
        <v>72</v>
      </c>
      <c r="X2654" s="1648"/>
      <c r="Y2654" s="1146">
        <v>452</v>
      </c>
      <c r="Z2654" s="2114">
        <f>C2654-'Blocking-Step2'!C2654</f>
        <v>0</v>
      </c>
      <c r="AA2654" s="2114">
        <f>D2654-'Blocking-Step2'!D2654</f>
        <v>0</v>
      </c>
      <c r="AC2654" s="2114">
        <f>F2654-'Blocking-Step2'!F2654</f>
        <v>0</v>
      </c>
      <c r="AE2654" s="2114">
        <f>H2654-'Blocking-Step2'!H2654</f>
        <v>0</v>
      </c>
      <c r="AF2654" s="2114">
        <f>I2654-'Blocking-Step2'!I2654</f>
        <v>0</v>
      </c>
      <c r="AH2654" s="2136">
        <f>K2654-'Blocking-Step2'!K2654</f>
        <v>-0.11680000000000001</v>
      </c>
      <c r="AJ2654" s="2136">
        <f>M2654-'Blocking-Step2'!M2654</f>
        <v>0.1169</v>
      </c>
      <c r="AL2654" s="2136">
        <f>O2654-'Blocking-Step2'!O2654</f>
        <v>-9.9999999999988987E-5</v>
      </c>
      <c r="AN2654" s="2137">
        <f>Q2654-'Blocking-Step2'!Q2654</f>
        <v>0</v>
      </c>
      <c r="AP2654" s="2127">
        <f>S2654-'Blocking-Step2'!S2654</f>
        <v>-25</v>
      </c>
      <c r="AR2654" s="2127">
        <f>U2654-'Blocking-Step2'!U2654</f>
        <v>24</v>
      </c>
      <c r="AT2654" s="2127">
        <f>W2654-'Blocking-Step2'!W2654</f>
        <v>0</v>
      </c>
      <c r="AV2654" s="2128">
        <f>Y2654-'Blocking-Step2'!Y2654</f>
        <v>0</v>
      </c>
    </row>
    <row r="2655" spans="1:48" ht="16.5" hidden="1" thickTop="1">
      <c r="A2655" s="1116" t="s">
        <v>154</v>
      </c>
      <c r="C2655" s="1137">
        <v>206.830451093421</v>
      </c>
      <c r="D2655" s="1137">
        <v>207</v>
      </c>
      <c r="F2655" s="1144"/>
      <c r="G2655" s="1921"/>
      <c r="H2655" s="1148">
        <v>452</v>
      </c>
      <c r="I2655" s="1148">
        <v>452</v>
      </c>
      <c r="K2655" s="1144"/>
      <c r="L2655" s="1921"/>
      <c r="M2655" s="1144"/>
      <c r="N2655" s="1921"/>
      <c r="O2655" s="1144"/>
      <c r="P2655" s="1921"/>
      <c r="Q2655" s="1144"/>
      <c r="R2655" s="1921"/>
      <c r="S2655" s="1148">
        <v>307</v>
      </c>
      <c r="T2655" s="1648"/>
      <c r="U2655" s="1148">
        <v>73</v>
      </c>
      <c r="V2655" s="1648"/>
      <c r="W2655" s="1148">
        <v>72</v>
      </c>
      <c r="X2655" s="1648"/>
      <c r="Y2655" s="1148">
        <v>452</v>
      </c>
      <c r="Z2655" s="2114">
        <f>C2655-'Blocking-Step2'!C2655</f>
        <v>0</v>
      </c>
      <c r="AA2655" s="2114">
        <f>D2655-'Blocking-Step2'!D2655</f>
        <v>0</v>
      </c>
      <c r="AC2655" s="2114">
        <f>F2655-'Blocking-Step2'!F2655</f>
        <v>0</v>
      </c>
      <c r="AE2655" s="2114">
        <f>H2655-'Blocking-Step2'!H2655</f>
        <v>0</v>
      </c>
      <c r="AF2655" s="2114">
        <f>I2655-'Blocking-Step2'!I2655</f>
        <v>0</v>
      </c>
      <c r="AH2655" s="2136">
        <f>K2655-'Blocking-Step2'!K2655</f>
        <v>0</v>
      </c>
      <c r="AJ2655" s="2136">
        <f>M2655-'Blocking-Step2'!M2655</f>
        <v>0</v>
      </c>
      <c r="AL2655" s="2136">
        <f>O2655-'Blocking-Step2'!O2655</f>
        <v>0</v>
      </c>
      <c r="AN2655" s="2137">
        <f>Q2655-'Blocking-Step2'!Q2655</f>
        <v>0</v>
      </c>
      <c r="AP2655" s="2127">
        <f>S2655-'Blocking-Step2'!S2655</f>
        <v>-25</v>
      </c>
      <c r="AR2655" s="2127">
        <f>U2655-'Blocking-Step2'!U2655</f>
        <v>24</v>
      </c>
      <c r="AT2655" s="2127">
        <f>W2655-'Blocking-Step2'!W2655</f>
        <v>0</v>
      </c>
      <c r="AV2655" s="2128">
        <f>Y2655-'Blocking-Step2'!Y2655</f>
        <v>0</v>
      </c>
    </row>
    <row r="2656" spans="1:48" ht="16.5" hidden="1" thickTop="1">
      <c r="A2656" s="1116" t="s">
        <v>301</v>
      </c>
      <c r="C2656" s="1117">
        <v>5998.0830817092101</v>
      </c>
      <c r="D2656" s="1117">
        <v>5995</v>
      </c>
      <c r="F2656" s="1109"/>
      <c r="H2656" s="1628"/>
      <c r="I2656" s="1628"/>
      <c r="K2656" s="1109"/>
      <c r="M2656" s="1109"/>
      <c r="O2656" s="1109"/>
      <c r="Q2656" s="1109"/>
      <c r="Y2656" s="1628"/>
      <c r="Z2656" s="2114">
        <f>C2656-'Blocking-Step2'!C2656</f>
        <v>0</v>
      </c>
      <c r="AA2656" s="2114">
        <f>D2656-'Blocking-Step2'!D2656</f>
        <v>0</v>
      </c>
      <c r="AC2656" s="2114">
        <f>F2656-'Blocking-Step2'!F2656</f>
        <v>0</v>
      </c>
      <c r="AE2656" s="2114">
        <f>H2656-'Blocking-Step2'!H2656</f>
        <v>0</v>
      </c>
      <c r="AF2656" s="2114">
        <f>I2656-'Blocking-Step2'!I2656</f>
        <v>0</v>
      </c>
      <c r="AH2656" s="2136">
        <f>K2656-'Blocking-Step2'!K2656</f>
        <v>0</v>
      </c>
      <c r="AJ2656" s="2136">
        <f>M2656-'Blocking-Step2'!M2656</f>
        <v>0</v>
      </c>
      <c r="AL2656" s="2136">
        <f>O2656-'Blocking-Step2'!O2656</f>
        <v>0</v>
      </c>
      <c r="AN2656" s="2137">
        <f>Q2656-'Blocking-Step2'!Q2656</f>
        <v>0</v>
      </c>
      <c r="AP2656" s="2127">
        <f>S2656-'Blocking-Step2'!S2656</f>
        <v>0</v>
      </c>
      <c r="AR2656" s="2127">
        <f>U2656-'Blocking-Step2'!U2656</f>
        <v>0</v>
      </c>
      <c r="AT2656" s="2127">
        <f>W2656-'Blocking-Step2'!W2656</f>
        <v>0</v>
      </c>
      <c r="AV2656" s="2128">
        <f>Y2656-'Blocking-Step2'!Y2656</f>
        <v>0</v>
      </c>
    </row>
    <row r="2657" spans="1:48" ht="16.5" hidden="1" thickTop="1">
      <c r="A2657" s="1116" t="s">
        <v>136</v>
      </c>
      <c r="C2657" s="1117">
        <v>32</v>
      </c>
      <c r="D2657" s="1117">
        <v>0</v>
      </c>
      <c r="F2657" s="1109"/>
      <c r="H2657" s="1114">
        <v>3</v>
      </c>
      <c r="I2657" s="1114">
        <v>0</v>
      </c>
      <c r="K2657" s="1109"/>
      <c r="M2657" s="1109"/>
      <c r="O2657" s="1109"/>
      <c r="Q2657" s="1109"/>
      <c r="S2657" s="1114"/>
      <c r="U2657" s="1114"/>
      <c r="W2657" s="1114"/>
      <c r="Y2657" s="1114"/>
      <c r="Z2657" s="2114">
        <f>C2657-'Blocking-Step2'!C2657</f>
        <v>0</v>
      </c>
      <c r="AA2657" s="2114">
        <f>D2657-'Blocking-Step2'!D2657</f>
        <v>0</v>
      </c>
      <c r="AC2657" s="2114">
        <f>F2657-'Blocking-Step2'!F2657</f>
        <v>0</v>
      </c>
      <c r="AE2657" s="2114">
        <f>H2657-'Blocking-Step2'!H2657</f>
        <v>0</v>
      </c>
      <c r="AF2657" s="2114">
        <f>I2657-'Blocking-Step2'!I2657</f>
        <v>0</v>
      </c>
      <c r="AH2657" s="2136">
        <f>K2657-'Blocking-Step2'!K2657</f>
        <v>0</v>
      </c>
      <c r="AJ2657" s="2136">
        <f>M2657-'Blocking-Step2'!M2657</f>
        <v>0</v>
      </c>
      <c r="AL2657" s="2136">
        <f>O2657-'Blocking-Step2'!O2657</f>
        <v>0</v>
      </c>
      <c r="AN2657" s="2137">
        <f>Q2657-'Blocking-Step2'!Q2657</f>
        <v>0</v>
      </c>
      <c r="AP2657" s="2127">
        <f>S2657-'Blocking-Step2'!S2657</f>
        <v>0</v>
      </c>
      <c r="AR2657" s="2127">
        <f>U2657-'Blocking-Step2'!U2657</f>
        <v>0</v>
      </c>
      <c r="AT2657" s="2127">
        <f>W2657-'Blocking-Step2'!W2657</f>
        <v>0</v>
      </c>
      <c r="AV2657" s="2128">
        <f>Y2657-'Blocking-Step2'!Y2657</f>
        <v>0</v>
      </c>
    </row>
    <row r="2658" spans="1:48" ht="17.25" hidden="1" thickTop="1" thickBot="1">
      <c r="A2658" s="1116" t="s">
        <v>93</v>
      </c>
      <c r="C2658" s="2089">
        <v>6030.0830817092101</v>
      </c>
      <c r="D2658" s="2089">
        <v>5995</v>
      </c>
      <c r="F2658" s="1979"/>
      <c r="G2658" s="1980"/>
      <c r="H2658" s="1651">
        <v>455</v>
      </c>
      <c r="I2658" s="1651">
        <v>452</v>
      </c>
      <c r="K2658" s="1979"/>
      <c r="L2658" s="1980"/>
      <c r="M2658" s="1979"/>
      <c r="N2658" s="1980"/>
      <c r="O2658" s="1979"/>
      <c r="P2658" s="1980"/>
      <c r="Q2658" s="1979"/>
      <c r="R2658" s="1980"/>
      <c r="S2658" s="1651">
        <v>307</v>
      </c>
      <c r="T2658" s="1650"/>
      <c r="U2658" s="1651">
        <v>73</v>
      </c>
      <c r="V2658" s="1650"/>
      <c r="W2658" s="1651">
        <v>72</v>
      </c>
      <c r="X2658" s="1650"/>
      <c r="Y2658" s="1651">
        <v>452</v>
      </c>
      <c r="Z2658" s="2114">
        <f>C2658-'Blocking-Step2'!C2658</f>
        <v>0</v>
      </c>
      <c r="AA2658" s="2114">
        <f>D2658-'Blocking-Step2'!D2658</f>
        <v>0</v>
      </c>
      <c r="AC2658" s="2114">
        <f>F2658-'Blocking-Step2'!F2658</f>
        <v>0</v>
      </c>
      <c r="AE2658" s="2114">
        <f>H2658-'Blocking-Step2'!H2658</f>
        <v>0</v>
      </c>
      <c r="AF2658" s="2114">
        <f>I2658-'Blocking-Step2'!I2658</f>
        <v>0</v>
      </c>
      <c r="AH2658" s="2136">
        <f>K2658-'Blocking-Step2'!K2658</f>
        <v>0</v>
      </c>
      <c r="AJ2658" s="2136">
        <f>M2658-'Blocking-Step2'!M2658</f>
        <v>0</v>
      </c>
      <c r="AL2658" s="2136">
        <f>O2658-'Blocking-Step2'!O2658</f>
        <v>0</v>
      </c>
      <c r="AN2658" s="2137">
        <f>Q2658-'Blocking-Step2'!Q2658</f>
        <v>0</v>
      </c>
      <c r="AP2658" s="2127">
        <f>S2658-'Blocking-Step2'!S2658</f>
        <v>-25</v>
      </c>
      <c r="AR2658" s="2127">
        <f>U2658-'Blocking-Step2'!U2658</f>
        <v>24</v>
      </c>
      <c r="AT2658" s="2127">
        <f>W2658-'Blocking-Step2'!W2658</f>
        <v>0</v>
      </c>
      <c r="AV2658" s="2128">
        <f>Y2658-'Blocking-Step2'!Y2658</f>
        <v>0</v>
      </c>
    </row>
    <row r="2659" spans="1:48" ht="16.5" hidden="1" thickTop="1">
      <c r="C2659" s="1105"/>
      <c r="D2659" s="1105"/>
      <c r="F2659" s="1106"/>
      <c r="G2659" s="1107"/>
      <c r="K2659" s="1106"/>
      <c r="L2659" s="1107"/>
      <c r="M2659" s="1106"/>
      <c r="N2659" s="1107"/>
      <c r="O2659" s="1106"/>
      <c r="P2659" s="1107"/>
      <c r="Q2659" s="1106"/>
      <c r="R2659" s="1107"/>
      <c r="S2659" s="1114"/>
      <c r="T2659" s="1114"/>
      <c r="U2659" s="1114"/>
      <c r="V2659" s="1114"/>
      <c r="W2659" s="1114"/>
      <c r="X2659" s="1114"/>
      <c r="Z2659" s="2114">
        <f>C2659-'Blocking-Step2'!C2659</f>
        <v>0</v>
      </c>
      <c r="AA2659" s="2114">
        <f>D2659-'Blocking-Step2'!D2659</f>
        <v>0</v>
      </c>
      <c r="AC2659" s="2114">
        <f>F2659-'Blocking-Step2'!F2659</f>
        <v>0</v>
      </c>
      <c r="AE2659" s="2114">
        <f>H2659-'Blocking-Step2'!H2659</f>
        <v>0</v>
      </c>
      <c r="AF2659" s="2114">
        <f>I2659-'Blocking-Step2'!I2659</f>
        <v>0</v>
      </c>
      <c r="AH2659" s="2136">
        <f>K2659-'Blocking-Step2'!K2659</f>
        <v>0</v>
      </c>
      <c r="AJ2659" s="2136">
        <f>M2659-'Blocking-Step2'!M2659</f>
        <v>0</v>
      </c>
      <c r="AL2659" s="2136">
        <f>O2659-'Blocking-Step2'!O2659</f>
        <v>0</v>
      </c>
      <c r="AN2659" s="2137">
        <f>Q2659-'Blocking-Step2'!Q2659</f>
        <v>0</v>
      </c>
      <c r="AP2659" s="2127">
        <f>S2659-'Blocking-Step2'!S2659</f>
        <v>0</v>
      </c>
      <c r="AR2659" s="2127">
        <f>U2659-'Blocking-Step2'!U2659</f>
        <v>0</v>
      </c>
      <c r="AT2659" s="2127">
        <f>W2659-'Blocking-Step2'!W2659</f>
        <v>0</v>
      </c>
      <c r="AV2659" s="2128">
        <f>Y2659-'Blocking-Step2'!Y2659</f>
        <v>0</v>
      </c>
    </row>
    <row r="2660" spans="1:48" ht="16.5" hidden="1" thickTop="1">
      <c r="A2660" s="1115" t="s">
        <v>930</v>
      </c>
      <c r="C2660" s="1105"/>
      <c r="D2660" s="1105"/>
      <c r="Z2660" s="2114">
        <f>C2660-'Blocking-Step2'!C2660</f>
        <v>0</v>
      </c>
      <c r="AA2660" s="2114">
        <f>D2660-'Blocking-Step2'!D2660</f>
        <v>0</v>
      </c>
      <c r="AC2660" s="2114">
        <f>F2660-'Blocking-Step2'!F2660</f>
        <v>0</v>
      </c>
      <c r="AE2660" s="2114">
        <f>H2660-'Blocking-Step2'!H2660</f>
        <v>0</v>
      </c>
      <c r="AF2660" s="2114">
        <f>I2660-'Blocking-Step2'!I2660</f>
        <v>0</v>
      </c>
      <c r="AH2660" s="2136">
        <f>K2660-'Blocking-Step2'!K2660</f>
        <v>0</v>
      </c>
      <c r="AJ2660" s="2136">
        <f>M2660-'Blocking-Step2'!M2660</f>
        <v>0</v>
      </c>
      <c r="AL2660" s="2136">
        <f>O2660-'Blocking-Step2'!O2660</f>
        <v>0</v>
      </c>
      <c r="AN2660" s="2137">
        <f>Q2660-'Blocking-Step2'!Q2660</f>
        <v>0</v>
      </c>
      <c r="AP2660" s="2127">
        <f>S2660-'Blocking-Step2'!S2660</f>
        <v>0</v>
      </c>
      <c r="AR2660" s="2127">
        <f>U2660-'Blocking-Step2'!U2660</f>
        <v>0</v>
      </c>
      <c r="AT2660" s="2127">
        <f>W2660-'Blocking-Step2'!W2660</f>
        <v>0</v>
      </c>
      <c r="AV2660" s="2128">
        <f>Y2660-'Blocking-Step2'!Y2660</f>
        <v>0</v>
      </c>
    </row>
    <row r="2661" spans="1:48" ht="16.5" hidden="1" thickTop="1">
      <c r="A2661" s="1116" t="s">
        <v>141</v>
      </c>
      <c r="C2661" s="1117">
        <v>2</v>
      </c>
      <c r="D2661" s="1117">
        <v>2</v>
      </c>
      <c r="F2661" s="1109"/>
      <c r="H2661" s="1628"/>
      <c r="I2661" s="1628"/>
      <c r="K2661" s="1109"/>
      <c r="M2661" s="1109"/>
      <c r="O2661" s="1109"/>
      <c r="Q2661" s="1109"/>
      <c r="Y2661" s="1628"/>
      <c r="Z2661" s="2114">
        <f>C2661-'Blocking-Step2'!C2661</f>
        <v>0</v>
      </c>
      <c r="AA2661" s="2114">
        <f>D2661-'Blocking-Step2'!D2661</f>
        <v>0</v>
      </c>
      <c r="AC2661" s="2114">
        <f>F2661-'Blocking-Step2'!F2661</f>
        <v>0</v>
      </c>
      <c r="AE2661" s="2114">
        <f>H2661-'Blocking-Step2'!H2661</f>
        <v>0</v>
      </c>
      <c r="AF2661" s="2114">
        <f>I2661-'Blocking-Step2'!I2661</f>
        <v>0</v>
      </c>
      <c r="AH2661" s="2136">
        <f>K2661-'Blocking-Step2'!K2661</f>
        <v>0</v>
      </c>
      <c r="AJ2661" s="2136">
        <f>M2661-'Blocking-Step2'!M2661</f>
        <v>0</v>
      </c>
      <c r="AL2661" s="2136">
        <f>O2661-'Blocking-Step2'!O2661</f>
        <v>0</v>
      </c>
      <c r="AN2661" s="2137">
        <f>Q2661-'Blocking-Step2'!Q2661</f>
        <v>0</v>
      </c>
      <c r="AP2661" s="2127">
        <f>S2661-'Blocking-Step2'!S2661</f>
        <v>0</v>
      </c>
      <c r="AR2661" s="2127">
        <f>U2661-'Blocking-Step2'!U2661</f>
        <v>0</v>
      </c>
      <c r="AT2661" s="2127">
        <f>W2661-'Blocking-Step2'!W2661</f>
        <v>0</v>
      </c>
      <c r="AV2661" s="2128">
        <f>Y2661-'Blocking-Step2'!Y2661</f>
        <v>0</v>
      </c>
    </row>
    <row r="2662" spans="1:48" ht="16.5" hidden="1" thickTop="1">
      <c r="A2662" s="1116" t="s">
        <v>152</v>
      </c>
      <c r="C2662" s="1105">
        <v>48</v>
      </c>
      <c r="D2662" s="1105">
        <v>48</v>
      </c>
      <c r="F2662" s="1907">
        <v>2.1800000000000002</v>
      </c>
      <c r="G2662" s="1110"/>
      <c r="H2662" s="1146">
        <v>105</v>
      </c>
      <c r="I2662" s="1146">
        <v>105</v>
      </c>
      <c r="K2662" s="2108">
        <v>1.4879</v>
      </c>
      <c r="L2662" s="1110"/>
      <c r="M2662" s="2108">
        <v>0.35449999999999998</v>
      </c>
      <c r="N2662" s="1110"/>
      <c r="O2662" s="2108">
        <v>0.33760000000000001</v>
      </c>
      <c r="P2662" s="1110"/>
      <c r="Q2662" s="1907">
        <v>2.1800000000000002</v>
      </c>
      <c r="R2662" s="1110"/>
      <c r="S2662" s="1146">
        <v>71</v>
      </c>
      <c r="T2662" s="1114"/>
      <c r="U2662" s="1146">
        <v>17</v>
      </c>
      <c r="V2662" s="1114"/>
      <c r="W2662" s="1146">
        <v>16</v>
      </c>
      <c r="X2662" s="1629"/>
      <c r="Y2662" s="1146">
        <v>105</v>
      </c>
      <c r="Z2662" s="2114">
        <f>C2662-'Blocking-Step2'!C2662</f>
        <v>0</v>
      </c>
      <c r="AA2662" s="2114">
        <f>D2662-'Blocking-Step2'!D2662</f>
        <v>0</v>
      </c>
      <c r="AC2662" s="2114">
        <f>F2662-'Blocking-Step2'!F2662</f>
        <v>0</v>
      </c>
      <c r="AE2662" s="2114">
        <f>H2662-'Blocking-Step2'!H2662</f>
        <v>0</v>
      </c>
      <c r="AF2662" s="2114">
        <f>I2662-'Blocking-Step2'!I2662</f>
        <v>0</v>
      </c>
      <c r="AH2662" s="2136">
        <f>K2662-'Blocking-Step2'!K2662</f>
        <v>-0.11709999999999998</v>
      </c>
      <c r="AJ2662" s="2136">
        <f>M2662-'Blocking-Step2'!M2662</f>
        <v>0.11709999999999998</v>
      </c>
      <c r="AL2662" s="2136">
        <f>O2662-'Blocking-Step2'!O2662</f>
        <v>0</v>
      </c>
      <c r="AN2662" s="2137">
        <f>Q2662-'Blocking-Step2'!Q2662</f>
        <v>0</v>
      </c>
      <c r="AP2662" s="2127">
        <f>S2662-'Blocking-Step2'!S2662</f>
        <v>-6</v>
      </c>
      <c r="AR2662" s="2127">
        <f>U2662-'Blocking-Step2'!U2662</f>
        <v>6</v>
      </c>
      <c r="AT2662" s="2127">
        <f>W2662-'Blocking-Step2'!W2662</f>
        <v>0</v>
      </c>
      <c r="AV2662" s="2128">
        <f>Y2662-'Blocking-Step2'!Y2662</f>
        <v>0</v>
      </c>
    </row>
    <row r="2663" spans="1:48" ht="16.5" hidden="1" thickTop="1">
      <c r="A2663" s="1116" t="s">
        <v>153</v>
      </c>
      <c r="C2663" s="1024">
        <v>0</v>
      </c>
      <c r="D2663" s="1105">
        <v>0</v>
      </c>
      <c r="F2663" s="1112">
        <v>2.1858</v>
      </c>
      <c r="G2663" s="1921"/>
      <c r="H2663" s="1146">
        <v>0</v>
      </c>
      <c r="I2663" s="1146">
        <v>0</v>
      </c>
      <c r="K2663" s="2108">
        <v>1.4853000000000001</v>
      </c>
      <c r="L2663" s="1921"/>
      <c r="M2663" s="2108">
        <v>0.35389999999999999</v>
      </c>
      <c r="N2663" s="1921"/>
      <c r="O2663" s="2108">
        <v>0.34660000000000002</v>
      </c>
      <c r="P2663" s="1921"/>
      <c r="Q2663" s="1112">
        <v>2.1858</v>
      </c>
      <c r="R2663" s="1921"/>
      <c r="S2663" s="1146">
        <v>0</v>
      </c>
      <c r="T2663" s="1114"/>
      <c r="U2663" s="1146">
        <v>0</v>
      </c>
      <c r="V2663" s="1114"/>
      <c r="W2663" s="1146">
        <v>0</v>
      </c>
      <c r="X2663" s="1648"/>
      <c r="Y2663" s="1146">
        <v>0</v>
      </c>
      <c r="Z2663" s="2114">
        <f>C2663-'Blocking-Step2'!C2663</f>
        <v>0</v>
      </c>
      <c r="AA2663" s="2114">
        <f>D2663-'Blocking-Step2'!D2663</f>
        <v>0</v>
      </c>
      <c r="AC2663" s="2114">
        <f>F2663-'Blocking-Step2'!F2663</f>
        <v>0</v>
      </c>
      <c r="AE2663" s="2114">
        <f>H2663-'Blocking-Step2'!H2663</f>
        <v>0</v>
      </c>
      <c r="AF2663" s="2114">
        <f>I2663-'Blocking-Step2'!I2663</f>
        <v>0</v>
      </c>
      <c r="AH2663" s="2136">
        <f>K2663-'Blocking-Step2'!K2663</f>
        <v>-0.11680000000000001</v>
      </c>
      <c r="AJ2663" s="2136">
        <f>M2663-'Blocking-Step2'!M2663</f>
        <v>0.1169</v>
      </c>
      <c r="AL2663" s="2136">
        <f>O2663-'Blocking-Step2'!O2663</f>
        <v>-9.9999999999988987E-5</v>
      </c>
      <c r="AN2663" s="2137">
        <f>Q2663-'Blocking-Step2'!Q2663</f>
        <v>0</v>
      </c>
      <c r="AP2663" s="2127">
        <f>S2663-'Blocking-Step2'!S2663</f>
        <v>0</v>
      </c>
      <c r="AR2663" s="2127">
        <f>U2663-'Blocking-Step2'!U2663</f>
        <v>0</v>
      </c>
      <c r="AT2663" s="2127">
        <f>W2663-'Blocking-Step2'!W2663</f>
        <v>0</v>
      </c>
      <c r="AV2663" s="2128">
        <f>Y2663-'Blocking-Step2'!Y2663</f>
        <v>0</v>
      </c>
    </row>
    <row r="2664" spans="1:48" ht="16.5" hidden="1" thickTop="1">
      <c r="A2664" s="1116" t="s">
        <v>154</v>
      </c>
      <c r="C2664" s="1137">
        <v>48</v>
      </c>
      <c r="D2664" s="1137">
        <v>48</v>
      </c>
      <c r="F2664" s="1144"/>
      <c r="G2664" s="1921"/>
      <c r="H2664" s="1148">
        <v>105</v>
      </c>
      <c r="I2664" s="1148">
        <v>105</v>
      </c>
      <c r="K2664" s="1144"/>
      <c r="L2664" s="1921"/>
      <c r="M2664" s="1144"/>
      <c r="N2664" s="1921"/>
      <c r="O2664" s="1144"/>
      <c r="P2664" s="1921"/>
      <c r="Q2664" s="1144"/>
      <c r="R2664" s="1921"/>
      <c r="S2664" s="1148">
        <v>71</v>
      </c>
      <c r="T2664" s="1648"/>
      <c r="U2664" s="1148">
        <v>17</v>
      </c>
      <c r="V2664" s="1648"/>
      <c r="W2664" s="1148">
        <v>16</v>
      </c>
      <c r="X2664" s="1648"/>
      <c r="Y2664" s="1148">
        <v>105</v>
      </c>
      <c r="Z2664" s="2114">
        <f>C2664-'Blocking-Step2'!C2664</f>
        <v>0</v>
      </c>
      <c r="AA2664" s="2114">
        <f>D2664-'Blocking-Step2'!D2664</f>
        <v>0</v>
      </c>
      <c r="AC2664" s="2114">
        <f>F2664-'Blocking-Step2'!F2664</f>
        <v>0</v>
      </c>
      <c r="AE2664" s="2114">
        <f>H2664-'Blocking-Step2'!H2664</f>
        <v>0</v>
      </c>
      <c r="AF2664" s="2114">
        <f>I2664-'Blocking-Step2'!I2664</f>
        <v>0</v>
      </c>
      <c r="AH2664" s="2136">
        <f>K2664-'Blocking-Step2'!K2664</f>
        <v>0</v>
      </c>
      <c r="AJ2664" s="2136">
        <f>M2664-'Blocking-Step2'!M2664</f>
        <v>0</v>
      </c>
      <c r="AL2664" s="2136">
        <f>O2664-'Blocking-Step2'!O2664</f>
        <v>0</v>
      </c>
      <c r="AN2664" s="2137">
        <f>Q2664-'Blocking-Step2'!Q2664</f>
        <v>0</v>
      </c>
      <c r="AP2664" s="2127">
        <f>S2664-'Blocking-Step2'!S2664</f>
        <v>-6</v>
      </c>
      <c r="AR2664" s="2127">
        <f>U2664-'Blocking-Step2'!U2664</f>
        <v>6</v>
      </c>
      <c r="AT2664" s="2127">
        <f>W2664-'Blocking-Step2'!W2664</f>
        <v>0</v>
      </c>
      <c r="AV2664" s="2128">
        <f>Y2664-'Blocking-Step2'!Y2664</f>
        <v>0</v>
      </c>
    </row>
    <row r="2665" spans="1:48" ht="16.5" hidden="1" thickTop="1">
      <c r="A2665" s="1116" t="s">
        <v>301</v>
      </c>
      <c r="C2665" s="1117">
        <v>1392</v>
      </c>
      <c r="D2665" s="1117">
        <v>1392</v>
      </c>
      <c r="F2665" s="1109"/>
      <c r="H2665" s="1628"/>
      <c r="I2665" s="1628"/>
      <c r="K2665" s="1109"/>
      <c r="M2665" s="1109"/>
      <c r="O2665" s="1109"/>
      <c r="Q2665" s="1109"/>
      <c r="Y2665" s="1628"/>
      <c r="Z2665" s="2114">
        <f>C2665-'Blocking-Step2'!C2665</f>
        <v>0</v>
      </c>
      <c r="AA2665" s="2114">
        <f>D2665-'Blocking-Step2'!D2665</f>
        <v>0</v>
      </c>
      <c r="AC2665" s="2114">
        <f>F2665-'Blocking-Step2'!F2665</f>
        <v>0</v>
      </c>
      <c r="AE2665" s="2114">
        <f>H2665-'Blocking-Step2'!H2665</f>
        <v>0</v>
      </c>
      <c r="AF2665" s="2114">
        <f>I2665-'Blocking-Step2'!I2665</f>
        <v>0</v>
      </c>
      <c r="AH2665" s="2136">
        <f>K2665-'Blocking-Step2'!K2665</f>
        <v>0</v>
      </c>
      <c r="AJ2665" s="2136">
        <f>M2665-'Blocking-Step2'!M2665</f>
        <v>0</v>
      </c>
      <c r="AL2665" s="2136">
        <f>O2665-'Blocking-Step2'!O2665</f>
        <v>0</v>
      </c>
      <c r="AN2665" s="2137">
        <f>Q2665-'Blocking-Step2'!Q2665</f>
        <v>0</v>
      </c>
      <c r="AP2665" s="2127">
        <f>S2665-'Blocking-Step2'!S2665</f>
        <v>0</v>
      </c>
      <c r="AR2665" s="2127">
        <f>U2665-'Blocking-Step2'!U2665</f>
        <v>0</v>
      </c>
      <c r="AT2665" s="2127">
        <f>W2665-'Blocking-Step2'!W2665</f>
        <v>0</v>
      </c>
      <c r="AV2665" s="2128">
        <f>Y2665-'Blocking-Step2'!Y2665</f>
        <v>0</v>
      </c>
    </row>
    <row r="2666" spans="1:48" ht="16.5" hidden="1" thickTop="1">
      <c r="A2666" s="1116" t="s">
        <v>136</v>
      </c>
      <c r="C2666" s="1117">
        <v>8</v>
      </c>
      <c r="D2666" s="1117">
        <v>0</v>
      </c>
      <c r="F2666" s="1109"/>
      <c r="H2666" s="1114">
        <v>1</v>
      </c>
      <c r="I2666" s="1114">
        <v>0</v>
      </c>
      <c r="K2666" s="1109"/>
      <c r="M2666" s="1109"/>
      <c r="O2666" s="1109"/>
      <c r="Q2666" s="1109"/>
      <c r="S2666" s="1114"/>
      <c r="U2666" s="1114"/>
      <c r="W2666" s="1114"/>
      <c r="Y2666" s="1114"/>
      <c r="Z2666" s="2114">
        <f>C2666-'Blocking-Step2'!C2666</f>
        <v>0</v>
      </c>
      <c r="AA2666" s="2114">
        <f>D2666-'Blocking-Step2'!D2666</f>
        <v>0</v>
      </c>
      <c r="AC2666" s="2114">
        <f>F2666-'Blocking-Step2'!F2666</f>
        <v>0</v>
      </c>
      <c r="AE2666" s="2114">
        <f>H2666-'Blocking-Step2'!H2666</f>
        <v>0</v>
      </c>
      <c r="AF2666" s="2114">
        <f>I2666-'Blocking-Step2'!I2666</f>
        <v>0</v>
      </c>
      <c r="AH2666" s="2136">
        <f>K2666-'Blocking-Step2'!K2666</f>
        <v>0</v>
      </c>
      <c r="AJ2666" s="2136">
        <f>M2666-'Blocking-Step2'!M2666</f>
        <v>0</v>
      </c>
      <c r="AL2666" s="2136">
        <f>O2666-'Blocking-Step2'!O2666</f>
        <v>0</v>
      </c>
      <c r="AN2666" s="2137">
        <f>Q2666-'Blocking-Step2'!Q2666</f>
        <v>0</v>
      </c>
      <c r="AP2666" s="2127">
        <f>S2666-'Blocking-Step2'!S2666</f>
        <v>0</v>
      </c>
      <c r="AR2666" s="2127">
        <f>U2666-'Blocking-Step2'!U2666</f>
        <v>0</v>
      </c>
      <c r="AT2666" s="2127">
        <f>W2666-'Blocking-Step2'!W2666</f>
        <v>0</v>
      </c>
      <c r="AV2666" s="2128">
        <f>Y2666-'Blocking-Step2'!Y2666</f>
        <v>0</v>
      </c>
    </row>
    <row r="2667" spans="1:48" ht="17.25" hidden="1" thickTop="1" thickBot="1">
      <c r="A2667" s="1116" t="s">
        <v>93</v>
      </c>
      <c r="C2667" s="2089">
        <v>1400</v>
      </c>
      <c r="D2667" s="2089">
        <v>1392</v>
      </c>
      <c r="F2667" s="1979"/>
      <c r="G2667" s="1980"/>
      <c r="H2667" s="1651">
        <v>106</v>
      </c>
      <c r="I2667" s="1651">
        <v>105</v>
      </c>
      <c r="K2667" s="1979"/>
      <c r="L2667" s="1980"/>
      <c r="M2667" s="1979"/>
      <c r="N2667" s="1980"/>
      <c r="O2667" s="1979"/>
      <c r="P2667" s="1980"/>
      <c r="Q2667" s="1979"/>
      <c r="R2667" s="1980"/>
      <c r="S2667" s="1651">
        <v>71</v>
      </c>
      <c r="T2667" s="1650"/>
      <c r="U2667" s="1651">
        <v>17</v>
      </c>
      <c r="V2667" s="1650"/>
      <c r="W2667" s="1651">
        <v>16</v>
      </c>
      <c r="X2667" s="1650"/>
      <c r="Y2667" s="1651">
        <v>105</v>
      </c>
      <c r="Z2667" s="2114">
        <f>C2667-'Blocking-Step2'!C2667</f>
        <v>0</v>
      </c>
      <c r="AA2667" s="2114">
        <f>D2667-'Blocking-Step2'!D2667</f>
        <v>0</v>
      </c>
      <c r="AC2667" s="2114">
        <f>F2667-'Blocking-Step2'!F2667</f>
        <v>0</v>
      </c>
      <c r="AE2667" s="2114">
        <f>H2667-'Blocking-Step2'!H2667</f>
        <v>0</v>
      </c>
      <c r="AF2667" s="2114">
        <f>I2667-'Blocking-Step2'!I2667</f>
        <v>0</v>
      </c>
      <c r="AH2667" s="2136">
        <f>K2667-'Blocking-Step2'!K2667</f>
        <v>0</v>
      </c>
      <c r="AJ2667" s="2136">
        <f>M2667-'Blocking-Step2'!M2667</f>
        <v>0</v>
      </c>
      <c r="AL2667" s="2136">
        <f>O2667-'Blocking-Step2'!O2667</f>
        <v>0</v>
      </c>
      <c r="AN2667" s="2137">
        <f>Q2667-'Blocking-Step2'!Q2667</f>
        <v>0</v>
      </c>
      <c r="AP2667" s="2127">
        <f>S2667-'Blocking-Step2'!S2667</f>
        <v>-6</v>
      </c>
      <c r="AR2667" s="2127">
        <f>U2667-'Blocking-Step2'!U2667</f>
        <v>6</v>
      </c>
      <c r="AT2667" s="2127">
        <f>W2667-'Blocking-Step2'!W2667</f>
        <v>0</v>
      </c>
      <c r="AV2667" s="2128">
        <f>Y2667-'Blocking-Step2'!Y2667</f>
        <v>0</v>
      </c>
    </row>
    <row r="2668" spans="1:48" ht="16.5" thickTop="1">
      <c r="C2668" s="1105"/>
      <c r="D2668" s="1105"/>
      <c r="Z2668" s="2114">
        <f>C2668-'Blocking-Step2'!C2668</f>
        <v>0</v>
      </c>
      <c r="AA2668" s="2114">
        <f>D2668-'Blocking-Step2'!D2668</f>
        <v>0</v>
      </c>
      <c r="AC2668" s="2114">
        <f>F2668-'Blocking-Step2'!F2668</f>
        <v>0</v>
      </c>
      <c r="AE2668" s="2114">
        <f>H2668-'Blocking-Step2'!H2668</f>
        <v>0</v>
      </c>
      <c r="AF2668" s="2114">
        <f>I2668-'Blocking-Step2'!I2668</f>
        <v>0</v>
      </c>
      <c r="AH2668" s="2136">
        <f>K2668-'Blocking-Step2'!K2668</f>
        <v>0</v>
      </c>
      <c r="AJ2668" s="2136">
        <f>M2668-'Blocking-Step2'!M2668</f>
        <v>0</v>
      </c>
      <c r="AL2668" s="2136">
        <f>O2668-'Blocking-Step2'!O2668</f>
        <v>0</v>
      </c>
      <c r="AN2668" s="2137">
        <f>Q2668-'Blocking-Step2'!Q2668</f>
        <v>0</v>
      </c>
      <c r="AP2668" s="2127">
        <f>S2668-'Blocking-Step2'!S2668</f>
        <v>0</v>
      </c>
      <c r="AR2668" s="2127">
        <f>U2668-'Blocking-Step2'!U2668</f>
        <v>0</v>
      </c>
      <c r="AT2668" s="2127">
        <f>W2668-'Blocking-Step2'!W2668</f>
        <v>0</v>
      </c>
      <c r="AV2668" s="2128">
        <f>Y2668-'Blocking-Step2'!Y2668</f>
        <v>0</v>
      </c>
    </row>
    <row r="2669" spans="1:48">
      <c r="A2669" s="2069" t="s">
        <v>486</v>
      </c>
      <c r="B2669" s="1109"/>
      <c r="F2669" s="1106"/>
      <c r="G2669" s="1107"/>
      <c r="K2669" s="1106"/>
      <c r="L2669" s="1107"/>
      <c r="M2669" s="1106"/>
      <c r="N2669" s="1107"/>
      <c r="O2669" s="1106"/>
      <c r="P2669" s="1107"/>
      <c r="Q2669" s="1106"/>
      <c r="R2669" s="1107"/>
      <c r="S2669" s="1114"/>
      <c r="T2669" s="1114"/>
      <c r="U2669" s="1114"/>
      <c r="V2669" s="1114"/>
      <c r="W2669" s="1114"/>
      <c r="X2669" s="1114"/>
      <c r="Z2669" s="2114">
        <f>C2669-'Blocking-Step2'!C2669</f>
        <v>0</v>
      </c>
      <c r="AA2669" s="2114">
        <f>D2669-'Blocking-Step2'!D2669</f>
        <v>0</v>
      </c>
      <c r="AC2669" s="2114">
        <f>F2669-'Blocking-Step2'!F2669</f>
        <v>0</v>
      </c>
      <c r="AE2669" s="2114">
        <f>H2669-'Blocking-Step2'!H2669</f>
        <v>0</v>
      </c>
      <c r="AF2669" s="2114">
        <f>I2669-'Blocking-Step2'!I2669</f>
        <v>0</v>
      </c>
      <c r="AH2669" s="2136">
        <f>K2669-'Blocking-Step2'!K2669</f>
        <v>0</v>
      </c>
      <c r="AJ2669" s="2136">
        <f>M2669-'Blocking-Step2'!M2669</f>
        <v>0</v>
      </c>
      <c r="AL2669" s="2136">
        <f>O2669-'Blocking-Step2'!O2669</f>
        <v>0</v>
      </c>
      <c r="AN2669" s="2137">
        <f>Q2669-'Blocking-Step2'!Q2669</f>
        <v>0</v>
      </c>
      <c r="AP2669" s="2127">
        <f>S2669-'Blocking-Step2'!S2669</f>
        <v>0</v>
      </c>
      <c r="AR2669" s="2127">
        <f>U2669-'Blocking-Step2'!U2669</f>
        <v>0</v>
      </c>
      <c r="AT2669" s="2127">
        <f>W2669-'Blocking-Step2'!W2669</f>
        <v>0</v>
      </c>
      <c r="AV2669" s="2128">
        <f>Y2669-'Blocking-Step2'!Y2669</f>
        <v>0</v>
      </c>
    </row>
    <row r="2670" spans="1:48">
      <c r="A2670" s="2096" t="s">
        <v>405</v>
      </c>
      <c r="B2670" s="1109"/>
      <c r="C2670" s="2016"/>
      <c r="D2670" s="2016"/>
      <c r="F2670" s="1106"/>
      <c r="G2670" s="1107"/>
      <c r="H2670" s="1146">
        <v>6795.090000000062</v>
      </c>
      <c r="I2670" s="1146">
        <v>6795.090000000062</v>
      </c>
      <c r="K2670" s="1106"/>
      <c r="L2670" s="1107"/>
      <c r="M2670" s="1106"/>
      <c r="N2670" s="1107"/>
      <c r="O2670" s="1106"/>
      <c r="P2670" s="1107"/>
      <c r="Q2670" s="1106"/>
      <c r="R2670" s="1107"/>
      <c r="S2670" s="617">
        <v>1970.8880328317389</v>
      </c>
      <c r="T2670" s="1114"/>
      <c r="U2670" s="617">
        <v>4824.2019671683229</v>
      </c>
      <c r="V2670" s="1114"/>
      <c r="W2670" s="1114"/>
      <c r="X2670" s="1114"/>
      <c r="Y2670" s="1146">
        <v>6795.090000000062</v>
      </c>
      <c r="Z2670" s="2114">
        <f>C2670-'Blocking-Step2'!C2670</f>
        <v>0</v>
      </c>
      <c r="AA2670" s="2114">
        <f>D2670-'Blocking-Step2'!D2670</f>
        <v>0</v>
      </c>
      <c r="AC2670" s="2114">
        <f>F2670-'Blocking-Step2'!F2670</f>
        <v>0</v>
      </c>
      <c r="AE2670" s="2114">
        <f>H2670-'Blocking-Step2'!H2670</f>
        <v>0</v>
      </c>
      <c r="AF2670" s="2114">
        <f>I2670-'Blocking-Step2'!I2670</f>
        <v>0</v>
      </c>
      <c r="AH2670" s="2136">
        <f>K2670-'Blocking-Step2'!K2670</f>
        <v>0</v>
      </c>
      <c r="AJ2670" s="2136">
        <f>M2670-'Blocking-Step2'!M2670</f>
        <v>0</v>
      </c>
      <c r="AL2670" s="2136">
        <f>O2670-'Blocking-Step2'!O2670</f>
        <v>0</v>
      </c>
      <c r="AN2670" s="2137">
        <f>Q2670-'Blocking-Step2'!Q2670</f>
        <v>0</v>
      </c>
      <c r="AP2670" s="2127">
        <f>S2670-'Blocking-Step2'!S2670</f>
        <v>-1503.1513901015435</v>
      </c>
      <c r="AR2670" s="2127">
        <f>U2670-'Blocking-Step2'!U2670</f>
        <v>1503.1513901015423</v>
      </c>
      <c r="AT2670" s="2127">
        <f>W2670-'Blocking-Step2'!W2670</f>
        <v>0</v>
      </c>
      <c r="AV2670" s="2128">
        <f>Y2670-'Blocking-Step2'!Y2670</f>
        <v>0</v>
      </c>
    </row>
    <row r="2671" spans="1:48">
      <c r="A2671" s="2096" t="s">
        <v>406</v>
      </c>
      <c r="B2671" s="1109"/>
      <c r="C2671" s="2016"/>
      <c r="D2671" s="2016"/>
      <c r="F2671" s="1106"/>
      <c r="G2671" s="1107"/>
      <c r="H2671" s="1146">
        <v>3742344.1399999997</v>
      </c>
      <c r="I2671" s="1146">
        <v>3742344.1399999997</v>
      </c>
      <c r="K2671" s="1106"/>
      <c r="L2671" s="1107"/>
      <c r="M2671" s="1106"/>
      <c r="N2671" s="1107"/>
      <c r="O2671" s="1106"/>
      <c r="P2671" s="1107"/>
      <c r="Q2671" s="1106"/>
      <c r="R2671" s="1107"/>
      <c r="S2671" s="617">
        <v>1085451.5952347824</v>
      </c>
      <c r="T2671" s="1114"/>
      <c r="U2671" s="617">
        <v>2656892.5447652172</v>
      </c>
      <c r="V2671" s="1114"/>
      <c r="W2671" s="1114"/>
      <c r="X2671" s="1114"/>
      <c r="Y2671" s="1146">
        <v>3742344.1399999997</v>
      </c>
      <c r="Z2671" s="2114">
        <f>C2671-'Blocking-Step2'!C2671</f>
        <v>0</v>
      </c>
      <c r="AA2671" s="2114">
        <f>D2671-'Blocking-Step2'!D2671</f>
        <v>0</v>
      </c>
      <c r="AC2671" s="2114">
        <f>F2671-'Blocking-Step2'!F2671</f>
        <v>0</v>
      </c>
      <c r="AE2671" s="2114">
        <f>H2671-'Blocking-Step2'!H2671</f>
        <v>0</v>
      </c>
      <c r="AF2671" s="2114">
        <f>I2671-'Blocking-Step2'!I2671</f>
        <v>0</v>
      </c>
      <c r="AH2671" s="2136">
        <f>K2671-'Blocking-Step2'!K2671</f>
        <v>0</v>
      </c>
      <c r="AJ2671" s="2136">
        <f>M2671-'Blocking-Step2'!M2671</f>
        <v>0</v>
      </c>
      <c r="AL2671" s="2136">
        <f>O2671-'Blocking-Step2'!O2671</f>
        <v>0</v>
      </c>
      <c r="AN2671" s="2137">
        <f>Q2671-'Blocking-Step2'!Q2671</f>
        <v>0</v>
      </c>
      <c r="AP2671" s="2127">
        <f>S2671-'Blocking-Step2'!S2671</f>
        <v>-827849.19644615636</v>
      </c>
      <c r="AR2671" s="2127">
        <f>U2671-'Blocking-Step2'!U2671</f>
        <v>827849.1964461559</v>
      </c>
      <c r="AT2671" s="2127">
        <f>W2671-'Blocking-Step2'!W2671</f>
        <v>0</v>
      </c>
      <c r="AV2671" s="2128">
        <f>Y2671-'Blocking-Step2'!Y2671</f>
        <v>0</v>
      </c>
    </row>
    <row r="2672" spans="1:48">
      <c r="A2672" s="2096" t="s">
        <v>407</v>
      </c>
      <c r="B2672" s="1109"/>
      <c r="C2672" s="2016"/>
      <c r="D2672" s="2016"/>
      <c r="F2672" s="1106"/>
      <c r="G2672" s="1107"/>
      <c r="H2672" s="1146">
        <v>823369.79999999993</v>
      </c>
      <c r="I2672" s="1146">
        <v>823369.79999999993</v>
      </c>
      <c r="K2672" s="1106"/>
      <c r="L2672" s="1107"/>
      <c r="M2672" s="1106"/>
      <c r="N2672" s="1107"/>
      <c r="O2672" s="1106"/>
      <c r="P2672" s="1107"/>
      <c r="Q2672" s="1106"/>
      <c r="R2672" s="1107"/>
      <c r="S2672" s="617">
        <v>238815.03930265049</v>
      </c>
      <c r="T2672" s="1114"/>
      <c r="U2672" s="617">
        <v>584554.76069734932</v>
      </c>
      <c r="V2672" s="1114"/>
      <c r="W2672" s="1114"/>
      <c r="X2672" s="1114"/>
      <c r="Y2672" s="1146">
        <v>823369.79999999993</v>
      </c>
      <c r="Z2672" s="2114">
        <f>C2672-'Blocking-Step2'!C2672</f>
        <v>0</v>
      </c>
      <c r="AA2672" s="2114">
        <f>D2672-'Blocking-Step2'!D2672</f>
        <v>0</v>
      </c>
      <c r="AC2672" s="2114">
        <f>F2672-'Blocking-Step2'!F2672</f>
        <v>0</v>
      </c>
      <c r="AE2672" s="2114">
        <f>H2672-'Blocking-Step2'!H2672</f>
        <v>0</v>
      </c>
      <c r="AF2672" s="2114">
        <f>I2672-'Blocking-Step2'!I2672</f>
        <v>0</v>
      </c>
      <c r="AH2672" s="2136">
        <f>K2672-'Blocking-Step2'!K2672</f>
        <v>0</v>
      </c>
      <c r="AJ2672" s="2136">
        <f>M2672-'Blocking-Step2'!M2672</f>
        <v>0</v>
      </c>
      <c r="AL2672" s="2136">
        <f>O2672-'Blocking-Step2'!O2672</f>
        <v>0</v>
      </c>
      <c r="AN2672" s="2137">
        <f>Q2672-'Blocking-Step2'!Q2672</f>
        <v>0</v>
      </c>
      <c r="AP2672" s="2127">
        <f>S2672-'Blocking-Step2'!S2672</f>
        <v>-182138.78836595517</v>
      </c>
      <c r="AR2672" s="2127">
        <f>U2672-'Blocking-Step2'!U2672</f>
        <v>182138.788365955</v>
      </c>
      <c r="AT2672" s="2127">
        <f>W2672-'Blocking-Step2'!W2672</f>
        <v>0</v>
      </c>
      <c r="AV2672" s="2128">
        <f>Y2672-'Blocking-Step2'!Y2672</f>
        <v>0</v>
      </c>
    </row>
    <row r="2673" spans="1:48">
      <c r="A2673" s="2096" t="s">
        <v>371</v>
      </c>
      <c r="B2673" s="1109"/>
      <c r="C2673" s="2016"/>
      <c r="D2673" s="2016"/>
      <c r="F2673" s="1106"/>
      <c r="G2673" s="1107"/>
      <c r="H2673" s="1146">
        <v>231622.84</v>
      </c>
      <c r="I2673" s="1146">
        <v>231622.84</v>
      </c>
      <c r="K2673" s="1106"/>
      <c r="L2673" s="1107"/>
      <c r="M2673" s="1106"/>
      <c r="N2673" s="1107"/>
      <c r="O2673" s="1106"/>
      <c r="P2673" s="1107"/>
      <c r="Q2673" s="1106"/>
      <c r="R2673" s="1107"/>
      <c r="S2673" s="617">
        <v>67181.256390496143</v>
      </c>
      <c r="T2673" s="1114"/>
      <c r="U2673" s="617">
        <v>164441.58360950384</v>
      </c>
      <c r="V2673" s="1114"/>
      <c r="W2673" s="1114"/>
      <c r="X2673" s="1114"/>
      <c r="Y2673" s="1146">
        <v>231622.84</v>
      </c>
      <c r="Z2673" s="2114">
        <f>C2673-'Blocking-Step2'!C2673</f>
        <v>0</v>
      </c>
      <c r="AA2673" s="2114">
        <f>D2673-'Blocking-Step2'!D2673</f>
        <v>0</v>
      </c>
      <c r="AC2673" s="2114">
        <f>F2673-'Blocking-Step2'!F2673</f>
        <v>0</v>
      </c>
      <c r="AE2673" s="2114">
        <f>H2673-'Blocking-Step2'!H2673</f>
        <v>0</v>
      </c>
      <c r="AF2673" s="2114">
        <f>I2673-'Blocking-Step2'!I2673</f>
        <v>0</v>
      </c>
      <c r="AH2673" s="2136">
        <f>K2673-'Blocking-Step2'!K2673</f>
        <v>0</v>
      </c>
      <c r="AJ2673" s="2136">
        <f>M2673-'Blocking-Step2'!M2673</f>
        <v>0</v>
      </c>
      <c r="AL2673" s="2136">
        <f>O2673-'Blocking-Step2'!O2673</f>
        <v>0</v>
      </c>
      <c r="AN2673" s="2137">
        <f>Q2673-'Blocking-Step2'!Q2673</f>
        <v>0</v>
      </c>
      <c r="AP2673" s="2127">
        <f>S2673-'Blocking-Step2'!S2673</f>
        <v>-51237.613324512873</v>
      </c>
      <c r="AR2673" s="2127">
        <f>U2673-'Blocking-Step2'!U2673</f>
        <v>51237.613324512829</v>
      </c>
      <c r="AT2673" s="2127">
        <f>W2673-'Blocking-Step2'!W2673</f>
        <v>0</v>
      </c>
      <c r="AV2673" s="2128">
        <f>Y2673-'Blocking-Step2'!Y2673</f>
        <v>0</v>
      </c>
    </row>
    <row r="2674" spans="1:48">
      <c r="A2674" s="2096" t="s">
        <v>408</v>
      </c>
      <c r="B2674" s="1109"/>
      <c r="C2674" s="2016"/>
      <c r="D2674" s="2016"/>
      <c r="F2674" s="1106"/>
      <c r="G2674" s="1107"/>
      <c r="H2674" s="1146">
        <v>4655.0400000000009</v>
      </c>
      <c r="I2674" s="1146">
        <v>4655.0400000000009</v>
      </c>
      <c r="K2674" s="1106"/>
      <c r="L2674" s="1107"/>
      <c r="M2674" s="1106"/>
      <c r="N2674" s="1107"/>
      <c r="O2674" s="1106"/>
      <c r="P2674" s="1107"/>
      <c r="Q2674" s="1106"/>
      <c r="R2674" s="1107"/>
      <c r="S2674" s="617">
        <v>1350.1752925057617</v>
      </c>
      <c r="T2674" s="1114"/>
      <c r="U2674" s="617">
        <v>3304.8647074942392</v>
      </c>
      <c r="V2674" s="1114"/>
      <c r="W2674" s="1114"/>
      <c r="X2674" s="1114"/>
      <c r="Y2674" s="1146">
        <v>4655.0400000000009</v>
      </c>
      <c r="Z2674" s="2114">
        <f>C2674-'Blocking-Step2'!C2674</f>
        <v>0</v>
      </c>
      <c r="AA2674" s="2114">
        <f>D2674-'Blocking-Step2'!D2674</f>
        <v>0</v>
      </c>
      <c r="AC2674" s="2114">
        <f>F2674-'Blocking-Step2'!F2674</f>
        <v>0</v>
      </c>
      <c r="AE2674" s="2114">
        <f>H2674-'Blocking-Step2'!H2674</f>
        <v>0</v>
      </c>
      <c r="AF2674" s="2114">
        <f>I2674-'Blocking-Step2'!I2674</f>
        <v>0</v>
      </c>
      <c r="AH2674" s="2136">
        <f>K2674-'Blocking-Step2'!K2674</f>
        <v>0</v>
      </c>
      <c r="AJ2674" s="2136">
        <f>M2674-'Blocking-Step2'!M2674</f>
        <v>0</v>
      </c>
      <c r="AL2674" s="2136">
        <f>O2674-'Blocking-Step2'!O2674</f>
        <v>0</v>
      </c>
      <c r="AN2674" s="2137">
        <f>Q2674-'Blocking-Step2'!Q2674</f>
        <v>0</v>
      </c>
      <c r="AP2674" s="2127">
        <f>S2674-'Blocking-Step2'!S2674</f>
        <v>-1029.7479278388109</v>
      </c>
      <c r="AR2674" s="2127">
        <f>U2674-'Blocking-Step2'!U2674</f>
        <v>1029.7479278388105</v>
      </c>
      <c r="AT2674" s="2127">
        <f>W2674-'Blocking-Step2'!W2674</f>
        <v>0</v>
      </c>
      <c r="AV2674" s="2128">
        <f>Y2674-'Blocking-Step2'!Y2674</f>
        <v>0</v>
      </c>
    </row>
    <row r="2675" spans="1:48" ht="16.5" thickBot="1">
      <c r="A2675" s="2096" t="s">
        <v>409</v>
      </c>
      <c r="B2675" s="1109"/>
      <c r="C2675" s="2017"/>
      <c r="D2675" s="2017"/>
      <c r="F2675" s="2107"/>
      <c r="G2675" s="1107"/>
      <c r="H2675" s="1154">
        <v>4808786.9099999992</v>
      </c>
      <c r="I2675" s="1154">
        <v>4808786.9099999992</v>
      </c>
      <c r="K2675" s="2107"/>
      <c r="L2675" s="1107"/>
      <c r="M2675" s="2107"/>
      <c r="N2675" s="1107"/>
      <c r="O2675" s="2107"/>
      <c r="P2675" s="1107"/>
      <c r="Q2675" s="2107"/>
      <c r="R2675" s="1107"/>
      <c r="S2675" s="1154">
        <v>1394768.9542532663</v>
      </c>
      <c r="T2675" s="1114"/>
      <c r="U2675" s="1154">
        <v>3414017.9557467327</v>
      </c>
      <c r="V2675" s="1114"/>
      <c r="W2675" s="1154"/>
      <c r="X2675" s="1114"/>
      <c r="Y2675" s="1154">
        <v>4808786.9099999992</v>
      </c>
      <c r="Z2675" s="2114">
        <f>C2675-'Blocking-Step2'!C2675</f>
        <v>0</v>
      </c>
      <c r="AA2675" s="2114">
        <f>D2675-'Blocking-Step2'!D2675</f>
        <v>0</v>
      </c>
      <c r="AC2675" s="2114">
        <f>F2675-'Blocking-Step2'!F2675</f>
        <v>0</v>
      </c>
      <c r="AE2675" s="2114">
        <f>H2675-'Blocking-Step2'!H2675</f>
        <v>0</v>
      </c>
      <c r="AF2675" s="2114">
        <f>I2675-'Blocking-Step2'!I2675</f>
        <v>0</v>
      </c>
      <c r="AH2675" s="2136">
        <f>K2675-'Blocking-Step2'!K2675</f>
        <v>0</v>
      </c>
      <c r="AJ2675" s="2136">
        <f>M2675-'Blocking-Step2'!M2675</f>
        <v>0</v>
      </c>
      <c r="AL2675" s="2136">
        <f>O2675-'Blocking-Step2'!O2675</f>
        <v>0</v>
      </c>
      <c r="AN2675" s="2137">
        <f>Q2675-'Blocking-Step2'!Q2675</f>
        <v>0</v>
      </c>
      <c r="AP2675" s="2127">
        <f>S2675-'Blocking-Step2'!S2675</f>
        <v>-1063758.4974545648</v>
      </c>
      <c r="AR2675" s="2127">
        <f>U2675-'Blocking-Step2'!U2675</f>
        <v>1063758.4974545641</v>
      </c>
      <c r="AT2675" s="2127">
        <f>W2675-'Blocking-Step2'!W2675</f>
        <v>0</v>
      </c>
      <c r="AV2675" s="2128">
        <f>Y2675-'Blocking-Step2'!Y2675</f>
        <v>0</v>
      </c>
    </row>
    <row r="2676" spans="1:48" ht="16.5" thickTop="1">
      <c r="A2676" s="1109"/>
      <c r="B2676" s="1109"/>
      <c r="F2676" s="1106"/>
      <c r="G2676" s="1107"/>
      <c r="H2676" s="1146"/>
      <c r="I2676" s="1146"/>
      <c r="K2676" s="1106"/>
      <c r="L2676" s="1107"/>
      <c r="M2676" s="1106"/>
      <c r="N2676" s="1107"/>
      <c r="O2676" s="1106"/>
      <c r="P2676" s="1107"/>
      <c r="Q2676" s="1106"/>
      <c r="R2676" s="1107"/>
      <c r="S2676" s="1114"/>
      <c r="T2676" s="1114"/>
      <c r="U2676" s="1114"/>
      <c r="V2676" s="1114"/>
      <c r="W2676" s="1114"/>
      <c r="X2676" s="1114"/>
      <c r="Y2676" s="1146"/>
      <c r="Z2676" s="2114">
        <f>C2676-'Blocking-Step2'!C2676</f>
        <v>0</v>
      </c>
      <c r="AA2676" s="2114">
        <f>D2676-'Blocking-Step2'!D2676</f>
        <v>0</v>
      </c>
      <c r="AC2676" s="2114">
        <f>F2676-'Blocking-Step2'!F2676</f>
        <v>0</v>
      </c>
      <c r="AE2676" s="2114">
        <f>H2676-'Blocking-Step2'!H2676</f>
        <v>0</v>
      </c>
      <c r="AF2676" s="2114">
        <f>I2676-'Blocking-Step2'!I2676</f>
        <v>0</v>
      </c>
      <c r="AH2676" s="2136">
        <f>K2676-'Blocking-Step2'!K2676</f>
        <v>0</v>
      </c>
      <c r="AJ2676" s="2136">
        <f>M2676-'Blocking-Step2'!M2676</f>
        <v>0</v>
      </c>
      <c r="AL2676" s="2136">
        <f>O2676-'Blocking-Step2'!O2676</f>
        <v>0</v>
      </c>
      <c r="AN2676" s="2137">
        <f>Q2676-'Blocking-Step2'!Q2676</f>
        <v>0</v>
      </c>
      <c r="AP2676" s="2127">
        <f>S2676-'Blocking-Step2'!S2676</f>
        <v>0</v>
      </c>
      <c r="AR2676" s="2127">
        <f>U2676-'Blocking-Step2'!U2676</f>
        <v>0</v>
      </c>
      <c r="AT2676" s="2127">
        <f>W2676-'Blocking-Step2'!W2676</f>
        <v>0</v>
      </c>
      <c r="AV2676" s="2128">
        <f>Y2676-'Blocking-Step2'!Y2676</f>
        <v>0</v>
      </c>
    </row>
    <row r="2677" spans="1:48" ht="16.5" thickBot="1">
      <c r="A2677" s="2078" t="s">
        <v>410</v>
      </c>
      <c r="B2677" s="2078"/>
      <c r="C2677" s="2017">
        <v>24473583899.403015</v>
      </c>
      <c r="D2677" s="2017">
        <v>24837388160.662254</v>
      </c>
      <c r="F2677" s="2078"/>
      <c r="H2677" s="1154">
        <v>1981660112.7811136</v>
      </c>
      <c r="I2677" s="1154">
        <v>2001695942.310344</v>
      </c>
      <c r="K2677" s="2078"/>
      <c r="M2677" s="2078"/>
      <c r="O2677" s="2078"/>
      <c r="Q2677" s="2078"/>
      <c r="S2677" s="1154">
        <v>435775054.96872687</v>
      </c>
      <c r="U2677" s="1154">
        <v>1170745443.7273355</v>
      </c>
      <c r="W2677" s="1154">
        <v>467286419.83260995</v>
      </c>
      <c r="Y2677" s="1154">
        <v>2073803346.7372162</v>
      </c>
      <c r="Z2677" s="2114">
        <f>C2677-'Blocking-Step2'!C2677</f>
        <v>0</v>
      </c>
      <c r="AA2677" s="2114">
        <f>D2677-'Blocking-Step2'!D2677</f>
        <v>0</v>
      </c>
      <c r="AC2677" s="2114">
        <f>F2677-'Blocking-Step2'!F2677</f>
        <v>0</v>
      </c>
      <c r="AE2677" s="2114">
        <f>H2677-'Blocking-Step2'!H2677</f>
        <v>0</v>
      </c>
      <c r="AF2677" s="2114">
        <f>I2677-'Blocking-Step2'!I2677</f>
        <v>0</v>
      </c>
      <c r="AH2677" s="2136">
        <f>K2677-'Blocking-Step2'!K2677</f>
        <v>0</v>
      </c>
      <c r="AJ2677" s="2136">
        <f>M2677-'Blocking-Step2'!M2677</f>
        <v>0</v>
      </c>
      <c r="AL2677" s="2136">
        <f>O2677-'Blocking-Step2'!O2677</f>
        <v>0</v>
      </c>
      <c r="AN2677" s="2137">
        <f>Q2677-'Blocking-Step2'!Q2677</f>
        <v>0</v>
      </c>
      <c r="AP2677" s="2127">
        <f>S2677-'Blocking-Step2'!S2677</f>
        <v>-365517017.23663497</v>
      </c>
      <c r="AR2677" s="2127">
        <f>U2677-'Blocking-Step2'!U2677</f>
        <v>365516838.32915068</v>
      </c>
      <c r="AT2677" s="2127">
        <f>W2677-'Blocking-Step2'!W2677</f>
        <v>1.5156671404838562</v>
      </c>
      <c r="AV2677" s="2128">
        <f>Y2677-'Blocking-Step2'!Y2677</f>
        <v>-182.3918182849884</v>
      </c>
    </row>
    <row r="2678" spans="1:48" ht="16.5" thickTop="1">
      <c r="Z2678" s="2114">
        <f>C2678-'Blocking-Step2'!C2678</f>
        <v>0</v>
      </c>
      <c r="AA2678" s="2114">
        <f>D2678-'Blocking-Step2'!D2678</f>
        <v>0</v>
      </c>
      <c r="AC2678" s="2114">
        <f>F2678-'Blocking-Step2'!F2678</f>
        <v>0</v>
      </c>
      <c r="AE2678" s="2114">
        <f>H2678-'Blocking-Step2'!H2678</f>
        <v>0</v>
      </c>
      <c r="AF2678" s="2114">
        <f>I2678-'Blocking-Step2'!I2678</f>
        <v>0</v>
      </c>
      <c r="AH2678" s="2136">
        <f>K2678-'Blocking-Step2'!K2678</f>
        <v>0</v>
      </c>
      <c r="AJ2678" s="2136">
        <f>M2678-'Blocking-Step2'!M2678</f>
        <v>0</v>
      </c>
      <c r="AL2678" s="2136">
        <f>O2678-'Blocking-Step2'!O2678</f>
        <v>0</v>
      </c>
      <c r="AN2678" s="2137">
        <f>Q2678-'Blocking-Step2'!Q2678</f>
        <v>0</v>
      </c>
      <c r="AP2678" s="2127">
        <f>S2678-'Blocking-Step2'!S2678</f>
        <v>0</v>
      </c>
      <c r="AR2678" s="2127">
        <f>U2678-'Blocking-Step2'!U2678</f>
        <v>0</v>
      </c>
      <c r="AT2678" s="2127">
        <f>W2678-'Blocking-Step2'!W2678</f>
        <v>0</v>
      </c>
      <c r="AV2678" s="2128">
        <f>Y2678-'Blocking-Step2'!Y2678</f>
        <v>0</v>
      </c>
    </row>
    <row r="2679" spans="1:48">
      <c r="E2679" s="1104"/>
      <c r="G2679" s="1104"/>
      <c r="H2679" s="1146"/>
      <c r="I2679" s="1146"/>
      <c r="J2679" s="1104"/>
      <c r="L2679" s="1104"/>
      <c r="N2679" s="1104"/>
      <c r="O2679" s="2085" t="s">
        <v>2212</v>
      </c>
      <c r="P2679" s="2085"/>
      <c r="Q2679" s="2085" t="s">
        <v>1958</v>
      </c>
      <c r="R2679" s="1104"/>
      <c r="S2679" s="1627">
        <v>435083188.14924723</v>
      </c>
      <c r="T2679" s="1627"/>
      <c r="U2679" s="1627">
        <v>1064966216.8457929</v>
      </c>
      <c r="V2679" s="1627"/>
      <c r="W2679" s="1627">
        <v>467286419.83260977</v>
      </c>
      <c r="X2679" s="1627"/>
      <c r="Y2679" s="1146">
        <v>1967335824.8276498</v>
      </c>
      <c r="Z2679" s="2114">
        <f>C2679-'Blocking-Step2'!C2679</f>
        <v>0</v>
      </c>
      <c r="AA2679" s="2114">
        <f>D2679-'Blocking-Step2'!D2679</f>
        <v>0</v>
      </c>
      <c r="AC2679" s="2114">
        <f>F2679-'Blocking-Step2'!F2679</f>
        <v>0</v>
      </c>
      <c r="AE2679" s="2114">
        <f>H2679-'Blocking-Step2'!H2679</f>
        <v>0</v>
      </c>
      <c r="AF2679" s="2114">
        <f>I2679-'Blocking-Step2'!I2679</f>
        <v>0</v>
      </c>
      <c r="AH2679" s="2136">
        <f>K2679-'Blocking-Step2'!K2679</f>
        <v>0</v>
      </c>
      <c r="AJ2679" s="2136">
        <f>M2679-'Blocking-Step2'!M2679</f>
        <v>0</v>
      </c>
      <c r="AL2679" s="2136" t="e">
        <f>O2679-'Blocking-Step2'!O2679</f>
        <v>#VALUE!</v>
      </c>
      <c r="AN2679" s="2137" t="e">
        <f>Q2679-'Blocking-Step2'!Q2679</f>
        <v>#VALUE!</v>
      </c>
      <c r="AP2679" s="2127">
        <f>S2679-'Blocking-Step2'!S2679</f>
        <v>-331828032.93838137</v>
      </c>
      <c r="AR2679" s="2127">
        <f>U2679-'Blocking-Step2'!U2679</f>
        <v>331828032.93838143</v>
      </c>
      <c r="AT2679" s="2127">
        <f>W2679-'Blocking-Step2'!W2679</f>
        <v>0</v>
      </c>
      <c r="AV2679" s="2128">
        <f>Y2679-'Blocking-Step2'!Y2679</f>
        <v>0</v>
      </c>
    </row>
    <row r="2680" spans="1:48">
      <c r="E2680" s="1104"/>
      <c r="G2680" s="1104"/>
      <c r="H2680" s="1146"/>
      <c r="I2680" s="1146"/>
      <c r="J2680" s="1104"/>
      <c r="L2680" s="1104"/>
      <c r="N2680" s="1104"/>
      <c r="P2680" s="1104"/>
      <c r="R2680" s="1104"/>
      <c r="S2680" s="2109">
        <v>0.22115349228053785</v>
      </c>
      <c r="T2680" s="2109"/>
      <c r="U2680" s="2109">
        <v>0.54132406038968472</v>
      </c>
      <c r="V2680" s="2109"/>
      <c r="W2680" s="2109">
        <v>0.23752244732977748</v>
      </c>
      <c r="X2680" s="1497"/>
      <c r="Y2680" s="2109">
        <v>1</v>
      </c>
      <c r="Z2680" s="2114">
        <f>C2680-'Blocking-Step2'!C2680</f>
        <v>0</v>
      </c>
      <c r="AA2680" s="2114">
        <f>D2680-'Blocking-Step2'!D2680</f>
        <v>0</v>
      </c>
      <c r="AC2680" s="2114">
        <f>F2680-'Blocking-Step2'!F2680</f>
        <v>0</v>
      </c>
      <c r="AE2680" s="2114">
        <f>H2680-'Blocking-Step2'!H2680</f>
        <v>0</v>
      </c>
      <c r="AF2680" s="2114">
        <f>I2680-'Blocking-Step2'!I2680</f>
        <v>0</v>
      </c>
      <c r="AH2680" s="2136">
        <f>K2680-'Blocking-Step2'!K2680</f>
        <v>0</v>
      </c>
      <c r="AJ2680" s="2136">
        <f>M2680-'Blocking-Step2'!M2680</f>
        <v>0</v>
      </c>
      <c r="AL2680" s="2136">
        <f>O2680-'Blocking-Step2'!O2680</f>
        <v>0</v>
      </c>
      <c r="AN2680" s="2137">
        <f>Q2680-'Blocking-Step2'!Q2680</f>
        <v>0</v>
      </c>
      <c r="AP2680" s="2127">
        <f>S2680-'Blocking-Step2'!S2680</f>
        <v>-0.16866872892301013</v>
      </c>
      <c r="AR2680" s="2127">
        <f>U2680-'Blocking-Step2'!U2680</f>
        <v>0.16866872892301016</v>
      </c>
      <c r="AT2680" s="2127">
        <f>W2680-'Blocking-Step2'!W2680</f>
        <v>0</v>
      </c>
      <c r="AV2680" s="2128">
        <f>Y2680-'Blocking-Step2'!Y2680</f>
        <v>0</v>
      </c>
    </row>
    <row r="2681" spans="1:48">
      <c r="E2681" s="1104"/>
      <c r="G2681" s="1104"/>
      <c r="J2681" s="1104"/>
      <c r="L2681" s="1104"/>
      <c r="N2681" s="1104"/>
      <c r="P2681" s="1104"/>
      <c r="Q2681" s="1104" t="s">
        <v>2213</v>
      </c>
      <c r="R2681" s="1104"/>
      <c r="S2681" s="2109">
        <v>0.21013325861121127</v>
      </c>
      <c r="T2681" s="2109"/>
      <c r="U2681" s="2109">
        <v>0.56454024224105348</v>
      </c>
      <c r="V2681" s="2109"/>
      <c r="W2681" s="2109">
        <v>0.22532822148628856</v>
      </c>
      <c r="X2681" s="1497"/>
      <c r="Y2681" s="2109">
        <v>1.0000017223385533</v>
      </c>
      <c r="Z2681" s="2114">
        <f>C2681-'Blocking-Step2'!C2681</f>
        <v>0</v>
      </c>
      <c r="AA2681" s="2114">
        <f>D2681-'Blocking-Step2'!D2681</f>
        <v>0</v>
      </c>
      <c r="AC2681" s="2114">
        <f>F2681-'Blocking-Step2'!F2681</f>
        <v>0</v>
      </c>
      <c r="AE2681" s="2114">
        <f>H2681-'Blocking-Step2'!H2681</f>
        <v>0</v>
      </c>
      <c r="AF2681" s="2114">
        <f>I2681-'Blocking-Step2'!I2681</f>
        <v>0</v>
      </c>
      <c r="AH2681" s="2136">
        <f>K2681-'Blocking-Step2'!K2681</f>
        <v>0</v>
      </c>
      <c r="AJ2681" s="2136">
        <f>M2681-'Blocking-Step2'!M2681</f>
        <v>0</v>
      </c>
      <c r="AL2681" s="2136">
        <f>O2681-'Blocking-Step2'!O2681</f>
        <v>0</v>
      </c>
      <c r="AN2681" s="2137" t="e">
        <f>Q2681-'Blocking-Step2'!Q2681</f>
        <v>#VALUE!</v>
      </c>
      <c r="AP2681" s="2127">
        <f>S2681-'Blocking-Step2'!S2681</f>
        <v>-0.17625439140011459</v>
      </c>
      <c r="AR2681" s="2127">
        <f>U2681-'Blocking-Step2'!U2681</f>
        <v>0.17625437326272825</v>
      </c>
      <c r="AT2681" s="2127">
        <f>W2681-'Blocking-Step2'!W2681</f>
        <v>2.0548567181144506E-8</v>
      </c>
      <c r="AV2681" s="2128">
        <f>Y2681-'Blocking-Step2'!Y2681</f>
        <v>2.4111808105686805E-9</v>
      </c>
    </row>
    <row r="2682" spans="1:48">
      <c r="S2682" s="1628">
        <v>691866.8194796443</v>
      </c>
      <c r="U2682" s="1628">
        <v>105779226.88154256</v>
      </c>
      <c r="W2682" s="1628">
        <v>0</v>
      </c>
    </row>
    <row r="2683" spans="1:48">
      <c r="U2683" s="2110" t="s">
        <v>2255</v>
      </c>
      <c r="W2683" s="2111">
        <v>1.0245258507852086</v>
      </c>
    </row>
    <row r="2684" spans="1:48">
      <c r="W2684" s="2112"/>
    </row>
    <row r="2685" spans="1:48">
      <c r="W2685" s="211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8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6.25" style="1704" bestFit="1" customWidth="1"/>
    <col min="26" max="26" width="7" style="1704" bestFit="1" customWidth="1"/>
    <col min="27" max="27" width="5.37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2252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 t="s">
        <v>2336</v>
      </c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146"/>
      <c r="H6" s="2146"/>
      <c r="I6" s="2146"/>
      <c r="K6" s="1709"/>
      <c r="L6" s="1701"/>
      <c r="M6" s="1709"/>
      <c r="O6" s="2146"/>
      <c r="P6" s="2146"/>
      <c r="Q6" s="2146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216</v>
      </c>
      <c r="E9" s="1718" t="s">
        <v>2335</v>
      </c>
      <c r="G9" s="1719" t="s">
        <v>1399</v>
      </c>
      <c r="I9" s="1720" t="s">
        <v>465</v>
      </c>
      <c r="K9" s="1717" t="s">
        <v>216</v>
      </c>
      <c r="M9" s="1718" t="s">
        <v>2335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15.12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19.829999999999998</v>
      </c>
      <c r="F10" s="1708"/>
      <c r="G10" s="1722">
        <f t="shared" ref="G10:G14" si="0">E10-C10</f>
        <v>4.7099999999999991</v>
      </c>
      <c r="I10" s="1723">
        <f t="shared" ref="I10:I14" si="1">ROUND(IF(C10=0,0,E10/C10-1),3)</f>
        <v>0.312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15.12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18.72</v>
      </c>
      <c r="N10" s="1708"/>
      <c r="O10" s="1722">
        <f t="shared" ref="O10:O15" si="2">M10-K10</f>
        <v>3.5999999999999996</v>
      </c>
      <c r="Q10" s="1723">
        <f t="shared" ref="Q10:Q15" si="3">ROUND(IF(K10=0,0,M10/K10-1),3)</f>
        <v>0.23799999999999999</v>
      </c>
      <c r="S10" s="1724" t="s">
        <v>448</v>
      </c>
      <c r="T10" s="1725" t="s">
        <v>216</v>
      </c>
      <c r="U10" s="1726" t="s">
        <v>2335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24.08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29.5</v>
      </c>
      <c r="F11" s="1708"/>
      <c r="G11" s="1722">
        <f t="shared" si="0"/>
        <v>5.4200000000000017</v>
      </c>
      <c r="I11" s="1723">
        <f t="shared" si="1"/>
        <v>0.22500000000000001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24.08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27.27</v>
      </c>
      <c r="N11" s="1708"/>
      <c r="O11" s="1722">
        <f t="shared" si="2"/>
        <v>3.1900000000000013</v>
      </c>
      <c r="Q11" s="1723">
        <f t="shared" si="3"/>
        <v>0.13200000000000001</v>
      </c>
      <c r="S11" s="1731" t="s">
        <v>79</v>
      </c>
      <c r="T11" s="1702"/>
      <c r="U11" s="1732"/>
      <c r="W11" s="1702"/>
      <c r="X11" s="1733" t="s">
        <v>111</v>
      </c>
      <c r="Y11" s="1733" t="s">
        <v>216</v>
      </c>
      <c r="Z11" s="1733" t="s">
        <v>1367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33.04</v>
      </c>
      <c r="E12" s="1708">
        <f t="shared" si="5"/>
        <v>39.17</v>
      </c>
      <c r="F12" s="1708"/>
      <c r="G12" s="1722">
        <f t="shared" si="0"/>
        <v>6.1300000000000026</v>
      </c>
      <c r="I12" s="1723">
        <f t="shared" si="1"/>
        <v>0.186</v>
      </c>
      <c r="K12" s="1708">
        <f t="shared" si="6"/>
        <v>33.04</v>
      </c>
      <c r="M12" s="1708">
        <f t="shared" si="7"/>
        <v>35.83</v>
      </c>
      <c r="N12" s="1708"/>
      <c r="O12" s="1722">
        <f t="shared" si="2"/>
        <v>2.7899999999999991</v>
      </c>
      <c r="Q12" s="1723">
        <f t="shared" si="3"/>
        <v>8.4000000000000005E-2</v>
      </c>
      <c r="S12" s="1736" t="s">
        <v>1711</v>
      </c>
      <c r="T12" s="1737">
        <v>6</v>
      </c>
      <c r="U12" s="1738">
        <f>'Blocking-Step1'!Q13</f>
        <v>10</v>
      </c>
      <c r="V12" s="1739"/>
      <c r="W12" s="1740" t="s">
        <v>79</v>
      </c>
      <c r="X12" s="1741">
        <v>931</v>
      </c>
      <c r="Y12" s="1742">
        <f>C21</f>
        <v>104.05</v>
      </c>
      <c r="Z12" s="1742">
        <f>E21</f>
        <v>114.97</v>
      </c>
      <c r="AA12" s="1742">
        <f>Z12-Y12</f>
        <v>10.920000000000002</v>
      </c>
      <c r="AB12" s="1743">
        <f>Z12/Y12-1</f>
        <v>0.10494954348870733</v>
      </c>
    </row>
    <row r="13" spans="1:28">
      <c r="A13" s="1707">
        <v>400</v>
      </c>
      <c r="C13" s="1708">
        <f t="shared" si="4"/>
        <v>42</v>
      </c>
      <c r="E13" s="1708">
        <f t="shared" si="5"/>
        <v>48.84</v>
      </c>
      <c r="F13" s="1708"/>
      <c r="G13" s="1722">
        <f t="shared" si="0"/>
        <v>6.8400000000000034</v>
      </c>
      <c r="I13" s="1723">
        <f t="shared" si="1"/>
        <v>0.16300000000000001</v>
      </c>
      <c r="K13" s="1708">
        <f t="shared" si="6"/>
        <v>42</v>
      </c>
      <c r="M13" s="1708">
        <f t="shared" si="7"/>
        <v>44.39</v>
      </c>
      <c r="N13" s="1708"/>
      <c r="O13" s="1722">
        <f t="shared" si="2"/>
        <v>2.3900000000000006</v>
      </c>
      <c r="Q13" s="1723">
        <f t="shared" si="3"/>
        <v>5.7000000000000002E-2</v>
      </c>
      <c r="S13" s="1736" t="s">
        <v>1712</v>
      </c>
      <c r="T13" s="1744">
        <v>8.8498000000000001</v>
      </c>
      <c r="U13" s="1745">
        <f>'Blocking-Step1'!Q29</f>
        <v>9.3469672969405249</v>
      </c>
      <c r="V13" s="1739"/>
      <c r="W13" s="1746" t="s">
        <v>80</v>
      </c>
      <c r="X13" s="1741">
        <v>697</v>
      </c>
      <c r="Y13" s="1742">
        <f>K16</f>
        <v>74.19</v>
      </c>
      <c r="Z13" s="1742">
        <f>M16</f>
        <v>77.12</v>
      </c>
      <c r="AA13" s="1742">
        <f>Z13-Y13</f>
        <v>2.9300000000000068</v>
      </c>
      <c r="AB13" s="1747">
        <f>Z13/Y13-1</f>
        <v>3.9493193152716044E-2</v>
      </c>
    </row>
    <row r="14" spans="1:28">
      <c r="A14" s="1707">
        <v>500</v>
      </c>
      <c r="C14" s="1708">
        <f t="shared" si="4"/>
        <v>53.68</v>
      </c>
      <c r="E14" s="1708">
        <f t="shared" si="5"/>
        <v>61.29</v>
      </c>
      <c r="F14" s="1708"/>
      <c r="G14" s="1722">
        <f t="shared" si="0"/>
        <v>7.6099999999999994</v>
      </c>
      <c r="I14" s="1723">
        <f t="shared" si="1"/>
        <v>0.14199999999999999</v>
      </c>
      <c r="K14" s="1708">
        <f t="shared" si="6"/>
        <v>52.84</v>
      </c>
      <c r="M14" s="1708">
        <f t="shared" si="7"/>
        <v>55.41</v>
      </c>
      <c r="N14" s="1708"/>
      <c r="O14" s="1722">
        <f t="shared" si="2"/>
        <v>2.5699999999999932</v>
      </c>
      <c r="Q14" s="1723">
        <f t="shared" si="3"/>
        <v>4.9000000000000002E-2</v>
      </c>
      <c r="S14" s="1736" t="s">
        <v>1713</v>
      </c>
      <c r="T14" s="1744">
        <v>11.542899999999999</v>
      </c>
      <c r="U14" s="1745">
        <f>'Blocking-Step1'!Q30</f>
        <v>12.040067296940524</v>
      </c>
      <c r="V14" s="1739"/>
      <c r="W14" s="1748" t="s">
        <v>494</v>
      </c>
      <c r="X14" s="1749">
        <v>775</v>
      </c>
      <c r="Y14" s="1750">
        <f>(C18*5+K18*7)/12</f>
        <v>83.970833333333346</v>
      </c>
      <c r="Z14" s="1750">
        <f>(E18*4+M18*8)/12</f>
        <v>88.993333333333339</v>
      </c>
      <c r="AA14" s="1750">
        <f>Z14-Y14</f>
        <v>5.0224999999999937</v>
      </c>
      <c r="AB14" s="1751">
        <f>Z14/Y14-1</f>
        <v>5.9812434873219855E-2</v>
      </c>
    </row>
    <row r="15" spans="1:28">
      <c r="A15" s="1707">
        <v>600</v>
      </c>
      <c r="C15" s="1708">
        <f t="shared" si="4"/>
        <v>65.37</v>
      </c>
      <c r="E15" s="1708">
        <f t="shared" si="5"/>
        <v>73.75</v>
      </c>
      <c r="F15" s="1708"/>
      <c r="G15" s="1722">
        <f t="shared" ref="G15" si="8">E15-C15</f>
        <v>8.3799999999999955</v>
      </c>
      <c r="I15" s="1723">
        <f t="shared" ref="I15" si="9">ROUND(IF(C15=0,0,E15/C15-1),3)</f>
        <v>0.128</v>
      </c>
      <c r="K15" s="1708">
        <f t="shared" si="6"/>
        <v>63.68</v>
      </c>
      <c r="M15" s="1708">
        <f t="shared" si="7"/>
        <v>66.430000000000007</v>
      </c>
      <c r="N15" s="1708"/>
      <c r="O15" s="1722">
        <f t="shared" si="2"/>
        <v>2.7500000000000071</v>
      </c>
      <c r="Q15" s="1723">
        <f t="shared" si="3"/>
        <v>4.2999999999999997E-2</v>
      </c>
      <c r="S15" s="1736" t="s">
        <v>1714</v>
      </c>
      <c r="T15" s="1744">
        <v>14.450799999999999</v>
      </c>
      <c r="U15" s="1745">
        <f>U14</f>
        <v>12.040067296940524</v>
      </c>
      <c r="V15" s="1739"/>
      <c r="W15" s="1748" t="s">
        <v>494</v>
      </c>
      <c r="X15" s="1749">
        <v>800</v>
      </c>
      <c r="Y15" s="1750">
        <f>(C19*5+K19*7)/12</f>
        <v>86.768333333333331</v>
      </c>
      <c r="Z15" s="1750">
        <f>(E19*4+M19*8)/12</f>
        <v>91.873333333333335</v>
      </c>
      <c r="AA15" s="1750">
        <f>Z15-Y15</f>
        <v>5.105000000000004</v>
      </c>
      <c r="AB15" s="1751">
        <f>Z15/Y15-1</f>
        <v>5.88348283744069E-2</v>
      </c>
    </row>
    <row r="16" spans="1:28">
      <c r="A16" s="1707">
        <f>X13</f>
        <v>697</v>
      </c>
      <c r="B16" s="1704" t="s">
        <v>1716</v>
      </c>
      <c r="F16" s="1708"/>
      <c r="G16" s="1722"/>
      <c r="I16" s="1723"/>
      <c r="K16" s="1708">
        <f t="shared" si="6"/>
        <v>74.19</v>
      </c>
      <c r="M16" s="1708">
        <f t="shared" si="7"/>
        <v>77.12</v>
      </c>
      <c r="N16" s="1708"/>
      <c r="O16" s="1722">
        <f>M16-K16</f>
        <v>2.9300000000000068</v>
      </c>
      <c r="Q16" s="1723">
        <f>ROUND(IF(K16=0,0,M16/K16-1),3)</f>
        <v>3.9E-2</v>
      </c>
      <c r="S16" s="1736" t="s">
        <v>1715</v>
      </c>
      <c r="T16" s="1737">
        <v>8</v>
      </c>
      <c r="U16" s="1738"/>
      <c r="V16" s="1739"/>
      <c r="X16" s="1702"/>
      <c r="AB16" s="1752"/>
    </row>
    <row r="17" spans="1:24">
      <c r="A17" s="1707">
        <v>700</v>
      </c>
      <c r="C17" s="1708">
        <f t="shared" ref="C17:C31" si="10">ROUND($T$12+((MIN(400,$A17)*$T$13+MAX(0,MIN(600,$A17-400))*$T$14+MAX(0,$A17-1000)*$T$15)/100+MAX(0,$T$16-($T$12+(MIN(400,$A17)*$T$13+MAX(0,MIN(600,$A17-400))*$T$14+MAX(0,$A17-1000)*$T$15)/100)))*((1+$T$32)*(1+$T$18)+$T$27)+$T$17,2)</f>
        <v>77.05</v>
      </c>
      <c r="E17" s="1708">
        <f t="shared" ref="E17:E31" si="11">ROUND($U$12+((MIN(400,$A17)*$U$13+MAX(0,MIN(600,$A17-400))*$U$14+MAX(0,$A17-1000)*$U$15)/100+MAX(0,$U$16-($U$12+(MIN(400,$A17)*$U$13+MAX(0,MIN(600,$A17-400))*$U$14+MAX(0,$A17-1000)*$U$15)/100)))*((1+$U$32)*(1+$U$18)+$U$27)+$U$17,2)</f>
        <v>86.2</v>
      </c>
      <c r="F17" s="1708"/>
      <c r="G17" s="1722">
        <f>E17-C17</f>
        <v>9.1500000000000057</v>
      </c>
      <c r="I17" s="1723">
        <f>ROUND(IF(C17=0,0,E17/C17-1),3)</f>
        <v>0.11899999999999999</v>
      </c>
      <c r="K17" s="1708">
        <f t="shared" si="6"/>
        <v>74.52</v>
      </c>
      <c r="M17" s="1708">
        <f t="shared" si="7"/>
        <v>77.45</v>
      </c>
      <c r="N17" s="1708"/>
      <c r="O17" s="1722">
        <f>M17-K17</f>
        <v>2.9300000000000068</v>
      </c>
      <c r="Q17" s="1723">
        <f>ROUND(IF(K17=0,0,M17/K17-1),3)</f>
        <v>3.9E-2</v>
      </c>
      <c r="S17" s="1736" t="s">
        <v>1133</v>
      </c>
      <c r="T17" s="1737">
        <v>0.16</v>
      </c>
      <c r="U17" s="1738">
        <f>T17</f>
        <v>0.16</v>
      </c>
      <c r="V17" s="1739"/>
      <c r="W17" s="1753"/>
      <c r="X17" s="1753"/>
    </row>
    <row r="18" spans="1:24">
      <c r="A18" s="1707">
        <f>X14</f>
        <v>775</v>
      </c>
      <c r="B18" s="1704" t="s">
        <v>1717</v>
      </c>
      <c r="C18" s="1708">
        <f t="shared" si="10"/>
        <v>85.82</v>
      </c>
      <c r="E18" s="1708">
        <f t="shared" si="11"/>
        <v>95.54</v>
      </c>
      <c r="F18" s="1708"/>
      <c r="G18" s="1722">
        <f>E18-C18</f>
        <v>9.7200000000000131</v>
      </c>
      <c r="I18" s="1723">
        <f>ROUND(IF(C18=0,0,E18/C18-1),3)</f>
        <v>0.113</v>
      </c>
      <c r="K18" s="1708">
        <f t="shared" si="6"/>
        <v>82.65</v>
      </c>
      <c r="M18" s="1708">
        <f t="shared" si="7"/>
        <v>85.72</v>
      </c>
      <c r="N18" s="1708"/>
      <c r="O18" s="1722">
        <f>M18-K18</f>
        <v>3.0699999999999932</v>
      </c>
      <c r="Q18" s="1723">
        <f>ROUND(IF(K18=0,0,M18/K18-1),3)</f>
        <v>3.6999999999999998E-2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800</v>
      </c>
      <c r="C19" s="1708">
        <f t="shared" si="10"/>
        <v>88.74</v>
      </c>
      <c r="E19" s="1708">
        <f t="shared" si="11"/>
        <v>98.66</v>
      </c>
      <c r="F19" s="1708"/>
      <c r="G19" s="1722">
        <f>E19-C19</f>
        <v>9.9200000000000017</v>
      </c>
      <c r="I19" s="1723">
        <f>ROUND(IF(C19=0,0,E19/C19-1),3)</f>
        <v>0.112</v>
      </c>
      <c r="K19" s="1708">
        <f t="shared" si="6"/>
        <v>85.36</v>
      </c>
      <c r="M19" s="1708">
        <f t="shared" si="7"/>
        <v>88.48</v>
      </c>
      <c r="N19" s="1708"/>
      <c r="O19" s="1722">
        <f>M19-K19</f>
        <v>3.1200000000000045</v>
      </c>
      <c r="Q19" s="1723">
        <f>ROUND(IF(K19=0,0,M19/K19-1),3)</f>
        <v>3.6999999999999998E-2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900</v>
      </c>
      <c r="C20" s="1708">
        <f t="shared" si="10"/>
        <v>100.42</v>
      </c>
      <c r="E20" s="1708">
        <f t="shared" si="11"/>
        <v>111.11</v>
      </c>
      <c r="F20" s="1708"/>
      <c r="G20" s="1722">
        <f t="shared" ref="G20:G31" si="12">E20-C20</f>
        <v>10.689999999999998</v>
      </c>
      <c r="I20" s="1723">
        <f t="shared" ref="I20:I31" si="13">ROUND(IF(C20=0,0,E20/C20-1),3)</f>
        <v>0.106</v>
      </c>
      <c r="K20" s="1708">
        <f t="shared" si="6"/>
        <v>96.19</v>
      </c>
      <c r="M20" s="1708">
        <f t="shared" si="7"/>
        <v>99.5</v>
      </c>
      <c r="N20" s="1708"/>
      <c r="O20" s="1722">
        <f>M20-K20</f>
        <v>3.3100000000000023</v>
      </c>
      <c r="Q20" s="1723">
        <f>ROUND(IF(K20=0,0,M20/K20-1),3)</f>
        <v>3.4000000000000002E-2</v>
      </c>
      <c r="S20" s="1736" t="s">
        <v>1711</v>
      </c>
      <c r="T20" s="1737">
        <v>6</v>
      </c>
      <c r="U20" s="1738">
        <f>U12</f>
        <v>10</v>
      </c>
      <c r="V20" s="1739"/>
      <c r="W20" s="1753"/>
      <c r="X20" s="1753"/>
    </row>
    <row r="21" spans="1:24">
      <c r="A21" s="1707">
        <f>X12</f>
        <v>931</v>
      </c>
      <c r="B21" s="1704" t="s">
        <v>1719</v>
      </c>
      <c r="C21" s="1708">
        <f t="shared" si="10"/>
        <v>104.05</v>
      </c>
      <c r="E21" s="1708">
        <f t="shared" si="11"/>
        <v>114.97</v>
      </c>
      <c r="F21" s="1708"/>
      <c r="G21" s="1722">
        <f t="shared" si="12"/>
        <v>10.920000000000002</v>
      </c>
      <c r="I21" s="1723">
        <f t="shared" si="13"/>
        <v>0.105</v>
      </c>
      <c r="N21" s="1708"/>
      <c r="O21" s="1722"/>
      <c r="Q21" s="1723"/>
      <c r="S21" s="1736" t="s">
        <v>1712</v>
      </c>
      <c r="T21" s="1758">
        <v>8.8498000000000001</v>
      </c>
      <c r="U21" s="1745">
        <f>'Blocking-Step1'!Q32</f>
        <v>8.2716524751690006</v>
      </c>
      <c r="V21" s="1739"/>
      <c r="W21" s="1753"/>
      <c r="X21" s="1753"/>
    </row>
    <row r="22" spans="1:24">
      <c r="A22" s="1707">
        <v>1000</v>
      </c>
      <c r="C22" s="1708">
        <f t="shared" si="10"/>
        <v>112.11</v>
      </c>
      <c r="E22" s="1708">
        <f t="shared" si="11"/>
        <v>123.57</v>
      </c>
      <c r="F22" s="1708"/>
      <c r="G22" s="1722">
        <f t="shared" si="12"/>
        <v>11.459999999999994</v>
      </c>
      <c r="I22" s="1723">
        <f t="shared" si="13"/>
        <v>0.10199999999999999</v>
      </c>
      <c r="K22" s="1708">
        <f t="shared" ref="K22:K30" si="14">ROUND($T$20+((MIN(400,$A22)*$T$21+MAX(0,MIN(600,$A22-400))*$T$22+MAX(0,$A22-1000)*$T$23)/100+MAX(0,$T$24-($T$20+(MIN(400,$A22)*$T$21+MAX(0,MIN(600,$A22-400))*$T$22+MAX(0,$A22-1000)*$T$23)/100)))*((1+$T$32)*(1+$T$26)+$T$27)+$T$25,2)</f>
        <v>107.03</v>
      </c>
      <c r="M22" s="1708">
        <f t="shared" ref="M22:M30" si="15">ROUND($U$20+((MIN(400,$A22)*$U$21+MAX(0,MIN(600,$A22-400))*$U$22+MAX(0,$A22-1000)*$U$23)/100+MAX(0,$U$24-($U$20+(MIN(400,$A22)*$U$21+MAX(0,MIN(600,$A22-400))*$U$22+MAX(0,$A22-1000)*$U$23)/100)))*((1+$U$32)*(1+$U$26)+$U$27)+$U$25,2)</f>
        <v>110.52</v>
      </c>
      <c r="N22" s="1708"/>
      <c r="O22" s="1722">
        <f t="shared" ref="O22:O31" si="16">M22-K22</f>
        <v>3.4899999999999949</v>
      </c>
      <c r="Q22" s="1723">
        <f t="shared" ref="Q22:Q31" si="17">ROUND(IF(K22=0,0,M22/K22-1),3)</f>
        <v>3.3000000000000002E-2</v>
      </c>
      <c r="S22" s="1736" t="s">
        <v>1713</v>
      </c>
      <c r="T22" s="1758">
        <v>10.7072</v>
      </c>
      <c r="U22" s="1745">
        <f>'Blocking-Step1'!Q33</f>
        <v>10.654926811452</v>
      </c>
      <c r="V22" s="1739"/>
      <c r="W22" s="1753"/>
      <c r="X22" s="1753"/>
    </row>
    <row r="23" spans="1:24">
      <c r="A23" s="1707">
        <v>1100</v>
      </c>
      <c r="C23" s="1708">
        <f t="shared" si="10"/>
        <v>126.74</v>
      </c>
      <c r="E23" s="1708">
        <f t="shared" si="11"/>
        <v>136.02000000000001</v>
      </c>
      <c r="F23" s="1708"/>
      <c r="G23" s="1722">
        <f t="shared" si="12"/>
        <v>9.2800000000000153</v>
      </c>
      <c r="I23" s="1723">
        <f t="shared" si="13"/>
        <v>7.2999999999999995E-2</v>
      </c>
      <c r="K23" s="1708">
        <f t="shared" si="14"/>
        <v>117.87</v>
      </c>
      <c r="M23" s="1708">
        <f t="shared" si="15"/>
        <v>121.54</v>
      </c>
      <c r="N23" s="1708"/>
      <c r="O23" s="1722">
        <f t="shared" si="16"/>
        <v>3.6700000000000017</v>
      </c>
      <c r="Q23" s="1723">
        <f t="shared" si="17"/>
        <v>3.1E-2</v>
      </c>
      <c r="S23" s="1736" t="s">
        <v>1714</v>
      </c>
      <c r="T23" s="1758">
        <v>10.7072</v>
      </c>
      <c r="U23" s="1745">
        <f>U22</f>
        <v>10.654926811452</v>
      </c>
      <c r="V23" s="1739"/>
      <c r="W23" s="1753"/>
      <c r="X23" s="1753"/>
    </row>
    <row r="24" spans="1:24">
      <c r="A24" s="1707">
        <v>1200</v>
      </c>
      <c r="C24" s="1708">
        <f t="shared" si="10"/>
        <v>141.37</v>
      </c>
      <c r="E24" s="1708">
        <f t="shared" si="11"/>
        <v>148.47999999999999</v>
      </c>
      <c r="F24" s="1708"/>
      <c r="G24" s="1722">
        <f t="shared" si="12"/>
        <v>7.1099999999999852</v>
      </c>
      <c r="I24" s="1723">
        <f t="shared" si="13"/>
        <v>0.05</v>
      </c>
      <c r="K24" s="1708">
        <f t="shared" si="14"/>
        <v>128.71</v>
      </c>
      <c r="M24" s="1708">
        <f t="shared" si="15"/>
        <v>132.56</v>
      </c>
      <c r="N24" s="1708"/>
      <c r="O24" s="1722">
        <f t="shared" si="16"/>
        <v>3.8499999999999943</v>
      </c>
      <c r="Q24" s="1723">
        <f t="shared" si="17"/>
        <v>0.03</v>
      </c>
      <c r="S24" s="1736" t="s">
        <v>1715</v>
      </c>
      <c r="T24" s="1737">
        <v>8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156</v>
      </c>
      <c r="E25" s="1708">
        <f t="shared" si="11"/>
        <v>160.93</v>
      </c>
      <c r="F25" s="1708"/>
      <c r="G25" s="1722">
        <f t="shared" si="12"/>
        <v>4.9300000000000068</v>
      </c>
      <c r="I25" s="1723">
        <f t="shared" si="13"/>
        <v>3.2000000000000001E-2</v>
      </c>
      <c r="K25" s="1708">
        <f t="shared" si="14"/>
        <v>139.55000000000001</v>
      </c>
      <c r="M25" s="1708">
        <f t="shared" si="15"/>
        <v>143.59</v>
      </c>
      <c r="N25" s="1708"/>
      <c r="O25" s="1722">
        <f t="shared" si="16"/>
        <v>4.039999999999992</v>
      </c>
      <c r="Q25" s="1723">
        <f t="shared" si="17"/>
        <v>2.9000000000000001E-2</v>
      </c>
      <c r="S25" s="1736" t="s">
        <v>1133</v>
      </c>
      <c r="T25" s="1737"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170.63</v>
      </c>
      <c r="E26" s="1708">
        <f t="shared" si="11"/>
        <v>173.39</v>
      </c>
      <c r="F26" s="1708"/>
      <c r="G26" s="1722">
        <f t="shared" si="12"/>
        <v>2.7599999999999909</v>
      </c>
      <c r="I26" s="1723">
        <f t="shared" si="13"/>
        <v>1.6E-2</v>
      </c>
      <c r="K26" s="1708">
        <f t="shared" si="14"/>
        <v>150.38999999999999</v>
      </c>
      <c r="M26" s="1708">
        <f t="shared" si="15"/>
        <v>154.61000000000001</v>
      </c>
      <c r="N26" s="1708"/>
      <c r="O26" s="1722">
        <f t="shared" si="16"/>
        <v>4.2200000000000273</v>
      </c>
      <c r="Q26" s="1723">
        <f t="shared" si="17"/>
        <v>2.8000000000000001E-2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185.26</v>
      </c>
      <c r="E27" s="1708">
        <f t="shared" si="11"/>
        <v>185.84</v>
      </c>
      <c r="F27" s="1708"/>
      <c r="G27" s="1722">
        <f t="shared" si="12"/>
        <v>0.58000000000001251</v>
      </c>
      <c r="I27" s="1723">
        <f t="shared" si="13"/>
        <v>3.0000000000000001E-3</v>
      </c>
      <c r="K27" s="1708">
        <f t="shared" si="14"/>
        <v>161.22999999999999</v>
      </c>
      <c r="M27" s="1708">
        <f t="shared" si="15"/>
        <v>165.63</v>
      </c>
      <c r="N27" s="1708"/>
      <c r="O27" s="1722">
        <f t="shared" si="16"/>
        <v>4.4000000000000057</v>
      </c>
      <c r="Q27" s="1723">
        <f t="shared" si="17"/>
        <v>2.7E-2</v>
      </c>
      <c r="S27" s="1762" t="s">
        <v>1720</v>
      </c>
      <c r="T27" s="1763">
        <v>-3.9100000000000003E-2</v>
      </c>
      <c r="U27" s="1764">
        <f>'Blocking-Step1'!Q43</f>
        <v>-1.7000000000000001E-2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258.39999999999998</v>
      </c>
      <c r="E28" s="1708">
        <f t="shared" si="11"/>
        <v>248.12</v>
      </c>
      <c r="F28" s="1708"/>
      <c r="G28" s="1722">
        <f t="shared" si="12"/>
        <v>-10.279999999999973</v>
      </c>
      <c r="I28" s="1723">
        <f t="shared" si="13"/>
        <v>-0.04</v>
      </c>
      <c r="K28" s="1708">
        <f t="shared" si="14"/>
        <v>215.43</v>
      </c>
      <c r="M28" s="1708">
        <f t="shared" si="15"/>
        <v>220.74</v>
      </c>
      <c r="N28" s="1708"/>
      <c r="O28" s="1722">
        <f t="shared" si="16"/>
        <v>5.3100000000000023</v>
      </c>
      <c r="Q28" s="1723">
        <f t="shared" si="17"/>
        <v>2.5000000000000001E-2</v>
      </c>
      <c r="S28" s="1736" t="s">
        <v>1721</v>
      </c>
      <c r="T28" s="1765"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404.7</v>
      </c>
      <c r="E29" s="1708">
        <f t="shared" si="11"/>
        <v>372.67</v>
      </c>
      <c r="F29" s="1708"/>
      <c r="G29" s="1722">
        <f t="shared" si="12"/>
        <v>-32.029999999999973</v>
      </c>
      <c r="I29" s="1723">
        <f t="shared" si="13"/>
        <v>-7.9000000000000001E-2</v>
      </c>
      <c r="K29" s="1708">
        <f t="shared" si="14"/>
        <v>323.83</v>
      </c>
      <c r="M29" s="1708">
        <f t="shared" si="15"/>
        <v>330.96</v>
      </c>
      <c r="N29" s="1708"/>
      <c r="O29" s="1722">
        <f t="shared" si="16"/>
        <v>7.1299999999999955</v>
      </c>
      <c r="Q29" s="1723">
        <f t="shared" si="17"/>
        <v>2.1999999999999999E-2</v>
      </c>
      <c r="S29" s="1736" t="s">
        <v>1722</v>
      </c>
      <c r="T29" s="1765"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550.99</v>
      </c>
      <c r="E30" s="1708">
        <f t="shared" si="11"/>
        <v>497.22</v>
      </c>
      <c r="F30" s="1708"/>
      <c r="G30" s="1722">
        <f t="shared" si="12"/>
        <v>-53.769999999999982</v>
      </c>
      <c r="I30" s="1723">
        <f t="shared" si="13"/>
        <v>-9.8000000000000004E-2</v>
      </c>
      <c r="K30" s="1708">
        <f t="shared" si="14"/>
        <v>432.22</v>
      </c>
      <c r="M30" s="1708">
        <f t="shared" si="15"/>
        <v>441.18</v>
      </c>
      <c r="N30" s="1708"/>
      <c r="O30" s="1722">
        <f t="shared" si="16"/>
        <v>8.9599999999999795</v>
      </c>
      <c r="Q30" s="1723">
        <f t="shared" si="17"/>
        <v>2.1000000000000001E-2</v>
      </c>
      <c r="S30" s="1736" t="s">
        <v>1685</v>
      </c>
      <c r="T30" s="1765"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697.29</v>
      </c>
      <c r="E31" s="1708">
        <f t="shared" si="11"/>
        <v>621.77</v>
      </c>
      <c r="F31" s="1708"/>
      <c r="G31" s="1722">
        <f t="shared" si="12"/>
        <v>-75.519999999999982</v>
      </c>
      <c r="I31" s="1723">
        <f t="shared" si="13"/>
        <v>-0.108</v>
      </c>
      <c r="K31" s="1708">
        <f>ROUND($T$20+((MIN(400,$A31)*$T$21+MAX(0,MIN(600,$A31-400))*$T$22+MAX(0,$A31-1000)*$T$23)/100+MAX(0,$T$24-($T$20+(MIN(400,$A31)*$T$21+MAX(0,MIN(600,$A31-400))*$T$22+MAX(0,$A31-1000)*$T$23)/100)))*((1+$T$32)*(1+$T$26)+$T$27)+$T$25,2)</f>
        <v>540.62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551.4</v>
      </c>
      <c r="N31" s="1708"/>
      <c r="O31" s="1722">
        <f t="shared" si="16"/>
        <v>10.779999999999973</v>
      </c>
      <c r="Q31" s="1723">
        <f t="shared" si="17"/>
        <v>0.02</v>
      </c>
      <c r="S31" s="1736" t="s">
        <v>1686</v>
      </c>
      <c r="T31" s="1765"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 ht="15.75">
      <c r="A34" s="1770" t="s">
        <v>1723</v>
      </c>
      <c r="W34" s="1753"/>
      <c r="X34" s="1753"/>
    </row>
    <row r="35" spans="1:28">
      <c r="A35" s="1707" t="s">
        <v>1724</v>
      </c>
      <c r="W35" s="1753"/>
      <c r="X35" s="1753"/>
    </row>
    <row r="36" spans="1:28">
      <c r="A36" s="1771"/>
      <c r="B36" s="1702"/>
      <c r="C36" s="1772"/>
      <c r="D36" s="1702"/>
      <c r="E36" s="1772"/>
      <c r="F36" s="1702"/>
      <c r="G36" s="1773"/>
      <c r="H36" s="1702"/>
      <c r="I36" s="1702"/>
      <c r="J36" s="1702"/>
      <c r="K36" s="1772"/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8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5.625" style="1704" bestFit="1" customWidth="1"/>
    <col min="26" max="26" width="7" style="1704" bestFit="1" customWidth="1"/>
    <col min="27" max="27" width="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2253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 t="s">
        <v>2336</v>
      </c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146"/>
      <c r="H6" s="2146"/>
      <c r="I6" s="2146"/>
      <c r="K6" s="1709"/>
      <c r="L6" s="1701"/>
      <c r="M6" s="1709"/>
      <c r="O6" s="2146"/>
      <c r="P6" s="2146"/>
      <c r="Q6" s="2146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216</v>
      </c>
      <c r="E9" s="1718" t="s">
        <v>2335</v>
      </c>
      <c r="G9" s="1719" t="s">
        <v>1399</v>
      </c>
      <c r="I9" s="1720" t="s">
        <v>465</v>
      </c>
      <c r="K9" s="1717" t="s">
        <v>216</v>
      </c>
      <c r="M9" s="1718" t="s">
        <v>2335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15.12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15.83</v>
      </c>
      <c r="F10" s="1708"/>
      <c r="G10" s="1722">
        <f t="shared" ref="G10:G14" si="0">E10-C10</f>
        <v>0.71000000000000085</v>
      </c>
      <c r="I10" s="1723">
        <f t="shared" ref="I10:I14" si="1">ROUND(IF(C10=0,0,E10/C10-1),3)</f>
        <v>4.7E-2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15.12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14.72</v>
      </c>
      <c r="N10" s="1708"/>
      <c r="O10" s="1722">
        <f t="shared" ref="O10:O12" si="2">M10-K10</f>
        <v>-0.39999999999999858</v>
      </c>
      <c r="Q10" s="1723">
        <f t="shared" ref="Q10:Q12" si="3">ROUND(IF(K10=0,0,M10/K10-1),3)</f>
        <v>-2.5999999999999999E-2</v>
      </c>
      <c r="S10" s="1724" t="s">
        <v>448</v>
      </c>
      <c r="T10" s="1725" t="s">
        <v>216</v>
      </c>
      <c r="U10" s="1726" t="s">
        <v>2335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24.08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25.5</v>
      </c>
      <c r="F11" s="1708"/>
      <c r="G11" s="1722">
        <f t="shared" si="0"/>
        <v>1.4200000000000017</v>
      </c>
      <c r="I11" s="1723">
        <f t="shared" si="1"/>
        <v>5.8999999999999997E-2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24.08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23.27</v>
      </c>
      <c r="N11" s="1708"/>
      <c r="O11" s="1722">
        <f t="shared" si="2"/>
        <v>-0.80999999999999872</v>
      </c>
      <c r="Q11" s="1723">
        <f t="shared" si="3"/>
        <v>-3.4000000000000002E-2</v>
      </c>
      <c r="S11" s="1731" t="s">
        <v>79</v>
      </c>
      <c r="T11" s="1702"/>
      <c r="U11" s="1732"/>
      <c r="W11" s="1702"/>
      <c r="X11" s="1733" t="s">
        <v>111</v>
      </c>
      <c r="Y11" s="1733" t="s">
        <v>216</v>
      </c>
      <c r="Z11" s="1733" t="s">
        <v>1367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33.04</v>
      </c>
      <c r="E12" s="1708">
        <f t="shared" si="5"/>
        <v>35.17</v>
      </c>
      <c r="F12" s="1708"/>
      <c r="G12" s="1722">
        <f t="shared" si="0"/>
        <v>2.1300000000000026</v>
      </c>
      <c r="I12" s="1723">
        <f t="shared" si="1"/>
        <v>6.4000000000000001E-2</v>
      </c>
      <c r="K12" s="1708">
        <f t="shared" si="6"/>
        <v>33.04</v>
      </c>
      <c r="M12" s="1708">
        <f t="shared" si="7"/>
        <v>31.83</v>
      </c>
      <c r="N12" s="1708"/>
      <c r="O12" s="1722">
        <f t="shared" si="2"/>
        <v>-1.2100000000000009</v>
      </c>
      <c r="Q12" s="1723">
        <f t="shared" si="3"/>
        <v>-3.6999999999999998E-2</v>
      </c>
      <c r="S12" s="1736" t="s">
        <v>1711</v>
      </c>
      <c r="T12" s="1737">
        <v>6</v>
      </c>
      <c r="U12" s="1738">
        <f>'Blocking-Step1'!Q14</f>
        <v>6</v>
      </c>
      <c r="V12" s="1739"/>
      <c r="W12" s="1740" t="s">
        <v>79</v>
      </c>
      <c r="X12" s="1741">
        <v>513</v>
      </c>
      <c r="Y12" s="1742">
        <f>C17</f>
        <v>55.2</v>
      </c>
      <c r="Z12" s="1742">
        <f>E17</f>
        <v>58.91</v>
      </c>
      <c r="AA12" s="1742">
        <f>Z12-Y12</f>
        <v>3.7099999999999937</v>
      </c>
      <c r="AB12" s="1743">
        <f>Z12/Y12-1</f>
        <v>6.7210144927536186E-2</v>
      </c>
    </row>
    <row r="13" spans="1:28">
      <c r="A13" s="1707">
        <f>X13</f>
        <v>392</v>
      </c>
      <c r="B13" s="1704" t="s">
        <v>1716</v>
      </c>
      <c r="F13" s="1708"/>
      <c r="G13" s="1722"/>
      <c r="I13" s="1723"/>
      <c r="K13" s="1708">
        <f t="shared" si="6"/>
        <v>41.28</v>
      </c>
      <c r="M13" s="1708">
        <f t="shared" si="7"/>
        <v>39.700000000000003</v>
      </c>
      <c r="N13" s="1708"/>
      <c r="O13" s="1722">
        <f>M13-K13</f>
        <v>-1.5799999999999983</v>
      </c>
      <c r="Q13" s="1723">
        <f>ROUND(IF(K13=0,0,M13/K13-1),3)</f>
        <v>-3.7999999999999999E-2</v>
      </c>
      <c r="S13" s="1736" t="s">
        <v>1712</v>
      </c>
      <c r="T13" s="1744">
        <v>8.8498000000000001</v>
      </c>
      <c r="U13" s="1745">
        <f>'Blocking-Step1'!Q29</f>
        <v>9.3469672969405249</v>
      </c>
      <c r="V13" s="1739"/>
      <c r="W13" s="1746" t="s">
        <v>80</v>
      </c>
      <c r="X13" s="1741">
        <v>392</v>
      </c>
      <c r="Y13" s="1742">
        <f>K13</f>
        <v>41.28</v>
      </c>
      <c r="Z13" s="1742">
        <f>M13</f>
        <v>39.700000000000003</v>
      </c>
      <c r="AA13" s="1742">
        <f>Z13-Y13</f>
        <v>-1.5799999999999983</v>
      </c>
      <c r="AB13" s="1747">
        <f>Z13/Y13-1</f>
        <v>-3.8275193798449569E-2</v>
      </c>
    </row>
    <row r="14" spans="1:28">
      <c r="A14" s="1707">
        <v>400</v>
      </c>
      <c r="C14" s="1708">
        <f t="shared" si="4"/>
        <v>42</v>
      </c>
      <c r="E14" s="1708">
        <f t="shared" si="5"/>
        <v>44.84</v>
      </c>
      <c r="F14" s="1708"/>
      <c r="G14" s="1722">
        <f t="shared" si="0"/>
        <v>2.8400000000000034</v>
      </c>
      <c r="I14" s="1723">
        <f t="shared" si="1"/>
        <v>6.8000000000000005E-2</v>
      </c>
      <c r="K14" s="1708">
        <f t="shared" si="6"/>
        <v>42</v>
      </c>
      <c r="M14" s="1708">
        <f t="shared" si="7"/>
        <v>40.39</v>
      </c>
      <c r="N14" s="1708"/>
      <c r="O14" s="1722">
        <f>M14-K14</f>
        <v>-1.6099999999999994</v>
      </c>
      <c r="Q14" s="1723">
        <f>ROUND(IF(K14=0,0,M14/K14-1),3)</f>
        <v>-3.7999999999999999E-2</v>
      </c>
      <c r="S14" s="1736" t="s">
        <v>1713</v>
      </c>
      <c r="T14" s="1744">
        <v>11.542899999999999</v>
      </c>
      <c r="U14" s="1745">
        <f>'Blocking-Step1'!Q30</f>
        <v>12.040067296940524</v>
      </c>
      <c r="V14" s="1739"/>
      <c r="W14" s="1748" t="s">
        <v>494</v>
      </c>
      <c r="X14" s="1749">
        <v>433</v>
      </c>
      <c r="Y14" s="1750">
        <f>(C15*5+K15*7)/12</f>
        <v>45.686666666666667</v>
      </c>
      <c r="Z14" s="1750">
        <f>(E15*4+M15*8)/12</f>
        <v>45.663333333333334</v>
      </c>
      <c r="AA14" s="1750">
        <f>Z14-Y14</f>
        <v>-2.3333333333333428E-2</v>
      </c>
      <c r="AB14" s="1751">
        <f>Z14/Y14-1</f>
        <v>-5.107252298263143E-4</v>
      </c>
    </row>
    <row r="15" spans="1:28">
      <c r="A15" s="1707">
        <f>X14</f>
        <v>433</v>
      </c>
      <c r="B15" s="1704" t="s">
        <v>1717</v>
      </c>
      <c r="C15" s="1708">
        <f t="shared" si="4"/>
        <v>45.85</v>
      </c>
      <c r="E15" s="1708">
        <f t="shared" si="5"/>
        <v>48.95</v>
      </c>
      <c r="F15" s="1708"/>
      <c r="G15" s="1722">
        <f t="shared" ref="G15" si="8">E15-C15</f>
        <v>3.1000000000000014</v>
      </c>
      <c r="I15" s="1723">
        <f t="shared" ref="I15" si="9">ROUND(IF(C15=0,0,E15/C15-1),3)</f>
        <v>6.8000000000000005E-2</v>
      </c>
      <c r="K15" s="1708">
        <f t="shared" si="6"/>
        <v>45.57</v>
      </c>
      <c r="M15" s="1708">
        <f t="shared" si="7"/>
        <v>44.02</v>
      </c>
      <c r="N15" s="1708"/>
      <c r="O15" s="1722">
        <f>M15-K15</f>
        <v>-1.5499999999999972</v>
      </c>
      <c r="Q15" s="1723">
        <f>ROUND(IF(K15=0,0,M15/K15-1),3)</f>
        <v>-3.4000000000000002E-2</v>
      </c>
      <c r="S15" s="1736" t="s">
        <v>1714</v>
      </c>
      <c r="T15" s="1744">
        <v>14.450799999999999</v>
      </c>
      <c r="U15" s="1745">
        <f>U14</f>
        <v>12.040067296940524</v>
      </c>
      <c r="V15" s="1739"/>
      <c r="W15" s="1748" t="s">
        <v>494</v>
      </c>
      <c r="X15" s="1749">
        <v>400</v>
      </c>
      <c r="Y15" s="1750">
        <f>(C14*5+K14*7)/12</f>
        <v>42</v>
      </c>
      <c r="Z15" s="1750">
        <f>(E14*4+M14*8)/12</f>
        <v>41.873333333333335</v>
      </c>
      <c r="AA15" s="1750">
        <f>Z15-Y15</f>
        <v>-0.12666666666666515</v>
      </c>
      <c r="AB15" s="1751">
        <f>Z15/Y15-1</f>
        <v>-3.0158730158730274E-3</v>
      </c>
    </row>
    <row r="16" spans="1:28">
      <c r="A16" s="1707">
        <v>500</v>
      </c>
      <c r="C16" s="1708">
        <f t="shared" ref="C16:C31" si="10">ROUND($T$12+((MIN(400,$A16)*$T$13+MAX(0,MIN(600,$A16-400))*$T$14+MAX(0,$A16-1000)*$T$15)/100+MAX(0,$T$16-($T$12+(MIN(400,$A16)*$T$13+MAX(0,MIN(600,$A16-400))*$T$14+MAX(0,$A16-1000)*$T$15)/100)))*((1+$T$32)*(1+$T$18)+$T$27)+$T$17,2)</f>
        <v>53.68</v>
      </c>
      <c r="E16" s="1708">
        <f t="shared" ref="E16:E31" si="11">ROUND($U$12+((MIN(400,$A16)*$U$13+MAX(0,MIN(600,$A16-400))*$U$14+MAX(0,$A16-1000)*$U$15)/100+MAX(0,$U$16-($U$12+(MIN(400,$A16)*$U$13+MAX(0,MIN(600,$A16-400))*$U$14+MAX(0,$A16-1000)*$U$15)/100)))*((1+$U$32)*(1+$U$18)+$U$27)+$U$17,2)</f>
        <v>57.29</v>
      </c>
      <c r="F16" s="1708"/>
      <c r="G16" s="1722">
        <f>E16-C16</f>
        <v>3.6099999999999994</v>
      </c>
      <c r="I16" s="1723">
        <f>ROUND(IF(C16=0,0,E16/C16-1),3)</f>
        <v>6.7000000000000004E-2</v>
      </c>
      <c r="K16" s="1708">
        <f t="shared" si="6"/>
        <v>52.84</v>
      </c>
      <c r="M16" s="1708">
        <f t="shared" si="7"/>
        <v>51.41</v>
      </c>
      <c r="N16" s="1708"/>
      <c r="O16" s="1722">
        <f>M16-K16</f>
        <v>-1.4300000000000068</v>
      </c>
      <c r="Q16" s="1723">
        <f>ROUND(IF(K16=0,0,M16/K16-1),3)</f>
        <v>-2.7E-2</v>
      </c>
      <c r="S16" s="1736" t="s">
        <v>1715</v>
      </c>
      <c r="T16" s="1737">
        <v>8</v>
      </c>
      <c r="U16" s="1738"/>
      <c r="V16" s="1739"/>
      <c r="X16" s="1702"/>
      <c r="AB16" s="1752"/>
    </row>
    <row r="17" spans="1:24">
      <c r="A17" s="1707">
        <f>X12</f>
        <v>513</v>
      </c>
      <c r="B17" s="1704" t="s">
        <v>1719</v>
      </c>
      <c r="C17" s="1708">
        <f t="shared" si="10"/>
        <v>55.2</v>
      </c>
      <c r="E17" s="1708">
        <f t="shared" si="11"/>
        <v>58.91</v>
      </c>
      <c r="F17" s="1708"/>
      <c r="G17" s="1722">
        <f>E17-C17</f>
        <v>3.7099999999999937</v>
      </c>
      <c r="I17" s="1723">
        <f>ROUND(IF(C17=0,0,E17/C17-1),3)</f>
        <v>6.7000000000000004E-2</v>
      </c>
      <c r="N17" s="1708"/>
      <c r="O17" s="1722"/>
      <c r="Q17" s="1723"/>
      <c r="S17" s="1736" t="s">
        <v>1133</v>
      </c>
      <c r="T17" s="1737">
        <v>0.16</v>
      </c>
      <c r="U17" s="1738">
        <f>T17</f>
        <v>0.16</v>
      </c>
      <c r="V17" s="1739"/>
      <c r="W17" s="1753"/>
      <c r="X17" s="1753"/>
    </row>
    <row r="18" spans="1:24">
      <c r="A18" s="1707">
        <v>600</v>
      </c>
      <c r="C18" s="1708">
        <f t="shared" si="10"/>
        <v>65.37</v>
      </c>
      <c r="E18" s="1708">
        <f t="shared" si="11"/>
        <v>69.75</v>
      </c>
      <c r="F18" s="1708"/>
      <c r="G18" s="1722">
        <f>E18-C18</f>
        <v>4.3799999999999955</v>
      </c>
      <c r="I18" s="1723">
        <f>ROUND(IF(C18=0,0,E18/C18-1),3)</f>
        <v>6.7000000000000004E-2</v>
      </c>
      <c r="K18" s="1708">
        <f t="shared" si="6"/>
        <v>63.68</v>
      </c>
      <c r="M18" s="1708">
        <f t="shared" si="7"/>
        <v>62.43</v>
      </c>
      <c r="N18" s="1708"/>
      <c r="O18" s="1722">
        <f>M18-K18</f>
        <v>-1.25</v>
      </c>
      <c r="Q18" s="1723">
        <f>ROUND(IF(K18=0,0,M18/K18-1),3)</f>
        <v>-0.02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700</v>
      </c>
      <c r="C19" s="1708">
        <f t="shared" si="10"/>
        <v>77.05</v>
      </c>
      <c r="E19" s="1708">
        <f t="shared" si="11"/>
        <v>82.2</v>
      </c>
      <c r="F19" s="1708"/>
      <c r="G19" s="1722">
        <f>E19-C19</f>
        <v>5.1500000000000057</v>
      </c>
      <c r="I19" s="1723">
        <f>ROUND(IF(C19=0,0,E19/C19-1),3)</f>
        <v>6.7000000000000004E-2</v>
      </c>
      <c r="K19" s="1708">
        <f t="shared" si="6"/>
        <v>74.52</v>
      </c>
      <c r="M19" s="1708">
        <f t="shared" si="7"/>
        <v>73.45</v>
      </c>
      <c r="N19" s="1708"/>
      <c r="O19" s="1722">
        <f>M19-K19</f>
        <v>-1.0699999999999932</v>
      </c>
      <c r="Q19" s="1723">
        <f>ROUND(IF(K19=0,0,M19/K19-1),3)</f>
        <v>-1.4E-2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800</v>
      </c>
      <c r="C20" s="1708">
        <f t="shared" si="10"/>
        <v>88.74</v>
      </c>
      <c r="E20" s="1708">
        <f t="shared" si="11"/>
        <v>94.66</v>
      </c>
      <c r="F20" s="1708"/>
      <c r="G20" s="1722">
        <f t="shared" ref="G20:G31" si="12">E20-C20</f>
        <v>5.9200000000000017</v>
      </c>
      <c r="I20" s="1723">
        <f t="shared" ref="I20:I31" si="13">ROUND(IF(C20=0,0,E20/C20-1),3)</f>
        <v>6.7000000000000004E-2</v>
      </c>
      <c r="K20" s="1708">
        <f t="shared" si="6"/>
        <v>85.36</v>
      </c>
      <c r="M20" s="1708">
        <f t="shared" si="7"/>
        <v>84.48</v>
      </c>
      <c r="N20" s="1708"/>
      <c r="O20" s="1722">
        <f>M20-K20</f>
        <v>-0.87999999999999545</v>
      </c>
      <c r="Q20" s="1723">
        <f>ROUND(IF(K20=0,0,M20/K20-1),3)</f>
        <v>-0.01</v>
      </c>
      <c r="S20" s="1736" t="s">
        <v>1711</v>
      </c>
      <c r="T20" s="1737">
        <v>6</v>
      </c>
      <c r="U20" s="1738">
        <f>U12</f>
        <v>6</v>
      </c>
      <c r="V20" s="1739"/>
      <c r="W20" s="1753"/>
      <c r="X20" s="1753"/>
    </row>
    <row r="21" spans="1:24">
      <c r="A21" s="1707">
        <v>900</v>
      </c>
      <c r="C21" s="1708">
        <f t="shared" si="10"/>
        <v>100.42</v>
      </c>
      <c r="E21" s="1708">
        <f t="shared" si="11"/>
        <v>107.11</v>
      </c>
      <c r="F21" s="1708"/>
      <c r="G21" s="1722">
        <f t="shared" si="12"/>
        <v>6.6899999999999977</v>
      </c>
      <c r="I21" s="1723">
        <f t="shared" si="13"/>
        <v>6.7000000000000004E-2</v>
      </c>
      <c r="K21" s="1708">
        <f t="shared" ref="K21:K31" si="14">ROUND($T$20+((MIN(400,$A21)*$T$21+MAX(0,MIN(600,$A21-400))*$T$22+MAX(0,$A21-1000)*$T$23)/100+MAX(0,$T$24-($T$20+(MIN(400,$A21)*$T$21+MAX(0,MIN(600,$A21-400))*$T$22+MAX(0,$A21-1000)*$T$23)/100)))*((1+$T$32)*(1+$T$26)+$T$27)+$T$25,2)</f>
        <v>96.19</v>
      </c>
      <c r="M21" s="1708">
        <f t="shared" ref="M21:M30" si="15">ROUND($U$20+((MIN(400,$A21)*$U$21+MAX(0,MIN(600,$A21-400))*$U$22+MAX(0,$A21-1000)*$U$23)/100+MAX(0,$U$24-($U$20+(MIN(400,$A21)*$U$21+MAX(0,MIN(600,$A21-400))*$U$22+MAX(0,$A21-1000)*$U$23)/100)))*((1+$U$32)*(1+$U$26)+$U$27)+$U$25,2)</f>
        <v>95.5</v>
      </c>
      <c r="N21" s="1708"/>
      <c r="O21" s="1722">
        <f t="shared" ref="O21:O31" si="16">M21-K21</f>
        <v>-0.68999999999999773</v>
      </c>
      <c r="Q21" s="1723">
        <f t="shared" ref="Q21:Q31" si="17">ROUND(IF(K21=0,0,M21/K21-1),3)</f>
        <v>-7.0000000000000001E-3</v>
      </c>
      <c r="S21" s="1736" t="s">
        <v>1712</v>
      </c>
      <c r="T21" s="1758">
        <v>8.8498000000000001</v>
      </c>
      <c r="U21" s="1745">
        <f>'Blocking-Step1'!Q32</f>
        <v>8.2716524751690006</v>
      </c>
      <c r="V21" s="1739"/>
      <c r="W21" s="1753"/>
      <c r="X21" s="1753"/>
    </row>
    <row r="22" spans="1:24">
      <c r="A22" s="1707">
        <v>1000</v>
      </c>
      <c r="C22" s="1708">
        <f t="shared" si="10"/>
        <v>112.11</v>
      </c>
      <c r="E22" s="1708">
        <f t="shared" si="11"/>
        <v>119.57</v>
      </c>
      <c r="F22" s="1708"/>
      <c r="G22" s="1722">
        <f t="shared" si="12"/>
        <v>7.4599999999999937</v>
      </c>
      <c r="I22" s="1723">
        <f t="shared" si="13"/>
        <v>6.7000000000000004E-2</v>
      </c>
      <c r="K22" s="1708">
        <f t="shared" si="14"/>
        <v>107.03</v>
      </c>
      <c r="M22" s="1708">
        <f t="shared" si="15"/>
        <v>106.52</v>
      </c>
      <c r="N22" s="1708"/>
      <c r="O22" s="1722">
        <f t="shared" si="16"/>
        <v>-0.51000000000000512</v>
      </c>
      <c r="Q22" s="1723">
        <f t="shared" si="17"/>
        <v>-5.0000000000000001E-3</v>
      </c>
      <c r="S22" s="1736" t="s">
        <v>1713</v>
      </c>
      <c r="T22" s="1758">
        <v>10.7072</v>
      </c>
      <c r="U22" s="1745">
        <f>'Blocking-Step1'!Q33</f>
        <v>10.654926811452</v>
      </c>
      <c r="V22" s="1739"/>
      <c r="W22" s="1753"/>
      <c r="X22" s="1753"/>
    </row>
    <row r="23" spans="1:24">
      <c r="A23" s="1707">
        <v>1100</v>
      </c>
      <c r="C23" s="1708">
        <f t="shared" si="10"/>
        <v>126.74</v>
      </c>
      <c r="E23" s="1708">
        <f t="shared" si="11"/>
        <v>132.02000000000001</v>
      </c>
      <c r="F23" s="1708"/>
      <c r="G23" s="1722">
        <f t="shared" si="12"/>
        <v>5.2800000000000153</v>
      </c>
      <c r="I23" s="1723">
        <f t="shared" si="13"/>
        <v>4.2000000000000003E-2</v>
      </c>
      <c r="K23" s="1708">
        <f t="shared" si="14"/>
        <v>117.87</v>
      </c>
      <c r="M23" s="1708">
        <f t="shared" si="15"/>
        <v>117.54</v>
      </c>
      <c r="N23" s="1708"/>
      <c r="O23" s="1722">
        <f t="shared" si="16"/>
        <v>-0.32999999999999829</v>
      </c>
      <c r="Q23" s="1723">
        <f t="shared" si="17"/>
        <v>-3.0000000000000001E-3</v>
      </c>
      <c r="S23" s="1736" t="s">
        <v>1714</v>
      </c>
      <c r="T23" s="1758">
        <v>10.7072</v>
      </c>
      <c r="U23" s="1745">
        <f>U22</f>
        <v>10.654926811452</v>
      </c>
      <c r="V23" s="1739"/>
      <c r="W23" s="1753"/>
      <c r="X23" s="1753"/>
    </row>
    <row r="24" spans="1:24">
      <c r="A24" s="1707">
        <v>1200</v>
      </c>
      <c r="C24" s="1708">
        <f t="shared" si="10"/>
        <v>141.37</v>
      </c>
      <c r="E24" s="1708">
        <f t="shared" si="11"/>
        <v>144.47999999999999</v>
      </c>
      <c r="F24" s="1708"/>
      <c r="G24" s="1722">
        <f t="shared" si="12"/>
        <v>3.1099999999999852</v>
      </c>
      <c r="I24" s="1723">
        <f t="shared" si="13"/>
        <v>2.1999999999999999E-2</v>
      </c>
      <c r="K24" s="1708">
        <f t="shared" si="14"/>
        <v>128.71</v>
      </c>
      <c r="M24" s="1708">
        <f t="shared" si="15"/>
        <v>128.56</v>
      </c>
      <c r="N24" s="1708"/>
      <c r="O24" s="1722">
        <f t="shared" si="16"/>
        <v>-0.15000000000000568</v>
      </c>
      <c r="Q24" s="1723">
        <f t="shared" si="17"/>
        <v>-1E-3</v>
      </c>
      <c r="S24" s="1736" t="s">
        <v>1715</v>
      </c>
      <c r="T24" s="1737">
        <v>8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156</v>
      </c>
      <c r="E25" s="1708">
        <f t="shared" si="11"/>
        <v>156.93</v>
      </c>
      <c r="F25" s="1708"/>
      <c r="G25" s="1722">
        <f t="shared" si="12"/>
        <v>0.93000000000000682</v>
      </c>
      <c r="I25" s="1723">
        <f t="shared" si="13"/>
        <v>6.0000000000000001E-3</v>
      </c>
      <c r="K25" s="1708">
        <f t="shared" si="14"/>
        <v>139.55000000000001</v>
      </c>
      <c r="M25" s="1708">
        <f t="shared" si="15"/>
        <v>139.59</v>
      </c>
      <c r="N25" s="1708"/>
      <c r="O25" s="1722">
        <f t="shared" si="16"/>
        <v>3.9999999999992042E-2</v>
      </c>
      <c r="Q25" s="1723">
        <f t="shared" si="17"/>
        <v>0</v>
      </c>
      <c r="S25" s="1736" t="s">
        <v>1133</v>
      </c>
      <c r="T25" s="1737"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170.63</v>
      </c>
      <c r="E26" s="1708">
        <f t="shared" si="11"/>
        <v>169.39</v>
      </c>
      <c r="F26" s="1708"/>
      <c r="G26" s="1722">
        <f t="shared" si="12"/>
        <v>-1.2400000000000091</v>
      </c>
      <c r="I26" s="1723">
        <f t="shared" si="13"/>
        <v>-7.0000000000000001E-3</v>
      </c>
      <c r="K26" s="1708">
        <f t="shared" si="14"/>
        <v>150.38999999999999</v>
      </c>
      <c r="M26" s="1708">
        <f t="shared" si="15"/>
        <v>150.61000000000001</v>
      </c>
      <c r="N26" s="1708"/>
      <c r="O26" s="1722">
        <f t="shared" si="16"/>
        <v>0.22000000000002728</v>
      </c>
      <c r="Q26" s="1723">
        <f t="shared" si="17"/>
        <v>1E-3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185.26</v>
      </c>
      <c r="E27" s="1708">
        <f t="shared" si="11"/>
        <v>181.84</v>
      </c>
      <c r="F27" s="1708"/>
      <c r="G27" s="1722">
        <f t="shared" si="12"/>
        <v>-3.4199999999999875</v>
      </c>
      <c r="I27" s="1723">
        <f t="shared" si="13"/>
        <v>-1.7999999999999999E-2</v>
      </c>
      <c r="K27" s="1708">
        <f t="shared" si="14"/>
        <v>161.22999999999999</v>
      </c>
      <c r="M27" s="1708">
        <f t="shared" si="15"/>
        <v>161.63</v>
      </c>
      <c r="N27" s="1708"/>
      <c r="O27" s="1722">
        <f t="shared" si="16"/>
        <v>0.40000000000000568</v>
      </c>
      <c r="Q27" s="1723">
        <f t="shared" si="17"/>
        <v>2E-3</v>
      </c>
      <c r="S27" s="1762" t="s">
        <v>1720</v>
      </c>
      <c r="T27" s="1763">
        <v>-3.9100000000000003E-2</v>
      </c>
      <c r="U27" s="1764">
        <f>'Blocking-Step1'!Q43</f>
        <v>-1.7000000000000001E-2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258.39999999999998</v>
      </c>
      <c r="E28" s="1708">
        <f t="shared" si="11"/>
        <v>244.12</v>
      </c>
      <c r="F28" s="1708"/>
      <c r="G28" s="1722">
        <f t="shared" si="12"/>
        <v>-14.279999999999973</v>
      </c>
      <c r="I28" s="1723">
        <f t="shared" si="13"/>
        <v>-5.5E-2</v>
      </c>
      <c r="K28" s="1708">
        <f t="shared" si="14"/>
        <v>215.43</v>
      </c>
      <c r="M28" s="1708">
        <f t="shared" si="15"/>
        <v>216.74</v>
      </c>
      <c r="N28" s="1708"/>
      <c r="O28" s="1722">
        <f t="shared" si="16"/>
        <v>1.3100000000000023</v>
      </c>
      <c r="Q28" s="1723">
        <f t="shared" si="17"/>
        <v>6.0000000000000001E-3</v>
      </c>
      <c r="S28" s="1736" t="s">
        <v>1721</v>
      </c>
      <c r="T28" s="1765"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404.7</v>
      </c>
      <c r="E29" s="1708">
        <f t="shared" si="11"/>
        <v>368.67</v>
      </c>
      <c r="F29" s="1708"/>
      <c r="G29" s="1722">
        <f t="shared" si="12"/>
        <v>-36.029999999999973</v>
      </c>
      <c r="I29" s="1723">
        <f t="shared" si="13"/>
        <v>-8.8999999999999996E-2</v>
      </c>
      <c r="K29" s="1708">
        <f t="shared" si="14"/>
        <v>323.83</v>
      </c>
      <c r="M29" s="1708">
        <f t="shared" si="15"/>
        <v>326.95999999999998</v>
      </c>
      <c r="N29" s="1708"/>
      <c r="O29" s="1722">
        <f t="shared" si="16"/>
        <v>3.1299999999999955</v>
      </c>
      <c r="Q29" s="1723">
        <f t="shared" si="17"/>
        <v>0.01</v>
      </c>
      <c r="S29" s="1736" t="s">
        <v>1722</v>
      </c>
      <c r="T29" s="1765"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550.99</v>
      </c>
      <c r="E30" s="1708">
        <f t="shared" si="11"/>
        <v>493.22</v>
      </c>
      <c r="F30" s="1708"/>
      <c r="G30" s="1722">
        <f t="shared" si="12"/>
        <v>-57.769999999999982</v>
      </c>
      <c r="I30" s="1723">
        <f t="shared" si="13"/>
        <v>-0.105</v>
      </c>
      <c r="K30" s="1708">
        <f t="shared" si="14"/>
        <v>432.22</v>
      </c>
      <c r="M30" s="1708">
        <f t="shared" si="15"/>
        <v>437.18</v>
      </c>
      <c r="N30" s="1708"/>
      <c r="O30" s="1722">
        <f t="shared" si="16"/>
        <v>4.9599999999999795</v>
      </c>
      <c r="Q30" s="1723">
        <f t="shared" si="17"/>
        <v>1.0999999999999999E-2</v>
      </c>
      <c r="S30" s="1736" t="s">
        <v>1685</v>
      </c>
      <c r="T30" s="1765"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697.29</v>
      </c>
      <c r="E31" s="1708">
        <f t="shared" si="11"/>
        <v>617.77</v>
      </c>
      <c r="F31" s="1708"/>
      <c r="G31" s="1722">
        <f t="shared" si="12"/>
        <v>-79.519999999999982</v>
      </c>
      <c r="I31" s="1723">
        <f t="shared" si="13"/>
        <v>-0.114</v>
      </c>
      <c r="K31" s="1708">
        <f t="shared" si="14"/>
        <v>540.62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547.4</v>
      </c>
      <c r="N31" s="1708"/>
      <c r="O31" s="1722">
        <f t="shared" si="16"/>
        <v>6.7799999999999727</v>
      </c>
      <c r="Q31" s="1723">
        <f t="shared" si="17"/>
        <v>1.2999999999999999E-2</v>
      </c>
      <c r="S31" s="1736" t="s">
        <v>1686</v>
      </c>
      <c r="T31" s="1765"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>
      <c r="W34" s="1753"/>
      <c r="X34" s="1753"/>
    </row>
    <row r="35" spans="1:28" ht="15.75">
      <c r="A35" s="1770" t="s">
        <v>1723</v>
      </c>
      <c r="W35" s="1753"/>
      <c r="X35" s="1753"/>
    </row>
    <row r="36" spans="1:28">
      <c r="A36" s="1707" t="s">
        <v>1724</v>
      </c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33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8" style="1707" customWidth="1"/>
    <col min="2" max="2" width="2.125" style="1707" customWidth="1"/>
    <col min="3" max="3" width="9.625" style="1707" bestFit="1" customWidth="1"/>
    <col min="4" max="4" width="1.75" style="1704" customWidth="1"/>
    <col min="5" max="5" width="9.25" style="1708" bestFit="1" customWidth="1"/>
    <col min="6" max="6" width="1" style="1704" customWidth="1"/>
    <col min="7" max="7" width="9.25" style="1708" bestFit="1" customWidth="1"/>
    <col min="8" max="8" width="0.75" style="1704" customWidth="1"/>
    <col min="9" max="9" width="8.125" style="1704" bestFit="1" customWidth="1"/>
    <col min="10" max="10" width="1.125" style="1704" customWidth="1"/>
    <col min="11" max="11" width="5.5" style="1704" bestFit="1" customWidth="1"/>
    <col min="12" max="12" width="1.5" style="1704" customWidth="1"/>
    <col min="13" max="13" width="8.25" style="1708" bestFit="1" customWidth="1"/>
    <col min="14" max="14" width="0.62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625" style="1704" customWidth="1"/>
    <col min="19" max="19" width="5.5" style="1704" bestFit="1" customWidth="1"/>
    <col min="20" max="20" width="3.25" style="1704" customWidth="1"/>
    <col min="21" max="21" width="16" style="1704" bestFit="1" customWidth="1"/>
    <col min="22" max="22" width="8.25" style="1704" bestFit="1" customWidth="1"/>
    <col min="23" max="23" width="10" style="1704" bestFit="1" customWidth="1"/>
    <col min="24" max="16384" width="8" style="1704"/>
  </cols>
  <sheetData>
    <row r="1" spans="1:24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4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4" ht="16.5">
      <c r="A3" s="1697" t="s">
        <v>1688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4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4" ht="16.5">
      <c r="A5" s="1697" t="s">
        <v>2336</v>
      </c>
      <c r="B5" s="1784"/>
      <c r="C5" s="1784"/>
      <c r="D5" s="1785"/>
      <c r="E5" s="1786"/>
      <c r="F5" s="1785"/>
      <c r="G5" s="1786"/>
      <c r="H5" s="1785"/>
      <c r="I5" s="1785"/>
      <c r="J5" s="1785"/>
      <c r="K5" s="1785"/>
      <c r="L5" s="1785"/>
      <c r="M5" s="1786"/>
      <c r="N5" s="1785"/>
      <c r="O5" s="1786"/>
      <c r="P5" s="1785"/>
      <c r="Q5" s="1785"/>
      <c r="R5" s="1785"/>
      <c r="S5" s="1785"/>
    </row>
    <row r="6" spans="1:24" ht="17.25">
      <c r="A6" s="1787"/>
      <c r="B6" s="1701"/>
      <c r="C6" s="1701"/>
      <c r="D6" s="1701"/>
      <c r="E6" s="1774"/>
      <c r="F6" s="1788"/>
      <c r="G6" s="1774"/>
      <c r="H6" s="1788"/>
      <c r="I6" s="1788"/>
      <c r="J6" s="1788"/>
      <c r="K6" s="1788"/>
      <c r="L6" s="1701"/>
      <c r="M6" s="1774"/>
      <c r="N6" s="1788"/>
      <c r="O6" s="1774"/>
      <c r="P6" s="1788"/>
      <c r="Q6" s="1788"/>
      <c r="R6" s="1788"/>
      <c r="S6" s="1788"/>
    </row>
    <row r="7" spans="1:24">
      <c r="E7" s="1709"/>
      <c r="F7" s="1702"/>
      <c r="G7" s="1709"/>
      <c r="H7" s="1702"/>
      <c r="I7" s="1780"/>
      <c r="J7" s="1702"/>
      <c r="K7" s="1780"/>
      <c r="L7" s="1702"/>
      <c r="M7" s="1709"/>
      <c r="N7" s="1702"/>
      <c r="O7" s="1709"/>
      <c r="P7" s="1702"/>
      <c r="Q7" s="1780"/>
      <c r="R7" s="1702"/>
      <c r="S7" s="1780"/>
    </row>
    <row r="8" spans="1:24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  <c r="U8" s="1789" t="s">
        <v>492</v>
      </c>
      <c r="V8" s="1790" t="s">
        <v>216</v>
      </c>
      <c r="W8" s="1726" t="s">
        <v>2335</v>
      </c>
    </row>
    <row r="9" spans="1:24" ht="16.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  <c r="U9" s="1792" t="s">
        <v>79</v>
      </c>
      <c r="V9" s="1702"/>
      <c r="W9" s="1732"/>
    </row>
    <row r="10" spans="1:24">
      <c r="A10" s="1720" t="s">
        <v>1677</v>
      </c>
      <c r="B10" s="1793"/>
      <c r="C10" s="1794" t="s">
        <v>111</v>
      </c>
      <c r="E10" s="1717" t="s">
        <v>216</v>
      </c>
      <c r="G10" s="1718" t="s">
        <v>2335</v>
      </c>
      <c r="I10" s="1719" t="s">
        <v>1399</v>
      </c>
      <c r="K10" s="1720" t="s">
        <v>465</v>
      </c>
      <c r="M10" s="1717" t="s">
        <v>216</v>
      </c>
      <c r="O10" s="1718" t="s">
        <v>2335</v>
      </c>
      <c r="Q10" s="1719" t="s">
        <v>1399</v>
      </c>
      <c r="S10" s="1720" t="s">
        <v>465</v>
      </c>
      <c r="U10" s="1736" t="s">
        <v>1678</v>
      </c>
      <c r="V10" s="1795">
        <v>54</v>
      </c>
      <c r="W10" s="1796">
        <f>'Blocking-Step1'!Q672</f>
        <v>53</v>
      </c>
      <c r="X10" s="1795"/>
    </row>
    <row r="11" spans="1:24" ht="18.75" customHeight="1">
      <c r="A11" s="1707">
        <v>50</v>
      </c>
      <c r="C11" s="1707">
        <v>5000</v>
      </c>
      <c r="E11" s="1797">
        <f>ROUND($V$10+($V$11*$A11+($V$12*$A11+$V$14/100*$C11)*(1+$V$33))*(1+$V$16)+($V$12*$A11+$V$14/100*$C11)*$V$28+$V$15,2)</f>
        <v>1205.44</v>
      </c>
      <c r="F11" s="1797"/>
      <c r="G11" s="1797">
        <f>ROUND($W$10+($W$11*$A11+($W$12*$A11+$W$14/100*$C11)*(1+$W$33))*(1+$W$16)+($W$12*$A11+$W$14/100*$C11)*$W$28+$W$15,2)</f>
        <v>1152.06</v>
      </c>
      <c r="H11" s="1797"/>
      <c r="I11" s="1797">
        <f>IF(G11="","",G11-E11)</f>
        <v>-53.380000000000109</v>
      </c>
      <c r="K11" s="1723">
        <f>IF(I11="","",G11/E11-1)</f>
        <v>-4.42825856118928E-2</v>
      </c>
      <c r="M11" s="1797">
        <f>ROUND($V$18+($V$19*$A11+($V$20*$A11+$V$22/100*$C11)*(1+$V$33))*(1+$V$24)+($V$20*$A11+$V$22/100*$C11)*$V$28+$V$23,2)</f>
        <v>1001.94</v>
      </c>
      <c r="N11" s="1797"/>
      <c r="O11" s="1797">
        <f>ROUND($W$18+($W$19*$A11+($W$20*$A11+$W$22/100*$C11)*(1+$W$33))*(1+$W$24)+($W$20*$A11+$W$22/100*$C11)*$W$28+$W$23,2)</f>
        <v>1050.18</v>
      </c>
      <c r="P11" s="1797"/>
      <c r="Q11" s="1797">
        <f t="shared" ref="Q11:Q29" si="0">IF(O11="","",O11-M11)</f>
        <v>48.240000000000009</v>
      </c>
      <c r="S11" s="1723">
        <f t="shared" ref="S11:S29" si="1">IF(Q11="","",O11/M11-1)</f>
        <v>4.8146595604527276E-2</v>
      </c>
      <c r="U11" s="1736" t="s">
        <v>2313</v>
      </c>
      <c r="V11" s="1795">
        <f>4.04</f>
        <v>4.04</v>
      </c>
      <c r="W11" s="1796">
        <f>'Blocking-Step1'!Q675</f>
        <v>3.98</v>
      </c>
      <c r="X11" s="1795"/>
    </row>
    <row r="12" spans="1:24">
      <c r="A12" s="1798">
        <f>A11</f>
        <v>50</v>
      </c>
      <c r="C12" s="1707">
        <v>10000</v>
      </c>
      <c r="E12" s="1797">
        <f t="shared" ref="E12:E13" si="2">ROUND($V$10+($V$11*$A12+($V$12*$A12+$V$14/100*$C12)*(1+$V$33))*(1+$V$16)+($V$12*$A12+$V$14/100*$C12)*$V$28+$V$15,2)</f>
        <v>1399</v>
      </c>
      <c r="F12" s="1797"/>
      <c r="G12" s="1797">
        <f t="shared" ref="G12:G13" si="3">ROUND($W$10+($W$11*$A12+($W$12*$A12+$W$14/100*$C12)*(1+$W$33))*(1+$W$16)+($W$12*$A12+$W$14/100*$C12)*$W$28+$W$15,2)</f>
        <v>1353.11</v>
      </c>
      <c r="H12" s="1797"/>
      <c r="I12" s="1797">
        <f>IF(G12="","",G12-E12)</f>
        <v>-45.8900000000001</v>
      </c>
      <c r="K12" s="1723">
        <f>IF(I12="","",G12/E12-1)</f>
        <v>-3.2802001429592664E-2</v>
      </c>
      <c r="M12" s="1797">
        <f t="shared" ref="M12:M13" si="4">ROUND($V$18+($V$19*$A12+($V$20*$A12+$V$22/100*$C12)*(1+$V$33))*(1+$V$24)+($V$20*$A12+$V$22/100*$C12)*$V$28+$V$23,2)</f>
        <v>1180.3499999999999</v>
      </c>
      <c r="N12" s="1797"/>
      <c r="O12" s="1797">
        <f t="shared" ref="O12:O13" si="5">ROUND($W$18+($W$19*$A12+($W$20*$A12+$W$22/100*$C12)*(1+$W$33))*(1+$W$24)+($W$20*$A12+$W$22/100*$C12)*$W$28+$W$23,2)</f>
        <v>1228.0899999999999</v>
      </c>
      <c r="P12" s="1797"/>
      <c r="Q12" s="1797">
        <f t="shared" si="0"/>
        <v>47.740000000000009</v>
      </c>
      <c r="S12" s="1723">
        <f t="shared" si="1"/>
        <v>4.044563053331629E-2</v>
      </c>
      <c r="U12" s="1736" t="s">
        <v>1679</v>
      </c>
      <c r="V12" s="1795">
        <f>14.62</f>
        <v>14.62</v>
      </c>
      <c r="W12" s="1796">
        <f>'Blocking-Step1'!Q676</f>
        <v>13.23</v>
      </c>
      <c r="X12" s="1795"/>
    </row>
    <row r="13" spans="1:24">
      <c r="A13" s="1798">
        <f>A12</f>
        <v>50</v>
      </c>
      <c r="C13" s="1707">
        <v>20000</v>
      </c>
      <c r="E13" s="1797">
        <f t="shared" si="2"/>
        <v>1786.12</v>
      </c>
      <c r="F13" s="1797"/>
      <c r="G13" s="1797">
        <f t="shared" si="3"/>
        <v>1755.2</v>
      </c>
      <c r="H13" s="1797"/>
      <c r="I13" s="1797">
        <f>IF(G13="","",G13-E13)</f>
        <v>-30.919999999999845</v>
      </c>
      <c r="K13" s="1723">
        <f>IF(I13="","",G13/E13-1)</f>
        <v>-1.7311266880164711E-2</v>
      </c>
      <c r="M13" s="1797">
        <f t="shared" si="4"/>
        <v>1537.17</v>
      </c>
      <c r="N13" s="1797"/>
      <c r="O13" s="1797">
        <f t="shared" si="5"/>
        <v>1583.93</v>
      </c>
      <c r="P13" s="1797"/>
      <c r="Q13" s="1797">
        <f t="shared" si="0"/>
        <v>46.759999999999991</v>
      </c>
      <c r="S13" s="1723">
        <f t="shared" si="1"/>
        <v>3.0419537201480606E-2</v>
      </c>
      <c r="U13" s="1736" t="s">
        <v>1680</v>
      </c>
      <c r="V13" s="1795">
        <v>-0.96</v>
      </c>
      <c r="W13" s="1796">
        <f>'Blocking-Step1'!Q682</f>
        <v>-0.96</v>
      </c>
      <c r="X13" s="1801"/>
    </row>
    <row r="14" spans="1:24">
      <c r="E14" s="1797"/>
      <c r="F14" s="1797"/>
      <c r="G14" s="1797"/>
      <c r="H14" s="1797"/>
      <c r="I14" s="1797"/>
      <c r="K14" s="1723"/>
      <c r="M14" s="1797"/>
      <c r="N14" s="1797"/>
      <c r="O14" s="1797"/>
      <c r="P14" s="1797"/>
      <c r="Q14" s="1797" t="str">
        <f t="shared" si="0"/>
        <v/>
      </c>
      <c r="S14" s="1723" t="str">
        <f t="shared" si="1"/>
        <v/>
      </c>
      <c r="U14" s="1736" t="s">
        <v>1689</v>
      </c>
      <c r="V14" s="1799">
        <v>3.8127</v>
      </c>
      <c r="W14" s="1800">
        <f>'Blocking-Step1'!Q678</f>
        <v>3.8802874781329999</v>
      </c>
      <c r="X14" s="1795"/>
    </row>
    <row r="15" spans="1:24">
      <c r="A15" s="1707">
        <v>100</v>
      </c>
      <c r="C15" s="1707">
        <v>20000</v>
      </c>
      <c r="E15" s="1797">
        <f t="shared" ref="E15:E17" si="6">ROUND($V$10+($V$11*$A15+($V$12*$A15+$V$14/100*$C15)*(1+$V$33))*(1+$V$16)+($V$12*$A15+$V$14/100*$C15)*$V$28+$V$15,2)</f>
        <v>2738.39</v>
      </c>
      <c r="F15" s="1797"/>
      <c r="G15" s="1797">
        <f t="shared" ref="G15:G17" si="7">ROUND($W$10+($W$11*$A15+($W$12*$A15+$W$14/100*$C15)*(1+$W$33))*(1+$W$16)+($W$12*$A15+$W$14/100*$C15)*$W$28+$W$15,2)</f>
        <v>2647.61</v>
      </c>
      <c r="H15" s="1797"/>
      <c r="I15" s="1797">
        <f>IF(G15="","",G15-E15)</f>
        <v>-90.779999999999745</v>
      </c>
      <c r="K15" s="1723">
        <f>IF(I15="","",G15/E15-1)</f>
        <v>-3.3150866019814429E-2</v>
      </c>
      <c r="M15" s="1797">
        <f t="shared" ref="M15:M17" si="8">ROUND($V$18+($V$19*$A15+($V$20*$A15+$V$22/100*$C15)*(1+$V$33))*(1+$V$24)+($V$20*$A15+$V$22/100*$C15)*$V$28+$V$23,2)</f>
        <v>2301.1</v>
      </c>
      <c r="N15" s="1797"/>
      <c r="O15" s="1797">
        <f t="shared" ref="O15:O17" si="9">ROUND($W$18+($W$19*$A15+($W$20*$A15+$W$22/100*$C15)*(1+$W$33))*(1+$W$24)+($W$20*$A15+$W$22/100*$C15)*$W$28+$W$23,2)</f>
        <v>2397.59</v>
      </c>
      <c r="P15" s="1797"/>
      <c r="Q15" s="1797">
        <f t="shared" si="0"/>
        <v>96.490000000000236</v>
      </c>
      <c r="S15" s="1723">
        <f t="shared" si="1"/>
        <v>4.1932119421146608E-2</v>
      </c>
      <c r="U15" s="1736" t="s">
        <v>1133</v>
      </c>
      <c r="V15" s="1795">
        <v>5.6</v>
      </c>
      <c r="W15" s="1802">
        <f>V15</f>
        <v>5.6</v>
      </c>
      <c r="X15" s="1803"/>
    </row>
    <row r="16" spans="1:24">
      <c r="A16" s="1798">
        <f>A15</f>
        <v>100</v>
      </c>
      <c r="C16" s="1707">
        <v>40000</v>
      </c>
      <c r="E16" s="1797">
        <f t="shared" si="6"/>
        <v>3512.63</v>
      </c>
      <c r="F16" s="1797"/>
      <c r="G16" s="1797">
        <f t="shared" si="7"/>
        <v>3451.8</v>
      </c>
      <c r="H16" s="1797"/>
      <c r="I16" s="1797">
        <f>IF(G16="","",G16-E16)</f>
        <v>-60.829999999999927</v>
      </c>
      <c r="K16" s="1723">
        <f>IF(I16="","",G16/E16-1)</f>
        <v>-1.731750853349201E-2</v>
      </c>
      <c r="M16" s="1797">
        <f t="shared" si="8"/>
        <v>3014.75</v>
      </c>
      <c r="N16" s="1797"/>
      <c r="O16" s="1797">
        <f t="shared" si="9"/>
        <v>3109.26</v>
      </c>
      <c r="P16" s="1797"/>
      <c r="Q16" s="1797">
        <f t="shared" si="0"/>
        <v>94.510000000000218</v>
      </c>
      <c r="S16" s="1723">
        <f t="shared" si="1"/>
        <v>3.1349199767808367E-2</v>
      </c>
      <c r="U16" s="1736" t="s">
        <v>1718</v>
      </c>
      <c r="V16" s="1803">
        <f>V29+V30</f>
        <v>3.9899999999999998E-2</v>
      </c>
      <c r="W16" s="1804">
        <f>V16</f>
        <v>3.9899999999999998E-2</v>
      </c>
    </row>
    <row r="17" spans="1:24" ht="13.5">
      <c r="A17" s="1798">
        <f>A16</f>
        <v>100</v>
      </c>
      <c r="C17" s="1707">
        <v>60000</v>
      </c>
      <c r="E17" s="1797">
        <f t="shared" si="6"/>
        <v>4286.87</v>
      </c>
      <c r="F17" s="1797"/>
      <c r="G17" s="1797">
        <f t="shared" si="7"/>
        <v>4255.9799999999996</v>
      </c>
      <c r="H17" s="1797"/>
      <c r="I17" s="1797">
        <f>IF(G17="","",G17-E17)</f>
        <v>-30.890000000000327</v>
      </c>
      <c r="K17" s="1723">
        <f>IF(I17="","",G17/E17-1)</f>
        <v>-7.2057235232233507E-3</v>
      </c>
      <c r="M17" s="1797">
        <f t="shared" si="8"/>
        <v>3728.39</v>
      </c>
      <c r="N17" s="1797"/>
      <c r="O17" s="1797">
        <f t="shared" si="9"/>
        <v>3820.92</v>
      </c>
      <c r="P17" s="1797"/>
      <c r="Q17" s="1797">
        <f t="shared" si="0"/>
        <v>92.5300000000002</v>
      </c>
      <c r="S17" s="1723">
        <f t="shared" si="1"/>
        <v>2.4817682699503019E-2</v>
      </c>
      <c r="U17" s="1792" t="s">
        <v>80</v>
      </c>
      <c r="V17" s="1702"/>
      <c r="W17" s="1732"/>
      <c r="X17" s="1795"/>
    </row>
    <row r="18" spans="1:24">
      <c r="E18" s="1797"/>
      <c r="F18" s="1797"/>
      <c r="G18" s="1797"/>
      <c r="H18" s="1797"/>
      <c r="I18" s="1797"/>
      <c r="K18" s="1723"/>
      <c r="M18" s="1797"/>
      <c r="N18" s="1797"/>
      <c r="O18" s="1797"/>
      <c r="P18" s="1797"/>
      <c r="Q18" s="1797" t="str">
        <f t="shared" si="0"/>
        <v/>
      </c>
      <c r="S18" s="1723" t="str">
        <f t="shared" si="1"/>
        <v/>
      </c>
      <c r="U18" s="1736" t="s">
        <v>1678</v>
      </c>
      <c r="V18" s="1773">
        <f>V10</f>
        <v>54</v>
      </c>
      <c r="W18" s="1805">
        <f>W10</f>
        <v>53</v>
      </c>
      <c r="X18" s="1795"/>
    </row>
    <row r="19" spans="1:24">
      <c r="A19" s="1707">
        <v>200</v>
      </c>
      <c r="C19" s="1707">
        <v>40000</v>
      </c>
      <c r="E19" s="1797">
        <f t="shared" ref="E19:E21" si="10">ROUND($V$10+($V$11*$A19+($V$12*$A19+$V$14/100*$C19)*(1+$V$33))*(1+$V$16)+($V$12*$A19+$V$14/100*$C19)*$V$28+$V$15,2)</f>
        <v>5417.18</v>
      </c>
      <c r="F19" s="1797"/>
      <c r="G19" s="1797">
        <f t="shared" ref="G19:G21" si="11">ROUND($W$10+($W$11*$A19+($W$12*$A19+$W$14/100*$C19)*(1+$W$33))*(1+$W$16)+($W$12*$A19+$W$14/100*$C19)*$W$28+$W$15,2)</f>
        <v>5236.63</v>
      </c>
      <c r="H19" s="1797"/>
      <c r="I19" s="1797">
        <f>IF(G19="","",G19-E19)</f>
        <v>-180.55000000000018</v>
      </c>
      <c r="K19" s="1723">
        <f>IF(I19="","",G19/E19-1)</f>
        <v>-3.3329149114483925E-2</v>
      </c>
      <c r="M19" s="1797">
        <f t="shared" ref="M19:M21" si="12">ROUND($V$18+($V$19*$A19+($V$20*$A19+$V$22/100*$C19)*(1+$V$33))*(1+$V$24)+($V$20*$A19+$V$22/100*$C19)*$V$28+$V$23,2)</f>
        <v>4542.6099999999997</v>
      </c>
      <c r="N19" s="1797"/>
      <c r="O19" s="1797">
        <f t="shared" ref="O19:O21" si="13">ROUND($W$18+($W$19*$A19+($W$20*$A19+$W$22/100*$C19)*(1+$W$33))*(1+$W$24)+($W$20*$A19+$W$22/100*$C19)*$W$28+$W$23,2)</f>
        <v>4736.58</v>
      </c>
      <c r="P19" s="1797"/>
      <c r="Q19" s="1797">
        <f t="shared" si="0"/>
        <v>193.97000000000025</v>
      </c>
      <c r="S19" s="1723">
        <f t="shared" si="1"/>
        <v>4.270012173618265E-2</v>
      </c>
      <c r="U19" s="1736" t="s">
        <v>2313</v>
      </c>
      <c r="V19" s="1795">
        <f>4.04</f>
        <v>4.04</v>
      </c>
      <c r="W19" s="1796">
        <f>'Blocking-Step1'!Q675</f>
        <v>3.98</v>
      </c>
      <c r="X19" s="1795"/>
    </row>
    <row r="20" spans="1:24">
      <c r="A20" s="1798">
        <f>A19</f>
        <v>200</v>
      </c>
      <c r="C20" s="1707">
        <v>80000</v>
      </c>
      <c r="E20" s="1797">
        <f t="shared" si="10"/>
        <v>6965.66</v>
      </c>
      <c r="F20" s="1797"/>
      <c r="G20" s="1797">
        <f t="shared" si="11"/>
        <v>6845</v>
      </c>
      <c r="H20" s="1797"/>
      <c r="I20" s="1797">
        <f>IF(G20="","",G20-E20)</f>
        <v>-120.65999999999985</v>
      </c>
      <c r="K20" s="1723">
        <f>IF(I20="","",G20/E20-1)</f>
        <v>-1.7322120229813054E-2</v>
      </c>
      <c r="M20" s="1797">
        <f t="shared" si="12"/>
        <v>5969.89</v>
      </c>
      <c r="N20" s="1797"/>
      <c r="O20" s="1797">
        <f t="shared" si="13"/>
        <v>6159.91</v>
      </c>
      <c r="P20" s="1797"/>
      <c r="Q20" s="1797">
        <f t="shared" si="0"/>
        <v>190.01999999999953</v>
      </c>
      <c r="S20" s="1723">
        <f t="shared" si="1"/>
        <v>3.1829732206120953E-2</v>
      </c>
      <c r="U20" s="1736" t="s">
        <v>1679</v>
      </c>
      <c r="V20" s="1795">
        <f>10.91</f>
        <v>10.91</v>
      </c>
      <c r="W20" s="1796">
        <f>'Blocking-Step1'!Q677</f>
        <v>11.71</v>
      </c>
      <c r="X20" s="1801"/>
    </row>
    <row r="21" spans="1:24">
      <c r="A21" s="1798">
        <f>A20</f>
        <v>200</v>
      </c>
      <c r="C21" s="1707">
        <v>120000</v>
      </c>
      <c r="E21" s="1797">
        <f t="shared" si="10"/>
        <v>8514.14</v>
      </c>
      <c r="F21" s="1797"/>
      <c r="G21" s="1797">
        <f t="shared" si="11"/>
        <v>8453.36</v>
      </c>
      <c r="H21" s="1797"/>
      <c r="I21" s="1797">
        <f>IF(G21="","",G21-E21)</f>
        <v>-60.779999999998836</v>
      </c>
      <c r="K21" s="1723">
        <f>IF(I21="","",G21/E21-1)</f>
        <v>-7.1387127766279201E-3</v>
      </c>
      <c r="M21" s="1797">
        <f t="shared" si="12"/>
        <v>7397.18</v>
      </c>
      <c r="N21" s="1797"/>
      <c r="O21" s="1797">
        <f t="shared" si="13"/>
        <v>7583.25</v>
      </c>
      <c r="P21" s="1797"/>
      <c r="Q21" s="1797">
        <f t="shared" si="0"/>
        <v>186.06999999999971</v>
      </c>
      <c r="S21" s="1723">
        <f t="shared" si="1"/>
        <v>2.5154180376846247E-2</v>
      </c>
      <c r="U21" s="1736" t="s">
        <v>1680</v>
      </c>
      <c r="V21" s="1773">
        <f>V13</f>
        <v>-0.96</v>
      </c>
      <c r="W21" s="1805">
        <f>W13</f>
        <v>-0.96</v>
      </c>
      <c r="X21" s="1795"/>
    </row>
    <row r="22" spans="1:24">
      <c r="E22" s="1797"/>
      <c r="F22" s="1797"/>
      <c r="G22" s="1797"/>
      <c r="H22" s="1797"/>
      <c r="I22" s="1797"/>
      <c r="K22" s="1723"/>
      <c r="M22" s="1797"/>
      <c r="N22" s="1797"/>
      <c r="O22" s="1797"/>
      <c r="P22" s="1797"/>
      <c r="Q22" s="1797" t="str">
        <f t="shared" si="0"/>
        <v/>
      </c>
      <c r="S22" s="1723" t="str">
        <f t="shared" si="1"/>
        <v/>
      </c>
      <c r="U22" s="1736" t="s">
        <v>1689</v>
      </c>
      <c r="V22" s="1806">
        <v>3.5143</v>
      </c>
      <c r="W22" s="1807">
        <f>'Blocking-Step1'!Q679</f>
        <v>3.4338827240119998</v>
      </c>
      <c r="X22" s="1803"/>
    </row>
    <row r="23" spans="1:24">
      <c r="A23" s="1707">
        <v>500</v>
      </c>
      <c r="C23" s="1707">
        <v>100000</v>
      </c>
      <c r="E23" s="1797">
        <f t="shared" ref="E23:E25" si="14">ROUND($V$10+($V$11*$A23+($V$12*$A23+$V$14/100*$C23)*(1+$V$33))*(1+$V$16)+($V$12*$A23+$V$14/100*$C23)*$V$28+$V$15,2)</f>
        <v>13453.55</v>
      </c>
      <c r="F23" s="1797"/>
      <c r="G23" s="1797">
        <f t="shared" ref="G23:G25" si="15">ROUND($W$10+($W$11*$A23+($W$12*$A23+$W$14/100*$C23)*(1+$W$33))*(1+$W$16)+($W$12*$A23+$W$14/100*$C23)*$W$28+$W$15,2)</f>
        <v>13003.67</v>
      </c>
      <c r="H23" s="1797"/>
      <c r="I23" s="1797">
        <f>IF(G23="","",G23-E23)</f>
        <v>-449.8799999999992</v>
      </c>
      <c r="K23" s="1723">
        <f>IF(I23="","",G23/E23-1)</f>
        <v>-3.3439501098223134E-2</v>
      </c>
      <c r="M23" s="1797">
        <f t="shared" ref="M23:M25" si="16">ROUND($V$18+($V$19*$A23+($V$20*$A23+$V$22/100*$C23)*(1+$V$33))*(1+$V$24)+($V$20*$A23+$V$22/100*$C23)*$V$28+$V$23,2)</f>
        <v>11267.11</v>
      </c>
      <c r="N23" s="1797"/>
      <c r="O23" s="1797">
        <f t="shared" ref="O23:O25" si="17">ROUND($W$18+($W$19*$A23+($W$20*$A23+$W$22/100*$C23)*(1+$W$33))*(1+$W$24)+($W$20*$A23+$W$22/100*$C23)*$W$28+$W$23,2)</f>
        <v>11753.54</v>
      </c>
      <c r="P23" s="1797"/>
      <c r="Q23" s="1797">
        <f t="shared" si="0"/>
        <v>486.43000000000029</v>
      </c>
      <c r="S23" s="1723">
        <f t="shared" si="1"/>
        <v>4.3172561553051381E-2</v>
      </c>
      <c r="U23" s="1736" t="s">
        <v>1133</v>
      </c>
      <c r="V23" s="1773">
        <f>V15</f>
        <v>5.6</v>
      </c>
      <c r="W23" s="1805">
        <f>W15</f>
        <v>5.6</v>
      </c>
    </row>
    <row r="24" spans="1:24">
      <c r="A24" s="1798">
        <f>A23</f>
        <v>500</v>
      </c>
      <c r="C24" s="1707">
        <v>200000</v>
      </c>
      <c r="E24" s="1797">
        <f t="shared" si="14"/>
        <v>17324.75</v>
      </c>
      <c r="F24" s="1797"/>
      <c r="G24" s="1797">
        <f t="shared" si="15"/>
        <v>17024.59</v>
      </c>
      <c r="H24" s="1797"/>
      <c r="I24" s="1797">
        <f>IF(G24="","",G24-E24)</f>
        <v>-300.15999999999985</v>
      </c>
      <c r="K24" s="1723">
        <f>IF(I24="","",G24/E24-1)</f>
        <v>-1.7325502532504089E-2</v>
      </c>
      <c r="M24" s="1797">
        <f t="shared" si="16"/>
        <v>14835.33</v>
      </c>
      <c r="N24" s="1797"/>
      <c r="O24" s="1797">
        <f t="shared" si="17"/>
        <v>15311.88</v>
      </c>
      <c r="P24" s="1797"/>
      <c r="Q24" s="1797">
        <f t="shared" si="0"/>
        <v>476.54999999999927</v>
      </c>
      <c r="S24" s="1723">
        <f t="shared" si="1"/>
        <v>3.2122642367914844E-2</v>
      </c>
      <c r="U24" s="1759" t="s">
        <v>1718</v>
      </c>
      <c r="V24" s="1768">
        <f>V16</f>
        <v>3.9899999999999998E-2</v>
      </c>
      <c r="W24" s="1769">
        <f>W16</f>
        <v>3.9899999999999998E-2</v>
      </c>
    </row>
    <row r="25" spans="1:24">
      <c r="A25" s="1798">
        <f>A24</f>
        <v>500</v>
      </c>
      <c r="C25" s="1707">
        <v>300000</v>
      </c>
      <c r="E25" s="1797">
        <f t="shared" si="14"/>
        <v>21195.95</v>
      </c>
      <c r="F25" s="1797"/>
      <c r="G25" s="1797">
        <f t="shared" si="15"/>
        <v>21045.51</v>
      </c>
      <c r="H25" s="1797"/>
      <c r="I25" s="1797">
        <f>IF(G25="","",G25-E25)</f>
        <v>-150.44000000000233</v>
      </c>
      <c r="K25" s="1723">
        <f>IF(I25="","",G25/E25-1)</f>
        <v>-7.0975823211510969E-3</v>
      </c>
      <c r="M25" s="1797">
        <f t="shared" si="16"/>
        <v>18403.55</v>
      </c>
      <c r="N25" s="1797"/>
      <c r="O25" s="1797">
        <f t="shared" si="17"/>
        <v>18870.21</v>
      </c>
      <c r="P25" s="1797"/>
      <c r="Q25" s="1797">
        <f t="shared" si="0"/>
        <v>466.65999999999985</v>
      </c>
      <c r="S25" s="1723">
        <f t="shared" si="1"/>
        <v>2.5357064262058193E-2</v>
      </c>
      <c r="X25" s="1808"/>
    </row>
    <row r="26" spans="1:24">
      <c r="E26" s="1797"/>
      <c r="F26" s="1797"/>
      <c r="G26" s="1797"/>
      <c r="H26" s="1797"/>
      <c r="I26" s="1797"/>
      <c r="K26" s="1723"/>
      <c r="M26" s="1797"/>
      <c r="N26" s="1797"/>
      <c r="O26" s="1797"/>
      <c r="P26" s="1797"/>
      <c r="Q26" s="1797" t="str">
        <f t="shared" si="0"/>
        <v/>
      </c>
      <c r="S26" s="1723" t="str">
        <f t="shared" si="1"/>
        <v/>
      </c>
      <c r="W26" s="1808"/>
    </row>
    <row r="27" spans="1:24">
      <c r="A27" s="1707">
        <v>1000</v>
      </c>
      <c r="C27" s="1707">
        <v>200000</v>
      </c>
      <c r="E27" s="1797">
        <f t="shared" ref="E27:E29" si="18">ROUND($V$10+($V$11*$A27+($V$12*$A27+$V$14/100*$C27)*(1+$V$33))*(1+$V$16)+($V$12*$A27+$V$14/100*$C27)*$V$28+$V$15,2)</f>
        <v>26847.5</v>
      </c>
      <c r="F27" s="1797"/>
      <c r="G27" s="1797">
        <f t="shared" ref="G27:G28" si="19">ROUND($W$10+($W$11*$A27+($W$12*$A27+$W$14/100*$C27)*(1+$W$33))*(1+$W$16)+($W$12*$A27+$W$14/100*$C27)*$W$28+$W$15,2)</f>
        <v>25948.74</v>
      </c>
      <c r="H27" s="1797"/>
      <c r="I27" s="1797">
        <f>IF(G27="","",G27-E27)</f>
        <v>-898.7599999999984</v>
      </c>
      <c r="K27" s="1723">
        <f>IF(I27="","",G27/E27-1)</f>
        <v>-3.3476487568674829E-2</v>
      </c>
      <c r="M27" s="1797">
        <f t="shared" ref="M27:M28" si="20">ROUND($V$18+($V$19*$A27+($V$20*$A27+$V$22/100*$C27)*(1+$V$33))*(1+$V$24)+($V$20*$A27+$V$22/100*$C27)*$V$28+$V$23,2)</f>
        <v>22474.63</v>
      </c>
      <c r="N27" s="1797"/>
      <c r="O27" s="1797">
        <f t="shared" ref="O27:O29" si="21">ROUND($W$18+($W$19*$A27+($W$20*$A27+$W$22/100*$C27)*(1+$W$33))*(1+$W$24)+($W$20*$A27+$W$22/100*$C27)*$W$28+$W$23,2)</f>
        <v>23448.48</v>
      </c>
      <c r="P27" s="1797"/>
      <c r="Q27" s="1797">
        <f t="shared" si="0"/>
        <v>973.84999999999854</v>
      </c>
      <c r="S27" s="1723">
        <f t="shared" si="1"/>
        <v>4.3331080422680968E-2</v>
      </c>
      <c r="U27" s="1702" t="s">
        <v>1684</v>
      </c>
      <c r="V27" s="1799">
        <v>0</v>
      </c>
      <c r="W27" s="1799">
        <v>0</v>
      </c>
    </row>
    <row r="28" spans="1:24">
      <c r="A28" s="1798">
        <f>A27</f>
        <v>1000</v>
      </c>
      <c r="C28" s="1707">
        <v>400000</v>
      </c>
      <c r="E28" s="1797">
        <f t="shared" si="18"/>
        <v>34589.9</v>
      </c>
      <c r="F28" s="1797"/>
      <c r="G28" s="1797">
        <f t="shared" si="19"/>
        <v>33990.58</v>
      </c>
      <c r="H28" s="1797"/>
      <c r="I28" s="1797">
        <f>IF(G28="","",G28-E28)</f>
        <v>-599.31999999999971</v>
      </c>
      <c r="K28" s="1723">
        <f>IF(I28="","",G28/E28-1)</f>
        <v>-1.7326445002731949E-2</v>
      </c>
      <c r="M28" s="1797">
        <f t="shared" si="20"/>
        <v>29611.07</v>
      </c>
      <c r="N28" s="1797"/>
      <c r="O28" s="1797">
        <f t="shared" si="21"/>
        <v>30565.15</v>
      </c>
      <c r="P28" s="1797"/>
      <c r="Q28" s="1797">
        <f t="shared" si="0"/>
        <v>954.08000000000175</v>
      </c>
      <c r="S28" s="1723">
        <f t="shared" si="1"/>
        <v>3.2220382444808626E-2</v>
      </c>
      <c r="U28" s="1702" t="s">
        <v>1720</v>
      </c>
      <c r="V28" s="1765">
        <v>-3.61E-2</v>
      </c>
      <c r="W28" s="1808">
        <f>'Blocking-Step1'!Q687</f>
        <v>-1.52E-2</v>
      </c>
    </row>
    <row r="29" spans="1:24">
      <c r="A29" s="1798">
        <f>A28</f>
        <v>1000</v>
      </c>
      <c r="C29" s="1707">
        <v>600000</v>
      </c>
      <c r="E29" s="1797">
        <f t="shared" si="18"/>
        <v>42332.3</v>
      </c>
      <c r="F29" s="1797"/>
      <c r="G29" s="1797">
        <f>ROUND($W$10+($W$11*$A29+($W$12*$A29+$W$14/100*$C29)*(1+$W$33))*(1+$W$16)+($W$12*$A29+$W$14/100*$C29)*$W$28+$W$15,2)</f>
        <v>42032.42</v>
      </c>
      <c r="H29" s="1797"/>
      <c r="I29" s="1797">
        <f>IF(G29="","",G29-E29)</f>
        <v>-299.88000000000466</v>
      </c>
      <c r="K29" s="1723">
        <f>IF(I29="","",G29/E29-1)</f>
        <v>-7.0839524429338052E-3</v>
      </c>
      <c r="M29" s="1797">
        <f>ROUND($V$18+($V$19*$A29+($V$20*$A29+$V$22/100*$C29)*(1+$V$33))*(1+$V$24)+($V$20*$A29+$V$22/100*$C29)*$V$28+$V$23,2)</f>
        <v>36747.5</v>
      </c>
      <c r="N29" s="1797"/>
      <c r="O29" s="1797">
        <f t="shared" si="21"/>
        <v>37681.83</v>
      </c>
      <c r="P29" s="1797"/>
      <c r="Q29" s="1797">
        <f t="shared" si="0"/>
        <v>934.33000000000175</v>
      </c>
      <c r="S29" s="1723">
        <f t="shared" si="1"/>
        <v>2.5425675216001142E-2</v>
      </c>
      <c r="U29" s="1702" t="s">
        <v>1721</v>
      </c>
      <c r="V29" s="1765">
        <v>3.8999999999999998E-3</v>
      </c>
      <c r="W29" s="1808">
        <f>V29</f>
        <v>3.8999999999999998E-3</v>
      </c>
    </row>
    <row r="30" spans="1:24">
      <c r="U30" s="1702" t="s">
        <v>1722</v>
      </c>
      <c r="V30" s="1803">
        <v>3.5999999999999997E-2</v>
      </c>
      <c r="W30" s="1808">
        <f>V30</f>
        <v>3.5999999999999997E-2</v>
      </c>
    </row>
    <row r="31" spans="1:24" ht="15.75">
      <c r="A31" s="1770" t="s">
        <v>1723</v>
      </c>
      <c r="U31" s="1702" t="s">
        <v>1685</v>
      </c>
      <c r="V31" s="1765">
        <v>1.06E-2</v>
      </c>
      <c r="W31" s="1809">
        <f>V31</f>
        <v>1.06E-2</v>
      </c>
    </row>
    <row r="32" spans="1:24" ht="15.75">
      <c r="A32" s="1770"/>
      <c r="U32" s="1704" t="s">
        <v>1686</v>
      </c>
      <c r="V32" s="1765">
        <v>5.0000000000000001E-4</v>
      </c>
      <c r="W32" s="1809">
        <f>V32</f>
        <v>5.0000000000000001E-4</v>
      </c>
    </row>
    <row r="33" spans="21:23">
      <c r="U33" s="1702" t="s">
        <v>1687</v>
      </c>
      <c r="V33" s="1752">
        <f>SUM(V31:V32)</f>
        <v>1.11E-2</v>
      </c>
      <c r="W33" s="1752">
        <f>SUM(W31:W32)</f>
        <v>1.11E-2</v>
      </c>
    </row>
  </sheetData>
  <printOptions horizontalCentered="1"/>
  <pageMargins left="0.75" right="0.75" top="1" bottom="1" header="0.5" footer="0.5"/>
  <pageSetup scale="9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68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.25" style="1707" bestFit="1" customWidth="1"/>
    <col min="2" max="2" width="0.75" style="1707" customWidth="1"/>
    <col min="3" max="3" width="9.625" style="1707" bestFit="1" customWidth="1"/>
    <col min="4" max="4" width="1" style="1704" customWidth="1"/>
    <col min="5" max="5" width="6.75" style="1707" bestFit="1" customWidth="1"/>
    <col min="6" max="6" width="7.25" style="1707" bestFit="1" customWidth="1"/>
    <col min="7" max="7" width="9.75" style="1707" customWidth="1"/>
    <col min="8" max="8" width="1.25" style="1704" customWidth="1"/>
    <col min="9" max="9" width="9.625" style="1708" bestFit="1" customWidth="1"/>
    <col min="10" max="10" width="0.75" style="1704" customWidth="1"/>
    <col min="11" max="11" width="9.625" style="1708" bestFit="1" customWidth="1"/>
    <col min="12" max="12" width="1" style="1704" customWidth="1"/>
    <col min="13" max="13" width="8.625" style="1704" bestFit="1" customWidth="1"/>
    <col min="14" max="14" width="0.75" style="1704" customWidth="1"/>
    <col min="15" max="15" width="5.5" style="1704" bestFit="1" customWidth="1"/>
    <col min="16" max="16" width="1.25" style="1704" customWidth="1"/>
    <col min="17" max="17" width="9.625" style="1708" bestFit="1" customWidth="1"/>
    <col min="18" max="18" width="1" style="1704" customWidth="1"/>
    <col min="19" max="19" width="9.625" style="1708" bestFit="1" customWidth="1"/>
    <col min="20" max="20" width="0.75" style="1704" customWidth="1"/>
    <col min="21" max="21" width="8.5" style="1704" bestFit="1" customWidth="1"/>
    <col min="22" max="22" width="0.75" style="1704" customWidth="1"/>
    <col min="23" max="23" width="5.5" style="1704" bestFit="1" customWidth="1"/>
    <col min="24" max="24" width="2.75" style="1704" customWidth="1"/>
    <col min="25" max="25" width="16" style="1704" bestFit="1" customWidth="1"/>
    <col min="26" max="26" width="8.25" style="1704" bestFit="1" customWidth="1"/>
    <col min="27" max="27" width="9.75" style="1704" bestFit="1" customWidth="1"/>
    <col min="28" max="28" width="9.625" style="1704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1690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1691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 ht="16.5">
      <c r="A5" s="1697" t="s">
        <v>2336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698"/>
      <c r="U5" s="1698"/>
      <c r="V5" s="1698"/>
      <c r="W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  <c r="Z7" s="1715"/>
      <c r="AA7" s="1715"/>
      <c r="AB7" s="1715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467</v>
      </c>
      <c r="Z8" s="1790" t="s">
        <v>216</v>
      </c>
      <c r="AA8" s="1726" t="s">
        <v>2335</v>
      </c>
      <c r="AB8" s="1715"/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216</v>
      </c>
      <c r="K10" s="1718" t="s">
        <v>2335</v>
      </c>
      <c r="M10" s="1719" t="s">
        <v>1399</v>
      </c>
      <c r="O10" s="1720" t="s">
        <v>465</v>
      </c>
      <c r="Q10" s="1717" t="s">
        <v>216</v>
      </c>
      <c r="S10" s="1718" t="s">
        <v>2335</v>
      </c>
      <c r="U10" s="1719" t="s">
        <v>1399</v>
      </c>
      <c r="W10" s="1720" t="s">
        <v>465</v>
      </c>
      <c r="Y10" s="1736" t="s">
        <v>1678</v>
      </c>
      <c r="Z10" s="1795">
        <v>70</v>
      </c>
      <c r="AA10" s="1796">
        <f>'Blocking-Step1'!Q1377</f>
        <v>70</v>
      </c>
      <c r="AB10" s="1795"/>
    </row>
    <row r="11" spans="1:29" ht="16.5" customHeight="1">
      <c r="A11" s="1707">
        <v>1000</v>
      </c>
      <c r="C11" s="1707">
        <f>A11*0.5*730</f>
        <v>365000</v>
      </c>
      <c r="E11" s="1767">
        <v>0.6</v>
      </c>
      <c r="F11" s="1767">
        <f>('Large Profile'!$M$6)/('Large Profile'!$E$6)*E11</f>
        <v>0.47838269954015672</v>
      </c>
      <c r="G11" s="1767">
        <f>('Large Profile'!$Q$6)/('Large Profile'!$I$6)*E11</f>
        <v>0.29591204321862258</v>
      </c>
      <c r="I11" s="1797">
        <f>ROUND($Z$10+(($Z$11+$Z$13)*$A11+($Z$12*$A11+($Z$14*$E11+$Z$15*(1-$E11))/100*$C11)*(1+$Z$35))*(1+$Z$17)+($Z$12*$A11+($Z$14*$E11+$Z$15*(1-$E11))/100*$C11)*$Z$30+$Z$16,2)</f>
        <v>36101.42</v>
      </c>
      <c r="J11" s="1797"/>
      <c r="K11" s="1797">
        <f>ROUND($AA$10+(($AA$11+$AA$13)*$A11+($AA$12*$A11+($AA$14*$F11+$AA$15*(1-$F11))/100*$C11)*(1+$AA$35))*(1+$AA$17)+($AA$12*$A11+($AA$14*$F11+$AA$15*(1-$F11))/100*$C11)*$AA$30+$AA$16,2)</f>
        <v>36443.97</v>
      </c>
      <c r="L11" s="1797"/>
      <c r="M11" s="1797">
        <f t="shared" ref="M11:M59" si="0">IF(K11="","",K11-I11)</f>
        <v>342.55000000000291</v>
      </c>
      <c r="O11" s="1814">
        <f t="shared" ref="O11:O59" si="1">IF(M11="","",K11/I11-1)</f>
        <v>9.4885464339076186E-3</v>
      </c>
      <c r="Q11" s="1797">
        <f>ROUND($Z$19+(($Z$20+$Z$22)*$A11+($Z$21*$A11+($Z$23*$E11+$Z$24*(1-$E11))/100*$C11)*(1+$Z$35))*(1+$Z$26)+($Z$21*$A11+($Z$23*$E11+$Z$24*(1-$E11))/100*$C11)*$Z$30+$Z$25,2)</f>
        <v>29195.3</v>
      </c>
      <c r="R11" s="1797"/>
      <c r="S11" s="1797">
        <f>ROUND($AA$19+(($AA$20+$AA$22)*$A11+($AA$21*$A11+($AA$23*$G11+$AA$24*(1-$G11))/100*$C11)*(1+$AA$35))*(1+$AA$26)+($AA$21*$A11+($AA$23*$G11+$AA$24*(1-$G11))/100*$C11)*$AA$30+$AA$25,2)</f>
        <v>24443.35</v>
      </c>
      <c r="T11" s="1797"/>
      <c r="U11" s="1797">
        <f t="shared" ref="U11:U59" si="2">IF(S11="","",S11-Q11)</f>
        <v>-4751.9500000000007</v>
      </c>
      <c r="W11" s="1814">
        <f t="shared" ref="W11:W59" si="3">IF(U11="","",S11/Q11-1)</f>
        <v>-0.16276421204782965</v>
      </c>
      <c r="Y11" s="1736" t="s">
        <v>1694</v>
      </c>
      <c r="Z11" s="1795">
        <v>4.76</v>
      </c>
      <c r="AA11" s="1796">
        <f>'Blocking-Step1'!Q1378</f>
        <v>4.78</v>
      </c>
      <c r="AB11" s="1795"/>
      <c r="AC11" s="1715"/>
    </row>
    <row r="12" spans="1:29">
      <c r="A12" s="1815">
        <f>A11</f>
        <v>1000</v>
      </c>
      <c r="C12" s="1815">
        <f>C11</f>
        <v>365000</v>
      </c>
      <c r="E12" s="1767">
        <v>0.5</v>
      </c>
      <c r="F12" s="1767">
        <f>('Large Profile'!$M$6)/('Large Profile'!$E$6)*E12</f>
        <v>0.39865224961679729</v>
      </c>
      <c r="G12" s="1767">
        <f>('Large Profile'!$Q$6)/('Large Profile'!$I$6)*E12</f>
        <v>0.24659336934885218</v>
      </c>
      <c r="I12" s="1797">
        <f t="shared" ref="I12:I19" si="4">ROUND($Z$10+(($Z$11+$Z$13)*$A12+($Z$12*$A12+($Z$14*$E12+$Z$15*(1-$E12))/100*$C12)*(1+$Z$35))*(1+$Z$17)+($Z$12*$A12+($Z$14*$E12+$Z$15*(1-$E12))/100*$C12)*$Z$30+$Z$16,2)</f>
        <v>35488.19</v>
      </c>
      <c r="J12" s="1797"/>
      <c r="K12" s="1797">
        <f t="shared" ref="K12:K19" si="5">ROUND($AA$10+(($AA$11+$AA$13)*$A12+($AA$12*$A12+($AA$14*$F12+$AA$15*(1-$F12))/100*$C12)*(1+$AA$35))*(1+$AA$17)+($AA$12*$A12+($AA$14*$F12+$AA$15*(1-$F12))/100*$C12)*$AA$30+$AA$16,2)</f>
        <v>35583.449999999997</v>
      </c>
      <c r="L12" s="1797"/>
      <c r="M12" s="1797">
        <f t="shared" si="0"/>
        <v>95.259999999994761</v>
      </c>
      <c r="O12" s="1814">
        <f t="shared" si="1"/>
        <v>2.6842732751373166E-3</v>
      </c>
      <c r="Q12" s="1797">
        <f t="shared" ref="Q12:Q19" si="6">ROUND($Z$19+(($Z$20+$Z$22)*$A12+($Z$21*$A12+($Z$23*$E12+$Z$24*(1-$E12))/100*$C12)*(1+$Z$35))*(1+$Z$26)+($Z$21*$A12+($Z$23*$E12+$Z$24*(1-$E12))/100*$C12)*$Z$30+$Z$25,2)</f>
        <v>28990.21</v>
      </c>
      <c r="R12" s="1797"/>
      <c r="S12" s="1797">
        <f t="shared" ref="S12:S19" si="7">ROUND($AA$19+(($AA$20+$AA$22)*$A12+($AA$21*$A12+($AA$23*$G12+$AA$24*(1-$G12))/100*$C12)*(1+$AA$35))*(1+$AA$26)+($AA$21*$A12+($AA$23*$G12+$AA$24*(1-$G12))/100*$C12)*$AA$30+$AA$25,2)</f>
        <v>23972.29</v>
      </c>
      <c r="T12" s="1797"/>
      <c r="U12" s="1797">
        <f t="shared" si="2"/>
        <v>-5017.9199999999983</v>
      </c>
      <c r="W12" s="1814">
        <f t="shared" si="3"/>
        <v>-0.17309015698747954</v>
      </c>
      <c r="Y12" s="1736" t="s">
        <v>1695</v>
      </c>
      <c r="Z12" s="1795">
        <v>15.56</v>
      </c>
      <c r="AA12" s="1796">
        <f>'Blocking-Step1'!Q1379</f>
        <v>15.63</v>
      </c>
      <c r="AB12" s="1795"/>
      <c r="AC12" s="1715"/>
    </row>
    <row r="13" spans="1:29">
      <c r="A13" s="1815">
        <f>A12</f>
        <v>1000</v>
      </c>
      <c r="C13" s="1815">
        <f>C12</f>
        <v>365000</v>
      </c>
      <c r="E13" s="1767">
        <v>0.4</v>
      </c>
      <c r="F13" s="1767">
        <f>('Large Profile'!$M$6)/('Large Profile'!$E$6)*E13</f>
        <v>0.31892179969343787</v>
      </c>
      <c r="G13" s="1767">
        <f>('Large Profile'!$Q$6)/('Large Profile'!$I$6)*E13</f>
        <v>0.19727469547908175</v>
      </c>
      <c r="I13" s="1797">
        <f t="shared" si="4"/>
        <v>34874.949999999997</v>
      </c>
      <c r="J13" s="1797"/>
      <c r="K13" s="1797">
        <f t="shared" si="5"/>
        <v>34722.94</v>
      </c>
      <c r="L13" s="1797"/>
      <c r="M13" s="1797">
        <f t="shared" si="0"/>
        <v>-152.00999999999476</v>
      </c>
      <c r="O13" s="1814">
        <f t="shared" si="1"/>
        <v>-4.3587159264742992E-3</v>
      </c>
      <c r="Q13" s="1797">
        <f t="shared" si="6"/>
        <v>28785.11</v>
      </c>
      <c r="R13" s="1797"/>
      <c r="S13" s="1797">
        <f t="shared" si="7"/>
        <v>23501.24</v>
      </c>
      <c r="T13" s="1797"/>
      <c r="U13" s="1797">
        <f t="shared" si="2"/>
        <v>-5283.869999999999</v>
      </c>
      <c r="W13" s="1814">
        <f t="shared" si="3"/>
        <v>-0.18356261275360763</v>
      </c>
      <c r="Y13" s="1736" t="s">
        <v>1680</v>
      </c>
      <c r="Z13" s="1795">
        <v>-1.1299999999999999</v>
      </c>
      <c r="AA13" s="1796">
        <f>'Blocking-Step1'!Q1387</f>
        <v>-1.1299999999999999</v>
      </c>
      <c r="AB13" s="1795"/>
      <c r="AC13" s="1715"/>
    </row>
    <row r="14" spans="1:29">
      <c r="A14" s="1815">
        <f>A13</f>
        <v>1000</v>
      </c>
      <c r="C14" s="1707">
        <f>A11*0.7*730</f>
        <v>511000</v>
      </c>
      <c r="E14" s="1767">
        <f t="shared" ref="E14:E19" si="8">E11</f>
        <v>0.6</v>
      </c>
      <c r="F14" s="1767">
        <f>('Large Profile'!$M$6)/('Large Profile'!$E$6)*E14</f>
        <v>0.47838269954015672</v>
      </c>
      <c r="G14" s="1767">
        <f>('Large Profile'!$Q$6)/('Large Profile'!$I$6)*E14</f>
        <v>0.29591204321862258</v>
      </c>
      <c r="I14" s="1797">
        <f t="shared" si="4"/>
        <v>42636.62</v>
      </c>
      <c r="J14" s="1797"/>
      <c r="K14" s="1797">
        <f t="shared" si="5"/>
        <v>42971.79</v>
      </c>
      <c r="L14" s="1797"/>
      <c r="M14" s="1797">
        <f t="shared" si="0"/>
        <v>335.16999999999825</v>
      </c>
      <c r="O14" s="1814">
        <f t="shared" si="1"/>
        <v>7.8610827969007868E-3</v>
      </c>
      <c r="Q14" s="1797">
        <f t="shared" si="6"/>
        <v>34750.959999999999</v>
      </c>
      <c r="R14" s="1797"/>
      <c r="S14" s="1797">
        <f t="shared" si="7"/>
        <v>29523.05</v>
      </c>
      <c r="T14" s="1797"/>
      <c r="U14" s="1797">
        <f t="shared" si="2"/>
        <v>-5227.91</v>
      </c>
      <c r="W14" s="1814">
        <f t="shared" si="3"/>
        <v>-0.15043929721653737</v>
      </c>
      <c r="Y14" s="1736" t="s">
        <v>1696</v>
      </c>
      <c r="Z14" s="1799">
        <v>5.0473999999999997</v>
      </c>
      <c r="AA14" s="1800">
        <f>'Blocking-Step1'!Q1381</f>
        <v>5.7979780683679998</v>
      </c>
      <c r="AB14" s="1801"/>
      <c r="AC14" s="1816"/>
    </row>
    <row r="15" spans="1:29">
      <c r="A15" s="1815">
        <f>A14</f>
        <v>1000</v>
      </c>
      <c r="C15" s="1815">
        <f>C14</f>
        <v>511000</v>
      </c>
      <c r="E15" s="1767">
        <f t="shared" si="8"/>
        <v>0.5</v>
      </c>
      <c r="F15" s="1767">
        <f>('Large Profile'!$M$6)/('Large Profile'!$E$6)*E15</f>
        <v>0.39865224961679729</v>
      </c>
      <c r="G15" s="1767">
        <f>('Large Profile'!$Q$6)/('Large Profile'!$I$6)*E15</f>
        <v>0.24659336934885218</v>
      </c>
      <c r="I15" s="1797">
        <f t="shared" si="4"/>
        <v>41778.089999999997</v>
      </c>
      <c r="J15" s="1797"/>
      <c r="K15" s="1797">
        <f t="shared" si="5"/>
        <v>41767.06</v>
      </c>
      <c r="L15" s="1797"/>
      <c r="M15" s="1797">
        <f t="shared" si="0"/>
        <v>-11.029999999998836</v>
      </c>
      <c r="O15" s="1814">
        <f t="shared" si="1"/>
        <v>-2.6401398436359802E-4</v>
      </c>
      <c r="Q15" s="1797">
        <f t="shared" si="6"/>
        <v>34463.83</v>
      </c>
      <c r="R15" s="1797"/>
      <c r="S15" s="1797">
        <f t="shared" si="7"/>
        <v>28863.58</v>
      </c>
      <c r="T15" s="1797"/>
      <c r="U15" s="1797">
        <f t="shared" si="2"/>
        <v>-5600.25</v>
      </c>
      <c r="W15" s="1814">
        <f t="shared" si="3"/>
        <v>-0.16249644917584605</v>
      </c>
      <c r="Y15" s="1736" t="s">
        <v>1697</v>
      </c>
      <c r="Z15" s="1799">
        <v>3.4001999999999999</v>
      </c>
      <c r="AA15" s="1800">
        <f>'Blocking-Step1'!Q1383</f>
        <v>2.9470102708339998</v>
      </c>
      <c r="AB15" s="1801"/>
      <c r="AC15" s="1816"/>
    </row>
    <row r="16" spans="1:29">
      <c r="A16" s="1815">
        <f>A15</f>
        <v>1000</v>
      </c>
      <c r="C16" s="1815">
        <f>C15</f>
        <v>511000</v>
      </c>
      <c r="E16" s="1767">
        <f t="shared" si="8"/>
        <v>0.4</v>
      </c>
      <c r="F16" s="1767">
        <f>('Large Profile'!$M$6)/('Large Profile'!$E$6)*E16</f>
        <v>0.31892179969343787</v>
      </c>
      <c r="G16" s="1767">
        <f>('Large Profile'!$Q$6)/('Large Profile'!$I$6)*E16</f>
        <v>0.19727469547908175</v>
      </c>
      <c r="I16" s="1797">
        <f t="shared" si="4"/>
        <v>40919.56</v>
      </c>
      <c r="J16" s="1797"/>
      <c r="K16" s="1797">
        <f t="shared" si="5"/>
        <v>40562.339999999997</v>
      </c>
      <c r="L16" s="1797"/>
      <c r="M16" s="1797">
        <f t="shared" si="0"/>
        <v>-357.22000000000116</v>
      </c>
      <c r="O16" s="1814">
        <f t="shared" si="1"/>
        <v>-8.729810388968029E-3</v>
      </c>
      <c r="Q16" s="1797">
        <f t="shared" si="6"/>
        <v>34176.699999999997</v>
      </c>
      <c r="R16" s="1797"/>
      <c r="S16" s="1797">
        <f t="shared" si="7"/>
        <v>28204.1</v>
      </c>
      <c r="T16" s="1797"/>
      <c r="U16" s="1797">
        <f t="shared" si="2"/>
        <v>-5972.5999999999985</v>
      </c>
      <c r="W16" s="1814">
        <f t="shared" si="3"/>
        <v>-0.17475648614406891</v>
      </c>
      <c r="Y16" s="1736" t="s">
        <v>1133</v>
      </c>
      <c r="Z16" s="1795">
        <v>50</v>
      </c>
      <c r="AA16" s="1802">
        <f>Z16</f>
        <v>50</v>
      </c>
      <c r="AB16" s="1795"/>
      <c r="AC16" s="1715"/>
    </row>
    <row r="17" spans="1:29">
      <c r="A17" s="1815">
        <f>A14</f>
        <v>1000</v>
      </c>
      <c r="C17" s="1707">
        <f>A11*0.9*730</f>
        <v>657000</v>
      </c>
      <c r="E17" s="1767">
        <f t="shared" si="8"/>
        <v>0.6</v>
      </c>
      <c r="F17" s="1767">
        <f>('Large Profile'!$M$6)/('Large Profile'!$E$6)*E17</f>
        <v>0.47838269954015672</v>
      </c>
      <c r="G17" s="1767">
        <f>('Large Profile'!$Q$6)/('Large Profile'!$I$6)*E17</f>
        <v>0.29591204321862258</v>
      </c>
      <c r="I17" s="1797">
        <f t="shared" si="4"/>
        <v>49171.83</v>
      </c>
      <c r="J17" s="1797"/>
      <c r="K17" s="1797">
        <f t="shared" si="5"/>
        <v>49499.6</v>
      </c>
      <c r="L17" s="1797"/>
      <c r="M17" s="1797">
        <f t="shared" si="0"/>
        <v>327.7699999999968</v>
      </c>
      <c r="O17" s="1814">
        <f t="shared" si="1"/>
        <v>6.6658084517090543E-3</v>
      </c>
      <c r="Q17" s="1797">
        <f t="shared" si="6"/>
        <v>40306.629999999997</v>
      </c>
      <c r="R17" s="1797"/>
      <c r="S17" s="1797">
        <f t="shared" si="7"/>
        <v>34602.75</v>
      </c>
      <c r="T17" s="1797"/>
      <c r="U17" s="1797">
        <f t="shared" si="2"/>
        <v>-5703.8799999999974</v>
      </c>
      <c r="W17" s="1814">
        <f t="shared" si="3"/>
        <v>-0.14151220283114707</v>
      </c>
      <c r="Y17" s="1736" t="s">
        <v>1718</v>
      </c>
      <c r="Z17" s="1803">
        <f>Z32+Z31</f>
        <v>3.9300000000000002E-2</v>
      </c>
      <c r="AA17" s="1804">
        <f>Z17</f>
        <v>3.9300000000000002E-2</v>
      </c>
      <c r="AB17" s="1803"/>
      <c r="AC17" s="1715"/>
    </row>
    <row r="18" spans="1:29" ht="13.5">
      <c r="A18" s="1815">
        <f>A15</f>
        <v>1000</v>
      </c>
      <c r="C18" s="1815">
        <f>C17</f>
        <v>657000</v>
      </c>
      <c r="E18" s="1767">
        <f t="shared" si="8"/>
        <v>0.5</v>
      </c>
      <c r="F18" s="1767">
        <f>('Large Profile'!$M$6)/('Large Profile'!$E$6)*E18</f>
        <v>0.39865224961679729</v>
      </c>
      <c r="G18" s="1767">
        <f>('Large Profile'!$Q$6)/('Large Profile'!$I$6)*E18</f>
        <v>0.24659336934885218</v>
      </c>
      <c r="I18" s="1797">
        <f t="shared" si="4"/>
        <v>48068</v>
      </c>
      <c r="J18" s="1797"/>
      <c r="K18" s="1797">
        <f t="shared" si="5"/>
        <v>47950.67</v>
      </c>
      <c r="L18" s="1797"/>
      <c r="M18" s="1797">
        <f t="shared" si="0"/>
        <v>-117.33000000000175</v>
      </c>
      <c r="O18" s="1814">
        <f t="shared" si="1"/>
        <v>-2.4409170342015729E-3</v>
      </c>
      <c r="Q18" s="1797">
        <f t="shared" si="6"/>
        <v>39937.46</v>
      </c>
      <c r="R18" s="1797"/>
      <c r="S18" s="1797">
        <f t="shared" si="7"/>
        <v>33754.86</v>
      </c>
      <c r="T18" s="1797"/>
      <c r="U18" s="1797">
        <f t="shared" si="2"/>
        <v>-6182.5999999999985</v>
      </c>
      <c r="W18" s="1814">
        <f t="shared" si="3"/>
        <v>-0.15480704080830376</v>
      </c>
      <c r="Y18" s="1792" t="s">
        <v>80</v>
      </c>
      <c r="Z18" s="1702"/>
      <c r="AA18" s="1732"/>
      <c r="AB18" s="1795"/>
      <c r="AC18" s="1715"/>
    </row>
    <row r="19" spans="1:29">
      <c r="A19" s="1815">
        <f>A16</f>
        <v>1000</v>
      </c>
      <c r="C19" s="1815">
        <f>C18</f>
        <v>657000</v>
      </c>
      <c r="E19" s="1767">
        <f t="shared" si="8"/>
        <v>0.4</v>
      </c>
      <c r="F19" s="1767">
        <f>('Large Profile'!$M$6)/('Large Profile'!$E$6)*E19</f>
        <v>0.31892179969343787</v>
      </c>
      <c r="G19" s="1767">
        <f>('Large Profile'!$Q$6)/('Large Profile'!$I$6)*E19</f>
        <v>0.19727469547908175</v>
      </c>
      <c r="I19" s="1797">
        <f t="shared" si="4"/>
        <v>46964.18</v>
      </c>
      <c r="J19" s="1797"/>
      <c r="K19" s="1797">
        <f t="shared" si="5"/>
        <v>46401.74</v>
      </c>
      <c r="L19" s="1797"/>
      <c r="M19" s="1797">
        <f t="shared" si="0"/>
        <v>-562.44000000000233</v>
      </c>
      <c r="O19" s="1814">
        <f t="shared" si="1"/>
        <v>-1.1975935702486451E-2</v>
      </c>
      <c r="Q19" s="1797">
        <f t="shared" si="6"/>
        <v>39568.29</v>
      </c>
      <c r="R19" s="1797"/>
      <c r="S19" s="1797">
        <f t="shared" si="7"/>
        <v>32906.959999999999</v>
      </c>
      <c r="T19" s="1797"/>
      <c r="U19" s="1797">
        <f t="shared" si="2"/>
        <v>-6661.3300000000017</v>
      </c>
      <c r="W19" s="1814">
        <f t="shared" si="3"/>
        <v>-0.16835021174784159</v>
      </c>
      <c r="Y19" s="1736" t="s">
        <v>1678</v>
      </c>
      <c r="Z19" s="1773">
        <f>Z10</f>
        <v>70</v>
      </c>
      <c r="AA19" s="1805">
        <f>AA10</f>
        <v>70</v>
      </c>
      <c r="AB19" s="1773"/>
      <c r="AC19" s="1715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1694</v>
      </c>
      <c r="Z20" s="1773">
        <f>Z11</f>
        <v>4.76</v>
      </c>
      <c r="AA20" s="1805">
        <f>AA11</f>
        <v>4.78</v>
      </c>
      <c r="AB20" s="1773"/>
      <c r="AC20" s="1715"/>
    </row>
    <row r="21" spans="1:29">
      <c r="A21" s="1707">
        <v>2000</v>
      </c>
      <c r="C21" s="1707">
        <f>A21*0.5*730</f>
        <v>730000</v>
      </c>
      <c r="E21" s="1767">
        <v>0.6</v>
      </c>
      <c r="F21" s="1767">
        <f>('Large Profile'!$M$6)/('Large Profile'!$E$6)*E21</f>
        <v>0.47838269954015672</v>
      </c>
      <c r="G21" s="1767">
        <f>('Large Profile'!$Q$6)/('Large Profile'!$I$6)*E21</f>
        <v>0.29591204321862258</v>
      </c>
      <c r="I21" s="1797">
        <f t="shared" ref="I21:I29" si="9">ROUND($Z$10+(($Z$11+$Z$13)*$A21+($Z$12*$A21+($Z$14*$E21+$Z$15*(1-$E21))/100*$C21)*(1+$Z$35))*(1+$Z$17)+($Z$12*$A21+($Z$14*$E21+$Z$15*(1-$E21))/100*$C21)*$Z$30+$Z$16,2)</f>
        <v>72082.84</v>
      </c>
      <c r="J21" s="1797"/>
      <c r="K21" s="1797">
        <f t="shared" ref="K21:K29" si="10">ROUND($AA$10+(($AA$11+$AA$13)*$A21+($AA$12*$A21+($AA$14*$F21+$AA$15*(1-$F21))/100*$C21)*(1+$AA$35))*(1+$AA$17)+($AA$12*$A21+($AA$14*$F21+$AA$15*(1-$F21))/100*$C21)*$AA$30+$AA$16,2)</f>
        <v>72767.95</v>
      </c>
      <c r="L21" s="1797"/>
      <c r="M21" s="1797">
        <f t="shared" si="0"/>
        <v>685.11000000000058</v>
      </c>
      <c r="O21" s="1814">
        <f t="shared" si="1"/>
        <v>9.504481232981421E-3</v>
      </c>
      <c r="Q21" s="1797">
        <f t="shared" ref="Q21:Q29" si="11">ROUND($Z$19+(($Z$20+$Z$22)*$A21+($Z$21*$A21+($Z$23*$E21+$Z$24*(1-$E21))/100*$C21)*(1+$Z$35))*(1+$Z$26)+($Z$21*$A21+($Z$23*$E21+$Z$24*(1-$E21))/100*$C21)*$Z$30+$Z$25,2)</f>
        <v>58270.6</v>
      </c>
      <c r="R21" s="1797"/>
      <c r="S21" s="1797">
        <f t="shared" ref="S21:S29" si="12">ROUND($AA$19+(($AA$20+$AA$22)*$A21+($AA$21*$A21+($AA$23*$G21+$AA$24*(1-$G21))/100*$C21)*(1+$AA$35))*(1+$AA$26)+($AA$21*$A21+($AA$23*$G21+$AA$24*(1-$G21))/100*$C21)*$AA$30+$AA$25,2)</f>
        <v>48766.69</v>
      </c>
      <c r="T21" s="1797"/>
      <c r="U21" s="1797">
        <f t="shared" si="2"/>
        <v>-9503.9099999999962</v>
      </c>
      <c r="W21" s="1814">
        <f t="shared" si="3"/>
        <v>-0.163099573369761</v>
      </c>
      <c r="Y21" s="1736" t="s">
        <v>1695</v>
      </c>
      <c r="Z21" s="1795">
        <v>11.19</v>
      </c>
      <c r="AA21" s="1796">
        <f>'Blocking-Step1'!M1380</f>
        <v>7.55</v>
      </c>
      <c r="AB21" s="1795"/>
      <c r="AC21" s="1715"/>
    </row>
    <row r="22" spans="1:29">
      <c r="A22" s="1815">
        <f>A21</f>
        <v>2000</v>
      </c>
      <c r="C22" s="1815">
        <f>C21</f>
        <v>730000</v>
      </c>
      <c r="E22" s="1767">
        <v>0.5</v>
      </c>
      <c r="F22" s="1767">
        <f>('Large Profile'!$M$6)/('Large Profile'!$E$6)*E22</f>
        <v>0.39865224961679729</v>
      </c>
      <c r="G22" s="1767">
        <f>('Large Profile'!$Q$6)/('Large Profile'!$I$6)*E22</f>
        <v>0.24659336934885218</v>
      </c>
      <c r="I22" s="1797">
        <f t="shared" si="9"/>
        <v>70856.37</v>
      </c>
      <c r="J22" s="1797"/>
      <c r="K22" s="1797">
        <f t="shared" si="10"/>
        <v>71046.91</v>
      </c>
      <c r="L22" s="1797"/>
      <c r="M22" s="1797">
        <f t="shared" si="0"/>
        <v>190.54000000000815</v>
      </c>
      <c r="O22" s="1814">
        <f t="shared" si="1"/>
        <v>2.6891019113737258E-3</v>
      </c>
      <c r="Q22" s="1797">
        <f t="shared" si="11"/>
        <v>57860.41</v>
      </c>
      <c r="R22" s="1797"/>
      <c r="S22" s="1797">
        <f t="shared" si="12"/>
        <v>47824.59</v>
      </c>
      <c r="T22" s="1797"/>
      <c r="U22" s="1797">
        <f t="shared" si="2"/>
        <v>-10035.820000000007</v>
      </c>
      <c r="W22" s="1814">
        <f t="shared" si="3"/>
        <v>-0.17344882277882245</v>
      </c>
      <c r="Y22" s="1736" t="s">
        <v>1680</v>
      </c>
      <c r="Z22" s="1773">
        <f>Z13</f>
        <v>-1.1299999999999999</v>
      </c>
      <c r="AA22" s="1805">
        <f>AA13</f>
        <v>-1.1299999999999999</v>
      </c>
      <c r="AB22" s="1773"/>
      <c r="AC22" s="1715"/>
    </row>
    <row r="23" spans="1:29">
      <c r="A23" s="1815">
        <f>A22</f>
        <v>2000</v>
      </c>
      <c r="C23" s="1815">
        <f>C22</f>
        <v>730000</v>
      </c>
      <c r="E23" s="1767">
        <v>0.4</v>
      </c>
      <c r="F23" s="1767">
        <f>('Large Profile'!$M$6)/('Large Profile'!$E$6)*E23</f>
        <v>0.31892179969343787</v>
      </c>
      <c r="G23" s="1767">
        <f>('Large Profile'!$Q$6)/('Large Profile'!$I$6)*E23</f>
        <v>0.19727469547908175</v>
      </c>
      <c r="I23" s="1797">
        <f t="shared" si="9"/>
        <v>69629.899999999994</v>
      </c>
      <c r="J23" s="1797"/>
      <c r="K23" s="1797">
        <f t="shared" si="10"/>
        <v>69325.87</v>
      </c>
      <c r="L23" s="1797"/>
      <c r="M23" s="1797">
        <f t="shared" si="0"/>
        <v>-304.02999999999884</v>
      </c>
      <c r="O23" s="1814">
        <f t="shared" si="1"/>
        <v>-4.3663713433452767E-3</v>
      </c>
      <c r="Q23" s="1797">
        <f t="shared" si="11"/>
        <v>57450.22</v>
      </c>
      <c r="R23" s="1797"/>
      <c r="S23" s="1797">
        <f t="shared" si="12"/>
        <v>46882.48</v>
      </c>
      <c r="T23" s="1797"/>
      <c r="U23" s="1797">
        <f t="shared" si="2"/>
        <v>-10567.739999999998</v>
      </c>
      <c r="W23" s="1814">
        <f t="shared" si="3"/>
        <v>-0.18394603188638792</v>
      </c>
      <c r="Y23" s="1736" t="s">
        <v>1696</v>
      </c>
      <c r="Z23" s="1799">
        <v>3.9510999999999998</v>
      </c>
      <c r="AA23" s="1800">
        <f>'Blocking-Step1'!Q1382</f>
        <v>5.1309540428040004</v>
      </c>
      <c r="AB23" s="1801"/>
      <c r="AC23" s="1817"/>
    </row>
    <row r="24" spans="1:29">
      <c r="A24" s="1815">
        <f>A23</f>
        <v>2000</v>
      </c>
      <c r="C24" s="1707">
        <f>A21*0.7*730</f>
        <v>1022000</v>
      </c>
      <c r="E24" s="1767">
        <f t="shared" ref="E24:E29" si="13">E21</f>
        <v>0.6</v>
      </c>
      <c r="F24" s="1767">
        <f>('Large Profile'!$M$6)/('Large Profile'!$E$6)*E24</f>
        <v>0.47838269954015672</v>
      </c>
      <c r="G24" s="1767">
        <f>('Large Profile'!$Q$6)/('Large Profile'!$I$6)*E24</f>
        <v>0.29591204321862258</v>
      </c>
      <c r="I24" s="1797">
        <f t="shared" si="9"/>
        <v>85153.25</v>
      </c>
      <c r="J24" s="1797"/>
      <c r="K24" s="1797">
        <f t="shared" si="10"/>
        <v>85823.57</v>
      </c>
      <c r="L24" s="1797"/>
      <c r="M24" s="1797">
        <f t="shared" si="0"/>
        <v>670.32000000000698</v>
      </c>
      <c r="O24" s="1814">
        <f t="shared" si="1"/>
        <v>7.8719250292855758E-3</v>
      </c>
      <c r="Q24" s="1797">
        <f t="shared" si="11"/>
        <v>69381.929999999993</v>
      </c>
      <c r="R24" s="1797"/>
      <c r="S24" s="1797">
        <f t="shared" si="12"/>
        <v>58926.1</v>
      </c>
      <c r="T24" s="1797"/>
      <c r="U24" s="1797">
        <f t="shared" si="2"/>
        <v>-10455.829999999994</v>
      </c>
      <c r="W24" s="1814">
        <f t="shared" si="3"/>
        <v>-0.1506996129972169</v>
      </c>
      <c r="Y24" s="1736" t="s">
        <v>1697</v>
      </c>
      <c r="Z24" s="1799">
        <v>3.4001999999999999</v>
      </c>
      <c r="AA24" s="1800">
        <f>'Blocking-Step1'!Q1384</f>
        <v>2.6079736910040001</v>
      </c>
      <c r="AB24" s="1801"/>
      <c r="AC24" s="1817"/>
    </row>
    <row r="25" spans="1:29">
      <c r="A25" s="1815">
        <f>A24</f>
        <v>2000</v>
      </c>
      <c r="C25" s="1815">
        <f>C24</f>
        <v>1022000</v>
      </c>
      <c r="E25" s="1767">
        <f t="shared" si="13"/>
        <v>0.5</v>
      </c>
      <c r="F25" s="1767">
        <f>('Large Profile'!$M$6)/('Large Profile'!$E$6)*E25</f>
        <v>0.39865224961679729</v>
      </c>
      <c r="G25" s="1767">
        <f>('Large Profile'!$Q$6)/('Large Profile'!$I$6)*E25</f>
        <v>0.24659336934885218</v>
      </c>
      <c r="I25" s="1797">
        <f t="shared" si="9"/>
        <v>83436.19</v>
      </c>
      <c r="J25" s="1797"/>
      <c r="K25" s="1797">
        <f t="shared" si="10"/>
        <v>83414.12</v>
      </c>
      <c r="L25" s="1797"/>
      <c r="M25" s="1797">
        <f t="shared" si="0"/>
        <v>-22.070000000006985</v>
      </c>
      <c r="O25" s="1814">
        <f t="shared" si="1"/>
        <v>-2.6451351625722541E-4</v>
      </c>
      <c r="Q25" s="1797">
        <f t="shared" si="11"/>
        <v>68807.66</v>
      </c>
      <c r="R25" s="1797"/>
      <c r="S25" s="1797">
        <f t="shared" si="12"/>
        <v>57607.15</v>
      </c>
      <c r="T25" s="1797"/>
      <c r="U25" s="1797">
        <f t="shared" si="2"/>
        <v>-11200.510000000002</v>
      </c>
      <c r="W25" s="1814">
        <f t="shared" si="3"/>
        <v>-0.1627799869956339</v>
      </c>
      <c r="Y25" s="1736" t="s">
        <v>1133</v>
      </c>
      <c r="Z25" s="1773">
        <f>Z16</f>
        <v>50</v>
      </c>
      <c r="AA25" s="1805">
        <f>AA16</f>
        <v>50</v>
      </c>
      <c r="AB25" s="1773"/>
      <c r="AC25" s="1715"/>
    </row>
    <row r="26" spans="1:29">
      <c r="A26" s="1815">
        <f>A25</f>
        <v>2000</v>
      </c>
      <c r="C26" s="1815">
        <f>C25</f>
        <v>1022000</v>
      </c>
      <c r="E26" s="1767">
        <f t="shared" si="13"/>
        <v>0.4</v>
      </c>
      <c r="F26" s="1767">
        <f>('Large Profile'!$M$6)/('Large Profile'!$E$6)*E26</f>
        <v>0.31892179969343787</v>
      </c>
      <c r="G26" s="1767">
        <f>('Large Profile'!$Q$6)/('Large Profile'!$I$6)*E26</f>
        <v>0.19727469547908175</v>
      </c>
      <c r="I26" s="1797">
        <f t="shared" si="9"/>
        <v>81719.13</v>
      </c>
      <c r="J26" s="1797"/>
      <c r="K26" s="1797">
        <f t="shared" si="10"/>
        <v>81004.67</v>
      </c>
      <c r="L26" s="1797"/>
      <c r="M26" s="1797">
        <f t="shared" si="0"/>
        <v>-714.4600000000064</v>
      </c>
      <c r="O26" s="1814">
        <f t="shared" si="1"/>
        <v>-8.7428733027383743E-3</v>
      </c>
      <c r="Q26" s="1797">
        <f t="shared" si="11"/>
        <v>68233.399999999994</v>
      </c>
      <c r="R26" s="1797"/>
      <c r="S26" s="1797">
        <f t="shared" si="12"/>
        <v>56288.21</v>
      </c>
      <c r="T26" s="1797"/>
      <c r="U26" s="1797">
        <f t="shared" si="2"/>
        <v>-11945.189999999995</v>
      </c>
      <c r="W26" s="1814">
        <f t="shared" si="3"/>
        <v>-0.17506367849176496</v>
      </c>
      <c r="Y26" s="1759" t="s">
        <v>1718</v>
      </c>
      <c r="Z26" s="1768">
        <f>Z17</f>
        <v>3.9300000000000002E-2</v>
      </c>
      <c r="AA26" s="1769">
        <f>AA17</f>
        <v>3.9300000000000002E-2</v>
      </c>
      <c r="AB26" s="1752"/>
      <c r="AC26" s="1715"/>
    </row>
    <row r="27" spans="1:29">
      <c r="A27" s="1815">
        <f>A24</f>
        <v>2000</v>
      </c>
      <c r="C27" s="1707">
        <f>A21*0.9*730</f>
        <v>1314000</v>
      </c>
      <c r="E27" s="1767">
        <f t="shared" si="13"/>
        <v>0.6</v>
      </c>
      <c r="F27" s="1767">
        <f>('Large Profile'!$M$6)/('Large Profile'!$E$6)*E27</f>
        <v>0.47838269954015672</v>
      </c>
      <c r="G27" s="1767">
        <f>('Large Profile'!$Q$6)/('Large Profile'!$I$6)*E27</f>
        <v>0.29591204321862258</v>
      </c>
      <c r="I27" s="1797">
        <f t="shared" si="9"/>
        <v>98223.65</v>
      </c>
      <c r="J27" s="1797"/>
      <c r="K27" s="1797">
        <f t="shared" si="10"/>
        <v>98879.2</v>
      </c>
      <c r="L27" s="1797"/>
      <c r="M27" s="1797">
        <f t="shared" si="0"/>
        <v>655.55000000000291</v>
      </c>
      <c r="O27" s="1814">
        <f t="shared" si="1"/>
        <v>6.6740545683243724E-3</v>
      </c>
      <c r="Q27" s="1797">
        <f t="shared" si="11"/>
        <v>80493.25</v>
      </c>
      <c r="R27" s="1797"/>
      <c r="S27" s="1797">
        <f t="shared" si="12"/>
        <v>69085.5</v>
      </c>
      <c r="T27" s="1797"/>
      <c r="U27" s="1797">
        <f t="shared" si="2"/>
        <v>-11407.75</v>
      </c>
      <c r="W27" s="1814">
        <f t="shared" si="3"/>
        <v>-0.14172306373515786</v>
      </c>
    </row>
    <row r="28" spans="1:29">
      <c r="A28" s="1815">
        <f>A25</f>
        <v>2000</v>
      </c>
      <c r="C28" s="1815">
        <f>C27</f>
        <v>1314000</v>
      </c>
      <c r="E28" s="1767">
        <f t="shared" si="13"/>
        <v>0.5</v>
      </c>
      <c r="F28" s="1767">
        <f>('Large Profile'!$M$6)/('Large Profile'!$E$6)*E28</f>
        <v>0.39865224961679729</v>
      </c>
      <c r="G28" s="1767">
        <f>('Large Profile'!$Q$6)/('Large Profile'!$I$6)*E28</f>
        <v>0.24659336934885218</v>
      </c>
      <c r="I28" s="1797">
        <f t="shared" si="9"/>
        <v>96016</v>
      </c>
      <c r="J28" s="1797"/>
      <c r="K28" s="1797">
        <f t="shared" si="10"/>
        <v>95781.34</v>
      </c>
      <c r="L28" s="1797"/>
      <c r="M28" s="1797">
        <f t="shared" si="0"/>
        <v>-234.66000000000349</v>
      </c>
      <c r="O28" s="1814">
        <f t="shared" si="1"/>
        <v>-2.443967672054681E-3</v>
      </c>
      <c r="Q28" s="1797">
        <f t="shared" si="11"/>
        <v>79754.91</v>
      </c>
      <c r="R28" s="1797"/>
      <c r="S28" s="1797">
        <f t="shared" si="12"/>
        <v>67389.710000000006</v>
      </c>
      <c r="T28" s="1797"/>
      <c r="U28" s="1797">
        <f t="shared" si="2"/>
        <v>-12365.199999999997</v>
      </c>
      <c r="W28" s="1814">
        <f t="shared" si="3"/>
        <v>-0.15503998437212196</v>
      </c>
      <c r="AA28" s="1808"/>
    </row>
    <row r="29" spans="1:29">
      <c r="A29" s="1815">
        <f>A26</f>
        <v>2000</v>
      </c>
      <c r="C29" s="1815">
        <f>C28</f>
        <v>1314000</v>
      </c>
      <c r="E29" s="1767">
        <f t="shared" si="13"/>
        <v>0.4</v>
      </c>
      <c r="F29" s="1767">
        <f>('Large Profile'!$M$6)/('Large Profile'!$E$6)*E29</f>
        <v>0.31892179969343787</v>
      </c>
      <c r="G29" s="1767">
        <f>('Large Profile'!$Q$6)/('Large Profile'!$I$6)*E29</f>
        <v>0.19727469547908175</v>
      </c>
      <c r="I29" s="1797">
        <f t="shared" si="9"/>
        <v>93808.36</v>
      </c>
      <c r="J29" s="1797"/>
      <c r="K29" s="1797">
        <f t="shared" si="10"/>
        <v>92683.47</v>
      </c>
      <c r="L29" s="1797"/>
      <c r="M29" s="1797">
        <f t="shared" si="0"/>
        <v>-1124.8899999999994</v>
      </c>
      <c r="O29" s="1814">
        <f t="shared" si="1"/>
        <v>-1.1991361963901714E-2</v>
      </c>
      <c r="Q29" s="1797">
        <f t="shared" si="11"/>
        <v>79016.570000000007</v>
      </c>
      <c r="R29" s="1797"/>
      <c r="S29" s="1797">
        <f t="shared" si="12"/>
        <v>65693.929999999993</v>
      </c>
      <c r="T29" s="1797"/>
      <c r="U29" s="1797">
        <f t="shared" si="2"/>
        <v>-13322.640000000014</v>
      </c>
      <c r="W29" s="1814">
        <f t="shared" si="3"/>
        <v>-0.16860564815708923</v>
      </c>
      <c r="Y29" s="1704" t="s">
        <v>1684</v>
      </c>
      <c r="Z29" s="1799">
        <v>0</v>
      </c>
      <c r="AA29" s="1799">
        <v>0</v>
      </c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1720</v>
      </c>
      <c r="Z30" s="1765">
        <v>-3.1800000000000002E-2</v>
      </c>
      <c r="AA30" s="1808">
        <f>'Blocking-Step1'!Q1392</f>
        <v>-1.46E-2</v>
      </c>
      <c r="AB30" s="1808"/>
    </row>
    <row r="31" spans="1:29">
      <c r="A31" s="1707">
        <v>4000</v>
      </c>
      <c r="C31" s="1707">
        <f>A31*0.5*730</f>
        <v>1460000</v>
      </c>
      <c r="E31" s="1767">
        <v>0.6</v>
      </c>
      <c r="F31" s="1767">
        <f>('Large Profile'!$M$6)/('Large Profile'!$E$6)*E31</f>
        <v>0.47838269954015672</v>
      </c>
      <c r="G31" s="1767">
        <f>('Large Profile'!$Q$6)/('Large Profile'!$I$6)*E31</f>
        <v>0.29591204321862258</v>
      </c>
      <c r="I31" s="1797">
        <f t="shared" ref="I31:I39" si="14">ROUND($Z$10+(($Z$11+$Z$13)*$A31+($Z$12*$A31+($Z$14*$E31+$Z$15*(1-$E31))/100*$C31)*(1+$Z$35))*(1+$Z$17)+($Z$12*$A31+($Z$14*$E31+$Z$15*(1-$E31))/100*$C31)*$Z$30+$Z$16,2)</f>
        <v>144045.69</v>
      </c>
      <c r="J31" s="1797"/>
      <c r="K31" s="1797">
        <f t="shared" ref="K31:K39" si="15">ROUND($AA$10+(($AA$11+$AA$13)*$A31+($AA$12*$A31+($AA$14*$F31+$AA$15*(1-$F31))/100*$C31)*(1+$AA$35))*(1+$AA$17)+($AA$12*$A31+($AA$14*$F31+$AA$15*(1-$F31))/100*$C31)*$AA$30+$AA$16,2)</f>
        <v>145415.89000000001</v>
      </c>
      <c r="L31" s="1797"/>
      <c r="M31" s="1797">
        <f t="shared" si="0"/>
        <v>1370.2000000000116</v>
      </c>
      <c r="O31" s="1814">
        <f t="shared" si="1"/>
        <v>9.5122596170702511E-3</v>
      </c>
      <c r="Q31" s="1797">
        <f t="shared" ref="Q31:Q39" si="16">ROUND($Z$19+(($Z$20+$Z$22)*$A31+($Z$21*$A31+($Z$23*$E31+$Z$24*(1-$E31))/100*$C31)*(1+$Z$35))*(1+$Z$26)+($Z$21*$A31+($Z$23*$E31+$Z$24*(1-$E31))/100*$C31)*$Z$30+$Z$25,2)</f>
        <v>116421.2</v>
      </c>
      <c r="R31" s="1797"/>
      <c r="S31" s="1797">
        <f t="shared" ref="S31:S39" si="17">ROUND($AA$19+(($AA$20+$AA$22)*$A31+($AA$21*$A31+($AA$23*$G31+$AA$24*(1-$G31))/100*$C31)*(1+$AA$35))*(1+$AA$26)+($AA$21*$A31+($AA$23*$G31+$AA$24*(1-$G31))/100*$C31)*$AA$30+$AA$25,2)</f>
        <v>97413.38</v>
      </c>
      <c r="T31" s="1797"/>
      <c r="U31" s="1797">
        <f t="shared" si="2"/>
        <v>-19007.819999999992</v>
      </c>
      <c r="W31" s="1814">
        <f t="shared" si="3"/>
        <v>-0.16326768664126456</v>
      </c>
      <c r="Y31" s="1702" t="s">
        <v>1721</v>
      </c>
      <c r="Z31" s="1765">
        <v>3.8999999999999998E-3</v>
      </c>
      <c r="AA31" s="1808">
        <f>Z31</f>
        <v>3.8999999999999998E-3</v>
      </c>
    </row>
    <row r="32" spans="1:29">
      <c r="A32" s="1815">
        <f>A31</f>
        <v>4000</v>
      </c>
      <c r="C32" s="1815">
        <f>C31</f>
        <v>1460000</v>
      </c>
      <c r="E32" s="1767">
        <v>0.5</v>
      </c>
      <c r="F32" s="1767">
        <f>('Large Profile'!$M$6)/('Large Profile'!$E$6)*E32</f>
        <v>0.39865224961679729</v>
      </c>
      <c r="G32" s="1767">
        <f>('Large Profile'!$Q$6)/('Large Profile'!$I$6)*E32</f>
        <v>0.24659336934885218</v>
      </c>
      <c r="I32" s="1797">
        <f t="shared" si="14"/>
        <v>141592.75</v>
      </c>
      <c r="J32" s="1797"/>
      <c r="K32" s="1797">
        <f t="shared" si="15"/>
        <v>141973.82</v>
      </c>
      <c r="L32" s="1797"/>
      <c r="M32" s="1797">
        <f t="shared" si="0"/>
        <v>381.07000000000698</v>
      </c>
      <c r="O32" s="1814">
        <f t="shared" si="1"/>
        <v>2.6913101129826256E-3</v>
      </c>
      <c r="Q32" s="1797">
        <f t="shared" si="16"/>
        <v>115600.82</v>
      </c>
      <c r="R32" s="1797"/>
      <c r="S32" s="1797">
        <f t="shared" si="17"/>
        <v>95529.18</v>
      </c>
      <c r="T32" s="1797"/>
      <c r="U32" s="1797">
        <f t="shared" si="2"/>
        <v>-20071.640000000014</v>
      </c>
      <c r="W32" s="1814">
        <f t="shared" si="3"/>
        <v>-0.1736288721827407</v>
      </c>
      <c r="Y32" s="1702" t="s">
        <v>1722</v>
      </c>
      <c r="Z32" s="1803">
        <v>3.5400000000000001E-2</v>
      </c>
      <c r="AA32" s="1808">
        <f>Z32</f>
        <v>3.5400000000000001E-2</v>
      </c>
    </row>
    <row r="33" spans="1:27">
      <c r="A33" s="1815">
        <f>A32</f>
        <v>4000</v>
      </c>
      <c r="C33" s="1815">
        <f>C32</f>
        <v>1460000</v>
      </c>
      <c r="E33" s="1767">
        <v>0.4</v>
      </c>
      <c r="F33" s="1767">
        <f>('Large Profile'!$M$6)/('Large Profile'!$E$6)*E33</f>
        <v>0.31892179969343787</v>
      </c>
      <c r="G33" s="1767">
        <f>('Large Profile'!$Q$6)/('Large Profile'!$I$6)*E33</f>
        <v>0.19727469547908175</v>
      </c>
      <c r="I33" s="1797">
        <f t="shared" si="14"/>
        <v>139139.79999999999</v>
      </c>
      <c r="J33" s="1797"/>
      <c r="K33" s="1797">
        <f t="shared" si="15"/>
        <v>138531.75</v>
      </c>
      <c r="L33" s="1797"/>
      <c r="M33" s="1797">
        <f t="shared" si="0"/>
        <v>-608.04999999998836</v>
      </c>
      <c r="O33" s="1814">
        <f t="shared" si="1"/>
        <v>-4.3700652149851749E-3</v>
      </c>
      <c r="Q33" s="1797">
        <f t="shared" si="16"/>
        <v>114780.44</v>
      </c>
      <c r="R33" s="1797"/>
      <c r="S33" s="1797">
        <f t="shared" si="17"/>
        <v>93644.97</v>
      </c>
      <c r="T33" s="1797"/>
      <c r="U33" s="1797">
        <f t="shared" si="2"/>
        <v>-21135.47</v>
      </c>
      <c r="W33" s="1814">
        <f t="shared" si="3"/>
        <v>-0.18413825561219321</v>
      </c>
      <c r="Y33" s="1704" t="s">
        <v>1685</v>
      </c>
      <c r="Z33" s="1765">
        <v>1.15E-2</v>
      </c>
      <c r="AA33" s="1809">
        <f>Z33</f>
        <v>1.15E-2</v>
      </c>
    </row>
    <row r="34" spans="1:27">
      <c r="A34" s="1815">
        <f>A33</f>
        <v>4000</v>
      </c>
      <c r="C34" s="1707">
        <f>A31*0.7*730</f>
        <v>2044000</v>
      </c>
      <c r="E34" s="1767">
        <f t="shared" ref="E34:E39" si="18">E31</f>
        <v>0.6</v>
      </c>
      <c r="F34" s="1767">
        <f>('Large Profile'!$M$6)/('Large Profile'!$E$6)*E34</f>
        <v>0.47838269954015672</v>
      </c>
      <c r="G34" s="1767">
        <f>('Large Profile'!$Q$6)/('Large Profile'!$I$6)*E34</f>
        <v>0.29591204321862258</v>
      </c>
      <c r="I34" s="1797">
        <f t="shared" si="14"/>
        <v>170186.5</v>
      </c>
      <c r="J34" s="1797"/>
      <c r="K34" s="1797">
        <f t="shared" si="15"/>
        <v>171527.15</v>
      </c>
      <c r="L34" s="1797"/>
      <c r="M34" s="1797">
        <f t="shared" si="0"/>
        <v>1340.6499999999942</v>
      </c>
      <c r="O34" s="1814">
        <f t="shared" si="1"/>
        <v>7.877534352019655E-3</v>
      </c>
      <c r="Q34" s="1797">
        <f t="shared" si="16"/>
        <v>138643.85</v>
      </c>
      <c r="R34" s="1797"/>
      <c r="S34" s="1797">
        <f t="shared" si="17"/>
        <v>117732.19</v>
      </c>
      <c r="T34" s="1797"/>
      <c r="U34" s="1797">
        <f t="shared" si="2"/>
        <v>-20911.660000000003</v>
      </c>
      <c r="W34" s="1814">
        <f t="shared" si="3"/>
        <v>-0.15083005845553199</v>
      </c>
      <c r="Y34" s="1704" t="s">
        <v>1686</v>
      </c>
      <c r="Z34" s="1765">
        <v>5.0000000000000001E-4</v>
      </c>
      <c r="AA34" s="1809">
        <f>Z34</f>
        <v>5.0000000000000001E-4</v>
      </c>
    </row>
    <row r="35" spans="1:27">
      <c r="A35" s="1815">
        <f>A34</f>
        <v>4000</v>
      </c>
      <c r="C35" s="1815">
        <f>C34</f>
        <v>2044000</v>
      </c>
      <c r="E35" s="1767">
        <f t="shared" si="18"/>
        <v>0.5</v>
      </c>
      <c r="F35" s="1767">
        <f>('Large Profile'!$M$6)/('Large Profile'!$E$6)*E35</f>
        <v>0.39865224961679729</v>
      </c>
      <c r="G35" s="1767">
        <f>('Large Profile'!$Q$6)/('Large Profile'!$I$6)*E35</f>
        <v>0.24659336934885218</v>
      </c>
      <c r="I35" s="1797">
        <f t="shared" si="14"/>
        <v>166752.38</v>
      </c>
      <c r="J35" s="1797"/>
      <c r="K35" s="1797">
        <f t="shared" si="15"/>
        <v>166708.25</v>
      </c>
      <c r="L35" s="1797"/>
      <c r="M35" s="1797">
        <f t="shared" si="0"/>
        <v>-44.130000000004657</v>
      </c>
      <c r="O35" s="1814">
        <f t="shared" si="1"/>
        <v>-2.6464389893565698E-4</v>
      </c>
      <c r="Q35" s="1797">
        <f t="shared" si="16"/>
        <v>137495.32</v>
      </c>
      <c r="R35" s="1797"/>
      <c r="S35" s="1797">
        <f t="shared" si="17"/>
        <v>115094.3</v>
      </c>
      <c r="T35" s="1797"/>
      <c r="U35" s="1797">
        <f t="shared" si="2"/>
        <v>-22401.020000000004</v>
      </c>
      <c r="W35" s="1814">
        <f t="shared" si="3"/>
        <v>-0.16292205436519591</v>
      </c>
      <c r="Y35" s="1702" t="s">
        <v>1687</v>
      </c>
      <c r="Z35" s="1752">
        <f>SUM(Z33:Z34)</f>
        <v>1.2E-2</v>
      </c>
      <c r="AA35" s="1752">
        <f>SUM(AA33:AA34)</f>
        <v>1.2E-2</v>
      </c>
    </row>
    <row r="36" spans="1:27">
      <c r="A36" s="1815">
        <f>A35</f>
        <v>4000</v>
      </c>
      <c r="C36" s="1815">
        <f>C35</f>
        <v>2044000</v>
      </c>
      <c r="E36" s="1767">
        <f t="shared" si="18"/>
        <v>0.4</v>
      </c>
      <c r="F36" s="1767">
        <f>('Large Profile'!$M$6)/('Large Profile'!$E$6)*E36</f>
        <v>0.31892179969343787</v>
      </c>
      <c r="G36" s="1767">
        <f>('Large Profile'!$Q$6)/('Large Profile'!$I$6)*E36</f>
        <v>0.19727469547908175</v>
      </c>
      <c r="I36" s="1797">
        <f t="shared" si="14"/>
        <v>163318.26</v>
      </c>
      <c r="J36" s="1797"/>
      <c r="K36" s="1797">
        <f t="shared" si="15"/>
        <v>161889.35</v>
      </c>
      <c r="L36" s="1797"/>
      <c r="M36" s="1797">
        <f t="shared" si="0"/>
        <v>-1428.9100000000035</v>
      </c>
      <c r="O36" s="1814">
        <f t="shared" si="1"/>
        <v>-8.7492360009223669E-3</v>
      </c>
      <c r="Q36" s="1797">
        <f t="shared" si="16"/>
        <v>136346.79</v>
      </c>
      <c r="R36" s="1797"/>
      <c r="S36" s="1797">
        <f t="shared" si="17"/>
        <v>112456.41</v>
      </c>
      <c r="T36" s="1797"/>
      <c r="U36" s="1797">
        <f t="shared" si="2"/>
        <v>-23890.380000000005</v>
      </c>
      <c r="W36" s="1814">
        <f t="shared" si="3"/>
        <v>-0.17521776640286146</v>
      </c>
    </row>
    <row r="37" spans="1:27">
      <c r="A37" s="1815">
        <f>A34</f>
        <v>4000</v>
      </c>
      <c r="C37" s="1707">
        <f>A31*0.9*730</f>
        <v>2628000</v>
      </c>
      <c r="E37" s="1767">
        <f t="shared" si="18"/>
        <v>0.6</v>
      </c>
      <c r="F37" s="1767">
        <f>('Large Profile'!$M$6)/('Large Profile'!$E$6)*E37</f>
        <v>0.47838269954015672</v>
      </c>
      <c r="G37" s="1767">
        <f>('Large Profile'!$Q$6)/('Large Profile'!$I$6)*E37</f>
        <v>0.29591204321862258</v>
      </c>
      <c r="I37" s="1797">
        <f t="shared" si="14"/>
        <v>196327.3</v>
      </c>
      <c r="J37" s="1797"/>
      <c r="K37" s="1797">
        <f t="shared" si="15"/>
        <v>197638.39999999999</v>
      </c>
      <c r="L37" s="1797"/>
      <c r="M37" s="1797">
        <f t="shared" si="0"/>
        <v>1311.1000000000058</v>
      </c>
      <c r="O37" s="1814">
        <f t="shared" si="1"/>
        <v>6.6781339120947081E-3</v>
      </c>
      <c r="Q37" s="1797">
        <f t="shared" si="16"/>
        <v>160866.5</v>
      </c>
      <c r="R37" s="1797"/>
      <c r="S37" s="1797">
        <f t="shared" si="17"/>
        <v>138051</v>
      </c>
      <c r="T37" s="1797"/>
      <c r="U37" s="1797">
        <f t="shared" si="2"/>
        <v>-22815.5</v>
      </c>
      <c r="W37" s="1814">
        <f t="shared" si="3"/>
        <v>-0.14182878349438821</v>
      </c>
    </row>
    <row r="38" spans="1:27">
      <c r="A38" s="1815">
        <f>A35</f>
        <v>4000</v>
      </c>
      <c r="C38" s="1815">
        <f>C37</f>
        <v>2628000</v>
      </c>
      <c r="E38" s="1767">
        <f t="shared" si="18"/>
        <v>0.5</v>
      </c>
      <c r="F38" s="1767">
        <f>('Large Profile'!$M$6)/('Large Profile'!$E$6)*E38</f>
        <v>0.39865224961679729</v>
      </c>
      <c r="G38" s="1767">
        <f>('Large Profile'!$Q$6)/('Large Profile'!$I$6)*E38</f>
        <v>0.24659336934885218</v>
      </c>
      <c r="I38" s="1797">
        <f t="shared" si="14"/>
        <v>191912.01</v>
      </c>
      <c r="J38" s="1797"/>
      <c r="K38" s="1797">
        <f t="shared" si="15"/>
        <v>191442.67</v>
      </c>
      <c r="L38" s="1797"/>
      <c r="M38" s="1797">
        <f t="shared" si="0"/>
        <v>-469.33999999999651</v>
      </c>
      <c r="O38" s="1814">
        <f t="shared" si="1"/>
        <v>-2.4455999392638539E-3</v>
      </c>
      <c r="Q38" s="1797">
        <f t="shared" si="16"/>
        <v>159389.82999999999</v>
      </c>
      <c r="R38" s="1797"/>
      <c r="S38" s="1797">
        <f t="shared" si="17"/>
        <v>134659.43</v>
      </c>
      <c r="T38" s="1797"/>
      <c r="U38" s="1797">
        <f t="shared" si="2"/>
        <v>-24730.399999999994</v>
      </c>
      <c r="W38" s="1814">
        <f t="shared" si="3"/>
        <v>-0.15515669977187374</v>
      </c>
    </row>
    <row r="39" spans="1:27">
      <c r="A39" s="1815">
        <f>A36</f>
        <v>4000</v>
      </c>
      <c r="C39" s="1815">
        <f>C38</f>
        <v>2628000</v>
      </c>
      <c r="E39" s="1767">
        <f t="shared" si="18"/>
        <v>0.4</v>
      </c>
      <c r="F39" s="1767">
        <f>('Large Profile'!$M$6)/('Large Profile'!$E$6)*E39</f>
        <v>0.31892179969343787</v>
      </c>
      <c r="G39" s="1767">
        <f>('Large Profile'!$Q$6)/('Large Profile'!$I$6)*E39</f>
        <v>0.19727469547908175</v>
      </c>
      <c r="I39" s="1797">
        <f t="shared" si="14"/>
        <v>187496.71</v>
      </c>
      <c r="J39" s="1797"/>
      <c r="K39" s="1797">
        <f t="shared" si="15"/>
        <v>185246.94</v>
      </c>
      <c r="L39" s="1797"/>
      <c r="M39" s="1797">
        <f t="shared" si="0"/>
        <v>-2249.7699999999895</v>
      </c>
      <c r="O39" s="1814">
        <f t="shared" si="1"/>
        <v>-1.1998983875503688E-2</v>
      </c>
      <c r="Q39" s="1797">
        <f t="shared" si="16"/>
        <v>157913.15</v>
      </c>
      <c r="R39" s="1797"/>
      <c r="S39" s="1797">
        <f t="shared" si="17"/>
        <v>131267.85999999999</v>
      </c>
      <c r="T39" s="1797"/>
      <c r="U39" s="1797">
        <f t="shared" si="2"/>
        <v>-26645.290000000008</v>
      </c>
      <c r="W39" s="1814">
        <f t="shared" si="3"/>
        <v>-0.16873382615697308</v>
      </c>
    </row>
    <row r="40" spans="1:27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</row>
    <row r="41" spans="1:27">
      <c r="A41" s="1707">
        <v>6000</v>
      </c>
      <c r="C41" s="1707">
        <f>A41*0.5*730</f>
        <v>2190000</v>
      </c>
      <c r="E41" s="1767">
        <v>0.6</v>
      </c>
      <c r="F41" s="1767">
        <f>('Large Profile'!$M$6)/('Large Profile'!$E$6)*E41</f>
        <v>0.47838269954015672</v>
      </c>
      <c r="G41" s="1767">
        <f>('Large Profile'!$Q$6)/('Large Profile'!$I$6)*E41</f>
        <v>0.29591204321862258</v>
      </c>
      <c r="I41" s="1797">
        <f t="shared" ref="I41:I49" si="19">ROUND($Z$10+(($Z$11+$Z$13)*$A41+($Z$12*$A41+($Z$14*$E41+$Z$15*(1-$E41))/100*$C41)*(1+$Z$35))*(1+$Z$17)+($Z$12*$A41+($Z$14*$E41+$Z$15*(1-$E41))/100*$C41)*$Z$30+$Z$16,2)</f>
        <v>216008.53</v>
      </c>
      <c r="J41" s="1797"/>
      <c r="K41" s="1797">
        <f t="shared" ref="K41:K49" si="20">ROUND($AA$10+(($AA$11+$AA$13)*$A41+($AA$12*$A41+($AA$14*$F41+$AA$15*(1-$F41))/100*$C41)*(1+$AA$35))*(1+$AA$17)+($AA$12*$A41+($AA$14*$F41+$AA$15*(1-$F41))/100*$C41)*$AA$30+$AA$16,2)</f>
        <v>218063.84</v>
      </c>
      <c r="L41" s="1797"/>
      <c r="M41" s="1797">
        <f t="shared" si="0"/>
        <v>2055.3099999999977</v>
      </c>
      <c r="O41" s="1814">
        <f t="shared" si="1"/>
        <v>9.5149483217167319E-3</v>
      </c>
      <c r="Q41" s="1797">
        <f t="shared" ref="Q41:Q49" si="21">ROUND($Z$19+(($Z$20+$Z$22)*$A41+($Z$21*$A41+($Z$23*$E41+$Z$24*(1-$E41))/100*$C41)*(1+$Z$35))*(1+$Z$26)+($Z$21*$A41+($Z$23*$E41+$Z$24*(1-$E41))/100*$C41)*$Z$30+$Z$25,2)</f>
        <v>174571.8</v>
      </c>
      <c r="R41" s="1797"/>
      <c r="S41" s="1797">
        <f t="shared" ref="S41:S49" si="22">ROUND($AA$19+(($AA$20+$AA$22)*$A41+($AA$21*$A41+($AA$23*$G41+$AA$24*(1-$G41))/100*$C41)*(1+$AA$35))*(1+$AA$26)+($AA$21*$A41+($AA$23*$G41+$AA$24*(1-$G41))/100*$C41)*$AA$30+$AA$25,2)</f>
        <v>146060.07999999999</v>
      </c>
      <c r="T41" s="1797"/>
      <c r="U41" s="1797">
        <f t="shared" si="2"/>
        <v>-28511.72</v>
      </c>
      <c r="W41" s="1814">
        <f t="shared" si="3"/>
        <v>-0.16332374415569983</v>
      </c>
    </row>
    <row r="42" spans="1:27">
      <c r="A42" s="1815">
        <f>A41</f>
        <v>6000</v>
      </c>
      <c r="C42" s="1815">
        <f>C41</f>
        <v>2190000</v>
      </c>
      <c r="E42" s="1767">
        <v>0.5</v>
      </c>
      <c r="F42" s="1767">
        <f>('Large Profile'!$M$6)/('Large Profile'!$E$6)*E42</f>
        <v>0.39865224961679729</v>
      </c>
      <c r="G42" s="1767">
        <f>('Large Profile'!$Q$6)/('Large Profile'!$I$6)*E42</f>
        <v>0.24659336934885218</v>
      </c>
      <c r="I42" s="1797">
        <f t="shared" si="19"/>
        <v>212329.12</v>
      </c>
      <c r="J42" s="1797"/>
      <c r="K42" s="1797">
        <f t="shared" si="20"/>
        <v>212900.73</v>
      </c>
      <c r="L42" s="1797"/>
      <c r="M42" s="1797">
        <f t="shared" si="0"/>
        <v>571.61000000001513</v>
      </c>
      <c r="O42" s="1814">
        <f t="shared" si="1"/>
        <v>2.6920942355905808E-3</v>
      </c>
      <c r="Q42" s="1797">
        <f t="shared" si="21"/>
        <v>173341.23</v>
      </c>
      <c r="R42" s="1797"/>
      <c r="S42" s="1797">
        <f t="shared" si="22"/>
        <v>143233.76999999999</v>
      </c>
      <c r="T42" s="1797"/>
      <c r="U42" s="1797">
        <f t="shared" si="2"/>
        <v>-30107.460000000021</v>
      </c>
      <c r="W42" s="1814">
        <f t="shared" si="3"/>
        <v>-0.17368897174665265</v>
      </c>
    </row>
    <row r="43" spans="1:27">
      <c r="A43" s="1815">
        <f>A42</f>
        <v>6000</v>
      </c>
      <c r="C43" s="1815">
        <f>C42</f>
        <v>2190000</v>
      </c>
      <c r="E43" s="1767">
        <v>0.4</v>
      </c>
      <c r="F43" s="1767">
        <f>('Large Profile'!$M$6)/('Large Profile'!$E$6)*E43</f>
        <v>0.31892179969343787</v>
      </c>
      <c r="G43" s="1767">
        <f>('Large Profile'!$Q$6)/('Large Profile'!$I$6)*E43</f>
        <v>0.19727469547908175</v>
      </c>
      <c r="I43" s="1797">
        <f t="shared" si="19"/>
        <v>208649.71</v>
      </c>
      <c r="J43" s="1797"/>
      <c r="K43" s="1797">
        <f t="shared" si="20"/>
        <v>207737.62</v>
      </c>
      <c r="L43" s="1797"/>
      <c r="M43" s="1797">
        <f t="shared" si="0"/>
        <v>-912.08999999999651</v>
      </c>
      <c r="O43" s="1814">
        <f t="shared" si="1"/>
        <v>-4.3713935667583081E-3</v>
      </c>
      <c r="Q43" s="1797">
        <f t="shared" si="21"/>
        <v>172110.66</v>
      </c>
      <c r="R43" s="1797"/>
      <c r="S43" s="1797">
        <f t="shared" si="22"/>
        <v>140407.45000000001</v>
      </c>
      <c r="T43" s="1797"/>
      <c r="U43" s="1797">
        <f t="shared" si="2"/>
        <v>-31703.209999999992</v>
      </c>
      <c r="W43" s="1814">
        <f t="shared" si="3"/>
        <v>-0.18420247763851461</v>
      </c>
    </row>
    <row r="44" spans="1:27">
      <c r="A44" s="1815">
        <f>A43</f>
        <v>6000</v>
      </c>
      <c r="C44" s="1707">
        <f>A41*0.7*730</f>
        <v>3066000</v>
      </c>
      <c r="E44" s="1767">
        <f t="shared" ref="E44:E49" si="23">E41</f>
        <v>0.6</v>
      </c>
      <c r="F44" s="1767">
        <f>('Large Profile'!$M$6)/('Large Profile'!$E$6)*E44</f>
        <v>0.47838269954015672</v>
      </c>
      <c r="G44" s="1767">
        <f>('Large Profile'!$Q$6)/('Large Profile'!$I$6)*E44</f>
        <v>0.29591204321862258</v>
      </c>
      <c r="I44" s="1797">
        <f t="shared" si="19"/>
        <v>255219.74</v>
      </c>
      <c r="J44" s="1797"/>
      <c r="K44" s="1797">
        <f t="shared" si="20"/>
        <v>257230.72</v>
      </c>
      <c r="L44" s="1797"/>
      <c r="M44" s="1797">
        <f t="shared" si="0"/>
        <v>2010.9800000000105</v>
      </c>
      <c r="O44" s="1814">
        <f t="shared" si="1"/>
        <v>7.8794061932669912E-3</v>
      </c>
      <c r="Q44" s="1797">
        <f t="shared" si="21"/>
        <v>207905.78</v>
      </c>
      <c r="R44" s="1797"/>
      <c r="S44" s="1797">
        <f t="shared" si="22"/>
        <v>176538.29</v>
      </c>
      <c r="T44" s="1797"/>
      <c r="U44" s="1797">
        <f t="shared" si="2"/>
        <v>-31367.489999999991</v>
      </c>
      <c r="W44" s="1814">
        <f t="shared" si="3"/>
        <v>-0.15087358321639732</v>
      </c>
    </row>
    <row r="45" spans="1:27">
      <c r="A45" s="1815">
        <f>A44</f>
        <v>6000</v>
      </c>
      <c r="C45" s="1815">
        <f>C44</f>
        <v>3066000</v>
      </c>
      <c r="E45" s="1767">
        <f t="shared" si="23"/>
        <v>0.5</v>
      </c>
      <c r="F45" s="1767">
        <f>('Large Profile'!$M$6)/('Large Profile'!$E$6)*E45</f>
        <v>0.39865224961679729</v>
      </c>
      <c r="G45" s="1767">
        <f>('Large Profile'!$Q$6)/('Large Profile'!$I$6)*E45</f>
        <v>0.24659336934885218</v>
      </c>
      <c r="I45" s="1797">
        <f t="shared" si="19"/>
        <v>250068.57</v>
      </c>
      <c r="J45" s="1797"/>
      <c r="K45" s="1797">
        <f t="shared" si="20"/>
        <v>250002.37</v>
      </c>
      <c r="L45" s="1797"/>
      <c r="M45" s="1797">
        <f t="shared" si="0"/>
        <v>-66.200000000011642</v>
      </c>
      <c r="O45" s="1814">
        <f t="shared" si="1"/>
        <v>-2.6472739057137318E-4</v>
      </c>
      <c r="Q45" s="1797">
        <f t="shared" si="21"/>
        <v>206182.98</v>
      </c>
      <c r="R45" s="1797"/>
      <c r="S45" s="1797">
        <f t="shared" si="22"/>
        <v>172581.45</v>
      </c>
      <c r="T45" s="1797"/>
      <c r="U45" s="1797">
        <f t="shared" si="2"/>
        <v>-33601.53</v>
      </c>
      <c r="W45" s="1814">
        <f t="shared" si="3"/>
        <v>-0.16296946527788081</v>
      </c>
    </row>
    <row r="46" spans="1:27">
      <c r="A46" s="1815">
        <f>A45</f>
        <v>6000</v>
      </c>
      <c r="C46" s="1815">
        <f>C45</f>
        <v>3066000</v>
      </c>
      <c r="E46" s="1767">
        <f t="shared" si="23"/>
        <v>0.4</v>
      </c>
      <c r="F46" s="1767">
        <f>('Large Profile'!$M$6)/('Large Profile'!$E$6)*E46</f>
        <v>0.31892179969343787</v>
      </c>
      <c r="G46" s="1767">
        <f>('Large Profile'!$Q$6)/('Large Profile'!$I$6)*E46</f>
        <v>0.19727469547908175</v>
      </c>
      <c r="I46" s="1797">
        <f t="shared" si="19"/>
        <v>244917.39</v>
      </c>
      <c r="J46" s="1797"/>
      <c r="K46" s="1797">
        <f t="shared" si="20"/>
        <v>242774.02</v>
      </c>
      <c r="L46" s="1797"/>
      <c r="M46" s="1797">
        <f t="shared" si="0"/>
        <v>-2143.3700000000244</v>
      </c>
      <c r="O46" s="1814">
        <f t="shared" si="1"/>
        <v>-8.7513998087274114E-3</v>
      </c>
      <c r="Q46" s="1797">
        <f t="shared" si="21"/>
        <v>204460.19</v>
      </c>
      <c r="R46" s="1797"/>
      <c r="S46" s="1797">
        <f t="shared" si="22"/>
        <v>168624.62</v>
      </c>
      <c r="T46" s="1797"/>
      <c r="U46" s="1797">
        <f t="shared" si="2"/>
        <v>-35835.570000000007</v>
      </c>
      <c r="W46" s="1814">
        <f t="shared" si="3"/>
        <v>-0.1752691807632577</v>
      </c>
    </row>
    <row r="47" spans="1:27">
      <c r="A47" s="1815">
        <f>A44</f>
        <v>6000</v>
      </c>
      <c r="C47" s="1707">
        <f>A41*0.9*730</f>
        <v>3942000</v>
      </c>
      <c r="E47" s="1767">
        <f t="shared" si="23"/>
        <v>0.6</v>
      </c>
      <c r="F47" s="1767">
        <f>('Large Profile'!$M$6)/('Large Profile'!$E$6)*E47</f>
        <v>0.47838269954015672</v>
      </c>
      <c r="G47" s="1767">
        <f>('Large Profile'!$Q$6)/('Large Profile'!$I$6)*E47</f>
        <v>0.29591204321862258</v>
      </c>
      <c r="I47" s="1797">
        <f t="shared" si="19"/>
        <v>294430.96000000002</v>
      </c>
      <c r="J47" s="1797"/>
      <c r="K47" s="1797">
        <f t="shared" si="20"/>
        <v>296397.61</v>
      </c>
      <c r="L47" s="1797"/>
      <c r="M47" s="1797">
        <f t="shared" si="0"/>
        <v>1966.6499999999651</v>
      </c>
      <c r="O47" s="1814">
        <f t="shared" si="1"/>
        <v>6.6794945748911427E-3</v>
      </c>
      <c r="Q47" s="1797">
        <f t="shared" si="21"/>
        <v>241239.76</v>
      </c>
      <c r="R47" s="1797"/>
      <c r="S47" s="1797">
        <f t="shared" si="22"/>
        <v>207016.5</v>
      </c>
      <c r="T47" s="1797"/>
      <c r="U47" s="1797">
        <f t="shared" si="2"/>
        <v>-34223.260000000009</v>
      </c>
      <c r="W47" s="1814">
        <f t="shared" si="3"/>
        <v>-0.14186409404486233</v>
      </c>
    </row>
    <row r="48" spans="1:27">
      <c r="A48" s="1815">
        <f>A45</f>
        <v>6000</v>
      </c>
      <c r="C48" s="1815">
        <f>C47</f>
        <v>3942000</v>
      </c>
      <c r="E48" s="1767">
        <f t="shared" si="23"/>
        <v>0.5</v>
      </c>
      <c r="F48" s="1767">
        <f>('Large Profile'!$M$6)/('Large Profile'!$E$6)*E48</f>
        <v>0.39865224961679729</v>
      </c>
      <c r="G48" s="1767">
        <f>('Large Profile'!$Q$6)/('Large Profile'!$I$6)*E48</f>
        <v>0.24659336934885218</v>
      </c>
      <c r="I48" s="1797">
        <f t="shared" si="19"/>
        <v>287808.01</v>
      </c>
      <c r="J48" s="1797"/>
      <c r="K48" s="1797">
        <f t="shared" si="20"/>
        <v>287104.01</v>
      </c>
      <c r="L48" s="1797"/>
      <c r="M48" s="1797">
        <f t="shared" si="0"/>
        <v>-704</v>
      </c>
      <c r="O48" s="1814">
        <f t="shared" si="1"/>
        <v>-2.4460750762287375E-3</v>
      </c>
      <c r="Q48" s="1797">
        <f t="shared" si="21"/>
        <v>239024.74</v>
      </c>
      <c r="R48" s="1797"/>
      <c r="S48" s="1797">
        <f t="shared" si="22"/>
        <v>201929.14</v>
      </c>
      <c r="T48" s="1797"/>
      <c r="U48" s="1797">
        <f t="shared" si="2"/>
        <v>-37095.599999999977</v>
      </c>
      <c r="W48" s="1814">
        <f t="shared" si="3"/>
        <v>-0.15519565045860939</v>
      </c>
    </row>
    <row r="49" spans="1:23">
      <c r="A49" s="1815">
        <f>A46</f>
        <v>6000</v>
      </c>
      <c r="C49" s="1815">
        <f>C48</f>
        <v>3942000</v>
      </c>
      <c r="E49" s="1767">
        <f t="shared" si="23"/>
        <v>0.4</v>
      </c>
      <c r="F49" s="1767">
        <f>('Large Profile'!$M$6)/('Large Profile'!$E$6)*E49</f>
        <v>0.31892179969343787</v>
      </c>
      <c r="G49" s="1767">
        <f>('Large Profile'!$Q$6)/('Large Profile'!$I$6)*E49</f>
        <v>0.19727469547908175</v>
      </c>
      <c r="I49" s="1797">
        <f t="shared" si="19"/>
        <v>281185.07</v>
      </c>
      <c r="J49" s="1797"/>
      <c r="K49" s="1797">
        <f t="shared" si="20"/>
        <v>277810.42</v>
      </c>
      <c r="L49" s="1797"/>
      <c r="M49" s="1797">
        <f t="shared" si="0"/>
        <v>-3374.6500000000233</v>
      </c>
      <c r="O49" s="1814">
        <f t="shared" si="1"/>
        <v>-1.2001526254576844E-2</v>
      </c>
      <c r="Q49" s="1797">
        <f t="shared" si="21"/>
        <v>236809.72</v>
      </c>
      <c r="R49" s="1797"/>
      <c r="S49" s="1797">
        <f t="shared" si="22"/>
        <v>196841.78</v>
      </c>
      <c r="T49" s="1797"/>
      <c r="U49" s="1797">
        <f t="shared" si="2"/>
        <v>-39967.94</v>
      </c>
      <c r="W49" s="1814">
        <f t="shared" si="3"/>
        <v>-0.16877660258202243</v>
      </c>
    </row>
    <row r="50" spans="1:23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</row>
    <row r="51" spans="1:23">
      <c r="A51" s="1707">
        <v>10000</v>
      </c>
      <c r="C51" s="1707">
        <f>A51*0.5*730</f>
        <v>3650000</v>
      </c>
      <c r="E51" s="1767">
        <v>0.6</v>
      </c>
      <c r="F51" s="1767">
        <f>('Large Profile'!$M$6)/('Large Profile'!$E$6)*E51</f>
        <v>0.47838269954015672</v>
      </c>
      <c r="G51" s="1767">
        <f>('Large Profile'!$Q$6)/('Large Profile'!$I$6)*E51</f>
        <v>0.29591204321862258</v>
      </c>
      <c r="I51" s="1797">
        <f t="shared" ref="I51:I59" si="24">ROUND($Z$10+(($Z$11+$Z$13)*$A51+($Z$12*$A51+($Z$14*$E51+$Z$15*(1-$E51))/100*$C51)*(1+$Z$35))*(1+$Z$17)+($Z$12*$A51+($Z$14*$E51+$Z$15*(1-$E51))/100*$C51)*$Z$30+$Z$16,2)</f>
        <v>359934.22</v>
      </c>
      <c r="J51" s="1797"/>
      <c r="K51" s="1797">
        <f t="shared" ref="K51:K59" si="25">ROUND($AA$10+(($AA$11+$AA$13)*$A51+($AA$12*$A51+($AA$14*$F51+$AA$15*(1-$F51))/100*$C51)*(1+$AA$35))*(1+$AA$17)+($AA$12*$A51+($AA$14*$F51+$AA$15*(1-$F51))/100*$C51)*$AA$30+$AA$16,2)</f>
        <v>363359.73</v>
      </c>
      <c r="L51" s="1797"/>
      <c r="M51" s="1797">
        <f t="shared" si="0"/>
        <v>3425.5100000000093</v>
      </c>
      <c r="O51" s="1814">
        <f t="shared" si="1"/>
        <v>9.5170445310812646E-3</v>
      </c>
      <c r="Q51" s="1797">
        <f t="shared" ref="Q51:Q59" si="26">ROUND($Z$19+(($Z$20+$Z$22)*$A51+($Z$21*$A51+($Z$23*$E51+$Z$24*(1-$E51))/100*$C51)*(1+$Z$35))*(1+$Z$26)+($Z$21*$A51+($Z$23*$E51+$Z$24*(1-$E51))/100*$C51)*$Z$30+$Z$25,2)</f>
        <v>290872.99</v>
      </c>
      <c r="R51" s="1797"/>
      <c r="S51" s="1797">
        <f t="shared" ref="S51:S58" si="27">ROUND($AA$19+(($AA$20+$AA$22)*$A51+($AA$21*$A51+($AA$23*$G51+$AA$24*(1-$G51))/100*$C51)*(1+$AA$35))*(1+$AA$26)+($AA$21*$A51+($AA$23*$G51+$AA$24*(1-$G51))/100*$C51)*$AA$30+$AA$25,2)</f>
        <v>243353.46</v>
      </c>
      <c r="T51" s="1797"/>
      <c r="U51" s="1797">
        <f t="shared" si="2"/>
        <v>-47519.53</v>
      </c>
      <c r="W51" s="1814">
        <f t="shared" si="3"/>
        <v>-0.16336865791492017</v>
      </c>
    </row>
    <row r="52" spans="1:23">
      <c r="A52" s="1815">
        <f>A51</f>
        <v>10000</v>
      </c>
      <c r="C52" s="1815">
        <f>C51</f>
        <v>3650000</v>
      </c>
      <c r="E52" s="1767">
        <v>0.5</v>
      </c>
      <c r="F52" s="1767">
        <f>('Large Profile'!$M$6)/('Large Profile'!$E$6)*E52</f>
        <v>0.39865224961679729</v>
      </c>
      <c r="G52" s="1767">
        <f>('Large Profile'!$Q$6)/('Large Profile'!$I$6)*E52</f>
        <v>0.24659336934885218</v>
      </c>
      <c r="I52" s="1797">
        <f t="shared" si="24"/>
        <v>353801.87</v>
      </c>
      <c r="J52" s="1797"/>
      <c r="K52" s="1797">
        <f t="shared" si="25"/>
        <v>354754.55</v>
      </c>
      <c r="L52" s="1797"/>
      <c r="M52" s="1797">
        <f t="shared" si="0"/>
        <v>952.67999999999302</v>
      </c>
      <c r="O52" s="1814">
        <f t="shared" si="1"/>
        <v>2.6926935123321449E-3</v>
      </c>
      <c r="Q52" s="1797">
        <f t="shared" si="26"/>
        <v>288822.05</v>
      </c>
      <c r="R52" s="1797"/>
      <c r="S52" s="1797">
        <f t="shared" si="27"/>
        <v>238642.94</v>
      </c>
      <c r="T52" s="1797"/>
      <c r="U52" s="1797">
        <f t="shared" si="2"/>
        <v>-50179.109999999986</v>
      </c>
      <c r="W52" s="1814">
        <f t="shared" si="3"/>
        <v>-0.17373711598543118</v>
      </c>
    </row>
    <row r="53" spans="1:23">
      <c r="A53" s="1815">
        <f>A52</f>
        <v>10000</v>
      </c>
      <c r="C53" s="1815">
        <f>C52</f>
        <v>3650000</v>
      </c>
      <c r="E53" s="1767">
        <v>0.4</v>
      </c>
      <c r="F53" s="1767">
        <f>('Large Profile'!$M$6)/('Large Profile'!$E$6)*E53</f>
        <v>0.31892179969343787</v>
      </c>
      <c r="G53" s="1767">
        <f>('Large Profile'!$Q$6)/('Large Profile'!$I$6)*E53</f>
        <v>0.19727469547908175</v>
      </c>
      <c r="I53" s="1797">
        <f t="shared" si="24"/>
        <v>347669.51</v>
      </c>
      <c r="J53" s="1797"/>
      <c r="K53" s="1797">
        <f t="shared" si="25"/>
        <v>346149.37</v>
      </c>
      <c r="L53" s="1797"/>
      <c r="M53" s="1797">
        <f t="shared" si="0"/>
        <v>-1520.140000000014</v>
      </c>
      <c r="O53" s="1814">
        <f t="shared" si="1"/>
        <v>-4.3723707609563123E-3</v>
      </c>
      <c r="Q53" s="1797">
        <f t="shared" si="26"/>
        <v>286771.11</v>
      </c>
      <c r="R53" s="1797"/>
      <c r="S53" s="1797">
        <f t="shared" si="27"/>
        <v>233932.42</v>
      </c>
      <c r="T53" s="1797"/>
      <c r="U53" s="1797">
        <f t="shared" si="2"/>
        <v>-52838.689999999973</v>
      </c>
      <c r="W53" s="1814">
        <f t="shared" si="3"/>
        <v>-0.18425388108306995</v>
      </c>
    </row>
    <row r="54" spans="1:23">
      <c r="A54" s="1815">
        <f>A53</f>
        <v>10000</v>
      </c>
      <c r="C54" s="1707">
        <f>A51*0.7*730</f>
        <v>5110000</v>
      </c>
      <c r="E54" s="1767">
        <f t="shared" ref="E54:E59" si="28">E51</f>
        <v>0.6</v>
      </c>
      <c r="F54" s="1767">
        <f>('Large Profile'!$M$6)/('Large Profile'!$E$6)*E54</f>
        <v>0.47838269954015672</v>
      </c>
      <c r="G54" s="1767">
        <f>('Large Profile'!$Q$6)/('Large Profile'!$I$6)*E54</f>
        <v>0.29591204321862258</v>
      </c>
      <c r="I54" s="1797">
        <f t="shared" si="24"/>
        <v>425286.24</v>
      </c>
      <c r="J54" s="1797"/>
      <c r="K54" s="1797">
        <f t="shared" si="25"/>
        <v>428637.87</v>
      </c>
      <c r="L54" s="1797"/>
      <c r="M54" s="1797">
        <f t="shared" si="0"/>
        <v>3351.6300000000047</v>
      </c>
      <c r="O54" s="1814">
        <f t="shared" si="1"/>
        <v>7.8808804159757884E-3</v>
      </c>
      <c r="Q54" s="1797">
        <f t="shared" si="26"/>
        <v>346429.63</v>
      </c>
      <c r="R54" s="1797"/>
      <c r="S54" s="1797">
        <f t="shared" si="27"/>
        <v>294150.48</v>
      </c>
      <c r="T54" s="1797"/>
      <c r="U54" s="1797">
        <f t="shared" si="2"/>
        <v>-52279.150000000023</v>
      </c>
      <c r="W54" s="1814">
        <f t="shared" si="3"/>
        <v>-0.15090842547157424</v>
      </c>
    </row>
    <row r="55" spans="1:23">
      <c r="A55" s="1815">
        <f>A54</f>
        <v>10000</v>
      </c>
      <c r="C55" s="1815">
        <f>C54</f>
        <v>5110000</v>
      </c>
      <c r="E55" s="1767">
        <f t="shared" si="28"/>
        <v>0.5</v>
      </c>
      <c r="F55" s="1767">
        <f>('Large Profile'!$M$6)/('Large Profile'!$E$6)*E55</f>
        <v>0.39865224961679729</v>
      </c>
      <c r="G55" s="1767">
        <f>('Large Profile'!$Q$6)/('Large Profile'!$I$6)*E55</f>
        <v>0.24659336934885218</v>
      </c>
      <c r="I55" s="1797">
        <f t="shared" si="24"/>
        <v>416700.94</v>
      </c>
      <c r="J55" s="1797"/>
      <c r="K55" s="1797">
        <f t="shared" si="25"/>
        <v>416590.62</v>
      </c>
      <c r="L55" s="1797"/>
      <c r="M55" s="1797">
        <f t="shared" si="0"/>
        <v>-110.32000000000698</v>
      </c>
      <c r="O55" s="1814">
        <f t="shared" si="1"/>
        <v>-2.6474622303473971E-4</v>
      </c>
      <c r="Q55" s="1797">
        <f t="shared" si="26"/>
        <v>343558.31</v>
      </c>
      <c r="R55" s="1797"/>
      <c r="S55" s="1797">
        <f t="shared" si="27"/>
        <v>287555.76</v>
      </c>
      <c r="T55" s="1797"/>
      <c r="U55" s="1797">
        <f t="shared" si="2"/>
        <v>-56002.549999999988</v>
      </c>
      <c r="W55" s="1814">
        <f t="shared" si="3"/>
        <v>-0.16300740913529344</v>
      </c>
    </row>
    <row r="56" spans="1:23">
      <c r="A56" s="1815">
        <f>A55</f>
        <v>10000</v>
      </c>
      <c r="C56" s="1815">
        <f>C55</f>
        <v>5110000</v>
      </c>
      <c r="E56" s="1767">
        <f t="shared" si="28"/>
        <v>0.4</v>
      </c>
      <c r="F56" s="1767">
        <f>('Large Profile'!$M$6)/('Large Profile'!$E$6)*E56</f>
        <v>0.31892179969343787</v>
      </c>
      <c r="G56" s="1767">
        <f>('Large Profile'!$Q$6)/('Large Profile'!$I$6)*E56</f>
        <v>0.19727469547908175</v>
      </c>
      <c r="I56" s="1797">
        <f t="shared" si="24"/>
        <v>408115.65</v>
      </c>
      <c r="J56" s="1797"/>
      <c r="K56" s="1797">
        <f t="shared" si="25"/>
        <v>404543.36</v>
      </c>
      <c r="L56" s="1797"/>
      <c r="M56" s="1797">
        <f t="shared" si="0"/>
        <v>-3572.2900000000373</v>
      </c>
      <c r="O56" s="1814">
        <f t="shared" si="1"/>
        <v>-8.7531316184518149E-3</v>
      </c>
      <c r="Q56" s="1797">
        <f t="shared" si="26"/>
        <v>340686.99</v>
      </c>
      <c r="R56" s="1797"/>
      <c r="S56" s="1797">
        <f t="shared" si="27"/>
        <v>280961.03000000003</v>
      </c>
      <c r="T56" s="1797"/>
      <c r="U56" s="1797">
        <f t="shared" si="2"/>
        <v>-59725.959999999963</v>
      </c>
      <c r="W56" s="1814">
        <f t="shared" si="3"/>
        <v>-0.17531036333380379</v>
      </c>
    </row>
    <row r="57" spans="1:23">
      <c r="A57" s="1815">
        <f>A54</f>
        <v>10000</v>
      </c>
      <c r="C57" s="1707">
        <f>A51*0.9*730</f>
        <v>6570000</v>
      </c>
      <c r="E57" s="1767">
        <f t="shared" si="28"/>
        <v>0.6</v>
      </c>
      <c r="F57" s="1767">
        <f>('Large Profile'!$M$6)/('Large Profile'!$E$6)*E57</f>
        <v>0.47838269954015672</v>
      </c>
      <c r="G57" s="1767">
        <f>('Large Profile'!$Q$6)/('Large Profile'!$I$6)*E57</f>
        <v>0.29591204321862258</v>
      </c>
      <c r="I57" s="1797">
        <f t="shared" si="24"/>
        <v>490638.26</v>
      </c>
      <c r="J57" s="1797"/>
      <c r="K57" s="1797">
        <f t="shared" si="25"/>
        <v>493916.01</v>
      </c>
      <c r="L57" s="1797"/>
      <c r="M57" s="1797">
        <f t="shared" si="0"/>
        <v>3277.75</v>
      </c>
      <c r="O57" s="1814">
        <f t="shared" si="1"/>
        <v>6.6805837767318632E-3</v>
      </c>
      <c r="Q57" s="1797">
        <f t="shared" si="26"/>
        <v>401986.26</v>
      </c>
      <c r="R57" s="1797"/>
      <c r="S57" s="1797">
        <f t="shared" si="27"/>
        <v>344947.51</v>
      </c>
      <c r="T57" s="1797"/>
      <c r="U57" s="1797">
        <f t="shared" si="2"/>
        <v>-57038.75</v>
      </c>
      <c r="W57" s="1814">
        <f t="shared" si="3"/>
        <v>-0.14189228756226646</v>
      </c>
    </row>
    <row r="58" spans="1:23">
      <c r="A58" s="1815">
        <f>A55</f>
        <v>10000</v>
      </c>
      <c r="C58" s="1815">
        <f>C57</f>
        <v>6570000</v>
      </c>
      <c r="E58" s="1767">
        <f t="shared" si="28"/>
        <v>0.5</v>
      </c>
      <c r="F58" s="1767">
        <f>('Large Profile'!$M$6)/('Large Profile'!$E$6)*E58</f>
        <v>0.39865224961679729</v>
      </c>
      <c r="G58" s="1767">
        <f>('Large Profile'!$Q$6)/('Large Profile'!$I$6)*E58</f>
        <v>0.24659336934885218</v>
      </c>
      <c r="I58" s="1797">
        <f t="shared" si="24"/>
        <v>479600.02</v>
      </c>
      <c r="J58" s="1797"/>
      <c r="K58" s="1797">
        <f t="shared" si="25"/>
        <v>478426.69</v>
      </c>
      <c r="L58" s="1797"/>
      <c r="M58" s="1797">
        <f t="shared" si="0"/>
        <v>-1173.3300000000163</v>
      </c>
      <c r="O58" s="1814">
        <f t="shared" si="1"/>
        <v>-2.4464761281702829E-3</v>
      </c>
      <c r="Q58" s="1797">
        <f t="shared" si="26"/>
        <v>398294.56</v>
      </c>
      <c r="R58" s="1797"/>
      <c r="S58" s="1797">
        <f t="shared" si="27"/>
        <v>336468.57</v>
      </c>
      <c r="T58" s="1797"/>
      <c r="U58" s="1797">
        <f t="shared" si="2"/>
        <v>-61825.989999999991</v>
      </c>
      <c r="W58" s="1814">
        <f t="shared" si="3"/>
        <v>-0.15522679998441358</v>
      </c>
    </row>
    <row r="59" spans="1:23">
      <c r="A59" s="1815">
        <f>A56</f>
        <v>10000</v>
      </c>
      <c r="C59" s="1815">
        <f>C58</f>
        <v>6570000</v>
      </c>
      <c r="E59" s="1767">
        <f t="shared" si="28"/>
        <v>0.4</v>
      </c>
      <c r="F59" s="1767">
        <f>('Large Profile'!$M$6)/('Large Profile'!$E$6)*E59</f>
        <v>0.31892179969343787</v>
      </c>
      <c r="G59" s="1767">
        <f>('Large Profile'!$Q$6)/('Large Profile'!$I$6)*E59</f>
        <v>0.19727469547908175</v>
      </c>
      <c r="I59" s="1797">
        <f t="shared" si="24"/>
        <v>468561.78</v>
      </c>
      <c r="J59" s="1797"/>
      <c r="K59" s="1797">
        <f t="shared" si="25"/>
        <v>462937.36</v>
      </c>
      <c r="L59" s="1797"/>
      <c r="M59" s="1797">
        <f t="shared" si="0"/>
        <v>-5624.4200000000419</v>
      </c>
      <c r="O59" s="1814">
        <f t="shared" si="1"/>
        <v>-1.2003582537184365E-2</v>
      </c>
      <c r="Q59" s="1797">
        <f t="shared" si="26"/>
        <v>394602.86</v>
      </c>
      <c r="R59" s="1797"/>
      <c r="S59" s="1797">
        <f>ROUND($AA$19+(($AA$20+$AA$22)*$A59+($AA$21*$A59+($AA$23*$G59+$AA$24*(1-$G59))/100*$C59)*(1+$AA$35))*(1+$AA$26)+($AA$21*$A59+($AA$23*$G59+$AA$24*(1-$G59))/100*$C59)*$AA$30+$AA$25,2)</f>
        <v>327989.64</v>
      </c>
      <c r="T59" s="1797"/>
      <c r="U59" s="1797">
        <f t="shared" si="2"/>
        <v>-66613.219999999972</v>
      </c>
      <c r="W59" s="1814">
        <f t="shared" si="3"/>
        <v>-0.16881078864963106</v>
      </c>
    </row>
    <row r="60" spans="1:23">
      <c r="M60" s="1715"/>
      <c r="U60" s="1715"/>
    </row>
    <row r="61" spans="1:23" ht="15.75">
      <c r="A61" s="1770" t="s">
        <v>1723</v>
      </c>
      <c r="M61" s="1715"/>
      <c r="U61" s="1715"/>
    </row>
    <row r="62" spans="1:23" ht="15.75">
      <c r="A62" s="1770" t="s">
        <v>1698</v>
      </c>
      <c r="M62" s="1715"/>
      <c r="U62" s="1715"/>
    </row>
    <row r="63" spans="1:23" ht="15.75">
      <c r="A63" s="1770"/>
      <c r="M63" s="1715"/>
      <c r="U63" s="1715"/>
    </row>
    <row r="64" spans="1:23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1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68"/>
  <sheetViews>
    <sheetView view="pageBreakPreview" zoomScale="80" zoomScaleNormal="100" zoomScaleSheetLayoutView="80" workbookViewId="0">
      <selection activeCell="O24" sqref="O24"/>
    </sheetView>
  </sheetViews>
  <sheetFormatPr defaultColWidth="8" defaultRowHeight="12.75"/>
  <cols>
    <col min="1" max="1" width="8" style="1707" customWidth="1"/>
    <col min="2" max="2" width="0.75" style="1707" customWidth="1"/>
    <col min="3" max="3" width="9.625" style="1707" bestFit="1" customWidth="1"/>
    <col min="4" max="4" width="0.625" style="1704" customWidth="1"/>
    <col min="5" max="5" width="6.75" style="1707" bestFit="1" customWidth="1"/>
    <col min="6" max="6" width="7.75" style="1707" customWidth="1"/>
    <col min="7" max="7" width="8.625" style="1707" customWidth="1"/>
    <col min="8" max="8" width="0.75" style="1704" customWidth="1"/>
    <col min="9" max="9" width="9.25" style="1708" bestFit="1" customWidth="1"/>
    <col min="10" max="10" width="0.625" style="1704" customWidth="1"/>
    <col min="11" max="11" width="9.25" style="1708" bestFit="1" customWidth="1"/>
    <col min="12" max="12" width="1" style="1704" customWidth="1"/>
    <col min="13" max="13" width="8.125" style="1704" bestFit="1" customWidth="1"/>
    <col min="14" max="14" width="1.125" style="1704" customWidth="1"/>
    <col min="15" max="15" width="5.625" style="1704" bestFit="1" customWidth="1"/>
    <col min="16" max="16" width="1.125" style="1704" customWidth="1"/>
    <col min="17" max="17" width="9.25" style="1708" bestFit="1" customWidth="1"/>
    <col min="18" max="18" width="0.75" style="1704" customWidth="1"/>
    <col min="19" max="19" width="9.25" style="1708" bestFit="1" customWidth="1"/>
    <col min="20" max="20" width="1.125" style="1704" customWidth="1"/>
    <col min="21" max="21" width="8.125" style="1704" bestFit="1" customWidth="1"/>
    <col min="22" max="22" width="0.75" style="1704" customWidth="1"/>
    <col min="23" max="23" width="5.625" style="1704" bestFit="1" customWidth="1"/>
    <col min="24" max="24" width="3.125" style="1704" customWidth="1"/>
    <col min="25" max="25" width="16" style="1704" bestFit="1" customWidth="1"/>
    <col min="26" max="26" width="8.5" style="1704" bestFit="1" customWidth="1"/>
    <col min="27" max="27" width="10" style="1704" bestFit="1" customWidth="1"/>
    <col min="28" max="28" width="9.75" style="1704" bestFit="1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1699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1700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 ht="16.5">
      <c r="A5" s="1697" t="s">
        <v>2336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698"/>
      <c r="U5" s="1698"/>
      <c r="V5" s="1698"/>
      <c r="W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1701</v>
      </c>
      <c r="Z8" s="1790" t="s">
        <v>216</v>
      </c>
      <c r="AA8" s="1726" t="s">
        <v>2335</v>
      </c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216</v>
      </c>
      <c r="K10" s="1718" t="s">
        <v>2335</v>
      </c>
      <c r="M10" s="1719" t="s">
        <v>1399</v>
      </c>
      <c r="O10" s="1720" t="s">
        <v>465</v>
      </c>
      <c r="Q10" s="1717" t="s">
        <v>216</v>
      </c>
      <c r="S10" s="1718" t="s">
        <v>2335</v>
      </c>
      <c r="U10" s="1719" t="s">
        <v>1399</v>
      </c>
      <c r="W10" s="1720" t="s">
        <v>465</v>
      </c>
      <c r="Y10" s="1736" t="s">
        <v>1678</v>
      </c>
      <c r="Z10" s="1795">
        <v>259</v>
      </c>
      <c r="AA10" s="1796">
        <f>'Blocking-Step1'!Q1479</f>
        <v>265</v>
      </c>
      <c r="AB10" s="1795"/>
      <c r="AC10" s="1814"/>
    </row>
    <row r="11" spans="1:29" ht="17.25" customHeight="1">
      <c r="A11" s="1707">
        <v>500</v>
      </c>
      <c r="C11" s="1707">
        <f>A11*0.5*730</f>
        <v>182500</v>
      </c>
      <c r="E11" s="1767">
        <v>0.6</v>
      </c>
      <c r="F11" s="1767">
        <f>('Large Profile'!$M$7)/('Large Profile'!$E$7)*E11</f>
        <v>0.41498481288338573</v>
      </c>
      <c r="G11" s="1767">
        <f>('Large Profile'!$Q$7)/('Large Profile'!$I$7)*E11</f>
        <v>0.29977417803954615</v>
      </c>
      <c r="I11" s="1797">
        <f>ROUND($Z$10+($Z$11*$A11+($Z$12*$A11+($Z$13*$E11+$Z$14*(1-$E11))/100*$C11)*(1+$Z$33))*(1+$Z$16)+($Z$12*$A11+($Z$13*$E11+$Z$14*(1-$E11))/100*$C11)*$Z$28+$Z$15,2)</f>
        <v>16010.54</v>
      </c>
      <c r="J11" s="1797"/>
      <c r="K11" s="1797">
        <f>ROUND($AA$10+($AA$11*$A11+($AA$12*$A11+($AA$13*$F11+$AA$14*(1-$F11))/100*$C11)*(1+$AA$33))*(1+$AA$16)+($AA$12*$A11+($AA$13*$F11+$AA$14*(1-$F11))/100*$C11)*$AA$28+$AA$15,2)</f>
        <v>15883.32</v>
      </c>
      <c r="L11" s="1797"/>
      <c r="M11" s="1797">
        <f t="shared" ref="M11:M59" si="0">IF(K11="","",K11-I11)</f>
        <v>-127.22000000000116</v>
      </c>
      <c r="O11" s="1814">
        <f t="shared" ref="O11:O59" si="1">IF(M11="","",K11/I11-1)</f>
        <v>-7.9460155622483875E-3</v>
      </c>
      <c r="Q11" s="1797">
        <f>ROUND($Z$18+($Z$19*$A11+($Z$20*$A11+($Z$21*$E11+$Z$22*(1-$E11))/100*$C11)*(1+$Z$33))*(1+$Z$24)+($Z$20*$A11+($Z$21*$E11+$Z$22*(1-$E11))/100*$C11)*$Z$28+$Z$23,2)</f>
        <v>12417.91</v>
      </c>
      <c r="R11" s="1797"/>
      <c r="S11" s="1797">
        <f>ROUND($AA$18+($AA$19*$A11+($AA$20*$A11+($AA$21*$G11+$AA$22*(1-$G11))/100*$C11)*(1+$AA$33))*(1+$AA$24)+($AA$20*$A11+($AA$21*$G11+$AA$22*(1-$G11))/100*$C11)*$AA$28+$AA$23,2)</f>
        <v>13736.38</v>
      </c>
      <c r="T11" s="1797"/>
      <c r="U11" s="1797">
        <f t="shared" ref="U11:U59" si="2">IF(S11="","",S11-Q11)</f>
        <v>1318.4699999999993</v>
      </c>
      <c r="W11" s="1814">
        <f t="shared" ref="W11:W59" si="3">IF(U11="","",S11/Q11-1)</f>
        <v>0.10617487161688244</v>
      </c>
      <c r="Y11" s="1736" t="s">
        <v>1694</v>
      </c>
      <c r="Z11" s="1795">
        <v>2.2200000000000002</v>
      </c>
      <c r="AA11" s="1796">
        <f>'Blocking-Step1'!Q1480</f>
        <v>2.27</v>
      </c>
      <c r="AB11" s="1795"/>
      <c r="AC11" s="1814"/>
    </row>
    <row r="12" spans="1:29">
      <c r="A12" s="1815">
        <f>A11</f>
        <v>500</v>
      </c>
      <c r="C12" s="1815">
        <f>C11</f>
        <v>182500</v>
      </c>
      <c r="E12" s="1767">
        <v>0.5</v>
      </c>
      <c r="F12" s="1767">
        <f>('Large Profile'!$M$7)/('Large Profile'!$E$7)*E12</f>
        <v>0.34582067740282146</v>
      </c>
      <c r="G12" s="1767">
        <f>('Large Profile'!$Q$7)/('Large Profile'!$I$7)*E12</f>
        <v>0.24981181503295513</v>
      </c>
      <c r="I12" s="1797">
        <f t="shared" ref="I12:I19" si="4">ROUND($Z$10+($Z$11*$A12+($Z$12*$A12+($Z$13*$E12+$Z$14*(1-$E12))/100*$C12)*(1+$Z$33))*(1+$Z$16)+($Z$12*$A12+($Z$13*$E12+$Z$14*(1-$E12))/100*$C12)*$Z$28+$Z$15,2)</f>
        <v>15687.16</v>
      </c>
      <c r="J12" s="1797"/>
      <c r="K12" s="1797">
        <f t="shared" ref="K12:K19" si="5">ROUND($AA$10+($AA$11*$A12+($AA$12*$A12+($AA$13*$F12+$AA$14*(1-$F12))/100*$C12)*(1+$AA$33))*(1+$AA$16)+($AA$12*$A12+($AA$13*$F12+$AA$14*(1-$F12))/100*$C12)*$AA$28+$AA$15,2)</f>
        <v>15551.54</v>
      </c>
      <c r="L12" s="1797"/>
      <c r="M12" s="1797">
        <f t="shared" si="0"/>
        <v>-135.61999999999898</v>
      </c>
      <c r="O12" s="1814">
        <f t="shared" si="1"/>
        <v>-8.6452869735502702E-3</v>
      </c>
      <c r="Q12" s="1797">
        <f t="shared" ref="Q12:Q19" si="6">ROUND($Z$18+($Z$19*$A12+($Z$20*$A12+($Z$21*$E12+$Z$22*(1-$E12))/100*$C12)*(1+$Z$33))*(1+$Z$24)+($Z$20*$A12+($Z$21*$E12+$Z$22*(1-$E12))/100*$C12)*$Z$28+$Z$23,2)</f>
        <v>12310.21</v>
      </c>
      <c r="R12" s="1797"/>
      <c r="S12" s="1797">
        <f t="shared" ref="S12:S19" si="7">ROUND($AA$18+($AA$19*$A12+($AA$20*$A12+($AA$21*$G12+$AA$22*(1-$G12))/100*$C12)*(1+$AA$33))*(1+$AA$24)+($AA$20*$A12+($AA$21*$G12+$AA$22*(1-$G12))/100*$C12)*$AA$28+$AA$23,2)</f>
        <v>13524.29</v>
      </c>
      <c r="T12" s="1797"/>
      <c r="U12" s="1797">
        <f t="shared" si="2"/>
        <v>1214.0800000000017</v>
      </c>
      <c r="W12" s="1814">
        <f t="shared" si="3"/>
        <v>9.862382526374458E-2</v>
      </c>
      <c r="Y12" s="1736" t="s">
        <v>1695</v>
      </c>
      <c r="Z12" s="1795">
        <v>13.96</v>
      </c>
      <c r="AA12" s="1796">
        <f>'Blocking-Step1'!Q1481</f>
        <v>14.3</v>
      </c>
      <c r="AB12" s="1795"/>
      <c r="AC12" s="1814"/>
    </row>
    <row r="13" spans="1:29">
      <c r="A13" s="1815">
        <f>A12</f>
        <v>500</v>
      </c>
      <c r="C13" s="1815">
        <f>C12</f>
        <v>182500</v>
      </c>
      <c r="E13" s="1767">
        <v>0.4</v>
      </c>
      <c r="F13" s="1767">
        <f>('Large Profile'!$M$7)/('Large Profile'!$E$7)*E13</f>
        <v>0.27665654192225719</v>
      </c>
      <c r="G13" s="1767">
        <f>('Large Profile'!$Q$7)/('Large Profile'!$I$7)*E13</f>
        <v>0.19984945202636412</v>
      </c>
      <c r="I13" s="1797">
        <f t="shared" si="4"/>
        <v>15363.79</v>
      </c>
      <c r="J13" s="1797"/>
      <c r="K13" s="1797">
        <f t="shared" si="5"/>
        <v>15219.76</v>
      </c>
      <c r="L13" s="1797"/>
      <c r="M13" s="1797">
        <f t="shared" si="0"/>
        <v>-144.03000000000065</v>
      </c>
      <c r="O13" s="1814">
        <f t="shared" si="1"/>
        <v>-9.3746399814108594E-3</v>
      </c>
      <c r="Q13" s="1797">
        <f t="shared" si="6"/>
        <v>12202.5</v>
      </c>
      <c r="R13" s="1797"/>
      <c r="S13" s="1797">
        <f t="shared" si="7"/>
        <v>13312.19</v>
      </c>
      <c r="T13" s="1797"/>
      <c r="U13" s="1797">
        <f t="shared" si="2"/>
        <v>1109.6900000000005</v>
      </c>
      <c r="W13" s="1814">
        <f t="shared" si="3"/>
        <v>9.0939561565253069E-2</v>
      </c>
      <c r="Y13" s="1736" t="s">
        <v>1696</v>
      </c>
      <c r="Z13" s="1799">
        <v>4.6531000000000002</v>
      </c>
      <c r="AA13" s="1800">
        <f>'Blocking-Step1'!Q1483</f>
        <v>5.1375276421000002</v>
      </c>
      <c r="AB13" s="1801"/>
      <c r="AC13" s="1814"/>
    </row>
    <row r="14" spans="1:29">
      <c r="A14" s="1815">
        <f>A13</f>
        <v>500</v>
      </c>
      <c r="C14" s="1707">
        <f>A11*0.7*730</f>
        <v>255500</v>
      </c>
      <c r="E14" s="1767">
        <f t="shared" ref="E14:E19" si="8">E11</f>
        <v>0.6</v>
      </c>
      <c r="F14" s="1767">
        <f>('Large Profile'!$M$7)/('Large Profile'!$E$7)*E14</f>
        <v>0.41498481288338573</v>
      </c>
      <c r="G14" s="1767">
        <f>('Large Profile'!$Q$7)/('Large Profile'!$I$7)*E14</f>
        <v>0.29977417803954615</v>
      </c>
      <c r="I14" s="1797">
        <f t="shared" si="4"/>
        <v>18971</v>
      </c>
      <c r="J14" s="1797"/>
      <c r="K14" s="1797">
        <f t="shared" si="5"/>
        <v>18663</v>
      </c>
      <c r="L14" s="1797"/>
      <c r="M14" s="1797">
        <f t="shared" si="0"/>
        <v>-308</v>
      </c>
      <c r="O14" s="1814">
        <f t="shared" si="1"/>
        <v>-1.6235306520478665E-2</v>
      </c>
      <c r="Q14" s="1797">
        <f t="shared" si="6"/>
        <v>14860.76</v>
      </c>
      <c r="R14" s="1797"/>
      <c r="S14" s="1797">
        <f t="shared" si="7"/>
        <v>16000.64</v>
      </c>
      <c r="T14" s="1797"/>
      <c r="U14" s="1797">
        <f t="shared" si="2"/>
        <v>1139.8799999999992</v>
      </c>
      <c r="W14" s="1814">
        <f t="shared" si="3"/>
        <v>7.6704017829505311E-2</v>
      </c>
      <c r="Y14" s="1736" t="s">
        <v>1697</v>
      </c>
      <c r="Z14" s="1799">
        <v>2.9224999999999999</v>
      </c>
      <c r="AA14" s="1800">
        <f>'Blocking-Step1'!Q1485</f>
        <v>2.611314935902</v>
      </c>
      <c r="AB14" s="1801"/>
      <c r="AC14" s="1814"/>
    </row>
    <row r="15" spans="1:29">
      <c r="A15" s="1815">
        <f>A14</f>
        <v>500</v>
      </c>
      <c r="C15" s="1815">
        <f>C14</f>
        <v>255500</v>
      </c>
      <c r="E15" s="1767">
        <f t="shared" si="8"/>
        <v>0.5</v>
      </c>
      <c r="F15" s="1767">
        <f>('Large Profile'!$M$7)/('Large Profile'!$E$7)*E15</f>
        <v>0.34582067740282146</v>
      </c>
      <c r="G15" s="1767">
        <f>('Large Profile'!$Q$7)/('Large Profile'!$I$7)*E15</f>
        <v>0.24981181503295513</v>
      </c>
      <c r="I15" s="1797">
        <f t="shared" si="4"/>
        <v>18518.27</v>
      </c>
      <c r="J15" s="1797"/>
      <c r="K15" s="1797">
        <f t="shared" si="5"/>
        <v>18198.509999999998</v>
      </c>
      <c r="L15" s="1797"/>
      <c r="M15" s="1797">
        <f t="shared" si="0"/>
        <v>-319.76000000000204</v>
      </c>
      <c r="O15" s="1814">
        <f t="shared" si="1"/>
        <v>-1.7267271726786659E-2</v>
      </c>
      <c r="Q15" s="1797">
        <f t="shared" si="6"/>
        <v>14709.98</v>
      </c>
      <c r="R15" s="1797"/>
      <c r="S15" s="1797">
        <f t="shared" si="7"/>
        <v>15703.71</v>
      </c>
      <c r="T15" s="1797"/>
      <c r="U15" s="1797">
        <f t="shared" si="2"/>
        <v>993.72999999999956</v>
      </c>
      <c r="W15" s="1814">
        <f t="shared" si="3"/>
        <v>6.7554816525923211E-2</v>
      </c>
      <c r="Y15" s="1736" t="s">
        <v>1683</v>
      </c>
      <c r="Z15" s="1795">
        <v>50</v>
      </c>
      <c r="AA15" s="1796">
        <f>Z15</f>
        <v>50</v>
      </c>
      <c r="AB15" s="1795"/>
      <c r="AC15" s="1814"/>
    </row>
    <row r="16" spans="1:29">
      <c r="A16" s="1815">
        <f>A15</f>
        <v>500</v>
      </c>
      <c r="C16" s="1815">
        <f>C15</f>
        <v>255500</v>
      </c>
      <c r="E16" s="1767">
        <f t="shared" si="8"/>
        <v>0.4</v>
      </c>
      <c r="F16" s="1767">
        <f>('Large Profile'!$M$7)/('Large Profile'!$E$7)*E16</f>
        <v>0.27665654192225719</v>
      </c>
      <c r="G16" s="1767">
        <f>('Large Profile'!$Q$7)/('Large Profile'!$I$7)*E16</f>
        <v>0.19984945202636412</v>
      </c>
      <c r="I16" s="1797">
        <f t="shared" si="4"/>
        <v>18065.55</v>
      </c>
      <c r="J16" s="1797"/>
      <c r="K16" s="1797">
        <f t="shared" si="5"/>
        <v>17734.02</v>
      </c>
      <c r="L16" s="1797"/>
      <c r="M16" s="1797">
        <f t="shared" si="0"/>
        <v>-331.52999999999884</v>
      </c>
      <c r="O16" s="1814">
        <f t="shared" si="1"/>
        <v>-1.8351503275571446E-2</v>
      </c>
      <c r="Q16" s="1797">
        <f t="shared" si="6"/>
        <v>14559.19</v>
      </c>
      <c r="R16" s="1797"/>
      <c r="S16" s="1797">
        <f t="shared" si="7"/>
        <v>15406.78</v>
      </c>
      <c r="T16" s="1797"/>
      <c r="U16" s="1797">
        <f t="shared" si="2"/>
        <v>847.59000000000015</v>
      </c>
      <c r="W16" s="1814">
        <f t="shared" si="3"/>
        <v>5.8216837612532046E-2</v>
      </c>
      <c r="Y16" s="1736" t="s">
        <v>1718</v>
      </c>
      <c r="Z16" s="1803">
        <f>Z29+Z30</f>
        <v>3.9399999999999998E-2</v>
      </c>
      <c r="AA16" s="1804">
        <f>Z16</f>
        <v>3.9399999999999998E-2</v>
      </c>
      <c r="AB16" s="1803"/>
      <c r="AC16" s="1814"/>
    </row>
    <row r="17" spans="1:29" ht="13.5">
      <c r="A17" s="1815">
        <f>A14</f>
        <v>500</v>
      </c>
      <c r="C17" s="1707">
        <f>A11*0.9*730</f>
        <v>328500</v>
      </c>
      <c r="E17" s="1767">
        <f t="shared" si="8"/>
        <v>0.6</v>
      </c>
      <c r="F17" s="1767">
        <f>('Large Profile'!$M$7)/('Large Profile'!$E$7)*E17</f>
        <v>0.41498481288338573</v>
      </c>
      <c r="G17" s="1767">
        <f>('Large Profile'!$Q$7)/('Large Profile'!$I$7)*E17</f>
        <v>0.29977417803954615</v>
      </c>
      <c r="I17" s="1797">
        <f t="shared" si="4"/>
        <v>21931.46</v>
      </c>
      <c r="J17" s="1797"/>
      <c r="K17" s="1797">
        <f t="shared" si="5"/>
        <v>21442.68</v>
      </c>
      <c r="L17" s="1797"/>
      <c r="M17" s="1797">
        <f t="shared" si="0"/>
        <v>-488.77999999999884</v>
      </c>
      <c r="O17" s="1814">
        <f t="shared" si="1"/>
        <v>-2.2286705946617302E-2</v>
      </c>
      <c r="Q17" s="1797">
        <f t="shared" si="6"/>
        <v>17303.62</v>
      </c>
      <c r="R17" s="1797"/>
      <c r="S17" s="1797">
        <f t="shared" si="7"/>
        <v>18264.900000000001</v>
      </c>
      <c r="T17" s="1797"/>
      <c r="U17" s="1797">
        <f t="shared" si="2"/>
        <v>961.28000000000247</v>
      </c>
      <c r="W17" s="1814">
        <f t="shared" si="3"/>
        <v>5.5553693389013503E-2</v>
      </c>
      <c r="Y17" s="1792" t="s">
        <v>80</v>
      </c>
      <c r="Z17" s="1773"/>
      <c r="AA17" s="1732"/>
      <c r="AB17" s="1773"/>
      <c r="AC17" s="1814"/>
    </row>
    <row r="18" spans="1:29">
      <c r="A18" s="1815">
        <f>A15</f>
        <v>500</v>
      </c>
      <c r="C18" s="1815">
        <f>C17</f>
        <v>328500</v>
      </c>
      <c r="E18" s="1767">
        <f t="shared" si="8"/>
        <v>0.5</v>
      </c>
      <c r="F18" s="1767">
        <f>('Large Profile'!$M$7)/('Large Profile'!$E$7)*E18</f>
        <v>0.34582067740282146</v>
      </c>
      <c r="G18" s="1767">
        <f>('Large Profile'!$Q$7)/('Large Profile'!$I$7)*E18</f>
        <v>0.24981181503295513</v>
      </c>
      <c r="I18" s="1797">
        <f t="shared" si="4"/>
        <v>21349.38</v>
      </c>
      <c r="J18" s="1797"/>
      <c r="K18" s="1797">
        <f t="shared" si="5"/>
        <v>20845.48</v>
      </c>
      <c r="L18" s="1797"/>
      <c r="M18" s="1797">
        <f t="shared" si="0"/>
        <v>-503.90000000000146</v>
      </c>
      <c r="O18" s="1814">
        <f t="shared" si="1"/>
        <v>-2.36025589501897E-2</v>
      </c>
      <c r="Q18" s="1797">
        <f t="shared" si="6"/>
        <v>17109.75</v>
      </c>
      <c r="R18" s="1797"/>
      <c r="S18" s="1797">
        <f t="shared" si="7"/>
        <v>17883.13</v>
      </c>
      <c r="T18" s="1797"/>
      <c r="U18" s="1797">
        <f t="shared" si="2"/>
        <v>773.38000000000102</v>
      </c>
      <c r="W18" s="1814">
        <f t="shared" si="3"/>
        <v>4.5201128011806091E-2</v>
      </c>
      <c r="Y18" s="1736" t="s">
        <v>1678</v>
      </c>
      <c r="Z18" s="1773">
        <f>Z10</f>
        <v>259</v>
      </c>
      <c r="AA18" s="1805">
        <f>AA10</f>
        <v>265</v>
      </c>
      <c r="AB18" s="1773"/>
      <c r="AC18" s="1814"/>
    </row>
    <row r="19" spans="1:29">
      <c r="A19" s="1815">
        <f>A16</f>
        <v>500</v>
      </c>
      <c r="C19" s="1815">
        <f>C18</f>
        <v>328500</v>
      </c>
      <c r="E19" s="1767">
        <f t="shared" si="8"/>
        <v>0.4</v>
      </c>
      <c r="F19" s="1767">
        <f>('Large Profile'!$M$7)/('Large Profile'!$E$7)*E19</f>
        <v>0.27665654192225719</v>
      </c>
      <c r="G19" s="1767">
        <f>('Large Profile'!$Q$7)/('Large Profile'!$I$7)*E19</f>
        <v>0.19984945202636412</v>
      </c>
      <c r="I19" s="1797">
        <f t="shared" si="4"/>
        <v>20767.310000000001</v>
      </c>
      <c r="J19" s="1797"/>
      <c r="K19" s="1797">
        <f t="shared" si="5"/>
        <v>20248.28</v>
      </c>
      <c r="L19" s="1797"/>
      <c r="M19" s="1797">
        <f t="shared" si="0"/>
        <v>-519.03000000000247</v>
      </c>
      <c r="O19" s="1814">
        <f t="shared" si="1"/>
        <v>-2.4992644690140509E-2</v>
      </c>
      <c r="Q19" s="1797">
        <f t="shared" si="6"/>
        <v>16915.88</v>
      </c>
      <c r="R19" s="1797"/>
      <c r="S19" s="1797">
        <f t="shared" si="7"/>
        <v>17501.36</v>
      </c>
      <c r="T19" s="1797"/>
      <c r="U19" s="1797">
        <f t="shared" si="2"/>
        <v>585.47999999999956</v>
      </c>
      <c r="W19" s="1814">
        <f t="shared" si="3"/>
        <v>3.461126468147091E-2</v>
      </c>
      <c r="Y19" s="1736" t="s">
        <v>1694</v>
      </c>
      <c r="Z19" s="1773">
        <f>Z11</f>
        <v>2.2200000000000002</v>
      </c>
      <c r="AA19" s="1805">
        <f>AA11</f>
        <v>2.27</v>
      </c>
      <c r="AB19" s="1773"/>
      <c r="AC19" s="1814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1695</v>
      </c>
      <c r="Z20" s="1795">
        <v>9.4700000000000006</v>
      </c>
      <c r="AA20" s="1796">
        <f>'Blocking-Step1'!Q1482</f>
        <v>12.65</v>
      </c>
      <c r="AB20" s="1795"/>
      <c r="AC20" s="1814"/>
    </row>
    <row r="21" spans="1:29">
      <c r="A21" s="1707">
        <v>1000</v>
      </c>
      <c r="C21" s="1707">
        <f>A21*0.5*730</f>
        <v>365000</v>
      </c>
      <c r="E21" s="1767">
        <v>0.6</v>
      </c>
      <c r="F21" s="1767">
        <f>('Large Profile'!$M$7)/('Large Profile'!$E$7)*E21</f>
        <v>0.41498481288338573</v>
      </c>
      <c r="G21" s="1767">
        <f>('Large Profile'!$Q$7)/('Large Profile'!$I$7)*E21</f>
        <v>0.29977417803954615</v>
      </c>
      <c r="I21" s="1797">
        <f t="shared" ref="I21:I29" si="9">ROUND($Z$10+($Z$11*$A21+($Z$12*$A21+($Z$13*$E21+$Z$14*(1-$E21))/100*$C21)*(1+$Z$33))*(1+$Z$16)+($Z$12*$A21+($Z$13*$E21+$Z$14*(1-$E21))/100*$C21)*$Z$28+$Z$15,2)</f>
        <v>31712.07</v>
      </c>
      <c r="J21" s="1797"/>
      <c r="K21" s="1797">
        <f t="shared" ref="K21:K29" si="10">ROUND($AA$10+($AA$11*$A21+($AA$12*$A21+($AA$13*$F21+$AA$14*(1-$F21))/100*$C21)*(1+$AA$33))*(1+$AA$16)+($AA$12*$A21+($AA$13*$F21+$AA$14*(1-$F21))/100*$C21)*$AA$28+$AA$15,2)</f>
        <v>31451.63</v>
      </c>
      <c r="L21" s="1797"/>
      <c r="M21" s="1797">
        <f t="shared" si="0"/>
        <v>-260.43999999999869</v>
      </c>
      <c r="O21" s="1814">
        <f t="shared" si="1"/>
        <v>-8.2126458474643949E-3</v>
      </c>
      <c r="Q21" s="1797">
        <f t="shared" ref="Q21:Q29" si="11">ROUND($Z$18+($Z$19*$A21+($Z$20*$A21+($Z$21*$E21+$Z$22*(1-$E21))/100*$C21)*(1+$Z$33))*(1+$Z$24)+($Z$20*$A21+($Z$21*$E21+$Z$22*(1-$E21))/100*$C21)*$Z$28+$Z$23,2)</f>
        <v>24526.83</v>
      </c>
      <c r="R21" s="1797"/>
      <c r="S21" s="1797">
        <f t="shared" ref="S21:S29" si="12">ROUND($AA$18+($AA$19*$A21+($AA$20*$A21+($AA$21*$G21+$AA$22*(1-$G21))/100*$C21)*(1+$AA$33))*(1+$AA$24)+($AA$20*$A21+($AA$21*$G21+$AA$22*(1-$G21))/100*$C21)*$AA$28+$AA$23,2)</f>
        <v>27157.759999999998</v>
      </c>
      <c r="T21" s="1797"/>
      <c r="U21" s="1797">
        <f t="shared" si="2"/>
        <v>2630.9299999999967</v>
      </c>
      <c r="W21" s="1814">
        <f t="shared" si="3"/>
        <v>0.1072674291785769</v>
      </c>
      <c r="Y21" s="1736" t="s">
        <v>1696</v>
      </c>
      <c r="Z21" s="1799">
        <v>3.4988999999999999</v>
      </c>
      <c r="AA21" s="1800">
        <f>'Blocking-Step1'!Q1484</f>
        <v>4.5464846390269997</v>
      </c>
      <c r="AB21" s="1801"/>
      <c r="AC21" s="1814"/>
    </row>
    <row r="22" spans="1:29">
      <c r="A22" s="1815">
        <f>A21</f>
        <v>1000</v>
      </c>
      <c r="C22" s="1815">
        <f>C21</f>
        <v>365000</v>
      </c>
      <c r="E22" s="1767">
        <v>0.5</v>
      </c>
      <c r="F22" s="1767">
        <f>('Large Profile'!$M$7)/('Large Profile'!$E$7)*E22</f>
        <v>0.34582067740282146</v>
      </c>
      <c r="G22" s="1767">
        <f>('Large Profile'!$Q$7)/('Large Profile'!$I$7)*E22</f>
        <v>0.24981181503295513</v>
      </c>
      <c r="I22" s="1797">
        <f t="shared" si="9"/>
        <v>31065.32</v>
      </c>
      <c r="J22" s="1797"/>
      <c r="K22" s="1797">
        <f t="shared" si="10"/>
        <v>30788.080000000002</v>
      </c>
      <c r="L22" s="1797"/>
      <c r="M22" s="1797">
        <f t="shared" si="0"/>
        <v>-277.23999999999796</v>
      </c>
      <c r="O22" s="1814">
        <f t="shared" si="1"/>
        <v>-8.9244211873561463E-3</v>
      </c>
      <c r="Q22" s="1797">
        <f t="shared" si="11"/>
        <v>24311.42</v>
      </c>
      <c r="R22" s="1797"/>
      <c r="S22" s="1797">
        <f t="shared" si="12"/>
        <v>26733.57</v>
      </c>
      <c r="T22" s="1797"/>
      <c r="U22" s="1797">
        <f t="shared" si="2"/>
        <v>2422.1500000000015</v>
      </c>
      <c r="W22" s="1814">
        <f t="shared" si="3"/>
        <v>9.9630132670160743E-2</v>
      </c>
      <c r="Y22" s="1736" t="s">
        <v>1697</v>
      </c>
      <c r="Z22" s="1799">
        <v>2.9224999999999999</v>
      </c>
      <c r="AA22" s="1800">
        <f>'Blocking-Step1'!Q1486</f>
        <v>2.310898173365</v>
      </c>
      <c r="AB22" s="1801"/>
      <c r="AC22" s="1814"/>
    </row>
    <row r="23" spans="1:29">
      <c r="A23" s="1815">
        <f>A22</f>
        <v>1000</v>
      </c>
      <c r="C23" s="1815">
        <f>C22</f>
        <v>365000</v>
      </c>
      <c r="E23" s="1767">
        <v>0.4</v>
      </c>
      <c r="F23" s="1767">
        <f>('Large Profile'!$M$7)/('Large Profile'!$E$7)*E23</f>
        <v>0.27665654192225719</v>
      </c>
      <c r="G23" s="1767">
        <f>('Large Profile'!$Q$7)/('Large Profile'!$I$7)*E23</f>
        <v>0.19984945202636412</v>
      </c>
      <c r="I23" s="1797">
        <f t="shared" si="9"/>
        <v>30418.57</v>
      </c>
      <c r="J23" s="1797"/>
      <c r="K23" s="1797">
        <f t="shared" si="10"/>
        <v>30124.53</v>
      </c>
      <c r="L23" s="1797"/>
      <c r="M23" s="1797">
        <f t="shared" si="0"/>
        <v>-294.04000000000087</v>
      </c>
      <c r="O23" s="1814">
        <f t="shared" si="1"/>
        <v>-9.6664636108798607E-3</v>
      </c>
      <c r="Q23" s="1797">
        <f t="shared" si="11"/>
        <v>24096.01</v>
      </c>
      <c r="R23" s="1797"/>
      <c r="S23" s="1797">
        <f t="shared" si="12"/>
        <v>26309.38</v>
      </c>
      <c r="T23" s="1797"/>
      <c r="U23" s="1797">
        <f t="shared" si="2"/>
        <v>2213.3700000000026</v>
      </c>
      <c r="W23" s="1814">
        <f t="shared" si="3"/>
        <v>9.1856286580226376E-2</v>
      </c>
      <c r="Y23" s="1736" t="s">
        <v>1683</v>
      </c>
      <c r="Z23" s="1773">
        <f>Z15</f>
        <v>50</v>
      </c>
      <c r="AA23" s="1805">
        <f>AA15</f>
        <v>50</v>
      </c>
      <c r="AB23" s="1773"/>
      <c r="AC23" s="1814"/>
    </row>
    <row r="24" spans="1:29">
      <c r="A24" s="1815">
        <f>A23</f>
        <v>1000</v>
      </c>
      <c r="C24" s="1707">
        <f>A21*0.7*730</f>
        <v>511000</v>
      </c>
      <c r="E24" s="1767">
        <f t="shared" ref="E24:E29" si="13">E21</f>
        <v>0.6</v>
      </c>
      <c r="F24" s="1767">
        <f>('Large Profile'!$M$7)/('Large Profile'!$E$7)*E24</f>
        <v>0.41498481288338573</v>
      </c>
      <c r="G24" s="1767">
        <f>('Large Profile'!$Q$7)/('Large Profile'!$I$7)*E24</f>
        <v>0.29977417803954615</v>
      </c>
      <c r="I24" s="1797">
        <f t="shared" si="9"/>
        <v>37633</v>
      </c>
      <c r="J24" s="1797"/>
      <c r="K24" s="1797">
        <f t="shared" si="10"/>
        <v>37010.99</v>
      </c>
      <c r="L24" s="1797"/>
      <c r="M24" s="1797">
        <f t="shared" si="0"/>
        <v>-622.01000000000204</v>
      </c>
      <c r="O24" s="1814">
        <f t="shared" si="1"/>
        <v>-1.652831291685497E-2</v>
      </c>
      <c r="Q24" s="1797">
        <f t="shared" si="11"/>
        <v>29412.53</v>
      </c>
      <c r="R24" s="1797"/>
      <c r="S24" s="1797">
        <f t="shared" si="12"/>
        <v>31686.28</v>
      </c>
      <c r="T24" s="1797"/>
      <c r="U24" s="1797">
        <f t="shared" si="2"/>
        <v>2273.75</v>
      </c>
      <c r="W24" s="1814">
        <f t="shared" si="3"/>
        <v>7.7305488511189013E-2</v>
      </c>
      <c r="Y24" s="1759" t="s">
        <v>1718</v>
      </c>
      <c r="Z24" s="1768">
        <f>Z16</f>
        <v>3.9399999999999998E-2</v>
      </c>
      <c r="AA24" s="1769">
        <f>AA16</f>
        <v>3.9399999999999998E-2</v>
      </c>
      <c r="AB24" s="1752"/>
      <c r="AC24" s="1814"/>
    </row>
    <row r="25" spans="1:29">
      <c r="A25" s="1815">
        <f>A24</f>
        <v>1000</v>
      </c>
      <c r="C25" s="1815">
        <f>C24</f>
        <v>511000</v>
      </c>
      <c r="E25" s="1767">
        <f t="shared" si="13"/>
        <v>0.5</v>
      </c>
      <c r="F25" s="1767">
        <f>('Large Profile'!$M$7)/('Large Profile'!$E$7)*E25</f>
        <v>0.34582067740282146</v>
      </c>
      <c r="G25" s="1767">
        <f>('Large Profile'!$Q$7)/('Large Profile'!$I$7)*E25</f>
        <v>0.24981181503295513</v>
      </c>
      <c r="I25" s="1797">
        <f t="shared" si="9"/>
        <v>36727.550000000003</v>
      </c>
      <c r="J25" s="1797"/>
      <c r="K25" s="1797">
        <f t="shared" si="10"/>
        <v>36082.019999999997</v>
      </c>
      <c r="L25" s="1797"/>
      <c r="M25" s="1797">
        <f t="shared" si="0"/>
        <v>-645.53000000000611</v>
      </c>
      <c r="O25" s="1814">
        <f t="shared" si="1"/>
        <v>-1.7576179189736529E-2</v>
      </c>
      <c r="Q25" s="1797">
        <f t="shared" si="11"/>
        <v>29110.959999999999</v>
      </c>
      <c r="R25" s="1797"/>
      <c r="S25" s="1797">
        <f t="shared" si="12"/>
        <v>31092.42</v>
      </c>
      <c r="T25" s="1797"/>
      <c r="U25" s="1797">
        <f t="shared" si="2"/>
        <v>1981.4599999999991</v>
      </c>
      <c r="W25" s="1814">
        <f t="shared" si="3"/>
        <v>6.8065773165845389E-2</v>
      </c>
      <c r="AB25" s="1814"/>
    </row>
    <row r="26" spans="1:29">
      <c r="A26" s="1815">
        <f>A25</f>
        <v>1000</v>
      </c>
      <c r="C26" s="1815">
        <f>C25</f>
        <v>511000</v>
      </c>
      <c r="E26" s="1767">
        <f t="shared" si="13"/>
        <v>0.4</v>
      </c>
      <c r="F26" s="1767">
        <f>('Large Profile'!$M$7)/('Large Profile'!$E$7)*E26</f>
        <v>0.27665654192225719</v>
      </c>
      <c r="G26" s="1767">
        <f>('Large Profile'!$Q$7)/('Large Profile'!$I$7)*E26</f>
        <v>0.19984945202636412</v>
      </c>
      <c r="I26" s="1797">
        <f t="shared" si="9"/>
        <v>35822.089999999997</v>
      </c>
      <c r="J26" s="1797"/>
      <c r="K26" s="1797">
        <f t="shared" si="10"/>
        <v>35153.040000000001</v>
      </c>
      <c r="L26" s="1797"/>
      <c r="M26" s="1797">
        <f t="shared" si="0"/>
        <v>-669.04999999999563</v>
      </c>
      <c r="O26" s="1814">
        <f t="shared" si="1"/>
        <v>-1.8677023032436013E-2</v>
      </c>
      <c r="Q26" s="1797">
        <f t="shared" si="11"/>
        <v>28809.38</v>
      </c>
      <c r="R26" s="1797"/>
      <c r="S26" s="1797">
        <f t="shared" si="12"/>
        <v>30498.560000000001</v>
      </c>
      <c r="T26" s="1797"/>
      <c r="U26" s="1797">
        <f t="shared" si="2"/>
        <v>1689.1800000000003</v>
      </c>
      <c r="W26" s="1814">
        <f t="shared" si="3"/>
        <v>5.8632986895240435E-2</v>
      </c>
      <c r="AA26" s="1808"/>
      <c r="AB26" s="1814"/>
    </row>
    <row r="27" spans="1:29">
      <c r="A27" s="1815">
        <f>A24</f>
        <v>1000</v>
      </c>
      <c r="C27" s="1707">
        <f>A21*0.9*730</f>
        <v>657000</v>
      </c>
      <c r="E27" s="1767">
        <f t="shared" si="13"/>
        <v>0.6</v>
      </c>
      <c r="F27" s="1767">
        <f>('Large Profile'!$M$7)/('Large Profile'!$E$7)*E27</f>
        <v>0.41498481288338573</v>
      </c>
      <c r="G27" s="1767">
        <f>('Large Profile'!$Q$7)/('Large Profile'!$I$7)*E27</f>
        <v>0.29977417803954615</v>
      </c>
      <c r="I27" s="1797">
        <f t="shared" si="9"/>
        <v>43553.919999999998</v>
      </c>
      <c r="J27" s="1797"/>
      <c r="K27" s="1797">
        <f t="shared" si="10"/>
        <v>42570.35</v>
      </c>
      <c r="L27" s="1797"/>
      <c r="M27" s="1797">
        <f t="shared" si="0"/>
        <v>-983.56999999999971</v>
      </c>
      <c r="O27" s="1814">
        <f t="shared" si="1"/>
        <v>-2.2582812293359567E-2</v>
      </c>
      <c r="Q27" s="1797">
        <f t="shared" si="11"/>
        <v>34298.230000000003</v>
      </c>
      <c r="R27" s="1797"/>
      <c r="S27" s="1797">
        <f t="shared" si="12"/>
        <v>36214.81</v>
      </c>
      <c r="T27" s="1797"/>
      <c r="U27" s="1797">
        <f t="shared" si="2"/>
        <v>1916.5799999999945</v>
      </c>
      <c r="W27" s="1814">
        <f t="shared" si="3"/>
        <v>5.5879851525865831E-2</v>
      </c>
      <c r="Y27" s="1704" t="s">
        <v>1684</v>
      </c>
      <c r="Z27" s="1799">
        <v>0</v>
      </c>
      <c r="AA27" s="1799">
        <v>0</v>
      </c>
      <c r="AB27" s="1814"/>
    </row>
    <row r="28" spans="1:29">
      <c r="A28" s="1815">
        <f>A25</f>
        <v>1000</v>
      </c>
      <c r="C28" s="1815">
        <f>C27</f>
        <v>657000</v>
      </c>
      <c r="E28" s="1767">
        <f t="shared" si="13"/>
        <v>0.5</v>
      </c>
      <c r="F28" s="1767">
        <f>('Large Profile'!$M$7)/('Large Profile'!$E$7)*E28</f>
        <v>0.34582067740282146</v>
      </c>
      <c r="G28" s="1767">
        <f>('Large Profile'!$Q$7)/('Large Profile'!$I$7)*E28</f>
        <v>0.24981181503295513</v>
      </c>
      <c r="I28" s="1797">
        <f t="shared" si="9"/>
        <v>42389.77</v>
      </c>
      <c r="J28" s="1797"/>
      <c r="K28" s="1797">
        <f t="shared" si="10"/>
        <v>41375.96</v>
      </c>
      <c r="L28" s="1797"/>
      <c r="M28" s="1797">
        <f t="shared" si="0"/>
        <v>-1013.8099999999977</v>
      </c>
      <c r="O28" s="1814">
        <f t="shared" si="1"/>
        <v>-2.3916383599156044E-2</v>
      </c>
      <c r="Q28" s="1797">
        <f t="shared" si="11"/>
        <v>33910.5</v>
      </c>
      <c r="R28" s="1797"/>
      <c r="S28" s="1797">
        <f t="shared" si="12"/>
        <v>35451.269999999997</v>
      </c>
      <c r="T28" s="1797"/>
      <c r="U28" s="1797">
        <f t="shared" si="2"/>
        <v>1540.7699999999968</v>
      </c>
      <c r="W28" s="1814">
        <f t="shared" si="3"/>
        <v>4.5436369266156351E-2</v>
      </c>
      <c r="Y28" s="1702" t="s">
        <v>1720</v>
      </c>
      <c r="Z28" s="1765">
        <v>-3.0700000000000002E-2</v>
      </c>
      <c r="AA28" s="1808">
        <f>'Blocking-Step1'!Q1493</f>
        <v>-1.41E-2</v>
      </c>
      <c r="AB28" s="1808"/>
    </row>
    <row r="29" spans="1:29">
      <c r="A29" s="1815">
        <f>A26</f>
        <v>1000</v>
      </c>
      <c r="C29" s="1815">
        <f>C28</f>
        <v>657000</v>
      </c>
      <c r="E29" s="1767">
        <f t="shared" si="13"/>
        <v>0.4</v>
      </c>
      <c r="F29" s="1767">
        <f>('Large Profile'!$M$7)/('Large Profile'!$E$7)*E29</f>
        <v>0.27665654192225719</v>
      </c>
      <c r="G29" s="1767">
        <f>('Large Profile'!$Q$7)/('Large Profile'!$I$7)*E29</f>
        <v>0.19984945202636412</v>
      </c>
      <c r="I29" s="1797">
        <f t="shared" si="9"/>
        <v>41225.620000000003</v>
      </c>
      <c r="J29" s="1797"/>
      <c r="K29" s="1797">
        <f t="shared" si="10"/>
        <v>40181.56</v>
      </c>
      <c r="L29" s="1797"/>
      <c r="M29" s="1797">
        <f t="shared" si="0"/>
        <v>-1044.0600000000049</v>
      </c>
      <c r="O29" s="1814">
        <f t="shared" si="1"/>
        <v>-2.5325513600523264E-2</v>
      </c>
      <c r="Q29" s="1797">
        <f t="shared" si="11"/>
        <v>33522.76</v>
      </c>
      <c r="R29" s="1797"/>
      <c r="S29" s="1797">
        <f t="shared" si="12"/>
        <v>34687.730000000003</v>
      </c>
      <c r="T29" s="1797"/>
      <c r="U29" s="1797">
        <f t="shared" si="2"/>
        <v>1164.9700000000012</v>
      </c>
      <c r="W29" s="1814">
        <f t="shared" si="3"/>
        <v>3.4751613530628278E-2</v>
      </c>
      <c r="Y29" s="1702" t="s">
        <v>1721</v>
      </c>
      <c r="Z29" s="1765">
        <v>3.8999999999999998E-3</v>
      </c>
      <c r="AA29" s="1808">
        <f>Z29</f>
        <v>3.8999999999999998E-3</v>
      </c>
      <c r="AB29" s="1814"/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1722</v>
      </c>
      <c r="Z30" s="1803">
        <v>3.5499999999999997E-2</v>
      </c>
      <c r="AA30" s="1808">
        <f>Z30</f>
        <v>3.5499999999999997E-2</v>
      </c>
      <c r="AB30" s="1814"/>
    </row>
    <row r="31" spans="1:29">
      <c r="A31" s="1707">
        <v>2000</v>
      </c>
      <c r="C31" s="1707">
        <f>A31*0.5*730</f>
        <v>730000</v>
      </c>
      <c r="E31" s="1767">
        <v>0.6</v>
      </c>
      <c r="F31" s="1767">
        <f>('Large Profile'!$M$7)/('Large Profile'!$E$7)*E31</f>
        <v>0.41498481288338573</v>
      </c>
      <c r="G31" s="1767">
        <f>('Large Profile'!$Q$7)/('Large Profile'!$I$7)*E31</f>
        <v>0.29977417803954615</v>
      </c>
      <c r="I31" s="1797">
        <f t="shared" ref="I31:I39" si="14">ROUND($Z$10+($Z$11*$A31+($Z$12*$A31+($Z$13*$E31+$Z$14*(1-$E31))/100*$C31)*(1+$Z$33))*(1+$Z$16)+($Z$12*$A31+($Z$13*$E31+$Z$14*(1-$E31))/100*$C31)*$Z$28+$Z$15,2)</f>
        <v>63115.15</v>
      </c>
      <c r="J31" s="1797"/>
      <c r="K31" s="1797">
        <f t="shared" ref="K31:K39" si="15">ROUND($AA$10+($AA$11*$A31+($AA$12*$A31+($AA$13*$F31+$AA$14*(1-$F31))/100*$C31)*(1+$AA$33))*(1+$AA$16)+($AA$12*$A31+($AA$13*$F31+$AA$14*(1-$F31))/100*$C31)*$AA$28+$AA$15,2)</f>
        <v>62588.26</v>
      </c>
      <c r="L31" s="1797"/>
      <c r="M31" s="1797">
        <f t="shared" si="0"/>
        <v>-526.88999999999942</v>
      </c>
      <c r="O31" s="1814">
        <f t="shared" si="1"/>
        <v>-8.3480749075300897E-3</v>
      </c>
      <c r="Q31" s="1797">
        <f t="shared" ref="Q31:Q39" si="16">ROUND($Z$18+($Z$19*$A31+($Z$20*$A31+($Z$21*$E31+$Z$22*(1-$E31))/100*$C31)*(1+$Z$33))*(1+$Z$24)+($Z$20*$A31+($Z$21*$E31+$Z$22*(1-$E31))/100*$C31)*$Z$28+$Z$23,2)</f>
        <v>48744.65</v>
      </c>
      <c r="R31" s="1797"/>
      <c r="S31" s="1797">
        <f t="shared" ref="S31:S39" si="17">ROUND($AA$18+($AA$19*$A31+($AA$20*$A31+($AA$21*$G31+$AA$22*(1-$G31))/100*$C31)*(1+$AA$33))*(1+$AA$24)+($AA$20*$A31+($AA$21*$G31+$AA$22*(1-$G31))/100*$C31)*$AA$28+$AA$23,2)</f>
        <v>54000.52</v>
      </c>
      <c r="T31" s="1797"/>
      <c r="U31" s="1797">
        <f t="shared" si="2"/>
        <v>5255.8699999999953</v>
      </c>
      <c r="W31" s="1814">
        <f t="shared" si="3"/>
        <v>0.10782455100200727</v>
      </c>
      <c r="Y31" s="1704" t="s">
        <v>1685</v>
      </c>
      <c r="Z31" s="1765">
        <v>1.3899999999999999E-2</v>
      </c>
      <c r="AA31" s="1809">
        <f>Z31</f>
        <v>1.3899999999999999E-2</v>
      </c>
      <c r="AB31" s="1814"/>
    </row>
    <row r="32" spans="1:29">
      <c r="A32" s="1815">
        <f>A31</f>
        <v>2000</v>
      </c>
      <c r="C32" s="1815">
        <f>C31</f>
        <v>730000</v>
      </c>
      <c r="E32" s="1767">
        <v>0.5</v>
      </c>
      <c r="F32" s="1767">
        <f>('Large Profile'!$M$7)/('Large Profile'!$E$7)*E32</f>
        <v>0.34582067740282146</v>
      </c>
      <c r="G32" s="1767">
        <f>('Large Profile'!$Q$7)/('Large Profile'!$I$7)*E32</f>
        <v>0.24981181503295513</v>
      </c>
      <c r="I32" s="1797">
        <f t="shared" si="14"/>
        <v>61821.65</v>
      </c>
      <c r="J32" s="1797"/>
      <c r="K32" s="1797">
        <f t="shared" si="15"/>
        <v>61261.16</v>
      </c>
      <c r="L32" s="1797"/>
      <c r="M32" s="1797">
        <f t="shared" si="0"/>
        <v>-560.48999999999796</v>
      </c>
      <c r="O32" s="1814">
        <f t="shared" si="1"/>
        <v>-9.0662413571943601E-3</v>
      </c>
      <c r="Q32" s="1797">
        <f t="shared" si="16"/>
        <v>48313.83</v>
      </c>
      <c r="R32" s="1797"/>
      <c r="S32" s="1797">
        <f t="shared" si="17"/>
        <v>53152.14</v>
      </c>
      <c r="T32" s="1797"/>
      <c r="U32" s="1797">
        <f t="shared" si="2"/>
        <v>4838.3099999999977</v>
      </c>
      <c r="W32" s="1814">
        <f t="shared" si="3"/>
        <v>0.10014337509570237</v>
      </c>
      <c r="Y32" s="1704" t="s">
        <v>1686</v>
      </c>
      <c r="Z32" s="1765">
        <v>6.9999999999999999E-4</v>
      </c>
      <c r="AA32" s="1809">
        <f>Z32</f>
        <v>6.9999999999999999E-4</v>
      </c>
      <c r="AB32" s="1814"/>
    </row>
    <row r="33" spans="1:28">
      <c r="A33" s="1815">
        <f>A32</f>
        <v>2000</v>
      </c>
      <c r="C33" s="1815">
        <f>C32</f>
        <v>730000</v>
      </c>
      <c r="E33" s="1767">
        <v>0.4</v>
      </c>
      <c r="F33" s="1767">
        <f>('Large Profile'!$M$7)/('Large Profile'!$E$7)*E33</f>
        <v>0.27665654192225719</v>
      </c>
      <c r="G33" s="1767">
        <f>('Large Profile'!$Q$7)/('Large Profile'!$I$7)*E33</f>
        <v>0.19984945202636412</v>
      </c>
      <c r="I33" s="1797">
        <f t="shared" si="14"/>
        <v>60528.15</v>
      </c>
      <c r="J33" s="1797"/>
      <c r="K33" s="1797">
        <f t="shared" si="15"/>
        <v>59934.05</v>
      </c>
      <c r="L33" s="1797"/>
      <c r="M33" s="1797">
        <f t="shared" si="0"/>
        <v>-594.09999999999854</v>
      </c>
      <c r="O33" s="1814">
        <f t="shared" si="1"/>
        <v>-9.8152677721027315E-3</v>
      </c>
      <c r="Q33" s="1797">
        <f t="shared" si="16"/>
        <v>47883.02</v>
      </c>
      <c r="R33" s="1797"/>
      <c r="S33" s="1797">
        <f t="shared" si="17"/>
        <v>52303.76</v>
      </c>
      <c r="T33" s="1797"/>
      <c r="U33" s="1797">
        <f t="shared" si="2"/>
        <v>4420.7400000000052</v>
      </c>
      <c r="W33" s="1814">
        <f t="shared" si="3"/>
        <v>9.232375067403864E-2</v>
      </c>
      <c r="Y33" s="1702" t="s">
        <v>1687</v>
      </c>
      <c r="Z33" s="1752">
        <f>SUM(Z31:Z32)</f>
        <v>1.4599999999999998E-2</v>
      </c>
      <c r="AA33" s="1752">
        <f>SUM(AA31:AA32)</f>
        <v>1.4599999999999998E-2</v>
      </c>
      <c r="AB33" s="1814"/>
    </row>
    <row r="34" spans="1:28">
      <c r="A34" s="1815">
        <f>A33</f>
        <v>2000</v>
      </c>
      <c r="C34" s="1707">
        <f>A31*0.7*730</f>
        <v>1022000</v>
      </c>
      <c r="E34" s="1767">
        <f t="shared" ref="E34:E39" si="18">E31</f>
        <v>0.6</v>
      </c>
      <c r="F34" s="1767">
        <f>('Large Profile'!$M$7)/('Large Profile'!$E$7)*E34</f>
        <v>0.41498481288338573</v>
      </c>
      <c r="G34" s="1767">
        <f>('Large Profile'!$Q$7)/('Large Profile'!$I$7)*E34</f>
        <v>0.29977417803954615</v>
      </c>
      <c r="I34" s="1797">
        <f t="shared" si="14"/>
        <v>74956.990000000005</v>
      </c>
      <c r="J34" s="1797"/>
      <c r="K34" s="1797">
        <f t="shared" si="15"/>
        <v>73706.98</v>
      </c>
      <c r="L34" s="1797"/>
      <c r="M34" s="1797">
        <f t="shared" si="0"/>
        <v>-1250.0100000000093</v>
      </c>
      <c r="O34" s="1814">
        <f t="shared" si="1"/>
        <v>-1.6676363338495981E-2</v>
      </c>
      <c r="Q34" s="1797">
        <f t="shared" si="16"/>
        <v>58516.06</v>
      </c>
      <c r="R34" s="1797"/>
      <c r="S34" s="1797">
        <f t="shared" si="17"/>
        <v>63057.57</v>
      </c>
      <c r="T34" s="1797"/>
      <c r="U34" s="1797">
        <f t="shared" si="2"/>
        <v>4541.510000000002</v>
      </c>
      <c r="W34" s="1814">
        <f t="shared" si="3"/>
        <v>7.7611342937306427E-2</v>
      </c>
      <c r="AB34" s="1814"/>
    </row>
    <row r="35" spans="1:28">
      <c r="A35" s="1815">
        <f>A34</f>
        <v>2000</v>
      </c>
      <c r="C35" s="1815">
        <f>C34</f>
        <v>1022000</v>
      </c>
      <c r="E35" s="1767">
        <f t="shared" si="18"/>
        <v>0.5</v>
      </c>
      <c r="F35" s="1767">
        <f>('Large Profile'!$M$7)/('Large Profile'!$E$7)*E35</f>
        <v>0.34582067740282146</v>
      </c>
      <c r="G35" s="1767">
        <f>('Large Profile'!$Q$7)/('Large Profile'!$I$7)*E35</f>
        <v>0.24981181503295513</v>
      </c>
      <c r="I35" s="1797">
        <f t="shared" si="14"/>
        <v>73146.09</v>
      </c>
      <c r="J35" s="1797"/>
      <c r="K35" s="1797">
        <f t="shared" si="15"/>
        <v>71849.03</v>
      </c>
      <c r="L35" s="1797"/>
      <c r="M35" s="1797">
        <f t="shared" si="0"/>
        <v>-1297.0599999999977</v>
      </c>
      <c r="O35" s="1814">
        <f t="shared" si="1"/>
        <v>-1.7732458426691022E-2</v>
      </c>
      <c r="Q35" s="1797">
        <f t="shared" si="16"/>
        <v>57912.91</v>
      </c>
      <c r="R35" s="1797"/>
      <c r="S35" s="1797">
        <f t="shared" si="17"/>
        <v>61869.84</v>
      </c>
      <c r="T35" s="1797"/>
      <c r="U35" s="1797">
        <f t="shared" si="2"/>
        <v>3956.929999999993</v>
      </c>
      <c r="W35" s="1814">
        <f t="shared" si="3"/>
        <v>6.8325525344866911E-2</v>
      </c>
      <c r="AB35" s="1814"/>
    </row>
    <row r="36" spans="1:28">
      <c r="A36" s="1815">
        <f>A35</f>
        <v>2000</v>
      </c>
      <c r="C36" s="1815">
        <f>C35</f>
        <v>1022000</v>
      </c>
      <c r="E36" s="1767">
        <f t="shared" si="18"/>
        <v>0.4</v>
      </c>
      <c r="F36" s="1767">
        <f>('Large Profile'!$M$7)/('Large Profile'!$E$7)*E36</f>
        <v>0.27665654192225719</v>
      </c>
      <c r="G36" s="1767">
        <f>('Large Profile'!$Q$7)/('Large Profile'!$I$7)*E36</f>
        <v>0.19984945202636412</v>
      </c>
      <c r="I36" s="1797">
        <f t="shared" si="14"/>
        <v>71335.19</v>
      </c>
      <c r="J36" s="1797"/>
      <c r="K36" s="1797">
        <f t="shared" si="15"/>
        <v>69991.09</v>
      </c>
      <c r="L36" s="1797"/>
      <c r="M36" s="1797">
        <f t="shared" si="0"/>
        <v>-1344.1000000000058</v>
      </c>
      <c r="O36" s="1814">
        <f t="shared" si="1"/>
        <v>-1.8842032943348186E-2</v>
      </c>
      <c r="Q36" s="1797">
        <f t="shared" si="16"/>
        <v>57309.77</v>
      </c>
      <c r="R36" s="1797"/>
      <c r="S36" s="1797">
        <f t="shared" si="17"/>
        <v>60682.11</v>
      </c>
      <c r="T36" s="1797"/>
      <c r="U36" s="1797">
        <f t="shared" si="2"/>
        <v>3372.3400000000038</v>
      </c>
      <c r="W36" s="1814">
        <f t="shared" si="3"/>
        <v>5.8844067948623735E-2</v>
      </c>
      <c r="AB36" s="1814"/>
    </row>
    <row r="37" spans="1:28">
      <c r="A37" s="1815">
        <f>A34</f>
        <v>2000</v>
      </c>
      <c r="C37" s="1707">
        <f>A31*0.9*730</f>
        <v>1314000</v>
      </c>
      <c r="E37" s="1767">
        <f t="shared" si="18"/>
        <v>0.6</v>
      </c>
      <c r="F37" s="1767">
        <f>('Large Profile'!$M$7)/('Large Profile'!$E$7)*E37</f>
        <v>0.41498481288338573</v>
      </c>
      <c r="G37" s="1767">
        <f>('Large Profile'!$Q$7)/('Large Profile'!$I$7)*E37</f>
        <v>0.29977417803954615</v>
      </c>
      <c r="I37" s="1797">
        <f t="shared" si="14"/>
        <v>86798.84</v>
      </c>
      <c r="J37" s="1797"/>
      <c r="K37" s="1797">
        <f t="shared" si="15"/>
        <v>84825.7</v>
      </c>
      <c r="L37" s="1797"/>
      <c r="M37" s="1797">
        <f t="shared" si="0"/>
        <v>-1973.1399999999994</v>
      </c>
      <c r="O37" s="1814">
        <f t="shared" si="1"/>
        <v>-2.2732331445904141E-2</v>
      </c>
      <c r="Q37" s="1797">
        <f t="shared" si="16"/>
        <v>68287.47</v>
      </c>
      <c r="R37" s="1797"/>
      <c r="S37" s="1797">
        <f t="shared" si="17"/>
        <v>72114.62</v>
      </c>
      <c r="T37" s="1797"/>
      <c r="U37" s="1797">
        <f t="shared" si="2"/>
        <v>3827.1499999999942</v>
      </c>
      <c r="W37" s="1814">
        <f t="shared" si="3"/>
        <v>5.6044688725471747E-2</v>
      </c>
      <c r="AB37" s="1814"/>
    </row>
    <row r="38" spans="1:28">
      <c r="A38" s="1815">
        <f>A35</f>
        <v>2000</v>
      </c>
      <c r="C38" s="1815">
        <f>C37</f>
        <v>1314000</v>
      </c>
      <c r="E38" s="1767">
        <f t="shared" si="18"/>
        <v>0.5</v>
      </c>
      <c r="F38" s="1767">
        <f>('Large Profile'!$M$7)/('Large Profile'!$E$7)*E38</f>
        <v>0.34582067740282146</v>
      </c>
      <c r="G38" s="1767">
        <f>('Large Profile'!$Q$7)/('Large Profile'!$I$7)*E38</f>
        <v>0.24981181503295513</v>
      </c>
      <c r="I38" s="1797">
        <f t="shared" si="14"/>
        <v>84470.54</v>
      </c>
      <c r="J38" s="1797"/>
      <c r="K38" s="1797">
        <f t="shared" si="15"/>
        <v>82436.91</v>
      </c>
      <c r="L38" s="1797"/>
      <c r="M38" s="1797">
        <f t="shared" si="0"/>
        <v>-2033.6299999999901</v>
      </c>
      <c r="O38" s="1814">
        <f t="shared" si="1"/>
        <v>-2.4075020711362694E-2</v>
      </c>
      <c r="Q38" s="1797">
        <f t="shared" si="16"/>
        <v>67511.990000000005</v>
      </c>
      <c r="R38" s="1797"/>
      <c r="S38" s="1797">
        <f t="shared" si="17"/>
        <v>70587.539999999994</v>
      </c>
      <c r="T38" s="1797"/>
      <c r="U38" s="1797">
        <f t="shared" si="2"/>
        <v>3075.5499999999884</v>
      </c>
      <c r="W38" s="1814">
        <f t="shared" si="3"/>
        <v>4.5555611677273733E-2</v>
      </c>
      <c r="AB38" s="1814"/>
    </row>
    <row r="39" spans="1:28">
      <c r="A39" s="1815">
        <f>A36</f>
        <v>2000</v>
      </c>
      <c r="C39" s="1815">
        <f>C38</f>
        <v>1314000</v>
      </c>
      <c r="E39" s="1767">
        <f t="shared" si="18"/>
        <v>0.4</v>
      </c>
      <c r="F39" s="1767">
        <f>('Large Profile'!$M$7)/('Large Profile'!$E$7)*E39</f>
        <v>0.27665654192225719</v>
      </c>
      <c r="G39" s="1767">
        <f>('Large Profile'!$Q$7)/('Large Profile'!$I$7)*E39</f>
        <v>0.19984945202636412</v>
      </c>
      <c r="I39" s="1797">
        <f t="shared" si="14"/>
        <v>82142.23</v>
      </c>
      <c r="J39" s="1797"/>
      <c r="K39" s="1797">
        <f t="shared" si="15"/>
        <v>80048.12</v>
      </c>
      <c r="L39" s="1797"/>
      <c r="M39" s="1797">
        <f t="shared" si="0"/>
        <v>-2094.1100000000006</v>
      </c>
      <c r="O39" s="1814">
        <f t="shared" si="1"/>
        <v>-2.549370768239434E-2</v>
      </c>
      <c r="Q39" s="1797">
        <f t="shared" si="16"/>
        <v>66736.52</v>
      </c>
      <c r="R39" s="1797"/>
      <c r="S39" s="1797">
        <f t="shared" si="17"/>
        <v>69060.460000000006</v>
      </c>
      <c r="T39" s="1797"/>
      <c r="U39" s="1797">
        <f t="shared" si="2"/>
        <v>2323.9400000000023</v>
      </c>
      <c r="W39" s="1814">
        <f t="shared" si="3"/>
        <v>3.4822612866238778E-2</v>
      </c>
      <c r="AB39" s="1814"/>
    </row>
    <row r="40" spans="1:28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  <c r="AB40" s="1814"/>
    </row>
    <row r="41" spans="1:28">
      <c r="A41" s="1707">
        <v>4000</v>
      </c>
      <c r="C41" s="1707">
        <f>A41*0.5*730</f>
        <v>1460000</v>
      </c>
      <c r="E41" s="1767">
        <v>0.6</v>
      </c>
      <c r="F41" s="1767">
        <f>('Large Profile'!$M$7)/('Large Profile'!$E$7)*E41</f>
        <v>0.41498481288338573</v>
      </c>
      <c r="G41" s="1767">
        <f>('Large Profile'!$Q$7)/('Large Profile'!$I$7)*E41</f>
        <v>0.29977417803954615</v>
      </c>
      <c r="I41" s="1797">
        <f t="shared" ref="I41:I49" si="19">ROUND($Z$10+($Z$11*$A41+($Z$12*$A41+($Z$13*$E41+$Z$14*(1-$E41))/100*$C41)*(1+$Z$33))*(1+$Z$16)+($Z$12*$A41+($Z$13*$E41+$Z$14*(1-$E41))/100*$C41)*$Z$28+$Z$15,2)</f>
        <v>125921.29</v>
      </c>
      <c r="J41" s="1797"/>
      <c r="K41" s="1797">
        <f t="shared" ref="K41:K49" si="20">ROUND($AA$10+($AA$11*$A41+($AA$12*$A41+($AA$13*$F41+$AA$14*(1-$F41))/100*$C41)*(1+$AA$33))*(1+$AA$16)+($AA$12*$A41+($AA$13*$F41+$AA$14*(1-$F41))/100*$C41)*$AA$28+$AA$15,2)</f>
        <v>124861.53</v>
      </c>
      <c r="L41" s="1797"/>
      <c r="M41" s="1797">
        <f t="shared" si="0"/>
        <v>-1059.7599999999948</v>
      </c>
      <c r="O41" s="1814">
        <f t="shared" si="1"/>
        <v>-8.4160510109132503E-3</v>
      </c>
      <c r="Q41" s="1797">
        <f t="shared" ref="Q41:Q49" si="21">ROUND($Z$18+($Z$19*$A41+($Z$20*$A41+($Z$21*$E41+$Z$22*(1-$E41))/100*$C41)*(1+$Z$33))*(1+$Z$24)+($Z$20*$A41+($Z$21*$E41+$Z$22*(1-$E41))/100*$C41)*$Z$28+$Z$23,2)</f>
        <v>97180.3</v>
      </c>
      <c r="R41" s="1797"/>
      <c r="S41" s="1797">
        <f t="shared" ref="S41:S49" si="22">ROUND($AA$18+($AA$19*$A41+($AA$20*$A41+($AA$21*$G41+$AA$22*(1-$G41))/100*$C41)*(1+$AA$33))*(1+$AA$24)+($AA$20*$A41+($AA$21*$G41+$AA$22*(1-$G41))/100*$C41)*$AA$28+$AA$23,2)</f>
        <v>107686.04</v>
      </c>
      <c r="T41" s="1797"/>
      <c r="U41" s="1797">
        <f t="shared" si="2"/>
        <v>10505.739999999991</v>
      </c>
      <c r="V41" s="1818"/>
      <c r="W41" s="1814">
        <f t="shared" si="3"/>
        <v>0.10810565515850423</v>
      </c>
      <c r="AB41" s="1814"/>
    </row>
    <row r="42" spans="1:28">
      <c r="A42" s="1815">
        <f>A41</f>
        <v>4000</v>
      </c>
      <c r="C42" s="1815">
        <f>C41</f>
        <v>1460000</v>
      </c>
      <c r="E42" s="1767">
        <v>0.5</v>
      </c>
      <c r="F42" s="1767">
        <f>('Large Profile'!$M$7)/('Large Profile'!$E$7)*E42</f>
        <v>0.34582067740282146</v>
      </c>
      <c r="G42" s="1767">
        <f>('Large Profile'!$Q$7)/('Large Profile'!$I$7)*E42</f>
        <v>0.24981181503295513</v>
      </c>
      <c r="I42" s="1797">
        <f t="shared" si="19"/>
        <v>123334.29</v>
      </c>
      <c r="J42" s="1797"/>
      <c r="K42" s="1797">
        <f t="shared" si="20"/>
        <v>122207.32</v>
      </c>
      <c r="L42" s="1797"/>
      <c r="M42" s="1797">
        <f t="shared" si="0"/>
        <v>-1126.9699999999866</v>
      </c>
      <c r="O42" s="1814">
        <f t="shared" si="1"/>
        <v>-9.1375237170456813E-3</v>
      </c>
      <c r="Q42" s="1797">
        <f t="shared" si="21"/>
        <v>96318.67</v>
      </c>
      <c r="R42" s="1797"/>
      <c r="S42" s="1797">
        <f t="shared" si="22"/>
        <v>105989.28</v>
      </c>
      <c r="T42" s="1797"/>
      <c r="U42" s="1797">
        <f t="shared" si="2"/>
        <v>9670.61</v>
      </c>
      <c r="V42" s="1818"/>
      <c r="W42" s="1814">
        <f t="shared" si="3"/>
        <v>0.10040223769701129</v>
      </c>
      <c r="AB42" s="1814"/>
    </row>
    <row r="43" spans="1:28">
      <c r="A43" s="1815">
        <f>A42</f>
        <v>4000</v>
      </c>
      <c r="C43" s="1815">
        <f>C42</f>
        <v>1460000</v>
      </c>
      <c r="E43" s="1767">
        <v>0.4</v>
      </c>
      <c r="F43" s="1767">
        <f>('Large Profile'!$M$7)/('Large Profile'!$E$7)*E43</f>
        <v>0.27665654192225719</v>
      </c>
      <c r="G43" s="1767">
        <f>('Large Profile'!$Q$7)/('Large Profile'!$I$7)*E43</f>
        <v>0.19984945202636412</v>
      </c>
      <c r="I43" s="1797">
        <f t="shared" si="19"/>
        <v>120747.29</v>
      </c>
      <c r="J43" s="1797"/>
      <c r="K43" s="1797">
        <f t="shared" si="20"/>
        <v>119553.11</v>
      </c>
      <c r="L43" s="1797"/>
      <c r="M43" s="1797">
        <f t="shared" si="0"/>
        <v>-1194.179999999993</v>
      </c>
      <c r="O43" s="1814">
        <f t="shared" si="1"/>
        <v>-9.8899114009101119E-3</v>
      </c>
      <c r="Q43" s="1797">
        <f t="shared" si="21"/>
        <v>95457.03</v>
      </c>
      <c r="R43" s="1797"/>
      <c r="S43" s="1797">
        <f t="shared" si="22"/>
        <v>104292.53</v>
      </c>
      <c r="T43" s="1797"/>
      <c r="U43" s="1797">
        <f t="shared" si="2"/>
        <v>8835.5</v>
      </c>
      <c r="V43" s="1818"/>
      <c r="W43" s="1814">
        <f t="shared" si="3"/>
        <v>9.25599717485448E-2</v>
      </c>
      <c r="AB43" s="1814"/>
    </row>
    <row r="44" spans="1:28">
      <c r="A44" s="1815">
        <f>A43</f>
        <v>4000</v>
      </c>
      <c r="C44" s="1707">
        <f>A41*0.7*730</f>
        <v>2044000</v>
      </c>
      <c r="E44" s="1767">
        <f t="shared" ref="E44:E49" si="23">E41</f>
        <v>0.6</v>
      </c>
      <c r="F44" s="1767">
        <f>('Large Profile'!$M$7)/('Large Profile'!$E$7)*E44</f>
        <v>0.41498481288338573</v>
      </c>
      <c r="G44" s="1767">
        <f>('Large Profile'!$Q$7)/('Large Profile'!$I$7)*E44</f>
        <v>0.29977417803954615</v>
      </c>
      <c r="I44" s="1797">
        <f t="shared" si="19"/>
        <v>149604.98000000001</v>
      </c>
      <c r="J44" s="1797"/>
      <c r="K44" s="1797">
        <f t="shared" si="20"/>
        <v>147098.96</v>
      </c>
      <c r="L44" s="1797"/>
      <c r="M44" s="1797">
        <f t="shared" si="0"/>
        <v>-2506.0200000000186</v>
      </c>
      <c r="O44" s="1814">
        <f t="shared" si="1"/>
        <v>-1.6750912970945331E-2</v>
      </c>
      <c r="Q44" s="1797">
        <f t="shared" si="21"/>
        <v>116723.12</v>
      </c>
      <c r="R44" s="1797"/>
      <c r="S44" s="1797">
        <f t="shared" si="22"/>
        <v>125800.14</v>
      </c>
      <c r="T44" s="1797"/>
      <c r="U44" s="1797">
        <f t="shared" si="2"/>
        <v>9077.0200000000041</v>
      </c>
      <c r="V44" s="1818"/>
      <c r="W44" s="1814">
        <f t="shared" si="3"/>
        <v>7.7765399005784053E-2</v>
      </c>
      <c r="AB44" s="1814"/>
    </row>
    <row r="45" spans="1:28">
      <c r="A45" s="1815">
        <f>A44</f>
        <v>4000</v>
      </c>
      <c r="C45" s="1815">
        <f>C44</f>
        <v>2044000</v>
      </c>
      <c r="E45" s="1767">
        <f t="shared" si="23"/>
        <v>0.5</v>
      </c>
      <c r="F45" s="1767">
        <f>('Large Profile'!$M$7)/('Large Profile'!$E$7)*E45</f>
        <v>0.34582067740282146</v>
      </c>
      <c r="G45" s="1767">
        <f>('Large Profile'!$Q$7)/('Large Profile'!$I$7)*E45</f>
        <v>0.24981181503295513</v>
      </c>
      <c r="I45" s="1797">
        <f t="shared" si="19"/>
        <v>145983.18</v>
      </c>
      <c r="J45" s="1797"/>
      <c r="K45" s="1797">
        <f t="shared" si="20"/>
        <v>143383.07</v>
      </c>
      <c r="L45" s="1797"/>
      <c r="M45" s="1797">
        <f t="shared" si="0"/>
        <v>-2600.109999999986</v>
      </c>
      <c r="O45" s="1814">
        <f t="shared" si="1"/>
        <v>-1.7811024530360209E-2</v>
      </c>
      <c r="Q45" s="1797">
        <f t="shared" si="21"/>
        <v>115516.83</v>
      </c>
      <c r="R45" s="1797"/>
      <c r="S45" s="1797">
        <f t="shared" si="22"/>
        <v>123424.68</v>
      </c>
      <c r="T45" s="1797"/>
      <c r="U45" s="1797">
        <f t="shared" si="2"/>
        <v>7907.8499999999913</v>
      </c>
      <c r="V45" s="1818"/>
      <c r="W45" s="1814">
        <f t="shared" si="3"/>
        <v>6.8456258711392826E-2</v>
      </c>
      <c r="AB45" s="1814"/>
    </row>
    <row r="46" spans="1:28">
      <c r="A46" s="1815">
        <f>A45</f>
        <v>4000</v>
      </c>
      <c r="C46" s="1815">
        <f>C45</f>
        <v>2044000</v>
      </c>
      <c r="E46" s="1767">
        <f t="shared" si="23"/>
        <v>0.4</v>
      </c>
      <c r="F46" s="1767">
        <f>('Large Profile'!$M$7)/('Large Profile'!$E$7)*E46</f>
        <v>0.27665654192225719</v>
      </c>
      <c r="G46" s="1767">
        <f>('Large Profile'!$Q$7)/('Large Profile'!$I$7)*E46</f>
        <v>0.19984945202636412</v>
      </c>
      <c r="I46" s="1797">
        <f t="shared" si="19"/>
        <v>142361.38</v>
      </c>
      <c r="J46" s="1797"/>
      <c r="K46" s="1797">
        <f t="shared" si="20"/>
        <v>139667.17000000001</v>
      </c>
      <c r="L46" s="1797"/>
      <c r="M46" s="1797">
        <f t="shared" si="0"/>
        <v>-2694.2099999999919</v>
      </c>
      <c r="O46" s="1814">
        <f t="shared" si="1"/>
        <v>-1.8925146693576478E-2</v>
      </c>
      <c r="Q46" s="1797">
        <f t="shared" si="21"/>
        <v>114310.54</v>
      </c>
      <c r="R46" s="1797"/>
      <c r="S46" s="1797">
        <f t="shared" si="22"/>
        <v>121049.22</v>
      </c>
      <c r="T46" s="1797"/>
      <c r="U46" s="1797">
        <f t="shared" si="2"/>
        <v>6738.6800000000076</v>
      </c>
      <c r="V46" s="1818"/>
      <c r="W46" s="1814">
        <f t="shared" si="3"/>
        <v>5.8950644446260192E-2</v>
      </c>
      <c r="AB46" s="1814"/>
    </row>
    <row r="47" spans="1:28">
      <c r="A47" s="1815">
        <f>A44</f>
        <v>4000</v>
      </c>
      <c r="C47" s="1707">
        <f>A41*0.9*730</f>
        <v>2628000</v>
      </c>
      <c r="E47" s="1767">
        <f t="shared" si="23"/>
        <v>0.6</v>
      </c>
      <c r="F47" s="1767">
        <f>('Large Profile'!$M$7)/('Large Profile'!$E$7)*E47</f>
        <v>0.41498481288338573</v>
      </c>
      <c r="G47" s="1767">
        <f>('Large Profile'!$Q$7)/('Large Profile'!$I$7)*E47</f>
        <v>0.29977417803954615</v>
      </c>
      <c r="I47" s="1797">
        <f t="shared" si="19"/>
        <v>173288.67</v>
      </c>
      <c r="J47" s="1797"/>
      <c r="K47" s="1797">
        <f t="shared" si="20"/>
        <v>169336.4</v>
      </c>
      <c r="L47" s="1797"/>
      <c r="M47" s="1797">
        <f t="shared" si="0"/>
        <v>-3952.2700000000186</v>
      </c>
      <c r="O47" s="1814">
        <f t="shared" si="1"/>
        <v>-2.2807434554146133E-2</v>
      </c>
      <c r="Q47" s="1797">
        <f t="shared" si="21"/>
        <v>136265.93</v>
      </c>
      <c r="R47" s="1797"/>
      <c r="S47" s="1797">
        <f t="shared" si="22"/>
        <v>143914.23000000001</v>
      </c>
      <c r="T47" s="1797"/>
      <c r="U47" s="1797">
        <f t="shared" si="2"/>
        <v>7648.3000000000175</v>
      </c>
      <c r="V47" s="1818"/>
      <c r="W47" s="1814">
        <f t="shared" si="3"/>
        <v>5.6127749614302003E-2</v>
      </c>
      <c r="AB47" s="1814"/>
    </row>
    <row r="48" spans="1:28">
      <c r="A48" s="1815">
        <f>A45</f>
        <v>4000</v>
      </c>
      <c r="C48" s="1815">
        <f>C47</f>
        <v>2628000</v>
      </c>
      <c r="E48" s="1767">
        <f t="shared" si="23"/>
        <v>0.5</v>
      </c>
      <c r="F48" s="1767">
        <f>('Large Profile'!$M$7)/('Large Profile'!$E$7)*E48</f>
        <v>0.34582067740282146</v>
      </c>
      <c r="G48" s="1767">
        <f>('Large Profile'!$Q$7)/('Large Profile'!$I$7)*E48</f>
        <v>0.24981181503295513</v>
      </c>
      <c r="I48" s="1797">
        <f t="shared" si="19"/>
        <v>168632.07</v>
      </c>
      <c r="J48" s="1797"/>
      <c r="K48" s="1797">
        <f t="shared" si="20"/>
        <v>164558.82</v>
      </c>
      <c r="L48" s="1797"/>
      <c r="M48" s="1797">
        <f t="shared" si="0"/>
        <v>-4073.25</v>
      </c>
      <c r="O48" s="1814">
        <f t="shared" si="1"/>
        <v>-2.4154658126416928E-2</v>
      </c>
      <c r="Q48" s="1797">
        <f t="shared" si="21"/>
        <v>134714.99</v>
      </c>
      <c r="R48" s="1797"/>
      <c r="S48" s="1797">
        <f t="shared" si="22"/>
        <v>140860.07</v>
      </c>
      <c r="T48" s="1797"/>
      <c r="U48" s="1797">
        <f t="shared" si="2"/>
        <v>6145.0800000000163</v>
      </c>
      <c r="V48" s="1818"/>
      <c r="W48" s="1814">
        <f t="shared" si="3"/>
        <v>4.561541369672395E-2</v>
      </c>
      <c r="AB48" s="1814"/>
    </row>
    <row r="49" spans="1:28">
      <c r="A49" s="1815">
        <f>A46</f>
        <v>4000</v>
      </c>
      <c r="C49" s="1815">
        <f>C48</f>
        <v>2628000</v>
      </c>
      <c r="E49" s="1767">
        <f t="shared" si="23"/>
        <v>0.4</v>
      </c>
      <c r="F49" s="1767">
        <f>('Large Profile'!$M$7)/('Large Profile'!$E$7)*E49</f>
        <v>0.27665654192225719</v>
      </c>
      <c r="G49" s="1767">
        <f>('Large Profile'!$Q$7)/('Large Profile'!$I$7)*E49</f>
        <v>0.19984945202636412</v>
      </c>
      <c r="I49" s="1797">
        <f t="shared" si="19"/>
        <v>163975.47</v>
      </c>
      <c r="J49" s="1797"/>
      <c r="K49" s="1797">
        <f t="shared" si="20"/>
        <v>159781.24</v>
      </c>
      <c r="L49" s="1797"/>
      <c r="M49" s="1797">
        <f t="shared" si="0"/>
        <v>-4194.2300000000105</v>
      </c>
      <c r="O49" s="1814">
        <f t="shared" si="1"/>
        <v>-2.5578399012974429E-2</v>
      </c>
      <c r="Q49" s="1797">
        <f t="shared" si="21"/>
        <v>133164.04</v>
      </c>
      <c r="R49" s="1797"/>
      <c r="S49" s="1797">
        <f t="shared" si="22"/>
        <v>137805.91</v>
      </c>
      <c r="T49" s="1797"/>
      <c r="U49" s="1797">
        <f t="shared" si="2"/>
        <v>4641.8699999999953</v>
      </c>
      <c r="V49" s="1818"/>
      <c r="W49" s="1814">
        <f t="shared" si="3"/>
        <v>3.4858284563910713E-2</v>
      </c>
      <c r="AB49" s="1814"/>
    </row>
    <row r="50" spans="1:28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  <c r="AB50" s="1814"/>
    </row>
    <row r="51" spans="1:28">
      <c r="A51" s="1707">
        <v>6000</v>
      </c>
      <c r="C51" s="1707">
        <f>A51*0.5*730</f>
        <v>2190000</v>
      </c>
      <c r="E51" s="1767">
        <v>0.6</v>
      </c>
      <c r="F51" s="1767">
        <f>('Large Profile'!$M$7)/('Large Profile'!$E$7)*E51</f>
        <v>0.41498481288338573</v>
      </c>
      <c r="G51" s="1767">
        <f>('Large Profile'!$Q$7)/('Large Profile'!$I$7)*E51</f>
        <v>0.29977417803954615</v>
      </c>
      <c r="I51" s="1797">
        <f t="shared" ref="I51:I59" si="24">ROUND($Z$10+($Z$11*$A51+($Z$12*$A51+($Z$13*$E51+$Z$14*(1-$E51))/100*$C51)*(1+$Z$33))*(1+$Z$16)+($Z$12*$A51+($Z$13*$E51+$Z$14*(1-$E51))/100*$C51)*$Z$28+$Z$15,2)</f>
        <v>188727.44</v>
      </c>
      <c r="J51" s="1797"/>
      <c r="K51" s="1797">
        <f t="shared" ref="K51:K59" si="25">ROUND($AA$10+($AA$11*$A51+($AA$12*$A51+($AA$13*$F51+$AA$14*(1-$F51))/100*$C51)*(1+$AA$33))*(1+$AA$16)+($AA$12*$A51+($AA$13*$F51+$AA$14*(1-$F51))/100*$C51)*$AA$28+$AA$15,2)</f>
        <v>187134.79</v>
      </c>
      <c r="L51" s="1797"/>
      <c r="M51" s="1797">
        <f t="shared" si="0"/>
        <v>-1592.6499999999942</v>
      </c>
      <c r="O51" s="1814">
        <f t="shared" si="1"/>
        <v>-8.4388894375931889E-3</v>
      </c>
      <c r="Q51" s="1797">
        <f t="shared" ref="Q51:Q59" si="26">ROUND($Z$18+($Z$19*$A51+($Z$20*$A51+($Z$21*$E51+$Z$22*(1-$E51))/100*$C51)*(1+$Z$33))*(1+$Z$24)+($Z$20*$A51+($Z$21*$E51+$Z$22*(1-$E51))/100*$C51)*$Z$28+$Z$23,2)</f>
        <v>145615.95000000001</v>
      </c>
      <c r="R51" s="1797"/>
      <c r="S51" s="1797">
        <f t="shared" ref="S51:S58" si="27">ROUND($AA$18+($AA$19*$A51+($AA$20*$A51+($AA$21*$G51+$AA$22*(1-$G51))/100*$C51)*(1+$AA$33))*(1+$AA$24)+($AA$20*$A51+($AA$21*$G51+$AA$22*(1-$G51))/100*$C51)*$AA$28+$AA$23,2)</f>
        <v>161371.56</v>
      </c>
      <c r="T51" s="1797"/>
      <c r="U51" s="1797">
        <f t="shared" si="2"/>
        <v>15755.609999999986</v>
      </c>
      <c r="W51" s="1814">
        <f t="shared" si="3"/>
        <v>0.1081997542164852</v>
      </c>
      <c r="AB51" s="1814"/>
    </row>
    <row r="52" spans="1:28">
      <c r="A52" s="1815">
        <f>A51</f>
        <v>6000</v>
      </c>
      <c r="C52" s="1815">
        <f>C51</f>
        <v>2190000</v>
      </c>
      <c r="E52" s="1767">
        <v>0.5</v>
      </c>
      <c r="F52" s="1767">
        <f>('Large Profile'!$M$7)/('Large Profile'!$E$7)*E52</f>
        <v>0.34582067740282146</v>
      </c>
      <c r="G52" s="1767">
        <f>('Large Profile'!$Q$7)/('Large Profile'!$I$7)*E52</f>
        <v>0.24981181503295513</v>
      </c>
      <c r="I52" s="1797">
        <f t="shared" si="24"/>
        <v>184846.94</v>
      </c>
      <c r="J52" s="1797"/>
      <c r="K52" s="1797">
        <f t="shared" si="25"/>
        <v>183153.47</v>
      </c>
      <c r="L52" s="1797"/>
      <c r="M52" s="1797">
        <f t="shared" si="0"/>
        <v>-1693.4700000000012</v>
      </c>
      <c r="O52" s="1814">
        <f t="shared" si="1"/>
        <v>-9.1614716478400915E-3</v>
      </c>
      <c r="Q52" s="1797">
        <f t="shared" si="26"/>
        <v>144323.5</v>
      </c>
      <c r="R52" s="1797"/>
      <c r="S52" s="1797">
        <f t="shared" si="27"/>
        <v>158826.43</v>
      </c>
      <c r="T52" s="1797"/>
      <c r="U52" s="1797">
        <f t="shared" si="2"/>
        <v>14502.929999999993</v>
      </c>
      <c r="W52" s="1814">
        <f t="shared" si="3"/>
        <v>0.10048904024639094</v>
      </c>
      <c r="AB52" s="1814"/>
    </row>
    <row r="53" spans="1:28">
      <c r="A53" s="1815">
        <f>A52</f>
        <v>6000</v>
      </c>
      <c r="C53" s="1815">
        <f>C52</f>
        <v>2190000</v>
      </c>
      <c r="E53" s="1767">
        <v>0.4</v>
      </c>
      <c r="F53" s="1767">
        <f>('Large Profile'!$M$7)/('Large Profile'!$E$7)*E53</f>
        <v>0.27665654192225719</v>
      </c>
      <c r="G53" s="1767">
        <f>('Large Profile'!$Q$7)/('Large Profile'!$I$7)*E53</f>
        <v>0.19984945202636412</v>
      </c>
      <c r="I53" s="1797">
        <f t="shared" si="24"/>
        <v>180966.44</v>
      </c>
      <c r="J53" s="1797"/>
      <c r="K53" s="1797">
        <f t="shared" si="25"/>
        <v>179172.16</v>
      </c>
      <c r="L53" s="1797"/>
      <c r="M53" s="1797">
        <f t="shared" si="0"/>
        <v>-1794.2799999999988</v>
      </c>
      <c r="O53" s="1814">
        <f t="shared" si="1"/>
        <v>-9.914987552388177E-3</v>
      </c>
      <c r="Q53" s="1797">
        <f t="shared" si="26"/>
        <v>143031.04999999999</v>
      </c>
      <c r="R53" s="1797"/>
      <c r="S53" s="1797">
        <f t="shared" si="27"/>
        <v>156281.29</v>
      </c>
      <c r="T53" s="1797"/>
      <c r="U53" s="1797">
        <f t="shared" si="2"/>
        <v>13250.24000000002</v>
      </c>
      <c r="W53" s="1814">
        <f t="shared" si="3"/>
        <v>9.263890602774727E-2</v>
      </c>
      <c r="AB53" s="1814"/>
    </row>
    <row r="54" spans="1:28">
      <c r="A54" s="1815">
        <f>A53</f>
        <v>6000</v>
      </c>
      <c r="C54" s="1707">
        <f>A51*0.7*730</f>
        <v>3066000</v>
      </c>
      <c r="E54" s="1767">
        <f t="shared" ref="E54:E59" si="28">E51</f>
        <v>0.6</v>
      </c>
      <c r="F54" s="1767">
        <f>('Large Profile'!$M$7)/('Large Profile'!$E$7)*E54</f>
        <v>0.41498481288338573</v>
      </c>
      <c r="G54" s="1767">
        <f>('Large Profile'!$Q$7)/('Large Profile'!$I$7)*E54</f>
        <v>0.29977417803954615</v>
      </c>
      <c r="I54" s="1797">
        <f t="shared" si="24"/>
        <v>224252.97</v>
      </c>
      <c r="J54" s="1797"/>
      <c r="K54" s="1797">
        <f t="shared" si="25"/>
        <v>220490.95</v>
      </c>
      <c r="L54" s="1797"/>
      <c r="M54" s="1797">
        <f t="shared" si="0"/>
        <v>-3762.0199999999895</v>
      </c>
      <c r="O54" s="1814">
        <f t="shared" si="1"/>
        <v>-1.6775786737629361E-2</v>
      </c>
      <c r="Q54" s="1797">
        <f t="shared" si="26"/>
        <v>174930.18</v>
      </c>
      <c r="R54" s="1797"/>
      <c r="S54" s="1797">
        <f t="shared" si="27"/>
        <v>188542.7</v>
      </c>
      <c r="T54" s="1797"/>
      <c r="U54" s="1797">
        <f t="shared" si="2"/>
        <v>13612.520000000019</v>
      </c>
      <c r="W54" s="1814">
        <f t="shared" si="3"/>
        <v>7.7816875281326636E-2</v>
      </c>
      <c r="AB54" s="1814"/>
    </row>
    <row r="55" spans="1:28">
      <c r="A55" s="1815">
        <f>A54</f>
        <v>6000</v>
      </c>
      <c r="C55" s="1815">
        <f>C54</f>
        <v>3066000</v>
      </c>
      <c r="E55" s="1767">
        <f t="shared" si="28"/>
        <v>0.5</v>
      </c>
      <c r="F55" s="1767">
        <f>('Large Profile'!$M$7)/('Large Profile'!$E$7)*E55</f>
        <v>0.34582067740282146</v>
      </c>
      <c r="G55" s="1767">
        <f>('Large Profile'!$Q$7)/('Large Profile'!$I$7)*E55</f>
        <v>0.24981181503295513</v>
      </c>
      <c r="I55" s="1797">
        <f t="shared" si="24"/>
        <v>218820.27</v>
      </c>
      <c r="J55" s="1797"/>
      <c r="K55" s="1797">
        <f t="shared" si="25"/>
        <v>214917.1</v>
      </c>
      <c r="L55" s="1797"/>
      <c r="M55" s="1797">
        <f t="shared" si="0"/>
        <v>-3903.1699999999837</v>
      </c>
      <c r="O55" s="1814">
        <f t="shared" si="1"/>
        <v>-1.783733289425149E-2</v>
      </c>
      <c r="Q55" s="1797">
        <f t="shared" si="26"/>
        <v>173120.74</v>
      </c>
      <c r="R55" s="1797"/>
      <c r="S55" s="1797">
        <f t="shared" si="27"/>
        <v>184979.52</v>
      </c>
      <c r="T55" s="1797"/>
      <c r="U55" s="1797">
        <f t="shared" si="2"/>
        <v>11858.779999999999</v>
      </c>
      <c r="W55" s="1814">
        <f t="shared" si="3"/>
        <v>6.8500053777496461E-2</v>
      </c>
      <c r="AB55" s="1814"/>
    </row>
    <row r="56" spans="1:28">
      <c r="A56" s="1815">
        <f>A55</f>
        <v>6000</v>
      </c>
      <c r="C56" s="1815">
        <f>C55</f>
        <v>3066000</v>
      </c>
      <c r="E56" s="1767">
        <f t="shared" si="28"/>
        <v>0.4</v>
      </c>
      <c r="F56" s="1767">
        <f>('Large Profile'!$M$7)/('Large Profile'!$E$7)*E56</f>
        <v>0.27665654192225719</v>
      </c>
      <c r="G56" s="1767">
        <f>('Large Profile'!$Q$7)/('Large Profile'!$I$7)*E56</f>
        <v>0.19984945202636412</v>
      </c>
      <c r="I56" s="1797">
        <f t="shared" si="24"/>
        <v>213387.57</v>
      </c>
      <c r="J56" s="1797"/>
      <c r="K56" s="1797">
        <f t="shared" si="25"/>
        <v>209343.26</v>
      </c>
      <c r="L56" s="1797"/>
      <c r="M56" s="1797">
        <f t="shared" si="0"/>
        <v>-4044.3099999999977</v>
      </c>
      <c r="O56" s="1814">
        <f t="shared" si="1"/>
        <v>-1.8952884650216495E-2</v>
      </c>
      <c r="Q56" s="1797">
        <f t="shared" si="26"/>
        <v>171311.31</v>
      </c>
      <c r="R56" s="1797"/>
      <c r="S56" s="1797">
        <f t="shared" si="27"/>
        <v>181416.33</v>
      </c>
      <c r="T56" s="1797"/>
      <c r="U56" s="1797">
        <f t="shared" si="2"/>
        <v>10105.01999999999</v>
      </c>
      <c r="W56" s="1814">
        <f t="shared" si="3"/>
        <v>5.8986298102559509E-2</v>
      </c>
      <c r="AB56" s="1814"/>
    </row>
    <row r="57" spans="1:28">
      <c r="A57" s="1815">
        <f>A54</f>
        <v>6000</v>
      </c>
      <c r="C57" s="1707">
        <f>A51*0.9*730</f>
        <v>3942000</v>
      </c>
      <c r="E57" s="1767">
        <f t="shared" si="28"/>
        <v>0.6</v>
      </c>
      <c r="F57" s="1767">
        <f>('Large Profile'!$M$7)/('Large Profile'!$E$7)*E57</f>
        <v>0.41498481288338573</v>
      </c>
      <c r="G57" s="1767">
        <f>('Large Profile'!$Q$7)/('Large Profile'!$I$7)*E57</f>
        <v>0.29977417803954615</v>
      </c>
      <c r="I57" s="1797">
        <f t="shared" si="24"/>
        <v>259778.51</v>
      </c>
      <c r="J57" s="1797"/>
      <c r="K57" s="1797">
        <f t="shared" si="25"/>
        <v>253847.1</v>
      </c>
      <c r="L57" s="1797"/>
      <c r="M57" s="1797">
        <f t="shared" si="0"/>
        <v>-5931.4100000000035</v>
      </c>
      <c r="O57" s="1814">
        <f t="shared" si="1"/>
        <v>-2.2832566096402718E-2</v>
      </c>
      <c r="Q57" s="1797">
        <f t="shared" si="26"/>
        <v>204244.4</v>
      </c>
      <c r="R57" s="1797"/>
      <c r="S57" s="1797">
        <f t="shared" si="27"/>
        <v>215713.85</v>
      </c>
      <c r="T57" s="1797"/>
      <c r="U57" s="1797">
        <f t="shared" si="2"/>
        <v>11469.450000000012</v>
      </c>
      <c r="W57" s="1814">
        <f t="shared" si="3"/>
        <v>5.6155517605378735E-2</v>
      </c>
      <c r="AB57" s="1814"/>
    </row>
    <row r="58" spans="1:28">
      <c r="A58" s="1815">
        <f>A55</f>
        <v>6000</v>
      </c>
      <c r="C58" s="1815">
        <f>C57</f>
        <v>3942000</v>
      </c>
      <c r="E58" s="1767">
        <f t="shared" si="28"/>
        <v>0.5</v>
      </c>
      <c r="F58" s="1767">
        <f>('Large Profile'!$M$7)/('Large Profile'!$E$7)*E58</f>
        <v>0.34582067740282146</v>
      </c>
      <c r="G58" s="1767">
        <f>('Large Profile'!$Q$7)/('Large Profile'!$I$7)*E58</f>
        <v>0.24981181503295513</v>
      </c>
      <c r="I58" s="1797">
        <f t="shared" si="24"/>
        <v>252793.61</v>
      </c>
      <c r="J58" s="1797"/>
      <c r="K58" s="1797">
        <f t="shared" si="25"/>
        <v>246680.73</v>
      </c>
      <c r="L58" s="1797"/>
      <c r="M58" s="1797">
        <f t="shared" si="0"/>
        <v>-6112.8799999999756</v>
      </c>
      <c r="O58" s="1814">
        <f t="shared" si="1"/>
        <v>-2.4181307430990784E-2</v>
      </c>
      <c r="Q58" s="1797">
        <f t="shared" si="26"/>
        <v>201917.98</v>
      </c>
      <c r="R58" s="1797"/>
      <c r="S58" s="1797">
        <f t="shared" si="27"/>
        <v>211132.61</v>
      </c>
      <c r="T58" s="1797"/>
      <c r="U58" s="1797">
        <f t="shared" si="2"/>
        <v>9214.6299999999756</v>
      </c>
      <c r="W58" s="1814">
        <f t="shared" si="3"/>
        <v>4.563551002243571E-2</v>
      </c>
      <c r="AB58" s="1814"/>
    </row>
    <row r="59" spans="1:28">
      <c r="A59" s="1815">
        <f>A56</f>
        <v>6000</v>
      </c>
      <c r="C59" s="1815">
        <f>C58</f>
        <v>3942000</v>
      </c>
      <c r="E59" s="1767">
        <f t="shared" si="28"/>
        <v>0.4</v>
      </c>
      <c r="F59" s="1767">
        <f>('Large Profile'!$M$7)/('Large Profile'!$E$7)*E59</f>
        <v>0.27665654192225719</v>
      </c>
      <c r="G59" s="1767">
        <f>('Large Profile'!$Q$7)/('Large Profile'!$I$7)*E59</f>
        <v>0.19984945202636412</v>
      </c>
      <c r="I59" s="1797">
        <f t="shared" si="24"/>
        <v>245808.7</v>
      </c>
      <c r="J59" s="1797"/>
      <c r="K59" s="1797">
        <f t="shared" si="25"/>
        <v>239514.36</v>
      </c>
      <c r="L59" s="1797"/>
      <c r="M59" s="1797">
        <f t="shared" si="0"/>
        <v>-6294.3400000000256</v>
      </c>
      <c r="O59" s="1814">
        <f t="shared" si="1"/>
        <v>-2.5606660789467717E-2</v>
      </c>
      <c r="Q59" s="1797">
        <f t="shared" si="26"/>
        <v>199591.56</v>
      </c>
      <c r="R59" s="1797"/>
      <c r="S59" s="1797">
        <f>ROUND($AA$18+($AA$19*$A59+($AA$20*$A59+($AA$21*$G59+$AA$22*(1-$G59))/100*$C59)*(1+$AA$33))*(1+$AA$24)+($AA$20*$A59+($AA$21*$G59+$AA$22*(1-$G59))/100*$C59)*$AA$28+$AA$23,2)</f>
        <v>206551.37</v>
      </c>
      <c r="T59" s="1797"/>
      <c r="U59" s="1797">
        <f t="shared" si="2"/>
        <v>6959.8099999999977</v>
      </c>
      <c r="W59" s="1814">
        <f t="shared" si="3"/>
        <v>3.4870262049156775E-2</v>
      </c>
      <c r="AB59" s="1814"/>
    </row>
    <row r="60" spans="1:28">
      <c r="M60" s="1715"/>
      <c r="U60" s="1715"/>
    </row>
    <row r="61" spans="1:28" ht="15.75">
      <c r="A61" s="1770" t="s">
        <v>1723</v>
      </c>
      <c r="M61" s="1715"/>
      <c r="U61" s="1715"/>
    </row>
    <row r="62" spans="1:28" ht="15.75">
      <c r="A62" s="1770" t="s">
        <v>1698</v>
      </c>
      <c r="M62" s="1715"/>
      <c r="U62" s="1715"/>
    </row>
    <row r="63" spans="1:28" ht="15.75">
      <c r="A63" s="1770"/>
      <c r="M63" s="1715"/>
      <c r="U63" s="1715"/>
    </row>
    <row r="64" spans="1:28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6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.625" style="1707" bestFit="1" customWidth="1"/>
    <col min="2" max="2" width="2.125" style="1707" customWidth="1"/>
    <col min="3" max="3" width="4.75" style="1707" hidden="1" customWidth="1"/>
    <col min="4" max="4" width="8.25" style="1707" bestFit="1" customWidth="1"/>
    <col min="5" max="5" width="1.75" style="1704" customWidth="1"/>
    <col min="6" max="6" width="7.75" style="1708" bestFit="1" customWidth="1"/>
    <col min="7" max="7" width="1" style="1704" customWidth="1"/>
    <col min="8" max="8" width="9" style="1708" bestFit="1" customWidth="1"/>
    <col min="9" max="9" width="0.75" style="1704" customWidth="1"/>
    <col min="10" max="10" width="7.25" style="1704" bestFit="1" customWidth="1"/>
    <col min="11" max="11" width="1.125" style="1704" customWidth="1"/>
    <col min="12" max="12" width="6.125" style="1704" bestFit="1" customWidth="1"/>
    <col min="13" max="13" width="1.5" style="1704" customWidth="1"/>
    <col min="14" max="14" width="7.75" style="1708" bestFit="1" customWidth="1"/>
    <col min="15" max="15" width="0.625" style="1704" customWidth="1"/>
    <col min="16" max="16" width="7.75" style="1708" bestFit="1" customWidth="1"/>
    <col min="17" max="17" width="0.75" style="1704" customWidth="1"/>
    <col min="18" max="18" width="7.125" style="1704" bestFit="1" customWidth="1"/>
    <col min="19" max="19" width="0.625" style="1704" customWidth="1"/>
    <col min="20" max="20" width="6.125" style="1704" bestFit="1" customWidth="1"/>
    <col min="21" max="21" width="3.25" style="1704" customWidth="1"/>
    <col min="22" max="22" width="16" style="1704" bestFit="1" customWidth="1"/>
    <col min="23" max="23" width="8.25" style="1704" bestFit="1" customWidth="1"/>
    <col min="24" max="24" width="9.75" style="1704" bestFit="1" customWidth="1"/>
    <col min="25" max="16384" width="8" style="1704"/>
  </cols>
  <sheetData>
    <row r="1" spans="1:25" ht="16.5">
      <c r="A1" s="1697" t="s">
        <v>547</v>
      </c>
      <c r="B1" s="1697"/>
      <c r="C1" s="1697"/>
      <c r="D1" s="1697"/>
      <c r="E1" s="1698"/>
      <c r="F1" s="1699"/>
      <c r="G1" s="1698"/>
      <c r="H1" s="1699"/>
      <c r="I1" s="1698"/>
      <c r="J1" s="1698"/>
      <c r="K1" s="1698"/>
      <c r="L1" s="1698"/>
      <c r="M1" s="1698"/>
      <c r="N1" s="1699"/>
      <c r="O1" s="1698"/>
      <c r="P1" s="1699"/>
      <c r="Q1" s="1698"/>
      <c r="R1" s="1698"/>
      <c r="S1" s="1698"/>
      <c r="T1" s="1698"/>
    </row>
    <row r="2" spans="1:25" ht="16.5">
      <c r="A2" s="1697" t="s">
        <v>1672</v>
      </c>
      <c r="B2" s="1697"/>
      <c r="C2" s="1697"/>
      <c r="D2" s="1697"/>
      <c r="E2" s="1698"/>
      <c r="F2" s="1699"/>
      <c r="G2" s="1698"/>
      <c r="H2" s="1699"/>
      <c r="I2" s="1698"/>
      <c r="J2" s="1698"/>
      <c r="K2" s="1698"/>
      <c r="L2" s="1698"/>
      <c r="M2" s="1698"/>
      <c r="N2" s="1699"/>
      <c r="O2" s="1698"/>
      <c r="P2" s="1699"/>
      <c r="Q2" s="1698"/>
      <c r="R2" s="1698"/>
      <c r="S2" s="1698"/>
      <c r="T2" s="1698"/>
    </row>
    <row r="3" spans="1:25" ht="16.5">
      <c r="A3" s="1697" t="s">
        <v>1702</v>
      </c>
      <c r="B3" s="1697"/>
      <c r="C3" s="1697"/>
      <c r="D3" s="1697"/>
      <c r="E3" s="1698"/>
      <c r="F3" s="1699"/>
      <c r="G3" s="1698"/>
      <c r="H3" s="1699"/>
      <c r="I3" s="1698"/>
      <c r="J3" s="1698"/>
      <c r="K3" s="1698"/>
      <c r="L3" s="1698"/>
      <c r="M3" s="1698"/>
      <c r="N3" s="1699"/>
      <c r="O3" s="1698"/>
      <c r="P3" s="1699"/>
      <c r="Q3" s="1698"/>
      <c r="R3" s="1698"/>
      <c r="S3" s="1698"/>
      <c r="T3" s="1698"/>
    </row>
    <row r="4" spans="1:25" ht="16.5">
      <c r="A4" s="1697" t="s">
        <v>1703</v>
      </c>
      <c r="B4" s="1697"/>
      <c r="C4" s="1697"/>
      <c r="D4" s="1697"/>
      <c r="E4" s="1698"/>
      <c r="F4" s="1699"/>
      <c r="G4" s="1698"/>
      <c r="H4" s="1699"/>
      <c r="I4" s="1698"/>
      <c r="J4" s="1698"/>
      <c r="K4" s="1698"/>
      <c r="L4" s="1698"/>
      <c r="M4" s="1698"/>
      <c r="N4" s="1699"/>
      <c r="O4" s="1698"/>
      <c r="P4" s="1699"/>
      <c r="Q4" s="1698"/>
      <c r="R4" s="1698"/>
      <c r="S4" s="1698"/>
      <c r="T4" s="1698"/>
    </row>
    <row r="5" spans="1:25" ht="16.5">
      <c r="A5" s="1697" t="s">
        <v>2336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698"/>
      <c r="U5" s="2048"/>
      <c r="V5" s="1698"/>
      <c r="W5" s="1698"/>
    </row>
    <row r="6" spans="1:25" ht="17.25">
      <c r="A6" s="1787"/>
      <c r="B6" s="1701"/>
      <c r="C6" s="1701"/>
      <c r="D6" s="1701"/>
      <c r="E6" s="1701"/>
      <c r="F6" s="1774"/>
      <c r="G6" s="1788"/>
      <c r="H6" s="1774"/>
      <c r="I6" s="1788"/>
      <c r="J6" s="1788"/>
      <c r="K6" s="1788"/>
      <c r="L6" s="1788"/>
      <c r="M6" s="1701"/>
      <c r="N6" s="1774"/>
      <c r="O6" s="1788"/>
      <c r="P6" s="1774"/>
      <c r="Q6" s="1788"/>
      <c r="R6" s="1788"/>
      <c r="S6" s="1788"/>
      <c r="T6" s="1788"/>
    </row>
    <row r="7" spans="1:25">
      <c r="F7" s="1709"/>
      <c r="G7" s="1702"/>
      <c r="H7" s="1709"/>
      <c r="I7" s="1702"/>
      <c r="J7" s="1780"/>
      <c r="K7" s="1702"/>
      <c r="L7" s="1780"/>
      <c r="M7" s="1702"/>
      <c r="N7" s="1709"/>
      <c r="O7" s="1702"/>
      <c r="P7" s="1709"/>
      <c r="Q7" s="1702"/>
      <c r="R7" s="1780"/>
      <c r="S7" s="1702"/>
      <c r="T7" s="1780"/>
    </row>
    <row r="8" spans="1:25">
      <c r="F8" s="1710" t="s">
        <v>1704</v>
      </c>
      <c r="G8" s="1819"/>
      <c r="H8" s="1712"/>
      <c r="I8" s="1713"/>
      <c r="J8" s="1714"/>
      <c r="K8" s="1713"/>
      <c r="L8" s="1713"/>
      <c r="N8" s="1710" t="s">
        <v>1705</v>
      </c>
      <c r="O8" s="1819"/>
      <c r="P8" s="1712"/>
      <c r="Q8" s="1713"/>
      <c r="R8" s="1714"/>
      <c r="S8" s="1713"/>
      <c r="T8" s="1713"/>
      <c r="V8" s="1789" t="s">
        <v>204</v>
      </c>
      <c r="W8" s="1790" t="s">
        <v>216</v>
      </c>
      <c r="X8" s="1726" t="s">
        <v>2335</v>
      </c>
    </row>
    <row r="9" spans="1:25" ht="16.5">
      <c r="A9" s="1791" t="s">
        <v>1675</v>
      </c>
      <c r="F9" s="1712" t="s">
        <v>1676</v>
      </c>
      <c r="G9" s="1713"/>
      <c r="H9" s="1712"/>
      <c r="J9" s="1712" t="s">
        <v>197</v>
      </c>
      <c r="K9" s="1713"/>
      <c r="L9" s="1712"/>
      <c r="N9" s="1712" t="s">
        <v>1676</v>
      </c>
      <c r="O9" s="1713"/>
      <c r="P9" s="1712"/>
      <c r="R9" s="1712" t="s">
        <v>197</v>
      </c>
      <c r="S9" s="1713"/>
      <c r="T9" s="1712"/>
      <c r="V9" s="1811" t="s">
        <v>1706</v>
      </c>
      <c r="W9" s="1812"/>
      <c r="X9" s="1813"/>
      <c r="Y9" s="1709"/>
    </row>
    <row r="10" spans="1:25">
      <c r="A10" s="1820" t="s">
        <v>1677</v>
      </c>
      <c r="B10" s="1793"/>
      <c r="C10" s="1793"/>
      <c r="D10" s="1794" t="s">
        <v>111</v>
      </c>
      <c r="F10" s="1717" t="s">
        <v>216</v>
      </c>
      <c r="H10" s="1718" t="s">
        <v>2335</v>
      </c>
      <c r="J10" s="1719" t="s">
        <v>1399</v>
      </c>
      <c r="L10" s="1720" t="s">
        <v>465</v>
      </c>
      <c r="N10" s="1717" t="s">
        <v>216</v>
      </c>
      <c r="P10" s="1718" t="s">
        <v>2335</v>
      </c>
      <c r="R10" s="1719" t="s">
        <v>1399</v>
      </c>
      <c r="T10" s="1720" t="s">
        <v>465</v>
      </c>
      <c r="V10" s="1736" t="s">
        <v>1678</v>
      </c>
      <c r="W10" s="1795">
        <v>14</v>
      </c>
      <c r="X10" s="1796">
        <f>'Blocking-Step1'!Q1613</f>
        <v>14</v>
      </c>
      <c r="Y10" s="1795"/>
    </row>
    <row r="11" spans="1:25" ht="18.75" customHeight="1">
      <c r="A11" s="1821">
        <v>10</v>
      </c>
      <c r="B11" s="1821"/>
      <c r="C11" s="1822">
        <v>300</v>
      </c>
      <c r="D11" s="1822">
        <f>ROUND((A11*C11),0)</f>
        <v>3000</v>
      </c>
      <c r="F11" s="1797">
        <f>ROUND($W$10+($W$11*$A11+$W$13/100*MIN($D11,30000)+$W$14/100*MAX($D11-30000,0))*((1+$W$33)*(1+$W$16)+$W$28)+$W$15,2)</f>
        <v>309.94</v>
      </c>
      <c r="G11" s="1797"/>
      <c r="H11" s="1797">
        <f>ROUND($X$10+($X$11*$A11+$X$13/100*MIN($D11,30000)+$X$14/100*MAX($D11-30000,0))*((1+$X$33)*(1+$X$16)+$X$28)+$X$15,2)</f>
        <v>312.55</v>
      </c>
      <c r="I11" s="1797"/>
      <c r="J11" s="1797">
        <f>IF(H11="","",H11-F11)</f>
        <v>2.6100000000000136</v>
      </c>
      <c r="L11" s="1723">
        <f>IF(J11="","",H11/F11-1)</f>
        <v>8.4209847067173715E-3</v>
      </c>
      <c r="N11" s="1797">
        <f>ROUND($W$18+($W$19*$A11+$W$21/100*MIN($D11,30000)+$W$22/100*MAX($D11-30000,0))*((1+$W$33)*(1+$W$24)+$W$28)+$W$23,2)</f>
        <v>166.33</v>
      </c>
      <c r="O11" s="1797"/>
      <c r="P11" s="1797">
        <f>ROUND($X$18+($X$19*$A11+$X$21/100*MIN($D11,30000)+$X$22/100*MAX($D11-30000,0))*((1+$X$33)*(1+$X$24)+$X$28)+$X$23,2)</f>
        <v>167.99</v>
      </c>
      <c r="Q11" s="1797"/>
      <c r="R11" s="1797">
        <f t="shared" ref="R11:R33" si="0">IF(P11="","",P11-N11)</f>
        <v>1.6599999999999966</v>
      </c>
      <c r="T11" s="1723">
        <f t="shared" ref="T11:T33" si="1">IF(R11="","",P11/N11-1)</f>
        <v>9.9801599230444626E-3</v>
      </c>
      <c r="V11" s="1736" t="s">
        <v>1679</v>
      </c>
      <c r="W11" s="1795">
        <v>7.33</v>
      </c>
      <c r="X11" s="1796">
        <f>'Blocking-Step1'!Q1607</f>
        <v>7.2</v>
      </c>
      <c r="Y11" s="1795"/>
    </row>
    <row r="12" spans="1:25">
      <c r="A12" s="1823">
        <f>A11</f>
        <v>10</v>
      </c>
      <c r="B12" s="1821"/>
      <c r="C12" s="1822">
        <v>500</v>
      </c>
      <c r="D12" s="1822">
        <f>ROUND((A12*C12),0)</f>
        <v>5000</v>
      </c>
      <c r="F12" s="1797">
        <f t="shared" ref="F12:F13" si="2">ROUND($W$10+($W$11*$A12+$W$13/100*MIN($D12,30000)+$W$14/100*MAX($D12-30000,0))*((1+$W$33)*(1+$W$16)+$W$28)+$W$15,2)</f>
        <v>457.26</v>
      </c>
      <c r="G12" s="1797"/>
      <c r="H12" s="1797">
        <f t="shared" ref="H12:H13" si="3">ROUND($X$10+($X$11*$A12+$X$13/100*MIN($D12,30000)+$X$14/100*MAX($D12-30000,0))*((1+$X$33)*(1+$X$16)+$X$28)+$X$15,2)</f>
        <v>461.18</v>
      </c>
      <c r="I12" s="1797"/>
      <c r="J12" s="1797">
        <f>IF(H12="","",H12-F12)</f>
        <v>3.9200000000000159</v>
      </c>
      <c r="L12" s="1723">
        <f>IF(J12="","",H12/F12-1)</f>
        <v>8.5728032191751957E-3</v>
      </c>
      <c r="N12" s="1797">
        <f t="shared" ref="N12:N13" si="4">ROUND($W$18+($W$19*$A12+$W$21/100*MIN($D12,30000)+$W$22/100*MAX($D12-30000,0))*((1+$W$33)*(1+$W$24)+$W$28)+$W$23,2)</f>
        <v>267.24</v>
      </c>
      <c r="O12" s="1797"/>
      <c r="P12" s="1797">
        <f t="shared" ref="P12:P13" si="5">ROUND($X$18+($X$19*$A12+$X$21/100*MIN($D12,30000)+$X$22/100*MAX($D12-30000,0))*((1+$X$33)*(1+$X$24)+$X$28)+$X$23,2)</f>
        <v>270</v>
      </c>
      <c r="Q12" s="1797"/>
      <c r="R12" s="1797">
        <f t="shared" si="0"/>
        <v>2.7599999999999909</v>
      </c>
      <c r="T12" s="1723">
        <f t="shared" si="1"/>
        <v>1.0327795240233417E-2</v>
      </c>
      <c r="V12" s="1736" t="s">
        <v>1680</v>
      </c>
      <c r="W12" s="1795">
        <v>-2.0499999999999998</v>
      </c>
      <c r="X12" s="1796">
        <f>'Blocking-Step1'!Q1608</f>
        <v>-2.0499999999999998</v>
      </c>
      <c r="Y12" s="1795"/>
    </row>
    <row r="13" spans="1:25">
      <c r="A13" s="1823">
        <f>A11</f>
        <v>10</v>
      </c>
      <c r="B13" s="1821"/>
      <c r="C13" s="1822">
        <v>700</v>
      </c>
      <c r="D13" s="1822">
        <f>ROUND((A13*C13),0)</f>
        <v>7000</v>
      </c>
      <c r="F13" s="1797">
        <f t="shared" si="2"/>
        <v>604.58000000000004</v>
      </c>
      <c r="G13" s="1797"/>
      <c r="H13" s="1797">
        <f t="shared" si="3"/>
        <v>609.80999999999995</v>
      </c>
      <c r="I13" s="1797"/>
      <c r="J13" s="1797">
        <f>IF(H13="","",H13-F13)</f>
        <v>5.2299999999999045</v>
      </c>
      <c r="L13" s="1723">
        <f>IF(J13="","",H13/F13-1)</f>
        <v>8.6506334976346189E-3</v>
      </c>
      <c r="N13" s="1797">
        <f t="shared" si="4"/>
        <v>368.15</v>
      </c>
      <c r="O13" s="1797"/>
      <c r="P13" s="1797">
        <f t="shared" si="5"/>
        <v>372.02</v>
      </c>
      <c r="Q13" s="1797"/>
      <c r="R13" s="1797">
        <f t="shared" si="0"/>
        <v>3.8700000000000045</v>
      </c>
      <c r="T13" s="1723">
        <f t="shared" si="1"/>
        <v>1.0512019557245678E-2</v>
      </c>
      <c r="V13" s="1736" t="s">
        <v>1707</v>
      </c>
      <c r="W13" s="1799">
        <v>7.2971000000000004</v>
      </c>
      <c r="X13" s="1800">
        <f>'Blocking-Step1'!Q1609</f>
        <v>7.168811526681</v>
      </c>
      <c r="Y13" s="1801"/>
    </row>
    <row r="14" spans="1:25">
      <c r="F14" s="1797"/>
      <c r="G14" s="1797"/>
      <c r="H14" s="1797"/>
      <c r="I14" s="1797"/>
      <c r="J14" s="1797"/>
      <c r="L14" s="1723"/>
      <c r="N14" s="1797"/>
      <c r="O14" s="1797"/>
      <c r="P14" s="1797"/>
      <c r="Q14" s="1797"/>
      <c r="R14" s="1797" t="str">
        <f t="shared" si="0"/>
        <v/>
      </c>
      <c r="T14" s="1723" t="str">
        <f t="shared" si="1"/>
        <v/>
      </c>
      <c r="V14" s="1736" t="s">
        <v>1708</v>
      </c>
      <c r="W14" s="1799">
        <v>5.3936000000000002</v>
      </c>
      <c r="X14" s="1800">
        <f>'Blocking-Step1'!Q1610</f>
        <v>5.2987764797389998</v>
      </c>
      <c r="Y14" s="1801"/>
    </row>
    <row r="15" spans="1:25">
      <c r="A15" s="1821">
        <v>20</v>
      </c>
      <c r="B15" s="1821"/>
      <c r="C15" s="1822">
        <v>300</v>
      </c>
      <c r="D15" s="1822">
        <f>ROUND((A15*C15),0)</f>
        <v>6000</v>
      </c>
      <c r="F15" s="1797">
        <f t="shared" ref="F15:F17" si="6">ROUND($W$10+($W$11*$A15+$W$13/100*MIN($D15,30000)+$W$14/100*MAX($D15-30000,0))*((1+$W$33)*(1+$W$16)+$W$28)+$W$15,2)</f>
        <v>604.91</v>
      </c>
      <c r="G15" s="1797"/>
      <c r="H15" s="1797">
        <f t="shared" ref="H15:H17" si="7">ROUND($X$10+($X$11*$A15+$X$13/100*MIN($D15,30000)+$X$14/100*MAX($D15-30000,0))*((1+$X$33)*(1+$X$16)+$X$28)+$X$15,2)</f>
        <v>610.13</v>
      </c>
      <c r="I15" s="1797"/>
      <c r="J15" s="1797">
        <f>IF(H15="","",H15-F15)</f>
        <v>5.2200000000000273</v>
      </c>
      <c r="L15" s="1723">
        <f>IF(J15="","",H15/F15-1)</f>
        <v>8.6293828834040909E-3</v>
      </c>
      <c r="N15" s="1797">
        <f t="shared" ref="N15:N17" si="8">ROUND($W$18+($W$19*$A15+$W$21/100*MIN($D15,30000)+$W$22/100*MAX($D15-30000,0))*((1+$W$33)*(1+$W$24)+$W$28)+$W$23,2)</f>
        <v>317.7</v>
      </c>
      <c r="O15" s="1797"/>
      <c r="P15" s="1797">
        <f t="shared" ref="P15:P17" si="9">ROUND($X$18+($X$19*$A15+$X$21/100*MIN($D15,30000)+$X$22/100*MAX($D15-30000,0))*((1+$X$33)*(1+$X$24)+$X$28)+$X$23,2)</f>
        <v>321.01</v>
      </c>
      <c r="Q15" s="1797"/>
      <c r="R15" s="1797">
        <f t="shared" si="0"/>
        <v>3.3100000000000023</v>
      </c>
      <c r="T15" s="1723">
        <f t="shared" si="1"/>
        <v>1.0418633931381871E-2</v>
      </c>
      <c r="V15" s="1736" t="s">
        <v>1683</v>
      </c>
      <c r="W15" s="1795">
        <v>0.97</v>
      </c>
      <c r="X15" s="1802">
        <f>W15</f>
        <v>0.97</v>
      </c>
      <c r="Y15" s="1795"/>
    </row>
    <row r="16" spans="1:25">
      <c r="A16" s="1823">
        <f>A15</f>
        <v>20</v>
      </c>
      <c r="B16" s="1821"/>
      <c r="C16" s="1822">
        <v>500</v>
      </c>
      <c r="D16" s="1822">
        <f>ROUND((A16*C16),0)</f>
        <v>10000</v>
      </c>
      <c r="F16" s="1797">
        <f t="shared" si="6"/>
        <v>899.55</v>
      </c>
      <c r="G16" s="1797"/>
      <c r="H16" s="1797">
        <f t="shared" si="7"/>
        <v>907.39</v>
      </c>
      <c r="I16" s="1797"/>
      <c r="J16" s="1797">
        <f>IF(H16="","",H16-F16)</f>
        <v>7.8400000000000318</v>
      </c>
      <c r="L16" s="1723">
        <f>IF(J16="","",H16/F16-1)</f>
        <v>8.7154688455339802E-3</v>
      </c>
      <c r="N16" s="1797">
        <f t="shared" si="8"/>
        <v>519.51</v>
      </c>
      <c r="O16" s="1797"/>
      <c r="P16" s="1797">
        <f t="shared" si="9"/>
        <v>525.04</v>
      </c>
      <c r="Q16" s="1797"/>
      <c r="R16" s="1797">
        <f t="shared" si="0"/>
        <v>5.5299999999999727</v>
      </c>
      <c r="T16" s="1723">
        <f t="shared" si="1"/>
        <v>1.0644645916344286E-2</v>
      </c>
      <c r="V16" s="1736" t="s">
        <v>1718</v>
      </c>
      <c r="W16" s="1803">
        <f>W29+W30</f>
        <v>4.0400000000000005E-2</v>
      </c>
      <c r="X16" s="1804">
        <f>W16</f>
        <v>4.0400000000000005E-2</v>
      </c>
      <c r="Y16" s="1803"/>
    </row>
    <row r="17" spans="1:25" ht="13.5">
      <c r="A17" s="1823">
        <f>A15</f>
        <v>20</v>
      </c>
      <c r="B17" s="1821"/>
      <c r="C17" s="1822">
        <v>700</v>
      </c>
      <c r="D17" s="1822">
        <f>ROUND((A17*C17),0)</f>
        <v>14000</v>
      </c>
      <c r="F17" s="1797">
        <f t="shared" si="6"/>
        <v>1194.18</v>
      </c>
      <c r="G17" s="1797"/>
      <c r="H17" s="1797">
        <f t="shared" si="7"/>
        <v>1204.6400000000001</v>
      </c>
      <c r="I17" s="1797"/>
      <c r="J17" s="1797">
        <f>IF(H17="","",H17-F17)</f>
        <v>10.460000000000036</v>
      </c>
      <c r="L17" s="1723">
        <f>IF(J17="","",H17/F17-1)</f>
        <v>8.7591485370714928E-3</v>
      </c>
      <c r="N17" s="1797">
        <f t="shared" si="8"/>
        <v>721.33</v>
      </c>
      <c r="O17" s="1797"/>
      <c r="P17" s="1797">
        <f t="shared" si="9"/>
        <v>729.06</v>
      </c>
      <c r="Q17" s="1797"/>
      <c r="R17" s="1797">
        <f t="shared" si="0"/>
        <v>7.7299999999999045</v>
      </c>
      <c r="T17" s="1723">
        <f t="shared" si="1"/>
        <v>1.0716315694619505E-2</v>
      </c>
      <c r="V17" s="1792" t="s">
        <v>1709</v>
      </c>
      <c r="W17" s="1702"/>
      <c r="X17" s="1732"/>
      <c r="Y17" s="1702"/>
    </row>
    <row r="18" spans="1:25">
      <c r="F18" s="1797"/>
      <c r="G18" s="1797"/>
      <c r="H18" s="1797"/>
      <c r="I18" s="1797"/>
      <c r="J18" s="1797"/>
      <c r="L18" s="1723"/>
      <c r="N18" s="1797"/>
      <c r="O18" s="1797"/>
      <c r="P18" s="1797"/>
      <c r="Q18" s="1797"/>
      <c r="R18" s="1797" t="str">
        <f t="shared" si="0"/>
        <v/>
      </c>
      <c r="T18" s="1723" t="str">
        <f t="shared" si="1"/>
        <v/>
      </c>
      <c r="V18" s="1736" t="s">
        <v>1678</v>
      </c>
      <c r="W18" s="1773">
        <f>W10</f>
        <v>14</v>
      </c>
      <c r="X18" s="1805">
        <f>X10</f>
        <v>14</v>
      </c>
      <c r="Y18" s="1773"/>
    </row>
    <row r="19" spans="1:25">
      <c r="A19" s="1821">
        <v>50</v>
      </c>
      <c r="B19" s="1821"/>
      <c r="C19" s="1822">
        <v>300</v>
      </c>
      <c r="D19" s="1822">
        <f>ROUND((A19*C19),0)</f>
        <v>15000</v>
      </c>
      <c r="F19" s="1797">
        <f t="shared" ref="F19:F21" si="10">ROUND($W$10+($W$11*$A19+$W$13/100*MIN($D19,30000)+$W$14/100*MAX($D19-30000,0))*((1+$W$33)*(1+$W$16)+$W$28)+$W$15,2)</f>
        <v>1489.82</v>
      </c>
      <c r="G19" s="1797"/>
      <c r="H19" s="1797">
        <f t="shared" ref="H19:H21" si="11">ROUND($X$10+($X$11*$A19+$X$13/100*MIN($D19,30000)+$X$14/100*MAX($D19-30000,0))*((1+$X$33)*(1+$X$16)+$X$28)+$X$15,2)</f>
        <v>1502.87</v>
      </c>
      <c r="I19" s="1797"/>
      <c r="J19" s="1797">
        <f>IF(H19="","",H19-F19)</f>
        <v>13.049999999999955</v>
      </c>
      <c r="L19" s="1723">
        <f>IF(J19="","",H19/F19-1)</f>
        <v>8.7594474500274355E-3</v>
      </c>
      <c r="N19" s="1797">
        <f t="shared" ref="N19:N21" si="12">ROUND($W$18+($W$19*$A19+$W$21/100*MIN($D19,30000)+$W$22/100*MAX($D19-30000,0))*((1+$W$33)*(1+$W$24)+$W$28)+$W$23,2)</f>
        <v>771.79</v>
      </c>
      <c r="O19" s="1797"/>
      <c r="P19" s="1797">
        <f t="shared" ref="P19:P21" si="13">ROUND($X$18+($X$19*$A19+$X$21/100*MIN($D19,30000)+$X$22/100*MAX($D19-30000,0))*((1+$X$33)*(1+$X$24)+$X$28)+$X$23,2)</f>
        <v>780.07</v>
      </c>
      <c r="Q19" s="1797"/>
      <c r="R19" s="1797">
        <f t="shared" si="0"/>
        <v>8.2800000000000864</v>
      </c>
      <c r="T19" s="1723">
        <f t="shared" si="1"/>
        <v>1.0728306922867636E-2</v>
      </c>
      <c r="V19" s="1736" t="s">
        <v>1679</v>
      </c>
      <c r="W19" s="1795">
        <v>0</v>
      </c>
      <c r="X19" s="1796">
        <v>0</v>
      </c>
      <c r="Y19" s="1795"/>
    </row>
    <row r="20" spans="1:25">
      <c r="A20" s="1823">
        <f>A19</f>
        <v>50</v>
      </c>
      <c r="B20" s="1821"/>
      <c r="C20" s="1822">
        <v>500</v>
      </c>
      <c r="D20" s="1822">
        <f>ROUND((A20*C20),0)</f>
        <v>25000</v>
      </c>
      <c r="F20" s="1797">
        <f t="shared" si="10"/>
        <v>2226.41</v>
      </c>
      <c r="G20" s="1797"/>
      <c r="H20" s="1797">
        <f t="shared" si="11"/>
        <v>2246.0100000000002</v>
      </c>
      <c r="I20" s="1797"/>
      <c r="J20" s="1797">
        <f>IF(H20="","",H20-F20)</f>
        <v>19.600000000000364</v>
      </c>
      <c r="L20" s="1723">
        <f>IF(J20="","",H20/F20-1)</f>
        <v>8.8034099739042748E-3</v>
      </c>
      <c r="N20" s="1797">
        <f t="shared" si="12"/>
        <v>1276.33</v>
      </c>
      <c r="O20" s="1797"/>
      <c r="P20" s="1797">
        <f t="shared" si="13"/>
        <v>1290.1400000000001</v>
      </c>
      <c r="Q20" s="1797"/>
      <c r="R20" s="1797">
        <f t="shared" si="0"/>
        <v>13.810000000000173</v>
      </c>
      <c r="T20" s="1723">
        <f t="shared" si="1"/>
        <v>1.0820085714509764E-2</v>
      </c>
      <c r="V20" s="1736" t="s">
        <v>1680</v>
      </c>
      <c r="W20" s="1795">
        <v>0</v>
      </c>
      <c r="X20" s="1796">
        <v>0</v>
      </c>
      <c r="Y20" s="1795"/>
    </row>
    <row r="21" spans="1:25">
      <c r="A21" s="1823">
        <f>A19</f>
        <v>50</v>
      </c>
      <c r="B21" s="1821"/>
      <c r="C21" s="1822">
        <v>700</v>
      </c>
      <c r="D21" s="1822">
        <f>ROUND((A21*C21),0)</f>
        <v>35000</v>
      </c>
      <c r="F21" s="1797">
        <f t="shared" si="10"/>
        <v>2866.93</v>
      </c>
      <c r="G21" s="1797"/>
      <c r="H21" s="1797">
        <f t="shared" si="11"/>
        <v>2892.23</v>
      </c>
      <c r="I21" s="1797"/>
      <c r="J21" s="1797">
        <f>IF(H21="","",H21-F21)</f>
        <v>25.300000000000182</v>
      </c>
      <c r="L21" s="1723">
        <f>IF(J21="","",H21/F21-1)</f>
        <v>8.8247707478035231E-3</v>
      </c>
      <c r="N21" s="1797">
        <f t="shared" si="12"/>
        <v>1780.88</v>
      </c>
      <c r="O21" s="1797"/>
      <c r="P21" s="1797">
        <f t="shared" si="13"/>
        <v>1800.2</v>
      </c>
      <c r="Q21" s="1797"/>
      <c r="R21" s="1797">
        <f t="shared" si="0"/>
        <v>19.319999999999936</v>
      </c>
      <c r="T21" s="1723">
        <f t="shared" si="1"/>
        <v>1.0848569246664441E-2</v>
      </c>
      <c r="V21" s="1736" t="s">
        <v>1707</v>
      </c>
      <c r="W21" s="1799">
        <v>4.9983000000000004</v>
      </c>
      <c r="X21" s="1800">
        <f>'Blocking-Step1'!Q1614</f>
        <v>4.9204197701460002</v>
      </c>
      <c r="Y21" s="1801"/>
    </row>
    <row r="22" spans="1:25">
      <c r="F22" s="1797"/>
      <c r="G22" s="1797"/>
      <c r="H22" s="1797"/>
      <c r="I22" s="1797"/>
      <c r="J22" s="1797"/>
      <c r="L22" s="1723"/>
      <c r="N22" s="1797"/>
      <c r="O22" s="1797"/>
      <c r="P22" s="1797"/>
      <c r="Q22" s="1797"/>
      <c r="R22" s="1797" t="str">
        <f t="shared" si="0"/>
        <v/>
      </c>
      <c r="T22" s="1723" t="str">
        <f t="shared" si="1"/>
        <v/>
      </c>
      <c r="V22" s="1736" t="s">
        <v>1708</v>
      </c>
      <c r="W22" s="1824">
        <f>W21</f>
        <v>4.9983000000000004</v>
      </c>
      <c r="X22" s="1825">
        <f>X21</f>
        <v>4.9204197701460002</v>
      </c>
      <c r="Y22" s="1826"/>
    </row>
    <row r="23" spans="1:25">
      <c r="A23" s="1821">
        <v>100</v>
      </c>
      <c r="B23" s="1821"/>
      <c r="C23" s="1822">
        <v>300</v>
      </c>
      <c r="D23" s="1822">
        <f>ROUND((A23*C23),0)</f>
        <v>30000</v>
      </c>
      <c r="F23" s="1797">
        <f t="shared" ref="F23:F25" si="14">ROUND($W$10+($W$11*$A23+$W$13/100*MIN($D23,30000)+$W$14/100*MAX($D23-30000,0))*((1+$W$33)*(1+$W$16)+$W$28)+$W$15,2)</f>
        <v>2964.66</v>
      </c>
      <c r="G23" s="1797"/>
      <c r="H23" s="1797">
        <f t="shared" ref="H23:H25" si="15">ROUND($X$10+($X$11*$A23+$X$13/100*MIN($D23,30000)+$X$14/100*MAX($D23-30000,0))*((1+$X$33)*(1+$X$16)+$X$28)+$X$15,2)</f>
        <v>2990.77</v>
      </c>
      <c r="I23" s="1797"/>
      <c r="J23" s="1797">
        <f>IF(H23="","",H23-F23)</f>
        <v>26.110000000000127</v>
      </c>
      <c r="L23" s="1723">
        <f>IF(J23="","",H23/F23-1)</f>
        <v>8.8070807445035371E-3</v>
      </c>
      <c r="N23" s="1797">
        <f t="shared" ref="N23:N25" si="16">ROUND($W$18+($W$19*$A23+$W$21/100*MIN($D23,30000)+$W$22/100*MAX($D23-30000,0))*((1+$W$33)*(1+$W$24)+$W$28)+$W$23,2)</f>
        <v>1528.6</v>
      </c>
      <c r="O23" s="1797"/>
      <c r="P23" s="1797">
        <f t="shared" ref="P23:P25" si="17">ROUND($X$18+($X$19*$A23+$X$21/100*MIN($D23,30000)+$X$22/100*MAX($D23-30000,0))*((1+$X$33)*(1+$X$24)+$X$28)+$X$23,2)</f>
        <v>1545.17</v>
      </c>
      <c r="Q23" s="1797"/>
      <c r="R23" s="1797">
        <f t="shared" si="0"/>
        <v>16.570000000000164</v>
      </c>
      <c r="T23" s="1723">
        <f t="shared" si="1"/>
        <v>1.0839984299358951E-2</v>
      </c>
      <c r="V23" s="1736" t="s">
        <v>1683</v>
      </c>
      <c r="W23" s="1773">
        <f>W15</f>
        <v>0.97</v>
      </c>
      <c r="X23" s="1805">
        <f>X15</f>
        <v>0.97</v>
      </c>
      <c r="Y23" s="1773"/>
    </row>
    <row r="24" spans="1:25">
      <c r="A24" s="1823">
        <f>A23</f>
        <v>100</v>
      </c>
      <c r="B24" s="1821"/>
      <c r="C24" s="1822">
        <v>500</v>
      </c>
      <c r="D24" s="1822">
        <f>ROUND((A24*C24),0)</f>
        <v>50000</v>
      </c>
      <c r="F24" s="1797">
        <f t="shared" si="14"/>
        <v>4053.56</v>
      </c>
      <c r="G24" s="1797"/>
      <c r="H24" s="1797">
        <f t="shared" si="15"/>
        <v>4089.35</v>
      </c>
      <c r="I24" s="1797"/>
      <c r="J24" s="1797">
        <f>IF(H24="","",H24-F24)</f>
        <v>35.789999999999964</v>
      </c>
      <c r="L24" s="1723">
        <f>IF(J24="","",H24/F24-1)</f>
        <v>8.8292759944346155E-3</v>
      </c>
      <c r="N24" s="1797">
        <f t="shared" si="16"/>
        <v>2537.69</v>
      </c>
      <c r="O24" s="1797"/>
      <c r="P24" s="1797">
        <f t="shared" si="17"/>
        <v>2565.3000000000002</v>
      </c>
      <c r="Q24" s="1797"/>
      <c r="R24" s="1797">
        <f t="shared" si="0"/>
        <v>27.610000000000127</v>
      </c>
      <c r="T24" s="1723">
        <f t="shared" si="1"/>
        <v>1.0879973519224206E-2</v>
      </c>
      <c r="V24" s="1759" t="s">
        <v>1718</v>
      </c>
      <c r="W24" s="1768">
        <f>W16</f>
        <v>4.0400000000000005E-2</v>
      </c>
      <c r="X24" s="1769">
        <f>X16</f>
        <v>4.0400000000000005E-2</v>
      </c>
      <c r="Y24" s="1752"/>
    </row>
    <row r="25" spans="1:25">
      <c r="A25" s="1823">
        <f>A23</f>
        <v>100</v>
      </c>
      <c r="B25" s="1821"/>
      <c r="C25" s="1822">
        <v>700</v>
      </c>
      <c r="D25" s="1822">
        <f>ROUND((A25*C25),0)</f>
        <v>70000</v>
      </c>
      <c r="F25" s="1797">
        <f t="shared" si="14"/>
        <v>5142.45</v>
      </c>
      <c r="G25" s="1797"/>
      <c r="H25" s="1797">
        <f t="shared" si="15"/>
        <v>5187.92</v>
      </c>
      <c r="I25" s="1797"/>
      <c r="J25" s="1797">
        <f>IF(H25="","",H25-F25)</f>
        <v>45.470000000000255</v>
      </c>
      <c r="L25" s="1723">
        <f>IF(J25="","",H25/F25-1)</f>
        <v>8.8420888875926362E-3</v>
      </c>
      <c r="N25" s="1797">
        <f t="shared" si="16"/>
        <v>3546.78</v>
      </c>
      <c r="O25" s="1797"/>
      <c r="P25" s="1797">
        <f t="shared" si="17"/>
        <v>3585.44</v>
      </c>
      <c r="Q25" s="1797"/>
      <c r="R25" s="1797">
        <f t="shared" si="0"/>
        <v>38.659999999999854</v>
      </c>
      <c r="T25" s="1723">
        <f t="shared" si="1"/>
        <v>1.0900027630695863E-2</v>
      </c>
      <c r="Y25" s="1814"/>
    </row>
    <row r="26" spans="1:25">
      <c r="F26" s="1797"/>
      <c r="G26" s="1797"/>
      <c r="H26" s="1797"/>
      <c r="I26" s="1797"/>
      <c r="J26" s="1797"/>
      <c r="L26" s="1723"/>
      <c r="N26" s="1797"/>
      <c r="O26" s="1797"/>
      <c r="P26" s="1797"/>
      <c r="Q26" s="1797"/>
      <c r="R26" s="1797" t="str">
        <f t="shared" si="0"/>
        <v/>
      </c>
      <c r="T26" s="1723" t="str">
        <f t="shared" si="1"/>
        <v/>
      </c>
      <c r="X26" s="1808"/>
      <c r="Y26" s="1814"/>
    </row>
    <row r="27" spans="1:25">
      <c r="A27" s="1821">
        <v>200</v>
      </c>
      <c r="B27" s="1821"/>
      <c r="C27" s="1822">
        <v>300</v>
      </c>
      <c r="D27" s="1822">
        <f>ROUND((A27*C27),0)</f>
        <v>60000</v>
      </c>
      <c r="F27" s="1797">
        <f t="shared" ref="F27:F29" si="18">ROUND($W$10+($W$11*$A27+$W$13/100*MIN($D27,30000)+$W$14/100*MAX($D27-30000,0))*((1+$W$33)*(1+$W$16)+$W$28)+$W$15,2)</f>
        <v>5337.92</v>
      </c>
      <c r="G27" s="1797"/>
      <c r="H27" s="1797">
        <f t="shared" ref="H27:H29" si="19">ROUND($X$10+($X$11*$A27+$X$13/100*MIN($D27,30000)+$X$14/100*MAX($D27-30000,0))*((1+$X$33)*(1+$X$16)+$X$28)+$X$15,2)</f>
        <v>5385.01</v>
      </c>
      <c r="I27" s="1797"/>
      <c r="J27" s="1797">
        <f>IF(H27="","",H27-F27)</f>
        <v>47.090000000000146</v>
      </c>
      <c r="L27" s="1723">
        <f>IF(J27="","",H27/F27-1)</f>
        <v>8.8217882620946764E-3</v>
      </c>
      <c r="N27" s="1797">
        <f t="shared" ref="N27:N29" si="20">ROUND($W$18+($W$19*$A27+$W$21/100*MIN($D27,30000)+$W$22/100*MAX($D27-30000,0))*((1+$W$33)*(1+$W$24)+$W$28)+$W$23,2)</f>
        <v>3042.24</v>
      </c>
      <c r="O27" s="1797"/>
      <c r="P27" s="1797">
        <f t="shared" ref="P27:P29" si="21">ROUND($X$18+($X$19*$A27+$X$21/100*MIN($D27,30000)+$X$22/100*MAX($D27-30000,0))*((1+$X$33)*(1+$X$24)+$X$28)+$X$23,2)</f>
        <v>3075.37</v>
      </c>
      <c r="Q27" s="1797"/>
      <c r="R27" s="1797">
        <f t="shared" si="0"/>
        <v>33.130000000000109</v>
      </c>
      <c r="T27" s="1723">
        <f t="shared" si="1"/>
        <v>1.0890002103713048E-2</v>
      </c>
      <c r="V27" s="1704" t="s">
        <v>1684</v>
      </c>
      <c r="W27" s="1799">
        <v>0</v>
      </c>
      <c r="X27" s="1799">
        <v>0</v>
      </c>
      <c r="Y27" s="1814"/>
    </row>
    <row r="28" spans="1:25">
      <c r="A28" s="1823">
        <f>A27</f>
        <v>200</v>
      </c>
      <c r="B28" s="1821"/>
      <c r="C28" s="1822">
        <v>500</v>
      </c>
      <c r="D28" s="1822">
        <f>ROUND((A28*C28),0)</f>
        <v>100000</v>
      </c>
      <c r="F28" s="1797">
        <f t="shared" si="18"/>
        <v>7515.71</v>
      </c>
      <c r="G28" s="1797"/>
      <c r="H28" s="1797">
        <f t="shared" si="19"/>
        <v>7582.16</v>
      </c>
      <c r="I28" s="1797"/>
      <c r="J28" s="1797">
        <f>IF(H28="","",H28-F28)</f>
        <v>66.449999999999818</v>
      </c>
      <c r="L28" s="1723">
        <f>IF(J28="","",H28/F28-1)</f>
        <v>8.8414800464626797E-3</v>
      </c>
      <c r="N28" s="1797">
        <f t="shared" si="20"/>
        <v>5060.42</v>
      </c>
      <c r="O28" s="1797"/>
      <c r="P28" s="1797">
        <f t="shared" si="21"/>
        <v>5115.6400000000003</v>
      </c>
      <c r="Q28" s="1797"/>
      <c r="R28" s="1797">
        <f t="shared" si="0"/>
        <v>55.220000000000255</v>
      </c>
      <c r="T28" s="1723">
        <f t="shared" si="1"/>
        <v>1.0912137727698612E-2</v>
      </c>
      <c r="V28" s="1702" t="s">
        <v>1720</v>
      </c>
      <c r="W28" s="1765">
        <v>-4.2099999999999999E-2</v>
      </c>
      <c r="X28" s="1808">
        <f>'Blocking-Step1'!Q1617</f>
        <v>-1.49E-2</v>
      </c>
      <c r="Y28" s="1808"/>
    </row>
    <row r="29" spans="1:25">
      <c r="A29" s="1823">
        <f>A27</f>
        <v>200</v>
      </c>
      <c r="B29" s="1821"/>
      <c r="C29" s="1822">
        <v>700</v>
      </c>
      <c r="D29" s="1822">
        <f>ROUND((A29*C29),0)</f>
        <v>140000</v>
      </c>
      <c r="F29" s="1797">
        <f t="shared" si="18"/>
        <v>9693.5</v>
      </c>
      <c r="G29" s="1797"/>
      <c r="H29" s="1797">
        <f t="shared" si="19"/>
        <v>9779.32</v>
      </c>
      <c r="I29" s="1797"/>
      <c r="J29" s="1797">
        <f>IF(H29="","",H29-F29)</f>
        <v>85.819999999999709</v>
      </c>
      <c r="L29" s="1723">
        <f>IF(J29="","",H29/F29-1)</f>
        <v>8.8533553412080135E-3</v>
      </c>
      <c r="N29" s="1797">
        <f t="shared" si="20"/>
        <v>7078.59</v>
      </c>
      <c r="O29" s="1797"/>
      <c r="P29" s="1797">
        <f t="shared" si="21"/>
        <v>7155.9</v>
      </c>
      <c r="Q29" s="1797"/>
      <c r="R29" s="1797">
        <f t="shared" si="0"/>
        <v>77.309999999999491</v>
      </c>
      <c r="T29" s="1723">
        <f t="shared" si="1"/>
        <v>1.0921666603094682E-2</v>
      </c>
      <c r="V29" s="1702" t="s">
        <v>1721</v>
      </c>
      <c r="W29" s="1765">
        <v>4.0000000000000001E-3</v>
      </c>
      <c r="X29" s="1808">
        <f>W29</f>
        <v>4.0000000000000001E-3</v>
      </c>
    </row>
    <row r="30" spans="1:25">
      <c r="F30" s="1797"/>
      <c r="G30" s="1797"/>
      <c r="H30" s="1797"/>
      <c r="I30" s="1797"/>
      <c r="J30" s="1797"/>
      <c r="L30" s="1723"/>
      <c r="N30" s="1797"/>
      <c r="O30" s="1797"/>
      <c r="P30" s="1797"/>
      <c r="Q30" s="1797"/>
      <c r="R30" s="1797" t="str">
        <f t="shared" si="0"/>
        <v/>
      </c>
      <c r="T30" s="1723" t="str">
        <f t="shared" si="1"/>
        <v/>
      </c>
      <c r="V30" s="1702" t="s">
        <v>1722</v>
      </c>
      <c r="W30" s="1803">
        <v>3.6400000000000002E-2</v>
      </c>
      <c r="X30" s="1808">
        <f>W30</f>
        <v>3.6400000000000002E-2</v>
      </c>
    </row>
    <row r="31" spans="1:25">
      <c r="A31" s="1821">
        <v>300</v>
      </c>
      <c r="B31" s="1821"/>
      <c r="C31" s="1822">
        <v>300</v>
      </c>
      <c r="D31" s="1822">
        <f>ROUND((A31*C31),0)</f>
        <v>90000</v>
      </c>
      <c r="F31" s="1797">
        <f t="shared" ref="F31:F33" si="22">ROUND($W$10+($W$11*$A31+$W$13/100*MIN($D31,30000)+$W$14/100*MAX($D31-30000,0))*((1+$W$33)*(1+$W$16)+$W$28)+$W$15,2)</f>
        <v>7711.17</v>
      </c>
      <c r="G31" s="1797"/>
      <c r="H31" s="1797">
        <f t="shared" ref="H31:H33" si="23">ROUND($X$10+($X$11*$A31+$X$13/100*MIN($D31,30000)+$X$14/100*MAX($D31-30000,0))*((1+$X$33)*(1+$X$16)+$X$28)+$X$15,2)</f>
        <v>7779.25</v>
      </c>
      <c r="I31" s="1797"/>
      <c r="J31" s="1797">
        <f>IF(H31="","",H31-F31)</f>
        <v>68.079999999999927</v>
      </c>
      <c r="L31" s="1723">
        <f>IF(J31="","",H31/F31-1)</f>
        <v>8.8287510196247698E-3</v>
      </c>
      <c r="N31" s="1797">
        <f t="shared" ref="N31:N33" si="24">ROUND($W$18+($W$19*$A31+$W$21/100*MIN($D31,30000)+$W$22/100*MAX($D31-30000,0))*((1+$W$33)*(1+$W$24)+$W$28)+$W$23,2)</f>
        <v>4555.87</v>
      </c>
      <c r="O31" s="1797"/>
      <c r="P31" s="1797">
        <f t="shared" ref="P31:P33" si="25">ROUND($X$18+($X$19*$A31+$X$21/100*MIN($D31,30000)+$X$22/100*MAX($D31-30000,0))*((1+$X$33)*(1+$X$24)+$X$28)+$X$23,2)</f>
        <v>4605.57</v>
      </c>
      <c r="Q31" s="1797"/>
      <c r="R31" s="1797">
        <f t="shared" si="0"/>
        <v>49.699999999999818</v>
      </c>
      <c r="T31" s="1723">
        <f t="shared" si="1"/>
        <v>1.0909003110272986E-2</v>
      </c>
      <c r="V31" s="1704" t="s">
        <v>1685</v>
      </c>
      <c r="W31" s="1765">
        <v>1.0200000000000001E-2</v>
      </c>
      <c r="X31" s="1808">
        <f>W31</f>
        <v>1.0200000000000001E-2</v>
      </c>
    </row>
    <row r="32" spans="1:25">
      <c r="A32" s="1823">
        <f>A31</f>
        <v>300</v>
      </c>
      <c r="B32" s="1821"/>
      <c r="C32" s="1822">
        <v>500</v>
      </c>
      <c r="D32" s="1822">
        <f>ROUND((A32*C32),0)</f>
        <v>150000</v>
      </c>
      <c r="F32" s="1797">
        <f t="shared" si="22"/>
        <v>10977.86</v>
      </c>
      <c r="G32" s="1797"/>
      <c r="H32" s="1797">
        <f t="shared" si="23"/>
        <v>11074.98</v>
      </c>
      <c r="I32" s="1797"/>
      <c r="J32" s="1797">
        <f>IF(H32="","",H32-F32)</f>
        <v>97.119999999998981</v>
      </c>
      <c r="L32" s="1723">
        <f>IF(J32="","",H32/F32-1)</f>
        <v>8.8468973005666474E-3</v>
      </c>
      <c r="N32" s="1797">
        <f t="shared" si="24"/>
        <v>7583.14</v>
      </c>
      <c r="O32" s="1797"/>
      <c r="P32" s="1797">
        <f t="shared" si="25"/>
        <v>7665.97</v>
      </c>
      <c r="Q32" s="1797"/>
      <c r="R32" s="1797">
        <f t="shared" si="0"/>
        <v>82.829999999999927</v>
      </c>
      <c r="T32" s="1723">
        <f t="shared" si="1"/>
        <v>1.0922915836975244E-2</v>
      </c>
      <c r="V32" s="1704" t="s">
        <v>1686</v>
      </c>
      <c r="W32" s="1765">
        <v>5.0000000000000001E-4</v>
      </c>
      <c r="X32" s="1808">
        <f>W32</f>
        <v>5.0000000000000001E-4</v>
      </c>
    </row>
    <row r="33" spans="1:24">
      <c r="A33" s="1823">
        <f>A31</f>
        <v>300</v>
      </c>
      <c r="B33" s="1821"/>
      <c r="C33" s="1822">
        <v>700</v>
      </c>
      <c r="D33" s="1822">
        <f>ROUND((A33*C33),0)</f>
        <v>210000</v>
      </c>
      <c r="F33" s="1797">
        <f t="shared" si="22"/>
        <v>14244.54</v>
      </c>
      <c r="G33" s="1797"/>
      <c r="H33" s="1797">
        <f t="shared" si="23"/>
        <v>14370.71</v>
      </c>
      <c r="I33" s="1797"/>
      <c r="J33" s="1797">
        <f>IF(H33="","",H33-F33)</f>
        <v>126.16999999999825</v>
      </c>
      <c r="L33" s="1723">
        <f>IF(J33="","",H33/F33-1)</f>
        <v>8.8574288815221891E-3</v>
      </c>
      <c r="N33" s="1797">
        <f t="shared" si="24"/>
        <v>10610.41</v>
      </c>
      <c r="O33" s="1797"/>
      <c r="P33" s="1797">
        <f t="shared" si="25"/>
        <v>10726.37</v>
      </c>
      <c r="Q33" s="1797"/>
      <c r="R33" s="1797">
        <f t="shared" si="0"/>
        <v>115.96000000000095</v>
      </c>
      <c r="T33" s="1723">
        <f t="shared" si="1"/>
        <v>1.0928889647054296E-2</v>
      </c>
      <c r="V33" s="1702" t="s">
        <v>1687</v>
      </c>
      <c r="W33" s="1752">
        <f>SUM(W31:W32)</f>
        <v>1.0700000000000001E-2</v>
      </c>
      <c r="X33" s="1752">
        <f>SUM(X31:X32)</f>
        <v>1.0700000000000001E-2</v>
      </c>
    </row>
    <row r="34" spans="1:24">
      <c r="W34" s="1827"/>
      <c r="X34" s="1827"/>
    </row>
    <row r="35" spans="1:24" ht="15.75">
      <c r="A35" s="1770" t="s">
        <v>2254</v>
      </c>
      <c r="W35" s="1827"/>
      <c r="X35" s="1827"/>
    </row>
    <row r="36" spans="1:24" ht="15.75">
      <c r="A36" s="1770"/>
    </row>
  </sheetData>
  <printOptions horizontalCentered="1"/>
  <pageMargins left="0.75" right="0.75" top="1" bottom="1" header="0.5" footer="0.5"/>
  <pageSetup scale="9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49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" style="1707" customWidth="1"/>
    <col min="2" max="2" width="1.125" style="1707" customWidth="1"/>
    <col min="3" max="3" width="6.75" style="1707" bestFit="1" customWidth="1"/>
    <col min="4" max="4" width="0.75" style="1704" customWidth="1"/>
    <col min="5" max="5" width="8.75" style="1708" bestFit="1" customWidth="1"/>
    <col min="6" max="6" width="1" style="1704" customWidth="1"/>
    <col min="7" max="7" width="9" style="1708" bestFit="1" customWidth="1"/>
    <col min="8" max="8" width="1.25" style="1704" customWidth="1"/>
    <col min="9" max="9" width="7.625" style="1704" bestFit="1" customWidth="1"/>
    <col min="10" max="10" width="0.75" style="1704" customWidth="1"/>
    <col min="11" max="11" width="5.625" style="1704" bestFit="1" customWidth="1"/>
    <col min="12" max="12" width="1.75" style="1704" customWidth="1"/>
    <col min="13" max="13" width="8.75" style="1708" bestFit="1" customWidth="1"/>
    <col min="14" max="14" width="0.7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75" style="1704" customWidth="1"/>
    <col min="19" max="19" width="5.625" style="1704" bestFit="1" customWidth="1"/>
    <col min="20" max="20" width="2.5" style="1704" customWidth="1"/>
    <col min="21" max="21" width="16" style="1704" bestFit="1" customWidth="1"/>
    <col min="22" max="22" width="7.125" style="1704" bestFit="1" customWidth="1"/>
    <col min="23" max="23" width="11.125" style="1704" bestFit="1" customWidth="1"/>
    <col min="24" max="16384" width="8" style="1704"/>
  </cols>
  <sheetData>
    <row r="1" spans="1:25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5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5" ht="16.5">
      <c r="A3" s="1697" t="s">
        <v>1673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5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5" ht="16.5">
      <c r="A5" s="1697" t="s">
        <v>2336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2048"/>
    </row>
    <row r="6" spans="1:25" ht="17.25">
      <c r="A6" s="1787"/>
      <c r="B6" s="1701"/>
      <c r="C6" s="1702"/>
      <c r="D6" s="1702"/>
      <c r="E6" s="1774"/>
      <c r="F6" s="1788"/>
      <c r="G6" s="1774"/>
      <c r="H6" s="1788"/>
      <c r="I6" s="1788"/>
      <c r="J6" s="1788"/>
      <c r="K6" s="1788"/>
      <c r="L6" s="1702"/>
      <c r="M6" s="1774"/>
      <c r="N6" s="1788"/>
      <c r="O6" s="1774"/>
      <c r="P6" s="1788"/>
      <c r="Q6" s="1788"/>
      <c r="R6" s="1788"/>
      <c r="S6" s="1788"/>
    </row>
    <row r="7" spans="1:25">
      <c r="E7" s="1709"/>
      <c r="F7" s="1701"/>
      <c r="G7" s="1709"/>
      <c r="H7" s="1702"/>
      <c r="I7" s="2147"/>
      <c r="J7" s="2147"/>
      <c r="K7" s="2147"/>
      <c r="L7" s="1702"/>
      <c r="M7" s="1709"/>
      <c r="N7" s="1701"/>
      <c r="O7" s="1709"/>
      <c r="P7" s="1702"/>
      <c r="Q7" s="2147"/>
      <c r="R7" s="2147"/>
      <c r="S7" s="2147"/>
    </row>
    <row r="8" spans="1:25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</row>
    <row r="9" spans="1:25" ht="15.7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</row>
    <row r="10" spans="1:25">
      <c r="A10" s="1720" t="s">
        <v>1677</v>
      </c>
      <c r="B10" s="1793"/>
      <c r="C10" s="1794" t="s">
        <v>111</v>
      </c>
      <c r="E10" s="1717" t="s">
        <v>216</v>
      </c>
      <c r="G10" s="1718" t="s">
        <v>2335</v>
      </c>
      <c r="I10" s="1719" t="s">
        <v>1399</v>
      </c>
      <c r="K10" s="1720" t="s">
        <v>465</v>
      </c>
      <c r="M10" s="1717" t="s">
        <v>216</v>
      </c>
      <c r="O10" s="1718" t="s">
        <v>2335</v>
      </c>
      <c r="Q10" s="1719" t="s">
        <v>1399</v>
      </c>
      <c r="S10" s="1720" t="s">
        <v>465</v>
      </c>
    </row>
    <row r="11" spans="1:25" ht="18" customHeight="1">
      <c r="A11" s="1828">
        <v>15</v>
      </c>
      <c r="B11" s="1707" t="s">
        <v>2314</v>
      </c>
      <c r="C11" s="1707">
        <v>200</v>
      </c>
      <c r="E11" s="1708">
        <f>ROUND($V$13+(($A11-15)*$V$14+MIN(1500,$C11)*$V$16/100+MAX(0,$C11-1500)*$V$17/100)*((1+$V$36)*(1+$V$19)+$V$31)+$V$18,2)</f>
        <v>34.15</v>
      </c>
      <c r="G11" s="1708">
        <f>ROUND($W$13+(($A11-15)*$W$14+MIN(1500,$C11)*$W$16/100+MAX(0,$C11-1500)*$W$17/100)*((1+$W$36)*(1+$W$19)+$W$31)+$W$18,2)</f>
        <v>34.56</v>
      </c>
      <c r="I11" s="1715">
        <f t="shared" ref="I11:I14" si="0">IF(G11="","",G11-E11)</f>
        <v>0.41000000000000369</v>
      </c>
      <c r="K11" s="1723">
        <f t="shared" ref="K11:K14" si="1">IF(E11="","",G11/E11-1)</f>
        <v>1.2005856515373559E-2</v>
      </c>
      <c r="M11" s="1708">
        <f>ROUND($V$21+(($A11-15)*$V$22+MIN(1500,$C11)*$V$24/100+MAX(0,$C11-1500)*$V$25/100)*((1+$V$36)*(1+$V$27)+$V$31)+$V$26,2)</f>
        <v>32.25</v>
      </c>
      <c r="O11" s="1708">
        <f>ROUND($W$21+(($A11-15)*$W$22+MIN(1500,$C11)*$W$24/100+MAX(0,$C11-1500)*$W$25/100)*((1+$W$36)*(1+$W$27)+$W$31)+$W$26,2)</f>
        <v>31.76</v>
      </c>
      <c r="Q11" s="1715">
        <f t="shared" ref="Q11:Q18" si="2">IF(O11="","",O11-M11)</f>
        <v>-0.48999999999999844</v>
      </c>
      <c r="S11" s="1723">
        <f t="shared" ref="S11:S14" si="3">IF(M11="","",O11/M11-1)</f>
        <v>-1.5193798449612328E-2</v>
      </c>
      <c r="U11" s="1789" t="s">
        <v>466</v>
      </c>
      <c r="V11" s="1790" t="s">
        <v>216</v>
      </c>
      <c r="W11" s="1726" t="s">
        <v>2335</v>
      </c>
      <c r="X11" s="1829"/>
    </row>
    <row r="12" spans="1:25" ht="13.5">
      <c r="A12" s="2021">
        <f>A11</f>
        <v>15</v>
      </c>
      <c r="C12" s="1707">
        <v>500</v>
      </c>
      <c r="E12" s="1708">
        <f t="shared" ref="E12:E14" si="4">ROUND($V$13+(($A12-15)*$V$14+MIN(1500,$C12)*$V$16/100+MAX(0,$C12-1500)*$V$17/100)*((1+$V$36)*(1+$V$19)+$V$31)+$V$18,2)</f>
        <v>69.989999999999995</v>
      </c>
      <c r="G12" s="1708">
        <f t="shared" ref="G12:G14" si="5">ROUND($W$13+(($A12-15)*$W$14+MIN(1500,$C12)*$W$16/100+MAX(0,$C12-1500)*$W$17/100)*((1+$W$36)*(1+$W$19)+$W$31)+$W$18,2)</f>
        <v>71</v>
      </c>
      <c r="I12" s="1715">
        <f t="shared" si="0"/>
        <v>1.0100000000000051</v>
      </c>
      <c r="K12" s="1723">
        <f t="shared" si="1"/>
        <v>1.4430632947564082E-2</v>
      </c>
      <c r="M12" s="1708">
        <f t="shared" ref="M12:M14" si="6">ROUND($V$21+(($A12-15)*$V$22+MIN(1500,$C12)*$V$24/100+MAX(0,$C12-1500)*$V$25/100)*((1+$V$36)*(1+$V$27)+$V$31)+$V$26,2)</f>
        <v>65.239999999999995</v>
      </c>
      <c r="O12" s="1708">
        <f t="shared" ref="O12:O14" si="7">ROUND($W$21+(($A12-15)*$W$22+MIN(1500,$C12)*$W$24/100+MAX(0,$C12-1500)*$W$25/100)*((1+$W$36)*(1+$W$27)+$W$31)+$W$26,2)</f>
        <v>64.02</v>
      </c>
      <c r="Q12" s="1715">
        <f t="shared" si="2"/>
        <v>-1.2199999999999989</v>
      </c>
      <c r="S12" s="1723">
        <f t="shared" si="3"/>
        <v>-1.8700183936235404E-2</v>
      </c>
      <c r="U12" s="1792" t="s">
        <v>79</v>
      </c>
      <c r="V12" s="1702"/>
      <c r="W12" s="1732"/>
    </row>
    <row r="13" spans="1:25">
      <c r="A13" s="2021">
        <f t="shared" ref="A13:A14" si="8">A12</f>
        <v>15</v>
      </c>
      <c r="C13" s="1707">
        <v>1000</v>
      </c>
      <c r="E13" s="1708">
        <f t="shared" si="4"/>
        <v>129.72</v>
      </c>
      <c r="G13" s="1708">
        <f t="shared" si="5"/>
        <v>131.75</v>
      </c>
      <c r="I13" s="1715">
        <f t="shared" si="0"/>
        <v>2.0300000000000011</v>
      </c>
      <c r="K13" s="1723">
        <f t="shared" si="1"/>
        <v>1.5649090348442751E-2</v>
      </c>
      <c r="M13" s="1708">
        <f t="shared" si="6"/>
        <v>120.21</v>
      </c>
      <c r="O13" s="1708">
        <f t="shared" si="7"/>
        <v>117.77</v>
      </c>
      <c r="Q13" s="1715">
        <f t="shared" si="2"/>
        <v>-2.4399999999999977</v>
      </c>
      <c r="S13" s="1723">
        <f t="shared" si="3"/>
        <v>-2.0297812162049733E-2</v>
      </c>
      <c r="U13" s="1736" t="s">
        <v>1678</v>
      </c>
      <c r="V13" s="1795">
        <v>10</v>
      </c>
      <c r="W13" s="1796">
        <f>'Blocking-Step1'!Q1979</f>
        <v>10</v>
      </c>
      <c r="X13" s="1795"/>
      <c r="Y13" s="1827"/>
    </row>
    <row r="14" spans="1:25">
      <c r="A14" s="2021">
        <f t="shared" si="8"/>
        <v>15</v>
      </c>
      <c r="C14" s="1707">
        <v>2000</v>
      </c>
      <c r="E14" s="1708">
        <f t="shared" si="4"/>
        <v>222.93</v>
      </c>
      <c r="G14" s="1708">
        <f t="shared" si="5"/>
        <v>226.5</v>
      </c>
      <c r="I14" s="1715">
        <f t="shared" si="0"/>
        <v>3.5699999999999932</v>
      </c>
      <c r="K14" s="1723">
        <f t="shared" si="1"/>
        <v>1.6013995424572602E-2</v>
      </c>
      <c r="M14" s="1708">
        <f t="shared" si="6"/>
        <v>206.02</v>
      </c>
      <c r="O14" s="1708">
        <f t="shared" si="7"/>
        <v>201.63</v>
      </c>
      <c r="Q14" s="1715">
        <f t="shared" si="2"/>
        <v>-4.3900000000000148</v>
      </c>
      <c r="S14" s="1723">
        <f t="shared" si="3"/>
        <v>-2.1308610814484097E-2</v>
      </c>
      <c r="U14" s="1736" t="s">
        <v>1679</v>
      </c>
      <c r="V14" s="1795">
        <v>8.65</v>
      </c>
      <c r="W14" s="1796">
        <f>'Blocking-Step1'!Q1980</f>
        <v>8.89</v>
      </c>
      <c r="X14" s="1795"/>
      <c r="Y14" s="1827"/>
    </row>
    <row r="15" spans="1:25">
      <c r="I15" s="1715"/>
      <c r="K15" s="1830"/>
      <c r="Q15" s="1715" t="str">
        <f t="shared" si="2"/>
        <v/>
      </c>
      <c r="S15" s="1830"/>
      <c r="U15" s="1736" t="s">
        <v>1680</v>
      </c>
      <c r="V15" s="1795">
        <v>-0.48</v>
      </c>
      <c r="W15" s="1796">
        <f>'Blocking-Step1'!Q1988</f>
        <v>-0.48</v>
      </c>
      <c r="X15" s="1795"/>
      <c r="Y15" s="1827"/>
    </row>
    <row r="16" spans="1:25">
      <c r="A16" s="1707">
        <v>20</v>
      </c>
      <c r="C16" s="1707">
        <v>5000</v>
      </c>
      <c r="E16" s="1708">
        <f t="shared" ref="E16:E18" si="9">ROUND($V$13+(($A16-15)*$V$14+MIN(1500,$C16)*$V$16/100+MAX(0,$C16-1500)*$V$17/100)*((1+$V$36)*(1+$V$19)+$V$31)+$V$18,2)</f>
        <v>467.87</v>
      </c>
      <c r="G16" s="1708">
        <f t="shared" ref="G16:G18" si="10">ROUND($W$13+(($A16-15)*$W$14+MIN(1500,$C16)*$W$16/100+MAX(0,$C16-1500)*$W$17/100)*((1+$W$36)*(1+$W$19)+$W$31)+$W$18,2)</f>
        <v>476.66</v>
      </c>
      <c r="I16" s="1715">
        <f>IF(G16="","",G16-E16)</f>
        <v>8.7900000000000205</v>
      </c>
      <c r="K16" s="1723">
        <f>IF(E16="","",G16/E16-1)</f>
        <v>1.8787269968153497E-2</v>
      </c>
      <c r="M16" s="1708">
        <f t="shared" ref="M16:M18" si="11">ROUND($V$21+(($A16-15)*$V$22+MIN(1500,$C16)*$V$24/100+MAX(0,$C16-1500)*$V$25/100)*((1+$V$36)*(1+$V$27)+$V$31)+$V$26,2)</f>
        <v>435.29</v>
      </c>
      <c r="O16" s="1708">
        <f t="shared" ref="O16:O18" si="12">ROUND($W$21+(($A16-15)*$W$22+MIN(1500,$C16)*$W$24/100+MAX(0,$C16-1500)*$W$25/100)*((1+$W$36)*(1+$W$27)+$W$31)+$W$26,2)</f>
        <v>423.02</v>
      </c>
      <c r="Q16" s="1715">
        <f t="shared" si="2"/>
        <v>-12.270000000000039</v>
      </c>
      <c r="S16" s="1723">
        <f>IF(M16="","",O16/M16-1)</f>
        <v>-2.8188104482069543E-2</v>
      </c>
      <c r="U16" s="1736" t="s">
        <v>1681</v>
      </c>
      <c r="V16" s="1799">
        <v>11.733599999999999</v>
      </c>
      <c r="W16" s="1800">
        <f>'Blocking-Step1'!Q1982</f>
        <v>11.712546896636001</v>
      </c>
      <c r="X16" s="1801"/>
      <c r="Y16" s="1827"/>
    </row>
    <row r="17" spans="1:25">
      <c r="A17" s="1831">
        <f>A16</f>
        <v>20</v>
      </c>
      <c r="B17" s="1827"/>
      <c r="C17" s="1707">
        <v>7500</v>
      </c>
      <c r="E17" s="1708">
        <f t="shared" si="9"/>
        <v>635.29999999999995</v>
      </c>
      <c r="G17" s="1708">
        <f t="shared" si="10"/>
        <v>646.70000000000005</v>
      </c>
      <c r="I17" s="1715">
        <f>IF(G17="","",G17-E17)</f>
        <v>11.400000000000091</v>
      </c>
      <c r="K17" s="1723">
        <f>IF(E17="","",G17/E17-1)</f>
        <v>1.7944278293719584E-2</v>
      </c>
      <c r="M17" s="1708">
        <f t="shared" si="11"/>
        <v>589.44000000000005</v>
      </c>
      <c r="O17" s="1708">
        <f t="shared" si="12"/>
        <v>573.49</v>
      </c>
      <c r="Q17" s="1715">
        <f t="shared" si="2"/>
        <v>-15.950000000000045</v>
      </c>
      <c r="S17" s="1723">
        <f>IF(M17="","",O17/M17-1)</f>
        <v>-2.7059581976113023E-2</v>
      </c>
      <c r="U17" s="1736" t="s">
        <v>1682</v>
      </c>
      <c r="V17" s="1799">
        <v>6.5782999999999996</v>
      </c>
      <c r="W17" s="1800">
        <f>'Blocking-Step1'!Q1983</f>
        <v>6.5572468966360011</v>
      </c>
      <c r="X17" s="1801"/>
      <c r="Y17" s="1827"/>
    </row>
    <row r="18" spans="1:25">
      <c r="A18" s="1831">
        <f>A17</f>
        <v>20</v>
      </c>
      <c r="B18" s="1827"/>
      <c r="C18" s="1707">
        <v>10000</v>
      </c>
      <c r="E18" s="1708">
        <f t="shared" si="9"/>
        <v>802.73</v>
      </c>
      <c r="G18" s="1708">
        <f t="shared" si="10"/>
        <v>816.74</v>
      </c>
      <c r="I18" s="1715">
        <f>IF(G18="","",G18-E18)</f>
        <v>14.009999999999991</v>
      </c>
      <c r="K18" s="1723">
        <f>IF(E18="","",G18/E18-1)</f>
        <v>1.7452941835984781E-2</v>
      </c>
      <c r="M18" s="1708">
        <f t="shared" si="11"/>
        <v>743.59</v>
      </c>
      <c r="O18" s="1708">
        <f t="shared" si="12"/>
        <v>723.97</v>
      </c>
      <c r="Q18" s="1715">
        <f t="shared" si="2"/>
        <v>-19.620000000000005</v>
      </c>
      <c r="S18" s="1723">
        <f>IF(M18="","",O18/M18-1)</f>
        <v>-2.6385508142928282E-2</v>
      </c>
      <c r="U18" s="1736" t="s">
        <v>1683</v>
      </c>
      <c r="V18" s="1795">
        <v>0.26</v>
      </c>
      <c r="W18" s="1802">
        <f>V18</f>
        <v>0.26</v>
      </c>
      <c r="X18" s="1795"/>
      <c r="Y18" s="1827"/>
    </row>
    <row r="19" spans="1:25">
      <c r="A19" s="1827"/>
      <c r="B19" s="1827"/>
      <c r="C19" s="1827"/>
      <c r="I19" s="1715"/>
      <c r="K19" s="1723"/>
      <c r="Q19" s="1715"/>
      <c r="S19" s="1753"/>
      <c r="U19" s="1736" t="s">
        <v>1718</v>
      </c>
      <c r="V19" s="1803">
        <f>V33+V32</f>
        <v>4.2200000000000001E-2</v>
      </c>
      <c r="W19" s="1752">
        <f>V19</f>
        <v>4.2200000000000001E-2</v>
      </c>
      <c r="X19" s="1803"/>
      <c r="Y19" s="1827"/>
    </row>
    <row r="20" spans="1:25" ht="13.5">
      <c r="A20" s="1707">
        <v>25</v>
      </c>
      <c r="C20" s="1707">
        <v>7500</v>
      </c>
      <c r="D20" s="1832"/>
      <c r="E20" s="1708">
        <f t="shared" ref="E20:E22" si="13">ROUND($V$13+(($A20-15)*$V$14+MIN(1500,$C20)*$V$16/100+MAX(0,$C20-1500)*$V$17/100)*((1+$V$36)*(1+$V$19)+$V$31)+$V$18,2)</f>
        <v>679.33</v>
      </c>
      <c r="G20" s="1708">
        <f t="shared" ref="G20:G22" si="14">ROUND($W$13+(($A20-15)*$W$14+MIN(1500,$C20)*$W$16/100+MAX(0,$C20-1500)*$W$17/100)*((1+$W$36)*(1+$W$19)+$W$31)+$W$18,2)</f>
        <v>692.8</v>
      </c>
      <c r="I20" s="1715">
        <f>IF(G20="","",G20-E20)</f>
        <v>13.469999999999914</v>
      </c>
      <c r="K20" s="1723">
        <f>IF(E20="","",G20/E20-1)</f>
        <v>1.9828360296173964E-2</v>
      </c>
      <c r="L20" s="1832">
        <f>C20/A20/730</f>
        <v>0.41095890410958902</v>
      </c>
      <c r="M20" s="1708">
        <f t="shared" ref="M20:M22" si="15">ROUND($V$21+(($A20-15)*$V$22+MIN(1500,$C20)*$V$24/100+MAX(0,$C20-1500)*$V$25/100)*((1+$V$36)*(1+$V$27)+$V$31)+$V$26,2)</f>
        <v>633.72</v>
      </c>
      <c r="O20" s="1708">
        <f t="shared" ref="O20:O22" si="16">ROUND($W$21+(($A20-15)*$W$22+MIN(1500,$C20)*$W$24/100+MAX(0,$C20-1500)*$W$25/100)*((1+$W$36)*(1+$W$27)+$W$31)+$W$26,2)</f>
        <v>614.30999999999995</v>
      </c>
      <c r="Q20" s="1715">
        <f>IF(O20="","",O20-M20)</f>
        <v>-19.410000000000082</v>
      </c>
      <c r="S20" s="1723">
        <f>IF(M20="","",O20/M20-1)</f>
        <v>-3.0628668812724968E-2</v>
      </c>
      <c r="U20" s="1792" t="s">
        <v>80</v>
      </c>
      <c r="V20" s="1702"/>
      <c r="W20" s="1732"/>
    </row>
    <row r="21" spans="1:25">
      <c r="A21" s="1831">
        <f>A20</f>
        <v>25</v>
      </c>
      <c r="C21" s="1707">
        <v>10000</v>
      </c>
      <c r="D21" s="1832"/>
      <c r="E21" s="1708">
        <f t="shared" si="13"/>
        <v>846.76</v>
      </c>
      <c r="G21" s="1708">
        <f t="shared" si="14"/>
        <v>862.84</v>
      </c>
      <c r="I21" s="1715">
        <f>IF(G21="","",G21-E21)</f>
        <v>16.080000000000041</v>
      </c>
      <c r="K21" s="1723">
        <f>IF(E21="","",G21/E21-1)</f>
        <v>1.8990032594832007E-2</v>
      </c>
      <c r="L21" s="1832">
        <f>C21/A20/730</f>
        <v>0.54794520547945202</v>
      </c>
      <c r="M21" s="1708">
        <f t="shared" si="15"/>
        <v>787.88</v>
      </c>
      <c r="O21" s="1708">
        <f t="shared" si="16"/>
        <v>764.79</v>
      </c>
      <c r="Q21" s="1715">
        <f>IF(O21="","",O21-M21)</f>
        <v>-23.090000000000032</v>
      </c>
      <c r="S21" s="1723">
        <f>IF(M21="","",O21/M21-1)</f>
        <v>-2.9306493374625653E-2</v>
      </c>
      <c r="U21" s="1736" t="s">
        <v>1678</v>
      </c>
      <c r="V21" s="1773">
        <f>V13</f>
        <v>10</v>
      </c>
      <c r="W21" s="1805">
        <f>W13</f>
        <v>10</v>
      </c>
      <c r="X21" s="1795"/>
    </row>
    <row r="22" spans="1:25">
      <c r="A22" s="1831">
        <f>A21</f>
        <v>25</v>
      </c>
      <c r="C22" s="1707">
        <v>12500</v>
      </c>
      <c r="D22" s="1832"/>
      <c r="E22" s="1708">
        <f t="shared" si="13"/>
        <v>1014.19</v>
      </c>
      <c r="G22" s="1708">
        <f t="shared" si="14"/>
        <v>1032.8800000000001</v>
      </c>
      <c r="I22" s="1715">
        <f>IF(G22="","",G22-E22)</f>
        <v>18.690000000000055</v>
      </c>
      <c r="K22" s="1723">
        <f>IF(E22="","",G22/E22-1)</f>
        <v>1.8428499590806613E-2</v>
      </c>
      <c r="L22" s="1832">
        <f>C22/A20/730</f>
        <v>0.68493150684931503</v>
      </c>
      <c r="M22" s="1708">
        <f t="shared" si="15"/>
        <v>942.03</v>
      </c>
      <c r="O22" s="1708">
        <f t="shared" si="16"/>
        <v>915.27</v>
      </c>
      <c r="Q22" s="1715">
        <f>IF(O22="","",O22-M22)</f>
        <v>-26.759999999999991</v>
      </c>
      <c r="S22" s="1723">
        <f>IF(M22="","",O22/M22-1)</f>
        <v>-2.8406738638896867E-2</v>
      </c>
      <c r="U22" s="1736" t="s">
        <v>1679</v>
      </c>
      <c r="V22" s="1795">
        <v>8.6999999999999993</v>
      </c>
      <c r="W22" s="1796">
        <f>'Blocking-Step1'!Q1981</f>
        <v>7.87</v>
      </c>
      <c r="X22" s="1795"/>
    </row>
    <row r="23" spans="1:25">
      <c r="D23" s="1832"/>
      <c r="I23" s="1715"/>
      <c r="K23" s="1723"/>
      <c r="L23" s="1832"/>
      <c r="Q23" s="1715"/>
      <c r="S23" s="1723"/>
      <c r="U23" s="1736" t="s">
        <v>1680</v>
      </c>
      <c r="V23" s="1773">
        <f>V15</f>
        <v>-0.48</v>
      </c>
      <c r="W23" s="1805">
        <f>W15</f>
        <v>-0.48</v>
      </c>
      <c r="X23" s="1795"/>
    </row>
    <row r="24" spans="1:25">
      <c r="A24" s="1707">
        <v>30</v>
      </c>
      <c r="C24" s="1707">
        <v>10000</v>
      </c>
      <c r="D24" s="1832"/>
      <c r="E24" s="1708">
        <f t="shared" ref="E24:E25" si="17">ROUND($V$13+(($A24-15)*$V$14+MIN(1500,$C24)*$V$16/100+MAX(0,$C24-1500)*$V$17/100)*((1+$V$36)*(1+$V$19)+$V$31)+$V$18,2)</f>
        <v>890.79</v>
      </c>
      <c r="G24" s="1708">
        <f t="shared" ref="G24:G26" si="18">ROUND($W$13+(($A24-15)*$W$14+MIN(1500,$C24)*$W$16/100+MAX(0,$C24-1500)*$W$17/100)*((1+$W$36)*(1+$W$19)+$W$31)+$W$18,2)</f>
        <v>908.95</v>
      </c>
      <c r="I24" s="1715">
        <f>IF(G24="","",G24-E24)</f>
        <v>18.160000000000082</v>
      </c>
      <c r="K24" s="1723">
        <f>IF(E24="","",G24/E24-1)</f>
        <v>2.0386398590015675E-2</v>
      </c>
      <c r="L24" s="1832">
        <f>C24/A24/730</f>
        <v>0.45662100456621002</v>
      </c>
      <c r="M24" s="1708">
        <f t="shared" ref="M24:M26" si="19">ROUND($V$21+(($A24-15)*$V$22+MIN(1500,$C24)*$V$24/100+MAX(0,$C24-1500)*$V$25/100)*((1+$V$36)*(1+$V$27)+$V$31)+$V$26,2)</f>
        <v>832.16</v>
      </c>
      <c r="O24" s="1708">
        <f t="shared" ref="O24:O25" si="20">ROUND($W$21+(($A24-15)*$W$22+MIN(1500,$C24)*$W$24/100+MAX(0,$C24-1500)*$W$25/100)*((1+$W$36)*(1+$W$27)+$W$31)+$W$26,2)</f>
        <v>805.61</v>
      </c>
      <c r="Q24" s="1715">
        <f>IF(O24="","",O24-M24)</f>
        <v>-26.549999999999955</v>
      </c>
      <c r="S24" s="1723">
        <f>IF(M24="","",O24/M24-1)</f>
        <v>-3.1904922130359448E-2</v>
      </c>
      <c r="U24" s="1736" t="s">
        <v>1681</v>
      </c>
      <c r="V24" s="1799">
        <v>10.8</v>
      </c>
      <c r="W24" s="1800">
        <f>'Blocking-Step1'!Q1984</f>
        <v>10.3651</v>
      </c>
      <c r="X24" s="1801"/>
    </row>
    <row r="25" spans="1:25">
      <c r="A25" s="1831">
        <f>A24</f>
        <v>30</v>
      </c>
      <c r="B25" s="1827"/>
      <c r="C25" s="1707">
        <v>12500</v>
      </c>
      <c r="D25" s="1832"/>
      <c r="E25" s="1708">
        <f t="shared" si="17"/>
        <v>1058.22</v>
      </c>
      <c r="G25" s="1708">
        <f t="shared" si="18"/>
        <v>1078.99</v>
      </c>
      <c r="I25" s="1715">
        <f>IF(G25="","",G25-E25)</f>
        <v>20.769999999999982</v>
      </c>
      <c r="K25" s="1723">
        <f>IF(E25="","",G25/E25-1)</f>
        <v>1.962729867135371E-2</v>
      </c>
      <c r="L25" s="1832">
        <f>C25/A24/730</f>
        <v>0.57077625570776258</v>
      </c>
      <c r="M25" s="1708">
        <f t="shared" si="19"/>
        <v>986.31</v>
      </c>
      <c r="O25" s="1708">
        <f t="shared" si="20"/>
        <v>956.08</v>
      </c>
      <c r="Q25" s="1715">
        <f>IF(O25="","",O25-M25)</f>
        <v>-30.229999999999905</v>
      </c>
      <c r="S25" s="1723">
        <f>IF(M25="","",O25/M25-1)</f>
        <v>-3.0649592927172953E-2</v>
      </c>
      <c r="U25" s="1736" t="s">
        <v>1682</v>
      </c>
      <c r="V25" s="1799">
        <v>6.0567000000000002</v>
      </c>
      <c r="W25" s="1800">
        <f>'Blocking-Step1'!Q1985</f>
        <v>5.8029000000000002</v>
      </c>
      <c r="X25" s="1801"/>
    </row>
    <row r="26" spans="1:25">
      <c r="A26" s="1831">
        <f>A25</f>
        <v>30</v>
      </c>
      <c r="B26" s="1827"/>
      <c r="C26" s="1707">
        <v>15000</v>
      </c>
      <c r="D26" s="1832"/>
      <c r="E26" s="1708">
        <f>ROUND($V$13+(($A26-15)*$V$14+MIN(1500,$C26)*$V$16/100+MAX(0,$C26-1500)*$V$17/100)*((1+$V$36)*(1+$V$19)+$V$31)+$V$18,2)</f>
        <v>1225.6500000000001</v>
      </c>
      <c r="G26" s="1708">
        <f t="shared" si="18"/>
        <v>1249.03</v>
      </c>
      <c r="I26" s="1715">
        <f>IF(G26="","",G26-E26)</f>
        <v>23.379999999999882</v>
      </c>
      <c r="K26" s="1723">
        <f>IF(E26="","",G26/E26-1)</f>
        <v>1.9075592542732389E-2</v>
      </c>
      <c r="L26" s="1832">
        <f>C26/A24/730</f>
        <v>0.68493150684931503</v>
      </c>
      <c r="M26" s="1708">
        <f t="shared" si="19"/>
        <v>1140.47</v>
      </c>
      <c r="O26" s="1708">
        <f>ROUND($W$21+(($A26-15)*$W$22+MIN(1500,$C26)*$W$24/100+MAX(0,$C26-1500)*$W$25/100)*((1+$W$36)*(1+$W$27)+$W$31)+$W$26,2)</f>
        <v>1106.56</v>
      </c>
      <c r="Q26" s="1715">
        <f>IF(O26="","",O26-M26)</f>
        <v>-33.910000000000082</v>
      </c>
      <c r="S26" s="1723">
        <f>IF(M26="","",O26/M26-1)</f>
        <v>-2.9733355546397555E-2</v>
      </c>
      <c r="U26" s="1736" t="s">
        <v>1683</v>
      </c>
      <c r="V26" s="1773">
        <f>V18</f>
        <v>0.26</v>
      </c>
      <c r="W26" s="1805">
        <f>W18</f>
        <v>0.26</v>
      </c>
      <c r="X26" s="1795"/>
    </row>
    <row r="27" spans="1:25">
      <c r="A27" s="1827"/>
      <c r="B27" s="1827"/>
      <c r="C27" s="1827"/>
      <c r="D27" s="1832"/>
      <c r="I27" s="1715"/>
      <c r="K27" s="1830"/>
      <c r="L27" s="1832"/>
      <c r="Q27" s="1715"/>
      <c r="S27" s="1830"/>
      <c r="U27" s="1759" t="s">
        <v>1718</v>
      </c>
      <c r="V27" s="1768">
        <f>V19</f>
        <v>4.2200000000000001E-2</v>
      </c>
      <c r="W27" s="1769">
        <f>W19</f>
        <v>4.2200000000000001E-2</v>
      </c>
      <c r="X27" s="1803"/>
    </row>
    <row r="28" spans="1:25" ht="15.75">
      <c r="A28" s="1770" t="s">
        <v>1723</v>
      </c>
      <c r="D28" s="1832"/>
      <c r="I28" s="1715"/>
      <c r="K28" s="1830"/>
      <c r="L28" s="1832"/>
      <c r="Q28" s="1715"/>
      <c r="S28" s="1830"/>
    </row>
    <row r="29" spans="1:25" ht="15.75">
      <c r="A29" s="1770" t="s">
        <v>2315</v>
      </c>
      <c r="I29" s="1715"/>
      <c r="K29" s="1830"/>
      <c r="Q29" s="1715"/>
      <c r="S29" s="1830"/>
      <c r="W29" s="1808"/>
    </row>
    <row r="30" spans="1:25">
      <c r="I30" s="1715"/>
      <c r="K30" s="1830"/>
      <c r="Q30" s="1715"/>
      <c r="S30" s="1830"/>
      <c r="U30" s="1704" t="s">
        <v>1684</v>
      </c>
      <c r="V30" s="1799">
        <v>0</v>
      </c>
      <c r="W30" s="1799">
        <v>0</v>
      </c>
      <c r="X30" s="1808"/>
    </row>
    <row r="31" spans="1:25">
      <c r="I31" s="1715"/>
      <c r="K31" s="1830"/>
      <c r="Q31" s="1715"/>
      <c r="S31" s="1830"/>
      <c r="U31" s="1702" t="s">
        <v>1720</v>
      </c>
      <c r="V31" s="1765">
        <v>-3.3099999999999997E-2</v>
      </c>
      <c r="W31" s="1808">
        <f>'Blocking-Step1'!Q1995</f>
        <v>-1.3899999999999999E-2</v>
      </c>
    </row>
    <row r="32" spans="1:25">
      <c r="I32" s="1715"/>
      <c r="K32" s="1723"/>
      <c r="M32" s="1723"/>
      <c r="O32" s="1723"/>
      <c r="Q32" s="1739"/>
      <c r="S32" s="1830"/>
      <c r="U32" s="1702" t="s">
        <v>1721</v>
      </c>
      <c r="V32" s="1765">
        <v>4.1000000000000003E-3</v>
      </c>
      <c r="W32" s="1808">
        <f>V32</f>
        <v>4.1000000000000003E-3</v>
      </c>
    </row>
    <row r="33" spans="1:23">
      <c r="A33" s="1704"/>
      <c r="B33" s="1704"/>
      <c r="C33" s="1704"/>
      <c r="E33" s="1704"/>
      <c r="G33" s="1704"/>
      <c r="K33" s="1723"/>
      <c r="M33" s="1723"/>
      <c r="O33" s="1723"/>
      <c r="Q33" s="1739"/>
      <c r="U33" s="1702" t="s">
        <v>1722</v>
      </c>
      <c r="V33" s="1803">
        <v>3.8100000000000002E-2</v>
      </c>
      <c r="W33" s="1808">
        <f>V33</f>
        <v>3.8100000000000002E-2</v>
      </c>
    </row>
    <row r="34" spans="1:23">
      <c r="A34" s="1704"/>
      <c r="B34" s="1704"/>
      <c r="C34" s="1704"/>
      <c r="E34" s="1704"/>
      <c r="G34" s="1704"/>
      <c r="K34" s="1723"/>
      <c r="M34" s="1723"/>
      <c r="O34" s="1723"/>
      <c r="Q34" s="1739"/>
      <c r="U34" s="1704" t="s">
        <v>1685</v>
      </c>
      <c r="V34" s="1765">
        <v>8.6E-3</v>
      </c>
      <c r="W34" s="1808">
        <f>V34</f>
        <v>8.6E-3</v>
      </c>
    </row>
    <row r="35" spans="1:23">
      <c r="A35" s="1704"/>
      <c r="B35" s="1704"/>
      <c r="C35" s="1704"/>
      <c r="E35" s="1704"/>
      <c r="G35" s="1704"/>
      <c r="K35" s="1723"/>
      <c r="M35" s="1723"/>
      <c r="O35" s="1723"/>
      <c r="Q35" s="1739"/>
      <c r="U35" s="1704" t="s">
        <v>1686</v>
      </c>
      <c r="V35" s="1765">
        <v>0</v>
      </c>
      <c r="W35" s="1808">
        <f>V35</f>
        <v>0</v>
      </c>
    </row>
    <row r="36" spans="1:23">
      <c r="A36" s="1704"/>
      <c r="B36" s="1704"/>
      <c r="C36" s="1704"/>
      <c r="E36" s="1704"/>
      <c r="G36" s="1704"/>
      <c r="K36" s="1723"/>
      <c r="M36" s="1723"/>
      <c r="O36" s="1723"/>
      <c r="Q36" s="1739"/>
      <c r="U36" s="1702" t="s">
        <v>1687</v>
      </c>
      <c r="V36" s="1752">
        <f>SUM(V34:V35)</f>
        <v>8.6E-3</v>
      </c>
      <c r="W36" s="1752">
        <f>SUM(W34:W35)</f>
        <v>8.6E-3</v>
      </c>
    </row>
    <row r="37" spans="1:23">
      <c r="A37" s="1704"/>
      <c r="B37" s="1704"/>
      <c r="C37" s="1704"/>
      <c r="E37" s="1704"/>
      <c r="G37" s="1704"/>
      <c r="K37" s="1723"/>
      <c r="M37" s="1723"/>
      <c r="O37" s="1723"/>
      <c r="Q37" s="1739"/>
    </row>
    <row r="38" spans="1:23">
      <c r="A38" s="1704"/>
      <c r="B38" s="1704"/>
      <c r="C38" s="1704"/>
      <c r="E38" s="1704"/>
      <c r="G38" s="1704"/>
      <c r="K38" s="1830"/>
      <c r="M38" s="1723"/>
      <c r="O38" s="1830"/>
      <c r="Q38" s="1739"/>
    </row>
    <row r="39" spans="1:23">
      <c r="A39" s="1704"/>
      <c r="B39" s="1704"/>
      <c r="C39" s="1704"/>
      <c r="E39" s="1704"/>
      <c r="G39" s="1704"/>
      <c r="K39" s="1723"/>
      <c r="M39" s="1723"/>
      <c r="O39" s="1723"/>
      <c r="Q39" s="1739"/>
    </row>
    <row r="40" spans="1:23">
      <c r="A40" s="1704"/>
      <c r="B40" s="1704"/>
      <c r="C40" s="1704"/>
      <c r="E40" s="1704"/>
      <c r="G40" s="1704"/>
      <c r="K40" s="1723"/>
      <c r="M40" s="1723"/>
      <c r="O40" s="1723"/>
      <c r="Q40" s="1739"/>
    </row>
    <row r="41" spans="1:23">
      <c r="A41" s="1704"/>
      <c r="B41" s="1704"/>
      <c r="C41" s="1704"/>
      <c r="E41" s="1704"/>
      <c r="G41" s="1704"/>
      <c r="K41" s="1723"/>
      <c r="M41" s="1723"/>
      <c r="O41" s="1723"/>
      <c r="Q41" s="1739"/>
    </row>
    <row r="42" spans="1:23">
      <c r="A42" s="1704"/>
      <c r="B42" s="1704"/>
      <c r="C42" s="1704"/>
      <c r="E42" s="1704"/>
      <c r="G42" s="1704"/>
      <c r="K42" s="1723"/>
      <c r="M42" s="1723"/>
      <c r="O42" s="1723"/>
      <c r="Q42" s="1739"/>
    </row>
    <row r="43" spans="1:23">
      <c r="A43" s="1704"/>
      <c r="B43" s="1704"/>
      <c r="C43" s="1704"/>
      <c r="E43" s="1704"/>
      <c r="G43" s="1704"/>
      <c r="K43" s="1723"/>
      <c r="M43" s="1723"/>
      <c r="O43" s="1723"/>
      <c r="Q43" s="1739"/>
    </row>
    <row r="44" spans="1:23">
      <c r="A44" s="1704"/>
      <c r="B44" s="1704"/>
      <c r="C44" s="1704"/>
      <c r="E44" s="1704"/>
      <c r="G44" s="1704"/>
      <c r="K44" s="1723"/>
      <c r="M44" s="1723"/>
      <c r="O44" s="1723"/>
      <c r="Q44" s="1739"/>
    </row>
    <row r="45" spans="1:23">
      <c r="A45" s="1704"/>
      <c r="B45" s="1704"/>
      <c r="C45" s="1704"/>
      <c r="E45" s="1704"/>
      <c r="G45" s="1704"/>
      <c r="K45" s="1723"/>
      <c r="M45" s="1723"/>
      <c r="O45" s="1723"/>
      <c r="Q45" s="1739"/>
    </row>
    <row r="46" spans="1:23">
      <c r="A46" s="1704"/>
      <c r="B46" s="1704"/>
      <c r="C46" s="1704"/>
      <c r="E46" s="1704"/>
      <c r="G46" s="1704"/>
      <c r="K46" s="1723"/>
      <c r="M46" s="1723"/>
      <c r="O46" s="1723"/>
      <c r="Q46" s="1739"/>
    </row>
    <row r="47" spans="1:23">
      <c r="A47" s="1704"/>
      <c r="B47" s="1704"/>
      <c r="C47" s="1704"/>
      <c r="E47" s="1704"/>
      <c r="G47" s="1704"/>
      <c r="K47" s="1723"/>
      <c r="M47" s="1723"/>
      <c r="O47" s="1723"/>
      <c r="Q47" s="1739"/>
    </row>
    <row r="48" spans="1:23">
      <c r="A48" s="1704"/>
      <c r="B48" s="1704"/>
      <c r="C48" s="1704"/>
      <c r="E48" s="1704"/>
      <c r="G48" s="1704"/>
      <c r="K48" s="1723"/>
      <c r="M48" s="1723"/>
      <c r="O48" s="1723"/>
      <c r="Q48" s="1739"/>
    </row>
    <row r="49" spans="1:17">
      <c r="A49" s="1704"/>
      <c r="B49" s="1704"/>
      <c r="C49" s="1704"/>
      <c r="E49" s="1704"/>
      <c r="G49" s="1704"/>
      <c r="K49" s="1723"/>
      <c r="M49" s="1723"/>
      <c r="O49" s="1723"/>
      <c r="Q49" s="1739"/>
    </row>
  </sheetData>
  <mergeCells count="2">
    <mergeCell ref="I7:K7"/>
    <mergeCell ref="Q7:S7"/>
  </mergeCells>
  <printOptions horizontalCentered="1"/>
  <pageMargins left="0.75" right="0.75" top="1" bottom="0.5" header="0.5" footer="0.25"/>
  <pageSetup scale="9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8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6.25" style="1704" bestFit="1" customWidth="1"/>
    <col min="26" max="26" width="7" style="1704" bestFit="1" customWidth="1"/>
    <col min="27" max="27" width="5.37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2252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 t="s">
        <v>2337</v>
      </c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146"/>
      <c r="H6" s="2146"/>
      <c r="I6" s="2146"/>
      <c r="K6" s="1709"/>
      <c r="L6" s="1701"/>
      <c r="M6" s="1709"/>
      <c r="O6" s="2146"/>
      <c r="P6" s="2146"/>
      <c r="Q6" s="2146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2335</v>
      </c>
      <c r="E9" s="1718" t="s">
        <v>2334</v>
      </c>
      <c r="G9" s="1719" t="s">
        <v>1399</v>
      </c>
      <c r="I9" s="1720" t="s">
        <v>465</v>
      </c>
      <c r="K9" s="1717" t="s">
        <v>2335</v>
      </c>
      <c r="M9" s="1718" t="s">
        <v>2334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19.829999999999998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19.850000000000001</v>
      </c>
      <c r="F10" s="1708"/>
      <c r="G10" s="1722">
        <f t="shared" ref="G10:G14" si="0">E10-C10</f>
        <v>2.0000000000003126E-2</v>
      </c>
      <c r="I10" s="1723">
        <f t="shared" ref="I10:I14" si="1">ROUND(IF(C10=0,0,E10/C10-1),3)</f>
        <v>1E-3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18.72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18.739999999999998</v>
      </c>
      <c r="N10" s="1708"/>
      <c r="O10" s="1722">
        <f t="shared" ref="O10:O15" si="2">M10-K10</f>
        <v>1.9999999999999574E-2</v>
      </c>
      <c r="Q10" s="1723">
        <f t="shared" ref="Q10:Q15" si="3">ROUND(IF(K10=0,0,M10/K10-1),3)</f>
        <v>1E-3</v>
      </c>
      <c r="S10" s="1724" t="s">
        <v>448</v>
      </c>
      <c r="T10" s="1725" t="s">
        <v>2335</v>
      </c>
      <c r="U10" s="1726" t="s">
        <v>2334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29.5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29.55</v>
      </c>
      <c r="F11" s="1708"/>
      <c r="G11" s="1722">
        <f t="shared" si="0"/>
        <v>5.0000000000000711E-2</v>
      </c>
      <c r="I11" s="1723">
        <f t="shared" si="1"/>
        <v>2E-3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27.27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27.32</v>
      </c>
      <c r="N11" s="1708"/>
      <c r="O11" s="1722">
        <f t="shared" si="2"/>
        <v>5.0000000000000711E-2</v>
      </c>
      <c r="Q11" s="1723">
        <f t="shared" si="3"/>
        <v>2E-3</v>
      </c>
      <c r="S11" s="1731" t="s">
        <v>79</v>
      </c>
      <c r="T11" s="1702"/>
      <c r="U11" s="1732"/>
      <c r="W11" s="1702"/>
      <c r="X11" s="1733" t="s">
        <v>111</v>
      </c>
      <c r="Y11" s="1733" t="s">
        <v>2327</v>
      </c>
      <c r="Z11" s="1733" t="s">
        <v>2326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39.17</v>
      </c>
      <c r="E12" s="1708">
        <f t="shared" si="5"/>
        <v>39.24</v>
      </c>
      <c r="F12" s="1708"/>
      <c r="G12" s="1722">
        <f t="shared" si="0"/>
        <v>7.0000000000000284E-2</v>
      </c>
      <c r="I12" s="1723">
        <f t="shared" si="1"/>
        <v>2E-3</v>
      </c>
      <c r="K12" s="1708">
        <f t="shared" si="6"/>
        <v>35.83</v>
      </c>
      <c r="M12" s="1708">
        <f t="shared" si="7"/>
        <v>35.9</v>
      </c>
      <c r="N12" s="1708"/>
      <c r="O12" s="1722">
        <f t="shared" si="2"/>
        <v>7.0000000000000284E-2</v>
      </c>
      <c r="Q12" s="1723">
        <f t="shared" si="3"/>
        <v>2E-3</v>
      </c>
      <c r="S12" s="1736" t="s">
        <v>1711</v>
      </c>
      <c r="T12" s="1737">
        <f>'Sh1-SF-1'!U12</f>
        <v>10</v>
      </c>
      <c r="U12" s="1738">
        <f>'Blocking-Step2'!Q13</f>
        <v>10</v>
      </c>
      <c r="V12" s="1739"/>
      <c r="W12" s="1740" t="s">
        <v>79</v>
      </c>
      <c r="X12" s="1741">
        <v>931</v>
      </c>
      <c r="Y12" s="1742">
        <f>C21</f>
        <v>114.97</v>
      </c>
      <c r="Z12" s="1742">
        <f>E21</f>
        <v>115.01</v>
      </c>
      <c r="AA12" s="1742">
        <f>Z12-Y12</f>
        <v>4.0000000000006253E-2</v>
      </c>
      <c r="AB12" s="1743">
        <f>Z12/Y12-1</f>
        <v>3.479168478734973E-4</v>
      </c>
    </row>
    <row r="13" spans="1:28">
      <c r="A13" s="1707">
        <v>400</v>
      </c>
      <c r="C13" s="1708">
        <f t="shared" si="4"/>
        <v>48.84</v>
      </c>
      <c r="E13" s="1708">
        <f t="shared" si="5"/>
        <v>48.94</v>
      </c>
      <c r="F13" s="1708"/>
      <c r="G13" s="1722">
        <f t="shared" si="0"/>
        <v>9.9999999999994316E-2</v>
      </c>
      <c r="I13" s="1723">
        <f t="shared" si="1"/>
        <v>2E-3</v>
      </c>
      <c r="K13" s="1708">
        <f t="shared" si="6"/>
        <v>44.39</v>
      </c>
      <c r="M13" s="1708">
        <f t="shared" si="7"/>
        <v>44.48</v>
      </c>
      <c r="N13" s="1708"/>
      <c r="O13" s="1722">
        <f t="shared" si="2"/>
        <v>8.9999999999996305E-2</v>
      </c>
      <c r="Q13" s="1723">
        <f t="shared" si="3"/>
        <v>2E-3</v>
      </c>
      <c r="S13" s="1736" t="s">
        <v>1712</v>
      </c>
      <c r="T13" s="1744">
        <f>'Sh1-SF-1'!U13</f>
        <v>9.3469672969405249</v>
      </c>
      <c r="U13" s="1745">
        <f>'Blocking-Step2'!Q29</f>
        <v>9.4980863008434291</v>
      </c>
      <c r="V13" s="1739"/>
      <c r="W13" s="1746" t="s">
        <v>80</v>
      </c>
      <c r="X13" s="1741">
        <v>697</v>
      </c>
      <c r="Y13" s="1742">
        <f>K16</f>
        <v>77.12</v>
      </c>
      <c r="Z13" s="1742">
        <f>M16</f>
        <v>77.180000000000007</v>
      </c>
      <c r="AA13" s="1742">
        <f>Z13-Y13</f>
        <v>6.0000000000002274E-2</v>
      </c>
      <c r="AB13" s="1747">
        <f>Z13/Y13-1</f>
        <v>7.7800829875518396E-4</v>
      </c>
    </row>
    <row r="14" spans="1:28">
      <c r="A14" s="1707">
        <v>500</v>
      </c>
      <c r="C14" s="1708">
        <f t="shared" si="4"/>
        <v>61.29</v>
      </c>
      <c r="E14" s="1708">
        <f t="shared" si="5"/>
        <v>61.38</v>
      </c>
      <c r="F14" s="1708"/>
      <c r="G14" s="1722">
        <f t="shared" si="0"/>
        <v>9.0000000000003411E-2</v>
      </c>
      <c r="I14" s="1723">
        <f t="shared" si="1"/>
        <v>1E-3</v>
      </c>
      <c r="K14" s="1708">
        <f t="shared" si="6"/>
        <v>55.41</v>
      </c>
      <c r="M14" s="1708">
        <f t="shared" si="7"/>
        <v>55.49</v>
      </c>
      <c r="N14" s="1708"/>
      <c r="O14" s="1722">
        <f t="shared" si="2"/>
        <v>8.00000000000054E-2</v>
      </c>
      <c r="Q14" s="1723">
        <f t="shared" si="3"/>
        <v>1E-3</v>
      </c>
      <c r="S14" s="1736" t="s">
        <v>1713</v>
      </c>
      <c r="T14" s="1744">
        <f>'Sh1-SF-1'!U14</f>
        <v>12.040067296940524</v>
      </c>
      <c r="U14" s="1745">
        <f>'Blocking-Step2'!Q30</f>
        <v>12.191186300843428</v>
      </c>
      <c r="V14" s="1739"/>
      <c r="W14" s="1748" t="s">
        <v>494</v>
      </c>
      <c r="X14" s="1749">
        <v>775</v>
      </c>
      <c r="Y14" s="1750">
        <f>(C18*4+K18*8)/12</f>
        <v>88.993333333333339</v>
      </c>
      <c r="Z14" s="1750">
        <f>(E18*4+M18*8)/12</f>
        <v>89.046666666666667</v>
      </c>
      <c r="AA14" s="1750">
        <f>Z14-Y14</f>
        <v>5.333333333332746E-2</v>
      </c>
      <c r="AB14" s="1751">
        <f>Z14/Y14-1</f>
        <v>5.9929582740281262E-4</v>
      </c>
    </row>
    <row r="15" spans="1:28">
      <c r="A15" s="1707">
        <v>600</v>
      </c>
      <c r="C15" s="1708">
        <f t="shared" si="4"/>
        <v>73.75</v>
      </c>
      <c r="E15" s="1708">
        <f t="shared" si="5"/>
        <v>73.819999999999993</v>
      </c>
      <c r="F15" s="1708"/>
      <c r="G15" s="1722">
        <f t="shared" ref="G15" si="8">E15-C15</f>
        <v>6.9999999999993179E-2</v>
      </c>
      <c r="I15" s="1723">
        <f t="shared" ref="I15" si="9">ROUND(IF(C15=0,0,E15/C15-1),3)</f>
        <v>1E-3</v>
      </c>
      <c r="K15" s="1708">
        <f t="shared" si="6"/>
        <v>66.430000000000007</v>
      </c>
      <c r="M15" s="1708">
        <f t="shared" si="7"/>
        <v>66.5</v>
      </c>
      <c r="N15" s="1708"/>
      <c r="O15" s="1722">
        <f t="shared" si="2"/>
        <v>6.9999999999993179E-2</v>
      </c>
      <c r="Q15" s="1723">
        <f t="shared" si="3"/>
        <v>1E-3</v>
      </c>
      <c r="S15" s="1736" t="s">
        <v>1714</v>
      </c>
      <c r="T15" s="1744">
        <f>'Sh1-SF-1'!U15</f>
        <v>12.040067296940524</v>
      </c>
      <c r="U15" s="1745">
        <f>U14</f>
        <v>12.191186300843428</v>
      </c>
      <c r="V15" s="1739"/>
      <c r="W15" s="1748" t="s">
        <v>494</v>
      </c>
      <c r="X15" s="1749">
        <v>800</v>
      </c>
      <c r="Y15" s="1750">
        <f>(C19*4+K19*8)/12</f>
        <v>91.873333333333335</v>
      </c>
      <c r="Z15" s="1750">
        <f>(E19*4+M19*8)/12</f>
        <v>91.916666666666671</v>
      </c>
      <c r="AA15" s="1750">
        <f>Z15-Y15</f>
        <v>4.3333333333336554E-2</v>
      </c>
      <c r="AB15" s="1751">
        <f>Z15/Y15-1</f>
        <v>4.7166388505925916E-4</v>
      </c>
    </row>
    <row r="16" spans="1:28">
      <c r="A16" s="1707">
        <f>X13</f>
        <v>697</v>
      </c>
      <c r="B16" s="1704" t="s">
        <v>1716</v>
      </c>
      <c r="F16" s="1708"/>
      <c r="G16" s="1722"/>
      <c r="I16" s="1723"/>
      <c r="K16" s="1708">
        <f t="shared" si="6"/>
        <v>77.12</v>
      </c>
      <c r="M16" s="1708">
        <f t="shared" si="7"/>
        <v>77.180000000000007</v>
      </c>
      <c r="N16" s="1708"/>
      <c r="O16" s="1722">
        <f>M16-K16</f>
        <v>6.0000000000002274E-2</v>
      </c>
      <c r="Q16" s="1723">
        <f>ROUND(IF(K16=0,0,M16/K16-1),3)</f>
        <v>1E-3</v>
      </c>
      <c r="S16" s="1736" t="s">
        <v>1715</v>
      </c>
      <c r="T16" s="1737">
        <f>'Sh1-SF-1'!U16</f>
        <v>0</v>
      </c>
      <c r="U16" s="1738"/>
      <c r="V16" s="1739"/>
      <c r="X16" s="1702"/>
      <c r="AB16" s="1752"/>
    </row>
    <row r="17" spans="1:24">
      <c r="A17" s="1707">
        <v>700</v>
      </c>
      <c r="C17" s="1708">
        <f t="shared" ref="C17:C31" si="10">ROUND($T$12+((MIN(400,$A17)*$T$13+MAX(0,MIN(600,$A17-400))*$T$14+MAX(0,$A17-1000)*$T$15)/100+MAX(0,$T$16-($T$12+(MIN(400,$A17)*$T$13+MAX(0,MIN(600,$A17-400))*$T$14+MAX(0,$A17-1000)*$T$15)/100)))*((1+$T$32)*(1+$T$18)+$T$27)+$T$17,2)</f>
        <v>86.2</v>
      </c>
      <c r="E17" s="1708">
        <f t="shared" ref="E17:E31" si="11">ROUND($U$12+((MIN(400,$A17)*$U$13+MAX(0,MIN(600,$A17-400))*$U$14+MAX(0,$A17-1000)*$U$15)/100+MAX(0,$U$16-($U$12+(MIN(400,$A17)*$U$13+MAX(0,MIN(600,$A17-400))*$U$14+MAX(0,$A17-1000)*$U$15)/100)))*((1+$U$32)*(1+$U$18)+$U$27)+$U$17,2)</f>
        <v>86.27</v>
      </c>
      <c r="F17" s="1708"/>
      <c r="G17" s="1722">
        <f>E17-C17</f>
        <v>6.9999999999993179E-2</v>
      </c>
      <c r="I17" s="1723">
        <f>ROUND(IF(C17=0,0,E17/C17-1),3)</f>
        <v>1E-3</v>
      </c>
      <c r="K17" s="1708">
        <f t="shared" si="6"/>
        <v>77.45</v>
      </c>
      <c r="M17" s="1708">
        <f t="shared" si="7"/>
        <v>77.510000000000005</v>
      </c>
      <c r="N17" s="1708"/>
      <c r="O17" s="1722">
        <f>M17-K17</f>
        <v>6.0000000000002274E-2</v>
      </c>
      <c r="Q17" s="1723">
        <f>ROUND(IF(K17=0,0,M17/K17-1),3)</f>
        <v>1E-3</v>
      </c>
      <c r="S17" s="1736" t="s">
        <v>1133</v>
      </c>
      <c r="T17" s="1737">
        <f>'Sh1-SF-1'!U17</f>
        <v>0.16</v>
      </c>
      <c r="U17" s="1738">
        <f>T17</f>
        <v>0.16</v>
      </c>
      <c r="V17" s="1739"/>
      <c r="W17" s="1753"/>
      <c r="X17" s="1753"/>
    </row>
    <row r="18" spans="1:24">
      <c r="A18" s="1707">
        <f>X14</f>
        <v>775</v>
      </c>
      <c r="B18" s="1704" t="s">
        <v>1717</v>
      </c>
      <c r="C18" s="1708">
        <f t="shared" si="10"/>
        <v>95.54</v>
      </c>
      <c r="E18" s="1708">
        <f t="shared" si="11"/>
        <v>95.6</v>
      </c>
      <c r="F18" s="1708"/>
      <c r="G18" s="1722">
        <f>E18-C18</f>
        <v>5.9999999999988063E-2</v>
      </c>
      <c r="I18" s="1723">
        <f>ROUND(IF(C18=0,0,E18/C18-1),3)</f>
        <v>1E-3</v>
      </c>
      <c r="K18" s="1708">
        <f t="shared" si="6"/>
        <v>85.72</v>
      </c>
      <c r="M18" s="1708">
        <f t="shared" si="7"/>
        <v>85.77</v>
      </c>
      <c r="N18" s="1708"/>
      <c r="O18" s="1722">
        <f>M18-K18</f>
        <v>4.9999999999997158E-2</v>
      </c>
      <c r="Q18" s="1723">
        <f>ROUND(IF(K18=0,0,M18/K18-1),3)</f>
        <v>1E-3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800</v>
      </c>
      <c r="C19" s="1708">
        <f t="shared" si="10"/>
        <v>98.66</v>
      </c>
      <c r="E19" s="1708">
        <f t="shared" si="11"/>
        <v>98.71</v>
      </c>
      <c r="F19" s="1708"/>
      <c r="G19" s="1722">
        <f>E19-C19</f>
        <v>4.9999999999997158E-2</v>
      </c>
      <c r="I19" s="1723">
        <f>ROUND(IF(C19=0,0,E19/C19-1),3)</f>
        <v>1E-3</v>
      </c>
      <c r="K19" s="1708">
        <f t="shared" si="6"/>
        <v>88.48</v>
      </c>
      <c r="M19" s="1708">
        <f t="shared" si="7"/>
        <v>88.52</v>
      </c>
      <c r="N19" s="1708"/>
      <c r="O19" s="1722">
        <f>M19-K19</f>
        <v>3.9999999999992042E-2</v>
      </c>
      <c r="Q19" s="1723">
        <f>ROUND(IF(K19=0,0,M19/K19-1),3)</f>
        <v>0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900</v>
      </c>
      <c r="C20" s="1708">
        <f t="shared" si="10"/>
        <v>111.11</v>
      </c>
      <c r="E20" s="1708">
        <f t="shared" si="11"/>
        <v>111.15</v>
      </c>
      <c r="F20" s="1708"/>
      <c r="G20" s="1722">
        <f t="shared" ref="G20:G31" si="12">E20-C20</f>
        <v>4.0000000000006253E-2</v>
      </c>
      <c r="I20" s="1723">
        <f t="shared" ref="I20:I31" si="13">ROUND(IF(C20=0,0,E20/C20-1),3)</f>
        <v>0</v>
      </c>
      <c r="K20" s="1708">
        <f t="shared" si="6"/>
        <v>99.5</v>
      </c>
      <c r="M20" s="1708">
        <f t="shared" si="7"/>
        <v>99.53</v>
      </c>
      <c r="N20" s="1708"/>
      <c r="O20" s="1722">
        <f>M20-K20</f>
        <v>3.0000000000001137E-2</v>
      </c>
      <c r="Q20" s="1723">
        <f>ROUND(IF(K20=0,0,M20/K20-1),3)</f>
        <v>0</v>
      </c>
      <c r="S20" s="1736" t="s">
        <v>1711</v>
      </c>
      <c r="T20" s="1737">
        <f>'Sh1-SF-1'!U20</f>
        <v>10</v>
      </c>
      <c r="U20" s="1738">
        <f>U12</f>
        <v>10</v>
      </c>
      <c r="V20" s="1739"/>
      <c r="W20" s="1753"/>
      <c r="X20" s="1753"/>
    </row>
    <row r="21" spans="1:24">
      <c r="A21" s="1707">
        <f>X12</f>
        <v>931</v>
      </c>
      <c r="B21" s="1704" t="s">
        <v>1719</v>
      </c>
      <c r="C21" s="1708">
        <f t="shared" si="10"/>
        <v>114.97</v>
      </c>
      <c r="E21" s="1708">
        <f t="shared" si="11"/>
        <v>115.01</v>
      </c>
      <c r="F21" s="1708"/>
      <c r="G21" s="1722">
        <f t="shared" si="12"/>
        <v>4.0000000000006253E-2</v>
      </c>
      <c r="I21" s="1723">
        <f t="shared" si="13"/>
        <v>0</v>
      </c>
      <c r="N21" s="1708"/>
      <c r="O21" s="1722"/>
      <c r="Q21" s="1723"/>
      <c r="S21" s="1736" t="s">
        <v>1712</v>
      </c>
      <c r="T21" s="1758">
        <f>'Sh1-SF-1'!U21</f>
        <v>8.2716524751690006</v>
      </c>
      <c r="U21" s="1745">
        <f>'Blocking-Step2'!Q32</f>
        <v>8.4053861069410001</v>
      </c>
      <c r="V21" s="1739"/>
      <c r="W21" s="1753"/>
      <c r="X21" s="1753"/>
    </row>
    <row r="22" spans="1:24">
      <c r="A22" s="1707">
        <v>1000</v>
      </c>
      <c r="C22" s="1708">
        <f t="shared" si="10"/>
        <v>123.57</v>
      </c>
      <c r="E22" s="1708">
        <f t="shared" si="11"/>
        <v>123.6</v>
      </c>
      <c r="F22" s="1708"/>
      <c r="G22" s="1722">
        <f t="shared" si="12"/>
        <v>3.0000000000001137E-2</v>
      </c>
      <c r="I22" s="1723">
        <f t="shared" si="13"/>
        <v>0</v>
      </c>
      <c r="K22" s="1708">
        <f t="shared" ref="K22:K30" si="14">ROUND($T$20+((MIN(400,$A22)*$T$21+MAX(0,MIN(600,$A22-400))*$T$22+MAX(0,$A22-1000)*$T$23)/100+MAX(0,$T$24-($T$20+(MIN(400,$A22)*$T$21+MAX(0,MIN(600,$A22-400))*$T$22+MAX(0,$A22-1000)*$T$23)/100)))*((1+$T$32)*(1+$T$26)+$T$27)+$T$25,2)</f>
        <v>110.52</v>
      </c>
      <c r="M22" s="1708">
        <f t="shared" ref="M22:M30" si="15">ROUND($U$20+((MIN(400,$A22)*$U$21+MAX(0,MIN(600,$A22-400))*$U$22+MAX(0,$A22-1000)*$U$23)/100+MAX(0,$U$24-($U$20+(MIN(400,$A22)*$U$21+MAX(0,MIN(600,$A22-400))*$U$22+MAX(0,$A22-1000)*$U$23)/100)))*((1+$U$32)*(1+$U$26)+$U$27)+$U$25,2)</f>
        <v>110.55</v>
      </c>
      <c r="N22" s="1708"/>
      <c r="O22" s="1722">
        <f t="shared" ref="O22:O31" si="16">M22-K22</f>
        <v>3.0000000000001137E-2</v>
      </c>
      <c r="Q22" s="1723">
        <f t="shared" ref="Q22:Q31" si="17">ROUND(IF(K22=0,0,M22/K22-1),3)</f>
        <v>0</v>
      </c>
      <c r="S22" s="1736" t="s">
        <v>1713</v>
      </c>
      <c r="T22" s="1758">
        <f>'Sh1-SF-1'!U22</f>
        <v>10.654926811452</v>
      </c>
      <c r="U22" s="1745">
        <f>'Blocking-Step2'!Q33</f>
        <v>10.788660443224</v>
      </c>
      <c r="V22" s="1739"/>
      <c r="W22" s="1753"/>
      <c r="X22" s="1753"/>
    </row>
    <row r="23" spans="1:24">
      <c r="A23" s="1707">
        <v>1100</v>
      </c>
      <c r="C23" s="1708">
        <f t="shared" si="10"/>
        <v>136.02000000000001</v>
      </c>
      <c r="E23" s="1708">
        <f t="shared" si="11"/>
        <v>136.04</v>
      </c>
      <c r="F23" s="1708"/>
      <c r="G23" s="1722">
        <f t="shared" si="12"/>
        <v>1.999999999998181E-2</v>
      </c>
      <c r="I23" s="1723">
        <f t="shared" si="13"/>
        <v>0</v>
      </c>
      <c r="K23" s="1708">
        <f t="shared" si="14"/>
        <v>121.54</v>
      </c>
      <c r="M23" s="1708">
        <f t="shared" si="15"/>
        <v>121.56</v>
      </c>
      <c r="N23" s="1708"/>
      <c r="O23" s="1722">
        <f t="shared" si="16"/>
        <v>1.9999999999996021E-2</v>
      </c>
      <c r="Q23" s="1723">
        <f t="shared" si="17"/>
        <v>0</v>
      </c>
      <c r="S23" s="1736" t="s">
        <v>1714</v>
      </c>
      <c r="T23" s="1758">
        <f>'Sh1-SF-1'!U23</f>
        <v>10.654926811452</v>
      </c>
      <c r="U23" s="1745">
        <f>U22</f>
        <v>10.788660443224</v>
      </c>
      <c r="V23" s="1739"/>
      <c r="W23" s="1753"/>
      <c r="X23" s="1753"/>
    </row>
    <row r="24" spans="1:24">
      <c r="A24" s="1707">
        <v>1200</v>
      </c>
      <c r="C24" s="1708">
        <f t="shared" si="10"/>
        <v>148.47999999999999</v>
      </c>
      <c r="E24" s="1708">
        <f t="shared" si="11"/>
        <v>148.47999999999999</v>
      </c>
      <c r="F24" s="1708"/>
      <c r="G24" s="1722">
        <f t="shared" si="12"/>
        <v>0</v>
      </c>
      <c r="I24" s="1723">
        <f t="shared" si="13"/>
        <v>0</v>
      </c>
      <c r="K24" s="1708">
        <f t="shared" si="14"/>
        <v>132.56</v>
      </c>
      <c r="M24" s="1708">
        <f t="shared" si="15"/>
        <v>132.57</v>
      </c>
      <c r="N24" s="1708"/>
      <c r="O24" s="1722">
        <f t="shared" si="16"/>
        <v>9.9999999999909051E-3</v>
      </c>
      <c r="Q24" s="1723">
        <f t="shared" si="17"/>
        <v>0</v>
      </c>
      <c r="S24" s="1736" t="s">
        <v>1715</v>
      </c>
      <c r="T24" s="1737">
        <f>'Sh1-SF-1'!U24</f>
        <v>0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160.93</v>
      </c>
      <c r="E25" s="1708">
        <f t="shared" si="11"/>
        <v>160.93</v>
      </c>
      <c r="F25" s="1708"/>
      <c r="G25" s="1722">
        <f t="shared" si="12"/>
        <v>0</v>
      </c>
      <c r="I25" s="1723">
        <f t="shared" si="13"/>
        <v>0</v>
      </c>
      <c r="K25" s="1708">
        <f t="shared" si="14"/>
        <v>143.59</v>
      </c>
      <c r="M25" s="1708">
        <f t="shared" si="15"/>
        <v>143.58000000000001</v>
      </c>
      <c r="N25" s="1708"/>
      <c r="O25" s="1722">
        <f t="shared" si="16"/>
        <v>-9.9999999999909051E-3</v>
      </c>
      <c r="Q25" s="1723">
        <f t="shared" si="17"/>
        <v>0</v>
      </c>
      <c r="S25" s="1736" t="s">
        <v>1133</v>
      </c>
      <c r="T25" s="1737">
        <f>'Sh1-SF-1'!U25</f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173.39</v>
      </c>
      <c r="E26" s="1708">
        <f t="shared" si="11"/>
        <v>173.37</v>
      </c>
      <c r="F26" s="1708"/>
      <c r="G26" s="1722">
        <f t="shared" si="12"/>
        <v>-1.999999999998181E-2</v>
      </c>
      <c r="I26" s="1723">
        <f t="shared" si="13"/>
        <v>0</v>
      </c>
      <c r="K26" s="1708">
        <f t="shared" si="14"/>
        <v>154.61000000000001</v>
      </c>
      <c r="M26" s="1708">
        <f t="shared" si="15"/>
        <v>154.59</v>
      </c>
      <c r="N26" s="1708"/>
      <c r="O26" s="1722">
        <f t="shared" si="16"/>
        <v>-2.0000000000010232E-2</v>
      </c>
      <c r="Q26" s="1723">
        <f t="shared" si="17"/>
        <v>0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185.84</v>
      </c>
      <c r="E27" s="1708">
        <f t="shared" si="11"/>
        <v>185.81</v>
      </c>
      <c r="F27" s="1708"/>
      <c r="G27" s="1722">
        <f t="shared" si="12"/>
        <v>-3.0000000000001137E-2</v>
      </c>
      <c r="I27" s="1723">
        <f t="shared" si="13"/>
        <v>0</v>
      </c>
      <c r="K27" s="1708">
        <f t="shared" si="14"/>
        <v>165.63</v>
      </c>
      <c r="M27" s="1708">
        <f t="shared" si="15"/>
        <v>165.6</v>
      </c>
      <c r="N27" s="1708"/>
      <c r="O27" s="1722">
        <f t="shared" si="16"/>
        <v>-3.0000000000001137E-2</v>
      </c>
      <c r="Q27" s="1723">
        <f t="shared" si="17"/>
        <v>0</v>
      </c>
      <c r="S27" s="1762" t="s">
        <v>1720</v>
      </c>
      <c r="T27" s="1763">
        <f>'Sh1-SF-1'!U27</f>
        <v>-1.7000000000000001E-2</v>
      </c>
      <c r="U27" s="1764">
        <f>'Blocking-Step2'!Q43</f>
        <v>-3.0800000000000001E-2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248.12</v>
      </c>
      <c r="E28" s="1708">
        <f t="shared" si="11"/>
        <v>248.03</v>
      </c>
      <c r="F28" s="1708"/>
      <c r="G28" s="1722">
        <f t="shared" si="12"/>
        <v>-9.0000000000003411E-2</v>
      </c>
      <c r="I28" s="1723">
        <f t="shared" si="13"/>
        <v>0</v>
      </c>
      <c r="K28" s="1708">
        <f t="shared" si="14"/>
        <v>220.74</v>
      </c>
      <c r="M28" s="1708">
        <f t="shared" si="15"/>
        <v>220.66</v>
      </c>
      <c r="N28" s="1708"/>
      <c r="O28" s="1722">
        <f t="shared" si="16"/>
        <v>-8.0000000000012506E-2</v>
      </c>
      <c r="Q28" s="1723">
        <f t="shared" si="17"/>
        <v>0</v>
      </c>
      <c r="S28" s="1736" t="s">
        <v>1721</v>
      </c>
      <c r="T28" s="1765">
        <f>'Sh1-SF-1'!U28</f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372.67</v>
      </c>
      <c r="E29" s="1708">
        <f t="shared" si="11"/>
        <v>372.46</v>
      </c>
      <c r="F29" s="1708"/>
      <c r="G29" s="1722">
        <f t="shared" si="12"/>
        <v>-0.21000000000003638</v>
      </c>
      <c r="I29" s="1723">
        <f t="shared" si="13"/>
        <v>-1E-3</v>
      </c>
      <c r="K29" s="1708">
        <f t="shared" si="14"/>
        <v>330.96</v>
      </c>
      <c r="M29" s="1708">
        <f t="shared" si="15"/>
        <v>330.78</v>
      </c>
      <c r="N29" s="1708"/>
      <c r="O29" s="1722">
        <f t="shared" si="16"/>
        <v>-0.18000000000000682</v>
      </c>
      <c r="Q29" s="1723">
        <f t="shared" si="17"/>
        <v>-1E-3</v>
      </c>
      <c r="S29" s="1736" t="s">
        <v>1722</v>
      </c>
      <c r="T29" s="1765">
        <f>'Sh1-SF-1'!U29</f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497.22</v>
      </c>
      <c r="E30" s="1708">
        <f t="shared" si="11"/>
        <v>496.89</v>
      </c>
      <c r="F30" s="1708"/>
      <c r="G30" s="1722">
        <f t="shared" si="12"/>
        <v>-0.33000000000004093</v>
      </c>
      <c r="I30" s="1723">
        <f t="shared" si="13"/>
        <v>-1E-3</v>
      </c>
      <c r="K30" s="1708">
        <f t="shared" si="14"/>
        <v>441.18</v>
      </c>
      <c r="M30" s="1708">
        <f t="shared" si="15"/>
        <v>440.89</v>
      </c>
      <c r="N30" s="1708"/>
      <c r="O30" s="1722">
        <f t="shared" si="16"/>
        <v>-0.29000000000002046</v>
      </c>
      <c r="Q30" s="1723">
        <f t="shared" si="17"/>
        <v>-1E-3</v>
      </c>
      <c r="S30" s="1736" t="s">
        <v>1685</v>
      </c>
      <c r="T30" s="1765">
        <f>'Sh1-SF-1'!U30</f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621.77</v>
      </c>
      <c r="E31" s="1708">
        <f t="shared" si="11"/>
        <v>621.32000000000005</v>
      </c>
      <c r="F31" s="1708"/>
      <c r="G31" s="1722">
        <f t="shared" si="12"/>
        <v>-0.44999999999993179</v>
      </c>
      <c r="I31" s="1723">
        <f t="shared" si="13"/>
        <v>-1E-3</v>
      </c>
      <c r="K31" s="1708">
        <f>ROUND($T$20+((MIN(400,$A31)*$T$21+MAX(0,MIN(600,$A31-400))*$T$22+MAX(0,$A31-1000)*$T$23)/100+MAX(0,$T$24-($T$20+(MIN(400,$A31)*$T$21+MAX(0,MIN(600,$A31-400))*$T$22+MAX(0,$A31-1000)*$T$23)/100)))*((1+$T$32)*(1+$T$26)+$T$27)+$T$25,2)</f>
        <v>551.4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551.01</v>
      </c>
      <c r="N31" s="1708"/>
      <c r="O31" s="1722">
        <f t="shared" si="16"/>
        <v>-0.38999999999998636</v>
      </c>
      <c r="Q31" s="1723">
        <f t="shared" si="17"/>
        <v>-1E-3</v>
      </c>
      <c r="S31" s="1736" t="s">
        <v>1686</v>
      </c>
      <c r="T31" s="1765">
        <f>'Sh1-SF-1'!U31</f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 ht="15.75">
      <c r="A34" s="1770" t="s">
        <v>1723</v>
      </c>
      <c r="W34" s="1753"/>
      <c r="X34" s="1753"/>
    </row>
    <row r="35" spans="1:28">
      <c r="A35" s="1707" t="s">
        <v>1724</v>
      </c>
      <c r="W35" s="1753"/>
      <c r="X35" s="1753"/>
    </row>
    <row r="36" spans="1:28">
      <c r="A36" s="1771"/>
      <c r="B36" s="1702"/>
      <c r="C36" s="1772"/>
      <c r="D36" s="1702"/>
      <c r="E36" s="1772"/>
      <c r="F36" s="1702"/>
      <c r="G36" s="1773"/>
      <c r="H36" s="1702"/>
      <c r="I36" s="1702"/>
      <c r="J36" s="1702"/>
      <c r="K36" s="1772"/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8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5.625" style="1704" bestFit="1" customWidth="1"/>
    <col min="26" max="26" width="7" style="1704" bestFit="1" customWidth="1"/>
    <col min="27" max="27" width="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2253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 t="s">
        <v>2337</v>
      </c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146"/>
      <c r="H6" s="2146"/>
      <c r="I6" s="2146"/>
      <c r="K6" s="1709"/>
      <c r="L6" s="1701"/>
      <c r="M6" s="1709"/>
      <c r="O6" s="2146"/>
      <c r="P6" s="2146"/>
      <c r="Q6" s="2146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2335</v>
      </c>
      <c r="E9" s="1718" t="s">
        <v>2334</v>
      </c>
      <c r="G9" s="1719" t="s">
        <v>1399</v>
      </c>
      <c r="I9" s="1720" t="s">
        <v>465</v>
      </c>
      <c r="K9" s="1717" t="s">
        <v>2335</v>
      </c>
      <c r="M9" s="1718" t="s">
        <v>2334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15.83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15.85</v>
      </c>
      <c r="F10" s="1708"/>
      <c r="G10" s="1722">
        <f t="shared" ref="G10:G14" si="0">E10-C10</f>
        <v>1.9999999999999574E-2</v>
      </c>
      <c r="I10" s="1723">
        <f t="shared" ref="I10:I14" si="1">ROUND(IF(C10=0,0,E10/C10-1),3)</f>
        <v>1E-3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14.72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14.74</v>
      </c>
      <c r="N10" s="1708"/>
      <c r="O10" s="1722">
        <f t="shared" ref="O10:O12" si="2">M10-K10</f>
        <v>1.9999999999999574E-2</v>
      </c>
      <c r="Q10" s="1723">
        <f t="shared" ref="Q10:Q12" si="3">ROUND(IF(K10=0,0,M10/K10-1),3)</f>
        <v>1E-3</v>
      </c>
      <c r="S10" s="1724" t="s">
        <v>448</v>
      </c>
      <c r="T10" s="1725" t="s">
        <v>2335</v>
      </c>
      <c r="U10" s="1726" t="s">
        <v>2334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25.5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25.55</v>
      </c>
      <c r="F11" s="1708"/>
      <c r="G11" s="1722">
        <f t="shared" si="0"/>
        <v>5.0000000000000711E-2</v>
      </c>
      <c r="I11" s="1723">
        <f t="shared" si="1"/>
        <v>2E-3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23.27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23.32</v>
      </c>
      <c r="N11" s="1708"/>
      <c r="O11" s="1722">
        <f t="shared" si="2"/>
        <v>5.0000000000000711E-2</v>
      </c>
      <c r="Q11" s="1723">
        <f t="shared" si="3"/>
        <v>2E-3</v>
      </c>
      <c r="S11" s="1731" t="s">
        <v>79</v>
      </c>
      <c r="T11" s="1702"/>
      <c r="U11" s="1732"/>
      <c r="W11" s="1702"/>
      <c r="X11" s="1733" t="s">
        <v>111</v>
      </c>
      <c r="Y11" s="1733" t="s">
        <v>2327</v>
      </c>
      <c r="Z11" s="1733" t="s">
        <v>2326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35.17</v>
      </c>
      <c r="E12" s="1708">
        <f t="shared" si="5"/>
        <v>35.24</v>
      </c>
      <c r="F12" s="1708"/>
      <c r="G12" s="1722">
        <f t="shared" si="0"/>
        <v>7.0000000000000284E-2</v>
      </c>
      <c r="I12" s="1723">
        <f t="shared" si="1"/>
        <v>2E-3</v>
      </c>
      <c r="K12" s="1708">
        <f t="shared" si="6"/>
        <v>31.83</v>
      </c>
      <c r="M12" s="1708">
        <f t="shared" si="7"/>
        <v>31.9</v>
      </c>
      <c r="N12" s="1708"/>
      <c r="O12" s="1722">
        <f t="shared" si="2"/>
        <v>7.0000000000000284E-2</v>
      </c>
      <c r="Q12" s="1723">
        <f t="shared" si="3"/>
        <v>2E-3</v>
      </c>
      <c r="S12" s="1736" t="s">
        <v>1711</v>
      </c>
      <c r="T12" s="1737">
        <f>'Sch1-MF-1'!U12</f>
        <v>6</v>
      </c>
      <c r="U12" s="1738">
        <f>'Blocking-Step2'!Q14</f>
        <v>6</v>
      </c>
      <c r="V12" s="1739"/>
      <c r="W12" s="1740" t="s">
        <v>79</v>
      </c>
      <c r="X12" s="1741">
        <v>513</v>
      </c>
      <c r="Y12" s="1742">
        <f>C17</f>
        <v>58.91</v>
      </c>
      <c r="Z12" s="1742">
        <f>E17</f>
        <v>59</v>
      </c>
      <c r="AA12" s="1742">
        <f>Z12-Y12</f>
        <v>9.0000000000003411E-2</v>
      </c>
      <c r="AB12" s="1743">
        <f>Z12/Y12-1</f>
        <v>1.5277542013241163E-3</v>
      </c>
    </row>
    <row r="13" spans="1:28">
      <c r="A13" s="1707">
        <f>X13</f>
        <v>392</v>
      </c>
      <c r="B13" s="1704" t="s">
        <v>1716</v>
      </c>
      <c r="F13" s="1708"/>
      <c r="G13" s="1722"/>
      <c r="I13" s="1723"/>
      <c r="K13" s="1708">
        <f t="shared" si="6"/>
        <v>39.700000000000003</v>
      </c>
      <c r="M13" s="1708">
        <f t="shared" si="7"/>
        <v>39.79</v>
      </c>
      <c r="N13" s="1708"/>
      <c r="O13" s="1722">
        <f>M13-K13</f>
        <v>8.9999999999996305E-2</v>
      </c>
      <c r="Q13" s="1723">
        <f>ROUND(IF(K13=0,0,M13/K13-1),3)</f>
        <v>2E-3</v>
      </c>
      <c r="S13" s="1736" t="s">
        <v>1712</v>
      </c>
      <c r="T13" s="1744">
        <f>'Sch1-MF-1'!U13</f>
        <v>9.3469672969405249</v>
      </c>
      <c r="U13" s="1745">
        <f>'Blocking-Step2'!Q29</f>
        <v>9.4980863008434291</v>
      </c>
      <c r="V13" s="1739"/>
      <c r="W13" s="1746" t="s">
        <v>80</v>
      </c>
      <c r="X13" s="1741">
        <v>392</v>
      </c>
      <c r="Y13" s="1742">
        <f>K13</f>
        <v>39.700000000000003</v>
      </c>
      <c r="Z13" s="1742">
        <f>M13</f>
        <v>39.79</v>
      </c>
      <c r="AA13" s="1742">
        <f>Z13-Y13</f>
        <v>8.9999999999996305E-2</v>
      </c>
      <c r="AB13" s="1747">
        <f>Z13/Y13-1</f>
        <v>2.2670025188915588E-3</v>
      </c>
    </row>
    <row r="14" spans="1:28">
      <c r="A14" s="1707">
        <v>400</v>
      </c>
      <c r="C14" s="1708">
        <f t="shared" si="4"/>
        <v>44.84</v>
      </c>
      <c r="E14" s="1708">
        <f t="shared" si="5"/>
        <v>44.94</v>
      </c>
      <c r="F14" s="1708"/>
      <c r="G14" s="1722">
        <f t="shared" si="0"/>
        <v>9.9999999999994316E-2</v>
      </c>
      <c r="I14" s="1723">
        <f t="shared" si="1"/>
        <v>2E-3</v>
      </c>
      <c r="K14" s="1708">
        <f t="shared" si="6"/>
        <v>40.39</v>
      </c>
      <c r="M14" s="1708">
        <f t="shared" si="7"/>
        <v>40.479999999999997</v>
      </c>
      <c r="N14" s="1708"/>
      <c r="O14" s="1722">
        <f>M14-K14</f>
        <v>8.9999999999996305E-2</v>
      </c>
      <c r="Q14" s="1723">
        <f>ROUND(IF(K14=0,0,M14/K14-1),3)</f>
        <v>2E-3</v>
      </c>
      <c r="S14" s="1736" t="s">
        <v>1713</v>
      </c>
      <c r="T14" s="1744">
        <f>'Sch1-MF-1'!U14</f>
        <v>12.040067296940524</v>
      </c>
      <c r="U14" s="1745">
        <f>'Blocking-Step2'!Q30</f>
        <v>12.191186300843428</v>
      </c>
      <c r="V14" s="1739"/>
      <c r="W14" s="1748" t="s">
        <v>494</v>
      </c>
      <c r="X14" s="1749">
        <v>433</v>
      </c>
      <c r="Y14" s="1750">
        <f>(C15*4+K15*8)/12</f>
        <v>45.663333333333334</v>
      </c>
      <c r="Z14" s="1750">
        <f>(E15*4+M15*8)/12</f>
        <v>45.75333333333333</v>
      </c>
      <c r="AA14" s="1750">
        <f>Z14-Y14</f>
        <v>8.9999999999996305E-2</v>
      </c>
      <c r="AB14" s="1751">
        <f>Z14/Y14-1</f>
        <v>1.9709467844366557E-3</v>
      </c>
    </row>
    <row r="15" spans="1:28">
      <c r="A15" s="1707">
        <f>X14</f>
        <v>433</v>
      </c>
      <c r="B15" s="1704" t="s">
        <v>1717</v>
      </c>
      <c r="C15" s="1708">
        <f t="shared" si="4"/>
        <v>48.95</v>
      </c>
      <c r="E15" s="1708">
        <f t="shared" si="5"/>
        <v>49.04</v>
      </c>
      <c r="F15" s="1708"/>
      <c r="G15" s="1722">
        <f t="shared" ref="G15" si="8">E15-C15</f>
        <v>8.9999999999996305E-2</v>
      </c>
      <c r="I15" s="1723">
        <f t="shared" ref="I15" si="9">ROUND(IF(C15=0,0,E15/C15-1),3)</f>
        <v>2E-3</v>
      </c>
      <c r="K15" s="1708">
        <f t="shared" si="6"/>
        <v>44.02</v>
      </c>
      <c r="M15" s="1708">
        <f t="shared" si="7"/>
        <v>44.11</v>
      </c>
      <c r="N15" s="1708"/>
      <c r="O15" s="1722">
        <f>M15-K15</f>
        <v>8.9999999999996305E-2</v>
      </c>
      <c r="Q15" s="1723">
        <f>ROUND(IF(K15=0,0,M15/K15-1),3)</f>
        <v>2E-3</v>
      </c>
      <c r="S15" s="1736" t="s">
        <v>1714</v>
      </c>
      <c r="T15" s="1744">
        <f>'Sch1-MF-1'!U15</f>
        <v>12.040067296940524</v>
      </c>
      <c r="U15" s="1745">
        <f>U14</f>
        <v>12.191186300843428</v>
      </c>
      <c r="V15" s="1739"/>
      <c r="W15" s="1748" t="s">
        <v>494</v>
      </c>
      <c r="X15" s="1749">
        <v>400</v>
      </c>
      <c r="Y15" s="1750">
        <f>(C14*4+K14*8)/12</f>
        <v>41.873333333333335</v>
      </c>
      <c r="Z15" s="1750">
        <f>(E14*4+M14*8)/12</f>
        <v>41.966666666666661</v>
      </c>
      <c r="AA15" s="1750">
        <f>Z15-Y15</f>
        <v>9.3333333333326607E-2</v>
      </c>
      <c r="AB15" s="1751">
        <f>Z15/Y15-1</f>
        <v>2.2289444355991783E-3</v>
      </c>
    </row>
    <row r="16" spans="1:28">
      <c r="A16" s="1707">
        <v>500</v>
      </c>
      <c r="C16" s="1708">
        <f t="shared" ref="C16:C31" si="10">ROUND($T$12+((MIN(400,$A16)*$T$13+MAX(0,MIN(600,$A16-400))*$T$14+MAX(0,$A16-1000)*$T$15)/100+MAX(0,$T$16-($T$12+(MIN(400,$A16)*$T$13+MAX(0,MIN(600,$A16-400))*$T$14+MAX(0,$A16-1000)*$T$15)/100)))*((1+$T$32)*(1+$T$18)+$T$27)+$T$17,2)</f>
        <v>57.29</v>
      </c>
      <c r="E16" s="1708">
        <f t="shared" ref="E16:E31" si="11">ROUND($U$12+((MIN(400,$A16)*$U$13+MAX(0,MIN(600,$A16-400))*$U$14+MAX(0,$A16-1000)*$U$15)/100+MAX(0,$U$16-($U$12+(MIN(400,$A16)*$U$13+MAX(0,MIN(600,$A16-400))*$U$14+MAX(0,$A16-1000)*$U$15)/100)))*((1+$U$32)*(1+$U$18)+$U$27)+$U$17,2)</f>
        <v>57.38</v>
      </c>
      <c r="F16" s="1708"/>
      <c r="G16" s="1722">
        <f>E16-C16</f>
        <v>9.0000000000003411E-2</v>
      </c>
      <c r="I16" s="1723">
        <f>ROUND(IF(C16=0,0,E16/C16-1),3)</f>
        <v>2E-3</v>
      </c>
      <c r="K16" s="1708">
        <f t="shared" si="6"/>
        <v>51.41</v>
      </c>
      <c r="M16" s="1708">
        <f t="shared" si="7"/>
        <v>51.49</v>
      </c>
      <c r="N16" s="1708"/>
      <c r="O16" s="1722">
        <f>M16-K16</f>
        <v>8.00000000000054E-2</v>
      </c>
      <c r="Q16" s="1723">
        <f>ROUND(IF(K16=0,0,M16/K16-1),3)</f>
        <v>2E-3</v>
      </c>
      <c r="S16" s="1736" t="s">
        <v>1715</v>
      </c>
      <c r="T16" s="1737">
        <f>'Sch1-MF-1'!U16</f>
        <v>0</v>
      </c>
      <c r="U16" s="1738"/>
      <c r="V16" s="1739"/>
      <c r="X16" s="1702"/>
      <c r="AB16" s="1752"/>
    </row>
    <row r="17" spans="1:24">
      <c r="A17" s="1707">
        <f>X12</f>
        <v>513</v>
      </c>
      <c r="B17" s="1704" t="s">
        <v>1719</v>
      </c>
      <c r="C17" s="1708">
        <f t="shared" si="10"/>
        <v>58.91</v>
      </c>
      <c r="E17" s="1708">
        <f t="shared" si="11"/>
        <v>59</v>
      </c>
      <c r="F17" s="1708"/>
      <c r="G17" s="1722">
        <f>E17-C17</f>
        <v>9.0000000000003411E-2</v>
      </c>
      <c r="I17" s="1723">
        <f>ROUND(IF(C17=0,0,E17/C17-1),3)</f>
        <v>2E-3</v>
      </c>
      <c r="N17" s="1708"/>
      <c r="O17" s="1722"/>
      <c r="Q17" s="1723"/>
      <c r="S17" s="1736" t="s">
        <v>1133</v>
      </c>
      <c r="T17" s="1737">
        <f>'Sch1-MF-1'!U17</f>
        <v>0.16</v>
      </c>
      <c r="U17" s="1738">
        <f>T17</f>
        <v>0.16</v>
      </c>
      <c r="V17" s="1739"/>
      <c r="W17" s="1753"/>
      <c r="X17" s="1753"/>
    </row>
    <row r="18" spans="1:24">
      <c r="A18" s="1707">
        <v>600</v>
      </c>
      <c r="C18" s="1708">
        <f t="shared" si="10"/>
        <v>69.75</v>
      </c>
      <c r="E18" s="1708">
        <f t="shared" si="11"/>
        <v>69.819999999999993</v>
      </c>
      <c r="F18" s="1708"/>
      <c r="G18" s="1722">
        <f>E18-C18</f>
        <v>6.9999999999993179E-2</v>
      </c>
      <c r="I18" s="1723">
        <f>ROUND(IF(C18=0,0,E18/C18-1),3)</f>
        <v>1E-3</v>
      </c>
      <c r="K18" s="1708">
        <f t="shared" si="6"/>
        <v>62.43</v>
      </c>
      <c r="M18" s="1708">
        <f t="shared" si="7"/>
        <v>62.5</v>
      </c>
      <c r="N18" s="1708"/>
      <c r="O18" s="1722">
        <f>M18-K18</f>
        <v>7.0000000000000284E-2</v>
      </c>
      <c r="Q18" s="1723">
        <f>ROUND(IF(K18=0,0,M18/K18-1),3)</f>
        <v>1E-3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700</v>
      </c>
      <c r="C19" s="1708">
        <f t="shared" si="10"/>
        <v>82.2</v>
      </c>
      <c r="E19" s="1708">
        <f t="shared" si="11"/>
        <v>82.27</v>
      </c>
      <c r="F19" s="1708"/>
      <c r="G19" s="1722">
        <f>E19-C19</f>
        <v>6.9999999999993179E-2</v>
      </c>
      <c r="I19" s="1723">
        <f>ROUND(IF(C19=0,0,E19/C19-1),3)</f>
        <v>1E-3</v>
      </c>
      <c r="K19" s="1708">
        <f t="shared" si="6"/>
        <v>73.45</v>
      </c>
      <c r="M19" s="1708">
        <f t="shared" si="7"/>
        <v>73.510000000000005</v>
      </c>
      <c r="N19" s="1708"/>
      <c r="O19" s="1722">
        <f>M19-K19</f>
        <v>6.0000000000002274E-2</v>
      </c>
      <c r="Q19" s="1723">
        <f>ROUND(IF(K19=0,0,M19/K19-1),3)</f>
        <v>1E-3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800</v>
      </c>
      <c r="C20" s="1708">
        <f t="shared" si="10"/>
        <v>94.66</v>
      </c>
      <c r="E20" s="1708">
        <f t="shared" si="11"/>
        <v>94.71</v>
      </c>
      <c r="F20" s="1708"/>
      <c r="G20" s="1722">
        <f t="shared" ref="G20:G31" si="12">E20-C20</f>
        <v>4.9999999999997158E-2</v>
      </c>
      <c r="I20" s="1723">
        <f t="shared" ref="I20:I31" si="13">ROUND(IF(C20=0,0,E20/C20-1),3)</f>
        <v>1E-3</v>
      </c>
      <c r="K20" s="1708">
        <f t="shared" si="6"/>
        <v>84.48</v>
      </c>
      <c r="M20" s="1708">
        <f t="shared" si="7"/>
        <v>84.52</v>
      </c>
      <c r="N20" s="1708"/>
      <c r="O20" s="1722">
        <f>M20-K20</f>
        <v>3.9999999999992042E-2</v>
      </c>
      <c r="Q20" s="1723">
        <f>ROUND(IF(K20=0,0,M20/K20-1),3)</f>
        <v>0</v>
      </c>
      <c r="S20" s="1736" t="s">
        <v>1711</v>
      </c>
      <c r="T20" s="1737">
        <f>'Sch1-MF-1'!U20</f>
        <v>6</v>
      </c>
      <c r="U20" s="1738">
        <f>U12</f>
        <v>6</v>
      </c>
      <c r="V20" s="1739"/>
      <c r="W20" s="1753"/>
      <c r="X20" s="1753"/>
    </row>
    <row r="21" spans="1:24">
      <c r="A21" s="1707">
        <v>900</v>
      </c>
      <c r="C21" s="1708">
        <f t="shared" si="10"/>
        <v>107.11</v>
      </c>
      <c r="E21" s="1708">
        <f t="shared" si="11"/>
        <v>107.15</v>
      </c>
      <c r="F21" s="1708"/>
      <c r="G21" s="1722">
        <f t="shared" si="12"/>
        <v>4.0000000000006253E-2</v>
      </c>
      <c r="I21" s="1723">
        <f t="shared" si="13"/>
        <v>0</v>
      </c>
      <c r="K21" s="1708">
        <f t="shared" ref="K21:K31" si="14">ROUND($T$20+((MIN(400,$A21)*$T$21+MAX(0,MIN(600,$A21-400))*$T$22+MAX(0,$A21-1000)*$T$23)/100+MAX(0,$T$24-($T$20+(MIN(400,$A21)*$T$21+MAX(0,MIN(600,$A21-400))*$T$22+MAX(0,$A21-1000)*$T$23)/100)))*((1+$T$32)*(1+$T$26)+$T$27)+$T$25,2)</f>
        <v>95.5</v>
      </c>
      <c r="M21" s="1708">
        <f t="shared" ref="M21:M30" si="15">ROUND($U$20+((MIN(400,$A21)*$U$21+MAX(0,MIN(600,$A21-400))*$U$22+MAX(0,$A21-1000)*$U$23)/100+MAX(0,$U$24-($U$20+(MIN(400,$A21)*$U$21+MAX(0,MIN(600,$A21-400))*$U$22+MAX(0,$A21-1000)*$U$23)/100)))*((1+$U$32)*(1+$U$26)+$U$27)+$U$25,2)</f>
        <v>95.53</v>
      </c>
      <c r="N21" s="1708"/>
      <c r="O21" s="1722">
        <f t="shared" ref="O21:O31" si="16">M21-K21</f>
        <v>3.0000000000001137E-2</v>
      </c>
      <c r="Q21" s="1723">
        <f t="shared" ref="Q21:Q31" si="17">ROUND(IF(K21=0,0,M21/K21-1),3)</f>
        <v>0</v>
      </c>
      <c r="S21" s="1736" t="s">
        <v>1712</v>
      </c>
      <c r="T21" s="1758">
        <f>'Sch1-MF-1'!U21</f>
        <v>8.2716524751690006</v>
      </c>
      <c r="U21" s="1745">
        <f>'Blocking-Step2'!Q32</f>
        <v>8.4053861069410001</v>
      </c>
      <c r="V21" s="1739"/>
      <c r="W21" s="1753"/>
      <c r="X21" s="1753"/>
    </row>
    <row r="22" spans="1:24">
      <c r="A22" s="1707">
        <v>1000</v>
      </c>
      <c r="C22" s="1708">
        <f t="shared" si="10"/>
        <v>119.57</v>
      </c>
      <c r="E22" s="1708">
        <f t="shared" si="11"/>
        <v>119.6</v>
      </c>
      <c r="F22" s="1708"/>
      <c r="G22" s="1722">
        <f t="shared" si="12"/>
        <v>3.0000000000001137E-2</v>
      </c>
      <c r="I22" s="1723">
        <f t="shared" si="13"/>
        <v>0</v>
      </c>
      <c r="K22" s="1708">
        <f t="shared" si="14"/>
        <v>106.52</v>
      </c>
      <c r="M22" s="1708">
        <f t="shared" si="15"/>
        <v>106.55</v>
      </c>
      <c r="N22" s="1708"/>
      <c r="O22" s="1722">
        <f t="shared" si="16"/>
        <v>3.0000000000001137E-2</v>
      </c>
      <c r="Q22" s="1723">
        <f t="shared" si="17"/>
        <v>0</v>
      </c>
      <c r="S22" s="1736" t="s">
        <v>1713</v>
      </c>
      <c r="T22" s="1758">
        <f>'Sch1-MF-1'!U22</f>
        <v>10.654926811452</v>
      </c>
      <c r="U22" s="1745">
        <f>'Blocking-Step2'!Q33</f>
        <v>10.788660443224</v>
      </c>
      <c r="V22" s="1739"/>
      <c r="W22" s="1753"/>
      <c r="X22" s="1753"/>
    </row>
    <row r="23" spans="1:24">
      <c r="A23" s="1707">
        <v>1100</v>
      </c>
      <c r="C23" s="1708">
        <f t="shared" si="10"/>
        <v>132.02000000000001</v>
      </c>
      <c r="E23" s="1708">
        <f t="shared" si="11"/>
        <v>132.04</v>
      </c>
      <c r="F23" s="1708"/>
      <c r="G23" s="1722">
        <f t="shared" si="12"/>
        <v>1.999999999998181E-2</v>
      </c>
      <c r="I23" s="1723">
        <f t="shared" si="13"/>
        <v>0</v>
      </c>
      <c r="K23" s="1708">
        <f t="shared" si="14"/>
        <v>117.54</v>
      </c>
      <c r="M23" s="1708">
        <f t="shared" si="15"/>
        <v>117.56</v>
      </c>
      <c r="N23" s="1708"/>
      <c r="O23" s="1722">
        <f t="shared" si="16"/>
        <v>1.9999999999996021E-2</v>
      </c>
      <c r="Q23" s="1723">
        <f t="shared" si="17"/>
        <v>0</v>
      </c>
      <c r="S23" s="1736" t="s">
        <v>1714</v>
      </c>
      <c r="T23" s="1758">
        <f>'Sch1-MF-1'!U23</f>
        <v>10.654926811452</v>
      </c>
      <c r="U23" s="1745">
        <f>U22</f>
        <v>10.788660443224</v>
      </c>
      <c r="V23" s="1739"/>
      <c r="W23" s="1753"/>
      <c r="X23" s="1753"/>
    </row>
    <row r="24" spans="1:24">
      <c r="A24" s="1707">
        <v>1200</v>
      </c>
      <c r="C24" s="1708">
        <f t="shared" si="10"/>
        <v>144.47999999999999</v>
      </c>
      <c r="E24" s="1708">
        <f t="shared" si="11"/>
        <v>144.47999999999999</v>
      </c>
      <c r="F24" s="1708"/>
      <c r="G24" s="1722">
        <f t="shared" si="12"/>
        <v>0</v>
      </c>
      <c r="I24" s="1723">
        <f t="shared" si="13"/>
        <v>0</v>
      </c>
      <c r="K24" s="1708">
        <f t="shared" si="14"/>
        <v>128.56</v>
      </c>
      <c r="M24" s="1708">
        <f t="shared" si="15"/>
        <v>128.57</v>
      </c>
      <c r="N24" s="1708"/>
      <c r="O24" s="1722">
        <f t="shared" si="16"/>
        <v>9.9999999999909051E-3</v>
      </c>
      <c r="Q24" s="1723">
        <f t="shared" si="17"/>
        <v>0</v>
      </c>
      <c r="S24" s="1736" t="s">
        <v>1715</v>
      </c>
      <c r="T24" s="1737">
        <f>'Sch1-MF-1'!U24</f>
        <v>0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156.93</v>
      </c>
      <c r="E25" s="1708">
        <f t="shared" si="11"/>
        <v>156.93</v>
      </c>
      <c r="F25" s="1708"/>
      <c r="G25" s="1722">
        <f t="shared" si="12"/>
        <v>0</v>
      </c>
      <c r="I25" s="1723">
        <f t="shared" si="13"/>
        <v>0</v>
      </c>
      <c r="K25" s="1708">
        <f t="shared" si="14"/>
        <v>139.59</v>
      </c>
      <c r="M25" s="1708">
        <f t="shared" si="15"/>
        <v>139.58000000000001</v>
      </c>
      <c r="N25" s="1708"/>
      <c r="O25" s="1722">
        <f t="shared" si="16"/>
        <v>-9.9999999999909051E-3</v>
      </c>
      <c r="Q25" s="1723">
        <f t="shared" si="17"/>
        <v>0</v>
      </c>
      <c r="S25" s="1736" t="s">
        <v>1133</v>
      </c>
      <c r="T25" s="1737">
        <f>'Sch1-MF-1'!U25</f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169.39</v>
      </c>
      <c r="E26" s="1708">
        <f t="shared" si="11"/>
        <v>169.37</v>
      </c>
      <c r="F26" s="1708"/>
      <c r="G26" s="1722">
        <f t="shared" si="12"/>
        <v>-1.999999999998181E-2</v>
      </c>
      <c r="I26" s="1723">
        <f t="shared" si="13"/>
        <v>0</v>
      </c>
      <c r="K26" s="1708">
        <f t="shared" si="14"/>
        <v>150.61000000000001</v>
      </c>
      <c r="M26" s="1708">
        <f t="shared" si="15"/>
        <v>150.59</v>
      </c>
      <c r="N26" s="1708"/>
      <c r="O26" s="1722">
        <f t="shared" si="16"/>
        <v>-2.0000000000010232E-2</v>
      </c>
      <c r="Q26" s="1723">
        <f t="shared" si="17"/>
        <v>0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181.84</v>
      </c>
      <c r="E27" s="1708">
        <f t="shared" si="11"/>
        <v>181.81</v>
      </c>
      <c r="F27" s="1708"/>
      <c r="G27" s="1722">
        <f t="shared" si="12"/>
        <v>-3.0000000000001137E-2</v>
      </c>
      <c r="I27" s="1723">
        <f t="shared" si="13"/>
        <v>0</v>
      </c>
      <c r="K27" s="1708">
        <f t="shared" si="14"/>
        <v>161.63</v>
      </c>
      <c r="M27" s="1708">
        <f t="shared" si="15"/>
        <v>161.6</v>
      </c>
      <c r="N27" s="1708"/>
      <c r="O27" s="1722">
        <f t="shared" si="16"/>
        <v>-3.0000000000001137E-2</v>
      </c>
      <c r="Q27" s="1723">
        <f t="shared" si="17"/>
        <v>0</v>
      </c>
      <c r="S27" s="1762" t="s">
        <v>1720</v>
      </c>
      <c r="T27" s="1763">
        <f>'Sch1-MF-1'!U27</f>
        <v>-1.7000000000000001E-2</v>
      </c>
      <c r="U27" s="1764">
        <f>'Blocking-Step2'!Q43</f>
        <v>-3.0800000000000001E-2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244.12</v>
      </c>
      <c r="E28" s="1708">
        <f t="shared" si="11"/>
        <v>244.03</v>
      </c>
      <c r="F28" s="1708"/>
      <c r="G28" s="1722">
        <f t="shared" si="12"/>
        <v>-9.0000000000003411E-2</v>
      </c>
      <c r="I28" s="1723">
        <f t="shared" si="13"/>
        <v>0</v>
      </c>
      <c r="K28" s="1708">
        <f t="shared" si="14"/>
        <v>216.74</v>
      </c>
      <c r="M28" s="1708">
        <f t="shared" si="15"/>
        <v>216.66</v>
      </c>
      <c r="N28" s="1708"/>
      <c r="O28" s="1722">
        <f t="shared" si="16"/>
        <v>-8.0000000000012506E-2</v>
      </c>
      <c r="Q28" s="1723">
        <f t="shared" si="17"/>
        <v>0</v>
      </c>
      <c r="S28" s="1736" t="s">
        <v>1721</v>
      </c>
      <c r="T28" s="1765">
        <f>'Sch1-MF-1'!U28</f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368.67</v>
      </c>
      <c r="E29" s="1708">
        <f t="shared" si="11"/>
        <v>368.46</v>
      </c>
      <c r="F29" s="1708"/>
      <c r="G29" s="1722">
        <f t="shared" si="12"/>
        <v>-0.21000000000003638</v>
      </c>
      <c r="I29" s="1723">
        <f t="shared" si="13"/>
        <v>-1E-3</v>
      </c>
      <c r="K29" s="1708">
        <f t="shared" si="14"/>
        <v>326.95999999999998</v>
      </c>
      <c r="M29" s="1708">
        <f t="shared" si="15"/>
        <v>326.77999999999997</v>
      </c>
      <c r="N29" s="1708"/>
      <c r="O29" s="1722">
        <f t="shared" si="16"/>
        <v>-0.18000000000000682</v>
      </c>
      <c r="Q29" s="1723">
        <f t="shared" si="17"/>
        <v>-1E-3</v>
      </c>
      <c r="S29" s="1736" t="s">
        <v>1722</v>
      </c>
      <c r="T29" s="1765">
        <f>'Sch1-MF-1'!U29</f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493.22</v>
      </c>
      <c r="E30" s="1708">
        <f t="shared" si="11"/>
        <v>492.89</v>
      </c>
      <c r="F30" s="1708"/>
      <c r="G30" s="1722">
        <f t="shared" si="12"/>
        <v>-0.33000000000004093</v>
      </c>
      <c r="I30" s="1723">
        <f t="shared" si="13"/>
        <v>-1E-3</v>
      </c>
      <c r="K30" s="1708">
        <f t="shared" si="14"/>
        <v>437.18</v>
      </c>
      <c r="M30" s="1708">
        <f t="shared" si="15"/>
        <v>436.89</v>
      </c>
      <c r="N30" s="1708"/>
      <c r="O30" s="1722">
        <f t="shared" si="16"/>
        <v>-0.29000000000002046</v>
      </c>
      <c r="Q30" s="1723">
        <f t="shared" si="17"/>
        <v>-1E-3</v>
      </c>
      <c r="S30" s="1736" t="s">
        <v>1685</v>
      </c>
      <c r="T30" s="1765">
        <f>'Sch1-MF-1'!U30</f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617.77</v>
      </c>
      <c r="E31" s="1708">
        <f t="shared" si="11"/>
        <v>617.32000000000005</v>
      </c>
      <c r="F31" s="1708"/>
      <c r="G31" s="1722">
        <f t="shared" si="12"/>
        <v>-0.44999999999993179</v>
      </c>
      <c r="I31" s="1723">
        <f t="shared" si="13"/>
        <v>-1E-3</v>
      </c>
      <c r="K31" s="1708">
        <f t="shared" si="14"/>
        <v>547.4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547.01</v>
      </c>
      <c r="N31" s="1708"/>
      <c r="O31" s="1722">
        <f t="shared" si="16"/>
        <v>-0.38999999999998636</v>
      </c>
      <c r="Q31" s="1723">
        <f t="shared" si="17"/>
        <v>-1E-3</v>
      </c>
      <c r="S31" s="1736" t="s">
        <v>1686</v>
      </c>
      <c r="T31" s="1765">
        <f>'Sch1-MF-1'!U31</f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>
      <c r="W34" s="1753"/>
      <c r="X34" s="1753"/>
    </row>
    <row r="35" spans="1:28" ht="15.75">
      <c r="A35" s="1770" t="s">
        <v>1723</v>
      </c>
      <c r="W35" s="1753"/>
      <c r="X35" s="1753"/>
    </row>
    <row r="36" spans="1:28">
      <c r="A36" s="1707" t="s">
        <v>1724</v>
      </c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33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8" style="1707" customWidth="1"/>
    <col min="2" max="2" width="2.125" style="1707" customWidth="1"/>
    <col min="3" max="3" width="9.625" style="1707" bestFit="1" customWidth="1"/>
    <col min="4" max="4" width="1.75" style="1704" customWidth="1"/>
    <col min="5" max="5" width="9.25" style="1708" bestFit="1" customWidth="1"/>
    <col min="6" max="6" width="1" style="1704" customWidth="1"/>
    <col min="7" max="7" width="9.25" style="1708" bestFit="1" customWidth="1"/>
    <col min="8" max="8" width="0.75" style="1704" customWidth="1"/>
    <col min="9" max="9" width="8.125" style="1704" bestFit="1" customWidth="1"/>
    <col min="10" max="10" width="1.125" style="1704" customWidth="1"/>
    <col min="11" max="11" width="5.5" style="1704" bestFit="1" customWidth="1"/>
    <col min="12" max="12" width="1.5" style="1704" customWidth="1"/>
    <col min="13" max="13" width="8.25" style="1708" bestFit="1" customWidth="1"/>
    <col min="14" max="14" width="0.62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625" style="1704" customWidth="1"/>
    <col min="19" max="19" width="5.5" style="1704" bestFit="1" customWidth="1"/>
    <col min="20" max="20" width="3.25" style="1704" customWidth="1"/>
    <col min="21" max="21" width="16" style="1704" bestFit="1" customWidth="1"/>
    <col min="22" max="22" width="8.25" style="1704" bestFit="1" customWidth="1"/>
    <col min="23" max="23" width="10" style="1704" bestFit="1" customWidth="1"/>
    <col min="24" max="16384" width="8" style="1704"/>
  </cols>
  <sheetData>
    <row r="1" spans="1:24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4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4" ht="16.5">
      <c r="A3" s="1697" t="s">
        <v>1688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4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4" ht="16.5">
      <c r="A5" s="1697" t="s">
        <v>2337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2048"/>
      <c r="U5" s="1698"/>
      <c r="V5" s="1698"/>
      <c r="W5" s="1698"/>
    </row>
    <row r="6" spans="1:24" ht="17.25">
      <c r="A6" s="1787"/>
      <c r="B6" s="1701"/>
      <c r="C6" s="1701"/>
      <c r="D6" s="1701"/>
      <c r="E6" s="1774"/>
      <c r="F6" s="1788"/>
      <c r="G6" s="1774"/>
      <c r="H6" s="1788"/>
      <c r="I6" s="1788"/>
      <c r="J6" s="1788"/>
      <c r="K6" s="1788"/>
      <c r="L6" s="1701"/>
      <c r="M6" s="1774"/>
      <c r="N6" s="1788"/>
      <c r="O6" s="1774"/>
      <c r="P6" s="1788"/>
      <c r="Q6" s="1788"/>
      <c r="R6" s="1788"/>
      <c r="S6" s="1788"/>
    </row>
    <row r="7" spans="1:24">
      <c r="E7" s="1709"/>
      <c r="F7" s="1702"/>
      <c r="G7" s="1709"/>
      <c r="H7" s="1702"/>
      <c r="I7" s="1780"/>
      <c r="J7" s="1702"/>
      <c r="K7" s="1780"/>
      <c r="L7" s="1702"/>
      <c r="M7" s="1709"/>
      <c r="N7" s="1702"/>
      <c r="O7" s="1709"/>
      <c r="P7" s="1702"/>
      <c r="Q7" s="1780"/>
      <c r="R7" s="1702"/>
      <c r="S7" s="1780"/>
    </row>
    <row r="8" spans="1:24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  <c r="U8" s="1789" t="s">
        <v>492</v>
      </c>
      <c r="V8" s="1725" t="s">
        <v>2335</v>
      </c>
      <c r="W8" s="1726" t="s">
        <v>2334</v>
      </c>
    </row>
    <row r="9" spans="1:24" ht="16.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  <c r="U9" s="1792" t="s">
        <v>79</v>
      </c>
      <c r="V9" s="1702"/>
      <c r="W9" s="1732"/>
    </row>
    <row r="10" spans="1:24">
      <c r="A10" s="1720" t="s">
        <v>1677</v>
      </c>
      <c r="B10" s="1793"/>
      <c r="C10" s="1794" t="s">
        <v>111</v>
      </c>
      <c r="E10" s="1717" t="s">
        <v>2335</v>
      </c>
      <c r="G10" s="1718" t="s">
        <v>2334</v>
      </c>
      <c r="I10" s="1719" t="s">
        <v>1399</v>
      </c>
      <c r="K10" s="1720" t="s">
        <v>465</v>
      </c>
      <c r="M10" s="1717" t="s">
        <v>2335</v>
      </c>
      <c r="O10" s="1718" t="s">
        <v>2334</v>
      </c>
      <c r="Q10" s="1719" t="s">
        <v>1399</v>
      </c>
      <c r="S10" s="1720" t="s">
        <v>465</v>
      </c>
      <c r="U10" s="1736" t="s">
        <v>1678</v>
      </c>
      <c r="V10" s="1795">
        <f>'Sch6-1'!W10</f>
        <v>53</v>
      </c>
      <c r="W10" s="1796">
        <f>'Blocking-Step2'!Q672</f>
        <v>54</v>
      </c>
      <c r="X10" s="1795"/>
    </row>
    <row r="11" spans="1:24" ht="18.75" customHeight="1">
      <c r="A11" s="1707">
        <v>50</v>
      </c>
      <c r="C11" s="1707">
        <v>5000</v>
      </c>
      <c r="E11" s="1797">
        <f>ROUND($V$10+($V$11*$A11+($V$12*$A11+$V$14/100*$C11)*(1+$V$33))*(1+$V$16)+($V$12*$A11+$V$14/100*$C11)*$V$28+$V$15,2)</f>
        <v>1152.06</v>
      </c>
      <c r="F11" s="1797"/>
      <c r="G11" s="1797">
        <f>ROUND($W$10+($W$11*$A11+($W$12*$A11+$W$14/100*$C11)*(1+$W$33))*(1+$W$16)+($W$12*$A11+$W$14/100*$C11)*$W$28+$W$15,2)</f>
        <v>1156.03</v>
      </c>
      <c r="H11" s="1797"/>
      <c r="I11" s="1797">
        <f>IF(G11="","",G11-E11)</f>
        <v>3.9700000000000273</v>
      </c>
      <c r="K11" s="1723">
        <f>IF(I11="","",G11/E11-1)</f>
        <v>3.4460010763328608E-3</v>
      </c>
      <c r="M11" s="1797">
        <f>ROUND($V$18+($V$19*$A11+($V$20*$A11+$V$22/100*$C11)*(1+$V$33))*(1+$V$24)+($V$20*$A11+$V$22/100*$C11)*$V$28+$V$23,2)</f>
        <v>1050.18</v>
      </c>
      <c r="N11" s="1797"/>
      <c r="O11" s="1797">
        <f>ROUND($W$18+($W$19*$A11+($W$20*$A11+$W$22/100*$C11)*(1+$W$33))*(1+$W$24)+($W$20*$A11+$W$22/100*$C11)*$W$28+$W$23,2)</f>
        <v>1054.08</v>
      </c>
      <c r="P11" s="1797"/>
      <c r="Q11" s="1797">
        <f t="shared" ref="Q11:Q29" si="0">IF(O11="","",O11-M11)</f>
        <v>3.8999999999998636</v>
      </c>
      <c r="S11" s="1723">
        <f t="shared" ref="S11:S29" si="1">IF(Q11="","",O11/M11-1)</f>
        <v>3.7136490887275109E-3</v>
      </c>
      <c r="U11" s="1736" t="s">
        <v>2313</v>
      </c>
      <c r="V11" s="1795">
        <f>'Sch6-1'!W11</f>
        <v>3.98</v>
      </c>
      <c r="W11" s="1796">
        <f>'Blocking-Step2'!Q675</f>
        <v>4.03</v>
      </c>
      <c r="X11" s="1795"/>
    </row>
    <row r="12" spans="1:24">
      <c r="A12" s="1798">
        <f>A11</f>
        <v>50</v>
      </c>
      <c r="C12" s="1707">
        <v>10000</v>
      </c>
      <c r="E12" s="1797">
        <f t="shared" ref="E12:E13" si="2">ROUND($V$10+($V$11*$A12+($V$12*$A12+$V$14/100*$C12)*(1+$V$33))*(1+$V$16)+($V$12*$A12+$V$14/100*$C12)*$V$28+$V$15,2)</f>
        <v>1353.11</v>
      </c>
      <c r="F12" s="1797"/>
      <c r="G12" s="1797">
        <f t="shared" ref="G12:G13" si="3">ROUND($W$10+($W$11*$A12+($W$12*$A12+$W$14/100*$C12)*(1+$W$33))*(1+$W$16)+($W$12*$A12+$W$14/100*$C12)*$W$28+$W$15,2)</f>
        <v>1356.95</v>
      </c>
      <c r="H12" s="1797"/>
      <c r="I12" s="1797">
        <f>IF(G12="","",G12-E12)</f>
        <v>3.8400000000001455</v>
      </c>
      <c r="K12" s="1723">
        <f>IF(I12="","",G12/E12-1)</f>
        <v>2.8379067481580922E-3</v>
      </c>
      <c r="M12" s="1797">
        <f t="shared" ref="M12:M13" si="4">ROUND($V$18+($V$19*$A12+($V$20*$A12+$V$22/100*$C12)*(1+$V$33))*(1+$V$24)+($V$20*$A12+$V$22/100*$C12)*$V$28+$V$23,2)</f>
        <v>1228.0899999999999</v>
      </c>
      <c r="N12" s="1797"/>
      <c r="O12" s="1797">
        <f t="shared" ref="O12:O13" si="5">ROUND($W$18+($W$19*$A12+($W$20*$A12+$W$22/100*$C12)*(1+$W$33))*(1+$W$24)+($W$20*$A12+$W$22/100*$C12)*$W$28+$W$23,2)</f>
        <v>1231.8800000000001</v>
      </c>
      <c r="P12" s="1797"/>
      <c r="Q12" s="1797">
        <f t="shared" si="0"/>
        <v>3.790000000000191</v>
      </c>
      <c r="S12" s="1723">
        <f t="shared" si="1"/>
        <v>3.0860930387839325E-3</v>
      </c>
      <c r="U12" s="1736" t="s">
        <v>1679</v>
      </c>
      <c r="V12" s="1795">
        <f>'Sch6-1'!W12</f>
        <v>13.23</v>
      </c>
      <c r="W12" s="1796">
        <f>'Blocking-Step2'!Q676</f>
        <v>13.4</v>
      </c>
      <c r="X12" s="1795"/>
    </row>
    <row r="13" spans="1:24">
      <c r="A13" s="1798">
        <f>A12</f>
        <v>50</v>
      </c>
      <c r="C13" s="1707">
        <v>20000</v>
      </c>
      <c r="E13" s="1797">
        <f t="shared" si="2"/>
        <v>1755.2</v>
      </c>
      <c r="F13" s="1797"/>
      <c r="G13" s="1797">
        <f t="shared" si="3"/>
        <v>1758.78</v>
      </c>
      <c r="H13" s="1797"/>
      <c r="I13" s="1797">
        <f>IF(G13="","",G13-E13)</f>
        <v>3.5799999999999272</v>
      </c>
      <c r="K13" s="1723">
        <f>IF(I13="","",G13/E13-1)</f>
        <v>2.0396536007292188E-3</v>
      </c>
      <c r="M13" s="1797">
        <f t="shared" si="4"/>
        <v>1583.93</v>
      </c>
      <c r="N13" s="1797"/>
      <c r="O13" s="1797">
        <f t="shared" si="5"/>
        <v>1587.49</v>
      </c>
      <c r="P13" s="1797"/>
      <c r="Q13" s="1797">
        <f t="shared" si="0"/>
        <v>3.5599999999999454</v>
      </c>
      <c r="S13" s="1723">
        <f t="shared" si="1"/>
        <v>2.2475740720864223E-3</v>
      </c>
      <c r="U13" s="1736" t="s">
        <v>1680</v>
      </c>
      <c r="V13" s="1795">
        <f>'Sch6-1'!W13</f>
        <v>-0.96</v>
      </c>
      <c r="W13" s="1796">
        <f>'Blocking-Step2'!Q682</f>
        <v>-0.96</v>
      </c>
      <c r="X13" s="1801"/>
    </row>
    <row r="14" spans="1:24">
      <c r="E14" s="1797"/>
      <c r="F14" s="1797"/>
      <c r="G14" s="1797"/>
      <c r="H14" s="1797"/>
      <c r="I14" s="1797"/>
      <c r="K14" s="1723"/>
      <c r="M14" s="1797"/>
      <c r="N14" s="1797"/>
      <c r="O14" s="1797"/>
      <c r="P14" s="1797"/>
      <c r="Q14" s="1797" t="str">
        <f t="shared" si="0"/>
        <v/>
      </c>
      <c r="S14" s="1723" t="str">
        <f t="shared" si="1"/>
        <v/>
      </c>
      <c r="U14" s="1736" t="s">
        <v>1689</v>
      </c>
      <c r="V14" s="1799">
        <f>'Sch6-1'!W14</f>
        <v>3.8802874781329999</v>
      </c>
      <c r="W14" s="1800">
        <f>'Blocking-Step2'!Q678</f>
        <v>3.9247702408020002</v>
      </c>
      <c r="X14" s="1795"/>
    </row>
    <row r="15" spans="1:24">
      <c r="A15" s="1707">
        <v>100</v>
      </c>
      <c r="C15" s="1707">
        <v>20000</v>
      </c>
      <c r="E15" s="1797">
        <f t="shared" ref="E15:E17" si="6">ROUND($V$10+($V$11*$A15+($V$12*$A15+$V$14/100*$C15)*(1+$V$33))*(1+$V$16)+($V$12*$A15+$V$14/100*$C15)*$V$28+$V$15,2)</f>
        <v>2647.61</v>
      </c>
      <c r="F15" s="1797"/>
      <c r="G15" s="1797">
        <f t="shared" ref="G15:G17" si="7">ROUND($W$10+($W$11*$A15+($W$12*$A15+$W$14/100*$C15)*(1+$W$33))*(1+$W$16)+($W$12*$A15+$W$14/100*$C15)*$W$28+$W$15,2)</f>
        <v>2654.3</v>
      </c>
      <c r="H15" s="1797"/>
      <c r="I15" s="1797">
        <f>IF(G15="","",G15-E15)</f>
        <v>6.6900000000000546</v>
      </c>
      <c r="K15" s="1723">
        <f>IF(I15="","",G15/E15-1)</f>
        <v>2.526807195923908E-3</v>
      </c>
      <c r="M15" s="1797">
        <f t="shared" ref="M15:M17" si="8">ROUND($V$18+($V$19*$A15+($V$20*$A15+$V$22/100*$C15)*(1+$V$33))*(1+$V$24)+($V$20*$A15+$V$22/100*$C15)*$V$28+$V$23,2)</f>
        <v>2397.59</v>
      </c>
      <c r="N15" s="1797"/>
      <c r="O15" s="1797">
        <f t="shared" ref="O15:O17" si="9">ROUND($W$18+($W$19*$A15+($W$20*$A15+$W$22/100*$C15)*(1+$W$33))*(1+$W$24)+($W$20*$A15+$W$22/100*$C15)*$W$28+$W$23,2)</f>
        <v>2404.17</v>
      </c>
      <c r="P15" s="1797"/>
      <c r="Q15" s="1797">
        <f t="shared" si="0"/>
        <v>6.5799999999999272</v>
      </c>
      <c r="S15" s="1723">
        <f t="shared" si="1"/>
        <v>2.7444225242847509E-3</v>
      </c>
      <c r="U15" s="1736" t="s">
        <v>1133</v>
      </c>
      <c r="V15" s="1795">
        <f>'Sch6-1'!W15</f>
        <v>5.6</v>
      </c>
      <c r="W15" s="1802">
        <f>V15</f>
        <v>5.6</v>
      </c>
      <c r="X15" s="1803"/>
    </row>
    <row r="16" spans="1:24">
      <c r="A16" s="1798">
        <f>A15</f>
        <v>100</v>
      </c>
      <c r="C16" s="1707">
        <v>40000</v>
      </c>
      <c r="E16" s="1797">
        <f t="shared" si="6"/>
        <v>3451.8</v>
      </c>
      <c r="F16" s="1797"/>
      <c r="G16" s="1797">
        <f t="shared" si="7"/>
        <v>3457.97</v>
      </c>
      <c r="H16" s="1797"/>
      <c r="I16" s="1797">
        <f>IF(G16="","",G16-E16)</f>
        <v>6.169999999999618</v>
      </c>
      <c r="K16" s="1723">
        <f>IF(I16="","",G16/E16-1)</f>
        <v>1.7874732023870354E-3</v>
      </c>
      <c r="M16" s="1797">
        <f t="shared" si="8"/>
        <v>3109.26</v>
      </c>
      <c r="N16" s="1797"/>
      <c r="O16" s="1797">
        <f t="shared" si="9"/>
        <v>3115.38</v>
      </c>
      <c r="P16" s="1797"/>
      <c r="Q16" s="1797">
        <f t="shared" si="0"/>
        <v>6.1199999999998909</v>
      </c>
      <c r="S16" s="1723">
        <f t="shared" si="1"/>
        <v>1.9683140039752356E-3</v>
      </c>
      <c r="U16" s="1736" t="s">
        <v>1718</v>
      </c>
      <c r="V16" s="1803">
        <f>'Sch6-1'!W16</f>
        <v>3.9899999999999998E-2</v>
      </c>
      <c r="W16" s="1804">
        <f>V16</f>
        <v>3.9899999999999998E-2</v>
      </c>
    </row>
    <row r="17" spans="1:24" ht="13.5">
      <c r="A17" s="1798">
        <f>A16</f>
        <v>100</v>
      </c>
      <c r="C17" s="1707">
        <v>60000</v>
      </c>
      <c r="E17" s="1797">
        <f t="shared" si="6"/>
        <v>4255.9799999999996</v>
      </c>
      <c r="F17" s="1797"/>
      <c r="G17" s="1797">
        <f t="shared" si="7"/>
        <v>4261.6400000000003</v>
      </c>
      <c r="H17" s="1797"/>
      <c r="I17" s="1797">
        <f>IF(G17="","",G17-E17)</f>
        <v>5.660000000000764</v>
      </c>
      <c r="K17" s="1723">
        <f>IF(I17="","",G17/E17-1)</f>
        <v>1.3298934675447516E-3</v>
      </c>
      <c r="M17" s="1797">
        <f t="shared" si="8"/>
        <v>3820.92</v>
      </c>
      <c r="N17" s="1797"/>
      <c r="O17" s="1797">
        <f t="shared" si="9"/>
        <v>3826.59</v>
      </c>
      <c r="P17" s="1797"/>
      <c r="Q17" s="1797">
        <f t="shared" si="0"/>
        <v>5.6700000000000728</v>
      </c>
      <c r="S17" s="1723">
        <f t="shared" si="1"/>
        <v>1.4839358060363406E-3</v>
      </c>
      <c r="U17" s="1792" t="s">
        <v>80</v>
      </c>
      <c r="V17" s="1702"/>
      <c r="W17" s="1732"/>
      <c r="X17" s="1795"/>
    </row>
    <row r="18" spans="1:24">
      <c r="E18" s="1797"/>
      <c r="F18" s="1797"/>
      <c r="G18" s="1797"/>
      <c r="H18" s="1797"/>
      <c r="I18" s="1797"/>
      <c r="K18" s="1723"/>
      <c r="M18" s="1797"/>
      <c r="N18" s="1797"/>
      <c r="O18" s="1797"/>
      <c r="P18" s="1797"/>
      <c r="Q18" s="1797" t="str">
        <f t="shared" si="0"/>
        <v/>
      </c>
      <c r="S18" s="1723" t="str">
        <f t="shared" si="1"/>
        <v/>
      </c>
      <c r="U18" s="1736" t="s">
        <v>1678</v>
      </c>
      <c r="V18" s="1773">
        <f>'Sch6-1'!W18</f>
        <v>53</v>
      </c>
      <c r="W18" s="1805">
        <f>W10</f>
        <v>54</v>
      </c>
      <c r="X18" s="1795"/>
    </row>
    <row r="19" spans="1:24">
      <c r="A19" s="1707">
        <v>200</v>
      </c>
      <c r="C19" s="1707">
        <v>40000</v>
      </c>
      <c r="E19" s="1797">
        <f t="shared" ref="E19:E21" si="10">ROUND($V$10+($V$11*$A19+($V$12*$A19+$V$14/100*$C19)*(1+$V$33))*(1+$V$16)+($V$12*$A19+$V$14/100*$C19)*$V$28+$V$15,2)</f>
        <v>5236.63</v>
      </c>
      <c r="F19" s="1797"/>
      <c r="G19" s="1797">
        <f t="shared" ref="G19:G21" si="11">ROUND($W$10+($W$11*$A19+($W$12*$A19+$W$14/100*$C19)*(1+$W$33))*(1+$W$16)+($W$12*$A19+$W$14/100*$C19)*$W$28+$W$15,2)</f>
        <v>5249</v>
      </c>
      <c r="H19" s="1797"/>
      <c r="I19" s="1797">
        <f>IF(G19="","",G19-E19)</f>
        <v>12.369999999999891</v>
      </c>
      <c r="K19" s="1723">
        <f>IF(I19="","",G19/E19-1)</f>
        <v>2.3622062280512779E-3</v>
      </c>
      <c r="M19" s="1797">
        <f t="shared" ref="M19:M21" si="12">ROUND($V$18+($V$19*$A19+($V$20*$A19+$V$22/100*$C19)*(1+$V$33))*(1+$V$24)+($V$20*$A19+$V$22/100*$C19)*$V$28+$V$23,2)</f>
        <v>4736.58</v>
      </c>
      <c r="N19" s="1797"/>
      <c r="O19" s="1797">
        <f t="shared" ref="O19:O21" si="13">ROUND($W$18+($W$19*$A19+($W$20*$A19+$W$22/100*$C19)*(1+$W$33))*(1+$W$24)+($W$20*$A19+$W$22/100*$C19)*$W$28+$W$23,2)</f>
        <v>4748.74</v>
      </c>
      <c r="P19" s="1797"/>
      <c r="Q19" s="1797">
        <f t="shared" si="0"/>
        <v>12.159999999999854</v>
      </c>
      <c r="S19" s="1723">
        <f t="shared" si="1"/>
        <v>2.5672531657863207E-3</v>
      </c>
      <c r="U19" s="1736" t="s">
        <v>2313</v>
      </c>
      <c r="V19" s="1795">
        <f>'Sch6-1'!W19</f>
        <v>3.98</v>
      </c>
      <c r="W19" s="1796">
        <f>'Blocking-Step2'!Q675</f>
        <v>4.03</v>
      </c>
      <c r="X19" s="1795"/>
    </row>
    <row r="20" spans="1:24">
      <c r="A20" s="1798">
        <f>A19</f>
        <v>200</v>
      </c>
      <c r="C20" s="1707">
        <v>80000</v>
      </c>
      <c r="E20" s="1797">
        <f t="shared" si="10"/>
        <v>6845</v>
      </c>
      <c r="F20" s="1797"/>
      <c r="G20" s="1797">
        <f t="shared" si="11"/>
        <v>6856.34</v>
      </c>
      <c r="H20" s="1797"/>
      <c r="I20" s="1797">
        <f>IF(G20="","",G20-E20)</f>
        <v>11.340000000000146</v>
      </c>
      <c r="K20" s="1723">
        <f>IF(I20="","",G20/E20-1)</f>
        <v>1.6566837107376831E-3</v>
      </c>
      <c r="M20" s="1797">
        <f t="shared" si="12"/>
        <v>6159.91</v>
      </c>
      <c r="N20" s="1797"/>
      <c r="O20" s="1797">
        <f t="shared" si="13"/>
        <v>6171.16</v>
      </c>
      <c r="P20" s="1797"/>
      <c r="Q20" s="1797">
        <f t="shared" si="0"/>
        <v>11.25</v>
      </c>
      <c r="S20" s="1723">
        <f t="shared" si="1"/>
        <v>1.8263253846240168E-3</v>
      </c>
      <c r="U20" s="1736" t="s">
        <v>1679</v>
      </c>
      <c r="V20" s="1795">
        <f>'Sch6-1'!W20</f>
        <v>11.71</v>
      </c>
      <c r="W20" s="1796">
        <f>'Blocking-Step2'!Q677</f>
        <v>11.86</v>
      </c>
      <c r="X20" s="1801"/>
    </row>
    <row r="21" spans="1:24">
      <c r="A21" s="1798">
        <f>A20</f>
        <v>200</v>
      </c>
      <c r="C21" s="1707">
        <v>120000</v>
      </c>
      <c r="E21" s="1797">
        <f t="shared" si="10"/>
        <v>8453.36</v>
      </c>
      <c r="F21" s="1797"/>
      <c r="G21" s="1797">
        <f t="shared" si="11"/>
        <v>8463.68</v>
      </c>
      <c r="H21" s="1797"/>
      <c r="I21" s="1797">
        <f>IF(G21="","",G21-E21)</f>
        <v>10.319999999999709</v>
      </c>
      <c r="K21" s="1723">
        <f>IF(I21="","",G21/E21-1)</f>
        <v>1.2208163381188797E-3</v>
      </c>
      <c r="M21" s="1797">
        <f t="shared" si="12"/>
        <v>7583.25</v>
      </c>
      <c r="N21" s="1797"/>
      <c r="O21" s="1797">
        <f t="shared" si="13"/>
        <v>7593.59</v>
      </c>
      <c r="P21" s="1797"/>
      <c r="Q21" s="1797">
        <f t="shared" si="0"/>
        <v>10.340000000000146</v>
      </c>
      <c r="S21" s="1723">
        <f t="shared" si="1"/>
        <v>1.3635314673787757E-3</v>
      </c>
      <c r="U21" s="1736" t="s">
        <v>1680</v>
      </c>
      <c r="V21" s="1773">
        <f>'Sch6-1'!W21</f>
        <v>-0.96</v>
      </c>
      <c r="W21" s="1805">
        <f>W13</f>
        <v>-0.96</v>
      </c>
      <c r="X21" s="1795"/>
    </row>
    <row r="22" spans="1:24">
      <c r="E22" s="1797"/>
      <c r="F22" s="1797"/>
      <c r="G22" s="1797"/>
      <c r="H22" s="1797"/>
      <c r="I22" s="1797"/>
      <c r="K22" s="1723"/>
      <c r="M22" s="1797"/>
      <c r="N22" s="1797"/>
      <c r="O22" s="1797"/>
      <c r="P22" s="1797"/>
      <c r="Q22" s="1797" t="str">
        <f t="shared" si="0"/>
        <v/>
      </c>
      <c r="S22" s="1723" t="str">
        <f t="shared" si="1"/>
        <v/>
      </c>
      <c r="U22" s="1736" t="s">
        <v>1689</v>
      </c>
      <c r="V22" s="1806">
        <f>'Sch6-1'!W22</f>
        <v>3.4338827240119998</v>
      </c>
      <c r="W22" s="1807">
        <f>'Blocking-Step2'!Q679</f>
        <v>3.4732480007099999</v>
      </c>
      <c r="X22" s="1803"/>
    </row>
    <row r="23" spans="1:24">
      <c r="A23" s="1707">
        <v>500</v>
      </c>
      <c r="C23" s="1707">
        <v>100000</v>
      </c>
      <c r="E23" s="1797">
        <f t="shared" ref="E23:E25" si="14">ROUND($V$10+($V$11*$A23+($V$12*$A23+$V$14/100*$C23)*(1+$V$33))*(1+$V$16)+($V$12*$A23+$V$14/100*$C23)*$V$28+$V$15,2)</f>
        <v>13003.67</v>
      </c>
      <c r="F23" s="1797"/>
      <c r="G23" s="1797">
        <f t="shared" ref="G23:G25" si="15">ROUND($W$10+($W$11*$A23+($W$12*$A23+$W$14/100*$C23)*(1+$W$33))*(1+$W$16)+($W$12*$A23+$W$14/100*$C23)*$W$28+$W$15,2)</f>
        <v>13033.09</v>
      </c>
      <c r="H23" s="1797"/>
      <c r="I23" s="1797">
        <f>IF(G23="","",G23-E23)</f>
        <v>29.420000000000073</v>
      </c>
      <c r="K23" s="1723">
        <f>IF(I23="","",G23/E23-1)</f>
        <v>2.2624382193643378E-3</v>
      </c>
      <c r="M23" s="1797">
        <f t="shared" ref="M23:M25" si="16">ROUND($V$18+($V$19*$A23+($V$20*$A23+$V$22/100*$C23)*(1+$V$33))*(1+$V$24)+($V$20*$A23+$V$22/100*$C23)*$V$28+$V$23,2)</f>
        <v>11753.54</v>
      </c>
      <c r="N23" s="1797"/>
      <c r="O23" s="1797">
        <f t="shared" ref="O23:O25" si="17">ROUND($W$18+($W$19*$A23+($W$20*$A23+$W$22/100*$C23)*(1+$W$33))*(1+$W$24)+($W$20*$A23+$W$22/100*$C23)*$W$28+$W$23,2)</f>
        <v>11782.45</v>
      </c>
      <c r="P23" s="1797"/>
      <c r="Q23" s="1797">
        <f t="shared" si="0"/>
        <v>28.909999999999854</v>
      </c>
      <c r="S23" s="1723">
        <f t="shared" si="1"/>
        <v>2.4596844865460987E-3</v>
      </c>
      <c r="U23" s="1736" t="s">
        <v>1133</v>
      </c>
      <c r="V23" s="1773">
        <f>'Sch6-1'!W23</f>
        <v>5.6</v>
      </c>
      <c r="W23" s="1805">
        <f>W15</f>
        <v>5.6</v>
      </c>
    </row>
    <row r="24" spans="1:24">
      <c r="A24" s="1798">
        <f>A23</f>
        <v>500</v>
      </c>
      <c r="C24" s="1707">
        <v>200000</v>
      </c>
      <c r="E24" s="1797">
        <f t="shared" si="14"/>
        <v>17024.59</v>
      </c>
      <c r="F24" s="1797"/>
      <c r="G24" s="1797">
        <f t="shared" si="15"/>
        <v>17051.439999999999</v>
      </c>
      <c r="H24" s="1797"/>
      <c r="I24" s="1797">
        <f>IF(G24="","",G24-E24)</f>
        <v>26.849999999998545</v>
      </c>
      <c r="K24" s="1723">
        <f>IF(I24="","",G24/E24-1)</f>
        <v>1.5771304918354989E-3</v>
      </c>
      <c r="M24" s="1797">
        <f t="shared" si="16"/>
        <v>15311.88</v>
      </c>
      <c r="N24" s="1797"/>
      <c r="O24" s="1797">
        <f t="shared" si="17"/>
        <v>15338.51</v>
      </c>
      <c r="P24" s="1797"/>
      <c r="Q24" s="1797">
        <f t="shared" si="0"/>
        <v>26.630000000001019</v>
      </c>
      <c r="S24" s="1723">
        <f t="shared" si="1"/>
        <v>1.7391724595543501E-3</v>
      </c>
      <c r="U24" s="1759" t="s">
        <v>1718</v>
      </c>
      <c r="V24" s="1768">
        <f>'Sch6-1'!W24</f>
        <v>3.9899999999999998E-2</v>
      </c>
      <c r="W24" s="1769">
        <f>W16</f>
        <v>3.9899999999999998E-2</v>
      </c>
    </row>
    <row r="25" spans="1:24">
      <c r="A25" s="1798">
        <f>A24</f>
        <v>500</v>
      </c>
      <c r="C25" s="1707">
        <v>300000</v>
      </c>
      <c r="E25" s="1797">
        <f t="shared" si="14"/>
        <v>21045.51</v>
      </c>
      <c r="F25" s="1797"/>
      <c r="G25" s="1797">
        <f t="shared" si="15"/>
        <v>21069.79</v>
      </c>
      <c r="H25" s="1797"/>
      <c r="I25" s="1797">
        <f>IF(G25="","",G25-E25)</f>
        <v>24.280000000002474</v>
      </c>
      <c r="K25" s="1723">
        <f>IF(I25="","",G25/E25-1)</f>
        <v>1.1536902645743474E-3</v>
      </c>
      <c r="M25" s="1797">
        <f t="shared" si="16"/>
        <v>18870.21</v>
      </c>
      <c r="N25" s="1797"/>
      <c r="O25" s="1797">
        <f t="shared" si="17"/>
        <v>18894.57</v>
      </c>
      <c r="P25" s="1797"/>
      <c r="Q25" s="1797">
        <f t="shared" si="0"/>
        <v>24.360000000000582</v>
      </c>
      <c r="S25" s="1723">
        <f t="shared" si="1"/>
        <v>1.290923630420604E-3</v>
      </c>
      <c r="X25" s="1808"/>
    </row>
    <row r="26" spans="1:24">
      <c r="E26" s="1797"/>
      <c r="F26" s="1797"/>
      <c r="G26" s="1797"/>
      <c r="H26" s="1797"/>
      <c r="I26" s="1797"/>
      <c r="K26" s="1723"/>
      <c r="M26" s="1797"/>
      <c r="N26" s="1797"/>
      <c r="O26" s="1797"/>
      <c r="P26" s="1797"/>
      <c r="Q26" s="1797" t="str">
        <f t="shared" si="0"/>
        <v/>
      </c>
      <c r="S26" s="1723" t="str">
        <f t="shared" si="1"/>
        <v/>
      </c>
      <c r="W26" s="1808"/>
    </row>
    <row r="27" spans="1:24">
      <c r="A27" s="1707">
        <v>1000</v>
      </c>
      <c r="C27" s="1707">
        <v>200000</v>
      </c>
      <c r="E27" s="1797">
        <f t="shared" ref="E27:E29" si="18">ROUND($V$10+($V$11*$A27+($V$12*$A27+$V$14/100*$C27)*(1+$V$33))*(1+$V$16)+($V$12*$A27+$V$14/100*$C27)*$V$28+$V$15,2)</f>
        <v>25948.74</v>
      </c>
      <c r="F27" s="1797"/>
      <c r="G27" s="1797">
        <f t="shared" ref="G27:G28" si="19">ROUND($W$10+($W$11*$A27+($W$12*$A27+$W$14/100*$C27)*(1+$W$33))*(1+$W$16)+($W$12*$A27+$W$14/100*$C27)*$W$28+$W$15,2)</f>
        <v>26006.59</v>
      </c>
      <c r="H27" s="1797"/>
      <c r="I27" s="1797">
        <f>IF(G27="","",G27-E27)</f>
        <v>57.849999999998545</v>
      </c>
      <c r="K27" s="1723">
        <f>IF(I27="","",G27/E27-1)</f>
        <v>2.2293953386560705E-3</v>
      </c>
      <c r="M27" s="1797">
        <f t="shared" ref="M27:M28" si="20">ROUND($V$18+($V$19*$A27+($V$20*$A27+$V$22/100*$C27)*(1+$V$33))*(1+$V$24)+($V$20*$A27+$V$22/100*$C27)*$V$28+$V$23,2)</f>
        <v>23448.48</v>
      </c>
      <c r="N27" s="1797"/>
      <c r="O27" s="1797">
        <f t="shared" ref="O27:O29" si="21">ROUND($W$18+($W$19*$A27+($W$20*$A27+$W$22/100*$C27)*(1+$W$33))*(1+$W$24)+($W$20*$A27+$W$22/100*$C27)*$W$28+$W$23,2)</f>
        <v>23505.29</v>
      </c>
      <c r="P27" s="1797"/>
      <c r="Q27" s="1797">
        <f t="shared" si="0"/>
        <v>56.81000000000131</v>
      </c>
      <c r="S27" s="1723">
        <f t="shared" si="1"/>
        <v>2.422758319515772E-3</v>
      </c>
      <c r="U27" s="1702" t="s">
        <v>1684</v>
      </c>
      <c r="V27" s="1799">
        <f>'Sch6-1'!W27</f>
        <v>0</v>
      </c>
      <c r="W27" s="1799">
        <v>0</v>
      </c>
    </row>
    <row r="28" spans="1:24">
      <c r="A28" s="1798">
        <f>A27</f>
        <v>1000</v>
      </c>
      <c r="C28" s="1707">
        <v>400000</v>
      </c>
      <c r="E28" s="1797">
        <f t="shared" si="18"/>
        <v>33990.58</v>
      </c>
      <c r="F28" s="1797"/>
      <c r="G28" s="1797">
        <f t="shared" si="19"/>
        <v>34043.279999999999</v>
      </c>
      <c r="H28" s="1797"/>
      <c r="I28" s="1797">
        <f>IF(G28="","",G28-E28)</f>
        <v>52.69999999999709</v>
      </c>
      <c r="K28" s="1723">
        <f>IF(I28="","",G28/E28-1)</f>
        <v>1.5504295601898033E-3</v>
      </c>
      <c r="M28" s="1797">
        <f t="shared" si="20"/>
        <v>30565.15</v>
      </c>
      <c r="N28" s="1797"/>
      <c r="O28" s="1797">
        <f t="shared" si="21"/>
        <v>30617.41</v>
      </c>
      <c r="P28" s="1797"/>
      <c r="Q28" s="1797">
        <f t="shared" si="0"/>
        <v>52.259999999998399</v>
      </c>
      <c r="S28" s="1723">
        <f t="shared" si="1"/>
        <v>1.7097903985421326E-3</v>
      </c>
      <c r="U28" s="1702" t="s">
        <v>1720</v>
      </c>
      <c r="V28" s="1765">
        <f>'Sch6-1'!W28</f>
        <v>-1.52E-2</v>
      </c>
      <c r="W28" s="1808">
        <f>'Blocking-Step2'!Q687</f>
        <v>-2.76E-2</v>
      </c>
    </row>
    <row r="29" spans="1:24">
      <c r="A29" s="1798">
        <f>A28</f>
        <v>1000</v>
      </c>
      <c r="C29" s="1707">
        <v>600000</v>
      </c>
      <c r="E29" s="1797">
        <f t="shared" si="18"/>
        <v>42032.42</v>
      </c>
      <c r="F29" s="1797"/>
      <c r="G29" s="1797">
        <f>ROUND($W$10+($W$11*$A29+($W$12*$A29+$W$14/100*$C29)*(1+$W$33))*(1+$W$16)+($W$12*$A29+$W$14/100*$C29)*$W$28+$W$15,2)</f>
        <v>42079.98</v>
      </c>
      <c r="H29" s="1797"/>
      <c r="I29" s="1797">
        <f>IF(G29="","",G29-E29)</f>
        <v>47.560000000004948</v>
      </c>
      <c r="K29" s="1723">
        <f>IF(I29="","",G29/E29-1)</f>
        <v>1.1315075363256266E-3</v>
      </c>
      <c r="M29" s="1797">
        <f>ROUND($V$18+($V$19*$A29+($V$20*$A29+$V$22/100*$C29)*(1+$V$33))*(1+$V$24)+($V$20*$A29+$V$22/100*$C29)*$V$28+$V$23,2)</f>
        <v>37681.83</v>
      </c>
      <c r="N29" s="1797"/>
      <c r="O29" s="1797">
        <f t="shared" si="21"/>
        <v>37729.54</v>
      </c>
      <c r="P29" s="1797"/>
      <c r="Q29" s="1797">
        <f t="shared" si="0"/>
        <v>47.709999999999127</v>
      </c>
      <c r="S29" s="1723">
        <f t="shared" si="1"/>
        <v>1.2661274678007484E-3</v>
      </c>
      <c r="U29" s="1702" t="s">
        <v>1721</v>
      </c>
      <c r="V29" s="1765">
        <f>'Sch6-1'!W29</f>
        <v>3.8999999999999998E-3</v>
      </c>
      <c r="W29" s="1808">
        <f>V29</f>
        <v>3.8999999999999998E-3</v>
      </c>
    </row>
    <row r="30" spans="1:24">
      <c r="U30" s="1702" t="s">
        <v>1722</v>
      </c>
      <c r="V30" s="1803">
        <f>'Sch6-1'!W30</f>
        <v>3.5999999999999997E-2</v>
      </c>
      <c r="W30" s="1808">
        <f>V30</f>
        <v>3.5999999999999997E-2</v>
      </c>
    </row>
    <row r="31" spans="1:24" ht="15.75">
      <c r="A31" s="1770" t="s">
        <v>1723</v>
      </c>
      <c r="U31" s="1702" t="s">
        <v>1685</v>
      </c>
      <c r="V31" s="1765">
        <f>'Sch6-1'!W31</f>
        <v>1.06E-2</v>
      </c>
      <c r="W31" s="1809">
        <f>V31</f>
        <v>1.06E-2</v>
      </c>
    </row>
    <row r="32" spans="1:24" ht="15.75">
      <c r="A32" s="1770"/>
      <c r="U32" s="1704" t="s">
        <v>1686</v>
      </c>
      <c r="V32" s="1765">
        <f>'Sch6-1'!W32</f>
        <v>5.0000000000000001E-4</v>
      </c>
      <c r="W32" s="1809">
        <f>V32</f>
        <v>5.0000000000000001E-4</v>
      </c>
    </row>
    <row r="33" spans="21:23">
      <c r="U33" s="1702" t="s">
        <v>1687</v>
      </c>
      <c r="V33" s="1752">
        <f>SUM(V31:V32)</f>
        <v>1.11E-2</v>
      </c>
      <c r="W33" s="1752">
        <f>SUM(W31:W32)</f>
        <v>1.11E-2</v>
      </c>
    </row>
  </sheetData>
  <printOptions horizontalCentered="1"/>
  <pageMargins left="0.75" right="0.75" top="1" bottom="1" header="0.5" footer="0.5"/>
  <pageSetup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opLeftCell="A8" zoomScale="90" zoomScaleNormal="90" workbookViewId="0">
      <pane xSplit="6" ySplit="4" topLeftCell="G33" activePane="bottomRight" state="frozen"/>
      <selection activeCell="A8" sqref="A8"/>
      <selection pane="topRight" activeCell="G8" sqref="G8"/>
      <selection pane="bottomLeft" activeCell="A12" sqref="A12"/>
      <selection pane="bottomRight" activeCell="Q53" sqref="Q53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625" style="1657" bestFit="1" customWidth="1"/>
    <col min="14" max="14" width="1.625" style="1657" customWidth="1"/>
    <col min="15" max="15" width="11.25" style="1657" bestFit="1" customWidth="1"/>
    <col min="16" max="16" width="1.625" style="1657" customWidth="1"/>
    <col min="17" max="17" width="10.75" style="1657" customWidth="1"/>
    <col min="18" max="18" width="1.625" style="1657" customWidth="1"/>
    <col min="19" max="19" width="10.625" style="1657" bestFit="1" customWidth="1"/>
    <col min="20" max="20" width="1.625" style="76" customWidth="1"/>
    <col min="21" max="21" width="7.25" style="76" bestFit="1" customWidth="1"/>
    <col min="22" max="22" width="1.625" style="76" customWidth="1"/>
    <col min="23" max="23" width="10.625" style="1657" bestFit="1" customWidth="1"/>
    <col min="24" max="24" width="1.625" style="76" customWidth="1"/>
    <col min="25" max="25" width="7.25" style="76" bestFit="1" customWidth="1"/>
    <col min="26" max="16384" width="9" style="76"/>
  </cols>
  <sheetData>
    <row r="1" spans="1:25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75"/>
      <c r="U1" s="75"/>
      <c r="V1" s="75"/>
      <c r="W1" s="1660"/>
      <c r="X1" s="75"/>
      <c r="Y1" s="75"/>
    </row>
    <row r="2" spans="1:25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62"/>
      <c r="U2" s="62"/>
      <c r="V2" s="62"/>
      <c r="W2" s="1661"/>
      <c r="X2" s="62"/>
      <c r="Y2" s="62"/>
    </row>
    <row r="3" spans="1:25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62"/>
      <c r="U3" s="62"/>
      <c r="V3" s="62"/>
      <c r="W3" s="1661"/>
      <c r="X3" s="62"/>
      <c r="Y3" s="62"/>
    </row>
    <row r="4" spans="1:25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62"/>
      <c r="U4" s="62"/>
      <c r="V4" s="62"/>
      <c r="W4" s="1661"/>
      <c r="X4" s="62"/>
      <c r="Y4" s="62"/>
    </row>
    <row r="5" spans="1:25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62"/>
      <c r="U5" s="62"/>
      <c r="V5" s="62"/>
      <c r="W5" s="1661"/>
      <c r="X5" s="62"/>
      <c r="Y5" s="62"/>
    </row>
    <row r="6" spans="1:25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62"/>
      <c r="U6" s="62"/>
      <c r="V6" s="62"/>
      <c r="W6" s="1661"/>
      <c r="X6" s="62"/>
      <c r="Y6" s="62"/>
    </row>
    <row r="7" spans="1:25">
      <c r="D7" s="85"/>
      <c r="F7" s="85"/>
      <c r="G7" s="2038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85"/>
      <c r="U7" s="84"/>
      <c r="V7" s="85"/>
      <c r="W7" s="1662"/>
      <c r="X7" s="85"/>
      <c r="Y7" s="84"/>
    </row>
    <row r="8" spans="1:25">
      <c r="D8" s="2038"/>
      <c r="E8" s="2038"/>
      <c r="F8" s="2038"/>
      <c r="G8" s="2038" t="s">
        <v>1368</v>
      </c>
      <c r="H8" s="2038"/>
      <c r="I8" s="1290"/>
      <c r="J8" s="2038"/>
      <c r="K8" s="1664" t="s">
        <v>200</v>
      </c>
      <c r="L8" s="1665"/>
      <c r="M8" s="1666" t="s">
        <v>2330</v>
      </c>
      <c r="N8" s="1666"/>
      <c r="O8" s="1666"/>
      <c r="P8" s="1666"/>
      <c r="Q8" s="1666"/>
      <c r="R8" s="1666"/>
      <c r="S8" s="1666"/>
      <c r="T8" s="1035"/>
      <c r="U8" s="1039"/>
      <c r="V8" s="1035"/>
      <c r="W8" s="1666"/>
      <c r="X8" s="1035"/>
      <c r="Y8" s="1039"/>
    </row>
    <row r="9" spans="1:25" s="80" customFormat="1">
      <c r="A9" s="80" t="s">
        <v>217</v>
      </c>
      <c r="D9" s="2038"/>
      <c r="E9" s="2038" t="s">
        <v>156</v>
      </c>
      <c r="F9" s="2038"/>
      <c r="G9" s="83" t="s">
        <v>778</v>
      </c>
      <c r="H9" s="2038"/>
      <c r="I9" s="1290" t="s">
        <v>109</v>
      </c>
      <c r="J9" s="83"/>
      <c r="K9" s="1665" t="s">
        <v>1366</v>
      </c>
      <c r="L9" s="1664"/>
      <c r="M9" s="1664" t="s">
        <v>1366</v>
      </c>
      <c r="N9" s="1664"/>
      <c r="O9" s="1664" t="s">
        <v>1241</v>
      </c>
      <c r="P9" s="1664"/>
      <c r="Q9" s="1664" t="s">
        <v>2210</v>
      </c>
      <c r="R9" s="1664"/>
      <c r="S9" s="1666" t="s">
        <v>2211</v>
      </c>
      <c r="T9" s="1035"/>
      <c r="U9" s="1039"/>
      <c r="V9" s="83"/>
      <c r="W9" s="1666" t="s">
        <v>1752</v>
      </c>
      <c r="X9" s="1035"/>
      <c r="Y9" s="1039"/>
    </row>
    <row r="10" spans="1:25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U10" s="1042" t="s">
        <v>1370</v>
      </c>
      <c r="W10" s="1667" t="s">
        <v>1397</v>
      </c>
      <c r="Y10" s="1042" t="s">
        <v>1370</v>
      </c>
    </row>
    <row r="11" spans="1:25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834">
        <f>MIN($A11:J11)-1</f>
        <v>-5</v>
      </c>
      <c r="L11" s="1834"/>
      <c r="M11" s="1834">
        <f>MIN($A11:L11)-1</f>
        <v>-6</v>
      </c>
      <c r="N11" s="1834"/>
      <c r="O11" s="1834">
        <f>MIN($A11:N11)-1</f>
        <v>-7</v>
      </c>
      <c r="P11" s="1834"/>
      <c r="Q11" s="1834">
        <f>MIN($A11:P11)-1</f>
        <v>-8</v>
      </c>
      <c r="R11" s="1834"/>
      <c r="S11" s="1834">
        <f>MIN($A11:R11)-1</f>
        <v>-9</v>
      </c>
      <c r="T11" s="1834"/>
      <c r="U11" s="1834">
        <f>MIN($A11:T11)-1</f>
        <v>-10</v>
      </c>
      <c r="V11" s="1834"/>
      <c r="W11" s="1834">
        <f>MIN($A11:V11)-1</f>
        <v>-11</v>
      </c>
      <c r="X11" s="1834"/>
      <c r="Y11" s="1834">
        <f>MIN($A11:X11)-1</f>
        <v>-12</v>
      </c>
    </row>
    <row r="12" spans="1:25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5" t="str">
        <f>"(" &amp; -M11 &amp; ")-(" &amp; -K11 &amp; ")"</f>
        <v>(6)-(5)</v>
      </c>
      <c r="U12" s="1043" t="str">
        <f>"(" &amp; -S11 &amp; ")/(" &amp; -K11 &amp; ")"</f>
        <v>(9)/(5)</v>
      </c>
      <c r="W12" s="1665" t="str">
        <f>"(" &amp; -Q11 &amp; ")-(" &amp; -K11 &amp; ")"</f>
        <v>(8)-(5)</v>
      </c>
      <c r="Y12" s="1043" t="str">
        <f>"(" &amp; -W11 &amp; ")/(" &amp; -K11 &amp; ")"</f>
        <v>(11)/(5)</v>
      </c>
    </row>
    <row r="13" spans="1:25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76"/>
      <c r="U13" s="76"/>
      <c r="V13" s="76"/>
      <c r="W13" s="1657"/>
      <c r="X13" s="76"/>
      <c r="Y13" s="76"/>
    </row>
    <row r="14" spans="1:25">
      <c r="A14" s="76">
        <v>1</v>
      </c>
      <c r="C14" s="76" t="s">
        <v>103</v>
      </c>
      <c r="E14" s="1303" t="s">
        <v>2250</v>
      </c>
      <c r="G14" s="68">
        <f>'Table B-Step2'!G14+'Table B-Step2'!G17+'Table B-Step2'!G18+'Table B-Step2'!G19</f>
        <v>857245</v>
      </c>
      <c r="I14" s="68">
        <f>'Table B-Step2'!I14+'Table B-Step2'!I17+'Table B-Step2'!I18+'Table B-Step2'!I19</f>
        <v>6776607.1933199447</v>
      </c>
      <c r="K14" s="144">
        <f>'Table B-Total'!K14+'Table B-Total'!K17+'Table B-Total'!K18+'Table B-Total'!K19</f>
        <v>730022.9857208</v>
      </c>
      <c r="M14" s="144">
        <f>'Table B-Total'!M14+'Table B-Total'!M17+'Table B-Total'!M18+'Table B-Total'!M19</f>
        <v>779039.88699999999</v>
      </c>
      <c r="O14" s="144">
        <f>'Table B-Total'!O14+'Table B-Total'!O17+'Table B-Total'!O18+'Table B-Total'!O19</f>
        <v>-21108.224614400002</v>
      </c>
      <c r="Q14" s="144">
        <f>M14+O14</f>
        <v>757931.66238560004</v>
      </c>
      <c r="S14" s="144">
        <f>M14-K14</f>
        <v>49016.901279199985</v>
      </c>
      <c r="U14" s="1294">
        <f>S14/K14</f>
        <v>6.7144325915713954E-2</v>
      </c>
      <c r="W14" s="144">
        <f>Q14-K14</f>
        <v>27908.676664800034</v>
      </c>
      <c r="Y14" s="1294">
        <f>W14/K14</f>
        <v>3.8229860169736916E-2</v>
      </c>
    </row>
    <row r="15" spans="1:25">
      <c r="A15" s="76">
        <f>MAX(A$13:A14)+1</f>
        <v>2</v>
      </c>
      <c r="C15" s="1295" t="s">
        <v>1377</v>
      </c>
      <c r="E15" s="1297" t="s">
        <v>2251</v>
      </c>
      <c r="G15" s="68">
        <f>'Table B-Step2'!G15+'Table B-Step2'!G16</f>
        <v>623</v>
      </c>
      <c r="I15" s="68">
        <f>'Table B-Step2'!I15+'Table B-Step2'!I16</f>
        <v>6392.1840452160832</v>
      </c>
      <c r="K15" s="144">
        <f>'Table B-Total'!K15+'Table B-Total'!K16</f>
        <v>601.13113679999992</v>
      </c>
      <c r="M15" s="144">
        <f>'Table B-Total'!M15+'Table B-Total'!M16</f>
        <v>643.255</v>
      </c>
      <c r="O15" s="144">
        <f>'Table B-Total'!O15+'Table B-Total'!O16</f>
        <v>-17.721488400000002</v>
      </c>
      <c r="Q15" s="144">
        <f t="shared" ref="Q15:Q16" si="0">M15+O15</f>
        <v>625.5335116</v>
      </c>
      <c r="S15" s="144">
        <f t="shared" ref="S15:S16" si="1">M15-K15</f>
        <v>42.123863200000073</v>
      </c>
      <c r="U15" s="1294">
        <f t="shared" ref="U15:U17" si="2">S15/K15</f>
        <v>7.0074332572819212E-2</v>
      </c>
      <c r="W15" s="144">
        <f t="shared" ref="W15:W16" si="3">Q15-K15</f>
        <v>24.402374800000075</v>
      </c>
      <c r="Y15" s="1294">
        <f t="shared" ref="Y15:Y50" si="4">W15/K15</f>
        <v>4.0594095541118008E-2</v>
      </c>
    </row>
    <row r="16" spans="1:25">
      <c r="A16" s="76">
        <f>MAX(A$13:A15)+1</f>
        <v>3</v>
      </c>
      <c r="C16" s="1298" t="s">
        <v>471</v>
      </c>
      <c r="E16" s="1299"/>
      <c r="G16" s="72"/>
      <c r="I16" s="72"/>
      <c r="K16" s="145">
        <f>'Table B-Total'!K20</f>
        <v>6.7950900000000622</v>
      </c>
      <c r="M16" s="145">
        <f>'Table B-Total'!M20</f>
        <v>6.7950900000000622</v>
      </c>
      <c r="O16" s="145">
        <f>'Table B-Total'!O20</f>
        <v>0</v>
      </c>
      <c r="Q16" s="145">
        <f t="shared" si="0"/>
        <v>6.7950900000000622</v>
      </c>
      <c r="S16" s="145">
        <f t="shared" si="1"/>
        <v>0</v>
      </c>
      <c r="U16" s="1300">
        <f t="shared" si="2"/>
        <v>0</v>
      </c>
      <c r="W16" s="145">
        <f t="shared" si="3"/>
        <v>0</v>
      </c>
      <c r="Y16" s="1300">
        <f t="shared" si="4"/>
        <v>0</v>
      </c>
    </row>
    <row r="17" spans="1:25">
      <c r="A17" s="76">
        <f>MAX(A$13:A16)+1</f>
        <v>4</v>
      </c>
      <c r="C17" s="80" t="s">
        <v>114</v>
      </c>
      <c r="G17" s="68">
        <f>SUM(G14:G16)</f>
        <v>857868</v>
      </c>
      <c r="I17" s="68">
        <f>SUM(I14:I16)</f>
        <v>6782999.3773651607</v>
      </c>
      <c r="K17" s="144">
        <f>SUM(K14:K16)</f>
        <v>730630.91194760008</v>
      </c>
      <c r="M17" s="144">
        <f>SUM(M14:M16)</f>
        <v>779689.93709000002</v>
      </c>
      <c r="O17" s="144">
        <f>SUM(O14:O16)</f>
        <v>-21125.946102800001</v>
      </c>
      <c r="Q17" s="144">
        <f>SUM(Q14:Q16)</f>
        <v>758563.99098720006</v>
      </c>
      <c r="S17" s="144">
        <f>SUM(S14:S16)</f>
        <v>49059.025142399987</v>
      </c>
      <c r="U17" s="1294">
        <f t="shared" si="2"/>
        <v>6.7146112134273392E-2</v>
      </c>
      <c r="W17" s="144">
        <f>SUM(W14:W16)</f>
        <v>27933.079039600034</v>
      </c>
      <c r="Y17" s="1294">
        <f t="shared" si="4"/>
        <v>3.8231449809782152E-2</v>
      </c>
    </row>
    <row r="18" spans="1:25">
      <c r="C18" s="80" t="s">
        <v>1316</v>
      </c>
      <c r="G18" s="68"/>
      <c r="I18" s="68"/>
      <c r="K18" s="144"/>
      <c r="M18" s="144"/>
      <c r="O18" s="144"/>
      <c r="Q18" s="144"/>
      <c r="S18" s="144"/>
      <c r="W18" s="144"/>
    </row>
    <row r="19" spans="1:25" ht="25.15" customHeight="1">
      <c r="A19" s="76">
        <f>MAX(A$13:A18)+1</f>
        <v>5</v>
      </c>
      <c r="C19" s="1295" t="s">
        <v>1378</v>
      </c>
      <c r="E19" s="1302">
        <v>6</v>
      </c>
      <c r="G19" s="68">
        <f>'Table B-Step2'!G23+'Table B-Step2'!G24+'Table B-Step2'!G25</f>
        <v>13514</v>
      </c>
      <c r="I19" s="68">
        <f>'Table B-Step2'!I23+'Table B-Step2'!I24+'Table B-Step2'!I25</f>
        <v>5786326.1582976859</v>
      </c>
      <c r="K19" s="144">
        <f>'Table B-Total'!K23+'Table B-Total'!K24+'Table B-Total'!K25</f>
        <v>473635.33899870003</v>
      </c>
      <c r="M19" s="144">
        <f>'Table B-Total'!M23+'Table B-Total'!M24+'Table B-Total'!M25</f>
        <v>481273.97600000002</v>
      </c>
      <c r="O19" s="144">
        <f>'Table B-Total'!O23+'Table B-Total'!O24+'Table B-Total'!O25</f>
        <v>-11338.488371400001</v>
      </c>
      <c r="Q19" s="144">
        <f t="shared" ref="Q19:Q21" si="5">M19+O19</f>
        <v>469935.48762860004</v>
      </c>
      <c r="S19" s="144">
        <f t="shared" ref="S19:S21" si="6">M19-K19</f>
        <v>7638.6370012999978</v>
      </c>
      <c r="U19" s="1294">
        <f t="shared" ref="U19:U39" si="7">S19/K19</f>
        <v>1.6127675391470236E-2</v>
      </c>
      <c r="W19" s="144">
        <f t="shared" ref="W19:W21" si="8">Q19-K19</f>
        <v>-3699.8513700999902</v>
      </c>
      <c r="Y19" s="1294">
        <f t="shared" si="4"/>
        <v>-7.8116032851808489E-3</v>
      </c>
    </row>
    <row r="20" spans="1:25">
      <c r="A20" s="76">
        <f>MAX(A$13:A19)+1</f>
        <v>6</v>
      </c>
      <c r="C20" s="1295" t="s">
        <v>1381</v>
      </c>
      <c r="E20" s="1296" t="s">
        <v>221</v>
      </c>
      <c r="G20" s="68">
        <f>'Table B-Step2'!G26+'Table B-Step2'!G27+'Table B-Step2'!G28</f>
        <v>2806</v>
      </c>
      <c r="I20" s="68">
        <f>'Table B-Step2'!I26+'Table B-Step2'!I27+'Table B-Step2'!I28</f>
        <v>404017.6502258089</v>
      </c>
      <c r="K20" s="144">
        <f>'Table B-Total'!K26+'Table B-Total'!K27+'Table B-Total'!K28</f>
        <v>46170.033759599995</v>
      </c>
      <c r="M20" s="144">
        <f>'Table B-Total'!M26+'Table B-Total'!M27+'Table B-Total'!M28</f>
        <v>47517.911</v>
      </c>
      <c r="O20" s="144">
        <f>'Table B-Total'!O26+'Table B-Total'!O27+'Table B-Total'!O28</f>
        <v>-1171.0121832</v>
      </c>
      <c r="Q20" s="144">
        <f t="shared" si="5"/>
        <v>46346.8988168</v>
      </c>
      <c r="S20" s="144">
        <f t="shared" si="6"/>
        <v>1347.8772404000047</v>
      </c>
      <c r="U20" s="1294">
        <f t="shared" si="7"/>
        <v>2.9193767702622584E-2</v>
      </c>
      <c r="W20" s="144">
        <f t="shared" si="8"/>
        <v>176.86505720000423</v>
      </c>
      <c r="Y20" s="1294">
        <f t="shared" si="4"/>
        <v>3.8307326808750537E-3</v>
      </c>
    </row>
    <row r="21" spans="1:25">
      <c r="A21" s="76">
        <f>MAX(A$13:A20)+1</f>
        <v>7</v>
      </c>
      <c r="C21" s="1295" t="s">
        <v>1383</v>
      </c>
      <c r="E21" s="1296" t="s">
        <v>223</v>
      </c>
      <c r="G21" s="71">
        <f>'Table B-Step2'!G29</f>
        <v>16</v>
      </c>
      <c r="I21" s="71">
        <f>'Table B-Step2'!I29</f>
        <v>3380.6909999999998</v>
      </c>
      <c r="K21" s="145">
        <f>'Table B-Total'!K29</f>
        <v>331.16066489999997</v>
      </c>
      <c r="M21" s="145">
        <f>'Table B-Total'!M29</f>
        <v>313.46299999999997</v>
      </c>
      <c r="O21" s="145">
        <f>'Table B-Total'!O29</f>
        <v>-7.0002659999999999</v>
      </c>
      <c r="Q21" s="145">
        <f t="shared" si="5"/>
        <v>306.46273399999995</v>
      </c>
      <c r="S21" s="145">
        <f t="shared" si="6"/>
        <v>-17.697664900000007</v>
      </c>
      <c r="U21" s="1300">
        <f t="shared" si="7"/>
        <v>-5.3441325543129164E-2</v>
      </c>
      <c r="W21" s="145">
        <f t="shared" si="8"/>
        <v>-24.697930900000017</v>
      </c>
      <c r="Y21" s="1300">
        <f t="shared" si="4"/>
        <v>-7.4579904915512862E-2</v>
      </c>
    </row>
    <row r="22" spans="1:25">
      <c r="A22" s="1038">
        <f>MAX(A$13:A21)+1</f>
        <v>8</v>
      </c>
      <c r="B22" s="1038"/>
      <c r="C22" s="1038" t="s">
        <v>224</v>
      </c>
      <c r="D22" s="1038"/>
      <c r="E22" s="1038"/>
      <c r="F22" s="1038"/>
      <c r="G22" s="1036">
        <f>SUM(G19:G21)</f>
        <v>16336</v>
      </c>
      <c r="H22" s="1038"/>
      <c r="I22" s="1036">
        <f>SUM(I19:I21)</f>
        <v>6193724.4995234944</v>
      </c>
      <c r="J22" s="1038"/>
      <c r="K22" s="1037">
        <f>SUM(K19:K21)</f>
        <v>520136.53342320002</v>
      </c>
      <c r="L22" s="1658"/>
      <c r="M22" s="1037">
        <f>SUM(M19:M21)</f>
        <v>529105.35</v>
      </c>
      <c r="N22" s="1658"/>
      <c r="O22" s="1037">
        <f>SUM(O19:O21)</f>
        <v>-12516.5008206</v>
      </c>
      <c r="P22" s="1658"/>
      <c r="Q22" s="1037">
        <f>SUM(Q19:Q21)</f>
        <v>516588.84917940001</v>
      </c>
      <c r="R22" s="1658"/>
      <c r="S22" s="1037">
        <f>SUM(S19:S21)</f>
        <v>8968.8165768000017</v>
      </c>
      <c r="T22" s="1038"/>
      <c r="U22" s="1304">
        <f t="shared" si="7"/>
        <v>1.7243196738696839E-2</v>
      </c>
      <c r="V22" s="1038"/>
      <c r="W22" s="1037">
        <f>SUM(W19:W21)</f>
        <v>-3547.6842437999858</v>
      </c>
      <c r="X22" s="1038"/>
      <c r="Y22" s="1304">
        <f t="shared" si="4"/>
        <v>-6.8206788330199336E-3</v>
      </c>
    </row>
    <row r="23" spans="1:25" s="1038" customFormat="1">
      <c r="A23" s="76">
        <f>MAX(A$13:A22)+1</f>
        <v>9</v>
      </c>
      <c r="B23" s="76"/>
      <c r="C23" s="1295" t="s">
        <v>1384</v>
      </c>
      <c r="D23" s="76"/>
      <c r="E23" s="76">
        <v>8</v>
      </c>
      <c r="F23" s="68"/>
      <c r="G23" s="68">
        <f>'Table B-Step2'!G34</f>
        <v>249</v>
      </c>
      <c r="H23" s="68"/>
      <c r="I23" s="68">
        <f>'Table B-Step2'!I34</f>
        <v>2020703.4442505348</v>
      </c>
      <c r="J23" s="68"/>
      <c r="K23" s="144">
        <f>'Table B-Total'!K34</f>
        <v>146556.96347300001</v>
      </c>
      <c r="L23" s="1659"/>
      <c r="M23" s="144">
        <f>'Table B-Total'!M34</f>
        <v>149069.93700000001</v>
      </c>
      <c r="N23" s="1659"/>
      <c r="O23" s="144">
        <f>'Table B-Total'!O34</f>
        <v>-3439.4543715</v>
      </c>
      <c r="P23" s="1659"/>
      <c r="Q23" s="144">
        <f t="shared" ref="Q23:Q25" si="9">M23+O23</f>
        <v>145630.4826285</v>
      </c>
      <c r="R23" s="1659"/>
      <c r="S23" s="144">
        <f t="shared" ref="S23:S25" si="10">M23-K23</f>
        <v>2512.9735269999946</v>
      </c>
      <c r="T23" s="76"/>
      <c r="U23" s="1294">
        <f t="shared" si="7"/>
        <v>1.7146735763687929E-2</v>
      </c>
      <c r="V23" s="68"/>
      <c r="W23" s="144">
        <f t="shared" ref="W23:W25" si="11">Q23-K23</f>
        <v>-926.48084450000897</v>
      </c>
      <c r="X23" s="76"/>
      <c r="Y23" s="1294">
        <f t="shared" si="4"/>
        <v>-6.3216432883497434E-3</v>
      </c>
    </row>
    <row r="24" spans="1:25" ht="22.15" customHeight="1">
      <c r="A24" s="76">
        <f>MAX(A$13:A23)+1</f>
        <v>10</v>
      </c>
      <c r="C24" s="1295" t="s">
        <v>1386</v>
      </c>
      <c r="E24" s="76">
        <v>9</v>
      </c>
      <c r="G24" s="68">
        <f>'Table B-Step2'!G35</f>
        <v>156</v>
      </c>
      <c r="I24" s="68">
        <f>'Table B-Step2'!I35</f>
        <v>4847331.9543051273</v>
      </c>
      <c r="K24" s="144">
        <f>'Table B-Total'!K35</f>
        <v>265709.5999731</v>
      </c>
      <c r="M24" s="144">
        <f>'Table B-Total'!M35</f>
        <v>275758.56699999998</v>
      </c>
      <c r="O24" s="144">
        <f>'Table B-Total'!O35</f>
        <v>-6554.3210636000003</v>
      </c>
      <c r="Q24" s="144">
        <f t="shared" si="9"/>
        <v>269204.24593639997</v>
      </c>
      <c r="S24" s="144">
        <f t="shared" si="10"/>
        <v>10048.967026899976</v>
      </c>
      <c r="U24" s="1294">
        <f t="shared" si="7"/>
        <v>3.7819360037865839E-2</v>
      </c>
      <c r="W24" s="144">
        <f t="shared" si="11"/>
        <v>3494.6459632999613</v>
      </c>
      <c r="Y24" s="1294">
        <f t="shared" si="4"/>
        <v>1.3152125341552407E-2</v>
      </c>
    </row>
    <row r="25" spans="1:25" ht="22.15" customHeight="1">
      <c r="A25" s="76">
        <f>MAX(A$13:A24)+1</f>
        <v>11</v>
      </c>
      <c r="C25" s="1295" t="s">
        <v>1395</v>
      </c>
      <c r="E25" s="1296" t="s">
        <v>225</v>
      </c>
      <c r="G25" s="71">
        <f>'Table B-Step2'!G36</f>
        <v>9</v>
      </c>
      <c r="I25" s="71">
        <f>'Table B-Step2'!I36</f>
        <v>41940.288</v>
      </c>
      <c r="K25" s="145">
        <f>'Table B-Total'!K36</f>
        <v>3195.848559</v>
      </c>
      <c r="M25" s="145">
        <f>'Table B-Total'!M36</f>
        <v>3024.6320000000001</v>
      </c>
      <c r="O25" s="145">
        <f>'Table B-Total'!O36</f>
        <v>-62.617536000000001</v>
      </c>
      <c r="Q25" s="145">
        <f t="shared" si="9"/>
        <v>2962.0144639999999</v>
      </c>
      <c r="S25" s="145">
        <f t="shared" si="10"/>
        <v>-171.21655899999996</v>
      </c>
      <c r="U25" s="1300">
        <f t="shared" si="7"/>
        <v>-5.3574678473993345E-2</v>
      </c>
      <c r="W25" s="145">
        <f t="shared" si="11"/>
        <v>-233.83409500000016</v>
      </c>
      <c r="Y25" s="1300">
        <f t="shared" si="4"/>
        <v>-7.3168077486490235E-2</v>
      </c>
    </row>
    <row r="26" spans="1:25">
      <c r="A26" s="76">
        <f>MAX(A$13:A25)+1</f>
        <v>12</v>
      </c>
      <c r="C26" s="1038" t="s">
        <v>226</v>
      </c>
      <c r="D26" s="1038"/>
      <c r="E26" s="1038"/>
      <c r="F26" s="1038"/>
      <c r="G26" s="1036">
        <f>SUM(G24:G25)</f>
        <v>165</v>
      </c>
      <c r="H26" s="1038"/>
      <c r="I26" s="1036">
        <f>SUM(I24:I25)</f>
        <v>4889272.242305127</v>
      </c>
      <c r="J26" s="1038"/>
      <c r="K26" s="1037">
        <f>SUM(K24:K25)</f>
        <v>268905.44853210001</v>
      </c>
      <c r="L26" s="1658"/>
      <c r="M26" s="1037">
        <f>SUM(M24:M25)</f>
        <v>278783.19899999996</v>
      </c>
      <c r="N26" s="1658"/>
      <c r="O26" s="1037">
        <f>SUM(O24:O25)</f>
        <v>-6616.9385996000001</v>
      </c>
      <c r="P26" s="1658"/>
      <c r="Q26" s="1037">
        <f>SUM(Q24:Q25)</f>
        <v>272166.26040039997</v>
      </c>
      <c r="R26" s="1658"/>
      <c r="S26" s="1037">
        <f>SUM(S24:S25)</f>
        <v>9877.7504678999758</v>
      </c>
      <c r="T26" s="1038"/>
      <c r="U26" s="1304">
        <f t="shared" si="7"/>
        <v>3.6733173395409428E-2</v>
      </c>
      <c r="V26" s="1038"/>
      <c r="W26" s="1037">
        <f>SUM(W24:W25)</f>
        <v>3260.8118682999611</v>
      </c>
      <c r="X26" s="1038"/>
      <c r="Y26" s="1304">
        <f t="shared" si="4"/>
        <v>1.2126239487150848E-2</v>
      </c>
    </row>
    <row r="27" spans="1:25">
      <c r="A27" s="76">
        <f>MAX(A$13:A26)+1</f>
        <v>13</v>
      </c>
      <c r="C27" s="76" t="s">
        <v>227</v>
      </c>
      <c r="E27" s="1296">
        <v>10</v>
      </c>
      <c r="G27" s="68">
        <f>'Table B-Step2'!G38+'Table B-Step2'!G39</f>
        <v>3339</v>
      </c>
      <c r="I27" s="68">
        <f>'Table B-Step2'!I38+'Table B-Step2'!I39</f>
        <v>206134.08558220015</v>
      </c>
      <c r="K27" s="144">
        <f>'Table B-Total'!K38+'Table B-Total'!K39</f>
        <v>15776.8748168</v>
      </c>
      <c r="M27" s="144">
        <f>'Table B-Total'!M38+'Table B-Total'!M39</f>
        <v>16369.491999999998</v>
      </c>
      <c r="O27" s="144">
        <f>'Table B-Total'!O38+'Table B-Total'!O39</f>
        <v>-432.00199429999998</v>
      </c>
      <c r="Q27" s="144">
        <f t="shared" ref="Q27:Q28" si="12">M27+O27</f>
        <v>15937.490005699998</v>
      </c>
      <c r="S27" s="144">
        <f t="shared" ref="S27:S28" si="13">M27-K27</f>
        <v>592.61718319999818</v>
      </c>
      <c r="U27" s="1294">
        <f t="shared" si="7"/>
        <v>3.7562393698462385E-2</v>
      </c>
      <c r="W27" s="144">
        <f t="shared" ref="W27:W28" si="14">Q27-K27</f>
        <v>160.61518889999752</v>
      </c>
      <c r="Y27" s="1294">
        <f t="shared" si="4"/>
        <v>1.018041854074715E-2</v>
      </c>
    </row>
    <row r="28" spans="1:25">
      <c r="A28" s="76">
        <f>MAX(A$13:A27)+1</f>
        <v>14</v>
      </c>
      <c r="C28" s="1295" t="s">
        <v>1388</v>
      </c>
      <c r="E28" s="1296" t="s">
        <v>228</v>
      </c>
      <c r="G28" s="71">
        <f>'Table B-Step2'!G40</f>
        <v>269</v>
      </c>
      <c r="I28" s="71">
        <f>'Table B-Step2'!I40</f>
        <v>24258.38713714117</v>
      </c>
      <c r="K28" s="145">
        <f>'Table B-Total'!K40</f>
        <v>1922.6796366999999</v>
      </c>
      <c r="M28" s="145">
        <f>'Table B-Total'!M40</f>
        <v>1987.5429999999999</v>
      </c>
      <c r="O28" s="145">
        <f>'Table B-Total'!O40</f>
        <v>-53.253613799999997</v>
      </c>
      <c r="Q28" s="145">
        <f t="shared" si="12"/>
        <v>1934.2893861999999</v>
      </c>
      <c r="S28" s="145">
        <f t="shared" si="13"/>
        <v>64.863363299999946</v>
      </c>
      <c r="U28" s="1300">
        <f t="shared" si="7"/>
        <v>3.3735918382808941E-2</v>
      </c>
      <c r="W28" s="145">
        <f t="shared" si="14"/>
        <v>11.609749499999907</v>
      </c>
      <c r="Y28" s="1300">
        <f t="shared" si="4"/>
        <v>6.0383171894025749E-3</v>
      </c>
    </row>
    <row r="29" spans="1:25">
      <c r="A29" s="76">
        <f>MAX(A$13:A28)+1</f>
        <v>15</v>
      </c>
      <c r="C29" s="1038" t="s">
        <v>229</v>
      </c>
      <c r="D29" s="1038"/>
      <c r="E29" s="1038"/>
      <c r="F29" s="1038"/>
      <c r="G29" s="1036">
        <f>SUM(G27:G28)</f>
        <v>3608</v>
      </c>
      <c r="H29" s="1038"/>
      <c r="I29" s="1036">
        <f>SUM(I27:I28)</f>
        <v>230392.47271934131</v>
      </c>
      <c r="J29" s="1038"/>
      <c r="K29" s="1037">
        <f>SUM(K27:K28)</f>
        <v>17699.554453500001</v>
      </c>
      <c r="L29" s="1658"/>
      <c r="M29" s="1037">
        <f>SUM(M27:M28)</f>
        <v>18357.035</v>
      </c>
      <c r="N29" s="1658"/>
      <c r="O29" s="1037">
        <f>SUM(O27:O28)</f>
        <v>-485.25560809999996</v>
      </c>
      <c r="P29" s="1658"/>
      <c r="Q29" s="1037">
        <f>SUM(Q27:Q28)</f>
        <v>17871.779391899996</v>
      </c>
      <c r="R29" s="1658"/>
      <c r="S29" s="1037">
        <f>SUM(S27:S28)</f>
        <v>657.48054649999813</v>
      </c>
      <c r="T29" s="1038"/>
      <c r="U29" s="1304">
        <f t="shared" si="7"/>
        <v>3.7146728649431318E-2</v>
      </c>
      <c r="V29" s="1038"/>
      <c r="W29" s="1037">
        <f>SUM(W27:W28)</f>
        <v>172.22493839999743</v>
      </c>
      <c r="X29" s="1038"/>
      <c r="Y29" s="1304">
        <f t="shared" si="4"/>
        <v>9.7304674449554176E-3</v>
      </c>
    </row>
    <row r="30" spans="1:25">
      <c r="A30" s="76">
        <f>MAX(A$13:A29)+1</f>
        <v>16</v>
      </c>
      <c r="C30" s="76" t="s">
        <v>230</v>
      </c>
      <c r="E30" s="76">
        <v>21</v>
      </c>
      <c r="G30" s="68">
        <f>'Table B-Step2'!G42</f>
        <v>3</v>
      </c>
      <c r="I30" s="68">
        <f>'Table B-Step2'!I42</f>
        <v>1837.1120000000001</v>
      </c>
      <c r="K30" s="144">
        <f>'Table B-Total'!K42</f>
        <v>233.11476199999998</v>
      </c>
      <c r="M30" s="144">
        <f>'Table B-Total'!M42</f>
        <v>508.91800000000001</v>
      </c>
      <c r="O30" s="144">
        <f>'Table B-Total'!O42</f>
        <v>-11.5120445</v>
      </c>
      <c r="Q30" s="144">
        <f t="shared" ref="Q30:Q38" si="15">M30+O30</f>
        <v>497.4059555</v>
      </c>
      <c r="S30" s="144">
        <f t="shared" ref="S30:S38" si="16">M30-K30</f>
        <v>275.80323800000002</v>
      </c>
      <c r="U30" s="1294">
        <f t="shared" si="7"/>
        <v>1.1831221482232861</v>
      </c>
      <c r="W30" s="144">
        <f t="shared" ref="W30:W38" si="17">Q30-K30</f>
        <v>264.29119350000002</v>
      </c>
      <c r="Y30" s="1294">
        <f t="shared" si="4"/>
        <v>1.1337385553472588</v>
      </c>
    </row>
    <row r="31" spans="1:25" ht="22.15" customHeight="1">
      <c r="A31" s="76">
        <f>MAX(A$13:A30)+1</f>
        <v>17</v>
      </c>
      <c r="C31" s="1295" t="s">
        <v>1389</v>
      </c>
      <c r="E31" s="1302">
        <v>23</v>
      </c>
      <c r="G31" s="68">
        <f>'Table B-Step2'!G46</f>
        <v>96230</v>
      </c>
      <c r="I31" s="68">
        <f>'Table B-Step2'!I46</f>
        <v>1404451.8584710199</v>
      </c>
      <c r="K31" s="144">
        <f>'Table B-Total'!K46</f>
        <v>138042.1235023</v>
      </c>
      <c r="M31" s="144">
        <f>'Table B-Total'!M46</f>
        <v>138048.75199999998</v>
      </c>
      <c r="O31" s="144">
        <f>'Table B-Total'!O46</f>
        <v>-3238.5295360000005</v>
      </c>
      <c r="Q31" s="144">
        <f t="shared" si="15"/>
        <v>134810.22246399999</v>
      </c>
      <c r="S31" s="144">
        <f t="shared" si="16"/>
        <v>6.6284976999741048</v>
      </c>
      <c r="U31" s="1294">
        <f t="shared" si="7"/>
        <v>4.801793490132498E-5</v>
      </c>
      <c r="W31" s="144">
        <f t="shared" si="17"/>
        <v>-3231.9010383000132</v>
      </c>
      <c r="Y31" s="1294">
        <f t="shared" si="4"/>
        <v>-2.341242626745136E-2</v>
      </c>
    </row>
    <row r="32" spans="1:25">
      <c r="A32" s="76">
        <f>MAX(A$13:A31)+1</f>
        <v>18</v>
      </c>
      <c r="C32" s="76" t="s">
        <v>1392</v>
      </c>
      <c r="E32" s="76">
        <v>31</v>
      </c>
      <c r="G32" s="68">
        <f>'Table B-Step2'!G47</f>
        <v>7</v>
      </c>
      <c r="I32" s="68">
        <f>'Table B-Step2'!I47</f>
        <v>189259.14266666665</v>
      </c>
      <c r="K32" s="144">
        <f>'Table B-Total'!K47</f>
        <v>12375.2296725</v>
      </c>
      <c r="M32" s="144">
        <f>'Table B-Total'!M47</f>
        <v>12721.454</v>
      </c>
      <c r="O32" s="144">
        <f>'Table B-Total'!O47</f>
        <v>-252.03012209999997</v>
      </c>
      <c r="Q32" s="144">
        <f t="shared" si="15"/>
        <v>12469.423877900001</v>
      </c>
      <c r="S32" s="144">
        <f t="shared" si="16"/>
        <v>346.22432750000007</v>
      </c>
      <c r="U32" s="1294">
        <f t="shared" si="7"/>
        <v>2.7977204194389475E-2</v>
      </c>
      <c r="W32" s="144">
        <f t="shared" si="17"/>
        <v>94.19420540000101</v>
      </c>
      <c r="Y32" s="1294">
        <f t="shared" si="4"/>
        <v>7.6115116965721928E-3</v>
      </c>
    </row>
    <row r="33" spans="1:25">
      <c r="A33" s="76">
        <f>MAX(A$13:A32)+1</f>
        <v>19</v>
      </c>
      <c r="C33" s="1295" t="s">
        <v>1490</v>
      </c>
      <c r="E33" s="76">
        <v>32</v>
      </c>
      <c r="G33" s="68">
        <f>'Table B-Step2'!G48</f>
        <v>3</v>
      </c>
      <c r="I33" s="68">
        <f>'Table B-Step2'!I48</f>
        <v>196649.98999999996</v>
      </c>
      <c r="K33" s="144">
        <f>'Table B-Total'!K48</f>
        <v>13007.546453500001</v>
      </c>
      <c r="M33" s="144">
        <f>'Table B-Total'!M48</f>
        <v>13453.300999999999</v>
      </c>
      <c r="O33" s="144">
        <f>'Table B-Total'!O48</f>
        <v>-35.231153400000004</v>
      </c>
      <c r="Q33" s="144">
        <f t="shared" si="15"/>
        <v>13418.069846599999</v>
      </c>
      <c r="S33" s="144">
        <f t="shared" si="16"/>
        <v>445.75454649999847</v>
      </c>
      <c r="U33" s="1294">
        <f t="shared" si="7"/>
        <v>3.4268918284743641E-2</v>
      </c>
      <c r="W33" s="144">
        <f t="shared" si="17"/>
        <v>410.52339309999843</v>
      </c>
      <c r="Y33" s="1294">
        <f t="shared" si="4"/>
        <v>3.1560401845771385E-2</v>
      </c>
    </row>
    <row r="34" spans="1:25">
      <c r="A34" s="76">
        <f>MAX(A$13:A33)+1</f>
        <v>20</v>
      </c>
      <c r="C34" s="1295" t="s">
        <v>1489</v>
      </c>
      <c r="E34" s="76">
        <v>34</v>
      </c>
      <c r="G34" s="68">
        <f>'Table B-Step2'!G49</f>
        <v>1</v>
      </c>
      <c r="I34" s="68">
        <f>'Table B-Step2'!I49</f>
        <v>242230</v>
      </c>
      <c r="K34" s="144">
        <f>'Table B-Total'!K49</f>
        <v>13027.75819123467</v>
      </c>
      <c r="M34" s="144">
        <f>'Table B-Total'!M49</f>
        <v>13027.75819123467</v>
      </c>
      <c r="O34" s="144">
        <f>'Table B-Total'!O49</f>
        <v>0</v>
      </c>
      <c r="Q34" s="144">
        <f t="shared" si="15"/>
        <v>13027.75819123467</v>
      </c>
      <c r="S34" s="144">
        <f t="shared" si="16"/>
        <v>0</v>
      </c>
      <c r="U34" s="1294">
        <f t="shared" si="7"/>
        <v>0</v>
      </c>
      <c r="W34" s="144">
        <f t="shared" si="17"/>
        <v>0</v>
      </c>
      <c r="Y34" s="1294">
        <f t="shared" si="4"/>
        <v>0</v>
      </c>
    </row>
    <row r="35" spans="1:25">
      <c r="A35" s="76">
        <f>MAX(A$13:A34)+1</f>
        <v>21</v>
      </c>
      <c r="C35" s="1295" t="s">
        <v>680</v>
      </c>
      <c r="E35" s="1296"/>
      <c r="G35" s="68">
        <f>'Table B-Step2'!G50</f>
        <v>1</v>
      </c>
      <c r="I35" s="68">
        <f>'Table B-Step2'!I50</f>
        <v>617100</v>
      </c>
      <c r="K35" s="144">
        <f>'Table B-Total'!K50</f>
        <v>31382.2199616</v>
      </c>
      <c r="M35" s="144">
        <f>'Table B-Total'!M50</f>
        <v>32512.083999999999</v>
      </c>
      <c r="O35" s="144">
        <f>'Table B-Total'!O50</f>
        <v>-775.72387399999991</v>
      </c>
      <c r="Q35" s="144">
        <f t="shared" si="15"/>
        <v>31736.360126</v>
      </c>
      <c r="S35" s="144">
        <f t="shared" si="16"/>
        <v>1129.8640383999991</v>
      </c>
      <c r="U35" s="1294">
        <f t="shared" si="7"/>
        <v>3.6003317795316153E-2</v>
      </c>
      <c r="W35" s="144">
        <f t="shared" si="17"/>
        <v>354.14016439999978</v>
      </c>
      <c r="Y35" s="1294">
        <f t="shared" si="4"/>
        <v>1.1284739092178111E-2</v>
      </c>
    </row>
    <row r="36" spans="1:25">
      <c r="A36" s="76">
        <f>MAX(A$13:A35)+1</f>
        <v>22</v>
      </c>
      <c r="C36" s="1295" t="s">
        <v>681</v>
      </c>
      <c r="E36" s="1296"/>
      <c r="G36" s="68">
        <f>'Table B-Step2'!G51</f>
        <v>1</v>
      </c>
      <c r="I36" s="68">
        <f>'Table B-Step2'!I51</f>
        <v>705455.54894656001</v>
      </c>
      <c r="K36" s="144">
        <f>'Table B-Total'!K51</f>
        <v>31485.131144999999</v>
      </c>
      <c r="M36" s="144">
        <f>'Table B-Total'!M51</f>
        <v>32618.477999999999</v>
      </c>
      <c r="O36" s="144">
        <f>'Table B-Total'!O51</f>
        <v>-776.31977640000014</v>
      </c>
      <c r="Q36" s="144">
        <f t="shared" si="15"/>
        <v>31842.158223599999</v>
      </c>
      <c r="S36" s="144">
        <f t="shared" si="16"/>
        <v>1133.3468549999998</v>
      </c>
      <c r="U36" s="1294">
        <f t="shared" si="7"/>
        <v>3.5996256448180018E-2</v>
      </c>
      <c r="W36" s="144">
        <f t="shared" si="17"/>
        <v>357.0270786000001</v>
      </c>
      <c r="Y36" s="1294">
        <f t="shared" si="4"/>
        <v>1.1339545544713343E-2</v>
      </c>
    </row>
    <row r="37" spans="1:25">
      <c r="A37" s="76">
        <f>MAX(A$13:A36)+1</f>
        <v>23</v>
      </c>
      <c r="C37" s="1295" t="s">
        <v>682</v>
      </c>
      <c r="E37" s="1296"/>
      <c r="G37" s="68">
        <f>'Table B-Step2'!G52</f>
        <v>1</v>
      </c>
      <c r="I37" s="68">
        <f>'Table B-Step2'!I52</f>
        <v>1288626.1969999999</v>
      </c>
      <c r="K37" s="144">
        <f>'Table B-Total'!K52</f>
        <v>62957.593017309679</v>
      </c>
      <c r="M37" s="144">
        <f>'Table B-Total'!M52</f>
        <v>62957.593017309679</v>
      </c>
      <c r="O37" s="144">
        <f>'Table B-Total'!O52</f>
        <v>0</v>
      </c>
      <c r="Q37" s="144">
        <f t="shared" si="15"/>
        <v>62957.593017309679</v>
      </c>
      <c r="S37" s="144">
        <f t="shared" si="16"/>
        <v>0</v>
      </c>
      <c r="U37" s="1294">
        <f t="shared" si="7"/>
        <v>0</v>
      </c>
      <c r="W37" s="144">
        <f t="shared" si="17"/>
        <v>0</v>
      </c>
      <c r="Y37" s="1294">
        <f t="shared" si="4"/>
        <v>0</v>
      </c>
    </row>
    <row r="38" spans="1:25">
      <c r="A38" s="76">
        <f>MAX(A$13:A37)+1</f>
        <v>24</v>
      </c>
      <c r="C38" s="1298" t="s">
        <v>471</v>
      </c>
      <c r="E38" s="1299"/>
      <c r="G38" s="72"/>
      <c r="I38" s="72"/>
      <c r="K38" s="145">
        <f>'Table B-Total'!K53</f>
        <v>4797.3367799999996</v>
      </c>
      <c r="M38" s="145">
        <f>'Table B-Total'!M53</f>
        <v>4797.3367799999996</v>
      </c>
      <c r="O38" s="145">
        <f>'Table B-Total'!O53</f>
        <v>0</v>
      </c>
      <c r="Q38" s="145">
        <f t="shared" si="15"/>
        <v>4797.3367799999996</v>
      </c>
      <c r="S38" s="145">
        <f t="shared" si="16"/>
        <v>0</v>
      </c>
      <c r="U38" s="1300">
        <f t="shared" si="7"/>
        <v>0</v>
      </c>
      <c r="W38" s="145">
        <f t="shared" si="17"/>
        <v>0</v>
      </c>
      <c r="Y38" s="1300">
        <f t="shared" si="4"/>
        <v>0</v>
      </c>
    </row>
    <row r="39" spans="1:25">
      <c r="A39" s="76">
        <f>MAX(A$13:A38)+1</f>
        <v>25</v>
      </c>
      <c r="C39" s="80" t="s">
        <v>1393</v>
      </c>
      <c r="G39" s="68">
        <f>SUM(G19:G21,G23:G23,G24:G25,G27:G28,G30:G31,G32:G38)</f>
        <v>116605</v>
      </c>
      <c r="I39" s="68">
        <f>SUM(I19:I21,I23:I23,I24:I25,I27:I28,I30:I31,I32:I38)</f>
        <v>17979702.507882744</v>
      </c>
      <c r="K39" s="144">
        <f>SUM(K19:K21,K23:K23,K24:K25,K27:K28,K30:K31,K32:K38)</f>
        <v>1260606.5533672441</v>
      </c>
      <c r="M39" s="144">
        <f>SUM(M19:M21,M23:M23,M24:M25,M27:M28,M30:M31,M32:M38)</f>
        <v>1285961.195988544</v>
      </c>
      <c r="O39" s="144">
        <f>SUM(O19:O21,O23:O23,O24:O25,O27:O28,O30:O31,O32:O38)</f>
        <v>-28147.495906200005</v>
      </c>
      <c r="Q39" s="144">
        <f>SUM(Q19:Q21,Q23:Q23,Q24:Q25,Q27:Q28,Q30:Q31,Q32:Q38)</f>
        <v>1257813.7000823442</v>
      </c>
      <c r="S39" s="144">
        <f>SUM(S19:S21,S23:S23,S24:S25,S27:S28,S30:S31,S32:S38)</f>
        <v>25354.642621299943</v>
      </c>
      <c r="U39" s="1294">
        <f t="shared" si="7"/>
        <v>2.0113049986591292E-2</v>
      </c>
      <c r="W39" s="144">
        <f>SUM(W19:W21,W23:W23,W24:W25,W27:W28,W30:W31,W32:W38)</f>
        <v>-2792.8532849000503</v>
      </c>
      <c r="Y39" s="1294">
        <f t="shared" si="4"/>
        <v>-2.2154837109484922E-3</v>
      </c>
    </row>
    <row r="40" spans="1:25">
      <c r="C40" s="1292" t="s">
        <v>231</v>
      </c>
      <c r="G40" s="68"/>
      <c r="I40" s="68"/>
      <c r="K40" s="144"/>
      <c r="M40" s="144"/>
      <c r="O40" s="144"/>
      <c r="Q40" s="144"/>
      <c r="S40" s="144"/>
      <c r="W40" s="144"/>
    </row>
    <row r="41" spans="1:25" ht="25.15" customHeight="1">
      <c r="A41" s="76">
        <f>MAX(A$13:A40)+1</f>
        <v>26</v>
      </c>
      <c r="C41" s="76" t="s">
        <v>232</v>
      </c>
      <c r="E41" s="76">
        <v>7</v>
      </c>
      <c r="G41" s="68">
        <f>'Table B-Step2'!G56</f>
        <v>6491</v>
      </c>
      <c r="I41" s="68">
        <f>'Table B-Step2'!I56</f>
        <v>10497.984469308627</v>
      </c>
      <c r="K41" s="144">
        <f>'Table B-Total'!K56</f>
        <v>2495.8234678000003</v>
      </c>
      <c r="M41" s="144">
        <f>'Table B-Total'!M56</f>
        <v>1383.2668705464662</v>
      </c>
      <c r="O41" s="144">
        <f>'Table B-Total'!O56</f>
        <v>-25.86709047921892</v>
      </c>
      <c r="Q41" s="144">
        <f t="shared" ref="Q41:Q45" si="18">M41+O41</f>
        <v>1357.3997800672473</v>
      </c>
      <c r="S41" s="144">
        <f t="shared" ref="S41:S45" si="19">M41-K41</f>
        <v>-1112.5565972535342</v>
      </c>
      <c r="U41" s="1294">
        <f t="shared" ref="U41:U50" si="20">S41/K41</f>
        <v>-0.4457673435670601</v>
      </c>
      <c r="W41" s="144">
        <f t="shared" ref="W41:W45" si="21">Q41-K41</f>
        <v>-1138.423687732753</v>
      </c>
      <c r="Y41" s="1294">
        <f t="shared" si="4"/>
        <v>-0.45613149424235605</v>
      </c>
    </row>
    <row r="42" spans="1:25">
      <c r="A42" s="76">
        <f>MAX(A$13:A41)+1</f>
        <v>27</v>
      </c>
      <c r="C42" s="76" t="s">
        <v>233</v>
      </c>
      <c r="E42" s="76">
        <v>11</v>
      </c>
      <c r="G42" s="68">
        <f>'Table B-Step2'!G57</f>
        <v>715</v>
      </c>
      <c r="I42" s="68">
        <f>'Table B-Step2'!I57</f>
        <v>13572.50823362934</v>
      </c>
      <c r="K42" s="144">
        <f>'Table B-Total'!K57</f>
        <v>4103.1867941999999</v>
      </c>
      <c r="M42" s="144">
        <f>'Table B-Total'!M57</f>
        <v>3759.4048698993784</v>
      </c>
      <c r="O42" s="144">
        <f>'Table B-Total'!O57</f>
        <v>-70.300871067118379</v>
      </c>
      <c r="Q42" s="144">
        <f t="shared" si="18"/>
        <v>3689.10399883226</v>
      </c>
      <c r="S42" s="144">
        <f t="shared" si="19"/>
        <v>-343.78192430062154</v>
      </c>
      <c r="U42" s="1294">
        <f t="shared" si="20"/>
        <v>-8.3784127202439204E-2</v>
      </c>
      <c r="W42" s="144">
        <f t="shared" si="21"/>
        <v>-414.08279536773989</v>
      </c>
      <c r="Y42" s="1294">
        <f t="shared" si="4"/>
        <v>-0.10091736402375359</v>
      </c>
    </row>
    <row r="43" spans="1:25">
      <c r="A43" s="76">
        <f>MAX(A$13:A42)+1</f>
        <v>28</v>
      </c>
      <c r="C43" s="76" t="s">
        <v>234</v>
      </c>
      <c r="E43" s="76">
        <v>12</v>
      </c>
      <c r="G43" s="68">
        <f>'Table B-Step2'!G58</f>
        <v>1229</v>
      </c>
      <c r="I43" s="68">
        <f>'Table B-Step2'!I58</f>
        <v>26868.87420437079</v>
      </c>
      <c r="K43" s="144">
        <f>'Table B-Total'!K58</f>
        <v>1896.3262864000001</v>
      </c>
      <c r="M43" s="144">
        <f>'Table B-Total'!M58</f>
        <v>1402.8682700442894</v>
      </c>
      <c r="O43" s="144">
        <f>'Table B-Total'!O58</f>
        <v>-26.23363664982821</v>
      </c>
      <c r="Q43" s="144">
        <f t="shared" si="18"/>
        <v>1376.6346333944612</v>
      </c>
      <c r="S43" s="144">
        <f t="shared" si="19"/>
        <v>-493.4580163557107</v>
      </c>
      <c r="U43" s="1294">
        <f t="shared" si="20"/>
        <v>-0.2602178854423281</v>
      </c>
      <c r="W43" s="144">
        <f t="shared" si="21"/>
        <v>-519.69165300553891</v>
      </c>
      <c r="Y43" s="1294">
        <f t="shared" si="4"/>
        <v>-0.27405181098455655</v>
      </c>
    </row>
    <row r="44" spans="1:25">
      <c r="A44" s="76">
        <f>MAX(A$13:A43)+1</f>
        <v>29</v>
      </c>
      <c r="C44" s="76" t="s">
        <v>236</v>
      </c>
      <c r="E44" s="76">
        <v>15</v>
      </c>
      <c r="G44" s="68">
        <f>'Table B-Step2'!G59</f>
        <v>637</v>
      </c>
      <c r="I44" s="68">
        <f>'Table B-Step2'!I59</f>
        <v>15963.151062719233</v>
      </c>
      <c r="K44" s="144">
        <f>'Table B-Total'!K59</f>
        <v>1155.3153559999998</v>
      </c>
      <c r="M44" s="144">
        <f>'Table B-Total'!M59</f>
        <v>797.02300000000002</v>
      </c>
      <c r="O44" s="144">
        <f>'Table B-Total'!O59</f>
        <v>-15.377598600000001</v>
      </c>
      <c r="Q44" s="144">
        <f t="shared" si="18"/>
        <v>781.64540139999997</v>
      </c>
      <c r="S44" s="144">
        <f t="shared" si="19"/>
        <v>-358.29235599999981</v>
      </c>
      <c r="U44" s="1294">
        <f t="shared" si="20"/>
        <v>-0.31012515685803788</v>
      </c>
      <c r="W44" s="144">
        <f t="shared" si="21"/>
        <v>-373.66995459999987</v>
      </c>
      <c r="Y44" s="1294">
        <f t="shared" si="4"/>
        <v>-0.32343546085437813</v>
      </c>
    </row>
    <row r="45" spans="1:25">
      <c r="A45" s="76">
        <f>MAX(A$13:A44)+1</f>
        <v>30</v>
      </c>
      <c r="C45" s="76" t="s">
        <v>235</v>
      </c>
      <c r="E45" s="76">
        <v>15</v>
      </c>
      <c r="G45" s="71">
        <f>'Table B-Step2'!G60</f>
        <v>2734</v>
      </c>
      <c r="I45" s="71">
        <f>'Table B-Step2'!I60</f>
        <v>7776.3704443165416</v>
      </c>
      <c r="K45" s="145">
        <f>'Table B-Total'!K60</f>
        <v>802.61305110000001</v>
      </c>
      <c r="M45" s="145">
        <f>'Table B-Total'!M60</f>
        <v>802.65099999999995</v>
      </c>
      <c r="O45" s="145">
        <f>'Table B-Total'!O60</f>
        <v>-16.425815999999998</v>
      </c>
      <c r="Q45" s="145">
        <f t="shared" si="18"/>
        <v>786.2251839999999</v>
      </c>
      <c r="S45" s="145">
        <f t="shared" si="19"/>
        <v>3.7948899999946661E-2</v>
      </c>
      <c r="U45" s="1300">
        <f t="shared" si="20"/>
        <v>4.7281688165843805E-5</v>
      </c>
      <c r="W45" s="145">
        <f t="shared" si="21"/>
        <v>-16.387867100000108</v>
      </c>
      <c r="Y45" s="1300">
        <f t="shared" si="4"/>
        <v>-2.0418141815087797E-2</v>
      </c>
    </row>
    <row r="46" spans="1:25">
      <c r="A46" s="76">
        <f>MAX(A$13:A45)+1</f>
        <v>31</v>
      </c>
      <c r="C46" s="1038" t="s">
        <v>237</v>
      </c>
      <c r="D46" s="77"/>
      <c r="F46" s="77"/>
      <c r="G46" s="68">
        <f>SUM(G41:G45)</f>
        <v>11806</v>
      </c>
      <c r="H46" s="77"/>
      <c r="I46" s="68">
        <f>SUM(I41:I45)</f>
        <v>74678.888414344532</v>
      </c>
      <c r="J46" s="77"/>
      <c r="K46" s="144">
        <f>SUM(K41:K45)</f>
        <v>10453.264955499999</v>
      </c>
      <c r="L46" s="144"/>
      <c r="M46" s="144">
        <f>SUM(M41:M45)</f>
        <v>8145.2140104901346</v>
      </c>
      <c r="N46" s="144"/>
      <c r="O46" s="144">
        <f>SUM(O41:O45)</f>
        <v>-154.20501279616551</v>
      </c>
      <c r="P46" s="144"/>
      <c r="Q46" s="144">
        <f>SUM(Q41:Q45)</f>
        <v>7991.008997693968</v>
      </c>
      <c r="R46" s="144"/>
      <c r="S46" s="144">
        <f>SUM(S41:S45)</f>
        <v>-2308.0509450098662</v>
      </c>
      <c r="U46" s="1294">
        <f t="shared" si="20"/>
        <v>-0.22079713418107538</v>
      </c>
      <c r="V46" s="77"/>
      <c r="W46" s="144">
        <f>SUM(W41:W45)</f>
        <v>-2462.2559578060318</v>
      </c>
      <c r="Y46" s="1294">
        <f t="shared" si="4"/>
        <v>-0.23554898572723088</v>
      </c>
    </row>
    <row r="47" spans="1:25">
      <c r="A47" s="76">
        <f>MAX(A$13:A46)+1</f>
        <v>32</v>
      </c>
      <c r="C47" s="1295" t="s">
        <v>1396</v>
      </c>
      <c r="E47" s="1296"/>
      <c r="G47" s="68">
        <f>'Table B-Step2'!G62</f>
        <v>4</v>
      </c>
      <c r="I47" s="68">
        <f>'Table B-Step2'!I62</f>
        <v>7.3869999999999996</v>
      </c>
      <c r="K47" s="144">
        <f>'Table B-Total'!K62</f>
        <v>0.55700000000000005</v>
      </c>
      <c r="M47" s="144">
        <f>'Table B-Total'!M62</f>
        <v>0.55700000000000005</v>
      </c>
      <c r="O47" s="144">
        <f>'Table B-Total'!O62</f>
        <v>0</v>
      </c>
      <c r="Q47" s="144">
        <f>M47+O47</f>
        <v>0.55700000000000005</v>
      </c>
      <c r="S47" s="144">
        <f t="shared" ref="S47:S48" si="22">M47-K47</f>
        <v>0</v>
      </c>
      <c r="U47" s="1294">
        <f t="shared" si="20"/>
        <v>0</v>
      </c>
      <c r="W47" s="144">
        <f>Q47-K47</f>
        <v>0</v>
      </c>
      <c r="Y47" s="1294">
        <f t="shared" si="4"/>
        <v>0</v>
      </c>
    </row>
    <row r="48" spans="1:25" ht="22.15" customHeight="1">
      <c r="A48" s="76">
        <f>MAX(A$13:A47)+1</f>
        <v>33</v>
      </c>
      <c r="C48" s="1298" t="s">
        <v>471</v>
      </c>
      <c r="D48" s="78"/>
      <c r="E48" s="1299"/>
      <c r="F48" s="78"/>
      <c r="G48" s="73"/>
      <c r="H48" s="78"/>
      <c r="I48" s="73"/>
      <c r="J48" s="78"/>
      <c r="K48" s="145">
        <f>'Table B-Total'!K63</f>
        <v>4.6550400000000005</v>
      </c>
      <c r="M48" s="145">
        <f>'Table B-Total'!M63</f>
        <v>4.6550400000000005</v>
      </c>
      <c r="O48" s="145">
        <f>'Table B-Total'!O63</f>
        <v>0</v>
      </c>
      <c r="Q48" s="145">
        <f>M48+O48</f>
        <v>4.6550400000000005</v>
      </c>
      <c r="S48" s="145">
        <f t="shared" si="22"/>
        <v>0</v>
      </c>
      <c r="U48" s="1300">
        <f t="shared" si="20"/>
        <v>0</v>
      </c>
      <c r="V48" s="78"/>
      <c r="W48" s="145">
        <f>Q48-K48</f>
        <v>0</v>
      </c>
      <c r="Y48" s="1300">
        <f t="shared" si="4"/>
        <v>0</v>
      </c>
    </row>
    <row r="49" spans="1:25">
      <c r="A49" s="76">
        <f>MAX(A$13:A48)+1</f>
        <v>34</v>
      </c>
      <c r="C49" s="1305" t="s">
        <v>238</v>
      </c>
      <c r="E49" s="1306"/>
      <c r="G49" s="71">
        <f>SUM(G47:G48)+G46</f>
        <v>11810</v>
      </c>
      <c r="I49" s="71">
        <f>SUM(I47:I48)+I46</f>
        <v>74686.275414344535</v>
      </c>
      <c r="K49" s="145">
        <f>SUM(K47:K48)+K46</f>
        <v>10458.476995499999</v>
      </c>
      <c r="M49" s="145">
        <f>SUM(M47:M48)+M46</f>
        <v>8150.4260504901349</v>
      </c>
      <c r="O49" s="145">
        <f>SUM(O47:O48)+O46</f>
        <v>-154.20501279616551</v>
      </c>
      <c r="Q49" s="145">
        <f>SUM(Q47:Q48)+Q46</f>
        <v>7996.2210376939684</v>
      </c>
      <c r="S49" s="145">
        <f>SUM(S47:S48)+S46</f>
        <v>-2308.0509450098662</v>
      </c>
      <c r="U49" s="1307">
        <f t="shared" si="20"/>
        <v>-0.22068709870499867</v>
      </c>
      <c r="W49" s="145">
        <f>SUM(W47:W48)+W46</f>
        <v>-2462.2559578060318</v>
      </c>
      <c r="Y49" s="1307">
        <f t="shared" si="4"/>
        <v>-0.23543159858414128</v>
      </c>
    </row>
    <row r="50" spans="1:25" ht="22.15" customHeight="1" thickBot="1">
      <c r="A50" s="76">
        <f>MAX(A$13:A49)+1</f>
        <v>35</v>
      </c>
      <c r="C50" s="1308" t="s">
        <v>239</v>
      </c>
      <c r="E50" s="1309"/>
      <c r="G50" s="67">
        <f>G49+G39+G17</f>
        <v>986283</v>
      </c>
      <c r="I50" s="67">
        <f>I49+I39+I17</f>
        <v>24837388.160662249</v>
      </c>
      <c r="K50" s="146">
        <f>K49+K39+K17</f>
        <v>2001695.9423103442</v>
      </c>
      <c r="M50" s="146">
        <f>M49+M39+M17</f>
        <v>2073801.5591290342</v>
      </c>
      <c r="O50" s="146">
        <f>O49+O39+O17</f>
        <v>-49427.647021796176</v>
      </c>
      <c r="Q50" s="146">
        <f>Q49+Q39+Q17</f>
        <v>2024373.9121072383</v>
      </c>
      <c r="S50" s="146">
        <f>S49+S39+S17</f>
        <v>72105.616818690061</v>
      </c>
      <c r="U50" s="1310">
        <f t="shared" si="20"/>
        <v>3.6022262569741857E-2</v>
      </c>
      <c r="W50" s="146">
        <f>W49+W39+W17</f>
        <v>22677.969796893951</v>
      </c>
      <c r="Y50" s="1310">
        <f t="shared" si="4"/>
        <v>1.1329377912770902E-2</v>
      </c>
    </row>
    <row r="51" spans="1:25" ht="25.15" customHeight="1" thickTop="1">
      <c r="E51" s="90"/>
    </row>
    <row r="52" spans="1:25">
      <c r="C52" s="1295"/>
    </row>
    <row r="53" spans="1:25">
      <c r="C53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68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.25" style="1707" bestFit="1" customWidth="1"/>
    <col min="2" max="2" width="0.75" style="1707" customWidth="1"/>
    <col min="3" max="3" width="9.625" style="1707" bestFit="1" customWidth="1"/>
    <col min="4" max="4" width="1" style="1704" customWidth="1"/>
    <col min="5" max="5" width="6.75" style="1707" bestFit="1" customWidth="1"/>
    <col min="6" max="6" width="7.25" style="1707" bestFit="1" customWidth="1"/>
    <col min="7" max="7" width="9.75" style="1707" customWidth="1"/>
    <col min="8" max="8" width="1.25" style="1704" customWidth="1"/>
    <col min="9" max="9" width="9.625" style="1708" bestFit="1" customWidth="1"/>
    <col min="10" max="10" width="0.75" style="1704" customWidth="1"/>
    <col min="11" max="11" width="9.625" style="1708" bestFit="1" customWidth="1"/>
    <col min="12" max="12" width="1" style="1704" customWidth="1"/>
    <col min="13" max="13" width="8.625" style="1704" bestFit="1" customWidth="1"/>
    <col min="14" max="14" width="0.75" style="1704" customWidth="1"/>
    <col min="15" max="15" width="5.5" style="1704" bestFit="1" customWidth="1"/>
    <col min="16" max="16" width="1.25" style="1704" customWidth="1"/>
    <col min="17" max="17" width="9.625" style="1708" bestFit="1" customWidth="1"/>
    <col min="18" max="18" width="1" style="1704" customWidth="1"/>
    <col min="19" max="19" width="9.625" style="1708" bestFit="1" customWidth="1"/>
    <col min="20" max="20" width="0.75" style="1704" customWidth="1"/>
    <col min="21" max="21" width="8.5" style="1704" bestFit="1" customWidth="1"/>
    <col min="22" max="22" width="0.75" style="1704" customWidth="1"/>
    <col min="23" max="23" width="5.5" style="1704" bestFit="1" customWidth="1"/>
    <col min="24" max="24" width="2.75" style="1704" customWidth="1"/>
    <col min="25" max="25" width="16" style="1704" bestFit="1" customWidth="1"/>
    <col min="26" max="26" width="8.25" style="1704" bestFit="1" customWidth="1"/>
    <col min="27" max="27" width="9.75" style="1704" bestFit="1" customWidth="1"/>
    <col min="28" max="28" width="9.625" style="1704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1690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1691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 ht="16.5">
      <c r="A5" s="1697" t="s">
        <v>2337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698"/>
      <c r="U5" s="1698"/>
      <c r="V5" s="1698"/>
      <c r="W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  <c r="Z7" s="1715"/>
      <c r="AA7" s="1715"/>
      <c r="AB7" s="1715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467</v>
      </c>
      <c r="Z8" s="1725" t="s">
        <v>2335</v>
      </c>
      <c r="AA8" s="1726" t="s">
        <v>2334</v>
      </c>
      <c r="AB8" s="1715"/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2335</v>
      </c>
      <c r="K10" s="1718" t="s">
        <v>2334</v>
      </c>
      <c r="M10" s="1719" t="s">
        <v>1399</v>
      </c>
      <c r="O10" s="1720" t="s">
        <v>465</v>
      </c>
      <c r="Q10" s="1717" t="s">
        <v>2335</v>
      </c>
      <c r="S10" s="1718" t="s">
        <v>2334</v>
      </c>
      <c r="U10" s="1719" t="s">
        <v>1399</v>
      </c>
      <c r="W10" s="1720" t="s">
        <v>465</v>
      </c>
      <c r="Y10" s="1736" t="s">
        <v>1678</v>
      </c>
      <c r="Z10" s="1795">
        <f>'Sch8-1'!AA10</f>
        <v>70</v>
      </c>
      <c r="AA10" s="1796">
        <f>'Blocking-Step2'!Q1377</f>
        <v>71</v>
      </c>
      <c r="AB10" s="1795"/>
    </row>
    <row r="11" spans="1:29" ht="16.5" customHeight="1">
      <c r="A11" s="1707">
        <v>1000</v>
      </c>
      <c r="C11" s="1707">
        <f>A11*0.5*730</f>
        <v>365000</v>
      </c>
      <c r="E11" s="1767">
        <v>0.6</v>
      </c>
      <c r="F11" s="1767">
        <f>('Large Profile'!$M$6)/('Large Profile'!$E$6)*E11</f>
        <v>0.47838269954015672</v>
      </c>
      <c r="G11" s="1767">
        <f>('Large Profile'!$Q$6)/('Large Profile'!$I$6)*E11</f>
        <v>0.29591204321862258</v>
      </c>
      <c r="I11" s="1797">
        <f>ROUND($Z$10+(($Z$11+$Z$13)*$A11+($Z$12*$A11+($Z$14*$F11+$Z$15*(1-$F11))/100*$C11)*(1+$Z$35))*(1+$Z$17)+($Z$12*$A11+($Z$14*$F11+$Z$15*(1-$F11))/100*$C11)*$Z$30+$Z$16,2)</f>
        <v>36443.97</v>
      </c>
      <c r="J11" s="1797"/>
      <c r="K11" s="1797">
        <f>ROUND($AA$10+(($AA$11+$AA$13)*$A11+($AA$12*$A11+($AA$14*$F11+$AA$15*(1-$F11))/100*$C11)*(1+$AA$35))*(1+$AA$17)+($AA$12*$A11+($AA$14*$F11+$AA$15*(1-$F11))/100*$C11)*$AA$30+$AA$16,2)</f>
        <v>36523.599999999999</v>
      </c>
      <c r="L11" s="1797"/>
      <c r="M11" s="1797">
        <f t="shared" ref="M11:M59" si="0">IF(K11="","",K11-I11)</f>
        <v>79.629999999997381</v>
      </c>
      <c r="O11" s="1814">
        <f t="shared" ref="O11:O59" si="1">IF(M11="","",K11/I11-1)</f>
        <v>2.1849979571380018E-3</v>
      </c>
      <c r="Q11" s="1797">
        <f>ROUND($Z$19+(($Z$20+$Z$22)*$A11+($Z$21*$A11+($Z$23*$G11+$Z$24*(1-$G11))/100*$C11)*(1+$Z$35))*(1+$Z$26)+($Z$21*$A11+($Z$23*$G11+$Z$24*(1-$G11))/100*$C11)*$Z$30+$Z$25,2)</f>
        <v>24443.35</v>
      </c>
      <c r="R11" s="1797"/>
      <c r="S11" s="1797">
        <f>ROUND($AA$19+(($AA$20+$AA$22)*$A11+($AA$21*$A11+($AA$23*$G11+$AA$24*(1-$G11))/100*$C11)*(1+$AA$35))*(1+$AA$26)+($AA$21*$A11+($AA$23*$G11+$AA$24*(1-$G11))/100*$C11)*$AA$30+$AA$25,2)</f>
        <v>24476.2</v>
      </c>
      <c r="T11" s="1797"/>
      <c r="U11" s="1797">
        <f t="shared" ref="U11:U59" si="2">IF(S11="","",S11-Q11)</f>
        <v>32.850000000002183</v>
      </c>
      <c r="W11" s="1814">
        <f t="shared" ref="W11:W59" si="3">IF(U11="","",S11/Q11-1)</f>
        <v>1.3439238074979265E-3</v>
      </c>
      <c r="Y11" s="1736" t="s">
        <v>1694</v>
      </c>
      <c r="Z11" s="1795">
        <f>'Sch8-1'!AA11</f>
        <v>4.78</v>
      </c>
      <c r="AA11" s="1796">
        <f>'Blocking-Step2'!Q1378</f>
        <v>4.84</v>
      </c>
      <c r="AB11" s="1795"/>
      <c r="AC11" s="1715"/>
    </row>
    <row r="12" spans="1:29">
      <c r="A12" s="1815">
        <f>A11</f>
        <v>1000</v>
      </c>
      <c r="C12" s="1815">
        <f>C11</f>
        <v>365000</v>
      </c>
      <c r="E12" s="1767">
        <v>0.5</v>
      </c>
      <c r="F12" s="1767">
        <f>('Large Profile'!$M$6)/('Large Profile'!$E$6)*E12</f>
        <v>0.39865224961679729</v>
      </c>
      <c r="G12" s="1767">
        <f>('Large Profile'!$Q$6)/('Large Profile'!$I$6)*E12</f>
        <v>0.24659336934885218</v>
      </c>
      <c r="I12" s="1797">
        <f t="shared" ref="I12:I18" si="4">ROUND($Z$10+(($Z$11+$Z$13)*$A12+($Z$12*$A12+($Z$14*$F12+$Z$15*(1-$F12))/100*$C12)*(1+$Z$35))*(1+$Z$17)+($Z$12*$A12+($Z$14*$F12+$Z$15*(1-$F12))/100*$C12)*$Z$30+$Z$16,2)</f>
        <v>35583.449999999997</v>
      </c>
      <c r="J12" s="1797"/>
      <c r="K12" s="1797">
        <f t="shared" ref="K12:K19" si="5">ROUND($AA$10+(($AA$11+$AA$13)*$A12+($AA$12*$A12+($AA$14*$F12+$AA$15*(1-$F12))/100*$C12)*(1+$AA$35))*(1+$AA$17)+($AA$12*$A12+($AA$14*$F12+$AA$15*(1-$F12))/100*$C12)*$AA$30+$AA$16,2)</f>
        <v>35663.230000000003</v>
      </c>
      <c r="L12" s="1797"/>
      <c r="M12" s="1797">
        <f t="shared" si="0"/>
        <v>79.780000000006112</v>
      </c>
      <c r="O12" s="1814">
        <f t="shared" si="1"/>
        <v>2.2420535389346963E-3</v>
      </c>
      <c r="Q12" s="1797">
        <f t="shared" ref="Q12:Q59" si="6">ROUND($Z$19+(($Z$20+$Z$22)*$A12+($Z$21*$A12+($Z$23*$G12+$Z$24*(1-$G12))/100*$C12)*(1+$Z$35))*(1+$Z$26)+($Z$21*$A12+($Z$23*$G12+$Z$24*(1-$G12))/100*$C12)*$Z$30+$Z$25,2)</f>
        <v>23972.29</v>
      </c>
      <c r="R12" s="1797"/>
      <c r="S12" s="1797">
        <f t="shared" ref="S12:S19" si="7">ROUND($AA$19+(($AA$20+$AA$22)*$A12+($AA$21*$A12+($AA$23*$G12+$AA$24*(1-$G12))/100*$C12)*(1+$AA$35))*(1+$AA$26)+($AA$21*$A12+($AA$23*$G12+$AA$24*(1-$G12))/100*$C12)*$AA$30+$AA$25,2)</f>
        <v>24005.23</v>
      </c>
      <c r="T12" s="1797"/>
      <c r="U12" s="1797">
        <f t="shared" si="2"/>
        <v>32.93999999999869</v>
      </c>
      <c r="W12" s="1814">
        <f t="shared" si="3"/>
        <v>1.3740864973683653E-3</v>
      </c>
      <c r="Y12" s="1736" t="s">
        <v>1695</v>
      </c>
      <c r="Z12" s="1795">
        <f>'Sch8-1'!AA12</f>
        <v>15.63</v>
      </c>
      <c r="AA12" s="1796">
        <f>'Blocking-Step2'!Q1379</f>
        <v>15.83</v>
      </c>
      <c r="AB12" s="1795"/>
      <c r="AC12" s="1715"/>
    </row>
    <row r="13" spans="1:29">
      <c r="A13" s="1815">
        <f>A12</f>
        <v>1000</v>
      </c>
      <c r="C13" s="1815">
        <f>C12</f>
        <v>365000</v>
      </c>
      <c r="E13" s="1767">
        <v>0.4</v>
      </c>
      <c r="F13" s="1767">
        <f>('Large Profile'!$M$6)/('Large Profile'!$E$6)*E13</f>
        <v>0.31892179969343787</v>
      </c>
      <c r="G13" s="1767">
        <f>('Large Profile'!$Q$6)/('Large Profile'!$I$6)*E13</f>
        <v>0.19727469547908175</v>
      </c>
      <c r="I13" s="1797">
        <f t="shared" si="4"/>
        <v>34722.94</v>
      </c>
      <c r="J13" s="1797"/>
      <c r="K13" s="1797">
        <f t="shared" si="5"/>
        <v>34802.86</v>
      </c>
      <c r="L13" s="1797"/>
      <c r="M13" s="1797">
        <f t="shared" si="0"/>
        <v>79.919999999998254</v>
      </c>
      <c r="O13" s="1814">
        <f t="shared" si="1"/>
        <v>2.3016484203237653E-3</v>
      </c>
      <c r="Q13" s="1797">
        <f t="shared" si="6"/>
        <v>23501.24</v>
      </c>
      <c r="R13" s="1797"/>
      <c r="S13" s="1797">
        <f t="shared" si="7"/>
        <v>23534.26</v>
      </c>
      <c r="T13" s="1797"/>
      <c r="U13" s="1797">
        <f t="shared" si="2"/>
        <v>33.019999999996799</v>
      </c>
      <c r="W13" s="1814">
        <f t="shared" si="3"/>
        <v>1.4050322451069075E-3</v>
      </c>
      <c r="Y13" s="1736" t="s">
        <v>1680</v>
      </c>
      <c r="Z13" s="1795">
        <f>'Sch8-1'!AA13</f>
        <v>-1.1299999999999999</v>
      </c>
      <c r="AA13" s="1796">
        <f>'Blocking-Step2'!Q1387</f>
        <v>-1.1299999999999999</v>
      </c>
      <c r="AB13" s="1795"/>
      <c r="AC13" s="1715"/>
    </row>
    <row r="14" spans="1:29">
      <c r="A14" s="1815">
        <f>A13</f>
        <v>1000</v>
      </c>
      <c r="C14" s="1707">
        <f>A11*0.7*730</f>
        <v>511000</v>
      </c>
      <c r="E14" s="1767">
        <f t="shared" ref="E14:E19" si="8">E11</f>
        <v>0.6</v>
      </c>
      <c r="F14" s="1767">
        <f>('Large Profile'!$M$6)/('Large Profile'!$E$6)*E14</f>
        <v>0.47838269954015672</v>
      </c>
      <c r="G14" s="1767">
        <f>('Large Profile'!$Q$6)/('Large Profile'!$I$6)*E14</f>
        <v>0.29591204321862258</v>
      </c>
      <c r="I14" s="1797">
        <f t="shared" si="4"/>
        <v>42971.79</v>
      </c>
      <c r="J14" s="1797"/>
      <c r="K14" s="1797">
        <f t="shared" si="5"/>
        <v>43050.3</v>
      </c>
      <c r="L14" s="1797"/>
      <c r="M14" s="1797">
        <f t="shared" si="0"/>
        <v>78.510000000002037</v>
      </c>
      <c r="O14" s="1814">
        <f t="shared" si="1"/>
        <v>1.8270125587043218E-3</v>
      </c>
      <c r="Q14" s="1797">
        <f t="shared" si="6"/>
        <v>29523.05</v>
      </c>
      <c r="R14" s="1797"/>
      <c r="S14" s="1797">
        <f t="shared" si="7"/>
        <v>29555.040000000001</v>
      </c>
      <c r="T14" s="1797"/>
      <c r="U14" s="1797">
        <f t="shared" si="2"/>
        <v>31.990000000001601</v>
      </c>
      <c r="W14" s="1814">
        <f t="shared" si="3"/>
        <v>1.0835601335228429E-3</v>
      </c>
      <c r="Y14" s="1736" t="s">
        <v>1696</v>
      </c>
      <c r="Z14" s="1799">
        <f>'Sch8-1'!AA14</f>
        <v>5.7979780683679998</v>
      </c>
      <c r="AA14" s="1800">
        <f>'Blocking-Step2'!Q1381</f>
        <v>5.8642704152740004</v>
      </c>
      <c r="AB14" s="1801"/>
      <c r="AC14" s="1816"/>
    </row>
    <row r="15" spans="1:29">
      <c r="A15" s="1815">
        <f>A14</f>
        <v>1000</v>
      </c>
      <c r="C15" s="1815">
        <f>C14</f>
        <v>511000</v>
      </c>
      <c r="E15" s="1767">
        <f t="shared" si="8"/>
        <v>0.5</v>
      </c>
      <c r="F15" s="1767">
        <f>('Large Profile'!$M$6)/('Large Profile'!$E$6)*E15</f>
        <v>0.39865224961679729</v>
      </c>
      <c r="G15" s="1767">
        <f>('Large Profile'!$Q$6)/('Large Profile'!$I$6)*E15</f>
        <v>0.24659336934885218</v>
      </c>
      <c r="I15" s="1797">
        <f t="shared" si="4"/>
        <v>41767.06</v>
      </c>
      <c r="J15" s="1797"/>
      <c r="K15" s="1797">
        <f t="shared" si="5"/>
        <v>41845.78</v>
      </c>
      <c r="L15" s="1797"/>
      <c r="M15" s="1797">
        <f t="shared" si="0"/>
        <v>78.720000000001164</v>
      </c>
      <c r="O15" s="1814">
        <f t="shared" si="1"/>
        <v>1.8847388348617322E-3</v>
      </c>
      <c r="Q15" s="1797">
        <f t="shared" si="6"/>
        <v>28863.58</v>
      </c>
      <c r="R15" s="1797"/>
      <c r="S15" s="1797">
        <f t="shared" si="7"/>
        <v>28895.68</v>
      </c>
      <c r="T15" s="1797"/>
      <c r="U15" s="1797">
        <f t="shared" si="2"/>
        <v>32.099999999998545</v>
      </c>
      <c r="W15" s="1814">
        <f t="shared" si="3"/>
        <v>1.1121281559667295E-3</v>
      </c>
      <c r="Y15" s="1736" t="s">
        <v>1697</v>
      </c>
      <c r="Z15" s="1799">
        <f>'Sch8-1'!AA15</f>
        <v>2.9470102708339998</v>
      </c>
      <c r="AA15" s="1800">
        <f>'Blocking-Step2'!Q1383</f>
        <v>2.9807055047420001</v>
      </c>
      <c r="AB15" s="1801"/>
      <c r="AC15" s="1816"/>
    </row>
    <row r="16" spans="1:29">
      <c r="A16" s="1815">
        <f>A15</f>
        <v>1000</v>
      </c>
      <c r="C16" s="1815">
        <f>C15</f>
        <v>511000</v>
      </c>
      <c r="E16" s="1767">
        <f t="shared" si="8"/>
        <v>0.4</v>
      </c>
      <c r="F16" s="1767">
        <f>('Large Profile'!$M$6)/('Large Profile'!$E$6)*E16</f>
        <v>0.31892179969343787</v>
      </c>
      <c r="G16" s="1767">
        <f>('Large Profile'!$Q$6)/('Large Profile'!$I$6)*E16</f>
        <v>0.19727469547908175</v>
      </c>
      <c r="I16" s="1797">
        <f t="shared" si="4"/>
        <v>40562.339999999997</v>
      </c>
      <c r="J16" s="1797"/>
      <c r="K16" s="1797">
        <f t="shared" si="5"/>
        <v>40641.26</v>
      </c>
      <c r="L16" s="1797"/>
      <c r="M16" s="1797">
        <f t="shared" si="0"/>
        <v>78.92000000000553</v>
      </c>
      <c r="O16" s="1814">
        <f t="shared" si="1"/>
        <v>1.9456471199641445E-3</v>
      </c>
      <c r="Q16" s="1797">
        <f t="shared" si="6"/>
        <v>28204.1</v>
      </c>
      <c r="R16" s="1797"/>
      <c r="S16" s="1797">
        <f t="shared" si="7"/>
        <v>28236.32</v>
      </c>
      <c r="T16" s="1797"/>
      <c r="U16" s="1797">
        <f t="shared" si="2"/>
        <v>32.220000000001164</v>
      </c>
      <c r="W16" s="1814">
        <f t="shared" si="3"/>
        <v>1.1423870997480101E-3</v>
      </c>
      <c r="Y16" s="1736" t="s">
        <v>1133</v>
      </c>
      <c r="Z16" s="1795">
        <f>'Sch8-1'!AA16</f>
        <v>50</v>
      </c>
      <c r="AA16" s="1802">
        <f>Z16</f>
        <v>50</v>
      </c>
      <c r="AB16" s="1795"/>
      <c r="AC16" s="1715"/>
    </row>
    <row r="17" spans="1:29">
      <c r="A17" s="1815">
        <f>A14</f>
        <v>1000</v>
      </c>
      <c r="C17" s="1707">
        <f>A11*0.9*730</f>
        <v>657000</v>
      </c>
      <c r="E17" s="1767">
        <f t="shared" si="8"/>
        <v>0.6</v>
      </c>
      <c r="F17" s="1767">
        <f>('Large Profile'!$M$6)/('Large Profile'!$E$6)*E17</f>
        <v>0.47838269954015672</v>
      </c>
      <c r="G17" s="1767">
        <f>('Large Profile'!$Q$6)/('Large Profile'!$I$6)*E17</f>
        <v>0.29591204321862258</v>
      </c>
      <c r="I17" s="1797">
        <f t="shared" si="4"/>
        <v>49499.6</v>
      </c>
      <c r="J17" s="1797"/>
      <c r="K17" s="1797">
        <f t="shared" si="5"/>
        <v>49576.99</v>
      </c>
      <c r="L17" s="1797"/>
      <c r="M17" s="1797">
        <f t="shared" si="0"/>
        <v>77.389999999999418</v>
      </c>
      <c r="O17" s="1814">
        <f t="shared" si="1"/>
        <v>1.5634469773493365E-3</v>
      </c>
      <c r="Q17" s="1797">
        <f t="shared" si="6"/>
        <v>34602.75</v>
      </c>
      <c r="R17" s="1797"/>
      <c r="S17" s="1797">
        <f t="shared" si="7"/>
        <v>34633.870000000003</v>
      </c>
      <c r="T17" s="1797"/>
      <c r="U17" s="1797">
        <f t="shared" si="2"/>
        <v>31.120000000002619</v>
      </c>
      <c r="W17" s="1814">
        <f t="shared" si="3"/>
        <v>8.9935048514933058E-4</v>
      </c>
      <c r="Y17" s="1736" t="s">
        <v>1718</v>
      </c>
      <c r="Z17" s="1803">
        <f>'Sch8-1'!AA17</f>
        <v>3.9300000000000002E-2</v>
      </c>
      <c r="AA17" s="1804">
        <f>Z17</f>
        <v>3.9300000000000002E-2</v>
      </c>
      <c r="AB17" s="1803"/>
      <c r="AC17" s="1715"/>
    </row>
    <row r="18" spans="1:29" ht="13.5">
      <c r="A18" s="1815">
        <f>A15</f>
        <v>1000</v>
      </c>
      <c r="C18" s="1815">
        <f>C17</f>
        <v>657000</v>
      </c>
      <c r="E18" s="1767">
        <f t="shared" si="8"/>
        <v>0.5</v>
      </c>
      <c r="F18" s="1767">
        <f>('Large Profile'!$M$6)/('Large Profile'!$E$6)*E18</f>
        <v>0.39865224961679729</v>
      </c>
      <c r="G18" s="1767">
        <f>('Large Profile'!$Q$6)/('Large Profile'!$I$6)*E18</f>
        <v>0.24659336934885218</v>
      </c>
      <c r="I18" s="1797">
        <f t="shared" si="4"/>
        <v>47950.67</v>
      </c>
      <c r="J18" s="1797"/>
      <c r="K18" s="1797">
        <f t="shared" si="5"/>
        <v>48028.33</v>
      </c>
      <c r="L18" s="1797"/>
      <c r="M18" s="1797">
        <f t="shared" si="0"/>
        <v>77.660000000003492</v>
      </c>
      <c r="O18" s="1814">
        <f t="shared" si="1"/>
        <v>1.6195811236840996E-3</v>
      </c>
      <c r="Q18" s="1797">
        <f t="shared" si="6"/>
        <v>33754.86</v>
      </c>
      <c r="R18" s="1797"/>
      <c r="S18" s="1797">
        <f t="shared" si="7"/>
        <v>33786.120000000003</v>
      </c>
      <c r="T18" s="1797"/>
      <c r="U18" s="1797">
        <f t="shared" si="2"/>
        <v>31.260000000002037</v>
      </c>
      <c r="W18" s="1814">
        <f t="shared" si="3"/>
        <v>9.2608886542566715E-4</v>
      </c>
      <c r="Y18" s="1792" t="s">
        <v>80</v>
      </c>
      <c r="Z18" s="1702"/>
      <c r="AA18" s="1732"/>
      <c r="AB18" s="1795"/>
      <c r="AC18" s="1715"/>
    </row>
    <row r="19" spans="1:29">
      <c r="A19" s="1815">
        <f>A16</f>
        <v>1000</v>
      </c>
      <c r="C19" s="1815">
        <f>C18</f>
        <v>657000</v>
      </c>
      <c r="E19" s="1767">
        <f t="shared" si="8"/>
        <v>0.4</v>
      </c>
      <c r="F19" s="1767">
        <f>('Large Profile'!$M$6)/('Large Profile'!$E$6)*E19</f>
        <v>0.31892179969343787</v>
      </c>
      <c r="G19" s="1767">
        <f>('Large Profile'!$Q$6)/('Large Profile'!$I$6)*E19</f>
        <v>0.19727469547908175</v>
      </c>
      <c r="I19" s="1797">
        <f>ROUND($Z$10+(($Z$11+$Z$13)*$A19+($Z$12*$A19+($Z$14*$F19+$Z$15*(1-$F19))/100*$C19)*(1+$Z$35))*(1+$Z$17)+($Z$12*$A19+($Z$14*$F19+$Z$15*(1-$F19))/100*$C19)*$Z$30+$Z$16,2)</f>
        <v>46401.74</v>
      </c>
      <c r="J19" s="1797"/>
      <c r="K19" s="1797">
        <f t="shared" si="5"/>
        <v>46479.66</v>
      </c>
      <c r="L19" s="1797"/>
      <c r="M19" s="1797">
        <f t="shared" si="0"/>
        <v>77.92000000000553</v>
      </c>
      <c r="O19" s="1814">
        <f t="shared" si="1"/>
        <v>1.6792473730511404E-3</v>
      </c>
      <c r="Q19" s="1797">
        <f t="shared" si="6"/>
        <v>32906.959999999999</v>
      </c>
      <c r="R19" s="1797"/>
      <c r="S19" s="1797">
        <f t="shared" si="7"/>
        <v>32938.370000000003</v>
      </c>
      <c r="T19" s="1797"/>
      <c r="U19" s="1797">
        <f t="shared" si="2"/>
        <v>31.410000000003492</v>
      </c>
      <c r="W19" s="1814">
        <f t="shared" si="3"/>
        <v>9.5450931960905372E-4</v>
      </c>
      <c r="Y19" s="1736" t="s">
        <v>1678</v>
      </c>
      <c r="Z19" s="1773">
        <f>'Sch8-1'!AA19</f>
        <v>70</v>
      </c>
      <c r="AA19" s="1805">
        <f>AA10</f>
        <v>71</v>
      </c>
      <c r="AB19" s="1773"/>
      <c r="AC19" s="1715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1694</v>
      </c>
      <c r="Z20" s="1773">
        <f>'Sch8-1'!AA20</f>
        <v>4.78</v>
      </c>
      <c r="AA20" s="1805">
        <f>AA11</f>
        <v>4.84</v>
      </c>
      <c r="AB20" s="1773"/>
      <c r="AC20" s="1715"/>
    </row>
    <row r="21" spans="1:29">
      <c r="A21" s="1707">
        <v>2000</v>
      </c>
      <c r="C21" s="1707">
        <f>A21*0.5*730</f>
        <v>730000</v>
      </c>
      <c r="E21" s="1767">
        <v>0.6</v>
      </c>
      <c r="F21" s="1767">
        <f>('Large Profile'!$M$6)/('Large Profile'!$E$6)*E21</f>
        <v>0.47838269954015672</v>
      </c>
      <c r="G21" s="1767">
        <f>('Large Profile'!$Q$6)/('Large Profile'!$I$6)*E21</f>
        <v>0.29591204321862258</v>
      </c>
      <c r="I21" s="1797">
        <f t="shared" ref="I21:I29" si="9">ROUND($Z$10+(($Z$11+$Z$13)*$A21+($Z$12*$A21+($Z$14*$F21+$Z$15*(1-$F21))/100*$C21)*(1+$Z$35))*(1+$Z$17)+($Z$12*$A21+($Z$14*$F21+$Z$15*(1-$F21))/100*$C21)*$Z$30+$Z$16,2)</f>
        <v>72767.95</v>
      </c>
      <c r="J21" s="1797"/>
      <c r="K21" s="1797">
        <f t="shared" ref="K21:K29" si="10">ROUND($AA$10+(($AA$11+$AA$13)*$A21+($AA$12*$A21+($AA$14*$F21+$AA$15*(1-$F21))/100*$C21)*(1+$AA$35))*(1+$AA$17)+($AA$12*$A21+($AA$14*$F21+$AA$15*(1-$F21))/100*$C21)*$AA$30+$AA$16,2)</f>
        <v>72926.19</v>
      </c>
      <c r="L21" s="1797"/>
      <c r="M21" s="1797">
        <f t="shared" si="0"/>
        <v>158.24000000000524</v>
      </c>
      <c r="O21" s="1814">
        <f t="shared" si="1"/>
        <v>2.1745837281386127E-3</v>
      </c>
      <c r="Q21" s="1797">
        <f t="shared" si="6"/>
        <v>48766.69</v>
      </c>
      <c r="R21" s="1797"/>
      <c r="S21" s="1797">
        <f t="shared" ref="S21:S29" si="11">ROUND($AA$19+(($AA$20+$AA$22)*$A21+($AA$21*$A21+($AA$23*$G21+$AA$24*(1-$G21))/100*$C21)*(1+$AA$35))*(1+$AA$26)+($AA$21*$A21+($AA$23*$G21+$AA$24*(1-$G21))/100*$C21)*$AA$30+$AA$25,2)</f>
        <v>48831.41</v>
      </c>
      <c r="T21" s="1797"/>
      <c r="U21" s="1797">
        <f t="shared" si="2"/>
        <v>64.720000000001164</v>
      </c>
      <c r="W21" s="1814">
        <f t="shared" si="3"/>
        <v>1.3271353868797853E-3</v>
      </c>
      <c r="Y21" s="1736" t="s">
        <v>1695</v>
      </c>
      <c r="Z21" s="1795">
        <f>'Sch8-1'!AA21</f>
        <v>7.55</v>
      </c>
      <c r="AA21" s="1796">
        <f>'Blocking-Step2'!M1380</f>
        <v>7.6099999999999994</v>
      </c>
      <c r="AB21" s="1795"/>
      <c r="AC21" s="1715"/>
    </row>
    <row r="22" spans="1:29">
      <c r="A22" s="1815">
        <f>A21</f>
        <v>2000</v>
      </c>
      <c r="C22" s="1815">
        <f>C21</f>
        <v>730000</v>
      </c>
      <c r="E22" s="1767">
        <v>0.5</v>
      </c>
      <c r="F22" s="1767">
        <f>('Large Profile'!$M$6)/('Large Profile'!$E$6)*E22</f>
        <v>0.39865224961679729</v>
      </c>
      <c r="G22" s="1767">
        <f>('Large Profile'!$Q$6)/('Large Profile'!$I$6)*E22</f>
        <v>0.24659336934885218</v>
      </c>
      <c r="I22" s="1797">
        <f t="shared" si="9"/>
        <v>71046.91</v>
      </c>
      <c r="J22" s="1797"/>
      <c r="K22" s="1797">
        <f t="shared" si="10"/>
        <v>71205.45</v>
      </c>
      <c r="L22" s="1797"/>
      <c r="M22" s="1797">
        <f t="shared" si="0"/>
        <v>158.5399999999936</v>
      </c>
      <c r="O22" s="1814">
        <f t="shared" si="1"/>
        <v>2.2314833959702352E-3</v>
      </c>
      <c r="Q22" s="1797">
        <f t="shared" si="6"/>
        <v>47824.59</v>
      </c>
      <c r="R22" s="1797"/>
      <c r="S22" s="1797">
        <f t="shared" si="11"/>
        <v>47889.47</v>
      </c>
      <c r="T22" s="1797"/>
      <c r="U22" s="1797">
        <f t="shared" si="2"/>
        <v>64.880000000004657</v>
      </c>
      <c r="W22" s="1814">
        <f t="shared" si="3"/>
        <v>1.3566242805218565E-3</v>
      </c>
      <c r="Y22" s="1736" t="s">
        <v>1680</v>
      </c>
      <c r="Z22" s="1773">
        <f>'Sch8-1'!AA22</f>
        <v>-1.1299999999999999</v>
      </c>
      <c r="AA22" s="1805">
        <f>AA13</f>
        <v>-1.1299999999999999</v>
      </c>
      <c r="AB22" s="1773"/>
      <c r="AC22" s="1715"/>
    </row>
    <row r="23" spans="1:29">
      <c r="A23" s="1815">
        <f>A22</f>
        <v>2000</v>
      </c>
      <c r="C23" s="1815">
        <f>C22</f>
        <v>730000</v>
      </c>
      <c r="E23" s="1767">
        <v>0.4</v>
      </c>
      <c r="F23" s="1767">
        <f>('Large Profile'!$M$6)/('Large Profile'!$E$6)*E23</f>
        <v>0.31892179969343787</v>
      </c>
      <c r="G23" s="1767">
        <f>('Large Profile'!$Q$6)/('Large Profile'!$I$6)*E23</f>
        <v>0.19727469547908175</v>
      </c>
      <c r="I23" s="1797">
        <f t="shared" si="9"/>
        <v>69325.87</v>
      </c>
      <c r="J23" s="1797"/>
      <c r="K23" s="1797">
        <f t="shared" si="10"/>
        <v>69484.710000000006</v>
      </c>
      <c r="L23" s="1797"/>
      <c r="M23" s="1797">
        <f t="shared" si="0"/>
        <v>158.84000000001106</v>
      </c>
      <c r="O23" s="1814">
        <f t="shared" si="1"/>
        <v>2.2912081738031276E-3</v>
      </c>
      <c r="Q23" s="1797">
        <f t="shared" si="6"/>
        <v>46882.48</v>
      </c>
      <c r="R23" s="1797"/>
      <c r="S23" s="1797">
        <f t="shared" si="11"/>
        <v>46947.519999999997</v>
      </c>
      <c r="T23" s="1797"/>
      <c r="U23" s="1797">
        <f t="shared" si="2"/>
        <v>65.039999999993597</v>
      </c>
      <c r="W23" s="1814">
        <f t="shared" si="3"/>
        <v>1.3872986241341145E-3</v>
      </c>
      <c r="Y23" s="1736" t="s">
        <v>1696</v>
      </c>
      <c r="Z23" s="1799">
        <f>'Sch8-1'!AA23</f>
        <v>5.1309540428040004</v>
      </c>
      <c r="AA23" s="1800">
        <f>'Blocking-Step2'!Q1382</f>
        <v>5.189619836526</v>
      </c>
      <c r="AB23" s="1801"/>
      <c r="AC23" s="1817"/>
    </row>
    <row r="24" spans="1:29">
      <c r="A24" s="1815">
        <f>A23</f>
        <v>2000</v>
      </c>
      <c r="C24" s="1707">
        <f>A21*0.7*730</f>
        <v>1022000</v>
      </c>
      <c r="E24" s="1767">
        <f t="shared" ref="E24:E29" si="12">E21</f>
        <v>0.6</v>
      </c>
      <c r="F24" s="1767">
        <f>('Large Profile'!$M$6)/('Large Profile'!$E$6)*E24</f>
        <v>0.47838269954015672</v>
      </c>
      <c r="G24" s="1767">
        <f>('Large Profile'!$Q$6)/('Large Profile'!$I$6)*E24</f>
        <v>0.29591204321862258</v>
      </c>
      <c r="I24" s="1797">
        <f t="shared" si="9"/>
        <v>85823.57</v>
      </c>
      <c r="J24" s="1797"/>
      <c r="K24" s="1797">
        <f t="shared" si="10"/>
        <v>85979.59</v>
      </c>
      <c r="L24" s="1797"/>
      <c r="M24" s="1797">
        <f t="shared" si="0"/>
        <v>156.01999999998952</v>
      </c>
      <c r="O24" s="1814">
        <f t="shared" si="1"/>
        <v>1.8179155213420284E-3</v>
      </c>
      <c r="Q24" s="1797">
        <f t="shared" si="6"/>
        <v>58926.1</v>
      </c>
      <c r="R24" s="1797"/>
      <c r="S24" s="1797">
        <f t="shared" si="11"/>
        <v>58989.08</v>
      </c>
      <c r="T24" s="1797"/>
      <c r="U24" s="1797">
        <f t="shared" si="2"/>
        <v>62.980000000003201</v>
      </c>
      <c r="W24" s="1814">
        <f t="shared" si="3"/>
        <v>1.0687963398223754E-3</v>
      </c>
      <c r="Y24" s="1736" t="s">
        <v>1697</v>
      </c>
      <c r="Z24" s="1799">
        <f>'Sch8-1'!AA24</f>
        <v>2.6079736910040001</v>
      </c>
      <c r="AA24" s="1800">
        <f>'Blocking-Step2'!Q1384</f>
        <v>2.6377924820729999</v>
      </c>
      <c r="AB24" s="1801"/>
      <c r="AC24" s="1817"/>
    </row>
    <row r="25" spans="1:29">
      <c r="A25" s="1815">
        <f>A24</f>
        <v>2000</v>
      </c>
      <c r="C25" s="1815">
        <f>C24</f>
        <v>1022000</v>
      </c>
      <c r="E25" s="1767">
        <f t="shared" si="12"/>
        <v>0.5</v>
      </c>
      <c r="F25" s="1767">
        <f>('Large Profile'!$M$6)/('Large Profile'!$E$6)*E25</f>
        <v>0.39865224961679729</v>
      </c>
      <c r="G25" s="1767">
        <f>('Large Profile'!$Q$6)/('Large Profile'!$I$6)*E25</f>
        <v>0.24659336934885218</v>
      </c>
      <c r="I25" s="1797">
        <f t="shared" si="9"/>
        <v>83414.12</v>
      </c>
      <c r="J25" s="1797"/>
      <c r="K25" s="1797">
        <f t="shared" si="10"/>
        <v>83570.55</v>
      </c>
      <c r="L25" s="1797"/>
      <c r="M25" s="1797">
        <f t="shared" si="0"/>
        <v>156.43000000000757</v>
      </c>
      <c r="O25" s="1814">
        <f t="shared" si="1"/>
        <v>1.8753419684822692E-3</v>
      </c>
      <c r="Q25" s="1797">
        <f t="shared" si="6"/>
        <v>57607.15</v>
      </c>
      <c r="R25" s="1797"/>
      <c r="S25" s="1797">
        <f t="shared" si="11"/>
        <v>57670.36</v>
      </c>
      <c r="T25" s="1797"/>
      <c r="U25" s="1797">
        <f t="shared" si="2"/>
        <v>63.209999999999127</v>
      </c>
      <c r="W25" s="1814">
        <f t="shared" si="3"/>
        <v>1.0972596283620462E-3</v>
      </c>
      <c r="Y25" s="1736" t="s">
        <v>1133</v>
      </c>
      <c r="Z25" s="1773">
        <f>'Sch8-1'!AA25</f>
        <v>50</v>
      </c>
      <c r="AA25" s="1805">
        <f>AA16</f>
        <v>50</v>
      </c>
      <c r="AB25" s="1773"/>
      <c r="AC25" s="1715"/>
    </row>
    <row r="26" spans="1:29">
      <c r="A26" s="1815">
        <f>A25</f>
        <v>2000</v>
      </c>
      <c r="C26" s="1815">
        <f>C25</f>
        <v>1022000</v>
      </c>
      <c r="E26" s="1767">
        <f t="shared" si="12"/>
        <v>0.4</v>
      </c>
      <c r="F26" s="1767">
        <f>('Large Profile'!$M$6)/('Large Profile'!$E$6)*E26</f>
        <v>0.31892179969343787</v>
      </c>
      <c r="G26" s="1767">
        <f>('Large Profile'!$Q$6)/('Large Profile'!$I$6)*E26</f>
        <v>0.19727469547908175</v>
      </c>
      <c r="I26" s="1797">
        <f t="shared" si="9"/>
        <v>81004.67</v>
      </c>
      <c r="J26" s="1797"/>
      <c r="K26" s="1797">
        <f t="shared" si="10"/>
        <v>81161.509999999995</v>
      </c>
      <c r="L26" s="1797"/>
      <c r="M26" s="1797">
        <f t="shared" si="0"/>
        <v>156.83999999999651</v>
      </c>
      <c r="O26" s="1814">
        <f t="shared" si="1"/>
        <v>1.9361846668839444E-3</v>
      </c>
      <c r="Q26" s="1797">
        <f t="shared" si="6"/>
        <v>56288.21</v>
      </c>
      <c r="R26" s="1797"/>
      <c r="S26" s="1797">
        <f t="shared" si="11"/>
        <v>56351.64</v>
      </c>
      <c r="T26" s="1797"/>
      <c r="U26" s="1797">
        <f t="shared" si="2"/>
        <v>63.430000000000291</v>
      </c>
      <c r="W26" s="1814">
        <f t="shared" si="3"/>
        <v>1.1268789680822788E-3</v>
      </c>
      <c r="Y26" s="1759" t="s">
        <v>1718</v>
      </c>
      <c r="Z26" s="1768">
        <f>'Sch8-1'!AA26</f>
        <v>3.9300000000000002E-2</v>
      </c>
      <c r="AA26" s="1769">
        <f>AA17</f>
        <v>3.9300000000000002E-2</v>
      </c>
      <c r="AB26" s="1752"/>
      <c r="AC26" s="1715"/>
    </row>
    <row r="27" spans="1:29">
      <c r="A27" s="1815">
        <f>A24</f>
        <v>2000</v>
      </c>
      <c r="C27" s="1707">
        <f>A21*0.9*730</f>
        <v>1314000</v>
      </c>
      <c r="E27" s="1767">
        <f t="shared" si="12"/>
        <v>0.6</v>
      </c>
      <c r="F27" s="1767">
        <f>('Large Profile'!$M$6)/('Large Profile'!$E$6)*E27</f>
        <v>0.47838269954015672</v>
      </c>
      <c r="G27" s="1767">
        <f>('Large Profile'!$Q$6)/('Large Profile'!$I$6)*E27</f>
        <v>0.29591204321862258</v>
      </c>
      <c r="I27" s="1797">
        <f t="shared" si="9"/>
        <v>98879.2</v>
      </c>
      <c r="J27" s="1797"/>
      <c r="K27" s="1797">
        <f t="shared" si="10"/>
        <v>99032.99</v>
      </c>
      <c r="L27" s="1797"/>
      <c r="M27" s="1797">
        <f t="shared" si="0"/>
        <v>153.79000000000815</v>
      </c>
      <c r="O27" s="1814">
        <f t="shared" si="1"/>
        <v>1.5553321628816175E-3</v>
      </c>
      <c r="Q27" s="1797">
        <f t="shared" si="6"/>
        <v>69085.5</v>
      </c>
      <c r="R27" s="1797"/>
      <c r="S27" s="1797">
        <f t="shared" si="11"/>
        <v>69146.740000000005</v>
      </c>
      <c r="T27" s="1797"/>
      <c r="U27" s="1797">
        <f t="shared" si="2"/>
        <v>61.240000000005239</v>
      </c>
      <c r="W27" s="1814">
        <f t="shared" si="3"/>
        <v>8.8643781980302094E-4</v>
      </c>
    </row>
    <row r="28" spans="1:29">
      <c r="A28" s="1815">
        <f>A25</f>
        <v>2000</v>
      </c>
      <c r="C28" s="1815">
        <f>C27</f>
        <v>1314000</v>
      </c>
      <c r="E28" s="1767">
        <f t="shared" si="12"/>
        <v>0.5</v>
      </c>
      <c r="F28" s="1767">
        <f>('Large Profile'!$M$6)/('Large Profile'!$E$6)*E28</f>
        <v>0.39865224961679729</v>
      </c>
      <c r="G28" s="1767">
        <f>('Large Profile'!$Q$6)/('Large Profile'!$I$6)*E28</f>
        <v>0.24659336934885218</v>
      </c>
      <c r="I28" s="1797">
        <f t="shared" si="9"/>
        <v>95781.34</v>
      </c>
      <c r="J28" s="1797"/>
      <c r="K28" s="1797">
        <f t="shared" si="10"/>
        <v>95935.65</v>
      </c>
      <c r="L28" s="1797"/>
      <c r="M28" s="1797">
        <f t="shared" si="0"/>
        <v>154.30999999999767</v>
      </c>
      <c r="O28" s="1814">
        <f t="shared" si="1"/>
        <v>1.6110653703529376E-3</v>
      </c>
      <c r="Q28" s="1797">
        <f t="shared" si="6"/>
        <v>67389.710000000006</v>
      </c>
      <c r="R28" s="1797"/>
      <c r="S28" s="1797">
        <f t="shared" si="11"/>
        <v>67451.25</v>
      </c>
      <c r="T28" s="1797"/>
      <c r="U28" s="1797">
        <f t="shared" si="2"/>
        <v>61.539999999993597</v>
      </c>
      <c r="W28" s="1814">
        <f t="shared" si="3"/>
        <v>9.1319579799331585E-4</v>
      </c>
      <c r="AA28" s="1808"/>
    </row>
    <row r="29" spans="1:29">
      <c r="A29" s="1815">
        <f>A26</f>
        <v>2000</v>
      </c>
      <c r="C29" s="1815">
        <f>C28</f>
        <v>1314000</v>
      </c>
      <c r="E29" s="1767">
        <f t="shared" si="12"/>
        <v>0.4</v>
      </c>
      <c r="F29" s="1767">
        <f>('Large Profile'!$M$6)/('Large Profile'!$E$6)*E29</f>
        <v>0.31892179969343787</v>
      </c>
      <c r="G29" s="1767">
        <f>('Large Profile'!$Q$6)/('Large Profile'!$I$6)*E29</f>
        <v>0.19727469547908175</v>
      </c>
      <c r="I29" s="1797">
        <f t="shared" si="9"/>
        <v>92683.47</v>
      </c>
      <c r="J29" s="1797"/>
      <c r="K29" s="1797">
        <f t="shared" si="10"/>
        <v>92838.32</v>
      </c>
      <c r="L29" s="1797"/>
      <c r="M29" s="1797">
        <f t="shared" si="0"/>
        <v>154.85000000000582</v>
      </c>
      <c r="O29" s="1814">
        <f t="shared" si="1"/>
        <v>1.6707402085831546E-3</v>
      </c>
      <c r="Q29" s="1797">
        <f t="shared" si="6"/>
        <v>65693.929999999993</v>
      </c>
      <c r="R29" s="1797"/>
      <c r="S29" s="1797">
        <f t="shared" si="11"/>
        <v>65755.75</v>
      </c>
      <c r="T29" s="1797"/>
      <c r="U29" s="1797">
        <f t="shared" si="2"/>
        <v>61.820000000006985</v>
      </c>
      <c r="W29" s="1814">
        <f t="shared" si="3"/>
        <v>9.4103062489958589E-4</v>
      </c>
      <c r="Y29" s="1704" t="s">
        <v>1684</v>
      </c>
      <c r="Z29" s="1799">
        <f>'Sch8-1'!AA29</f>
        <v>0</v>
      </c>
      <c r="AA29" s="1799">
        <v>0</v>
      </c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1720</v>
      </c>
      <c r="Z30" s="1765">
        <f>'Sch8-1'!AA30</f>
        <v>-1.46E-2</v>
      </c>
      <c r="AA30" s="1808">
        <f>'Blocking-Step2'!Q1392</f>
        <v>-2.6499999999999999E-2</v>
      </c>
      <c r="AB30" s="1808"/>
    </row>
    <row r="31" spans="1:29">
      <c r="A31" s="1707">
        <v>4000</v>
      </c>
      <c r="C31" s="1707">
        <f>A31*0.5*730</f>
        <v>1460000</v>
      </c>
      <c r="E31" s="1767">
        <v>0.6</v>
      </c>
      <c r="F31" s="1767">
        <f>('Large Profile'!$M$6)/('Large Profile'!$E$6)*E31</f>
        <v>0.47838269954015672</v>
      </c>
      <c r="G31" s="1767">
        <f>('Large Profile'!$Q$6)/('Large Profile'!$I$6)*E31</f>
        <v>0.29591204321862258</v>
      </c>
      <c r="I31" s="1797">
        <f t="shared" ref="I31:I39" si="13">ROUND($Z$10+(($Z$11+$Z$13)*$A31+($Z$12*$A31+($Z$14*$F31+$Z$15*(1-$F31))/100*$C31)*(1+$Z$35))*(1+$Z$17)+($Z$12*$A31+($Z$14*$F31+$Z$15*(1-$F31))/100*$C31)*$Z$30+$Z$16,2)</f>
        <v>145415.89000000001</v>
      </c>
      <c r="J31" s="1797"/>
      <c r="K31" s="1797">
        <f t="shared" ref="K31:K39" si="14">ROUND($AA$10+(($AA$11+$AA$13)*$A31+($AA$12*$A31+($AA$14*$F31+$AA$15*(1-$F31))/100*$C31)*(1+$AA$35))*(1+$AA$17)+($AA$12*$A31+($AA$14*$F31+$AA$15*(1-$F31))/100*$C31)*$AA$30+$AA$16,2)</f>
        <v>145731.39000000001</v>
      </c>
      <c r="L31" s="1797"/>
      <c r="M31" s="1797">
        <f t="shared" si="0"/>
        <v>315.5</v>
      </c>
      <c r="O31" s="1814">
        <f t="shared" si="1"/>
        <v>2.1696390951497779E-3</v>
      </c>
      <c r="Q31" s="1797">
        <f t="shared" si="6"/>
        <v>97413.38</v>
      </c>
      <c r="R31" s="1797"/>
      <c r="S31" s="1797">
        <f t="shared" ref="S31:S39" si="15">ROUND($AA$19+(($AA$20+$AA$22)*$A31+($AA$21*$A31+($AA$23*$G31+$AA$24*(1-$G31))/100*$C31)*(1+$AA$35))*(1+$AA$26)+($AA$21*$A31+($AA$23*$G31+$AA$24*(1-$G31))/100*$C31)*$AA$30+$AA$25,2)</f>
        <v>97541.82</v>
      </c>
      <c r="T31" s="1797"/>
      <c r="U31" s="1797">
        <f t="shared" si="2"/>
        <v>128.44000000000233</v>
      </c>
      <c r="W31" s="1814">
        <f t="shared" si="3"/>
        <v>1.3185047064376842E-3</v>
      </c>
      <c r="Y31" s="1702" t="s">
        <v>1721</v>
      </c>
      <c r="Z31" s="1765">
        <f>'Sch8-1'!AA31</f>
        <v>3.8999999999999998E-3</v>
      </c>
      <c r="AA31" s="1808">
        <f>Z31</f>
        <v>3.8999999999999998E-3</v>
      </c>
    </row>
    <row r="32" spans="1:29">
      <c r="A32" s="1815">
        <f>A31</f>
        <v>4000</v>
      </c>
      <c r="C32" s="1815">
        <f>C31</f>
        <v>1460000</v>
      </c>
      <c r="E32" s="1767">
        <v>0.5</v>
      </c>
      <c r="F32" s="1767">
        <f>('Large Profile'!$M$6)/('Large Profile'!$E$6)*E32</f>
        <v>0.39865224961679729</v>
      </c>
      <c r="G32" s="1767">
        <f>('Large Profile'!$Q$6)/('Large Profile'!$I$6)*E32</f>
        <v>0.24659336934885218</v>
      </c>
      <c r="I32" s="1797">
        <f t="shared" si="13"/>
        <v>141973.82</v>
      </c>
      <c r="J32" s="1797"/>
      <c r="K32" s="1797">
        <f t="shared" si="14"/>
        <v>142289.91</v>
      </c>
      <c r="L32" s="1797"/>
      <c r="M32" s="1797">
        <f t="shared" si="0"/>
        <v>316.08999999999651</v>
      </c>
      <c r="O32" s="1814">
        <f t="shared" si="1"/>
        <v>2.2263963877282578E-3</v>
      </c>
      <c r="Q32" s="1797">
        <f t="shared" si="6"/>
        <v>95529.18</v>
      </c>
      <c r="R32" s="1797"/>
      <c r="S32" s="1797">
        <f t="shared" si="15"/>
        <v>95657.93</v>
      </c>
      <c r="T32" s="1797"/>
      <c r="U32" s="1797">
        <f t="shared" si="2"/>
        <v>128.75</v>
      </c>
      <c r="W32" s="1814">
        <f t="shared" si="3"/>
        <v>1.3477557328556156E-3</v>
      </c>
      <c r="Y32" s="1702" t="s">
        <v>1722</v>
      </c>
      <c r="Z32" s="1803">
        <f>'Sch8-1'!AA32</f>
        <v>3.5400000000000001E-2</v>
      </c>
      <c r="AA32" s="1808">
        <f>Z32</f>
        <v>3.5400000000000001E-2</v>
      </c>
    </row>
    <row r="33" spans="1:27">
      <c r="A33" s="1815">
        <f>A32</f>
        <v>4000</v>
      </c>
      <c r="C33" s="1815">
        <f>C32</f>
        <v>1460000</v>
      </c>
      <c r="E33" s="1767">
        <v>0.4</v>
      </c>
      <c r="F33" s="1767">
        <f>('Large Profile'!$M$6)/('Large Profile'!$E$6)*E33</f>
        <v>0.31892179969343787</v>
      </c>
      <c r="G33" s="1767">
        <f>('Large Profile'!$Q$6)/('Large Profile'!$I$6)*E33</f>
        <v>0.19727469547908175</v>
      </c>
      <c r="I33" s="1797">
        <f t="shared" si="13"/>
        <v>138531.75</v>
      </c>
      <c r="J33" s="1797"/>
      <c r="K33" s="1797">
        <f t="shared" si="14"/>
        <v>138848.42000000001</v>
      </c>
      <c r="L33" s="1797"/>
      <c r="M33" s="1797">
        <f t="shared" si="0"/>
        <v>316.67000000001281</v>
      </c>
      <c r="O33" s="1814">
        <f t="shared" si="1"/>
        <v>2.2859019683214576E-3</v>
      </c>
      <c r="Q33" s="1797">
        <f t="shared" si="6"/>
        <v>93644.97</v>
      </c>
      <c r="R33" s="1797"/>
      <c r="S33" s="1797">
        <f t="shared" si="15"/>
        <v>93774.05</v>
      </c>
      <c r="T33" s="1797"/>
      <c r="U33" s="1797">
        <f t="shared" si="2"/>
        <v>129.08000000000175</v>
      </c>
      <c r="W33" s="1814">
        <f t="shared" si="3"/>
        <v>1.3783975797099224E-3</v>
      </c>
      <c r="Y33" s="1704" t="s">
        <v>1685</v>
      </c>
      <c r="Z33" s="1765">
        <f>'Sch8-1'!AA33</f>
        <v>1.15E-2</v>
      </c>
      <c r="AA33" s="1809">
        <f>Z33</f>
        <v>1.15E-2</v>
      </c>
    </row>
    <row r="34" spans="1:27">
      <c r="A34" s="1815">
        <f>A33</f>
        <v>4000</v>
      </c>
      <c r="C34" s="1707">
        <f>A31*0.7*730</f>
        <v>2044000</v>
      </c>
      <c r="E34" s="1767">
        <f t="shared" ref="E34:E39" si="16">E31</f>
        <v>0.6</v>
      </c>
      <c r="F34" s="1767">
        <f>('Large Profile'!$M$6)/('Large Profile'!$E$6)*E34</f>
        <v>0.47838269954015672</v>
      </c>
      <c r="G34" s="1767">
        <f>('Large Profile'!$Q$6)/('Large Profile'!$I$6)*E34</f>
        <v>0.29591204321862258</v>
      </c>
      <c r="I34" s="1797">
        <f t="shared" si="13"/>
        <v>171527.15</v>
      </c>
      <c r="J34" s="1797"/>
      <c r="K34" s="1797">
        <f t="shared" si="14"/>
        <v>171838.18</v>
      </c>
      <c r="L34" s="1797"/>
      <c r="M34" s="1797">
        <f t="shared" si="0"/>
        <v>311.02999999999884</v>
      </c>
      <c r="O34" s="1814">
        <f t="shared" si="1"/>
        <v>1.8132989442196656E-3</v>
      </c>
      <c r="Q34" s="1797">
        <f t="shared" si="6"/>
        <v>117732.19</v>
      </c>
      <c r="R34" s="1797"/>
      <c r="S34" s="1797">
        <f t="shared" si="15"/>
        <v>117857.15</v>
      </c>
      <c r="T34" s="1797"/>
      <c r="U34" s="1797">
        <f t="shared" si="2"/>
        <v>124.95999999999185</v>
      </c>
      <c r="W34" s="1814">
        <f t="shared" si="3"/>
        <v>1.061391960856195E-3</v>
      </c>
      <c r="Y34" s="1704" t="s">
        <v>1686</v>
      </c>
      <c r="Z34" s="1765">
        <f>'Sch8-1'!AA34</f>
        <v>5.0000000000000001E-4</v>
      </c>
      <c r="AA34" s="1809">
        <f>Z34</f>
        <v>5.0000000000000001E-4</v>
      </c>
    </row>
    <row r="35" spans="1:27">
      <c r="A35" s="1815">
        <f>A34</f>
        <v>4000</v>
      </c>
      <c r="C35" s="1815">
        <f>C34</f>
        <v>2044000</v>
      </c>
      <c r="E35" s="1767">
        <f t="shared" si="16"/>
        <v>0.5</v>
      </c>
      <c r="F35" s="1767">
        <f>('Large Profile'!$M$6)/('Large Profile'!$E$6)*E35</f>
        <v>0.39865224961679729</v>
      </c>
      <c r="G35" s="1767">
        <f>('Large Profile'!$Q$6)/('Large Profile'!$I$6)*E35</f>
        <v>0.24659336934885218</v>
      </c>
      <c r="I35" s="1797">
        <f t="shared" si="13"/>
        <v>166708.25</v>
      </c>
      <c r="J35" s="1797"/>
      <c r="K35" s="1797">
        <f t="shared" si="14"/>
        <v>167020.1</v>
      </c>
      <c r="L35" s="1797"/>
      <c r="M35" s="1797">
        <f t="shared" si="0"/>
        <v>311.85000000000582</v>
      </c>
      <c r="O35" s="1814">
        <f t="shared" si="1"/>
        <v>1.8706332769973244E-3</v>
      </c>
      <c r="Q35" s="1797">
        <f t="shared" si="6"/>
        <v>115094.3</v>
      </c>
      <c r="R35" s="1797"/>
      <c r="S35" s="1797">
        <f t="shared" si="15"/>
        <v>115219.71</v>
      </c>
      <c r="T35" s="1797"/>
      <c r="U35" s="1797">
        <f t="shared" si="2"/>
        <v>125.41000000000349</v>
      </c>
      <c r="W35" s="1814">
        <f t="shared" si="3"/>
        <v>1.0896282439705196E-3</v>
      </c>
      <c r="Y35" s="1702" t="s">
        <v>1687</v>
      </c>
      <c r="Z35" s="1752">
        <f>SUM(Z33:Z34)</f>
        <v>1.2E-2</v>
      </c>
      <c r="AA35" s="1752">
        <f>SUM(AA33:AA34)</f>
        <v>1.2E-2</v>
      </c>
    </row>
    <row r="36" spans="1:27">
      <c r="A36" s="1815">
        <f>A35</f>
        <v>4000</v>
      </c>
      <c r="C36" s="1815">
        <f>C35</f>
        <v>2044000</v>
      </c>
      <c r="E36" s="1767">
        <f t="shared" si="16"/>
        <v>0.4</v>
      </c>
      <c r="F36" s="1767">
        <f>('Large Profile'!$M$6)/('Large Profile'!$E$6)*E36</f>
        <v>0.31892179969343787</v>
      </c>
      <c r="G36" s="1767">
        <f>('Large Profile'!$Q$6)/('Large Profile'!$I$6)*E36</f>
        <v>0.19727469547908175</v>
      </c>
      <c r="I36" s="1797">
        <f t="shared" si="13"/>
        <v>161889.35</v>
      </c>
      <c r="J36" s="1797"/>
      <c r="K36" s="1797">
        <f t="shared" si="14"/>
        <v>162202.03</v>
      </c>
      <c r="L36" s="1797"/>
      <c r="M36" s="1797">
        <f t="shared" si="0"/>
        <v>312.67999999999302</v>
      </c>
      <c r="O36" s="1814">
        <f t="shared" si="1"/>
        <v>1.9314426798302531E-3</v>
      </c>
      <c r="Q36" s="1797">
        <f t="shared" si="6"/>
        <v>112456.41</v>
      </c>
      <c r="R36" s="1797"/>
      <c r="S36" s="1797">
        <f t="shared" si="15"/>
        <v>112582.27</v>
      </c>
      <c r="T36" s="1797"/>
      <c r="U36" s="1797">
        <f t="shared" si="2"/>
        <v>125.86000000000058</v>
      </c>
      <c r="W36" s="1814">
        <f t="shared" si="3"/>
        <v>1.1191892040658402E-3</v>
      </c>
    </row>
    <row r="37" spans="1:27">
      <c r="A37" s="1815">
        <f>A34</f>
        <v>4000</v>
      </c>
      <c r="C37" s="1707">
        <f>A31*0.9*730</f>
        <v>2628000</v>
      </c>
      <c r="E37" s="1767">
        <f t="shared" si="16"/>
        <v>0.6</v>
      </c>
      <c r="F37" s="1767">
        <f>('Large Profile'!$M$6)/('Large Profile'!$E$6)*E37</f>
        <v>0.47838269954015672</v>
      </c>
      <c r="G37" s="1767">
        <f>('Large Profile'!$Q$6)/('Large Profile'!$I$6)*E37</f>
        <v>0.29591204321862258</v>
      </c>
      <c r="I37" s="1797">
        <f t="shared" si="13"/>
        <v>197638.39999999999</v>
      </c>
      <c r="J37" s="1797"/>
      <c r="K37" s="1797">
        <f t="shared" si="14"/>
        <v>197944.97</v>
      </c>
      <c r="L37" s="1797"/>
      <c r="M37" s="1797">
        <f t="shared" si="0"/>
        <v>306.57000000000698</v>
      </c>
      <c r="O37" s="1814">
        <f t="shared" si="1"/>
        <v>1.5511661701370638E-3</v>
      </c>
      <c r="Q37" s="1797">
        <f t="shared" si="6"/>
        <v>138051</v>
      </c>
      <c r="R37" s="1797"/>
      <c r="S37" s="1797">
        <f t="shared" si="15"/>
        <v>138172.48000000001</v>
      </c>
      <c r="T37" s="1797"/>
      <c r="U37" s="1797">
        <f t="shared" si="2"/>
        <v>121.48000000001048</v>
      </c>
      <c r="W37" s="1814">
        <f t="shared" si="3"/>
        <v>8.799646507451353E-4</v>
      </c>
    </row>
    <row r="38" spans="1:27">
      <c r="A38" s="1815">
        <f>A35</f>
        <v>4000</v>
      </c>
      <c r="C38" s="1815">
        <f>C37</f>
        <v>2628000</v>
      </c>
      <c r="E38" s="1767">
        <f t="shared" si="16"/>
        <v>0.5</v>
      </c>
      <c r="F38" s="1767">
        <f>('Large Profile'!$M$6)/('Large Profile'!$E$6)*E38</f>
        <v>0.39865224961679729</v>
      </c>
      <c r="G38" s="1767">
        <f>('Large Profile'!$Q$6)/('Large Profile'!$I$6)*E38</f>
        <v>0.24659336934885218</v>
      </c>
      <c r="I38" s="1797">
        <f t="shared" si="13"/>
        <v>191442.67</v>
      </c>
      <c r="J38" s="1797"/>
      <c r="K38" s="1797">
        <f t="shared" si="14"/>
        <v>191750.3</v>
      </c>
      <c r="L38" s="1797"/>
      <c r="M38" s="1797">
        <f t="shared" si="0"/>
        <v>307.62999999997555</v>
      </c>
      <c r="O38" s="1814">
        <f t="shared" si="1"/>
        <v>1.6069040407762358E-3</v>
      </c>
      <c r="Q38" s="1797">
        <f t="shared" si="6"/>
        <v>134659.43</v>
      </c>
      <c r="R38" s="1797"/>
      <c r="S38" s="1797">
        <f t="shared" si="15"/>
        <v>134781.49</v>
      </c>
      <c r="T38" s="1797"/>
      <c r="U38" s="1797">
        <f t="shared" si="2"/>
        <v>122.05999999999767</v>
      </c>
      <c r="W38" s="1814">
        <f t="shared" si="3"/>
        <v>9.0643484826857801E-4</v>
      </c>
    </row>
    <row r="39" spans="1:27">
      <c r="A39" s="1815">
        <f>A36</f>
        <v>4000</v>
      </c>
      <c r="C39" s="1815">
        <f>C38</f>
        <v>2628000</v>
      </c>
      <c r="E39" s="1767">
        <f t="shared" si="16"/>
        <v>0.4</v>
      </c>
      <c r="F39" s="1767">
        <f>('Large Profile'!$M$6)/('Large Profile'!$E$6)*E39</f>
        <v>0.31892179969343787</v>
      </c>
      <c r="G39" s="1767">
        <f>('Large Profile'!$Q$6)/('Large Profile'!$I$6)*E39</f>
        <v>0.19727469547908175</v>
      </c>
      <c r="I39" s="1797">
        <f t="shared" si="13"/>
        <v>185246.94</v>
      </c>
      <c r="J39" s="1797"/>
      <c r="K39" s="1797">
        <f t="shared" si="14"/>
        <v>185555.63</v>
      </c>
      <c r="L39" s="1797"/>
      <c r="M39" s="1797">
        <f t="shared" si="0"/>
        <v>308.69000000000233</v>
      </c>
      <c r="O39" s="1814">
        <f t="shared" si="1"/>
        <v>1.66637030549599E-3</v>
      </c>
      <c r="Q39" s="1797">
        <f t="shared" si="6"/>
        <v>131267.85999999999</v>
      </c>
      <c r="R39" s="1797"/>
      <c r="S39" s="1797">
        <f t="shared" si="15"/>
        <v>131390.5</v>
      </c>
      <c r="T39" s="1797"/>
      <c r="U39" s="1797">
        <f t="shared" si="2"/>
        <v>122.64000000001397</v>
      </c>
      <c r="W39" s="1814">
        <f t="shared" si="3"/>
        <v>9.3427286770730866E-4</v>
      </c>
    </row>
    <row r="40" spans="1:27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</row>
    <row r="41" spans="1:27">
      <c r="A41" s="1707">
        <v>6000</v>
      </c>
      <c r="C41" s="1707">
        <f>A41*0.5*730</f>
        <v>2190000</v>
      </c>
      <c r="E41" s="1767">
        <v>0.6</v>
      </c>
      <c r="F41" s="1767">
        <f>('Large Profile'!$M$6)/('Large Profile'!$E$6)*E41</f>
        <v>0.47838269954015672</v>
      </c>
      <c r="G41" s="1767">
        <f>('Large Profile'!$Q$6)/('Large Profile'!$I$6)*E41</f>
        <v>0.29591204321862258</v>
      </c>
      <c r="I41" s="1797">
        <f t="shared" ref="I41:I49" si="17">ROUND($Z$10+(($Z$11+$Z$13)*$A41+($Z$12*$A41+($Z$14*$F41+$Z$15*(1-$F41))/100*$C41)*(1+$Z$35))*(1+$Z$17)+($Z$12*$A41+($Z$14*$F41+$Z$15*(1-$F41))/100*$C41)*$Z$30+$Z$16,2)</f>
        <v>218063.84</v>
      </c>
      <c r="J41" s="1797"/>
      <c r="K41" s="1797">
        <f t="shared" ref="K41:K49" si="18">ROUND($AA$10+(($AA$11+$AA$13)*$A41+($AA$12*$A41+($AA$14*$F41+$AA$15*(1-$F41))/100*$C41)*(1+$AA$35))*(1+$AA$17)+($AA$12*$A41+($AA$14*$F41+$AA$15*(1-$F41))/100*$C41)*$AA$30+$AA$16,2)</f>
        <v>218536.58</v>
      </c>
      <c r="L41" s="1797"/>
      <c r="M41" s="1797">
        <f t="shared" si="0"/>
        <v>472.73999999999069</v>
      </c>
      <c r="O41" s="1814">
        <f t="shared" si="1"/>
        <v>2.1678972543086594E-3</v>
      </c>
      <c r="Q41" s="1797">
        <f t="shared" si="6"/>
        <v>146060.07999999999</v>
      </c>
      <c r="R41" s="1797"/>
      <c r="S41" s="1797">
        <f t="shared" ref="S41:S49" si="19">ROUND($AA$19+(($AA$20+$AA$22)*$A41+($AA$21*$A41+($AA$23*$G41+$AA$24*(1-$G41))/100*$C41)*(1+$AA$35))*(1+$AA$26)+($AA$21*$A41+($AA$23*$G41+$AA$24*(1-$G41))/100*$C41)*$AA$30+$AA$25,2)</f>
        <v>146252.22</v>
      </c>
      <c r="T41" s="1797"/>
      <c r="U41" s="1797">
        <f t="shared" si="2"/>
        <v>192.14000000001397</v>
      </c>
      <c r="W41" s="1814">
        <f t="shared" si="3"/>
        <v>1.3154860657340617E-3</v>
      </c>
    </row>
    <row r="42" spans="1:27">
      <c r="A42" s="1815">
        <f>A41</f>
        <v>6000</v>
      </c>
      <c r="C42" s="1815">
        <f>C41</f>
        <v>2190000</v>
      </c>
      <c r="E42" s="1767">
        <v>0.5</v>
      </c>
      <c r="F42" s="1767">
        <f>('Large Profile'!$M$6)/('Large Profile'!$E$6)*E42</f>
        <v>0.39865224961679729</v>
      </c>
      <c r="G42" s="1767">
        <f>('Large Profile'!$Q$6)/('Large Profile'!$I$6)*E42</f>
        <v>0.24659336934885218</v>
      </c>
      <c r="I42" s="1797">
        <f t="shared" si="17"/>
        <v>212900.73</v>
      </c>
      <c r="J42" s="1797"/>
      <c r="K42" s="1797">
        <f t="shared" si="18"/>
        <v>213374.36</v>
      </c>
      <c r="L42" s="1797"/>
      <c r="M42" s="1797">
        <f t="shared" si="0"/>
        <v>473.62999999997555</v>
      </c>
      <c r="O42" s="1814">
        <f t="shared" si="1"/>
        <v>2.2246518365625079E-3</v>
      </c>
      <c r="Q42" s="1797">
        <f t="shared" si="6"/>
        <v>143233.76999999999</v>
      </c>
      <c r="R42" s="1797"/>
      <c r="S42" s="1797">
        <f t="shared" si="19"/>
        <v>143426.4</v>
      </c>
      <c r="T42" s="1797"/>
      <c r="U42" s="1797">
        <f t="shared" si="2"/>
        <v>192.63000000000466</v>
      </c>
      <c r="W42" s="1814">
        <f t="shared" si="3"/>
        <v>1.3448644129103737E-3</v>
      </c>
    </row>
    <row r="43" spans="1:27">
      <c r="A43" s="1815">
        <f>A42</f>
        <v>6000</v>
      </c>
      <c r="C43" s="1815">
        <f>C42</f>
        <v>2190000</v>
      </c>
      <c r="E43" s="1767">
        <v>0.4</v>
      </c>
      <c r="F43" s="1767">
        <f>('Large Profile'!$M$6)/('Large Profile'!$E$6)*E43</f>
        <v>0.31892179969343787</v>
      </c>
      <c r="G43" s="1767">
        <f>('Large Profile'!$Q$6)/('Large Profile'!$I$6)*E43</f>
        <v>0.19727469547908175</v>
      </c>
      <c r="I43" s="1797">
        <f t="shared" si="17"/>
        <v>207737.62</v>
      </c>
      <c r="J43" s="1797"/>
      <c r="K43" s="1797">
        <f t="shared" si="18"/>
        <v>208212.13</v>
      </c>
      <c r="L43" s="1797"/>
      <c r="M43" s="1797">
        <f t="shared" si="0"/>
        <v>474.51000000000931</v>
      </c>
      <c r="O43" s="1814">
        <f t="shared" si="1"/>
        <v>2.2841794375039193E-3</v>
      </c>
      <c r="Q43" s="1797">
        <f t="shared" si="6"/>
        <v>140407.45000000001</v>
      </c>
      <c r="R43" s="1797"/>
      <c r="S43" s="1797">
        <f t="shared" si="19"/>
        <v>140600.57</v>
      </c>
      <c r="T43" s="1797"/>
      <c r="U43" s="1797">
        <f t="shared" si="2"/>
        <v>193.11999999999534</v>
      </c>
      <c r="W43" s="1814">
        <f t="shared" si="3"/>
        <v>1.3754255917330926E-3</v>
      </c>
    </row>
    <row r="44" spans="1:27">
      <c r="A44" s="1815">
        <f>A43</f>
        <v>6000</v>
      </c>
      <c r="C44" s="1707">
        <f>A41*0.7*730</f>
        <v>3066000</v>
      </c>
      <c r="E44" s="1767">
        <f t="shared" ref="E44:E49" si="20">E41</f>
        <v>0.6</v>
      </c>
      <c r="F44" s="1767">
        <f>('Large Profile'!$M$6)/('Large Profile'!$E$6)*E44</f>
        <v>0.47838269954015672</v>
      </c>
      <c r="G44" s="1767">
        <f>('Large Profile'!$Q$6)/('Large Profile'!$I$6)*E44</f>
        <v>0.29591204321862258</v>
      </c>
      <c r="I44" s="1797">
        <f t="shared" si="17"/>
        <v>257230.72</v>
      </c>
      <c r="J44" s="1797"/>
      <c r="K44" s="1797">
        <f t="shared" si="18"/>
        <v>257696.77</v>
      </c>
      <c r="L44" s="1797"/>
      <c r="M44" s="1797">
        <f t="shared" si="0"/>
        <v>466.04999999998836</v>
      </c>
      <c r="O44" s="1814">
        <f t="shared" si="1"/>
        <v>1.8117975955593835E-3</v>
      </c>
      <c r="Q44" s="1797">
        <f t="shared" si="6"/>
        <v>176538.29</v>
      </c>
      <c r="R44" s="1797"/>
      <c r="S44" s="1797">
        <f t="shared" si="19"/>
        <v>176725.23</v>
      </c>
      <c r="T44" s="1797"/>
      <c r="U44" s="1797">
        <f t="shared" si="2"/>
        <v>186.94000000000233</v>
      </c>
      <c r="W44" s="1814">
        <f t="shared" si="3"/>
        <v>1.0589204189075385E-3</v>
      </c>
    </row>
    <row r="45" spans="1:27">
      <c r="A45" s="1815">
        <f>A44</f>
        <v>6000</v>
      </c>
      <c r="C45" s="1815">
        <f>C44</f>
        <v>3066000</v>
      </c>
      <c r="E45" s="1767">
        <f t="shared" si="20"/>
        <v>0.5</v>
      </c>
      <c r="F45" s="1767">
        <f>('Large Profile'!$M$6)/('Large Profile'!$E$6)*E45</f>
        <v>0.39865224961679729</v>
      </c>
      <c r="G45" s="1767">
        <f>('Large Profile'!$Q$6)/('Large Profile'!$I$6)*E45</f>
        <v>0.24659336934885218</v>
      </c>
      <c r="I45" s="1797">
        <f t="shared" si="17"/>
        <v>250002.37</v>
      </c>
      <c r="J45" s="1797"/>
      <c r="K45" s="1797">
        <f t="shared" si="18"/>
        <v>250469.66</v>
      </c>
      <c r="L45" s="1797"/>
      <c r="M45" s="1797">
        <f t="shared" si="0"/>
        <v>467.29000000000815</v>
      </c>
      <c r="O45" s="1814">
        <f t="shared" si="1"/>
        <v>1.8691422805312552E-3</v>
      </c>
      <c r="Q45" s="1797">
        <f t="shared" si="6"/>
        <v>172581.45</v>
      </c>
      <c r="R45" s="1797"/>
      <c r="S45" s="1797">
        <f t="shared" si="19"/>
        <v>172769.07</v>
      </c>
      <c r="T45" s="1797"/>
      <c r="U45" s="1797">
        <f t="shared" si="2"/>
        <v>187.61999999999534</v>
      </c>
      <c r="W45" s="1814">
        <f t="shared" si="3"/>
        <v>1.0871388553057582E-3</v>
      </c>
    </row>
    <row r="46" spans="1:27">
      <c r="A46" s="1815">
        <f>A45</f>
        <v>6000</v>
      </c>
      <c r="C46" s="1815">
        <f>C45</f>
        <v>3066000</v>
      </c>
      <c r="E46" s="1767">
        <f t="shared" si="20"/>
        <v>0.4</v>
      </c>
      <c r="F46" s="1767">
        <f>('Large Profile'!$M$6)/('Large Profile'!$E$6)*E46</f>
        <v>0.31892179969343787</v>
      </c>
      <c r="G46" s="1767">
        <f>('Large Profile'!$Q$6)/('Large Profile'!$I$6)*E46</f>
        <v>0.19727469547908175</v>
      </c>
      <c r="I46" s="1797">
        <f t="shared" si="17"/>
        <v>242774.02</v>
      </c>
      <c r="J46" s="1797"/>
      <c r="K46" s="1797">
        <f t="shared" si="18"/>
        <v>243242.54</v>
      </c>
      <c r="L46" s="1797"/>
      <c r="M46" s="1797">
        <f t="shared" si="0"/>
        <v>468.52000000001863</v>
      </c>
      <c r="O46" s="1814">
        <f t="shared" si="1"/>
        <v>1.9298605345003939E-3</v>
      </c>
      <c r="Q46" s="1797">
        <f t="shared" si="6"/>
        <v>168624.62</v>
      </c>
      <c r="R46" s="1797"/>
      <c r="S46" s="1797">
        <f t="shared" si="19"/>
        <v>168812.91</v>
      </c>
      <c r="T46" s="1797"/>
      <c r="U46" s="1797">
        <f t="shared" si="2"/>
        <v>188.29000000000815</v>
      </c>
      <c r="W46" s="1814">
        <f t="shared" si="3"/>
        <v>1.1166222346417065E-3</v>
      </c>
    </row>
    <row r="47" spans="1:27">
      <c r="A47" s="1815">
        <f>A44</f>
        <v>6000</v>
      </c>
      <c r="C47" s="1707">
        <f>A41*0.9*730</f>
        <v>3942000</v>
      </c>
      <c r="E47" s="1767">
        <f t="shared" si="20"/>
        <v>0.6</v>
      </c>
      <c r="F47" s="1767">
        <f>('Large Profile'!$M$6)/('Large Profile'!$E$6)*E47</f>
        <v>0.47838269954015672</v>
      </c>
      <c r="G47" s="1767">
        <f>('Large Profile'!$Q$6)/('Large Profile'!$I$6)*E47</f>
        <v>0.29591204321862258</v>
      </c>
      <c r="I47" s="1797">
        <f t="shared" si="17"/>
        <v>296397.61</v>
      </c>
      <c r="J47" s="1797"/>
      <c r="K47" s="1797">
        <f t="shared" si="18"/>
        <v>296856.96000000002</v>
      </c>
      <c r="L47" s="1797"/>
      <c r="M47" s="1797">
        <f t="shared" si="0"/>
        <v>459.35000000003492</v>
      </c>
      <c r="O47" s="1814">
        <f t="shared" si="1"/>
        <v>1.5497763291683064E-3</v>
      </c>
      <c r="Q47" s="1797">
        <f t="shared" si="6"/>
        <v>207016.5</v>
      </c>
      <c r="R47" s="1797"/>
      <c r="S47" s="1797">
        <f t="shared" si="19"/>
        <v>207198.23</v>
      </c>
      <c r="T47" s="1797"/>
      <c r="U47" s="1797">
        <f t="shared" si="2"/>
        <v>181.73000000001048</v>
      </c>
      <c r="W47" s="1814">
        <f t="shared" si="3"/>
        <v>8.7785273154561416E-4</v>
      </c>
    </row>
    <row r="48" spans="1:27">
      <c r="A48" s="1815">
        <f>A45</f>
        <v>6000</v>
      </c>
      <c r="C48" s="1815">
        <f>C47</f>
        <v>3942000</v>
      </c>
      <c r="E48" s="1767">
        <f t="shared" si="20"/>
        <v>0.5</v>
      </c>
      <c r="F48" s="1767">
        <f>('Large Profile'!$M$6)/('Large Profile'!$E$6)*E48</f>
        <v>0.39865224961679729</v>
      </c>
      <c r="G48" s="1767">
        <f>('Large Profile'!$Q$6)/('Large Profile'!$I$6)*E48</f>
        <v>0.24659336934885218</v>
      </c>
      <c r="I48" s="1797">
        <f t="shared" si="17"/>
        <v>287104.01</v>
      </c>
      <c r="J48" s="1797"/>
      <c r="K48" s="1797">
        <f t="shared" si="18"/>
        <v>287564.96000000002</v>
      </c>
      <c r="L48" s="1797"/>
      <c r="M48" s="1797">
        <f t="shared" si="0"/>
        <v>460.95000000001164</v>
      </c>
      <c r="O48" s="1814">
        <f t="shared" si="1"/>
        <v>1.6055157153673782E-3</v>
      </c>
      <c r="Q48" s="1797">
        <f t="shared" si="6"/>
        <v>201929.14</v>
      </c>
      <c r="R48" s="1797"/>
      <c r="S48" s="1797">
        <f t="shared" si="19"/>
        <v>202111.74</v>
      </c>
      <c r="T48" s="1797"/>
      <c r="U48" s="1797">
        <f t="shared" si="2"/>
        <v>182.59999999997672</v>
      </c>
      <c r="W48" s="1814">
        <f t="shared" si="3"/>
        <v>9.0427760946232283E-4</v>
      </c>
    </row>
    <row r="49" spans="1:23">
      <c r="A49" s="1815">
        <f>A46</f>
        <v>6000</v>
      </c>
      <c r="C49" s="1815">
        <f>C48</f>
        <v>3942000</v>
      </c>
      <c r="E49" s="1767">
        <f t="shared" si="20"/>
        <v>0.4</v>
      </c>
      <c r="F49" s="1767">
        <f>('Large Profile'!$M$6)/('Large Profile'!$E$6)*E49</f>
        <v>0.31892179969343787</v>
      </c>
      <c r="G49" s="1767">
        <f>('Large Profile'!$Q$6)/('Large Profile'!$I$6)*E49</f>
        <v>0.19727469547908175</v>
      </c>
      <c r="I49" s="1797">
        <f t="shared" si="17"/>
        <v>277810.42</v>
      </c>
      <c r="J49" s="1797"/>
      <c r="K49" s="1797">
        <f t="shared" si="18"/>
        <v>278272.95</v>
      </c>
      <c r="L49" s="1797"/>
      <c r="M49" s="1797">
        <f t="shared" si="0"/>
        <v>462.53000000002794</v>
      </c>
      <c r="O49" s="1814">
        <f t="shared" si="1"/>
        <v>1.6649123528196252E-3</v>
      </c>
      <c r="Q49" s="1797">
        <f t="shared" si="6"/>
        <v>196841.78</v>
      </c>
      <c r="R49" s="1797"/>
      <c r="S49" s="1797">
        <f t="shared" si="19"/>
        <v>197025.25</v>
      </c>
      <c r="T49" s="1797"/>
      <c r="U49" s="1797">
        <f t="shared" si="2"/>
        <v>183.47000000000116</v>
      </c>
      <c r="W49" s="1814">
        <f t="shared" si="3"/>
        <v>9.3206838507553513E-4</v>
      </c>
    </row>
    <row r="50" spans="1:23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</row>
    <row r="51" spans="1:23">
      <c r="A51" s="1707">
        <v>10000</v>
      </c>
      <c r="C51" s="1707">
        <f>A51*0.5*730</f>
        <v>3650000</v>
      </c>
      <c r="E51" s="1767">
        <v>0.6</v>
      </c>
      <c r="F51" s="1767">
        <f>('Large Profile'!$M$6)/('Large Profile'!$E$6)*E51</f>
        <v>0.47838269954015672</v>
      </c>
      <c r="G51" s="1767">
        <f>('Large Profile'!$Q$6)/('Large Profile'!$I$6)*E51</f>
        <v>0.29591204321862258</v>
      </c>
      <c r="I51" s="1797">
        <f t="shared" ref="I51:I59" si="21">ROUND($Z$10+(($Z$11+$Z$13)*$A51+($Z$12*$A51+($Z$14*$F51+$Z$15*(1-$F51))/100*$C51)*(1+$Z$35))*(1+$Z$17)+($Z$12*$A51+($Z$14*$F51+$Z$15*(1-$F51))/100*$C51)*$Z$30+$Z$16,2)</f>
        <v>363359.73</v>
      </c>
      <c r="J51" s="1797"/>
      <c r="K51" s="1797">
        <f t="shared" ref="K51:K59" si="22">ROUND($AA$10+(($AA$11+$AA$13)*$A51+($AA$12*$A51+($AA$14*$F51+$AA$15*(1-$F51))/100*$C51)*(1+$AA$35))*(1+$AA$17)+($AA$12*$A51+($AA$14*$F51+$AA$15*(1-$F51))/100*$C51)*$AA$30+$AA$16,2)</f>
        <v>364146.97</v>
      </c>
      <c r="L51" s="1797"/>
      <c r="M51" s="1797">
        <f t="shared" si="0"/>
        <v>787.23999999999069</v>
      </c>
      <c r="O51" s="1814">
        <f t="shared" si="1"/>
        <v>2.1665581928960176E-3</v>
      </c>
      <c r="Q51" s="1797">
        <f t="shared" si="6"/>
        <v>243353.46</v>
      </c>
      <c r="R51" s="1797"/>
      <c r="S51" s="1797">
        <f t="shared" ref="S51:S58" si="23">ROUND($AA$19+(($AA$20+$AA$22)*$A51+($AA$21*$A51+($AA$23*$G51+$AA$24*(1-$G51))/100*$C51)*(1+$AA$35))*(1+$AA$26)+($AA$21*$A51+($AA$23*$G51+$AA$24*(1-$G51))/100*$C51)*$AA$30+$AA$25,2)</f>
        <v>243673.04</v>
      </c>
      <c r="T51" s="1797"/>
      <c r="U51" s="1797">
        <f t="shared" si="2"/>
        <v>319.5800000000163</v>
      </c>
      <c r="W51" s="1814">
        <f t="shared" si="3"/>
        <v>1.3132338451240511E-3</v>
      </c>
    </row>
    <row r="52" spans="1:23">
      <c r="A52" s="1815">
        <f>A51</f>
        <v>10000</v>
      </c>
      <c r="C52" s="1815">
        <f>C51</f>
        <v>3650000</v>
      </c>
      <c r="E52" s="1767">
        <v>0.5</v>
      </c>
      <c r="F52" s="1767">
        <f>('Large Profile'!$M$6)/('Large Profile'!$E$6)*E52</f>
        <v>0.39865224961679729</v>
      </c>
      <c r="G52" s="1767">
        <f>('Large Profile'!$Q$6)/('Large Profile'!$I$6)*E52</f>
        <v>0.24659336934885218</v>
      </c>
      <c r="I52" s="1797">
        <f t="shared" si="21"/>
        <v>354754.55</v>
      </c>
      <c r="J52" s="1797"/>
      <c r="K52" s="1797">
        <f t="shared" si="22"/>
        <v>355543.27</v>
      </c>
      <c r="L52" s="1797"/>
      <c r="M52" s="1797">
        <f t="shared" si="0"/>
        <v>788.72000000003027</v>
      </c>
      <c r="O52" s="1814">
        <f t="shared" si="1"/>
        <v>2.2232836759952246E-3</v>
      </c>
      <c r="Q52" s="1797">
        <f t="shared" si="6"/>
        <v>238642.94</v>
      </c>
      <c r="R52" s="1797"/>
      <c r="S52" s="1797">
        <f t="shared" si="23"/>
        <v>238963.33</v>
      </c>
      <c r="T52" s="1797"/>
      <c r="U52" s="1797">
        <f t="shared" si="2"/>
        <v>320.38999999998487</v>
      </c>
      <c r="W52" s="1814">
        <f t="shared" si="3"/>
        <v>1.3425496685550709E-3</v>
      </c>
    </row>
    <row r="53" spans="1:23">
      <c r="A53" s="1815">
        <f>A52</f>
        <v>10000</v>
      </c>
      <c r="C53" s="1815">
        <f>C52</f>
        <v>3650000</v>
      </c>
      <c r="E53" s="1767">
        <v>0.4</v>
      </c>
      <c r="F53" s="1767">
        <f>('Large Profile'!$M$6)/('Large Profile'!$E$6)*E53</f>
        <v>0.31892179969343787</v>
      </c>
      <c r="G53" s="1767">
        <f>('Large Profile'!$Q$6)/('Large Profile'!$I$6)*E53</f>
        <v>0.19727469547908175</v>
      </c>
      <c r="I53" s="1797">
        <f t="shared" si="21"/>
        <v>346149.37</v>
      </c>
      <c r="J53" s="1797"/>
      <c r="K53" s="1797">
        <f t="shared" si="22"/>
        <v>346939.56</v>
      </c>
      <c r="L53" s="1797"/>
      <c r="M53" s="1797">
        <f t="shared" si="0"/>
        <v>790.19000000000233</v>
      </c>
      <c r="O53" s="1814">
        <f t="shared" si="1"/>
        <v>2.2828006302597625E-3</v>
      </c>
      <c r="Q53" s="1797">
        <f t="shared" si="6"/>
        <v>233932.42</v>
      </c>
      <c r="R53" s="1797"/>
      <c r="S53" s="1797">
        <f t="shared" si="23"/>
        <v>234253.61</v>
      </c>
      <c r="T53" s="1797"/>
      <c r="U53" s="1797">
        <f t="shared" si="2"/>
        <v>321.18999999997322</v>
      </c>
      <c r="W53" s="1814">
        <f t="shared" si="3"/>
        <v>1.3730033656726981E-3</v>
      </c>
    </row>
    <row r="54" spans="1:23">
      <c r="A54" s="1815">
        <f>A53</f>
        <v>10000</v>
      </c>
      <c r="C54" s="1707">
        <f>A51*0.7*730</f>
        <v>5110000</v>
      </c>
      <c r="E54" s="1767">
        <f t="shared" ref="E54:E59" si="24">E51</f>
        <v>0.6</v>
      </c>
      <c r="F54" s="1767">
        <f>('Large Profile'!$M$6)/('Large Profile'!$E$6)*E54</f>
        <v>0.47838269954015672</v>
      </c>
      <c r="G54" s="1767">
        <f>('Large Profile'!$Q$6)/('Large Profile'!$I$6)*E54</f>
        <v>0.29591204321862258</v>
      </c>
      <c r="I54" s="1797">
        <f t="shared" si="21"/>
        <v>428637.87</v>
      </c>
      <c r="J54" s="1797"/>
      <c r="K54" s="1797">
        <f t="shared" si="22"/>
        <v>429413.96</v>
      </c>
      <c r="L54" s="1797"/>
      <c r="M54" s="1797">
        <f t="shared" si="0"/>
        <v>776.09000000002561</v>
      </c>
      <c r="O54" s="1814">
        <f t="shared" si="1"/>
        <v>1.8105959699734608E-3</v>
      </c>
      <c r="Q54" s="1797">
        <f t="shared" si="6"/>
        <v>294150.48</v>
      </c>
      <c r="R54" s="1797"/>
      <c r="S54" s="1797">
        <f t="shared" si="23"/>
        <v>294461.38</v>
      </c>
      <c r="T54" s="1797"/>
      <c r="U54" s="1797">
        <f t="shared" si="2"/>
        <v>310.90000000002328</v>
      </c>
      <c r="W54" s="1814">
        <f t="shared" si="3"/>
        <v>1.0569420114494577E-3</v>
      </c>
    </row>
    <row r="55" spans="1:23">
      <c r="A55" s="1815">
        <f>A54</f>
        <v>10000</v>
      </c>
      <c r="C55" s="1815">
        <f>C54</f>
        <v>5110000</v>
      </c>
      <c r="E55" s="1767">
        <f t="shared" si="24"/>
        <v>0.5</v>
      </c>
      <c r="F55" s="1767">
        <f>('Large Profile'!$M$6)/('Large Profile'!$E$6)*E55</f>
        <v>0.39865224961679729</v>
      </c>
      <c r="G55" s="1767">
        <f>('Large Profile'!$Q$6)/('Large Profile'!$I$6)*E55</f>
        <v>0.24659336934885218</v>
      </c>
      <c r="I55" s="1797">
        <f t="shared" si="21"/>
        <v>416590.62</v>
      </c>
      <c r="J55" s="1797"/>
      <c r="K55" s="1797">
        <f t="shared" si="22"/>
        <v>417368.76</v>
      </c>
      <c r="L55" s="1797"/>
      <c r="M55" s="1797">
        <f t="shared" si="0"/>
        <v>778.14000000001397</v>
      </c>
      <c r="O55" s="1814">
        <f t="shared" si="1"/>
        <v>1.8678769099507164E-3</v>
      </c>
      <c r="Q55" s="1797">
        <f t="shared" si="6"/>
        <v>287555.76</v>
      </c>
      <c r="R55" s="1797"/>
      <c r="S55" s="1797">
        <f t="shared" si="23"/>
        <v>287867.78000000003</v>
      </c>
      <c r="T55" s="1797"/>
      <c r="U55" s="1797">
        <f t="shared" si="2"/>
        <v>312.02000000001863</v>
      </c>
      <c r="W55" s="1814">
        <f t="shared" si="3"/>
        <v>1.0850765082919267E-3</v>
      </c>
    </row>
    <row r="56" spans="1:23">
      <c r="A56" s="1815">
        <f>A55</f>
        <v>10000</v>
      </c>
      <c r="C56" s="1815">
        <f>C55</f>
        <v>5110000</v>
      </c>
      <c r="E56" s="1767">
        <f t="shared" si="24"/>
        <v>0.4</v>
      </c>
      <c r="F56" s="1767">
        <f>('Large Profile'!$M$6)/('Large Profile'!$E$6)*E56</f>
        <v>0.31892179969343787</v>
      </c>
      <c r="G56" s="1767">
        <f>('Large Profile'!$Q$6)/('Large Profile'!$I$6)*E56</f>
        <v>0.19727469547908175</v>
      </c>
      <c r="I56" s="1797">
        <f t="shared" si="21"/>
        <v>404543.36</v>
      </c>
      <c r="J56" s="1797"/>
      <c r="K56" s="1797">
        <f t="shared" si="22"/>
        <v>405323.57</v>
      </c>
      <c r="L56" s="1797"/>
      <c r="M56" s="1797">
        <f t="shared" si="0"/>
        <v>780.21000000002095</v>
      </c>
      <c r="O56" s="1814">
        <f t="shared" si="1"/>
        <v>1.9286189742429016E-3</v>
      </c>
      <c r="Q56" s="1797">
        <f t="shared" si="6"/>
        <v>280961.03000000003</v>
      </c>
      <c r="R56" s="1797"/>
      <c r="S56" s="1797">
        <f t="shared" si="23"/>
        <v>281274.18</v>
      </c>
      <c r="T56" s="1797"/>
      <c r="U56" s="1797">
        <f t="shared" si="2"/>
        <v>313.14999999996508</v>
      </c>
      <c r="W56" s="1814">
        <f t="shared" si="3"/>
        <v>1.1145673832415603E-3</v>
      </c>
    </row>
    <row r="57" spans="1:23">
      <c r="A57" s="1815">
        <f>A54</f>
        <v>10000</v>
      </c>
      <c r="C57" s="1707">
        <f>A51*0.9*730</f>
        <v>6570000</v>
      </c>
      <c r="E57" s="1767">
        <f t="shared" si="24"/>
        <v>0.6</v>
      </c>
      <c r="F57" s="1767">
        <f>('Large Profile'!$M$6)/('Large Profile'!$E$6)*E57</f>
        <v>0.47838269954015672</v>
      </c>
      <c r="G57" s="1767">
        <f>('Large Profile'!$Q$6)/('Large Profile'!$I$6)*E57</f>
        <v>0.29591204321862258</v>
      </c>
      <c r="I57" s="1797">
        <f t="shared" si="21"/>
        <v>493916.01</v>
      </c>
      <c r="J57" s="1797"/>
      <c r="K57" s="1797">
        <f t="shared" si="22"/>
        <v>494680.94</v>
      </c>
      <c r="L57" s="1797"/>
      <c r="M57" s="1797">
        <f t="shared" si="0"/>
        <v>764.92999999999302</v>
      </c>
      <c r="O57" s="1814">
        <f t="shared" si="1"/>
        <v>1.5487046066799959E-3</v>
      </c>
      <c r="Q57" s="1797">
        <f t="shared" si="6"/>
        <v>344947.51</v>
      </c>
      <c r="R57" s="1797"/>
      <c r="S57" s="1797">
        <f t="shared" si="23"/>
        <v>345249.71</v>
      </c>
      <c r="T57" s="1797"/>
      <c r="U57" s="1797">
        <f t="shared" si="2"/>
        <v>302.20000000001164</v>
      </c>
      <c r="W57" s="1814">
        <f t="shared" si="3"/>
        <v>8.7607531940148142E-4</v>
      </c>
    </row>
    <row r="58" spans="1:23">
      <c r="A58" s="1815">
        <f>A55</f>
        <v>10000</v>
      </c>
      <c r="C58" s="1815">
        <f>C57</f>
        <v>6570000</v>
      </c>
      <c r="E58" s="1767">
        <f t="shared" si="24"/>
        <v>0.5</v>
      </c>
      <c r="F58" s="1767">
        <f>('Large Profile'!$M$6)/('Large Profile'!$E$6)*E58</f>
        <v>0.39865224961679729</v>
      </c>
      <c r="G58" s="1767">
        <f>('Large Profile'!$Q$6)/('Large Profile'!$I$6)*E58</f>
        <v>0.24659336934885218</v>
      </c>
      <c r="I58" s="1797">
        <f t="shared" si="21"/>
        <v>478426.69</v>
      </c>
      <c r="J58" s="1797"/>
      <c r="K58" s="1797">
        <f t="shared" si="22"/>
        <v>479194.26</v>
      </c>
      <c r="L58" s="1797"/>
      <c r="M58" s="1797">
        <f t="shared" si="0"/>
        <v>767.57000000000698</v>
      </c>
      <c r="O58" s="1814">
        <f t="shared" si="1"/>
        <v>1.6043628335200566E-3</v>
      </c>
      <c r="Q58" s="1797">
        <f t="shared" si="6"/>
        <v>336468.57</v>
      </c>
      <c r="R58" s="1797"/>
      <c r="S58" s="1797">
        <f t="shared" si="23"/>
        <v>336772.23</v>
      </c>
      <c r="T58" s="1797"/>
      <c r="U58" s="1797">
        <f t="shared" si="2"/>
        <v>303.65999999997439</v>
      </c>
      <c r="W58" s="1814">
        <f t="shared" si="3"/>
        <v>9.0249142735676635E-4</v>
      </c>
    </row>
    <row r="59" spans="1:23">
      <c r="A59" s="1815">
        <f>A56</f>
        <v>10000</v>
      </c>
      <c r="C59" s="1815">
        <f>C58</f>
        <v>6570000</v>
      </c>
      <c r="E59" s="1767">
        <f t="shared" si="24"/>
        <v>0.4</v>
      </c>
      <c r="F59" s="1767">
        <f>('Large Profile'!$M$6)/('Large Profile'!$E$6)*E59</f>
        <v>0.31892179969343787</v>
      </c>
      <c r="G59" s="1767">
        <f>('Large Profile'!$Q$6)/('Large Profile'!$I$6)*E59</f>
        <v>0.19727469547908175</v>
      </c>
      <c r="I59" s="1797">
        <f t="shared" si="21"/>
        <v>462937.36</v>
      </c>
      <c r="J59" s="1797"/>
      <c r="K59" s="1797">
        <f t="shared" si="22"/>
        <v>463707.58</v>
      </c>
      <c r="L59" s="1797"/>
      <c r="M59" s="1797">
        <f t="shared" si="0"/>
        <v>770.22000000003027</v>
      </c>
      <c r="O59" s="1814">
        <f t="shared" si="1"/>
        <v>1.6637672103199108E-3</v>
      </c>
      <c r="Q59" s="1797">
        <f t="shared" si="6"/>
        <v>327989.64</v>
      </c>
      <c r="R59" s="1797"/>
      <c r="S59" s="1797">
        <f>ROUND($AA$19+(($AA$20+$AA$22)*$A59+($AA$21*$A59+($AA$23*$G59+$AA$24*(1-$G59))/100*$C59)*(1+$AA$35))*(1+$AA$26)+($AA$21*$A59+($AA$23*$G59+$AA$24*(1-$G59))/100*$C59)*$AA$30+$AA$25,2)</f>
        <v>328294.74</v>
      </c>
      <c r="T59" s="1797"/>
      <c r="U59" s="1797">
        <f t="shared" si="2"/>
        <v>305.09999999997672</v>
      </c>
      <c r="W59" s="1814">
        <f t="shared" si="3"/>
        <v>9.3021230792533771E-4</v>
      </c>
    </row>
    <row r="60" spans="1:23">
      <c r="M60" s="1715"/>
      <c r="U60" s="1715"/>
    </row>
    <row r="61" spans="1:23" ht="15.75">
      <c r="A61" s="1770" t="s">
        <v>1723</v>
      </c>
      <c r="M61" s="1715"/>
      <c r="U61" s="1715"/>
    </row>
    <row r="62" spans="1:23" ht="15.75">
      <c r="A62" s="1770" t="s">
        <v>1698</v>
      </c>
      <c r="M62" s="1715"/>
      <c r="U62" s="1715"/>
    </row>
    <row r="63" spans="1:23" ht="15.75">
      <c r="A63" s="1770"/>
      <c r="M63" s="1715"/>
      <c r="U63" s="1715"/>
    </row>
    <row r="64" spans="1:23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68"/>
  <sheetViews>
    <sheetView view="pageBreakPreview" zoomScale="80" zoomScaleNormal="100" zoomScaleSheetLayoutView="80" workbookViewId="0">
      <selection activeCell="O24" sqref="O24"/>
    </sheetView>
  </sheetViews>
  <sheetFormatPr defaultColWidth="8" defaultRowHeight="12.75"/>
  <cols>
    <col min="1" max="1" width="8" style="1707" customWidth="1"/>
    <col min="2" max="2" width="0.75" style="1707" customWidth="1"/>
    <col min="3" max="3" width="9.625" style="1707" bestFit="1" customWidth="1"/>
    <col min="4" max="4" width="0.625" style="1704" customWidth="1"/>
    <col min="5" max="5" width="6.75" style="1707" bestFit="1" customWidth="1"/>
    <col min="6" max="6" width="7.75" style="1707" customWidth="1"/>
    <col min="7" max="7" width="8.625" style="1707" customWidth="1"/>
    <col min="8" max="8" width="0.75" style="1704" customWidth="1"/>
    <col min="9" max="9" width="9.25" style="1708" bestFit="1" customWidth="1"/>
    <col min="10" max="10" width="0.625" style="1704" customWidth="1"/>
    <col min="11" max="11" width="9.25" style="1708" bestFit="1" customWidth="1"/>
    <col min="12" max="12" width="1" style="1704" customWidth="1"/>
    <col min="13" max="13" width="8.125" style="1704" bestFit="1" customWidth="1"/>
    <col min="14" max="14" width="1.125" style="1704" customWidth="1"/>
    <col min="15" max="15" width="5.625" style="1704" bestFit="1" customWidth="1"/>
    <col min="16" max="16" width="1.125" style="1704" customWidth="1"/>
    <col min="17" max="17" width="9.25" style="1708" bestFit="1" customWidth="1"/>
    <col min="18" max="18" width="0.75" style="1704" customWidth="1"/>
    <col min="19" max="19" width="9.25" style="1708" bestFit="1" customWidth="1"/>
    <col min="20" max="20" width="1.125" style="1704" customWidth="1"/>
    <col min="21" max="21" width="8.125" style="1704" bestFit="1" customWidth="1"/>
    <col min="22" max="22" width="0.75" style="1704" customWidth="1"/>
    <col min="23" max="23" width="5.625" style="1704" bestFit="1" customWidth="1"/>
    <col min="24" max="24" width="3.125" style="1704" customWidth="1"/>
    <col min="25" max="25" width="16" style="1704" bestFit="1" customWidth="1"/>
    <col min="26" max="26" width="8.5" style="1704" bestFit="1" customWidth="1"/>
    <col min="27" max="27" width="10" style="1704" bestFit="1" customWidth="1"/>
    <col min="28" max="28" width="9.75" style="1704" bestFit="1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1699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1700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 ht="16.5">
      <c r="A5" s="1697" t="s">
        <v>2337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698"/>
      <c r="U5" s="1698"/>
      <c r="V5" s="1698"/>
      <c r="W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1701</v>
      </c>
      <c r="Z8" s="1725" t="s">
        <v>2335</v>
      </c>
      <c r="AA8" s="1726" t="s">
        <v>2334</v>
      </c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2335</v>
      </c>
      <c r="K10" s="1718" t="s">
        <v>2334</v>
      </c>
      <c r="M10" s="1719" t="s">
        <v>1399</v>
      </c>
      <c r="O10" s="1720" t="s">
        <v>465</v>
      </c>
      <c r="Q10" s="1717" t="s">
        <v>2335</v>
      </c>
      <c r="S10" s="1718" t="s">
        <v>2334</v>
      </c>
      <c r="U10" s="1719" t="s">
        <v>1399</v>
      </c>
      <c r="W10" s="1720" t="s">
        <v>465</v>
      </c>
      <c r="Y10" s="1736" t="s">
        <v>1678</v>
      </c>
      <c r="Z10" s="1795">
        <f>'Sch9-1'!AA10</f>
        <v>265</v>
      </c>
      <c r="AA10" s="1796">
        <f>'Blocking-Step2'!Q1479</f>
        <v>269</v>
      </c>
      <c r="AB10" s="1795"/>
      <c r="AC10" s="1814"/>
    </row>
    <row r="11" spans="1:29" ht="17.25" customHeight="1">
      <c r="A11" s="1707">
        <v>500</v>
      </c>
      <c r="C11" s="1707">
        <f>A11*0.5*730</f>
        <v>182500</v>
      </c>
      <c r="E11" s="1767">
        <v>0.6</v>
      </c>
      <c r="F11" s="1767">
        <f>('Large Profile'!$M$7)/('Large Profile'!$E$7)*E11</f>
        <v>0.41498481288338573</v>
      </c>
      <c r="G11" s="1767">
        <f>('Large Profile'!$Q$7)/('Large Profile'!$I$7)*E11</f>
        <v>0.29977417803954615</v>
      </c>
      <c r="I11" s="1797">
        <f>ROUND($Z$10+($Z$11*$A11+($Z$12*$A11+($Z$13*$F11+$Z$14*(1-$F11))/100*$C11)*(1+$Z$33))*(1+$Z$16)+($Z$12*$A11+($Z$13*$F11+$Z$14*(1-$F11))/100*$C11)*$Z$28+$Z$15,2)</f>
        <v>15883.32</v>
      </c>
      <c r="J11" s="1797"/>
      <c r="K11" s="1797">
        <f>ROUND($AA$10+($AA$11*$A11+($AA$12*$A11+($AA$13*$F11+$AA$14*(1-$F11))/100*$C11)*(1+$AA$33))*(1+$AA$16)+($AA$12*$A11+($AA$13*$F11+$AA$14*(1-$F11))/100*$C11)*$AA$28+$AA$15,2)</f>
        <v>15923.43</v>
      </c>
      <c r="L11" s="1797"/>
      <c r="M11" s="1797">
        <f t="shared" ref="M11:M59" si="0">IF(K11="","",K11-I11)</f>
        <v>40.110000000000582</v>
      </c>
      <c r="O11" s="1814">
        <f t="shared" ref="O11:O59" si="1">IF(M11="","",K11/I11-1)</f>
        <v>2.5252906823007848E-3</v>
      </c>
      <c r="Q11" s="1797">
        <f>ROUND($Z$18+($Z$19*$A11+($Z$20*$A11+($Z$21*$G11+$Z$22*(1-$G11))/100*$C11)*(1+$Z$33))*(1+$Z$24)+($Z$20*$A11+($Z$21*$G11+$Z$22*(1-$G11))/100*$C11)*$Z$28+$Z$23,2)</f>
        <v>13736.38</v>
      </c>
      <c r="R11" s="1797"/>
      <c r="S11" s="1797">
        <f>ROUND($AA$18+($AA$19*$A11+($AA$20*$A11+($AA$21*$G11+$AA$22*(1-$G11))/100*$C11)*(1+$AA$33))*(1+$AA$24)+($AA$20*$A11+($AA$21*$G11+$AA$22*(1-$G11))/100*$C11)*$AA$28+$AA$23,2)</f>
        <v>13773.76</v>
      </c>
      <c r="T11" s="1797"/>
      <c r="U11" s="1797">
        <f t="shared" ref="U11:U59" si="2">IF(S11="","",S11-Q11)</f>
        <v>37.380000000001019</v>
      </c>
      <c r="W11" s="1814">
        <f t="shared" ref="W11:W59" si="3">IF(U11="","",S11/Q11-1)</f>
        <v>2.7212409674164384E-3</v>
      </c>
      <c r="Y11" s="1736" t="s">
        <v>1694</v>
      </c>
      <c r="Z11" s="1795">
        <f>'Sch9-1'!AA11</f>
        <v>2.27</v>
      </c>
      <c r="AA11" s="1796">
        <f>'Blocking-Step2'!Q1480</f>
        <v>2.2999999999999998</v>
      </c>
      <c r="AB11" s="1795"/>
      <c r="AC11" s="1814"/>
    </row>
    <row r="12" spans="1:29">
      <c r="A12" s="1815">
        <f>A11</f>
        <v>500</v>
      </c>
      <c r="C12" s="1815">
        <f>C11</f>
        <v>182500</v>
      </c>
      <c r="E12" s="1767">
        <v>0.5</v>
      </c>
      <c r="F12" s="1767">
        <f>('Large Profile'!$M$7)/('Large Profile'!$E$7)*E12</f>
        <v>0.34582067740282146</v>
      </c>
      <c r="G12" s="1767">
        <f>('Large Profile'!$Q$7)/('Large Profile'!$I$7)*E12</f>
        <v>0.24981181503295513</v>
      </c>
      <c r="I12" s="1797">
        <f t="shared" ref="I12:I59" si="4">ROUND($Z$10+($Z$11*$A12+($Z$12*$A12+($Z$13*$F12+$Z$14*(1-$F12))/100*$C12)*(1+$Z$33))*(1+$Z$16)+($Z$12*$A12+($Z$13*$F12+$Z$14*(1-$F12))/100*$C12)*$Z$28+$Z$15,2)</f>
        <v>15551.54</v>
      </c>
      <c r="J12" s="1797"/>
      <c r="K12" s="1797">
        <f t="shared" ref="K12:K19" si="5">ROUND($AA$10+($AA$11*$A12+($AA$12*$A12+($AA$13*$F12+$AA$14*(1-$F12))/100*$C12)*(1+$AA$33))*(1+$AA$16)+($AA$12*$A12+($AA$13*$F12+$AA$14*(1-$F12))/100*$C12)*$AA$28+$AA$15,2)</f>
        <v>15591.14</v>
      </c>
      <c r="L12" s="1797"/>
      <c r="M12" s="1797">
        <f t="shared" si="0"/>
        <v>39.599999999998545</v>
      </c>
      <c r="O12" s="1814">
        <f t="shared" si="1"/>
        <v>2.5463716133578007E-3</v>
      </c>
      <c r="Q12" s="1797">
        <f t="shared" ref="Q12:Q19" si="6">ROUND($Z$18+($Z$19*$A12+($Z$20*$A12+($Z$21*$G12+$Z$22*(1-$G12))/100*$C12)*(1+$Z$33))*(1+$Z$24)+($Z$20*$A12+($Z$21*$G12+$Z$22*(1-$G12))/100*$C12)*$Z$28+$Z$23,2)</f>
        <v>13524.29</v>
      </c>
      <c r="R12" s="1797"/>
      <c r="S12" s="1797">
        <f t="shared" ref="S12:S19" si="7">ROUND($AA$18+($AA$19*$A12+($AA$20*$A12+($AA$21*$G12+$AA$22*(1-$G12))/100*$C12)*(1+$AA$33))*(1+$AA$24)+($AA$20*$A12+($AA$21*$G12+$AA$22*(1-$G12))/100*$C12)*$AA$28+$AA$23,2)</f>
        <v>13561.34</v>
      </c>
      <c r="T12" s="1797"/>
      <c r="U12" s="1797">
        <f t="shared" si="2"/>
        <v>37.049999999999272</v>
      </c>
      <c r="W12" s="1814">
        <f t="shared" si="3"/>
        <v>2.7395153460920696E-3</v>
      </c>
      <c r="Y12" s="1736" t="s">
        <v>1695</v>
      </c>
      <c r="Z12" s="1795">
        <f>'Sch9-1'!AA12</f>
        <v>14.3</v>
      </c>
      <c r="AA12" s="1796">
        <f>'Blocking-Step2'!Q1481</f>
        <v>14.48</v>
      </c>
      <c r="AB12" s="1795"/>
      <c r="AC12" s="1814"/>
    </row>
    <row r="13" spans="1:29">
      <c r="A13" s="1815">
        <f>A12</f>
        <v>500</v>
      </c>
      <c r="C13" s="1815">
        <f>C12</f>
        <v>182500</v>
      </c>
      <c r="E13" s="1767">
        <v>0.4</v>
      </c>
      <c r="F13" s="1767">
        <f>('Large Profile'!$M$7)/('Large Profile'!$E$7)*E13</f>
        <v>0.27665654192225719</v>
      </c>
      <c r="G13" s="1767">
        <f>('Large Profile'!$Q$7)/('Large Profile'!$I$7)*E13</f>
        <v>0.19984945202636412</v>
      </c>
      <c r="I13" s="1797">
        <f t="shared" si="4"/>
        <v>15219.76</v>
      </c>
      <c r="J13" s="1797"/>
      <c r="K13" s="1797">
        <f t="shared" si="5"/>
        <v>15258.84</v>
      </c>
      <c r="L13" s="1797"/>
      <c r="M13" s="1797">
        <f t="shared" si="0"/>
        <v>39.079999999999927</v>
      </c>
      <c r="O13" s="1814">
        <f t="shared" si="1"/>
        <v>2.5677146025955278E-3</v>
      </c>
      <c r="Q13" s="1797">
        <f t="shared" si="6"/>
        <v>13312.19</v>
      </c>
      <c r="R13" s="1797"/>
      <c r="S13" s="1797">
        <f t="shared" si="7"/>
        <v>13348.91</v>
      </c>
      <c r="T13" s="1797"/>
      <c r="U13" s="1797">
        <f t="shared" si="2"/>
        <v>36.719999999999345</v>
      </c>
      <c r="W13" s="1814">
        <f t="shared" si="3"/>
        <v>2.758374091715865E-3</v>
      </c>
      <c r="Y13" s="1736" t="s">
        <v>1696</v>
      </c>
      <c r="Z13" s="1799">
        <f>'Sch9-1'!AA13</f>
        <v>5.1375276421000002</v>
      </c>
      <c r="AA13" s="1800">
        <f>'Blocking-Step2'!Q1483</f>
        <v>5.2035761607</v>
      </c>
      <c r="AB13" s="1801"/>
      <c r="AC13" s="1814"/>
    </row>
    <row r="14" spans="1:29">
      <c r="A14" s="1815">
        <f>A13</f>
        <v>500</v>
      </c>
      <c r="C14" s="1707">
        <f>A11*0.7*730</f>
        <v>255500</v>
      </c>
      <c r="E14" s="1767">
        <f t="shared" ref="E14:E19" si="8">E11</f>
        <v>0.6</v>
      </c>
      <c r="F14" s="1767">
        <f>('Large Profile'!$M$7)/('Large Profile'!$E$7)*E14</f>
        <v>0.41498481288338573</v>
      </c>
      <c r="G14" s="1767">
        <f>('Large Profile'!$Q$7)/('Large Profile'!$I$7)*E14</f>
        <v>0.29977417803954615</v>
      </c>
      <c r="I14" s="1797">
        <f t="shared" si="4"/>
        <v>18663</v>
      </c>
      <c r="J14" s="1797"/>
      <c r="K14" s="1797">
        <f t="shared" si="5"/>
        <v>18707.46</v>
      </c>
      <c r="L14" s="1797"/>
      <c r="M14" s="1797">
        <f t="shared" si="0"/>
        <v>44.459999999999127</v>
      </c>
      <c r="O14" s="1814">
        <f t="shared" si="1"/>
        <v>2.3822536569682029E-3</v>
      </c>
      <c r="Q14" s="1797">
        <f t="shared" si="6"/>
        <v>16000.64</v>
      </c>
      <c r="R14" s="1797"/>
      <c r="S14" s="1797">
        <f t="shared" si="7"/>
        <v>16041.57</v>
      </c>
      <c r="T14" s="1797"/>
      <c r="U14" s="1797">
        <f t="shared" si="2"/>
        <v>40.930000000000291</v>
      </c>
      <c r="W14" s="1814">
        <f t="shared" si="3"/>
        <v>2.5580226790928862E-3</v>
      </c>
      <c r="Y14" s="1736" t="s">
        <v>1697</v>
      </c>
      <c r="Z14" s="1799">
        <f>'Sch9-1'!AA14</f>
        <v>2.611314935902</v>
      </c>
      <c r="AA14" s="1800">
        <f>'Blocking-Step2'!Q1485</f>
        <v>2.6448862361710002</v>
      </c>
      <c r="AB14" s="1801"/>
      <c r="AC14" s="1814"/>
    </row>
    <row r="15" spans="1:29">
      <c r="A15" s="1815">
        <f>A14</f>
        <v>500</v>
      </c>
      <c r="C15" s="1815">
        <f>C14</f>
        <v>255500</v>
      </c>
      <c r="E15" s="1767">
        <f t="shared" si="8"/>
        <v>0.5</v>
      </c>
      <c r="F15" s="1767">
        <f>('Large Profile'!$M$7)/('Large Profile'!$E$7)*E15</f>
        <v>0.34582067740282146</v>
      </c>
      <c r="G15" s="1767">
        <f>('Large Profile'!$Q$7)/('Large Profile'!$I$7)*E15</f>
        <v>0.24981181503295513</v>
      </c>
      <c r="I15" s="1797">
        <f t="shared" si="4"/>
        <v>18198.509999999998</v>
      </c>
      <c r="J15" s="1797"/>
      <c r="K15" s="1797">
        <f t="shared" si="5"/>
        <v>18242.25</v>
      </c>
      <c r="L15" s="1797"/>
      <c r="M15" s="1797">
        <f t="shared" si="0"/>
        <v>43.740000000001601</v>
      </c>
      <c r="O15" s="1814">
        <f t="shared" si="1"/>
        <v>2.4034934728174306E-3</v>
      </c>
      <c r="Q15" s="1797">
        <f t="shared" si="6"/>
        <v>15703.71</v>
      </c>
      <c r="R15" s="1797"/>
      <c r="S15" s="1797">
        <f t="shared" si="7"/>
        <v>15744.17</v>
      </c>
      <c r="T15" s="1797"/>
      <c r="U15" s="1797">
        <f t="shared" si="2"/>
        <v>40.460000000000946</v>
      </c>
      <c r="W15" s="1814">
        <f t="shared" si="3"/>
        <v>2.5764612311358626E-3</v>
      </c>
      <c r="Y15" s="1736" t="s">
        <v>1683</v>
      </c>
      <c r="Z15" s="1795">
        <f>'Sch9-1'!AA15</f>
        <v>50</v>
      </c>
      <c r="AA15" s="1796">
        <f>Z15</f>
        <v>50</v>
      </c>
      <c r="AB15" s="1795"/>
      <c r="AC15" s="1814"/>
    </row>
    <row r="16" spans="1:29">
      <c r="A16" s="1815">
        <f>A15</f>
        <v>500</v>
      </c>
      <c r="C16" s="1815">
        <f>C15</f>
        <v>255500</v>
      </c>
      <c r="E16" s="1767">
        <f t="shared" si="8"/>
        <v>0.4</v>
      </c>
      <c r="F16" s="1767">
        <f>('Large Profile'!$M$7)/('Large Profile'!$E$7)*E16</f>
        <v>0.27665654192225719</v>
      </c>
      <c r="G16" s="1767">
        <f>('Large Profile'!$Q$7)/('Large Profile'!$I$7)*E16</f>
        <v>0.19984945202636412</v>
      </c>
      <c r="I16" s="1797">
        <f t="shared" si="4"/>
        <v>17734.02</v>
      </c>
      <c r="J16" s="1797"/>
      <c r="K16" s="1797">
        <f t="shared" si="5"/>
        <v>17777.03</v>
      </c>
      <c r="L16" s="1797"/>
      <c r="M16" s="1797">
        <f t="shared" si="0"/>
        <v>43.009999999998399</v>
      </c>
      <c r="O16" s="1814">
        <f t="shared" si="1"/>
        <v>2.4252820285528554E-3</v>
      </c>
      <c r="Q16" s="1797">
        <f t="shared" si="6"/>
        <v>15406.78</v>
      </c>
      <c r="R16" s="1797"/>
      <c r="S16" s="1797">
        <f t="shared" si="7"/>
        <v>15446.77</v>
      </c>
      <c r="T16" s="1797"/>
      <c r="U16" s="1797">
        <f t="shared" si="2"/>
        <v>39.989999999999782</v>
      </c>
      <c r="W16" s="1814">
        <f t="shared" si="3"/>
        <v>2.5956105039468547E-3</v>
      </c>
      <c r="Y16" s="1736" t="s">
        <v>1718</v>
      </c>
      <c r="Z16" s="1803">
        <f>'Sch9-1'!AA16</f>
        <v>3.9399999999999998E-2</v>
      </c>
      <c r="AA16" s="1804">
        <f>Z16</f>
        <v>3.9399999999999998E-2</v>
      </c>
      <c r="AB16" s="1803"/>
      <c r="AC16" s="1814"/>
    </row>
    <row r="17" spans="1:29" ht="13.5">
      <c r="A17" s="1815">
        <f>A14</f>
        <v>500</v>
      </c>
      <c r="C17" s="1707">
        <f>A11*0.9*730</f>
        <v>328500</v>
      </c>
      <c r="E17" s="1767">
        <f t="shared" si="8"/>
        <v>0.6</v>
      </c>
      <c r="F17" s="1767">
        <f>('Large Profile'!$M$7)/('Large Profile'!$E$7)*E17</f>
        <v>0.41498481288338573</v>
      </c>
      <c r="G17" s="1767">
        <f>('Large Profile'!$Q$7)/('Large Profile'!$I$7)*E17</f>
        <v>0.29977417803954615</v>
      </c>
      <c r="I17" s="1797">
        <f t="shared" si="4"/>
        <v>21442.68</v>
      </c>
      <c r="J17" s="1797"/>
      <c r="K17" s="1797">
        <f t="shared" si="5"/>
        <v>21491.49</v>
      </c>
      <c r="L17" s="1797"/>
      <c r="M17" s="1797">
        <f t="shared" si="0"/>
        <v>48.81000000000131</v>
      </c>
      <c r="O17" s="1814">
        <f t="shared" si="1"/>
        <v>2.2763012832351937E-3</v>
      </c>
      <c r="Q17" s="1797">
        <f t="shared" si="6"/>
        <v>18264.900000000001</v>
      </c>
      <c r="R17" s="1797"/>
      <c r="S17" s="1797">
        <f t="shared" si="7"/>
        <v>18309.37</v>
      </c>
      <c r="T17" s="1797"/>
      <c r="U17" s="1797">
        <f t="shared" si="2"/>
        <v>44.469999999997526</v>
      </c>
      <c r="W17" s="1814">
        <f t="shared" si="3"/>
        <v>2.4347245262770212E-3</v>
      </c>
      <c r="Y17" s="1792" t="s">
        <v>80</v>
      </c>
      <c r="Z17" s="1773"/>
      <c r="AA17" s="1732"/>
      <c r="AB17" s="1773"/>
      <c r="AC17" s="1814"/>
    </row>
    <row r="18" spans="1:29">
      <c r="A18" s="1815">
        <f>A15</f>
        <v>500</v>
      </c>
      <c r="C18" s="1815">
        <f>C17</f>
        <v>328500</v>
      </c>
      <c r="E18" s="1767">
        <f t="shared" si="8"/>
        <v>0.5</v>
      </c>
      <c r="F18" s="1767">
        <f>('Large Profile'!$M$7)/('Large Profile'!$E$7)*E18</f>
        <v>0.34582067740282146</v>
      </c>
      <c r="G18" s="1767">
        <f>('Large Profile'!$Q$7)/('Large Profile'!$I$7)*E18</f>
        <v>0.24981181503295513</v>
      </c>
      <c r="I18" s="1797">
        <f t="shared" si="4"/>
        <v>20845.48</v>
      </c>
      <c r="J18" s="1797"/>
      <c r="K18" s="1797">
        <f t="shared" si="5"/>
        <v>20893.36</v>
      </c>
      <c r="L18" s="1797"/>
      <c r="M18" s="1797">
        <f t="shared" si="0"/>
        <v>47.880000000001019</v>
      </c>
      <c r="O18" s="1814">
        <f t="shared" si="1"/>
        <v>2.2969008149489323E-3</v>
      </c>
      <c r="Q18" s="1797">
        <f t="shared" si="6"/>
        <v>17883.13</v>
      </c>
      <c r="R18" s="1797"/>
      <c r="S18" s="1797">
        <f t="shared" si="7"/>
        <v>17927</v>
      </c>
      <c r="T18" s="1797"/>
      <c r="U18" s="1797">
        <f t="shared" si="2"/>
        <v>43.869999999998981</v>
      </c>
      <c r="W18" s="1814">
        <f t="shared" si="3"/>
        <v>2.4531499798972067E-3</v>
      </c>
      <c r="Y18" s="1736" t="s">
        <v>1678</v>
      </c>
      <c r="Z18" s="1773">
        <f>'Sch9-1'!AA18</f>
        <v>265</v>
      </c>
      <c r="AA18" s="1805">
        <f>AA10</f>
        <v>269</v>
      </c>
      <c r="AB18" s="1773"/>
      <c r="AC18" s="1814"/>
    </row>
    <row r="19" spans="1:29">
      <c r="A19" s="1815">
        <f>A16</f>
        <v>500</v>
      </c>
      <c r="C19" s="1815">
        <f>C18</f>
        <v>328500</v>
      </c>
      <c r="E19" s="1767">
        <f t="shared" si="8"/>
        <v>0.4</v>
      </c>
      <c r="F19" s="1767">
        <f>('Large Profile'!$M$7)/('Large Profile'!$E$7)*E19</f>
        <v>0.27665654192225719</v>
      </c>
      <c r="G19" s="1767">
        <f>('Large Profile'!$Q$7)/('Large Profile'!$I$7)*E19</f>
        <v>0.19984945202636412</v>
      </c>
      <c r="I19" s="1797">
        <f t="shared" si="4"/>
        <v>20248.28</v>
      </c>
      <c r="J19" s="1797"/>
      <c r="K19" s="1797">
        <f t="shared" si="5"/>
        <v>20295.23</v>
      </c>
      <c r="L19" s="1797"/>
      <c r="M19" s="1797">
        <f t="shared" si="0"/>
        <v>46.950000000000728</v>
      </c>
      <c r="O19" s="1814">
        <f t="shared" si="1"/>
        <v>2.3187154662025478E-3</v>
      </c>
      <c r="Q19" s="1797">
        <f t="shared" si="6"/>
        <v>17501.36</v>
      </c>
      <c r="R19" s="1797"/>
      <c r="S19" s="1797">
        <f t="shared" si="7"/>
        <v>17544.64</v>
      </c>
      <c r="T19" s="1797"/>
      <c r="U19" s="1797">
        <f t="shared" si="2"/>
        <v>43.279999999998836</v>
      </c>
      <c r="W19" s="1814">
        <f t="shared" si="3"/>
        <v>2.4729506735476914E-3</v>
      </c>
      <c r="Y19" s="1736" t="s">
        <v>1694</v>
      </c>
      <c r="Z19" s="1773">
        <f>'Sch9-1'!AA19</f>
        <v>2.27</v>
      </c>
      <c r="AA19" s="1805">
        <f>AA11</f>
        <v>2.2999999999999998</v>
      </c>
      <c r="AB19" s="1773"/>
      <c r="AC19" s="1814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1695</v>
      </c>
      <c r="Z20" s="1795">
        <f>'Sch9-1'!AA20</f>
        <v>12.65</v>
      </c>
      <c r="AA20" s="1796">
        <f>'Blocking-Step2'!Q1482</f>
        <v>12.81</v>
      </c>
      <c r="AB20" s="1795"/>
      <c r="AC20" s="1814"/>
    </row>
    <row r="21" spans="1:29">
      <c r="A21" s="1707">
        <v>1000</v>
      </c>
      <c r="C21" s="1707">
        <f>A21*0.5*730</f>
        <v>365000</v>
      </c>
      <c r="E21" s="1767">
        <v>0.6</v>
      </c>
      <c r="F21" s="1767">
        <f>('Large Profile'!$M$7)/('Large Profile'!$E$7)*E21</f>
        <v>0.41498481288338573</v>
      </c>
      <c r="G21" s="1767">
        <f>('Large Profile'!$Q$7)/('Large Profile'!$I$7)*E21</f>
        <v>0.29977417803954615</v>
      </c>
      <c r="I21" s="1797">
        <f t="shared" si="4"/>
        <v>31451.63</v>
      </c>
      <c r="J21" s="1797"/>
      <c r="K21" s="1797">
        <f t="shared" ref="K21:K29" si="9">ROUND($AA$10+($AA$11*$A21+($AA$12*$A21+($AA$13*$F21+$AA$14*(1-$F21))/100*$C21)*(1+$AA$33))*(1+$AA$16)+($AA$12*$A21+($AA$13*$F21+$AA$14*(1-$F21))/100*$C21)*$AA$28+$AA$15,2)</f>
        <v>31527.87</v>
      </c>
      <c r="L21" s="1797"/>
      <c r="M21" s="1797">
        <f t="shared" si="0"/>
        <v>76.239999999997963</v>
      </c>
      <c r="O21" s="1814">
        <f t="shared" si="1"/>
        <v>2.4240397079577924E-3</v>
      </c>
      <c r="Q21" s="1797">
        <f t="shared" ref="Q21:Q29" si="10">ROUND($Z$18+($Z$19*$A21+($Z$20*$A21+($Z$21*$G21+$Z$22*(1-$G21))/100*$C21)*(1+$Z$33))*(1+$Z$24)+($Z$20*$A21+($Z$21*$G21+$Z$22*(1-$G21))/100*$C21)*$Z$28+$Z$23,2)</f>
        <v>27157.759999999998</v>
      </c>
      <c r="R21" s="1797"/>
      <c r="S21" s="1797">
        <f t="shared" ref="S21:S29" si="11">ROUND($AA$18+($AA$19*$A21+($AA$20*$A21+($AA$21*$G21+$AA$22*(1-$G21))/100*$C21)*(1+$AA$33))*(1+$AA$24)+($AA$20*$A21+($AA$21*$G21+$AA$22*(1-$G21))/100*$C21)*$AA$28+$AA$23,2)</f>
        <v>27228.53</v>
      </c>
      <c r="T21" s="1797"/>
      <c r="U21" s="1797">
        <f t="shared" si="2"/>
        <v>70.770000000000437</v>
      </c>
      <c r="W21" s="1814">
        <f t="shared" si="3"/>
        <v>2.6058850214449869E-3</v>
      </c>
      <c r="Y21" s="1736" t="s">
        <v>1696</v>
      </c>
      <c r="Z21" s="1799">
        <f>'Sch9-1'!AA21</f>
        <v>4.5464846390269997</v>
      </c>
      <c r="AA21" s="1800">
        <f>'Blocking-Step2'!Q1484</f>
        <v>4.6049346554869999</v>
      </c>
      <c r="AB21" s="1801"/>
      <c r="AC21" s="1814"/>
    </row>
    <row r="22" spans="1:29">
      <c r="A22" s="1815">
        <f>A21</f>
        <v>1000</v>
      </c>
      <c r="C22" s="1815">
        <f>C21</f>
        <v>365000</v>
      </c>
      <c r="E22" s="1767">
        <v>0.5</v>
      </c>
      <c r="F22" s="1767">
        <f>('Large Profile'!$M$7)/('Large Profile'!$E$7)*E22</f>
        <v>0.34582067740282146</v>
      </c>
      <c r="G22" s="1767">
        <f>('Large Profile'!$Q$7)/('Large Profile'!$I$7)*E22</f>
        <v>0.24981181503295513</v>
      </c>
      <c r="I22" s="1797">
        <f t="shared" si="4"/>
        <v>30788.080000000002</v>
      </c>
      <c r="J22" s="1797"/>
      <c r="K22" s="1797">
        <f t="shared" si="9"/>
        <v>30863.279999999999</v>
      </c>
      <c r="L22" s="1797"/>
      <c r="M22" s="1797">
        <f t="shared" si="0"/>
        <v>75.19999999999709</v>
      </c>
      <c r="O22" s="1814">
        <f t="shared" si="1"/>
        <v>2.4425037222197687E-3</v>
      </c>
      <c r="Q22" s="1797">
        <f t="shared" si="10"/>
        <v>26733.57</v>
      </c>
      <c r="R22" s="1797"/>
      <c r="S22" s="1797">
        <f t="shared" si="11"/>
        <v>26803.68</v>
      </c>
      <c r="T22" s="1797"/>
      <c r="U22" s="1797">
        <f t="shared" si="2"/>
        <v>70.110000000000582</v>
      </c>
      <c r="W22" s="1814">
        <f t="shared" si="3"/>
        <v>2.622545361506079E-3</v>
      </c>
      <c r="Y22" s="1736" t="s">
        <v>1697</v>
      </c>
      <c r="Z22" s="1799">
        <f>'Sch9-1'!AA22</f>
        <v>2.310898173365</v>
      </c>
      <c r="AA22" s="1800">
        <f>'Blocking-Step2'!Q1486</f>
        <v>2.340607288647</v>
      </c>
      <c r="AB22" s="1801"/>
      <c r="AC22" s="1814"/>
    </row>
    <row r="23" spans="1:29">
      <c r="A23" s="1815">
        <f>A22</f>
        <v>1000</v>
      </c>
      <c r="C23" s="1815">
        <f>C22</f>
        <v>365000</v>
      </c>
      <c r="E23" s="1767">
        <v>0.4</v>
      </c>
      <c r="F23" s="1767">
        <f>('Large Profile'!$M$7)/('Large Profile'!$E$7)*E23</f>
        <v>0.27665654192225719</v>
      </c>
      <c r="G23" s="1767">
        <f>('Large Profile'!$Q$7)/('Large Profile'!$I$7)*E23</f>
        <v>0.19984945202636412</v>
      </c>
      <c r="I23" s="1797">
        <f t="shared" si="4"/>
        <v>30124.53</v>
      </c>
      <c r="J23" s="1797"/>
      <c r="K23" s="1797">
        <f t="shared" si="9"/>
        <v>30198.69</v>
      </c>
      <c r="L23" s="1797"/>
      <c r="M23" s="1797">
        <f t="shared" si="0"/>
        <v>74.159999999999854</v>
      </c>
      <c r="O23" s="1814">
        <f t="shared" si="1"/>
        <v>2.4617811464611172E-3</v>
      </c>
      <c r="Q23" s="1797">
        <f t="shared" si="10"/>
        <v>26309.38</v>
      </c>
      <c r="R23" s="1797"/>
      <c r="S23" s="1797">
        <f t="shared" si="11"/>
        <v>26378.82</v>
      </c>
      <c r="T23" s="1797"/>
      <c r="U23" s="1797">
        <f t="shared" si="2"/>
        <v>69.43999999999869</v>
      </c>
      <c r="W23" s="1814">
        <f t="shared" si="3"/>
        <v>2.6393628432139771E-3</v>
      </c>
      <c r="Y23" s="1736" t="s">
        <v>1683</v>
      </c>
      <c r="Z23" s="1773">
        <f>'Sch9-1'!AA23</f>
        <v>50</v>
      </c>
      <c r="AA23" s="1805">
        <f>AA15</f>
        <v>50</v>
      </c>
      <c r="AB23" s="1773"/>
      <c r="AC23" s="1814"/>
    </row>
    <row r="24" spans="1:29">
      <c r="A24" s="1815">
        <f>A23</f>
        <v>1000</v>
      </c>
      <c r="C24" s="1707">
        <f>A21*0.7*730</f>
        <v>511000</v>
      </c>
      <c r="E24" s="1767">
        <f t="shared" ref="E24:E29" si="12">E21</f>
        <v>0.6</v>
      </c>
      <c r="F24" s="1767">
        <f>('Large Profile'!$M$7)/('Large Profile'!$E$7)*E24</f>
        <v>0.41498481288338573</v>
      </c>
      <c r="G24" s="1767">
        <f>('Large Profile'!$Q$7)/('Large Profile'!$I$7)*E24</f>
        <v>0.29977417803954615</v>
      </c>
      <c r="I24" s="1797">
        <f t="shared" si="4"/>
        <v>37010.99</v>
      </c>
      <c r="J24" s="1797"/>
      <c r="K24" s="1797">
        <f t="shared" si="9"/>
        <v>37095.919999999998</v>
      </c>
      <c r="L24" s="1797"/>
      <c r="M24" s="1797">
        <f t="shared" si="0"/>
        <v>84.930000000000291</v>
      </c>
      <c r="O24" s="1814">
        <f t="shared" si="1"/>
        <v>2.2947238104140677E-3</v>
      </c>
      <c r="Q24" s="1797">
        <f t="shared" si="10"/>
        <v>31686.28</v>
      </c>
      <c r="R24" s="1797"/>
      <c r="S24" s="1797">
        <f t="shared" si="11"/>
        <v>31764.14</v>
      </c>
      <c r="T24" s="1797"/>
      <c r="U24" s="1797">
        <f t="shared" si="2"/>
        <v>77.860000000000582</v>
      </c>
      <c r="W24" s="1814">
        <f t="shared" si="3"/>
        <v>2.4572149207795491E-3</v>
      </c>
      <c r="Y24" s="1759" t="s">
        <v>1718</v>
      </c>
      <c r="Z24" s="1768">
        <f>'Sch9-1'!AA24</f>
        <v>3.9399999999999998E-2</v>
      </c>
      <c r="AA24" s="1769">
        <f>AA16</f>
        <v>3.9399999999999998E-2</v>
      </c>
      <c r="AB24" s="1752"/>
      <c r="AC24" s="1814"/>
    </row>
    <row r="25" spans="1:29">
      <c r="A25" s="1815">
        <f>A24</f>
        <v>1000</v>
      </c>
      <c r="C25" s="1815">
        <f>C24</f>
        <v>511000</v>
      </c>
      <c r="E25" s="1767">
        <f t="shared" si="12"/>
        <v>0.5</v>
      </c>
      <c r="F25" s="1767">
        <f>('Large Profile'!$M$7)/('Large Profile'!$E$7)*E25</f>
        <v>0.34582067740282146</v>
      </c>
      <c r="G25" s="1767">
        <f>('Large Profile'!$Q$7)/('Large Profile'!$I$7)*E25</f>
        <v>0.24981181503295513</v>
      </c>
      <c r="I25" s="1797">
        <f t="shared" si="4"/>
        <v>36082.019999999997</v>
      </c>
      <c r="J25" s="1797"/>
      <c r="K25" s="1797">
        <f t="shared" si="9"/>
        <v>36165.5</v>
      </c>
      <c r="L25" s="1797"/>
      <c r="M25" s="1797">
        <f t="shared" si="0"/>
        <v>83.480000000003201</v>
      </c>
      <c r="O25" s="1814">
        <f t="shared" si="1"/>
        <v>2.313617696570347E-3</v>
      </c>
      <c r="Q25" s="1797">
        <f t="shared" si="10"/>
        <v>31092.42</v>
      </c>
      <c r="R25" s="1797"/>
      <c r="S25" s="1797">
        <f t="shared" si="11"/>
        <v>31169.34</v>
      </c>
      <c r="T25" s="1797"/>
      <c r="U25" s="1797">
        <f t="shared" si="2"/>
        <v>76.920000000001892</v>
      </c>
      <c r="W25" s="1814">
        <f t="shared" si="3"/>
        <v>2.4739148641372832E-3</v>
      </c>
      <c r="AB25" s="1814"/>
    </row>
    <row r="26" spans="1:29">
      <c r="A26" s="1815">
        <f>A25</f>
        <v>1000</v>
      </c>
      <c r="C26" s="1815">
        <f>C25</f>
        <v>511000</v>
      </c>
      <c r="E26" s="1767">
        <f t="shared" si="12"/>
        <v>0.4</v>
      </c>
      <c r="F26" s="1767">
        <f>('Large Profile'!$M$7)/('Large Profile'!$E$7)*E26</f>
        <v>0.27665654192225719</v>
      </c>
      <c r="G26" s="1767">
        <f>('Large Profile'!$Q$7)/('Large Profile'!$I$7)*E26</f>
        <v>0.19984945202636412</v>
      </c>
      <c r="I26" s="1797">
        <f t="shared" si="4"/>
        <v>35153.040000000001</v>
      </c>
      <c r="J26" s="1797"/>
      <c r="K26" s="1797">
        <f t="shared" si="9"/>
        <v>35235.07</v>
      </c>
      <c r="L26" s="1797"/>
      <c r="M26" s="1797">
        <f t="shared" si="0"/>
        <v>82.029999999998836</v>
      </c>
      <c r="O26" s="1814">
        <f t="shared" si="1"/>
        <v>2.3335108428743645E-3</v>
      </c>
      <c r="Q26" s="1797">
        <f t="shared" si="10"/>
        <v>30498.560000000001</v>
      </c>
      <c r="R26" s="1797"/>
      <c r="S26" s="1797">
        <f t="shared" si="11"/>
        <v>30574.55</v>
      </c>
      <c r="T26" s="1797"/>
      <c r="U26" s="1797">
        <f t="shared" si="2"/>
        <v>75.989999999997963</v>
      </c>
      <c r="W26" s="1814">
        <f t="shared" si="3"/>
        <v>2.4915930457043434E-3</v>
      </c>
      <c r="AA26" s="1808"/>
      <c r="AB26" s="1814"/>
    </row>
    <row r="27" spans="1:29">
      <c r="A27" s="1815">
        <f>A24</f>
        <v>1000</v>
      </c>
      <c r="C27" s="1707">
        <f>A21*0.9*730</f>
        <v>657000</v>
      </c>
      <c r="E27" s="1767">
        <f t="shared" si="12"/>
        <v>0.6</v>
      </c>
      <c r="F27" s="1767">
        <f>('Large Profile'!$M$7)/('Large Profile'!$E$7)*E27</f>
        <v>0.41498481288338573</v>
      </c>
      <c r="G27" s="1767">
        <f>('Large Profile'!$Q$7)/('Large Profile'!$I$7)*E27</f>
        <v>0.29977417803954615</v>
      </c>
      <c r="I27" s="1797">
        <f t="shared" si="4"/>
        <v>42570.35</v>
      </c>
      <c r="J27" s="1797"/>
      <c r="K27" s="1797">
        <f t="shared" si="9"/>
        <v>42663.98</v>
      </c>
      <c r="L27" s="1797"/>
      <c r="M27" s="1797">
        <f t="shared" si="0"/>
        <v>93.630000000004657</v>
      </c>
      <c r="O27" s="1814">
        <f t="shared" si="1"/>
        <v>2.1994181396207679E-3</v>
      </c>
      <c r="Q27" s="1797">
        <f t="shared" si="10"/>
        <v>36214.81</v>
      </c>
      <c r="R27" s="1797"/>
      <c r="S27" s="1797">
        <f t="shared" si="11"/>
        <v>36299.74</v>
      </c>
      <c r="T27" s="1797"/>
      <c r="U27" s="1797">
        <f t="shared" si="2"/>
        <v>84.930000000000291</v>
      </c>
      <c r="W27" s="1814">
        <f t="shared" si="3"/>
        <v>2.3451731487753591E-3</v>
      </c>
      <c r="Y27" s="1704" t="s">
        <v>1684</v>
      </c>
      <c r="Z27" s="1799">
        <f>'Sch9-1'!AA27</f>
        <v>0</v>
      </c>
      <c r="AA27" s="1799">
        <v>0</v>
      </c>
      <c r="AB27" s="1814"/>
    </row>
    <row r="28" spans="1:29">
      <c r="A28" s="1815">
        <f>A25</f>
        <v>1000</v>
      </c>
      <c r="C28" s="1815">
        <f>C27</f>
        <v>657000</v>
      </c>
      <c r="E28" s="1767">
        <f t="shared" si="12"/>
        <v>0.5</v>
      </c>
      <c r="F28" s="1767">
        <f>('Large Profile'!$M$7)/('Large Profile'!$E$7)*E28</f>
        <v>0.34582067740282146</v>
      </c>
      <c r="G28" s="1767">
        <f>('Large Profile'!$Q$7)/('Large Profile'!$I$7)*E28</f>
        <v>0.24981181503295513</v>
      </c>
      <c r="I28" s="1797">
        <f t="shared" si="4"/>
        <v>41375.96</v>
      </c>
      <c r="J28" s="1797"/>
      <c r="K28" s="1797">
        <f t="shared" si="9"/>
        <v>41467.71</v>
      </c>
      <c r="L28" s="1797"/>
      <c r="M28" s="1797">
        <f t="shared" si="0"/>
        <v>91.75</v>
      </c>
      <c r="O28" s="1814">
        <f t="shared" si="1"/>
        <v>2.2174712079188197E-3</v>
      </c>
      <c r="Q28" s="1797">
        <f t="shared" si="10"/>
        <v>35451.269999999997</v>
      </c>
      <c r="R28" s="1797"/>
      <c r="S28" s="1797">
        <f t="shared" si="11"/>
        <v>35535.01</v>
      </c>
      <c r="T28" s="1797"/>
      <c r="U28" s="1797">
        <f t="shared" si="2"/>
        <v>83.740000000005239</v>
      </c>
      <c r="W28" s="1814">
        <f t="shared" si="3"/>
        <v>2.3621156590443171E-3</v>
      </c>
      <c r="Y28" s="1702" t="s">
        <v>1720</v>
      </c>
      <c r="Z28" s="1765">
        <f>'Sch9-1'!AA28</f>
        <v>-1.41E-2</v>
      </c>
      <c r="AA28" s="1808">
        <f>'Blocking-Step2'!Q1493</f>
        <v>-2.5700000000000001E-2</v>
      </c>
      <c r="AB28" s="1808"/>
    </row>
    <row r="29" spans="1:29">
      <c r="A29" s="1815">
        <f>A26</f>
        <v>1000</v>
      </c>
      <c r="C29" s="1815">
        <f>C28</f>
        <v>657000</v>
      </c>
      <c r="E29" s="1767">
        <f t="shared" si="12"/>
        <v>0.4</v>
      </c>
      <c r="F29" s="1767">
        <f>('Large Profile'!$M$7)/('Large Profile'!$E$7)*E29</f>
        <v>0.27665654192225719</v>
      </c>
      <c r="G29" s="1767">
        <f>('Large Profile'!$Q$7)/('Large Profile'!$I$7)*E29</f>
        <v>0.19984945202636412</v>
      </c>
      <c r="I29" s="1797">
        <f t="shared" si="4"/>
        <v>40181.56</v>
      </c>
      <c r="J29" s="1797"/>
      <c r="K29" s="1797">
        <f t="shared" si="9"/>
        <v>40271.449999999997</v>
      </c>
      <c r="L29" s="1797"/>
      <c r="M29" s="1797">
        <f t="shared" si="0"/>
        <v>89.889999999999418</v>
      </c>
      <c r="O29" s="1814">
        <f t="shared" si="1"/>
        <v>2.2370958220636616E-3</v>
      </c>
      <c r="Q29" s="1797">
        <f t="shared" si="10"/>
        <v>34687.730000000003</v>
      </c>
      <c r="R29" s="1797"/>
      <c r="S29" s="1797">
        <f t="shared" si="11"/>
        <v>34770.269999999997</v>
      </c>
      <c r="T29" s="1797"/>
      <c r="U29" s="1797">
        <f t="shared" si="2"/>
        <v>82.539999999993597</v>
      </c>
      <c r="W29" s="1814">
        <f t="shared" si="3"/>
        <v>2.3795157538413214E-3</v>
      </c>
      <c r="Y29" s="1702" t="s">
        <v>1721</v>
      </c>
      <c r="Z29" s="1765">
        <f>'Sch9-1'!AA29</f>
        <v>3.8999999999999998E-3</v>
      </c>
      <c r="AA29" s="1808">
        <f>Z29</f>
        <v>3.8999999999999998E-3</v>
      </c>
      <c r="AB29" s="1814"/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1722</v>
      </c>
      <c r="Z30" s="1803">
        <f>'Sch9-1'!AA30</f>
        <v>3.5499999999999997E-2</v>
      </c>
      <c r="AA30" s="1808">
        <f>Z30</f>
        <v>3.5499999999999997E-2</v>
      </c>
      <c r="AB30" s="1814"/>
    </row>
    <row r="31" spans="1:29">
      <c r="A31" s="1707">
        <v>2000</v>
      </c>
      <c r="C31" s="1707">
        <f>A31*0.5*730</f>
        <v>730000</v>
      </c>
      <c r="E31" s="1767">
        <v>0.6</v>
      </c>
      <c r="F31" s="1767">
        <f>('Large Profile'!$M$7)/('Large Profile'!$E$7)*E31</f>
        <v>0.41498481288338573</v>
      </c>
      <c r="G31" s="1767">
        <f>('Large Profile'!$Q$7)/('Large Profile'!$I$7)*E31</f>
        <v>0.29977417803954615</v>
      </c>
      <c r="I31" s="1797">
        <f t="shared" si="4"/>
        <v>62588.26</v>
      </c>
      <c r="J31" s="1797"/>
      <c r="K31" s="1797">
        <f t="shared" ref="K31:K39" si="13">ROUND($AA$10+($AA$11*$A31+($AA$12*$A31+($AA$13*$F31+$AA$14*(1-$F31))/100*$C31)*(1+$AA$33))*(1+$AA$16)+($AA$12*$A31+($AA$13*$F31+$AA$14*(1-$F31))/100*$C31)*$AA$28+$AA$15,2)</f>
        <v>62736.74</v>
      </c>
      <c r="L31" s="1797"/>
      <c r="M31" s="1797">
        <f t="shared" si="0"/>
        <v>148.47999999999593</v>
      </c>
      <c r="O31" s="1814">
        <f t="shared" si="1"/>
        <v>2.3723298906215273E-3</v>
      </c>
      <c r="Q31" s="1797">
        <f t="shared" ref="Q31:Q39" si="14">ROUND($Z$18+($Z$19*$A31+($Z$20*$A31+($Z$21*$G31+$Z$22*(1-$G31))/100*$C31)*(1+$Z$33))*(1+$Z$24)+($Z$20*$A31+($Z$21*$G31+$Z$22*(1-$G31))/100*$C31)*$Z$28+$Z$23,2)</f>
        <v>54000.52</v>
      </c>
      <c r="R31" s="1797"/>
      <c r="S31" s="1797">
        <f t="shared" ref="S31:S39" si="15">ROUND($AA$18+($AA$19*$A31+($AA$20*$A31+($AA$21*$G31+$AA$22*(1-$G31))/100*$C31)*(1+$AA$33))*(1+$AA$24)+($AA$20*$A31+($AA$21*$G31+$AA$22*(1-$G31))/100*$C31)*$AA$28+$AA$23,2)</f>
        <v>54138.06</v>
      </c>
      <c r="T31" s="1797"/>
      <c r="U31" s="1797">
        <f t="shared" si="2"/>
        <v>137.54000000000087</v>
      </c>
      <c r="W31" s="1814">
        <f t="shared" si="3"/>
        <v>2.5470125102500241E-3</v>
      </c>
      <c r="Y31" s="1704" t="s">
        <v>1685</v>
      </c>
      <c r="Z31" s="1765">
        <f>'Sch9-1'!AA31</f>
        <v>1.3899999999999999E-2</v>
      </c>
      <c r="AA31" s="1809">
        <f>Z31</f>
        <v>1.3899999999999999E-2</v>
      </c>
      <c r="AB31" s="1814"/>
    </row>
    <row r="32" spans="1:29">
      <c r="A32" s="1815">
        <f>A31</f>
        <v>2000</v>
      </c>
      <c r="C32" s="1815">
        <f>C31</f>
        <v>730000</v>
      </c>
      <c r="E32" s="1767">
        <v>0.5</v>
      </c>
      <c r="F32" s="1767">
        <f>('Large Profile'!$M$7)/('Large Profile'!$E$7)*E32</f>
        <v>0.34582067740282146</v>
      </c>
      <c r="G32" s="1767">
        <f>('Large Profile'!$Q$7)/('Large Profile'!$I$7)*E32</f>
        <v>0.24981181503295513</v>
      </c>
      <c r="I32" s="1797">
        <f t="shared" si="4"/>
        <v>61261.16</v>
      </c>
      <c r="J32" s="1797"/>
      <c r="K32" s="1797">
        <f t="shared" si="13"/>
        <v>61407.56</v>
      </c>
      <c r="L32" s="1797"/>
      <c r="M32" s="1797">
        <f t="shared" si="0"/>
        <v>146.39999999999418</v>
      </c>
      <c r="O32" s="1814">
        <f t="shared" si="1"/>
        <v>2.3897686560292453E-3</v>
      </c>
      <c r="Q32" s="1797">
        <f t="shared" si="14"/>
        <v>53152.14</v>
      </c>
      <c r="R32" s="1797"/>
      <c r="S32" s="1797">
        <f t="shared" si="15"/>
        <v>53288.35</v>
      </c>
      <c r="T32" s="1797"/>
      <c r="U32" s="1797">
        <f t="shared" si="2"/>
        <v>136.20999999999913</v>
      </c>
      <c r="W32" s="1814">
        <f t="shared" si="3"/>
        <v>2.5626437618504472E-3</v>
      </c>
      <c r="Y32" s="1704" t="s">
        <v>1686</v>
      </c>
      <c r="Z32" s="1765">
        <f>'Sch9-1'!AA32</f>
        <v>6.9999999999999999E-4</v>
      </c>
      <c r="AA32" s="1809">
        <f>Z32</f>
        <v>6.9999999999999999E-4</v>
      </c>
      <c r="AB32" s="1814"/>
    </row>
    <row r="33" spans="1:28">
      <c r="A33" s="1815">
        <f>A32</f>
        <v>2000</v>
      </c>
      <c r="C33" s="1815">
        <f>C32</f>
        <v>730000</v>
      </c>
      <c r="E33" s="1767">
        <v>0.4</v>
      </c>
      <c r="F33" s="1767">
        <f>('Large Profile'!$M$7)/('Large Profile'!$E$7)*E33</f>
        <v>0.27665654192225719</v>
      </c>
      <c r="G33" s="1767">
        <f>('Large Profile'!$Q$7)/('Large Profile'!$I$7)*E33</f>
        <v>0.19984945202636412</v>
      </c>
      <c r="I33" s="1797">
        <f t="shared" si="4"/>
        <v>59934.05</v>
      </c>
      <c r="J33" s="1797"/>
      <c r="K33" s="1797">
        <f t="shared" si="13"/>
        <v>60078.37</v>
      </c>
      <c r="L33" s="1797"/>
      <c r="M33" s="1797">
        <f t="shared" si="0"/>
        <v>144.31999999999971</v>
      </c>
      <c r="O33" s="1814">
        <f t="shared" si="1"/>
        <v>2.4079801047984795E-3</v>
      </c>
      <c r="Q33" s="1797">
        <f t="shared" si="14"/>
        <v>52303.76</v>
      </c>
      <c r="R33" s="1797"/>
      <c r="S33" s="1797">
        <f t="shared" si="15"/>
        <v>52438.65</v>
      </c>
      <c r="T33" s="1797"/>
      <c r="U33" s="1797">
        <f t="shared" si="2"/>
        <v>134.88999999999942</v>
      </c>
      <c r="W33" s="1814">
        <f t="shared" si="3"/>
        <v>2.5789732898744422E-3</v>
      </c>
      <c r="Y33" s="1702" t="s">
        <v>1687</v>
      </c>
      <c r="Z33" s="1752">
        <f>SUM(Z31:Z32)</f>
        <v>1.4599999999999998E-2</v>
      </c>
      <c r="AA33" s="1752">
        <f>SUM(AA31:AA32)</f>
        <v>1.4599999999999998E-2</v>
      </c>
      <c r="AB33" s="1814"/>
    </row>
    <row r="34" spans="1:28">
      <c r="A34" s="1815">
        <f>A33</f>
        <v>2000</v>
      </c>
      <c r="C34" s="1707">
        <f>A31*0.7*730</f>
        <v>1022000</v>
      </c>
      <c r="E34" s="1767">
        <f t="shared" ref="E34:E39" si="16">E31</f>
        <v>0.6</v>
      </c>
      <c r="F34" s="1767">
        <f>('Large Profile'!$M$7)/('Large Profile'!$E$7)*E34</f>
        <v>0.41498481288338573</v>
      </c>
      <c r="G34" s="1767">
        <f>('Large Profile'!$Q$7)/('Large Profile'!$I$7)*E34</f>
        <v>0.29977417803954615</v>
      </c>
      <c r="I34" s="1797">
        <f t="shared" si="4"/>
        <v>73706.98</v>
      </c>
      <c r="J34" s="1797"/>
      <c r="K34" s="1797">
        <f t="shared" si="13"/>
        <v>73872.850000000006</v>
      </c>
      <c r="L34" s="1797"/>
      <c r="M34" s="1797">
        <f t="shared" si="0"/>
        <v>165.8700000000099</v>
      </c>
      <c r="O34" s="1814">
        <f t="shared" si="1"/>
        <v>2.2503974521816961E-3</v>
      </c>
      <c r="Q34" s="1797">
        <f t="shared" si="14"/>
        <v>63057.57</v>
      </c>
      <c r="R34" s="1797"/>
      <c r="S34" s="1797">
        <f t="shared" si="15"/>
        <v>63209.27</v>
      </c>
      <c r="T34" s="1797"/>
      <c r="U34" s="1797">
        <f t="shared" si="2"/>
        <v>151.69999999999709</v>
      </c>
      <c r="W34" s="1814">
        <f t="shared" si="3"/>
        <v>2.4057381215292217E-3</v>
      </c>
      <c r="AB34" s="1814"/>
    </row>
    <row r="35" spans="1:28">
      <c r="A35" s="1815">
        <f>A34</f>
        <v>2000</v>
      </c>
      <c r="C35" s="1815">
        <f>C34</f>
        <v>1022000</v>
      </c>
      <c r="E35" s="1767">
        <f t="shared" si="16"/>
        <v>0.5</v>
      </c>
      <c r="F35" s="1767">
        <f>('Large Profile'!$M$7)/('Large Profile'!$E$7)*E35</f>
        <v>0.34582067740282146</v>
      </c>
      <c r="G35" s="1767">
        <f>('Large Profile'!$Q$7)/('Large Profile'!$I$7)*E35</f>
        <v>0.24981181503295513</v>
      </c>
      <c r="I35" s="1797">
        <f t="shared" si="4"/>
        <v>71849.03</v>
      </c>
      <c r="J35" s="1797"/>
      <c r="K35" s="1797">
        <f t="shared" si="13"/>
        <v>72011.990000000005</v>
      </c>
      <c r="L35" s="1797"/>
      <c r="M35" s="1797">
        <f t="shared" si="0"/>
        <v>162.9600000000064</v>
      </c>
      <c r="O35" s="1814">
        <f t="shared" si="1"/>
        <v>2.2680890751065608E-3</v>
      </c>
      <c r="Q35" s="1797">
        <f t="shared" si="14"/>
        <v>61869.84</v>
      </c>
      <c r="R35" s="1797"/>
      <c r="S35" s="1797">
        <f t="shared" si="15"/>
        <v>62019.68</v>
      </c>
      <c r="T35" s="1797"/>
      <c r="U35" s="1797">
        <f t="shared" si="2"/>
        <v>149.84000000000378</v>
      </c>
      <c r="W35" s="1814">
        <f t="shared" si="3"/>
        <v>2.4218585339803589E-3</v>
      </c>
      <c r="AB35" s="1814"/>
    </row>
    <row r="36" spans="1:28">
      <c r="A36" s="1815">
        <f>A35</f>
        <v>2000</v>
      </c>
      <c r="C36" s="1815">
        <f>C35</f>
        <v>1022000</v>
      </c>
      <c r="E36" s="1767">
        <f t="shared" si="16"/>
        <v>0.4</v>
      </c>
      <c r="F36" s="1767">
        <f>('Large Profile'!$M$7)/('Large Profile'!$E$7)*E36</f>
        <v>0.27665654192225719</v>
      </c>
      <c r="G36" s="1767">
        <f>('Large Profile'!$Q$7)/('Large Profile'!$I$7)*E36</f>
        <v>0.19984945202636412</v>
      </c>
      <c r="I36" s="1797">
        <f t="shared" si="4"/>
        <v>69991.09</v>
      </c>
      <c r="J36" s="1797"/>
      <c r="K36" s="1797">
        <f t="shared" si="13"/>
        <v>70151.14</v>
      </c>
      <c r="L36" s="1797"/>
      <c r="M36" s="1797">
        <f t="shared" si="0"/>
        <v>160.05000000000291</v>
      </c>
      <c r="O36" s="1814">
        <f t="shared" si="1"/>
        <v>2.2867196381710642E-3</v>
      </c>
      <c r="Q36" s="1797">
        <f t="shared" si="14"/>
        <v>60682.11</v>
      </c>
      <c r="R36" s="1797"/>
      <c r="S36" s="1797">
        <f t="shared" si="15"/>
        <v>60830.1</v>
      </c>
      <c r="T36" s="1797"/>
      <c r="U36" s="1797">
        <f t="shared" si="2"/>
        <v>147.98999999999796</v>
      </c>
      <c r="W36" s="1814">
        <f t="shared" si="3"/>
        <v>2.4387747888132694E-3</v>
      </c>
      <c r="AB36" s="1814"/>
    </row>
    <row r="37" spans="1:28">
      <c r="A37" s="1815">
        <f>A34</f>
        <v>2000</v>
      </c>
      <c r="C37" s="1707">
        <f>A31*0.9*730</f>
        <v>1314000</v>
      </c>
      <c r="E37" s="1767">
        <f t="shared" si="16"/>
        <v>0.6</v>
      </c>
      <c r="F37" s="1767">
        <f>('Large Profile'!$M$7)/('Large Profile'!$E$7)*E37</f>
        <v>0.41498481288338573</v>
      </c>
      <c r="G37" s="1767">
        <f>('Large Profile'!$Q$7)/('Large Profile'!$I$7)*E37</f>
        <v>0.29977417803954615</v>
      </c>
      <c r="I37" s="1797">
        <f t="shared" si="4"/>
        <v>84825.7</v>
      </c>
      <c r="J37" s="1797"/>
      <c r="K37" s="1797">
        <f t="shared" si="13"/>
        <v>85008.95</v>
      </c>
      <c r="L37" s="1797"/>
      <c r="M37" s="1797">
        <f t="shared" si="0"/>
        <v>183.25</v>
      </c>
      <c r="O37" s="1814">
        <f t="shared" si="1"/>
        <v>2.1603122638540473E-3</v>
      </c>
      <c r="Q37" s="1797">
        <f t="shared" si="14"/>
        <v>72114.62</v>
      </c>
      <c r="R37" s="1797"/>
      <c r="S37" s="1797">
        <f t="shared" si="15"/>
        <v>72280.479999999996</v>
      </c>
      <c r="T37" s="1797"/>
      <c r="U37" s="1797">
        <f t="shared" si="2"/>
        <v>165.86000000000058</v>
      </c>
      <c r="W37" s="1814">
        <f t="shared" si="3"/>
        <v>2.2999497189335472E-3</v>
      </c>
      <c r="AB37" s="1814"/>
    </row>
    <row r="38" spans="1:28">
      <c r="A38" s="1815">
        <f>A35</f>
        <v>2000</v>
      </c>
      <c r="C38" s="1815">
        <f>C37</f>
        <v>1314000</v>
      </c>
      <c r="E38" s="1767">
        <f t="shared" si="16"/>
        <v>0.5</v>
      </c>
      <c r="F38" s="1767">
        <f>('Large Profile'!$M$7)/('Large Profile'!$E$7)*E38</f>
        <v>0.34582067740282146</v>
      </c>
      <c r="G38" s="1767">
        <f>('Large Profile'!$Q$7)/('Large Profile'!$I$7)*E38</f>
        <v>0.24981181503295513</v>
      </c>
      <c r="I38" s="1797">
        <f t="shared" si="4"/>
        <v>82436.91</v>
      </c>
      <c r="J38" s="1797"/>
      <c r="K38" s="1797">
        <f t="shared" si="13"/>
        <v>82616.429999999993</v>
      </c>
      <c r="L38" s="1797"/>
      <c r="M38" s="1797">
        <f t="shared" si="0"/>
        <v>179.51999999998952</v>
      </c>
      <c r="O38" s="1814">
        <f t="shared" si="1"/>
        <v>2.1776653200609175E-3</v>
      </c>
      <c r="Q38" s="1797">
        <f t="shared" si="14"/>
        <v>70587.539999999994</v>
      </c>
      <c r="R38" s="1797"/>
      <c r="S38" s="1797">
        <f t="shared" si="15"/>
        <v>70751.02</v>
      </c>
      <c r="T38" s="1797"/>
      <c r="U38" s="1797">
        <f t="shared" si="2"/>
        <v>163.48000000001048</v>
      </c>
      <c r="W38" s="1814">
        <f t="shared" si="3"/>
        <v>2.3159894791631164E-3</v>
      </c>
      <c r="AB38" s="1814"/>
    </row>
    <row r="39" spans="1:28">
      <c r="A39" s="1815">
        <f>A36</f>
        <v>2000</v>
      </c>
      <c r="C39" s="1815">
        <f>C38</f>
        <v>1314000</v>
      </c>
      <c r="E39" s="1767">
        <f t="shared" si="16"/>
        <v>0.4</v>
      </c>
      <c r="F39" s="1767">
        <f>('Large Profile'!$M$7)/('Large Profile'!$E$7)*E39</f>
        <v>0.27665654192225719</v>
      </c>
      <c r="G39" s="1767">
        <f>('Large Profile'!$Q$7)/('Large Profile'!$I$7)*E39</f>
        <v>0.19984945202636412</v>
      </c>
      <c r="I39" s="1797">
        <f t="shared" si="4"/>
        <v>80048.12</v>
      </c>
      <c r="J39" s="1797"/>
      <c r="K39" s="1797">
        <f t="shared" si="13"/>
        <v>80223.899999999994</v>
      </c>
      <c r="L39" s="1797"/>
      <c r="M39" s="1797">
        <f t="shared" si="0"/>
        <v>175.77999999999884</v>
      </c>
      <c r="O39" s="1814">
        <f t="shared" si="1"/>
        <v>2.195929148617104E-3</v>
      </c>
      <c r="Q39" s="1797">
        <f t="shared" si="14"/>
        <v>69060.460000000006</v>
      </c>
      <c r="R39" s="1797"/>
      <c r="S39" s="1797">
        <f t="shared" si="15"/>
        <v>69221.55</v>
      </c>
      <c r="T39" s="1797"/>
      <c r="U39" s="1797">
        <f t="shared" si="2"/>
        <v>161.08999999999651</v>
      </c>
      <c r="W39" s="1814">
        <f t="shared" si="3"/>
        <v>2.3325937881095715E-3</v>
      </c>
      <c r="AB39" s="1814"/>
    </row>
    <row r="40" spans="1:28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  <c r="AB40" s="1814"/>
    </row>
    <row r="41" spans="1:28">
      <c r="A41" s="1707">
        <v>4000</v>
      </c>
      <c r="C41" s="1707">
        <f>A41*0.5*730</f>
        <v>1460000</v>
      </c>
      <c r="E41" s="1767">
        <v>0.6</v>
      </c>
      <c r="F41" s="1767">
        <f>('Large Profile'!$M$7)/('Large Profile'!$E$7)*E41</f>
        <v>0.41498481288338573</v>
      </c>
      <c r="G41" s="1767">
        <f>('Large Profile'!$Q$7)/('Large Profile'!$I$7)*E41</f>
        <v>0.29977417803954615</v>
      </c>
      <c r="I41" s="1797">
        <f t="shared" si="4"/>
        <v>124861.53</v>
      </c>
      <c r="J41" s="1797"/>
      <c r="K41" s="1797">
        <f t="shared" ref="K41:K49" si="17">ROUND($AA$10+($AA$11*$A41+($AA$12*$A41+($AA$13*$F41+$AA$14*(1-$F41))/100*$C41)*(1+$AA$33))*(1+$AA$16)+($AA$12*$A41+($AA$13*$F41+$AA$14*(1-$F41))/100*$C41)*$AA$28+$AA$15,2)</f>
        <v>125154.47</v>
      </c>
      <c r="L41" s="1797"/>
      <c r="M41" s="1797">
        <f t="shared" si="0"/>
        <v>292.94000000000233</v>
      </c>
      <c r="O41" s="1814">
        <f t="shared" si="1"/>
        <v>2.3461189367133262E-3</v>
      </c>
      <c r="Q41" s="1797">
        <f t="shared" ref="Q41:Q49" si="18">ROUND($Z$18+($Z$19*$A41+($Z$20*$A41+($Z$21*$G41+$Z$22*(1-$G41))/100*$C41)*(1+$Z$33))*(1+$Z$24)+($Z$20*$A41+($Z$21*$G41+$Z$22*(1-$G41))/100*$C41)*$Z$28+$Z$23,2)</f>
        <v>107686.04</v>
      </c>
      <c r="R41" s="1797"/>
      <c r="S41" s="1797">
        <f t="shared" ref="S41:S49" si="19">ROUND($AA$18+($AA$19*$A41+($AA$20*$A41+($AA$21*$G41+$AA$22*(1-$G41))/100*$C41)*(1+$AA$33))*(1+$AA$24)+($AA$20*$A41+($AA$21*$G41+$AA$22*(1-$G41))/100*$C41)*$AA$28+$AA$23,2)</f>
        <v>107957.11</v>
      </c>
      <c r="T41" s="1797"/>
      <c r="U41" s="1797">
        <f t="shared" si="2"/>
        <v>271.07000000000698</v>
      </c>
      <c r="V41" s="1818"/>
      <c r="W41" s="1814">
        <f t="shared" si="3"/>
        <v>2.5172250739280422E-3</v>
      </c>
      <c r="AB41" s="1814"/>
    </row>
    <row r="42" spans="1:28">
      <c r="A42" s="1815">
        <f>A41</f>
        <v>4000</v>
      </c>
      <c r="C42" s="1815">
        <f>C41</f>
        <v>1460000</v>
      </c>
      <c r="E42" s="1767">
        <v>0.5</v>
      </c>
      <c r="F42" s="1767">
        <f>('Large Profile'!$M$7)/('Large Profile'!$E$7)*E42</f>
        <v>0.34582067740282146</v>
      </c>
      <c r="G42" s="1767">
        <f>('Large Profile'!$Q$7)/('Large Profile'!$I$7)*E42</f>
        <v>0.24981181503295513</v>
      </c>
      <c r="I42" s="1797">
        <f t="shared" si="4"/>
        <v>122207.32</v>
      </c>
      <c r="J42" s="1797"/>
      <c r="K42" s="1797">
        <f t="shared" si="17"/>
        <v>122496.11</v>
      </c>
      <c r="L42" s="1797"/>
      <c r="M42" s="1797">
        <f t="shared" si="0"/>
        <v>288.7899999999936</v>
      </c>
      <c r="O42" s="1814">
        <f t="shared" si="1"/>
        <v>2.3631154009431388E-3</v>
      </c>
      <c r="Q42" s="1797">
        <f t="shared" si="18"/>
        <v>105989.28</v>
      </c>
      <c r="R42" s="1797"/>
      <c r="S42" s="1797">
        <f t="shared" si="19"/>
        <v>106257.71</v>
      </c>
      <c r="T42" s="1797"/>
      <c r="U42" s="1797">
        <f t="shared" si="2"/>
        <v>268.43000000000757</v>
      </c>
      <c r="V42" s="1818"/>
      <c r="W42" s="1814">
        <f t="shared" si="3"/>
        <v>2.5326146191388954E-3</v>
      </c>
      <c r="AB42" s="1814"/>
    </row>
    <row r="43" spans="1:28">
      <c r="A43" s="1815">
        <f>A42</f>
        <v>4000</v>
      </c>
      <c r="C43" s="1815">
        <f>C42</f>
        <v>1460000</v>
      </c>
      <c r="E43" s="1767">
        <v>0.4</v>
      </c>
      <c r="F43" s="1767">
        <f>('Large Profile'!$M$7)/('Large Profile'!$E$7)*E43</f>
        <v>0.27665654192225719</v>
      </c>
      <c r="G43" s="1767">
        <f>('Large Profile'!$Q$7)/('Large Profile'!$I$7)*E43</f>
        <v>0.19984945202636412</v>
      </c>
      <c r="I43" s="1797">
        <f t="shared" si="4"/>
        <v>119553.11</v>
      </c>
      <c r="J43" s="1797"/>
      <c r="K43" s="1797">
        <f t="shared" si="17"/>
        <v>119837.75</v>
      </c>
      <c r="L43" s="1797"/>
      <c r="M43" s="1797">
        <f t="shared" si="0"/>
        <v>284.63999999999942</v>
      </c>
      <c r="O43" s="1814">
        <f t="shared" si="1"/>
        <v>2.3808665454205791E-3</v>
      </c>
      <c r="Q43" s="1797">
        <f t="shared" si="18"/>
        <v>104292.53</v>
      </c>
      <c r="R43" s="1797"/>
      <c r="S43" s="1797">
        <f t="shared" si="19"/>
        <v>104558.3</v>
      </c>
      <c r="T43" s="1797"/>
      <c r="U43" s="1797">
        <f t="shared" si="2"/>
        <v>265.77000000000407</v>
      </c>
      <c r="V43" s="1818"/>
      <c r="W43" s="1814">
        <f t="shared" si="3"/>
        <v>2.5483129040977381E-3</v>
      </c>
      <c r="AB43" s="1814"/>
    </row>
    <row r="44" spans="1:28">
      <c r="A44" s="1815">
        <f>A43</f>
        <v>4000</v>
      </c>
      <c r="C44" s="1707">
        <f>A41*0.7*730</f>
        <v>2044000</v>
      </c>
      <c r="E44" s="1767">
        <f t="shared" ref="E44:E49" si="20">E41</f>
        <v>0.6</v>
      </c>
      <c r="F44" s="1767">
        <f>('Large Profile'!$M$7)/('Large Profile'!$E$7)*E44</f>
        <v>0.41498481288338573</v>
      </c>
      <c r="G44" s="1767">
        <f>('Large Profile'!$Q$7)/('Large Profile'!$I$7)*E44</f>
        <v>0.29977417803954615</v>
      </c>
      <c r="I44" s="1797">
        <f t="shared" si="4"/>
        <v>147098.96</v>
      </c>
      <c r="J44" s="1797"/>
      <c r="K44" s="1797">
        <f t="shared" si="17"/>
        <v>147426.69</v>
      </c>
      <c r="L44" s="1797"/>
      <c r="M44" s="1797">
        <f t="shared" si="0"/>
        <v>327.73000000001048</v>
      </c>
      <c r="O44" s="1814">
        <f t="shared" si="1"/>
        <v>2.2279559284443806E-3</v>
      </c>
      <c r="Q44" s="1797">
        <f t="shared" si="18"/>
        <v>125800.14</v>
      </c>
      <c r="R44" s="1797"/>
      <c r="S44" s="1797">
        <f t="shared" si="19"/>
        <v>126099.54</v>
      </c>
      <c r="T44" s="1797"/>
      <c r="U44" s="1797">
        <f t="shared" si="2"/>
        <v>299.39999999999418</v>
      </c>
      <c r="V44" s="1818"/>
      <c r="W44" s="1814">
        <f t="shared" si="3"/>
        <v>2.3799655548872867E-3</v>
      </c>
      <c r="AB44" s="1814"/>
    </row>
    <row r="45" spans="1:28">
      <c r="A45" s="1815">
        <f>A44</f>
        <v>4000</v>
      </c>
      <c r="C45" s="1815">
        <f>C44</f>
        <v>2044000</v>
      </c>
      <c r="E45" s="1767">
        <f t="shared" si="20"/>
        <v>0.5</v>
      </c>
      <c r="F45" s="1767">
        <f>('Large Profile'!$M$7)/('Large Profile'!$E$7)*E45</f>
        <v>0.34582067740282146</v>
      </c>
      <c r="G45" s="1767">
        <f>('Large Profile'!$Q$7)/('Large Profile'!$I$7)*E45</f>
        <v>0.24981181503295513</v>
      </c>
      <c r="I45" s="1797">
        <f t="shared" si="4"/>
        <v>143383.07</v>
      </c>
      <c r="J45" s="1797"/>
      <c r="K45" s="1797">
        <f t="shared" si="17"/>
        <v>143704.98000000001</v>
      </c>
      <c r="L45" s="1797"/>
      <c r="M45" s="1797">
        <f t="shared" si="0"/>
        <v>321.91000000000349</v>
      </c>
      <c r="O45" s="1814">
        <f t="shared" si="1"/>
        <v>2.2451046696099208E-3</v>
      </c>
      <c r="Q45" s="1797">
        <f t="shared" si="18"/>
        <v>123424.68</v>
      </c>
      <c r="R45" s="1797"/>
      <c r="S45" s="1797">
        <f t="shared" si="19"/>
        <v>123720.37</v>
      </c>
      <c r="T45" s="1797"/>
      <c r="U45" s="1797">
        <f t="shared" si="2"/>
        <v>295.69000000000233</v>
      </c>
      <c r="V45" s="1818"/>
      <c r="W45" s="1814">
        <f t="shared" si="3"/>
        <v>2.395712105552894E-3</v>
      </c>
      <c r="AB45" s="1814"/>
    </row>
    <row r="46" spans="1:28">
      <c r="A46" s="1815">
        <f>A45</f>
        <v>4000</v>
      </c>
      <c r="C46" s="1815">
        <f>C45</f>
        <v>2044000</v>
      </c>
      <c r="E46" s="1767">
        <f t="shared" si="20"/>
        <v>0.4</v>
      </c>
      <c r="F46" s="1767">
        <f>('Large Profile'!$M$7)/('Large Profile'!$E$7)*E46</f>
        <v>0.27665654192225719</v>
      </c>
      <c r="G46" s="1767">
        <f>('Large Profile'!$Q$7)/('Large Profile'!$I$7)*E46</f>
        <v>0.19984945202636412</v>
      </c>
      <c r="I46" s="1797">
        <f t="shared" si="4"/>
        <v>139667.17000000001</v>
      </c>
      <c r="J46" s="1797"/>
      <c r="K46" s="1797">
        <f t="shared" si="17"/>
        <v>139983.28</v>
      </c>
      <c r="L46" s="1797"/>
      <c r="M46" s="1797">
        <f t="shared" si="0"/>
        <v>316.10999999998603</v>
      </c>
      <c r="O46" s="1814">
        <f t="shared" si="1"/>
        <v>2.263309265878144E-3</v>
      </c>
      <c r="Q46" s="1797">
        <f t="shared" si="18"/>
        <v>121049.22</v>
      </c>
      <c r="R46" s="1797"/>
      <c r="S46" s="1797">
        <f t="shared" si="19"/>
        <v>121341.2</v>
      </c>
      <c r="T46" s="1797"/>
      <c r="U46" s="1797">
        <f t="shared" si="2"/>
        <v>291.97999999999593</v>
      </c>
      <c r="V46" s="1818"/>
      <c r="W46" s="1814">
        <f t="shared" si="3"/>
        <v>2.41207667426524E-3</v>
      </c>
      <c r="AB46" s="1814"/>
    </row>
    <row r="47" spans="1:28">
      <c r="A47" s="1815">
        <f>A44</f>
        <v>4000</v>
      </c>
      <c r="C47" s="1707">
        <f>A41*0.9*730</f>
        <v>2628000</v>
      </c>
      <c r="E47" s="1767">
        <f t="shared" si="20"/>
        <v>0.6</v>
      </c>
      <c r="F47" s="1767">
        <f>('Large Profile'!$M$7)/('Large Profile'!$E$7)*E47</f>
        <v>0.41498481288338573</v>
      </c>
      <c r="G47" s="1767">
        <f>('Large Profile'!$Q$7)/('Large Profile'!$I$7)*E47</f>
        <v>0.29977417803954615</v>
      </c>
      <c r="I47" s="1797">
        <f t="shared" si="4"/>
        <v>169336.4</v>
      </c>
      <c r="J47" s="1797"/>
      <c r="K47" s="1797">
        <f t="shared" si="17"/>
        <v>169698.91</v>
      </c>
      <c r="L47" s="1797"/>
      <c r="M47" s="1797">
        <f t="shared" si="0"/>
        <v>362.51000000000931</v>
      </c>
      <c r="O47" s="1814">
        <f t="shared" si="1"/>
        <v>2.1407683167942171E-3</v>
      </c>
      <c r="Q47" s="1797">
        <f t="shared" si="18"/>
        <v>143914.23000000001</v>
      </c>
      <c r="R47" s="1797"/>
      <c r="S47" s="1797">
        <f t="shared" si="19"/>
        <v>144241.97</v>
      </c>
      <c r="T47" s="1797"/>
      <c r="U47" s="1797">
        <f t="shared" si="2"/>
        <v>327.73999999999069</v>
      </c>
      <c r="V47" s="1818"/>
      <c r="W47" s="1814">
        <f t="shared" si="3"/>
        <v>2.2773286561028616E-3</v>
      </c>
      <c r="AB47" s="1814"/>
    </row>
    <row r="48" spans="1:28">
      <c r="A48" s="1815">
        <f>A45</f>
        <v>4000</v>
      </c>
      <c r="C48" s="1815">
        <f>C47</f>
        <v>2628000</v>
      </c>
      <c r="E48" s="1767">
        <f t="shared" si="20"/>
        <v>0.5</v>
      </c>
      <c r="F48" s="1767">
        <f>('Large Profile'!$M$7)/('Large Profile'!$E$7)*E48</f>
        <v>0.34582067740282146</v>
      </c>
      <c r="G48" s="1767">
        <f>('Large Profile'!$Q$7)/('Large Profile'!$I$7)*E48</f>
        <v>0.24981181503295513</v>
      </c>
      <c r="I48" s="1797">
        <f t="shared" si="4"/>
        <v>164558.82</v>
      </c>
      <c r="J48" s="1797"/>
      <c r="K48" s="1797">
        <f t="shared" si="17"/>
        <v>164913.85</v>
      </c>
      <c r="L48" s="1797"/>
      <c r="M48" s="1797">
        <f t="shared" si="0"/>
        <v>355.02999999999884</v>
      </c>
      <c r="O48" s="1814">
        <f t="shared" si="1"/>
        <v>2.1574656405534132E-3</v>
      </c>
      <c r="Q48" s="1797">
        <f t="shared" si="18"/>
        <v>140860.07</v>
      </c>
      <c r="R48" s="1797"/>
      <c r="S48" s="1797">
        <f t="shared" si="19"/>
        <v>141183.03</v>
      </c>
      <c r="T48" s="1797"/>
      <c r="U48" s="1797">
        <f t="shared" si="2"/>
        <v>322.95999999999185</v>
      </c>
      <c r="V48" s="1818"/>
      <c r="W48" s="1814">
        <f t="shared" si="3"/>
        <v>2.2927718266787522E-3</v>
      </c>
      <c r="AB48" s="1814"/>
    </row>
    <row r="49" spans="1:28">
      <c r="A49" s="1815">
        <f>A46</f>
        <v>4000</v>
      </c>
      <c r="C49" s="1815">
        <f>C48</f>
        <v>2628000</v>
      </c>
      <c r="E49" s="1767">
        <f t="shared" si="20"/>
        <v>0.4</v>
      </c>
      <c r="F49" s="1767">
        <f>('Large Profile'!$M$7)/('Large Profile'!$E$7)*E49</f>
        <v>0.27665654192225719</v>
      </c>
      <c r="G49" s="1767">
        <f>('Large Profile'!$Q$7)/('Large Profile'!$I$7)*E49</f>
        <v>0.19984945202636412</v>
      </c>
      <c r="I49" s="1797">
        <f t="shared" si="4"/>
        <v>159781.24</v>
      </c>
      <c r="J49" s="1797"/>
      <c r="K49" s="1797">
        <f t="shared" si="17"/>
        <v>160128.79999999999</v>
      </c>
      <c r="L49" s="1797"/>
      <c r="M49" s="1797">
        <f t="shared" si="0"/>
        <v>347.55999999999767</v>
      </c>
      <c r="O49" s="1814">
        <f t="shared" si="1"/>
        <v>2.1752240751167218E-3</v>
      </c>
      <c r="Q49" s="1797">
        <f t="shared" si="18"/>
        <v>137805.91</v>
      </c>
      <c r="R49" s="1797"/>
      <c r="S49" s="1797">
        <f t="shared" si="19"/>
        <v>138124.1</v>
      </c>
      <c r="T49" s="1797"/>
      <c r="U49" s="1797">
        <f t="shared" si="2"/>
        <v>318.19000000000233</v>
      </c>
      <c r="V49" s="1818"/>
      <c r="W49" s="1814">
        <f t="shared" si="3"/>
        <v>2.3089720898037402E-3</v>
      </c>
      <c r="AB49" s="1814"/>
    </row>
    <row r="50" spans="1:28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  <c r="AB50" s="1814"/>
    </row>
    <row r="51" spans="1:28">
      <c r="A51" s="1707">
        <v>6000</v>
      </c>
      <c r="C51" s="1707">
        <f>A51*0.5*730</f>
        <v>2190000</v>
      </c>
      <c r="E51" s="1767">
        <v>0.6</v>
      </c>
      <c r="F51" s="1767">
        <f>('Large Profile'!$M$7)/('Large Profile'!$E$7)*E51</f>
        <v>0.41498481288338573</v>
      </c>
      <c r="G51" s="1767">
        <f>('Large Profile'!$Q$7)/('Large Profile'!$I$7)*E51</f>
        <v>0.29977417803954615</v>
      </c>
      <c r="I51" s="1797">
        <f t="shared" si="4"/>
        <v>187134.79</v>
      </c>
      <c r="J51" s="1797"/>
      <c r="K51" s="1797">
        <f t="shared" ref="K51:K59" si="21">ROUND($AA$10+($AA$11*$A51+($AA$12*$A51+($AA$13*$F51+$AA$14*(1-$F51))/100*$C51)*(1+$AA$33))*(1+$AA$16)+($AA$12*$A51+($AA$13*$F51+$AA$14*(1-$F51))/100*$C51)*$AA$28+$AA$15,2)</f>
        <v>187572.21</v>
      </c>
      <c r="L51" s="1797"/>
      <c r="M51" s="1797">
        <f t="shared" si="0"/>
        <v>437.4199999999837</v>
      </c>
      <c r="O51" s="1814">
        <f t="shared" si="1"/>
        <v>2.3374595391909558E-3</v>
      </c>
      <c r="Q51" s="1797">
        <f t="shared" ref="Q51:Q59" si="22">ROUND($Z$18+($Z$19*$A51+($Z$20*$A51+($Z$21*$G51+$Z$22*(1-$G51))/100*$C51)*(1+$Z$33))*(1+$Z$24)+($Z$20*$A51+($Z$21*$G51+$Z$22*(1-$G51))/100*$C51)*$Z$28+$Z$23,2)</f>
        <v>161371.56</v>
      </c>
      <c r="R51" s="1797"/>
      <c r="S51" s="1797">
        <f t="shared" ref="S51:S58" si="23">ROUND($AA$18+($AA$19*$A51+($AA$20*$A51+($AA$21*$G51+$AA$22*(1-$G51))/100*$C51)*(1+$AA$33))*(1+$AA$24)+($AA$20*$A51+($AA$21*$G51+$AA$22*(1-$G51))/100*$C51)*$AA$28+$AA$23,2)</f>
        <v>161776.17000000001</v>
      </c>
      <c r="T51" s="1797"/>
      <c r="U51" s="1797">
        <f t="shared" si="2"/>
        <v>404.61000000001513</v>
      </c>
      <c r="W51" s="1814">
        <f t="shared" si="3"/>
        <v>2.5073191335573952E-3</v>
      </c>
      <c r="AB51" s="1814"/>
    </row>
    <row r="52" spans="1:28">
      <c r="A52" s="1815">
        <f>A51</f>
        <v>6000</v>
      </c>
      <c r="C52" s="1815">
        <f>C51</f>
        <v>2190000</v>
      </c>
      <c r="E52" s="1767">
        <v>0.5</v>
      </c>
      <c r="F52" s="1767">
        <f>('Large Profile'!$M$7)/('Large Profile'!$E$7)*E52</f>
        <v>0.34582067740282146</v>
      </c>
      <c r="G52" s="1767">
        <f>('Large Profile'!$Q$7)/('Large Profile'!$I$7)*E52</f>
        <v>0.24981181503295513</v>
      </c>
      <c r="I52" s="1797">
        <f t="shared" si="4"/>
        <v>183153.47</v>
      </c>
      <c r="J52" s="1797"/>
      <c r="K52" s="1797">
        <f t="shared" si="21"/>
        <v>183584.67</v>
      </c>
      <c r="L52" s="1797"/>
      <c r="M52" s="1797">
        <f t="shared" si="0"/>
        <v>431.20000000001164</v>
      </c>
      <c r="O52" s="1814">
        <f t="shared" si="1"/>
        <v>2.3543097490863474E-3</v>
      </c>
      <c r="Q52" s="1797">
        <f t="shared" si="22"/>
        <v>158826.43</v>
      </c>
      <c r="R52" s="1797"/>
      <c r="S52" s="1797">
        <f t="shared" si="23"/>
        <v>159227.06</v>
      </c>
      <c r="T52" s="1797"/>
      <c r="U52" s="1797">
        <f t="shared" si="2"/>
        <v>400.63000000000466</v>
      </c>
      <c r="W52" s="1814">
        <f t="shared" si="3"/>
        <v>2.5224391179730077E-3</v>
      </c>
      <c r="AB52" s="1814"/>
    </row>
    <row r="53" spans="1:28">
      <c r="A53" s="1815">
        <f>A52</f>
        <v>6000</v>
      </c>
      <c r="C53" s="1815">
        <f>C52</f>
        <v>2190000</v>
      </c>
      <c r="E53" s="1767">
        <v>0.4</v>
      </c>
      <c r="F53" s="1767">
        <f>('Large Profile'!$M$7)/('Large Profile'!$E$7)*E53</f>
        <v>0.27665654192225719</v>
      </c>
      <c r="G53" s="1767">
        <f>('Large Profile'!$Q$7)/('Large Profile'!$I$7)*E53</f>
        <v>0.19984945202636412</v>
      </c>
      <c r="I53" s="1797">
        <f t="shared" si="4"/>
        <v>179172.16</v>
      </c>
      <c r="J53" s="1797"/>
      <c r="K53" s="1797">
        <f t="shared" si="21"/>
        <v>179597.12</v>
      </c>
      <c r="L53" s="1797"/>
      <c r="M53" s="1797">
        <f t="shared" si="0"/>
        <v>424.95999999999185</v>
      </c>
      <c r="O53" s="1814">
        <f t="shared" si="1"/>
        <v>2.3717970470411576E-3</v>
      </c>
      <c r="Q53" s="1797">
        <f t="shared" si="22"/>
        <v>156281.29</v>
      </c>
      <c r="R53" s="1797"/>
      <c r="S53" s="1797">
        <f t="shared" si="23"/>
        <v>156677.95000000001</v>
      </c>
      <c r="T53" s="1797"/>
      <c r="U53" s="1797">
        <f t="shared" si="2"/>
        <v>396.66000000000349</v>
      </c>
      <c r="W53" s="1814">
        <f t="shared" si="3"/>
        <v>2.5381157270969457E-3</v>
      </c>
      <c r="AB53" s="1814"/>
    </row>
    <row r="54" spans="1:28">
      <c r="A54" s="1815">
        <f>A53</f>
        <v>6000</v>
      </c>
      <c r="C54" s="1707">
        <f>A51*0.7*730</f>
        <v>3066000</v>
      </c>
      <c r="E54" s="1767">
        <f t="shared" ref="E54:E59" si="24">E51</f>
        <v>0.6</v>
      </c>
      <c r="F54" s="1767">
        <f>('Large Profile'!$M$7)/('Large Profile'!$E$7)*E54</f>
        <v>0.41498481288338573</v>
      </c>
      <c r="G54" s="1767">
        <f>('Large Profile'!$Q$7)/('Large Profile'!$I$7)*E54</f>
        <v>0.29977417803954615</v>
      </c>
      <c r="I54" s="1797">
        <f t="shared" si="4"/>
        <v>220490.95</v>
      </c>
      <c r="J54" s="1797"/>
      <c r="K54" s="1797">
        <f t="shared" si="21"/>
        <v>220980.54</v>
      </c>
      <c r="L54" s="1797"/>
      <c r="M54" s="1797">
        <f t="shared" si="0"/>
        <v>489.58999999999651</v>
      </c>
      <c r="O54" s="1814">
        <f t="shared" si="1"/>
        <v>2.2204539460690675E-3</v>
      </c>
      <c r="Q54" s="1797">
        <f t="shared" si="22"/>
        <v>188542.7</v>
      </c>
      <c r="R54" s="1797"/>
      <c r="S54" s="1797">
        <f t="shared" si="23"/>
        <v>188989.81</v>
      </c>
      <c r="T54" s="1797"/>
      <c r="U54" s="1797">
        <f t="shared" si="2"/>
        <v>447.10999999998603</v>
      </c>
      <c r="W54" s="1814">
        <f t="shared" si="3"/>
        <v>2.3713991578564464E-3</v>
      </c>
      <c r="AB54" s="1814"/>
    </row>
    <row r="55" spans="1:28">
      <c r="A55" s="1815">
        <f>A54</f>
        <v>6000</v>
      </c>
      <c r="C55" s="1815">
        <f>C54</f>
        <v>3066000</v>
      </c>
      <c r="E55" s="1767">
        <f t="shared" si="24"/>
        <v>0.5</v>
      </c>
      <c r="F55" s="1767">
        <f>('Large Profile'!$M$7)/('Large Profile'!$E$7)*E55</f>
        <v>0.34582067740282146</v>
      </c>
      <c r="G55" s="1767">
        <f>('Large Profile'!$Q$7)/('Large Profile'!$I$7)*E55</f>
        <v>0.24981181503295513</v>
      </c>
      <c r="I55" s="1797">
        <f t="shared" si="4"/>
        <v>214917.1</v>
      </c>
      <c r="J55" s="1797"/>
      <c r="K55" s="1797">
        <f t="shared" si="21"/>
        <v>215397.98</v>
      </c>
      <c r="L55" s="1797"/>
      <c r="M55" s="1797">
        <f t="shared" si="0"/>
        <v>480.88000000000466</v>
      </c>
      <c r="O55" s="1814">
        <f t="shared" si="1"/>
        <v>2.237513906524935E-3</v>
      </c>
      <c r="Q55" s="1797">
        <f t="shared" si="22"/>
        <v>184979.52</v>
      </c>
      <c r="R55" s="1797"/>
      <c r="S55" s="1797">
        <f t="shared" si="23"/>
        <v>185421.05</v>
      </c>
      <c r="T55" s="1797"/>
      <c r="U55" s="1797">
        <f t="shared" si="2"/>
        <v>441.52999999999884</v>
      </c>
      <c r="W55" s="1814">
        <f t="shared" si="3"/>
        <v>2.386912886356285E-3</v>
      </c>
      <c r="AB55" s="1814"/>
    </row>
    <row r="56" spans="1:28">
      <c r="A56" s="1815">
        <f>A55</f>
        <v>6000</v>
      </c>
      <c r="C56" s="1815">
        <f>C55</f>
        <v>3066000</v>
      </c>
      <c r="E56" s="1767">
        <f t="shared" si="24"/>
        <v>0.4</v>
      </c>
      <c r="F56" s="1767">
        <f>('Large Profile'!$M$7)/('Large Profile'!$E$7)*E56</f>
        <v>0.27665654192225719</v>
      </c>
      <c r="G56" s="1767">
        <f>('Large Profile'!$Q$7)/('Large Profile'!$I$7)*E56</f>
        <v>0.19984945202636412</v>
      </c>
      <c r="I56" s="1797">
        <f t="shared" si="4"/>
        <v>209343.26</v>
      </c>
      <c r="J56" s="1797"/>
      <c r="K56" s="1797">
        <f t="shared" si="21"/>
        <v>209815.41</v>
      </c>
      <c r="L56" s="1797"/>
      <c r="M56" s="1797">
        <f t="shared" si="0"/>
        <v>472.14999999999418</v>
      </c>
      <c r="O56" s="1814">
        <f t="shared" si="1"/>
        <v>2.25538667927494E-3</v>
      </c>
      <c r="Q56" s="1797">
        <f t="shared" si="22"/>
        <v>181416.33</v>
      </c>
      <c r="R56" s="1797"/>
      <c r="S56" s="1797">
        <f t="shared" si="23"/>
        <v>181852.3</v>
      </c>
      <c r="T56" s="1797"/>
      <c r="U56" s="1797">
        <f t="shared" si="2"/>
        <v>435.97000000000116</v>
      </c>
      <c r="W56" s="1814">
        <f t="shared" si="3"/>
        <v>2.4031463981220025E-3</v>
      </c>
      <c r="AB56" s="1814"/>
    </row>
    <row r="57" spans="1:28">
      <c r="A57" s="1815">
        <f>A54</f>
        <v>6000</v>
      </c>
      <c r="C57" s="1707">
        <f>A51*0.9*730</f>
        <v>3942000</v>
      </c>
      <c r="E57" s="1767">
        <f t="shared" si="24"/>
        <v>0.6</v>
      </c>
      <c r="F57" s="1767">
        <f>('Large Profile'!$M$7)/('Large Profile'!$E$7)*E57</f>
        <v>0.41498481288338573</v>
      </c>
      <c r="G57" s="1767">
        <f>('Large Profile'!$Q$7)/('Large Profile'!$I$7)*E57</f>
        <v>0.29977417803954615</v>
      </c>
      <c r="I57" s="1797">
        <f t="shared" si="4"/>
        <v>253847.1</v>
      </c>
      <c r="J57" s="1797"/>
      <c r="K57" s="1797">
        <f t="shared" si="21"/>
        <v>254388.86</v>
      </c>
      <c r="L57" s="1797"/>
      <c r="M57" s="1797">
        <f t="shared" si="0"/>
        <v>541.75999999998021</v>
      </c>
      <c r="O57" s="1814">
        <f t="shared" si="1"/>
        <v>2.1341981058675685E-3</v>
      </c>
      <c r="Q57" s="1797">
        <f t="shared" si="22"/>
        <v>215713.85</v>
      </c>
      <c r="R57" s="1797"/>
      <c r="S57" s="1797">
        <f t="shared" si="23"/>
        <v>216203.45</v>
      </c>
      <c r="T57" s="1797"/>
      <c r="U57" s="1797">
        <f t="shared" si="2"/>
        <v>489.60000000000582</v>
      </c>
      <c r="W57" s="1814">
        <f t="shared" si="3"/>
        <v>2.2696734586120648E-3</v>
      </c>
      <c r="AB57" s="1814"/>
    </row>
    <row r="58" spans="1:28">
      <c r="A58" s="1815">
        <f>A55</f>
        <v>6000</v>
      </c>
      <c r="C58" s="1815">
        <f>C57</f>
        <v>3942000</v>
      </c>
      <c r="E58" s="1767">
        <f t="shared" si="24"/>
        <v>0.5</v>
      </c>
      <c r="F58" s="1767">
        <f>('Large Profile'!$M$7)/('Large Profile'!$E$7)*E58</f>
        <v>0.34582067740282146</v>
      </c>
      <c r="G58" s="1767">
        <f>('Large Profile'!$Q$7)/('Large Profile'!$I$7)*E58</f>
        <v>0.24981181503295513</v>
      </c>
      <c r="I58" s="1797">
        <f t="shared" si="4"/>
        <v>246680.73</v>
      </c>
      <c r="J58" s="1797"/>
      <c r="K58" s="1797">
        <f t="shared" si="21"/>
        <v>247211.28</v>
      </c>
      <c r="L58" s="1797"/>
      <c r="M58" s="1797">
        <f t="shared" si="0"/>
        <v>530.54999999998836</v>
      </c>
      <c r="O58" s="1814">
        <f t="shared" si="1"/>
        <v>2.1507557562359114E-3</v>
      </c>
      <c r="Q58" s="1797">
        <f t="shared" si="22"/>
        <v>211132.61</v>
      </c>
      <c r="R58" s="1797"/>
      <c r="S58" s="1797">
        <f t="shared" si="23"/>
        <v>211615.05</v>
      </c>
      <c r="T58" s="1797"/>
      <c r="U58" s="1797">
        <f t="shared" si="2"/>
        <v>482.44000000000233</v>
      </c>
      <c r="W58" s="1814">
        <f t="shared" si="3"/>
        <v>2.2850094071209526E-3</v>
      </c>
      <c r="AB58" s="1814"/>
    </row>
    <row r="59" spans="1:28">
      <c r="A59" s="1815">
        <f>A56</f>
        <v>6000</v>
      </c>
      <c r="C59" s="1815">
        <f>C58</f>
        <v>3942000</v>
      </c>
      <c r="E59" s="1767">
        <f t="shared" si="24"/>
        <v>0.4</v>
      </c>
      <c r="F59" s="1767">
        <f>('Large Profile'!$M$7)/('Large Profile'!$E$7)*E59</f>
        <v>0.27665654192225719</v>
      </c>
      <c r="G59" s="1767">
        <f>('Large Profile'!$Q$7)/('Large Profile'!$I$7)*E59</f>
        <v>0.19984945202636412</v>
      </c>
      <c r="I59" s="1797">
        <f t="shared" si="4"/>
        <v>239514.36</v>
      </c>
      <c r="J59" s="1797"/>
      <c r="K59" s="1797">
        <f t="shared" si="21"/>
        <v>240033.7</v>
      </c>
      <c r="L59" s="1797"/>
      <c r="M59" s="1797">
        <f t="shared" si="0"/>
        <v>519.34000000002561</v>
      </c>
      <c r="O59" s="1814">
        <f t="shared" si="1"/>
        <v>2.1683042302766964E-3</v>
      </c>
      <c r="Q59" s="1797">
        <f t="shared" si="22"/>
        <v>206551.37</v>
      </c>
      <c r="R59" s="1797"/>
      <c r="S59" s="1797">
        <f>ROUND($AA$18+($AA$19*$A59+($AA$20*$A59+($AA$21*$G59+$AA$22*(1-$G59))/100*$C59)*(1+$AA$33))*(1+$AA$24)+($AA$20*$A59+($AA$21*$G59+$AA$22*(1-$G59))/100*$C59)*$AA$28+$AA$23,2)</f>
        <v>207026.65</v>
      </c>
      <c r="T59" s="1797"/>
      <c r="U59" s="1797">
        <f t="shared" si="2"/>
        <v>475.27999999999884</v>
      </c>
      <c r="W59" s="1814">
        <f t="shared" si="3"/>
        <v>2.301025648002275E-3</v>
      </c>
      <c r="AB59" s="1814"/>
    </row>
    <row r="60" spans="1:28">
      <c r="M60" s="1715"/>
      <c r="U60" s="1715"/>
    </row>
    <row r="61" spans="1:28" ht="15.75">
      <c r="A61" s="1770" t="s">
        <v>1723</v>
      </c>
      <c r="M61" s="1715"/>
      <c r="U61" s="1715"/>
    </row>
    <row r="62" spans="1:28" ht="15.75">
      <c r="A62" s="1770" t="s">
        <v>1698</v>
      </c>
      <c r="M62" s="1715"/>
      <c r="U62" s="1715"/>
    </row>
    <row r="63" spans="1:28" ht="15.75">
      <c r="A63" s="1770"/>
      <c r="M63" s="1715"/>
      <c r="U63" s="1715"/>
    </row>
    <row r="64" spans="1:28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3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6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.625" style="1707" bestFit="1" customWidth="1"/>
    <col min="2" max="2" width="2.125" style="1707" customWidth="1"/>
    <col min="3" max="3" width="4.75" style="1707" hidden="1" customWidth="1"/>
    <col min="4" max="4" width="8.25" style="1707" bestFit="1" customWidth="1"/>
    <col min="5" max="5" width="1.75" style="1704" customWidth="1"/>
    <col min="6" max="6" width="7.75" style="1708" bestFit="1" customWidth="1"/>
    <col min="7" max="7" width="1" style="1704" customWidth="1"/>
    <col min="8" max="8" width="9" style="1708" bestFit="1" customWidth="1"/>
    <col min="9" max="9" width="0.75" style="1704" customWidth="1"/>
    <col min="10" max="10" width="7.25" style="1704" bestFit="1" customWidth="1"/>
    <col min="11" max="11" width="1.125" style="1704" customWidth="1"/>
    <col min="12" max="12" width="6.125" style="1704" bestFit="1" customWidth="1"/>
    <col min="13" max="13" width="1.5" style="1704" customWidth="1"/>
    <col min="14" max="14" width="7.75" style="1708" bestFit="1" customWidth="1"/>
    <col min="15" max="15" width="0.625" style="1704" customWidth="1"/>
    <col min="16" max="16" width="7.75" style="1708" bestFit="1" customWidth="1"/>
    <col min="17" max="17" width="0.75" style="1704" customWidth="1"/>
    <col min="18" max="18" width="7.125" style="1704" bestFit="1" customWidth="1"/>
    <col min="19" max="19" width="0.625" style="1704" customWidth="1"/>
    <col min="20" max="20" width="6.125" style="1704" bestFit="1" customWidth="1"/>
    <col min="21" max="21" width="3.25" style="1704" customWidth="1"/>
    <col min="22" max="22" width="16" style="1704" bestFit="1" customWidth="1"/>
    <col min="23" max="23" width="8.25" style="1704" bestFit="1" customWidth="1"/>
    <col min="24" max="24" width="9.75" style="1704" bestFit="1" customWidth="1"/>
    <col min="25" max="16384" width="8" style="1704"/>
  </cols>
  <sheetData>
    <row r="1" spans="1:25" ht="16.5">
      <c r="A1" s="1697" t="s">
        <v>547</v>
      </c>
      <c r="B1" s="1697"/>
      <c r="C1" s="1697"/>
      <c r="D1" s="1697"/>
      <c r="E1" s="1698"/>
      <c r="F1" s="1699"/>
      <c r="G1" s="1698"/>
      <c r="H1" s="1699"/>
      <c r="I1" s="1698"/>
      <c r="J1" s="1698"/>
      <c r="K1" s="1698"/>
      <c r="L1" s="1698"/>
      <c r="M1" s="1698"/>
      <c r="N1" s="1699"/>
      <c r="O1" s="1698"/>
      <c r="P1" s="1699"/>
      <c r="Q1" s="1698"/>
      <c r="R1" s="1698"/>
      <c r="S1" s="1698"/>
      <c r="T1" s="1698"/>
    </row>
    <row r="2" spans="1:25" ht="16.5">
      <c r="A2" s="1697" t="s">
        <v>1672</v>
      </c>
      <c r="B2" s="1697"/>
      <c r="C2" s="1697"/>
      <c r="D2" s="1697"/>
      <c r="E2" s="1698"/>
      <c r="F2" s="1699"/>
      <c r="G2" s="1698"/>
      <c r="H2" s="1699"/>
      <c r="I2" s="1698"/>
      <c r="J2" s="1698"/>
      <c r="K2" s="1698"/>
      <c r="L2" s="1698"/>
      <c r="M2" s="1698"/>
      <c r="N2" s="1699"/>
      <c r="O2" s="1698"/>
      <c r="P2" s="1699"/>
      <c r="Q2" s="1698"/>
      <c r="R2" s="1698"/>
      <c r="S2" s="1698"/>
      <c r="T2" s="1698"/>
    </row>
    <row r="3" spans="1:25" ht="16.5">
      <c r="A3" s="1697" t="s">
        <v>1702</v>
      </c>
      <c r="B3" s="1697"/>
      <c r="C3" s="1697"/>
      <c r="D3" s="1697"/>
      <c r="E3" s="1698"/>
      <c r="F3" s="1699"/>
      <c r="G3" s="1698"/>
      <c r="H3" s="1699"/>
      <c r="I3" s="1698"/>
      <c r="J3" s="1698"/>
      <c r="K3" s="1698"/>
      <c r="L3" s="1698"/>
      <c r="M3" s="1698"/>
      <c r="N3" s="1699"/>
      <c r="O3" s="1698"/>
      <c r="P3" s="1699"/>
      <c r="Q3" s="1698"/>
      <c r="R3" s="1698"/>
      <c r="S3" s="1698"/>
      <c r="T3" s="1698"/>
    </row>
    <row r="4" spans="1:25" ht="16.5">
      <c r="A4" s="1697" t="s">
        <v>1703</v>
      </c>
      <c r="B4" s="1697"/>
      <c r="C4" s="1697"/>
      <c r="D4" s="1697"/>
      <c r="E4" s="1698"/>
      <c r="F4" s="1699"/>
      <c r="G4" s="1698"/>
      <c r="H4" s="1699"/>
      <c r="I4" s="1698"/>
      <c r="J4" s="1698"/>
      <c r="K4" s="1698"/>
      <c r="L4" s="1698"/>
      <c r="M4" s="1698"/>
      <c r="N4" s="1699"/>
      <c r="O4" s="1698"/>
      <c r="P4" s="1699"/>
      <c r="Q4" s="1698"/>
      <c r="R4" s="1698"/>
      <c r="S4" s="1698"/>
      <c r="T4" s="1698"/>
    </row>
    <row r="5" spans="1:25" ht="16.5">
      <c r="A5" s="1697" t="s">
        <v>2337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785"/>
    </row>
    <row r="6" spans="1:25" ht="17.25">
      <c r="A6" s="1787"/>
      <c r="B6" s="1701"/>
      <c r="C6" s="1701"/>
      <c r="D6" s="1701"/>
      <c r="E6" s="1701"/>
      <c r="F6" s="1774"/>
      <c r="G6" s="1788"/>
      <c r="H6" s="1774"/>
      <c r="I6" s="1788"/>
      <c r="J6" s="1788"/>
      <c r="K6" s="1788"/>
      <c r="L6" s="1788"/>
      <c r="M6" s="1701"/>
      <c r="N6" s="1774"/>
      <c r="O6" s="1788"/>
      <c r="P6" s="1774"/>
      <c r="Q6" s="1788"/>
      <c r="R6" s="1788"/>
      <c r="S6" s="1788"/>
      <c r="T6" s="1788"/>
    </row>
    <row r="7" spans="1:25">
      <c r="F7" s="1709"/>
      <c r="G7" s="1702"/>
      <c r="H7" s="1709"/>
      <c r="I7" s="1702"/>
      <c r="J7" s="1780"/>
      <c r="K7" s="1702"/>
      <c r="L7" s="1780"/>
      <c r="M7" s="1702"/>
      <c r="N7" s="1709"/>
      <c r="O7" s="1702"/>
      <c r="P7" s="1709"/>
      <c r="Q7" s="1702"/>
      <c r="R7" s="1780"/>
      <c r="S7" s="1702"/>
      <c r="T7" s="1780"/>
    </row>
    <row r="8" spans="1:25">
      <c r="F8" s="1710" t="s">
        <v>1704</v>
      </c>
      <c r="G8" s="1819"/>
      <c r="H8" s="1712"/>
      <c r="I8" s="1713"/>
      <c r="J8" s="1714"/>
      <c r="K8" s="1713"/>
      <c r="L8" s="1713"/>
      <c r="N8" s="1710" t="s">
        <v>1705</v>
      </c>
      <c r="O8" s="1819"/>
      <c r="P8" s="1712"/>
      <c r="Q8" s="1713"/>
      <c r="R8" s="1714"/>
      <c r="S8" s="1713"/>
      <c r="T8" s="1713"/>
      <c r="V8" s="1789" t="s">
        <v>204</v>
      </c>
      <c r="W8" s="1725" t="s">
        <v>2335</v>
      </c>
      <c r="X8" s="1726" t="s">
        <v>2334</v>
      </c>
    </row>
    <row r="9" spans="1:25" ht="16.5">
      <c r="A9" s="1791" t="s">
        <v>1675</v>
      </c>
      <c r="F9" s="1712" t="s">
        <v>1676</v>
      </c>
      <c r="G9" s="1713"/>
      <c r="H9" s="1712"/>
      <c r="J9" s="1712" t="s">
        <v>197</v>
      </c>
      <c r="K9" s="1713"/>
      <c r="L9" s="1712"/>
      <c r="N9" s="1712" t="s">
        <v>1676</v>
      </c>
      <c r="O9" s="1713"/>
      <c r="P9" s="1712"/>
      <c r="R9" s="1712" t="s">
        <v>197</v>
      </c>
      <c r="S9" s="1713"/>
      <c r="T9" s="1712"/>
      <c r="V9" s="1811" t="s">
        <v>1706</v>
      </c>
      <c r="W9" s="1812"/>
      <c r="X9" s="1813"/>
      <c r="Y9" s="1709"/>
    </row>
    <row r="10" spans="1:25">
      <c r="A10" s="1820" t="s">
        <v>1677</v>
      </c>
      <c r="B10" s="1793"/>
      <c r="C10" s="1793"/>
      <c r="D10" s="1794" t="s">
        <v>111</v>
      </c>
      <c r="F10" s="1717" t="s">
        <v>2335</v>
      </c>
      <c r="H10" s="1718" t="s">
        <v>2334</v>
      </c>
      <c r="J10" s="1719" t="s">
        <v>1399</v>
      </c>
      <c r="L10" s="1720" t="s">
        <v>465</v>
      </c>
      <c r="N10" s="1717" t="s">
        <v>2335</v>
      </c>
      <c r="P10" s="1718" t="s">
        <v>2334</v>
      </c>
      <c r="R10" s="1719" t="s">
        <v>1399</v>
      </c>
      <c r="T10" s="1720" t="s">
        <v>465</v>
      </c>
      <c r="V10" s="1736" t="s">
        <v>1678</v>
      </c>
      <c r="W10" s="1795">
        <f>'Sch10-1'!X10</f>
        <v>14</v>
      </c>
      <c r="X10" s="1796">
        <f>'Blocking-Step2'!Q1613</f>
        <v>14</v>
      </c>
      <c r="Y10" s="1795"/>
    </row>
    <row r="11" spans="1:25" ht="18.75" customHeight="1">
      <c r="A11" s="1821">
        <v>10</v>
      </c>
      <c r="B11" s="1821"/>
      <c r="C11" s="1822">
        <v>300</v>
      </c>
      <c r="D11" s="1822">
        <f>ROUND((A11*C11),0)</f>
        <v>3000</v>
      </c>
      <c r="F11" s="1797">
        <f>ROUND($W$10+($W$11*$A11+$W$13/100*MIN($D11,30000)+$W$14/100*MAX($D11-30000,0))*((1+$W$33)*(1+$W$16)+$W$28)+$W$15,2)</f>
        <v>312.55</v>
      </c>
      <c r="G11" s="1797"/>
      <c r="H11" s="1797">
        <f>ROUND($X$10+($X$11*$A11+$X$13/100*MIN($D11,30000)+$X$14/100*MAX($D11-30000,0))*((1+$X$33)*(1+$X$16)+$X$28)+$X$15,2)</f>
        <v>312.7</v>
      </c>
      <c r="I11" s="1797"/>
      <c r="J11" s="1797">
        <f>IF(H11="","",H11-F11)</f>
        <v>0.14999999999997726</v>
      </c>
      <c r="L11" s="1723">
        <f>IF(J11="","",H11/F11-1)</f>
        <v>4.7992321228607082E-4</v>
      </c>
      <c r="N11" s="1797">
        <f>ROUND($W$18+($W$19*$A11+$W$21/100*MIN($D11,30000)+$W$22/100*MAX($D11-30000,0))*((1+$W$33)*(1+$W$24)+$W$28)+$W$23,2)</f>
        <v>167.99</v>
      </c>
      <c r="O11" s="1797"/>
      <c r="P11" s="1797">
        <f>ROUND($X$18+($X$19*$A11+$X$21/100*MIN($D11,30000)+$X$22/100*MAX($D11-30000,0))*((1+$X$33)*(1+$X$24)+$X$28)+$X$23,2)</f>
        <v>168.15</v>
      </c>
      <c r="Q11" s="1797"/>
      <c r="R11" s="1797">
        <f t="shared" ref="R11:R33" si="0">IF(P11="","",P11-N11)</f>
        <v>0.15999999999999659</v>
      </c>
      <c r="T11" s="1723">
        <f t="shared" ref="T11:T33" si="1">IF(R11="","",P11/N11-1)</f>
        <v>9.5243764509800322E-4</v>
      </c>
      <c r="V11" s="1736" t="s">
        <v>1679</v>
      </c>
      <c r="W11" s="1795">
        <f>'Sch10-1'!X11</f>
        <v>7.2</v>
      </c>
      <c r="X11" s="1796">
        <f>'Blocking-Step2'!Q1607</f>
        <v>7.29</v>
      </c>
      <c r="Y11" s="1795"/>
    </row>
    <row r="12" spans="1:25">
      <c r="A12" s="1823">
        <f>A11</f>
        <v>10</v>
      </c>
      <c r="B12" s="1821"/>
      <c r="C12" s="1822">
        <v>500</v>
      </c>
      <c r="D12" s="1822">
        <f>ROUND((A12*C12),0)</f>
        <v>5000</v>
      </c>
      <c r="F12" s="1797">
        <f t="shared" ref="F12:F13" si="2">ROUND($W$10+($W$11*$A12+$W$13/100*MIN($D12,30000)+$W$14/100*MAX($D12-30000,0))*((1+$W$33)*(1+$W$16)+$W$28)+$W$15,2)</f>
        <v>461.18</v>
      </c>
      <c r="G12" s="1797"/>
      <c r="H12" s="1797">
        <f t="shared" ref="H12:H13" si="3">ROUND($X$10+($X$11*$A12+$X$13/100*MIN($D12,30000)+$X$14/100*MAX($D12-30000,0))*((1+$X$33)*(1+$X$16)+$X$28)+$X$15,2)</f>
        <v>461.39</v>
      </c>
      <c r="I12" s="1797"/>
      <c r="J12" s="1797">
        <f>IF(H12="","",H12-F12)</f>
        <v>0.20999999999997954</v>
      </c>
      <c r="L12" s="1723">
        <f>IF(J12="","",H12/F12-1)</f>
        <v>4.5535365800764005E-4</v>
      </c>
      <c r="N12" s="1797">
        <f t="shared" ref="N12:N13" si="4">ROUND($W$18+($W$19*$A12+$W$21/100*MIN($D12,30000)+$W$22/100*MAX($D12-30000,0))*((1+$W$33)*(1+$W$24)+$W$28)+$W$23,2)</f>
        <v>270</v>
      </c>
      <c r="O12" s="1797"/>
      <c r="P12" s="1797">
        <f t="shared" ref="P12:P13" si="5">ROUND($X$18+($X$19*$A12+$X$21/100*MIN($D12,30000)+$X$22/100*MAX($D12-30000,0))*((1+$X$33)*(1+$X$24)+$X$28)+$X$23,2)</f>
        <v>270.26</v>
      </c>
      <c r="Q12" s="1797"/>
      <c r="R12" s="1797">
        <f t="shared" si="0"/>
        <v>0.25999999999999091</v>
      </c>
      <c r="T12" s="1723">
        <f t="shared" si="1"/>
        <v>9.6296296296283224E-4</v>
      </c>
      <c r="V12" s="1736" t="s">
        <v>1680</v>
      </c>
      <c r="W12" s="1795">
        <f>'Sch10-1'!X12</f>
        <v>-2.0499999999999998</v>
      </c>
      <c r="X12" s="1796">
        <f>'Blocking-Step2'!Q1608</f>
        <v>-2.0499999999999998</v>
      </c>
      <c r="Y12" s="1795"/>
    </row>
    <row r="13" spans="1:25">
      <c r="A13" s="1823">
        <f>A11</f>
        <v>10</v>
      </c>
      <c r="B13" s="1821"/>
      <c r="C13" s="1822">
        <v>700</v>
      </c>
      <c r="D13" s="1822">
        <f>ROUND((A13*C13),0)</f>
        <v>7000</v>
      </c>
      <c r="F13" s="1797">
        <f t="shared" si="2"/>
        <v>609.80999999999995</v>
      </c>
      <c r="G13" s="1797"/>
      <c r="H13" s="1797">
        <f t="shared" si="3"/>
        <v>610.09</v>
      </c>
      <c r="I13" s="1797"/>
      <c r="J13" s="1797">
        <f>IF(H13="","",H13-F13)</f>
        <v>0.2800000000000864</v>
      </c>
      <c r="L13" s="1723">
        <f>IF(J13="","",H13/F13-1)</f>
        <v>4.5915941030827412E-4</v>
      </c>
      <c r="N13" s="1797">
        <f t="shared" si="4"/>
        <v>372.02</v>
      </c>
      <c r="O13" s="1797"/>
      <c r="P13" s="1797">
        <f t="shared" si="5"/>
        <v>372.38</v>
      </c>
      <c r="Q13" s="1797"/>
      <c r="R13" s="1797">
        <f t="shared" si="0"/>
        <v>0.36000000000001364</v>
      </c>
      <c r="T13" s="1723">
        <f t="shared" si="1"/>
        <v>9.6768990914464226E-4</v>
      </c>
      <c r="V13" s="1736" t="s">
        <v>1707</v>
      </c>
      <c r="W13" s="1799">
        <f>'Sch10-1'!X13</f>
        <v>7.168811526681</v>
      </c>
      <c r="X13" s="1800">
        <f>'Blocking-Step2'!Q1609</f>
        <v>7.2575331336169997</v>
      </c>
      <c r="Y13" s="1801"/>
    </row>
    <row r="14" spans="1:25">
      <c r="F14" s="1797"/>
      <c r="G14" s="1797"/>
      <c r="H14" s="1797"/>
      <c r="I14" s="1797"/>
      <c r="J14" s="1797"/>
      <c r="L14" s="1723"/>
      <c r="N14" s="1797"/>
      <c r="O14" s="1797"/>
      <c r="P14" s="1797"/>
      <c r="Q14" s="1797"/>
      <c r="R14" s="1797" t="str">
        <f t="shared" si="0"/>
        <v/>
      </c>
      <c r="T14" s="1723" t="str">
        <f t="shared" si="1"/>
        <v/>
      </c>
      <c r="V14" s="1736" t="s">
        <v>1708</v>
      </c>
      <c r="W14" s="1799">
        <f>'Sch10-1'!X14</f>
        <v>5.2987764797389998</v>
      </c>
      <c r="X14" s="1800">
        <f>'Blocking-Step2'!Q1610</f>
        <v>5.3643544297699997</v>
      </c>
      <c r="Y14" s="1801"/>
    </row>
    <row r="15" spans="1:25">
      <c r="A15" s="1821">
        <v>20</v>
      </c>
      <c r="B15" s="1821"/>
      <c r="C15" s="1822">
        <v>300</v>
      </c>
      <c r="D15" s="1822">
        <f>ROUND((A15*C15),0)</f>
        <v>6000</v>
      </c>
      <c r="F15" s="1797">
        <f t="shared" ref="F15:F17" si="6">ROUND($W$10+($W$11*$A15+$W$13/100*MIN($D15,30000)+$W$14/100*MAX($D15-30000,0))*((1+$W$33)*(1+$W$16)+$W$28)+$W$15,2)</f>
        <v>610.13</v>
      </c>
      <c r="G15" s="1797"/>
      <c r="H15" s="1797">
        <f t="shared" ref="H15:H17" si="7">ROUND($X$10+($X$11*$A15+$X$13/100*MIN($D15,30000)+$X$14/100*MAX($D15-30000,0))*((1+$X$33)*(1+$X$16)+$X$28)+$X$15,2)</f>
        <v>610.41999999999996</v>
      </c>
      <c r="I15" s="1797"/>
      <c r="J15" s="1797">
        <f>IF(H15="","",H15-F15)</f>
        <v>0.28999999999996362</v>
      </c>
      <c r="L15" s="1723">
        <f>IF(J15="","",H15/F15-1)</f>
        <v>4.7530854080268803E-4</v>
      </c>
      <c r="N15" s="1797">
        <f t="shared" ref="N15:N17" si="8">ROUND($W$18+($W$19*$A15+$W$21/100*MIN($D15,30000)+$W$22/100*MAX($D15-30000,0))*((1+$W$33)*(1+$W$24)+$W$28)+$W$23,2)</f>
        <v>321.01</v>
      </c>
      <c r="O15" s="1797"/>
      <c r="P15" s="1797">
        <f t="shared" ref="P15:P17" si="9">ROUND($X$18+($X$19*$A15+$X$21/100*MIN($D15,30000)+$X$22/100*MAX($D15-30000,0))*((1+$X$33)*(1+$X$24)+$X$28)+$X$23,2)</f>
        <v>321.32</v>
      </c>
      <c r="Q15" s="1797"/>
      <c r="R15" s="1797">
        <f t="shared" si="0"/>
        <v>0.31000000000000227</v>
      </c>
      <c r="T15" s="1723">
        <f t="shared" si="1"/>
        <v>9.6570200305290399E-4</v>
      </c>
      <c r="V15" s="1736" t="s">
        <v>1683</v>
      </c>
      <c r="W15" s="1795">
        <f>'Sch10-1'!X15</f>
        <v>0.97</v>
      </c>
      <c r="X15" s="1802">
        <f>W15</f>
        <v>0.97</v>
      </c>
      <c r="Y15" s="1795"/>
    </row>
    <row r="16" spans="1:25">
      <c r="A16" s="1823">
        <f>A15</f>
        <v>20</v>
      </c>
      <c r="B16" s="1821"/>
      <c r="C16" s="1822">
        <v>500</v>
      </c>
      <c r="D16" s="1822">
        <f>ROUND((A16*C16),0)</f>
        <v>10000</v>
      </c>
      <c r="F16" s="1797">
        <f t="shared" si="6"/>
        <v>907.39</v>
      </c>
      <c r="G16" s="1797"/>
      <c r="H16" s="1797">
        <f t="shared" si="7"/>
        <v>907.82</v>
      </c>
      <c r="I16" s="1797"/>
      <c r="J16" s="1797">
        <f>IF(H16="","",H16-F16)</f>
        <v>0.43000000000006366</v>
      </c>
      <c r="L16" s="1723">
        <f>IF(J16="","",H16/F16-1)</f>
        <v>4.73886641907173E-4</v>
      </c>
      <c r="N16" s="1797">
        <f t="shared" si="8"/>
        <v>525.04</v>
      </c>
      <c r="O16" s="1797"/>
      <c r="P16" s="1797">
        <f t="shared" si="9"/>
        <v>525.55999999999995</v>
      </c>
      <c r="Q16" s="1797"/>
      <c r="R16" s="1797">
        <f t="shared" si="0"/>
        <v>0.51999999999998181</v>
      </c>
      <c r="T16" s="1723">
        <f t="shared" si="1"/>
        <v>9.9040073137279805E-4</v>
      </c>
      <c r="V16" s="1736" t="s">
        <v>1718</v>
      </c>
      <c r="W16" s="1803">
        <f>'Sch10-1'!X16</f>
        <v>4.0400000000000005E-2</v>
      </c>
      <c r="X16" s="1804">
        <f>W16</f>
        <v>4.0400000000000005E-2</v>
      </c>
      <c r="Y16" s="1803"/>
    </row>
    <row r="17" spans="1:25" ht="13.5">
      <c r="A17" s="1823">
        <f>A15</f>
        <v>20</v>
      </c>
      <c r="B17" s="1821"/>
      <c r="C17" s="1822">
        <v>700</v>
      </c>
      <c r="D17" s="1822">
        <f>ROUND((A17*C17),0)</f>
        <v>14000</v>
      </c>
      <c r="F17" s="1797">
        <f t="shared" si="6"/>
        <v>1204.6400000000001</v>
      </c>
      <c r="G17" s="1797"/>
      <c r="H17" s="1797">
        <f t="shared" si="7"/>
        <v>1205.21</v>
      </c>
      <c r="I17" s="1797"/>
      <c r="J17" s="1797">
        <f>IF(H17="","",H17-F17)</f>
        <v>0.56999999999993634</v>
      </c>
      <c r="L17" s="1723">
        <f>IF(J17="","",H17/F17-1)</f>
        <v>4.7317040775651797E-4</v>
      </c>
      <c r="N17" s="1797">
        <f t="shared" si="8"/>
        <v>729.06</v>
      </c>
      <c r="O17" s="1797"/>
      <c r="P17" s="1797">
        <f t="shared" si="9"/>
        <v>729.79</v>
      </c>
      <c r="Q17" s="1797"/>
      <c r="R17" s="1797">
        <f t="shared" si="0"/>
        <v>0.73000000000001819</v>
      </c>
      <c r="T17" s="1723">
        <f t="shared" si="1"/>
        <v>1.001289331467925E-3</v>
      </c>
      <c r="V17" s="1792" t="s">
        <v>1709</v>
      </c>
      <c r="W17" s="1702"/>
      <c r="X17" s="1732"/>
      <c r="Y17" s="1702"/>
    </row>
    <row r="18" spans="1:25">
      <c r="F18" s="1797"/>
      <c r="G18" s="1797"/>
      <c r="H18" s="1797"/>
      <c r="I18" s="1797"/>
      <c r="J18" s="1797"/>
      <c r="L18" s="1723"/>
      <c r="N18" s="1797"/>
      <c r="O18" s="1797"/>
      <c r="P18" s="1797"/>
      <c r="Q18" s="1797"/>
      <c r="R18" s="1797" t="str">
        <f t="shared" si="0"/>
        <v/>
      </c>
      <c r="T18" s="1723" t="str">
        <f t="shared" si="1"/>
        <v/>
      </c>
      <c r="V18" s="1736" t="s">
        <v>1678</v>
      </c>
      <c r="W18" s="1773">
        <f>'Sch10-1'!X18</f>
        <v>14</v>
      </c>
      <c r="X18" s="1805">
        <f>X10</f>
        <v>14</v>
      </c>
      <c r="Y18" s="1773"/>
    </row>
    <row r="19" spans="1:25">
      <c r="A19" s="1821">
        <v>50</v>
      </c>
      <c r="B19" s="1821"/>
      <c r="C19" s="1822">
        <v>300</v>
      </c>
      <c r="D19" s="1822">
        <f>ROUND((A19*C19),0)</f>
        <v>15000</v>
      </c>
      <c r="F19" s="1797">
        <f t="shared" ref="F19:F21" si="10">ROUND($W$10+($W$11*$A19+$W$13/100*MIN($D19,30000)+$W$14/100*MAX($D19-30000,0))*((1+$W$33)*(1+$W$16)+$W$28)+$W$15,2)</f>
        <v>1502.87</v>
      </c>
      <c r="G19" s="1797"/>
      <c r="H19" s="1797">
        <f t="shared" ref="H19:H21" si="11">ROUND($X$10+($X$11*$A19+$X$13/100*MIN($D19,30000)+$X$14/100*MAX($D19-30000,0))*((1+$X$33)*(1+$X$16)+$X$28)+$X$15,2)</f>
        <v>1503.6</v>
      </c>
      <c r="I19" s="1797"/>
      <c r="J19" s="1797">
        <f>IF(H19="","",H19-F19)</f>
        <v>0.73000000000001819</v>
      </c>
      <c r="L19" s="1723">
        <f>IF(J19="","",H19/F19-1)</f>
        <v>4.8573728931988747E-4</v>
      </c>
      <c r="N19" s="1797">
        <f t="shared" ref="N19:N21" si="12">ROUND($W$18+($W$19*$A19+$W$21/100*MIN($D19,30000)+$W$22/100*MAX($D19-30000,0))*((1+$W$33)*(1+$W$24)+$W$28)+$W$23,2)</f>
        <v>780.07</v>
      </c>
      <c r="O19" s="1797"/>
      <c r="P19" s="1797">
        <f t="shared" ref="P19:P21" si="13">ROUND($X$18+($X$19*$A19+$X$21/100*MIN($D19,30000)+$X$22/100*MAX($D19-30000,0))*((1+$X$33)*(1+$X$24)+$X$28)+$X$23,2)</f>
        <v>780.85</v>
      </c>
      <c r="Q19" s="1797"/>
      <c r="R19" s="1797">
        <f t="shared" si="0"/>
        <v>0.77999999999997272</v>
      </c>
      <c r="T19" s="1723">
        <f t="shared" si="1"/>
        <v>9.9991026446333287E-4</v>
      </c>
      <c r="V19" s="1736" t="s">
        <v>1679</v>
      </c>
      <c r="W19" s="1795">
        <f>'Sch10-1'!X19</f>
        <v>0</v>
      </c>
      <c r="X19" s="1796">
        <v>0</v>
      </c>
      <c r="Y19" s="1795"/>
    </row>
    <row r="20" spans="1:25">
      <c r="A20" s="1823">
        <f>A19</f>
        <v>50</v>
      </c>
      <c r="B20" s="1821"/>
      <c r="C20" s="1822">
        <v>500</v>
      </c>
      <c r="D20" s="1822">
        <f>ROUND((A20*C20),0)</f>
        <v>25000</v>
      </c>
      <c r="F20" s="1797">
        <f t="shared" si="10"/>
        <v>2246.0100000000002</v>
      </c>
      <c r="G20" s="1797"/>
      <c r="H20" s="1797">
        <f t="shared" si="11"/>
        <v>2247.09</v>
      </c>
      <c r="I20" s="1797"/>
      <c r="J20" s="1797">
        <f>IF(H20="","",H20-F20)</f>
        <v>1.0799999999999272</v>
      </c>
      <c r="L20" s="1723">
        <f>IF(J20="","",H20/F20-1)</f>
        <v>4.8085271214293179E-4</v>
      </c>
      <c r="N20" s="1797">
        <f t="shared" si="12"/>
        <v>1290.1400000000001</v>
      </c>
      <c r="O20" s="1797"/>
      <c r="P20" s="1797">
        <f t="shared" si="13"/>
        <v>1291.44</v>
      </c>
      <c r="Q20" s="1797"/>
      <c r="R20" s="1797">
        <f t="shared" si="0"/>
        <v>1.2999999999999545</v>
      </c>
      <c r="T20" s="1723">
        <f t="shared" si="1"/>
        <v>1.0076425814251611E-3</v>
      </c>
      <c r="V20" s="1736" t="s">
        <v>1680</v>
      </c>
      <c r="W20" s="1795">
        <f>'Sch10-1'!X20</f>
        <v>0</v>
      </c>
      <c r="X20" s="1796">
        <v>0</v>
      </c>
      <c r="Y20" s="1795"/>
    </row>
    <row r="21" spans="1:25">
      <c r="A21" s="1823">
        <f>A19</f>
        <v>50</v>
      </c>
      <c r="B21" s="1821"/>
      <c r="C21" s="1822">
        <v>700</v>
      </c>
      <c r="D21" s="1822">
        <f>ROUND((A21*C21),0)</f>
        <v>35000</v>
      </c>
      <c r="F21" s="1797">
        <f t="shared" si="10"/>
        <v>2892.23</v>
      </c>
      <c r="G21" s="1797"/>
      <c r="H21" s="1797">
        <f t="shared" si="11"/>
        <v>2893.6</v>
      </c>
      <c r="I21" s="1797"/>
      <c r="J21" s="1797">
        <f>IF(H21="","",H21-F21)</f>
        <v>1.3699999999998909</v>
      </c>
      <c r="L21" s="1723">
        <f>IF(J21="","",H21/F21-1)</f>
        <v>4.736829366958073E-4</v>
      </c>
      <c r="N21" s="1797">
        <f t="shared" si="12"/>
        <v>1800.2</v>
      </c>
      <c r="O21" s="1797"/>
      <c r="P21" s="1797">
        <f t="shared" si="13"/>
        <v>1802.02</v>
      </c>
      <c r="Q21" s="1797"/>
      <c r="R21" s="1797">
        <f t="shared" si="0"/>
        <v>1.8199999999999363</v>
      </c>
      <c r="T21" s="1723">
        <f t="shared" si="1"/>
        <v>1.0109987779134411E-3</v>
      </c>
      <c r="V21" s="1736" t="s">
        <v>1707</v>
      </c>
      <c r="W21" s="1799">
        <f>'Sch10-1'!X21</f>
        <v>4.9204197701460002</v>
      </c>
      <c r="X21" s="1800">
        <f>'Blocking-Step2'!Q1614</f>
        <v>4.9840878813130001</v>
      </c>
      <c r="Y21" s="1801"/>
    </row>
    <row r="22" spans="1:25">
      <c r="F22" s="1797"/>
      <c r="G22" s="1797"/>
      <c r="H22" s="1797"/>
      <c r="I22" s="1797"/>
      <c r="J22" s="1797"/>
      <c r="L22" s="1723"/>
      <c r="N22" s="1797"/>
      <c r="O22" s="1797"/>
      <c r="P22" s="1797"/>
      <c r="Q22" s="1797"/>
      <c r="R22" s="1797" t="str">
        <f t="shared" si="0"/>
        <v/>
      </c>
      <c r="T22" s="1723" t="str">
        <f t="shared" si="1"/>
        <v/>
      </c>
      <c r="V22" s="1736" t="s">
        <v>1708</v>
      </c>
      <c r="W22" s="1824">
        <f>'Sch10-1'!X22</f>
        <v>4.9204197701460002</v>
      </c>
      <c r="X22" s="1825">
        <f>X21</f>
        <v>4.9840878813130001</v>
      </c>
      <c r="Y22" s="1826"/>
    </row>
    <row r="23" spans="1:25">
      <c r="A23" s="1821">
        <v>100</v>
      </c>
      <c r="B23" s="1821"/>
      <c r="C23" s="1822">
        <v>300</v>
      </c>
      <c r="D23" s="1822">
        <f>ROUND((A23*C23),0)</f>
        <v>30000</v>
      </c>
      <c r="F23" s="1797">
        <f t="shared" ref="F23:F25" si="14">ROUND($W$10+($W$11*$A23+$W$13/100*MIN($D23,30000)+$W$14/100*MAX($D23-30000,0))*((1+$W$33)*(1+$W$16)+$W$28)+$W$15,2)</f>
        <v>2990.77</v>
      </c>
      <c r="G23" s="1797"/>
      <c r="H23" s="1797">
        <f t="shared" ref="H23:H25" si="15">ROUND($X$10+($X$11*$A23+$X$13/100*MIN($D23,30000)+$X$14/100*MAX($D23-30000,0))*((1+$X$33)*(1+$X$16)+$X$28)+$X$15,2)</f>
        <v>2992.24</v>
      </c>
      <c r="I23" s="1797"/>
      <c r="J23" s="1797">
        <f>IF(H23="","",H23-F23)</f>
        <v>1.4699999999997999</v>
      </c>
      <c r="L23" s="1723">
        <f>IF(J23="","",H23/F23-1)</f>
        <v>4.9151221926124755E-4</v>
      </c>
      <c r="N23" s="1797">
        <f t="shared" ref="N23:N25" si="16">ROUND($W$18+($W$19*$A23+$W$21/100*MIN($D23,30000)+$W$22/100*MAX($D23-30000,0))*((1+$W$33)*(1+$W$24)+$W$28)+$W$23,2)</f>
        <v>1545.17</v>
      </c>
      <c r="O23" s="1797"/>
      <c r="P23" s="1797">
        <f t="shared" ref="P23:P25" si="17">ROUND($X$18+($X$19*$A23+$X$21/100*MIN($D23,30000)+$X$22/100*MAX($D23-30000,0))*((1+$X$33)*(1+$X$24)+$X$28)+$X$23,2)</f>
        <v>1546.73</v>
      </c>
      <c r="Q23" s="1797"/>
      <c r="R23" s="1797">
        <f t="shared" si="0"/>
        <v>1.5599999999999454</v>
      </c>
      <c r="T23" s="1723">
        <f t="shared" si="1"/>
        <v>1.0095976494495229E-3</v>
      </c>
      <c r="V23" s="1736" t="s">
        <v>1683</v>
      </c>
      <c r="W23" s="1773">
        <f>'Sch10-1'!X23</f>
        <v>0.97</v>
      </c>
      <c r="X23" s="1805">
        <f>X15</f>
        <v>0.97</v>
      </c>
      <c r="Y23" s="1773"/>
    </row>
    <row r="24" spans="1:25">
      <c r="A24" s="1823">
        <f>A23</f>
        <v>100</v>
      </c>
      <c r="B24" s="1821"/>
      <c r="C24" s="1822">
        <v>500</v>
      </c>
      <c r="D24" s="1822">
        <f>ROUND((A24*C24),0)</f>
        <v>50000</v>
      </c>
      <c r="F24" s="1797">
        <f t="shared" si="14"/>
        <v>4089.35</v>
      </c>
      <c r="G24" s="1797"/>
      <c r="H24" s="1797">
        <f t="shared" si="15"/>
        <v>4091.32</v>
      </c>
      <c r="I24" s="1797"/>
      <c r="J24" s="1797">
        <f>IF(H24="","",H24-F24)</f>
        <v>1.9700000000002547</v>
      </c>
      <c r="L24" s="1723">
        <f>IF(J24="","",H24/F24-1)</f>
        <v>4.8173915169891224E-4</v>
      </c>
      <c r="N24" s="1797">
        <f t="shared" si="16"/>
        <v>2565.3000000000002</v>
      </c>
      <c r="O24" s="1797"/>
      <c r="P24" s="1797">
        <f t="shared" si="17"/>
        <v>2567.9</v>
      </c>
      <c r="Q24" s="1797"/>
      <c r="R24" s="1797">
        <f t="shared" si="0"/>
        <v>2.5999999999999091</v>
      </c>
      <c r="T24" s="1723">
        <f t="shared" si="1"/>
        <v>1.01352668303889E-3</v>
      </c>
      <c r="V24" s="1759" t="s">
        <v>1718</v>
      </c>
      <c r="W24" s="1768">
        <f>'Sch10-1'!X24</f>
        <v>4.0400000000000005E-2</v>
      </c>
      <c r="X24" s="1769">
        <f>X16</f>
        <v>4.0400000000000005E-2</v>
      </c>
      <c r="Y24" s="1752"/>
    </row>
    <row r="25" spans="1:25">
      <c r="A25" s="1823">
        <f>A23</f>
        <v>100</v>
      </c>
      <c r="B25" s="1821"/>
      <c r="C25" s="1822">
        <v>700</v>
      </c>
      <c r="D25" s="1822">
        <f>ROUND((A25*C25),0)</f>
        <v>70000</v>
      </c>
      <c r="F25" s="1797">
        <f t="shared" si="14"/>
        <v>5187.92</v>
      </c>
      <c r="G25" s="1797"/>
      <c r="H25" s="1797">
        <f t="shared" si="15"/>
        <v>5190.3999999999996</v>
      </c>
      <c r="I25" s="1797"/>
      <c r="J25" s="1797">
        <f>IF(H25="","",H25-F25)</f>
        <v>2.4799999999995634</v>
      </c>
      <c r="L25" s="1723">
        <f>IF(J25="","",H25/F25-1)</f>
        <v>4.7803358571441024E-4</v>
      </c>
      <c r="N25" s="1797">
        <f t="shared" si="16"/>
        <v>3585.44</v>
      </c>
      <c r="O25" s="1797"/>
      <c r="P25" s="1797">
        <f t="shared" si="17"/>
        <v>3589.07</v>
      </c>
      <c r="Q25" s="1797"/>
      <c r="R25" s="1797">
        <f t="shared" si="0"/>
        <v>3.6300000000001091</v>
      </c>
      <c r="T25" s="1723">
        <f t="shared" si="1"/>
        <v>1.0124280423045029E-3</v>
      </c>
      <c r="Y25" s="1814"/>
    </row>
    <row r="26" spans="1:25">
      <c r="F26" s="1797"/>
      <c r="G26" s="1797"/>
      <c r="H26" s="1797"/>
      <c r="I26" s="1797"/>
      <c r="J26" s="1797"/>
      <c r="L26" s="1723"/>
      <c r="N26" s="1797"/>
      <c r="O26" s="1797"/>
      <c r="P26" s="1797"/>
      <c r="Q26" s="1797"/>
      <c r="R26" s="1797" t="str">
        <f t="shared" si="0"/>
        <v/>
      </c>
      <c r="T26" s="1723" t="str">
        <f t="shared" si="1"/>
        <v/>
      </c>
      <c r="X26" s="1808"/>
      <c r="Y26" s="1814"/>
    </row>
    <row r="27" spans="1:25">
      <c r="A27" s="1821">
        <v>200</v>
      </c>
      <c r="B27" s="1821"/>
      <c r="C27" s="1822">
        <v>300</v>
      </c>
      <c r="D27" s="1822">
        <f>ROUND((A27*C27),0)</f>
        <v>60000</v>
      </c>
      <c r="F27" s="1797">
        <f t="shared" ref="F27:F29" si="18">ROUND($W$10+($W$11*$A27+$W$13/100*MIN($D27,30000)+$W$14/100*MAX($D27-30000,0))*((1+$W$33)*(1+$W$16)+$W$28)+$W$15,2)</f>
        <v>5385.01</v>
      </c>
      <c r="G27" s="1797"/>
      <c r="H27" s="1797">
        <f t="shared" ref="H27:H29" si="19">ROUND($X$10+($X$11*$A27+$X$13/100*MIN($D27,30000)+$X$14/100*MAX($D27-30000,0))*((1+$X$33)*(1+$X$16)+$X$28)+$X$15,2)</f>
        <v>5387.67</v>
      </c>
      <c r="I27" s="1797"/>
      <c r="J27" s="1797">
        <f>IF(H27="","",H27-F27)</f>
        <v>2.6599999999998545</v>
      </c>
      <c r="L27" s="1723">
        <f>IF(J27="","",H27/F27-1)</f>
        <v>4.9396379951005542E-4</v>
      </c>
      <c r="N27" s="1797">
        <f t="shared" ref="N27:N29" si="20">ROUND($W$18+($W$19*$A27+$W$21/100*MIN($D27,30000)+$W$22/100*MAX($D27-30000,0))*((1+$W$33)*(1+$W$24)+$W$28)+$W$23,2)</f>
        <v>3075.37</v>
      </c>
      <c r="O27" s="1797"/>
      <c r="P27" s="1797">
        <f t="shared" ref="P27:P29" si="21">ROUND($X$18+($X$19*$A27+$X$21/100*MIN($D27,30000)+$X$22/100*MAX($D27-30000,0))*((1+$X$33)*(1+$X$24)+$X$28)+$X$23,2)</f>
        <v>3078.49</v>
      </c>
      <c r="Q27" s="1797"/>
      <c r="R27" s="1797">
        <f t="shared" si="0"/>
        <v>3.1199999999998909</v>
      </c>
      <c r="T27" s="1723">
        <f t="shared" si="1"/>
        <v>1.0145120749698311E-3</v>
      </c>
      <c r="V27" s="1704" t="s">
        <v>1684</v>
      </c>
      <c r="W27" s="1799">
        <f>'Sch10-1'!X27</f>
        <v>0</v>
      </c>
      <c r="X27" s="1799">
        <v>0</v>
      </c>
      <c r="Y27" s="1814"/>
    </row>
    <row r="28" spans="1:25">
      <c r="A28" s="1823">
        <f>A27</f>
        <v>200</v>
      </c>
      <c r="B28" s="1821"/>
      <c r="C28" s="1822">
        <v>500</v>
      </c>
      <c r="D28" s="1822">
        <f>ROUND((A28*C28),0)</f>
        <v>100000</v>
      </c>
      <c r="F28" s="1797">
        <f t="shared" si="18"/>
        <v>7582.16</v>
      </c>
      <c r="G28" s="1797"/>
      <c r="H28" s="1797">
        <f t="shared" si="19"/>
        <v>7585.84</v>
      </c>
      <c r="I28" s="1797"/>
      <c r="J28" s="1797">
        <f>IF(H28="","",H28-F28)</f>
        <v>3.680000000000291</v>
      </c>
      <c r="L28" s="1723">
        <f>IF(J28="","",H28/F28-1)</f>
        <v>4.8534982115921999E-4</v>
      </c>
      <c r="N28" s="1797">
        <f t="shared" si="20"/>
        <v>5115.6400000000003</v>
      </c>
      <c r="O28" s="1797"/>
      <c r="P28" s="1797">
        <f t="shared" si="21"/>
        <v>5120.83</v>
      </c>
      <c r="Q28" s="1797"/>
      <c r="R28" s="1797">
        <f t="shared" si="0"/>
        <v>5.1899999999995998</v>
      </c>
      <c r="T28" s="1723">
        <f t="shared" si="1"/>
        <v>1.0145358156554707E-3</v>
      </c>
      <c r="V28" s="1702" t="s">
        <v>1720</v>
      </c>
      <c r="W28" s="1765">
        <f>'Sch10-1'!X28</f>
        <v>-1.49E-2</v>
      </c>
      <c r="X28" s="1808">
        <f>'Blocking-Step2'!Q1617</f>
        <v>-2.7099999999999999E-2</v>
      </c>
      <c r="Y28" s="1808"/>
    </row>
    <row r="29" spans="1:25">
      <c r="A29" s="1823">
        <f>A27</f>
        <v>200</v>
      </c>
      <c r="B29" s="1821"/>
      <c r="C29" s="1822">
        <v>700</v>
      </c>
      <c r="D29" s="1822">
        <f>ROUND((A29*C29),0)</f>
        <v>140000</v>
      </c>
      <c r="F29" s="1797">
        <f t="shared" si="18"/>
        <v>9779.32</v>
      </c>
      <c r="G29" s="1797"/>
      <c r="H29" s="1797">
        <f t="shared" si="19"/>
        <v>9784.01</v>
      </c>
      <c r="I29" s="1797"/>
      <c r="J29" s="1797">
        <f>IF(H29="","",H29-F29)</f>
        <v>4.6900000000005093</v>
      </c>
      <c r="L29" s="1723">
        <f>IF(J29="","",H29/F29-1)</f>
        <v>4.7958344751997117E-4</v>
      </c>
      <c r="N29" s="1797">
        <f t="shared" si="20"/>
        <v>7155.9</v>
      </c>
      <c r="O29" s="1797"/>
      <c r="P29" s="1797">
        <f t="shared" si="21"/>
        <v>7163.17</v>
      </c>
      <c r="Q29" s="1797"/>
      <c r="R29" s="1797">
        <f t="shared" si="0"/>
        <v>7.2700000000004366</v>
      </c>
      <c r="T29" s="1723">
        <f t="shared" si="1"/>
        <v>1.0159448846407404E-3</v>
      </c>
      <c r="V29" s="1702" t="s">
        <v>1721</v>
      </c>
      <c r="W29" s="1765">
        <f>'Sch10-1'!X29</f>
        <v>4.0000000000000001E-3</v>
      </c>
      <c r="X29" s="1808">
        <f>W29</f>
        <v>4.0000000000000001E-3</v>
      </c>
    </row>
    <row r="30" spans="1:25">
      <c r="F30" s="1797"/>
      <c r="G30" s="1797"/>
      <c r="H30" s="1797"/>
      <c r="I30" s="1797"/>
      <c r="J30" s="1797"/>
      <c r="L30" s="1723"/>
      <c r="N30" s="1797"/>
      <c r="O30" s="1797"/>
      <c r="P30" s="1797"/>
      <c r="Q30" s="1797"/>
      <c r="R30" s="1797" t="str">
        <f t="shared" si="0"/>
        <v/>
      </c>
      <c r="T30" s="1723" t="str">
        <f t="shared" si="1"/>
        <v/>
      </c>
      <c r="V30" s="1702" t="s">
        <v>1722</v>
      </c>
      <c r="W30" s="1803">
        <f>'Sch10-1'!X30</f>
        <v>3.6400000000000002E-2</v>
      </c>
      <c r="X30" s="1808">
        <f>W30</f>
        <v>3.6400000000000002E-2</v>
      </c>
    </row>
    <row r="31" spans="1:25">
      <c r="A31" s="1821">
        <v>300</v>
      </c>
      <c r="B31" s="1821"/>
      <c r="C31" s="1822">
        <v>300</v>
      </c>
      <c r="D31" s="1822">
        <f>ROUND((A31*C31),0)</f>
        <v>90000</v>
      </c>
      <c r="F31" s="1797">
        <f t="shared" ref="F31:F33" si="22">ROUND($W$10+($W$11*$A31+$W$13/100*MIN($D31,30000)+$W$14/100*MAX($D31-30000,0))*((1+$W$33)*(1+$W$16)+$W$28)+$W$15,2)</f>
        <v>7779.25</v>
      </c>
      <c r="G31" s="1797"/>
      <c r="H31" s="1797">
        <f t="shared" ref="H31:H33" si="23">ROUND($X$10+($X$11*$A31+$X$13/100*MIN($D31,30000)+$X$14/100*MAX($D31-30000,0))*((1+$X$33)*(1+$X$16)+$X$28)+$X$15,2)</f>
        <v>7783.11</v>
      </c>
      <c r="I31" s="1797"/>
      <c r="J31" s="1797">
        <f>IF(H31="","",H31-F31)</f>
        <v>3.8599999999996726</v>
      </c>
      <c r="L31" s="1723">
        <f>IF(J31="","",H31/F31-1)</f>
        <v>4.9619179226789711E-4</v>
      </c>
      <c r="N31" s="1797">
        <f t="shared" ref="N31:N33" si="24">ROUND($W$18+($W$19*$A31+$W$21/100*MIN($D31,30000)+$W$22/100*MAX($D31-30000,0))*((1+$W$33)*(1+$W$24)+$W$28)+$W$23,2)</f>
        <v>4605.57</v>
      </c>
      <c r="O31" s="1797"/>
      <c r="P31" s="1797">
        <f t="shared" ref="P31:P33" si="25">ROUND($X$18+($X$19*$A31+$X$21/100*MIN($D31,30000)+$X$22/100*MAX($D31-30000,0))*((1+$X$33)*(1+$X$24)+$X$28)+$X$23,2)</f>
        <v>4610.24</v>
      </c>
      <c r="Q31" s="1797"/>
      <c r="R31" s="1797">
        <f t="shared" si="0"/>
        <v>4.6700000000000728</v>
      </c>
      <c r="T31" s="1723">
        <f t="shared" si="1"/>
        <v>1.0139895821799083E-3</v>
      </c>
      <c r="V31" s="1704" t="s">
        <v>1685</v>
      </c>
      <c r="W31" s="1765">
        <f>'Sch10-1'!X31</f>
        <v>1.0200000000000001E-2</v>
      </c>
      <c r="X31" s="1808">
        <f>W31</f>
        <v>1.0200000000000001E-2</v>
      </c>
    </row>
    <row r="32" spans="1:25">
      <c r="A32" s="1823">
        <f>A31</f>
        <v>300</v>
      </c>
      <c r="B32" s="1821"/>
      <c r="C32" s="1822">
        <v>500</v>
      </c>
      <c r="D32" s="1822">
        <f>ROUND((A32*C32),0)</f>
        <v>150000</v>
      </c>
      <c r="F32" s="1797">
        <f t="shared" si="22"/>
        <v>11074.98</v>
      </c>
      <c r="G32" s="1797"/>
      <c r="H32" s="1797">
        <f t="shared" si="23"/>
        <v>11080.36</v>
      </c>
      <c r="I32" s="1797"/>
      <c r="J32" s="1797">
        <f>IF(H32="","",H32-F32)</f>
        <v>5.3800000000010186</v>
      </c>
      <c r="L32" s="1723">
        <f>IF(J32="","",H32/F32-1)</f>
        <v>4.8577965829288416E-4</v>
      </c>
      <c r="N32" s="1797">
        <f t="shared" si="24"/>
        <v>7665.97</v>
      </c>
      <c r="O32" s="1797"/>
      <c r="P32" s="1797">
        <f t="shared" si="25"/>
        <v>7673.76</v>
      </c>
      <c r="Q32" s="1797"/>
      <c r="R32" s="1797">
        <f t="shared" si="0"/>
        <v>7.7899999999999636</v>
      </c>
      <c r="T32" s="1723">
        <f t="shared" si="1"/>
        <v>1.0161792962926075E-3</v>
      </c>
      <c r="V32" s="1704" t="s">
        <v>1686</v>
      </c>
      <c r="W32" s="1765">
        <f>'Sch10-1'!X32</f>
        <v>5.0000000000000001E-4</v>
      </c>
      <c r="X32" s="1808">
        <f>W32</f>
        <v>5.0000000000000001E-4</v>
      </c>
    </row>
    <row r="33" spans="1:24">
      <c r="A33" s="1823">
        <f>A31</f>
        <v>300</v>
      </c>
      <c r="B33" s="1821"/>
      <c r="C33" s="1822">
        <v>700</v>
      </c>
      <c r="D33" s="1822">
        <f>ROUND((A33*C33),0)</f>
        <v>210000</v>
      </c>
      <c r="F33" s="1797">
        <f t="shared" si="22"/>
        <v>14370.71</v>
      </c>
      <c r="G33" s="1797"/>
      <c r="H33" s="1797">
        <f t="shared" si="23"/>
        <v>14377.61</v>
      </c>
      <c r="I33" s="1797"/>
      <c r="J33" s="1797">
        <f>IF(H33="","",H33-F33)</f>
        <v>6.9000000000014552</v>
      </c>
      <c r="L33" s="1723">
        <f>IF(J33="","",H33/F33-1)</f>
        <v>4.8014329145895651E-4</v>
      </c>
      <c r="N33" s="1797">
        <f t="shared" si="24"/>
        <v>10726.37</v>
      </c>
      <c r="O33" s="1797"/>
      <c r="P33" s="1797">
        <f t="shared" si="25"/>
        <v>10737.28</v>
      </c>
      <c r="Q33" s="1797"/>
      <c r="R33" s="1797">
        <f t="shared" si="0"/>
        <v>10.909999999999854</v>
      </c>
      <c r="T33" s="1723">
        <f t="shared" si="1"/>
        <v>1.0171194914960768E-3</v>
      </c>
      <c r="V33" s="1702" t="s">
        <v>1687</v>
      </c>
      <c r="W33" s="1752">
        <f>SUM(W31:W32)</f>
        <v>1.0700000000000001E-2</v>
      </c>
      <c r="X33" s="1752">
        <f>SUM(X31:X32)</f>
        <v>1.0700000000000001E-2</v>
      </c>
    </row>
    <row r="34" spans="1:24">
      <c r="W34" s="1827"/>
      <c r="X34" s="1827"/>
    </row>
    <row r="35" spans="1:24" ht="15.75">
      <c r="A35" s="1770" t="s">
        <v>2254</v>
      </c>
      <c r="W35" s="1827"/>
      <c r="X35" s="1827"/>
    </row>
    <row r="36" spans="1:24" ht="15.75">
      <c r="A36" s="1770"/>
    </row>
  </sheetData>
  <printOptions horizontalCentered="1"/>
  <pageMargins left="0.75" right="0.75" top="1" bottom="1" header="0.5" footer="0.5"/>
  <pageSetup scale="97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49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" style="1707" customWidth="1"/>
    <col min="2" max="2" width="1.125" style="1707" customWidth="1"/>
    <col min="3" max="3" width="6.75" style="1707" bestFit="1" customWidth="1"/>
    <col min="4" max="4" width="0.75" style="1704" customWidth="1"/>
    <col min="5" max="5" width="8.75" style="1708" bestFit="1" customWidth="1"/>
    <col min="6" max="6" width="1" style="1704" customWidth="1"/>
    <col min="7" max="7" width="9" style="1708" bestFit="1" customWidth="1"/>
    <col min="8" max="8" width="1.25" style="1704" customWidth="1"/>
    <col min="9" max="9" width="7.625" style="1704" bestFit="1" customWidth="1"/>
    <col min="10" max="10" width="0.75" style="1704" customWidth="1"/>
    <col min="11" max="11" width="5.625" style="1704" bestFit="1" customWidth="1"/>
    <col min="12" max="12" width="1.75" style="1704" customWidth="1"/>
    <col min="13" max="13" width="8.75" style="1708" bestFit="1" customWidth="1"/>
    <col min="14" max="14" width="0.7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75" style="1704" customWidth="1"/>
    <col min="19" max="19" width="5.625" style="1704" bestFit="1" customWidth="1"/>
    <col min="20" max="20" width="2.5" style="1704" customWidth="1"/>
    <col min="21" max="21" width="16" style="1704" bestFit="1" customWidth="1"/>
    <col min="22" max="22" width="7.125" style="1704" bestFit="1" customWidth="1"/>
    <col min="23" max="23" width="11.125" style="1704" bestFit="1" customWidth="1"/>
    <col min="24" max="16384" width="8" style="1704"/>
  </cols>
  <sheetData>
    <row r="1" spans="1:25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5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5" ht="16.5">
      <c r="A3" s="1697" t="s">
        <v>1673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5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5" ht="16.5">
      <c r="A5" s="1697" t="s">
        <v>2337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</row>
    <row r="6" spans="1:25" ht="17.25">
      <c r="A6" s="1787"/>
      <c r="B6" s="1701"/>
      <c r="C6" s="1702"/>
      <c r="D6" s="1702"/>
      <c r="E6" s="1774"/>
      <c r="F6" s="1788"/>
      <c r="G6" s="1774"/>
      <c r="H6" s="1788"/>
      <c r="I6" s="1788"/>
      <c r="J6" s="1788"/>
      <c r="K6" s="1788"/>
      <c r="L6" s="1702"/>
      <c r="M6" s="1774"/>
      <c r="N6" s="1788"/>
      <c r="O6" s="1774"/>
      <c r="P6" s="1788"/>
      <c r="Q6" s="1788"/>
      <c r="R6" s="1788"/>
      <c r="S6" s="1788"/>
    </row>
    <row r="7" spans="1:25">
      <c r="E7" s="1709"/>
      <c r="F7" s="1701"/>
      <c r="G7" s="1709"/>
      <c r="H7" s="1702"/>
      <c r="I7" s="2147"/>
      <c r="J7" s="2147"/>
      <c r="K7" s="2147"/>
      <c r="L7" s="1702"/>
      <c r="M7" s="1709"/>
      <c r="N7" s="1701"/>
      <c r="O7" s="1709"/>
      <c r="P7" s="1702"/>
      <c r="Q7" s="2147"/>
      <c r="R7" s="2147"/>
      <c r="S7" s="2147"/>
    </row>
    <row r="8" spans="1:25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</row>
    <row r="9" spans="1:25" ht="15.7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</row>
    <row r="10" spans="1:25">
      <c r="A10" s="1720" t="s">
        <v>1677</v>
      </c>
      <c r="B10" s="1793"/>
      <c r="C10" s="1794" t="s">
        <v>111</v>
      </c>
      <c r="E10" s="1717" t="s">
        <v>2335</v>
      </c>
      <c r="G10" s="1718" t="s">
        <v>2334</v>
      </c>
      <c r="I10" s="1719" t="s">
        <v>1399</v>
      </c>
      <c r="K10" s="1720" t="s">
        <v>465</v>
      </c>
      <c r="M10" s="1717" t="s">
        <v>2335</v>
      </c>
      <c r="O10" s="1718" t="s">
        <v>2334</v>
      </c>
      <c r="Q10" s="1719" t="s">
        <v>1399</v>
      </c>
      <c r="S10" s="1720" t="s">
        <v>465</v>
      </c>
    </row>
    <row r="11" spans="1:25" ht="18" customHeight="1">
      <c r="A11" s="1828">
        <v>15</v>
      </c>
      <c r="B11" s="1707" t="s">
        <v>2314</v>
      </c>
      <c r="C11" s="1707">
        <v>200</v>
      </c>
      <c r="E11" s="1708">
        <f>ROUND($V$13+(($A11-15)*$V$14+MIN(1500,$C11)*$V$16/100+MAX(0,$C11-1500)*$V$17/100)*((1+$V$36)*(1+$V$19)+$V$31)+$V$18,2)</f>
        <v>34.56</v>
      </c>
      <c r="G11" s="1708">
        <f>ROUND($W$13+(($A11-15)*$W$14+MIN(1500,$C11)*$W$16/100+MAX(0,$C11-1500)*$W$17/100)*((1+$W$36)*(1+$W$19)+$W$31)+$W$18,2)</f>
        <v>34.28</v>
      </c>
      <c r="I11" s="1715">
        <f t="shared" ref="I11:I14" si="0">IF(G11="","",G11-E11)</f>
        <v>-0.28000000000000114</v>
      </c>
      <c r="K11" s="1723">
        <f t="shared" ref="K11:K14" si="1">IF(E11="","",G11/E11-1)</f>
        <v>-8.1018518518518601E-3</v>
      </c>
      <c r="M11" s="1708">
        <f>ROUND($V$21+(($A11-15)*$V$22+MIN(1500,$C11)*$V$24/100+MAX(0,$C11-1500)*$V$25/100)*((1+$V$36)*(1+$V$27)+$V$31)+$V$26,2)</f>
        <v>31.76</v>
      </c>
      <c r="O11" s="1708">
        <f>ROUND($W$21+(($A11-15)*$W$22+MIN(1500,$C11)*$W$24/100+MAX(0,$C11-1500)*$W$25/100)*((1+$W$36)*(1+$W$27)+$W$31)+$W$26,2)</f>
        <v>31.52</v>
      </c>
      <c r="Q11" s="1715">
        <f t="shared" ref="Q11:Q18" si="2">IF(O11="","",O11-M11)</f>
        <v>-0.24000000000000199</v>
      </c>
      <c r="S11" s="1723">
        <f t="shared" ref="S11:S14" si="3">IF(M11="","",O11/M11-1)</f>
        <v>-7.5566750629723067E-3</v>
      </c>
      <c r="U11" s="1789" t="s">
        <v>466</v>
      </c>
      <c r="V11" s="1725" t="s">
        <v>2335</v>
      </c>
      <c r="W11" s="1726" t="s">
        <v>2334</v>
      </c>
      <c r="X11" s="1829"/>
    </row>
    <row r="12" spans="1:25" ht="13.5">
      <c r="A12" s="2021">
        <f>A11</f>
        <v>15</v>
      </c>
      <c r="C12" s="1707">
        <v>500</v>
      </c>
      <c r="E12" s="1708">
        <f t="shared" ref="E12:E14" si="4">ROUND($V$13+(($A12-15)*$V$14+MIN(1500,$C12)*$V$16/100+MAX(0,$C12-1500)*$V$17/100)*((1+$V$36)*(1+$V$19)+$V$31)+$V$18,2)</f>
        <v>71</v>
      </c>
      <c r="G12" s="1708">
        <f t="shared" ref="G12:G14" si="5">ROUND($W$13+(($A12-15)*$W$14+MIN(1500,$C12)*$W$16/100+MAX(0,$C12-1500)*$W$17/100)*((1+$W$36)*(1+$W$19)+$W$31)+$W$18,2)</f>
        <v>70.319999999999993</v>
      </c>
      <c r="I12" s="1715">
        <f t="shared" si="0"/>
        <v>-0.68000000000000682</v>
      </c>
      <c r="K12" s="1723">
        <f t="shared" si="1"/>
        <v>-9.5774647887324482E-3</v>
      </c>
      <c r="M12" s="1708">
        <f t="shared" ref="M12:M14" si="6">ROUND($V$21+(($A12-15)*$V$22+MIN(1500,$C12)*$V$24/100+MAX(0,$C12-1500)*$V$25/100)*((1+$V$36)*(1+$V$27)+$V$31)+$V$26,2)</f>
        <v>64.02</v>
      </c>
      <c r="O12" s="1708">
        <f t="shared" ref="O12:O14" si="7">ROUND($W$21+(($A12-15)*$W$22+MIN(1500,$C12)*$W$24/100+MAX(0,$C12-1500)*$W$25/100)*((1+$W$36)*(1+$W$27)+$W$31)+$W$26,2)</f>
        <v>63.41</v>
      </c>
      <c r="Q12" s="1715">
        <f t="shared" si="2"/>
        <v>-0.60999999999999943</v>
      </c>
      <c r="S12" s="1723">
        <f t="shared" si="3"/>
        <v>-9.5282724148703091E-3</v>
      </c>
      <c r="U12" s="1792" t="s">
        <v>79</v>
      </c>
      <c r="V12" s="1702"/>
      <c r="W12" s="1732"/>
    </row>
    <row r="13" spans="1:25">
      <c r="A13" s="2021">
        <f t="shared" ref="A13:A14" si="8">A12</f>
        <v>15</v>
      </c>
      <c r="C13" s="1707">
        <v>1000</v>
      </c>
      <c r="E13" s="1708">
        <f t="shared" si="4"/>
        <v>131.75</v>
      </c>
      <c r="G13" s="1708">
        <f t="shared" si="5"/>
        <v>130.38</v>
      </c>
      <c r="I13" s="1715">
        <f t="shared" si="0"/>
        <v>-1.3700000000000045</v>
      </c>
      <c r="K13" s="1723">
        <f t="shared" si="1"/>
        <v>-1.0398481973434515E-2</v>
      </c>
      <c r="M13" s="1708">
        <f t="shared" si="6"/>
        <v>117.77</v>
      </c>
      <c r="O13" s="1708">
        <f t="shared" si="7"/>
        <v>116.56</v>
      </c>
      <c r="Q13" s="1715">
        <f t="shared" si="2"/>
        <v>-1.2099999999999937</v>
      </c>
      <c r="S13" s="1723">
        <f t="shared" si="3"/>
        <v>-1.0274263394752459E-2</v>
      </c>
      <c r="U13" s="1736" t="s">
        <v>1678</v>
      </c>
      <c r="V13" s="1795">
        <f>'Sch23-1'!W13</f>
        <v>10</v>
      </c>
      <c r="W13" s="1796">
        <f>'Blocking-Step2'!Q1979</f>
        <v>10</v>
      </c>
      <c r="X13" s="1795"/>
      <c r="Y13" s="1827"/>
    </row>
    <row r="14" spans="1:25">
      <c r="A14" s="2021">
        <f t="shared" si="8"/>
        <v>15</v>
      </c>
      <c r="C14" s="1707">
        <v>2000</v>
      </c>
      <c r="E14" s="1708">
        <f t="shared" si="4"/>
        <v>226.5</v>
      </c>
      <c r="G14" s="1708">
        <f t="shared" si="5"/>
        <v>224.06</v>
      </c>
      <c r="I14" s="1715">
        <f t="shared" si="0"/>
        <v>-2.4399999999999977</v>
      </c>
      <c r="K14" s="1723">
        <f t="shared" si="1"/>
        <v>-1.0772626931567331E-2</v>
      </c>
      <c r="M14" s="1708">
        <f t="shared" si="6"/>
        <v>201.63</v>
      </c>
      <c r="O14" s="1708">
        <f t="shared" si="7"/>
        <v>199.47</v>
      </c>
      <c r="Q14" s="1715">
        <f t="shared" si="2"/>
        <v>-2.1599999999999966</v>
      </c>
      <c r="S14" s="1723">
        <f t="shared" si="3"/>
        <v>-1.0712691563755428E-2</v>
      </c>
      <c r="U14" s="1736" t="s">
        <v>1679</v>
      </c>
      <c r="V14" s="1795">
        <f>'Sch23-1'!W14</f>
        <v>8.89</v>
      </c>
      <c r="W14" s="1796">
        <f>'Blocking-Step2'!Q1980</f>
        <v>8.89</v>
      </c>
      <c r="X14" s="1795"/>
      <c r="Y14" s="1827"/>
    </row>
    <row r="15" spans="1:25">
      <c r="I15" s="1715"/>
      <c r="K15" s="1830"/>
      <c r="Q15" s="1715" t="str">
        <f t="shared" si="2"/>
        <v/>
      </c>
      <c r="S15" s="1830"/>
      <c r="U15" s="1736" t="s">
        <v>1680</v>
      </c>
      <c r="V15" s="1795">
        <f>'Sch23-1'!W15</f>
        <v>-0.48</v>
      </c>
      <c r="W15" s="1796">
        <f>'Blocking-Step2'!Q1988</f>
        <v>-0.48</v>
      </c>
      <c r="X15" s="1795"/>
      <c r="Y15" s="1827"/>
    </row>
    <row r="16" spans="1:25">
      <c r="A16" s="1707">
        <v>20</v>
      </c>
      <c r="C16" s="1707">
        <v>5000</v>
      </c>
      <c r="E16" s="1708">
        <f t="shared" ref="E16:E18" si="9">ROUND($V$13+(($A16-15)*$V$14+MIN(1500,$C16)*$V$16/100+MAX(0,$C16-1500)*$V$17/100)*((1+$V$36)*(1+$V$19)+$V$31)+$V$18,2)</f>
        <v>476.66</v>
      </c>
      <c r="G16" s="1708">
        <f t="shared" ref="G16:G18" si="10">ROUND($W$13+(($A16-15)*$W$14+MIN(1500,$C16)*$W$16/100+MAX(0,$C16-1500)*$W$17/100)*((1+$W$36)*(1+$W$19)+$W$31)+$W$18,2)</f>
        <v>471.4</v>
      </c>
      <c r="I16" s="1715">
        <f>IF(G16="","",G16-E16)</f>
        <v>-5.2600000000000477</v>
      </c>
      <c r="K16" s="1723">
        <f>IF(E16="","",G16/E16-1)</f>
        <v>-1.1035119372299063E-2</v>
      </c>
      <c r="M16" s="1708">
        <f t="shared" ref="M16:M18" si="11">ROUND($V$21+(($A16-15)*$V$22+MIN(1500,$C16)*$V$24/100+MAX(0,$C16-1500)*$V$25/100)*((1+$V$36)*(1+$V$27)+$V$31)+$V$26,2)</f>
        <v>423.02</v>
      </c>
      <c r="O16" s="1708">
        <f t="shared" ref="O16:O18" si="12">ROUND($W$21+(($A16-15)*$W$22+MIN(1500,$C16)*$W$24/100+MAX(0,$C16-1500)*$W$25/100)*((1+$W$36)*(1+$W$27)+$W$31)+$W$26,2)</f>
        <v>418.36</v>
      </c>
      <c r="Q16" s="1715">
        <f t="shared" si="2"/>
        <v>-4.6599999999999682</v>
      </c>
      <c r="S16" s="1723">
        <f>IF(M16="","",O16/M16-1)</f>
        <v>-1.1016027610987633E-2</v>
      </c>
      <c r="U16" s="1736" t="s">
        <v>1681</v>
      </c>
      <c r="V16" s="1799">
        <f>'Sch23-1'!W16</f>
        <v>11.712546896636001</v>
      </c>
      <c r="W16" s="1800">
        <f>'Blocking-Step2'!Q1982</f>
        <v>11.712546896636001</v>
      </c>
      <c r="X16" s="1801"/>
      <c r="Y16" s="1827"/>
    </row>
    <row r="17" spans="1:25">
      <c r="A17" s="1831">
        <f>A16</f>
        <v>20</v>
      </c>
      <c r="B17" s="1827"/>
      <c r="C17" s="1707">
        <v>7500</v>
      </c>
      <c r="E17" s="1708">
        <f t="shared" si="9"/>
        <v>646.70000000000005</v>
      </c>
      <c r="G17" s="1708">
        <f t="shared" si="10"/>
        <v>639.52</v>
      </c>
      <c r="I17" s="1715">
        <f>IF(G17="","",G17-E17)</f>
        <v>-7.1800000000000637</v>
      </c>
      <c r="K17" s="1723">
        <f>IF(E17="","",G17/E17-1)</f>
        <v>-1.1102520488634693E-2</v>
      </c>
      <c r="M17" s="1708">
        <f t="shared" si="11"/>
        <v>573.49</v>
      </c>
      <c r="O17" s="1708">
        <f t="shared" si="12"/>
        <v>567.14</v>
      </c>
      <c r="Q17" s="1715">
        <f t="shared" si="2"/>
        <v>-6.3500000000000227</v>
      </c>
      <c r="S17" s="1723">
        <f>IF(M17="","",O17/M17-1)</f>
        <v>-1.1072555755113456E-2</v>
      </c>
      <c r="U17" s="1736" t="s">
        <v>1682</v>
      </c>
      <c r="V17" s="1799">
        <f>'Sch23-1'!W17</f>
        <v>6.5572468966360011</v>
      </c>
      <c r="W17" s="1800">
        <f>'Blocking-Step2'!Q1983</f>
        <v>6.5572468966360011</v>
      </c>
      <c r="X17" s="1801"/>
      <c r="Y17" s="1827"/>
    </row>
    <row r="18" spans="1:25">
      <c r="A18" s="1831">
        <f>A17</f>
        <v>20</v>
      </c>
      <c r="B18" s="1827"/>
      <c r="C18" s="1707">
        <v>10000</v>
      </c>
      <c r="E18" s="1708">
        <f t="shared" si="9"/>
        <v>816.74</v>
      </c>
      <c r="G18" s="1708">
        <f t="shared" si="10"/>
        <v>807.64</v>
      </c>
      <c r="I18" s="1715">
        <f>IF(G18="","",G18-E18)</f>
        <v>-9.1000000000000227</v>
      </c>
      <c r="K18" s="1723">
        <f>IF(E18="","",G18/E18-1)</f>
        <v>-1.1141856649606985E-2</v>
      </c>
      <c r="M18" s="1708">
        <f t="shared" si="11"/>
        <v>723.97</v>
      </c>
      <c r="O18" s="1708">
        <f t="shared" si="12"/>
        <v>715.92</v>
      </c>
      <c r="Q18" s="1715">
        <f t="shared" si="2"/>
        <v>-8.0500000000000682</v>
      </c>
      <c r="S18" s="1723">
        <f>IF(M18="","",O18/M18-1)</f>
        <v>-1.1119245272594225E-2</v>
      </c>
      <c r="U18" s="1736" t="s">
        <v>1683</v>
      </c>
      <c r="V18" s="1795">
        <f>'Sch23-1'!W18</f>
        <v>0.26</v>
      </c>
      <c r="W18" s="1802">
        <f>V18</f>
        <v>0.26</v>
      </c>
      <c r="X18" s="1795"/>
      <c r="Y18" s="1827"/>
    </row>
    <row r="19" spans="1:25">
      <c r="A19" s="1827"/>
      <c r="B19" s="1827"/>
      <c r="C19" s="1827"/>
      <c r="I19" s="1715"/>
      <c r="K19" s="1723"/>
      <c r="Q19" s="1715"/>
      <c r="S19" s="1753"/>
      <c r="U19" s="1736" t="s">
        <v>1718</v>
      </c>
      <c r="V19" s="1803">
        <f>'Sch23-1'!W19</f>
        <v>4.2200000000000001E-2</v>
      </c>
      <c r="W19" s="1752">
        <f>V19</f>
        <v>4.2200000000000001E-2</v>
      </c>
      <c r="X19" s="1803"/>
      <c r="Y19" s="1827"/>
    </row>
    <row r="20" spans="1:25" ht="13.5">
      <c r="A20" s="1707">
        <v>25</v>
      </c>
      <c r="C20" s="1707">
        <v>7500</v>
      </c>
      <c r="D20" s="1832"/>
      <c r="E20" s="1708">
        <f t="shared" ref="E20:E22" si="13">ROUND($V$13+(($A20-15)*$V$14+MIN(1500,$C20)*$V$16/100+MAX(0,$C20-1500)*$V$17/100)*((1+$V$36)*(1+$V$19)+$V$31)+$V$18,2)</f>
        <v>692.8</v>
      </c>
      <c r="G20" s="1708">
        <f t="shared" ref="G20:G22" si="14">ROUND($W$13+(($A20-15)*$W$14+MIN(1500,$C20)*$W$16/100+MAX(0,$C20-1500)*$W$17/100)*((1+$W$36)*(1+$W$19)+$W$31)+$W$18,2)</f>
        <v>685.1</v>
      </c>
      <c r="I20" s="1715">
        <f>IF(G20="","",G20-E20)</f>
        <v>-7.6999999999999318</v>
      </c>
      <c r="K20" s="1723">
        <f>IF(E20="","",G20/E20-1)</f>
        <v>-1.1114318706697324E-2</v>
      </c>
      <c r="L20" s="1832">
        <f>C20/A20/730</f>
        <v>0.41095890410958902</v>
      </c>
      <c r="M20" s="1708">
        <f t="shared" ref="M20:M22" si="15">ROUND($V$21+(($A20-15)*$V$22+MIN(1500,$C20)*$V$24/100+MAX(0,$C20-1500)*$V$25/100)*((1+$V$36)*(1+$V$27)+$V$31)+$V$26,2)</f>
        <v>614.30999999999995</v>
      </c>
      <c r="O20" s="1708">
        <f t="shared" ref="O20:O22" si="16">ROUND($W$21+(($A20-15)*$W$22+MIN(1500,$C20)*$W$24/100+MAX(0,$C20-1500)*$W$25/100)*((1+$W$36)*(1+$W$27)+$W$31)+$W$26,2)</f>
        <v>607.5</v>
      </c>
      <c r="Q20" s="1715">
        <f>IF(O20="","",O20-M20)</f>
        <v>-6.8099999999999454</v>
      </c>
      <c r="S20" s="1723">
        <f>IF(M20="","",O20/M20-1)</f>
        <v>-1.1085608243394995E-2</v>
      </c>
      <c r="U20" s="1792" t="s">
        <v>80</v>
      </c>
      <c r="V20" s="1702"/>
      <c r="W20" s="1732"/>
    </row>
    <row r="21" spans="1:25">
      <c r="A21" s="1831">
        <f>A20</f>
        <v>25</v>
      </c>
      <c r="C21" s="1707">
        <v>10000</v>
      </c>
      <c r="D21" s="1832"/>
      <c r="E21" s="1708">
        <f t="shared" si="13"/>
        <v>862.84</v>
      </c>
      <c r="G21" s="1708">
        <f t="shared" si="14"/>
        <v>853.23</v>
      </c>
      <c r="I21" s="1715">
        <f>IF(G21="","",G21-E21)</f>
        <v>-9.6100000000000136</v>
      </c>
      <c r="K21" s="1723">
        <f>IF(E21="","",G21/E21-1)</f>
        <v>-1.1137638496129032E-2</v>
      </c>
      <c r="L21" s="1832">
        <f>C21/A20/730</f>
        <v>0.54794520547945202</v>
      </c>
      <c r="M21" s="1708">
        <f t="shared" si="15"/>
        <v>764.79</v>
      </c>
      <c r="O21" s="1708">
        <f t="shared" si="16"/>
        <v>756.28</v>
      </c>
      <c r="Q21" s="1715">
        <f>IF(O21="","",O21-M21)</f>
        <v>-8.5099999999999909</v>
      </c>
      <c r="S21" s="1723">
        <f>IF(M21="","",O21/M21-1)</f>
        <v>-1.1127237542331914E-2</v>
      </c>
      <c r="U21" s="1736" t="s">
        <v>1678</v>
      </c>
      <c r="V21" s="1773">
        <f>'Sch23-1'!W21</f>
        <v>10</v>
      </c>
      <c r="W21" s="1805">
        <f>W13</f>
        <v>10</v>
      </c>
      <c r="X21" s="1795"/>
    </row>
    <row r="22" spans="1:25">
      <c r="A22" s="1831">
        <f>A21</f>
        <v>25</v>
      </c>
      <c r="C22" s="1707">
        <v>12500</v>
      </c>
      <c r="D22" s="1832"/>
      <c r="E22" s="1708">
        <f t="shared" si="13"/>
        <v>1032.8800000000001</v>
      </c>
      <c r="G22" s="1708">
        <f t="shared" si="14"/>
        <v>1021.35</v>
      </c>
      <c r="I22" s="1715">
        <f>IF(G22="","",G22-E22)</f>
        <v>-11.530000000000086</v>
      </c>
      <c r="K22" s="1723">
        <f>IF(E22="","",G22/E22-1)</f>
        <v>-1.1162961815506245E-2</v>
      </c>
      <c r="L22" s="1832">
        <f>C22/A20/730</f>
        <v>0.68493150684931503</v>
      </c>
      <c r="M22" s="1708">
        <f t="shared" si="15"/>
        <v>915.27</v>
      </c>
      <c r="O22" s="1708">
        <f t="shared" si="16"/>
        <v>905.06</v>
      </c>
      <c r="Q22" s="1715">
        <f>IF(O22="","",O22-M22)</f>
        <v>-10.210000000000036</v>
      </c>
      <c r="S22" s="1723">
        <f>IF(M22="","",O22/M22-1)</f>
        <v>-1.1155178253411613E-2</v>
      </c>
      <c r="U22" s="1736" t="s">
        <v>1679</v>
      </c>
      <c r="V22" s="1795">
        <f>'Sch23-1'!W22</f>
        <v>7.87</v>
      </c>
      <c r="W22" s="1796">
        <f>'Blocking-Step2'!Q1981</f>
        <v>7.87</v>
      </c>
      <c r="X22" s="1795"/>
    </row>
    <row r="23" spans="1:25">
      <c r="D23" s="1832"/>
      <c r="I23" s="1715"/>
      <c r="K23" s="1723"/>
      <c r="L23" s="1832"/>
      <c r="Q23" s="1715"/>
      <c r="S23" s="1723"/>
      <c r="U23" s="1736" t="s">
        <v>1680</v>
      </c>
      <c r="V23" s="1773">
        <f>'Sch23-1'!W23</f>
        <v>-0.48</v>
      </c>
      <c r="W23" s="1805">
        <f>W15</f>
        <v>-0.48</v>
      </c>
      <c r="X23" s="1795"/>
    </row>
    <row r="24" spans="1:25">
      <c r="A24" s="1707">
        <v>30</v>
      </c>
      <c r="C24" s="1707">
        <v>10000</v>
      </c>
      <c r="D24" s="1832"/>
      <c r="E24" s="1708">
        <f t="shared" ref="E24:E25" si="17">ROUND($V$13+(($A24-15)*$V$14+MIN(1500,$C24)*$V$16/100+MAX(0,$C24-1500)*$V$17/100)*((1+$V$36)*(1+$V$19)+$V$31)+$V$18,2)</f>
        <v>908.95</v>
      </c>
      <c r="G24" s="1708">
        <f t="shared" ref="G24:G26" si="18">ROUND($W$13+(($A24-15)*$W$14+MIN(1500,$C24)*$W$16/100+MAX(0,$C24-1500)*$W$17/100)*((1+$W$36)*(1+$W$19)+$W$31)+$W$18,2)</f>
        <v>898.81</v>
      </c>
      <c r="I24" s="1715">
        <f>IF(G24="","",G24-E24)</f>
        <v>-10.1400000000001</v>
      </c>
      <c r="K24" s="1723">
        <f>IF(E24="","",G24/E24-1)</f>
        <v>-1.1155729138016546E-2</v>
      </c>
      <c r="L24" s="1832">
        <f>C24/A24/730</f>
        <v>0.45662100456621002</v>
      </c>
      <c r="M24" s="1708">
        <f t="shared" ref="M24:M26" si="19">ROUND($V$21+(($A24-15)*$V$22+MIN(1500,$C24)*$V$24/100+MAX(0,$C24-1500)*$V$25/100)*((1+$V$36)*(1+$V$27)+$V$31)+$V$26,2)</f>
        <v>805.61</v>
      </c>
      <c r="O24" s="1708">
        <f t="shared" ref="O24:O25" si="20">ROUND($W$21+(($A24-15)*$W$22+MIN(1500,$C24)*$W$24/100+MAX(0,$C24-1500)*$W$25/100)*((1+$W$36)*(1+$W$27)+$W$31)+$W$26,2)</f>
        <v>796.63</v>
      </c>
      <c r="Q24" s="1715">
        <f>IF(O24="","",O24-M24)</f>
        <v>-8.9800000000000182</v>
      </c>
      <c r="S24" s="1723">
        <f>IF(M24="","",O24/M24-1)</f>
        <v>-1.1146832834746379E-2</v>
      </c>
      <c r="U24" s="1736" t="s">
        <v>1681</v>
      </c>
      <c r="V24" s="1799">
        <f>'Sch23-1'!W24</f>
        <v>10.3651</v>
      </c>
      <c r="W24" s="1800">
        <f>'Blocking-Step2'!Q1984</f>
        <v>10.3651</v>
      </c>
      <c r="X24" s="1801"/>
    </row>
    <row r="25" spans="1:25">
      <c r="A25" s="1831">
        <f>A24</f>
        <v>30</v>
      </c>
      <c r="B25" s="1827"/>
      <c r="C25" s="1707">
        <v>12500</v>
      </c>
      <c r="D25" s="1832"/>
      <c r="E25" s="1708">
        <f t="shared" si="17"/>
        <v>1078.99</v>
      </c>
      <c r="G25" s="1708">
        <f t="shared" si="18"/>
        <v>1066.93</v>
      </c>
      <c r="I25" s="1715">
        <f>IF(G25="","",G25-E25)</f>
        <v>-12.059999999999945</v>
      </c>
      <c r="K25" s="1723">
        <f>IF(E25="","",G25/E25-1)</f>
        <v>-1.1177119343089292E-2</v>
      </c>
      <c r="L25" s="1832">
        <f>C25/A24/730</f>
        <v>0.57077625570776258</v>
      </c>
      <c r="M25" s="1708">
        <f t="shared" si="19"/>
        <v>956.08</v>
      </c>
      <c r="O25" s="1708">
        <f t="shared" si="20"/>
        <v>945.41</v>
      </c>
      <c r="Q25" s="1715">
        <f>IF(O25="","",O25-M25)</f>
        <v>-10.670000000000073</v>
      </c>
      <c r="S25" s="1723">
        <f>IF(M25="","",O25/M25-1)</f>
        <v>-1.1160153962011643E-2</v>
      </c>
      <c r="U25" s="1736" t="s">
        <v>1682</v>
      </c>
      <c r="V25" s="1799">
        <f>'Sch23-1'!W25</f>
        <v>5.8029000000000002</v>
      </c>
      <c r="W25" s="1800">
        <f>'Blocking-Step2'!Q1985</f>
        <v>5.8029000000000002</v>
      </c>
      <c r="X25" s="1801"/>
    </row>
    <row r="26" spans="1:25">
      <c r="A26" s="1831">
        <f>A25</f>
        <v>30</v>
      </c>
      <c r="B26" s="1827"/>
      <c r="C26" s="1707">
        <v>15000</v>
      </c>
      <c r="D26" s="1832"/>
      <c r="E26" s="1708">
        <f>ROUND($V$13+(($A26-15)*$V$14+MIN(1500,$C26)*$V$16/100+MAX(0,$C26-1500)*$V$17/100)*((1+$V$36)*(1+$V$19)+$V$31)+$V$18,2)</f>
        <v>1249.03</v>
      </c>
      <c r="G26" s="1708">
        <f t="shared" si="18"/>
        <v>1235.06</v>
      </c>
      <c r="I26" s="1715">
        <f>IF(G26="","",G26-E26)</f>
        <v>-13.970000000000027</v>
      </c>
      <c r="K26" s="1723">
        <f>IF(E26="","",G26/E26-1)</f>
        <v>-1.1184679311145418E-2</v>
      </c>
      <c r="L26" s="1832">
        <f>C26/A24/730</f>
        <v>0.68493150684931503</v>
      </c>
      <c r="M26" s="1708">
        <f t="shared" si="19"/>
        <v>1106.56</v>
      </c>
      <c r="O26" s="1708">
        <f>ROUND($W$21+(($A26-15)*$W$22+MIN(1500,$C26)*$W$24/100+MAX(0,$C26-1500)*$W$25/100)*((1+$W$36)*(1+$W$27)+$W$31)+$W$26,2)</f>
        <v>1094.2</v>
      </c>
      <c r="Q26" s="1715">
        <f>IF(O26="","",O26-M26)</f>
        <v>-12.3599999999999</v>
      </c>
      <c r="S26" s="1723">
        <f>IF(M26="","",O26/M26-1)</f>
        <v>-1.1169751301330133E-2</v>
      </c>
      <c r="U26" s="1736" t="s">
        <v>1683</v>
      </c>
      <c r="V26" s="1773">
        <f>'Sch23-1'!W26</f>
        <v>0.26</v>
      </c>
      <c r="W26" s="1805">
        <f>W18</f>
        <v>0.26</v>
      </c>
      <c r="X26" s="1795"/>
    </row>
    <row r="27" spans="1:25">
      <c r="A27" s="1827"/>
      <c r="B27" s="1827"/>
      <c r="C27" s="1827"/>
      <c r="D27" s="1832"/>
      <c r="I27" s="1715"/>
      <c r="K27" s="1830"/>
      <c r="L27" s="1832"/>
      <c r="Q27" s="1715"/>
      <c r="S27" s="1830"/>
      <c r="U27" s="1759" t="s">
        <v>1718</v>
      </c>
      <c r="V27" s="1768">
        <f>'Sch23-1'!W27</f>
        <v>4.2200000000000001E-2</v>
      </c>
      <c r="W27" s="1769">
        <f>W19</f>
        <v>4.2200000000000001E-2</v>
      </c>
      <c r="X27" s="1803"/>
    </row>
    <row r="28" spans="1:25" ht="15.75">
      <c r="A28" s="1770" t="s">
        <v>1723</v>
      </c>
      <c r="D28" s="1832"/>
      <c r="I28" s="1715"/>
      <c r="K28" s="1830"/>
      <c r="L28" s="1832"/>
      <c r="Q28" s="1715"/>
      <c r="S28" s="1830"/>
    </row>
    <row r="29" spans="1:25" ht="15.75">
      <c r="A29" s="1770" t="s">
        <v>2315</v>
      </c>
      <c r="I29" s="1715"/>
      <c r="K29" s="1830"/>
      <c r="Q29" s="1715"/>
      <c r="S29" s="1830"/>
      <c r="W29" s="1808"/>
    </row>
    <row r="30" spans="1:25">
      <c r="I30" s="1715"/>
      <c r="K30" s="1830"/>
      <c r="Q30" s="1715"/>
      <c r="S30" s="1830"/>
      <c r="U30" s="1704" t="s">
        <v>1684</v>
      </c>
      <c r="V30" s="1799">
        <f>'Sch23-1'!W30</f>
        <v>0</v>
      </c>
      <c r="W30" s="1799">
        <v>0</v>
      </c>
      <c r="X30" s="1808"/>
    </row>
    <row r="31" spans="1:25">
      <c r="I31" s="1715"/>
      <c r="K31" s="1830"/>
      <c r="Q31" s="1715"/>
      <c r="S31" s="1830"/>
      <c r="U31" s="1702" t="s">
        <v>1720</v>
      </c>
      <c r="V31" s="1765">
        <f>'Sch23-1'!W31</f>
        <v>-1.3899999999999999E-2</v>
      </c>
      <c r="W31" s="1808">
        <f>'Blocking-Step2'!Q1995</f>
        <v>-2.5600000000000001E-2</v>
      </c>
    </row>
    <row r="32" spans="1:25">
      <c r="I32" s="1715"/>
      <c r="K32" s="1723"/>
      <c r="M32" s="1723"/>
      <c r="O32" s="1723"/>
      <c r="Q32" s="1739"/>
      <c r="S32" s="1830"/>
      <c r="U32" s="1702" t="s">
        <v>1721</v>
      </c>
      <c r="V32" s="1765">
        <f>'Sch23-1'!W32</f>
        <v>4.1000000000000003E-3</v>
      </c>
      <c r="W32" s="1808">
        <f>V32</f>
        <v>4.1000000000000003E-3</v>
      </c>
    </row>
    <row r="33" spans="1:23">
      <c r="A33" s="1704"/>
      <c r="B33" s="1704"/>
      <c r="C33" s="1704"/>
      <c r="E33" s="1704"/>
      <c r="G33" s="1704"/>
      <c r="K33" s="1723"/>
      <c r="M33" s="1723"/>
      <c r="O33" s="1723"/>
      <c r="Q33" s="1739"/>
      <c r="U33" s="1702" t="s">
        <v>1722</v>
      </c>
      <c r="V33" s="1803">
        <f>'Sch23-1'!W33</f>
        <v>3.8100000000000002E-2</v>
      </c>
      <c r="W33" s="1808">
        <f>V33</f>
        <v>3.8100000000000002E-2</v>
      </c>
    </row>
    <row r="34" spans="1:23">
      <c r="A34" s="1704"/>
      <c r="B34" s="1704"/>
      <c r="C34" s="1704"/>
      <c r="E34" s="1704"/>
      <c r="G34" s="1704"/>
      <c r="K34" s="1723"/>
      <c r="M34" s="1723"/>
      <c r="O34" s="1723"/>
      <c r="Q34" s="1739"/>
      <c r="U34" s="1704" t="s">
        <v>1685</v>
      </c>
      <c r="V34" s="1765">
        <f>'Sch23-1'!W34</f>
        <v>8.6E-3</v>
      </c>
      <c r="W34" s="1808">
        <f>V34</f>
        <v>8.6E-3</v>
      </c>
    </row>
    <row r="35" spans="1:23">
      <c r="A35" s="1704"/>
      <c r="B35" s="1704"/>
      <c r="C35" s="1704"/>
      <c r="E35" s="1704"/>
      <c r="G35" s="1704"/>
      <c r="K35" s="1723"/>
      <c r="M35" s="1723"/>
      <c r="O35" s="1723"/>
      <c r="Q35" s="1739"/>
      <c r="U35" s="1704" t="s">
        <v>1686</v>
      </c>
      <c r="V35" s="1765">
        <f>'Sch23-1'!W35</f>
        <v>0</v>
      </c>
      <c r="W35" s="1808">
        <f>V35</f>
        <v>0</v>
      </c>
    </row>
    <row r="36" spans="1:23">
      <c r="A36" s="1704"/>
      <c r="B36" s="1704"/>
      <c r="C36" s="1704"/>
      <c r="E36" s="1704"/>
      <c r="G36" s="1704"/>
      <c r="K36" s="1723"/>
      <c r="M36" s="1723"/>
      <c r="O36" s="1723"/>
      <c r="Q36" s="1739"/>
      <c r="U36" s="1702" t="s">
        <v>1687</v>
      </c>
      <c r="V36" s="1752">
        <f>SUM(V34:V35)</f>
        <v>8.6E-3</v>
      </c>
      <c r="W36" s="1752">
        <f>SUM(W34:W35)</f>
        <v>8.6E-3</v>
      </c>
    </row>
    <row r="37" spans="1:23">
      <c r="A37" s="1704"/>
      <c r="B37" s="1704"/>
      <c r="C37" s="1704"/>
      <c r="E37" s="1704"/>
      <c r="G37" s="1704"/>
      <c r="K37" s="1723"/>
      <c r="M37" s="1723"/>
      <c r="O37" s="1723"/>
      <c r="Q37" s="1739"/>
    </row>
    <row r="38" spans="1:23">
      <c r="A38" s="1704"/>
      <c r="B38" s="1704"/>
      <c r="C38" s="1704"/>
      <c r="E38" s="1704"/>
      <c r="G38" s="1704"/>
      <c r="K38" s="1830"/>
      <c r="M38" s="1723"/>
      <c r="O38" s="1830"/>
      <c r="Q38" s="1739"/>
    </row>
    <row r="39" spans="1:23">
      <c r="A39" s="1704"/>
      <c r="B39" s="1704"/>
      <c r="C39" s="1704"/>
      <c r="E39" s="1704"/>
      <c r="G39" s="1704"/>
      <c r="K39" s="1723"/>
      <c r="M39" s="1723"/>
      <c r="O39" s="1723"/>
      <c r="Q39" s="1739"/>
    </row>
    <row r="40" spans="1:23">
      <c r="A40" s="1704"/>
      <c r="B40" s="1704"/>
      <c r="C40" s="1704"/>
      <c r="E40" s="1704"/>
      <c r="G40" s="1704"/>
      <c r="K40" s="1723"/>
      <c r="M40" s="1723"/>
      <c r="O40" s="1723"/>
      <c r="Q40" s="1739"/>
    </row>
    <row r="41" spans="1:23">
      <c r="A41" s="1704"/>
      <c r="B41" s="1704"/>
      <c r="C41" s="1704"/>
      <c r="E41" s="1704"/>
      <c r="G41" s="1704"/>
      <c r="K41" s="1723"/>
      <c r="M41" s="1723"/>
      <c r="O41" s="1723"/>
      <c r="Q41" s="1739"/>
    </row>
    <row r="42" spans="1:23">
      <c r="A42" s="1704"/>
      <c r="B42" s="1704"/>
      <c r="C42" s="1704"/>
      <c r="E42" s="1704"/>
      <c r="G42" s="1704"/>
      <c r="K42" s="1723"/>
      <c r="M42" s="1723"/>
      <c r="O42" s="1723"/>
      <c r="Q42" s="1739"/>
    </row>
    <row r="43" spans="1:23">
      <c r="A43" s="1704"/>
      <c r="B43" s="1704"/>
      <c r="C43" s="1704"/>
      <c r="E43" s="1704"/>
      <c r="G43" s="1704"/>
      <c r="K43" s="1723"/>
      <c r="M43" s="1723"/>
      <c r="O43" s="1723"/>
      <c r="Q43" s="1739"/>
    </row>
    <row r="44" spans="1:23">
      <c r="A44" s="1704"/>
      <c r="B44" s="1704"/>
      <c r="C44" s="1704"/>
      <c r="E44" s="1704"/>
      <c r="G44" s="1704"/>
      <c r="K44" s="1723"/>
      <c r="M44" s="1723"/>
      <c r="O44" s="1723"/>
      <c r="Q44" s="1739"/>
    </row>
    <row r="45" spans="1:23">
      <c r="A45" s="1704"/>
      <c r="B45" s="1704"/>
      <c r="C45" s="1704"/>
      <c r="E45" s="1704"/>
      <c r="G45" s="1704"/>
      <c r="K45" s="1723"/>
      <c r="M45" s="1723"/>
      <c r="O45" s="1723"/>
      <c r="Q45" s="1739"/>
    </row>
    <row r="46" spans="1:23">
      <c r="A46" s="1704"/>
      <c r="B46" s="1704"/>
      <c r="C46" s="1704"/>
      <c r="E46" s="1704"/>
      <c r="G46" s="1704"/>
      <c r="K46" s="1723"/>
      <c r="M46" s="1723"/>
      <c r="O46" s="1723"/>
      <c r="Q46" s="1739"/>
    </row>
    <row r="47" spans="1:23">
      <c r="A47" s="1704"/>
      <c r="B47" s="1704"/>
      <c r="C47" s="1704"/>
      <c r="E47" s="1704"/>
      <c r="G47" s="1704"/>
      <c r="K47" s="1723"/>
      <c r="M47" s="1723"/>
      <c r="O47" s="1723"/>
      <c r="Q47" s="1739"/>
    </row>
    <row r="48" spans="1:23">
      <c r="A48" s="1704"/>
      <c r="B48" s="1704"/>
      <c r="C48" s="1704"/>
      <c r="E48" s="1704"/>
      <c r="G48" s="1704"/>
      <c r="K48" s="1723"/>
      <c r="M48" s="1723"/>
      <c r="O48" s="1723"/>
      <c r="Q48" s="1739"/>
    </row>
    <row r="49" spans="1:17">
      <c r="A49" s="1704"/>
      <c r="B49" s="1704"/>
      <c r="C49" s="1704"/>
      <c r="E49" s="1704"/>
      <c r="G49" s="1704"/>
      <c r="K49" s="1723"/>
      <c r="M49" s="1723"/>
      <c r="O49" s="1723"/>
      <c r="Q49" s="1739"/>
    </row>
  </sheetData>
  <mergeCells count="2">
    <mergeCell ref="I7:K7"/>
    <mergeCell ref="Q7:S7"/>
  </mergeCells>
  <printOptions horizontalCentered="1"/>
  <pageMargins left="0.75" right="0.75" top="1" bottom="0.5" header="0.5" footer="0.25"/>
  <pageSetup scale="9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3"/>
  <sheetViews>
    <sheetView topLeftCell="A12" workbookViewId="0">
      <pane xSplit="2" ySplit="1" topLeftCell="C13" activePane="bottomRight" state="frozen"/>
      <selection activeCell="A48" sqref="A48:XFD48"/>
      <selection pane="topRight" activeCell="A48" sqref="A48:XFD48"/>
      <selection pane="bottomLeft" activeCell="A48" sqref="A48:XFD48"/>
      <selection pane="bottomRight" activeCell="A81" sqref="A81:XFD81"/>
    </sheetView>
  </sheetViews>
  <sheetFormatPr defaultColWidth="8.25" defaultRowHeight="12.75"/>
  <cols>
    <col min="1" max="1" width="4.625" style="1418" customWidth="1"/>
    <col min="2" max="2" width="29.125" style="1418" customWidth="1"/>
    <col min="3" max="3" width="17.125" style="1418" customWidth="1"/>
    <col min="4" max="15" width="13.25" style="1418" customWidth="1"/>
    <col min="16" max="16384" width="8.25" style="1418"/>
  </cols>
  <sheetData>
    <row r="1" spans="1:15">
      <c r="B1" s="1419" t="s">
        <v>1949</v>
      </c>
    </row>
    <row r="2" spans="1:15">
      <c r="A2" s="1381"/>
      <c r="B2" s="1420" t="s">
        <v>547</v>
      </c>
      <c r="C2" s="1384"/>
      <c r="D2" s="1384"/>
      <c r="E2" s="1384"/>
      <c r="F2" s="1384"/>
      <c r="G2" s="1384"/>
      <c r="H2" s="1384"/>
      <c r="I2" s="1384"/>
      <c r="J2" s="1384"/>
      <c r="K2" s="1384"/>
      <c r="L2" s="1384"/>
      <c r="M2" s="1384"/>
      <c r="N2" s="1384"/>
    </row>
    <row r="3" spans="1:15">
      <c r="A3" s="1384"/>
      <c r="B3" s="1384" t="s">
        <v>1758</v>
      </c>
      <c r="C3" s="1384"/>
      <c r="D3" s="1384"/>
      <c r="E3" s="1384"/>
      <c r="F3" s="1384"/>
      <c r="G3" s="1384"/>
      <c r="H3" s="1384"/>
      <c r="I3" s="1384"/>
      <c r="J3" s="1384"/>
      <c r="K3" s="1384"/>
      <c r="L3" s="1384"/>
      <c r="M3" s="1384"/>
      <c r="N3" s="1384"/>
    </row>
    <row r="4" spans="1:15">
      <c r="A4" s="1384"/>
      <c r="B4" s="1384" t="s">
        <v>83</v>
      </c>
      <c r="C4" s="1384"/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</row>
    <row r="5" spans="1:15">
      <c r="A5" s="1384"/>
      <c r="B5" s="1384" t="s">
        <v>1950</v>
      </c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384"/>
    </row>
    <row r="6" spans="1:15">
      <c r="A6" s="1384"/>
      <c r="B6" s="1384" t="s">
        <v>1948</v>
      </c>
      <c r="C6" s="1384"/>
      <c r="D6" s="1384"/>
      <c r="E6" s="1384"/>
      <c r="F6" s="1384"/>
      <c r="G6" s="1384"/>
      <c r="H6" s="1384"/>
      <c r="I6" s="1384"/>
      <c r="J6" s="1384"/>
      <c r="K6" s="1384"/>
      <c r="L6" s="1384"/>
      <c r="M6" s="1384"/>
      <c r="N6" s="1384"/>
    </row>
    <row r="7" spans="1:15">
      <c r="A7" s="1384"/>
      <c r="B7" s="1384" t="s">
        <v>2318</v>
      </c>
      <c r="C7" s="1384"/>
      <c r="D7" s="1384"/>
      <c r="E7" s="1384"/>
      <c r="F7" s="1384"/>
      <c r="G7" s="1384"/>
      <c r="H7" s="1384"/>
      <c r="I7" s="1384"/>
      <c r="J7" s="1384"/>
      <c r="K7" s="1384"/>
      <c r="L7" s="1384"/>
      <c r="M7" s="1384"/>
      <c r="N7" s="1384"/>
    </row>
    <row r="8" spans="1:15">
      <c r="A8" s="1421"/>
      <c r="B8" s="1384"/>
      <c r="C8" s="1384"/>
      <c r="D8" s="1384"/>
      <c r="E8" s="1384"/>
      <c r="F8" s="1384"/>
      <c r="G8" s="1384"/>
      <c r="H8" s="1384"/>
      <c r="I8" s="1384"/>
      <c r="J8" s="1384"/>
      <c r="K8" s="1384"/>
      <c r="L8" s="1384"/>
      <c r="M8" s="1384"/>
      <c r="N8" s="1384"/>
    </row>
    <row r="9" spans="1:15">
      <c r="A9" s="1384"/>
    </row>
    <row r="10" spans="1:15">
      <c r="A10" s="1384"/>
      <c r="B10" s="1422"/>
      <c r="C10" s="1419"/>
      <c r="D10" s="1423"/>
      <c r="E10" s="1424"/>
      <c r="F10" s="1424"/>
      <c r="G10" s="1424"/>
      <c r="H10" s="1424"/>
      <c r="I10" s="1423"/>
      <c r="J10" s="1424"/>
      <c r="K10" s="1424"/>
      <c r="L10" s="1424"/>
      <c r="M10" s="1424"/>
      <c r="N10" s="1424"/>
      <c r="O10" s="1425"/>
    </row>
    <row r="11" spans="1:15">
      <c r="A11" s="1384"/>
      <c r="B11" s="1426"/>
      <c r="C11" s="1419"/>
      <c r="D11" s="1424"/>
      <c r="E11" s="1424"/>
      <c r="F11" s="1424"/>
      <c r="G11" s="1424"/>
      <c r="H11" s="1424"/>
      <c r="I11" s="1424"/>
      <c r="J11" s="1424"/>
      <c r="K11" s="1424"/>
      <c r="L11" s="1424"/>
      <c r="M11" s="1424"/>
      <c r="N11" s="1424"/>
      <c r="O11" s="1427"/>
    </row>
    <row r="12" spans="1:15" ht="39" thickBot="1">
      <c r="A12" s="1384"/>
      <c r="B12" s="1428" t="s">
        <v>220</v>
      </c>
      <c r="C12" s="1429" t="s">
        <v>1806</v>
      </c>
      <c r="D12" s="1429" t="s">
        <v>1807</v>
      </c>
      <c r="E12" s="1429" t="s">
        <v>1808</v>
      </c>
      <c r="F12" s="1429" t="s">
        <v>1809</v>
      </c>
      <c r="G12" s="1429" t="s">
        <v>1810</v>
      </c>
      <c r="H12" s="1429" t="s">
        <v>1811</v>
      </c>
      <c r="I12" s="1429" t="s">
        <v>1812</v>
      </c>
      <c r="J12" s="1429" t="s">
        <v>1813</v>
      </c>
      <c r="K12" s="1429" t="s">
        <v>1814</v>
      </c>
      <c r="L12" s="1429" t="s">
        <v>1815</v>
      </c>
      <c r="M12" s="1429" t="s">
        <v>1816</v>
      </c>
      <c r="N12" s="1429" t="s">
        <v>1817</v>
      </c>
      <c r="O12" s="1430" t="s">
        <v>1818</v>
      </c>
    </row>
    <row r="13" spans="1:15">
      <c r="A13" s="1431"/>
      <c r="B13" s="1381"/>
      <c r="C13" s="1432"/>
      <c r="D13" s="1432"/>
      <c r="E13" s="1432"/>
      <c r="F13" s="1432"/>
      <c r="G13" s="1432"/>
      <c r="H13" s="1432"/>
      <c r="I13" s="1432"/>
      <c r="J13" s="1432"/>
      <c r="K13" s="1432"/>
      <c r="L13" s="1432"/>
      <c r="M13" s="1432"/>
      <c r="N13" s="1432"/>
      <c r="O13" s="1432"/>
    </row>
    <row r="14" spans="1:15" s="1436" customFormat="1">
      <c r="A14" s="1433">
        <v>14</v>
      </c>
      <c r="B14" s="1434" t="s">
        <v>1819</v>
      </c>
      <c r="C14" s="1506"/>
      <c r="D14" s="1435"/>
      <c r="E14" s="1435"/>
      <c r="F14" s="1435"/>
      <c r="G14" s="1435"/>
      <c r="H14" s="1435"/>
      <c r="I14" s="1435"/>
      <c r="J14" s="1435"/>
      <c r="K14" s="1435"/>
      <c r="L14" s="1435"/>
      <c r="M14" s="1435"/>
      <c r="N14" s="1435"/>
      <c r="O14" s="1435"/>
    </row>
    <row r="15" spans="1:15" s="1436" customFormat="1">
      <c r="A15" s="1433">
        <v>15</v>
      </c>
      <c r="B15" s="1436" t="s">
        <v>1820</v>
      </c>
      <c r="C15" s="1435">
        <v>105632918.89701046</v>
      </c>
      <c r="D15" s="1435">
        <v>63756555.861155376</v>
      </c>
      <c r="E15" s="1435">
        <v>17953407.640876483</v>
      </c>
      <c r="F15" s="1435">
        <v>4664700.8000000007</v>
      </c>
      <c r="G15" s="1435">
        <v>143467.25728098711</v>
      </c>
      <c r="H15" s="1435">
        <v>8638183.9500000011</v>
      </c>
      <c r="I15" s="1435">
        <v>1062566.0571171031</v>
      </c>
      <c r="J15" s="1435">
        <v>10674.768363704075</v>
      </c>
      <c r="K15" s="1435">
        <v>46437.243099064406</v>
      </c>
      <c r="L15" s="1435">
        <v>7001204.3300330043</v>
      </c>
      <c r="M15" s="1435">
        <v>1122317.6940082612</v>
      </c>
      <c r="N15" s="1435">
        <v>1233403.295076479</v>
      </c>
      <c r="O15" s="1435">
        <v>2355720.9890847402</v>
      </c>
    </row>
    <row r="16" spans="1:15" s="1436" customFormat="1">
      <c r="A16" s="1433">
        <v>16</v>
      </c>
      <c r="B16" s="1436" t="s">
        <v>1821</v>
      </c>
      <c r="C16" s="1435">
        <v>22918785718.644836</v>
      </c>
      <c r="D16" s="1435">
        <v>6782999377.36516</v>
      </c>
      <c r="E16" s="1435">
        <v>6193724499.7493038</v>
      </c>
      <c r="F16" s="1435">
        <v>2020703444.2505352</v>
      </c>
      <c r="G16" s="1435">
        <v>50946753.907308757</v>
      </c>
      <c r="H16" s="1435">
        <v>4889272241.7285728</v>
      </c>
      <c r="I16" s="1435">
        <v>230392472.71934131</v>
      </c>
      <c r="J16" s="1435">
        <v>7776370.4443165436</v>
      </c>
      <c r="K16" s="1435">
        <v>15963151.062719233</v>
      </c>
      <c r="L16" s="1435">
        <v>1404451858.47102</v>
      </c>
      <c r="M16" s="1435">
        <v>617100000</v>
      </c>
      <c r="N16" s="1435">
        <v>705455548.94656003</v>
      </c>
      <c r="O16" s="1435">
        <v>1322555548.9465599</v>
      </c>
    </row>
    <row r="17" spans="1:15" s="1436" customFormat="1" ht="14.25" customHeight="1">
      <c r="A17" s="1433">
        <v>17</v>
      </c>
      <c r="B17" s="1436" t="s">
        <v>1822</v>
      </c>
      <c r="C17" s="1435">
        <v>986266.77790807351</v>
      </c>
      <c r="D17" s="1435">
        <v>857868</v>
      </c>
      <c r="E17" s="1435">
        <v>16335</v>
      </c>
      <c r="F17" s="1435">
        <v>249.25</v>
      </c>
      <c r="G17" s="1435">
        <v>8439</v>
      </c>
      <c r="H17" s="1435">
        <v>165</v>
      </c>
      <c r="I17" s="1435">
        <v>3608</v>
      </c>
      <c r="J17" s="1435">
        <v>2734</v>
      </c>
      <c r="K17" s="1435">
        <v>637</v>
      </c>
      <c r="L17" s="1435">
        <v>96229.527908073447</v>
      </c>
      <c r="M17" s="1435">
        <v>1</v>
      </c>
      <c r="N17" s="1435">
        <v>1</v>
      </c>
      <c r="O17" s="1435">
        <v>2</v>
      </c>
    </row>
    <row r="18" spans="1:15" s="1436" customFormat="1" ht="14.25" customHeight="1">
      <c r="A18" s="1433">
        <v>18</v>
      </c>
      <c r="B18" s="1437" t="s">
        <v>1470</v>
      </c>
      <c r="C18" s="1438">
        <v>0.29721413743632213</v>
      </c>
      <c r="D18" s="1438">
        <v>0.14573842397052261</v>
      </c>
      <c r="E18" s="1438">
        <v>0.47258739282050899</v>
      </c>
      <c r="F18" s="1438">
        <v>0.59341145951573993</v>
      </c>
      <c r="G18" s="1438">
        <v>0.48645297309156343</v>
      </c>
      <c r="H18" s="1438">
        <v>0.7753520006768736</v>
      </c>
      <c r="I18" s="1438">
        <v>0.29702259440611328</v>
      </c>
      <c r="J18" s="1438">
        <v>0.99791975708895342</v>
      </c>
      <c r="K18" s="1438">
        <v>0.47090069873987911</v>
      </c>
      <c r="L18" s="1438">
        <v>0.27479652996082232</v>
      </c>
      <c r="M18" s="1438">
        <v>0.75321138592616921</v>
      </c>
      <c r="N18" s="1438">
        <v>0.7835048504961506</v>
      </c>
      <c r="O18" s="1438">
        <v>0.76907237251712124</v>
      </c>
    </row>
    <row r="19" spans="1:15" s="1436" customFormat="1" ht="14.25" customHeight="1">
      <c r="A19" s="1433">
        <v>19</v>
      </c>
      <c r="C19" s="1439"/>
      <c r="D19" s="1439"/>
      <c r="E19" s="1439"/>
      <c r="F19" s="1439"/>
      <c r="G19" s="1439"/>
      <c r="H19" s="1439"/>
      <c r="I19" s="1440"/>
      <c r="J19" s="1439"/>
      <c r="K19" s="1439"/>
      <c r="L19" s="1439"/>
      <c r="M19" s="1439"/>
      <c r="N19" s="1439"/>
      <c r="O19" s="1435"/>
    </row>
    <row r="20" spans="1:15" s="1436" customFormat="1" ht="14.25" customHeight="1">
      <c r="A20" s="1433">
        <v>20</v>
      </c>
      <c r="B20" s="1441" t="s">
        <v>1823</v>
      </c>
      <c r="C20" s="1442">
        <v>1</v>
      </c>
      <c r="D20" s="1442">
        <v>0.41214201073993206</v>
      </c>
      <c r="E20" s="1442">
        <v>0.25414304334844567</v>
      </c>
      <c r="F20" s="1442">
        <v>7.3291642364426077E-2</v>
      </c>
      <c r="G20" s="1442">
        <v>3.327190394101676E-3</v>
      </c>
      <c r="H20" s="1442">
        <v>0.14614813804266835</v>
      </c>
      <c r="I20" s="1442">
        <v>9.4305471508774521E-3</v>
      </c>
      <c r="J20" s="1442">
        <v>3.8226782007612928E-4</v>
      </c>
      <c r="K20" s="1442">
        <v>4.0512818383893083E-4</v>
      </c>
      <c r="L20" s="1442">
        <v>6.6098538528395478E-2</v>
      </c>
      <c r="M20" s="1442">
        <v>1.8374533160365886E-2</v>
      </c>
      <c r="N20" s="1442">
        <v>1.6256960266872234E-2</v>
      </c>
      <c r="O20" s="1442"/>
    </row>
    <row r="21" spans="1:15" s="1436" customFormat="1" ht="14.25" customHeight="1">
      <c r="A21" s="1433">
        <v>21</v>
      </c>
      <c r="B21" s="1436" t="s">
        <v>1824</v>
      </c>
      <c r="C21" s="1435">
        <v>1967335824.8276498</v>
      </c>
      <c r="D21" s="1435">
        <v>810821742.64517045</v>
      </c>
      <c r="E21" s="1435">
        <v>499984713.8101235</v>
      </c>
      <c r="F21" s="1435">
        <v>144189273.68399131</v>
      </c>
      <c r="G21" s="1435">
        <v>6545700.858338654</v>
      </c>
      <c r="H21" s="1435">
        <v>287522467.70319819</v>
      </c>
      <c r="I21" s="1435">
        <v>18553053.257647537</v>
      </c>
      <c r="J21" s="1435">
        <v>752049.17711453943</v>
      </c>
      <c r="K21" s="1435">
        <v>797023.18971369078</v>
      </c>
      <c r="L21" s="1435">
        <v>130038022.81566311</v>
      </c>
      <c r="M21" s="1435">
        <v>36148877.350871421</v>
      </c>
      <c r="N21" s="1435">
        <v>31982900.335817415</v>
      </c>
      <c r="O21" s="1435">
        <v>68131777.686688825</v>
      </c>
    </row>
    <row r="22" spans="1:15" s="1436" customFormat="1" ht="14.25" customHeight="1">
      <c r="A22" s="1433">
        <v>22</v>
      </c>
      <c r="B22" s="1436" t="s">
        <v>1825</v>
      </c>
      <c r="C22" s="1443">
        <v>18.624268318721313</v>
      </c>
      <c r="D22" s="1443">
        <v>12.717464607262068</v>
      </c>
      <c r="E22" s="1443">
        <v>27.849014728087258</v>
      </c>
      <c r="F22" s="1443">
        <v>30.910722866510813</v>
      </c>
      <c r="G22" s="1443">
        <v>45.625050498585914</v>
      </c>
      <c r="H22" s="1443">
        <v>33.285059610613892</v>
      </c>
      <c r="I22" s="1443">
        <v>17.46061163292255</v>
      </c>
      <c r="J22" s="1443">
        <v>70.451100341589353</v>
      </c>
      <c r="K22" s="1443">
        <v>17.163447623568093</v>
      </c>
      <c r="L22" s="1443">
        <v>18.573664856179121</v>
      </c>
      <c r="M22" s="1443">
        <v>32.20913075135509</v>
      </c>
      <c r="N22" s="1443">
        <v>25.930610420360736</v>
      </c>
      <c r="O22" s="1443">
        <v>28.92183667012273</v>
      </c>
    </row>
    <row r="23" spans="1:15" s="1436" customFormat="1" ht="14.25" customHeight="1">
      <c r="A23" s="1433">
        <v>23</v>
      </c>
      <c r="B23" s="1436" t="s">
        <v>1826</v>
      </c>
      <c r="C23" s="1444">
        <v>8.5839444069115214E-2</v>
      </c>
      <c r="D23" s="1444">
        <v>0.11953734587546612</v>
      </c>
      <c r="E23" s="1444">
        <v>8.072440319719755E-2</v>
      </c>
      <c r="F23" s="1444">
        <v>7.1355979569515754E-2</v>
      </c>
      <c r="G23" s="1444">
        <v>0.1284812153144779</v>
      </c>
      <c r="H23" s="1444">
        <v>5.8806802625812948E-2</v>
      </c>
      <c r="I23" s="1444">
        <v>8.0528035654395841E-2</v>
      </c>
      <c r="J23" s="1444">
        <v>9.6709535958923343E-2</v>
      </c>
      <c r="K23" s="1444">
        <v>4.9928938627604662E-2</v>
      </c>
      <c r="L23" s="1444">
        <v>9.2589875566992511E-2</v>
      </c>
      <c r="M23" s="1444">
        <v>5.8578637742458958E-2</v>
      </c>
      <c r="N23" s="1444">
        <v>4.5336521037472481E-2</v>
      </c>
      <c r="O23" s="1444">
        <v>5.1515248445297479E-2</v>
      </c>
    </row>
    <row r="24" spans="1:15" s="1436" customFormat="1" ht="14.25" customHeight="1">
      <c r="A24" s="1433">
        <v>24</v>
      </c>
      <c r="B24" s="1436" t="s">
        <v>1827</v>
      </c>
      <c r="C24" s="1443">
        <v>1994.7298934680514</v>
      </c>
      <c r="D24" s="1443">
        <v>945.15909515819499</v>
      </c>
      <c r="E24" s="1443">
        <v>30608.185724525469</v>
      </c>
      <c r="F24" s="1443">
        <v>578492.57245332527</v>
      </c>
      <c r="G24" s="1443">
        <v>775.64887526231234</v>
      </c>
      <c r="H24" s="1443">
        <v>1742560.4103224133</v>
      </c>
      <c r="I24" s="1443">
        <v>5142.1987964655036</v>
      </c>
      <c r="J24" s="1443">
        <v>275.07285190729311</v>
      </c>
      <c r="K24" s="1443">
        <v>1251.2137986086198</v>
      </c>
      <c r="L24" s="1443">
        <v>1351.3318171932256</v>
      </c>
      <c r="M24" s="1443">
        <v>36148877.350871421</v>
      </c>
      <c r="N24" s="1443">
        <v>31982900.335817415</v>
      </c>
      <c r="O24" s="1443">
        <v>34065888.843344413</v>
      </c>
    </row>
    <row r="25" spans="1:15" s="1436" customFormat="1" ht="14.25" customHeight="1">
      <c r="A25" s="1433">
        <v>25</v>
      </c>
      <c r="D25" s="1445"/>
      <c r="E25" s="1435"/>
      <c r="F25" s="1435"/>
      <c r="G25" s="1435"/>
      <c r="H25" s="1435"/>
      <c r="I25" s="1435"/>
      <c r="J25" s="1435"/>
      <c r="K25" s="1435"/>
      <c r="L25" s="1435"/>
      <c r="M25" s="1435"/>
      <c r="N25" s="1435"/>
      <c r="O25" s="1443"/>
    </row>
    <row r="26" spans="1:15" s="1436" customFormat="1" ht="14.25" customHeight="1">
      <c r="A26" s="1433">
        <v>26</v>
      </c>
      <c r="B26" s="1441" t="s">
        <v>1828</v>
      </c>
      <c r="C26" s="1442">
        <v>1</v>
      </c>
      <c r="D26" s="1442">
        <v>0.33711038887392503</v>
      </c>
      <c r="E26" s="1442">
        <v>0.27183364692565187</v>
      </c>
      <c r="F26" s="1442">
        <v>8.2749402494254526E-2</v>
      </c>
      <c r="G26" s="1442">
        <v>1.4191262123303624E-3</v>
      </c>
      <c r="H26" s="1442">
        <v>0.18932460684723063</v>
      </c>
      <c r="I26" s="1442">
        <v>8.9819960013970725E-3</v>
      </c>
      <c r="J26" s="1442">
        <v>3.0163096397043814E-4</v>
      </c>
      <c r="K26" s="1442">
        <v>4.7811510825138912E-4</v>
      </c>
      <c r="L26" s="1442">
        <v>6.2560258212899775E-2</v>
      </c>
      <c r="M26" s="1442">
        <v>2.3723255032701326E-2</v>
      </c>
      <c r="N26" s="1442">
        <v>2.1517573327387587E-2</v>
      </c>
      <c r="O26" s="1442">
        <v>4.5240828360088907E-2</v>
      </c>
    </row>
    <row r="27" spans="1:15" s="1436" customFormat="1" ht="14.25" customHeight="1">
      <c r="A27" s="1433">
        <v>27</v>
      </c>
      <c r="B27" s="1436" t="s">
        <v>1824</v>
      </c>
      <c r="C27" s="1435">
        <v>1179632876.8283548</v>
      </c>
      <c r="D27" s="1435">
        <v>397666497.83607358</v>
      </c>
      <c r="E27" s="1435">
        <v>320663906.94164997</v>
      </c>
      <c r="F27" s="1435">
        <v>97613915.7201249</v>
      </c>
      <c r="G27" s="1435">
        <v>1674047.9364337921</v>
      </c>
      <c r="H27" s="1435">
        <v>223333530.62959591</v>
      </c>
      <c r="I27" s="1435">
        <v>10595457.782788809</v>
      </c>
      <c r="J27" s="1435">
        <v>355813.80176895781</v>
      </c>
      <c r="K27" s="1435">
        <v>564000.30060168647</v>
      </c>
      <c r="L27" s="1435">
        <v>73798137.370807678</v>
      </c>
      <c r="M27" s="1435">
        <v>27984731.581958212</v>
      </c>
      <c r="N27" s="1435">
        <v>25382836.926551294</v>
      </c>
      <c r="O27" s="1435">
        <v>53367568.508509502</v>
      </c>
    </row>
    <row r="28" spans="1:15" s="1436" customFormat="1" ht="14.25" customHeight="1">
      <c r="A28" s="1433">
        <v>28</v>
      </c>
      <c r="B28" s="1436" t="s">
        <v>1825</v>
      </c>
      <c r="C28" s="1443">
        <v>11.167284679300288</v>
      </c>
      <c r="D28" s="1443">
        <v>6.2372644266118176</v>
      </c>
      <c r="E28" s="1443">
        <v>17.860893784395529</v>
      </c>
      <c r="F28" s="1443">
        <v>20.926082916212952</v>
      </c>
      <c r="G28" s="1443">
        <v>11.66850170666533</v>
      </c>
      <c r="H28" s="1443">
        <v>25.854222591496892</v>
      </c>
      <c r="I28" s="1443">
        <v>9.9715756134125293</v>
      </c>
      <c r="J28" s="1443">
        <v>33.332226952931535</v>
      </c>
      <c r="K28" s="1443">
        <v>12.145430326225583</v>
      </c>
      <c r="L28" s="1443">
        <v>10.540777542263188</v>
      </c>
      <c r="M28" s="1443">
        <v>24.934768231277854</v>
      </c>
      <c r="N28" s="1443">
        <v>20.57951120114155</v>
      </c>
      <c r="O28" s="1443">
        <v>22.654452185037503</v>
      </c>
    </row>
    <row r="29" spans="1:15" s="1436" customFormat="1" ht="14.25" customHeight="1">
      <c r="A29" s="1433">
        <v>29</v>
      </c>
      <c r="B29" s="1436" t="s">
        <v>1826</v>
      </c>
      <c r="C29" s="1444">
        <v>5.1470129844998845E-2</v>
      </c>
      <c r="D29" s="1444">
        <v>5.8626940047066048E-2</v>
      </c>
      <c r="E29" s="1444">
        <v>5.1772387834594376E-2</v>
      </c>
      <c r="F29" s="1444">
        <v>4.8306898272412864E-2</v>
      </c>
      <c r="G29" s="1444">
        <v>3.2858775251501063E-2</v>
      </c>
      <c r="H29" s="1444">
        <v>4.5678276763463199E-2</v>
      </c>
      <c r="I29" s="1444">
        <v>4.598873243439662E-2</v>
      </c>
      <c r="J29" s="1444">
        <v>4.5755767979007315E-2</v>
      </c>
      <c r="K29" s="1444">
        <v>3.5331389046293481E-2</v>
      </c>
      <c r="L29" s="1444">
        <v>5.2545864727004066E-2</v>
      </c>
      <c r="M29" s="1444">
        <v>4.5348779098943789E-2</v>
      </c>
      <c r="N29" s="1444">
        <v>3.5980774358433894E-2</v>
      </c>
      <c r="O29" s="1444">
        <v>4.0351854068449343E-2</v>
      </c>
    </row>
    <row r="30" spans="1:15" s="1436" customFormat="1" ht="14.25" customHeight="1">
      <c r="A30" s="1433">
        <v>30</v>
      </c>
      <c r="B30" s="1436" t="s">
        <v>1827</v>
      </c>
      <c r="C30" s="1443">
        <v>1196.0586154290033</v>
      </c>
      <c r="D30" s="1443">
        <v>463.55208241369718</v>
      </c>
      <c r="E30" s="1443">
        <v>19630.48098816345</v>
      </c>
      <c r="F30" s="1443">
        <v>391630.55454413197</v>
      </c>
      <c r="G30" s="1443">
        <v>198.37041550347104</v>
      </c>
      <c r="H30" s="1443">
        <v>1353536.5492702783</v>
      </c>
      <c r="I30" s="1443">
        <v>2936.6568134115323</v>
      </c>
      <c r="J30" s="1443">
        <v>130.14403868652442</v>
      </c>
      <c r="K30" s="1443">
        <v>885.40078587391906</v>
      </c>
      <c r="L30" s="1443">
        <v>766.89701150052281</v>
      </c>
      <c r="M30" s="1443">
        <v>27984731.581958212</v>
      </c>
      <c r="N30" s="1443">
        <v>25382836.926551294</v>
      </c>
      <c r="O30" s="1443">
        <v>26683784.254254751</v>
      </c>
    </row>
    <row r="31" spans="1:15" s="1436" customFormat="1" ht="14.25" customHeight="1">
      <c r="A31" s="1433">
        <v>31</v>
      </c>
      <c r="B31" s="1446"/>
      <c r="C31" s="1447"/>
      <c r="D31" s="1447"/>
      <c r="E31" s="1447"/>
      <c r="F31" s="1447"/>
      <c r="G31" s="1447"/>
      <c r="H31" s="1447"/>
      <c r="I31" s="1447"/>
      <c r="J31" s="1447"/>
      <c r="K31" s="1447"/>
      <c r="L31" s="1447"/>
      <c r="M31" s="1447"/>
      <c r="N31" s="1447"/>
      <c r="O31" s="1447"/>
    </row>
    <row r="32" spans="1:15" s="1436" customFormat="1">
      <c r="A32" s="1433">
        <v>32</v>
      </c>
      <c r="B32" s="1441" t="s">
        <v>1829</v>
      </c>
      <c r="C32" s="1442">
        <v>1</v>
      </c>
      <c r="D32" s="1442">
        <v>0.35813996172964196</v>
      </c>
      <c r="E32" s="1442">
        <v>0.27152546465587929</v>
      </c>
      <c r="F32" s="1442">
        <v>7.9772204472460168E-2</v>
      </c>
      <c r="G32" s="1442">
        <v>1.0735125251442042E-3</v>
      </c>
      <c r="H32" s="1442">
        <v>0.17817489786137655</v>
      </c>
      <c r="I32" s="1442">
        <v>8.3959257178266751E-3</v>
      </c>
      <c r="J32" s="1442">
        <v>2.8224092378510463E-4</v>
      </c>
      <c r="K32" s="1442">
        <v>3.637689804744314E-4</v>
      </c>
      <c r="L32" s="1442">
        <v>6.3135270608976932E-2</v>
      </c>
      <c r="M32" s="1442">
        <v>2.2206264746511536E-2</v>
      </c>
      <c r="N32" s="1442">
        <v>1.6930487777923844E-2</v>
      </c>
      <c r="O32" s="1442">
        <v>3.9136752524435381E-2</v>
      </c>
    </row>
    <row r="33" spans="1:15" s="1436" customFormat="1">
      <c r="A33" s="1433">
        <v>33</v>
      </c>
      <c r="B33" s="1436" t="s">
        <v>1824</v>
      </c>
      <c r="C33" s="1435">
        <v>23753879.917183429</v>
      </c>
      <c r="D33" s="1435">
        <v>8507213.6444705836</v>
      </c>
      <c r="E33" s="1435">
        <v>6449783.28189319</v>
      </c>
      <c r="F33" s="1435">
        <v>1894899.3657678217</v>
      </c>
      <c r="G33" s="1435">
        <v>25500.087611867784</v>
      </c>
      <c r="H33" s="1435">
        <v>4232345.1280555613</v>
      </c>
      <c r="I33" s="1435">
        <v>199435.81129484694</v>
      </c>
      <c r="J33" s="1435">
        <v>6704.3170113062952</v>
      </c>
      <c r="K33" s="1435">
        <v>8640.9246797858868</v>
      </c>
      <c r="L33" s="1435">
        <v>1499707.6365845185</v>
      </c>
      <c r="M33" s="1435">
        <v>527484.94619781873</v>
      </c>
      <c r="N33" s="1435">
        <v>402164.77361614467</v>
      </c>
      <c r="O33" s="1435">
        <v>929649.7198139634</v>
      </c>
    </row>
    <row r="34" spans="1:15" s="1436" customFormat="1">
      <c r="A34" s="1433">
        <v>34</v>
      </c>
      <c r="B34" s="1436" t="s">
        <v>1825</v>
      </c>
      <c r="C34" s="1443">
        <v>0.22487194489383452</v>
      </c>
      <c r="D34" s="1443">
        <v>0.13343276671025026</v>
      </c>
      <c r="E34" s="1443">
        <v>0.3592512023850149</v>
      </c>
      <c r="F34" s="1443">
        <v>0.40622098758570352</v>
      </c>
      <c r="G34" s="1443">
        <v>0.17774151465044535</v>
      </c>
      <c r="H34" s="1443">
        <v>0.48995774488636129</v>
      </c>
      <c r="I34" s="1443">
        <v>0.18769262386937657</v>
      </c>
      <c r="J34" s="1443">
        <v>0.62805269237523209</v>
      </c>
      <c r="K34" s="1443">
        <v>0.18607746935691752</v>
      </c>
      <c r="L34" s="1443">
        <v>0.21420709436392762</v>
      </c>
      <c r="M34" s="1443">
        <v>0.46999610628426569</v>
      </c>
      <c r="N34" s="1443">
        <v>0.32606105012165371</v>
      </c>
      <c r="O34" s="1443">
        <v>0.39463490121347389</v>
      </c>
    </row>
    <row r="35" spans="1:15" s="1436" customFormat="1">
      <c r="A35" s="1433">
        <v>35</v>
      </c>
      <c r="B35" s="1436" t="s">
        <v>1826</v>
      </c>
      <c r="C35" s="1444">
        <v>1.03643710486194E-3</v>
      </c>
      <c r="D35" s="1444">
        <v>1.2541964359983754E-3</v>
      </c>
      <c r="E35" s="1444">
        <v>1.0413416486565153E-3</v>
      </c>
      <c r="F35" s="1444">
        <v>9.377424337843036E-4</v>
      </c>
      <c r="G35" s="1444">
        <v>5.0052428577220052E-4</v>
      </c>
      <c r="H35" s="1444">
        <v>8.6563908058415683E-4</v>
      </c>
      <c r="I35" s="1444">
        <v>8.6563510057811194E-4</v>
      </c>
      <c r="J35" s="1444">
        <v>8.6213961375852766E-4</v>
      </c>
      <c r="K35" s="1444">
        <v>5.4130444834078729E-4</v>
      </c>
      <c r="L35" s="1444">
        <v>1.0678241675134384E-3</v>
      </c>
      <c r="M35" s="1444">
        <v>8.5478033738100592E-4</v>
      </c>
      <c r="N35" s="1444">
        <v>5.7007812075004268E-4</v>
      </c>
      <c r="O35" s="1444">
        <v>7.0291922373653547E-4</v>
      </c>
    </row>
    <row r="36" spans="1:15" s="1436" customFormat="1">
      <c r="A36" s="1433">
        <v>36</v>
      </c>
      <c r="B36" s="1436" t="s">
        <v>1827</v>
      </c>
      <c r="C36" s="1443">
        <v>24.084639622117987</v>
      </c>
      <c r="D36" s="1443">
        <v>9.9166930628844803</v>
      </c>
      <c r="E36" s="1443">
        <v>394.84440048320721</v>
      </c>
      <c r="F36" s="1443">
        <v>7602.4046771025942</v>
      </c>
      <c r="G36" s="1443">
        <v>3.0216954155548978</v>
      </c>
      <c r="H36" s="1443">
        <v>25650.576533670068</v>
      </c>
      <c r="I36" s="1443">
        <v>55.276000913205912</v>
      </c>
      <c r="J36" s="1443">
        <v>2.4522008088172256</v>
      </c>
      <c r="K36" s="1443">
        <v>13.565030894483339</v>
      </c>
      <c r="L36" s="1443">
        <v>15.584692860773105</v>
      </c>
      <c r="M36" s="1443">
        <v>527484.94619781873</v>
      </c>
      <c r="N36" s="1443">
        <v>402164.77361614467</v>
      </c>
      <c r="O36" s="1443">
        <v>464824.8599069817</v>
      </c>
    </row>
    <row r="37" spans="1:15" s="1436" customFormat="1">
      <c r="A37" s="1433">
        <v>37</v>
      </c>
      <c r="C37" s="1444"/>
      <c r="D37" s="1435"/>
      <c r="E37" s="1435"/>
      <c r="F37" s="1435"/>
      <c r="G37" s="1435"/>
      <c r="H37" s="1435"/>
      <c r="I37" s="1435"/>
      <c r="J37" s="1435"/>
      <c r="K37" s="1435"/>
      <c r="L37" s="1435"/>
      <c r="M37" s="1435"/>
      <c r="N37" s="1435"/>
      <c r="O37" s="1435"/>
    </row>
    <row r="38" spans="1:15" s="1436" customFormat="1">
      <c r="A38" s="1433">
        <v>38</v>
      </c>
      <c r="B38" s="1441" t="s">
        <v>1830</v>
      </c>
      <c r="C38" s="1442">
        <v>1</v>
      </c>
      <c r="D38" s="1442">
        <v>0.2994843982911104</v>
      </c>
      <c r="E38" s="1442">
        <v>0.27227041431403737</v>
      </c>
      <c r="F38" s="1442">
        <v>8.8093434084959885E-2</v>
      </c>
      <c r="G38" s="1442">
        <v>2.2191353148495545E-3</v>
      </c>
      <c r="H38" s="1442">
        <v>0.20870540043570193</v>
      </c>
      <c r="I38" s="1442">
        <v>1.0101748086998211E-2</v>
      </c>
      <c r="J38" s="1442">
        <v>3.4093994591065515E-4</v>
      </c>
      <c r="K38" s="1442">
        <v>6.9583517226167585E-4</v>
      </c>
      <c r="L38" s="1442">
        <v>6.1803258425562571E-2</v>
      </c>
      <c r="M38" s="1442">
        <v>2.6336489911817938E-2</v>
      </c>
      <c r="N38" s="1442">
        <v>2.9948946016789827E-2</v>
      </c>
      <c r="O38" s="1442">
        <v>5.6285435928607762E-2</v>
      </c>
    </row>
    <row r="39" spans="1:15" s="1436" customFormat="1">
      <c r="A39" s="1433">
        <v>39</v>
      </c>
      <c r="B39" s="1436" t="s">
        <v>1824</v>
      </c>
      <c r="C39" s="1435">
        <v>422740813.0037598</v>
      </c>
      <c r="D39" s="1435">
        <v>126604278.01552582</v>
      </c>
      <c r="E39" s="1435">
        <v>115099816.30398667</v>
      </c>
      <c r="F39" s="1435">
        <v>37240689.945369065</v>
      </c>
      <c r="G39" s="1435">
        <v>938119.06716485508</v>
      </c>
      <c r="H39" s="1435">
        <v>88228290.65846388</v>
      </c>
      <c r="I39" s="1435">
        <v>4270421.1990567995</v>
      </c>
      <c r="J39" s="1435">
        <v>144129.22991972824</v>
      </c>
      <c r="K39" s="1435">
        <v>294157.92643851211</v>
      </c>
      <c r="L39" s="1435">
        <v>26126759.71310379</v>
      </c>
      <c r="M39" s="1435">
        <v>11133509.156987233</v>
      </c>
      <c r="N39" s="1435">
        <v>12660641.787743445</v>
      </c>
      <c r="O39" s="1435">
        <v>23794150.944730677</v>
      </c>
    </row>
    <row r="40" spans="1:15" s="1436" customFormat="1">
      <c r="A40" s="1433">
        <v>40</v>
      </c>
      <c r="B40" s="1436" t="s">
        <v>1825</v>
      </c>
      <c r="C40" s="1443">
        <v>4.001979850769076</v>
      </c>
      <c r="D40" s="1443">
        <v>1.9857452509077791</v>
      </c>
      <c r="E40" s="1443">
        <v>6.4110289593116772</v>
      </c>
      <c r="F40" s="1443">
        <v>7.9835109564517106</v>
      </c>
      <c r="G40" s="1443">
        <v>6.5389070993913716</v>
      </c>
      <c r="H40" s="1443">
        <v>10.213754554099751</v>
      </c>
      <c r="I40" s="1443">
        <v>4.0189700870391771</v>
      </c>
      <c r="J40" s="1443">
        <v>13.501860181790056</v>
      </c>
      <c r="K40" s="1443">
        <v>6.3345260572636937</v>
      </c>
      <c r="L40" s="1443">
        <v>3.7317522074063829</v>
      </c>
      <c r="M40" s="1443">
        <v>9.9201048120562572</v>
      </c>
      <c r="N40" s="1443">
        <v>10.264802954785688</v>
      </c>
      <c r="O40" s="1443">
        <v>10.100581119318095</v>
      </c>
    </row>
    <row r="41" spans="1:15" s="1436" customFormat="1">
      <c r="A41" s="1433">
        <v>41</v>
      </c>
      <c r="B41" s="1436" t="s">
        <v>1826</v>
      </c>
      <c r="C41" s="1444">
        <v>1.8445166257645695E-2</v>
      </c>
      <c r="D41" s="1444">
        <v>1.8664940238385361E-2</v>
      </c>
      <c r="E41" s="1444">
        <v>1.8583296094078036E-2</v>
      </c>
      <c r="F41" s="1444">
        <v>1.8429567213996301E-2</v>
      </c>
      <c r="G41" s="1444">
        <v>1.8413716188309961E-2</v>
      </c>
      <c r="H41" s="1444">
        <v>1.8045280830439357E-2</v>
      </c>
      <c r="I41" s="1444">
        <v>1.8535419793245269E-2</v>
      </c>
      <c r="J41" s="1444">
        <v>1.853425463097207E-2</v>
      </c>
      <c r="K41" s="1444">
        <v>1.8427309575832829E-2</v>
      </c>
      <c r="L41" s="1444">
        <v>1.8602816148890373E-2</v>
      </c>
      <c r="M41" s="1444">
        <v>1.8041661249371631E-2</v>
      </c>
      <c r="N41" s="1444">
        <v>1.7946760510494646E-2</v>
      </c>
      <c r="O41" s="1444">
        <v>1.7991040878156807E-2</v>
      </c>
    </row>
    <row r="42" spans="1:15" s="1436" customFormat="1">
      <c r="A42" s="1433">
        <v>42</v>
      </c>
      <c r="B42" s="1436" t="s">
        <v>1827</v>
      </c>
      <c r="C42" s="1443">
        <v>428.62724617006415</v>
      </c>
      <c r="D42" s="1443">
        <v>147.58013822117834</v>
      </c>
      <c r="E42" s="1443">
        <v>7046.2085279453122</v>
      </c>
      <c r="F42" s="1443">
        <v>149410.99275975552</v>
      </c>
      <c r="G42" s="1443">
        <v>111.16471941756785</v>
      </c>
      <c r="H42" s="1443">
        <v>534716.91308159928</v>
      </c>
      <c r="I42" s="1443">
        <v>1183.5978933084257</v>
      </c>
      <c r="J42" s="1443">
        <v>52.71734817839365</v>
      </c>
      <c r="K42" s="1443">
        <v>461.78638373392795</v>
      </c>
      <c r="L42" s="1443">
        <v>271.50460239254494</v>
      </c>
      <c r="M42" s="1443">
        <v>11133509.156987233</v>
      </c>
      <c r="N42" s="1443">
        <v>12660641.787743445</v>
      </c>
      <c r="O42" s="1443">
        <v>11897075.472365338</v>
      </c>
    </row>
    <row r="43" spans="1:15" s="1436" customFormat="1">
      <c r="A43" s="1433">
        <v>43</v>
      </c>
      <c r="C43" s="1443"/>
      <c r="D43" s="1443"/>
      <c r="E43" s="1443"/>
      <c r="F43" s="1443"/>
      <c r="G43" s="1443"/>
      <c r="H43" s="1443"/>
      <c r="I43" s="1443"/>
      <c r="J43" s="1443"/>
      <c r="K43" s="1443"/>
      <c r="L43" s="1443"/>
      <c r="M43" s="1443"/>
      <c r="N43" s="1443"/>
      <c r="O43" s="1443"/>
    </row>
    <row r="44" spans="1:15" s="1436" customFormat="1">
      <c r="A44" s="1433">
        <v>44</v>
      </c>
      <c r="B44" s="1441" t="s">
        <v>1831</v>
      </c>
      <c r="C44" s="1442">
        <v>1</v>
      </c>
      <c r="D44" s="1442">
        <v>0.3581044311002935</v>
      </c>
      <c r="E44" s="1442">
        <v>0.27166990624222598</v>
      </c>
      <c r="F44" s="1442">
        <v>7.9772437031183349E-2</v>
      </c>
      <c r="G44" s="1442">
        <v>9.7766547750390768E-4</v>
      </c>
      <c r="H44" s="1442">
        <v>0.17841991809134738</v>
      </c>
      <c r="I44" s="1442">
        <v>8.3560897309698928E-3</v>
      </c>
      <c r="J44" s="1442">
        <v>2.7985828089018781E-4</v>
      </c>
      <c r="K44" s="1442">
        <v>3.5742486737531075E-4</v>
      </c>
      <c r="L44" s="1442">
        <v>6.3016875743876072E-2</v>
      </c>
      <c r="M44" s="1442">
        <v>2.2245389333418963E-2</v>
      </c>
      <c r="N44" s="1442">
        <v>1.6800004100915426E-2</v>
      </c>
      <c r="O44" s="1442">
        <v>3.9045393434334386E-2</v>
      </c>
    </row>
    <row r="45" spans="1:15" s="1436" customFormat="1">
      <c r="A45" s="1433">
        <v>45</v>
      </c>
      <c r="B45" s="1436" t="s">
        <v>1824</v>
      </c>
      <c r="C45" s="1435">
        <v>604945494.20699644</v>
      </c>
      <c r="D45" s="1435">
        <v>216633662.04968235</v>
      </c>
      <c r="E45" s="1435">
        <v>164345485.69287178</v>
      </c>
      <c r="F45" s="1435">
        <v>48257976.343925714</v>
      </c>
      <c r="G45" s="1435">
        <v>591434.32545772055</v>
      </c>
      <c r="H45" s="1435">
        <v>107934325.52614197</v>
      </c>
      <c r="I45" s="1435">
        <v>5054978.8319395902</v>
      </c>
      <c r="J45" s="1435">
        <v>169299.00604103509</v>
      </c>
      <c r="K45" s="1435">
        <v>216222.56303622751</v>
      </c>
      <c r="L45" s="1435">
        <v>38121775.040259995</v>
      </c>
      <c r="M45" s="1435">
        <v>13457248.044132182</v>
      </c>
      <c r="N45" s="1435">
        <v>10163086.783507848</v>
      </c>
      <c r="O45" s="1435">
        <v>23620334.827640031</v>
      </c>
    </row>
    <row r="46" spans="1:15" s="1436" customFormat="1">
      <c r="A46" s="1433">
        <v>46</v>
      </c>
      <c r="B46" s="1436" t="s">
        <v>1825</v>
      </c>
      <c r="C46" s="1443">
        <v>5.7268652662793844</v>
      </c>
      <c r="D46" s="1443">
        <v>3.3978256686489177</v>
      </c>
      <c r="E46" s="1443">
        <v>9.1539995626617685</v>
      </c>
      <c r="F46" s="1443">
        <v>10.345352984681398</v>
      </c>
      <c r="G46" s="1443">
        <v>4.1224341823122028</v>
      </c>
      <c r="H46" s="1443">
        <v>12.495025129227765</v>
      </c>
      <c r="I46" s="1443">
        <v>4.7573313659712468</v>
      </c>
      <c r="J46" s="1443">
        <v>15.85973580622872</v>
      </c>
      <c r="K46" s="1443">
        <v>4.6562316926300014</v>
      </c>
      <c r="L46" s="1443">
        <v>5.4450310608318278</v>
      </c>
      <c r="M46" s="1443">
        <v>11.990587082406924</v>
      </c>
      <c r="N46" s="1443">
        <v>8.239873222389658</v>
      </c>
      <c r="O46" s="1443">
        <v>10.026796440276721</v>
      </c>
    </row>
    <row r="47" spans="1:15" s="1436" customFormat="1">
      <c r="A47" s="1433">
        <v>47</v>
      </c>
      <c r="B47" s="1436" t="s">
        <v>1826</v>
      </c>
      <c r="C47" s="1444">
        <v>2.6395180863131969E-2</v>
      </c>
      <c r="D47" s="1444">
        <v>3.1937738749112668E-2</v>
      </c>
      <c r="E47" s="1444">
        <v>2.6534193714867975E-2</v>
      </c>
      <c r="F47" s="1444">
        <v>2.3881770717634553E-2</v>
      </c>
      <c r="G47" s="1444">
        <v>1.1608871617880922E-2</v>
      </c>
      <c r="H47" s="1444">
        <v>2.2075744648651932E-2</v>
      </c>
      <c r="I47" s="1444">
        <v>2.1940729105752715E-2</v>
      </c>
      <c r="J47" s="1444">
        <v>2.1770954361461696E-2</v>
      </c>
      <c r="K47" s="1444">
        <v>1.3545105360883254E-2</v>
      </c>
      <c r="L47" s="1444">
        <v>2.7143525646911033E-2</v>
      </c>
      <c r="M47" s="1444">
        <v>2.1807240389130095E-2</v>
      </c>
      <c r="N47" s="1444">
        <v>1.4406416958069355E-2</v>
      </c>
      <c r="O47" s="1444">
        <v>1.7859616442163103E-2</v>
      </c>
    </row>
    <row r="48" spans="1:15" s="1436" customFormat="1">
      <c r="A48" s="1433">
        <v>48</v>
      </c>
      <c r="B48" s="1436" t="s">
        <v>1827</v>
      </c>
      <c r="C48" s="1443">
        <v>613.36902728298253</v>
      </c>
      <c r="D48" s="1443">
        <v>252.52563570349093</v>
      </c>
      <c r="E48" s="1443">
        <v>10060.941885085509</v>
      </c>
      <c r="F48" s="1443">
        <v>193612.74360652242</v>
      </c>
      <c r="G48" s="1443">
        <v>70.083460772333282</v>
      </c>
      <c r="H48" s="1443">
        <v>654147.42743116349</v>
      </c>
      <c r="I48" s="1443">
        <v>1401.0473480985561</v>
      </c>
      <c r="J48" s="1443">
        <v>61.923557440027466</v>
      </c>
      <c r="K48" s="1443">
        <v>339.43887446817507</v>
      </c>
      <c r="L48" s="1443">
        <v>396.15465095783412</v>
      </c>
      <c r="M48" s="1443">
        <v>13457248.044132182</v>
      </c>
      <c r="N48" s="1443">
        <v>10163086.783507848</v>
      </c>
      <c r="O48" s="1443">
        <v>11810167.413820015</v>
      </c>
    </row>
    <row r="49" spans="1:15" s="1436" customFormat="1">
      <c r="A49" s="1433">
        <v>49</v>
      </c>
      <c r="C49" s="1443"/>
      <c r="D49" s="1443"/>
      <c r="E49" s="1443"/>
      <c r="F49" s="1443"/>
      <c r="G49" s="1443"/>
      <c r="H49" s="1443"/>
      <c r="I49" s="1443"/>
      <c r="J49" s="1443"/>
      <c r="K49" s="1443"/>
      <c r="L49" s="1443"/>
      <c r="M49" s="1443"/>
      <c r="N49" s="1443"/>
      <c r="O49" s="1443"/>
    </row>
    <row r="50" spans="1:15" s="1436" customFormat="1">
      <c r="A50" s="1433">
        <v>50</v>
      </c>
      <c r="B50" s="1441" t="s">
        <v>1832</v>
      </c>
      <c r="C50" s="1442">
        <v>1</v>
      </c>
      <c r="D50" s="1442">
        <v>0.3582212389311159</v>
      </c>
      <c r="E50" s="1442">
        <v>0.27122312312935087</v>
      </c>
      <c r="F50" s="1442">
        <v>7.9726465596026877E-2</v>
      </c>
      <c r="G50" s="1442">
        <v>9.2824681717372114E-4</v>
      </c>
      <c r="H50" s="1442">
        <v>0.17893820131664051</v>
      </c>
      <c r="I50" s="1442">
        <v>8.3516614168842648E-3</v>
      </c>
      <c r="J50" s="1442">
        <v>2.7834074532857443E-4</v>
      </c>
      <c r="K50" s="1442">
        <v>3.5086935575091014E-4</v>
      </c>
      <c r="L50" s="1442">
        <v>6.2795273269262777E-2</v>
      </c>
      <c r="M50" s="1442">
        <v>2.2360787041288632E-2</v>
      </c>
      <c r="N50" s="1442">
        <v>1.6825792381177179E-2</v>
      </c>
      <c r="O50" s="1442">
        <v>3.9186579422465811E-2</v>
      </c>
    </row>
    <row r="51" spans="1:15" s="1436" customFormat="1">
      <c r="A51" s="1433">
        <v>51</v>
      </c>
      <c r="B51" s="1436" t="s">
        <v>1824</v>
      </c>
      <c r="C51" s="1435">
        <v>128192689.70041507</v>
      </c>
      <c r="D51" s="1435">
        <v>45921344.126394786</v>
      </c>
      <c r="E51" s="1435">
        <v>34768821.662898347</v>
      </c>
      <c r="F51" s="1435">
        <v>10220350.065062292</v>
      </c>
      <c r="G51" s="1435">
        <v>118994.45619934876</v>
      </c>
      <c r="H51" s="1435">
        <v>22938569.3169345</v>
      </c>
      <c r="I51" s="1435">
        <v>1070621.9404975735</v>
      </c>
      <c r="J51" s="1435">
        <v>35681.248796888198</v>
      </c>
      <c r="K51" s="1435">
        <v>44978.88644716097</v>
      </c>
      <c r="L51" s="1435">
        <v>8049894.9808593728</v>
      </c>
      <c r="M51" s="1435">
        <v>2866489.4346409761</v>
      </c>
      <c r="N51" s="1435">
        <v>2156943.5816838541</v>
      </c>
      <c r="O51" s="1435">
        <v>5023433.0163248302</v>
      </c>
    </row>
    <row r="52" spans="1:15" s="1436" customFormat="1">
      <c r="A52" s="1433">
        <v>52</v>
      </c>
      <c r="B52" s="1436" t="s">
        <v>1825</v>
      </c>
      <c r="C52" s="1443">
        <v>1.2135676173579928</v>
      </c>
      <c r="D52" s="1443">
        <v>0.72026074034486931</v>
      </c>
      <c r="E52" s="1443">
        <v>1.9366140600370692</v>
      </c>
      <c r="F52" s="1443">
        <v>2.190997987494137</v>
      </c>
      <c r="G52" s="1443">
        <v>0.82941891031131054</v>
      </c>
      <c r="H52" s="1443">
        <v>2.6554851632830183</v>
      </c>
      <c r="I52" s="1443">
        <v>1.0075815365327283</v>
      </c>
      <c r="J52" s="1443">
        <v>3.3425782725375255</v>
      </c>
      <c r="K52" s="1443">
        <v>0.96859510697496987</v>
      </c>
      <c r="L52" s="1443">
        <v>1.149787179661049</v>
      </c>
      <c r="M52" s="1443">
        <v>2.5540802305304084</v>
      </c>
      <c r="N52" s="1443">
        <v>1.7487739738445482</v>
      </c>
      <c r="O52" s="1443">
        <v>2.1324397242292124</v>
      </c>
    </row>
    <row r="53" spans="1:15" s="1436" customFormat="1">
      <c r="A53" s="1433">
        <v>53</v>
      </c>
      <c r="B53" s="1436" t="s">
        <v>1826</v>
      </c>
      <c r="C53" s="1444">
        <v>5.5933456193592345E-3</v>
      </c>
      <c r="D53" s="1444">
        <v>6.7700646235696431E-3</v>
      </c>
      <c r="E53" s="1444">
        <v>5.6135563769918479E-3</v>
      </c>
      <c r="F53" s="1444">
        <v>5.0578179069977027E-3</v>
      </c>
      <c r="G53" s="1444">
        <v>2.3356631595379813E-3</v>
      </c>
      <c r="H53" s="1444">
        <v>4.6916122037877579E-3</v>
      </c>
      <c r="I53" s="1444">
        <v>4.6469484348205248E-3</v>
      </c>
      <c r="J53" s="1444">
        <v>4.5884193728150235E-3</v>
      </c>
      <c r="K53" s="1444">
        <v>2.8176696612366124E-3</v>
      </c>
      <c r="L53" s="1444">
        <v>5.7316987636892198E-3</v>
      </c>
      <c r="M53" s="1444">
        <v>4.6450971230610535E-3</v>
      </c>
      <c r="N53" s="1444">
        <v>3.0575187691198498E-3</v>
      </c>
      <c r="O53" s="1444">
        <v>3.7982775243928985E-3</v>
      </c>
    </row>
    <row r="54" spans="1:15" s="1436" customFormat="1">
      <c r="A54" s="1433">
        <v>54</v>
      </c>
      <c r="B54" s="1436" t="s">
        <v>1827</v>
      </c>
      <c r="C54" s="1443">
        <v>129.97770235383865</v>
      </c>
      <c r="D54" s="1443">
        <v>53.529615426143401</v>
      </c>
      <c r="E54" s="1443">
        <v>2128.4861746494244</v>
      </c>
      <c r="F54" s="1443">
        <v>41004.41350075142</v>
      </c>
      <c r="G54" s="1443">
        <v>14.10053989801502</v>
      </c>
      <c r="H54" s="1443">
        <v>139021.63222384546</v>
      </c>
      <c r="I54" s="1443">
        <v>296.73557109134521</v>
      </c>
      <c r="J54" s="1443">
        <v>13.0509322592861</v>
      </c>
      <c r="K54" s="1443">
        <v>70.61049677733277</v>
      </c>
      <c r="L54" s="1443">
        <v>83.653065289370545</v>
      </c>
      <c r="M54" s="1443">
        <v>2866489.4346409761</v>
      </c>
      <c r="N54" s="1443">
        <v>2156943.5816838541</v>
      </c>
      <c r="O54" s="1443">
        <v>2511716.5081624151</v>
      </c>
    </row>
    <row r="55" spans="1:15" s="1436" customFormat="1">
      <c r="A55" s="1433">
        <v>55</v>
      </c>
      <c r="C55" s="1438"/>
      <c r="D55" s="1435"/>
      <c r="E55" s="1435"/>
      <c r="F55" s="1435"/>
      <c r="G55" s="1435"/>
      <c r="H55" s="1435"/>
      <c r="I55" s="1435"/>
      <c r="J55" s="1435"/>
      <c r="K55" s="1435"/>
      <c r="L55" s="1435"/>
      <c r="M55" s="1443"/>
      <c r="N55" s="1443"/>
      <c r="O55" s="1443"/>
    </row>
    <row r="56" spans="1:15" s="1436" customFormat="1">
      <c r="A56" s="1433">
        <v>56</v>
      </c>
      <c r="B56" s="1441" t="s">
        <v>1833</v>
      </c>
      <c r="C56" s="1442">
        <v>1</v>
      </c>
      <c r="D56" s="1442">
        <v>0.3534149530157496</v>
      </c>
      <c r="E56" s="1442">
        <v>0.27269292209393325</v>
      </c>
      <c r="F56" s="1442">
        <v>8.1063789298697023E-2</v>
      </c>
      <c r="G56" s="1442">
        <v>1.1891520496809032E-3</v>
      </c>
      <c r="H56" s="1442">
        <v>0.18226180970584874</v>
      </c>
      <c r="I56" s="1442">
        <v>8.655767524510664E-3</v>
      </c>
      <c r="J56" s="1442">
        <v>2.6370929154225897E-4</v>
      </c>
      <c r="K56" s="1442">
        <v>3.5871294661318738E-4</v>
      </c>
      <c r="L56" s="1442">
        <v>5.8899092079858176E-2</v>
      </c>
      <c r="M56" s="1442">
        <v>2.2782445543979138E-2</v>
      </c>
      <c r="N56" s="1442">
        <v>1.841764644958693E-2</v>
      </c>
      <c r="O56" s="1442">
        <v>4.1200091993566071E-2</v>
      </c>
    </row>
    <row r="57" spans="1:15" s="1436" customFormat="1">
      <c r="A57" s="1433">
        <v>57</v>
      </c>
      <c r="B57" s="1436" t="s">
        <v>1824</v>
      </c>
      <c r="C57" s="1435">
        <v>352619759.85004789</v>
      </c>
      <c r="D57" s="1435">
        <v>124621095.85982962</v>
      </c>
      <c r="E57" s="1435">
        <v>96156912.70157057</v>
      </c>
      <c r="F57" s="1435">
        <v>28584693.915041424</v>
      </c>
      <c r="G57" s="1435">
        <v>419318.5101836723</v>
      </c>
      <c r="H57" s="1435">
        <v>64269115.568311505</v>
      </c>
      <c r="I57" s="1435">
        <v>3052194.6658107946</v>
      </c>
      <c r="J57" s="1435">
        <v>92989.107053857617</v>
      </c>
      <c r="K57" s="1435">
        <v>126489.27308984518</v>
      </c>
      <c r="L57" s="1435">
        <v>20768983.704585448</v>
      </c>
      <c r="M57" s="1435">
        <v>8033540.4765147166</v>
      </c>
      <c r="N57" s="1435">
        <v>6494426.0680564307</v>
      </c>
      <c r="O57" s="1435">
        <v>14527966.544571146</v>
      </c>
    </row>
    <row r="58" spans="1:15" s="1436" customFormat="1">
      <c r="A58" s="1433">
        <v>58</v>
      </c>
      <c r="B58" s="1436" t="s">
        <v>1825</v>
      </c>
      <c r="C58" s="1443">
        <v>3.3381616595660262</v>
      </c>
      <c r="D58" s="1443">
        <v>1.9546397100122666</v>
      </c>
      <c r="E58" s="1443">
        <v>5.3559142991127562</v>
      </c>
      <c r="F58" s="1443">
        <v>6.1278729634795486</v>
      </c>
      <c r="G58" s="1443">
        <v>2.922747100144377</v>
      </c>
      <c r="H58" s="1443">
        <v>7.4401188884512583</v>
      </c>
      <c r="I58" s="1443">
        <v>2.8724752172978727</v>
      </c>
      <c r="J58" s="1443">
        <v>8.7111123994067636</v>
      </c>
      <c r="K58" s="1443">
        <v>2.723875593131273</v>
      </c>
      <c r="L58" s="1443">
        <v>2.9664872964059801</v>
      </c>
      <c r="M58" s="1443">
        <v>7.1579914665905493</v>
      </c>
      <c r="N58" s="1443">
        <v>5.2654521793325797</v>
      </c>
      <c r="O58" s="1443">
        <v>6.1670998441184857</v>
      </c>
    </row>
    <row r="59" spans="1:15" s="1436" customFormat="1">
      <c r="A59" s="1433">
        <v>59</v>
      </c>
      <c r="B59" s="1436" t="s">
        <v>1826</v>
      </c>
      <c r="C59" s="1444">
        <v>1.5385621392811639E-2</v>
      </c>
      <c r="D59" s="1444">
        <v>1.837256483845328E-2</v>
      </c>
      <c r="E59" s="1444">
        <v>1.5524893415175732E-2</v>
      </c>
      <c r="F59" s="1444">
        <v>1.4145912403115286E-2</v>
      </c>
      <c r="G59" s="1444">
        <v>8.2305245776123411E-3</v>
      </c>
      <c r="H59" s="1444">
        <v>1.3144924723109618E-2</v>
      </c>
      <c r="I59" s="1444">
        <v>1.3247805493753723E-2</v>
      </c>
      <c r="J59" s="1444">
        <v>1.1957906033375744E-2</v>
      </c>
      <c r="K59" s="1444">
        <v>7.9238286095814504E-3</v>
      </c>
      <c r="L59" s="1444">
        <v>1.478796412943335E-2</v>
      </c>
      <c r="M59" s="1444">
        <v>1.3018215000023849E-2</v>
      </c>
      <c r="N59" s="1444">
        <v>9.2060032382683815E-3</v>
      </c>
      <c r="O59" s="1444">
        <v>1.0984768508319323E-2</v>
      </c>
    </row>
    <row r="60" spans="1:15" s="1436" customFormat="1">
      <c r="A60" s="1433">
        <v>60</v>
      </c>
      <c r="B60" s="1436" t="s">
        <v>1827</v>
      </c>
      <c r="C60" s="1443">
        <v>357.52979594220335</v>
      </c>
      <c r="D60" s="1443">
        <v>145.26838145242581</v>
      </c>
      <c r="E60" s="1443">
        <v>5886.5572513970355</v>
      </c>
      <c r="F60" s="1443">
        <v>114682.82413256339</v>
      </c>
      <c r="G60" s="1443">
        <v>49.688175160999208</v>
      </c>
      <c r="H60" s="1443">
        <v>389509.79132310004</v>
      </c>
      <c r="I60" s="1443">
        <v>845.95195837328004</v>
      </c>
      <c r="J60" s="1443">
        <v>34.012109383269063</v>
      </c>
      <c r="K60" s="1443">
        <v>198.57028742518867</v>
      </c>
      <c r="L60" s="1443">
        <v>215.82755476495458</v>
      </c>
      <c r="M60" s="1443">
        <v>8033540.4765147166</v>
      </c>
      <c r="N60" s="1443">
        <v>6494426.0680564307</v>
      </c>
      <c r="O60" s="1443">
        <v>7263983.2722855732</v>
      </c>
    </row>
    <row r="61" spans="1:15" s="1436" customFormat="1">
      <c r="A61" s="1433">
        <v>61</v>
      </c>
      <c r="C61" s="1435"/>
      <c r="D61" s="1435"/>
      <c r="E61" s="1435"/>
      <c r="F61" s="1435"/>
      <c r="G61" s="1435"/>
      <c r="H61" s="1435"/>
      <c r="I61" s="1435"/>
      <c r="J61" s="1435"/>
      <c r="K61" s="1435"/>
      <c r="L61" s="1435"/>
      <c r="M61" s="1435"/>
      <c r="N61" s="1435"/>
      <c r="O61" s="1435"/>
    </row>
    <row r="62" spans="1:15" s="1436" customFormat="1">
      <c r="A62" s="1433">
        <v>62</v>
      </c>
      <c r="B62" s="1441" t="s">
        <v>1834</v>
      </c>
      <c r="C62" s="1442">
        <v>1</v>
      </c>
      <c r="D62" s="1442">
        <v>0.35813996172964163</v>
      </c>
      <c r="E62" s="1442">
        <v>0.27152546465587885</v>
      </c>
      <c r="F62" s="1442">
        <v>7.9772204472460154E-2</v>
      </c>
      <c r="G62" s="1442">
        <v>1.0735125251442033E-3</v>
      </c>
      <c r="H62" s="1442">
        <v>0.17817489786137644</v>
      </c>
      <c r="I62" s="1442">
        <v>8.3959257178266647E-3</v>
      </c>
      <c r="J62" s="1442">
        <v>2.8224092378510452E-4</v>
      </c>
      <c r="K62" s="1442">
        <v>3.6376898047443134E-4</v>
      </c>
      <c r="L62" s="1442">
        <v>6.3135270608976918E-2</v>
      </c>
      <c r="M62" s="1442">
        <v>2.2206264746511533E-2</v>
      </c>
      <c r="N62" s="1442">
        <v>1.6930487777923848E-2</v>
      </c>
      <c r="O62" s="1442">
        <v>3.9136752524435381E-2</v>
      </c>
    </row>
    <row r="63" spans="1:15" s="1436" customFormat="1">
      <c r="A63" s="1433">
        <v>63</v>
      </c>
      <c r="B63" s="1436" t="s">
        <v>1824</v>
      </c>
      <c r="C63" s="1435">
        <v>-14360724.039175972</v>
      </c>
      <c r="D63" s="1435">
        <v>-5143149.1578004276</v>
      </c>
      <c r="E63" s="1435">
        <v>-3899302.2675321051</v>
      </c>
      <c r="F63" s="1435">
        <v>-1145586.6144257195</v>
      </c>
      <c r="G63" s="1435">
        <v>-15416.41712619486</v>
      </c>
      <c r="H63" s="1435">
        <v>-2558720.5388955921</v>
      </c>
      <c r="I63" s="1435">
        <v>-120571.57228712917</v>
      </c>
      <c r="J63" s="1435">
        <v>-4053.1840190399839</v>
      </c>
      <c r="K63" s="1435">
        <v>-5223.985942605701</v>
      </c>
      <c r="L63" s="1435">
        <v>-906668.19835421513</v>
      </c>
      <c r="M63" s="1435">
        <v>-318898.03996553412</v>
      </c>
      <c r="N63" s="1435">
        <v>-243134.06282740599</v>
      </c>
      <c r="O63" s="1435">
        <v>-562032.1027929401</v>
      </c>
    </row>
    <row r="64" spans="1:15" s="1436" customFormat="1">
      <c r="A64" s="1433">
        <v>64</v>
      </c>
      <c r="B64" s="1436" t="s">
        <v>1825</v>
      </c>
      <c r="C64" s="1443">
        <v>-0.13594932516422584</v>
      </c>
      <c r="D64" s="1443">
        <v>-8.0668553819011529E-2</v>
      </c>
      <c r="E64" s="1443">
        <v>-0.21719009257352001</v>
      </c>
      <c r="F64" s="1443">
        <v>-0.24558630093182382</v>
      </c>
      <c r="G64" s="1443">
        <v>-0.10745599670872016</v>
      </c>
      <c r="H64" s="1443">
        <v>-0.29621047128726541</v>
      </c>
      <c r="I64" s="1443">
        <v>-0.11347207214039703</v>
      </c>
      <c r="J64" s="1443">
        <v>-0.3796976085046922</v>
      </c>
      <c r="K64" s="1443">
        <v>-0.11249560899774756</v>
      </c>
      <c r="L64" s="1443">
        <v>-0.12950174792997951</v>
      </c>
      <c r="M64" s="1443">
        <v>-0.2841423971733148</v>
      </c>
      <c r="N64" s="1443">
        <v>-0.19712454458160833</v>
      </c>
      <c r="O64" s="1443">
        <v>-0.23858177831632957</v>
      </c>
    </row>
    <row r="65" spans="1:15" s="1436" customFormat="1">
      <c r="A65" s="1433">
        <v>65</v>
      </c>
      <c r="B65" s="1436" t="s">
        <v>1826</v>
      </c>
      <c r="C65" s="1444">
        <v>-6.2659183673475637E-4</v>
      </c>
      <c r="D65" s="1444">
        <v>-7.5824113665159606E-4</v>
      </c>
      <c r="E65" s="1444">
        <v>-6.2955694391798227E-4</v>
      </c>
      <c r="F65" s="1444">
        <v>-5.6692466065974838E-4</v>
      </c>
      <c r="G65" s="1444">
        <v>-3.0259861411863648E-4</v>
      </c>
      <c r="H65" s="1444">
        <v>-5.2333361948177627E-4</v>
      </c>
      <c r="I65" s="1444">
        <v>-5.2333121331618593E-4</v>
      </c>
      <c r="J65" s="1444">
        <v>-5.2121797026816066E-4</v>
      </c>
      <c r="K65" s="1444">
        <v>-3.272528037904707E-4</v>
      </c>
      <c r="L65" s="1444">
        <v>-6.4556730292006923E-4</v>
      </c>
      <c r="M65" s="1444">
        <v>-5.1676882185307748E-4</v>
      </c>
      <c r="N65" s="1444">
        <v>-3.4464831014579487E-4</v>
      </c>
      <c r="O65" s="1444">
        <v>-4.2495916579126611E-4</v>
      </c>
    </row>
    <row r="66" spans="1:15" s="1436" customFormat="1">
      <c r="A66" s="1433">
        <v>66</v>
      </c>
      <c r="B66" s="1436" t="s">
        <v>1827</v>
      </c>
      <c r="C66" s="1443">
        <v>-14.56068921801854</v>
      </c>
      <c r="D66" s="1443">
        <v>-5.9952686867914737</v>
      </c>
      <c r="E66" s="1443">
        <v>-238.70843388626292</v>
      </c>
      <c r="F66" s="1443">
        <v>-4596.1348622897476</v>
      </c>
      <c r="G66" s="1443">
        <v>-1.8268061531217987</v>
      </c>
      <c r="H66" s="1443">
        <v>-15507.397205427831</v>
      </c>
      <c r="I66" s="1443">
        <v>-33.417841542995887</v>
      </c>
      <c r="J66" s="1443">
        <v>-1.4825106141331323</v>
      </c>
      <c r="K66" s="1443">
        <v>-8.2009198471047107</v>
      </c>
      <c r="L66" s="1443">
        <v>-9.421933351063938</v>
      </c>
      <c r="M66" s="1443">
        <v>-318898.03996553412</v>
      </c>
      <c r="N66" s="1443">
        <v>-243134.06282740599</v>
      </c>
      <c r="O66" s="1443">
        <v>-281016.05139647005</v>
      </c>
    </row>
    <row r="67" spans="1:15" s="1436" customFormat="1">
      <c r="A67" s="1433">
        <v>67</v>
      </c>
      <c r="C67" s="1435"/>
      <c r="D67" s="1435"/>
      <c r="E67" s="1435"/>
      <c r="F67" s="1435"/>
      <c r="G67" s="1435"/>
      <c r="H67" s="1435"/>
      <c r="I67" s="1435"/>
      <c r="J67" s="1435"/>
      <c r="K67" s="1435"/>
      <c r="L67" s="1435"/>
      <c r="M67" s="1435"/>
      <c r="N67" s="1435"/>
      <c r="O67" s="1435"/>
    </row>
    <row r="68" spans="1:15" s="1436" customFormat="1">
      <c r="A68" s="1433">
        <v>68</v>
      </c>
      <c r="B68" s="1441" t="s">
        <v>1835</v>
      </c>
      <c r="C68" s="1442">
        <v>1</v>
      </c>
      <c r="D68" s="1442">
        <v>0.29022488522778278</v>
      </c>
      <c r="E68" s="1442">
        <v>0.27238801391903428</v>
      </c>
      <c r="F68" s="1442">
        <v>8.9407044078334816E-2</v>
      </c>
      <c r="G68" s="1442">
        <v>2.3999861764739464E-3</v>
      </c>
      <c r="H68" s="1442">
        <v>0.21352502147153396</v>
      </c>
      <c r="I68" s="1442">
        <v>1.0371033446904661E-2</v>
      </c>
      <c r="J68" s="1442">
        <v>3.5020631947035494E-4</v>
      </c>
      <c r="K68" s="1442">
        <v>7.4825596682050232E-4</v>
      </c>
      <c r="L68" s="1442">
        <v>6.1592983670879495E-2</v>
      </c>
      <c r="M68" s="1442">
        <v>2.6988497524236797E-2</v>
      </c>
      <c r="N68" s="1442">
        <v>3.2004072198528605E-2</v>
      </c>
      <c r="O68" s="1442">
        <v>5.8992569722765398E-2</v>
      </c>
    </row>
    <row r="69" spans="1:15" s="1436" customFormat="1">
      <c r="A69" s="1433">
        <v>69</v>
      </c>
      <c r="B69" s="1436" t="s">
        <v>1824</v>
      </c>
      <c r="C69" s="1435">
        <v>35152450.950842515</v>
      </c>
      <c r="D69" s="1435">
        <v>10202116.042683532</v>
      </c>
      <c r="E69" s="1435">
        <v>9575106.29888626</v>
      </c>
      <c r="F69" s="1435">
        <v>3142876.7316234792</v>
      </c>
      <c r="G69" s="1435">
        <v>84365.39635120047</v>
      </c>
      <c r="H69" s="1435">
        <v>7505927.8440556927</v>
      </c>
      <c r="I69" s="1435">
        <v>364567.24455186329</v>
      </c>
      <c r="J69" s="1435">
        <v>12310.610467856735</v>
      </c>
      <c r="K69" s="1435">
        <v>26303.031172332951</v>
      </c>
      <c r="L69" s="1435">
        <v>2165144.3374066353</v>
      </c>
      <c r="M69" s="1435">
        <v>948711.83545766864</v>
      </c>
      <c r="N69" s="1435">
        <v>1125021.5781859993</v>
      </c>
      <c r="O69" s="1435">
        <v>2073733.4136436679</v>
      </c>
    </row>
    <row r="70" spans="1:15" s="1436" customFormat="1">
      <c r="A70" s="1433">
        <v>70</v>
      </c>
      <c r="B70" s="1436" t="s">
        <v>1825</v>
      </c>
      <c r="C70" s="1443">
        <v>0.33277932029044188</v>
      </c>
      <c r="D70" s="1443">
        <v>0.16001673717916939</v>
      </c>
      <c r="E70" s="1443">
        <v>0.53333085787488999</v>
      </c>
      <c r="F70" s="1443">
        <v>0.67375741046960158</v>
      </c>
      <c r="G70" s="1443">
        <v>0.5880463455572098</v>
      </c>
      <c r="H70" s="1443">
        <v>0.86892428865857751</v>
      </c>
      <c r="I70" s="1443">
        <v>0.34310078146198975</v>
      </c>
      <c r="J70" s="1443">
        <v>1.1532438033704586</v>
      </c>
      <c r="K70" s="1443">
        <v>0.56642103227835439</v>
      </c>
      <c r="L70" s="1443">
        <v>0.30925312779671843</v>
      </c>
      <c r="M70" s="1443">
        <v>0.84531486986490056</v>
      </c>
      <c r="N70" s="1443">
        <v>0.91212791685970052</v>
      </c>
      <c r="O70" s="1443">
        <v>0.88029670035302787</v>
      </c>
    </row>
    <row r="71" spans="1:15" s="1436" customFormat="1">
      <c r="A71" s="1433">
        <v>71</v>
      </c>
      <c r="B71" s="1436" t="s">
        <v>1826</v>
      </c>
      <c r="C71" s="1444">
        <v>1.5337833069509164E-3</v>
      </c>
      <c r="D71" s="1444">
        <v>1.5040714992143372E-3</v>
      </c>
      <c r="E71" s="1444">
        <v>1.5459367460199142E-3</v>
      </c>
      <c r="F71" s="1444">
        <v>1.5553379396496007E-3</v>
      </c>
      <c r="G71" s="1444">
        <v>1.655952340058657E-3</v>
      </c>
      <c r="H71" s="1444">
        <v>1.5351830442155983E-3</v>
      </c>
      <c r="I71" s="1444">
        <v>1.5823748069928071E-3</v>
      </c>
      <c r="J71" s="1444">
        <v>1.5830792213421491E-3</v>
      </c>
      <c r="K71" s="1444">
        <v>1.6477342768347126E-3</v>
      </c>
      <c r="L71" s="1444">
        <v>1.541629443791513E-3</v>
      </c>
      <c r="M71" s="1444">
        <v>1.5373713100918305E-3</v>
      </c>
      <c r="N71" s="1444">
        <v>1.5947448139942584E-3</v>
      </c>
      <c r="O71" s="1444">
        <v>1.5679745287791014E-3</v>
      </c>
    </row>
    <row r="72" spans="1:15" s="1436" customFormat="1">
      <c r="A72" s="1433">
        <v>72</v>
      </c>
      <c r="B72" s="1436" t="s">
        <v>1827</v>
      </c>
      <c r="C72" s="1443">
        <v>35.641929484234289</v>
      </c>
      <c r="D72" s="1443">
        <v>11.892407739516491</v>
      </c>
      <c r="E72" s="1443">
        <v>586.17118450482155</v>
      </c>
      <c r="F72" s="1443">
        <v>12609.33493128778</v>
      </c>
      <c r="G72" s="1443">
        <v>9.9970845302998548</v>
      </c>
      <c r="H72" s="1443">
        <v>45490.471782155713</v>
      </c>
      <c r="I72" s="1443">
        <v>101.04413651659182</v>
      </c>
      <c r="J72" s="1443">
        <v>4.5027836385723248</v>
      </c>
      <c r="K72" s="1443">
        <v>41.292042656723631</v>
      </c>
      <c r="L72" s="1443">
        <v>22.499791742457301</v>
      </c>
      <c r="M72" s="1443">
        <v>948711.83545766864</v>
      </c>
      <c r="N72" s="1443">
        <v>1125021.5781859993</v>
      </c>
      <c r="O72" s="1443">
        <v>1036866.706821834</v>
      </c>
    </row>
    <row r="73" spans="1:15" s="1436" customFormat="1">
      <c r="A73" s="1433">
        <v>73</v>
      </c>
      <c r="C73" s="1435"/>
      <c r="D73" s="1435"/>
      <c r="E73" s="1435"/>
      <c r="F73" s="1435"/>
      <c r="G73" s="1435"/>
      <c r="H73" s="1435"/>
      <c r="I73" s="1435"/>
      <c r="J73" s="1435"/>
      <c r="K73" s="1435"/>
      <c r="L73" s="1435"/>
      <c r="M73" s="1435"/>
      <c r="N73" s="1435"/>
      <c r="O73" s="1435"/>
    </row>
    <row r="74" spans="1:15" s="1436" customFormat="1">
      <c r="A74" s="1433">
        <v>74</v>
      </c>
      <c r="B74" s="1441" t="s">
        <v>1836</v>
      </c>
      <c r="C74" s="1442">
        <v>1</v>
      </c>
      <c r="D74" s="1442">
        <v>0.36003916382209039</v>
      </c>
      <c r="E74" s="1442">
        <v>0.27281060154766495</v>
      </c>
      <c r="F74" s="1442">
        <v>8.0168444332812103E-2</v>
      </c>
      <c r="G74" s="1442">
        <v>1.0613826563978684E-3</v>
      </c>
      <c r="H74" s="1442">
        <v>0.17878668253816915</v>
      </c>
      <c r="I74" s="1442">
        <v>8.4656872598473376E-3</v>
      </c>
      <c r="J74" s="1442">
        <v>2.5575291594407264E-4</v>
      </c>
      <c r="K74" s="1442">
        <v>3.198234007665494E-4</v>
      </c>
      <c r="L74" s="1442">
        <v>5.8846876357821737E-2</v>
      </c>
      <c r="M74" s="1442">
        <v>2.2302514004041263E-2</v>
      </c>
      <c r="N74" s="1442">
        <v>1.6943071164444684E-2</v>
      </c>
      <c r="O74" s="1442">
        <v>3.9245585168485947E-2</v>
      </c>
    </row>
    <row r="75" spans="1:15" s="2052" customFormat="1">
      <c r="A75" s="2051">
        <v>75</v>
      </c>
      <c r="B75" s="2052" t="s">
        <v>1824</v>
      </c>
      <c r="C75" s="2053">
        <v>253449581.9354848</v>
      </c>
      <c r="D75" s="2053">
        <v>91251775.551110297</v>
      </c>
      <c r="E75" s="2053">
        <v>69143732.909823805</v>
      </c>
      <c r="F75" s="2053">
        <v>20318658.700569414</v>
      </c>
      <c r="G75" s="2053">
        <v>269006.99053761404</v>
      </c>
      <c r="H75" s="2053">
        <v>45313409.944931209</v>
      </c>
      <c r="I75" s="2053">
        <v>2145624.8968048673</v>
      </c>
      <c r="J75" s="2053">
        <v>64820.469624806392</v>
      </c>
      <c r="K75" s="2053">
        <v>81059.107217466953</v>
      </c>
      <c r="L75" s="2053">
        <v>14914716.211099083</v>
      </c>
      <c r="M75" s="2053">
        <v>5652562.8504345529</v>
      </c>
      <c r="N75" s="2053">
        <v>4294214.3033316731</v>
      </c>
      <c r="O75" s="2053">
        <v>9946777.153766226</v>
      </c>
    </row>
    <row r="76" spans="1:15" s="1436" customFormat="1">
      <c r="A76" s="1433">
        <v>76</v>
      </c>
      <c r="B76" s="1436" t="s">
        <v>1825</v>
      </c>
      <c r="C76" s="1443">
        <v>2.3993427861497607</v>
      </c>
      <c r="D76" s="1443">
        <v>1.4312532149608601</v>
      </c>
      <c r="E76" s="1443">
        <v>3.8512874153426293</v>
      </c>
      <c r="F76" s="1443">
        <v>4.3558332188356887</v>
      </c>
      <c r="G76" s="1443">
        <v>1.8750410068183829</v>
      </c>
      <c r="H76" s="1443">
        <v>5.2457102334491506</v>
      </c>
      <c r="I76" s="1443">
        <v>2.0192861257268664</v>
      </c>
      <c r="J76" s="1443">
        <v>6.0723069031836214</v>
      </c>
      <c r="K76" s="1443">
        <v>1.7455624366964215</v>
      </c>
      <c r="L76" s="1443">
        <v>2.130307231160153</v>
      </c>
      <c r="M76" s="1443">
        <v>5.036508718174896</v>
      </c>
      <c r="N76" s="1443">
        <v>3.4815978848713907</v>
      </c>
      <c r="O76" s="1443">
        <v>4.2223918706225101</v>
      </c>
    </row>
    <row r="77" spans="1:15" s="1436" customFormat="1">
      <c r="A77" s="1433">
        <v>77</v>
      </c>
      <c r="B77" s="1436" t="s">
        <v>1826</v>
      </c>
      <c r="C77" s="1444">
        <v>1.1058595557673856E-2</v>
      </c>
      <c r="D77" s="1444">
        <v>1.3453012520628718E-2</v>
      </c>
      <c r="E77" s="1444">
        <v>1.1163514443146843E-2</v>
      </c>
      <c r="F77" s="1444">
        <v>1.0055240296829138E-2</v>
      </c>
      <c r="G77" s="1444">
        <v>5.2801595765461055E-3</v>
      </c>
      <c r="H77" s="1444">
        <v>9.2679253076140677E-3</v>
      </c>
      <c r="I77" s="1444">
        <v>9.3129123164480167E-3</v>
      </c>
      <c r="J77" s="1444">
        <v>8.3355686420753319E-3</v>
      </c>
      <c r="K77" s="1444">
        <v>5.0778888766375542E-3</v>
      </c>
      <c r="L77" s="1444">
        <v>1.0619599469458667E-2</v>
      </c>
      <c r="M77" s="1444">
        <v>9.1598814623797646E-3</v>
      </c>
      <c r="N77" s="1444">
        <v>6.0871507917743661E-3</v>
      </c>
      <c r="O77" s="1444">
        <v>7.5208766555696048E-3</v>
      </c>
    </row>
    <row r="78" spans="1:15" s="1436" customFormat="1">
      <c r="A78" s="1433">
        <v>78</v>
      </c>
      <c r="B78" s="1436" t="s">
        <v>1827</v>
      </c>
      <c r="C78" s="1443">
        <v>256.97872787833876</v>
      </c>
      <c r="D78" s="1443">
        <v>106.370415438168</v>
      </c>
      <c r="E78" s="1443">
        <v>4232.8578457192416</v>
      </c>
      <c r="F78" s="1443">
        <v>81519.192379415908</v>
      </c>
      <c r="G78" s="1443">
        <v>31.8766430308821</v>
      </c>
      <c r="H78" s="1443">
        <v>274626.72693897702</v>
      </c>
      <c r="I78" s="1443">
        <v>594.68539268427583</v>
      </c>
      <c r="J78" s="1443">
        <v>23.709023271692171</v>
      </c>
      <c r="K78" s="1443">
        <v>127.2513457103092</v>
      </c>
      <c r="L78" s="1443">
        <v>154.99105664684208</v>
      </c>
      <c r="M78" s="1443">
        <v>5652562.8504345529</v>
      </c>
      <c r="N78" s="1443">
        <v>4294214.3033316731</v>
      </c>
      <c r="O78" s="1443">
        <v>4973388.576883113</v>
      </c>
    </row>
    <row r="79" spans="1:15" s="1436" customFormat="1">
      <c r="A79" s="1433">
        <v>79</v>
      </c>
      <c r="C79" s="1435"/>
      <c r="D79" s="1435"/>
      <c r="E79" s="1435"/>
      <c r="F79" s="1435"/>
      <c r="G79" s="1435"/>
      <c r="H79" s="1435"/>
      <c r="I79" s="1435"/>
      <c r="J79" s="1435"/>
      <c r="K79" s="1435"/>
      <c r="L79" s="1435"/>
      <c r="M79" s="1435"/>
      <c r="N79" s="1435"/>
      <c r="O79" s="1435"/>
    </row>
    <row r="80" spans="1:15" s="1436" customFormat="1">
      <c r="A80" s="1433">
        <v>80</v>
      </c>
      <c r="B80" s="1441" t="s">
        <v>1837</v>
      </c>
      <c r="C80" s="1442">
        <v>1</v>
      </c>
      <c r="D80" s="1442">
        <v>0.36120072624030236</v>
      </c>
      <c r="E80" s="1442">
        <v>0.2722352315894081</v>
      </c>
      <c r="F80" s="1442">
        <v>7.9980466787262575E-2</v>
      </c>
      <c r="G80" s="1442">
        <v>1.0380728297124148E-3</v>
      </c>
      <c r="H80" s="1442">
        <v>0.17872895086562127</v>
      </c>
      <c r="I80" s="1442">
        <v>8.4535237461723558E-3</v>
      </c>
      <c r="J80" s="1442">
        <v>2.5403935297852018E-4</v>
      </c>
      <c r="K80" s="1442">
        <v>3.1068642376909258E-4</v>
      </c>
      <c r="L80" s="1442">
        <v>5.8635904328654079E-2</v>
      </c>
      <c r="M80" s="1442">
        <v>2.2342414377687986E-2</v>
      </c>
      <c r="N80" s="1442">
        <v>1.6819983458431005E-2</v>
      </c>
      <c r="O80" s="1442">
        <v>3.9162397836118988E-2</v>
      </c>
    </row>
    <row r="81" spans="1:15" s="2052" customFormat="1">
      <c r="A81" s="2051">
        <v>81</v>
      </c>
      <c r="B81" s="2052" t="s">
        <v>1824</v>
      </c>
      <c r="C81" s="2053">
        <v>78378451.002896532</v>
      </c>
      <c r="D81" s="2053">
        <v>28310353.423836183</v>
      </c>
      <c r="E81" s="2053">
        <v>21337375.760392614</v>
      </c>
      <c r="F81" s="2053">
        <v>6268745.0972742531</v>
      </c>
      <c r="G81" s="2053">
        <v>81362.540421052661</v>
      </c>
      <c r="H81" s="2053">
        <v>14008498.318220198</v>
      </c>
      <c r="I81" s="2053">
        <v>662574.09674119239</v>
      </c>
      <c r="J81" s="2053">
        <v>19911.210980234482</v>
      </c>
      <c r="K81" s="2053">
        <v>24351.120642650971</v>
      </c>
      <c r="L81" s="2053">
        <v>4595791.3544339444</v>
      </c>
      <c r="M81" s="2053">
        <v>1751163.8305880292</v>
      </c>
      <c r="N81" s="2053">
        <v>1318324.2493661647</v>
      </c>
      <c r="O81" s="2053">
        <v>3069488.0799541939</v>
      </c>
    </row>
    <row r="82" spans="1:15" s="1436" customFormat="1">
      <c r="A82" s="1433">
        <v>82</v>
      </c>
      <c r="B82" s="1436" t="s">
        <v>1825</v>
      </c>
      <c r="C82" s="1443">
        <v>0.74198887829004923</v>
      </c>
      <c r="D82" s="1443">
        <v>0.44403831169124813</v>
      </c>
      <c r="E82" s="1443">
        <v>1.188486118468757</v>
      </c>
      <c r="F82" s="1443">
        <v>1.3438686351060827</v>
      </c>
      <c r="G82" s="1443">
        <v>0.56711574447750435</v>
      </c>
      <c r="H82" s="1443">
        <v>1.6216948376307958</v>
      </c>
      <c r="I82" s="1443">
        <v>0.6235603822494129</v>
      </c>
      <c r="J82" s="1443">
        <v>1.8652593013573759</v>
      </c>
      <c r="K82" s="1443">
        <v>0.52438773315424458</v>
      </c>
      <c r="L82" s="1443">
        <v>0.65642868537908816</v>
      </c>
      <c r="M82" s="1443">
        <v>1.5603102757240672</v>
      </c>
      <c r="N82" s="1443">
        <v>1.0688509221830966</v>
      </c>
      <c r="O82" s="1443">
        <v>1.302993051459278</v>
      </c>
    </row>
    <row r="83" spans="1:15" s="1436" customFormat="1">
      <c r="A83" s="1433">
        <v>83</v>
      </c>
      <c r="B83" s="1436" t="s">
        <v>1826</v>
      </c>
      <c r="C83" s="1444">
        <v>3.4198343649216234E-3</v>
      </c>
      <c r="D83" s="1444">
        <v>4.1737219552618141E-3</v>
      </c>
      <c r="E83" s="1444">
        <v>3.4449991699269577E-3</v>
      </c>
      <c r="F83" s="1444">
        <v>3.1022588272962967E-3</v>
      </c>
      <c r="G83" s="1444">
        <v>1.5970112751262156E-3</v>
      </c>
      <c r="H83" s="1444">
        <v>2.8651499907617287E-3</v>
      </c>
      <c r="I83" s="1444">
        <v>2.8758495836290823E-3</v>
      </c>
      <c r="J83" s="1444">
        <v>2.5604761402264263E-3</v>
      </c>
      <c r="K83" s="1444">
        <v>1.5254582598996525E-3</v>
      </c>
      <c r="L83" s="1444">
        <v>3.2723025191032391E-3</v>
      </c>
      <c r="M83" s="1444">
        <v>2.8377310494053301E-3</v>
      </c>
      <c r="N83" s="1444">
        <v>1.8687559426455527E-3</v>
      </c>
      <c r="O83" s="1444">
        <v>2.3208764897618842E-3</v>
      </c>
    </row>
    <row r="84" spans="1:15" s="1436" customFormat="1">
      <c r="A84" s="1433">
        <v>84</v>
      </c>
      <c r="B84" s="1436" t="s">
        <v>1827</v>
      </c>
      <c r="C84" s="1443">
        <v>79.46982779764879</v>
      </c>
      <c r="D84" s="1443">
        <v>33.000826961532759</v>
      </c>
      <c r="E84" s="1443">
        <v>1306.2366550592355</v>
      </c>
      <c r="F84" s="1443">
        <v>25150.431684149462</v>
      </c>
      <c r="G84" s="1443">
        <v>9.6412537529390523</v>
      </c>
      <c r="H84" s="1443">
        <v>84899.989807395134</v>
      </c>
      <c r="I84" s="1443">
        <v>183.64027071540809</v>
      </c>
      <c r="J84" s="1443">
        <v>7.2828130871377041</v>
      </c>
      <c r="K84" s="1443">
        <v>38.227818905260548</v>
      </c>
      <c r="L84" s="1443">
        <v>47.758639726719139</v>
      </c>
      <c r="M84" s="1443">
        <v>1751163.8305880292</v>
      </c>
      <c r="N84" s="1443">
        <v>1318324.2493661647</v>
      </c>
      <c r="O84" s="1443">
        <v>1534744.039977097</v>
      </c>
    </row>
    <row r="85" spans="1:15" s="1436" customFormat="1">
      <c r="A85" s="1433">
        <v>85</v>
      </c>
      <c r="C85" s="1435"/>
      <c r="D85" s="1435"/>
      <c r="E85" s="1435"/>
      <c r="F85" s="1435"/>
      <c r="G85" s="1435"/>
      <c r="H85" s="1435"/>
      <c r="I85" s="1435"/>
      <c r="J85" s="1435"/>
      <c r="K85" s="1435"/>
      <c r="L85" s="1435"/>
      <c r="M85" s="1435"/>
      <c r="N85" s="1435"/>
      <c r="O85" s="1435"/>
    </row>
    <row r="86" spans="1:15" s="1436" customFormat="1">
      <c r="A86" s="1433">
        <v>86</v>
      </c>
      <c r="B86" s="1441" t="s">
        <v>1838</v>
      </c>
      <c r="C86" s="1442">
        <v>1</v>
      </c>
      <c r="D86" s="1442">
        <v>0.63728227975388252</v>
      </c>
      <c r="E86" s="1442">
        <v>0.20904467962778175</v>
      </c>
      <c r="F86" s="1442">
        <v>4.620040776014981E-2</v>
      </c>
      <c r="G86" s="1442">
        <v>1.0821611091894032E-2</v>
      </c>
      <c r="H86" s="1442">
        <v>-6.3150938500844953E-4</v>
      </c>
      <c r="I86" s="1442">
        <v>1.2679378480801312E-2</v>
      </c>
      <c r="J86" s="1442">
        <v>5.2317560115459764E-4</v>
      </c>
      <c r="K86" s="1442">
        <v>2.1493930448970329E-4</v>
      </c>
      <c r="L86" s="1442">
        <v>8.3612991899339226E-2</v>
      </c>
      <c r="M86" s="1442">
        <v>1.3443739003754965E-4</v>
      </c>
      <c r="N86" s="1442">
        <v>1.1760847547796271E-4</v>
      </c>
      <c r="O86" s="1442">
        <v>2.5204586551551235E-4</v>
      </c>
    </row>
    <row r="87" spans="1:15" s="2052" customFormat="1">
      <c r="A87" s="2051">
        <v>87</v>
      </c>
      <c r="B87" s="2052" t="s">
        <v>1824</v>
      </c>
      <c r="C87" s="2053">
        <v>386576533.19942343</v>
      </c>
      <c r="D87" s="2053">
        <v>246358374.37668103</v>
      </c>
      <c r="E87" s="2053">
        <v>80811767.534292012</v>
      </c>
      <c r="F87" s="2053">
        <v>17859993.464318454</v>
      </c>
      <c r="G87" s="2053">
        <v>4183380.899536822</v>
      </c>
      <c r="H87" s="2053">
        <v>-244126.70873946635</v>
      </c>
      <c r="I87" s="2053">
        <v>4901550.1762315435</v>
      </c>
      <c r="J87" s="2053">
        <v>202247.41014886863</v>
      </c>
      <c r="K87" s="2053">
        <v>83090.491177924763</v>
      </c>
      <c r="L87" s="2053">
        <v>32322820.538878027</v>
      </c>
      <c r="M87" s="2053">
        <v>51970.340173094657</v>
      </c>
      <c r="N87" s="2053">
        <v>45464.676725140234</v>
      </c>
      <c r="O87" s="2053">
        <v>97435.016898234899</v>
      </c>
    </row>
    <row r="88" spans="1:15" s="1436" customFormat="1">
      <c r="A88" s="1433">
        <v>88</v>
      </c>
      <c r="B88" s="1436" t="s">
        <v>1825</v>
      </c>
      <c r="C88" s="1443">
        <v>3.6596218038462629</v>
      </c>
      <c r="D88" s="1443">
        <v>3.8640477210403787</v>
      </c>
      <c r="E88" s="1443">
        <v>4.5011938207373534</v>
      </c>
      <c r="F88" s="1443">
        <v>3.8287543467564848</v>
      </c>
      <c r="G88" s="1443">
        <v>29.159133441461709</v>
      </c>
      <c r="H88" s="1443">
        <v>-2.8261346383977655E-2</v>
      </c>
      <c r="I88" s="1443">
        <v>4.6129369025114215</v>
      </c>
      <c r="J88" s="1443">
        <v>18.946304337295249</v>
      </c>
      <c r="K88" s="1443">
        <v>1.7893071516038994</v>
      </c>
      <c r="L88" s="1443">
        <v>4.6167514923429831</v>
      </c>
      <c r="M88" s="1443">
        <v>4.6306264661556795E-2</v>
      </c>
      <c r="N88" s="1443">
        <v>3.6861160422245451E-2</v>
      </c>
      <c r="O88" s="1443">
        <v>4.1361017433601495E-2</v>
      </c>
    </row>
    <row r="89" spans="1:15" s="1436" customFormat="1">
      <c r="A89" s="1433">
        <v>89</v>
      </c>
      <c r="B89" s="1436" t="s">
        <v>1826</v>
      </c>
      <c r="C89" s="1444">
        <v>1.6867234501212542E-2</v>
      </c>
      <c r="D89" s="1444">
        <v>3.6319975967973379E-2</v>
      </c>
      <c r="E89" s="1444">
        <v>1.3047362299947783E-2</v>
      </c>
      <c r="F89" s="1444">
        <v>8.8385030050476317E-3</v>
      </c>
      <c r="G89" s="1444">
        <v>8.211280559990064E-2</v>
      </c>
      <c r="H89" s="1444">
        <v>-4.9931093354940044E-5</v>
      </c>
      <c r="I89" s="1444">
        <v>2.1274784364168429E-2</v>
      </c>
      <c r="J89" s="1444">
        <v>2.6007944399907498E-2</v>
      </c>
      <c r="K89" s="1444">
        <v>5.205143448900669E-3</v>
      </c>
      <c r="L89" s="1444">
        <v>2.3014545029736232E-2</v>
      </c>
      <c r="M89" s="1444">
        <v>8.4217047760646021E-5</v>
      </c>
      <c r="N89" s="1444">
        <v>6.4447259353238567E-5</v>
      </c>
      <c r="O89" s="1444">
        <v>7.3671776566091088E-5</v>
      </c>
    </row>
    <row r="90" spans="1:15" s="1436" customFormat="1">
      <c r="A90" s="1433">
        <v>90</v>
      </c>
      <c r="B90" s="1436" t="s">
        <v>1827</v>
      </c>
      <c r="C90" s="1443">
        <v>391.95939867240958</v>
      </c>
      <c r="D90" s="1443">
        <v>287.17515325980338</v>
      </c>
      <c r="E90" s="1443">
        <v>4947.1544251173564</v>
      </c>
      <c r="F90" s="1443">
        <v>71654.938673293698</v>
      </c>
      <c r="G90" s="1443">
        <v>495.71997861557315</v>
      </c>
      <c r="H90" s="1443">
        <v>-1479.5558105422203</v>
      </c>
      <c r="I90" s="1443">
        <v>1358.5227761173901</v>
      </c>
      <c r="J90" s="1443">
        <v>73.97491227098341</v>
      </c>
      <c r="K90" s="1443">
        <v>130.44033151950512</v>
      </c>
      <c r="L90" s="1443">
        <v>335.89295553601289</v>
      </c>
      <c r="M90" s="1443">
        <v>51970.340173094657</v>
      </c>
      <c r="N90" s="1443">
        <v>45464.676725140234</v>
      </c>
      <c r="O90" s="1443">
        <v>48717.508449117449</v>
      </c>
    </row>
    <row r="91" spans="1:15" s="1436" customFormat="1">
      <c r="A91" s="1433">
        <v>91</v>
      </c>
      <c r="C91" s="1443"/>
      <c r="D91" s="1443"/>
      <c r="E91" s="1443"/>
      <c r="F91" s="1443"/>
      <c r="G91" s="1443"/>
      <c r="H91" s="1443"/>
      <c r="I91" s="1443"/>
      <c r="J91" s="1443"/>
      <c r="K91" s="1443"/>
      <c r="L91" s="1443"/>
      <c r="M91" s="1443"/>
      <c r="N91" s="1443"/>
      <c r="O91" s="1443"/>
    </row>
    <row r="92" spans="1:15" s="1436" customFormat="1">
      <c r="A92" s="1433">
        <v>92</v>
      </c>
      <c r="B92" s="1441" t="s">
        <v>1839</v>
      </c>
      <c r="C92" s="1442">
        <v>1</v>
      </c>
      <c r="D92" s="1442">
        <v>0.56033425520529867</v>
      </c>
      <c r="E92" s="1442">
        <v>0.28086996085809535</v>
      </c>
      <c r="F92" s="1442">
        <v>7.0088912007330181E-2</v>
      </c>
      <c r="G92" s="1442">
        <v>1.6818749170206518E-3</v>
      </c>
      <c r="H92" s="1442">
        <v>-2.1215879775337565E-3</v>
      </c>
      <c r="I92" s="1442">
        <v>1.4747016944625338E-2</v>
      </c>
      <c r="J92" s="1442">
        <v>2.3308956167720761E-4</v>
      </c>
      <c r="K92" s="1442">
        <v>4.1844522427710536E-5</v>
      </c>
      <c r="L92" s="1442">
        <v>7.3892463457992177E-2</v>
      </c>
      <c r="M92" s="1442">
        <v>1.2656460721867878E-4</v>
      </c>
      <c r="N92" s="1442">
        <v>1.0560589584769305E-4</v>
      </c>
      <c r="O92" s="1442">
        <v>2.3217050306637187E-4</v>
      </c>
    </row>
    <row r="93" spans="1:15" s="1436" customFormat="1">
      <c r="A93" s="1433">
        <v>93</v>
      </c>
      <c r="B93" s="1436" t="s">
        <v>1824</v>
      </c>
      <c r="C93" s="1435">
        <v>50337707.536106423</v>
      </c>
      <c r="D93" s="1435">
        <v>28205941.860986341</v>
      </c>
      <c r="E93" s="1435">
        <v>14138349.945352461</v>
      </c>
      <c r="F93" s="1435">
        <v>3528115.1541488841</v>
      </c>
      <c r="G93" s="1435">
        <v>84661.727685298829</v>
      </c>
      <c r="H93" s="1435">
        <v>-106795.87512521373</v>
      </c>
      <c r="I93" s="1435">
        <v>742331.02598855575</v>
      </c>
      <c r="J93" s="1435">
        <v>11733.194185426517</v>
      </c>
      <c r="K93" s="1435">
        <v>2106.3573319541388</v>
      </c>
      <c r="L93" s="1435">
        <v>3719577.2146708416</v>
      </c>
      <c r="M93" s="1435">
        <v>6370.9721825960387</v>
      </c>
      <c r="N93" s="1435">
        <v>5315.9586992696868</v>
      </c>
      <c r="O93" s="1435">
        <v>11686.930881865726</v>
      </c>
    </row>
    <row r="94" spans="1:15" s="1436" customFormat="1">
      <c r="A94" s="1433">
        <v>94</v>
      </c>
      <c r="B94" s="1436" t="s">
        <v>1825</v>
      </c>
      <c r="C94" s="1443">
        <v>0.47653428554013988</v>
      </c>
      <c r="D94" s="1443">
        <v>0.44240065166649362</v>
      </c>
      <c r="E94" s="1443">
        <v>0.78750230753754713</v>
      </c>
      <c r="F94" s="1443">
        <v>0.7563432909027914</v>
      </c>
      <c r="G94" s="1443">
        <v>0.59011184356500945</v>
      </c>
      <c r="H94" s="1443">
        <v>-1.236323233487216E-2</v>
      </c>
      <c r="I94" s="1443">
        <v>0.6986210607956066</v>
      </c>
      <c r="J94" s="1443">
        <v>1.099152111377073</v>
      </c>
      <c r="K94" s="1443">
        <v>4.5359224436744748E-2</v>
      </c>
      <c r="L94" s="1443">
        <v>0.53127676887175024</v>
      </c>
      <c r="M94" s="1443">
        <v>5.6766209929762926E-3</v>
      </c>
      <c r="N94" s="1443">
        <v>4.3099922956992449E-3</v>
      </c>
      <c r="O94" s="1443">
        <v>4.9610844985536291E-3</v>
      </c>
    </row>
    <row r="95" spans="1:15" s="1436" customFormat="1">
      <c r="A95" s="1433">
        <v>95</v>
      </c>
      <c r="B95" s="1436" t="s">
        <v>1826</v>
      </c>
      <c r="C95" s="1444">
        <v>2.1963514190525288E-3</v>
      </c>
      <c r="D95" s="1444">
        <v>4.1583288294422451E-3</v>
      </c>
      <c r="E95" s="1444">
        <v>2.2826895103139834E-3</v>
      </c>
      <c r="F95" s="1444">
        <v>1.7459836396020185E-3</v>
      </c>
      <c r="G95" s="1444">
        <v>1.6617688310295539E-3</v>
      </c>
      <c r="H95" s="1444">
        <v>-2.1842898052135605E-5</v>
      </c>
      <c r="I95" s="1444">
        <v>3.2220281210872978E-3</v>
      </c>
      <c r="J95" s="1444">
        <v>1.5088265495378846E-3</v>
      </c>
      <c r="K95" s="1444">
        <v>1.3195122464720524E-4</v>
      </c>
      <c r="L95" s="1444">
        <v>2.6484191624198648E-3</v>
      </c>
      <c r="M95" s="1444">
        <v>1.0324051503153523E-5</v>
      </c>
      <c r="N95" s="1444">
        <v>7.5354977463964684E-6</v>
      </c>
      <c r="O95" s="1444">
        <v>8.8366276117283583E-6</v>
      </c>
    </row>
    <row r="96" spans="1:15" s="1436" customFormat="1">
      <c r="A96" s="1433">
        <v>96</v>
      </c>
      <c r="B96" s="1436" t="s">
        <v>1827</v>
      </c>
      <c r="C96" s="1443">
        <v>51.038632410264789</v>
      </c>
      <c r="D96" s="1443">
        <v>32.879116438643635</v>
      </c>
      <c r="E96" s="1443">
        <v>865.52494308861105</v>
      </c>
      <c r="F96" s="1443">
        <v>14154.925392773857</v>
      </c>
      <c r="G96" s="1443">
        <v>10.032199038428585</v>
      </c>
      <c r="H96" s="1443">
        <v>-647.2477280315984</v>
      </c>
      <c r="I96" s="1443">
        <v>205.74584977509861</v>
      </c>
      <c r="J96" s="1443">
        <v>4.2915852909387411</v>
      </c>
      <c r="K96" s="1443">
        <v>3.3066834096611282</v>
      </c>
      <c r="L96" s="1443">
        <v>38.653179492100335</v>
      </c>
      <c r="M96" s="1443">
        <v>6370.9721825960387</v>
      </c>
      <c r="N96" s="1443">
        <v>5315.9586992696868</v>
      </c>
      <c r="O96" s="1443">
        <v>5843.4654409328632</v>
      </c>
    </row>
    <row r="97" spans="1:15" s="1436" customFormat="1">
      <c r="A97" s="1433">
        <v>97</v>
      </c>
      <c r="C97" s="1435"/>
      <c r="D97" s="1435"/>
      <c r="E97" s="1435"/>
      <c r="F97" s="1435"/>
      <c r="G97" s="1435"/>
      <c r="H97" s="1435"/>
      <c r="I97" s="1435"/>
      <c r="J97" s="1435"/>
      <c r="K97" s="1435"/>
      <c r="L97" s="1435"/>
      <c r="M97" s="1435"/>
      <c r="N97" s="1435"/>
      <c r="O97" s="1435"/>
    </row>
    <row r="98" spans="1:15" s="1436" customFormat="1">
      <c r="A98" s="1433">
        <v>98</v>
      </c>
      <c r="B98" s="1441" t="s">
        <v>1840</v>
      </c>
      <c r="C98" s="1442">
        <v>1</v>
      </c>
      <c r="D98" s="1442">
        <v>0.61971047027556991</v>
      </c>
      <c r="E98" s="1442">
        <v>0.21707636808774733</v>
      </c>
      <c r="F98" s="1442">
        <v>5.4807230089946882E-2</v>
      </c>
      <c r="G98" s="1442">
        <v>1.6766381186351084E-2</v>
      </c>
      <c r="H98" s="1442">
        <v>-1.2771790087531606E-3</v>
      </c>
      <c r="I98" s="1442">
        <v>1.0959003814284192E-2</v>
      </c>
      <c r="J98" s="1442">
        <v>2.4128304072957755E-4</v>
      </c>
      <c r="K98" s="1442">
        <v>2.6382606444850652E-5</v>
      </c>
      <c r="L98" s="1442">
        <v>8.1537154019294594E-2</v>
      </c>
      <c r="M98" s="1442">
        <v>8.406872732858604E-5</v>
      </c>
      <c r="N98" s="1442">
        <v>6.8837161055954765E-5</v>
      </c>
      <c r="O98" s="1442">
        <v>1.5290588838454082E-4</v>
      </c>
    </row>
    <row r="99" spans="1:15" s="1436" customFormat="1">
      <c r="A99" s="1433">
        <v>99</v>
      </c>
      <c r="B99" s="1436" t="s">
        <v>1824</v>
      </c>
      <c r="C99" s="1435">
        <v>213160739.25046378</v>
      </c>
      <c r="D99" s="1435">
        <v>132097941.96519305</v>
      </c>
      <c r="E99" s="1435">
        <v>46272159.095390007</v>
      </c>
      <c r="F99" s="1435">
        <v>11682749.68224334</v>
      </c>
      <c r="G99" s="1435">
        <v>3573934.2082376652</v>
      </c>
      <c r="H99" s="1435">
        <v>-272244.42166099825</v>
      </c>
      <c r="I99" s="1435">
        <v>2336029.3545014709</v>
      </c>
      <c r="J99" s="1435">
        <v>51432.071330516512</v>
      </c>
      <c r="K99" s="1435">
        <v>5623.7358931384142</v>
      </c>
      <c r="L99" s="1435">
        <v>17380520.027131759</v>
      </c>
      <c r="M99" s="1435">
        <v>17920.152065207061</v>
      </c>
      <c r="N99" s="1435">
        <v>14673.380138590554</v>
      </c>
      <c r="O99" s="1435">
        <v>32593.532203797615</v>
      </c>
    </row>
    <row r="100" spans="1:15" s="1436" customFormat="1">
      <c r="A100" s="1433">
        <v>100</v>
      </c>
      <c r="B100" s="1436" t="s">
        <v>1825</v>
      </c>
      <c r="C100" s="1443">
        <v>2.0179385505600802</v>
      </c>
      <c r="D100" s="1443">
        <v>2.0719115106039734</v>
      </c>
      <c r="E100" s="1443">
        <v>2.5773468759232721</v>
      </c>
      <c r="F100" s="1443">
        <v>2.5045013995845862</v>
      </c>
      <c r="G100" s="1443">
        <v>24.911148898859576</v>
      </c>
      <c r="H100" s="1443">
        <v>-3.1516395487386932E-2</v>
      </c>
      <c r="I100" s="1443">
        <v>2.1984791805221593</v>
      </c>
      <c r="J100" s="1443">
        <v>4.8180971781452238</v>
      </c>
      <c r="K100" s="1443">
        <v>0.12110400010485804</v>
      </c>
      <c r="L100" s="1443">
        <v>2.4825043246595011</v>
      </c>
      <c r="M100" s="1443">
        <v>1.5967093952877796E-2</v>
      </c>
      <c r="N100" s="1443">
        <v>1.189666040066863E-2</v>
      </c>
      <c r="O100" s="1443">
        <v>1.3835905166537172E-2</v>
      </c>
    </row>
    <row r="101" spans="1:15" s="1436" customFormat="1">
      <c r="A101" s="1433">
        <v>101</v>
      </c>
      <c r="B101" s="1436" t="s">
        <v>1826</v>
      </c>
      <c r="C101" s="1444">
        <v>9.3006995164256791E-3</v>
      </c>
      <c r="D101" s="1444">
        <v>1.9474856861406081E-2</v>
      </c>
      <c r="E101" s="1444">
        <v>7.4708132557821895E-3</v>
      </c>
      <c r="F101" s="1444">
        <v>5.781526089582328E-3</v>
      </c>
      <c r="G101" s="1444">
        <v>7.015038121447327E-2</v>
      </c>
      <c r="H101" s="1444">
        <v>-5.5681992779511876E-5</v>
      </c>
      <c r="I101" s="1444">
        <v>1.0139347553021694E-2</v>
      </c>
      <c r="J101" s="1444">
        <v>6.6138916219077859E-3</v>
      </c>
      <c r="K101" s="1444">
        <v>3.5229484899583746E-4</v>
      </c>
      <c r="L101" s="1444">
        <v>1.237530494356236E-2</v>
      </c>
      <c r="M101" s="1444">
        <v>2.9039300057052441E-5</v>
      </c>
      <c r="N101" s="1444">
        <v>2.0799864939048198E-5</v>
      </c>
      <c r="O101" s="1444">
        <v>2.4644357834163538E-5</v>
      </c>
    </row>
    <row r="102" spans="1:15" s="1436" customFormat="1">
      <c r="A102" s="1433">
        <v>102</v>
      </c>
      <c r="B102" s="1436" t="s">
        <v>1827</v>
      </c>
      <c r="C102" s="1443">
        <v>216.12888523183304</v>
      </c>
      <c r="D102" s="1443">
        <v>153.98399516614799</v>
      </c>
      <c r="E102" s="1443">
        <v>2832.7002813217023</v>
      </c>
      <c r="F102" s="1443">
        <v>46871.613569682406</v>
      </c>
      <c r="G102" s="1443">
        <v>423.50209838104814</v>
      </c>
      <c r="H102" s="1443">
        <v>-1649.9661918848378</v>
      </c>
      <c r="I102" s="1443">
        <v>647.45824681304623</v>
      </c>
      <c r="J102" s="1443">
        <v>18.812023164051393</v>
      </c>
      <c r="K102" s="1443">
        <v>8.8284707898562225</v>
      </c>
      <c r="L102" s="1443">
        <v>180.6152477827294</v>
      </c>
      <c r="M102" s="1443">
        <v>17920.152065207061</v>
      </c>
      <c r="N102" s="1443">
        <v>14673.380138590554</v>
      </c>
      <c r="O102" s="1443">
        <v>16296.766101898807</v>
      </c>
    </row>
    <row r="103" spans="1:15" s="1436" customFormat="1">
      <c r="A103" s="1433">
        <v>103</v>
      </c>
      <c r="C103" s="1435"/>
      <c r="D103" s="1435"/>
      <c r="E103" s="1435"/>
      <c r="F103" s="1435"/>
      <c r="G103" s="1435"/>
      <c r="H103" s="1435"/>
      <c r="I103" s="1435"/>
      <c r="J103" s="1435"/>
      <c r="K103" s="1435"/>
      <c r="L103" s="1435"/>
      <c r="M103" s="1435"/>
      <c r="N103" s="1435"/>
      <c r="O103" s="1435"/>
    </row>
    <row r="104" spans="1:15" s="1436" customFormat="1">
      <c r="A104" s="1433">
        <v>104</v>
      </c>
      <c r="B104" s="1441" t="s">
        <v>1841</v>
      </c>
      <c r="C104" s="1442">
        <v>1</v>
      </c>
      <c r="D104" s="1442">
        <v>0.64196640762978618</v>
      </c>
      <c r="E104" s="1442">
        <v>0.22387831594801075</v>
      </c>
      <c r="F104" s="1442">
        <v>2.9297592887847942E-2</v>
      </c>
      <c r="G104" s="1442">
        <v>4.1230823423284574E-3</v>
      </c>
      <c r="H104" s="1442">
        <v>-1.4978650297127858E-3</v>
      </c>
      <c r="I104" s="1442">
        <v>2.303952622169558E-2</v>
      </c>
      <c r="J104" s="1442">
        <v>1.9447974269890241E-4</v>
      </c>
      <c r="K104" s="1442">
        <v>6.440564646332731E-4</v>
      </c>
      <c r="L104" s="1442">
        <v>7.8152733007920264E-2</v>
      </c>
      <c r="M104" s="1442">
        <v>1.0956072528465295E-4</v>
      </c>
      <c r="N104" s="1442">
        <v>9.21100595069333E-5</v>
      </c>
      <c r="O104" s="1442">
        <v>2.0167078479158625E-4</v>
      </c>
    </row>
    <row r="105" spans="1:15" s="1436" customFormat="1">
      <c r="A105" s="1433">
        <v>105</v>
      </c>
      <c r="B105" s="1436" t="s">
        <v>1824</v>
      </c>
      <c r="C105" s="1435">
        <v>71285209.463479295</v>
      </c>
      <c r="D105" s="1435">
        <v>45762709.836406641</v>
      </c>
      <c r="E105" s="1435">
        <v>15959212.646684943</v>
      </c>
      <c r="F105" s="1435">
        <v>2088485.0457859817</v>
      </c>
      <c r="G105" s="1435">
        <v>293914.78840805695</v>
      </c>
      <c r="H105" s="1435">
        <v>-106775.62239109656</v>
      </c>
      <c r="I105" s="1435">
        <v>1642377.452652893</v>
      </c>
      <c r="J105" s="1435">
        <v>13863.529194694816</v>
      </c>
      <c r="K105" s="1435">
        <v>45911.699987690816</v>
      </c>
      <c r="L105" s="1435">
        <v>5571133.9426129702</v>
      </c>
      <c r="M105" s="1435">
        <v>7810.0592508871978</v>
      </c>
      <c r="N105" s="1435">
        <v>6566.0848856452831</v>
      </c>
      <c r="O105" s="1435">
        <v>14376.144136532481</v>
      </c>
    </row>
    <row r="106" spans="1:15" s="1436" customFormat="1">
      <c r="A106" s="1433">
        <v>106</v>
      </c>
      <c r="B106" s="1436" t="s">
        <v>1825</v>
      </c>
      <c r="C106" s="1443">
        <v>0.6748389631548537</v>
      </c>
      <c r="D106" s="1443">
        <v>0.71777261519686708</v>
      </c>
      <c r="E106" s="1443">
        <v>0.88892387261061578</v>
      </c>
      <c r="F106" s="1443">
        <v>0.44772111552920635</v>
      </c>
      <c r="G106" s="1443">
        <v>2.0486541248391719</v>
      </c>
      <c r="H106" s="1443">
        <v>-1.2360887775618225E-2</v>
      </c>
      <c r="I106" s="1443">
        <v>1.5456709177299555</v>
      </c>
      <c r="J106" s="1443">
        <v>1.2987194403049569</v>
      </c>
      <c r="K106" s="1443">
        <v>0.98868272368683796</v>
      </c>
      <c r="L106" s="1443">
        <v>0.79573937282683294</v>
      </c>
      <c r="M106" s="1443">
        <v>6.958866720700306E-3</v>
      </c>
      <c r="N106" s="1443">
        <v>5.3235506276462022E-3</v>
      </c>
      <c r="O106" s="1443">
        <v>6.1026514613337097E-3</v>
      </c>
    </row>
    <row r="107" spans="1:15" s="1436" customFormat="1">
      <c r="A107" s="1433">
        <v>107</v>
      </c>
      <c r="B107" s="1436" t="s">
        <v>1826</v>
      </c>
      <c r="C107" s="1444">
        <v>3.1103397160124205E-3</v>
      </c>
      <c r="D107" s="1444">
        <v>6.7466775817666457E-3</v>
      </c>
      <c r="E107" s="1444">
        <v>2.5766746078762308E-3</v>
      </c>
      <c r="F107" s="1444">
        <v>1.0335435670821981E-3</v>
      </c>
      <c r="G107" s="1444">
        <v>5.7690582003084656E-3</v>
      </c>
      <c r="H107" s="1444">
        <v>-2.1838755772238751E-5</v>
      </c>
      <c r="I107" s="1444">
        <v>7.1286072555573404E-3</v>
      </c>
      <c r="J107" s="1444">
        <v>1.7827763342765067E-3</v>
      </c>
      <c r="K107" s="1444">
        <v>2.8761050877300922E-3</v>
      </c>
      <c r="L107" s="1444">
        <v>3.9667674680412884E-3</v>
      </c>
      <c r="M107" s="1444">
        <v>1.2656067494550636E-5</v>
      </c>
      <c r="N107" s="1444">
        <v>9.3075813145849671E-6</v>
      </c>
      <c r="O107" s="1444">
        <v>1.0869973777648393E-5</v>
      </c>
    </row>
    <row r="108" spans="1:15" s="1436" customFormat="1">
      <c r="A108" s="1433">
        <v>108</v>
      </c>
      <c r="B108" s="1436" t="s">
        <v>1827</v>
      </c>
      <c r="C108" s="1443">
        <v>72.277816773550029</v>
      </c>
      <c r="D108" s="1443">
        <v>53.34469852752013</v>
      </c>
      <c r="E108" s="1443">
        <v>976.99495847474395</v>
      </c>
      <c r="F108" s="1443">
        <v>8379.0774153900966</v>
      </c>
      <c r="G108" s="1443">
        <v>34.828153621051896</v>
      </c>
      <c r="H108" s="1443">
        <v>-647.12498418846405</v>
      </c>
      <c r="I108" s="1443">
        <v>455.20439375080184</v>
      </c>
      <c r="J108" s="1443">
        <v>5.0707860990105402</v>
      </c>
      <c r="K108" s="1443">
        <v>72.07488224127286</v>
      </c>
      <c r="L108" s="1443">
        <v>57.894225023477063</v>
      </c>
      <c r="M108" s="1443">
        <v>7810.0592508871978</v>
      </c>
      <c r="N108" s="1443">
        <v>6566.0848856452831</v>
      </c>
      <c r="O108" s="1443">
        <v>7188.0720682662404</v>
      </c>
    </row>
    <row r="109" spans="1:15" s="1436" customFormat="1">
      <c r="A109" s="1433">
        <v>109</v>
      </c>
      <c r="C109" s="1435"/>
      <c r="D109" s="1435"/>
      <c r="E109" s="1435"/>
      <c r="F109" s="1435"/>
      <c r="G109" s="1435"/>
      <c r="H109" s="1435"/>
      <c r="I109" s="1435"/>
      <c r="J109" s="1435"/>
      <c r="K109" s="1435"/>
      <c r="L109" s="1435"/>
      <c r="M109" s="1435"/>
      <c r="N109" s="1435"/>
      <c r="O109" s="1435"/>
    </row>
    <row r="110" spans="1:15" s="1436" customFormat="1">
      <c r="A110" s="1433">
        <v>110</v>
      </c>
      <c r="B110" s="1441" t="s">
        <v>1842</v>
      </c>
      <c r="C110" s="1442">
        <v>1</v>
      </c>
      <c r="D110" s="1442">
        <v>0.79763940378306797</v>
      </c>
      <c r="E110" s="1442">
        <v>7.9343016022331153E-2</v>
      </c>
      <c r="F110" s="1442">
        <v>9.4929171614354987E-3</v>
      </c>
      <c r="G110" s="1442">
        <v>2.4106110608487557E-3</v>
      </c>
      <c r="H110" s="1442">
        <v>-1.2799848277211642E-3</v>
      </c>
      <c r="I110" s="1442">
        <v>1.3921939058782983E-3</v>
      </c>
      <c r="J110" s="1442">
        <v>2.5222475733794165E-3</v>
      </c>
      <c r="K110" s="1442">
        <v>5.9532713588827772E-4</v>
      </c>
      <c r="L110" s="1442">
        <v>0.1076659924417437</v>
      </c>
      <c r="M110" s="1442">
        <v>1.1854652099726494E-4</v>
      </c>
      <c r="N110" s="1442">
        <v>9.9729222151032535E-5</v>
      </c>
      <c r="O110" s="1442">
        <v>2.1827574314829749E-4</v>
      </c>
    </row>
    <row r="111" spans="1:15" s="1436" customFormat="1">
      <c r="A111" s="1433">
        <v>111</v>
      </c>
      <c r="B111" s="1436" t="s">
        <v>1824</v>
      </c>
      <c r="C111" s="1435">
        <v>39911145.512753792</v>
      </c>
      <c r="D111" s="1435">
        <v>31834702.311092202</v>
      </c>
      <c r="E111" s="1435">
        <v>3166670.6578880143</v>
      </c>
      <c r="F111" s="1435">
        <v>378873.1981705699</v>
      </c>
      <c r="G111" s="1435">
        <v>96210.248824188471</v>
      </c>
      <c r="H111" s="1435">
        <v>-51085.660713296478</v>
      </c>
      <c r="I111" s="1435">
        <v>55564.053559477841</v>
      </c>
      <c r="J111" s="1435">
        <v>100665.78992033604</v>
      </c>
      <c r="K111" s="1435">
        <v>23760.187948128001</v>
      </c>
      <c r="L111" s="1435">
        <v>4297073.0911174826</v>
      </c>
      <c r="M111" s="1435">
        <v>4731.3274495525638</v>
      </c>
      <c r="N111" s="1435">
        <v>3980.3074971436081</v>
      </c>
      <c r="O111" s="1435">
        <v>8711.6349466961728</v>
      </c>
    </row>
    <row r="112" spans="1:15" s="1436" customFormat="1">
      <c r="A112" s="1433">
        <v>112</v>
      </c>
      <c r="B112" s="1436" t="s">
        <v>1825</v>
      </c>
      <c r="C112" s="1443">
        <v>0.37782867243937651</v>
      </c>
      <c r="D112" s="1443">
        <v>0.49931653115672714</v>
      </c>
      <c r="E112" s="1443">
        <v>0.17638270802018161</v>
      </c>
      <c r="F112" s="1443">
        <v>8.1221328958669722E-2</v>
      </c>
      <c r="G112" s="1443">
        <v>0.67060770971425454</v>
      </c>
      <c r="H112" s="1443">
        <v>-5.9139352679907298E-3</v>
      </c>
      <c r="I112" s="1443">
        <v>5.2292328733171876E-2</v>
      </c>
      <c r="J112" s="1443">
        <v>9.4302552046577297</v>
      </c>
      <c r="K112" s="1443">
        <v>0.5116623288217278</v>
      </c>
      <c r="L112" s="1443">
        <v>0.61376198844595442</v>
      </c>
      <c r="M112" s="1443">
        <v>4.2156757171447901E-3</v>
      </c>
      <c r="N112" s="1443">
        <v>3.2270932897879145E-3</v>
      </c>
      <c r="O112" s="1443">
        <v>3.6980758702162232E-3</v>
      </c>
    </row>
    <row r="113" spans="1:16" s="1436" customFormat="1">
      <c r="A113" s="1433">
        <v>113</v>
      </c>
      <c r="B113" s="1436" t="s">
        <v>1826</v>
      </c>
      <c r="C113" s="1444">
        <v>1.7414162339449498E-3</v>
      </c>
      <c r="D113" s="1444">
        <v>4.6933075679358701E-3</v>
      </c>
      <c r="E113" s="1444">
        <v>5.1127082872610627E-4</v>
      </c>
      <c r="F113" s="1444">
        <v>1.8749569574326693E-4</v>
      </c>
      <c r="G113" s="1444">
        <v>1.8884470833849588E-3</v>
      </c>
      <c r="H113" s="1444">
        <v>-1.0448520390681998E-5</v>
      </c>
      <c r="I113" s="1444">
        <v>2.4117130609195147E-4</v>
      </c>
      <c r="J113" s="1444">
        <v>1.2945086739522405E-2</v>
      </c>
      <c r="K113" s="1444">
        <v>1.4884397106043916E-3</v>
      </c>
      <c r="L113" s="1444">
        <v>3.059608675939639E-3</v>
      </c>
      <c r="M113" s="1444">
        <v>7.6670352447780971E-6</v>
      </c>
      <c r="N113" s="1444">
        <v>5.6421804365807407E-6</v>
      </c>
      <c r="O113" s="1444">
        <v>6.586970924310251E-6</v>
      </c>
    </row>
    <row r="114" spans="1:16" s="1436" customFormat="1">
      <c r="A114" s="1433">
        <v>114</v>
      </c>
      <c r="B114" s="1436" t="s">
        <v>1827</v>
      </c>
      <c r="C114" s="1443">
        <v>40.466886248979755</v>
      </c>
      <c r="D114" s="1443">
        <v>37.109091737997225</v>
      </c>
      <c r="E114" s="1443">
        <v>193.85801395090385</v>
      </c>
      <c r="F114" s="1443">
        <v>1520.0529515368903</v>
      </c>
      <c r="G114" s="1443">
        <v>11.400669371274851</v>
      </c>
      <c r="H114" s="1443">
        <v>-309.61006492906955</v>
      </c>
      <c r="I114" s="1443">
        <v>15.400236574134656</v>
      </c>
      <c r="J114" s="1443">
        <v>36.819967052061465</v>
      </c>
      <c r="K114" s="1443">
        <v>37.300138066135013</v>
      </c>
      <c r="L114" s="1443">
        <v>44.65441309472503</v>
      </c>
      <c r="M114" s="1443">
        <v>4731.3274495525638</v>
      </c>
      <c r="N114" s="1443">
        <v>3980.3074971436081</v>
      </c>
      <c r="O114" s="1443">
        <v>4355.8174733480864</v>
      </c>
    </row>
    <row r="115" spans="1:16" s="1436" customFormat="1">
      <c r="A115" s="1433">
        <v>115</v>
      </c>
      <c r="C115" s="1443"/>
      <c r="D115" s="1435"/>
      <c r="E115" s="1435"/>
      <c r="F115" s="1435"/>
      <c r="G115" s="1435"/>
      <c r="H115" s="1435"/>
      <c r="I115" s="1435"/>
      <c r="J115" s="1435"/>
      <c r="K115" s="1435"/>
      <c r="L115" s="1435"/>
      <c r="M115" s="1435"/>
      <c r="N115" s="1435"/>
      <c r="O115" s="1443"/>
    </row>
    <row r="116" spans="1:16" s="1436" customFormat="1">
      <c r="A116" s="1433">
        <v>116</v>
      </c>
      <c r="B116" s="1441" t="s">
        <v>1843</v>
      </c>
      <c r="C116" s="1442">
        <v>1</v>
      </c>
      <c r="D116" s="1442">
        <v>0.71177155014104954</v>
      </c>
      <c r="E116" s="1442">
        <v>0.10733916986591813</v>
      </c>
      <c r="F116" s="1442">
        <v>1.5298307737326248E-2</v>
      </c>
      <c r="G116" s="1442">
        <v>1.1333358871130763E-2</v>
      </c>
      <c r="H116" s="1442">
        <v>2.46407581851909E-2</v>
      </c>
      <c r="I116" s="1442">
        <v>1.0541248991971347E-2</v>
      </c>
      <c r="J116" s="1442">
        <v>2.0664349845698005E-3</v>
      </c>
      <c r="K116" s="1442">
        <v>4.7876103304953345E-4</v>
      </c>
      <c r="L116" s="1442">
        <v>0.11399990570147708</v>
      </c>
      <c r="M116" s="1442">
        <v>1.2740423654246326E-3</v>
      </c>
      <c r="N116" s="1442">
        <v>1.2564621228922273E-3</v>
      </c>
      <c r="O116" s="1442">
        <v>2.5305044883168599E-3</v>
      </c>
    </row>
    <row r="117" spans="1:16" s="1436" customFormat="1">
      <c r="A117" s="1433">
        <v>117</v>
      </c>
      <c r="B117" s="1436" t="s">
        <v>1824</v>
      </c>
      <c r="C117" s="1435">
        <v>11881731.436620178</v>
      </c>
      <c r="D117" s="1435">
        <v>8457078.4030027837</v>
      </c>
      <c r="E117" s="1435">
        <v>1275375.1889765926</v>
      </c>
      <c r="F117" s="1435">
        <v>181770.38396967898</v>
      </c>
      <c r="G117" s="1435">
        <v>134659.92638161255</v>
      </c>
      <c r="H117" s="1435">
        <v>292774.87115113868</v>
      </c>
      <c r="I117" s="1435">
        <v>125248.28952914671</v>
      </c>
      <c r="J117" s="1435">
        <v>24552.825517894729</v>
      </c>
      <c r="K117" s="1435">
        <v>5688.5100170133937</v>
      </c>
      <c r="L117" s="1435">
        <v>1354516.2633449759</v>
      </c>
      <c r="M117" s="1435">
        <v>15137.829224851788</v>
      </c>
      <c r="N117" s="1435">
        <v>14928.945504491101</v>
      </c>
      <c r="O117" s="1435">
        <v>30066.774729342891</v>
      </c>
    </row>
    <row r="118" spans="1:16" s="1436" customFormat="1">
      <c r="A118" s="1433">
        <v>118</v>
      </c>
      <c r="B118" s="1436" t="s">
        <v>1825</v>
      </c>
      <c r="C118" s="1443">
        <v>0.11248133215181319</v>
      </c>
      <c r="D118" s="1443">
        <v>0.13264641241631722</v>
      </c>
      <c r="E118" s="1443">
        <v>7.1038056645737091E-2</v>
      </c>
      <c r="F118" s="1443">
        <v>3.8967211781231276E-2</v>
      </c>
      <c r="G118" s="1443">
        <v>0.9386108644836989</v>
      </c>
      <c r="H118" s="1443">
        <v>3.3893104481890389E-2</v>
      </c>
      <c r="I118" s="1443">
        <v>0.11787341473052848</v>
      </c>
      <c r="J118" s="1443">
        <v>2.3000804028102637</v>
      </c>
      <c r="K118" s="1443">
        <v>0.12249887455373083</v>
      </c>
      <c r="L118" s="1443">
        <v>0.19346903753894448</v>
      </c>
      <c r="M118" s="1443">
        <v>1.3488007277857601E-2</v>
      </c>
      <c r="N118" s="1443">
        <v>1.2103863808443457E-2</v>
      </c>
      <c r="O118" s="1443">
        <v>1.2763300436960758E-2</v>
      </c>
    </row>
    <row r="119" spans="1:16" s="1436" customFormat="1">
      <c r="A119" s="1433">
        <v>119</v>
      </c>
      <c r="B119" s="1436" t="s">
        <v>1826</v>
      </c>
      <c r="C119" s="1444">
        <v>5.1842761577696416E-4</v>
      </c>
      <c r="D119" s="1444">
        <v>1.246805127422541E-3</v>
      </c>
      <c r="E119" s="1444">
        <v>2.0591409724927457E-4</v>
      </c>
      <c r="F119" s="1444">
        <v>8.9954013037819278E-5</v>
      </c>
      <c r="G119" s="1444">
        <v>2.6431502707043794E-3</v>
      </c>
      <c r="H119" s="1444">
        <v>5.9881073639628193E-5</v>
      </c>
      <c r="I119" s="1444">
        <v>5.4363012841014658E-4</v>
      </c>
      <c r="J119" s="1444">
        <v>3.1573631546629143E-3</v>
      </c>
      <c r="K119" s="1444">
        <v>3.5635257692314212E-4</v>
      </c>
      <c r="L119" s="1444">
        <v>9.6444477977308005E-4</v>
      </c>
      <c r="M119" s="1444">
        <v>2.4530593461111309E-5</v>
      </c>
      <c r="N119" s="1444">
        <v>2.1162134916628184E-5</v>
      </c>
      <c r="O119" s="1444">
        <v>2.2733846418240531E-5</v>
      </c>
    </row>
    <row r="120" spans="1:16" s="1436" customFormat="1">
      <c r="A120" s="1433">
        <v>120</v>
      </c>
      <c r="B120" s="1436" t="s">
        <v>1827</v>
      </c>
      <c r="C120" s="1443">
        <v>12.047178007782021</v>
      </c>
      <c r="D120" s="1443">
        <v>9.8582513894944022</v>
      </c>
      <c r="E120" s="1443">
        <v>78.076228281395331</v>
      </c>
      <c r="F120" s="1443">
        <v>729.26934391044722</v>
      </c>
      <c r="G120" s="1443">
        <v>15.956858203769706</v>
      </c>
      <c r="H120" s="1443">
        <v>1774.3931584917495</v>
      </c>
      <c r="I120" s="1443">
        <v>34.714049204308957</v>
      </c>
      <c r="J120" s="1443">
        <v>8.9805506649212621</v>
      </c>
      <c r="K120" s="1443">
        <v>8.9301570125798957</v>
      </c>
      <c r="L120" s="1443">
        <v>14.075890142981102</v>
      </c>
      <c r="M120" s="1443">
        <v>15137.829224851788</v>
      </c>
      <c r="N120" s="1443">
        <v>14928.945504491101</v>
      </c>
      <c r="O120" s="1443">
        <v>15033.387364671446</v>
      </c>
    </row>
    <row r="121" spans="1:16" s="1436" customFormat="1">
      <c r="A121" s="1433">
        <v>121</v>
      </c>
      <c r="C121" s="1435"/>
      <c r="D121" s="1435"/>
      <c r="E121" s="1435"/>
      <c r="F121" s="1435"/>
      <c r="G121" s="1435"/>
      <c r="H121" s="1435"/>
      <c r="I121" s="1435"/>
      <c r="J121" s="1435"/>
      <c r="K121" s="1435"/>
      <c r="L121" s="1435"/>
      <c r="M121" s="1435"/>
      <c r="N121" s="1435"/>
      <c r="O121" s="1435"/>
    </row>
    <row r="122" spans="1:16" s="1436" customFormat="1">
      <c r="A122" s="1433">
        <v>122</v>
      </c>
      <c r="B122" s="1441" t="s">
        <v>1844</v>
      </c>
      <c r="C122" s="1442">
        <v>1</v>
      </c>
      <c r="D122" s="1442">
        <v>0.96566689635602887</v>
      </c>
      <c r="E122" s="1442">
        <v>2.9680909205308183E-3</v>
      </c>
      <c r="F122" s="1442">
        <v>-1.2244031966723858E-2</v>
      </c>
      <c r="G122" s="1442">
        <v>6.050519680425223E-3</v>
      </c>
      <c r="H122" s="1442">
        <v>-2.4496910663799377E-2</v>
      </c>
      <c r="I122" s="1442">
        <v>-2.0524104701890845E-3</v>
      </c>
      <c r="J122" s="1442">
        <v>2.4628412728702714E-3</v>
      </c>
      <c r="K122" s="1442">
        <v>5.1663186256015008E-4</v>
      </c>
      <c r="L122" s="1442">
        <v>6.3917636410554007E-2</v>
      </c>
      <c r="M122" s="1442">
        <v>-1.5857571036802061E-3</v>
      </c>
      <c r="N122" s="1442">
        <v>-1.2035062985765964E-3</v>
      </c>
      <c r="O122" s="1442">
        <v>-2.7892634022568027E-3</v>
      </c>
    </row>
    <row r="123" spans="1:16" s="2052" customFormat="1">
      <c r="A123" s="2051">
        <v>123</v>
      </c>
      <c r="B123" s="2052" t="s">
        <v>1824</v>
      </c>
      <c r="C123" s="2053">
        <v>39762834.02901303</v>
      </c>
      <c r="D123" s="2053">
        <v>38397652.527116902</v>
      </c>
      <c r="E123" s="2053">
        <v>118019.70665608742</v>
      </c>
      <c r="F123" s="2053">
        <v>-486857.41093877074</v>
      </c>
      <c r="G123" s="2053">
        <v>240585.8098420251</v>
      </c>
      <c r="H123" s="2053">
        <v>-974066.59294821403</v>
      </c>
      <c r="I123" s="2053">
        <v>-81609.656885537159</v>
      </c>
      <c r="J123" s="2053">
        <v>97929.548772943788</v>
      </c>
      <c r="K123" s="2053">
        <v>20542.74700507912</v>
      </c>
      <c r="L123" s="2053">
        <v>2541546.3681196584</v>
      </c>
      <c r="M123" s="2053">
        <v>-63054.196523964441</v>
      </c>
      <c r="N123" s="2053">
        <v>-47854.821203172993</v>
      </c>
      <c r="O123" s="2053">
        <v>-110909.01772713743</v>
      </c>
    </row>
    <row r="124" spans="1:16" s="1436" customFormat="1">
      <c r="A124" s="1433">
        <v>124</v>
      </c>
      <c r="B124" s="1436" t="s">
        <v>1825</v>
      </c>
      <c r="C124" s="1443">
        <v>0.37642464531138092</v>
      </c>
      <c r="D124" s="1443">
        <v>0.60225418403617437</v>
      </c>
      <c r="E124" s="1443">
        <v>6.5736660703553055E-3</v>
      </c>
      <c r="F124" s="1443">
        <v>-0.10437055490006361</v>
      </c>
      <c r="G124" s="1443">
        <v>1.676938797058251</v>
      </c>
      <c r="H124" s="1443">
        <v>-0.11276289074027115</v>
      </c>
      <c r="I124" s="1443">
        <v>-7.6804313801398919E-2</v>
      </c>
      <c r="J124" s="1443">
        <v>9.1739272868833357</v>
      </c>
      <c r="K124" s="1443">
        <v>0.44237654163179652</v>
      </c>
      <c r="L124" s="1443">
        <v>0.36301559679057066</v>
      </c>
      <c r="M124" s="1443">
        <v>-5.6182128162634411E-2</v>
      </c>
      <c r="N124" s="1443">
        <v>-3.8799005478743827E-2</v>
      </c>
      <c r="O124" s="1443">
        <v>-4.7080710424127314E-2</v>
      </c>
    </row>
    <row r="125" spans="1:16" s="1436" customFormat="1">
      <c r="A125" s="1433">
        <v>125</v>
      </c>
      <c r="B125" s="1436" t="s">
        <v>1826</v>
      </c>
      <c r="C125" s="1444">
        <v>1.7349450584838472E-3</v>
      </c>
      <c r="D125" s="1444">
        <v>5.6608662909876867E-3</v>
      </c>
      <c r="E125" s="1444">
        <v>1.9054723318879355E-5</v>
      </c>
      <c r="F125" s="1444">
        <v>-2.4093461726114033E-4</v>
      </c>
      <c r="G125" s="1444">
        <v>4.7222990944573405E-3</v>
      </c>
      <c r="H125" s="1444">
        <v>-1.9922527214476373E-4</v>
      </c>
      <c r="I125" s="1444">
        <v>-3.5422015277796046E-4</v>
      </c>
      <c r="J125" s="1444">
        <v>1.2593220638622843E-2</v>
      </c>
      <c r="K125" s="1444">
        <v>1.286885460418601E-3</v>
      </c>
      <c r="L125" s="1444">
        <v>1.8096358040257468E-3</v>
      </c>
      <c r="M125" s="1444">
        <v>-1.021782474865734E-4</v>
      </c>
      <c r="N125" s="1444">
        <v>-6.7835345933040653E-5</v>
      </c>
      <c r="O125" s="1444">
        <v>-8.3859629045810989E-5</v>
      </c>
    </row>
    <row r="126" spans="1:16" s="1436" customFormat="1">
      <c r="A126" s="1433">
        <v>126</v>
      </c>
      <c r="B126" s="1436" t="s">
        <v>1827</v>
      </c>
      <c r="C126" s="1443">
        <v>40.316509609450911</v>
      </c>
      <c r="D126" s="1443">
        <v>44.759394833607153</v>
      </c>
      <c r="E126" s="1443">
        <v>7.2249590851599281</v>
      </c>
      <c r="F126" s="1443">
        <v>-1953.2895122919588</v>
      </c>
      <c r="G126" s="1443">
        <v>28.508805526961144</v>
      </c>
      <c r="H126" s="1443">
        <v>-5903.4338966558425</v>
      </c>
      <c r="I126" s="1443">
        <v>-22.619084502643336</v>
      </c>
      <c r="J126" s="1443">
        <v>35.819147320023333</v>
      </c>
      <c r="K126" s="1443">
        <v>32.249210369041002</v>
      </c>
      <c r="L126" s="1443">
        <v>26.411294156483422</v>
      </c>
      <c r="M126" s="1443">
        <v>-63054.196523964441</v>
      </c>
      <c r="N126" s="1443">
        <v>-47854.821203172993</v>
      </c>
      <c r="O126" s="1443">
        <v>-55454.508863568713</v>
      </c>
    </row>
    <row r="127" spans="1:16" s="1436" customFormat="1">
      <c r="A127" s="1433">
        <v>127</v>
      </c>
      <c r="C127" s="1443"/>
      <c r="D127" s="1435"/>
      <c r="E127" s="1435"/>
      <c r="F127" s="1435"/>
      <c r="G127" s="1435"/>
      <c r="H127" s="1435"/>
      <c r="I127" s="1435"/>
      <c r="J127" s="1435"/>
      <c r="K127" s="1435"/>
      <c r="L127" s="1435"/>
      <c r="M127" s="1435"/>
      <c r="N127" s="1435"/>
      <c r="O127" s="1443"/>
    </row>
    <row r="128" spans="1:16" s="1436" customFormat="1">
      <c r="A128" s="1433">
        <v>128</v>
      </c>
      <c r="B128" s="1441" t="s">
        <v>1845</v>
      </c>
      <c r="C128" s="1442">
        <v>1</v>
      </c>
      <c r="D128" s="1442">
        <v>0.43209051050865149</v>
      </c>
      <c r="E128" s="1442">
        <v>0.25550693983652101</v>
      </c>
      <c r="F128" s="1442">
        <v>7.0624501695307665E-2</v>
      </c>
      <c r="G128" s="1442">
        <v>3.244314196191513E-3</v>
      </c>
      <c r="H128" s="1442">
        <v>0.13015074499867413</v>
      </c>
      <c r="I128" s="1442">
        <v>9.7737923129832694E-3</v>
      </c>
      <c r="J128" s="1442">
        <v>3.5102610148460359E-4</v>
      </c>
      <c r="K128" s="1442">
        <v>3.3170599734631725E-4</v>
      </c>
      <c r="L128" s="1442">
        <v>6.9367252459245604E-2</v>
      </c>
      <c r="M128" s="1442">
        <v>1.6204488865059982E-2</v>
      </c>
      <c r="N128" s="1442">
        <v>1.2354723028534482E-2</v>
      </c>
      <c r="O128" s="1442">
        <v>2.8559211893594467E-2</v>
      </c>
      <c r="P128" s="1448"/>
    </row>
    <row r="129" spans="1:15" s="2052" customFormat="1">
      <c r="A129" s="2051">
        <v>129</v>
      </c>
      <c r="B129" s="2052" t="s">
        <v>1824</v>
      </c>
      <c r="C129" s="2053">
        <v>8743820.9208107702</v>
      </c>
      <c r="D129" s="2053">
        <v>3778122.045469353</v>
      </c>
      <c r="E129" s="2053">
        <v>2234106.9259549114</v>
      </c>
      <c r="F129" s="2053">
        <v>617527.99544526683</v>
      </c>
      <c r="G129" s="2053">
        <v>28367.702342342731</v>
      </c>
      <c r="H129" s="2053">
        <v>1138014.8069785147</v>
      </c>
      <c r="I129" s="2053">
        <v>85460.289701922593</v>
      </c>
      <c r="J129" s="2053">
        <v>3069.3093699117217</v>
      </c>
      <c r="K129" s="2053">
        <v>2900.37783915513</v>
      </c>
      <c r="L129" s="2053">
        <v>606534.83327231405</v>
      </c>
      <c r="M129" s="2053">
        <v>141689.14874935665</v>
      </c>
      <c r="N129" s="2053">
        <v>108027.48568772241</v>
      </c>
      <c r="O129" s="2053">
        <v>249716.63443707908</v>
      </c>
    </row>
    <row r="130" spans="1:15" s="1436" customFormat="1">
      <c r="A130" s="1433">
        <v>130</v>
      </c>
      <c r="B130" s="1436" t="s">
        <v>1825</v>
      </c>
      <c r="C130" s="1443">
        <v>8.2775530697355659E-2</v>
      </c>
      <c r="D130" s="1443">
        <v>5.9258565561431616E-2</v>
      </c>
      <c r="E130" s="1443">
        <v>0.12443915777126768</v>
      </c>
      <c r="F130" s="1443">
        <v>0.13238319496188625</v>
      </c>
      <c r="G130" s="1443">
        <v>0.1977294532562458</v>
      </c>
      <c r="H130" s="1443">
        <v>0.13174236778999299</v>
      </c>
      <c r="I130" s="1443">
        <v>8.0428213502122245E-2</v>
      </c>
      <c r="J130" s="1443">
        <v>0.28752936507248866</v>
      </c>
      <c r="K130" s="1443">
        <v>6.2458010975538839E-2</v>
      </c>
      <c r="L130" s="1443">
        <v>8.6632928376403323E-2</v>
      </c>
      <c r="M130" s="1443">
        <v>0.1262469169877613</v>
      </c>
      <c r="N130" s="1443">
        <v>8.7584884943106955E-2</v>
      </c>
      <c r="O130" s="1443">
        <v>0.1060043339572657</v>
      </c>
    </row>
    <row r="131" spans="1:15" s="1436" customFormat="1">
      <c r="A131" s="1433">
        <v>131</v>
      </c>
      <c r="B131" s="1436" t="s">
        <v>1826</v>
      </c>
      <c r="C131" s="1444">
        <v>3.8151327160834345E-4</v>
      </c>
      <c r="D131" s="1444">
        <v>5.5699873098572438E-4</v>
      </c>
      <c r="E131" s="1444">
        <v>3.6070492416079189E-4</v>
      </c>
      <c r="F131" s="1444">
        <v>3.0560050620109851E-4</v>
      </c>
      <c r="G131" s="1444">
        <v>5.5681079100651271E-4</v>
      </c>
      <c r="H131" s="1444">
        <v>2.3275750473984169E-4</v>
      </c>
      <c r="I131" s="1444">
        <v>3.7093351485501137E-4</v>
      </c>
      <c r="J131" s="1444">
        <v>3.946969080099527E-4</v>
      </c>
      <c r="K131" s="1444">
        <v>1.8169206241045664E-4</v>
      </c>
      <c r="L131" s="1444">
        <v>4.3186587679312007E-4</v>
      </c>
      <c r="M131" s="1444">
        <v>2.2960484321723652E-4</v>
      </c>
      <c r="N131" s="1444">
        <v>1.5313152735000425E-4</v>
      </c>
      <c r="O131" s="1444">
        <v>1.8881372100853006E-4</v>
      </c>
    </row>
    <row r="132" spans="1:15" s="1436" customFormat="1">
      <c r="A132" s="1433">
        <v>132</v>
      </c>
      <c r="B132" s="1436" t="s">
        <v>1827</v>
      </c>
      <c r="C132" s="1443">
        <v>8.8655738149843177</v>
      </c>
      <c r="D132" s="1443">
        <v>4.4040831986615112</v>
      </c>
      <c r="E132" s="1443">
        <v>136.76810076246778</v>
      </c>
      <c r="F132" s="1443">
        <v>2477.5446156279513</v>
      </c>
      <c r="G132" s="1443">
        <v>3.3615004553078247</v>
      </c>
      <c r="H132" s="1443">
        <v>6897.0594362334223</v>
      </c>
      <c r="I132" s="1443">
        <v>23.686333065943067</v>
      </c>
      <c r="J132" s="1443">
        <v>1.1226442464929487</v>
      </c>
      <c r="K132" s="1443">
        <v>4.5531834209656674</v>
      </c>
      <c r="L132" s="1443">
        <v>6.3030012352521068</v>
      </c>
      <c r="M132" s="1443">
        <v>141689.14874935665</v>
      </c>
      <c r="N132" s="1443">
        <v>108027.48568772241</v>
      </c>
      <c r="O132" s="1443">
        <v>124858.31721853954</v>
      </c>
    </row>
    <row r="133" spans="1:15" s="1436" customFormat="1"/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view="pageBreakPreview" zoomScale="80" zoomScaleNormal="100" zoomScaleSheetLayoutView="80" workbookViewId="0">
      <selection activeCell="I20" sqref="I20"/>
    </sheetView>
  </sheetViews>
  <sheetFormatPr defaultRowHeight="15.75"/>
  <cols>
    <col min="1" max="1" width="47.125" bestFit="1" customWidth="1"/>
  </cols>
  <sheetData>
    <row r="1" spans="1:2">
      <c r="A1" s="2148" t="s">
        <v>547</v>
      </c>
      <c r="B1" s="2148"/>
    </row>
    <row r="2" spans="1:2">
      <c r="A2" s="2148" t="s">
        <v>2290</v>
      </c>
      <c r="B2" s="2148"/>
    </row>
    <row r="3" spans="1:2">
      <c r="A3" s="2148" t="s">
        <v>1579</v>
      </c>
      <c r="B3" s="2148"/>
    </row>
    <row r="4" spans="1:2">
      <c r="A4" s="79"/>
      <c r="B4" s="62"/>
    </row>
    <row r="6" spans="1:2">
      <c r="A6" s="391" t="s">
        <v>2291</v>
      </c>
      <c r="B6" s="1275">
        <v>12.6</v>
      </c>
    </row>
    <row r="7" spans="1:2">
      <c r="A7" t="s">
        <v>2292</v>
      </c>
      <c r="B7" s="389">
        <f>'Table A-Total'!U17</f>
        <v>6.7146112134273392E-2</v>
      </c>
    </row>
    <row r="8" spans="1:2">
      <c r="A8" t="s">
        <v>2293</v>
      </c>
      <c r="B8" s="1275">
        <f>B6*(1+B7)</f>
        <v>13.446041012891843</v>
      </c>
    </row>
    <row r="9" spans="1:2">
      <c r="A9" t="s">
        <v>2311</v>
      </c>
      <c r="B9" s="1867">
        <v>0.54</v>
      </c>
    </row>
    <row r="10" spans="1:2">
      <c r="A10" s="391" t="s">
        <v>2294</v>
      </c>
      <c r="B10" s="1275">
        <f>SUM(B8:B9)</f>
        <v>13.986041012891842</v>
      </c>
    </row>
  </sheetData>
  <mergeCells count="3">
    <mergeCell ref="A1:B1"/>
    <mergeCell ref="A2:B2"/>
    <mergeCell ref="A3:B3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8"/>
  <sheetViews>
    <sheetView topLeftCell="A8" zoomScale="90" zoomScaleNormal="90" workbookViewId="0">
      <pane xSplit="6" ySplit="4" topLeftCell="H30" activePane="bottomRight" state="frozen"/>
      <selection activeCell="W2686" sqref="W2686"/>
      <selection pane="topRight" activeCell="W2686" sqref="W2686"/>
      <selection pane="bottomLeft" activeCell="W2686" sqref="W2686"/>
      <selection pane="bottomRight" activeCell="M9" sqref="M9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625" style="1657" bestFit="1" customWidth="1"/>
    <col min="14" max="14" width="1.625" style="1657" customWidth="1"/>
    <col min="15" max="15" width="11.25" style="1657" bestFit="1" customWidth="1"/>
    <col min="16" max="16" width="1.625" style="1657" customWidth="1"/>
    <col min="17" max="17" width="10.75" style="1657" customWidth="1"/>
    <col min="18" max="18" width="1.625" style="1657" customWidth="1"/>
    <col min="19" max="19" width="10.625" style="1657" bestFit="1" customWidth="1"/>
    <col min="20" max="20" width="1.625" style="76" customWidth="1"/>
    <col min="21" max="21" width="7.25" style="76" bestFit="1" customWidth="1"/>
    <col min="22" max="22" width="1.625" style="76" customWidth="1"/>
    <col min="23" max="23" width="10.625" style="1657" bestFit="1" customWidth="1"/>
    <col min="24" max="24" width="1.625" style="76" customWidth="1"/>
    <col min="25" max="25" width="7.75" style="76" bestFit="1" customWidth="1"/>
    <col min="26" max="16384" width="9" style="76"/>
  </cols>
  <sheetData>
    <row r="1" spans="1:25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75"/>
      <c r="U1" s="75"/>
      <c r="V1" s="75"/>
      <c r="W1" s="1660"/>
      <c r="X1" s="75"/>
      <c r="Y1" s="75"/>
    </row>
    <row r="2" spans="1:25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62"/>
      <c r="U2" s="62"/>
      <c r="V2" s="62"/>
      <c r="W2" s="1661"/>
      <c r="X2" s="62"/>
      <c r="Y2" s="62"/>
    </row>
    <row r="3" spans="1:25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62"/>
      <c r="U3" s="62"/>
      <c r="V3" s="62"/>
      <c r="W3" s="1661"/>
      <c r="X3" s="62"/>
      <c r="Y3" s="62"/>
    </row>
    <row r="4" spans="1:25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62"/>
      <c r="U4" s="62"/>
      <c r="V4" s="62"/>
      <c r="W4" s="1661"/>
      <c r="X4" s="62"/>
      <c r="Y4" s="62"/>
    </row>
    <row r="5" spans="1:25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62"/>
      <c r="U5" s="62"/>
      <c r="V5" s="62"/>
      <c r="W5" s="1661"/>
      <c r="X5" s="62"/>
      <c r="Y5" s="62"/>
    </row>
    <row r="6" spans="1:25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62"/>
      <c r="U6" s="62"/>
      <c r="V6" s="62"/>
      <c r="W6" s="1661"/>
      <c r="X6" s="62"/>
      <c r="Y6" s="62"/>
    </row>
    <row r="7" spans="1:25">
      <c r="D7" s="85"/>
      <c r="F7" s="85"/>
      <c r="G7" s="2038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85"/>
      <c r="U7" s="84"/>
      <c r="V7" s="85"/>
      <c r="W7" s="1662"/>
      <c r="X7" s="85"/>
      <c r="Y7" s="84"/>
    </row>
    <row r="8" spans="1:25">
      <c r="D8" s="2038"/>
      <c r="E8" s="2038"/>
      <c r="F8" s="2038"/>
      <c r="G8" s="2038" t="s">
        <v>1368</v>
      </c>
      <c r="H8" s="2038"/>
      <c r="I8" s="1290"/>
      <c r="J8" s="2038"/>
      <c r="K8" s="1664" t="s">
        <v>200</v>
      </c>
      <c r="L8" s="1665"/>
      <c r="M8" s="1666" t="s">
        <v>2328</v>
      </c>
      <c r="N8" s="1666"/>
      <c r="O8" s="1666"/>
      <c r="P8" s="1666"/>
      <c r="Q8" s="1666"/>
      <c r="R8" s="1666"/>
      <c r="S8" s="1666"/>
      <c r="T8" s="1035"/>
      <c r="U8" s="1039"/>
      <c r="V8" s="1035"/>
      <c r="W8" s="1666"/>
      <c r="X8" s="1035"/>
      <c r="Y8" s="1039"/>
    </row>
    <row r="9" spans="1:25" s="80" customFormat="1">
      <c r="A9" s="80" t="s">
        <v>217</v>
      </c>
      <c r="D9" s="2038"/>
      <c r="E9" s="2038" t="s">
        <v>156</v>
      </c>
      <c r="F9" s="2038"/>
      <c r="G9" s="83" t="s">
        <v>778</v>
      </c>
      <c r="H9" s="2038"/>
      <c r="I9" s="1290" t="s">
        <v>109</v>
      </c>
      <c r="J9" s="83"/>
      <c r="K9" s="1665" t="s">
        <v>1366</v>
      </c>
      <c r="L9" s="1664"/>
      <c r="M9" s="1664" t="s">
        <v>1366</v>
      </c>
      <c r="N9" s="1664"/>
      <c r="O9" s="1664" t="s">
        <v>2209</v>
      </c>
      <c r="P9" s="1664"/>
      <c r="Q9" s="1664" t="s">
        <v>2210</v>
      </c>
      <c r="R9" s="1664"/>
      <c r="S9" s="1666" t="s">
        <v>2211</v>
      </c>
      <c r="T9" s="1035"/>
      <c r="U9" s="1039"/>
      <c r="V9" s="83"/>
      <c r="W9" s="1666" t="s">
        <v>1752</v>
      </c>
      <c r="X9" s="1035"/>
      <c r="Y9" s="1039"/>
    </row>
    <row r="10" spans="1:25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U10" s="1042" t="s">
        <v>1370</v>
      </c>
      <c r="W10" s="1667" t="s">
        <v>1397</v>
      </c>
      <c r="Y10" s="1042" t="s">
        <v>1370</v>
      </c>
    </row>
    <row r="11" spans="1:25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669">
        <f>MIN($A11:J11)-1</f>
        <v>-5</v>
      </c>
      <c r="L11" s="1669"/>
      <c r="M11" s="1669">
        <f>MIN($A11:L11)-1</f>
        <v>-6</v>
      </c>
      <c r="N11" s="1669"/>
      <c r="O11" s="1669">
        <f>MIN($A11:N11)-1</f>
        <v>-7</v>
      </c>
      <c r="P11" s="1669"/>
      <c r="Q11" s="1669">
        <f>MIN($A11:P11)-1</f>
        <v>-8</v>
      </c>
      <c r="R11" s="1669"/>
      <c r="S11" s="1669">
        <f>MIN($A11:R11)-1</f>
        <v>-9</v>
      </c>
      <c r="T11" s="81"/>
      <c r="U11" s="81">
        <f>MIN($A11:T11)-1</f>
        <v>-10</v>
      </c>
      <c r="V11" s="81"/>
      <c r="W11" s="1669">
        <f>MIN($A11:V11)-1</f>
        <v>-11</v>
      </c>
      <c r="X11" s="81"/>
      <c r="Y11" s="81">
        <f>MIN($A11:X11)-1</f>
        <v>-12</v>
      </c>
    </row>
    <row r="12" spans="1:25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5" t="str">
        <f>"(" &amp; -M11 &amp; ")-(" &amp; -K11 &amp; ")"</f>
        <v>(6)-(5)</v>
      </c>
      <c r="U12" s="1043" t="str">
        <f>"(" &amp; -S11 &amp; ")/(" &amp; -K11 &amp; ")"</f>
        <v>(9)/(5)</v>
      </c>
      <c r="W12" s="1665" t="str">
        <f>"(" &amp; -Q11 &amp; ")-(" &amp; -K11 &amp; ")"</f>
        <v>(8)-(5)</v>
      </c>
      <c r="Y12" s="1043" t="str">
        <f>"(" &amp; -W11 &amp; ")/(" &amp; -K11 &amp; ")"</f>
        <v>(11)/(5)</v>
      </c>
    </row>
    <row r="13" spans="1:25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76"/>
      <c r="U13" s="76"/>
      <c r="V13" s="76"/>
      <c r="W13" s="1657"/>
      <c r="X13" s="76"/>
      <c r="Y13" s="76"/>
    </row>
    <row r="14" spans="1:25">
      <c r="A14" s="76">
        <v>1</v>
      </c>
      <c r="C14" s="76" t="s">
        <v>103</v>
      </c>
      <c r="E14" s="1293">
        <v>1</v>
      </c>
      <c r="G14" s="68">
        <f>ROUND(('Blocking-Step1'!D11)/12,0)</f>
        <v>778737</v>
      </c>
      <c r="I14" s="1633">
        <f>('Blocking-Step1'!D45)/1000</f>
        <v>6307369.9065283779</v>
      </c>
      <c r="K14" s="144">
        <f>('Blocking-Step1'!I45)/1000</f>
        <v>678380.16617610003</v>
      </c>
      <c r="M14" s="144">
        <f>('Blocking-Step1'!Y45)/1000</f>
        <v>714633.77099999995</v>
      </c>
      <c r="O14" s="144">
        <f>'Blocking-Step1'!Y43/1000</f>
        <v>-10707.890011</v>
      </c>
      <c r="Q14" s="144">
        <f>M14+O14</f>
        <v>703925.88098899997</v>
      </c>
      <c r="S14" s="144">
        <f>M14-K14</f>
        <v>36253.604823899921</v>
      </c>
      <c r="U14" s="1294">
        <f>S14/K14</f>
        <v>5.3441428024428542E-2</v>
      </c>
      <c r="W14" s="144">
        <f>Q14-K14</f>
        <v>25545.71481289994</v>
      </c>
      <c r="Y14" s="1294">
        <f>W14/K14</f>
        <v>3.7656930562838052E-2</v>
      </c>
    </row>
    <row r="15" spans="1:25">
      <c r="A15" s="76">
        <f>MAX(A$13:A14)+1</f>
        <v>2</v>
      </c>
      <c r="C15" s="1295" t="s">
        <v>1377</v>
      </c>
      <c r="E15" s="1296">
        <v>2</v>
      </c>
      <c r="G15" s="68">
        <f>ROUND('Blocking-Step1'!D48/12,0)</f>
        <v>363</v>
      </c>
      <c r="I15" s="1633">
        <f>'Blocking-Step1'!D82/1000</f>
        <v>2744.0360000000001</v>
      </c>
      <c r="K15" s="144">
        <f>('Blocking-Step1'!I82)/1000</f>
        <v>291.05517270000001</v>
      </c>
      <c r="M15" s="144">
        <f>('Blocking-Step1'!Y82)/1000</f>
        <v>309.702</v>
      </c>
      <c r="O15" s="144">
        <f>'Blocking-Step1'!Y80/1000</f>
        <v>-4.627332</v>
      </c>
      <c r="Q15" s="144">
        <f t="shared" ref="Q15:Q20" si="0">M15+O15</f>
        <v>305.07466799999997</v>
      </c>
      <c r="S15" s="144">
        <f t="shared" ref="S15:S20" si="1">M15-K15</f>
        <v>18.646827299999984</v>
      </c>
      <c r="U15" s="1294">
        <f t="shared" ref="U15:U21" si="2">S15/K15</f>
        <v>6.4066297558023039E-2</v>
      </c>
      <c r="W15" s="144">
        <f t="shared" ref="W15:W20" si="3">Q15-K15</f>
        <v>14.01949529999996</v>
      </c>
      <c r="Y15" s="1294">
        <f t="shared" ref="Y15:Y65" si="4">W15/K15</f>
        <v>4.8167827322726564E-2</v>
      </c>
    </row>
    <row r="16" spans="1:25">
      <c r="A16" s="76">
        <f>MAX(A$13:A15)+1</f>
        <v>3</v>
      </c>
      <c r="C16" s="1295" t="s">
        <v>1375</v>
      </c>
      <c r="E16" s="1297" t="s">
        <v>1118</v>
      </c>
      <c r="G16" s="68">
        <f>ROUND('Blocking-Step1'!D85/12,0)</f>
        <v>260</v>
      </c>
      <c r="I16" s="1633">
        <f>'Blocking-Step1'!D111/1000</f>
        <v>3648.1480452160827</v>
      </c>
      <c r="K16" s="144">
        <f>('Blocking-Step1'!I111)/1000</f>
        <v>310.07596409999996</v>
      </c>
      <c r="M16" s="144">
        <f>('Blocking-Step1'!Y111)/1000</f>
        <v>325.524</v>
      </c>
      <c r="O16" s="144">
        <f>'Blocking-Step1'!Y109/1000</f>
        <v>-5.0175160000000005</v>
      </c>
      <c r="Q16" s="144">
        <f t="shared" si="0"/>
        <v>320.506484</v>
      </c>
      <c r="S16" s="144">
        <f t="shared" si="1"/>
        <v>15.448035900000036</v>
      </c>
      <c r="U16" s="1294">
        <f t="shared" si="2"/>
        <v>4.982016566436611E-2</v>
      </c>
      <c r="W16" s="144">
        <f t="shared" si="3"/>
        <v>10.430519900000036</v>
      </c>
      <c r="Y16" s="1294">
        <f t="shared" si="4"/>
        <v>3.3638595401210065E-2</v>
      </c>
    </row>
    <row r="17" spans="1:25">
      <c r="A17" s="76">
        <f>MAX(A$13:A16)+1</f>
        <v>4</v>
      </c>
      <c r="C17" s="1295" t="s">
        <v>1394</v>
      </c>
      <c r="E17" s="1293">
        <v>3</v>
      </c>
      <c r="G17" s="68">
        <f>ROUND(('Blocking-Step1'!D114)/12,0)</f>
        <v>18027</v>
      </c>
      <c r="I17" s="1633">
        <f>('Blocking-Step1'!D148)/1000</f>
        <v>134093.07170705788</v>
      </c>
      <c r="K17" s="144">
        <f>('Blocking-Step1'!I148)/1000</f>
        <v>14086.2380001</v>
      </c>
      <c r="M17" s="144">
        <f>('Blocking-Step1'!Y148)/1000</f>
        <v>14801.464</v>
      </c>
      <c r="O17" s="144">
        <f>'Blocking-Step1'!Y146/1000</f>
        <v>-221.83419000000001</v>
      </c>
      <c r="Q17" s="144">
        <f t="shared" si="0"/>
        <v>14579.62981</v>
      </c>
      <c r="S17" s="144">
        <f t="shared" si="1"/>
        <v>715.22599989999981</v>
      </c>
      <c r="U17" s="1294">
        <f t="shared" si="2"/>
        <v>5.0774805870447616E-2</v>
      </c>
      <c r="W17" s="144">
        <f t="shared" si="3"/>
        <v>493.39180990000023</v>
      </c>
      <c r="Y17" s="1294">
        <f t="shared" si="4"/>
        <v>3.5026513814156598E-2</v>
      </c>
    </row>
    <row r="18" spans="1:25">
      <c r="A18" s="76">
        <f>MAX(A$13:A17)+1</f>
        <v>5</v>
      </c>
      <c r="C18" s="1295" t="s">
        <v>1376</v>
      </c>
      <c r="E18" s="1293">
        <v>135</v>
      </c>
      <c r="G18" s="68">
        <f>ROUND(('Blocking-Step1'!D151)/12,0)</f>
        <v>34868</v>
      </c>
      <c r="I18" s="1633">
        <f>('Blocking-Step1'!D185)/1000</f>
        <v>142334.24589459866</v>
      </c>
      <c r="K18" s="144">
        <f>('Blocking-Step1'!I185)/1000</f>
        <v>16685.304076600001</v>
      </c>
      <c r="M18" s="144">
        <f>('Blocking-Step1'!Y185)/1000</f>
        <v>18131.43</v>
      </c>
      <c r="O18" s="144">
        <f>'Blocking-Step1'!Y183/1000</f>
        <v>-237.920355</v>
      </c>
      <c r="Q18" s="144">
        <f t="shared" si="0"/>
        <v>17893.509645000002</v>
      </c>
      <c r="S18" s="144">
        <f t="shared" si="1"/>
        <v>1446.125923399999</v>
      </c>
      <c r="U18" s="1294">
        <f t="shared" si="2"/>
        <v>8.6670636433176657E-2</v>
      </c>
      <c r="W18" s="144">
        <f t="shared" si="3"/>
        <v>1208.2055684000006</v>
      </c>
      <c r="Y18" s="1294">
        <f t="shared" si="4"/>
        <v>7.2411360491441465E-2</v>
      </c>
    </row>
    <row r="19" spans="1:25">
      <c r="A19" s="76">
        <f>MAX(A$13:A18)+1</f>
        <v>6</v>
      </c>
      <c r="C19" s="1295" t="s">
        <v>1374</v>
      </c>
      <c r="E19" s="1293">
        <v>136</v>
      </c>
      <c r="G19" s="68">
        <f>ROUND(('Blocking-Step1'!D188)/12,0)</f>
        <v>25613</v>
      </c>
      <c r="I19" s="1633">
        <f>('Blocking-Step1'!D222)/1000</f>
        <v>192809.96918991042</v>
      </c>
      <c r="K19" s="144">
        <f>('Blocking-Step1'!I222)/1000</f>
        <v>20871.277468</v>
      </c>
      <c r="M19" s="144">
        <f>('Blocking-Step1'!Y222)/1000</f>
        <v>21942.28</v>
      </c>
      <c r="O19" s="144">
        <f>'Blocking-Step1'!Y220/1000</f>
        <v>-320.97288600000002</v>
      </c>
      <c r="Q19" s="144">
        <f t="shared" si="0"/>
        <v>21621.307113999999</v>
      </c>
      <c r="S19" s="144">
        <f t="shared" si="1"/>
        <v>1071.0025319999986</v>
      </c>
      <c r="U19" s="1294">
        <f t="shared" si="2"/>
        <v>5.1314661196089593E-2</v>
      </c>
      <c r="W19" s="144">
        <f t="shared" si="3"/>
        <v>750.02964599999905</v>
      </c>
      <c r="Y19" s="1294">
        <f t="shared" si="4"/>
        <v>3.5935972158386092E-2</v>
      </c>
    </row>
    <row r="20" spans="1:25">
      <c r="A20" s="76">
        <f>MAX(A$13:A19)+1</f>
        <v>7</v>
      </c>
      <c r="C20" s="1298" t="s">
        <v>471</v>
      </c>
      <c r="E20" s="1299"/>
      <c r="G20" s="72"/>
      <c r="I20" s="1675"/>
      <c r="K20" s="145">
        <f>'Blocking-Step1'!I2670/1000</f>
        <v>6.7950900000000622</v>
      </c>
      <c r="M20" s="145">
        <f>'Blocking-Step1'!Y2670/1000</f>
        <v>6.7950900000000622</v>
      </c>
      <c r="O20" s="145">
        <v>0</v>
      </c>
      <c r="Q20" s="145">
        <f t="shared" si="0"/>
        <v>6.7950900000000622</v>
      </c>
      <c r="S20" s="145">
        <f t="shared" si="1"/>
        <v>0</v>
      </c>
      <c r="U20" s="1300">
        <f t="shared" si="2"/>
        <v>0</v>
      </c>
      <c r="W20" s="145">
        <f t="shared" si="3"/>
        <v>0</v>
      </c>
      <c r="Y20" s="1300">
        <f t="shared" si="4"/>
        <v>0</v>
      </c>
    </row>
    <row r="21" spans="1:25">
      <c r="A21" s="76">
        <f>MAX(A$13:A20)+1</f>
        <v>8</v>
      </c>
      <c r="C21" s="80" t="s">
        <v>114</v>
      </c>
      <c r="G21" s="68">
        <f>SUM(G14:G20)</f>
        <v>857868</v>
      </c>
      <c r="I21" s="1633">
        <f>SUM(I14:I20)</f>
        <v>6782999.3773651607</v>
      </c>
      <c r="K21" s="144">
        <f>SUM(K14:K20)</f>
        <v>730630.91194759996</v>
      </c>
      <c r="M21" s="144">
        <f>SUM(M14:M20)</f>
        <v>770150.96609000012</v>
      </c>
      <c r="O21" s="144">
        <f>SUM(O14:O20)</f>
        <v>-11498.262289999999</v>
      </c>
      <c r="Q21" s="144">
        <f>SUM(Q14:Q20)</f>
        <v>758652.7037999999</v>
      </c>
      <c r="S21" s="144">
        <f>SUM(S14:S20)</f>
        <v>39520.054142399924</v>
      </c>
      <c r="U21" s="1294">
        <f t="shared" si="2"/>
        <v>5.409031221667536E-2</v>
      </c>
      <c r="W21" s="144">
        <f>SUM(W14:W20)</f>
        <v>28021.79185239994</v>
      </c>
      <c r="Y21" s="1294">
        <f t="shared" si="4"/>
        <v>3.8352869272535832E-2</v>
      </c>
    </row>
    <row r="22" spans="1:25">
      <c r="C22" s="80" t="s">
        <v>1316</v>
      </c>
      <c r="G22" s="68"/>
      <c r="I22" s="1633"/>
      <c r="K22" s="144"/>
      <c r="M22" s="144"/>
      <c r="O22" s="144"/>
      <c r="Q22" s="144"/>
      <c r="S22" s="144"/>
      <c r="W22" s="144"/>
    </row>
    <row r="23" spans="1:25" ht="25.15" customHeight="1">
      <c r="A23" s="76">
        <f>MAX(A$13:A22)+1</f>
        <v>9</v>
      </c>
      <c r="C23" s="1295" t="s">
        <v>1378</v>
      </c>
      <c r="E23" s="1302">
        <v>6</v>
      </c>
      <c r="G23" s="68">
        <f>ROUND(('Blocking-Step1'!D672)/12,0)</f>
        <v>13093</v>
      </c>
      <c r="I23" s="1633">
        <f>SUM(('Blocking-Step1'!D690))/1000</f>
        <v>5591913.9781889282</v>
      </c>
      <c r="K23" s="144">
        <f>('Blocking-Step1'!I690)/1000</f>
        <v>456853.26424620004</v>
      </c>
      <c r="M23" s="144">
        <f>('Blocking-Step1'!Y690)/1000-'Blocking-Step1'!Y258/1000+'Blocking-Step1'!Y238/1000</f>
        <v>458729.53200000001</v>
      </c>
      <c r="O23" s="2019">
        <f>'Blocking-Step1'!Y687/1000-'Blocking-Step1'!Y255/1000+'Blocking-Step1'!Y236/1000</f>
        <v>-5953.6651479000002</v>
      </c>
      <c r="Q23" s="144">
        <f t="shared" ref="Q23:Q29" si="5">M23+O23</f>
        <v>452775.86685210001</v>
      </c>
      <c r="S23" s="144">
        <f t="shared" ref="S23:S29" si="6">M23-K23</f>
        <v>1876.2677537999698</v>
      </c>
      <c r="U23" s="1294">
        <f t="shared" ref="U23:U54" si="7">S23/K23</f>
        <v>4.1069373924596531E-3</v>
      </c>
      <c r="W23" s="144">
        <f t="shared" ref="W23:W29" si="8">Q23-K23</f>
        <v>-4077.3973941000295</v>
      </c>
      <c r="Y23" s="1294">
        <f t="shared" si="4"/>
        <v>-8.9249606234677228E-3</v>
      </c>
    </row>
    <row r="24" spans="1:25">
      <c r="A24" s="76">
        <f>MAX(A$13:A23)+1</f>
        <v>10</v>
      </c>
      <c r="C24" s="1295" t="s">
        <v>1379</v>
      </c>
      <c r="E24" s="1303" t="s">
        <v>959</v>
      </c>
      <c r="G24" s="68">
        <f>ROUND(('Blocking-Step1'!D756)/12,0)</f>
        <v>370</v>
      </c>
      <c r="I24" s="1633">
        <f>SUM(('Blocking-Step1'!D772))/1000</f>
        <v>170252.22349106753</v>
      </c>
      <c r="K24" s="144">
        <f>('Blocking-Step1'!I772)/1000</f>
        <v>14362.809256999999</v>
      </c>
      <c r="M24" s="144">
        <f>('Blocking-Step1'!Y772)/1000-'Blocking-Step1'!Y400/1000+'Blocking-Step1'!Y382/1000</f>
        <v>14285.24</v>
      </c>
      <c r="O24" s="144">
        <f>'Blocking-Step1'!Y770/1000-'Blocking-Step1'!Y398/1000+'Blocking-Step1'!Y380/1000</f>
        <v>-184.92831720000001</v>
      </c>
      <c r="Q24" s="144">
        <f t="shared" si="5"/>
        <v>14100.3116828</v>
      </c>
      <c r="S24" s="144">
        <f t="shared" si="6"/>
        <v>-77.569256999999197</v>
      </c>
      <c r="U24" s="1294">
        <f t="shared" si="7"/>
        <v>-5.4007023007838304E-3</v>
      </c>
      <c r="W24" s="144">
        <f t="shared" si="8"/>
        <v>-262.49757419999878</v>
      </c>
      <c r="Y24" s="1294">
        <f t="shared" si="4"/>
        <v>-1.8276199976133875E-2</v>
      </c>
    </row>
    <row r="25" spans="1:25">
      <c r="A25" s="76">
        <f>MAX(A$13:A24)+1</f>
        <v>11</v>
      </c>
      <c r="C25" s="1295" t="s">
        <v>1380</v>
      </c>
      <c r="E25" s="1303" t="s">
        <v>1215</v>
      </c>
      <c r="G25" s="68">
        <f>ROUND(('Blocking-Step1'!D832)/12,0)</f>
        <v>51</v>
      </c>
      <c r="I25" s="1633">
        <f>SUM(('Blocking-Step1'!D848))/1000</f>
        <v>24159.956617690787</v>
      </c>
      <c r="K25" s="144">
        <f>'Blocking-Step1'!I867/1000</f>
        <v>2419.2654955000003</v>
      </c>
      <c r="M25" s="144">
        <f>'Blocking-Step1'!Y867/1000-'Blocking-Step1'!Y536/1000+'Blocking-Step1'!Y518/1000</f>
        <v>2368.009</v>
      </c>
      <c r="O25" s="144">
        <f>'Blocking-Step1'!Y846/1000-'Blocking-Step1'!Y534/1000+'Blocking-Step1'!Y516/1000</f>
        <v>-30.363130299999998</v>
      </c>
      <c r="Q25" s="144">
        <f t="shared" si="5"/>
        <v>2337.6458696999998</v>
      </c>
      <c r="S25" s="144">
        <f t="shared" si="6"/>
        <v>-51.256495500000256</v>
      </c>
      <c r="U25" s="1294">
        <f t="shared" si="7"/>
        <v>-2.1186800537328729E-2</v>
      </c>
      <c r="W25" s="144">
        <f t="shared" si="8"/>
        <v>-81.619625800000449</v>
      </c>
      <c r="Y25" s="1294">
        <f t="shared" si="4"/>
        <v>-3.3737357868253215E-2</v>
      </c>
    </row>
    <row r="26" spans="1:25">
      <c r="A26" s="76">
        <f>MAX(A$13:A25)+1</f>
        <v>12</v>
      </c>
      <c r="C26" s="1295" t="s">
        <v>1381</v>
      </c>
      <c r="E26" s="1296" t="s">
        <v>221</v>
      </c>
      <c r="G26" s="68">
        <f>ROUND(('Blocking-Step1'!D969)/12,0)</f>
        <v>2656</v>
      </c>
      <c r="I26" s="1633">
        <f>SUM('Blocking-Step1'!D982)/1000</f>
        <v>380584.00412463915</v>
      </c>
      <c r="K26" s="144">
        <f>('Blocking-Step1'!I982)/1000</f>
        <v>43040.434740099998</v>
      </c>
      <c r="M26" s="144">
        <f>('Blocking-Step1'!Y982)/1000</f>
        <v>44191.97</v>
      </c>
      <c r="O26" s="144">
        <f>'Blocking-Step1'!Y979/1000</f>
        <v>-602.50394489999985</v>
      </c>
      <c r="Q26" s="144">
        <f t="shared" si="5"/>
        <v>43589.466055099998</v>
      </c>
      <c r="S26" s="144">
        <f t="shared" si="6"/>
        <v>1151.5352599000034</v>
      </c>
      <c r="U26" s="1294">
        <f t="shared" si="7"/>
        <v>2.6754731146503469E-2</v>
      </c>
      <c r="W26" s="144">
        <f t="shared" si="8"/>
        <v>549.03131500000018</v>
      </c>
      <c r="Y26" s="1294">
        <f t="shared" si="4"/>
        <v>1.275617493910854E-2</v>
      </c>
    </row>
    <row r="27" spans="1:25">
      <c r="A27" s="76">
        <f>MAX(A$13:A26)+1</f>
        <v>13</v>
      </c>
      <c r="C27" s="1295" t="s">
        <v>1382</v>
      </c>
      <c r="E27" s="1297" t="s">
        <v>963</v>
      </c>
      <c r="G27" s="68">
        <f>ROUND(('Blocking-Step1'!D1065)/12,0)</f>
        <v>150</v>
      </c>
      <c r="I27" s="1633">
        <f>SUM('Blocking-Step1'!D1076)/1000</f>
        <v>23433.646101169732</v>
      </c>
      <c r="K27" s="144">
        <f>('Blocking-Step1'!I1076)/1000</f>
        <v>3129.5990194999999</v>
      </c>
      <c r="M27" s="144">
        <f>('Blocking-Step1'!Y1076)/1000</f>
        <v>2747.5</v>
      </c>
      <c r="O27" s="144">
        <f>'Blocking-Step1'!Y1074/1000</f>
        <v>-35.024861299999998</v>
      </c>
      <c r="Q27" s="144">
        <f t="shared" si="5"/>
        <v>2712.4751387000001</v>
      </c>
      <c r="S27" s="144">
        <f t="shared" si="6"/>
        <v>-382.09901949999994</v>
      </c>
      <c r="U27" s="1294">
        <f t="shared" si="7"/>
        <v>-0.12209200511605667</v>
      </c>
      <c r="W27" s="144">
        <f t="shared" si="8"/>
        <v>-417.12388079999982</v>
      </c>
      <c r="Y27" s="1294">
        <f t="shared" si="4"/>
        <v>-0.13328349037719267</v>
      </c>
    </row>
    <row r="28" spans="1:25">
      <c r="A28" s="76">
        <f>MAX(A$13:A27)+1</f>
        <v>14</v>
      </c>
      <c r="C28" s="1295" t="s">
        <v>1631</v>
      </c>
      <c r="E28" s="1297" t="s">
        <v>1554</v>
      </c>
      <c r="G28" s="68">
        <f>ROUND(('Blocking-Step1'!D1153)/12,0)</f>
        <v>0</v>
      </c>
      <c r="I28" s="1633">
        <f>SUM('Blocking-Step1'!D1164)/1000</f>
        <v>0</v>
      </c>
      <c r="K28" s="144">
        <f>('Blocking-Step1'!I1164)/1000</f>
        <v>0</v>
      </c>
      <c r="M28" s="144">
        <f>('Blocking-Step1'!Y1164)/1000</f>
        <v>0</v>
      </c>
      <c r="O28" s="144">
        <f>'Blocking-Step1'!Y1162/1000</f>
        <v>0</v>
      </c>
      <c r="Q28" s="144">
        <f t="shared" si="5"/>
        <v>0</v>
      </c>
      <c r="S28" s="144">
        <f t="shared" si="6"/>
        <v>0</v>
      </c>
      <c r="U28" s="1294">
        <v>0</v>
      </c>
      <c r="W28" s="144">
        <f t="shared" si="8"/>
        <v>0</v>
      </c>
      <c r="Y28" s="1294">
        <v>0</v>
      </c>
    </row>
    <row r="29" spans="1:25">
      <c r="A29" s="76">
        <f>MAX(A$13:A28)+1</f>
        <v>15</v>
      </c>
      <c r="C29" s="1295" t="s">
        <v>1383</v>
      </c>
      <c r="E29" s="1296" t="s">
        <v>223</v>
      </c>
      <c r="G29" s="71">
        <f>ROUND('Blocking-Step1'!D889/12,0)</f>
        <v>16</v>
      </c>
      <c r="I29" s="1676">
        <f>'Blocking-Step1'!D904/1000</f>
        <v>3380.6909999999998</v>
      </c>
      <c r="K29" s="145">
        <f>'Blocking-Step1'!I904/1000</f>
        <v>331.16066489999997</v>
      </c>
      <c r="M29" s="145">
        <f>'Blocking-Step1'!Y904/1000-'Blocking-Step1'!Y569/1000+'Blocking-Step1'!Y552/1000</f>
        <v>309.75400000000002</v>
      </c>
      <c r="O29" s="145">
        <f>'Blocking-Step1'!Y902/1000-'Blocking-Step1'!Y567/1000+'Blocking-Step1'!Y550/1000</f>
        <v>-3.8116152000000003</v>
      </c>
      <c r="Q29" s="145">
        <f t="shared" si="5"/>
        <v>305.94238480000001</v>
      </c>
      <c r="S29" s="145">
        <f t="shared" si="6"/>
        <v>-21.406664899999953</v>
      </c>
      <c r="U29" s="1300">
        <f t="shared" si="7"/>
        <v>-6.4641327213375677E-2</v>
      </c>
      <c r="W29" s="145">
        <f t="shared" si="8"/>
        <v>-25.218280099999959</v>
      </c>
      <c r="Y29" s="1300">
        <f t="shared" si="4"/>
        <v>-7.6151194187314128E-2</v>
      </c>
    </row>
    <row r="30" spans="1:25">
      <c r="A30" s="1038">
        <f>MAX(A$13:A29)+1</f>
        <v>16</v>
      </c>
      <c r="B30" s="1038"/>
      <c r="C30" s="1038" t="s">
        <v>224</v>
      </c>
      <c r="D30" s="1038"/>
      <c r="E30" s="1038"/>
      <c r="F30" s="1038"/>
      <c r="G30" s="1036">
        <f>SUM(G23:G29)</f>
        <v>16336</v>
      </c>
      <c r="H30" s="1038"/>
      <c r="I30" s="1677">
        <f>SUM(I23:I29)</f>
        <v>6193724.4995234944</v>
      </c>
      <c r="J30" s="1038"/>
      <c r="K30" s="1037">
        <f>SUM(K23:K29)</f>
        <v>520136.53342320002</v>
      </c>
      <c r="L30" s="1658"/>
      <c r="M30" s="1037">
        <f>SUM(M23:M29)</f>
        <v>522632.00500000006</v>
      </c>
      <c r="N30" s="1658"/>
      <c r="O30" s="1037">
        <f>SUM(O23:O29)</f>
        <v>-6810.2970168000002</v>
      </c>
      <c r="P30" s="1658"/>
      <c r="Q30" s="1037">
        <f>SUM(Q23:Q29)</f>
        <v>515821.70798320003</v>
      </c>
      <c r="R30" s="1658"/>
      <c r="S30" s="1037">
        <f>SUM(S23:S29)</f>
        <v>2495.4715767999737</v>
      </c>
      <c r="T30" s="1038"/>
      <c r="U30" s="1304">
        <f t="shared" si="7"/>
        <v>4.7977240905890698E-3</v>
      </c>
      <c r="V30" s="1038"/>
      <c r="W30" s="1037">
        <f>SUM(W23:W29)</f>
        <v>-4314.8254400000278</v>
      </c>
      <c r="X30" s="1038"/>
      <c r="Y30" s="1304">
        <f t="shared" si="4"/>
        <v>-8.2955631122518074E-3</v>
      </c>
    </row>
    <row r="31" spans="1:25" s="1038" customFormat="1">
      <c r="A31" s="76">
        <f>MAX(A$13:A30)+1</f>
        <v>17</v>
      </c>
      <c r="B31" s="76"/>
      <c r="C31" s="1295" t="s">
        <v>1384</v>
      </c>
      <c r="D31" s="76"/>
      <c r="E31" s="76">
        <v>8</v>
      </c>
      <c r="F31" s="68"/>
      <c r="G31" s="68">
        <f>ROUND(('Blocking-Step1'!D1377)/12,0)</f>
        <v>235</v>
      </c>
      <c r="H31" s="68"/>
      <c r="I31" s="1633">
        <f>('Blocking-Step1'!D1394)/1000</f>
        <v>1957477.8220535652</v>
      </c>
      <c r="J31" s="68"/>
      <c r="K31" s="144">
        <f>('Blocking-Step1'!I1394)/1000</f>
        <v>141786.70277540002</v>
      </c>
      <c r="L31" s="1659"/>
      <c r="M31" s="144">
        <f>('Blocking-Step1'!Y1394)/1000</f>
        <v>142436.14000000001</v>
      </c>
      <c r="N31" s="1659"/>
      <c r="O31" s="144">
        <f>'Blocking-Step1'!Y1392/1000</f>
        <v>-1811.2151326000001</v>
      </c>
      <c r="P31" s="1659"/>
      <c r="Q31" s="144">
        <f t="shared" ref="Q31:Q33" si="9">M31+O31</f>
        <v>140624.92486740003</v>
      </c>
      <c r="R31" s="1659"/>
      <c r="S31" s="144">
        <f t="shared" ref="S31:S36" si="10">M31-K31</f>
        <v>649.43722459999844</v>
      </c>
      <c r="T31" s="76"/>
      <c r="U31" s="1294">
        <f t="shared" si="7"/>
        <v>4.5803817416415421E-3</v>
      </c>
      <c r="V31" s="68"/>
      <c r="W31" s="144">
        <f t="shared" ref="W31:W33" si="11">Q31-K31</f>
        <v>-1161.7779079999891</v>
      </c>
      <c r="X31" s="76"/>
      <c r="Y31" s="1294">
        <f t="shared" si="4"/>
        <v>-8.1938424778826117E-3</v>
      </c>
    </row>
    <row r="32" spans="1:25">
      <c r="A32" s="76">
        <f>MAX(A$13:A31)+1</f>
        <v>18</v>
      </c>
      <c r="C32" s="1295" t="s">
        <v>1385</v>
      </c>
      <c r="E32" s="1296" t="s">
        <v>964</v>
      </c>
      <c r="F32" s="68"/>
      <c r="G32" s="68">
        <f>ROUND(('Blocking-Step1'!D1439)/12,0)</f>
        <v>14</v>
      </c>
      <c r="H32" s="68"/>
      <c r="I32" s="1633">
        <f>('Blocking-Step1'!D1456)/1000</f>
        <v>63225.622196969678</v>
      </c>
      <c r="J32" s="68"/>
      <c r="K32" s="144">
        <f>('Blocking-Step1'!I1456)/1000</f>
        <v>4770.2606975999997</v>
      </c>
      <c r="L32" s="1659"/>
      <c r="M32" s="144">
        <f>('Blocking-Step1'!Y1456)/1000</f>
        <v>4810.0129999999999</v>
      </c>
      <c r="N32" s="1659"/>
      <c r="O32" s="144">
        <f>'Blocking-Step1'!Y1454/1000</f>
        <v>-61.000245399999997</v>
      </c>
      <c r="P32" s="1659"/>
      <c r="Q32" s="144">
        <f t="shared" si="9"/>
        <v>4749.0127546000003</v>
      </c>
      <c r="R32" s="1659"/>
      <c r="S32" s="144">
        <f t="shared" si="10"/>
        <v>39.75230240000019</v>
      </c>
      <c r="U32" s="1294">
        <f t="shared" si="7"/>
        <v>8.3333605687421347E-3</v>
      </c>
      <c r="V32" s="68"/>
      <c r="W32" s="144">
        <f t="shared" si="11"/>
        <v>-21.247942999999395</v>
      </c>
      <c r="Y32" s="1294">
        <f t="shared" si="4"/>
        <v>-4.4542519470035678E-3</v>
      </c>
    </row>
    <row r="33" spans="1:25">
      <c r="A33" s="76">
        <f>MAX(A$13:A32)+1</f>
        <v>19</v>
      </c>
      <c r="C33" s="1295" t="s">
        <v>1385</v>
      </c>
      <c r="E33" s="1297" t="s">
        <v>1216</v>
      </c>
      <c r="F33" s="68"/>
      <c r="G33" s="68">
        <f>ROUND(('Blocking-Step1'!D1459)/12,0)</f>
        <v>0</v>
      </c>
      <c r="H33" s="68"/>
      <c r="I33" s="1676">
        <f>('Blocking-Step1'!D1476)/1000</f>
        <v>0</v>
      </c>
      <c r="K33" s="145">
        <f>('Blocking-Step1'!I1476)/1000</f>
        <v>0</v>
      </c>
      <c r="M33" s="145">
        <f>('Blocking-Step1'!Y1476)/1000</f>
        <v>0</v>
      </c>
      <c r="O33" s="145">
        <f>'Blocking-Step1'!Y1474/1000</f>
        <v>0</v>
      </c>
      <c r="Q33" s="145">
        <f t="shared" si="9"/>
        <v>0</v>
      </c>
      <c r="S33" s="145">
        <f t="shared" si="10"/>
        <v>0</v>
      </c>
      <c r="U33" s="1300">
        <v>0</v>
      </c>
      <c r="W33" s="145">
        <f t="shared" si="11"/>
        <v>0</v>
      </c>
      <c r="Y33" s="1300">
        <v>0</v>
      </c>
    </row>
    <row r="34" spans="1:25">
      <c r="A34" s="76">
        <f>MAX(A$13:A33)+1</f>
        <v>20</v>
      </c>
      <c r="C34" s="1038" t="s">
        <v>1372</v>
      </c>
      <c r="D34" s="1038"/>
      <c r="E34" s="1038"/>
      <c r="F34" s="1038"/>
      <c r="G34" s="1036">
        <f>SUM(G31:G33)</f>
        <v>249</v>
      </c>
      <c r="H34" s="1038"/>
      <c r="I34" s="1677">
        <f>SUM(I31:I33)</f>
        <v>2020703.4442505348</v>
      </c>
      <c r="J34" s="1038"/>
      <c r="K34" s="1037">
        <f>SUM(K31:K33)</f>
        <v>146556.96347300001</v>
      </c>
      <c r="L34" s="1658"/>
      <c r="M34" s="1037">
        <f>SUM(M31:M33)</f>
        <v>147246.15300000002</v>
      </c>
      <c r="N34" s="1658"/>
      <c r="O34" s="1037">
        <f>SUM(O31:O33)</f>
        <v>-1872.2153780000001</v>
      </c>
      <c r="P34" s="1658"/>
      <c r="Q34" s="1037">
        <f>SUM(Q31:Q33)</f>
        <v>145373.93762200003</v>
      </c>
      <c r="R34" s="1658"/>
      <c r="S34" s="1037">
        <f>SUM(S31:S33)</f>
        <v>689.18952699999863</v>
      </c>
      <c r="T34" s="1038"/>
      <c r="U34" s="1304">
        <f t="shared" si="7"/>
        <v>4.7025368885113879E-3</v>
      </c>
      <c r="V34" s="1038"/>
      <c r="W34" s="1037">
        <f>SUM(W31:W33)</f>
        <v>-1183.0258509999885</v>
      </c>
      <c r="X34" s="1038"/>
      <c r="Y34" s="1304">
        <f t="shared" si="4"/>
        <v>-8.0721231046652769E-3</v>
      </c>
    </row>
    <row r="35" spans="1:25" ht="22.15" customHeight="1">
      <c r="A35" s="76">
        <f>MAX(A$13:A34)+1</f>
        <v>21</v>
      </c>
      <c r="C35" s="1295" t="s">
        <v>1386</v>
      </c>
      <c r="E35" s="76">
        <v>9</v>
      </c>
      <c r="G35" s="68">
        <f>ROUND('Blocking-Step1'!D1479/12,0)</f>
        <v>156</v>
      </c>
      <c r="I35" s="1633">
        <f>('Blocking-Step1'!D1495)/1000</f>
        <v>4847331.9543051273</v>
      </c>
      <c r="K35" s="144">
        <f>('Blocking-Step1'!I1495)/1000</f>
        <v>265709.5999731</v>
      </c>
      <c r="M35" s="144">
        <f>('Blocking-Step1'!Y1495)/1000</f>
        <v>272275.58199999999</v>
      </c>
      <c r="O35" s="144">
        <f>'Blocking-Step1'!Y1493/1000</f>
        <v>-3550.6652429999999</v>
      </c>
      <c r="Q35" s="144">
        <f t="shared" ref="Q35:Q36" si="12">M35+O35</f>
        <v>268724.91675699997</v>
      </c>
      <c r="S35" s="144">
        <f t="shared" si="10"/>
        <v>6565.9820268999902</v>
      </c>
      <c r="U35" s="1294">
        <f t="shared" si="7"/>
        <v>2.4711120815976234E-2</v>
      </c>
      <c r="W35" s="144">
        <f t="shared" ref="W35:W36" si="13">Q35-K35</f>
        <v>3015.3167838999652</v>
      </c>
      <c r="Y35" s="1294">
        <f t="shared" si="4"/>
        <v>1.1348166510375353E-2</v>
      </c>
    </row>
    <row r="36" spans="1:25" ht="22.15" customHeight="1">
      <c r="A36" s="76">
        <f>MAX(A$13:A35)+1</f>
        <v>22</v>
      </c>
      <c r="C36" s="1295" t="s">
        <v>1395</v>
      </c>
      <c r="E36" s="1296" t="s">
        <v>225</v>
      </c>
      <c r="G36" s="71">
        <f>ROUND('Blocking-Step1'!D1538/12,0)</f>
        <v>9</v>
      </c>
      <c r="I36" s="1676">
        <f>'Blocking-Step1'!D1557/1000</f>
        <v>41940.288</v>
      </c>
      <c r="K36" s="145">
        <f>'Blocking-Step1'!I1557/1000</f>
        <v>3195.848559</v>
      </c>
      <c r="M36" s="145">
        <f>'Blocking-Step1'!Y1557/1000</f>
        <v>2986.2220000000002</v>
      </c>
      <c r="O36" s="145">
        <f>'Blocking-Step1'!Y1555/1000</f>
        <v>-33.921709499999999</v>
      </c>
      <c r="Q36" s="145">
        <f t="shared" si="12"/>
        <v>2952.3002905000003</v>
      </c>
      <c r="S36" s="145">
        <f t="shared" si="10"/>
        <v>-209.62655899999982</v>
      </c>
      <c r="U36" s="1300">
        <f t="shared" si="7"/>
        <v>-6.5593395660022522E-2</v>
      </c>
      <c r="W36" s="145">
        <f t="shared" si="13"/>
        <v>-243.54826849999972</v>
      </c>
      <c r="Y36" s="1300">
        <f t="shared" si="4"/>
        <v>-7.6207700084577043E-2</v>
      </c>
    </row>
    <row r="37" spans="1:25">
      <c r="A37" s="76">
        <f>MAX(A$13:A36)+1</f>
        <v>23</v>
      </c>
      <c r="C37" s="1038" t="s">
        <v>226</v>
      </c>
      <c r="D37" s="1038"/>
      <c r="E37" s="1038"/>
      <c r="F37" s="1038"/>
      <c r="G37" s="1036">
        <f>SUM(G35:G36)</f>
        <v>165</v>
      </c>
      <c r="H37" s="1038"/>
      <c r="I37" s="1677">
        <f>SUM(I35:I36)</f>
        <v>4889272.242305127</v>
      </c>
      <c r="J37" s="1038"/>
      <c r="K37" s="1037">
        <f>SUM(K35:K36)</f>
        <v>268905.44853210001</v>
      </c>
      <c r="L37" s="1658"/>
      <c r="M37" s="1037">
        <f>SUM(M35:M36)</f>
        <v>275261.804</v>
      </c>
      <c r="N37" s="1658"/>
      <c r="O37" s="1037">
        <f>SUM(O35:O36)</f>
        <v>-3584.5869524999998</v>
      </c>
      <c r="P37" s="1658"/>
      <c r="Q37" s="1037">
        <f>SUM(Q35:Q36)</f>
        <v>271677.21704749996</v>
      </c>
      <c r="R37" s="1658"/>
      <c r="S37" s="1037">
        <f>SUM(S35:S36)</f>
        <v>6356.3554678999899</v>
      </c>
      <c r="T37" s="1038"/>
      <c r="U37" s="1304">
        <f t="shared" si="7"/>
        <v>2.3637882767337137E-2</v>
      </c>
      <c r="V37" s="1038"/>
      <c r="W37" s="1037">
        <f>SUM(W35:W36)</f>
        <v>2771.7685153999655</v>
      </c>
      <c r="X37" s="1038"/>
      <c r="Y37" s="1304">
        <f t="shared" si="4"/>
        <v>1.0307595218060789E-2</v>
      </c>
    </row>
    <row r="38" spans="1:25">
      <c r="A38" s="76">
        <f>MAX(A$13:A37)+1</f>
        <v>24</v>
      </c>
      <c r="C38" s="76" t="s">
        <v>227</v>
      </c>
      <c r="E38" s="1296">
        <v>10</v>
      </c>
      <c r="G38" s="68">
        <f>'Blocking-Step1'!D1604+'Blocking-Step1'!D1605</f>
        <v>3283</v>
      </c>
      <c r="I38" s="1633">
        <f>('Blocking-Step1'!D1619)/1000</f>
        <v>196833.65599999999</v>
      </c>
      <c r="K38" s="144">
        <f>('Blocking-Step1'!I1619)/1000</f>
        <v>15038.1552961</v>
      </c>
      <c r="M38" s="144">
        <f>('Blocking-Step1'!Y1619)/1000</f>
        <v>15413.623</v>
      </c>
      <c r="O38" s="144">
        <f>'Blocking-Step1'!Y1617/1000</f>
        <v>-223.42024030000002</v>
      </c>
      <c r="Q38" s="144">
        <f t="shared" ref="Q38:Q40" si="14">M38+O38</f>
        <v>15190.2027597</v>
      </c>
      <c r="S38" s="144">
        <f t="shared" ref="S38:S40" si="15">M38-K38</f>
        <v>375.46770389999983</v>
      </c>
      <c r="U38" s="1294">
        <f t="shared" si="7"/>
        <v>2.4967670336359257E-2</v>
      </c>
      <c r="W38" s="144">
        <f t="shared" ref="W38:W40" si="16">Q38-K38</f>
        <v>152.0474635999999</v>
      </c>
      <c r="Y38" s="1294">
        <f t="shared" si="4"/>
        <v>1.0110778922427536E-2</v>
      </c>
    </row>
    <row r="39" spans="1:25">
      <c r="A39" s="76">
        <f>MAX(A$13:A38)+1</f>
        <v>25</v>
      </c>
      <c r="C39" s="1295" t="s">
        <v>1387</v>
      </c>
      <c r="E39" s="1297" t="s">
        <v>966</v>
      </c>
      <c r="G39" s="68">
        <f>'Blocking-Step1'!D1622+'Blocking-Step1'!D1623</f>
        <v>56</v>
      </c>
      <c r="I39" s="1633">
        <f>('Blocking-Step1'!D1639)/1000</f>
        <v>9300.4295822001495</v>
      </c>
      <c r="K39" s="144">
        <f>('Blocking-Step1'!I1639)/1000</f>
        <v>738.71952069999998</v>
      </c>
      <c r="M39" s="144">
        <f>('Blocking-Step1'!Y1639)/1000</f>
        <v>755.80600000000004</v>
      </c>
      <c r="O39" s="144">
        <f>'Blocking-Step1'!Y1637/1000</f>
        <v>-11.1699638</v>
      </c>
      <c r="Q39" s="144">
        <f t="shared" si="14"/>
        <v>744.63603620000004</v>
      </c>
      <c r="S39" s="144">
        <f t="shared" si="15"/>
        <v>17.086479300000065</v>
      </c>
      <c r="U39" s="1294">
        <f t="shared" si="7"/>
        <v>2.3129860280136041E-2</v>
      </c>
      <c r="W39" s="144">
        <f t="shared" si="16"/>
        <v>5.9165155000000595</v>
      </c>
      <c r="Y39" s="1294">
        <f t="shared" si="4"/>
        <v>8.0091500687482237E-3</v>
      </c>
    </row>
    <row r="40" spans="1:25">
      <c r="A40" s="76">
        <f>MAX(A$13:A39)+1</f>
        <v>26</v>
      </c>
      <c r="C40" s="1295" t="s">
        <v>1388</v>
      </c>
      <c r="E40" s="1296" t="s">
        <v>228</v>
      </c>
      <c r="G40" s="71">
        <f>'Blocking-Step1'!D1642+'Blocking-Step1'!D1643</f>
        <v>269</v>
      </c>
      <c r="I40" s="1676">
        <f>'Blocking-Step1'!D1657/1000</f>
        <v>24258.38713714117</v>
      </c>
      <c r="K40" s="145">
        <f>('Blocking-Step1'!I1657)/1000</f>
        <v>1922.6796366999999</v>
      </c>
      <c r="M40" s="145">
        <f>('Blocking-Step1'!Y1657)/1000</f>
        <v>1963.018</v>
      </c>
      <c r="O40" s="145">
        <f>'Blocking-Step1'!Y1655/1000</f>
        <v>-28.9182478</v>
      </c>
      <c r="Q40" s="145">
        <f t="shared" si="14"/>
        <v>1934.0997522</v>
      </c>
      <c r="S40" s="145">
        <f t="shared" si="15"/>
        <v>40.338363300000083</v>
      </c>
      <c r="U40" s="1300">
        <f t="shared" si="7"/>
        <v>2.0980283209965762E-2</v>
      </c>
      <c r="W40" s="145">
        <f t="shared" si="16"/>
        <v>11.420115500000065</v>
      </c>
      <c r="Y40" s="1300">
        <f t="shared" si="4"/>
        <v>5.9396871335263288E-3</v>
      </c>
    </row>
    <row r="41" spans="1:25">
      <c r="A41" s="76">
        <f>MAX(A$13:A40)+1</f>
        <v>27</v>
      </c>
      <c r="C41" s="1038" t="s">
        <v>229</v>
      </c>
      <c r="D41" s="1038"/>
      <c r="E41" s="1038"/>
      <c r="F41" s="1038"/>
      <c r="G41" s="1036">
        <f>SUM(G38:G40)</f>
        <v>3608</v>
      </c>
      <c r="H41" s="1038"/>
      <c r="I41" s="1677">
        <f>SUM(I38:I40)</f>
        <v>230392.47271934131</v>
      </c>
      <c r="J41" s="1038"/>
      <c r="K41" s="1037">
        <f>SUM(K38:K40)</f>
        <v>17699.554453500001</v>
      </c>
      <c r="L41" s="1658"/>
      <c r="M41" s="1037">
        <f>SUM(M38:M40)</f>
        <v>18132.447</v>
      </c>
      <c r="N41" s="1658"/>
      <c r="O41" s="1037">
        <f>SUM(O38:O40)</f>
        <v>-263.50845190000001</v>
      </c>
      <c r="P41" s="1658"/>
      <c r="Q41" s="1037">
        <f>SUM(Q38:Q40)</f>
        <v>17868.938548099999</v>
      </c>
      <c r="R41" s="1658"/>
      <c r="S41" s="1037">
        <f>SUM(S38:S40)</f>
        <v>432.89254649999998</v>
      </c>
      <c r="T41" s="1038"/>
      <c r="U41" s="1304">
        <f t="shared" si="7"/>
        <v>2.4457821672138058E-2</v>
      </c>
      <c r="V41" s="1038"/>
      <c r="W41" s="1037">
        <f>SUM(W38:W40)</f>
        <v>169.38409460000003</v>
      </c>
      <c r="X41" s="1038"/>
      <c r="Y41" s="1304">
        <f t="shared" si="4"/>
        <v>9.5699637550201236E-3</v>
      </c>
    </row>
    <row r="42" spans="1:25">
      <c r="A42" s="76">
        <f>MAX(A$13:A41)+1</f>
        <v>28</v>
      </c>
      <c r="C42" s="76" t="s">
        <v>230</v>
      </c>
      <c r="E42" s="76">
        <v>21</v>
      </c>
      <c r="G42" s="68">
        <f>ROUND(('Blocking-Step1'!D1919+'Blocking-Step1'!D1927)/12,0)</f>
        <v>3</v>
      </c>
      <c r="I42" s="1633">
        <f>'Blocking-Step1'!D1935/1000</f>
        <v>1837.1120000000001</v>
      </c>
      <c r="K42" s="144">
        <f>('Blocking-Step1'!I1935)/1000</f>
        <v>233.11476199999998</v>
      </c>
      <c r="M42" s="144">
        <f>('Blocking-Step1'!Y1935)/1000</f>
        <v>503.18799999999999</v>
      </c>
      <c r="O42" s="144">
        <f>('Blocking-Step1'!Y1897+'Blocking-Step1'!Y1915)/1000</f>
        <v>-6.2528878000000008</v>
      </c>
      <c r="Q42" s="144">
        <f t="shared" ref="Q42:Q45" si="17">M42+O42</f>
        <v>496.93511219999999</v>
      </c>
      <c r="S42" s="144">
        <f t="shared" ref="S42:S53" si="18">M42-K42</f>
        <v>270.073238</v>
      </c>
      <c r="U42" s="1294">
        <f t="shared" si="7"/>
        <v>1.158541980280082</v>
      </c>
      <c r="W42" s="144">
        <f t="shared" ref="W42:W45" si="19">Q42-K42</f>
        <v>263.82035020000001</v>
      </c>
      <c r="Y42" s="1294">
        <f t="shared" si="4"/>
        <v>1.1317187634818253</v>
      </c>
    </row>
    <row r="43" spans="1:25" ht="22.15" customHeight="1">
      <c r="A43" s="76">
        <f>MAX(A$13:A42)+1</f>
        <v>29</v>
      </c>
      <c r="C43" s="1295" t="s">
        <v>1389</v>
      </c>
      <c r="E43" s="1302">
        <v>23</v>
      </c>
      <c r="G43" s="68">
        <f>ROUND(('Blocking-Step1'!D1977)/12,0)</f>
        <v>94539</v>
      </c>
      <c r="I43" s="1633">
        <f>SUM('Blocking-Step1'!D1998)/1000</f>
        <v>1388518.6134146857</v>
      </c>
      <c r="K43" s="144">
        <f>('Blocking-Step1'!I1998)/1000</f>
        <v>136341.24374090001</v>
      </c>
      <c r="M43" s="144">
        <f>('Blocking-Step1'!Y1998)/1000</f>
        <v>136349.897</v>
      </c>
      <c r="O43" s="144">
        <f>'Blocking-Step1'!Y1995/1000</f>
        <v>-1737.6380408999999</v>
      </c>
      <c r="Q43" s="144">
        <f t="shared" si="17"/>
        <v>134612.2589591</v>
      </c>
      <c r="S43" s="144">
        <f t="shared" si="18"/>
        <v>8.6532590999850072</v>
      </c>
      <c r="U43" s="1294">
        <f t="shared" si="7"/>
        <v>6.3467655586518456E-5</v>
      </c>
      <c r="W43" s="144">
        <f t="shared" si="19"/>
        <v>-1728.9847818000126</v>
      </c>
      <c r="Y43" s="1294">
        <f t="shared" si="4"/>
        <v>-1.2681304162706176E-2</v>
      </c>
    </row>
    <row r="44" spans="1:25">
      <c r="A44" s="76">
        <f>MAX(A$13:A43)+1</f>
        <v>30</v>
      </c>
      <c r="C44" s="1295" t="s">
        <v>1390</v>
      </c>
      <c r="E44" s="1303" t="s">
        <v>960</v>
      </c>
      <c r="G44" s="68">
        <f>ROUND(('Blocking-Step1'!D2073)/12,0)</f>
        <v>1562</v>
      </c>
      <c r="I44" s="1633">
        <f>SUM('Blocking-Step1'!D2092)/1000</f>
        <v>14403.533942076338</v>
      </c>
      <c r="K44" s="144">
        <f>('Blocking-Step1'!I2092)/1000</f>
        <v>1548.7243636000001</v>
      </c>
      <c r="M44" s="144">
        <f>('Blocking-Step1'!Y2092)/1000</f>
        <v>1546.86</v>
      </c>
      <c r="O44" s="144">
        <f>'Blocking-Step1'!Y2090/1000</f>
        <v>-18.895381999999998</v>
      </c>
      <c r="Q44" s="144">
        <f t="shared" si="17"/>
        <v>1527.964618</v>
      </c>
      <c r="S44" s="144">
        <f t="shared" si="18"/>
        <v>-1.8643636000001607</v>
      </c>
      <c r="U44" s="1294">
        <f t="shared" si="7"/>
        <v>-1.2038059475389534E-3</v>
      </c>
      <c r="W44" s="144">
        <f t="shared" si="19"/>
        <v>-20.759745600000088</v>
      </c>
      <c r="Y44" s="1294">
        <f t="shared" si="4"/>
        <v>-1.3404415974798892E-2</v>
      </c>
    </row>
    <row r="45" spans="1:25">
      <c r="A45" s="76">
        <f>MAX(A$13:A44)+1</f>
        <v>31</v>
      </c>
      <c r="C45" s="1295" t="s">
        <v>1391</v>
      </c>
      <c r="E45" s="1296" t="s">
        <v>1214</v>
      </c>
      <c r="G45" s="68">
        <f>ROUND(('Blocking-Step1'!D2161)/12,0)</f>
        <v>129</v>
      </c>
      <c r="I45" s="1676">
        <f>SUM('Blocking-Step1'!D2181)/1000</f>
        <v>1529.7111142578219</v>
      </c>
      <c r="K45" s="145">
        <f>('Blocking-Step1'!I2181)/1000</f>
        <v>152.1553978</v>
      </c>
      <c r="M45" s="145">
        <f>('Blocking-Step1'!Y2181)/1000</f>
        <v>151.995</v>
      </c>
      <c r="O45" s="145">
        <f>'Blocking-Step1'!Y2179/1000</f>
        <v>-1.8869110999999998</v>
      </c>
      <c r="Q45" s="145">
        <f t="shared" si="17"/>
        <v>150.10808890000001</v>
      </c>
      <c r="S45" s="145">
        <f t="shared" si="18"/>
        <v>-0.16039779999999837</v>
      </c>
      <c r="U45" s="1300">
        <f t="shared" si="7"/>
        <v>-1.0541709483802379E-3</v>
      </c>
      <c r="W45" s="145">
        <f t="shared" si="19"/>
        <v>-2.0473088999999902</v>
      </c>
      <c r="Y45" s="1300">
        <f t="shared" si="4"/>
        <v>-1.3455381337775912E-2</v>
      </c>
    </row>
    <row r="46" spans="1:25">
      <c r="A46" s="76">
        <f>MAX(A$13:A45)+1</f>
        <v>32</v>
      </c>
      <c r="C46" s="1038" t="s">
        <v>1373</v>
      </c>
      <c r="D46" s="1038"/>
      <c r="E46" s="1038"/>
      <c r="F46" s="1038"/>
      <c r="G46" s="1036">
        <f>SUM(G43:G45)</f>
        <v>96230</v>
      </c>
      <c r="H46" s="1038"/>
      <c r="I46" s="1677">
        <f>SUM(I43:I45)</f>
        <v>1404451.8584710199</v>
      </c>
      <c r="J46" s="1038"/>
      <c r="K46" s="1037">
        <f>SUM(K43:K45)</f>
        <v>138042.1235023</v>
      </c>
      <c r="L46" s="1658"/>
      <c r="M46" s="1037">
        <f>SUM(M43:M45)</f>
        <v>138048.75199999998</v>
      </c>
      <c r="N46" s="1658"/>
      <c r="O46" s="1037">
        <f>SUM(O43:O45)</f>
        <v>-1758.4203339999997</v>
      </c>
      <c r="P46" s="1658"/>
      <c r="Q46" s="1037">
        <f>SUM(Q43:Q45)</f>
        <v>136290.33166599998</v>
      </c>
      <c r="R46" s="1658"/>
      <c r="S46" s="1037">
        <f>SUM(S43:S45)</f>
        <v>6.6284976999848482</v>
      </c>
      <c r="T46" s="1038"/>
      <c r="U46" s="1304">
        <f t="shared" si="7"/>
        <v>4.8017934901402806E-5</v>
      </c>
      <c r="V46" s="1038"/>
      <c r="W46" s="1037">
        <f>SUM(W43:W45)</f>
        <v>-1751.7918363000126</v>
      </c>
      <c r="X46" s="1038"/>
      <c r="Y46" s="1304">
        <f t="shared" si="4"/>
        <v>-1.2690270128094813E-2</v>
      </c>
    </row>
    <row r="47" spans="1:25">
      <c r="A47" s="76">
        <f>MAX(A$13:A46)+1</f>
        <v>33</v>
      </c>
      <c r="C47" s="76" t="s">
        <v>1392</v>
      </c>
      <c r="E47" s="76">
        <v>31</v>
      </c>
      <c r="G47" s="68">
        <f>ROUND(('Blocking-Step1'!D2231+'Blocking-Step1'!D2253+'Blocking-Step1'!D2275)/12,0)</f>
        <v>7</v>
      </c>
      <c r="I47" s="1633">
        <f>'Blocking-Step1'!D2331/1000</f>
        <v>189259.14266666665</v>
      </c>
      <c r="K47" s="144">
        <f>'Blocking-Step1'!I2331/1000</f>
        <v>12375.2296725</v>
      </c>
      <c r="M47" s="144">
        <f>'Blocking-Step1'!Y2331/1000</f>
        <v>12559.918</v>
      </c>
      <c r="O47" s="144">
        <f>('Blocking-Step1'!Y2312+'Blocking-Step1'!Y2327)/1000</f>
        <v>-136.59516410000001</v>
      </c>
      <c r="Q47" s="144">
        <f t="shared" ref="Q47:Q53" si="20">M47+O47</f>
        <v>12423.3228359</v>
      </c>
      <c r="S47" s="144">
        <f t="shared" si="18"/>
        <v>184.68832750000001</v>
      </c>
      <c r="U47" s="1294">
        <f t="shared" si="7"/>
        <v>1.4924032311934452E-2</v>
      </c>
      <c r="W47" s="144">
        <f t="shared" ref="W47:W53" si="21">Q47-K47</f>
        <v>48.093163400000776</v>
      </c>
      <c r="Y47" s="1294">
        <f t="shared" si="4"/>
        <v>3.886244108008152E-3</v>
      </c>
    </row>
    <row r="48" spans="1:25">
      <c r="A48" s="76">
        <f>MAX(A$13:A47)+1</f>
        <v>34</v>
      </c>
      <c r="C48" s="1295" t="s">
        <v>1490</v>
      </c>
      <c r="E48" s="76">
        <v>32</v>
      </c>
      <c r="G48" s="68">
        <f>ROUND('Blocking-Step1'!D2545/12,0)</f>
        <v>3</v>
      </c>
      <c r="I48" s="1633">
        <f>'Blocking-Step1'!D2606/1000</f>
        <v>196649.98999999996</v>
      </c>
      <c r="K48" s="144">
        <f>'Blocking-Step1'!I2606/1000</f>
        <v>13007.546453500001</v>
      </c>
      <c r="M48" s="144">
        <f>'Blocking-Step1'!Y2606/1000</f>
        <v>13405.413</v>
      </c>
      <c r="O48" s="144">
        <f>'Blocking-Step1'!Y2602/1000</f>
        <v>-19.085576699999997</v>
      </c>
      <c r="Q48" s="144">
        <f t="shared" si="20"/>
        <v>13386.327423300001</v>
      </c>
      <c r="S48" s="144">
        <f t="shared" si="18"/>
        <v>397.86654649999946</v>
      </c>
      <c r="U48" s="1294">
        <f t="shared" si="7"/>
        <v>3.0587363106663643E-2</v>
      </c>
      <c r="W48" s="144">
        <f t="shared" si="21"/>
        <v>378.78096980000009</v>
      </c>
      <c r="Y48" s="1294">
        <f t="shared" si="4"/>
        <v>2.9120093566767907E-2</v>
      </c>
    </row>
    <row r="49" spans="1:25">
      <c r="A49" s="76">
        <f>MAX(A$13:A48)+1</f>
        <v>35</v>
      </c>
      <c r="C49" s="1295" t="s">
        <v>1489</v>
      </c>
      <c r="E49" s="76">
        <v>34</v>
      </c>
      <c r="G49" s="68">
        <f>ROUND('Blocking-Step1'!D2609/12,0)</f>
        <v>1</v>
      </c>
      <c r="I49" s="1633">
        <f>'Blocking-Step1'!D2610/1000</f>
        <v>242230</v>
      </c>
      <c r="K49" s="144">
        <f>'Blocking-Step1'!I2610/1000</f>
        <v>13027.75819123467</v>
      </c>
      <c r="M49" s="144">
        <f>'Blocking-Step1'!Y2610/1000</f>
        <v>13027.75819123467</v>
      </c>
      <c r="O49" s="144">
        <v>0</v>
      </c>
      <c r="Q49" s="144">
        <f t="shared" si="20"/>
        <v>13027.75819123467</v>
      </c>
      <c r="S49" s="144">
        <f t="shared" si="18"/>
        <v>0</v>
      </c>
      <c r="U49" s="1294">
        <f t="shared" si="7"/>
        <v>0</v>
      </c>
      <c r="W49" s="144">
        <f t="shared" si="21"/>
        <v>0</v>
      </c>
      <c r="Y49" s="1294">
        <f t="shared" si="4"/>
        <v>0</v>
      </c>
    </row>
    <row r="50" spans="1:25">
      <c r="A50" s="76">
        <f>MAX(A$13:A49)+1</f>
        <v>36</v>
      </c>
      <c r="C50" s="1295" t="s">
        <v>680</v>
      </c>
      <c r="E50" s="1296"/>
      <c r="G50" s="595">
        <f>ROUND('Blocking-Step1'!D2613/12,0)</f>
        <v>1</v>
      </c>
      <c r="I50" s="1633">
        <f>'Blocking-Step1'!D2623/1000</f>
        <v>617100</v>
      </c>
      <c r="K50" s="144">
        <f>('Blocking-Step1'!I2623)/1000</f>
        <v>31382.2199616</v>
      </c>
      <c r="M50" s="144">
        <f>('Blocking-Step1'!Y2623)/1000</f>
        <v>32114.516</v>
      </c>
      <c r="O50" s="144">
        <f>'Blocking-Step1'!Y2621/1000</f>
        <v>-422.42064199999999</v>
      </c>
      <c r="Q50" s="144">
        <f t="shared" si="20"/>
        <v>31692.095357999999</v>
      </c>
      <c r="S50" s="144">
        <f t="shared" si="18"/>
        <v>732.29603839999982</v>
      </c>
      <c r="U50" s="1294">
        <f t="shared" si="7"/>
        <v>2.3334743026339564E-2</v>
      </c>
      <c r="W50" s="144">
        <f t="shared" si="21"/>
        <v>309.87539639999886</v>
      </c>
      <c r="Y50" s="1294">
        <f t="shared" si="4"/>
        <v>9.874234416149319E-3</v>
      </c>
    </row>
    <row r="51" spans="1:25">
      <c r="A51" s="76">
        <f>MAX(A$13:A50)+1</f>
        <v>37</v>
      </c>
      <c r="C51" s="1295" t="s">
        <v>681</v>
      </c>
      <c r="E51" s="1296"/>
      <c r="G51" s="68">
        <f>ROUND('Blocking-Step1'!D2626/12,0)</f>
        <v>1</v>
      </c>
      <c r="I51" s="1633">
        <f>'Blocking-Step1'!D2633/1000</f>
        <v>705455.54894656001</v>
      </c>
      <c r="K51" s="144">
        <f>'Blocking-Step1'!I2633/1000</f>
        <v>31485.131144999999</v>
      </c>
      <c r="M51" s="144">
        <f>'Blocking-Step1'!Y2633/1000</f>
        <v>32219.462</v>
      </c>
      <c r="O51" s="144">
        <f>'Blocking-Step1'!Y2631/1000</f>
        <v>-422.07495219999998</v>
      </c>
      <c r="Q51" s="144">
        <f t="shared" si="20"/>
        <v>31797.387047799999</v>
      </c>
      <c r="S51" s="144">
        <f t="shared" si="18"/>
        <v>734.33085500000016</v>
      </c>
      <c r="U51" s="1294">
        <f t="shared" si="7"/>
        <v>2.332309977106815E-2</v>
      </c>
      <c r="W51" s="144">
        <f t="shared" si="21"/>
        <v>312.2559027999996</v>
      </c>
      <c r="Y51" s="1294">
        <f t="shared" si="4"/>
        <v>9.9175671640671387E-3</v>
      </c>
    </row>
    <row r="52" spans="1:25">
      <c r="A52" s="76">
        <f>MAX(A$13:A51)+1</f>
        <v>38</v>
      </c>
      <c r="C52" s="1295" t="s">
        <v>682</v>
      </c>
      <c r="E52" s="1296"/>
      <c r="G52" s="68">
        <f>ROUND('Blocking-Step1'!D2636/12,0)</f>
        <v>1</v>
      </c>
      <c r="I52" s="1633">
        <f>'Blocking-Step1'!D2640/1000</f>
        <v>1288626.1969999999</v>
      </c>
      <c r="K52" s="144">
        <f>('Blocking-Step1'!I2640)/1000</f>
        <v>62957.593017309679</v>
      </c>
      <c r="M52" s="144">
        <f>('Blocking-Step1'!Y2640)/1000</f>
        <v>62957.593017309679</v>
      </c>
      <c r="O52" s="144">
        <v>0</v>
      </c>
      <c r="Q52" s="144">
        <f t="shared" si="20"/>
        <v>62957.593017309679</v>
      </c>
      <c r="S52" s="144">
        <f t="shared" si="18"/>
        <v>0</v>
      </c>
      <c r="U52" s="1294">
        <f t="shared" si="7"/>
        <v>0</v>
      </c>
      <c r="W52" s="144">
        <f t="shared" si="21"/>
        <v>0</v>
      </c>
      <c r="Y52" s="1294">
        <f t="shared" si="4"/>
        <v>0</v>
      </c>
    </row>
    <row r="53" spans="1:25">
      <c r="A53" s="76">
        <f>MAX(A$13:A52)+1</f>
        <v>39</v>
      </c>
      <c r="C53" s="1298" t="s">
        <v>471</v>
      </c>
      <c r="E53" s="1299"/>
      <c r="G53" s="72"/>
      <c r="I53" s="1675"/>
      <c r="K53" s="145">
        <f>('Blocking-Step1'!I2671+'Blocking-Step1'!I2672+'Blocking-Step1'!I2673)/1000</f>
        <v>4797.3367799999996</v>
      </c>
      <c r="M53" s="145">
        <f>('Blocking-Step1'!Y2671+'Blocking-Step1'!Y2672+'Blocking-Step1'!Y2673)/1000</f>
        <v>4797.3367799999996</v>
      </c>
      <c r="O53" s="145">
        <v>0</v>
      </c>
      <c r="Q53" s="145">
        <f t="shared" si="20"/>
        <v>4797.3367799999996</v>
      </c>
      <c r="S53" s="145">
        <f t="shared" si="18"/>
        <v>0</v>
      </c>
      <c r="U53" s="1300">
        <f t="shared" si="7"/>
        <v>0</v>
      </c>
      <c r="W53" s="145">
        <f t="shared" si="21"/>
        <v>0</v>
      </c>
      <c r="Y53" s="1300">
        <f t="shared" si="4"/>
        <v>0</v>
      </c>
    </row>
    <row r="54" spans="1:25">
      <c r="A54" s="76">
        <f>MAX(A$13:A53)+1</f>
        <v>40</v>
      </c>
      <c r="C54" s="80" t="s">
        <v>1393</v>
      </c>
      <c r="G54" s="68">
        <f>SUM(G23:G29,G31:G33,G35:G36,G38:G40,G42:G45,G47:G53)</f>
        <v>116605</v>
      </c>
      <c r="I54" s="1633">
        <f>SUM(I23:I29,I31:I33,I35:I36,I38:I40,I42:I45,I47:I53)</f>
        <v>17979702.507882744</v>
      </c>
      <c r="K54" s="144">
        <f>SUM(K23:K29,K31:K33,K35:K36,K38:K40,K42:K45,K47:K53)</f>
        <v>1260606.5533672441</v>
      </c>
      <c r="M54" s="144">
        <f>SUM(M23:M29,M31:M33,M35:M36,M38:M40,M42:M45,M47:M53)</f>
        <v>1272906.3459885446</v>
      </c>
      <c r="O54" s="144">
        <f>SUM(O23:O29,O31:O33,O35:O36,O38:O40,O42:O45,O47:O53)</f>
        <v>-15295.457355999997</v>
      </c>
      <c r="Q54" s="144">
        <f>SUM(Q23:Q29,Q31:Q33,Q35:Q36,Q38:Q40,Q42:Q45,Q47:Q53)</f>
        <v>1257610.8886325441</v>
      </c>
      <c r="S54" s="144">
        <f>SUM(S23:S29,S31:S33,S35:S36,S38:S40,S42:S45,S47:S53)</f>
        <v>12299.792621299946</v>
      </c>
      <c r="U54" s="1294">
        <f t="shared" si="7"/>
        <v>9.7570432173667513E-3</v>
      </c>
      <c r="W54" s="144">
        <f>SUM(W23:W29,W31:W33,W35:W36,W38:W40,W42:W45,W47:W53)</f>
        <v>-2995.6647347000639</v>
      </c>
      <c r="Y54" s="1294">
        <f t="shared" si="4"/>
        <v>-2.3763677308342194E-3</v>
      </c>
    </row>
    <row r="55" spans="1:25">
      <c r="C55" s="1292" t="s">
        <v>231</v>
      </c>
      <c r="G55" s="68"/>
      <c r="I55" s="1633"/>
      <c r="K55" s="144"/>
      <c r="M55" s="144"/>
      <c r="O55" s="144"/>
      <c r="Q55" s="144"/>
      <c r="S55" s="144"/>
      <c r="W55" s="144"/>
    </row>
    <row r="56" spans="1:25" ht="25.15" customHeight="1">
      <c r="A56" s="76">
        <f>MAX(A$13:A55)+1</f>
        <v>41</v>
      </c>
      <c r="C56" s="76" t="s">
        <v>232</v>
      </c>
      <c r="E56" s="76">
        <v>7</v>
      </c>
      <c r="G56" s="68">
        <f>'Blocking-Step1'!D1205</f>
        <v>6491</v>
      </c>
      <c r="I56" s="1633">
        <f>'Blocking-Step1'!D1206/1000</f>
        <v>10497.984469308627</v>
      </c>
      <c r="K56" s="144">
        <f>('Blocking-Step1'!I1206)/1000</f>
        <v>2495.8234678000003</v>
      </c>
      <c r="M56" s="144">
        <f>('Blocking-Step1'!Y1206)/1000</f>
        <v>1383.2668705464662</v>
      </c>
      <c r="O56" s="144">
        <f>'Blocking-Step1'!Y1203/1000</f>
        <v>-14.109322079573957</v>
      </c>
      <c r="Q56" s="144">
        <f t="shared" ref="Q56:Q60" si="22">M56+O56</f>
        <v>1369.1575484668922</v>
      </c>
      <c r="S56" s="144">
        <f t="shared" ref="S56:S60" si="23">M56-K56</f>
        <v>-1112.5565972535342</v>
      </c>
      <c r="U56" s="1294">
        <f t="shared" ref="U56:U65" si="24">S56/K56</f>
        <v>-0.4457673435670601</v>
      </c>
      <c r="W56" s="144">
        <f t="shared" ref="W56:W60" si="25">Q56-K56</f>
        <v>-1126.6659193331081</v>
      </c>
      <c r="Y56" s="1294">
        <f t="shared" si="4"/>
        <v>-0.45142051666267613</v>
      </c>
    </row>
    <row r="57" spans="1:25">
      <c r="A57" s="76">
        <f>MAX(A$13:A56)+1</f>
        <v>42</v>
      </c>
      <c r="C57" s="76" t="s">
        <v>233</v>
      </c>
      <c r="E57" s="76">
        <v>11</v>
      </c>
      <c r="G57" s="68">
        <f>'Blocking-Step1'!D1712</f>
        <v>715</v>
      </c>
      <c r="I57" s="1633">
        <f>'Blocking-Step1'!D1716/1000</f>
        <v>13572.50823362934</v>
      </c>
      <c r="K57" s="144">
        <f>('Blocking-Step1'!I1716)/1000</f>
        <v>4103.1867941999999</v>
      </c>
      <c r="M57" s="144">
        <f>('Blocking-Step1'!Y1716)/1000</f>
        <v>3759.4048698993784</v>
      </c>
      <c r="O57" s="144">
        <f>'Blocking-Step1'!Y1714/1000</f>
        <v>-38.345929672973661</v>
      </c>
      <c r="Q57" s="144">
        <f t="shared" si="22"/>
        <v>3721.0589402264045</v>
      </c>
      <c r="S57" s="144">
        <f t="shared" si="23"/>
        <v>-343.78192430062154</v>
      </c>
      <c r="U57" s="1294">
        <f t="shared" si="24"/>
        <v>-8.3784127202439204E-2</v>
      </c>
      <c r="W57" s="144">
        <f t="shared" si="25"/>
        <v>-382.12785397359539</v>
      </c>
      <c r="Y57" s="1294">
        <f t="shared" si="4"/>
        <v>-9.3129529104974379E-2</v>
      </c>
    </row>
    <row r="58" spans="1:25">
      <c r="A58" s="76">
        <f>MAX(A$13:A57)+1</f>
        <v>43</v>
      </c>
      <c r="C58" s="76" t="s">
        <v>234</v>
      </c>
      <c r="E58" s="76">
        <v>12</v>
      </c>
      <c r="G58" s="68">
        <f>'Blocking-Step1'!D1803</f>
        <v>1229</v>
      </c>
      <c r="I58" s="1633">
        <f>'Blocking-Step1'!D1807/1000</f>
        <v>26868.87420437079</v>
      </c>
      <c r="K58" s="144">
        <f>('Blocking-Step1'!I1807)/1000</f>
        <v>1896.3262864000001</v>
      </c>
      <c r="M58" s="144">
        <f>('Blocking-Step1'!Y1807)/1000</f>
        <v>1402.8682700442894</v>
      </c>
      <c r="O58" s="144">
        <f>'Blocking-Step1'!Y1805/1000</f>
        <v>-14.309256354451753</v>
      </c>
      <c r="Q58" s="144">
        <f t="shared" si="22"/>
        <v>1388.5590136898377</v>
      </c>
      <c r="S58" s="144">
        <f t="shared" si="23"/>
        <v>-493.4580163557107</v>
      </c>
      <c r="U58" s="1294">
        <f t="shared" si="24"/>
        <v>-0.2602178854423281</v>
      </c>
      <c r="W58" s="144">
        <f t="shared" si="25"/>
        <v>-507.76727271016239</v>
      </c>
      <c r="Y58" s="1294">
        <f t="shared" si="4"/>
        <v>-0.26776366301081633</v>
      </c>
    </row>
    <row r="59" spans="1:25">
      <c r="A59" s="76">
        <f>MAX(A$13:A58)+1</f>
        <v>44</v>
      </c>
      <c r="C59" s="76" t="s">
        <v>236</v>
      </c>
      <c r="E59" s="76">
        <v>15</v>
      </c>
      <c r="G59" s="68">
        <f>ROUND('Blocking-Step1'!D1813/12,0)</f>
        <v>637</v>
      </c>
      <c r="I59" s="1633">
        <f>('Blocking-Step1'!D1818)/1000</f>
        <v>15963.151062719233</v>
      </c>
      <c r="K59" s="144">
        <f>('Blocking-Step1'!I1818)/1000</f>
        <v>1155.3153559999998</v>
      </c>
      <c r="M59" s="144">
        <f>('Blocking-Step1'!Y1818)/1000</f>
        <v>797.02300000000002</v>
      </c>
      <c r="O59" s="144">
        <f>'Blocking-Step1'!Y1816/1000</f>
        <v>-8.3929017999999989</v>
      </c>
      <c r="Q59" s="144">
        <f t="shared" si="22"/>
        <v>788.63009820000002</v>
      </c>
      <c r="S59" s="144">
        <f t="shared" si="23"/>
        <v>-358.29235599999981</v>
      </c>
      <c r="U59" s="1294">
        <f t="shared" si="24"/>
        <v>-0.31012515685803788</v>
      </c>
      <c r="W59" s="144">
        <f t="shared" si="25"/>
        <v>-366.68525779999982</v>
      </c>
      <c r="Y59" s="1294">
        <f t="shared" si="4"/>
        <v>-0.31738975500988653</v>
      </c>
    </row>
    <row r="60" spans="1:25">
      <c r="A60" s="76">
        <f>MAX(A$13:A59)+1</f>
        <v>45</v>
      </c>
      <c r="C60" s="76" t="s">
        <v>235</v>
      </c>
      <c r="E60" s="76">
        <v>15</v>
      </c>
      <c r="G60" s="71">
        <f>ROUND('Blocking-Step1'!D1854/12,0)</f>
        <v>2734</v>
      </c>
      <c r="I60" s="1676">
        <f>'Blocking-Step1'!D1859/1000</f>
        <v>7776.3704443165416</v>
      </c>
      <c r="K60" s="145">
        <f>('Blocking-Step1'!I1859)/1000</f>
        <v>802.61305110000001</v>
      </c>
      <c r="M60" s="145">
        <f>('Blocking-Step1'!Y1859)/1000</f>
        <v>802.65099999999995</v>
      </c>
      <c r="O60" s="145">
        <f>'Blocking-Step1'!Y1857/1000</f>
        <v>-8.9595359999999999</v>
      </c>
      <c r="Q60" s="145">
        <f t="shared" si="22"/>
        <v>793.691464</v>
      </c>
      <c r="S60" s="145">
        <f t="shared" si="23"/>
        <v>3.7948899999946661E-2</v>
      </c>
      <c r="U60" s="1300">
        <f t="shared" si="24"/>
        <v>4.7281688165843805E-5</v>
      </c>
      <c r="W60" s="145">
        <f t="shared" si="25"/>
        <v>-8.9215871000000107</v>
      </c>
      <c r="Y60" s="1300">
        <f t="shared" si="4"/>
        <v>-1.1115676586336051E-2</v>
      </c>
    </row>
    <row r="61" spans="1:25">
      <c r="A61" s="76">
        <f>MAX(A$13:A60)+1</f>
        <v>46</v>
      </c>
      <c r="C61" s="1038" t="s">
        <v>237</v>
      </c>
      <c r="D61" s="77"/>
      <c r="F61" s="77"/>
      <c r="G61" s="68">
        <f>SUM(G56:G60)</f>
        <v>11806</v>
      </c>
      <c r="H61" s="77"/>
      <c r="I61" s="1633">
        <f>SUM(I56:I60)</f>
        <v>74678.888414344532</v>
      </c>
      <c r="J61" s="77"/>
      <c r="K61" s="144">
        <f>SUM(K56:K60)</f>
        <v>10453.264955499999</v>
      </c>
      <c r="L61" s="144"/>
      <c r="M61" s="144">
        <f>SUM(M56:M60)</f>
        <v>8145.2140104901346</v>
      </c>
      <c r="N61" s="144"/>
      <c r="O61" s="144">
        <f>SUM(O56:O60)</f>
        <v>-84.116945906999376</v>
      </c>
      <c r="P61" s="144"/>
      <c r="Q61" s="144">
        <f>SUM(Q56:Q60)</f>
        <v>8061.0970645831349</v>
      </c>
      <c r="R61" s="144"/>
      <c r="S61" s="144">
        <f>SUM(S56:S60)</f>
        <v>-2308.0509450098662</v>
      </c>
      <c r="U61" s="1294">
        <f t="shared" si="24"/>
        <v>-0.22079713418107538</v>
      </c>
      <c r="V61" s="77"/>
      <c r="W61" s="144">
        <f>SUM(W56:W60)</f>
        <v>-2392.1678909168659</v>
      </c>
      <c r="Y61" s="1294">
        <f t="shared" si="4"/>
        <v>-0.22884408853123192</v>
      </c>
    </row>
    <row r="62" spans="1:25">
      <c r="A62" s="76">
        <f>MAX(A$13:A61)+1</f>
        <v>47</v>
      </c>
      <c r="C62" s="1295" t="s">
        <v>1396</v>
      </c>
      <c r="E62" s="1296"/>
      <c r="G62" s="68">
        <f>'Blocking-Step1'!D2643</f>
        <v>4</v>
      </c>
      <c r="I62" s="1633">
        <f>'Blocking-Step1'!D2649/1000</f>
        <v>7.3869999999999996</v>
      </c>
      <c r="K62" s="144">
        <f>'Blocking-Step1'!I2649/1000</f>
        <v>0.55700000000000005</v>
      </c>
      <c r="M62" s="144">
        <f>'Blocking-Step1'!Y2649/1000</f>
        <v>0.55700000000000005</v>
      </c>
      <c r="O62" s="144">
        <v>0</v>
      </c>
      <c r="Q62" s="144">
        <f>M62+O62</f>
        <v>0.55700000000000005</v>
      </c>
      <c r="S62" s="144">
        <f t="shared" ref="S62:S63" si="26">M62-K62</f>
        <v>0</v>
      </c>
      <c r="U62" s="1294">
        <f t="shared" si="24"/>
        <v>0</v>
      </c>
      <c r="W62" s="144">
        <f>Q62-K62</f>
        <v>0</v>
      </c>
      <c r="Y62" s="1294">
        <f t="shared" si="4"/>
        <v>0</v>
      </c>
    </row>
    <row r="63" spans="1:25" ht="22.15" customHeight="1">
      <c r="A63" s="76">
        <f>MAX(A$13:A62)+1</f>
        <v>48</v>
      </c>
      <c r="C63" s="1298" t="s">
        <v>471</v>
      </c>
      <c r="D63" s="78"/>
      <c r="E63" s="1299"/>
      <c r="F63" s="78"/>
      <c r="G63" s="73"/>
      <c r="H63" s="78"/>
      <c r="I63" s="1678"/>
      <c r="J63" s="78"/>
      <c r="K63" s="145">
        <f>'Blocking-Step1'!I2674/1000</f>
        <v>4.6550400000000005</v>
      </c>
      <c r="M63" s="145">
        <f>'Blocking-Step1'!Y2674/1000</f>
        <v>4.6550400000000005</v>
      </c>
      <c r="O63" s="145">
        <f>'Blocking-Step1'!AA2674/1000</f>
        <v>0</v>
      </c>
      <c r="Q63" s="145">
        <f>M63+O63</f>
        <v>4.6550400000000005</v>
      </c>
      <c r="S63" s="145">
        <f t="shared" si="26"/>
        <v>0</v>
      </c>
      <c r="U63" s="1300">
        <f t="shared" si="24"/>
        <v>0</v>
      </c>
      <c r="V63" s="78"/>
      <c r="W63" s="145">
        <f>Q63-K63</f>
        <v>0</v>
      </c>
      <c r="Y63" s="1300">
        <f t="shared" si="4"/>
        <v>0</v>
      </c>
    </row>
    <row r="64" spans="1:25">
      <c r="A64" s="76">
        <f>MAX(A$13:A63)+1</f>
        <v>49</v>
      </c>
      <c r="C64" s="1305" t="s">
        <v>238</v>
      </c>
      <c r="E64" s="1306"/>
      <c r="G64" s="71">
        <f>SUM(G62:G63)+G61</f>
        <v>11810</v>
      </c>
      <c r="I64" s="1676">
        <f>SUM(I62:I63)+I61</f>
        <v>74686.275414344535</v>
      </c>
      <c r="K64" s="145">
        <f>SUM(K62:K63)+K61</f>
        <v>10458.476995499999</v>
      </c>
      <c r="M64" s="145">
        <f>SUM(M62:M63)+M61</f>
        <v>8150.4260504901349</v>
      </c>
      <c r="O64" s="145">
        <f>SUM(O62:O63)+O61</f>
        <v>-84.116945906999376</v>
      </c>
      <c r="Q64" s="145">
        <f>SUM(Q62:Q63)+Q61</f>
        <v>8066.3091045831352</v>
      </c>
      <c r="S64" s="145">
        <f>SUM(S62:S63)+S61</f>
        <v>-2308.0509450098662</v>
      </c>
      <c r="U64" s="1307">
        <f t="shared" si="24"/>
        <v>-0.22068709870499867</v>
      </c>
      <c r="W64" s="145">
        <f>SUM(W62:W63)+W61</f>
        <v>-2392.1678909168659</v>
      </c>
      <c r="Y64" s="1307">
        <f t="shared" si="4"/>
        <v>-0.22873004281083673</v>
      </c>
    </row>
    <row r="65" spans="1:25" ht="22.15" customHeight="1" thickBot="1">
      <c r="A65" s="76">
        <f>MAX(A$13:A64)+1</f>
        <v>50</v>
      </c>
      <c r="C65" s="1308" t="s">
        <v>239</v>
      </c>
      <c r="E65" s="1309"/>
      <c r="G65" s="67">
        <f>G64+G54+G21</f>
        <v>986283</v>
      </c>
      <c r="I65" s="1634">
        <f>I64+I54+I21</f>
        <v>24837388.160662249</v>
      </c>
      <c r="K65" s="146">
        <f>K64+K54+K21</f>
        <v>2001695.942310344</v>
      </c>
      <c r="M65" s="146">
        <f>M64+M54+M21</f>
        <v>2051207.7381290351</v>
      </c>
      <c r="O65" s="146">
        <f>O64+O54+O21</f>
        <v>-26877.836591906995</v>
      </c>
      <c r="Q65" s="146">
        <f>Q64+Q54+Q21</f>
        <v>2024329.9015371273</v>
      </c>
      <c r="S65" s="146">
        <f>S64+S54+S21</f>
        <v>49511.795818690007</v>
      </c>
      <c r="U65" s="1310">
        <f t="shared" si="24"/>
        <v>2.4734923407769827E-2</v>
      </c>
      <c r="W65" s="146">
        <f>W64+W54+W21</f>
        <v>22633.959226783008</v>
      </c>
      <c r="Y65" s="1310">
        <f t="shared" si="4"/>
        <v>1.1307391271752815E-2</v>
      </c>
    </row>
    <row r="66" spans="1:25" ht="25.15" customHeight="1" thickTop="1">
      <c r="E66" s="90"/>
    </row>
    <row r="67" spans="1:25">
      <c r="C67" s="1295"/>
    </row>
    <row r="68" spans="1:25">
      <c r="C68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8"/>
  <sheetViews>
    <sheetView topLeftCell="A8" zoomScale="90" zoomScaleNormal="90" workbookViewId="0">
      <pane xSplit="6" ySplit="4" topLeftCell="G12" activePane="bottomRight" state="frozen"/>
      <selection activeCell="A8" sqref="A8"/>
      <selection pane="topRight" activeCell="G8" sqref="G8"/>
      <selection pane="bottomLeft" activeCell="A12" sqref="A12"/>
      <selection pane="bottomRight" activeCell="Q9" sqref="Q9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25" style="1657" bestFit="1" customWidth="1"/>
    <col min="14" max="14" width="1.625" style="1657" customWidth="1"/>
    <col min="15" max="15" width="10.75" style="1657" customWidth="1"/>
    <col min="16" max="16" width="1.625" style="1657" customWidth="1"/>
    <col min="17" max="17" width="11.625" style="1657" bestFit="1" customWidth="1"/>
    <col min="18" max="18" width="1.625" style="1657" customWidth="1"/>
    <col min="19" max="19" width="11.25" style="1657" bestFit="1" customWidth="1"/>
    <col min="20" max="20" width="1.625" style="1657" customWidth="1"/>
    <col min="21" max="21" width="10.75" style="1657" customWidth="1"/>
    <col min="22" max="22" width="1.625" style="1657" customWidth="1"/>
    <col min="23" max="23" width="10.625" style="1657" bestFit="1" customWidth="1"/>
    <col min="24" max="24" width="1.625" style="76" customWidth="1"/>
    <col min="25" max="25" width="7.25" style="76" bestFit="1" customWidth="1"/>
    <col min="26" max="26" width="1.625" style="76" customWidth="1"/>
    <col min="27" max="27" width="10.625" style="1657" bestFit="1" customWidth="1"/>
    <col min="28" max="28" width="1.625" style="76" customWidth="1"/>
    <col min="29" max="29" width="7.75" style="76" bestFit="1" customWidth="1"/>
    <col min="30" max="16384" width="9" style="76"/>
  </cols>
  <sheetData>
    <row r="1" spans="1:29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1660"/>
      <c r="U1" s="1660"/>
      <c r="V1" s="1660"/>
      <c r="W1" s="1660"/>
      <c r="X1" s="75"/>
      <c r="Y1" s="75"/>
      <c r="Z1" s="75"/>
      <c r="AA1" s="1660"/>
      <c r="AB1" s="75"/>
      <c r="AC1" s="75"/>
    </row>
    <row r="2" spans="1:29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1661"/>
      <c r="U2" s="1661"/>
      <c r="V2" s="1661"/>
      <c r="W2" s="1661"/>
      <c r="X2" s="62"/>
      <c r="Y2" s="62"/>
      <c r="Z2" s="62"/>
      <c r="AA2" s="1661"/>
      <c r="AB2" s="62"/>
      <c r="AC2" s="62"/>
    </row>
    <row r="3" spans="1:29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1661"/>
      <c r="U3" s="1661"/>
      <c r="V3" s="1661"/>
      <c r="W3" s="1661"/>
      <c r="X3" s="62"/>
      <c r="Y3" s="62"/>
      <c r="Z3" s="62"/>
      <c r="AA3" s="1661"/>
      <c r="AB3" s="62"/>
      <c r="AC3" s="62"/>
    </row>
    <row r="4" spans="1:29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1661"/>
      <c r="U4" s="1661"/>
      <c r="V4" s="1661"/>
      <c r="W4" s="1661"/>
      <c r="X4" s="62"/>
      <c r="Y4" s="62"/>
      <c r="Z4" s="62"/>
      <c r="AA4" s="1661"/>
      <c r="AB4" s="62"/>
      <c r="AC4" s="62"/>
    </row>
    <row r="5" spans="1:29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1661"/>
      <c r="U5" s="1661"/>
      <c r="V5" s="1661"/>
      <c r="W5" s="1661"/>
      <c r="X5" s="62"/>
      <c r="Y5" s="62"/>
      <c r="Z5" s="62"/>
      <c r="AA5" s="1661"/>
      <c r="AB5" s="62"/>
      <c r="AC5" s="62"/>
    </row>
    <row r="6" spans="1:29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1661"/>
      <c r="U6" s="1661"/>
      <c r="V6" s="1661"/>
      <c r="W6" s="1661"/>
      <c r="X6" s="62"/>
      <c r="Y6" s="62"/>
      <c r="Z6" s="62"/>
      <c r="AA6" s="1661"/>
      <c r="AB6" s="62"/>
      <c r="AC6" s="62"/>
    </row>
    <row r="7" spans="1:29">
      <c r="D7" s="85"/>
      <c r="F7" s="85"/>
      <c r="G7" s="79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1663"/>
      <c r="U7" s="1662"/>
      <c r="V7" s="1663"/>
      <c r="W7" s="1662"/>
      <c r="X7" s="85"/>
      <c r="Y7" s="84"/>
      <c r="Z7" s="85"/>
      <c r="AA7" s="1662"/>
      <c r="AB7" s="85"/>
      <c r="AC7" s="84"/>
    </row>
    <row r="8" spans="1:29">
      <c r="D8" s="79"/>
      <c r="E8" s="79"/>
      <c r="F8" s="79"/>
      <c r="G8" s="79" t="s">
        <v>1368</v>
      </c>
      <c r="H8" s="79"/>
      <c r="I8" s="1290"/>
      <c r="J8" s="79"/>
      <c r="K8" s="1666" t="s">
        <v>2331</v>
      </c>
      <c r="L8" s="1666"/>
      <c r="M8" s="1666"/>
      <c r="N8" s="1666"/>
      <c r="O8" s="1666"/>
      <c r="P8" s="1665"/>
      <c r="Q8" s="1666" t="s">
        <v>2332</v>
      </c>
      <c r="R8" s="1666"/>
      <c r="S8" s="1666"/>
      <c r="T8" s="1666"/>
      <c r="U8" s="1666"/>
      <c r="V8" s="1666"/>
      <c r="W8" s="1666"/>
      <c r="X8" s="1035"/>
      <c r="Y8" s="1039"/>
      <c r="Z8" s="1035"/>
      <c r="AA8" s="1666"/>
      <c r="AB8" s="1035"/>
      <c r="AC8" s="1039"/>
    </row>
    <row r="9" spans="1:29" s="80" customFormat="1">
      <c r="A9" s="80" t="s">
        <v>217</v>
      </c>
      <c r="D9" s="79"/>
      <c r="E9" s="79" t="s">
        <v>156</v>
      </c>
      <c r="F9" s="79"/>
      <c r="G9" s="83" t="s">
        <v>778</v>
      </c>
      <c r="H9" s="79"/>
      <c r="I9" s="1290" t="s">
        <v>109</v>
      </c>
      <c r="J9" s="83"/>
      <c r="K9" s="1664" t="s">
        <v>1366</v>
      </c>
      <c r="L9" s="1664"/>
      <c r="M9" s="1664" t="s">
        <v>2209</v>
      </c>
      <c r="N9" s="1664"/>
      <c r="O9" s="1664" t="s">
        <v>2210</v>
      </c>
      <c r="P9" s="1664"/>
      <c r="Q9" s="1664" t="s">
        <v>1366</v>
      </c>
      <c r="R9" s="1664"/>
      <c r="S9" s="1664" t="s">
        <v>2209</v>
      </c>
      <c r="T9" s="1664"/>
      <c r="U9" s="1664" t="s">
        <v>2210</v>
      </c>
      <c r="V9" s="1664"/>
      <c r="W9" s="1666" t="s">
        <v>2211</v>
      </c>
      <c r="X9" s="1035"/>
      <c r="Y9" s="1039"/>
      <c r="Z9" s="83"/>
      <c r="AA9" s="1666" t="s">
        <v>1752</v>
      </c>
      <c r="AB9" s="1035"/>
      <c r="AC9" s="1039"/>
    </row>
    <row r="10" spans="1:29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T10" s="1668"/>
      <c r="U10" s="1667" t="s">
        <v>1397</v>
      </c>
      <c r="V10" s="1668"/>
      <c r="W10" s="1667" t="s">
        <v>1397</v>
      </c>
      <c r="Y10" s="1042" t="s">
        <v>1370</v>
      </c>
      <c r="AA10" s="1667" t="s">
        <v>1397</v>
      </c>
      <c r="AC10" s="1042" t="s">
        <v>1370</v>
      </c>
    </row>
    <row r="11" spans="1:29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834">
        <f>MIN($A11:J11)-1</f>
        <v>-5</v>
      </c>
      <c r="L11" s="1834"/>
      <c r="M11" s="1834">
        <f>MIN($A11:L11)-1</f>
        <v>-6</v>
      </c>
      <c r="N11" s="1834"/>
      <c r="O11" s="1834">
        <f>MIN($A11:N11)-1</f>
        <v>-7</v>
      </c>
      <c r="P11" s="1834"/>
      <c r="Q11" s="1834">
        <f>MIN($A11:P11)-1</f>
        <v>-8</v>
      </c>
      <c r="R11" s="1834"/>
      <c r="S11" s="1834">
        <f>MIN($A11:R11)-1</f>
        <v>-9</v>
      </c>
      <c r="T11" s="1834"/>
      <c r="U11" s="1834">
        <f>MIN($A11:T11)-1</f>
        <v>-10</v>
      </c>
      <c r="V11" s="1834"/>
      <c r="W11" s="1834">
        <f>MIN($A11:V11)-1</f>
        <v>-11</v>
      </c>
      <c r="X11" s="1834"/>
      <c r="Y11" s="1834">
        <f>MIN($A11:X11)-1</f>
        <v>-12</v>
      </c>
      <c r="Z11" s="1834"/>
      <c r="AA11" s="1834">
        <f>MIN($A11:Z11)-1</f>
        <v>-13</v>
      </c>
      <c r="AB11" s="1834"/>
      <c r="AC11" s="1834">
        <f>MIN($A11:AB11)-1</f>
        <v>-14</v>
      </c>
    </row>
    <row r="12" spans="1:29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8"/>
      <c r="T12" s="1668"/>
      <c r="U12" s="1668"/>
      <c r="V12" s="1668"/>
      <c r="W12" s="1665" t="str">
        <f>"(" &amp; -Q11 &amp; ")-(" &amp; -K11 &amp; ")"</f>
        <v>(8)-(5)</v>
      </c>
      <c r="Y12" s="1043" t="str">
        <f>"(" &amp; -W11 &amp; ")/(" &amp; -K11 &amp; ")"</f>
        <v>(11)/(5)</v>
      </c>
      <c r="AA12" s="1665" t="str">
        <f>"(" &amp; -U11 &amp; ")-(" &amp; -O11 &amp; ")"</f>
        <v>(10)-(7)</v>
      </c>
      <c r="AC12" s="1043" t="str">
        <f>"(" &amp; -AA11 &amp; ")/(" &amp; -O11 &amp; ")"</f>
        <v>(13)/(7)</v>
      </c>
    </row>
    <row r="13" spans="1:29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1657"/>
      <c r="U13" s="1657"/>
      <c r="V13" s="1657"/>
      <c r="W13" s="1657"/>
      <c r="X13" s="76"/>
      <c r="Y13" s="76"/>
      <c r="Z13" s="76"/>
      <c r="AA13" s="1657"/>
      <c r="AB13" s="76"/>
      <c r="AC13" s="76"/>
    </row>
    <row r="14" spans="1:29">
      <c r="A14" s="76">
        <v>1</v>
      </c>
      <c r="C14" s="76" t="s">
        <v>103</v>
      </c>
      <c r="E14" s="1293">
        <v>1</v>
      </c>
      <c r="G14" s="68">
        <f>ROUND(('Blocking-Step2'!D11)/12,0)</f>
        <v>778737</v>
      </c>
      <c r="I14" s="1633">
        <f>('Blocking-Step2'!D45)/1000</f>
        <v>6307369.9065283779</v>
      </c>
      <c r="K14" s="144">
        <f>'Table B-Step1'!M14</f>
        <v>714633.77099999995</v>
      </c>
      <c r="M14" s="144">
        <f>'Table B-Step1'!O14</f>
        <v>-10707.890011</v>
      </c>
      <c r="O14" s="144">
        <f>K14+M14</f>
        <v>703925.88098899997</v>
      </c>
      <c r="Q14" s="144">
        <f>('Blocking-Step2'!Y45)/1000</f>
        <v>723508.14599999995</v>
      </c>
      <c r="S14" s="144">
        <f>'Blocking-Step2'!Y43/1000</f>
        <v>-19673.507946400001</v>
      </c>
      <c r="U14" s="144">
        <f>Q14+S14</f>
        <v>703834.63805359998</v>
      </c>
      <c r="W14" s="144">
        <f>Q14-K14</f>
        <v>8874.375</v>
      </c>
      <c r="Y14" s="1294">
        <f>W14/K14</f>
        <v>1.241807392838702E-2</v>
      </c>
      <c r="AA14" s="144">
        <f>U14-O14</f>
        <v>-91.242935399990529</v>
      </c>
      <c r="AC14" s="1294">
        <f>AA14/O14</f>
        <v>-1.296200890806803E-4</v>
      </c>
    </row>
    <row r="15" spans="1:29">
      <c r="A15" s="76">
        <f>MAX(A$13:A14)+1</f>
        <v>2</v>
      </c>
      <c r="C15" s="1295" t="s">
        <v>1377</v>
      </c>
      <c r="E15" s="1296">
        <v>2</v>
      </c>
      <c r="G15" s="68">
        <f>ROUND('Blocking-Step2'!D48/12,0)</f>
        <v>363</v>
      </c>
      <c r="I15" s="1633">
        <f>'Blocking-Step2'!D82/1000</f>
        <v>2744.0360000000001</v>
      </c>
      <c r="K15" s="144">
        <f>'Table B-Step1'!M15</f>
        <v>309.702</v>
      </c>
      <c r="M15" s="144">
        <f>'Table B-Step1'!O15</f>
        <v>-4.627332</v>
      </c>
      <c r="O15" s="144">
        <f t="shared" ref="O15:O20" si="0">K15+M15</f>
        <v>305.07466799999997</v>
      </c>
      <c r="Q15" s="144">
        <f>('Blocking-Step2'!Y82)/1000</f>
        <v>313.56200000000001</v>
      </c>
      <c r="S15" s="144">
        <f>'Blocking-Step2'!Y80/1000</f>
        <v>-8.5025248000000015</v>
      </c>
      <c r="U15" s="144">
        <f t="shared" ref="U15:U20" si="1">Q15+S15</f>
        <v>305.05947520000001</v>
      </c>
      <c r="W15" s="144">
        <f t="shared" ref="W15:W20" si="2">Q15-K15</f>
        <v>3.8600000000000136</v>
      </c>
      <c r="Y15" s="1294">
        <f t="shared" ref="Y15:Y21" si="3">W15/K15</f>
        <v>1.2463594035556805E-2</v>
      </c>
      <c r="AA15" s="144">
        <f t="shared" ref="AA15:AA20" si="4">U15-O15</f>
        <v>-1.51927999999657E-2</v>
      </c>
      <c r="AC15" s="1294">
        <f t="shared" ref="AC15:AC21" si="5">AA15/O15</f>
        <v>-4.9800267257738033E-5</v>
      </c>
    </row>
    <row r="16" spans="1:29">
      <c r="A16" s="76">
        <f>MAX(A$13:A15)+1</f>
        <v>3</v>
      </c>
      <c r="C16" s="1295" t="s">
        <v>1375</v>
      </c>
      <c r="E16" s="1297" t="s">
        <v>1118</v>
      </c>
      <c r="G16" s="68">
        <f>ROUND('Blocking-Step2'!D85/12,0)</f>
        <v>260</v>
      </c>
      <c r="I16" s="1633">
        <f>'Blocking-Step2'!D111/1000</f>
        <v>3648.1480452160827</v>
      </c>
      <c r="K16" s="144">
        <f>'Table B-Step1'!M16</f>
        <v>325.524</v>
      </c>
      <c r="M16" s="144">
        <f>'Table B-Step1'!O16</f>
        <v>-5.0175160000000005</v>
      </c>
      <c r="O16" s="144">
        <f t="shared" si="0"/>
        <v>320.506484</v>
      </c>
      <c r="Q16" s="144">
        <f>('Blocking-Step2'!Y111)/1000</f>
        <v>329.69299999999998</v>
      </c>
      <c r="S16" s="144">
        <f>'Blocking-Step2'!Y109/1000</f>
        <v>-9.2189636000000004</v>
      </c>
      <c r="U16" s="144">
        <f t="shared" si="1"/>
        <v>320.47403639999999</v>
      </c>
      <c r="W16" s="144">
        <f t="shared" si="2"/>
        <v>4.1689999999999827</v>
      </c>
      <c r="Y16" s="1294">
        <f t="shared" si="3"/>
        <v>1.2807043413081625E-2</v>
      </c>
      <c r="AA16" s="144">
        <f t="shared" si="4"/>
        <v>-3.2447600000011789E-2</v>
      </c>
      <c r="AC16" s="1294">
        <f t="shared" si="5"/>
        <v>-1.0123851347734915E-4</v>
      </c>
    </row>
    <row r="17" spans="1:29">
      <c r="A17" s="76">
        <f>MAX(A$13:A16)+1</f>
        <v>4</v>
      </c>
      <c r="C17" s="1295" t="s">
        <v>1394</v>
      </c>
      <c r="E17" s="1293">
        <v>3</v>
      </c>
      <c r="G17" s="68">
        <f>ROUND(('Blocking-Step2'!D114)/12,0)</f>
        <v>18027</v>
      </c>
      <c r="I17" s="1633">
        <f>('Blocking-Step2'!D148)/1000</f>
        <v>134093.07170705788</v>
      </c>
      <c r="K17" s="144">
        <f>'Table B-Step1'!M17</f>
        <v>14801.464</v>
      </c>
      <c r="M17" s="144">
        <f>'Table B-Step1'!O17</f>
        <v>-221.83419000000001</v>
      </c>
      <c r="O17" s="144">
        <f t="shared" si="0"/>
        <v>14579.62981</v>
      </c>
      <c r="Q17" s="144">
        <f>('Blocking-Step2'!Y148)/1000</f>
        <v>14989.406000000001</v>
      </c>
      <c r="S17" s="144">
        <f>'Blocking-Step2'!Y146/1000</f>
        <v>-407.69996960000003</v>
      </c>
      <c r="U17" s="144">
        <f t="shared" si="1"/>
        <v>14581.706030400001</v>
      </c>
      <c r="W17" s="144">
        <f t="shared" si="2"/>
        <v>187.94200000000092</v>
      </c>
      <c r="Y17" s="1294">
        <f t="shared" si="3"/>
        <v>1.2697527758065074E-2</v>
      </c>
      <c r="AA17" s="144">
        <f t="shared" si="4"/>
        <v>2.0762204000002384</v>
      </c>
      <c r="AC17" s="1294">
        <f t="shared" si="5"/>
        <v>1.4240556358819089E-4</v>
      </c>
    </row>
    <row r="18" spans="1:29">
      <c r="A18" s="76">
        <f>MAX(A$13:A17)+1</f>
        <v>5</v>
      </c>
      <c r="C18" s="1295" t="s">
        <v>1376</v>
      </c>
      <c r="E18" s="1293">
        <v>135</v>
      </c>
      <c r="G18" s="68">
        <f>ROUND(('Blocking-Step2'!D151)/12,0)</f>
        <v>34868</v>
      </c>
      <c r="I18" s="1633">
        <f>('Blocking-Step2'!D185)/1000</f>
        <v>142334.24589459866</v>
      </c>
      <c r="K18" s="144">
        <f>'Table B-Step1'!M18</f>
        <v>18131.43</v>
      </c>
      <c r="M18" s="144">
        <f>'Table B-Step1'!O18</f>
        <v>-237.920355</v>
      </c>
      <c r="O18" s="144">
        <f t="shared" si="0"/>
        <v>17893.509645000002</v>
      </c>
      <c r="Q18" s="144">
        <f>('Blocking-Step2'!Y185)/1000</f>
        <v>18329.486000000001</v>
      </c>
      <c r="S18" s="144">
        <f>'Blocking-Step2'!Y183/1000</f>
        <v>-437.15582680000006</v>
      </c>
      <c r="U18" s="144">
        <f t="shared" si="1"/>
        <v>17892.3301732</v>
      </c>
      <c r="W18" s="144">
        <f t="shared" si="2"/>
        <v>198.05600000000049</v>
      </c>
      <c r="Y18" s="1294">
        <f t="shared" si="3"/>
        <v>1.092335243276457E-2</v>
      </c>
      <c r="AA18" s="144">
        <f t="shared" si="4"/>
        <v>-1.1794718000019202</v>
      </c>
      <c r="AC18" s="1294">
        <f t="shared" si="5"/>
        <v>-6.591617985527512E-5</v>
      </c>
    </row>
    <row r="19" spans="1:29">
      <c r="A19" s="76">
        <f>MAX(A$13:A18)+1</f>
        <v>6</v>
      </c>
      <c r="C19" s="1295" t="s">
        <v>1374</v>
      </c>
      <c r="E19" s="1293">
        <v>136</v>
      </c>
      <c r="G19" s="68">
        <f>ROUND(('Blocking-Step2'!D188)/12,0)</f>
        <v>25613</v>
      </c>
      <c r="I19" s="1633">
        <f>('Blocking-Step2'!D222)/1000</f>
        <v>192809.96918991042</v>
      </c>
      <c r="K19" s="144">
        <f>'Table B-Step1'!M19</f>
        <v>21942.28</v>
      </c>
      <c r="M19" s="144">
        <f>'Table B-Step1'!O19</f>
        <v>-320.97288600000002</v>
      </c>
      <c r="O19" s="144">
        <f t="shared" si="0"/>
        <v>21621.307113999999</v>
      </c>
      <c r="Q19" s="144">
        <f>('Blocking-Step2'!Y222)/1000</f>
        <v>22212.848999999998</v>
      </c>
      <c r="S19" s="144">
        <f>'Blocking-Step2'!Y220/1000</f>
        <v>-589.86087160000011</v>
      </c>
      <c r="U19" s="144">
        <f t="shared" si="1"/>
        <v>21622.988128399997</v>
      </c>
      <c r="W19" s="144">
        <f t="shared" si="2"/>
        <v>270.56899999999951</v>
      </c>
      <c r="Y19" s="1294">
        <f t="shared" si="3"/>
        <v>1.2330942819068918E-2</v>
      </c>
      <c r="AA19" s="144">
        <f t="shared" si="4"/>
        <v>1.6810143999973661</v>
      </c>
      <c r="AC19" s="1294">
        <f t="shared" si="5"/>
        <v>7.7748046921219367E-5</v>
      </c>
    </row>
    <row r="20" spans="1:29">
      <c r="A20" s="76">
        <f>MAX(A$13:A19)+1</f>
        <v>7</v>
      </c>
      <c r="C20" s="1298" t="s">
        <v>471</v>
      </c>
      <c r="E20" s="1299"/>
      <c r="G20" s="72"/>
      <c r="I20" s="1675"/>
      <c r="K20" s="145">
        <f>'Table B-Step1'!M20</f>
        <v>6.7950900000000622</v>
      </c>
      <c r="M20" s="145">
        <f>'Table B-Step1'!O20</f>
        <v>0</v>
      </c>
      <c r="O20" s="145">
        <f t="shared" si="0"/>
        <v>6.7950900000000622</v>
      </c>
      <c r="Q20" s="145">
        <f>'Blocking-Step2'!Y2670/1000</f>
        <v>6.7950900000000622</v>
      </c>
      <c r="S20" s="145">
        <v>0</v>
      </c>
      <c r="U20" s="145">
        <f t="shared" si="1"/>
        <v>6.7950900000000622</v>
      </c>
      <c r="W20" s="145">
        <f t="shared" si="2"/>
        <v>0</v>
      </c>
      <c r="Y20" s="1300">
        <f t="shared" si="3"/>
        <v>0</v>
      </c>
      <c r="AA20" s="145">
        <f t="shared" si="4"/>
        <v>0</v>
      </c>
      <c r="AC20" s="1300">
        <f t="shared" si="5"/>
        <v>0</v>
      </c>
    </row>
    <row r="21" spans="1:29">
      <c r="A21" s="76">
        <f>MAX(A$13:A20)+1</f>
        <v>8</v>
      </c>
      <c r="C21" s="80" t="s">
        <v>114</v>
      </c>
      <c r="G21" s="68">
        <f>SUM(G14:G20)</f>
        <v>857868</v>
      </c>
      <c r="I21" s="1633">
        <f>SUM(I14:I20)</f>
        <v>6782999.3773651607</v>
      </c>
      <c r="K21" s="144">
        <f>SUM(K14:K20)</f>
        <v>770150.96609000012</v>
      </c>
      <c r="M21" s="144">
        <f>SUM(M14:M20)</f>
        <v>-11498.262289999999</v>
      </c>
      <c r="O21" s="144">
        <f>SUM(O14:O20)</f>
        <v>758652.7037999999</v>
      </c>
      <c r="Q21" s="144">
        <f>SUM(Q14:Q20)</f>
        <v>779689.93709000002</v>
      </c>
      <c r="S21" s="144">
        <f>SUM(S14:S20)</f>
        <v>-21125.946102800001</v>
      </c>
      <c r="U21" s="144">
        <f>SUM(U14:U20)</f>
        <v>758563.99098719994</v>
      </c>
      <c r="W21" s="144">
        <f>SUM(W14:W20)</f>
        <v>9538.9710000000014</v>
      </c>
      <c r="Y21" s="1294">
        <f t="shared" si="3"/>
        <v>1.2385845658843559E-2</v>
      </c>
      <c r="AA21" s="144">
        <f>SUM(AA14:AA20)</f>
        <v>-88.712812799994822</v>
      </c>
      <c r="AC21" s="1294">
        <f t="shared" si="5"/>
        <v>-1.1693468217491751E-4</v>
      </c>
    </row>
    <row r="22" spans="1:29">
      <c r="C22" s="80" t="s">
        <v>1316</v>
      </c>
      <c r="G22" s="68"/>
      <c r="I22" s="1633"/>
      <c r="K22" s="144"/>
      <c r="M22" s="144"/>
      <c r="O22" s="144"/>
      <c r="Q22" s="144"/>
      <c r="S22" s="144"/>
      <c r="U22" s="144"/>
      <c r="W22" s="144"/>
      <c r="AA22" s="144"/>
    </row>
    <row r="23" spans="1:29" ht="25.15" customHeight="1">
      <c r="A23" s="76">
        <f>MAX(A$13:A22)+1</f>
        <v>9</v>
      </c>
      <c r="C23" s="1295" t="s">
        <v>1378</v>
      </c>
      <c r="E23" s="1302">
        <v>6</v>
      </c>
      <c r="G23" s="68">
        <f>ROUND(('Blocking-Step2'!D672)/12,0)</f>
        <v>13093</v>
      </c>
      <c r="I23" s="1633">
        <f>SUM(('Blocking-Step2'!D690))/1000</f>
        <v>5591913.9781889282</v>
      </c>
      <c r="K23" s="144">
        <f>'Table B-Step1'!M23</f>
        <v>458729.53200000001</v>
      </c>
      <c r="M23" s="2019">
        <f>'Table B-Step1'!O23</f>
        <v>-5953.6651479000002</v>
      </c>
      <c r="O23" s="144">
        <f t="shared" ref="O23:O29" si="6">K23+M23</f>
        <v>452775.86685210001</v>
      </c>
      <c r="Q23" s="144">
        <f>('Blocking-Step2'!Y690)/1000-'Blocking-Step2'!Y258/1000+'Blocking-Step2'!Y238/1000</f>
        <v>464412.68400000007</v>
      </c>
      <c r="S23" s="2019">
        <f>'Blocking-Step2'!Y687/1000-'Blocking-Step2'!Y255/1000+'Blocking-Step2'!Y236/1000</f>
        <v>-10942.7272266</v>
      </c>
      <c r="U23" s="144">
        <f t="shared" ref="U23:U29" si="7">Q23+S23</f>
        <v>453469.95677340007</v>
      </c>
      <c r="W23" s="144">
        <f t="shared" ref="W23:W53" si="8">Q23-K23</f>
        <v>5683.1520000000601</v>
      </c>
      <c r="Y23" s="1294">
        <f t="shared" ref="Y23:Y54" si="9">W23/K23</f>
        <v>1.238889498834372E-2</v>
      </c>
      <c r="AA23" s="144">
        <f t="shared" ref="AA23:AA53" si="10">U23-O23</f>
        <v>694.08992130006664</v>
      </c>
      <c r="AC23" s="1294">
        <f t="shared" ref="AC23:AC54" si="11">AA23/O23</f>
        <v>1.5329658051911859E-3</v>
      </c>
    </row>
    <row r="24" spans="1:29">
      <c r="A24" s="76">
        <f>MAX(A$13:A23)+1</f>
        <v>10</v>
      </c>
      <c r="C24" s="1295" t="s">
        <v>1379</v>
      </c>
      <c r="E24" s="1303" t="s">
        <v>959</v>
      </c>
      <c r="G24" s="68">
        <f>ROUND(('Blocking-Step2'!D756)/12,0)</f>
        <v>370</v>
      </c>
      <c r="I24" s="1633">
        <f>SUM(('Blocking-Step2'!D772))/1000</f>
        <v>170252.22349106753</v>
      </c>
      <c r="K24" s="144">
        <f>'Table B-Step1'!M24</f>
        <v>14285.24</v>
      </c>
      <c r="M24" s="144">
        <f>'Table B-Step1'!O24</f>
        <v>-184.92831720000001</v>
      </c>
      <c r="O24" s="144">
        <f t="shared" si="6"/>
        <v>14100.3116828</v>
      </c>
      <c r="Q24" s="144">
        <f>('Blocking-Step2'!Y772)/1000-'Blocking-Step2'!Y400/1000+'Blocking-Step2'!Y382/1000</f>
        <v>14462.785000000002</v>
      </c>
      <c r="S24" s="144">
        <f>'Blocking-Step2'!Y770/1000-'Blocking-Step2'!Y398/1000+'Blocking-Step2'!Y380/1000</f>
        <v>-339.91384439999996</v>
      </c>
      <c r="U24" s="144">
        <f t="shared" si="7"/>
        <v>14122.871155600002</v>
      </c>
      <c r="W24" s="144">
        <f t="shared" si="8"/>
        <v>177.54500000000189</v>
      </c>
      <c r="Y24" s="1294">
        <f t="shared" si="9"/>
        <v>1.2428562628279391E-2</v>
      </c>
      <c r="AA24" s="144">
        <f t="shared" si="10"/>
        <v>22.559472800001458</v>
      </c>
      <c r="AC24" s="1294">
        <f t="shared" si="11"/>
        <v>1.5999272432764878E-3</v>
      </c>
    </row>
    <row r="25" spans="1:29">
      <c r="A25" s="76">
        <f>MAX(A$13:A24)+1</f>
        <v>11</v>
      </c>
      <c r="C25" s="1295" t="s">
        <v>1380</v>
      </c>
      <c r="E25" s="1303" t="s">
        <v>1215</v>
      </c>
      <c r="G25" s="68">
        <f>ROUND(('Blocking-Step2'!D832)/12,0)</f>
        <v>51</v>
      </c>
      <c r="I25" s="1633">
        <f>SUM(('Blocking-Step2'!D848))/1000</f>
        <v>24159.956617690787</v>
      </c>
      <c r="K25" s="144">
        <f>'Table B-Step1'!M25</f>
        <v>2368.009</v>
      </c>
      <c r="M25" s="144">
        <f>'Table B-Step1'!O25</f>
        <v>-30.363130299999998</v>
      </c>
      <c r="O25" s="144">
        <f t="shared" si="6"/>
        <v>2337.6458696999998</v>
      </c>
      <c r="Q25" s="144">
        <f>'Blocking-Step2'!Y867/1000-'Blocking-Step2'!Y536/1000+'Blocking-Step2'!Y518/1000</f>
        <v>2398.5070000000001</v>
      </c>
      <c r="S25" s="144">
        <f>'Blocking-Step2'!Y846/1000-'Blocking-Step2'!Y534/1000+'Blocking-Step2'!Y516/1000</f>
        <v>-55.847300400000002</v>
      </c>
      <c r="U25" s="144">
        <f t="shared" si="7"/>
        <v>2342.6596995999998</v>
      </c>
      <c r="W25" s="144">
        <f t="shared" si="8"/>
        <v>30.498000000000047</v>
      </c>
      <c r="Y25" s="1294">
        <f t="shared" si="9"/>
        <v>1.2879174023409559E-2</v>
      </c>
      <c r="AA25" s="144">
        <f t="shared" si="10"/>
        <v>5.0138299000000188</v>
      </c>
      <c r="AC25" s="1294">
        <f t="shared" si="11"/>
        <v>2.1448201222383891E-3</v>
      </c>
    </row>
    <row r="26" spans="1:29">
      <c r="A26" s="76">
        <f>MAX(A$13:A25)+1</f>
        <v>12</v>
      </c>
      <c r="C26" s="1295" t="s">
        <v>1381</v>
      </c>
      <c r="E26" s="1296" t="s">
        <v>221</v>
      </c>
      <c r="G26" s="68">
        <f>ROUND(('Blocking-Step2'!D969)/12,0)</f>
        <v>2656</v>
      </c>
      <c r="I26" s="1633">
        <f>SUM('Blocking-Step2'!D982)/1000</f>
        <v>380584.00412463915</v>
      </c>
      <c r="K26" s="144">
        <f>'Table B-Step1'!M26</f>
        <v>44191.97</v>
      </c>
      <c r="M26" s="144">
        <f>'Table B-Step1'!O26</f>
        <v>-602.50394489999985</v>
      </c>
      <c r="O26" s="144">
        <f t="shared" si="6"/>
        <v>43589.466055099998</v>
      </c>
      <c r="Q26" s="144">
        <f>('Blocking-Step2'!Y982)/1000</f>
        <v>44733.716999999997</v>
      </c>
      <c r="S26" s="144">
        <f>'Blocking-Step2'!Y979/1000</f>
        <v>-1106.5265388</v>
      </c>
      <c r="U26" s="144">
        <f t="shared" si="7"/>
        <v>43627.1904612</v>
      </c>
      <c r="W26" s="144">
        <f t="shared" si="8"/>
        <v>541.74699999999575</v>
      </c>
      <c r="Y26" s="1294">
        <f t="shared" si="9"/>
        <v>1.2258946591428165E-2</v>
      </c>
      <c r="AA26" s="144">
        <f t="shared" si="10"/>
        <v>37.724406100001943</v>
      </c>
      <c r="AC26" s="1294">
        <f t="shared" si="11"/>
        <v>8.6544776786932356E-4</v>
      </c>
    </row>
    <row r="27" spans="1:29">
      <c r="A27" s="76">
        <f>MAX(A$13:A26)+1</f>
        <v>13</v>
      </c>
      <c r="C27" s="1295" t="s">
        <v>1382</v>
      </c>
      <c r="E27" s="1297" t="s">
        <v>963</v>
      </c>
      <c r="G27" s="68">
        <f>ROUND(('Blocking-Step2'!D1065)/12,0)</f>
        <v>150</v>
      </c>
      <c r="I27" s="1633">
        <f>SUM('Blocking-Step2'!D1076)/1000</f>
        <v>23433.646101169732</v>
      </c>
      <c r="K27" s="144">
        <f>'Table B-Step1'!M27</f>
        <v>2747.5</v>
      </c>
      <c r="M27" s="144">
        <f>'Table B-Step1'!O27</f>
        <v>-35.024861299999998</v>
      </c>
      <c r="O27" s="144">
        <f t="shared" si="6"/>
        <v>2712.4751387000001</v>
      </c>
      <c r="Q27" s="144">
        <f>('Blocking-Step2'!Y1076)/1000</f>
        <v>2784.194</v>
      </c>
      <c r="S27" s="144">
        <f>'Blocking-Step2'!Y1074/1000</f>
        <v>-64.485644399999998</v>
      </c>
      <c r="U27" s="144">
        <f t="shared" si="7"/>
        <v>2719.7083555999998</v>
      </c>
      <c r="W27" s="144">
        <f t="shared" si="8"/>
        <v>36.69399999999996</v>
      </c>
      <c r="Y27" s="1294">
        <f t="shared" si="9"/>
        <v>1.3355414012738839E-2</v>
      </c>
      <c r="AA27" s="144">
        <f t="shared" si="10"/>
        <v>7.2332168999996611</v>
      </c>
      <c r="AC27" s="1294">
        <f t="shared" si="11"/>
        <v>2.6666481829825373E-3</v>
      </c>
    </row>
    <row r="28" spans="1:29">
      <c r="A28" s="76">
        <f>MAX(A$13:A27)+1</f>
        <v>14</v>
      </c>
      <c r="C28" s="1295" t="s">
        <v>1631</v>
      </c>
      <c r="E28" s="1297" t="s">
        <v>1554</v>
      </c>
      <c r="G28" s="68">
        <f>ROUND(('Blocking-Step2'!D1153)/12,0)</f>
        <v>0</v>
      </c>
      <c r="I28" s="1633">
        <f>SUM('Blocking-Step2'!D1164)/1000</f>
        <v>0</v>
      </c>
      <c r="K28" s="144">
        <f>'Table B-Step1'!M28</f>
        <v>0</v>
      </c>
      <c r="M28" s="144">
        <f>'Table B-Step1'!O28</f>
        <v>0</v>
      </c>
      <c r="O28" s="144">
        <f t="shared" si="6"/>
        <v>0</v>
      </c>
      <c r="Q28" s="144">
        <f>('Blocking-Step2'!Y1164)/1000</f>
        <v>0</v>
      </c>
      <c r="S28" s="144">
        <f>'Blocking-Step2'!Y1162/1000</f>
        <v>0</v>
      </c>
      <c r="U28" s="144">
        <f t="shared" si="7"/>
        <v>0</v>
      </c>
      <c r="W28" s="144">
        <f t="shared" si="8"/>
        <v>0</v>
      </c>
      <c r="Y28" s="1294">
        <v>0</v>
      </c>
      <c r="AA28" s="144">
        <f t="shared" si="10"/>
        <v>0</v>
      </c>
      <c r="AC28" s="1294">
        <v>0</v>
      </c>
    </row>
    <row r="29" spans="1:29">
      <c r="A29" s="76">
        <f>MAX(A$13:A28)+1</f>
        <v>15</v>
      </c>
      <c r="C29" s="1295" t="s">
        <v>1383</v>
      </c>
      <c r="E29" s="1296" t="s">
        <v>223</v>
      </c>
      <c r="G29" s="71">
        <f>ROUND('Blocking-Step2'!D889/12,0)</f>
        <v>16</v>
      </c>
      <c r="I29" s="1676">
        <f>'Blocking-Step2'!D904/1000</f>
        <v>3380.6909999999998</v>
      </c>
      <c r="K29" s="145">
        <f>'Table B-Step1'!M29</f>
        <v>309.75400000000002</v>
      </c>
      <c r="M29" s="145">
        <f>'Table B-Step1'!O29</f>
        <v>-3.8116152000000003</v>
      </c>
      <c r="O29" s="145">
        <f t="shared" si="6"/>
        <v>305.94238480000001</v>
      </c>
      <c r="Q29" s="145">
        <f>'Blocking-Step2'!Y904/1000-'Blocking-Step2'!Y569/1000+'Blocking-Step2'!Y552/1000</f>
        <v>313.46299999999997</v>
      </c>
      <c r="S29" s="145">
        <f>'Blocking-Step2'!Y902/1000-'Blocking-Step2'!Y567/1000+'Blocking-Step2'!Y550/1000</f>
        <v>-7.0002659999999999</v>
      </c>
      <c r="U29" s="145">
        <f t="shared" si="7"/>
        <v>306.46273399999995</v>
      </c>
      <c r="W29" s="145">
        <f t="shared" si="8"/>
        <v>3.7089999999999463</v>
      </c>
      <c r="Y29" s="1300">
        <f t="shared" si="9"/>
        <v>1.197401809177588E-2</v>
      </c>
      <c r="AA29" s="145">
        <f t="shared" si="10"/>
        <v>0.52034919999994145</v>
      </c>
      <c r="AC29" s="1300">
        <f t="shared" si="11"/>
        <v>1.700807818243631E-3</v>
      </c>
    </row>
    <row r="30" spans="1:29">
      <c r="A30" s="1038">
        <f>MAX(A$13:A29)+1</f>
        <v>16</v>
      </c>
      <c r="B30" s="1038"/>
      <c r="C30" s="1038" t="s">
        <v>224</v>
      </c>
      <c r="D30" s="1038"/>
      <c r="E30" s="1038"/>
      <c r="F30" s="1038"/>
      <c r="G30" s="1036">
        <f>SUM(G23:G29)</f>
        <v>16336</v>
      </c>
      <c r="H30" s="1038"/>
      <c r="I30" s="1677">
        <f>SUM(I23:I29)</f>
        <v>6193724.4995234944</v>
      </c>
      <c r="J30" s="1038"/>
      <c r="K30" s="1037">
        <f>SUM(K23:K29)</f>
        <v>522632.00500000006</v>
      </c>
      <c r="L30" s="1658"/>
      <c r="M30" s="1037">
        <f>SUM(M23:M29)</f>
        <v>-6810.2970168000002</v>
      </c>
      <c r="N30" s="1658"/>
      <c r="O30" s="1037">
        <f>SUM(O23:O29)</f>
        <v>515821.70798320003</v>
      </c>
      <c r="P30" s="1658"/>
      <c r="Q30" s="1037">
        <f>SUM(Q23:Q29)</f>
        <v>529105.35</v>
      </c>
      <c r="R30" s="1658"/>
      <c r="S30" s="1037">
        <f>SUM(S23:S29)</f>
        <v>-12516.5008206</v>
      </c>
      <c r="T30" s="1658"/>
      <c r="U30" s="1037">
        <f>SUM(U23:U29)</f>
        <v>516588.84917940013</v>
      </c>
      <c r="V30" s="1658"/>
      <c r="W30" s="1037">
        <f>SUM(W23:W29)</f>
        <v>6473.3450000000566</v>
      </c>
      <c r="X30" s="1038"/>
      <c r="Y30" s="1304">
        <f t="shared" si="9"/>
        <v>1.2386047808151465E-2</v>
      </c>
      <c r="Z30" s="1038"/>
      <c r="AA30" s="1037">
        <f>SUM(AA23:AA29)</f>
        <v>767.14119620006966</v>
      </c>
      <c r="AB30" s="1038"/>
      <c r="AC30" s="1304">
        <f t="shared" si="11"/>
        <v>1.4872216200428985E-3</v>
      </c>
    </row>
    <row r="31" spans="1:29" s="1038" customFormat="1">
      <c r="A31" s="76">
        <f>MAX(A$13:A30)+1</f>
        <v>17</v>
      </c>
      <c r="B31" s="76"/>
      <c r="C31" s="1295" t="s">
        <v>1384</v>
      </c>
      <c r="D31" s="76"/>
      <c r="E31" s="76">
        <v>8</v>
      </c>
      <c r="F31" s="68"/>
      <c r="G31" s="68">
        <f>ROUND(('Blocking-Step2'!D1377)/12,0)</f>
        <v>235</v>
      </c>
      <c r="H31" s="68"/>
      <c r="I31" s="1633">
        <f>('Blocking-Step2'!D1394)/1000</f>
        <v>1957477.8220535652</v>
      </c>
      <c r="J31" s="68"/>
      <c r="K31" s="144">
        <f>'Table B-Step1'!M31</f>
        <v>142436.14000000001</v>
      </c>
      <c r="L31" s="1659"/>
      <c r="M31" s="144">
        <f>'Table B-Step1'!O31</f>
        <v>-1811.2151326000001</v>
      </c>
      <c r="N31" s="1659"/>
      <c r="O31" s="144">
        <f t="shared" ref="O31:O33" si="12">K31+M31</f>
        <v>140624.92486740003</v>
      </c>
      <c r="P31" s="1659"/>
      <c r="Q31" s="144">
        <f>('Blocking-Step2'!Y1394)/1000</f>
        <v>144199.894</v>
      </c>
      <c r="R31" s="1659"/>
      <c r="S31" s="144">
        <f>'Blocking-Step2'!Y1392/1000</f>
        <v>-3327.3870109999998</v>
      </c>
      <c r="T31" s="1659"/>
      <c r="U31" s="144">
        <f t="shared" ref="U31:U33" si="13">Q31+S31</f>
        <v>140872.50698899999</v>
      </c>
      <c r="V31" s="1659"/>
      <c r="W31" s="144">
        <f t="shared" si="8"/>
        <v>1763.7539999999863</v>
      </c>
      <c r="X31" s="76"/>
      <c r="Y31" s="1294">
        <f t="shared" si="9"/>
        <v>1.2382770271645848E-2</v>
      </c>
      <c r="Z31" s="68"/>
      <c r="AA31" s="144">
        <f t="shared" si="10"/>
        <v>247.58212159996037</v>
      </c>
      <c r="AB31" s="76"/>
      <c r="AC31" s="1294">
        <f t="shared" si="11"/>
        <v>1.7605849164606764E-3</v>
      </c>
    </row>
    <row r="32" spans="1:29">
      <c r="A32" s="76">
        <f>MAX(A$13:A31)+1</f>
        <v>18</v>
      </c>
      <c r="C32" s="1295" t="s">
        <v>1385</v>
      </c>
      <c r="E32" s="1296" t="s">
        <v>964</v>
      </c>
      <c r="F32" s="68"/>
      <c r="G32" s="68">
        <f>ROUND(('Blocking-Step2'!D1439)/12,0)</f>
        <v>14</v>
      </c>
      <c r="H32" s="68"/>
      <c r="I32" s="1633">
        <f>('Blocking-Step2'!D1456)/1000</f>
        <v>63225.622196969678</v>
      </c>
      <c r="J32" s="68"/>
      <c r="K32" s="144">
        <f>'Table B-Step1'!M32</f>
        <v>4810.0129999999999</v>
      </c>
      <c r="L32" s="1659"/>
      <c r="M32" s="144">
        <f>'Table B-Step1'!O32</f>
        <v>-61.000245399999997</v>
      </c>
      <c r="N32" s="1659"/>
      <c r="O32" s="144">
        <f t="shared" si="12"/>
        <v>4749.0127546000003</v>
      </c>
      <c r="P32" s="1659"/>
      <c r="Q32" s="144">
        <f>('Blocking-Step2'!Y1456)/1000</f>
        <v>4870.0429999999997</v>
      </c>
      <c r="R32" s="1659"/>
      <c r="S32" s="144">
        <f>'Blocking-Step2'!Y1454/1000</f>
        <v>-112.06736049999999</v>
      </c>
      <c r="T32" s="1659"/>
      <c r="U32" s="144">
        <f t="shared" si="13"/>
        <v>4757.9756394999995</v>
      </c>
      <c r="V32" s="1659"/>
      <c r="W32" s="144">
        <f t="shared" si="8"/>
        <v>60.029999999999745</v>
      </c>
      <c r="Y32" s="1294">
        <f t="shared" si="9"/>
        <v>1.248021574993659E-2</v>
      </c>
      <c r="Z32" s="68"/>
      <c r="AA32" s="144">
        <f t="shared" si="10"/>
        <v>8.9628848999991533</v>
      </c>
      <c r="AC32" s="1294">
        <f t="shared" si="11"/>
        <v>1.8873153986199557E-3</v>
      </c>
    </row>
    <row r="33" spans="1:29">
      <c r="A33" s="76">
        <f>MAX(A$13:A32)+1</f>
        <v>19</v>
      </c>
      <c r="C33" s="1295" t="s">
        <v>1385</v>
      </c>
      <c r="E33" s="1297" t="s">
        <v>1216</v>
      </c>
      <c r="F33" s="68"/>
      <c r="G33" s="68">
        <f>ROUND(('Blocking-Step2'!D1459)/12,0)</f>
        <v>0</v>
      </c>
      <c r="H33" s="68"/>
      <c r="I33" s="1676">
        <f>('Blocking-Step2'!D1476)/1000</f>
        <v>0</v>
      </c>
      <c r="K33" s="145">
        <f>'Table B-Step1'!M33</f>
        <v>0</v>
      </c>
      <c r="M33" s="145">
        <f>'Table B-Step1'!O33</f>
        <v>0</v>
      </c>
      <c r="O33" s="145">
        <f t="shared" si="12"/>
        <v>0</v>
      </c>
      <c r="Q33" s="145">
        <f>('Blocking-Step2'!Y1476)/1000</f>
        <v>0</v>
      </c>
      <c r="S33" s="145">
        <f>'Blocking-Step2'!Y1474/1000</f>
        <v>0</v>
      </c>
      <c r="U33" s="145">
        <f t="shared" si="13"/>
        <v>0</v>
      </c>
      <c r="W33" s="145">
        <f t="shared" si="8"/>
        <v>0</v>
      </c>
      <c r="Y33" s="1300">
        <v>0</v>
      </c>
      <c r="AA33" s="145">
        <f t="shared" si="10"/>
        <v>0</v>
      </c>
      <c r="AC33" s="1300">
        <v>0</v>
      </c>
    </row>
    <row r="34" spans="1:29">
      <c r="A34" s="76">
        <f>MAX(A$13:A33)+1</f>
        <v>20</v>
      </c>
      <c r="C34" s="1038" t="s">
        <v>1372</v>
      </c>
      <c r="D34" s="1038"/>
      <c r="E34" s="1038"/>
      <c r="F34" s="1038"/>
      <c r="G34" s="1036">
        <f>SUM(G31:G33)</f>
        <v>249</v>
      </c>
      <c r="H34" s="1038"/>
      <c r="I34" s="1677">
        <f>SUM(I31:I33)</f>
        <v>2020703.4442505348</v>
      </c>
      <c r="J34" s="1038"/>
      <c r="K34" s="1037">
        <f>SUM(K31:K33)</f>
        <v>147246.15300000002</v>
      </c>
      <c r="L34" s="1658"/>
      <c r="M34" s="1037">
        <f>SUM(M31:M33)</f>
        <v>-1872.2153780000001</v>
      </c>
      <c r="N34" s="1658"/>
      <c r="O34" s="1037">
        <f>SUM(O31:O33)</f>
        <v>145373.93762200003</v>
      </c>
      <c r="P34" s="1658"/>
      <c r="Q34" s="1037">
        <f>SUM(Q31:Q33)</f>
        <v>149069.93700000001</v>
      </c>
      <c r="R34" s="1658"/>
      <c r="S34" s="1037">
        <f>SUM(S31:S33)</f>
        <v>-3439.4543715</v>
      </c>
      <c r="T34" s="1658"/>
      <c r="U34" s="1037">
        <f>SUM(U31:U33)</f>
        <v>145630.48262849997</v>
      </c>
      <c r="V34" s="1658"/>
      <c r="W34" s="1037">
        <f>SUM(W31:W33)</f>
        <v>1823.783999999986</v>
      </c>
      <c r="X34" s="1038"/>
      <c r="Y34" s="1304">
        <f t="shared" si="9"/>
        <v>1.2385953472074654E-2</v>
      </c>
      <c r="Z34" s="1038"/>
      <c r="AA34" s="1037">
        <f>SUM(AA31:AA33)</f>
        <v>256.54500649995953</v>
      </c>
      <c r="AB34" s="1038"/>
      <c r="AC34" s="1304">
        <f t="shared" si="11"/>
        <v>1.7647248928967273E-3</v>
      </c>
    </row>
    <row r="35" spans="1:29" ht="22.15" customHeight="1">
      <c r="A35" s="76">
        <f>MAX(A$13:A34)+1</f>
        <v>21</v>
      </c>
      <c r="C35" s="1295" t="s">
        <v>1386</v>
      </c>
      <c r="E35" s="76">
        <v>9</v>
      </c>
      <c r="G35" s="68">
        <f>ROUND('Blocking-Step2'!D1479/12,0)</f>
        <v>156</v>
      </c>
      <c r="I35" s="1633">
        <f>('Blocking-Step2'!D1495)/1000</f>
        <v>4847331.9543051273</v>
      </c>
      <c r="K35" s="144">
        <f>'Table B-Step1'!M35</f>
        <v>272275.58199999999</v>
      </c>
      <c r="M35" s="144">
        <f>'Table B-Step1'!O35</f>
        <v>-3550.6652429999999</v>
      </c>
      <c r="O35" s="144">
        <f t="shared" ref="O35:O36" si="14">K35+M35</f>
        <v>268724.91675699997</v>
      </c>
      <c r="Q35" s="144">
        <f>('Blocking-Step2'!Y1495)/1000</f>
        <v>275758.56699999998</v>
      </c>
      <c r="S35" s="144">
        <f>'Blocking-Step2'!Y1493/1000</f>
        <v>-6554.3210636000003</v>
      </c>
      <c r="U35" s="144">
        <f t="shared" ref="U35:U36" si="15">Q35+S35</f>
        <v>269204.24593639997</v>
      </c>
      <c r="W35" s="144">
        <f t="shared" si="8"/>
        <v>3482.984999999986</v>
      </c>
      <c r="Y35" s="1294">
        <f t="shared" si="9"/>
        <v>1.2792131319362991E-2</v>
      </c>
      <c r="AA35" s="144">
        <f t="shared" si="10"/>
        <v>479.32917939999606</v>
      </c>
      <c r="AC35" s="1294">
        <f t="shared" si="11"/>
        <v>1.7837169146225444E-3</v>
      </c>
    </row>
    <row r="36" spans="1:29" ht="22.15" customHeight="1">
      <c r="A36" s="76">
        <f>MAX(A$13:A35)+1</f>
        <v>22</v>
      </c>
      <c r="C36" s="1295" t="s">
        <v>1395</v>
      </c>
      <c r="E36" s="1296" t="s">
        <v>225</v>
      </c>
      <c r="G36" s="71">
        <f>ROUND('Blocking-Step2'!D1538/12,0)</f>
        <v>9</v>
      </c>
      <c r="I36" s="1676">
        <f>'Blocking-Step2'!D1557/1000</f>
        <v>41940.288</v>
      </c>
      <c r="K36" s="145">
        <f>'Table B-Step1'!M36</f>
        <v>2986.2220000000002</v>
      </c>
      <c r="M36" s="145">
        <f>'Table B-Step1'!O36</f>
        <v>-33.921709499999999</v>
      </c>
      <c r="O36" s="145">
        <f t="shared" si="14"/>
        <v>2952.3002905000003</v>
      </c>
      <c r="Q36" s="145">
        <f>'Blocking-Step2'!Y1557/1000</f>
        <v>3024.6320000000001</v>
      </c>
      <c r="S36" s="145">
        <f>'Blocking-Step2'!Y1555/1000</f>
        <v>-62.617536000000001</v>
      </c>
      <c r="U36" s="145">
        <f t="shared" si="15"/>
        <v>2962.0144639999999</v>
      </c>
      <c r="W36" s="145">
        <f t="shared" si="8"/>
        <v>38.409999999999854</v>
      </c>
      <c r="Y36" s="1300">
        <f t="shared" si="9"/>
        <v>1.2862406076976142E-2</v>
      </c>
      <c r="AA36" s="145">
        <f t="shared" si="10"/>
        <v>9.7141734999995606</v>
      </c>
      <c r="AC36" s="1300">
        <f t="shared" si="11"/>
        <v>3.290374468768681E-3</v>
      </c>
    </row>
    <row r="37" spans="1:29">
      <c r="A37" s="76">
        <f>MAX(A$13:A36)+1</f>
        <v>23</v>
      </c>
      <c r="C37" s="1038" t="s">
        <v>226</v>
      </c>
      <c r="D37" s="1038"/>
      <c r="E37" s="1038"/>
      <c r="F37" s="1038"/>
      <c r="G37" s="1036">
        <f>SUM(G35:G36)</f>
        <v>165</v>
      </c>
      <c r="H37" s="1038"/>
      <c r="I37" s="1677">
        <f>SUM(I35:I36)</f>
        <v>4889272.242305127</v>
      </c>
      <c r="J37" s="1038"/>
      <c r="K37" s="1037">
        <f>SUM(K35:K36)</f>
        <v>275261.804</v>
      </c>
      <c r="L37" s="1658"/>
      <c r="M37" s="1037">
        <f>SUM(M35:M36)</f>
        <v>-3584.5869524999998</v>
      </c>
      <c r="N37" s="1658"/>
      <c r="O37" s="1037">
        <f>SUM(O35:O36)</f>
        <v>271677.21704749996</v>
      </c>
      <c r="P37" s="1658"/>
      <c r="Q37" s="1037">
        <f>SUM(Q35:Q36)</f>
        <v>278783.19899999996</v>
      </c>
      <c r="R37" s="1658"/>
      <c r="S37" s="1037">
        <f>SUM(S35:S36)</f>
        <v>-6616.9385996000001</v>
      </c>
      <c r="T37" s="1658"/>
      <c r="U37" s="1037">
        <f>SUM(U35:U36)</f>
        <v>272166.26040039997</v>
      </c>
      <c r="V37" s="1658"/>
      <c r="W37" s="1037">
        <f>SUM(W35:W36)</f>
        <v>3521.3949999999859</v>
      </c>
      <c r="X37" s="1038"/>
      <c r="Y37" s="1304">
        <f t="shared" si="9"/>
        <v>1.2792893706385743E-2</v>
      </c>
      <c r="Z37" s="1038"/>
      <c r="AA37" s="1037">
        <f>SUM(AA35:AA36)</f>
        <v>489.04335289999563</v>
      </c>
      <c r="AB37" s="1038"/>
      <c r="AC37" s="1304">
        <f t="shared" si="11"/>
        <v>1.8000896733806407E-3</v>
      </c>
    </row>
    <row r="38" spans="1:29">
      <c r="A38" s="76">
        <f>MAX(A$13:A37)+1</f>
        <v>24</v>
      </c>
      <c r="C38" s="76" t="s">
        <v>227</v>
      </c>
      <c r="E38" s="1296">
        <v>10</v>
      </c>
      <c r="G38" s="68">
        <f>'Blocking-Step2'!D1604+'Blocking-Step2'!D1605</f>
        <v>3283</v>
      </c>
      <c r="I38" s="1633">
        <f>('Blocking-Step2'!D1619)/1000</f>
        <v>196833.65599999999</v>
      </c>
      <c r="K38" s="144">
        <f>'Table B-Step1'!M38</f>
        <v>15413.623</v>
      </c>
      <c r="M38" s="144">
        <f>'Table B-Step1'!O38</f>
        <v>-223.42024030000002</v>
      </c>
      <c r="O38" s="144">
        <f t="shared" ref="O38:O40" si="16">K38+M38</f>
        <v>15190.2027597</v>
      </c>
      <c r="Q38" s="144">
        <f>('Blocking-Step2'!Y1619)/1000</f>
        <v>15604.281999999999</v>
      </c>
      <c r="S38" s="144">
        <f>'Blocking-Step2'!Y1617/1000</f>
        <v>-411.4328233</v>
      </c>
      <c r="U38" s="144">
        <f t="shared" ref="U38:U40" si="17">Q38+S38</f>
        <v>15192.8491767</v>
      </c>
      <c r="W38" s="144">
        <f t="shared" si="8"/>
        <v>190.65899999999965</v>
      </c>
      <c r="Y38" s="1294">
        <f t="shared" si="9"/>
        <v>1.2369512346318556E-2</v>
      </c>
      <c r="AA38" s="144">
        <f t="shared" si="10"/>
        <v>2.6464169999999285</v>
      </c>
      <c r="AC38" s="1294">
        <f t="shared" si="11"/>
        <v>1.7421867514638719E-4</v>
      </c>
    </row>
    <row r="39" spans="1:29">
      <c r="A39" s="76">
        <f>MAX(A$13:A38)+1</f>
        <v>25</v>
      </c>
      <c r="C39" s="1295" t="s">
        <v>1387</v>
      </c>
      <c r="E39" s="1297" t="s">
        <v>966</v>
      </c>
      <c r="G39" s="68">
        <f>'Blocking-Step2'!D1622+'Blocking-Step2'!D1623</f>
        <v>56</v>
      </c>
      <c r="I39" s="1633">
        <f>('Blocking-Step2'!D1639)/1000</f>
        <v>9300.4295822001495</v>
      </c>
      <c r="K39" s="144">
        <f>'Table B-Step1'!M39</f>
        <v>755.80600000000004</v>
      </c>
      <c r="M39" s="144">
        <f>'Table B-Step1'!O39</f>
        <v>-11.1699638</v>
      </c>
      <c r="O39" s="144">
        <f t="shared" si="16"/>
        <v>744.63603620000004</v>
      </c>
      <c r="Q39" s="144">
        <f>('Blocking-Step2'!Y1639)/1000</f>
        <v>765.21</v>
      </c>
      <c r="S39" s="144">
        <f>'Blocking-Step2'!Y1637/1000</f>
        <v>-20.569170999999997</v>
      </c>
      <c r="U39" s="144">
        <f t="shared" si="17"/>
        <v>744.64082900000005</v>
      </c>
      <c r="W39" s="144">
        <f t="shared" si="8"/>
        <v>9.4039999999999964</v>
      </c>
      <c r="Y39" s="1294">
        <f t="shared" si="9"/>
        <v>1.2442346316382771E-2</v>
      </c>
      <c r="AA39" s="144">
        <f t="shared" si="10"/>
        <v>4.7928000000183602E-3</v>
      </c>
      <c r="AC39" s="1294">
        <f t="shared" si="11"/>
        <v>6.4364330585943776E-6</v>
      </c>
    </row>
    <row r="40" spans="1:29">
      <c r="A40" s="76">
        <f>MAX(A$13:A39)+1</f>
        <v>26</v>
      </c>
      <c r="C40" s="1295" t="s">
        <v>1388</v>
      </c>
      <c r="E40" s="1296" t="s">
        <v>228</v>
      </c>
      <c r="G40" s="71">
        <f>'Blocking-Step2'!D1642+'Blocking-Step2'!D1643</f>
        <v>269</v>
      </c>
      <c r="I40" s="1676">
        <f>'Blocking-Step2'!D1657/1000</f>
        <v>24258.38713714117</v>
      </c>
      <c r="K40" s="145">
        <f>'Table B-Step1'!M40</f>
        <v>1963.018</v>
      </c>
      <c r="M40" s="145">
        <f>'Table B-Step1'!O40</f>
        <v>-28.9182478</v>
      </c>
      <c r="O40" s="145">
        <f t="shared" si="16"/>
        <v>1934.0997522</v>
      </c>
      <c r="Q40" s="145">
        <f>('Blocking-Step2'!Y1657)/1000</f>
        <v>1987.5429999999999</v>
      </c>
      <c r="S40" s="145">
        <f>'Blocking-Step2'!Y1655/1000</f>
        <v>-53.253613799999997</v>
      </c>
      <c r="U40" s="145">
        <f t="shared" si="17"/>
        <v>1934.2893861999999</v>
      </c>
      <c r="W40" s="145">
        <f t="shared" si="8"/>
        <v>24.524999999999864</v>
      </c>
      <c r="Y40" s="1300">
        <f t="shared" si="9"/>
        <v>1.2493517634580968E-2</v>
      </c>
      <c r="AA40" s="145">
        <f t="shared" si="10"/>
        <v>0.18963399999984176</v>
      </c>
      <c r="AC40" s="1300">
        <f t="shared" si="11"/>
        <v>9.804768331319874E-5</v>
      </c>
    </row>
    <row r="41" spans="1:29">
      <c r="A41" s="76">
        <f>MAX(A$13:A40)+1</f>
        <v>27</v>
      </c>
      <c r="C41" s="1038" t="s">
        <v>229</v>
      </c>
      <c r="D41" s="1038"/>
      <c r="E41" s="1038"/>
      <c r="F41" s="1038"/>
      <c r="G41" s="1036">
        <f>SUM(G38:G40)</f>
        <v>3608</v>
      </c>
      <c r="H41" s="1038"/>
      <c r="I41" s="1677">
        <f>SUM(I38:I40)</f>
        <v>230392.47271934131</v>
      </c>
      <c r="J41" s="1038"/>
      <c r="K41" s="1037">
        <f>SUM(K38:K40)</f>
        <v>18132.447</v>
      </c>
      <c r="L41" s="1658"/>
      <c r="M41" s="1037">
        <f>SUM(M38:M40)</f>
        <v>-263.50845190000001</v>
      </c>
      <c r="N41" s="1658"/>
      <c r="O41" s="1037">
        <f>SUM(O38:O40)</f>
        <v>17868.938548099999</v>
      </c>
      <c r="P41" s="1658"/>
      <c r="Q41" s="1037">
        <f>SUM(Q38:Q40)</f>
        <v>18357.035</v>
      </c>
      <c r="R41" s="1658"/>
      <c r="S41" s="1037">
        <f>SUM(S38:S40)</f>
        <v>-485.25560809999996</v>
      </c>
      <c r="T41" s="1658"/>
      <c r="U41" s="1037">
        <f>SUM(U38:U40)</f>
        <v>17871.7793919</v>
      </c>
      <c r="V41" s="1658"/>
      <c r="W41" s="1037">
        <f>SUM(W38:W40)</f>
        <v>224.58799999999951</v>
      </c>
      <c r="X41" s="1038"/>
      <c r="Y41" s="1304">
        <f t="shared" si="9"/>
        <v>1.2385973057028625E-2</v>
      </c>
      <c r="Z41" s="1038"/>
      <c r="AA41" s="1037">
        <f>SUM(AA38:AA40)</f>
        <v>2.8408437999997886</v>
      </c>
      <c r="AB41" s="1038"/>
      <c r="AC41" s="1304">
        <f t="shared" si="11"/>
        <v>1.5898223570206722E-4</v>
      </c>
    </row>
    <row r="42" spans="1:29">
      <c r="A42" s="76">
        <f>MAX(A$13:A41)+1</f>
        <v>28</v>
      </c>
      <c r="C42" s="76" t="s">
        <v>230</v>
      </c>
      <c r="E42" s="76">
        <v>21</v>
      </c>
      <c r="G42" s="68">
        <f>ROUND(('Blocking-Step2'!D1919+'Blocking-Step2'!D1927)/12,0)</f>
        <v>3</v>
      </c>
      <c r="I42" s="1633">
        <f>'Blocking-Step2'!D1935/1000</f>
        <v>1837.1120000000001</v>
      </c>
      <c r="K42" s="144">
        <f>'Table B-Step1'!M42</f>
        <v>503.18799999999999</v>
      </c>
      <c r="M42" s="144">
        <f>'Table B-Step1'!O42</f>
        <v>-6.2528878000000008</v>
      </c>
      <c r="O42" s="144">
        <f t="shared" ref="O42:O45" si="18">K42+M42</f>
        <v>496.93511219999999</v>
      </c>
      <c r="Q42" s="144">
        <f>('Blocking-Step2'!Y1935)/1000</f>
        <v>508.91800000000001</v>
      </c>
      <c r="S42" s="144">
        <f>('Blocking-Step2'!Y1897+'Blocking-Step2'!Y1915)/1000</f>
        <v>-11.5120445</v>
      </c>
      <c r="U42" s="144">
        <f t="shared" ref="U42:U45" si="19">Q42+S42</f>
        <v>497.4059555</v>
      </c>
      <c r="W42" s="144">
        <f t="shared" si="8"/>
        <v>5.7300000000000182</v>
      </c>
      <c r="Y42" s="1294">
        <f t="shared" si="9"/>
        <v>1.1387393976009004E-2</v>
      </c>
      <c r="AA42" s="144">
        <f t="shared" si="10"/>
        <v>0.47084330000001273</v>
      </c>
      <c r="AC42" s="1294">
        <f t="shared" si="11"/>
        <v>9.4749452884406739E-4</v>
      </c>
    </row>
    <row r="43" spans="1:29" ht="22.15" customHeight="1">
      <c r="A43" s="76">
        <f>MAX(A$13:A42)+1</f>
        <v>29</v>
      </c>
      <c r="C43" s="1295" t="s">
        <v>1389</v>
      </c>
      <c r="E43" s="1302">
        <v>23</v>
      </c>
      <c r="G43" s="68">
        <f>ROUND(('Blocking-Step2'!D1977)/12,0)</f>
        <v>94539</v>
      </c>
      <c r="I43" s="1633">
        <f>SUM('Blocking-Step2'!D1998)/1000</f>
        <v>1388518.6134146857</v>
      </c>
      <c r="K43" s="144">
        <f>'Table B-Step1'!M43</f>
        <v>136349.897</v>
      </c>
      <c r="M43" s="144">
        <f>'Table B-Step1'!O43</f>
        <v>-1737.6380408999999</v>
      </c>
      <c r="O43" s="144">
        <f t="shared" si="18"/>
        <v>134612.2589591</v>
      </c>
      <c r="Q43" s="144">
        <f>('Blocking-Step2'!Y1998)/1000</f>
        <v>136349.897</v>
      </c>
      <c r="S43" s="144">
        <f>'Blocking-Step2'!Y1995/1000</f>
        <v>-3200.2542336000006</v>
      </c>
      <c r="U43" s="144">
        <f t="shared" si="19"/>
        <v>133149.64276640001</v>
      </c>
      <c r="W43" s="144">
        <f t="shared" si="8"/>
        <v>0</v>
      </c>
      <c r="Y43" s="1294">
        <f t="shared" si="9"/>
        <v>0</v>
      </c>
      <c r="AA43" s="144">
        <f t="shared" si="10"/>
        <v>-1462.6161926999921</v>
      </c>
      <c r="AC43" s="1294">
        <f t="shared" si="11"/>
        <v>-1.0865401145555302E-2</v>
      </c>
    </row>
    <row r="44" spans="1:29">
      <c r="A44" s="76">
        <f>MAX(A$13:A43)+1</f>
        <v>30</v>
      </c>
      <c r="C44" s="1295" t="s">
        <v>1390</v>
      </c>
      <c r="E44" s="1303" t="s">
        <v>960</v>
      </c>
      <c r="G44" s="68">
        <f>ROUND(('Blocking-Step2'!D2073)/12,0)</f>
        <v>1562</v>
      </c>
      <c r="I44" s="1633">
        <f>SUM('Blocking-Step2'!D2092)/1000</f>
        <v>14403.533942076338</v>
      </c>
      <c r="K44" s="144">
        <f>'Table B-Step1'!M44</f>
        <v>1546.86</v>
      </c>
      <c r="M44" s="144">
        <f>'Table B-Step1'!O44</f>
        <v>-18.895381999999998</v>
      </c>
      <c r="O44" s="144">
        <f t="shared" si="18"/>
        <v>1527.964618</v>
      </c>
      <c r="Q44" s="144">
        <f>('Blocking-Step2'!Y2092)/1000</f>
        <v>1546.86</v>
      </c>
      <c r="S44" s="144">
        <f>'Blocking-Step2'!Y2090/1000</f>
        <v>-34.800128000000001</v>
      </c>
      <c r="U44" s="144">
        <f t="shared" si="19"/>
        <v>1512.0598719999998</v>
      </c>
      <c r="W44" s="144">
        <f t="shared" si="8"/>
        <v>0</v>
      </c>
      <c r="Y44" s="1294">
        <f t="shared" si="9"/>
        <v>0</v>
      </c>
      <c r="AA44" s="144">
        <f t="shared" si="10"/>
        <v>-15.904746000000159</v>
      </c>
      <c r="AC44" s="1294">
        <f t="shared" si="11"/>
        <v>-1.0409106214002765E-2</v>
      </c>
    </row>
    <row r="45" spans="1:29">
      <c r="A45" s="76">
        <f>MAX(A$13:A44)+1</f>
        <v>31</v>
      </c>
      <c r="C45" s="1295" t="s">
        <v>1391</v>
      </c>
      <c r="E45" s="1296" t="s">
        <v>1214</v>
      </c>
      <c r="G45" s="68">
        <f>ROUND(('Blocking-Step2'!D2161)/12,0)</f>
        <v>129</v>
      </c>
      <c r="I45" s="1676">
        <f>SUM('Blocking-Step2'!D2181)/1000</f>
        <v>1529.7111142578219</v>
      </c>
      <c r="K45" s="145">
        <f>'Table B-Step1'!M45</f>
        <v>151.995</v>
      </c>
      <c r="M45" s="145">
        <f>'Table B-Step1'!O45</f>
        <v>-1.8869110999999998</v>
      </c>
      <c r="O45" s="145">
        <f t="shared" si="18"/>
        <v>150.10808890000001</v>
      </c>
      <c r="Q45" s="145">
        <f>('Blocking-Step2'!Y2181)/1000</f>
        <v>151.995</v>
      </c>
      <c r="S45" s="145">
        <f>'Blocking-Step2'!Y2179/1000</f>
        <v>-3.4751744000000002</v>
      </c>
      <c r="U45" s="145">
        <f t="shared" si="19"/>
        <v>148.51982559999999</v>
      </c>
      <c r="W45" s="145">
        <f t="shared" si="8"/>
        <v>0</v>
      </c>
      <c r="Y45" s="1300">
        <f t="shared" si="9"/>
        <v>0</v>
      </c>
      <c r="AA45" s="145">
        <f t="shared" si="10"/>
        <v>-1.5882633000000226</v>
      </c>
      <c r="AC45" s="1300">
        <f t="shared" si="11"/>
        <v>-1.0580797554874623E-2</v>
      </c>
    </row>
    <row r="46" spans="1:29">
      <c r="A46" s="76">
        <f>MAX(A$13:A45)+1</f>
        <v>32</v>
      </c>
      <c r="C46" s="1038" t="s">
        <v>1373</v>
      </c>
      <c r="D46" s="1038"/>
      <c r="E46" s="1038"/>
      <c r="F46" s="1038"/>
      <c r="G46" s="1036">
        <f>SUM(G43:G45)</f>
        <v>96230</v>
      </c>
      <c r="H46" s="1038"/>
      <c r="I46" s="1677">
        <f>SUM(I43:I45)</f>
        <v>1404451.8584710199</v>
      </c>
      <c r="J46" s="1038"/>
      <c r="K46" s="1037">
        <f>SUM(K43:K45)</f>
        <v>138048.75199999998</v>
      </c>
      <c r="L46" s="1658"/>
      <c r="M46" s="1037">
        <f>'Table B-Step1'!O46</f>
        <v>-1758.4203339999997</v>
      </c>
      <c r="N46" s="1658"/>
      <c r="O46" s="1037">
        <f>SUM(O43:O45)</f>
        <v>136290.33166599998</v>
      </c>
      <c r="P46" s="1658"/>
      <c r="Q46" s="1037">
        <f>SUM(Q43:Q45)</f>
        <v>138048.75199999998</v>
      </c>
      <c r="R46" s="1658"/>
      <c r="S46" s="1037">
        <f>SUM(S43:S45)</f>
        <v>-3238.5295360000005</v>
      </c>
      <c r="T46" s="1658"/>
      <c r="U46" s="1037">
        <f>SUM(U43:U45)</f>
        <v>134810.22246400002</v>
      </c>
      <c r="V46" s="1658"/>
      <c r="W46" s="1037">
        <f>SUM(W43:W45)</f>
        <v>0</v>
      </c>
      <c r="X46" s="1038"/>
      <c r="Y46" s="1304">
        <f t="shared" si="9"/>
        <v>0</v>
      </c>
      <c r="Z46" s="1038"/>
      <c r="AA46" s="1037">
        <f>SUM(AA43:AA45)</f>
        <v>-1480.1092019999924</v>
      </c>
      <c r="AB46" s="1038"/>
      <c r="AC46" s="1304">
        <f t="shared" si="11"/>
        <v>-1.0859972119131849E-2</v>
      </c>
    </row>
    <row r="47" spans="1:29">
      <c r="A47" s="76">
        <f>MAX(A$13:A46)+1</f>
        <v>33</v>
      </c>
      <c r="C47" s="76" t="s">
        <v>1392</v>
      </c>
      <c r="E47" s="76">
        <v>31</v>
      </c>
      <c r="G47" s="68">
        <f>ROUND(('Blocking-Step2'!D2231+'Blocking-Step2'!D2253+'Blocking-Step2'!D2275)/12,0)</f>
        <v>7</v>
      </c>
      <c r="I47" s="1633">
        <f>'Blocking-Step2'!D2331/1000</f>
        <v>189259.14266666665</v>
      </c>
      <c r="K47" s="144">
        <f>'Table B-Step1'!M47</f>
        <v>12559.918</v>
      </c>
      <c r="M47" s="144">
        <f>'Table B-Step1'!O47</f>
        <v>-136.59516410000001</v>
      </c>
      <c r="O47" s="144">
        <f t="shared" ref="O47:O53" si="20">K47+M47</f>
        <v>12423.3228359</v>
      </c>
      <c r="Q47" s="144">
        <f>'Blocking-Step2'!Y2331/1000</f>
        <v>12721.454</v>
      </c>
      <c r="S47" s="144">
        <f>('Blocking-Step2'!Y2312+'Blocking-Step2'!Y2327)/1000</f>
        <v>-252.03012209999997</v>
      </c>
      <c r="U47" s="144">
        <f t="shared" ref="U47:U53" si="21">Q47+S47</f>
        <v>12469.423877900001</v>
      </c>
      <c r="W47" s="144">
        <f t="shared" si="8"/>
        <v>161.53600000000006</v>
      </c>
      <c r="Y47" s="1294">
        <f t="shared" si="9"/>
        <v>1.2861230463447297E-2</v>
      </c>
      <c r="AA47" s="144">
        <f t="shared" si="10"/>
        <v>46.101042000000234</v>
      </c>
      <c r="AC47" s="1294">
        <f t="shared" si="11"/>
        <v>3.7108463338633405E-3</v>
      </c>
    </row>
    <row r="48" spans="1:29">
      <c r="A48" s="76">
        <f>MAX(A$13:A47)+1</f>
        <v>34</v>
      </c>
      <c r="C48" s="1295" t="s">
        <v>1490</v>
      </c>
      <c r="E48" s="76">
        <v>32</v>
      </c>
      <c r="G48" s="68">
        <f>ROUND('Blocking-Step2'!D2545/12,0)</f>
        <v>3</v>
      </c>
      <c r="I48" s="1633">
        <f>'Blocking-Step2'!D2606/1000</f>
        <v>196649.98999999996</v>
      </c>
      <c r="K48" s="144">
        <f>'Table B-Step1'!M48</f>
        <v>13405.413</v>
      </c>
      <c r="M48" s="144">
        <f>'Table B-Step1'!O48</f>
        <v>-19.085576699999997</v>
      </c>
      <c r="O48" s="144">
        <f t="shared" si="20"/>
        <v>13386.327423300001</v>
      </c>
      <c r="Q48" s="144">
        <f>'Blocking-Step2'!Y2606/1000</f>
        <v>13453.300999999999</v>
      </c>
      <c r="S48" s="144">
        <f>'Blocking-Step2'!Y2602/1000</f>
        <v>-35.231153400000004</v>
      </c>
      <c r="U48" s="144">
        <f t="shared" si="21"/>
        <v>13418.069846599999</v>
      </c>
      <c r="W48" s="144">
        <f t="shared" si="8"/>
        <v>47.88799999999901</v>
      </c>
      <c r="Y48" s="1294">
        <f t="shared" si="9"/>
        <v>3.5722882987640147E-3</v>
      </c>
      <c r="AA48" s="144">
        <f t="shared" si="10"/>
        <v>31.742423299998336</v>
      </c>
      <c r="AC48" s="1294">
        <f t="shared" si="11"/>
        <v>2.3712570517846472E-3</v>
      </c>
    </row>
    <row r="49" spans="1:29">
      <c r="A49" s="76">
        <f>MAX(A$13:A48)+1</f>
        <v>35</v>
      </c>
      <c r="C49" s="1295" t="s">
        <v>1489</v>
      </c>
      <c r="E49" s="76">
        <v>34</v>
      </c>
      <c r="G49" s="68">
        <f>ROUND('Blocking-Step2'!D2609/12,0)</f>
        <v>1</v>
      </c>
      <c r="I49" s="1633">
        <f>'Blocking-Step2'!D2610/1000</f>
        <v>242230</v>
      </c>
      <c r="K49" s="144">
        <f>'Table B-Step1'!M49</f>
        <v>13027.75819123467</v>
      </c>
      <c r="M49" s="144">
        <f>'Table B-Step1'!O49</f>
        <v>0</v>
      </c>
      <c r="O49" s="144">
        <f t="shared" si="20"/>
        <v>13027.75819123467</v>
      </c>
      <c r="Q49" s="144">
        <f>'Blocking-Step2'!Y2610/1000</f>
        <v>13027.75819123467</v>
      </c>
      <c r="S49" s="144">
        <v>0</v>
      </c>
      <c r="U49" s="144">
        <f t="shared" si="21"/>
        <v>13027.75819123467</v>
      </c>
      <c r="W49" s="144">
        <f t="shared" si="8"/>
        <v>0</v>
      </c>
      <c r="Y49" s="1294">
        <f t="shared" si="9"/>
        <v>0</v>
      </c>
      <c r="AA49" s="144">
        <f t="shared" si="10"/>
        <v>0</v>
      </c>
      <c r="AC49" s="1294">
        <f t="shared" si="11"/>
        <v>0</v>
      </c>
    </row>
    <row r="50" spans="1:29">
      <c r="A50" s="76">
        <f>MAX(A$13:A49)+1</f>
        <v>36</v>
      </c>
      <c r="C50" s="1295" t="s">
        <v>680</v>
      </c>
      <c r="E50" s="1296"/>
      <c r="G50" s="595">
        <f>ROUND('Blocking-Step2'!D2613/12,0)</f>
        <v>1</v>
      </c>
      <c r="I50" s="1633">
        <f>'Blocking-Step2'!D2623/1000</f>
        <v>617100</v>
      </c>
      <c r="K50" s="144">
        <f>'Table B-Step1'!M50</f>
        <v>32114.516</v>
      </c>
      <c r="M50" s="144">
        <f>'Table B-Step1'!O50</f>
        <v>-422.42064199999999</v>
      </c>
      <c r="O50" s="144">
        <f t="shared" si="20"/>
        <v>31692.095357999999</v>
      </c>
      <c r="Q50" s="144">
        <f>('Blocking-Step2'!Y2623)/1000</f>
        <v>32512.083999999999</v>
      </c>
      <c r="S50" s="144">
        <f>'Blocking-Step2'!Y2621/1000</f>
        <v>-775.72387399999991</v>
      </c>
      <c r="U50" s="144">
        <f t="shared" si="21"/>
        <v>31736.360126</v>
      </c>
      <c r="W50" s="144">
        <f t="shared" si="8"/>
        <v>397.5679999999993</v>
      </c>
      <c r="Y50" s="1294">
        <f t="shared" si="9"/>
        <v>1.2379697704302917E-2</v>
      </c>
      <c r="AA50" s="144">
        <f t="shared" si="10"/>
        <v>44.264768000000913</v>
      </c>
      <c r="AC50" s="1294">
        <f t="shared" si="11"/>
        <v>1.3967132024556152E-3</v>
      </c>
    </row>
    <row r="51" spans="1:29">
      <c r="A51" s="76">
        <f>MAX(A$13:A50)+1</f>
        <v>37</v>
      </c>
      <c r="C51" s="1295" t="s">
        <v>681</v>
      </c>
      <c r="E51" s="1296"/>
      <c r="G51" s="68">
        <f>ROUND('Blocking-Step2'!D2626/12,0)</f>
        <v>1</v>
      </c>
      <c r="I51" s="1633">
        <f>'Blocking-Step2'!D2633/1000</f>
        <v>705455.54894656001</v>
      </c>
      <c r="K51" s="144">
        <f>'Table B-Step1'!M51</f>
        <v>32219.462</v>
      </c>
      <c r="M51" s="144">
        <f>'Table B-Step1'!O51</f>
        <v>-422.07495219999998</v>
      </c>
      <c r="O51" s="144">
        <f t="shared" si="20"/>
        <v>31797.387047799999</v>
      </c>
      <c r="Q51" s="144">
        <f>'Blocking-Step2'!Y2633/1000</f>
        <v>32618.477999999999</v>
      </c>
      <c r="S51" s="144">
        <f>'Blocking-Step2'!Y2631/1000</f>
        <v>-776.31977640000014</v>
      </c>
      <c r="U51" s="144">
        <f t="shared" si="21"/>
        <v>31842.158223599999</v>
      </c>
      <c r="W51" s="144">
        <f t="shared" si="8"/>
        <v>399.01599999999962</v>
      </c>
      <c r="Y51" s="1294">
        <f t="shared" si="9"/>
        <v>1.2384316038548367E-2</v>
      </c>
      <c r="AA51" s="144">
        <f t="shared" si="10"/>
        <v>44.771175800000492</v>
      </c>
      <c r="AC51" s="1294">
        <f t="shared" si="11"/>
        <v>1.4080143042161737E-3</v>
      </c>
    </row>
    <row r="52" spans="1:29">
      <c r="A52" s="76">
        <f>MAX(A$13:A51)+1</f>
        <v>38</v>
      </c>
      <c r="C52" s="1295" t="s">
        <v>682</v>
      </c>
      <c r="E52" s="1296"/>
      <c r="G52" s="68">
        <f>ROUND('Blocking-Step2'!D2636/12,0)</f>
        <v>1</v>
      </c>
      <c r="I52" s="1633">
        <f>'Blocking-Step2'!D2640/1000</f>
        <v>1288626.1969999999</v>
      </c>
      <c r="K52" s="144">
        <f>'Table B-Step1'!M52</f>
        <v>62957.593017309679</v>
      </c>
      <c r="M52" s="144">
        <f>'Table B-Step1'!O52</f>
        <v>0</v>
      </c>
      <c r="O52" s="144">
        <f t="shared" si="20"/>
        <v>62957.593017309679</v>
      </c>
      <c r="Q52" s="144">
        <f>('Blocking-Step2'!Y2640)/1000</f>
        <v>62957.593017309679</v>
      </c>
      <c r="S52" s="144">
        <v>0</v>
      </c>
      <c r="U52" s="144">
        <f t="shared" si="21"/>
        <v>62957.593017309679</v>
      </c>
      <c r="W52" s="144">
        <f t="shared" si="8"/>
        <v>0</v>
      </c>
      <c r="Y52" s="1294">
        <f t="shared" si="9"/>
        <v>0</v>
      </c>
      <c r="AA52" s="144">
        <f t="shared" si="10"/>
        <v>0</v>
      </c>
      <c r="AC52" s="1294">
        <f t="shared" si="11"/>
        <v>0</v>
      </c>
    </row>
    <row r="53" spans="1:29">
      <c r="A53" s="76">
        <f>MAX(A$13:A52)+1</f>
        <v>39</v>
      </c>
      <c r="C53" s="1298" t="s">
        <v>471</v>
      </c>
      <c r="E53" s="1299"/>
      <c r="G53" s="72"/>
      <c r="I53" s="1675"/>
      <c r="K53" s="145">
        <f>'Table B-Step1'!M53</f>
        <v>4797.3367799999996</v>
      </c>
      <c r="M53" s="145">
        <f>'Table B-Step1'!O53</f>
        <v>0</v>
      </c>
      <c r="O53" s="145">
        <f t="shared" si="20"/>
        <v>4797.3367799999996</v>
      </c>
      <c r="Q53" s="145">
        <f>('Blocking-Step2'!Y2671+'Blocking-Step2'!Y2672+'Blocking-Step2'!Y2673)/1000</f>
        <v>4797.3367799999996</v>
      </c>
      <c r="S53" s="145">
        <v>0</v>
      </c>
      <c r="U53" s="145">
        <f t="shared" si="21"/>
        <v>4797.3367799999996</v>
      </c>
      <c r="W53" s="145">
        <f t="shared" si="8"/>
        <v>0</v>
      </c>
      <c r="Y53" s="1300">
        <f t="shared" si="9"/>
        <v>0</v>
      </c>
      <c r="AA53" s="145">
        <f t="shared" si="10"/>
        <v>0</v>
      </c>
      <c r="AC53" s="1300">
        <f t="shared" si="11"/>
        <v>0</v>
      </c>
    </row>
    <row r="54" spans="1:29">
      <c r="A54" s="76">
        <f>MAX(A$13:A53)+1</f>
        <v>40</v>
      </c>
      <c r="C54" s="80" t="s">
        <v>1393</v>
      </c>
      <c r="G54" s="68">
        <f>SUM(G23:G29,G31:G33,G35:G36,G38:G40,G42:G45,G47:G53)</f>
        <v>116605</v>
      </c>
      <c r="I54" s="1633">
        <f>SUM(I23:I29,I31:I33,I35:I36,I38:I40,I42:I45,I47:I53)</f>
        <v>17979702.507882744</v>
      </c>
      <c r="K54" s="144">
        <f>SUM(K23:K29,K31:K33,K35:K36,K38:K40,K42:K45,K47:K53)</f>
        <v>1272906.3459885446</v>
      </c>
      <c r="M54" s="144">
        <f>SUM(M23:M29,M31:M33,M35:M36,M38:M40,M42:M45,M47:M53)</f>
        <v>-15295.457355999997</v>
      </c>
      <c r="O54" s="144">
        <f>SUM(O23:O29,O31:O33,O35:O36,O38:O40,O42:O45,O47:O53)</f>
        <v>1257610.8886325441</v>
      </c>
      <c r="Q54" s="144">
        <f>SUM(Q23:Q29,Q31:Q33,Q35:Q36,Q38:Q40,Q42:Q45,Q47:Q53)</f>
        <v>1285961.195988544</v>
      </c>
      <c r="S54" s="144">
        <f>SUM(S23:S29,S31:S33,S35:S36,S38:S40,S42:S45,S47:S53)</f>
        <v>-28147.495906200002</v>
      </c>
      <c r="U54" s="144">
        <f>SUM(U23:U29,U31:U33,U35:U36,U38:U40,U42:U45,U47:U53)</f>
        <v>1257813.7000823445</v>
      </c>
      <c r="W54" s="144">
        <f>SUM(W23:W29,W31:W33,W35:W36,W38:W40,W42:W45,W47:W53)</f>
        <v>13054.850000000024</v>
      </c>
      <c r="Y54" s="1294">
        <f t="shared" si="9"/>
        <v>1.0255939127918771E-2</v>
      </c>
      <c r="AA54" s="144">
        <f>SUM(AA23:AA29,AA31:AA33,AA35:AA36,AA38:AA40,AA42:AA45,AA47:AA53)</f>
        <v>202.81144980003236</v>
      </c>
      <c r="AC54" s="1294">
        <f t="shared" si="11"/>
        <v>1.6126725017509845E-4</v>
      </c>
    </row>
    <row r="55" spans="1:29">
      <c r="C55" s="1292" t="s">
        <v>231</v>
      </c>
      <c r="G55" s="68"/>
      <c r="I55" s="1633"/>
      <c r="K55" s="144"/>
      <c r="M55" s="144"/>
      <c r="O55" s="144"/>
      <c r="Q55" s="144"/>
      <c r="S55" s="144"/>
      <c r="U55" s="144"/>
      <c r="W55" s="144"/>
      <c r="AA55" s="144"/>
    </row>
    <row r="56" spans="1:29" ht="25.15" customHeight="1">
      <c r="A56" s="76">
        <f>MAX(A$13:A55)+1</f>
        <v>41</v>
      </c>
      <c r="C56" s="76" t="s">
        <v>232</v>
      </c>
      <c r="E56" s="76">
        <v>7</v>
      </c>
      <c r="G56" s="68">
        <f>'Blocking-Step2'!D1205</f>
        <v>6491</v>
      </c>
      <c r="I56" s="1633">
        <f>'Blocking-Step2'!D1206/1000</f>
        <v>10497.984469308627</v>
      </c>
      <c r="K56" s="144">
        <f>'Table B-Step1'!M56</f>
        <v>1383.2668705464662</v>
      </c>
      <c r="M56" s="144">
        <f>'Table B-Step1'!O56</f>
        <v>-14.109322079573957</v>
      </c>
      <c r="O56" s="144">
        <f t="shared" ref="O56:O60" si="22">K56+M56</f>
        <v>1369.1575484668922</v>
      </c>
      <c r="Q56" s="144">
        <f>('Blocking-Step2'!Y1206)/1000</f>
        <v>1383.2668705464662</v>
      </c>
      <c r="S56" s="144">
        <f>'Blocking-Step2'!Y1203/1000</f>
        <v>-25.86709047921892</v>
      </c>
      <c r="U56" s="144">
        <f t="shared" ref="U56:U60" si="23">Q56+S56</f>
        <v>1357.3997800672473</v>
      </c>
      <c r="W56" s="144">
        <f t="shared" ref="W56:W63" si="24">Q56-K56</f>
        <v>0</v>
      </c>
      <c r="Y56" s="1294">
        <f t="shared" ref="Y56:Y65" si="25">W56/K56</f>
        <v>0</v>
      </c>
      <c r="AA56" s="144">
        <f t="shared" ref="AA56:AA63" si="26">U56-O56</f>
        <v>-11.757768399644874</v>
      </c>
      <c r="AC56" s="1294">
        <f t="shared" ref="AC56:AC64" si="27">AA56/O56</f>
        <v>-8.5875934532228092E-3</v>
      </c>
    </row>
    <row r="57" spans="1:29">
      <c r="A57" s="76">
        <f>MAX(A$13:A56)+1</f>
        <v>42</v>
      </c>
      <c r="C57" s="76" t="s">
        <v>233</v>
      </c>
      <c r="E57" s="76">
        <v>11</v>
      </c>
      <c r="G57" s="68">
        <f>'Blocking-Step2'!D1712</f>
        <v>715</v>
      </c>
      <c r="I57" s="1633">
        <f>'Blocking-Step2'!D1716/1000</f>
        <v>13572.50823362934</v>
      </c>
      <c r="K57" s="144">
        <f>'Table B-Step1'!M57</f>
        <v>3759.4048698993784</v>
      </c>
      <c r="M57" s="144">
        <f>'Table B-Step1'!O57</f>
        <v>-38.345929672973661</v>
      </c>
      <c r="O57" s="144">
        <f t="shared" si="22"/>
        <v>3721.0589402264045</v>
      </c>
      <c r="Q57" s="144">
        <f>('Blocking-Step2'!Y1716)/1000</f>
        <v>3759.4048698993784</v>
      </c>
      <c r="S57" s="144">
        <f>'Blocking-Step2'!Y1714/1000</f>
        <v>-70.300871067118379</v>
      </c>
      <c r="U57" s="144">
        <f t="shared" si="23"/>
        <v>3689.10399883226</v>
      </c>
      <c r="W57" s="144">
        <f t="shared" si="24"/>
        <v>0</v>
      </c>
      <c r="Y57" s="1294">
        <f t="shared" si="25"/>
        <v>0</v>
      </c>
      <c r="AA57" s="144">
        <f t="shared" si="26"/>
        <v>-31.954941394144498</v>
      </c>
      <c r="AC57" s="1294">
        <f t="shared" si="27"/>
        <v>-8.5875934532228144E-3</v>
      </c>
    </row>
    <row r="58" spans="1:29">
      <c r="A58" s="76">
        <f>MAX(A$13:A57)+1</f>
        <v>43</v>
      </c>
      <c r="C58" s="76" t="s">
        <v>234</v>
      </c>
      <c r="E58" s="76">
        <v>12</v>
      </c>
      <c r="G58" s="68">
        <f>'Blocking-Step2'!D1803</f>
        <v>1229</v>
      </c>
      <c r="I58" s="1633">
        <f>'Blocking-Step2'!D1807/1000</f>
        <v>26868.87420437079</v>
      </c>
      <c r="K58" s="144">
        <f>'Table B-Step1'!M58</f>
        <v>1402.8682700442894</v>
      </c>
      <c r="M58" s="144">
        <f>'Table B-Step1'!O58</f>
        <v>-14.309256354451753</v>
      </c>
      <c r="O58" s="144">
        <f t="shared" si="22"/>
        <v>1388.5590136898377</v>
      </c>
      <c r="Q58" s="144">
        <f>('Blocking-Step2'!Y1807)/1000</f>
        <v>1402.8682700442894</v>
      </c>
      <c r="S58" s="144">
        <f>'Blocking-Step2'!Y1805/1000</f>
        <v>-26.23363664982821</v>
      </c>
      <c r="U58" s="144">
        <f t="shared" si="23"/>
        <v>1376.6346333944612</v>
      </c>
      <c r="W58" s="144">
        <f t="shared" si="24"/>
        <v>0</v>
      </c>
      <c r="Y58" s="1294">
        <f t="shared" si="25"/>
        <v>0</v>
      </c>
      <c r="AA58" s="144">
        <f t="shared" si="26"/>
        <v>-11.924380295376523</v>
      </c>
      <c r="AC58" s="1294">
        <f t="shared" si="27"/>
        <v>-8.5875934532229185E-3</v>
      </c>
    </row>
    <row r="59" spans="1:29">
      <c r="A59" s="76">
        <f>MAX(A$13:A58)+1</f>
        <v>44</v>
      </c>
      <c r="C59" s="76" t="s">
        <v>236</v>
      </c>
      <c r="E59" s="76">
        <v>15</v>
      </c>
      <c r="G59" s="68">
        <f>ROUND('Blocking-Step2'!D1813/12,0)</f>
        <v>637</v>
      </c>
      <c r="I59" s="1633">
        <f>('Blocking-Step2'!D1818)/1000</f>
        <v>15963.151062719233</v>
      </c>
      <c r="K59" s="144">
        <f>'Table B-Step1'!M59</f>
        <v>797.02300000000002</v>
      </c>
      <c r="M59" s="144">
        <f>'Table B-Step1'!O59</f>
        <v>-8.3929017999999989</v>
      </c>
      <c r="O59" s="144">
        <f t="shared" si="22"/>
        <v>788.63009820000002</v>
      </c>
      <c r="Q59" s="144">
        <f>('Blocking-Step2'!Y1818)/1000</f>
        <v>797.02300000000002</v>
      </c>
      <c r="S59" s="144">
        <f>'Blocking-Step2'!Y1816/1000</f>
        <v>-15.377598600000001</v>
      </c>
      <c r="U59" s="144">
        <f t="shared" si="23"/>
        <v>781.64540139999997</v>
      </c>
      <c r="W59" s="144">
        <f t="shared" si="24"/>
        <v>0</v>
      </c>
      <c r="Y59" s="1294">
        <f t="shared" si="25"/>
        <v>0</v>
      </c>
      <c r="AA59" s="144">
        <f t="shared" si="26"/>
        <v>-6.9846968000000516</v>
      </c>
      <c r="AC59" s="1294">
        <f t="shared" si="27"/>
        <v>-8.8567464213478476E-3</v>
      </c>
    </row>
    <row r="60" spans="1:29">
      <c r="A60" s="76">
        <f>MAX(A$13:A59)+1</f>
        <v>45</v>
      </c>
      <c r="C60" s="76" t="s">
        <v>235</v>
      </c>
      <c r="E60" s="76">
        <v>15</v>
      </c>
      <c r="G60" s="71">
        <f>ROUND('Blocking-Step2'!D1854/12,0)</f>
        <v>2734</v>
      </c>
      <c r="I60" s="1676">
        <f>'Blocking-Step2'!D1859/1000</f>
        <v>7776.3704443165416</v>
      </c>
      <c r="K60" s="145">
        <f>'Table B-Step1'!M60</f>
        <v>802.65099999999995</v>
      </c>
      <c r="M60" s="145">
        <f>'Table B-Step1'!O60</f>
        <v>-8.9595359999999999</v>
      </c>
      <c r="O60" s="145">
        <f t="shared" si="22"/>
        <v>793.691464</v>
      </c>
      <c r="Q60" s="145">
        <f>('Blocking-Step2'!Y1859)/1000</f>
        <v>802.65099999999995</v>
      </c>
      <c r="S60" s="145">
        <f>'Blocking-Step2'!Y1857/1000</f>
        <v>-16.425815999999998</v>
      </c>
      <c r="U60" s="145">
        <f t="shared" si="23"/>
        <v>786.2251839999999</v>
      </c>
      <c r="W60" s="145">
        <f t="shared" si="24"/>
        <v>0</v>
      </c>
      <c r="Y60" s="1300">
        <f t="shared" si="25"/>
        <v>0</v>
      </c>
      <c r="AA60" s="145">
        <f t="shared" si="26"/>
        <v>-7.4662800000000971</v>
      </c>
      <c r="AC60" s="1300">
        <f t="shared" si="27"/>
        <v>-9.4070307400963768E-3</v>
      </c>
    </row>
    <row r="61" spans="1:29">
      <c r="A61" s="76">
        <f>MAX(A$13:A60)+1</f>
        <v>46</v>
      </c>
      <c r="C61" s="1038" t="s">
        <v>237</v>
      </c>
      <c r="D61" s="77"/>
      <c r="F61" s="77"/>
      <c r="G61" s="68">
        <f>SUM(G56:G60)</f>
        <v>11806</v>
      </c>
      <c r="H61" s="77"/>
      <c r="I61" s="1633">
        <f>SUM(I56:I60)</f>
        <v>74678.888414344532</v>
      </c>
      <c r="J61" s="77"/>
      <c r="K61" s="144">
        <f>SUM(K56:K60)</f>
        <v>8145.2140104901346</v>
      </c>
      <c r="L61" s="144"/>
      <c r="M61" s="144">
        <f>SUM(M56:M60)</f>
        <v>-84.116945906999376</v>
      </c>
      <c r="N61" s="144"/>
      <c r="O61" s="144">
        <f>SUM(O56:O60)</f>
        <v>8061.0970645831349</v>
      </c>
      <c r="P61" s="144"/>
      <c r="Q61" s="144">
        <f>SUM(Q56:Q60)</f>
        <v>8145.2140104901346</v>
      </c>
      <c r="R61" s="144"/>
      <c r="S61" s="144">
        <f>SUM(S56:S60)</f>
        <v>-154.20501279616551</v>
      </c>
      <c r="T61" s="144"/>
      <c r="U61" s="144">
        <f>SUM(U56:U60)</f>
        <v>7991.008997693968</v>
      </c>
      <c r="V61" s="144"/>
      <c r="W61" s="144">
        <f>SUM(W56:W60)</f>
        <v>0</v>
      </c>
      <c r="Y61" s="1294">
        <f t="shared" si="25"/>
        <v>0</v>
      </c>
      <c r="Z61" s="77"/>
      <c r="AA61" s="144">
        <f>SUM(AA56:AA60)</f>
        <v>-70.088066889166043</v>
      </c>
      <c r="AC61" s="1294">
        <f t="shared" si="27"/>
        <v>-8.6946064943321105E-3</v>
      </c>
    </row>
    <row r="62" spans="1:29">
      <c r="A62" s="76">
        <f>MAX(A$13:A61)+1</f>
        <v>47</v>
      </c>
      <c r="C62" s="1295" t="s">
        <v>1396</v>
      </c>
      <c r="E62" s="1296"/>
      <c r="G62" s="68">
        <f>'Blocking-Step2'!D2643</f>
        <v>4</v>
      </c>
      <c r="I62" s="1633">
        <f>'Blocking-Step2'!D2649/1000</f>
        <v>7.3869999999999996</v>
      </c>
      <c r="K62" s="144">
        <f>'Table B-Step1'!M62</f>
        <v>0.55700000000000005</v>
      </c>
      <c r="M62" s="144">
        <f>'Table B-Step1'!O62</f>
        <v>0</v>
      </c>
      <c r="O62" s="144">
        <f>K62+M62</f>
        <v>0.55700000000000005</v>
      </c>
      <c r="Q62" s="144">
        <f>'Blocking-Step2'!Y2649/1000</f>
        <v>0.55700000000000005</v>
      </c>
      <c r="S62" s="144">
        <v>0</v>
      </c>
      <c r="U62" s="144">
        <f>Q62+S62</f>
        <v>0.55700000000000005</v>
      </c>
      <c r="W62" s="144">
        <f t="shared" si="24"/>
        <v>0</v>
      </c>
      <c r="Y62" s="1294">
        <f t="shared" si="25"/>
        <v>0</v>
      </c>
      <c r="AA62" s="144">
        <f t="shared" si="26"/>
        <v>0</v>
      </c>
      <c r="AC62" s="1294">
        <f t="shared" si="27"/>
        <v>0</v>
      </c>
    </row>
    <row r="63" spans="1:29" ht="22.15" customHeight="1">
      <c r="A63" s="76">
        <f>MAX(A$13:A62)+1</f>
        <v>48</v>
      </c>
      <c r="C63" s="1298" t="s">
        <v>471</v>
      </c>
      <c r="D63" s="78"/>
      <c r="E63" s="1299"/>
      <c r="F63" s="78"/>
      <c r="G63" s="73"/>
      <c r="H63" s="78"/>
      <c r="I63" s="1678"/>
      <c r="J63" s="78"/>
      <c r="K63" s="145">
        <f>'Table B-Step1'!M63</f>
        <v>4.6550400000000005</v>
      </c>
      <c r="M63" s="145">
        <f>'Table B-Step1'!O63</f>
        <v>0</v>
      </c>
      <c r="O63" s="145">
        <f>K63+M63</f>
        <v>4.6550400000000005</v>
      </c>
      <c r="Q63" s="145">
        <f>'Blocking-Step2'!Y2674/1000</f>
        <v>4.6550400000000005</v>
      </c>
      <c r="S63" s="145">
        <f>'Blocking-Step2'!AA2674/1000</f>
        <v>0</v>
      </c>
      <c r="U63" s="145">
        <f>Q63+S63</f>
        <v>4.6550400000000005</v>
      </c>
      <c r="W63" s="145">
        <f t="shared" si="24"/>
        <v>0</v>
      </c>
      <c r="Y63" s="1300">
        <f t="shared" si="25"/>
        <v>0</v>
      </c>
      <c r="Z63" s="78"/>
      <c r="AA63" s="145">
        <f t="shared" si="26"/>
        <v>0</v>
      </c>
      <c r="AC63" s="1300">
        <f t="shared" si="27"/>
        <v>0</v>
      </c>
    </row>
    <row r="64" spans="1:29">
      <c r="A64" s="76">
        <f>MAX(A$13:A63)+1</f>
        <v>49</v>
      </c>
      <c r="C64" s="1305" t="s">
        <v>238</v>
      </c>
      <c r="E64" s="1306"/>
      <c r="G64" s="71">
        <f>SUM(G62:G63)+G61</f>
        <v>11810</v>
      </c>
      <c r="I64" s="1676">
        <f>SUM(I62:I63)+I61</f>
        <v>74686.275414344535</v>
      </c>
      <c r="K64" s="145">
        <f>SUM(K62:K63)+K61</f>
        <v>8150.4260504901349</v>
      </c>
      <c r="M64" s="145">
        <f>SUM(M62:M63)+M61</f>
        <v>-84.116945906999376</v>
      </c>
      <c r="O64" s="145">
        <f>SUM(O62:O63)+O61</f>
        <v>8066.3091045831352</v>
      </c>
      <c r="Q64" s="145">
        <f>SUM(Q62:Q63)+Q61</f>
        <v>8150.4260504901349</v>
      </c>
      <c r="S64" s="145">
        <f>SUM(S62:S63)+S61</f>
        <v>-154.20501279616551</v>
      </c>
      <c r="U64" s="145">
        <f>SUM(U62:U63)+U61</f>
        <v>7996.2210376939684</v>
      </c>
      <c r="W64" s="145">
        <f>SUM(W62:W63)+W61</f>
        <v>0</v>
      </c>
      <c r="Y64" s="1307">
        <f t="shared" si="25"/>
        <v>0</v>
      </c>
      <c r="AA64" s="145">
        <f>SUM(AA62:AA63)+AA61</f>
        <v>-70.088066889166043</v>
      </c>
      <c r="AC64" s="1307">
        <f t="shared" si="27"/>
        <v>-8.688988480412092E-3</v>
      </c>
    </row>
    <row r="65" spans="1:29" ht="22.15" customHeight="1" thickBot="1">
      <c r="A65" s="76">
        <f>MAX(A$13:A64)+1</f>
        <v>50</v>
      </c>
      <c r="C65" s="1308" t="s">
        <v>239</v>
      </c>
      <c r="E65" s="1309"/>
      <c r="G65" s="67">
        <f>G64+G54+G21</f>
        <v>986283</v>
      </c>
      <c r="I65" s="1634">
        <f>I64+I54+I21</f>
        <v>24837388.160662249</v>
      </c>
      <c r="K65" s="146">
        <f>K64+K54+K21</f>
        <v>2051207.7381290351</v>
      </c>
      <c r="M65" s="146">
        <f>M64+M54+M21</f>
        <v>-26877.836591906995</v>
      </c>
      <c r="O65" s="146">
        <f>O64+O54+O21</f>
        <v>2024329.9015371273</v>
      </c>
      <c r="Q65" s="146">
        <f>Q64+Q54+Q21</f>
        <v>2073801.5591290342</v>
      </c>
      <c r="S65" s="146">
        <f>S64+S54+S21</f>
        <v>-49427.647021796169</v>
      </c>
      <c r="U65" s="146">
        <f>U64+U54+U21</f>
        <v>2024373.9121072385</v>
      </c>
      <c r="W65" s="146">
        <f>W64+W54+W21</f>
        <v>22593.821000000025</v>
      </c>
      <c r="Y65" s="1310">
        <f t="shared" si="25"/>
        <v>1.1014886781096337E-2</v>
      </c>
      <c r="AA65" s="146">
        <f>AA64+AA54+AA21</f>
        <v>44.010570110871498</v>
      </c>
      <c r="AC65" s="1310">
        <f>AA65/O65</f>
        <v>2.1740809182067165E-5</v>
      </c>
    </row>
    <row r="66" spans="1:29" ht="25.15" customHeight="1" thickTop="1">
      <c r="E66" s="90"/>
    </row>
    <row r="67" spans="1:29">
      <c r="C67" s="1295"/>
    </row>
    <row r="68" spans="1:29">
      <c r="C68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8"/>
  <sheetViews>
    <sheetView topLeftCell="A8" zoomScale="90" zoomScaleNormal="90" workbookViewId="0">
      <pane xSplit="6" ySplit="4" topLeftCell="I48" activePane="bottomRight" state="frozen"/>
      <selection activeCell="A8" sqref="A8"/>
      <selection pane="topRight" activeCell="G8" sqref="G8"/>
      <selection pane="bottomLeft" activeCell="A12" sqref="A12"/>
      <selection pane="bottomRight" activeCell="M9" sqref="M9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625" style="1657" bestFit="1" customWidth="1"/>
    <col min="14" max="14" width="1.625" style="1657" customWidth="1"/>
    <col min="15" max="15" width="11.25" style="1657" bestFit="1" customWidth="1"/>
    <col min="16" max="16" width="1.625" style="1657" customWidth="1"/>
    <col min="17" max="17" width="10.75" style="1657" customWidth="1"/>
    <col min="18" max="18" width="1.625" style="1657" customWidth="1"/>
    <col min="19" max="19" width="10.625" style="1657" bestFit="1" customWidth="1"/>
    <col min="20" max="20" width="1.625" style="76" customWidth="1"/>
    <col min="21" max="21" width="7.25" style="76" bestFit="1" customWidth="1"/>
    <col min="22" max="22" width="1.625" style="76" customWidth="1"/>
    <col min="23" max="23" width="10.625" style="1657" bestFit="1" customWidth="1"/>
    <col min="24" max="24" width="1.625" style="76" customWidth="1"/>
    <col min="25" max="25" width="7.75" style="76" bestFit="1" customWidth="1"/>
    <col min="26" max="16384" width="9" style="76"/>
  </cols>
  <sheetData>
    <row r="1" spans="1:25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75"/>
      <c r="U1" s="75"/>
      <c r="V1" s="75"/>
      <c r="W1" s="1660"/>
      <c r="X1" s="75"/>
      <c r="Y1" s="75"/>
    </row>
    <row r="2" spans="1:25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62"/>
      <c r="U2" s="62"/>
      <c r="V2" s="62"/>
      <c r="W2" s="1661"/>
      <c r="X2" s="62"/>
      <c r="Y2" s="62"/>
    </row>
    <row r="3" spans="1:25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62"/>
      <c r="U3" s="62"/>
      <c r="V3" s="62"/>
      <c r="W3" s="1661"/>
      <c r="X3" s="62"/>
      <c r="Y3" s="62"/>
    </row>
    <row r="4" spans="1:25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62"/>
      <c r="U4" s="62"/>
      <c r="V4" s="62"/>
      <c r="W4" s="1661"/>
      <c r="X4" s="62"/>
      <c r="Y4" s="62"/>
    </row>
    <row r="5" spans="1:25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62"/>
      <c r="U5" s="62"/>
      <c r="V5" s="62"/>
      <c r="W5" s="1661"/>
      <c r="X5" s="62"/>
      <c r="Y5" s="62"/>
    </row>
    <row r="6" spans="1:25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62"/>
      <c r="U6" s="62"/>
      <c r="V6" s="62"/>
      <c r="W6" s="1661"/>
      <c r="X6" s="62"/>
      <c r="Y6" s="62"/>
    </row>
    <row r="7" spans="1:25">
      <c r="D7" s="85"/>
      <c r="F7" s="85"/>
      <c r="G7" s="2038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85"/>
      <c r="U7" s="84"/>
      <c r="V7" s="85"/>
      <c r="W7" s="1662"/>
      <c r="X7" s="85"/>
      <c r="Y7" s="84"/>
    </row>
    <row r="8" spans="1:25">
      <c r="D8" s="2038"/>
      <c r="E8" s="2038"/>
      <c r="F8" s="2038"/>
      <c r="G8" s="2038" t="s">
        <v>1368</v>
      </c>
      <c r="H8" s="2038"/>
      <c r="I8" s="1290"/>
      <c r="J8" s="2038"/>
      <c r="K8" s="1664" t="s">
        <v>200</v>
      </c>
      <c r="L8" s="1665"/>
      <c r="M8" s="1666" t="s">
        <v>2330</v>
      </c>
      <c r="N8" s="1666"/>
      <c r="O8" s="1666"/>
      <c r="P8" s="1666"/>
      <c r="Q8" s="1666"/>
      <c r="R8" s="1666"/>
      <c r="S8" s="1666"/>
      <c r="T8" s="1035"/>
      <c r="U8" s="1039"/>
      <c r="V8" s="1035"/>
      <c r="W8" s="1666"/>
      <c r="X8" s="1035"/>
      <c r="Y8" s="1039"/>
    </row>
    <row r="9" spans="1:25" s="80" customFormat="1">
      <c r="A9" s="80" t="s">
        <v>217</v>
      </c>
      <c r="D9" s="2038"/>
      <c r="E9" s="2038" t="s">
        <v>156</v>
      </c>
      <c r="F9" s="2038"/>
      <c r="G9" s="83" t="s">
        <v>778</v>
      </c>
      <c r="H9" s="2038"/>
      <c r="I9" s="1290" t="s">
        <v>109</v>
      </c>
      <c r="J9" s="83"/>
      <c r="K9" s="1665" t="s">
        <v>1366</v>
      </c>
      <c r="L9" s="1664"/>
      <c r="M9" s="1664" t="s">
        <v>1366</v>
      </c>
      <c r="N9" s="1664"/>
      <c r="O9" s="1664" t="s">
        <v>2209</v>
      </c>
      <c r="P9" s="1664"/>
      <c r="Q9" s="1664" t="s">
        <v>2210</v>
      </c>
      <c r="R9" s="1664"/>
      <c r="S9" s="1666" t="s">
        <v>2211</v>
      </c>
      <c r="T9" s="1035"/>
      <c r="U9" s="1039"/>
      <c r="V9" s="83"/>
      <c r="W9" s="1666" t="s">
        <v>1752</v>
      </c>
      <c r="X9" s="1035"/>
      <c r="Y9" s="1039"/>
    </row>
    <row r="10" spans="1:25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U10" s="1042" t="s">
        <v>1370</v>
      </c>
      <c r="W10" s="1667" t="s">
        <v>1397</v>
      </c>
      <c r="Y10" s="1042" t="s">
        <v>1370</v>
      </c>
    </row>
    <row r="11" spans="1:25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669">
        <f>MIN($A11:J11)-1</f>
        <v>-5</v>
      </c>
      <c r="L11" s="1669"/>
      <c r="M11" s="1669">
        <f>MIN($A11:L11)-1</f>
        <v>-6</v>
      </c>
      <c r="N11" s="1669"/>
      <c r="O11" s="1669">
        <f>MIN($A11:N11)-1</f>
        <v>-7</v>
      </c>
      <c r="P11" s="1669"/>
      <c r="Q11" s="1669">
        <f>MIN($A11:P11)-1</f>
        <v>-8</v>
      </c>
      <c r="R11" s="1669"/>
      <c r="S11" s="1669">
        <f>MIN($A11:R11)-1</f>
        <v>-9</v>
      </c>
      <c r="T11" s="81"/>
      <c r="U11" s="81">
        <f>MIN($A11:T11)-1</f>
        <v>-10</v>
      </c>
      <c r="V11" s="81"/>
      <c r="W11" s="1669">
        <f>MIN($A11:V11)-1</f>
        <v>-11</v>
      </c>
      <c r="X11" s="81"/>
      <c r="Y11" s="81">
        <f>MIN($A11:X11)-1</f>
        <v>-12</v>
      </c>
    </row>
    <row r="12" spans="1:25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5" t="str">
        <f>"(" &amp; -M11 &amp; ")-(" &amp; -K11 &amp; ")"</f>
        <v>(6)-(5)</v>
      </c>
      <c r="U12" s="1043" t="str">
        <f>"(" &amp; -S11 &amp; ")/(" &amp; -K11 &amp; ")"</f>
        <v>(9)/(5)</v>
      </c>
      <c r="W12" s="1665" t="str">
        <f>"(" &amp; -Q11 &amp; ")-(" &amp; -K11 &amp; ")"</f>
        <v>(8)-(5)</v>
      </c>
      <c r="Y12" s="1043" t="str">
        <f>"(" &amp; -W11 &amp; ")/(" &amp; -K11 &amp; ")"</f>
        <v>(11)/(5)</v>
      </c>
    </row>
    <row r="13" spans="1:25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76"/>
      <c r="U13" s="76"/>
      <c r="V13" s="76"/>
      <c r="W13" s="1657"/>
      <c r="X13" s="76"/>
      <c r="Y13" s="76"/>
    </row>
    <row r="14" spans="1:25">
      <c r="A14" s="76">
        <v>1</v>
      </c>
      <c r="C14" s="76" t="s">
        <v>103</v>
      </c>
      <c r="E14" s="1293">
        <v>1</v>
      </c>
      <c r="G14" s="68">
        <f>ROUND(('Blocking-Step2'!D11)/12,0)</f>
        <v>778737</v>
      </c>
      <c r="I14" s="1633">
        <f>('Blocking-Step2'!D45)/1000</f>
        <v>6307369.9065283779</v>
      </c>
      <c r="K14" s="144">
        <f>'Table B-Step1'!K14</f>
        <v>678380.16617610003</v>
      </c>
      <c r="M14" s="144">
        <f>'Table B-Step2'!Q14</f>
        <v>723508.14599999995</v>
      </c>
      <c r="O14" s="144">
        <f>'Table B-Step2'!S14</f>
        <v>-19673.507946400001</v>
      </c>
      <c r="Q14" s="144">
        <f>M14+O14</f>
        <v>703834.63805359998</v>
      </c>
      <c r="S14" s="144">
        <f>M14-K14</f>
        <v>45127.979823899921</v>
      </c>
      <c r="U14" s="1294">
        <f>S14/K14</f>
        <v>6.6523141556861481E-2</v>
      </c>
      <c r="W14" s="144">
        <f>Q14-K14</f>
        <v>25454.471877499949</v>
      </c>
      <c r="Y14" s="1294">
        <f>W14/K14</f>
        <v>3.7522429379063311E-2</v>
      </c>
    </row>
    <row r="15" spans="1:25">
      <c r="A15" s="76">
        <f>MAX(A$13:A14)+1</f>
        <v>2</v>
      </c>
      <c r="C15" s="1295" t="s">
        <v>1377</v>
      </c>
      <c r="E15" s="1296">
        <v>2</v>
      </c>
      <c r="G15" s="68">
        <f>ROUND('Blocking-Step2'!D48/12,0)</f>
        <v>363</v>
      </c>
      <c r="I15" s="1633">
        <f>'Blocking-Step2'!D82/1000</f>
        <v>2744.0360000000001</v>
      </c>
      <c r="K15" s="144">
        <f>'Table B-Step1'!K15</f>
        <v>291.05517270000001</v>
      </c>
      <c r="M15" s="144">
        <f>'Table B-Step2'!Q15</f>
        <v>313.56200000000001</v>
      </c>
      <c r="O15" s="144">
        <f>'Table B-Step2'!S15</f>
        <v>-8.5025248000000015</v>
      </c>
      <c r="Q15" s="144">
        <f t="shared" ref="Q15:Q20" si="0">M15+O15</f>
        <v>305.05947520000001</v>
      </c>
      <c r="S15" s="144">
        <f t="shared" ref="S15:S20" si="1">M15-K15</f>
        <v>22.506827299999998</v>
      </c>
      <c r="U15" s="1294">
        <f t="shared" ref="U15:U21" si="2">S15/K15</f>
        <v>7.732838791770423E-2</v>
      </c>
      <c r="W15" s="144">
        <f t="shared" ref="W15:W20" si="3">Q15-K15</f>
        <v>14.004302499999994</v>
      </c>
      <c r="Y15" s="1294">
        <f t="shared" ref="Y15:Y65" si="4">W15/K15</f>
        <v>4.8115628284794931E-2</v>
      </c>
    </row>
    <row r="16" spans="1:25">
      <c r="A16" s="76">
        <f>MAX(A$13:A15)+1</f>
        <v>3</v>
      </c>
      <c r="C16" s="1295" t="s">
        <v>1375</v>
      </c>
      <c r="E16" s="1297" t="s">
        <v>1118</v>
      </c>
      <c r="G16" s="68">
        <f>ROUND('Blocking-Step2'!D85/12,0)</f>
        <v>260</v>
      </c>
      <c r="I16" s="1633">
        <f>'Blocking-Step2'!D111/1000</f>
        <v>3648.1480452160827</v>
      </c>
      <c r="K16" s="144">
        <f>'Table B-Step1'!K16</f>
        <v>310.07596409999996</v>
      </c>
      <c r="M16" s="144">
        <f>'Table B-Step2'!Q16</f>
        <v>329.69299999999998</v>
      </c>
      <c r="O16" s="144">
        <f>'Table B-Step2'!S16</f>
        <v>-9.2189636000000004</v>
      </c>
      <c r="Q16" s="144">
        <f t="shared" si="0"/>
        <v>320.47403639999999</v>
      </c>
      <c r="S16" s="144">
        <f t="shared" si="1"/>
        <v>19.617035900000019</v>
      </c>
      <c r="U16" s="1294">
        <f t="shared" si="2"/>
        <v>6.3265258101958183E-2</v>
      </c>
      <c r="W16" s="144">
        <f t="shared" si="3"/>
        <v>10.398072300000024</v>
      </c>
      <c r="Y16" s="1294">
        <f t="shared" si="4"/>
        <v>3.3533951366338834E-2</v>
      </c>
    </row>
    <row r="17" spans="1:25">
      <c r="A17" s="76">
        <f>MAX(A$13:A16)+1</f>
        <v>4</v>
      </c>
      <c r="C17" s="1295" t="s">
        <v>1394</v>
      </c>
      <c r="E17" s="1293">
        <v>3</v>
      </c>
      <c r="G17" s="68">
        <f>ROUND(('Blocking-Step2'!D114)/12,0)</f>
        <v>18027</v>
      </c>
      <c r="I17" s="1633">
        <f>('Blocking-Step2'!D148)/1000</f>
        <v>134093.07170705788</v>
      </c>
      <c r="K17" s="144">
        <f>'Table B-Step1'!K17</f>
        <v>14086.2380001</v>
      </c>
      <c r="M17" s="144">
        <f>'Table B-Step2'!Q17</f>
        <v>14989.406000000001</v>
      </c>
      <c r="O17" s="144">
        <f>'Table B-Step2'!S17</f>
        <v>-407.69996960000003</v>
      </c>
      <c r="Q17" s="144">
        <f t="shared" si="0"/>
        <v>14581.706030400001</v>
      </c>
      <c r="S17" s="144">
        <f t="shared" si="1"/>
        <v>903.16799990000072</v>
      </c>
      <c r="U17" s="1294">
        <f t="shared" si="2"/>
        <v>6.4117048135463067E-2</v>
      </c>
      <c r="W17" s="144">
        <f t="shared" si="3"/>
        <v>495.46803030000046</v>
      </c>
      <c r="Y17" s="1294">
        <f t="shared" si="4"/>
        <v>3.517390734818502E-2</v>
      </c>
    </row>
    <row r="18" spans="1:25">
      <c r="A18" s="76">
        <f>MAX(A$13:A17)+1</f>
        <v>5</v>
      </c>
      <c r="C18" s="1295" t="s">
        <v>1376</v>
      </c>
      <c r="E18" s="1293">
        <v>135</v>
      </c>
      <c r="G18" s="68">
        <f>ROUND(('Blocking-Step2'!D151)/12,0)</f>
        <v>34868</v>
      </c>
      <c r="I18" s="1633">
        <f>('Blocking-Step2'!D185)/1000</f>
        <v>142334.24589459866</v>
      </c>
      <c r="K18" s="144">
        <f>'Table B-Step1'!K18</f>
        <v>16685.304076600001</v>
      </c>
      <c r="M18" s="144">
        <f>'Table B-Step2'!Q18</f>
        <v>18329.486000000001</v>
      </c>
      <c r="O18" s="144">
        <f>'Table B-Step2'!S18</f>
        <v>-437.15582680000006</v>
      </c>
      <c r="Q18" s="144">
        <f t="shared" si="0"/>
        <v>17892.3301732</v>
      </c>
      <c r="S18" s="144">
        <f t="shared" si="1"/>
        <v>1644.1819233999995</v>
      </c>
      <c r="U18" s="1294">
        <f t="shared" si="2"/>
        <v>9.8540722773272818E-2</v>
      </c>
      <c r="W18" s="144">
        <f t="shared" si="3"/>
        <v>1207.0260965999987</v>
      </c>
      <c r="Y18" s="1294">
        <f t="shared" si="4"/>
        <v>7.2340671231324483E-2</v>
      </c>
    </row>
    <row r="19" spans="1:25">
      <c r="A19" s="76">
        <f>MAX(A$13:A18)+1</f>
        <v>6</v>
      </c>
      <c r="C19" s="1295" t="s">
        <v>1374</v>
      </c>
      <c r="E19" s="1293">
        <v>136</v>
      </c>
      <c r="G19" s="68">
        <f>ROUND(('Blocking-Step2'!D188)/12,0)</f>
        <v>25613</v>
      </c>
      <c r="I19" s="1633">
        <f>('Blocking-Step2'!D222)/1000</f>
        <v>192809.96918991042</v>
      </c>
      <c r="K19" s="144">
        <f>'Table B-Step1'!K19</f>
        <v>20871.277468</v>
      </c>
      <c r="M19" s="144">
        <f>'Table B-Step2'!Q19</f>
        <v>22212.848999999998</v>
      </c>
      <c r="O19" s="144">
        <f>'Table B-Step2'!S19</f>
        <v>-589.86087160000011</v>
      </c>
      <c r="Q19" s="144">
        <f t="shared" si="0"/>
        <v>21622.988128399997</v>
      </c>
      <c r="S19" s="144">
        <f t="shared" si="1"/>
        <v>1341.5715319999981</v>
      </c>
      <c r="U19" s="1294">
        <f t="shared" si="2"/>
        <v>6.4278362168147377E-2</v>
      </c>
      <c r="W19" s="144">
        <f t="shared" si="3"/>
        <v>751.71066039999641</v>
      </c>
      <c r="Y19" s="1294">
        <f t="shared" si="4"/>
        <v>3.6016514156956843E-2</v>
      </c>
    </row>
    <row r="20" spans="1:25">
      <c r="A20" s="76">
        <f>MAX(A$13:A19)+1</f>
        <v>7</v>
      </c>
      <c r="C20" s="1298" t="s">
        <v>471</v>
      </c>
      <c r="E20" s="1299"/>
      <c r="G20" s="72"/>
      <c r="I20" s="1675"/>
      <c r="K20" s="145">
        <f>'Table B-Step1'!K20</f>
        <v>6.7950900000000622</v>
      </c>
      <c r="M20" s="145">
        <f>'Table B-Step2'!Q20</f>
        <v>6.7950900000000622</v>
      </c>
      <c r="O20" s="145">
        <f>'Table B-Step2'!S20</f>
        <v>0</v>
      </c>
      <c r="Q20" s="145">
        <f t="shared" si="0"/>
        <v>6.7950900000000622</v>
      </c>
      <c r="S20" s="145">
        <f t="shared" si="1"/>
        <v>0</v>
      </c>
      <c r="U20" s="1300">
        <f t="shared" si="2"/>
        <v>0</v>
      </c>
      <c r="W20" s="145">
        <f t="shared" si="3"/>
        <v>0</v>
      </c>
      <c r="Y20" s="1300">
        <f t="shared" si="4"/>
        <v>0</v>
      </c>
    </row>
    <row r="21" spans="1:25">
      <c r="A21" s="76">
        <f>MAX(A$13:A20)+1</f>
        <v>8</v>
      </c>
      <c r="C21" s="80" t="s">
        <v>114</v>
      </c>
      <c r="G21" s="68">
        <f>SUM(G14:G20)</f>
        <v>857868</v>
      </c>
      <c r="I21" s="1633">
        <f>SUM(I14:I20)</f>
        <v>6782999.3773651607</v>
      </c>
      <c r="K21" s="144">
        <f>SUM(K14:K20)</f>
        <v>730630.91194759996</v>
      </c>
      <c r="M21" s="144">
        <f>SUM(M14:M20)</f>
        <v>779689.93709000002</v>
      </c>
      <c r="O21" s="144">
        <f>SUM(O14:O20)</f>
        <v>-21125.946102800001</v>
      </c>
      <c r="Q21" s="144">
        <f>SUM(Q14:Q20)</f>
        <v>758563.99098719994</v>
      </c>
      <c r="S21" s="144">
        <f>SUM(S14:S20)</f>
        <v>49059.025142399929</v>
      </c>
      <c r="U21" s="1294">
        <f t="shared" si="2"/>
        <v>6.7146112134273322E-2</v>
      </c>
      <c r="W21" s="144">
        <f>SUM(W14:W20)</f>
        <v>27933.079039599947</v>
      </c>
      <c r="Y21" s="1294">
        <f t="shared" si="4"/>
        <v>3.8231449809782034E-2</v>
      </c>
    </row>
    <row r="22" spans="1:25">
      <c r="C22" s="80" t="s">
        <v>1316</v>
      </c>
      <c r="G22" s="68"/>
      <c r="I22" s="1633"/>
      <c r="K22" s="144"/>
      <c r="M22" s="144"/>
      <c r="O22" s="144"/>
      <c r="Q22" s="144"/>
      <c r="S22" s="144"/>
      <c r="W22" s="144"/>
    </row>
    <row r="23" spans="1:25" ht="25.15" customHeight="1">
      <c r="A23" s="76">
        <f>MAX(A$13:A22)+1</f>
        <v>9</v>
      </c>
      <c r="C23" s="1295" t="s">
        <v>1378</v>
      </c>
      <c r="E23" s="1302">
        <v>6</v>
      </c>
      <c r="G23" s="68">
        <f>ROUND(('Blocking-Step2'!D672)/12,0)</f>
        <v>13093</v>
      </c>
      <c r="I23" s="1633">
        <f>SUM(('Blocking-Step2'!D690))/1000</f>
        <v>5591913.9781889282</v>
      </c>
      <c r="K23" s="144">
        <f>'Table B-Step1'!K23</f>
        <v>456853.26424620004</v>
      </c>
      <c r="M23" s="144">
        <f>'Table B-Step2'!Q23</f>
        <v>464412.68400000007</v>
      </c>
      <c r="O23" s="2019">
        <f>'Table B-Step2'!S23</f>
        <v>-10942.7272266</v>
      </c>
      <c r="Q23" s="144">
        <f t="shared" ref="Q23:Q29" si="5">M23+O23</f>
        <v>453469.95677340007</v>
      </c>
      <c r="S23" s="144">
        <f t="shared" ref="S23:S29" si="6">M23-K23</f>
        <v>7559.4197538000299</v>
      </c>
      <c r="U23" s="1294">
        <f t="shared" ref="U23:U54" si="7">S23/K23</f>
        <v>1.6546712796882256E-2</v>
      </c>
      <c r="W23" s="144">
        <f t="shared" ref="W23:W29" si="8">Q23-K23</f>
        <v>-3383.3074727999629</v>
      </c>
      <c r="Y23" s="1294">
        <f t="shared" si="4"/>
        <v>-7.4056764777249897E-3</v>
      </c>
    </row>
    <row r="24" spans="1:25">
      <c r="A24" s="76">
        <f>MAX(A$13:A23)+1</f>
        <v>10</v>
      </c>
      <c r="C24" s="1295" t="s">
        <v>1379</v>
      </c>
      <c r="E24" s="1303" t="s">
        <v>959</v>
      </c>
      <c r="G24" s="68">
        <f>ROUND(('Blocking-Step2'!D756)/12,0)</f>
        <v>370</v>
      </c>
      <c r="I24" s="1633">
        <f>SUM(('Blocking-Step2'!D772))/1000</f>
        <v>170252.22349106753</v>
      </c>
      <c r="K24" s="144">
        <f>'Table B-Step1'!K24</f>
        <v>14362.809256999999</v>
      </c>
      <c r="M24" s="144">
        <f>'Table B-Step2'!Q24</f>
        <v>14462.785000000002</v>
      </c>
      <c r="O24" s="144">
        <f>'Table B-Step2'!S24</f>
        <v>-339.91384439999996</v>
      </c>
      <c r="Q24" s="144">
        <f t="shared" si="5"/>
        <v>14122.871155600002</v>
      </c>
      <c r="S24" s="144">
        <f t="shared" si="6"/>
        <v>99.975743000002694</v>
      </c>
      <c r="U24" s="1294">
        <f t="shared" si="7"/>
        <v>6.960737360713576E-3</v>
      </c>
      <c r="W24" s="144">
        <f t="shared" si="8"/>
        <v>-239.93810139999732</v>
      </c>
      <c r="Y24" s="1294">
        <f t="shared" si="4"/>
        <v>-1.6705513323102772E-2</v>
      </c>
    </row>
    <row r="25" spans="1:25">
      <c r="A25" s="76">
        <f>MAX(A$13:A24)+1</f>
        <v>11</v>
      </c>
      <c r="C25" s="1295" t="s">
        <v>1380</v>
      </c>
      <c r="E25" s="1303" t="s">
        <v>1215</v>
      </c>
      <c r="G25" s="68">
        <f>ROUND(('Blocking-Step2'!D832)/12,0)</f>
        <v>51</v>
      </c>
      <c r="I25" s="1633">
        <f>SUM(('Blocking-Step2'!D848))/1000</f>
        <v>24159.956617690787</v>
      </c>
      <c r="K25" s="144">
        <f>'Table B-Step1'!K25</f>
        <v>2419.2654955000003</v>
      </c>
      <c r="M25" s="144">
        <f>'Table B-Step2'!Q25</f>
        <v>2398.5070000000001</v>
      </c>
      <c r="O25" s="144">
        <f>'Table B-Step2'!S25</f>
        <v>-55.847300400000002</v>
      </c>
      <c r="Q25" s="144">
        <f t="shared" si="5"/>
        <v>2342.6596995999998</v>
      </c>
      <c r="S25" s="144">
        <f t="shared" si="6"/>
        <v>-20.758495500000208</v>
      </c>
      <c r="U25" s="1294">
        <f t="shared" si="7"/>
        <v>-8.5804950050386922E-3</v>
      </c>
      <c r="W25" s="144">
        <f t="shared" si="8"/>
        <v>-76.60579590000043</v>
      </c>
      <c r="Y25" s="1294">
        <f t="shared" si="4"/>
        <v>-3.1664898310041815E-2</v>
      </c>
    </row>
    <row r="26" spans="1:25">
      <c r="A26" s="76">
        <f>MAX(A$13:A25)+1</f>
        <v>12</v>
      </c>
      <c r="C26" s="1295" t="s">
        <v>1381</v>
      </c>
      <c r="E26" s="1296" t="s">
        <v>221</v>
      </c>
      <c r="G26" s="68">
        <f>ROUND(('Blocking-Step2'!D969)/12,0)</f>
        <v>2656</v>
      </c>
      <c r="I26" s="1633">
        <f>SUM('Blocking-Step2'!D982)/1000</f>
        <v>380584.00412463915</v>
      </c>
      <c r="K26" s="144">
        <f>'Table B-Step1'!K26</f>
        <v>43040.434740099998</v>
      </c>
      <c r="M26" s="144">
        <f>'Table B-Step2'!Q26</f>
        <v>44733.716999999997</v>
      </c>
      <c r="O26" s="144">
        <f>'Table B-Step2'!S26</f>
        <v>-1106.5265388</v>
      </c>
      <c r="Q26" s="144">
        <f t="shared" si="5"/>
        <v>43627.1904612</v>
      </c>
      <c r="S26" s="144">
        <f t="shared" si="6"/>
        <v>1693.2822598999992</v>
      </c>
      <c r="U26" s="1294">
        <f t="shared" si="7"/>
        <v>3.9341662558124643E-2</v>
      </c>
      <c r="W26" s="144">
        <f t="shared" si="8"/>
        <v>586.75572110000212</v>
      </c>
      <c r="Y26" s="1294">
        <f t="shared" si="4"/>
        <v>1.3632662510105465E-2</v>
      </c>
    </row>
    <row r="27" spans="1:25">
      <c r="A27" s="76">
        <f>MAX(A$13:A26)+1</f>
        <v>13</v>
      </c>
      <c r="C27" s="1295" t="s">
        <v>1382</v>
      </c>
      <c r="E27" s="1297" t="s">
        <v>963</v>
      </c>
      <c r="G27" s="68">
        <f>ROUND(('Blocking-Step2'!D1065)/12,0)</f>
        <v>150</v>
      </c>
      <c r="I27" s="1633">
        <f>SUM('Blocking-Step2'!D1076)/1000</f>
        <v>23433.646101169732</v>
      </c>
      <c r="K27" s="144">
        <f>'Table B-Step1'!K27</f>
        <v>3129.5990194999999</v>
      </c>
      <c r="M27" s="144">
        <f>'Table B-Step2'!Q27</f>
        <v>2784.194</v>
      </c>
      <c r="O27" s="144">
        <f>'Table B-Step2'!S27</f>
        <v>-64.485644399999998</v>
      </c>
      <c r="Q27" s="144">
        <f t="shared" si="5"/>
        <v>2719.7083555999998</v>
      </c>
      <c r="S27" s="144">
        <f t="shared" si="6"/>
        <v>-345.40501949999998</v>
      </c>
      <c r="U27" s="1294">
        <f t="shared" si="7"/>
        <v>-0.11036718037928819</v>
      </c>
      <c r="W27" s="144">
        <f t="shared" si="8"/>
        <v>-409.89066390000016</v>
      </c>
      <c r="Y27" s="1294">
        <f t="shared" si="4"/>
        <v>-0.13097226237164603</v>
      </c>
    </row>
    <row r="28" spans="1:25">
      <c r="A28" s="76">
        <f>MAX(A$13:A27)+1</f>
        <v>14</v>
      </c>
      <c r="C28" s="1295" t="s">
        <v>1631</v>
      </c>
      <c r="E28" s="1297" t="s">
        <v>1554</v>
      </c>
      <c r="G28" s="68">
        <f>ROUND(('Blocking-Step2'!D1153)/12,0)</f>
        <v>0</v>
      </c>
      <c r="I28" s="1633">
        <f>SUM('Blocking-Step2'!D1164)/1000</f>
        <v>0</v>
      </c>
      <c r="K28" s="144">
        <f>'Table B-Step1'!K28</f>
        <v>0</v>
      </c>
      <c r="M28" s="144">
        <f>'Table B-Step2'!Q28</f>
        <v>0</v>
      </c>
      <c r="O28" s="144">
        <f>'Table B-Step2'!S28</f>
        <v>0</v>
      </c>
      <c r="Q28" s="144">
        <f t="shared" si="5"/>
        <v>0</v>
      </c>
      <c r="S28" s="144">
        <f t="shared" si="6"/>
        <v>0</v>
      </c>
      <c r="U28" s="1294">
        <v>0</v>
      </c>
      <c r="W28" s="144">
        <f t="shared" si="8"/>
        <v>0</v>
      </c>
      <c r="Y28" s="1294">
        <v>0</v>
      </c>
    </row>
    <row r="29" spans="1:25">
      <c r="A29" s="76">
        <f>MAX(A$13:A28)+1</f>
        <v>15</v>
      </c>
      <c r="C29" s="1295" t="s">
        <v>1383</v>
      </c>
      <c r="E29" s="1296" t="s">
        <v>223</v>
      </c>
      <c r="G29" s="71">
        <f>ROUND('Blocking-Step2'!D889/12,0)</f>
        <v>16</v>
      </c>
      <c r="I29" s="1676">
        <f>'Blocking-Step2'!D904/1000</f>
        <v>3380.6909999999998</v>
      </c>
      <c r="K29" s="145">
        <f>'Table B-Step1'!K29</f>
        <v>331.16066489999997</v>
      </c>
      <c r="M29" s="145">
        <f>'Table B-Step2'!Q29</f>
        <v>313.46299999999997</v>
      </c>
      <c r="O29" s="145">
        <f>'Table B-Step2'!S29</f>
        <v>-7.0002659999999999</v>
      </c>
      <c r="Q29" s="145">
        <f t="shared" si="5"/>
        <v>306.46273399999995</v>
      </c>
      <c r="S29" s="145">
        <f t="shared" si="6"/>
        <v>-17.697664900000007</v>
      </c>
      <c r="U29" s="1300">
        <f t="shared" si="7"/>
        <v>-5.3441325543129164E-2</v>
      </c>
      <c r="W29" s="145">
        <f t="shared" si="8"/>
        <v>-24.697930900000017</v>
      </c>
      <c r="Y29" s="1300">
        <f t="shared" si="4"/>
        <v>-7.4579904915512862E-2</v>
      </c>
    </row>
    <row r="30" spans="1:25">
      <c r="A30" s="1038">
        <f>MAX(A$13:A29)+1</f>
        <v>16</v>
      </c>
      <c r="B30" s="1038"/>
      <c r="C30" s="1038" t="s">
        <v>224</v>
      </c>
      <c r="D30" s="1038"/>
      <c r="E30" s="1038"/>
      <c r="F30" s="1038"/>
      <c r="G30" s="1036">
        <f>SUM(G23:G29)</f>
        <v>16336</v>
      </c>
      <c r="H30" s="1038"/>
      <c r="I30" s="1677">
        <f>SUM(I23:I29)</f>
        <v>6193724.4995234944</v>
      </c>
      <c r="J30" s="1038"/>
      <c r="K30" s="1037">
        <f>SUM(K23:K29)</f>
        <v>520136.53342320002</v>
      </c>
      <c r="L30" s="1658"/>
      <c r="M30" s="1037">
        <f>SUM(M23:M29)</f>
        <v>529105.35</v>
      </c>
      <c r="N30" s="1658"/>
      <c r="O30" s="1037">
        <f>SUM(O23:O29)</f>
        <v>-12516.5008206</v>
      </c>
      <c r="P30" s="1658"/>
      <c r="Q30" s="1037">
        <f>SUM(Q23:Q29)</f>
        <v>516588.84917940013</v>
      </c>
      <c r="R30" s="1658"/>
      <c r="S30" s="1037">
        <f>SUM(S23:S29)</f>
        <v>8968.8165768000308</v>
      </c>
      <c r="T30" s="1038"/>
      <c r="U30" s="1304">
        <f t="shared" si="7"/>
        <v>1.7243196738696894E-2</v>
      </c>
      <c r="V30" s="1038"/>
      <c r="W30" s="1037">
        <f>SUM(W23:W29)</f>
        <v>-3547.6842437999585</v>
      </c>
      <c r="X30" s="1038"/>
      <c r="Y30" s="1304">
        <f t="shared" si="4"/>
        <v>-6.8206788330198815E-3</v>
      </c>
    </row>
    <row r="31" spans="1:25" s="1038" customFormat="1">
      <c r="A31" s="76">
        <f>MAX(A$13:A30)+1</f>
        <v>17</v>
      </c>
      <c r="B31" s="76"/>
      <c r="C31" s="1295" t="s">
        <v>1384</v>
      </c>
      <c r="D31" s="76"/>
      <c r="E31" s="76">
        <v>8</v>
      </c>
      <c r="F31" s="68"/>
      <c r="G31" s="68">
        <f>ROUND(('Blocking-Step2'!D1377)/12,0)</f>
        <v>235</v>
      </c>
      <c r="H31" s="68"/>
      <c r="I31" s="1633">
        <f>('Blocking-Step2'!D1394)/1000</f>
        <v>1957477.8220535652</v>
      </c>
      <c r="J31" s="68"/>
      <c r="K31" s="144">
        <f>'Table B-Step1'!K31</f>
        <v>141786.70277540002</v>
      </c>
      <c r="L31" s="1659"/>
      <c r="M31" s="144">
        <f>'Table B-Step2'!Q31</f>
        <v>144199.894</v>
      </c>
      <c r="N31" s="1659"/>
      <c r="O31" s="144">
        <f>'Table B-Step2'!S31</f>
        <v>-3327.3870109999998</v>
      </c>
      <c r="P31" s="1659"/>
      <c r="Q31" s="144">
        <f t="shared" ref="Q31:Q33" si="9">M31+O31</f>
        <v>140872.50698899999</v>
      </c>
      <c r="R31" s="1659"/>
      <c r="S31" s="144">
        <f t="shared" ref="S31:S36" si="10">M31-K31</f>
        <v>2413.1912245999847</v>
      </c>
      <c r="T31" s="76"/>
      <c r="U31" s="1294">
        <f t="shared" si="7"/>
        <v>1.7019869828150579E-2</v>
      </c>
      <c r="V31" s="68"/>
      <c r="W31" s="144">
        <f t="shared" ref="W31:W33" si="11">Q31-K31</f>
        <v>-914.19578640002874</v>
      </c>
      <c r="X31" s="76"/>
      <c r="Y31" s="1294">
        <f t="shared" si="4"/>
        <v>-6.4476835168963504E-3</v>
      </c>
    </row>
    <row r="32" spans="1:25">
      <c r="A32" s="76">
        <f>MAX(A$13:A31)+1</f>
        <v>18</v>
      </c>
      <c r="C32" s="1295" t="s">
        <v>1385</v>
      </c>
      <c r="E32" s="1296" t="s">
        <v>964</v>
      </c>
      <c r="F32" s="68"/>
      <c r="G32" s="68">
        <f>ROUND(('Blocking-Step2'!D1439)/12,0)</f>
        <v>14</v>
      </c>
      <c r="H32" s="68"/>
      <c r="I32" s="1633">
        <f>('Blocking-Step2'!D1456)/1000</f>
        <v>63225.622196969678</v>
      </c>
      <c r="J32" s="68"/>
      <c r="K32" s="144">
        <f>'Table B-Step1'!K32</f>
        <v>4770.2606975999997</v>
      </c>
      <c r="L32" s="1659"/>
      <c r="M32" s="144">
        <f>'Table B-Step2'!Q32</f>
        <v>4870.0429999999997</v>
      </c>
      <c r="N32" s="1659"/>
      <c r="O32" s="144">
        <f>'Table B-Step2'!S32</f>
        <v>-112.06736049999999</v>
      </c>
      <c r="P32" s="1659"/>
      <c r="Q32" s="144">
        <f t="shared" si="9"/>
        <v>4757.9756394999995</v>
      </c>
      <c r="R32" s="1659"/>
      <c r="S32" s="144">
        <f t="shared" si="10"/>
        <v>99.782302399999935</v>
      </c>
      <c r="U32" s="1294">
        <f t="shared" si="7"/>
        <v>2.091757845649864E-2</v>
      </c>
      <c r="V32" s="68"/>
      <c r="W32" s="144">
        <f t="shared" si="11"/>
        <v>-12.285058100000242</v>
      </c>
      <c r="Y32" s="1294">
        <f t="shared" si="4"/>
        <v>-2.5753431266725248E-3</v>
      </c>
    </row>
    <row r="33" spans="1:25">
      <c r="A33" s="76">
        <f>MAX(A$13:A32)+1</f>
        <v>19</v>
      </c>
      <c r="C33" s="1295" t="s">
        <v>1385</v>
      </c>
      <c r="E33" s="1297" t="s">
        <v>1216</v>
      </c>
      <c r="F33" s="68"/>
      <c r="G33" s="68">
        <f>ROUND(('Blocking-Step2'!D1459)/12,0)</f>
        <v>0</v>
      </c>
      <c r="H33" s="68"/>
      <c r="I33" s="1676">
        <f>('Blocking-Step2'!D1476)/1000</f>
        <v>0</v>
      </c>
      <c r="K33" s="145">
        <f>'Table B-Step1'!K33</f>
        <v>0</v>
      </c>
      <c r="M33" s="145">
        <f>'Table B-Step2'!Q33</f>
        <v>0</v>
      </c>
      <c r="O33" s="145">
        <f>'Table B-Step2'!S33</f>
        <v>0</v>
      </c>
      <c r="Q33" s="145">
        <f t="shared" si="9"/>
        <v>0</v>
      </c>
      <c r="S33" s="145">
        <f t="shared" si="10"/>
        <v>0</v>
      </c>
      <c r="U33" s="1300">
        <v>0</v>
      </c>
      <c r="W33" s="145">
        <f t="shared" si="11"/>
        <v>0</v>
      </c>
      <c r="Y33" s="1300">
        <v>0</v>
      </c>
    </row>
    <row r="34" spans="1:25">
      <c r="A34" s="76">
        <f>MAX(A$13:A33)+1</f>
        <v>20</v>
      </c>
      <c r="C34" s="1038" t="s">
        <v>1372</v>
      </c>
      <c r="D34" s="1038"/>
      <c r="E34" s="1038"/>
      <c r="F34" s="1038"/>
      <c r="G34" s="1036">
        <f>SUM(G31:G33)</f>
        <v>249</v>
      </c>
      <c r="H34" s="1038"/>
      <c r="I34" s="1677">
        <f>SUM(I31:I33)</f>
        <v>2020703.4442505348</v>
      </c>
      <c r="J34" s="1038"/>
      <c r="K34" s="1037">
        <f>SUM(K31:K33)</f>
        <v>146556.96347300001</v>
      </c>
      <c r="L34" s="1658"/>
      <c r="M34" s="1037">
        <f>SUM(M31:M33)</f>
        <v>149069.93700000001</v>
      </c>
      <c r="N34" s="1658"/>
      <c r="O34" s="1037">
        <f>SUM(O31:O33)</f>
        <v>-3439.4543715</v>
      </c>
      <c r="P34" s="1658"/>
      <c r="Q34" s="1037">
        <f>SUM(Q31:Q33)</f>
        <v>145630.48262849997</v>
      </c>
      <c r="R34" s="1658"/>
      <c r="S34" s="1037">
        <f>SUM(S31:S33)</f>
        <v>2512.9735269999846</v>
      </c>
      <c r="T34" s="1038"/>
      <c r="U34" s="1304">
        <f t="shared" si="7"/>
        <v>1.7146735763687859E-2</v>
      </c>
      <c r="V34" s="1038"/>
      <c r="W34" s="1037">
        <f>SUM(W31:W33)</f>
        <v>-926.48084450002898</v>
      </c>
      <c r="X34" s="1038"/>
      <c r="Y34" s="1304">
        <f t="shared" si="4"/>
        <v>-6.3216432883498796E-3</v>
      </c>
    </row>
    <row r="35" spans="1:25" ht="22.15" customHeight="1">
      <c r="A35" s="76">
        <f>MAX(A$13:A34)+1</f>
        <v>21</v>
      </c>
      <c r="C35" s="1295" t="s">
        <v>1386</v>
      </c>
      <c r="E35" s="76">
        <v>9</v>
      </c>
      <c r="G35" s="68">
        <f>ROUND('Blocking-Step2'!D1479/12,0)</f>
        <v>156</v>
      </c>
      <c r="I35" s="1633">
        <f>('Blocking-Step2'!D1495)/1000</f>
        <v>4847331.9543051273</v>
      </c>
      <c r="K35" s="144">
        <f>'Table B-Step1'!K35</f>
        <v>265709.5999731</v>
      </c>
      <c r="M35" s="144">
        <f>'Table B-Step2'!Q35</f>
        <v>275758.56699999998</v>
      </c>
      <c r="O35" s="144">
        <f>'Table B-Step2'!S35</f>
        <v>-6554.3210636000003</v>
      </c>
      <c r="Q35" s="144">
        <f t="shared" ref="Q35:Q36" si="12">M35+O35</f>
        <v>269204.24593639997</v>
      </c>
      <c r="S35" s="144">
        <f t="shared" si="10"/>
        <v>10048.967026899976</v>
      </c>
      <c r="U35" s="1294">
        <f t="shared" si="7"/>
        <v>3.7819360037865839E-2</v>
      </c>
      <c r="W35" s="144">
        <f t="shared" ref="W35:W36" si="13">Q35-K35</f>
        <v>3494.6459632999613</v>
      </c>
      <c r="Y35" s="1294">
        <f t="shared" si="4"/>
        <v>1.3152125341552407E-2</v>
      </c>
    </row>
    <row r="36" spans="1:25" ht="22.15" customHeight="1">
      <c r="A36" s="76">
        <f>MAX(A$13:A35)+1</f>
        <v>22</v>
      </c>
      <c r="C36" s="1295" t="s">
        <v>1395</v>
      </c>
      <c r="E36" s="1296" t="s">
        <v>225</v>
      </c>
      <c r="G36" s="71">
        <f>ROUND('Blocking-Step2'!D1538/12,0)</f>
        <v>9</v>
      </c>
      <c r="I36" s="1676">
        <f>'Blocking-Step2'!D1557/1000</f>
        <v>41940.288</v>
      </c>
      <c r="K36" s="145">
        <f>'Table B-Step1'!K36</f>
        <v>3195.848559</v>
      </c>
      <c r="M36" s="145">
        <f>'Table B-Step2'!Q36</f>
        <v>3024.6320000000001</v>
      </c>
      <c r="O36" s="145">
        <f>'Table B-Step2'!S36</f>
        <v>-62.617536000000001</v>
      </c>
      <c r="Q36" s="145">
        <f t="shared" si="12"/>
        <v>2962.0144639999999</v>
      </c>
      <c r="S36" s="145">
        <f t="shared" si="10"/>
        <v>-171.21655899999996</v>
      </c>
      <c r="U36" s="1300">
        <f t="shared" si="7"/>
        <v>-5.3574678473993345E-2</v>
      </c>
      <c r="W36" s="145">
        <f t="shared" si="13"/>
        <v>-233.83409500000016</v>
      </c>
      <c r="Y36" s="1300">
        <f t="shared" si="4"/>
        <v>-7.3168077486490235E-2</v>
      </c>
    </row>
    <row r="37" spans="1:25">
      <c r="A37" s="76">
        <f>MAX(A$13:A36)+1</f>
        <v>23</v>
      </c>
      <c r="C37" s="1038" t="s">
        <v>226</v>
      </c>
      <c r="D37" s="1038"/>
      <c r="E37" s="1038"/>
      <c r="F37" s="1038"/>
      <c r="G37" s="1036">
        <f>SUM(G35:G36)</f>
        <v>165</v>
      </c>
      <c r="H37" s="1038"/>
      <c r="I37" s="1677">
        <f>SUM(I35:I36)</f>
        <v>4889272.242305127</v>
      </c>
      <c r="J37" s="1038"/>
      <c r="K37" s="1037">
        <f>SUM(K35:K36)</f>
        <v>268905.44853210001</v>
      </c>
      <c r="L37" s="1658"/>
      <c r="M37" s="1037">
        <f>SUM(M35:M36)</f>
        <v>278783.19899999996</v>
      </c>
      <c r="N37" s="1658"/>
      <c r="O37" s="1037">
        <f>SUM(O35:O36)</f>
        <v>-6616.9385996000001</v>
      </c>
      <c r="P37" s="1658"/>
      <c r="Q37" s="1037">
        <f>SUM(Q35:Q36)</f>
        <v>272166.26040039997</v>
      </c>
      <c r="R37" s="1658"/>
      <c r="S37" s="1037">
        <f>SUM(S35:S36)</f>
        <v>9877.7504678999758</v>
      </c>
      <c r="T37" s="1038"/>
      <c r="U37" s="1304">
        <f t="shared" si="7"/>
        <v>3.6733173395409428E-2</v>
      </c>
      <c r="V37" s="1038"/>
      <c r="W37" s="1037">
        <f>SUM(W35:W36)</f>
        <v>3260.8118682999611</v>
      </c>
      <c r="X37" s="1038"/>
      <c r="Y37" s="1304">
        <f t="shared" si="4"/>
        <v>1.2126239487150848E-2</v>
      </c>
    </row>
    <row r="38" spans="1:25">
      <c r="A38" s="76">
        <f>MAX(A$13:A37)+1</f>
        <v>24</v>
      </c>
      <c r="C38" s="76" t="s">
        <v>227</v>
      </c>
      <c r="E38" s="1296">
        <v>10</v>
      </c>
      <c r="G38" s="68">
        <f>'Blocking-Step2'!D1604+'Blocking-Step2'!D1605</f>
        <v>3283</v>
      </c>
      <c r="I38" s="1633">
        <f>('Blocking-Step2'!D1619)/1000</f>
        <v>196833.65599999999</v>
      </c>
      <c r="K38" s="144">
        <f>'Table B-Step1'!K38</f>
        <v>15038.1552961</v>
      </c>
      <c r="M38" s="144">
        <f>'Table B-Step2'!Q38</f>
        <v>15604.281999999999</v>
      </c>
      <c r="O38" s="144">
        <f>'Table B-Step2'!S38</f>
        <v>-411.4328233</v>
      </c>
      <c r="Q38" s="144">
        <f t="shared" ref="Q38:Q40" si="14">M38+O38</f>
        <v>15192.8491767</v>
      </c>
      <c r="S38" s="144">
        <f t="shared" ref="S38:S40" si="15">M38-K38</f>
        <v>566.12670389999948</v>
      </c>
      <c r="U38" s="1294">
        <f t="shared" si="7"/>
        <v>3.7646020589162221E-2</v>
      </c>
      <c r="W38" s="144">
        <f t="shared" ref="W38:W40" si="16">Q38-K38</f>
        <v>154.69388059999983</v>
      </c>
      <c r="Y38" s="1294">
        <f t="shared" si="4"/>
        <v>1.0286759084082487E-2</v>
      </c>
    </row>
    <row r="39" spans="1:25">
      <c r="A39" s="76">
        <f>MAX(A$13:A38)+1</f>
        <v>25</v>
      </c>
      <c r="C39" s="1295" t="s">
        <v>1387</v>
      </c>
      <c r="E39" s="1297" t="s">
        <v>966</v>
      </c>
      <c r="G39" s="68">
        <f>'Blocking-Step2'!D1622+'Blocking-Step2'!D1623</f>
        <v>56</v>
      </c>
      <c r="I39" s="1633">
        <f>('Blocking-Step2'!D1639)/1000</f>
        <v>9300.4295822001495</v>
      </c>
      <c r="K39" s="144">
        <f>'Table B-Step1'!K39</f>
        <v>738.71952069999998</v>
      </c>
      <c r="M39" s="144">
        <f>'Table B-Step2'!Q39</f>
        <v>765.21</v>
      </c>
      <c r="O39" s="144">
        <f>'Table B-Step2'!S39</f>
        <v>-20.569170999999997</v>
      </c>
      <c r="Q39" s="144">
        <f t="shared" si="14"/>
        <v>744.64082900000005</v>
      </c>
      <c r="S39" s="144">
        <f t="shared" si="15"/>
        <v>26.490479300000061</v>
      </c>
      <c r="U39" s="1294">
        <f t="shared" si="7"/>
        <v>3.5859996328373812E-2</v>
      </c>
      <c r="W39" s="144">
        <f t="shared" si="16"/>
        <v>5.9213083000000779</v>
      </c>
      <c r="Y39" s="1294">
        <f t="shared" si="4"/>
        <v>8.015638052165092E-3</v>
      </c>
    </row>
    <row r="40" spans="1:25">
      <c r="A40" s="76">
        <f>MAX(A$13:A39)+1</f>
        <v>26</v>
      </c>
      <c r="C40" s="1295" t="s">
        <v>1388</v>
      </c>
      <c r="E40" s="1296" t="s">
        <v>228</v>
      </c>
      <c r="G40" s="71">
        <f>'Blocking-Step2'!D1642+'Blocking-Step2'!D1643</f>
        <v>269</v>
      </c>
      <c r="I40" s="1676">
        <f>'Blocking-Step2'!D1657/1000</f>
        <v>24258.38713714117</v>
      </c>
      <c r="K40" s="145">
        <f>'Table B-Step1'!K40</f>
        <v>1922.6796366999999</v>
      </c>
      <c r="M40" s="145">
        <f>'Table B-Step2'!Q40</f>
        <v>1987.5429999999999</v>
      </c>
      <c r="O40" s="145">
        <f>'Table B-Step2'!S40</f>
        <v>-53.253613799999997</v>
      </c>
      <c r="Q40" s="145">
        <f t="shared" si="14"/>
        <v>1934.2893861999999</v>
      </c>
      <c r="S40" s="145">
        <f t="shared" si="15"/>
        <v>64.863363299999946</v>
      </c>
      <c r="U40" s="1300">
        <f t="shared" si="7"/>
        <v>3.3735918382808941E-2</v>
      </c>
      <c r="W40" s="145">
        <f t="shared" si="16"/>
        <v>11.609749499999907</v>
      </c>
      <c r="Y40" s="1300">
        <f t="shared" si="4"/>
        <v>6.0383171894025749E-3</v>
      </c>
    </row>
    <row r="41" spans="1:25">
      <c r="A41" s="76">
        <f>MAX(A$13:A40)+1</f>
        <v>27</v>
      </c>
      <c r="C41" s="1038" t="s">
        <v>229</v>
      </c>
      <c r="D41" s="1038"/>
      <c r="E41" s="1038"/>
      <c r="F41" s="1038"/>
      <c r="G41" s="1036">
        <f>SUM(G38:G40)</f>
        <v>3608</v>
      </c>
      <c r="H41" s="1038"/>
      <c r="I41" s="1677">
        <f>SUM(I38:I40)</f>
        <v>230392.47271934131</v>
      </c>
      <c r="J41" s="1038"/>
      <c r="K41" s="1037">
        <f>SUM(K38:K40)</f>
        <v>17699.554453500001</v>
      </c>
      <c r="L41" s="1658"/>
      <c r="M41" s="1037">
        <f>SUM(M38:M40)</f>
        <v>18357.035</v>
      </c>
      <c r="N41" s="1658"/>
      <c r="O41" s="1037">
        <f>SUM(O38:O40)</f>
        <v>-485.25560809999996</v>
      </c>
      <c r="P41" s="1658"/>
      <c r="Q41" s="1037">
        <f>SUM(Q38:Q40)</f>
        <v>17871.7793919</v>
      </c>
      <c r="R41" s="1658"/>
      <c r="S41" s="1037">
        <f>SUM(S38:S40)</f>
        <v>657.48054649999949</v>
      </c>
      <c r="T41" s="1038"/>
      <c r="U41" s="1304">
        <f t="shared" si="7"/>
        <v>3.7146728649431394E-2</v>
      </c>
      <c r="V41" s="1038"/>
      <c r="W41" s="1037">
        <f>SUM(W38:W40)</f>
        <v>172.22493839999981</v>
      </c>
      <c r="X41" s="1038"/>
      <c r="Y41" s="1304">
        <f t="shared" si="4"/>
        <v>9.7304674449555512E-3</v>
      </c>
    </row>
    <row r="42" spans="1:25">
      <c r="A42" s="76">
        <f>MAX(A$13:A41)+1</f>
        <v>28</v>
      </c>
      <c r="C42" s="76" t="s">
        <v>230</v>
      </c>
      <c r="E42" s="76">
        <v>21</v>
      </c>
      <c r="G42" s="68">
        <f>ROUND(('Blocking-Step2'!D1919+'Blocking-Step2'!D1927)/12,0)</f>
        <v>3</v>
      </c>
      <c r="I42" s="1633">
        <f>'Blocking-Step2'!D1935/1000</f>
        <v>1837.1120000000001</v>
      </c>
      <c r="K42" s="144">
        <f>'Table B-Step1'!K42</f>
        <v>233.11476199999998</v>
      </c>
      <c r="M42" s="144">
        <f>'Table B-Step2'!Q42</f>
        <v>508.91800000000001</v>
      </c>
      <c r="O42" s="144">
        <f>'Table B-Step2'!S42</f>
        <v>-11.5120445</v>
      </c>
      <c r="Q42" s="144">
        <f t="shared" ref="Q42:Q45" si="17">M42+O42</f>
        <v>497.4059555</v>
      </c>
      <c r="S42" s="144">
        <f t="shared" ref="S42:S53" si="18">M42-K42</f>
        <v>275.80323800000002</v>
      </c>
      <c r="U42" s="1294">
        <f t="shared" si="7"/>
        <v>1.1831221482232861</v>
      </c>
      <c r="W42" s="144">
        <f t="shared" ref="W42:W45" si="19">Q42-K42</f>
        <v>264.29119350000002</v>
      </c>
      <c r="Y42" s="1294">
        <f t="shared" si="4"/>
        <v>1.1337385553472588</v>
      </c>
    </row>
    <row r="43" spans="1:25" ht="22.15" customHeight="1">
      <c r="A43" s="76">
        <f>MAX(A$13:A42)+1</f>
        <v>29</v>
      </c>
      <c r="C43" s="1295" t="s">
        <v>1389</v>
      </c>
      <c r="E43" s="1302">
        <v>23</v>
      </c>
      <c r="G43" s="68">
        <f>ROUND(('Blocking-Step2'!D1977)/12,0)</f>
        <v>94539</v>
      </c>
      <c r="I43" s="1633">
        <f>SUM('Blocking-Step2'!D1998)/1000</f>
        <v>1388518.6134146857</v>
      </c>
      <c r="K43" s="144">
        <f>'Table B-Step1'!K43</f>
        <v>136341.24374090001</v>
      </c>
      <c r="M43" s="144">
        <f>'Table B-Step2'!Q43</f>
        <v>136349.897</v>
      </c>
      <c r="O43" s="144">
        <f>'Table B-Step2'!S43</f>
        <v>-3200.2542336000006</v>
      </c>
      <c r="Q43" s="144">
        <f t="shared" si="17"/>
        <v>133149.64276640001</v>
      </c>
      <c r="S43" s="144">
        <f t="shared" si="18"/>
        <v>8.6532590999850072</v>
      </c>
      <c r="U43" s="1294">
        <f t="shared" si="7"/>
        <v>6.3467655586518456E-5</v>
      </c>
      <c r="W43" s="144">
        <f t="shared" si="19"/>
        <v>-3191.6009745000047</v>
      </c>
      <c r="Y43" s="1294">
        <f t="shared" si="4"/>
        <v>-2.3408917851484874E-2</v>
      </c>
    </row>
    <row r="44" spans="1:25">
      <c r="A44" s="76">
        <f>MAX(A$13:A43)+1</f>
        <v>30</v>
      </c>
      <c r="C44" s="1295" t="s">
        <v>1390</v>
      </c>
      <c r="E44" s="1303" t="s">
        <v>960</v>
      </c>
      <c r="G44" s="68">
        <f>ROUND(('Blocking-Step2'!D2073)/12,0)</f>
        <v>1562</v>
      </c>
      <c r="I44" s="1633">
        <f>SUM('Blocking-Step2'!D2092)/1000</f>
        <v>14403.533942076338</v>
      </c>
      <c r="K44" s="144">
        <f>'Table B-Step1'!K44</f>
        <v>1548.7243636000001</v>
      </c>
      <c r="M44" s="144">
        <f>'Table B-Step2'!Q44</f>
        <v>1546.86</v>
      </c>
      <c r="O44" s="144">
        <f>'Table B-Step2'!S44</f>
        <v>-34.800128000000001</v>
      </c>
      <c r="Q44" s="144">
        <f t="shared" si="17"/>
        <v>1512.0598719999998</v>
      </c>
      <c r="S44" s="144">
        <f t="shared" si="18"/>
        <v>-1.8643636000001607</v>
      </c>
      <c r="U44" s="1294">
        <f t="shared" si="7"/>
        <v>-1.2038059475389534E-3</v>
      </c>
      <c r="W44" s="144">
        <f t="shared" si="19"/>
        <v>-36.664491600000247</v>
      </c>
      <c r="Y44" s="1294">
        <f t="shared" si="4"/>
        <v>-2.3673994199183299E-2</v>
      </c>
    </row>
    <row r="45" spans="1:25">
      <c r="A45" s="76">
        <f>MAX(A$13:A44)+1</f>
        <v>31</v>
      </c>
      <c r="C45" s="1295" t="s">
        <v>1391</v>
      </c>
      <c r="E45" s="1296" t="s">
        <v>1214</v>
      </c>
      <c r="G45" s="68">
        <f>ROUND(('Blocking-Step2'!D2161)/12,0)</f>
        <v>129</v>
      </c>
      <c r="I45" s="1676">
        <f>SUM('Blocking-Step2'!D2181)/1000</f>
        <v>1529.7111142578219</v>
      </c>
      <c r="K45" s="145">
        <f>'Table B-Step1'!K45</f>
        <v>152.1553978</v>
      </c>
      <c r="M45" s="145">
        <f>'Table B-Step2'!Q45</f>
        <v>151.995</v>
      </c>
      <c r="O45" s="145">
        <f>'Table B-Step2'!S45</f>
        <v>-3.4751744000000002</v>
      </c>
      <c r="Q45" s="145">
        <f t="shared" si="17"/>
        <v>148.51982559999999</v>
      </c>
      <c r="S45" s="145">
        <f t="shared" si="18"/>
        <v>-0.16039779999999837</v>
      </c>
      <c r="U45" s="1300">
        <f t="shared" si="7"/>
        <v>-1.0541709483802379E-3</v>
      </c>
      <c r="W45" s="145">
        <f t="shared" si="19"/>
        <v>-3.6355722000000128</v>
      </c>
      <c r="Y45" s="1300">
        <f t="shared" si="4"/>
        <v>-2.3893810226691889E-2</v>
      </c>
    </row>
    <row r="46" spans="1:25">
      <c r="A46" s="76">
        <f>MAX(A$13:A45)+1</f>
        <v>32</v>
      </c>
      <c r="C46" s="1038" t="s">
        <v>1373</v>
      </c>
      <c r="D46" s="1038"/>
      <c r="E46" s="1038"/>
      <c r="F46" s="1038"/>
      <c r="G46" s="1036">
        <f>SUM(G43:G45)</f>
        <v>96230</v>
      </c>
      <c r="H46" s="1038"/>
      <c r="I46" s="1677">
        <f>SUM(I43:I45)</f>
        <v>1404451.8584710199</v>
      </c>
      <c r="J46" s="1038"/>
      <c r="K46" s="1037">
        <f>SUM(K43:K45)</f>
        <v>138042.1235023</v>
      </c>
      <c r="L46" s="1658"/>
      <c r="M46" s="1037">
        <f>SUM(M43:M45)</f>
        <v>138048.75199999998</v>
      </c>
      <c r="N46" s="1658"/>
      <c r="O46" s="1037">
        <f>SUM(O43:O45)</f>
        <v>-3238.5295360000005</v>
      </c>
      <c r="P46" s="1658"/>
      <c r="Q46" s="1037">
        <f>SUM(Q43:Q45)</f>
        <v>134810.22246400002</v>
      </c>
      <c r="R46" s="1658"/>
      <c r="S46" s="1037">
        <f>SUM(S43:S45)</f>
        <v>6.6284976999848482</v>
      </c>
      <c r="T46" s="1038"/>
      <c r="U46" s="1304">
        <f t="shared" si="7"/>
        <v>4.8017934901402806E-5</v>
      </c>
      <c r="V46" s="1038"/>
      <c r="W46" s="1037">
        <f>SUM(W43:W45)</f>
        <v>-3231.901038300005</v>
      </c>
      <c r="X46" s="1038"/>
      <c r="Y46" s="1304">
        <f t="shared" si="4"/>
        <v>-2.3412426267451301E-2</v>
      </c>
    </row>
    <row r="47" spans="1:25">
      <c r="A47" s="76">
        <f>MAX(A$13:A46)+1</f>
        <v>33</v>
      </c>
      <c r="C47" s="76" t="s">
        <v>1392</v>
      </c>
      <c r="E47" s="76">
        <v>31</v>
      </c>
      <c r="G47" s="68">
        <f>ROUND(('Blocking-Step2'!D2231+'Blocking-Step2'!D2253+'Blocking-Step2'!D2275)/12,0)</f>
        <v>7</v>
      </c>
      <c r="I47" s="1633">
        <f>'Blocking-Step2'!D2331/1000</f>
        <v>189259.14266666665</v>
      </c>
      <c r="K47" s="144">
        <f>'Table B-Step1'!K47</f>
        <v>12375.2296725</v>
      </c>
      <c r="M47" s="144">
        <f>'Table B-Step2'!Q47</f>
        <v>12721.454</v>
      </c>
      <c r="O47" s="144">
        <f>'Table B-Step2'!S47</f>
        <v>-252.03012209999997</v>
      </c>
      <c r="Q47" s="144">
        <f t="shared" ref="Q47:Q53" si="20">M47+O47</f>
        <v>12469.423877900001</v>
      </c>
      <c r="S47" s="144">
        <f t="shared" si="18"/>
        <v>346.22432750000007</v>
      </c>
      <c r="U47" s="1294">
        <f t="shared" si="7"/>
        <v>2.7977204194389475E-2</v>
      </c>
      <c r="W47" s="144">
        <f t="shared" ref="W47:W53" si="21">Q47-K47</f>
        <v>94.19420540000101</v>
      </c>
      <c r="Y47" s="1294">
        <f t="shared" si="4"/>
        <v>7.6115116965721928E-3</v>
      </c>
    </row>
    <row r="48" spans="1:25">
      <c r="A48" s="76">
        <f>MAX(A$13:A47)+1</f>
        <v>34</v>
      </c>
      <c r="C48" s="1295" t="s">
        <v>1490</v>
      </c>
      <c r="E48" s="76">
        <v>32</v>
      </c>
      <c r="G48" s="68">
        <f>ROUND('Blocking-Step2'!D2545/12,0)</f>
        <v>3</v>
      </c>
      <c r="I48" s="1633">
        <f>'Blocking-Step2'!D2606/1000</f>
        <v>196649.98999999996</v>
      </c>
      <c r="K48" s="144">
        <f>'Table B-Step1'!K48</f>
        <v>13007.546453500001</v>
      </c>
      <c r="M48" s="144">
        <f>'Table B-Step2'!Q48</f>
        <v>13453.300999999999</v>
      </c>
      <c r="O48" s="144">
        <f>'Table B-Step2'!S48</f>
        <v>-35.231153400000004</v>
      </c>
      <c r="Q48" s="144">
        <f t="shared" si="20"/>
        <v>13418.069846599999</v>
      </c>
      <c r="S48" s="144">
        <f t="shared" si="18"/>
        <v>445.75454649999847</v>
      </c>
      <c r="U48" s="1294">
        <f t="shared" si="7"/>
        <v>3.4268918284743641E-2</v>
      </c>
      <c r="W48" s="144">
        <f t="shared" si="21"/>
        <v>410.52339309999843</v>
      </c>
      <c r="Y48" s="1294">
        <f t="shared" si="4"/>
        <v>3.1560401845771385E-2</v>
      </c>
    </row>
    <row r="49" spans="1:25">
      <c r="A49" s="76">
        <f>MAX(A$13:A48)+1</f>
        <v>35</v>
      </c>
      <c r="C49" s="1295" t="s">
        <v>1489</v>
      </c>
      <c r="E49" s="76">
        <v>34</v>
      </c>
      <c r="G49" s="68">
        <f>ROUND('Blocking-Step2'!D2609/12,0)</f>
        <v>1</v>
      </c>
      <c r="I49" s="1633">
        <f>'Blocking-Step2'!D2610/1000</f>
        <v>242230</v>
      </c>
      <c r="K49" s="144">
        <f>'Table B-Step1'!K49</f>
        <v>13027.75819123467</v>
      </c>
      <c r="M49" s="144">
        <f>'Table B-Step2'!Q49</f>
        <v>13027.75819123467</v>
      </c>
      <c r="O49" s="144">
        <f>'Table B-Step2'!S49</f>
        <v>0</v>
      </c>
      <c r="Q49" s="144">
        <f t="shared" si="20"/>
        <v>13027.75819123467</v>
      </c>
      <c r="S49" s="144">
        <f t="shared" si="18"/>
        <v>0</v>
      </c>
      <c r="U49" s="1294">
        <f t="shared" si="7"/>
        <v>0</v>
      </c>
      <c r="W49" s="144">
        <f t="shared" si="21"/>
        <v>0</v>
      </c>
      <c r="Y49" s="1294">
        <f t="shared" si="4"/>
        <v>0</v>
      </c>
    </row>
    <row r="50" spans="1:25">
      <c r="A50" s="76">
        <f>MAX(A$13:A49)+1</f>
        <v>36</v>
      </c>
      <c r="C50" s="1295" t="s">
        <v>680</v>
      </c>
      <c r="E50" s="1296"/>
      <c r="G50" s="595">
        <f>ROUND('Blocking-Step2'!D2613/12,0)</f>
        <v>1</v>
      </c>
      <c r="I50" s="1633">
        <f>'Blocking-Step2'!D2623/1000</f>
        <v>617100</v>
      </c>
      <c r="K50" s="144">
        <f>'Table B-Step1'!K50</f>
        <v>31382.2199616</v>
      </c>
      <c r="M50" s="144">
        <f>'Table B-Step2'!Q50</f>
        <v>32512.083999999999</v>
      </c>
      <c r="O50" s="144">
        <f>'Table B-Step2'!S50</f>
        <v>-775.72387399999991</v>
      </c>
      <c r="Q50" s="144">
        <f t="shared" si="20"/>
        <v>31736.360126</v>
      </c>
      <c r="S50" s="144">
        <f t="shared" si="18"/>
        <v>1129.8640383999991</v>
      </c>
      <c r="U50" s="1294">
        <f t="shared" si="7"/>
        <v>3.6003317795316153E-2</v>
      </c>
      <c r="W50" s="144">
        <f t="shared" si="21"/>
        <v>354.14016439999978</v>
      </c>
      <c r="Y50" s="1294">
        <f t="shared" si="4"/>
        <v>1.1284739092178111E-2</v>
      </c>
    </row>
    <row r="51" spans="1:25">
      <c r="A51" s="76">
        <f>MAX(A$13:A50)+1</f>
        <v>37</v>
      </c>
      <c r="C51" s="1295" t="s">
        <v>681</v>
      </c>
      <c r="E51" s="1296"/>
      <c r="G51" s="68">
        <f>ROUND('Blocking-Step2'!D2626/12,0)</f>
        <v>1</v>
      </c>
      <c r="I51" s="1633">
        <f>'Blocking-Step2'!D2633/1000</f>
        <v>705455.54894656001</v>
      </c>
      <c r="K51" s="144">
        <f>'Table B-Step1'!K51</f>
        <v>31485.131144999999</v>
      </c>
      <c r="M51" s="144">
        <f>'Table B-Step2'!Q51</f>
        <v>32618.477999999999</v>
      </c>
      <c r="O51" s="144">
        <f>'Table B-Step2'!S51</f>
        <v>-776.31977640000014</v>
      </c>
      <c r="Q51" s="144">
        <f t="shared" si="20"/>
        <v>31842.158223599999</v>
      </c>
      <c r="S51" s="144">
        <f t="shared" si="18"/>
        <v>1133.3468549999998</v>
      </c>
      <c r="U51" s="1294">
        <f t="shared" si="7"/>
        <v>3.5996256448180018E-2</v>
      </c>
      <c r="W51" s="144">
        <f t="shared" si="21"/>
        <v>357.0270786000001</v>
      </c>
      <c r="Y51" s="1294">
        <f t="shared" si="4"/>
        <v>1.1339545544713343E-2</v>
      </c>
    </row>
    <row r="52" spans="1:25">
      <c r="A52" s="76">
        <f>MAX(A$13:A51)+1</f>
        <v>38</v>
      </c>
      <c r="C52" s="1295" t="s">
        <v>682</v>
      </c>
      <c r="E52" s="1296"/>
      <c r="G52" s="68">
        <f>ROUND('Blocking-Step2'!D2636/12,0)</f>
        <v>1</v>
      </c>
      <c r="I52" s="1633">
        <f>'Blocking-Step2'!D2640/1000</f>
        <v>1288626.1969999999</v>
      </c>
      <c r="K52" s="144">
        <f>'Table B-Step1'!K52</f>
        <v>62957.593017309679</v>
      </c>
      <c r="M52" s="144">
        <f>'Table B-Step2'!Q52</f>
        <v>62957.593017309679</v>
      </c>
      <c r="O52" s="144">
        <f>'Table B-Step2'!S52</f>
        <v>0</v>
      </c>
      <c r="Q52" s="144">
        <f t="shared" si="20"/>
        <v>62957.593017309679</v>
      </c>
      <c r="S52" s="144">
        <f t="shared" si="18"/>
        <v>0</v>
      </c>
      <c r="U52" s="1294">
        <f t="shared" si="7"/>
        <v>0</v>
      </c>
      <c r="W52" s="144">
        <f t="shared" si="21"/>
        <v>0</v>
      </c>
      <c r="Y52" s="1294">
        <f t="shared" si="4"/>
        <v>0</v>
      </c>
    </row>
    <row r="53" spans="1:25">
      <c r="A53" s="76">
        <f>MAX(A$13:A52)+1</f>
        <v>39</v>
      </c>
      <c r="C53" s="1298" t="s">
        <v>471</v>
      </c>
      <c r="E53" s="1299"/>
      <c r="G53" s="72"/>
      <c r="I53" s="1675"/>
      <c r="K53" s="145">
        <f>'Table B-Step1'!K53</f>
        <v>4797.3367799999996</v>
      </c>
      <c r="M53" s="145">
        <f>'Table B-Step2'!Q53</f>
        <v>4797.3367799999996</v>
      </c>
      <c r="O53" s="145">
        <f>'Table B-Step2'!S53</f>
        <v>0</v>
      </c>
      <c r="Q53" s="145">
        <f t="shared" si="20"/>
        <v>4797.3367799999996</v>
      </c>
      <c r="S53" s="145">
        <f t="shared" si="18"/>
        <v>0</v>
      </c>
      <c r="U53" s="1300">
        <f t="shared" si="7"/>
        <v>0</v>
      </c>
      <c r="W53" s="145">
        <f t="shared" si="21"/>
        <v>0</v>
      </c>
      <c r="Y53" s="1300">
        <f t="shared" si="4"/>
        <v>0</v>
      </c>
    </row>
    <row r="54" spans="1:25">
      <c r="A54" s="76">
        <f>MAX(A$13:A53)+1</f>
        <v>40</v>
      </c>
      <c r="C54" s="80" t="s">
        <v>1393</v>
      </c>
      <c r="G54" s="68">
        <f>SUM(G23:G29,G31:G33,G35:G36,G38:G40,G42:G45,G47:G53)</f>
        <v>116605</v>
      </c>
      <c r="I54" s="1633">
        <f>SUM(I23:I29,I31:I33,I35:I36,I38:I40,I42:I45,I47:I53)</f>
        <v>17979702.507882744</v>
      </c>
      <c r="K54" s="144">
        <f>SUM(K23:K29,K31:K33,K35:K36,K38:K40,K42:K45,K47:K53)</f>
        <v>1260606.5533672441</v>
      </c>
      <c r="M54" s="144">
        <f>SUM(M23:M29,M31:M33,M35:M36,M38:M40,M42:M45,M47:M53)</f>
        <v>1285961.195988544</v>
      </c>
      <c r="O54" s="144">
        <f>SUM(O23:O29,O31:O33,O35:O36,O38:O40,O42:O45,O47:O53)</f>
        <v>-28147.495906200002</v>
      </c>
      <c r="Q54" s="144">
        <f>SUM(Q23:Q29,Q31:Q33,Q35:Q36,Q38:Q40,Q42:Q45,Q47:Q53)</f>
        <v>1257813.7000823445</v>
      </c>
      <c r="S54" s="144">
        <f>SUM(S23:S29,S31:S33,S35:S36,S38:S40,S42:S45,S47:S53)</f>
        <v>25354.642621299972</v>
      </c>
      <c r="U54" s="1294">
        <f t="shared" si="7"/>
        <v>2.0113049986591316E-2</v>
      </c>
      <c r="W54" s="144">
        <f>SUM(W23:W29,W31:W33,W35:W36,W38:W40,W42:W45,W47:W53)</f>
        <v>-2792.8532849000321</v>
      </c>
      <c r="Y54" s="1294">
        <f t="shared" si="4"/>
        <v>-2.2154837109484779E-3</v>
      </c>
    </row>
    <row r="55" spans="1:25">
      <c r="C55" s="1292" t="s">
        <v>231</v>
      </c>
      <c r="G55" s="68"/>
      <c r="I55" s="1633"/>
      <c r="K55" s="144"/>
      <c r="M55" s="144"/>
      <c r="O55" s="144"/>
      <c r="Q55" s="144"/>
      <c r="S55" s="144"/>
      <c r="W55" s="144"/>
    </row>
    <row r="56" spans="1:25" ht="25.15" customHeight="1">
      <c r="A56" s="76">
        <f>MAX(A$13:A55)+1</f>
        <v>41</v>
      </c>
      <c r="C56" s="76" t="s">
        <v>232</v>
      </c>
      <c r="E56" s="76">
        <v>7</v>
      </c>
      <c r="G56" s="68">
        <f>'Blocking-Step2'!D1205</f>
        <v>6491</v>
      </c>
      <c r="I56" s="1633">
        <f>'Blocking-Step2'!D1206/1000</f>
        <v>10497.984469308627</v>
      </c>
      <c r="K56" s="144">
        <f>'Table B-Step1'!K56</f>
        <v>2495.8234678000003</v>
      </c>
      <c r="M56" s="144">
        <f>'Table B-Step2'!Q56</f>
        <v>1383.2668705464662</v>
      </c>
      <c r="O56" s="144">
        <f>'Table B-Step2'!S56</f>
        <v>-25.86709047921892</v>
      </c>
      <c r="Q56" s="144">
        <f t="shared" ref="Q56:Q60" si="22">M56+O56</f>
        <v>1357.3997800672473</v>
      </c>
      <c r="S56" s="144">
        <f t="shared" ref="S56:S60" si="23">M56-K56</f>
        <v>-1112.5565972535342</v>
      </c>
      <c r="U56" s="1294">
        <f t="shared" ref="U56:U65" si="24">S56/K56</f>
        <v>-0.4457673435670601</v>
      </c>
      <c r="W56" s="144">
        <f t="shared" ref="W56:W60" si="25">Q56-K56</f>
        <v>-1138.423687732753</v>
      </c>
      <c r="Y56" s="1294">
        <f t="shared" si="4"/>
        <v>-0.45613149424235605</v>
      </c>
    </row>
    <row r="57" spans="1:25">
      <c r="A57" s="76">
        <f>MAX(A$13:A56)+1</f>
        <v>42</v>
      </c>
      <c r="C57" s="76" t="s">
        <v>233</v>
      </c>
      <c r="E57" s="76">
        <v>11</v>
      </c>
      <c r="G57" s="68">
        <f>'Blocking-Step2'!D1712</f>
        <v>715</v>
      </c>
      <c r="I57" s="1633">
        <f>'Blocking-Step2'!D1716/1000</f>
        <v>13572.50823362934</v>
      </c>
      <c r="K57" s="144">
        <f>'Table B-Step1'!K57</f>
        <v>4103.1867941999999</v>
      </c>
      <c r="M57" s="144">
        <f>'Table B-Step2'!Q57</f>
        <v>3759.4048698993784</v>
      </c>
      <c r="O57" s="144">
        <f>'Table B-Step2'!S57</f>
        <v>-70.300871067118379</v>
      </c>
      <c r="Q57" s="144">
        <f t="shared" si="22"/>
        <v>3689.10399883226</v>
      </c>
      <c r="S57" s="144">
        <f t="shared" si="23"/>
        <v>-343.78192430062154</v>
      </c>
      <c r="U57" s="1294">
        <f t="shared" si="24"/>
        <v>-8.3784127202439204E-2</v>
      </c>
      <c r="W57" s="144">
        <f t="shared" si="25"/>
        <v>-414.08279536773989</v>
      </c>
      <c r="Y57" s="1294">
        <f t="shared" si="4"/>
        <v>-0.10091736402375359</v>
      </c>
    </row>
    <row r="58" spans="1:25">
      <c r="A58" s="76">
        <f>MAX(A$13:A57)+1</f>
        <v>43</v>
      </c>
      <c r="C58" s="76" t="s">
        <v>234</v>
      </c>
      <c r="E58" s="76">
        <v>12</v>
      </c>
      <c r="G58" s="68">
        <f>'Blocking-Step2'!D1803</f>
        <v>1229</v>
      </c>
      <c r="I58" s="1633">
        <f>'Blocking-Step2'!D1807/1000</f>
        <v>26868.87420437079</v>
      </c>
      <c r="K58" s="144">
        <f>'Table B-Step1'!K58</f>
        <v>1896.3262864000001</v>
      </c>
      <c r="M58" s="144">
        <f>'Table B-Step2'!Q58</f>
        <v>1402.8682700442894</v>
      </c>
      <c r="O58" s="144">
        <f>'Table B-Step2'!S58</f>
        <v>-26.23363664982821</v>
      </c>
      <c r="Q58" s="144">
        <f t="shared" si="22"/>
        <v>1376.6346333944612</v>
      </c>
      <c r="S58" s="144">
        <f t="shared" si="23"/>
        <v>-493.4580163557107</v>
      </c>
      <c r="U58" s="1294">
        <f t="shared" si="24"/>
        <v>-0.2602178854423281</v>
      </c>
      <c r="W58" s="144">
        <f t="shared" si="25"/>
        <v>-519.69165300553891</v>
      </c>
      <c r="Y58" s="1294">
        <f t="shared" si="4"/>
        <v>-0.27405181098455655</v>
      </c>
    </row>
    <row r="59" spans="1:25">
      <c r="A59" s="76">
        <f>MAX(A$13:A58)+1</f>
        <v>44</v>
      </c>
      <c r="C59" s="76" t="s">
        <v>236</v>
      </c>
      <c r="E59" s="76">
        <v>15</v>
      </c>
      <c r="G59" s="68">
        <f>ROUND('Blocking-Step2'!D1813/12,0)</f>
        <v>637</v>
      </c>
      <c r="I59" s="1633">
        <f>('Blocking-Step2'!D1818)/1000</f>
        <v>15963.151062719233</v>
      </c>
      <c r="K59" s="144">
        <f>'Table B-Step1'!K59</f>
        <v>1155.3153559999998</v>
      </c>
      <c r="M59" s="144">
        <f>'Table B-Step2'!Q59</f>
        <v>797.02300000000002</v>
      </c>
      <c r="O59" s="144">
        <f>'Table B-Step2'!S59</f>
        <v>-15.377598600000001</v>
      </c>
      <c r="Q59" s="144">
        <f t="shared" si="22"/>
        <v>781.64540139999997</v>
      </c>
      <c r="S59" s="144">
        <f t="shared" si="23"/>
        <v>-358.29235599999981</v>
      </c>
      <c r="U59" s="1294">
        <f t="shared" si="24"/>
        <v>-0.31012515685803788</v>
      </c>
      <c r="W59" s="144">
        <f t="shared" si="25"/>
        <v>-373.66995459999987</v>
      </c>
      <c r="Y59" s="1294">
        <f t="shared" si="4"/>
        <v>-0.32343546085437813</v>
      </c>
    </row>
    <row r="60" spans="1:25">
      <c r="A60" s="76">
        <f>MAX(A$13:A59)+1</f>
        <v>45</v>
      </c>
      <c r="C60" s="76" t="s">
        <v>235</v>
      </c>
      <c r="E60" s="76">
        <v>15</v>
      </c>
      <c r="G60" s="71">
        <f>ROUND('Blocking-Step2'!D1854/12,0)</f>
        <v>2734</v>
      </c>
      <c r="I60" s="1676">
        <f>'Blocking-Step2'!D1859/1000</f>
        <v>7776.3704443165416</v>
      </c>
      <c r="K60" s="145">
        <f>'Table B-Step1'!K60</f>
        <v>802.61305110000001</v>
      </c>
      <c r="M60" s="145">
        <f>'Table B-Step2'!Q60</f>
        <v>802.65099999999995</v>
      </c>
      <c r="O60" s="145">
        <f>'Table B-Step2'!S60</f>
        <v>-16.425815999999998</v>
      </c>
      <c r="Q60" s="145">
        <f t="shared" si="22"/>
        <v>786.2251839999999</v>
      </c>
      <c r="S60" s="145">
        <f t="shared" si="23"/>
        <v>3.7948899999946661E-2</v>
      </c>
      <c r="U60" s="1300">
        <f t="shared" si="24"/>
        <v>4.7281688165843805E-5</v>
      </c>
      <c r="W60" s="145">
        <f t="shared" si="25"/>
        <v>-16.387867100000108</v>
      </c>
      <c r="Y60" s="1300">
        <f t="shared" si="4"/>
        <v>-2.0418141815087797E-2</v>
      </c>
    </row>
    <row r="61" spans="1:25">
      <c r="A61" s="76">
        <f>MAX(A$13:A60)+1</f>
        <v>46</v>
      </c>
      <c r="C61" s="1038" t="s">
        <v>237</v>
      </c>
      <c r="D61" s="77"/>
      <c r="F61" s="77"/>
      <c r="G61" s="68">
        <f>SUM(G56:G60)</f>
        <v>11806</v>
      </c>
      <c r="H61" s="77"/>
      <c r="I61" s="1633">
        <f>SUM(I56:I60)</f>
        <v>74678.888414344532</v>
      </c>
      <c r="J61" s="77"/>
      <c r="K61" s="144">
        <f>SUM(K56:K60)</f>
        <v>10453.264955499999</v>
      </c>
      <c r="L61" s="144"/>
      <c r="M61" s="144">
        <f>SUM(M56:M60)</f>
        <v>8145.2140104901346</v>
      </c>
      <c r="N61" s="144"/>
      <c r="O61" s="144">
        <f>SUM(O56:O60)</f>
        <v>-154.20501279616551</v>
      </c>
      <c r="P61" s="144"/>
      <c r="Q61" s="144">
        <f>SUM(Q56:Q60)</f>
        <v>7991.008997693968</v>
      </c>
      <c r="R61" s="144"/>
      <c r="S61" s="144">
        <f>SUM(S56:S60)</f>
        <v>-2308.0509450098662</v>
      </c>
      <c r="U61" s="1294">
        <f t="shared" si="24"/>
        <v>-0.22079713418107538</v>
      </c>
      <c r="V61" s="77"/>
      <c r="W61" s="144">
        <f>SUM(W56:W60)</f>
        <v>-2462.2559578060318</v>
      </c>
      <c r="Y61" s="1294">
        <f t="shared" si="4"/>
        <v>-0.23554898572723088</v>
      </c>
    </row>
    <row r="62" spans="1:25">
      <c r="A62" s="76">
        <f>MAX(A$13:A61)+1</f>
        <v>47</v>
      </c>
      <c r="C62" s="1295" t="s">
        <v>1396</v>
      </c>
      <c r="E62" s="1296"/>
      <c r="G62" s="68">
        <f>'Blocking-Step2'!D2643</f>
        <v>4</v>
      </c>
      <c r="I62" s="1633">
        <f>'Blocking-Step2'!D2649/1000</f>
        <v>7.3869999999999996</v>
      </c>
      <c r="K62" s="144">
        <f>'Table B-Step1'!K62</f>
        <v>0.55700000000000005</v>
      </c>
      <c r="M62" s="144">
        <f>'Table B-Step2'!Q62</f>
        <v>0.55700000000000005</v>
      </c>
      <c r="O62" s="144">
        <f>'Table B-Step2'!S62</f>
        <v>0</v>
      </c>
      <c r="Q62" s="144">
        <f>M62+O62</f>
        <v>0.55700000000000005</v>
      </c>
      <c r="S62" s="144">
        <f t="shared" ref="S62:S63" si="26">M62-K62</f>
        <v>0</v>
      </c>
      <c r="U62" s="1294">
        <f t="shared" si="24"/>
        <v>0</v>
      </c>
      <c r="W62" s="144">
        <f>Q62-K62</f>
        <v>0</v>
      </c>
      <c r="Y62" s="1294">
        <f t="shared" si="4"/>
        <v>0</v>
      </c>
    </row>
    <row r="63" spans="1:25" ht="22.15" customHeight="1">
      <c r="A63" s="76">
        <f>MAX(A$13:A62)+1</f>
        <v>48</v>
      </c>
      <c r="C63" s="1298" t="s">
        <v>471</v>
      </c>
      <c r="D63" s="78"/>
      <c r="E63" s="1299"/>
      <c r="F63" s="78"/>
      <c r="G63" s="73"/>
      <c r="H63" s="78"/>
      <c r="I63" s="1678"/>
      <c r="J63" s="78"/>
      <c r="K63" s="145">
        <f>'Table B-Step1'!K63</f>
        <v>4.6550400000000005</v>
      </c>
      <c r="M63" s="145">
        <f>'Table B-Step2'!Q63</f>
        <v>4.6550400000000005</v>
      </c>
      <c r="O63" s="145">
        <f>'Table B-Step2'!S63</f>
        <v>0</v>
      </c>
      <c r="Q63" s="145">
        <f>M63+O63</f>
        <v>4.6550400000000005</v>
      </c>
      <c r="S63" s="145">
        <f t="shared" si="26"/>
        <v>0</v>
      </c>
      <c r="U63" s="1300">
        <f t="shared" si="24"/>
        <v>0</v>
      </c>
      <c r="V63" s="78"/>
      <c r="W63" s="145">
        <f>Q63-K63</f>
        <v>0</v>
      </c>
      <c r="Y63" s="1300">
        <f t="shared" si="4"/>
        <v>0</v>
      </c>
    </row>
    <row r="64" spans="1:25">
      <c r="A64" s="76">
        <f>MAX(A$13:A63)+1</f>
        <v>49</v>
      </c>
      <c r="C64" s="1305" t="s">
        <v>238</v>
      </c>
      <c r="E64" s="1306"/>
      <c r="G64" s="71">
        <f>SUM(G62:G63)+G61</f>
        <v>11810</v>
      </c>
      <c r="I64" s="1676">
        <f>SUM(I62:I63)+I61</f>
        <v>74686.275414344535</v>
      </c>
      <c r="K64" s="145">
        <f>SUM(K62:K63)+K61</f>
        <v>10458.476995499999</v>
      </c>
      <c r="M64" s="145">
        <f>SUM(M62:M63)+M61</f>
        <v>8150.4260504901349</v>
      </c>
      <c r="O64" s="145">
        <f>SUM(O62:O63)+O61</f>
        <v>-154.20501279616551</v>
      </c>
      <c r="Q64" s="145">
        <f>SUM(Q62:Q63)+Q61</f>
        <v>7996.2210376939684</v>
      </c>
      <c r="S64" s="145">
        <f>SUM(S62:S63)+S61</f>
        <v>-2308.0509450098662</v>
      </c>
      <c r="U64" s="1307">
        <f t="shared" si="24"/>
        <v>-0.22068709870499867</v>
      </c>
      <c r="W64" s="145">
        <f>SUM(W62:W63)+W61</f>
        <v>-2462.2559578060318</v>
      </c>
      <c r="Y64" s="1307">
        <f t="shared" si="4"/>
        <v>-0.23543159858414128</v>
      </c>
    </row>
    <row r="65" spans="1:25" ht="22.15" customHeight="1" thickBot="1">
      <c r="A65" s="76">
        <f>MAX(A$13:A64)+1</f>
        <v>50</v>
      </c>
      <c r="C65" s="1308" t="s">
        <v>239</v>
      </c>
      <c r="E65" s="1309"/>
      <c r="G65" s="67">
        <f>G64+G54+G21</f>
        <v>986283</v>
      </c>
      <c r="I65" s="1634">
        <f>I64+I54+I21</f>
        <v>24837388.160662249</v>
      </c>
      <c r="K65" s="146">
        <f>K64+K54+K21</f>
        <v>2001695.942310344</v>
      </c>
      <c r="M65" s="146">
        <f>M64+M54+M21</f>
        <v>2073801.5591290342</v>
      </c>
      <c r="O65" s="146">
        <f>O64+O54+O21</f>
        <v>-49427.647021796169</v>
      </c>
      <c r="Q65" s="146">
        <f>Q64+Q54+Q21</f>
        <v>2024373.9121072385</v>
      </c>
      <c r="S65" s="146">
        <f>S64+S54+S21</f>
        <v>72105.616818690032</v>
      </c>
      <c r="U65" s="1310">
        <f t="shared" si="24"/>
        <v>3.6022262569741843E-2</v>
      </c>
      <c r="W65" s="146">
        <f>W64+W54+W21</f>
        <v>22677.969796893882</v>
      </c>
      <c r="Y65" s="1310">
        <f t="shared" si="4"/>
        <v>1.1329377912770869E-2</v>
      </c>
    </row>
    <row r="66" spans="1:25" ht="25.15" customHeight="1" thickTop="1">
      <c r="E66" s="90"/>
    </row>
    <row r="67" spans="1:25">
      <c r="C67" s="1295"/>
    </row>
    <row r="68" spans="1:25">
      <c r="C68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zoomScale="90" zoomScaleNormal="90" workbookViewId="0">
      <selection activeCell="B15" sqref="B15"/>
    </sheetView>
  </sheetViews>
  <sheetFormatPr defaultColWidth="9" defaultRowHeight="15.75"/>
  <cols>
    <col min="1" max="1" width="42.75" style="1249" bestFit="1" customWidth="1"/>
    <col min="2" max="6" width="20.125" style="1249" customWidth="1"/>
    <col min="7" max="16384" width="9" style="1249"/>
  </cols>
  <sheetData>
    <row r="1" spans="1:6">
      <c r="A1" s="63" t="s">
        <v>547</v>
      </c>
      <c r="B1" s="1682"/>
      <c r="C1" s="1682"/>
      <c r="D1" s="1682"/>
      <c r="E1" s="1682"/>
      <c r="F1" s="1682"/>
    </row>
    <row r="2" spans="1:6">
      <c r="A2" s="1683" t="s">
        <v>2223</v>
      </c>
      <c r="B2" s="1682"/>
      <c r="C2" s="1682"/>
      <c r="D2" s="1682"/>
      <c r="E2" s="1682"/>
      <c r="F2" s="1682"/>
    </row>
    <row r="3" spans="1:6">
      <c r="A3" s="1684" t="s">
        <v>83</v>
      </c>
      <c r="B3" s="1682"/>
      <c r="C3" s="1682"/>
      <c r="D3" s="1682"/>
      <c r="E3" s="1682"/>
      <c r="F3" s="1682"/>
    </row>
    <row r="4" spans="1:6">
      <c r="A4" s="1684" t="s">
        <v>2224</v>
      </c>
      <c r="B4" s="1682"/>
      <c r="C4" s="1682"/>
      <c r="D4" s="1682"/>
      <c r="E4" s="1682"/>
      <c r="F4" s="1682"/>
    </row>
    <row r="5" spans="1:6">
      <c r="A5" s="1685"/>
      <c r="B5" s="1685"/>
      <c r="C5" s="1685"/>
      <c r="D5" s="1685"/>
      <c r="E5" s="1685"/>
      <c r="F5" s="1685"/>
    </row>
    <row r="6" spans="1:6">
      <c r="A6" s="1257" t="s">
        <v>2225</v>
      </c>
      <c r="B6" s="2149" t="s">
        <v>2226</v>
      </c>
      <c r="C6" s="2150"/>
      <c r="D6" s="2150"/>
      <c r="E6" s="2150"/>
      <c r="F6" s="2151"/>
    </row>
    <row r="7" spans="1:6">
      <c r="A7" s="1108"/>
      <c r="B7" s="1686" t="s">
        <v>2227</v>
      </c>
      <c r="C7" s="1686" t="s">
        <v>2228</v>
      </c>
      <c r="D7" s="1686" t="s">
        <v>2229</v>
      </c>
      <c r="E7" s="1686" t="s">
        <v>2230</v>
      </c>
      <c r="F7" s="1686" t="s">
        <v>1762</v>
      </c>
    </row>
    <row r="8" spans="1:6">
      <c r="A8" s="1108" t="s">
        <v>2231</v>
      </c>
      <c r="B8" s="1687">
        <v>69143732.909823805</v>
      </c>
      <c r="C8" s="1687">
        <v>69143732.909823805</v>
      </c>
      <c r="D8" s="1687">
        <v>20318658.700569414</v>
      </c>
      <c r="E8" s="1687">
        <v>20318658.700569414</v>
      </c>
      <c r="F8" s="1687">
        <v>45313409.944931209</v>
      </c>
    </row>
    <row r="9" spans="1:6">
      <c r="A9" s="1108" t="s">
        <v>2232</v>
      </c>
      <c r="B9" s="1687">
        <v>76369721.687427416</v>
      </c>
      <c r="C9" s="1687">
        <v>76369721.687427416</v>
      </c>
      <c r="D9" s="1687">
        <v>17299349.882178206</v>
      </c>
      <c r="E9" s="1687">
        <v>17299349.882178206</v>
      </c>
      <c r="F9" s="1687"/>
    </row>
    <row r="10" spans="1:6">
      <c r="A10" s="391" t="s">
        <v>247</v>
      </c>
      <c r="B10" s="1687">
        <f>SUM(B8:B9)</f>
        <v>145513454.59725124</v>
      </c>
      <c r="C10" s="1687">
        <f>SUM(C8:C9)</f>
        <v>145513454.59725124</v>
      </c>
      <c r="D10" s="1687">
        <f>SUM(D8:D9)</f>
        <v>37618008.582747623</v>
      </c>
      <c r="E10" s="1687">
        <f>SUM(E8:E9)</f>
        <v>37618008.582747623</v>
      </c>
      <c r="F10" s="1687">
        <f>SUM(F8:F9)</f>
        <v>45313409.944931209</v>
      </c>
    </row>
    <row r="11" spans="1:6">
      <c r="A11" s="391"/>
      <c r="B11" s="391"/>
      <c r="C11" s="391"/>
      <c r="D11" s="391"/>
      <c r="E11" s="391"/>
      <c r="F11" s="391"/>
    </row>
    <row r="12" spans="1:6">
      <c r="A12" s="391" t="s">
        <v>2233</v>
      </c>
      <c r="B12" s="1688">
        <f>'Blocking-Step2'!AB671</f>
        <v>18932644</v>
      </c>
      <c r="C12" s="1689">
        <f>B12</f>
        <v>18932644</v>
      </c>
      <c r="D12" s="1688">
        <f>'Blocking-Step2'!D1378+'Blocking-Step2'!D1440</f>
        <v>4399856</v>
      </c>
      <c r="E12" s="1689">
        <f>D12</f>
        <v>4399856</v>
      </c>
      <c r="F12" s="1688">
        <f>'Blocking-Step2'!D1480+'Blocking-Step2'!D1539</f>
        <v>9035718</v>
      </c>
    </row>
    <row r="13" spans="1:6">
      <c r="A13" s="391" t="s">
        <v>2234</v>
      </c>
      <c r="B13" s="1690">
        <f>B10/B12</f>
        <v>7.6858496149429119</v>
      </c>
      <c r="C13" s="1690">
        <f>C10/C12</f>
        <v>7.6858496149429119</v>
      </c>
      <c r="D13" s="1690">
        <f>D10/D12</f>
        <v>8.5498272176970396</v>
      </c>
      <c r="E13" s="1690">
        <f>E10/E12</f>
        <v>8.5498272176970396</v>
      </c>
      <c r="F13" s="1690">
        <f>F10/F12</f>
        <v>5.0149207782858216</v>
      </c>
    </row>
    <row r="14" spans="1:6">
      <c r="A14" s="391" t="s">
        <v>1869</v>
      </c>
      <c r="B14" s="1691"/>
      <c r="C14" s="1862">
        <f>'Blocking-Step2'!Q682</f>
        <v>-0.96</v>
      </c>
      <c r="D14" s="1691"/>
      <c r="E14" s="1862">
        <f>'Blocking-Step2'!Q1387</f>
        <v>-1.1299999999999999</v>
      </c>
      <c r="F14" s="391"/>
    </row>
    <row r="15" spans="1:6">
      <c r="A15" s="82" t="s">
        <v>2235</v>
      </c>
      <c r="B15" s="1692">
        <f>B13+B14</f>
        <v>7.6858496149429119</v>
      </c>
      <c r="C15" s="1692">
        <f t="shared" ref="C15" si="0">C13+C14</f>
        <v>6.7258496149429119</v>
      </c>
      <c r="D15" s="1692">
        <f>D13+D14</f>
        <v>8.5498272176970396</v>
      </c>
      <c r="E15" s="1692">
        <f t="shared" ref="E15:F15" si="1">E13+E14</f>
        <v>7.4198272176970397</v>
      </c>
      <c r="F15" s="1692">
        <f t="shared" si="1"/>
        <v>5.0149207782858216</v>
      </c>
    </row>
    <row r="16" spans="1:6">
      <c r="A16" s="391"/>
      <c r="B16" s="2152"/>
      <c r="C16" s="2152"/>
      <c r="D16" s="2152"/>
      <c r="E16" s="2152"/>
      <c r="F16" s="2152"/>
    </row>
    <row r="17" spans="1:6">
      <c r="A17" s="1257" t="s">
        <v>2236</v>
      </c>
      <c r="B17" s="1836"/>
      <c r="C17" s="1836"/>
      <c r="D17" s="1836"/>
      <c r="E17" s="1836"/>
      <c r="F17" s="1836"/>
    </row>
    <row r="18" spans="1:6">
      <c r="A18" s="1108" t="s">
        <v>2237</v>
      </c>
      <c r="B18" s="1836"/>
      <c r="C18" s="1836"/>
      <c r="D18" s="1836"/>
      <c r="E18" s="1836"/>
      <c r="F18" s="1836"/>
    </row>
    <row r="19" spans="1:6">
      <c r="A19" s="391" t="s">
        <v>2238</v>
      </c>
      <c r="B19" s="1862">
        <f>'Blocking-Step2'!Q675</f>
        <v>4.03</v>
      </c>
      <c r="C19" s="1862">
        <f>'Blocking-Step2'!Q675</f>
        <v>4.03</v>
      </c>
      <c r="D19" s="1862">
        <f>'Blocking-Step2'!Q1378</f>
        <v>4.84</v>
      </c>
      <c r="E19" s="1862">
        <f>'Blocking-Step2'!Q1378</f>
        <v>4.84</v>
      </c>
      <c r="F19" s="1862">
        <f>'Blocking-Step2'!Q1480</f>
        <v>2.2999999999999998</v>
      </c>
    </row>
    <row r="20" spans="1:6">
      <c r="A20" s="391" t="s">
        <v>2239</v>
      </c>
      <c r="B20" s="1862">
        <f>'Blocking-Step2'!Q676</f>
        <v>13.4</v>
      </c>
      <c r="C20" s="1862">
        <f>'Blocking-Step2'!Q676</f>
        <v>13.4</v>
      </c>
      <c r="D20" s="1862">
        <f>'Blocking-Step2'!Q1379</f>
        <v>15.83</v>
      </c>
      <c r="E20" s="1862">
        <f>'Blocking-Step2'!Q1379</f>
        <v>15.83</v>
      </c>
      <c r="F20" s="1862">
        <f>'Blocking-Step2'!Q1481</f>
        <v>14.48</v>
      </c>
    </row>
    <row r="21" spans="1:6">
      <c r="A21" s="391" t="s">
        <v>1869</v>
      </c>
      <c r="B21" s="1691"/>
      <c r="C21" s="1863">
        <f>C14</f>
        <v>-0.96</v>
      </c>
      <c r="D21" s="1863"/>
      <c r="E21" s="1863">
        <f>E14</f>
        <v>-1.1299999999999999</v>
      </c>
      <c r="F21" s="1863"/>
    </row>
    <row r="22" spans="1:6">
      <c r="A22" s="391" t="s">
        <v>2240</v>
      </c>
      <c r="B22" s="1691">
        <f t="shared" ref="B22:C22" si="2">-B15</f>
        <v>-7.6858496149429119</v>
      </c>
      <c r="C22" s="1691">
        <f t="shared" si="2"/>
        <v>-6.7258496149429119</v>
      </c>
      <c r="D22" s="1691">
        <f>-D15</f>
        <v>-8.5498272176970396</v>
      </c>
      <c r="E22" s="1691">
        <f t="shared" ref="E22:F22" si="3">-E15</f>
        <v>-7.4198272176970397</v>
      </c>
      <c r="F22" s="1691">
        <f t="shared" si="3"/>
        <v>-5.0149207782858216</v>
      </c>
    </row>
    <row r="23" spans="1:6">
      <c r="A23" s="391" t="s">
        <v>2241</v>
      </c>
      <c r="B23" s="1691">
        <f>SUM(B19:B22)</f>
        <v>9.7441503850570879</v>
      </c>
      <c r="C23" s="1691">
        <f t="shared" ref="C23" si="4">SUM(C19:C22)</f>
        <v>9.7441503850570861</v>
      </c>
      <c r="D23" s="1691">
        <f>SUM(D19:D22)</f>
        <v>12.120172782302962</v>
      </c>
      <c r="E23" s="1691">
        <f t="shared" ref="E23:F23" si="5">SUM(E19:E22)</f>
        <v>12.120172782302962</v>
      </c>
      <c r="F23" s="1691">
        <f t="shared" si="5"/>
        <v>11.76507922171418</v>
      </c>
    </row>
    <row r="24" spans="1:6">
      <c r="A24" s="391" t="s">
        <v>2242</v>
      </c>
      <c r="B24" s="1693">
        <f>(365-102-8)/12</f>
        <v>21.25</v>
      </c>
      <c r="C24" s="1693">
        <f t="shared" ref="C24" si="6">(365-102-8)/12</f>
        <v>21.25</v>
      </c>
      <c r="D24" s="1693">
        <f>(365-102-8)/12</f>
        <v>21.25</v>
      </c>
      <c r="E24" s="1693">
        <f t="shared" ref="E24:F24" si="7">(365-102-8)/12</f>
        <v>21.25</v>
      </c>
      <c r="F24" s="1693">
        <f t="shared" si="7"/>
        <v>21.25</v>
      </c>
    </row>
    <row r="25" spans="1:6">
      <c r="A25" s="391" t="s">
        <v>2243</v>
      </c>
      <c r="B25" s="1691">
        <f>B23/B24</f>
        <v>0.45854825341445121</v>
      </c>
      <c r="C25" s="1691">
        <f>C23/C24</f>
        <v>0.4585482534144511</v>
      </c>
      <c r="D25" s="1691">
        <f>D23/D24</f>
        <v>0.57036107210837472</v>
      </c>
      <c r="E25" s="1691">
        <f>E23/E24</f>
        <v>0.57036107210837472</v>
      </c>
      <c r="F25" s="1691">
        <f>F23/F24</f>
        <v>0.55365078690419667</v>
      </c>
    </row>
    <row r="26" spans="1:6">
      <c r="A26" s="391" t="s">
        <v>2244</v>
      </c>
      <c r="B26" s="1694">
        <v>0.8</v>
      </c>
      <c r="C26" s="1694">
        <v>0.8</v>
      </c>
      <c r="D26" s="1694">
        <v>0.8</v>
      </c>
      <c r="E26" s="1694">
        <v>0.8</v>
      </c>
      <c r="F26" s="1694">
        <v>0.85</v>
      </c>
    </row>
    <row r="27" spans="1:6">
      <c r="A27" s="391" t="s">
        <v>2245</v>
      </c>
      <c r="B27" s="1691">
        <f>B25/B26</f>
        <v>0.57318531676806395</v>
      </c>
      <c r="C27" s="1691">
        <f t="shared" ref="C27" si="8">C25/C26</f>
        <v>0.57318531676806384</v>
      </c>
      <c r="D27" s="1691">
        <f>D25/D26</f>
        <v>0.71295134013546835</v>
      </c>
      <c r="E27" s="1691">
        <f t="shared" ref="E27:F27" si="9">E25/E26</f>
        <v>0.71295134013546835</v>
      </c>
      <c r="F27" s="1691">
        <f t="shared" si="9"/>
        <v>0.65135386694611375</v>
      </c>
    </row>
    <row r="28" spans="1:6">
      <c r="A28" s="391" t="s">
        <v>2246</v>
      </c>
      <c r="B28" s="1691"/>
      <c r="C28" s="1695">
        <v>0.98662918073172801</v>
      </c>
      <c r="D28" s="1691"/>
      <c r="E28" s="1695">
        <f>C28</f>
        <v>0.98662918073172801</v>
      </c>
      <c r="F28" s="391"/>
    </row>
    <row r="29" spans="1:6">
      <c r="A29" s="82" t="s">
        <v>2247</v>
      </c>
      <c r="B29" s="1696">
        <f>B27</f>
        <v>0.57318531676806395</v>
      </c>
      <c r="C29" s="1696">
        <f>C27*C28</f>
        <v>0.56552135949033078</v>
      </c>
      <c r="D29" s="1696">
        <f>D27</f>
        <v>0.71295134013546835</v>
      </c>
      <c r="E29" s="1696">
        <f>E27*E28</f>
        <v>0.70341859661944472</v>
      </c>
      <c r="F29" s="1696">
        <f>F27</f>
        <v>0.65135386694611375</v>
      </c>
    </row>
    <row r="30" spans="1:6">
      <c r="A30" s="391"/>
      <c r="B30" s="391"/>
      <c r="C30" s="391"/>
      <c r="D30" s="391"/>
      <c r="E30" s="391"/>
      <c r="F30" s="391"/>
    </row>
    <row r="31" spans="1:6">
      <c r="A31" s="1108" t="s">
        <v>2248</v>
      </c>
      <c r="B31" s="1836"/>
      <c r="C31" s="1836"/>
      <c r="D31" s="1836"/>
      <c r="E31" s="1836"/>
      <c r="F31" s="1836"/>
    </row>
    <row r="32" spans="1:6">
      <c r="A32" s="391" t="s">
        <v>2238</v>
      </c>
      <c r="B32" s="1863">
        <f>B19</f>
        <v>4.03</v>
      </c>
      <c r="C32" s="1863">
        <f t="shared" ref="C32:F32" si="10">C19</f>
        <v>4.03</v>
      </c>
      <c r="D32" s="1863">
        <f t="shared" si="10"/>
        <v>4.84</v>
      </c>
      <c r="E32" s="1863">
        <f t="shared" si="10"/>
        <v>4.84</v>
      </c>
      <c r="F32" s="1863">
        <f t="shared" si="10"/>
        <v>2.2999999999999998</v>
      </c>
    </row>
    <row r="33" spans="1:6">
      <c r="A33" s="391" t="s">
        <v>2239</v>
      </c>
      <c r="B33" s="1862">
        <f>'Blocking-Step2'!Q677</f>
        <v>11.86</v>
      </c>
      <c r="C33" s="1862">
        <f>'Blocking-Step2'!Q677</f>
        <v>11.86</v>
      </c>
      <c r="D33" s="1862">
        <f>'Blocking-Step2'!Q1380</f>
        <v>14.01</v>
      </c>
      <c r="E33" s="1862">
        <f>'Blocking-Step2'!Q1380</f>
        <v>14.01</v>
      </c>
      <c r="F33" s="1862">
        <f>'Blocking-Step2'!Q1482</f>
        <v>12.81</v>
      </c>
    </row>
    <row r="34" spans="1:6">
      <c r="A34" s="391" t="s">
        <v>1869</v>
      </c>
      <c r="B34" s="1863"/>
      <c r="C34" s="1863">
        <f>C14</f>
        <v>-0.96</v>
      </c>
      <c r="D34" s="1863"/>
      <c r="E34" s="1863">
        <f>E14</f>
        <v>-1.1299999999999999</v>
      </c>
      <c r="F34" s="1691"/>
    </row>
    <row r="35" spans="1:6">
      <c r="A35" s="391" t="s">
        <v>2249</v>
      </c>
      <c r="B35" s="1691">
        <f t="shared" ref="B35:C35" si="11">-B15</f>
        <v>-7.6858496149429119</v>
      </c>
      <c r="C35" s="1691">
        <f t="shared" si="11"/>
        <v>-6.7258496149429119</v>
      </c>
      <c r="D35" s="1691">
        <f>-D15</f>
        <v>-8.5498272176970396</v>
      </c>
      <c r="E35" s="1691">
        <f t="shared" ref="E35:F35" si="12">-E15</f>
        <v>-7.4198272176970397</v>
      </c>
      <c r="F35" s="1691">
        <f t="shared" si="12"/>
        <v>-5.0149207782858216</v>
      </c>
    </row>
    <row r="36" spans="1:6">
      <c r="A36" s="391" t="s">
        <v>2241</v>
      </c>
      <c r="B36" s="1691">
        <f>SUM(B32:B35)</f>
        <v>8.2041503850570887</v>
      </c>
      <c r="C36" s="1691">
        <f>SUM(C32:C35)</f>
        <v>8.2041503850570869</v>
      </c>
      <c r="D36" s="1691">
        <f>SUM(D32:D35)</f>
        <v>10.300172782302962</v>
      </c>
      <c r="E36" s="1691">
        <f t="shared" ref="E36:F36" si="13">SUM(E32:E35)</f>
        <v>10.300172782302962</v>
      </c>
      <c r="F36" s="1691">
        <f t="shared" si="13"/>
        <v>10.095079221714178</v>
      </c>
    </row>
    <row r="37" spans="1:6">
      <c r="A37" s="391" t="s">
        <v>2242</v>
      </c>
      <c r="B37" s="1693">
        <f>(365-102-8)/12</f>
        <v>21.25</v>
      </c>
      <c r="C37" s="1693">
        <f t="shared" ref="C37" si="14">(365-102-8)/12</f>
        <v>21.25</v>
      </c>
      <c r="D37" s="1693">
        <f>(365-102-8)/12</f>
        <v>21.25</v>
      </c>
      <c r="E37" s="1693">
        <f t="shared" ref="E37:F37" si="15">(365-102-8)/12</f>
        <v>21.25</v>
      </c>
      <c r="F37" s="1693">
        <f t="shared" si="15"/>
        <v>21.25</v>
      </c>
    </row>
    <row r="38" spans="1:6">
      <c r="A38" s="391" t="s">
        <v>2243</v>
      </c>
      <c r="B38" s="1691">
        <f>B36/B37</f>
        <v>0.38607766517915709</v>
      </c>
      <c r="C38" s="1691">
        <f>C36/C37</f>
        <v>0.38607766517915704</v>
      </c>
      <c r="D38" s="1691">
        <f>D36/D37</f>
        <v>0.48471401328484526</v>
      </c>
      <c r="E38" s="1691">
        <f>E36/E37</f>
        <v>0.48471401328484526</v>
      </c>
      <c r="F38" s="1691">
        <f>F36/F37</f>
        <v>0.47506255161007893</v>
      </c>
    </row>
    <row r="39" spans="1:6">
      <c r="A39" s="391" t="s">
        <v>2244</v>
      </c>
      <c r="B39" s="1694">
        <v>0.8</v>
      </c>
      <c r="C39" s="1694">
        <v>0.8</v>
      </c>
      <c r="D39" s="1694">
        <v>0.8</v>
      </c>
      <c r="E39" s="1694">
        <v>0.8</v>
      </c>
      <c r="F39" s="1694">
        <v>0.85</v>
      </c>
    </row>
    <row r="40" spans="1:6">
      <c r="A40" s="391" t="s">
        <v>2245</v>
      </c>
      <c r="B40" s="1691">
        <f>B38/B39</f>
        <v>0.48259708147394637</v>
      </c>
      <c r="C40" s="1691">
        <f t="shared" ref="C40" si="16">C38/C39</f>
        <v>0.48259708147394625</v>
      </c>
      <c r="D40" s="1691">
        <f>D38/D39</f>
        <v>0.60589251660605659</v>
      </c>
      <c r="E40" s="1691">
        <f t="shared" ref="E40:F40" si="17">E38/E39</f>
        <v>0.60589251660605659</v>
      </c>
      <c r="F40" s="1691">
        <f t="shared" si="17"/>
        <v>0.5588971195412693</v>
      </c>
    </row>
    <row r="41" spans="1:6">
      <c r="A41" s="391" t="s">
        <v>2246</v>
      </c>
      <c r="B41" s="1691"/>
      <c r="C41" s="1695">
        <v>0.97521479301763747</v>
      </c>
      <c r="D41" s="1691"/>
      <c r="E41" s="1695">
        <v>0.97521479301763747</v>
      </c>
      <c r="F41" s="391"/>
    </row>
    <row r="42" spans="1:6">
      <c r="A42" s="82" t="s">
        <v>2247</v>
      </c>
      <c r="B42" s="1696">
        <f>B40</f>
        <v>0.48259708147394637</v>
      </c>
      <c r="C42" s="1696">
        <f>C40*C41</f>
        <v>0.47063581292053042</v>
      </c>
      <c r="D42" s="1696">
        <f>D40</f>
        <v>0.60589251660605659</v>
      </c>
      <c r="E42" s="1696">
        <f>E40*E41</f>
        <v>0.59087534517291096</v>
      </c>
      <c r="F42" s="1696">
        <f>F40</f>
        <v>0.5588971195412693</v>
      </c>
    </row>
  </sheetData>
  <mergeCells count="3">
    <mergeCell ref="B6:F6"/>
    <mergeCell ref="B16:C16"/>
    <mergeCell ref="D16:F1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53"/>
  <sheetViews>
    <sheetView view="pageBreakPreview" topLeftCell="A8" zoomScale="70" zoomScaleNormal="90" zoomScaleSheetLayoutView="70" workbookViewId="0">
      <pane xSplit="6" ySplit="4" topLeftCell="G27" activePane="bottomRight" state="frozen"/>
      <selection activeCell="O24" sqref="O24"/>
      <selection pane="topRight" activeCell="O24" sqref="O24"/>
      <selection pane="bottomLeft" activeCell="O24" sqref="O24"/>
      <selection pane="bottomRight" activeCell="M38" sqref="M38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625" style="1657" bestFit="1" customWidth="1"/>
    <col min="14" max="14" width="1.625" style="1657" customWidth="1"/>
    <col min="15" max="15" width="11.25" style="1657" bestFit="1" customWidth="1"/>
    <col min="16" max="16" width="1.625" style="1657" customWidth="1"/>
    <col min="17" max="17" width="10.75" style="1657" customWidth="1"/>
    <col min="18" max="18" width="1.625" style="1657" customWidth="1"/>
    <col min="19" max="19" width="10.625" style="1657" bestFit="1" customWidth="1"/>
    <col min="20" max="20" width="1.625" style="76" customWidth="1"/>
    <col min="21" max="21" width="7.25" style="76" bestFit="1" customWidth="1"/>
    <col min="22" max="22" width="1.625" style="76" customWidth="1"/>
    <col min="23" max="23" width="10.625" style="1657" bestFit="1" customWidth="1"/>
    <col min="24" max="24" width="1.625" style="76" customWidth="1"/>
    <col min="25" max="25" width="7.25" style="76" bestFit="1" customWidth="1"/>
    <col min="26" max="16384" width="9" style="76"/>
  </cols>
  <sheetData>
    <row r="1" spans="1:25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75"/>
      <c r="U1" s="75"/>
      <c r="V1" s="75"/>
      <c r="W1" s="1660"/>
      <c r="X1" s="75"/>
      <c r="Y1" s="75"/>
    </row>
    <row r="2" spans="1:25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62"/>
      <c r="U2" s="62"/>
      <c r="V2" s="62"/>
      <c r="W2" s="1661"/>
      <c r="X2" s="62"/>
      <c r="Y2" s="62"/>
    </row>
    <row r="3" spans="1:25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62"/>
      <c r="U3" s="62"/>
      <c r="V3" s="62"/>
      <c r="W3" s="1661"/>
      <c r="X3" s="62"/>
      <c r="Y3" s="62"/>
    </row>
    <row r="4" spans="1:25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62"/>
      <c r="U4" s="62"/>
      <c r="V4" s="62"/>
      <c r="W4" s="1661"/>
      <c r="X4" s="62"/>
      <c r="Y4" s="62"/>
    </row>
    <row r="5" spans="1:25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62"/>
      <c r="U5" s="62"/>
      <c r="V5" s="62"/>
      <c r="W5" s="1661"/>
      <c r="X5" s="62"/>
      <c r="Y5" s="62"/>
    </row>
    <row r="6" spans="1:25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62"/>
      <c r="U6" s="62"/>
      <c r="V6" s="62"/>
      <c r="W6" s="1661"/>
      <c r="X6" s="62"/>
      <c r="Y6" s="62"/>
    </row>
    <row r="7" spans="1:25">
      <c r="D7" s="85"/>
      <c r="F7" s="85"/>
      <c r="G7" s="2038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85"/>
      <c r="U7" s="84"/>
      <c r="V7" s="85"/>
      <c r="W7" s="1662"/>
      <c r="X7" s="85"/>
      <c r="Y7" s="84"/>
    </row>
    <row r="8" spans="1:25">
      <c r="D8" s="2038"/>
      <c r="E8" s="2038"/>
      <c r="F8" s="2038"/>
      <c r="G8" s="2038" t="s">
        <v>1368</v>
      </c>
      <c r="H8" s="2038"/>
      <c r="I8" s="1290"/>
      <c r="J8" s="2038"/>
      <c r="K8" s="1664" t="s">
        <v>200</v>
      </c>
      <c r="L8" s="1665"/>
      <c r="M8" s="1666" t="s">
        <v>2328</v>
      </c>
      <c r="N8" s="1666"/>
      <c r="O8" s="1666"/>
      <c r="P8" s="1666"/>
      <c r="Q8" s="1666"/>
      <c r="R8" s="1666"/>
      <c r="S8" s="1666"/>
      <c r="T8" s="1035"/>
      <c r="U8" s="1039"/>
      <c r="V8" s="1035"/>
      <c r="W8" s="1666"/>
      <c r="X8" s="1035"/>
      <c r="Y8" s="1039"/>
    </row>
    <row r="9" spans="1:25" s="80" customFormat="1">
      <c r="A9" s="80" t="s">
        <v>217</v>
      </c>
      <c r="D9" s="2038"/>
      <c r="E9" s="2038" t="s">
        <v>156</v>
      </c>
      <c r="F9" s="2038"/>
      <c r="G9" s="83" t="s">
        <v>778</v>
      </c>
      <c r="H9" s="2038"/>
      <c r="I9" s="1290" t="s">
        <v>109</v>
      </c>
      <c r="J9" s="83"/>
      <c r="K9" s="1665" t="s">
        <v>1366</v>
      </c>
      <c r="L9" s="1664"/>
      <c r="M9" s="1664" t="s">
        <v>1366</v>
      </c>
      <c r="N9" s="1664"/>
      <c r="O9" s="1664" t="s">
        <v>1241</v>
      </c>
      <c r="P9" s="1664"/>
      <c r="Q9" s="1664" t="s">
        <v>2210</v>
      </c>
      <c r="R9" s="1664"/>
      <c r="S9" s="1666" t="s">
        <v>2211</v>
      </c>
      <c r="T9" s="1035"/>
      <c r="U9" s="1039"/>
      <c r="V9" s="83"/>
      <c r="W9" s="1666" t="s">
        <v>1752</v>
      </c>
      <c r="X9" s="1035"/>
      <c r="Y9" s="1039"/>
    </row>
    <row r="10" spans="1:25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U10" s="1042" t="s">
        <v>1370</v>
      </c>
      <c r="W10" s="1667" t="s">
        <v>1397</v>
      </c>
      <c r="Y10" s="1042" t="s">
        <v>1370</v>
      </c>
    </row>
    <row r="11" spans="1:25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834">
        <f>MIN($A11:J11)-1</f>
        <v>-5</v>
      </c>
      <c r="L11" s="1834"/>
      <c r="M11" s="1834">
        <f>MIN($A11:L11)-1</f>
        <v>-6</v>
      </c>
      <c r="N11" s="1834"/>
      <c r="O11" s="1834">
        <f>MIN($A11:N11)-1</f>
        <v>-7</v>
      </c>
      <c r="P11" s="1834"/>
      <c r="Q11" s="1834">
        <f>MIN($A11:P11)-1</f>
        <v>-8</v>
      </c>
      <c r="R11" s="1834"/>
      <c r="S11" s="1834">
        <f>MIN($A11:R11)-1</f>
        <v>-9</v>
      </c>
      <c r="T11" s="1834"/>
      <c r="U11" s="1834">
        <f>MIN($A11:T11)-1</f>
        <v>-10</v>
      </c>
      <c r="V11" s="1834"/>
      <c r="W11" s="1834">
        <f>MIN($A11:V11)-1</f>
        <v>-11</v>
      </c>
      <c r="X11" s="1834"/>
      <c r="Y11" s="1834">
        <f>MIN($A11:X11)-1</f>
        <v>-12</v>
      </c>
    </row>
    <row r="12" spans="1:25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5" t="str">
        <f>"(" &amp; -M11 &amp; ")-(" &amp; -K11 &amp; ")"</f>
        <v>(6)-(5)</v>
      </c>
      <c r="U12" s="1043" t="str">
        <f>"(" &amp; -S11 &amp; ")/(" &amp; -K11 &amp; ")"</f>
        <v>(9)/(5)</v>
      </c>
      <c r="W12" s="1665" t="str">
        <f>"(" &amp; -Q11 &amp; ")-(" &amp; -K11 &amp; ")"</f>
        <v>(8)-(5)</v>
      </c>
      <c r="Y12" s="1043" t="str">
        <f>"(" &amp; -W11 &amp; ")/(" &amp; -K11 &amp; ")"</f>
        <v>(11)/(5)</v>
      </c>
    </row>
    <row r="13" spans="1:25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76"/>
      <c r="U13" s="76"/>
      <c r="V13" s="76"/>
      <c r="W13" s="1657"/>
      <c r="X13" s="76"/>
      <c r="Y13" s="76"/>
    </row>
    <row r="14" spans="1:25">
      <c r="A14" s="76">
        <v>1</v>
      </c>
      <c r="C14" s="76" t="s">
        <v>103</v>
      </c>
      <c r="E14" s="1303" t="s">
        <v>2250</v>
      </c>
      <c r="G14" s="68">
        <f>'Table B-Step2'!G14+'Table B-Step2'!G17+'Table B-Step2'!G18+'Table B-Step2'!G19</f>
        <v>857245</v>
      </c>
      <c r="I14" s="68">
        <f>'Table B-Step2'!I14+'Table B-Step2'!I17+'Table B-Step2'!I18+'Table B-Step2'!I19</f>
        <v>6776607.1933199447</v>
      </c>
      <c r="K14" s="144">
        <f>'Table B-Step1'!K14+'Table B-Step1'!K17+'Table B-Step1'!K18+'Table B-Step1'!K19</f>
        <v>730022.9857208</v>
      </c>
      <c r="M14" s="144">
        <f>'Table B-Step1'!M14+'Table B-Step1'!M17+'Table B-Step1'!M18+'Table B-Step1'!M19</f>
        <v>769508.94500000007</v>
      </c>
      <c r="O14" s="144">
        <f>'Table B-Step1'!O14+'Table B-Step1'!O17+'Table B-Step1'!O18+'Table B-Step1'!O19</f>
        <v>-11488.617441999999</v>
      </c>
      <c r="Q14" s="144">
        <f>M14+O14</f>
        <v>758020.32755800011</v>
      </c>
      <c r="S14" s="144">
        <f>M14-K14</f>
        <v>39485.959279200062</v>
      </c>
      <c r="U14" s="1294">
        <f>S14/K14</f>
        <v>5.4088652071979569E-2</v>
      </c>
      <c r="W14" s="144">
        <f>Q14-K14</f>
        <v>27997.341837200103</v>
      </c>
      <c r="Y14" s="1294">
        <f>W14/K14</f>
        <v>3.8351315485712377E-2</v>
      </c>
    </row>
    <row r="15" spans="1:25">
      <c r="A15" s="76">
        <f>MAX(A$13:A14)+1</f>
        <v>2</v>
      </c>
      <c r="C15" s="1295" t="s">
        <v>1377</v>
      </c>
      <c r="E15" s="1297" t="s">
        <v>2251</v>
      </c>
      <c r="G15" s="68">
        <f>'Table B-Step2'!G15+'Table B-Step2'!G16</f>
        <v>623</v>
      </c>
      <c r="I15" s="68">
        <f>'Table B-Step2'!I15+'Table B-Step2'!I16</f>
        <v>6392.1840452160832</v>
      </c>
      <c r="K15" s="144">
        <f>'Table B-Step1'!K15+'Table B-Step1'!K16</f>
        <v>601.13113679999992</v>
      </c>
      <c r="M15" s="144">
        <f>'Table B-Step1'!M15+'Table B-Step1'!M16</f>
        <v>635.226</v>
      </c>
      <c r="O15" s="144">
        <f>'Table B-Step1'!O15+'Table B-Step1'!O16</f>
        <v>-9.6448479999999996</v>
      </c>
      <c r="Q15" s="144">
        <f t="shared" ref="Q15:Q16" si="0">M15+O15</f>
        <v>625.58115199999997</v>
      </c>
      <c r="S15" s="144">
        <f t="shared" ref="S15:S16" si="1">M15-K15</f>
        <v>34.094863200000077</v>
      </c>
      <c r="U15" s="1294">
        <f t="shared" ref="U15:U17" si="2">S15/K15</f>
        <v>5.6717845928755561E-2</v>
      </c>
      <c r="W15" s="144">
        <f t="shared" ref="W15:W16" si="3">Q15-K15</f>
        <v>24.450015200000053</v>
      </c>
      <c r="Y15" s="1294">
        <f t="shared" ref="Y15:Y50" si="4">W15/K15</f>
        <v>4.0673346801090297E-2</v>
      </c>
    </row>
    <row r="16" spans="1:25">
      <c r="A16" s="76">
        <f>MAX(A$13:A15)+1</f>
        <v>3</v>
      </c>
      <c r="C16" s="1298" t="s">
        <v>471</v>
      </c>
      <c r="E16" s="1299"/>
      <c r="G16" s="72"/>
      <c r="I16" s="72"/>
      <c r="K16" s="145">
        <f>'Table B-Step1'!K20</f>
        <v>6.7950900000000622</v>
      </c>
      <c r="M16" s="145">
        <f>'Table B-Step1'!M20</f>
        <v>6.7950900000000622</v>
      </c>
      <c r="O16" s="145">
        <f>'Table B-Step1'!O20</f>
        <v>0</v>
      </c>
      <c r="Q16" s="145">
        <f t="shared" si="0"/>
        <v>6.7950900000000622</v>
      </c>
      <c r="S16" s="145">
        <f t="shared" si="1"/>
        <v>0</v>
      </c>
      <c r="U16" s="1300">
        <f t="shared" si="2"/>
        <v>0</v>
      </c>
      <c r="W16" s="145">
        <f t="shared" si="3"/>
        <v>0</v>
      </c>
      <c r="Y16" s="1300">
        <f t="shared" si="4"/>
        <v>0</v>
      </c>
    </row>
    <row r="17" spans="1:25">
      <c r="A17" s="76">
        <f>MAX(A$13:A16)+1</f>
        <v>4</v>
      </c>
      <c r="C17" s="80" t="s">
        <v>114</v>
      </c>
      <c r="G17" s="68">
        <f>SUM(G14:G16)</f>
        <v>857868</v>
      </c>
      <c r="I17" s="68">
        <f>SUM(I14:I16)</f>
        <v>6782999.3773651607</v>
      </c>
      <c r="K17" s="144">
        <f>SUM(K14:K16)</f>
        <v>730630.91194760008</v>
      </c>
      <c r="M17" s="144">
        <f>SUM(M14:M16)</f>
        <v>770150.96609000012</v>
      </c>
      <c r="O17" s="144">
        <f>SUM(O14:O16)</f>
        <v>-11498.262289999999</v>
      </c>
      <c r="Q17" s="144">
        <f>SUM(Q14:Q16)</f>
        <v>758652.70380000013</v>
      </c>
      <c r="S17" s="144">
        <f>SUM(S14:S16)</f>
        <v>39520.054142400062</v>
      </c>
      <c r="U17" s="1294">
        <f t="shared" si="2"/>
        <v>5.409031221667554E-2</v>
      </c>
      <c r="W17" s="144">
        <f>SUM(W14:W16)</f>
        <v>28021.791852400103</v>
      </c>
      <c r="Y17" s="1294">
        <f t="shared" si="4"/>
        <v>3.8352869272536047E-2</v>
      </c>
    </row>
    <row r="18" spans="1:25">
      <c r="C18" s="80" t="s">
        <v>1316</v>
      </c>
      <c r="G18" s="68"/>
      <c r="I18" s="68"/>
      <c r="K18" s="144"/>
      <c r="M18" s="144"/>
      <c r="O18" s="144"/>
      <c r="Q18" s="144"/>
      <c r="S18" s="144"/>
      <c r="W18" s="144"/>
    </row>
    <row r="19" spans="1:25" ht="25.15" customHeight="1">
      <c r="A19" s="76">
        <f>MAX(A$13:A18)+1</f>
        <v>5</v>
      </c>
      <c r="C19" s="1295" t="s">
        <v>1378</v>
      </c>
      <c r="E19" s="1302">
        <v>6</v>
      </c>
      <c r="G19" s="68">
        <f>'Table B-Step2'!G23+'Table B-Step2'!G24+'Table B-Step2'!G25</f>
        <v>13514</v>
      </c>
      <c r="I19" s="68">
        <f>'Table B-Step2'!I23+'Table B-Step2'!I24+'Table B-Step2'!I25</f>
        <v>5786326.1582976859</v>
      </c>
      <c r="K19" s="144">
        <f>'Table B-Step1'!K23+'Table B-Step1'!K24+'Table B-Step1'!K25</f>
        <v>473635.33899870003</v>
      </c>
      <c r="M19" s="144">
        <f>'Table B-Step1'!M23+'Table B-Step1'!M24+'Table B-Step1'!M25</f>
        <v>475382.78100000002</v>
      </c>
      <c r="O19" s="144">
        <f>'Table B-Step1'!O23+'Table B-Step1'!O24+'Table B-Step1'!O25</f>
        <v>-6168.9565954</v>
      </c>
      <c r="Q19" s="144">
        <f t="shared" ref="Q19:Q21" si="5">M19+O19</f>
        <v>469213.82440460002</v>
      </c>
      <c r="S19" s="144">
        <f t="shared" ref="S19:S21" si="6">M19-K19</f>
        <v>1747.4420012999908</v>
      </c>
      <c r="U19" s="1294">
        <f t="shared" ref="U19:U39" si="7">S19/K19</f>
        <v>3.6894248748292552E-3</v>
      </c>
      <c r="W19" s="144">
        <f t="shared" ref="W19:W21" si="8">Q19-K19</f>
        <v>-4421.5145941000083</v>
      </c>
      <c r="Y19" s="1294">
        <f t="shared" si="4"/>
        <v>-9.3352717376355733E-3</v>
      </c>
    </row>
    <row r="20" spans="1:25">
      <c r="A20" s="76">
        <f>MAX(A$13:A19)+1</f>
        <v>6</v>
      </c>
      <c r="C20" s="1295" t="s">
        <v>1381</v>
      </c>
      <c r="E20" s="1296" t="s">
        <v>221</v>
      </c>
      <c r="G20" s="68">
        <f>'Table B-Step2'!G26+'Table B-Step2'!G27+'Table B-Step2'!G28</f>
        <v>2806</v>
      </c>
      <c r="I20" s="68">
        <f>'Table B-Step2'!I26+'Table B-Step2'!I27+'Table B-Step2'!I28</f>
        <v>404017.6502258089</v>
      </c>
      <c r="K20" s="144">
        <f>'Table B-Step1'!K26+'Table B-Step1'!K27+'Table B-Step1'!K28</f>
        <v>46170.033759599995</v>
      </c>
      <c r="M20" s="144">
        <f>'Table B-Step1'!M26+'Table B-Step1'!M27+'Table B-Step1'!M28</f>
        <v>46939.47</v>
      </c>
      <c r="O20" s="144">
        <f>'Table B-Step1'!O26+'Table B-Step1'!O27+'Table B-Step1'!O28</f>
        <v>-637.52880619999985</v>
      </c>
      <c r="Q20" s="144">
        <f t="shared" si="5"/>
        <v>46301.941193800005</v>
      </c>
      <c r="S20" s="144">
        <f t="shared" si="6"/>
        <v>769.43624040000577</v>
      </c>
      <c r="U20" s="1294">
        <f t="shared" si="7"/>
        <v>1.6665273506325285E-2</v>
      </c>
      <c r="W20" s="144">
        <f t="shared" si="8"/>
        <v>131.90743420000945</v>
      </c>
      <c r="Y20" s="1294">
        <f t="shared" si="4"/>
        <v>2.8569923705672479E-3</v>
      </c>
    </row>
    <row r="21" spans="1:25">
      <c r="A21" s="76">
        <f>MAX(A$13:A20)+1</f>
        <v>7</v>
      </c>
      <c r="C21" s="1295" t="s">
        <v>1383</v>
      </c>
      <c r="E21" s="1296" t="s">
        <v>223</v>
      </c>
      <c r="G21" s="71">
        <f>'Table B-Step2'!G29</f>
        <v>16</v>
      </c>
      <c r="I21" s="71">
        <f>'Table B-Step2'!I29</f>
        <v>3380.6909999999998</v>
      </c>
      <c r="K21" s="145">
        <f>'Table B-Step1'!K29</f>
        <v>331.16066489999997</v>
      </c>
      <c r="M21" s="145">
        <f>'Table B-Step1'!M29</f>
        <v>309.75400000000002</v>
      </c>
      <c r="O21" s="145">
        <f>'Table B-Step1'!O29</f>
        <v>-3.8116152000000003</v>
      </c>
      <c r="Q21" s="145">
        <f t="shared" si="5"/>
        <v>305.94238480000001</v>
      </c>
      <c r="S21" s="145">
        <f t="shared" si="6"/>
        <v>-21.406664899999953</v>
      </c>
      <c r="U21" s="1300">
        <f t="shared" si="7"/>
        <v>-6.4641327213375677E-2</v>
      </c>
      <c r="W21" s="145">
        <f t="shared" si="8"/>
        <v>-25.218280099999959</v>
      </c>
      <c r="Y21" s="1300">
        <f t="shared" si="4"/>
        <v>-7.6151194187314128E-2</v>
      </c>
    </row>
    <row r="22" spans="1:25">
      <c r="A22" s="1038">
        <f>MAX(A$13:A21)+1</f>
        <v>8</v>
      </c>
      <c r="B22" s="1038"/>
      <c r="C22" s="1038" t="s">
        <v>224</v>
      </c>
      <c r="D22" s="1038"/>
      <c r="E22" s="1038"/>
      <c r="F22" s="1038"/>
      <c r="G22" s="1036">
        <f>SUM(G19:G21)</f>
        <v>16336</v>
      </c>
      <c r="H22" s="1038"/>
      <c r="I22" s="1036">
        <f>SUM(I19:I21)</f>
        <v>6193724.4995234944</v>
      </c>
      <c r="J22" s="1038"/>
      <c r="K22" s="1037">
        <f>SUM(K19:K21)</f>
        <v>520136.53342320002</v>
      </c>
      <c r="L22" s="1658"/>
      <c r="M22" s="1037">
        <f>SUM(M19:M21)</f>
        <v>522632.00500000006</v>
      </c>
      <c r="N22" s="1658"/>
      <c r="O22" s="1037">
        <f>SUM(O19:O21)</f>
        <v>-6810.2970168000002</v>
      </c>
      <c r="P22" s="1658"/>
      <c r="Q22" s="1037">
        <f>SUM(Q19:Q21)</f>
        <v>515821.70798320003</v>
      </c>
      <c r="R22" s="1658"/>
      <c r="S22" s="1037">
        <f>SUM(S19:S21)</f>
        <v>2495.4715767999965</v>
      </c>
      <c r="T22" s="1038"/>
      <c r="U22" s="1304">
        <f t="shared" si="7"/>
        <v>4.7977240905891141E-3</v>
      </c>
      <c r="V22" s="1038"/>
      <c r="W22" s="1037">
        <f>SUM(W19:W21)</f>
        <v>-4314.8254399999987</v>
      </c>
      <c r="X22" s="1038"/>
      <c r="Y22" s="1304">
        <f t="shared" si="4"/>
        <v>-8.2955631122517519E-3</v>
      </c>
    </row>
    <row r="23" spans="1:25" s="1038" customFormat="1">
      <c r="A23" s="76">
        <f>MAX(A$13:A22)+1</f>
        <v>9</v>
      </c>
      <c r="B23" s="76"/>
      <c r="C23" s="1295" t="s">
        <v>1384</v>
      </c>
      <c r="D23" s="76"/>
      <c r="E23" s="76">
        <v>8</v>
      </c>
      <c r="F23" s="68"/>
      <c r="G23" s="68">
        <f>'Table B-Step2'!G34</f>
        <v>249</v>
      </c>
      <c r="H23" s="68"/>
      <c r="I23" s="68">
        <f>'Table B-Step2'!I34</f>
        <v>2020703.4442505348</v>
      </c>
      <c r="J23" s="68"/>
      <c r="K23" s="144">
        <f>'Table B-Step1'!K34</f>
        <v>146556.96347300001</v>
      </c>
      <c r="L23" s="1659"/>
      <c r="M23" s="144">
        <f>'Table B-Step1'!M34</f>
        <v>147246.15300000002</v>
      </c>
      <c r="N23" s="1659"/>
      <c r="O23" s="144">
        <f>'Table B-Step1'!O34</f>
        <v>-1872.2153780000001</v>
      </c>
      <c r="P23" s="1659"/>
      <c r="Q23" s="144">
        <f t="shared" ref="Q23:Q25" si="9">M23+O23</f>
        <v>145373.93762200003</v>
      </c>
      <c r="R23" s="1659"/>
      <c r="S23" s="144">
        <f t="shared" ref="S23:S25" si="10">M23-K23</f>
        <v>689.18952700000955</v>
      </c>
      <c r="T23" s="76"/>
      <c r="U23" s="1294">
        <f t="shared" si="7"/>
        <v>4.7025368885114625E-3</v>
      </c>
      <c r="V23" s="68"/>
      <c r="W23" s="144">
        <f t="shared" ref="W23:W25" si="11">Q23-K23</f>
        <v>-1183.025850999984</v>
      </c>
      <c r="X23" s="76"/>
      <c r="Y23" s="1294">
        <f t="shared" si="4"/>
        <v>-8.0721231046652457E-3</v>
      </c>
    </row>
    <row r="24" spans="1:25" ht="22.15" customHeight="1">
      <c r="A24" s="76">
        <f>MAX(A$13:A23)+1</f>
        <v>10</v>
      </c>
      <c r="C24" s="1295" t="s">
        <v>1386</v>
      </c>
      <c r="E24" s="76">
        <v>9</v>
      </c>
      <c r="G24" s="68">
        <f>'Table B-Step2'!G35</f>
        <v>156</v>
      </c>
      <c r="I24" s="68">
        <f>'Table B-Step2'!I35</f>
        <v>4847331.9543051273</v>
      </c>
      <c r="K24" s="144">
        <f>'Table B-Step1'!K35</f>
        <v>265709.5999731</v>
      </c>
      <c r="M24" s="144">
        <f>'Table B-Step1'!M35</f>
        <v>272275.58199999999</v>
      </c>
      <c r="O24" s="144">
        <f>'Table B-Step1'!O35</f>
        <v>-3550.6652429999999</v>
      </c>
      <c r="Q24" s="144">
        <f t="shared" si="9"/>
        <v>268724.91675699997</v>
      </c>
      <c r="S24" s="144">
        <f t="shared" si="10"/>
        <v>6565.9820268999902</v>
      </c>
      <c r="U24" s="1294">
        <f t="shared" si="7"/>
        <v>2.4711120815976234E-2</v>
      </c>
      <c r="W24" s="144">
        <f t="shared" si="11"/>
        <v>3015.3167838999652</v>
      </c>
      <c r="Y24" s="1294">
        <f t="shared" si="4"/>
        <v>1.1348166510375353E-2</v>
      </c>
    </row>
    <row r="25" spans="1:25" ht="22.15" customHeight="1">
      <c r="A25" s="76">
        <f>MAX(A$13:A24)+1</f>
        <v>11</v>
      </c>
      <c r="C25" s="1295" t="s">
        <v>1395</v>
      </c>
      <c r="E25" s="1296" t="s">
        <v>225</v>
      </c>
      <c r="G25" s="71">
        <f>'Table B-Step2'!G36</f>
        <v>9</v>
      </c>
      <c r="I25" s="71">
        <f>'Table B-Step2'!I36</f>
        <v>41940.288</v>
      </c>
      <c r="K25" s="145">
        <f>'Table B-Step1'!K36</f>
        <v>3195.848559</v>
      </c>
      <c r="M25" s="145">
        <f>'Table B-Step1'!M36</f>
        <v>2986.2220000000002</v>
      </c>
      <c r="O25" s="145">
        <f>'Table B-Step1'!O36</f>
        <v>-33.921709499999999</v>
      </c>
      <c r="Q25" s="145">
        <f t="shared" si="9"/>
        <v>2952.3002905000003</v>
      </c>
      <c r="S25" s="145">
        <f t="shared" si="10"/>
        <v>-209.62655899999982</v>
      </c>
      <c r="U25" s="1300">
        <f t="shared" si="7"/>
        <v>-6.5593395660022522E-2</v>
      </c>
      <c r="W25" s="145">
        <f t="shared" si="11"/>
        <v>-243.54826849999972</v>
      </c>
      <c r="Y25" s="1300">
        <f t="shared" si="4"/>
        <v>-7.6207700084577043E-2</v>
      </c>
    </row>
    <row r="26" spans="1:25">
      <c r="A26" s="76">
        <f>MAX(A$13:A25)+1</f>
        <v>12</v>
      </c>
      <c r="C26" s="1038" t="s">
        <v>226</v>
      </c>
      <c r="D26" s="1038"/>
      <c r="E26" s="1038"/>
      <c r="F26" s="1038"/>
      <c r="G26" s="1036">
        <f>SUM(G24:G25)</f>
        <v>165</v>
      </c>
      <c r="H26" s="1038"/>
      <c r="I26" s="1036">
        <f>SUM(I24:I25)</f>
        <v>4889272.242305127</v>
      </c>
      <c r="J26" s="1038"/>
      <c r="K26" s="1037">
        <f>SUM(K24:K25)</f>
        <v>268905.44853210001</v>
      </c>
      <c r="L26" s="1658"/>
      <c r="M26" s="1037">
        <f>SUM(M24:M25)</f>
        <v>275261.804</v>
      </c>
      <c r="N26" s="1658"/>
      <c r="O26" s="1037">
        <f>SUM(O24:O25)</f>
        <v>-3584.5869524999998</v>
      </c>
      <c r="P26" s="1658"/>
      <c r="Q26" s="1037">
        <f>SUM(Q24:Q25)</f>
        <v>271677.21704749996</v>
      </c>
      <c r="R26" s="1658"/>
      <c r="S26" s="1037">
        <f>SUM(S24:S25)</f>
        <v>6356.3554678999899</v>
      </c>
      <c r="T26" s="1038"/>
      <c r="U26" s="1304">
        <f t="shared" si="7"/>
        <v>2.3637882767337137E-2</v>
      </c>
      <c r="V26" s="1038"/>
      <c r="W26" s="1037">
        <f>SUM(W24:W25)</f>
        <v>2771.7685153999655</v>
      </c>
      <c r="X26" s="1038"/>
      <c r="Y26" s="1304">
        <f t="shared" si="4"/>
        <v>1.0307595218060789E-2</v>
      </c>
    </row>
    <row r="27" spans="1:25">
      <c r="A27" s="76">
        <f>MAX(A$13:A26)+1</f>
        <v>13</v>
      </c>
      <c r="C27" s="76" t="s">
        <v>227</v>
      </c>
      <c r="E27" s="1296">
        <v>10</v>
      </c>
      <c r="G27" s="68">
        <f>'Table B-Step2'!G38+'Table B-Step2'!G39</f>
        <v>3339</v>
      </c>
      <c r="I27" s="68">
        <f>'Table B-Step2'!I38+'Table B-Step2'!I39</f>
        <v>206134.08558220015</v>
      </c>
      <c r="K27" s="144">
        <f>'Table B-Step1'!K38+'Table B-Step1'!K39</f>
        <v>15776.8748168</v>
      </c>
      <c r="M27" s="144">
        <f>'Table B-Step1'!M38+'Table B-Step1'!M39</f>
        <v>16169.429</v>
      </c>
      <c r="O27" s="144">
        <f>'Table B-Step1'!O38+'Table B-Step1'!O39</f>
        <v>-234.59020410000002</v>
      </c>
      <c r="Q27" s="144">
        <f t="shared" ref="Q27:Q28" si="12">M27+O27</f>
        <v>15934.838795899999</v>
      </c>
      <c r="S27" s="144">
        <f t="shared" ref="S27:S28" si="13">M27-K27</f>
        <v>392.5541831999999</v>
      </c>
      <c r="U27" s="1294">
        <f t="shared" si="7"/>
        <v>2.4881618682933877E-2</v>
      </c>
      <c r="W27" s="144">
        <f t="shared" ref="W27:W28" si="14">Q27-K27</f>
        <v>157.96397909999905</v>
      </c>
      <c r="Y27" s="1294">
        <f t="shared" si="4"/>
        <v>1.0012374499656368E-2</v>
      </c>
    </row>
    <row r="28" spans="1:25">
      <c r="A28" s="76">
        <f>MAX(A$13:A27)+1</f>
        <v>14</v>
      </c>
      <c r="C28" s="1295" t="s">
        <v>1388</v>
      </c>
      <c r="E28" s="1296" t="s">
        <v>228</v>
      </c>
      <c r="G28" s="71">
        <f>'Table B-Step2'!G40</f>
        <v>269</v>
      </c>
      <c r="I28" s="71">
        <f>'Table B-Step2'!I40</f>
        <v>24258.38713714117</v>
      </c>
      <c r="K28" s="145">
        <f>'Table B-Step1'!K40</f>
        <v>1922.6796366999999</v>
      </c>
      <c r="M28" s="145">
        <f>'Table B-Step1'!M40</f>
        <v>1963.018</v>
      </c>
      <c r="O28" s="145">
        <f>'Table B-Step1'!O40</f>
        <v>-28.9182478</v>
      </c>
      <c r="Q28" s="145">
        <f t="shared" si="12"/>
        <v>1934.0997522</v>
      </c>
      <c r="S28" s="145">
        <f t="shared" si="13"/>
        <v>40.338363300000083</v>
      </c>
      <c r="U28" s="1300">
        <f t="shared" si="7"/>
        <v>2.0980283209965762E-2</v>
      </c>
      <c r="W28" s="145">
        <f t="shared" si="14"/>
        <v>11.420115500000065</v>
      </c>
      <c r="Y28" s="1300">
        <f t="shared" si="4"/>
        <v>5.9396871335263288E-3</v>
      </c>
    </row>
    <row r="29" spans="1:25">
      <c r="A29" s="76">
        <f>MAX(A$13:A28)+1</f>
        <v>15</v>
      </c>
      <c r="C29" s="1038" t="s">
        <v>229</v>
      </c>
      <c r="D29" s="1038"/>
      <c r="E29" s="1038"/>
      <c r="F29" s="1038"/>
      <c r="G29" s="1036">
        <f>SUM(G27:G28)</f>
        <v>3608</v>
      </c>
      <c r="H29" s="1038"/>
      <c r="I29" s="1036">
        <f>SUM(I27:I28)</f>
        <v>230392.47271934131</v>
      </c>
      <c r="J29" s="1038"/>
      <c r="K29" s="1037">
        <f>SUM(K27:K28)</f>
        <v>17699.554453500001</v>
      </c>
      <c r="L29" s="1658"/>
      <c r="M29" s="1037">
        <f>SUM(M27:M28)</f>
        <v>18132.447</v>
      </c>
      <c r="N29" s="1658"/>
      <c r="O29" s="1037">
        <f>SUM(O27:O28)</f>
        <v>-263.50845190000001</v>
      </c>
      <c r="P29" s="1658"/>
      <c r="Q29" s="1037">
        <f>SUM(Q27:Q28)</f>
        <v>17868.938548099999</v>
      </c>
      <c r="R29" s="1658"/>
      <c r="S29" s="1037">
        <f>SUM(S27:S28)</f>
        <v>432.89254649999998</v>
      </c>
      <c r="T29" s="1038"/>
      <c r="U29" s="1304">
        <f t="shared" si="7"/>
        <v>2.4457821672138058E-2</v>
      </c>
      <c r="V29" s="1038"/>
      <c r="W29" s="1037">
        <f>SUM(W27:W28)</f>
        <v>169.38409459999912</v>
      </c>
      <c r="X29" s="1038"/>
      <c r="Y29" s="1304">
        <f t="shared" si="4"/>
        <v>9.5699637550200733E-3</v>
      </c>
    </row>
    <row r="30" spans="1:25">
      <c r="A30" s="76">
        <f>MAX(A$13:A29)+1</f>
        <v>16</v>
      </c>
      <c r="C30" s="76" t="s">
        <v>230</v>
      </c>
      <c r="E30" s="76">
        <v>21</v>
      </c>
      <c r="G30" s="68">
        <f>'Table B-Step2'!G42</f>
        <v>3</v>
      </c>
      <c r="I30" s="68">
        <f>'Table B-Step2'!I42</f>
        <v>1837.1120000000001</v>
      </c>
      <c r="K30" s="144">
        <f>'Table B-Step1'!K42</f>
        <v>233.11476199999998</v>
      </c>
      <c r="M30" s="144">
        <f>'Table B-Step1'!M42</f>
        <v>503.18799999999999</v>
      </c>
      <c r="O30" s="144">
        <f>'Table B-Step1'!O42</f>
        <v>-6.2528878000000008</v>
      </c>
      <c r="Q30" s="144">
        <f t="shared" ref="Q30:Q38" si="15">M30+O30</f>
        <v>496.93511219999999</v>
      </c>
      <c r="S30" s="144">
        <f t="shared" ref="S30:S38" si="16">M30-K30</f>
        <v>270.073238</v>
      </c>
      <c r="U30" s="1294">
        <f t="shared" si="7"/>
        <v>1.158541980280082</v>
      </c>
      <c r="W30" s="144">
        <f t="shared" ref="W30:W38" si="17">Q30-K30</f>
        <v>263.82035020000001</v>
      </c>
      <c r="Y30" s="1294">
        <f t="shared" si="4"/>
        <v>1.1317187634818253</v>
      </c>
    </row>
    <row r="31" spans="1:25" ht="22.15" customHeight="1">
      <c r="A31" s="76">
        <f>MAX(A$13:A30)+1</f>
        <v>17</v>
      </c>
      <c r="C31" s="1295" t="s">
        <v>1389</v>
      </c>
      <c r="E31" s="1302">
        <v>23</v>
      </c>
      <c r="G31" s="68">
        <f>'Table B-Step2'!G46</f>
        <v>96230</v>
      </c>
      <c r="I31" s="68">
        <f>'Table B-Step2'!I46</f>
        <v>1404451.8584710199</v>
      </c>
      <c r="K31" s="144">
        <f>'Table B-Step1'!K46</f>
        <v>138042.1235023</v>
      </c>
      <c r="M31" s="144">
        <f>'Table B-Step1'!M46</f>
        <v>138048.75199999998</v>
      </c>
      <c r="O31" s="144">
        <f>'Table B-Step1'!O46</f>
        <v>-1758.4203339999997</v>
      </c>
      <c r="Q31" s="144">
        <f t="shared" si="15"/>
        <v>136290.33166599998</v>
      </c>
      <c r="S31" s="144">
        <f t="shared" si="16"/>
        <v>6.6284976999741048</v>
      </c>
      <c r="U31" s="1294">
        <f t="shared" si="7"/>
        <v>4.801793490132498E-5</v>
      </c>
      <c r="W31" s="144">
        <f t="shared" si="17"/>
        <v>-1751.7918363000208</v>
      </c>
      <c r="Y31" s="1294">
        <f t="shared" si="4"/>
        <v>-1.2690270128094872E-2</v>
      </c>
    </row>
    <row r="32" spans="1:25">
      <c r="A32" s="76">
        <f>MAX(A$13:A31)+1</f>
        <v>18</v>
      </c>
      <c r="C32" s="76" t="s">
        <v>1392</v>
      </c>
      <c r="E32" s="76">
        <v>31</v>
      </c>
      <c r="G32" s="68">
        <f>'Table B-Step2'!G47</f>
        <v>7</v>
      </c>
      <c r="I32" s="68">
        <f>'Table B-Step2'!I47</f>
        <v>189259.14266666665</v>
      </c>
      <c r="K32" s="144">
        <f>'Table B-Step1'!K47</f>
        <v>12375.2296725</v>
      </c>
      <c r="M32" s="144">
        <f>'Table B-Step1'!M47</f>
        <v>12559.918</v>
      </c>
      <c r="O32" s="144">
        <f>'Table B-Step1'!O47</f>
        <v>-136.59516410000001</v>
      </c>
      <c r="Q32" s="144">
        <f t="shared" si="15"/>
        <v>12423.3228359</v>
      </c>
      <c r="S32" s="144">
        <f t="shared" si="16"/>
        <v>184.68832750000001</v>
      </c>
      <c r="U32" s="1294">
        <f t="shared" si="7"/>
        <v>1.4924032311934452E-2</v>
      </c>
      <c r="W32" s="144">
        <f t="shared" si="17"/>
        <v>48.093163400000776</v>
      </c>
      <c r="Y32" s="1294">
        <f t="shared" si="4"/>
        <v>3.886244108008152E-3</v>
      </c>
    </row>
    <row r="33" spans="1:25">
      <c r="A33" s="76">
        <f>MAX(A$13:A32)+1</f>
        <v>19</v>
      </c>
      <c r="C33" s="1295" t="s">
        <v>1490</v>
      </c>
      <c r="E33" s="76">
        <v>32</v>
      </c>
      <c r="G33" s="68">
        <f>'Table B-Step2'!G48</f>
        <v>3</v>
      </c>
      <c r="I33" s="68">
        <f>'Table B-Step2'!I48</f>
        <v>196649.98999999996</v>
      </c>
      <c r="K33" s="144">
        <f>'Table B-Step1'!K48</f>
        <v>13007.546453500001</v>
      </c>
      <c r="M33" s="144">
        <f>'Table B-Step1'!M48</f>
        <v>13405.413</v>
      </c>
      <c r="O33" s="144">
        <f>'Table B-Step1'!O48</f>
        <v>-19.085576699999997</v>
      </c>
      <c r="Q33" s="144">
        <f t="shared" si="15"/>
        <v>13386.327423300001</v>
      </c>
      <c r="S33" s="144">
        <f t="shared" si="16"/>
        <v>397.86654649999946</v>
      </c>
      <c r="U33" s="1294">
        <f t="shared" si="7"/>
        <v>3.0587363106663643E-2</v>
      </c>
      <c r="W33" s="144">
        <f t="shared" si="17"/>
        <v>378.78096980000009</v>
      </c>
      <c r="Y33" s="1294">
        <f t="shared" si="4"/>
        <v>2.9120093566767907E-2</v>
      </c>
    </row>
    <row r="34" spans="1:25">
      <c r="A34" s="76">
        <f>MAX(A$13:A33)+1</f>
        <v>20</v>
      </c>
      <c r="C34" s="1295" t="s">
        <v>1489</v>
      </c>
      <c r="E34" s="76">
        <v>34</v>
      </c>
      <c r="G34" s="68">
        <f>'Table B-Step2'!G49</f>
        <v>1</v>
      </c>
      <c r="I34" s="68">
        <f>'Table B-Step2'!I49</f>
        <v>242230</v>
      </c>
      <c r="K34" s="144">
        <f>'Table B-Step1'!K49</f>
        <v>13027.75819123467</v>
      </c>
      <c r="M34" s="144">
        <f>'Table B-Step1'!M49</f>
        <v>13027.75819123467</v>
      </c>
      <c r="O34" s="144">
        <f>'Table B-Step1'!O49</f>
        <v>0</v>
      </c>
      <c r="Q34" s="144">
        <f t="shared" si="15"/>
        <v>13027.75819123467</v>
      </c>
      <c r="S34" s="144">
        <f t="shared" si="16"/>
        <v>0</v>
      </c>
      <c r="U34" s="1294">
        <f t="shared" si="7"/>
        <v>0</v>
      </c>
      <c r="W34" s="144">
        <f t="shared" si="17"/>
        <v>0</v>
      </c>
      <c r="Y34" s="1294">
        <f t="shared" si="4"/>
        <v>0</v>
      </c>
    </row>
    <row r="35" spans="1:25">
      <c r="A35" s="76">
        <f>MAX(A$13:A34)+1</f>
        <v>21</v>
      </c>
      <c r="C35" s="1295" t="s">
        <v>680</v>
      </c>
      <c r="E35" s="1296"/>
      <c r="G35" s="68">
        <f>'Table B-Step2'!G50</f>
        <v>1</v>
      </c>
      <c r="I35" s="68">
        <f>'Table B-Step2'!I50</f>
        <v>617100</v>
      </c>
      <c r="K35" s="144">
        <f>'Table B-Step1'!K50</f>
        <v>31382.2199616</v>
      </c>
      <c r="M35" s="144">
        <f>'Table B-Step1'!M50</f>
        <v>32114.516</v>
      </c>
      <c r="O35" s="144">
        <f>'Table B-Step1'!O50</f>
        <v>-422.42064199999999</v>
      </c>
      <c r="Q35" s="144">
        <f t="shared" si="15"/>
        <v>31692.095357999999</v>
      </c>
      <c r="S35" s="144">
        <f t="shared" si="16"/>
        <v>732.29603839999982</v>
      </c>
      <c r="U35" s="1294">
        <f t="shared" si="7"/>
        <v>2.3334743026339564E-2</v>
      </c>
      <c r="W35" s="144">
        <f t="shared" si="17"/>
        <v>309.87539639999886</v>
      </c>
      <c r="Y35" s="1294">
        <f t="shared" si="4"/>
        <v>9.874234416149319E-3</v>
      </c>
    </row>
    <row r="36" spans="1:25">
      <c r="A36" s="76">
        <f>MAX(A$13:A35)+1</f>
        <v>22</v>
      </c>
      <c r="C36" s="1295" t="s">
        <v>681</v>
      </c>
      <c r="E36" s="1296"/>
      <c r="G36" s="68">
        <f>'Table B-Step2'!G51</f>
        <v>1</v>
      </c>
      <c r="I36" s="68">
        <f>'Table B-Step2'!I51</f>
        <v>705455.54894656001</v>
      </c>
      <c r="K36" s="144">
        <f>'Table B-Step1'!K51</f>
        <v>31485.131144999999</v>
      </c>
      <c r="M36" s="144">
        <f>'Table B-Step1'!M51</f>
        <v>32219.462</v>
      </c>
      <c r="O36" s="144">
        <f>'Table B-Step1'!O51</f>
        <v>-422.07495219999998</v>
      </c>
      <c r="Q36" s="144">
        <f t="shared" si="15"/>
        <v>31797.387047799999</v>
      </c>
      <c r="S36" s="144">
        <f t="shared" si="16"/>
        <v>734.33085500000016</v>
      </c>
      <c r="U36" s="1294">
        <f t="shared" si="7"/>
        <v>2.332309977106815E-2</v>
      </c>
      <c r="W36" s="144">
        <f t="shared" si="17"/>
        <v>312.2559027999996</v>
      </c>
      <c r="Y36" s="1294">
        <f t="shared" si="4"/>
        <v>9.9175671640671387E-3</v>
      </c>
    </row>
    <row r="37" spans="1:25">
      <c r="A37" s="76">
        <f>MAX(A$13:A36)+1</f>
        <v>23</v>
      </c>
      <c r="C37" s="1295" t="s">
        <v>682</v>
      </c>
      <c r="E37" s="1296"/>
      <c r="G37" s="68">
        <f>'Table B-Step2'!G52</f>
        <v>1</v>
      </c>
      <c r="I37" s="68">
        <f>'Table B-Step2'!I52</f>
        <v>1288626.1969999999</v>
      </c>
      <c r="K37" s="144">
        <f>'Table B-Step1'!K52</f>
        <v>62957.593017309679</v>
      </c>
      <c r="M37" s="144">
        <f>'Table B-Step1'!M52</f>
        <v>62957.593017309679</v>
      </c>
      <c r="O37" s="144">
        <f>'Table B-Step1'!O52</f>
        <v>0</v>
      </c>
      <c r="Q37" s="144">
        <f t="shared" si="15"/>
        <v>62957.593017309679</v>
      </c>
      <c r="S37" s="144">
        <f t="shared" si="16"/>
        <v>0</v>
      </c>
      <c r="U37" s="1294">
        <f t="shared" si="7"/>
        <v>0</v>
      </c>
      <c r="W37" s="144">
        <f t="shared" si="17"/>
        <v>0</v>
      </c>
      <c r="Y37" s="1294">
        <f t="shared" si="4"/>
        <v>0</v>
      </c>
    </row>
    <row r="38" spans="1:25">
      <c r="A38" s="76">
        <f>MAX(A$13:A37)+1</f>
        <v>24</v>
      </c>
      <c r="C38" s="1298" t="s">
        <v>471</v>
      </c>
      <c r="E38" s="1299"/>
      <c r="G38" s="72"/>
      <c r="I38" s="72"/>
      <c r="K38" s="145">
        <f>'Table B-Step1'!K53</f>
        <v>4797.3367799999996</v>
      </c>
      <c r="M38" s="145">
        <f>'Table B-Step1'!M53</f>
        <v>4797.3367799999996</v>
      </c>
      <c r="O38" s="145">
        <f>'Table B-Step1'!O53</f>
        <v>0</v>
      </c>
      <c r="Q38" s="145">
        <f t="shared" si="15"/>
        <v>4797.3367799999996</v>
      </c>
      <c r="S38" s="145">
        <f t="shared" si="16"/>
        <v>0</v>
      </c>
      <c r="U38" s="1300">
        <f t="shared" si="7"/>
        <v>0</v>
      </c>
      <c r="W38" s="145">
        <f t="shared" si="17"/>
        <v>0</v>
      </c>
      <c r="Y38" s="1300">
        <f t="shared" si="4"/>
        <v>0</v>
      </c>
    </row>
    <row r="39" spans="1:25">
      <c r="A39" s="76">
        <f>MAX(A$13:A38)+1</f>
        <v>25</v>
      </c>
      <c r="C39" s="80" t="s">
        <v>1393</v>
      </c>
      <c r="G39" s="68">
        <f>SUM(G19:G21,G23:G23,G24:G25,G27:G28,G30:G31,G32:G38)</f>
        <v>116605</v>
      </c>
      <c r="I39" s="68">
        <f>SUM(I19:I21,I23:I23,I24:I25,I27:I28,I30:I31,I32:I38)</f>
        <v>17979702.507882744</v>
      </c>
      <c r="K39" s="144">
        <f>SUM(K19:K21,K23:K23,K24:K25,K27:K28,K30:K31,K32:K38)</f>
        <v>1260606.5533672441</v>
      </c>
      <c r="M39" s="144">
        <f>SUM(M19:M21,M23:M23,M24:M25,M27:M28,M30:M31,M32:M38)</f>
        <v>1272906.3459885444</v>
      </c>
      <c r="O39" s="144">
        <f>SUM(O19:O21,O23:O23,O24:O25,O27:O28,O30:O31,O32:O38)</f>
        <v>-15295.457355999999</v>
      </c>
      <c r="Q39" s="144">
        <f>SUM(Q19:Q21,Q23:Q23,Q24:Q25,Q27:Q28,Q30:Q31,Q32:Q38)</f>
        <v>1257610.8886325441</v>
      </c>
      <c r="S39" s="144">
        <f>SUM(S19:S21,S23:S23,S24:S25,S27:S28,S30:S31,S32:S38)</f>
        <v>12299.79262129997</v>
      </c>
      <c r="U39" s="1294">
        <f t="shared" si="7"/>
        <v>9.7570432173667704E-3</v>
      </c>
      <c r="W39" s="144">
        <f>SUM(W19:W21,W23:W23,W24:W25,W27:W28,W30:W31,W32:W38)</f>
        <v>-2995.6647347000394</v>
      </c>
      <c r="Y39" s="1294">
        <f t="shared" si="4"/>
        <v>-2.3763677308341999E-3</v>
      </c>
    </row>
    <row r="40" spans="1:25">
      <c r="C40" s="1292" t="s">
        <v>231</v>
      </c>
      <c r="G40" s="68"/>
      <c r="I40" s="68"/>
      <c r="K40" s="144"/>
      <c r="M40" s="144"/>
      <c r="O40" s="144"/>
      <c r="Q40" s="144"/>
      <c r="S40" s="144"/>
      <c r="W40" s="144"/>
    </row>
    <row r="41" spans="1:25" ht="25.15" customHeight="1">
      <c r="A41" s="76">
        <f>MAX(A$13:A40)+1</f>
        <v>26</v>
      </c>
      <c r="C41" s="76" t="s">
        <v>232</v>
      </c>
      <c r="E41" s="76">
        <v>7</v>
      </c>
      <c r="G41" s="68">
        <f>'Table B-Step2'!G56</f>
        <v>6491</v>
      </c>
      <c r="I41" s="68">
        <f>'Table B-Step2'!I56</f>
        <v>10497.984469308627</v>
      </c>
      <c r="K41" s="144">
        <f>'Table B-Step1'!K56</f>
        <v>2495.8234678000003</v>
      </c>
      <c r="M41" s="144">
        <f>'Table B-Step1'!M56</f>
        <v>1383.2668705464662</v>
      </c>
      <c r="O41" s="144">
        <f>'Table B-Step1'!O56</f>
        <v>-14.109322079573957</v>
      </c>
      <c r="Q41" s="144">
        <f t="shared" ref="Q41:Q45" si="18">M41+O41</f>
        <v>1369.1575484668922</v>
      </c>
      <c r="S41" s="144">
        <f t="shared" ref="S41:S45" si="19">M41-K41</f>
        <v>-1112.5565972535342</v>
      </c>
      <c r="U41" s="1294">
        <f t="shared" ref="U41:U50" si="20">S41/K41</f>
        <v>-0.4457673435670601</v>
      </c>
      <c r="W41" s="144">
        <f t="shared" ref="W41:W45" si="21">Q41-K41</f>
        <v>-1126.6659193331081</v>
      </c>
      <c r="Y41" s="1294">
        <f t="shared" si="4"/>
        <v>-0.45142051666267613</v>
      </c>
    </row>
    <row r="42" spans="1:25">
      <c r="A42" s="76">
        <f>MAX(A$13:A41)+1</f>
        <v>27</v>
      </c>
      <c r="C42" s="76" t="s">
        <v>233</v>
      </c>
      <c r="E42" s="76">
        <v>11</v>
      </c>
      <c r="G42" s="68">
        <f>'Table B-Step2'!G57</f>
        <v>715</v>
      </c>
      <c r="I42" s="68">
        <f>'Table B-Step2'!I57</f>
        <v>13572.50823362934</v>
      </c>
      <c r="K42" s="144">
        <f>'Table B-Step1'!K57</f>
        <v>4103.1867941999999</v>
      </c>
      <c r="M42" s="144">
        <f>'Table B-Step1'!M57</f>
        <v>3759.4048698993784</v>
      </c>
      <c r="O42" s="144">
        <f>'Table B-Step1'!O57</f>
        <v>-38.345929672973661</v>
      </c>
      <c r="Q42" s="144">
        <f t="shared" si="18"/>
        <v>3721.0589402264045</v>
      </c>
      <c r="S42" s="144">
        <f t="shared" si="19"/>
        <v>-343.78192430062154</v>
      </c>
      <c r="U42" s="1294">
        <f t="shared" si="20"/>
        <v>-8.3784127202439204E-2</v>
      </c>
      <c r="W42" s="144">
        <f t="shared" si="21"/>
        <v>-382.12785397359539</v>
      </c>
      <c r="Y42" s="1294">
        <f t="shared" si="4"/>
        <v>-9.3129529104974379E-2</v>
      </c>
    </row>
    <row r="43" spans="1:25">
      <c r="A43" s="76">
        <f>MAX(A$13:A42)+1</f>
        <v>28</v>
      </c>
      <c r="C43" s="76" t="s">
        <v>234</v>
      </c>
      <c r="E43" s="76">
        <v>12</v>
      </c>
      <c r="G43" s="68">
        <f>'Table B-Step2'!G58</f>
        <v>1229</v>
      </c>
      <c r="I43" s="68">
        <f>'Table B-Step2'!I58</f>
        <v>26868.87420437079</v>
      </c>
      <c r="K43" s="144">
        <f>'Table B-Step1'!K58</f>
        <v>1896.3262864000001</v>
      </c>
      <c r="M43" s="144">
        <f>'Table B-Step1'!M58</f>
        <v>1402.8682700442894</v>
      </c>
      <c r="O43" s="144">
        <f>'Table B-Step1'!O58</f>
        <v>-14.309256354451753</v>
      </c>
      <c r="Q43" s="144">
        <f t="shared" si="18"/>
        <v>1388.5590136898377</v>
      </c>
      <c r="S43" s="144">
        <f t="shared" si="19"/>
        <v>-493.4580163557107</v>
      </c>
      <c r="U43" s="1294">
        <f t="shared" si="20"/>
        <v>-0.2602178854423281</v>
      </c>
      <c r="W43" s="144">
        <f t="shared" si="21"/>
        <v>-507.76727271016239</v>
      </c>
      <c r="Y43" s="1294">
        <f t="shared" si="4"/>
        <v>-0.26776366301081633</v>
      </c>
    </row>
    <row r="44" spans="1:25">
      <c r="A44" s="76">
        <f>MAX(A$13:A43)+1</f>
        <v>29</v>
      </c>
      <c r="C44" s="76" t="s">
        <v>236</v>
      </c>
      <c r="E44" s="76">
        <v>15</v>
      </c>
      <c r="G44" s="68">
        <f>'Table B-Step2'!G59</f>
        <v>637</v>
      </c>
      <c r="I44" s="68">
        <f>'Table B-Step2'!I59</f>
        <v>15963.151062719233</v>
      </c>
      <c r="K44" s="144">
        <f>'Table B-Step1'!K59</f>
        <v>1155.3153559999998</v>
      </c>
      <c r="M44" s="144">
        <f>'Table B-Step1'!M59</f>
        <v>797.02300000000002</v>
      </c>
      <c r="O44" s="144">
        <f>'Table B-Step1'!O59</f>
        <v>-8.3929017999999989</v>
      </c>
      <c r="Q44" s="144">
        <f t="shared" si="18"/>
        <v>788.63009820000002</v>
      </c>
      <c r="S44" s="144">
        <f t="shared" si="19"/>
        <v>-358.29235599999981</v>
      </c>
      <c r="U44" s="1294">
        <f t="shared" si="20"/>
        <v>-0.31012515685803788</v>
      </c>
      <c r="W44" s="144">
        <f t="shared" si="21"/>
        <v>-366.68525779999982</v>
      </c>
      <c r="Y44" s="1294">
        <f t="shared" si="4"/>
        <v>-0.31738975500988653</v>
      </c>
    </row>
    <row r="45" spans="1:25">
      <c r="A45" s="76">
        <f>MAX(A$13:A44)+1</f>
        <v>30</v>
      </c>
      <c r="C45" s="76" t="s">
        <v>235</v>
      </c>
      <c r="E45" s="76">
        <v>15</v>
      </c>
      <c r="G45" s="71">
        <f>'Table B-Step2'!G60</f>
        <v>2734</v>
      </c>
      <c r="I45" s="71">
        <f>'Table B-Step2'!I60</f>
        <v>7776.3704443165416</v>
      </c>
      <c r="K45" s="145">
        <f>'Table B-Step1'!K60</f>
        <v>802.61305110000001</v>
      </c>
      <c r="M45" s="145">
        <f>'Table B-Step1'!M60</f>
        <v>802.65099999999995</v>
      </c>
      <c r="O45" s="145">
        <f>'Table B-Step1'!O60</f>
        <v>-8.9595359999999999</v>
      </c>
      <c r="Q45" s="145">
        <f t="shared" si="18"/>
        <v>793.691464</v>
      </c>
      <c r="S45" s="145">
        <f t="shared" si="19"/>
        <v>3.7948899999946661E-2</v>
      </c>
      <c r="U45" s="1300">
        <f t="shared" si="20"/>
        <v>4.7281688165843805E-5</v>
      </c>
      <c r="W45" s="145">
        <f t="shared" si="21"/>
        <v>-8.9215871000000107</v>
      </c>
      <c r="Y45" s="1300">
        <f t="shared" si="4"/>
        <v>-1.1115676586336051E-2</v>
      </c>
    </row>
    <row r="46" spans="1:25">
      <c r="A46" s="76">
        <f>MAX(A$13:A45)+1</f>
        <v>31</v>
      </c>
      <c r="C46" s="1038" t="s">
        <v>237</v>
      </c>
      <c r="D46" s="77"/>
      <c r="F46" s="77"/>
      <c r="G46" s="68">
        <f>SUM(G41:G45)</f>
        <v>11806</v>
      </c>
      <c r="H46" s="77"/>
      <c r="I46" s="68">
        <f>SUM(I41:I45)</f>
        <v>74678.888414344532</v>
      </c>
      <c r="J46" s="77"/>
      <c r="K46" s="144">
        <f>SUM(K41:K45)</f>
        <v>10453.264955499999</v>
      </c>
      <c r="L46" s="144"/>
      <c r="M46" s="144">
        <f>SUM(M41:M45)</f>
        <v>8145.2140104901346</v>
      </c>
      <c r="N46" s="144"/>
      <c r="O46" s="144">
        <f>SUM(O41:O45)</f>
        <v>-84.116945906999376</v>
      </c>
      <c r="P46" s="144"/>
      <c r="Q46" s="144">
        <f>SUM(Q41:Q45)</f>
        <v>8061.0970645831349</v>
      </c>
      <c r="R46" s="144"/>
      <c r="S46" s="144">
        <f>SUM(S41:S45)</f>
        <v>-2308.0509450098662</v>
      </c>
      <c r="U46" s="1294">
        <f t="shared" si="20"/>
        <v>-0.22079713418107538</v>
      </c>
      <c r="V46" s="77"/>
      <c r="W46" s="144">
        <f>SUM(W41:W45)</f>
        <v>-2392.1678909168659</v>
      </c>
      <c r="Y46" s="1294">
        <f t="shared" si="4"/>
        <v>-0.22884408853123192</v>
      </c>
    </row>
    <row r="47" spans="1:25">
      <c r="A47" s="76">
        <f>MAX(A$13:A46)+1</f>
        <v>32</v>
      </c>
      <c r="C47" s="1295" t="s">
        <v>1396</v>
      </c>
      <c r="E47" s="1296"/>
      <c r="G47" s="68">
        <f>'Table B-Step2'!G62</f>
        <v>4</v>
      </c>
      <c r="I47" s="68">
        <f>'Table B-Step2'!I62</f>
        <v>7.3869999999999996</v>
      </c>
      <c r="K47" s="144">
        <f>'Table B-Step1'!K62</f>
        <v>0.55700000000000005</v>
      </c>
      <c r="M47" s="144">
        <f>'Table B-Step1'!M62</f>
        <v>0.55700000000000005</v>
      </c>
      <c r="O47" s="144">
        <f>'Table B-Step1'!O62</f>
        <v>0</v>
      </c>
      <c r="Q47" s="144">
        <f>M47+O47</f>
        <v>0.55700000000000005</v>
      </c>
      <c r="S47" s="144">
        <f t="shared" ref="S47:S48" si="22">M47-K47</f>
        <v>0</v>
      </c>
      <c r="U47" s="1294">
        <f t="shared" si="20"/>
        <v>0</v>
      </c>
      <c r="W47" s="144">
        <f>Q47-K47</f>
        <v>0</v>
      </c>
      <c r="Y47" s="1294">
        <f t="shared" si="4"/>
        <v>0</v>
      </c>
    </row>
    <row r="48" spans="1:25" ht="22.15" customHeight="1">
      <c r="A48" s="76">
        <f>MAX(A$13:A47)+1</f>
        <v>33</v>
      </c>
      <c r="C48" s="1298" t="s">
        <v>471</v>
      </c>
      <c r="D48" s="78"/>
      <c r="E48" s="1299"/>
      <c r="F48" s="78"/>
      <c r="G48" s="73"/>
      <c r="H48" s="78"/>
      <c r="I48" s="73"/>
      <c r="J48" s="78"/>
      <c r="K48" s="145">
        <f>'Table B-Step1'!K63</f>
        <v>4.6550400000000005</v>
      </c>
      <c r="M48" s="145">
        <f>'Table B-Step1'!M63</f>
        <v>4.6550400000000005</v>
      </c>
      <c r="O48" s="145">
        <f>'Table B-Step1'!O63</f>
        <v>0</v>
      </c>
      <c r="Q48" s="145">
        <f>M48+O48</f>
        <v>4.6550400000000005</v>
      </c>
      <c r="S48" s="145">
        <f t="shared" si="22"/>
        <v>0</v>
      </c>
      <c r="U48" s="1300">
        <f t="shared" si="20"/>
        <v>0</v>
      </c>
      <c r="V48" s="78"/>
      <c r="W48" s="145">
        <f>Q48-K48</f>
        <v>0</v>
      </c>
      <c r="Y48" s="1300">
        <f t="shared" si="4"/>
        <v>0</v>
      </c>
    </row>
    <row r="49" spans="1:25">
      <c r="A49" s="76">
        <f>MAX(A$13:A48)+1</f>
        <v>34</v>
      </c>
      <c r="C49" s="1305" t="s">
        <v>238</v>
      </c>
      <c r="E49" s="1306"/>
      <c r="G49" s="71">
        <f>SUM(G47:G48)+G46</f>
        <v>11810</v>
      </c>
      <c r="I49" s="71">
        <f>SUM(I47:I48)+I46</f>
        <v>74686.275414344535</v>
      </c>
      <c r="K49" s="145">
        <f>SUM(K47:K48)+K46</f>
        <v>10458.476995499999</v>
      </c>
      <c r="M49" s="145">
        <f>SUM(M47:M48)+M46</f>
        <v>8150.4260504901349</v>
      </c>
      <c r="O49" s="145">
        <f>SUM(O47:O48)+O46</f>
        <v>-84.116945906999376</v>
      </c>
      <c r="Q49" s="145">
        <f>SUM(Q47:Q48)+Q46</f>
        <v>8066.3091045831352</v>
      </c>
      <c r="S49" s="145">
        <f>SUM(S47:S48)+S46</f>
        <v>-2308.0509450098662</v>
      </c>
      <c r="U49" s="1307">
        <f t="shared" si="20"/>
        <v>-0.22068709870499867</v>
      </c>
      <c r="W49" s="145">
        <f>SUM(W47:W48)+W46</f>
        <v>-2392.1678909168659</v>
      </c>
      <c r="Y49" s="1307">
        <f t="shared" si="4"/>
        <v>-0.22873004281083673</v>
      </c>
    </row>
    <row r="50" spans="1:25" ht="22.15" customHeight="1" thickBot="1">
      <c r="A50" s="76">
        <f>MAX(A$13:A49)+1</f>
        <v>35</v>
      </c>
      <c r="C50" s="1308" t="s">
        <v>239</v>
      </c>
      <c r="E50" s="1309"/>
      <c r="G50" s="67">
        <f>G49+G39+G17</f>
        <v>986283</v>
      </c>
      <c r="I50" s="67">
        <f>I49+I39+I17</f>
        <v>24837388.160662249</v>
      </c>
      <c r="K50" s="146">
        <f>K49+K39+K17</f>
        <v>2001695.9423103442</v>
      </c>
      <c r="M50" s="146">
        <f>M49+M39+M17</f>
        <v>2051207.7381290346</v>
      </c>
      <c r="O50" s="146">
        <f>O49+O39+O17</f>
        <v>-26877.836591906998</v>
      </c>
      <c r="Q50" s="146">
        <f>Q49+Q39+Q17</f>
        <v>2024329.9015371273</v>
      </c>
      <c r="S50" s="146">
        <f>S49+S39+S17</f>
        <v>49511.795818690167</v>
      </c>
      <c r="U50" s="1310">
        <f t="shared" si="20"/>
        <v>2.4734923407769904E-2</v>
      </c>
      <c r="W50" s="146">
        <f>W49+W39+W17</f>
        <v>22633.959226783198</v>
      </c>
      <c r="Y50" s="1310">
        <f t="shared" si="4"/>
        <v>1.1307391271752908E-2</v>
      </c>
    </row>
    <row r="51" spans="1:25" ht="25.15" customHeight="1" thickTop="1">
      <c r="E51" s="90"/>
    </row>
    <row r="52" spans="1:25">
      <c r="C52" s="1295"/>
    </row>
    <row r="53" spans="1:25">
      <c r="C53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opLeftCell="A10" workbookViewId="0">
      <selection activeCell="H33" sqref="H33"/>
    </sheetView>
  </sheetViews>
  <sheetFormatPr defaultRowHeight="15.75"/>
  <cols>
    <col min="1" max="1" width="24" customWidth="1"/>
    <col min="2" max="2" width="13.75" bestFit="1" customWidth="1"/>
    <col min="3" max="3" width="13.625" bestFit="1" customWidth="1"/>
    <col min="4" max="4" width="10.125" bestFit="1" customWidth="1"/>
    <col min="5" max="5" width="12.125" bestFit="1" customWidth="1"/>
    <col min="6" max="6" width="4.75" bestFit="1" customWidth="1"/>
    <col min="7" max="7" width="13.625" bestFit="1" customWidth="1"/>
    <col min="8" max="8" width="10.125" bestFit="1" customWidth="1"/>
    <col min="9" max="9" width="13.625" bestFit="1" customWidth="1"/>
    <col min="10" max="10" width="4.75" bestFit="1" customWidth="1"/>
    <col min="11" max="11" width="13.625" bestFit="1" customWidth="1"/>
    <col min="12" max="12" width="10.125" bestFit="1" customWidth="1"/>
    <col min="13" max="13" width="12.125" bestFit="1" customWidth="1"/>
    <col min="14" max="14" width="4.75" bestFit="1" customWidth="1"/>
    <col min="15" max="15" width="13.625" bestFit="1" customWidth="1"/>
    <col min="16" max="16" width="10.125" bestFit="1" customWidth="1"/>
    <col min="17" max="17" width="12.125" bestFit="1" customWidth="1"/>
    <col min="18" max="18" width="4.75" bestFit="1" customWidth="1"/>
    <col min="19" max="19" width="13.625" bestFit="1" customWidth="1"/>
  </cols>
  <sheetData>
    <row r="1" spans="1:19">
      <c r="A1" s="82" t="s">
        <v>1726</v>
      </c>
    </row>
    <row r="2" spans="1:19">
      <c r="D2" s="1360" t="s">
        <v>216</v>
      </c>
      <c r="E2" s="1355"/>
      <c r="F2" s="1355"/>
      <c r="G2" s="1355"/>
      <c r="H2" s="1355"/>
      <c r="I2" s="1355"/>
      <c r="J2" s="1355"/>
      <c r="K2" s="1363"/>
      <c r="L2" s="1357" t="s">
        <v>1367</v>
      </c>
      <c r="M2" s="1355"/>
      <c r="N2" s="1355"/>
      <c r="O2" s="1355"/>
      <c r="P2" s="1355"/>
      <c r="Q2" s="1355"/>
      <c r="R2" s="1355"/>
      <c r="S2" s="1363"/>
    </row>
    <row r="3" spans="1:19">
      <c r="D3" s="1361" t="s">
        <v>79</v>
      </c>
      <c r="E3" s="1355"/>
      <c r="F3" s="1355"/>
      <c r="G3" s="267"/>
      <c r="H3" s="1357" t="s">
        <v>80</v>
      </c>
      <c r="I3" s="1355"/>
      <c r="J3" s="1355"/>
      <c r="K3" s="1363"/>
      <c r="L3" s="1355" t="s">
        <v>79</v>
      </c>
      <c r="M3" s="1355"/>
      <c r="N3" s="1355"/>
      <c r="O3" s="267"/>
      <c r="P3" s="1357" t="s">
        <v>80</v>
      </c>
      <c r="Q3" s="1355"/>
      <c r="R3" s="1355"/>
      <c r="S3" s="1363"/>
    </row>
    <row r="4" spans="1:19">
      <c r="D4" s="1865" t="s">
        <v>1128</v>
      </c>
      <c r="E4" s="1356"/>
      <c r="F4" s="1356" t="s">
        <v>1129</v>
      </c>
      <c r="G4" s="1364"/>
      <c r="H4" s="1356" t="s">
        <v>1128</v>
      </c>
      <c r="I4" s="1356"/>
      <c r="J4" s="1356" t="s">
        <v>1129</v>
      </c>
      <c r="K4" s="1364"/>
      <c r="L4" s="104" t="s">
        <v>1128</v>
      </c>
      <c r="M4" s="104"/>
      <c r="N4" s="104" t="s">
        <v>1129</v>
      </c>
      <c r="O4" s="1364"/>
      <c r="P4" s="104" t="s">
        <v>1128</v>
      </c>
      <c r="Q4" s="104"/>
      <c r="R4" s="104" t="s">
        <v>1129</v>
      </c>
      <c r="S4" s="1364"/>
    </row>
    <row r="5" spans="1:19">
      <c r="A5" s="1358" t="s">
        <v>218</v>
      </c>
      <c r="B5" s="1358" t="s">
        <v>1725</v>
      </c>
      <c r="C5" s="1358" t="s">
        <v>799</v>
      </c>
      <c r="D5" s="1362" t="s">
        <v>1675</v>
      </c>
      <c r="E5" s="1359" t="s">
        <v>111</v>
      </c>
      <c r="F5" s="1359" t="s">
        <v>1675</v>
      </c>
      <c r="G5" s="1365" t="s">
        <v>111</v>
      </c>
      <c r="H5" s="1359" t="s">
        <v>1675</v>
      </c>
      <c r="I5" s="1359" t="s">
        <v>111</v>
      </c>
      <c r="J5" s="1359" t="s">
        <v>1675</v>
      </c>
      <c r="K5" s="1365" t="s">
        <v>111</v>
      </c>
      <c r="L5" s="1359" t="s">
        <v>1675</v>
      </c>
      <c r="M5" s="1359" t="s">
        <v>111</v>
      </c>
      <c r="N5" s="1359" t="s">
        <v>1675</v>
      </c>
      <c r="O5" s="1365" t="s">
        <v>111</v>
      </c>
      <c r="P5" s="1359" t="s">
        <v>1675</v>
      </c>
      <c r="Q5" s="1359" t="s">
        <v>111</v>
      </c>
      <c r="R5" s="1359" t="s">
        <v>1675</v>
      </c>
      <c r="S5" s="1365" t="s">
        <v>111</v>
      </c>
    </row>
    <row r="6" spans="1:19">
      <c r="A6" s="238">
        <v>8</v>
      </c>
      <c r="B6" s="1240">
        <v>4068437.8000000003</v>
      </c>
      <c r="C6" s="1240">
        <v>1963293243.0200026</v>
      </c>
      <c r="D6" s="1866">
        <v>1745882.1839999997</v>
      </c>
      <c r="E6" s="1495">
        <v>222249674.81599995</v>
      </c>
      <c r="F6" s="1495">
        <v>0</v>
      </c>
      <c r="G6" s="1496">
        <v>644406687.40399969</v>
      </c>
      <c r="H6" s="1495">
        <v>2322555.6159999999</v>
      </c>
      <c r="I6" s="1495">
        <v>558154256.57000041</v>
      </c>
      <c r="J6" s="1495">
        <v>0</v>
      </c>
      <c r="K6" s="1496">
        <v>538482624.23000002</v>
      </c>
      <c r="L6" s="1240">
        <v>1410780.7520000008</v>
      </c>
      <c r="M6" s="1240">
        <v>177200665.68400007</v>
      </c>
      <c r="N6" s="1240"/>
      <c r="O6" s="1496">
        <v>526346701.87399995</v>
      </c>
      <c r="P6" s="1240">
        <v>2561903.1360000009</v>
      </c>
      <c r="Q6" s="1240">
        <v>275274277.48800021</v>
      </c>
      <c r="R6" s="1240"/>
      <c r="S6" s="1496">
        <v>984471597.97400057</v>
      </c>
    </row>
    <row r="7" spans="1:19">
      <c r="A7" s="238">
        <v>9</v>
      </c>
      <c r="B7" s="1240">
        <v>8289107.6240000026</v>
      </c>
      <c r="C7" s="1240">
        <v>4825570030.6526632</v>
      </c>
      <c r="D7" s="1866">
        <v>3459359.9759999993</v>
      </c>
      <c r="E7" s="1495">
        <v>479685176.38966584</v>
      </c>
      <c r="F7" s="1495">
        <v>0</v>
      </c>
      <c r="G7" s="1496">
        <v>1568486273.8899996</v>
      </c>
      <c r="H7" s="1495">
        <v>4829747.648000001</v>
      </c>
      <c r="I7" s="1495">
        <v>1314916860.1819999</v>
      </c>
      <c r="J7" s="1495">
        <v>0</v>
      </c>
      <c r="K7" s="1496">
        <v>1462481720.1909995</v>
      </c>
      <c r="L7" s="1240">
        <v>2807028.4719999996</v>
      </c>
      <c r="M7" s="1240">
        <v>331770105.27833229</v>
      </c>
      <c r="N7" s="1240"/>
      <c r="O7" s="1496">
        <v>1312391740.8593335</v>
      </c>
      <c r="P7" s="1240">
        <v>5486281.1199999982</v>
      </c>
      <c r="Q7" s="1240">
        <v>656963534.91899979</v>
      </c>
      <c r="R7" s="1240"/>
      <c r="S7" s="1496">
        <v>2524444649.5960007</v>
      </c>
    </row>
    <row r="9" spans="1:19">
      <c r="A9" s="1249" t="s">
        <v>568</v>
      </c>
      <c r="B9" s="1500" t="s">
        <v>1941</v>
      </c>
      <c r="C9" s="1501" t="s">
        <v>1942</v>
      </c>
      <c r="K9">
        <v>8</v>
      </c>
      <c r="L9" s="237">
        <f>L6/D6</f>
        <v>0.8080618296749863</v>
      </c>
      <c r="M9" s="237">
        <f>M6/E6</f>
        <v>0.79730449923359459</v>
      </c>
      <c r="O9" s="237">
        <f t="shared" ref="O9:Q10" si="0">O6/G6</f>
        <v>0.81679273688855425</v>
      </c>
      <c r="P9" s="237">
        <f t="shared" si="0"/>
        <v>1.1030535149949241</v>
      </c>
      <c r="Q9" s="237">
        <f t="shared" si="0"/>
        <v>0.49318673869770435</v>
      </c>
      <c r="S9" s="237">
        <f>S6/K6</f>
        <v>1.8282328039493192</v>
      </c>
    </row>
    <row r="10" spans="1:19">
      <c r="A10" s="1502" t="s">
        <v>1943</v>
      </c>
      <c r="B10" s="1503">
        <v>48.834268018571386</v>
      </c>
      <c r="C10" s="1504">
        <v>1.7494934471526957</v>
      </c>
      <c r="D10" s="1591">
        <v>43</v>
      </c>
      <c r="K10">
        <v>9</v>
      </c>
      <c r="L10" s="237">
        <f>L7/D7</f>
        <v>0.81143000192935111</v>
      </c>
      <c r="M10" s="237">
        <f>M7/E7</f>
        <v>0.69164135480564293</v>
      </c>
      <c r="O10" s="237">
        <f t="shared" si="0"/>
        <v>0.83672504038207063</v>
      </c>
      <c r="P10" s="237">
        <f t="shared" si="0"/>
        <v>1.1359353572586484</v>
      </c>
      <c r="Q10" s="237">
        <f t="shared" si="0"/>
        <v>0.49962363006591026</v>
      </c>
      <c r="S10" s="237">
        <f>S7/K7</f>
        <v>1.7261375747426841</v>
      </c>
    </row>
    <row r="11" spans="1:19">
      <c r="A11" s="1502" t="s">
        <v>1944</v>
      </c>
      <c r="B11" s="1503">
        <v>24.821599482157968</v>
      </c>
      <c r="C11" s="1504">
        <v>0.88923674714177658</v>
      </c>
      <c r="D11" s="1591">
        <f>D10/C10*C11</f>
        <v>21.856143667944274</v>
      </c>
      <c r="E11" s="237">
        <f>C11/C10</f>
        <v>0.50828241088242498</v>
      </c>
      <c r="K11" s="128" t="s">
        <v>225</v>
      </c>
      <c r="L11" s="237">
        <f>L$10</f>
        <v>0.81143000192935111</v>
      </c>
      <c r="M11" s="237">
        <f>M$10</f>
        <v>0.69164135480564293</v>
      </c>
      <c r="O11" s="237">
        <f>O$10</f>
        <v>0.83672504038207063</v>
      </c>
      <c r="P11" s="237">
        <f>P$10</f>
        <v>1.1359353572586484</v>
      </c>
      <c r="Q11" s="237">
        <f>Q$10</f>
        <v>0.49962363006591026</v>
      </c>
      <c r="S11" s="237">
        <f>S$10</f>
        <v>1.7261375747426841</v>
      </c>
    </row>
    <row r="12" spans="1:19">
      <c r="A12" s="1505"/>
      <c r="B12" s="1249"/>
      <c r="C12" s="1249"/>
      <c r="E12" s="237"/>
      <c r="K12">
        <v>21</v>
      </c>
      <c r="L12" s="237">
        <f t="shared" ref="L12:S14" si="1">L$10</f>
        <v>0.81143000192935111</v>
      </c>
      <c r="M12" s="237">
        <f t="shared" si="1"/>
        <v>0.69164135480564293</v>
      </c>
      <c r="O12" s="237">
        <f t="shared" si="1"/>
        <v>0.83672504038207063</v>
      </c>
      <c r="P12" s="237">
        <f t="shared" si="1"/>
        <v>1.1359353572586484</v>
      </c>
      <c r="Q12" s="237">
        <f t="shared" si="1"/>
        <v>0.49962363006591026</v>
      </c>
      <c r="S12" s="237">
        <f t="shared" si="1"/>
        <v>1.7261375747426841</v>
      </c>
    </row>
    <row r="13" spans="1:19">
      <c r="A13" s="1502" t="s">
        <v>1945</v>
      </c>
      <c r="B13" s="1503">
        <v>37.81270641807756</v>
      </c>
      <c r="C13" s="1504">
        <v>1.3546446948355557</v>
      </c>
      <c r="E13" s="237"/>
      <c r="K13">
        <v>31</v>
      </c>
      <c r="L13" s="237">
        <f t="shared" si="1"/>
        <v>0.81143000192935111</v>
      </c>
      <c r="M13" s="237">
        <f t="shared" si="1"/>
        <v>0.69164135480564293</v>
      </c>
      <c r="O13" s="237">
        <f t="shared" si="1"/>
        <v>0.83672504038207063</v>
      </c>
      <c r="P13" s="237">
        <f t="shared" si="1"/>
        <v>1.1359353572586484</v>
      </c>
      <c r="Q13" s="237">
        <f t="shared" si="1"/>
        <v>0.49962363006591026</v>
      </c>
      <c r="S13" s="237">
        <f t="shared" si="1"/>
        <v>1.7261375747426841</v>
      </c>
    </row>
    <row r="14" spans="1:19">
      <c r="A14" s="1502" t="s">
        <v>1946</v>
      </c>
      <c r="B14" s="1503">
        <v>24.305140428232665</v>
      </c>
      <c r="C14" s="1504">
        <v>0.87073454024432939</v>
      </c>
      <c r="E14" s="237">
        <f>C14/C13</f>
        <v>0.64277706439475657</v>
      </c>
      <c r="K14">
        <v>32</v>
      </c>
      <c r="L14" s="237">
        <f t="shared" si="1"/>
        <v>0.81143000192935111</v>
      </c>
      <c r="M14" s="237">
        <f t="shared" si="1"/>
        <v>0.69164135480564293</v>
      </c>
      <c r="O14" s="237">
        <f t="shared" si="1"/>
        <v>0.83672504038207063</v>
      </c>
      <c r="P14" s="237">
        <f t="shared" si="1"/>
        <v>1.1359353572586484</v>
      </c>
      <c r="Q14" s="237">
        <f t="shared" si="1"/>
        <v>0.49962363006591026</v>
      </c>
      <c r="S14" s="237">
        <f t="shared" si="1"/>
        <v>1.7261375747426841</v>
      </c>
    </row>
    <row r="15" spans="1:19">
      <c r="A15" s="1249"/>
      <c r="B15" s="1249"/>
      <c r="C15" s="1249"/>
      <c r="E15" s="237"/>
    </row>
    <row r="16" spans="1:19">
      <c r="A16" s="1502" t="s">
        <v>1947</v>
      </c>
      <c r="B16" s="1503">
        <v>27.913375782029512</v>
      </c>
      <c r="C16" s="1504">
        <v>1</v>
      </c>
      <c r="E16" s="237"/>
    </row>
    <row r="17" spans="1:5">
      <c r="E17" s="237"/>
    </row>
    <row r="18" spans="1:5">
      <c r="A18" s="1249" t="s">
        <v>412</v>
      </c>
      <c r="B18" s="1500" t="s">
        <v>1941</v>
      </c>
      <c r="C18" s="1501" t="s">
        <v>1942</v>
      </c>
      <c r="E18" s="237"/>
    </row>
    <row r="19" spans="1:5">
      <c r="A19" s="1502" t="s">
        <v>1943</v>
      </c>
      <c r="B19" s="1503">
        <v>48.834268018571386</v>
      </c>
      <c r="C19" s="1504">
        <v>1.7494934471526957</v>
      </c>
      <c r="E19" s="237"/>
    </row>
    <row r="20" spans="1:5">
      <c r="A20" s="1502" t="s">
        <v>1944</v>
      </c>
      <c r="B20" s="1503">
        <v>24.821599482157968</v>
      </c>
      <c r="C20" s="1504">
        <v>0.88923674714177658</v>
      </c>
      <c r="E20" s="237">
        <f>C20/C19</f>
        <v>0.50828241088242498</v>
      </c>
    </row>
    <row r="21" spans="1:5">
      <c r="A21" s="1505"/>
      <c r="B21" s="1249"/>
      <c r="C21" s="1249"/>
      <c r="E21" s="237"/>
    </row>
    <row r="22" spans="1:5">
      <c r="A22" s="1502" t="s">
        <v>1945</v>
      </c>
      <c r="B22" s="1503">
        <v>37.81270641807756</v>
      </c>
      <c r="C22" s="1504">
        <v>1.3546446948355557</v>
      </c>
      <c r="E22" s="237"/>
    </row>
    <row r="23" spans="1:5">
      <c r="A23" s="1502" t="s">
        <v>1946</v>
      </c>
      <c r="B23" s="1503">
        <v>24.305140428232665</v>
      </c>
      <c r="C23" s="1504">
        <v>0.87073454024432939</v>
      </c>
      <c r="E23" s="237">
        <f>C23/C22</f>
        <v>0.64277706439475657</v>
      </c>
    </row>
    <row r="24" spans="1:5">
      <c r="A24" s="1249"/>
      <c r="B24" s="1249"/>
      <c r="C24" s="1249"/>
    </row>
    <row r="25" spans="1:5">
      <c r="A25" s="1502" t="s">
        <v>1947</v>
      </c>
      <c r="B25" s="1503">
        <v>27.913375782029512</v>
      </c>
      <c r="C25" s="1504">
        <v>1</v>
      </c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1"/>
  <sheetViews>
    <sheetView topLeftCell="A7" workbookViewId="0">
      <pane xSplit="1" ySplit="7" topLeftCell="B44" activePane="bottomRight" state="frozen"/>
      <selection activeCell="A48" sqref="A48:XFD48"/>
      <selection pane="topRight" activeCell="A48" sqref="A48:XFD48"/>
      <selection pane="bottomLeft" activeCell="A48" sqref="A48:XFD48"/>
      <selection pane="bottomRight" activeCell="G62" sqref="G62"/>
    </sheetView>
  </sheetViews>
  <sheetFormatPr defaultColWidth="8.75" defaultRowHeight="12.75"/>
  <cols>
    <col min="1" max="1" width="8" style="1381" bestFit="1" customWidth="1"/>
    <col min="2" max="2" width="51" style="1381" bestFit="1" customWidth="1"/>
    <col min="3" max="3" width="8.125" style="1381" bestFit="1" customWidth="1"/>
    <col min="4" max="4" width="3.25" style="1381" bestFit="1" customWidth="1"/>
    <col min="5" max="5" width="5.75" style="1381" bestFit="1" customWidth="1"/>
    <col min="6" max="6" width="12.875" style="1381" bestFit="1" customWidth="1"/>
    <col min="7" max="7" width="12.5" style="1381" bestFit="1" customWidth="1"/>
    <col min="8" max="8" width="12.25" style="1381" bestFit="1" customWidth="1"/>
    <col min="9" max="9" width="12.5" style="1381" customWidth="1"/>
    <col min="10" max="10" width="12.125" style="1381" customWidth="1"/>
    <col min="11" max="11" width="12.25" style="1381" bestFit="1" customWidth="1"/>
    <col min="12" max="12" width="11.75" style="1381" bestFit="1" customWidth="1"/>
    <col min="13" max="13" width="10.75" style="1381" customWidth="1"/>
    <col min="14" max="14" width="12.25" style="1381" bestFit="1" customWidth="1"/>
    <col min="15" max="16" width="10.875" style="1381" bestFit="1" customWidth="1"/>
    <col min="17" max="17" width="13.25" style="1518" customWidth="1"/>
    <col min="18" max="16384" width="8.75" style="1381"/>
  </cols>
  <sheetData>
    <row r="1" spans="1:17">
      <c r="A1" s="1517" t="s">
        <v>1954</v>
      </c>
    </row>
    <row r="2" spans="1:17">
      <c r="A2" s="1420" t="s">
        <v>547</v>
      </c>
      <c r="B2" s="1420"/>
      <c r="C2" s="1519"/>
      <c r="D2" s="1519"/>
      <c r="E2" s="1519"/>
      <c r="F2" s="1519"/>
      <c r="G2" s="1519"/>
      <c r="H2" s="1519"/>
      <c r="I2" s="1519"/>
      <c r="J2" s="1519"/>
      <c r="K2" s="1520"/>
      <c r="L2" s="1520"/>
      <c r="M2" s="1519"/>
      <c r="N2" s="1519"/>
      <c r="O2" s="1519"/>
      <c r="P2" s="1519"/>
      <c r="Q2" s="1521"/>
    </row>
    <row r="3" spans="1:17">
      <c r="A3" s="1420" t="s">
        <v>1955</v>
      </c>
      <c r="B3" s="1519"/>
      <c r="C3" s="1519"/>
      <c r="D3" s="1519"/>
      <c r="E3" s="1519"/>
      <c r="F3" s="1519"/>
      <c r="G3" s="1519"/>
      <c r="H3" s="1519"/>
      <c r="I3" s="1519"/>
      <c r="J3" s="1519"/>
      <c r="K3" s="1520"/>
      <c r="L3" s="1520"/>
      <c r="M3" s="1519"/>
      <c r="N3" s="1519"/>
      <c r="O3" s="1519"/>
      <c r="P3" s="1519"/>
      <c r="Q3" s="1521"/>
    </row>
    <row r="4" spans="1:17">
      <c r="A4" s="1420" t="s">
        <v>83</v>
      </c>
      <c r="B4" s="1519"/>
      <c r="C4" s="1519"/>
      <c r="D4" s="1519"/>
      <c r="E4" s="1519"/>
      <c r="F4" s="1519"/>
      <c r="G4" s="1519"/>
      <c r="H4" s="1519"/>
      <c r="I4" s="1519"/>
      <c r="J4" s="1519"/>
      <c r="K4" s="1520"/>
      <c r="L4" s="1520"/>
      <c r="M4" s="1519"/>
      <c r="N4" s="1519"/>
      <c r="O4" s="1519"/>
      <c r="P4" s="1519"/>
      <c r="Q4" s="1521"/>
    </row>
    <row r="5" spans="1:17">
      <c r="A5" s="1420" t="s">
        <v>1950</v>
      </c>
      <c r="B5" s="1519"/>
      <c r="C5" s="1519"/>
      <c r="D5" s="1519"/>
      <c r="E5" s="1519"/>
      <c r="F5" s="1519"/>
      <c r="G5" s="1519"/>
      <c r="H5" s="1519"/>
      <c r="I5" s="1519"/>
      <c r="J5" s="1519"/>
      <c r="K5" s="1520"/>
      <c r="L5" s="1520"/>
      <c r="M5" s="1519"/>
      <c r="N5" s="1519"/>
      <c r="O5" s="1519"/>
      <c r="P5" s="1519"/>
      <c r="Q5" s="1521"/>
    </row>
    <row r="6" spans="1:17">
      <c r="A6" s="1420" t="s">
        <v>1948</v>
      </c>
      <c r="B6" s="1519"/>
      <c r="C6" s="1519"/>
      <c r="D6" s="1519"/>
      <c r="E6" s="1519"/>
      <c r="F6" s="1519"/>
      <c r="G6" s="1519"/>
      <c r="H6" s="1519"/>
      <c r="I6" s="1519"/>
      <c r="J6" s="1519"/>
      <c r="K6" s="1520"/>
      <c r="L6" s="1520"/>
      <c r="M6" s="1519"/>
      <c r="N6" s="1519"/>
      <c r="O6" s="1519"/>
      <c r="P6" s="1519"/>
      <c r="Q6" s="1521"/>
    </row>
    <row r="7" spans="1:17">
      <c r="A7" s="1420" t="s">
        <v>1956</v>
      </c>
      <c r="B7" s="1519"/>
      <c r="C7" s="1519"/>
      <c r="D7" s="1519"/>
      <c r="E7" s="1519"/>
      <c r="F7" s="1519"/>
      <c r="G7" s="1519"/>
      <c r="H7" s="1519"/>
      <c r="I7" s="1519"/>
      <c r="J7" s="1519"/>
      <c r="K7" s="1520"/>
      <c r="L7" s="1520"/>
      <c r="M7" s="1519"/>
      <c r="N7" s="1519"/>
      <c r="O7" s="1519"/>
      <c r="P7" s="1519"/>
      <c r="Q7" s="1521"/>
    </row>
    <row r="8" spans="1:17">
      <c r="A8" s="1423"/>
      <c r="G8" s="1522"/>
      <c r="H8" s="1522"/>
    </row>
    <row r="9" spans="1:17">
      <c r="A9" s="1523" t="s">
        <v>84</v>
      </c>
      <c r="B9" s="1523" t="s">
        <v>85</v>
      </c>
      <c r="C9" s="1523" t="s">
        <v>86</v>
      </c>
      <c r="D9" s="1524"/>
      <c r="E9" s="1523" t="s">
        <v>87</v>
      </c>
      <c r="F9" s="1523" t="s">
        <v>88</v>
      </c>
      <c r="G9" s="1523" t="s">
        <v>89</v>
      </c>
      <c r="H9" s="1523" t="s">
        <v>90</v>
      </c>
      <c r="I9" s="1523" t="s">
        <v>91</v>
      </c>
      <c r="J9" s="1523" t="s">
        <v>92</v>
      </c>
      <c r="K9" s="1523" t="s">
        <v>147</v>
      </c>
      <c r="L9" s="1523" t="s">
        <v>1639</v>
      </c>
      <c r="M9" s="1523" t="s">
        <v>1640</v>
      </c>
      <c r="N9" s="1523" t="s">
        <v>1641</v>
      </c>
      <c r="O9" s="1523" t="s">
        <v>1642</v>
      </c>
      <c r="P9" s="1523" t="s">
        <v>1957</v>
      </c>
      <c r="Q9" s="1523" t="s">
        <v>460</v>
      </c>
    </row>
    <row r="10" spans="1:17" ht="13.5" thickBot="1"/>
    <row r="11" spans="1:17" ht="13.5" thickTop="1">
      <c r="A11" s="1525"/>
      <c r="B11" s="1526"/>
      <c r="C11" s="1527"/>
      <c r="D11" s="1527"/>
      <c r="E11" s="1526"/>
      <c r="F11" s="1526"/>
      <c r="G11" s="1528"/>
      <c r="H11" s="1528"/>
      <c r="I11" s="1528"/>
      <c r="J11" s="1528"/>
      <c r="K11" s="1529"/>
      <c r="L11" s="1528"/>
      <c r="M11" s="1528"/>
      <c r="N11" s="1528"/>
      <c r="O11" s="1528"/>
      <c r="P11" s="1528"/>
      <c r="Q11" s="1530"/>
    </row>
    <row r="12" spans="1:17">
      <c r="A12" s="1531" t="s">
        <v>1958</v>
      </c>
      <c r="B12" s="1532"/>
      <c r="C12" s="1427" t="s">
        <v>1959</v>
      </c>
      <c r="D12" s="1533"/>
      <c r="E12" s="1534" t="s">
        <v>1960</v>
      </c>
      <c r="F12" s="1535"/>
      <c r="G12" s="1534"/>
      <c r="H12" s="1534"/>
      <c r="I12" s="1534"/>
      <c r="J12" s="1534"/>
      <c r="K12" s="1534"/>
      <c r="L12" s="1534"/>
      <c r="M12" s="1534"/>
      <c r="N12" s="1534"/>
      <c r="O12" s="1536"/>
      <c r="P12" s="1536"/>
      <c r="Q12" s="1537"/>
    </row>
    <row r="13" spans="1:17" ht="38.25">
      <c r="A13" s="1538" t="s">
        <v>1961</v>
      </c>
      <c r="B13" s="1539" t="s">
        <v>1962</v>
      </c>
      <c r="C13" s="1540" t="s">
        <v>1963</v>
      </c>
      <c r="D13" s="1540"/>
      <c r="E13" s="1541"/>
      <c r="F13" s="1542" t="s">
        <v>1807</v>
      </c>
      <c r="G13" s="1542" t="s">
        <v>1808</v>
      </c>
      <c r="H13" s="1542" t="s">
        <v>1809</v>
      </c>
      <c r="I13" s="1542" t="s">
        <v>1810</v>
      </c>
      <c r="J13" s="1542" t="s">
        <v>1811</v>
      </c>
      <c r="K13" s="1542" t="s">
        <v>1812</v>
      </c>
      <c r="L13" s="1542" t="s">
        <v>1813</v>
      </c>
      <c r="M13" s="1542" t="s">
        <v>1814</v>
      </c>
      <c r="N13" s="1542" t="s">
        <v>1815</v>
      </c>
      <c r="O13" s="1542" t="s">
        <v>1816</v>
      </c>
      <c r="P13" s="1542" t="s">
        <v>1817</v>
      </c>
      <c r="Q13" s="1594" t="s">
        <v>1961</v>
      </c>
    </row>
    <row r="14" spans="1:17">
      <c r="A14" s="1595" t="s">
        <v>84</v>
      </c>
      <c r="B14" s="1681" t="s">
        <v>1964</v>
      </c>
      <c r="C14" s="1577"/>
      <c r="D14" s="1577"/>
      <c r="E14" s="1681"/>
      <c r="F14" s="2025"/>
      <c r="G14" s="2025"/>
      <c r="H14" s="2025"/>
      <c r="I14" s="2025"/>
      <c r="J14" s="2025"/>
      <c r="K14" s="2025"/>
      <c r="L14" s="2025"/>
      <c r="M14" s="2025"/>
      <c r="N14" s="2025"/>
      <c r="O14" s="2026"/>
      <c r="P14" s="1596"/>
      <c r="Q14" s="1597"/>
    </row>
    <row r="15" spans="1:17">
      <c r="A15" s="1598" t="s">
        <v>1965</v>
      </c>
      <c r="B15" s="1543" t="s">
        <v>1966</v>
      </c>
      <c r="C15" s="1544">
        <v>0.75</v>
      </c>
      <c r="D15" s="1545" t="s">
        <v>1967</v>
      </c>
      <c r="E15" s="1546">
        <v>0.25</v>
      </c>
      <c r="F15" s="1547">
        <v>0.35813996172964169</v>
      </c>
      <c r="G15" s="1547">
        <v>0.2715254646558789</v>
      </c>
      <c r="H15" s="1547">
        <v>7.9772204472460168E-2</v>
      </c>
      <c r="I15" s="1547">
        <v>1.0735125251442033E-3</v>
      </c>
      <c r="J15" s="1547">
        <v>0.17817489786137647</v>
      </c>
      <c r="K15" s="1547">
        <v>8.3959257178266664E-3</v>
      </c>
      <c r="L15" s="1547">
        <v>2.8224092378510452E-4</v>
      </c>
      <c r="M15" s="1547">
        <v>3.6376898047443145E-4</v>
      </c>
      <c r="N15" s="1547">
        <v>6.3135270608976932E-2</v>
      </c>
      <c r="O15" s="1547">
        <v>2.2206264746511536E-2</v>
      </c>
      <c r="P15" s="1547">
        <v>1.6930487777923851E-2</v>
      </c>
      <c r="Q15" s="1679">
        <v>1</v>
      </c>
    </row>
    <row r="16" spans="1:17">
      <c r="A16" s="1548" t="s">
        <v>1968</v>
      </c>
      <c r="B16" s="1549" t="s">
        <v>1966</v>
      </c>
      <c r="C16" s="1550">
        <v>0.5</v>
      </c>
      <c r="D16" s="1551" t="s">
        <v>1967</v>
      </c>
      <c r="E16" s="1546">
        <v>0.5</v>
      </c>
      <c r="F16" s="1552">
        <v>0.33821490987196479</v>
      </c>
      <c r="G16" s="1552">
        <v>0.27177852096801752</v>
      </c>
      <c r="H16" s="1552">
        <v>8.2598891692376608E-2</v>
      </c>
      <c r="I16" s="1552">
        <v>1.4626758398592172E-3</v>
      </c>
      <c r="J16" s="1552">
        <v>0.18854598308114204</v>
      </c>
      <c r="K16" s="1552">
        <v>8.9753865084701151E-3</v>
      </c>
      <c r="L16" s="1552">
        <v>3.0218073837868858E-4</v>
      </c>
      <c r="M16" s="1552">
        <v>4.7657048989094053E-4</v>
      </c>
      <c r="N16" s="1552">
        <v>6.268279158953316E-2</v>
      </c>
      <c r="O16" s="1552">
        <v>2.3609285121362324E-2</v>
      </c>
      <c r="P16" s="1552">
        <v>2.1352804099004634E-2</v>
      </c>
      <c r="Q16" s="1679">
        <v>1</v>
      </c>
    </row>
    <row r="17" spans="1:17">
      <c r="A17" s="1553" t="s">
        <v>1969</v>
      </c>
      <c r="B17" s="1549" t="s">
        <v>1966</v>
      </c>
      <c r="C17" s="1550">
        <v>1</v>
      </c>
      <c r="D17" s="1551" t="s">
        <v>1967</v>
      </c>
      <c r="E17" s="1554">
        <v>0</v>
      </c>
      <c r="F17" s="1552">
        <v>0.37806501358731864</v>
      </c>
      <c r="G17" s="1552">
        <v>0.27127240834374033</v>
      </c>
      <c r="H17" s="1552">
        <v>7.6945517252543741E-2</v>
      </c>
      <c r="I17" s="1552">
        <v>6.8434921042918927E-4</v>
      </c>
      <c r="J17" s="1552">
        <v>0.1678038126416109</v>
      </c>
      <c r="K17" s="1552">
        <v>7.816464927183216E-3</v>
      </c>
      <c r="L17" s="1552">
        <v>2.6230110919152051E-4</v>
      </c>
      <c r="M17" s="1552">
        <v>2.5096747105792232E-4</v>
      </c>
      <c r="N17" s="1552">
        <v>6.3587749628420689E-2</v>
      </c>
      <c r="O17" s="1552">
        <v>2.0803244371660746E-2</v>
      </c>
      <c r="P17" s="1552">
        <v>1.2508171456843074E-2</v>
      </c>
      <c r="Q17" s="1679">
        <v>1</v>
      </c>
    </row>
    <row r="18" spans="1:17">
      <c r="A18" s="1548" t="s">
        <v>1970</v>
      </c>
      <c r="B18" s="1549" t="s">
        <v>1971</v>
      </c>
      <c r="C18" s="1551"/>
      <c r="D18" s="1555"/>
      <c r="E18" s="1549"/>
      <c r="F18" s="1552">
        <v>0.53595656857175433</v>
      </c>
      <c r="G18" s="1552">
        <v>0.2976589285121351</v>
      </c>
      <c r="H18" s="1552">
        <v>7.4345701129033825E-2</v>
      </c>
      <c r="I18" s="1552">
        <v>1.2027352295170235E-4</v>
      </c>
      <c r="J18" s="1552">
        <v>0</v>
      </c>
      <c r="K18" s="1552">
        <v>1.5924387194837446E-2</v>
      </c>
      <c r="L18" s="1552">
        <v>2.2720748697620095E-4</v>
      </c>
      <c r="M18" s="1552">
        <v>4.7089285975523504E-5</v>
      </c>
      <c r="N18" s="1552">
        <v>7.5719844296335673E-2</v>
      </c>
      <c r="O18" s="1552">
        <v>0</v>
      </c>
      <c r="P18" s="1552">
        <v>0</v>
      </c>
      <c r="Q18" s="1679">
        <v>0.99999999999999989</v>
      </c>
    </row>
    <row r="19" spans="1:17">
      <c r="A19" s="1548" t="s">
        <v>1972</v>
      </c>
      <c r="B19" s="1549" t="s">
        <v>1973</v>
      </c>
      <c r="C19" s="1551"/>
      <c r="D19" s="1555"/>
      <c r="E19" s="1549"/>
      <c r="F19" s="1552">
        <v>0.63134227358127437</v>
      </c>
      <c r="G19" s="1552">
        <v>0.23221575368833883</v>
      </c>
      <c r="H19" s="1552">
        <v>2.8456768355703321E-2</v>
      </c>
      <c r="I19" s="1552">
        <v>2.2954503076252943E-3</v>
      </c>
      <c r="J19" s="1552">
        <v>0</v>
      </c>
      <c r="K19" s="1552">
        <v>2.50287624027247E-2</v>
      </c>
      <c r="L19" s="1552">
        <v>1.5689801731709157E-4</v>
      </c>
      <c r="M19" s="1552">
        <v>7.1229157649937112E-4</v>
      </c>
      <c r="N19" s="1552">
        <v>7.9791802070516962E-2</v>
      </c>
      <c r="O19" s="1552">
        <v>0</v>
      </c>
      <c r="P19" s="1552">
        <v>0</v>
      </c>
      <c r="Q19" s="1679">
        <v>0.99999999999999989</v>
      </c>
    </row>
    <row r="20" spans="1:17">
      <c r="A20" s="1548" t="s">
        <v>1974</v>
      </c>
      <c r="B20" s="1549" t="s">
        <v>1975</v>
      </c>
      <c r="C20" s="1551"/>
      <c r="D20" s="1555"/>
      <c r="E20" s="1549"/>
      <c r="F20" s="1552">
        <v>0.88779640182846875</v>
      </c>
      <c r="G20" s="1552">
        <v>0</v>
      </c>
      <c r="H20" s="1552">
        <v>0</v>
      </c>
      <c r="I20" s="1552">
        <v>0</v>
      </c>
      <c r="J20" s="1552">
        <v>0</v>
      </c>
      <c r="K20" s="1552">
        <v>0</v>
      </c>
      <c r="L20" s="1552">
        <v>0</v>
      </c>
      <c r="M20" s="1552">
        <v>0</v>
      </c>
      <c r="N20" s="1552">
        <v>0.11220359817153133</v>
      </c>
      <c r="O20" s="1552">
        <v>0</v>
      </c>
      <c r="P20" s="1552">
        <v>0</v>
      </c>
      <c r="Q20" s="1679">
        <v>1</v>
      </c>
    </row>
    <row r="21" spans="1:17">
      <c r="A21" s="1548" t="s">
        <v>1976</v>
      </c>
      <c r="B21" s="1549" t="s">
        <v>1977</v>
      </c>
      <c r="C21" s="1551"/>
      <c r="D21" s="1555"/>
      <c r="E21" s="1549"/>
      <c r="F21" s="1552">
        <v>0.29836480615661093</v>
      </c>
      <c r="G21" s="1552">
        <v>0.27228463359229471</v>
      </c>
      <c r="H21" s="1552">
        <v>8.8252266132209461E-2</v>
      </c>
      <c r="I21" s="1552">
        <v>2.2410024692892452E-3</v>
      </c>
      <c r="J21" s="1552">
        <v>0.20928815352067318</v>
      </c>
      <c r="K21" s="1552">
        <v>1.0134308089757016E-2</v>
      </c>
      <c r="L21" s="1552">
        <v>3.420603675658567E-4</v>
      </c>
      <c r="M21" s="1552">
        <v>7.0217350872395874E-4</v>
      </c>
      <c r="N21" s="1552">
        <v>6.1777833550645637E-2</v>
      </c>
      <c r="O21" s="1552">
        <v>2.6415325871063905E-2</v>
      </c>
      <c r="P21" s="1552">
        <v>3.0197436741166192E-2</v>
      </c>
      <c r="Q21" s="1679">
        <v>1.0000000000000002</v>
      </c>
    </row>
    <row r="22" spans="1:17">
      <c r="A22" s="1548" t="s">
        <v>1978</v>
      </c>
      <c r="B22" s="1549" t="s">
        <v>1822</v>
      </c>
      <c r="C22" s="1555"/>
      <c r="D22" s="1555"/>
      <c r="E22" s="1549"/>
      <c r="F22" s="1552">
        <v>0.86981333977363162</v>
      </c>
      <c r="G22" s="1552">
        <v>1.6562455885057226E-2</v>
      </c>
      <c r="H22" s="1552">
        <v>2.5272066907563599E-4</v>
      </c>
      <c r="I22" s="1552">
        <v>8.5565084306089955E-3</v>
      </c>
      <c r="J22" s="1552">
        <v>1.6729753419249724E-4</v>
      </c>
      <c r="K22" s="1552">
        <v>3.658239414342606E-3</v>
      </c>
      <c r="L22" s="1552">
        <v>2.7720694453471965E-3</v>
      </c>
      <c r="M22" s="1552">
        <v>6.4586987442800448E-4</v>
      </c>
      <c r="N22" s="1552">
        <v>9.7569471124416871E-2</v>
      </c>
      <c r="O22" s="1552">
        <v>1.0139244496514984E-6</v>
      </c>
      <c r="P22" s="1552">
        <v>1.0139244496514984E-6</v>
      </c>
      <c r="Q22" s="1679">
        <v>1</v>
      </c>
    </row>
    <row r="23" spans="1:17">
      <c r="A23" s="1548" t="s">
        <v>1979</v>
      </c>
      <c r="B23" s="1549" t="s">
        <v>1980</v>
      </c>
      <c r="C23" s="1555"/>
      <c r="D23" s="1555"/>
      <c r="E23" s="1549"/>
      <c r="F23" s="1552">
        <v>0.8699503694982349</v>
      </c>
      <c r="G23" s="1552">
        <v>1.9319110987168368E-2</v>
      </c>
      <c r="H23" s="1552">
        <v>2.789026576587693E-3</v>
      </c>
      <c r="I23" s="1552">
        <v>0</v>
      </c>
      <c r="J23" s="1552">
        <v>2.7010460864221263E-3</v>
      </c>
      <c r="K23" s="1552">
        <v>3.8791393998104024E-3</v>
      </c>
      <c r="L23" s="1552">
        <v>2.7725061550357096E-3</v>
      </c>
      <c r="M23" s="1552">
        <v>6.4597162427130464E-4</v>
      </c>
      <c r="N23" s="1552">
        <v>9.7720477834860597E-2</v>
      </c>
      <c r="O23" s="1552">
        <v>1.1117591880447541E-4</v>
      </c>
      <c r="P23" s="1552">
        <v>1.1117591880447541E-4</v>
      </c>
      <c r="Q23" s="1679">
        <v>0.99999999999999989</v>
      </c>
    </row>
    <row r="24" spans="1:17">
      <c r="A24" s="1548" t="s">
        <v>1981</v>
      </c>
      <c r="B24" s="1549" t="s">
        <v>1982</v>
      </c>
      <c r="C24" s="1555"/>
      <c r="D24" s="1555"/>
      <c r="E24" s="1549"/>
      <c r="F24" s="1552">
        <v>0.87052581258056771</v>
      </c>
      <c r="G24" s="1552">
        <v>1.8007472907809421E-2</v>
      </c>
      <c r="H24" s="1552">
        <v>2.7476967384582176E-4</v>
      </c>
      <c r="I24" s="1552">
        <v>7.7035796472103447E-3</v>
      </c>
      <c r="J24" s="1552">
        <v>8.2906608011306131E-4</v>
      </c>
      <c r="K24" s="1552">
        <v>2.8727789916456192E-3</v>
      </c>
      <c r="L24" s="1552">
        <v>2.4969278903939629E-3</v>
      </c>
      <c r="M24" s="1552">
        <v>5.8176410613787661E-4</v>
      </c>
      <c r="N24" s="1552">
        <v>9.669777883645668E-2</v>
      </c>
      <c r="O24" s="1552">
        <v>5.0246429097761293E-6</v>
      </c>
      <c r="P24" s="1552">
        <v>5.0246429097761293E-6</v>
      </c>
      <c r="Q24" s="1679">
        <v>1</v>
      </c>
    </row>
    <row r="25" spans="1:17">
      <c r="A25" s="1548" t="s">
        <v>1983</v>
      </c>
      <c r="B25" s="1549" t="s">
        <v>1984</v>
      </c>
      <c r="C25" s="1555"/>
      <c r="D25" s="1555"/>
      <c r="E25" s="1549"/>
      <c r="F25" s="1552">
        <v>1</v>
      </c>
      <c r="G25" s="1552">
        <v>0</v>
      </c>
      <c r="H25" s="1552">
        <v>0</v>
      </c>
      <c r="I25" s="1552">
        <v>0</v>
      </c>
      <c r="J25" s="1552">
        <v>0</v>
      </c>
      <c r="K25" s="1552">
        <v>0</v>
      </c>
      <c r="L25" s="1552">
        <v>0</v>
      </c>
      <c r="M25" s="1552">
        <v>0</v>
      </c>
      <c r="N25" s="1552">
        <v>0</v>
      </c>
      <c r="O25" s="1552">
        <v>0</v>
      </c>
      <c r="P25" s="1552">
        <v>0</v>
      </c>
      <c r="Q25" s="1679">
        <v>1</v>
      </c>
    </row>
    <row r="26" spans="1:17">
      <c r="A26" s="1548" t="s">
        <v>1985</v>
      </c>
      <c r="B26" s="1549" t="s">
        <v>1986</v>
      </c>
      <c r="C26" s="1555"/>
      <c r="D26" s="1555"/>
      <c r="E26" s="1549"/>
      <c r="F26" s="1552">
        <v>0</v>
      </c>
      <c r="G26" s="1552">
        <v>0.1387906735027663</v>
      </c>
      <c r="H26" s="1552">
        <v>1.3505305144649493E-3</v>
      </c>
      <c r="I26" s="1552">
        <v>0</v>
      </c>
      <c r="J26" s="1552">
        <v>3.9707905724439537E-4</v>
      </c>
      <c r="K26" s="1552">
        <v>0</v>
      </c>
      <c r="L26" s="1552">
        <v>0</v>
      </c>
      <c r="M26" s="1552">
        <v>0</v>
      </c>
      <c r="N26" s="1552">
        <v>0.85946171692552431</v>
      </c>
      <c r="O26" s="1552">
        <v>0</v>
      </c>
      <c r="P26" s="1552">
        <v>0</v>
      </c>
      <c r="Q26" s="1679">
        <v>1</v>
      </c>
    </row>
    <row r="27" spans="1:17">
      <c r="A27" s="1548" t="s">
        <v>1987</v>
      </c>
      <c r="B27" s="1549" t="s">
        <v>1988</v>
      </c>
      <c r="C27" s="1555"/>
      <c r="D27" s="1555"/>
      <c r="E27" s="1549"/>
      <c r="F27" s="1552">
        <v>0</v>
      </c>
      <c r="G27" s="1552">
        <v>0.15729693902145095</v>
      </c>
      <c r="H27" s="1552">
        <v>1.2412629549288986E-2</v>
      </c>
      <c r="I27" s="1552">
        <v>0</v>
      </c>
      <c r="J27" s="1552">
        <v>1.4702337912750061E-2</v>
      </c>
      <c r="K27" s="1552">
        <v>0.43480356712460833</v>
      </c>
      <c r="L27" s="1552">
        <v>0</v>
      </c>
      <c r="M27" s="1552">
        <v>0</v>
      </c>
      <c r="N27" s="1552">
        <v>0.38054350445890583</v>
      </c>
      <c r="O27" s="1552">
        <v>1.2051096649795132E-4</v>
      </c>
      <c r="P27" s="1552">
        <v>1.2051096649795132E-4</v>
      </c>
      <c r="Q27" s="1679">
        <v>1</v>
      </c>
    </row>
    <row r="28" spans="1:17">
      <c r="A28" s="1548" t="s">
        <v>1989</v>
      </c>
      <c r="B28" s="1549" t="s">
        <v>1990</v>
      </c>
      <c r="C28" s="1555"/>
      <c r="D28" s="1555"/>
      <c r="E28" s="1549"/>
      <c r="F28" s="1552">
        <v>0</v>
      </c>
      <c r="G28" s="1552">
        <v>0</v>
      </c>
      <c r="H28" s="1552">
        <v>0</v>
      </c>
      <c r="I28" s="1552">
        <v>0.71456392887383569</v>
      </c>
      <c r="J28" s="1552">
        <v>0</v>
      </c>
      <c r="K28" s="1552">
        <v>0</v>
      </c>
      <c r="L28" s="1552">
        <v>0.23149872988992379</v>
      </c>
      <c r="M28" s="1552">
        <v>5.3937341236240471E-2</v>
      </c>
      <c r="N28" s="1552">
        <v>0</v>
      </c>
      <c r="O28" s="1552">
        <v>0</v>
      </c>
      <c r="P28" s="1552">
        <v>0</v>
      </c>
      <c r="Q28" s="1679">
        <v>1</v>
      </c>
    </row>
    <row r="29" spans="1:17">
      <c r="A29" s="1548" t="s">
        <v>1991</v>
      </c>
      <c r="B29" s="1549" t="s">
        <v>1992</v>
      </c>
      <c r="C29" s="1555"/>
      <c r="D29" s="1555"/>
      <c r="E29" s="1549"/>
      <c r="F29" s="1552">
        <v>0.87154504124384879</v>
      </c>
      <c r="G29" s="1552">
        <v>1.9354524088331122E-2</v>
      </c>
      <c r="H29" s="1552">
        <v>2.7941390313154452E-3</v>
      </c>
      <c r="I29" s="1552">
        <v>0</v>
      </c>
      <c r="J29" s="1552">
        <v>2.7059972675798549E-3</v>
      </c>
      <c r="K29" s="1552">
        <v>2.0531894981716658E-3</v>
      </c>
      <c r="L29" s="1552">
        <v>2.777588326829632E-3</v>
      </c>
      <c r="M29" s="1552">
        <v>6.4715572940397792E-4</v>
      </c>
      <c r="N29" s="1552">
        <v>9.7899605392517741E-2</v>
      </c>
      <c r="O29" s="1552">
        <v>1.1137971100081923E-4</v>
      </c>
      <c r="P29" s="1552">
        <v>1.1137971100081923E-4</v>
      </c>
      <c r="Q29" s="1679">
        <v>0.99999999999999989</v>
      </c>
    </row>
    <row r="30" spans="1:17">
      <c r="A30" s="1548" t="s">
        <v>1993</v>
      </c>
      <c r="B30" s="1549" t="s">
        <v>1994</v>
      </c>
      <c r="C30" s="1555"/>
      <c r="D30" s="1555"/>
      <c r="E30" s="1549"/>
      <c r="F30" s="1552">
        <v>0.87170700003687007</v>
      </c>
      <c r="G30" s="1552">
        <v>1.8031906647522845E-2</v>
      </c>
      <c r="H30" s="1552">
        <v>2.7514249965687596E-4</v>
      </c>
      <c r="I30" s="1552">
        <v>7.7140323776364959E-3</v>
      </c>
      <c r="J30" s="1552">
        <v>8.3019101224042968E-4</v>
      </c>
      <c r="K30" s="1552">
        <v>1.5198103044780161E-3</v>
      </c>
      <c r="L30" s="1552">
        <v>2.5003158886138916E-3</v>
      </c>
      <c r="M30" s="1552">
        <v>5.8255348246051542E-4</v>
      </c>
      <c r="N30" s="1552">
        <v>9.6828984829160483E-2</v>
      </c>
      <c r="O30" s="1552">
        <v>5.0314606802450285E-6</v>
      </c>
      <c r="P30" s="1552">
        <v>5.0314606802450285E-6</v>
      </c>
      <c r="Q30" s="1679">
        <v>1</v>
      </c>
    </row>
    <row r="31" spans="1:17">
      <c r="A31" s="1548" t="s">
        <v>1995</v>
      </c>
      <c r="B31" s="1549" t="s">
        <v>1996</v>
      </c>
      <c r="C31" s="1555"/>
      <c r="D31" s="1555"/>
      <c r="E31" s="1549"/>
      <c r="F31" s="1552">
        <v>0.35266832839603662</v>
      </c>
      <c r="G31" s="1552">
        <v>5.1514463061520195E-2</v>
      </c>
      <c r="H31" s="1552">
        <v>2.9741089307351721E-3</v>
      </c>
      <c r="I31" s="1552">
        <v>6.0909392158023769E-3</v>
      </c>
      <c r="J31" s="1552">
        <v>0</v>
      </c>
      <c r="K31" s="1552">
        <v>2.4034601581976343E-3</v>
      </c>
      <c r="L31" s="1552">
        <v>3.5273768927457016E-3</v>
      </c>
      <c r="M31" s="1552">
        <v>5.077456297282323E-3</v>
      </c>
      <c r="N31" s="1552">
        <v>0.57574386704767999</v>
      </c>
      <c r="O31" s="1552">
        <v>0</v>
      </c>
      <c r="P31" s="1552">
        <v>0</v>
      </c>
      <c r="Q31" s="1679">
        <v>1</v>
      </c>
    </row>
    <row r="32" spans="1:17">
      <c r="A32" s="1548" t="s">
        <v>1997</v>
      </c>
      <c r="B32" s="1549" t="s">
        <v>1998</v>
      </c>
      <c r="C32" s="1555"/>
      <c r="D32" s="1555"/>
      <c r="E32" s="1549"/>
      <c r="F32" s="1552">
        <v>0.11886596185653295</v>
      </c>
      <c r="G32" s="1552">
        <v>4.4267603866212389E-2</v>
      </c>
      <c r="H32" s="1552">
        <v>0.15278530800125417</v>
      </c>
      <c r="I32" s="1552">
        <v>5.0462787569879029E-4</v>
      </c>
      <c r="J32" s="1552">
        <v>0.31577712755759307</v>
      </c>
      <c r="K32" s="1552">
        <v>1.2884742679798545E-2</v>
      </c>
      <c r="L32" s="1552">
        <v>0</v>
      </c>
      <c r="M32" s="1552">
        <v>3.1636944559962512E-4</v>
      </c>
      <c r="N32" s="1552">
        <v>0.35459825871731049</v>
      </c>
      <c r="O32" s="1552">
        <v>0</v>
      </c>
      <c r="P32" s="1552">
        <v>0</v>
      </c>
      <c r="Q32" s="1679">
        <v>1</v>
      </c>
    </row>
    <row r="33" spans="1:17">
      <c r="A33" s="1548" t="s">
        <v>1999</v>
      </c>
      <c r="B33" s="1549" t="s">
        <v>2000</v>
      </c>
      <c r="C33" s="1555"/>
      <c r="D33" s="1555"/>
      <c r="E33" s="1549"/>
      <c r="F33" s="1552">
        <v>0.72048281319090746</v>
      </c>
      <c r="G33" s="1552">
        <v>0.10158255134880706</v>
      </c>
      <c r="H33" s="1552">
        <v>1.2945246527512434E-2</v>
      </c>
      <c r="I33" s="1552">
        <v>0</v>
      </c>
      <c r="J33" s="1552">
        <v>2.8234238963182338E-2</v>
      </c>
      <c r="K33" s="1552">
        <v>1.0834227998598992E-2</v>
      </c>
      <c r="L33" s="1552">
        <v>2.2551642240006956E-3</v>
      </c>
      <c r="M33" s="1552">
        <v>5.2543511729643123E-4</v>
      </c>
      <c r="N33" s="1552">
        <v>0.12054617923665066</v>
      </c>
      <c r="O33" s="1552">
        <v>1.2970716965219466E-3</v>
      </c>
      <c r="P33" s="1552">
        <v>1.2970716965219466E-3</v>
      </c>
      <c r="Q33" s="1679">
        <v>0.99999999999999989</v>
      </c>
    </row>
    <row r="34" spans="1:17">
      <c r="A34" s="1548" t="s">
        <v>2001</v>
      </c>
      <c r="B34" s="1549" t="s">
        <v>2002</v>
      </c>
      <c r="C34" s="1555"/>
      <c r="D34" s="1555"/>
      <c r="E34" s="1549"/>
      <c r="F34" s="1552">
        <v>0.81367660738756753</v>
      </c>
      <c r="G34" s="1552">
        <v>6.3735743264090428E-2</v>
      </c>
      <c r="H34" s="1552">
        <v>4.8674104629329281E-3</v>
      </c>
      <c r="I34" s="1552">
        <v>0</v>
      </c>
      <c r="J34" s="1552">
        <v>0</v>
      </c>
      <c r="K34" s="1552">
        <v>0</v>
      </c>
      <c r="L34" s="1552">
        <v>2.8671340330887721E-3</v>
      </c>
      <c r="M34" s="1552">
        <v>6.6801915840436997E-4</v>
      </c>
      <c r="N34" s="1552">
        <v>0.11418508569391581</v>
      </c>
      <c r="O34" s="1552">
        <v>0</v>
      </c>
      <c r="P34" s="1552">
        <v>0</v>
      </c>
      <c r="Q34" s="1679">
        <v>1</v>
      </c>
    </row>
    <row r="35" spans="1:17">
      <c r="A35" s="1548" t="s">
        <v>2003</v>
      </c>
      <c r="B35" s="1549" t="s">
        <v>2004</v>
      </c>
      <c r="C35" s="1555"/>
      <c r="D35" s="1555"/>
      <c r="E35" s="1549"/>
      <c r="F35" s="1552">
        <v>0.6985631611281452</v>
      </c>
      <c r="G35" s="1552">
        <v>0.14629509563781565</v>
      </c>
      <c r="H35" s="1552">
        <v>4.1221033137497053E-2</v>
      </c>
      <c r="I35" s="1552">
        <v>0</v>
      </c>
      <c r="J35" s="1552">
        <v>7.5633118692552015E-2</v>
      </c>
      <c r="K35" s="1552">
        <v>-5.3853309135974746E-4</v>
      </c>
      <c r="L35" s="1552">
        <v>0</v>
      </c>
      <c r="M35" s="1552">
        <v>0</v>
      </c>
      <c r="N35" s="1552">
        <v>3.8826124495349855E-2</v>
      </c>
      <c r="O35" s="1552">
        <v>0</v>
      </c>
      <c r="P35" s="1552">
        <v>0</v>
      </c>
      <c r="Q35" s="1679">
        <v>0.99999999999999989</v>
      </c>
    </row>
    <row r="36" spans="1:17">
      <c r="A36" s="1598" t="s">
        <v>2005</v>
      </c>
      <c r="B36" s="1556" t="s">
        <v>2006</v>
      </c>
      <c r="C36" s="1599"/>
      <c r="D36" s="1556"/>
      <c r="E36" s="1557"/>
      <c r="F36" s="1558" t="e">
        <v>#REF!</v>
      </c>
      <c r="G36" s="1558" t="e">
        <v>#REF!</v>
      </c>
      <c r="H36" s="1558" t="e">
        <v>#REF!</v>
      </c>
      <c r="I36" s="1558" t="e">
        <v>#REF!</v>
      </c>
      <c r="J36" s="1558" t="e">
        <v>#REF!</v>
      </c>
      <c r="K36" s="1558" t="e">
        <v>#REF!</v>
      </c>
      <c r="L36" s="1558" t="e">
        <v>#REF!</v>
      </c>
      <c r="M36" s="1558" t="e">
        <v>#REF!</v>
      </c>
      <c r="N36" s="1558" t="e">
        <v>#REF!</v>
      </c>
      <c r="O36" s="1558" t="e">
        <v>#REF!</v>
      </c>
      <c r="P36" s="1558" t="e">
        <v>#REF!</v>
      </c>
      <c r="Q36" s="2027" t="e">
        <v>#REF!</v>
      </c>
    </row>
    <row r="37" spans="1:17">
      <c r="A37" s="1598" t="s">
        <v>2007</v>
      </c>
      <c r="B37" s="1556" t="s">
        <v>2008</v>
      </c>
      <c r="C37" s="1599"/>
      <c r="D37" s="1556"/>
      <c r="E37" s="1557"/>
      <c r="F37" s="1558" t="e">
        <v>#REF!</v>
      </c>
      <c r="G37" s="1558" t="e">
        <v>#REF!</v>
      </c>
      <c r="H37" s="1558" t="e">
        <v>#REF!</v>
      </c>
      <c r="I37" s="1558" t="e">
        <v>#REF!</v>
      </c>
      <c r="J37" s="1558" t="e">
        <v>#REF!</v>
      </c>
      <c r="K37" s="1558" t="e">
        <v>#REF!</v>
      </c>
      <c r="L37" s="1558" t="e">
        <v>#REF!</v>
      </c>
      <c r="M37" s="1558" t="e">
        <v>#REF!</v>
      </c>
      <c r="N37" s="1558" t="e">
        <v>#REF!</v>
      </c>
      <c r="O37" s="1558" t="e">
        <v>#REF!</v>
      </c>
      <c r="P37" s="1558" t="e">
        <v>#REF!</v>
      </c>
      <c r="Q37" s="2027" t="e">
        <v>#REF!</v>
      </c>
    </row>
    <row r="38" spans="1:17">
      <c r="A38" s="1598" t="s">
        <v>2009</v>
      </c>
      <c r="B38" s="1556" t="s">
        <v>2010</v>
      </c>
      <c r="C38" s="1599"/>
      <c r="D38" s="1556"/>
      <c r="E38" s="1557"/>
      <c r="F38" s="1558" t="e">
        <v>#REF!</v>
      </c>
      <c r="G38" s="1558" t="e">
        <v>#REF!</v>
      </c>
      <c r="H38" s="1558" t="e">
        <v>#REF!</v>
      </c>
      <c r="I38" s="1558" t="e">
        <v>#REF!</v>
      </c>
      <c r="J38" s="1558" t="e">
        <v>#REF!</v>
      </c>
      <c r="K38" s="1558" t="e">
        <v>#REF!</v>
      </c>
      <c r="L38" s="1558" t="e">
        <v>#REF!</v>
      </c>
      <c r="M38" s="1558" t="e">
        <v>#REF!</v>
      </c>
      <c r="N38" s="1558" t="e">
        <v>#REF!</v>
      </c>
      <c r="O38" s="1558" t="e">
        <v>#REF!</v>
      </c>
      <c r="P38" s="1558" t="e">
        <v>#REF!</v>
      </c>
      <c r="Q38" s="2027" t="e">
        <v>#REF!</v>
      </c>
    </row>
    <row r="39" spans="1:17">
      <c r="A39" s="1598" t="s">
        <v>2011</v>
      </c>
      <c r="B39" s="1556" t="s">
        <v>2012</v>
      </c>
      <c r="C39" s="1599"/>
      <c r="D39" s="1556"/>
      <c r="E39" s="1557"/>
      <c r="F39" s="1558" t="e">
        <v>#REF!</v>
      </c>
      <c r="G39" s="1558" t="e">
        <v>#REF!</v>
      </c>
      <c r="H39" s="1558" t="e">
        <v>#REF!</v>
      </c>
      <c r="I39" s="1558" t="e">
        <v>#REF!</v>
      </c>
      <c r="J39" s="1558" t="e">
        <v>#REF!</v>
      </c>
      <c r="K39" s="1558" t="e">
        <v>#REF!</v>
      </c>
      <c r="L39" s="1558" t="e">
        <v>#REF!</v>
      </c>
      <c r="M39" s="1558" t="e">
        <v>#REF!</v>
      </c>
      <c r="N39" s="1558" t="e">
        <v>#REF!</v>
      </c>
      <c r="O39" s="1558" t="e">
        <v>#REF!</v>
      </c>
      <c r="P39" s="1558" t="e">
        <v>#REF!</v>
      </c>
      <c r="Q39" s="2027" t="e">
        <v>#REF!</v>
      </c>
    </row>
    <row r="40" spans="1:17">
      <c r="A40" s="1598" t="s">
        <v>2013</v>
      </c>
      <c r="B40" s="1556" t="s">
        <v>2014</v>
      </c>
      <c r="C40" s="1599"/>
      <c r="D40" s="1556"/>
      <c r="E40" s="1557"/>
      <c r="F40" s="1558" t="e">
        <v>#REF!</v>
      </c>
      <c r="G40" s="1558" t="e">
        <v>#REF!</v>
      </c>
      <c r="H40" s="1558" t="e">
        <v>#REF!</v>
      </c>
      <c r="I40" s="1558" t="e">
        <v>#REF!</v>
      </c>
      <c r="J40" s="1558" t="e">
        <v>#REF!</v>
      </c>
      <c r="K40" s="1558" t="e">
        <v>#REF!</v>
      </c>
      <c r="L40" s="1558" t="e">
        <v>#REF!</v>
      </c>
      <c r="M40" s="1558" t="e">
        <v>#REF!</v>
      </c>
      <c r="N40" s="1558" t="e">
        <v>#REF!</v>
      </c>
      <c r="O40" s="1558" t="e">
        <v>#REF!</v>
      </c>
      <c r="P40" s="1558" t="e">
        <v>#REF!</v>
      </c>
      <c r="Q40" s="2027" t="e">
        <v>#REF!</v>
      </c>
    </row>
    <row r="41" spans="1:17">
      <c r="A41" s="1598" t="s">
        <v>2015</v>
      </c>
      <c r="B41" s="1556" t="s">
        <v>2016</v>
      </c>
      <c r="C41" s="1599"/>
      <c r="D41" s="1556"/>
      <c r="E41" s="1557"/>
      <c r="F41" s="1558" t="e">
        <v>#REF!</v>
      </c>
      <c r="G41" s="1558" t="e">
        <v>#REF!</v>
      </c>
      <c r="H41" s="1558" t="e">
        <v>#REF!</v>
      </c>
      <c r="I41" s="1558" t="e">
        <v>#REF!</v>
      </c>
      <c r="J41" s="1558" t="e">
        <v>#REF!</v>
      </c>
      <c r="K41" s="1558" t="e">
        <v>#REF!</v>
      </c>
      <c r="L41" s="1558" t="e">
        <v>#REF!</v>
      </c>
      <c r="M41" s="1558" t="e">
        <v>#REF!</v>
      </c>
      <c r="N41" s="1558" t="e">
        <v>#REF!</v>
      </c>
      <c r="O41" s="1558" t="e">
        <v>#REF!</v>
      </c>
      <c r="P41" s="1558" t="e">
        <v>#REF!</v>
      </c>
      <c r="Q41" s="2027" t="e">
        <v>#REF!</v>
      </c>
    </row>
    <row r="42" spans="1:17">
      <c r="A42" s="1598" t="s">
        <v>2017</v>
      </c>
      <c r="B42" s="1556" t="s">
        <v>2018</v>
      </c>
      <c r="C42" s="1599"/>
      <c r="D42" s="1556"/>
      <c r="E42" s="1557"/>
      <c r="F42" s="1558" t="e">
        <v>#REF!</v>
      </c>
      <c r="G42" s="1558" t="e">
        <v>#REF!</v>
      </c>
      <c r="H42" s="1558" t="e">
        <v>#REF!</v>
      </c>
      <c r="I42" s="1558" t="e">
        <v>#REF!</v>
      </c>
      <c r="J42" s="1558" t="e">
        <v>#REF!</v>
      </c>
      <c r="K42" s="1558" t="e">
        <v>#REF!</v>
      </c>
      <c r="L42" s="1558" t="e">
        <v>#REF!</v>
      </c>
      <c r="M42" s="1558" t="e">
        <v>#REF!</v>
      </c>
      <c r="N42" s="1558" t="e">
        <v>#REF!</v>
      </c>
      <c r="O42" s="1558" t="e">
        <v>#REF!</v>
      </c>
      <c r="P42" s="1558" t="e">
        <v>#REF!</v>
      </c>
      <c r="Q42" s="2027" t="e">
        <v>#REF!</v>
      </c>
    </row>
    <row r="43" spans="1:17">
      <c r="A43" s="1598" t="s">
        <v>2019</v>
      </c>
      <c r="B43" s="1556" t="s">
        <v>2020</v>
      </c>
      <c r="C43" s="1599"/>
      <c r="D43" s="1556"/>
      <c r="E43" s="1557"/>
      <c r="F43" s="1558" t="e">
        <v>#REF!</v>
      </c>
      <c r="G43" s="1558" t="e">
        <v>#REF!</v>
      </c>
      <c r="H43" s="1558" t="e">
        <v>#REF!</v>
      </c>
      <c r="I43" s="1558" t="e">
        <v>#REF!</v>
      </c>
      <c r="J43" s="1558" t="e">
        <v>#REF!</v>
      </c>
      <c r="K43" s="1558" t="e">
        <v>#REF!</v>
      </c>
      <c r="L43" s="1558" t="e">
        <v>#REF!</v>
      </c>
      <c r="M43" s="1558" t="e">
        <v>#REF!</v>
      </c>
      <c r="N43" s="1558" t="e">
        <v>#REF!</v>
      </c>
      <c r="O43" s="1558" t="e">
        <v>#REF!</v>
      </c>
      <c r="P43" s="1558" t="e">
        <v>#REF!</v>
      </c>
      <c r="Q43" s="2027" t="e">
        <v>#REF!</v>
      </c>
    </row>
    <row r="44" spans="1:17">
      <c r="A44" s="1598" t="s">
        <v>2021</v>
      </c>
      <c r="B44" s="1556" t="s">
        <v>2022</v>
      </c>
      <c r="C44" s="1599"/>
      <c r="D44" s="1556"/>
      <c r="E44" s="1557"/>
      <c r="F44" s="1559" t="e">
        <v>#REF!</v>
      </c>
      <c r="G44" s="1559" t="e">
        <v>#REF!</v>
      </c>
      <c r="H44" s="1559" t="e">
        <v>#REF!</v>
      </c>
      <c r="I44" s="1559" t="e">
        <v>#REF!</v>
      </c>
      <c r="J44" s="1559" t="e">
        <v>#REF!</v>
      </c>
      <c r="K44" s="1559" t="e">
        <v>#REF!</v>
      </c>
      <c r="L44" s="1559" t="e">
        <v>#REF!</v>
      </c>
      <c r="M44" s="1559" t="e">
        <v>#REF!</v>
      </c>
      <c r="N44" s="1559" t="e">
        <v>#REF!</v>
      </c>
      <c r="O44" s="1559" t="e">
        <v>#REF!</v>
      </c>
      <c r="P44" s="1559" t="e">
        <v>#REF!</v>
      </c>
      <c r="Q44" s="2027" t="e">
        <v>#REF!</v>
      </c>
    </row>
    <row r="45" spans="1:17">
      <c r="A45" s="1598" t="s">
        <v>2023</v>
      </c>
      <c r="B45" s="1556" t="s">
        <v>2024</v>
      </c>
      <c r="C45" s="1599"/>
      <c r="D45" s="1556"/>
      <c r="E45" s="1557"/>
      <c r="F45" s="1558" t="e">
        <v>#REF!</v>
      </c>
      <c r="G45" s="1558" t="e">
        <v>#REF!</v>
      </c>
      <c r="H45" s="1558" t="e">
        <v>#REF!</v>
      </c>
      <c r="I45" s="1558" t="e">
        <v>#REF!</v>
      </c>
      <c r="J45" s="1558" t="e">
        <v>#REF!</v>
      </c>
      <c r="K45" s="1558" t="e">
        <v>#REF!</v>
      </c>
      <c r="L45" s="1558" t="e">
        <v>#REF!</v>
      </c>
      <c r="M45" s="1558" t="e">
        <v>#REF!</v>
      </c>
      <c r="N45" s="1558" t="e">
        <v>#REF!</v>
      </c>
      <c r="O45" s="1558" t="e">
        <v>#REF!</v>
      </c>
      <c r="P45" s="1558" t="e">
        <v>#REF!</v>
      </c>
      <c r="Q45" s="2027" t="e">
        <v>#REF!</v>
      </c>
    </row>
    <row r="46" spans="1:17">
      <c r="A46" s="1598" t="s">
        <v>2025</v>
      </c>
      <c r="B46" s="1556" t="s">
        <v>2026</v>
      </c>
      <c r="C46" s="1599"/>
      <c r="D46" s="1556"/>
      <c r="E46" s="1557"/>
      <c r="F46" s="1558" t="e">
        <v>#REF!</v>
      </c>
      <c r="G46" s="1558" t="e">
        <v>#REF!</v>
      </c>
      <c r="H46" s="1558" t="e">
        <v>#REF!</v>
      </c>
      <c r="I46" s="1558" t="e">
        <v>#REF!</v>
      </c>
      <c r="J46" s="1558" t="e">
        <v>#REF!</v>
      </c>
      <c r="K46" s="1558" t="e">
        <v>#REF!</v>
      </c>
      <c r="L46" s="1558" t="e">
        <v>#REF!</v>
      </c>
      <c r="M46" s="1558" t="e">
        <v>#REF!</v>
      </c>
      <c r="N46" s="1558" t="e">
        <v>#REF!</v>
      </c>
      <c r="O46" s="1558" t="e">
        <v>#REF!</v>
      </c>
      <c r="P46" s="1558" t="e">
        <v>#REF!</v>
      </c>
      <c r="Q46" s="2027" t="e">
        <v>#REF!</v>
      </c>
    </row>
    <row r="47" spans="1:17">
      <c r="A47" s="1598" t="s">
        <v>2027</v>
      </c>
      <c r="B47" s="1560" t="s">
        <v>2028</v>
      </c>
      <c r="C47" s="1561"/>
      <c r="D47" s="1560"/>
      <c r="E47" s="1562"/>
      <c r="F47" s="1600" t="e">
        <v>#REF!</v>
      </c>
      <c r="G47" s="1600" t="e">
        <v>#REF!</v>
      </c>
      <c r="H47" s="1600" t="e">
        <v>#REF!</v>
      </c>
      <c r="I47" s="1600" t="e">
        <v>#REF!</v>
      </c>
      <c r="J47" s="1600" t="e">
        <v>#REF!</v>
      </c>
      <c r="K47" s="1600" t="e">
        <v>#REF!</v>
      </c>
      <c r="L47" s="1600" t="e">
        <v>#REF!</v>
      </c>
      <c r="M47" s="1600" t="e">
        <v>#REF!</v>
      </c>
      <c r="N47" s="1600" t="e">
        <v>#REF!</v>
      </c>
      <c r="O47" s="1600" t="e">
        <v>#REF!</v>
      </c>
      <c r="P47" s="1600" t="e">
        <v>#REF!</v>
      </c>
      <c r="Q47" s="2027" t="e">
        <v>#REF!</v>
      </c>
    </row>
    <row r="48" spans="1:17" s="2035" customFormat="1">
      <c r="A48" s="2030" t="s">
        <v>1934</v>
      </c>
      <c r="B48" s="2031" t="s">
        <v>1935</v>
      </c>
      <c r="C48" s="2032"/>
      <c r="D48" s="2032"/>
      <c r="E48" s="2031"/>
      <c r="F48" s="2033">
        <v>0.43458606161011543</v>
      </c>
      <c r="G48" s="2033">
        <v>0.25710539825488599</v>
      </c>
      <c r="H48" s="2033">
        <v>7.0662358076728715E-2</v>
      </c>
      <c r="I48" s="2033">
        <v>2.5138786399193881E-3</v>
      </c>
      <c r="J48" s="2033">
        <v>0.12941408487345221</v>
      </c>
      <c r="K48" s="2033">
        <v>9.9557833107019773E-3</v>
      </c>
      <c r="L48" s="2033">
        <v>3.370915918515725E-4</v>
      </c>
      <c r="M48" s="2033">
        <v>3.1585567638525513E-4</v>
      </c>
      <c r="N48" s="2033">
        <v>6.6407917020764942E-2</v>
      </c>
      <c r="O48" s="2033">
        <v>1.6200630275174977E-2</v>
      </c>
      <c r="P48" s="2033">
        <v>1.2500940670019556E-2</v>
      </c>
      <c r="Q48" s="2034">
        <v>1</v>
      </c>
    </row>
    <row r="49" spans="1:17">
      <c r="A49" s="1563" t="s">
        <v>2029</v>
      </c>
      <c r="B49" s="1564" t="s">
        <v>2030</v>
      </c>
      <c r="C49" s="1555"/>
      <c r="D49" s="1555"/>
      <c r="E49" s="1549"/>
      <c r="F49" s="1552">
        <v>0.35609365853461433</v>
      </c>
      <c r="G49" s="1552">
        <v>0.27156949694541549</v>
      </c>
      <c r="H49" s="1552">
        <v>8.0062845262943674E-2</v>
      </c>
      <c r="I49" s="1552">
        <v>1.1124821061035822E-3</v>
      </c>
      <c r="J49" s="1552">
        <v>0.17923013364967666</v>
      </c>
      <c r="K49" s="1552">
        <v>8.4539326354709614E-3</v>
      </c>
      <c r="L49" s="1552">
        <v>2.8425487379092618E-4</v>
      </c>
      <c r="M49" s="1552">
        <v>3.753181746762635E-4</v>
      </c>
      <c r="N49" s="1552">
        <v>6.3092004799567974E-2</v>
      </c>
      <c r="O49" s="1552">
        <v>2.2347739707932499E-2</v>
      </c>
      <c r="P49" s="1552">
        <v>1.7378133309808304E-2</v>
      </c>
      <c r="Q49" s="1679">
        <v>1.0000000000000007</v>
      </c>
    </row>
    <row r="50" spans="1:17">
      <c r="A50" s="1563" t="s">
        <v>2031</v>
      </c>
      <c r="B50" s="1564" t="s">
        <v>2032</v>
      </c>
      <c r="C50" s="1555"/>
      <c r="D50" s="1555"/>
      <c r="E50" s="1549"/>
      <c r="F50" s="1552">
        <v>0.35810409500621998</v>
      </c>
      <c r="G50" s="1552">
        <v>0.27399448604931453</v>
      </c>
      <c r="H50" s="1552">
        <v>8.0638934806560855E-2</v>
      </c>
      <c r="I50" s="1552">
        <v>1.0172983676735067E-3</v>
      </c>
      <c r="J50" s="1552">
        <v>0.18019829858526903</v>
      </c>
      <c r="K50" s="1552">
        <v>8.46249486829799E-3</v>
      </c>
      <c r="L50" s="1552">
        <v>2.4620010716485606E-4</v>
      </c>
      <c r="M50" s="1552">
        <v>3.1174876108780501E-4</v>
      </c>
      <c r="N50" s="1552">
        <v>5.743985671661947E-2</v>
      </c>
      <c r="O50" s="1552">
        <v>2.2457446390503146E-2</v>
      </c>
      <c r="P50" s="1552">
        <v>1.7129140341288963E-2</v>
      </c>
      <c r="Q50" s="1679">
        <v>1</v>
      </c>
    </row>
    <row r="51" spans="1:17">
      <c r="A51" s="1563" t="s">
        <v>2033</v>
      </c>
      <c r="B51" s="1564" t="s">
        <v>2034</v>
      </c>
      <c r="C51" s="1555"/>
      <c r="D51" s="1555"/>
      <c r="E51" s="1549"/>
      <c r="F51" s="1552">
        <v>0.63401551466397732</v>
      </c>
      <c r="G51" s="1552">
        <v>0.21584524192857396</v>
      </c>
      <c r="H51" s="1552">
        <v>4.6306311741220657E-2</v>
      </c>
      <c r="I51" s="1552">
        <v>6.2412082543778918E-3</v>
      </c>
      <c r="J51" s="1552">
        <v>-1.3257305915144067E-4</v>
      </c>
      <c r="K51" s="1552">
        <v>1.3923109222078366E-2</v>
      </c>
      <c r="L51" s="1552">
        <v>5.06209222891417E-4</v>
      </c>
      <c r="M51" s="1552">
        <v>2.2714241055981461E-4</v>
      </c>
      <c r="N51" s="1552">
        <v>8.3186800867916993E-2</v>
      </c>
      <c r="O51" s="1552">
        <v>-7.1398446667714924E-5</v>
      </c>
      <c r="P51" s="1552">
        <v>-4.7566805776785232E-5</v>
      </c>
      <c r="Q51" s="1679">
        <v>1.0000000000000004</v>
      </c>
    </row>
    <row r="52" spans="1:17">
      <c r="A52" s="1563" t="s">
        <v>2035</v>
      </c>
      <c r="B52" s="1564" t="s">
        <v>2036</v>
      </c>
      <c r="C52" s="1555"/>
      <c r="D52" s="1555"/>
      <c r="E52" s="1549"/>
      <c r="F52" s="1552">
        <v>1.5295653199346226</v>
      </c>
      <c r="G52" s="1552">
        <v>0.48395410769073594</v>
      </c>
      <c r="H52" s="1552">
        <v>-0.1728945083011362</v>
      </c>
      <c r="I52" s="1552">
        <v>1.4117669635319196E-2</v>
      </c>
      <c r="J52" s="1552">
        <v>-0.40271370143473323</v>
      </c>
      <c r="K52" s="1552">
        <v>-2.5626972356934509E-3</v>
      </c>
      <c r="L52" s="1552">
        <v>3.0981839880045233E-3</v>
      </c>
      <c r="M52" s="1552">
        <v>5.8556899445396824E-4</v>
      </c>
      <c r="N52" s="1552">
        <v>-0.51294508677050288</v>
      </c>
      <c r="O52" s="1552">
        <v>3.3922257640787469E-2</v>
      </c>
      <c r="P52" s="1552">
        <v>2.5872885858139245E-2</v>
      </c>
      <c r="Q52" s="1679">
        <v>0.99999999999999745</v>
      </c>
    </row>
    <row r="53" spans="1:17">
      <c r="A53" s="1563" t="s">
        <v>2037</v>
      </c>
      <c r="B53" s="1564" t="s">
        <v>2038</v>
      </c>
      <c r="C53" s="1555"/>
      <c r="D53" s="1555"/>
      <c r="E53" s="1549"/>
      <c r="F53" s="1552">
        <v>0.43072105544208</v>
      </c>
      <c r="G53" s="1552">
        <v>0.25583415660346986</v>
      </c>
      <c r="H53" s="1552">
        <v>7.0795369241573633E-2</v>
      </c>
      <c r="I53" s="1552">
        <v>3.2087267920328311E-3</v>
      </c>
      <c r="J53" s="1552">
        <v>0.13099412055213092</v>
      </c>
      <c r="K53" s="1552">
        <v>9.7491278871946474E-3</v>
      </c>
      <c r="L53" s="1552">
        <v>3.4988865939277695E-4</v>
      </c>
      <c r="M53" s="1552">
        <v>3.3272131848551201E-4</v>
      </c>
      <c r="N53" s="1552">
        <v>6.9271141759839089E-2</v>
      </c>
      <c r="O53" s="1552">
        <v>1.6307171754822204E-2</v>
      </c>
      <c r="P53" s="1552">
        <v>1.2436519988978621E-2</v>
      </c>
      <c r="Q53" s="1679">
        <v>1</v>
      </c>
    </row>
    <row r="54" spans="1:17">
      <c r="A54" s="1563" t="s">
        <v>2039</v>
      </c>
      <c r="B54" s="1565" t="s">
        <v>2040</v>
      </c>
      <c r="C54" s="1555"/>
      <c r="D54" s="1555"/>
      <c r="E54" s="1549"/>
      <c r="F54" s="1552">
        <v>0.43073837658792902</v>
      </c>
      <c r="G54" s="1552">
        <v>0.25582065811712829</v>
      </c>
      <c r="H54" s="1552">
        <v>7.079275949889445E-2</v>
      </c>
      <c r="I54" s="1552">
        <v>3.2077650945759794E-3</v>
      </c>
      <c r="J54" s="1552">
        <v>0.13099752141637033</v>
      </c>
      <c r="K54" s="1552">
        <v>9.7491792455236346E-3</v>
      </c>
      <c r="L54" s="1552">
        <v>3.4986131099246456E-4</v>
      </c>
      <c r="M54" s="1552">
        <v>3.32579448073711E-4</v>
      </c>
      <c r="N54" s="1552">
        <v>6.9266451013354879E-2</v>
      </c>
      <c r="O54" s="1552">
        <v>1.6308462870067403E-2</v>
      </c>
      <c r="P54" s="1552">
        <v>1.2436385397089963E-2</v>
      </c>
      <c r="Q54" s="1679">
        <v>1</v>
      </c>
    </row>
    <row r="55" spans="1:17">
      <c r="A55" s="1563" t="s">
        <v>2041</v>
      </c>
      <c r="B55" s="1564" t="s">
        <v>2042</v>
      </c>
      <c r="C55" s="1555"/>
      <c r="D55" s="1555"/>
      <c r="E55" s="1549"/>
      <c r="F55" s="1552">
        <v>0.35813996172964169</v>
      </c>
      <c r="G55" s="1552">
        <v>0.2715254646558789</v>
      </c>
      <c r="H55" s="1552">
        <v>7.9772204472460168E-2</v>
      </c>
      <c r="I55" s="1552">
        <v>1.0735125251442031E-3</v>
      </c>
      <c r="J55" s="1552">
        <v>0.17817489786137647</v>
      </c>
      <c r="K55" s="1552">
        <v>8.3959257178266664E-3</v>
      </c>
      <c r="L55" s="1552">
        <v>2.8224092378510452E-4</v>
      </c>
      <c r="M55" s="1552">
        <v>3.6376898047443156E-4</v>
      </c>
      <c r="N55" s="1552">
        <v>6.3135270608976932E-2</v>
      </c>
      <c r="O55" s="1552">
        <v>2.220626474651154E-2</v>
      </c>
      <c r="P55" s="1552">
        <v>1.6930487777923851E-2</v>
      </c>
      <c r="Q55" s="1679">
        <v>1</v>
      </c>
    </row>
    <row r="56" spans="1:17">
      <c r="A56" s="1563" t="s">
        <v>2043</v>
      </c>
      <c r="B56" s="1564" t="s">
        <v>2044</v>
      </c>
      <c r="C56" s="1555"/>
      <c r="D56" s="1555"/>
      <c r="E56" s="1549"/>
      <c r="F56" s="1552">
        <v>0.35813996172964174</v>
      </c>
      <c r="G56" s="1552">
        <v>0.27152546465587896</v>
      </c>
      <c r="H56" s="1552">
        <v>7.9772204472460181E-2</v>
      </c>
      <c r="I56" s="1552">
        <v>1.0735125251442035E-3</v>
      </c>
      <c r="J56" s="1552">
        <v>0.17817489786137652</v>
      </c>
      <c r="K56" s="1552">
        <v>8.3959257178266664E-3</v>
      </c>
      <c r="L56" s="1552">
        <v>2.8224092378510452E-4</v>
      </c>
      <c r="M56" s="1552">
        <v>3.6376898047443145E-4</v>
      </c>
      <c r="N56" s="1552">
        <v>6.3135270608976932E-2</v>
      </c>
      <c r="O56" s="1552">
        <v>2.2206264746511536E-2</v>
      </c>
      <c r="P56" s="1552">
        <v>1.6930487777923851E-2</v>
      </c>
      <c r="Q56" s="1679">
        <v>1.0000000000000002</v>
      </c>
    </row>
    <row r="57" spans="1:17">
      <c r="A57" s="1563" t="s">
        <v>2045</v>
      </c>
      <c r="B57" s="1564" t="s">
        <v>2046</v>
      </c>
      <c r="C57" s="1555"/>
      <c r="D57" s="1555"/>
      <c r="E57" s="1549"/>
      <c r="F57" s="1552">
        <v>0.63099967726214234</v>
      </c>
      <c r="G57" s="1552">
        <v>0.21249925791264335</v>
      </c>
      <c r="H57" s="1552">
        <v>4.6023137004395455E-2</v>
      </c>
      <c r="I57" s="1552">
        <v>9.09505886477735E-3</v>
      </c>
      <c r="J57" s="1552">
        <v>8.5965562803141471E-4</v>
      </c>
      <c r="K57" s="1552">
        <v>1.3482102507382247E-2</v>
      </c>
      <c r="L57" s="1552">
        <v>5.3639082022036502E-4</v>
      </c>
      <c r="M57" s="1552">
        <v>2.4654373588658973E-4</v>
      </c>
      <c r="N57" s="1552">
        <v>8.6179191668171201E-2</v>
      </c>
      <c r="O57" s="1552">
        <v>3.9492298174898943E-5</v>
      </c>
      <c r="P57" s="1552">
        <v>3.9492298174898943E-5</v>
      </c>
      <c r="Q57" s="1679">
        <v>1</v>
      </c>
    </row>
    <row r="58" spans="1:17">
      <c r="A58" s="1563" t="s">
        <v>2047</v>
      </c>
      <c r="B58" s="1564" t="s">
        <v>2048</v>
      </c>
      <c r="C58" s="1555"/>
      <c r="D58" s="1555"/>
      <c r="E58" s="1549"/>
      <c r="F58" s="1552">
        <v>0.43073837658792902</v>
      </c>
      <c r="G58" s="1552">
        <v>0.25582065811712829</v>
      </c>
      <c r="H58" s="1552">
        <v>7.079275949889445E-2</v>
      </c>
      <c r="I58" s="1552">
        <v>3.2077650945759794E-3</v>
      </c>
      <c r="J58" s="1552">
        <v>0.13099752141637033</v>
      </c>
      <c r="K58" s="1552">
        <v>9.7491792455236346E-3</v>
      </c>
      <c r="L58" s="1552">
        <v>3.4986131099246456E-4</v>
      </c>
      <c r="M58" s="1552">
        <v>3.32579448073711E-4</v>
      </c>
      <c r="N58" s="1552">
        <v>6.9266451013354879E-2</v>
      </c>
      <c r="O58" s="1552">
        <v>1.6308462870067403E-2</v>
      </c>
      <c r="P58" s="1552">
        <v>1.2436385397089963E-2</v>
      </c>
      <c r="Q58" s="1679">
        <v>1</v>
      </c>
    </row>
    <row r="59" spans="1:17">
      <c r="A59" s="1563" t="s">
        <v>2049</v>
      </c>
      <c r="B59" s="1564" t="s">
        <v>2050</v>
      </c>
      <c r="C59" s="1555"/>
      <c r="D59" s="1555"/>
      <c r="E59" s="1549"/>
      <c r="F59" s="1552">
        <v>0.43073837658792902</v>
      </c>
      <c r="G59" s="1552">
        <v>0.25582065811712829</v>
      </c>
      <c r="H59" s="1552">
        <v>7.079275949889445E-2</v>
      </c>
      <c r="I59" s="1552">
        <v>3.2077650945759794E-3</v>
      </c>
      <c r="J59" s="1552">
        <v>0.13099752141637033</v>
      </c>
      <c r="K59" s="1552">
        <v>9.7491792455236346E-3</v>
      </c>
      <c r="L59" s="1552">
        <v>3.4986131099246456E-4</v>
      </c>
      <c r="M59" s="1552">
        <v>3.32579448073711E-4</v>
      </c>
      <c r="N59" s="1552">
        <v>6.9266451013354879E-2</v>
      </c>
      <c r="O59" s="1552">
        <v>1.6308462870067403E-2</v>
      </c>
      <c r="P59" s="1552">
        <v>1.2436385397089963E-2</v>
      </c>
      <c r="Q59" s="1679">
        <v>1</v>
      </c>
    </row>
    <row r="60" spans="1:17">
      <c r="A60" s="1563" t="s">
        <v>2051</v>
      </c>
      <c r="B60" s="1565" t="s">
        <v>2052</v>
      </c>
      <c r="C60" s="1555"/>
      <c r="D60" s="1555"/>
      <c r="E60" s="1549"/>
      <c r="F60" s="1552">
        <v>0.33333333333333331</v>
      </c>
      <c r="G60" s="1552">
        <v>0</v>
      </c>
      <c r="H60" s="1552">
        <v>0</v>
      </c>
      <c r="I60" s="1552">
        <v>0</v>
      </c>
      <c r="J60" s="1552">
        <v>0</v>
      </c>
      <c r="K60" s="1552">
        <v>0.33333333333333331</v>
      </c>
      <c r="L60" s="1552">
        <v>0</v>
      </c>
      <c r="M60" s="1552">
        <v>0</v>
      </c>
      <c r="N60" s="1552">
        <v>0.33333333333333331</v>
      </c>
      <c r="O60" s="1552">
        <v>0</v>
      </c>
      <c r="P60" s="1552">
        <v>0</v>
      </c>
      <c r="Q60" s="1679">
        <v>1</v>
      </c>
    </row>
    <row r="61" spans="1:17">
      <c r="A61" s="1548" t="s">
        <v>2053</v>
      </c>
      <c r="B61" s="1549" t="s">
        <v>2054</v>
      </c>
      <c r="C61" s="1555"/>
      <c r="D61" s="1555"/>
      <c r="E61" s="1549"/>
      <c r="F61" s="1552">
        <v>0.43048853594104036</v>
      </c>
      <c r="G61" s="1552">
        <v>0.25625791107097018</v>
      </c>
      <c r="H61" s="1552">
        <v>7.0840217299357064E-2</v>
      </c>
      <c r="I61" s="1552">
        <v>2.4146115569536521E-3</v>
      </c>
      <c r="J61" s="1552">
        <v>0.13142080149920213</v>
      </c>
      <c r="K61" s="1552">
        <v>9.8206829959889327E-3</v>
      </c>
      <c r="L61" s="1552">
        <v>3.4949558992612381E-4</v>
      </c>
      <c r="M61" s="1552">
        <v>3.3743807652214042E-4</v>
      </c>
      <c r="N61" s="1552">
        <v>6.9186879620690256E-2</v>
      </c>
      <c r="O61" s="1552">
        <v>1.6366120820222433E-2</v>
      </c>
      <c r="P61" s="1552">
        <v>1.2517305529126829E-2</v>
      </c>
      <c r="Q61" s="1679">
        <v>1.0000000000000002</v>
      </c>
    </row>
    <row r="62" spans="1:17">
      <c r="A62" s="1563" t="s">
        <v>2055</v>
      </c>
      <c r="B62" s="1564" t="s">
        <v>2056</v>
      </c>
      <c r="C62" s="1555"/>
      <c r="D62" s="1555"/>
      <c r="E62" s="1549"/>
      <c r="F62" s="1552">
        <v>0.3576496842834353</v>
      </c>
      <c r="G62" s="1552">
        <v>0.27153169138007255</v>
      </c>
      <c r="H62" s="1552">
        <v>7.9841758168044244E-2</v>
      </c>
      <c r="I62" s="1552">
        <v>1.0830883093107192E-3</v>
      </c>
      <c r="J62" s="1552">
        <v>0.17843008962761414</v>
      </c>
      <c r="K62" s="1552">
        <v>8.4101839771598321E-3</v>
      </c>
      <c r="L62" s="1552">
        <v>2.8273156448439129E-4</v>
      </c>
      <c r="M62" s="1552">
        <v>3.6654458358753778E-4</v>
      </c>
      <c r="N62" s="1552">
        <v>6.3124136873431366E-2</v>
      </c>
      <c r="O62" s="1552">
        <v>2.2240787579941083E-2</v>
      </c>
      <c r="P62" s="1552">
        <v>1.703930365291902E-2</v>
      </c>
      <c r="Q62" s="1679">
        <v>1.0000000000000002</v>
      </c>
    </row>
    <row r="63" spans="1:17">
      <c r="A63" s="1563" t="s">
        <v>2057</v>
      </c>
      <c r="B63" s="1564" t="s">
        <v>2058</v>
      </c>
      <c r="C63" s="1555"/>
      <c r="D63" s="1555"/>
      <c r="E63" s="1549"/>
      <c r="F63" s="1552">
        <v>0.35813996172964174</v>
      </c>
      <c r="G63" s="1552">
        <v>0.27152546465587896</v>
      </c>
      <c r="H63" s="1552">
        <v>7.9772204472460195E-2</v>
      </c>
      <c r="I63" s="1552">
        <v>1.0735125251442035E-3</v>
      </c>
      <c r="J63" s="1552">
        <v>0.17817489786137647</v>
      </c>
      <c r="K63" s="1552">
        <v>8.3959257178266682E-3</v>
      </c>
      <c r="L63" s="1552">
        <v>2.8224092378510452E-4</v>
      </c>
      <c r="M63" s="1552">
        <v>3.637689804744314E-4</v>
      </c>
      <c r="N63" s="1552">
        <v>6.3135270608976946E-2</v>
      </c>
      <c r="O63" s="1552">
        <v>2.220626474651154E-2</v>
      </c>
      <c r="P63" s="1552">
        <v>1.6930487777923851E-2</v>
      </c>
      <c r="Q63" s="1679">
        <v>1</v>
      </c>
    </row>
    <row r="64" spans="1:17">
      <c r="A64" s="1563" t="s">
        <v>2059</v>
      </c>
      <c r="B64" s="1564" t="s">
        <v>2060</v>
      </c>
      <c r="C64" s="1555"/>
      <c r="D64" s="1555"/>
      <c r="E64" s="1549"/>
      <c r="F64" s="1552">
        <v>0.63139649828091304</v>
      </c>
      <c r="G64" s="1552">
        <v>0.21498236295962214</v>
      </c>
      <c r="H64" s="1552">
        <v>4.6127416535309669E-2</v>
      </c>
      <c r="I64" s="1552">
        <v>6.1252397829514296E-3</v>
      </c>
      <c r="J64" s="1552">
        <v>6.859251416376043E-4</v>
      </c>
      <c r="K64" s="1552">
        <v>1.3838091633587577E-2</v>
      </c>
      <c r="L64" s="1552">
        <v>5.2322205811450783E-4</v>
      </c>
      <c r="M64" s="1552">
        <v>2.5716800100795208E-4</v>
      </c>
      <c r="N64" s="1552">
        <v>8.6001053253868101E-2</v>
      </c>
      <c r="O64" s="1552">
        <v>3.1511176494295162E-5</v>
      </c>
      <c r="P64" s="1552">
        <v>3.1511176494295162E-5</v>
      </c>
      <c r="Q64" s="1679">
        <v>1.0000000000000007</v>
      </c>
    </row>
    <row r="65" spans="1:17">
      <c r="A65" s="1563" t="s">
        <v>2061</v>
      </c>
      <c r="B65" s="1564" t="s">
        <v>2062</v>
      </c>
      <c r="C65" s="1555"/>
      <c r="D65" s="1555"/>
      <c r="E65" s="1549"/>
      <c r="F65" s="1552">
        <v>0.87052581258056694</v>
      </c>
      <c r="G65" s="1552">
        <v>1.8007472907809373E-2</v>
      </c>
      <c r="H65" s="1552">
        <v>2.7476967384582095E-4</v>
      </c>
      <c r="I65" s="1552">
        <v>7.7035796472103343E-3</v>
      </c>
      <c r="J65" s="1552">
        <v>8.2906608011305979E-4</v>
      </c>
      <c r="K65" s="1552">
        <v>2.8727789916456184E-3</v>
      </c>
      <c r="L65" s="1552">
        <v>2.4969278903939573E-3</v>
      </c>
      <c r="M65" s="1552">
        <v>5.817641061378752E-4</v>
      </c>
      <c r="N65" s="1552">
        <v>9.6697778836456402E-2</v>
      </c>
      <c r="O65" s="1552">
        <v>5.0246429097761209E-6</v>
      </c>
      <c r="P65" s="1552">
        <v>5.0246429097761209E-6</v>
      </c>
      <c r="Q65" s="1679">
        <v>0.99999999999999878</v>
      </c>
    </row>
    <row r="66" spans="1:17">
      <c r="A66" s="1563" t="s">
        <v>2063</v>
      </c>
      <c r="B66" s="1564" t="s">
        <v>2064</v>
      </c>
      <c r="C66" s="1555"/>
      <c r="D66" s="1555"/>
      <c r="E66" s="1549"/>
      <c r="F66" s="1552">
        <v>0.43048853594104036</v>
      </c>
      <c r="G66" s="1552">
        <v>0.25625791107097018</v>
      </c>
      <c r="H66" s="1552">
        <v>7.0840217299357064E-2</v>
      </c>
      <c r="I66" s="1552">
        <v>2.4146115569536521E-3</v>
      </c>
      <c r="J66" s="1552">
        <v>0.13142080149920213</v>
      </c>
      <c r="K66" s="1552">
        <v>9.8206829959889327E-3</v>
      </c>
      <c r="L66" s="1552">
        <v>3.4949558992612381E-4</v>
      </c>
      <c r="M66" s="1552">
        <v>3.3743807652214042E-4</v>
      </c>
      <c r="N66" s="1552">
        <v>6.9186879620690256E-2</v>
      </c>
      <c r="O66" s="1552">
        <v>1.6366120820222433E-2</v>
      </c>
      <c r="P66" s="1552">
        <v>1.2517305529126829E-2</v>
      </c>
      <c r="Q66" s="1679">
        <v>1.0000000000000002</v>
      </c>
    </row>
    <row r="67" spans="1:17">
      <c r="A67" s="1548" t="s">
        <v>2065</v>
      </c>
      <c r="B67" s="1549" t="s">
        <v>2066</v>
      </c>
      <c r="C67" s="1555"/>
      <c r="D67" s="1555"/>
      <c r="E67" s="1549"/>
      <c r="F67" s="1552">
        <v>0.35813996172964174</v>
      </c>
      <c r="G67" s="1552">
        <v>0.2715254646558789</v>
      </c>
      <c r="H67" s="1552">
        <v>7.9772204472460181E-2</v>
      </c>
      <c r="I67" s="1552">
        <v>1.0735125251442033E-3</v>
      </c>
      <c r="J67" s="1552">
        <v>0.1781748978613765</v>
      </c>
      <c r="K67" s="1552">
        <v>8.3959257178266664E-3</v>
      </c>
      <c r="L67" s="1552">
        <v>2.8224092378510452E-4</v>
      </c>
      <c r="M67" s="1552">
        <v>3.6376898047443156E-4</v>
      </c>
      <c r="N67" s="1552">
        <v>6.3135270608976932E-2</v>
      </c>
      <c r="O67" s="1552">
        <v>2.220626474651154E-2</v>
      </c>
      <c r="P67" s="1552">
        <v>1.6930487777923855E-2</v>
      </c>
      <c r="Q67" s="1679">
        <v>1</v>
      </c>
    </row>
    <row r="68" spans="1:17">
      <c r="A68" s="1563" t="s">
        <v>2067</v>
      </c>
      <c r="B68" s="1564" t="s">
        <v>2042</v>
      </c>
      <c r="C68" s="1555"/>
      <c r="D68" s="1555"/>
      <c r="E68" s="1549"/>
      <c r="F68" s="1552">
        <v>0.35813996172964169</v>
      </c>
      <c r="G68" s="1552">
        <v>0.2715254646558789</v>
      </c>
      <c r="H68" s="1552">
        <v>7.9772204472460168E-2</v>
      </c>
      <c r="I68" s="1552">
        <v>1.0735125251442031E-3</v>
      </c>
      <c r="J68" s="1552">
        <v>0.17817489786137647</v>
      </c>
      <c r="K68" s="1552">
        <v>8.3959257178266664E-3</v>
      </c>
      <c r="L68" s="1552">
        <v>2.8224092378510452E-4</v>
      </c>
      <c r="M68" s="1552">
        <v>3.6376898047443156E-4</v>
      </c>
      <c r="N68" s="1552">
        <v>6.3135270608976932E-2</v>
      </c>
      <c r="O68" s="1552">
        <v>2.220626474651154E-2</v>
      </c>
      <c r="P68" s="1552">
        <v>1.6930487777923851E-2</v>
      </c>
      <c r="Q68" s="1679">
        <v>1</v>
      </c>
    </row>
    <row r="69" spans="1:17">
      <c r="A69" s="1563" t="s">
        <v>2068</v>
      </c>
      <c r="B69" s="1564" t="s">
        <v>2044</v>
      </c>
      <c r="C69" s="1555"/>
      <c r="D69" s="1555"/>
      <c r="E69" s="1549"/>
      <c r="F69" s="1552">
        <v>0.35813996172964174</v>
      </c>
      <c r="G69" s="1552">
        <v>0.27152546465587896</v>
      </c>
      <c r="H69" s="1552">
        <v>7.9772204472460181E-2</v>
      </c>
      <c r="I69" s="1552">
        <v>1.0735125251442035E-3</v>
      </c>
      <c r="J69" s="1552">
        <v>0.17817489786137652</v>
      </c>
      <c r="K69" s="1552">
        <v>8.3959257178266664E-3</v>
      </c>
      <c r="L69" s="1552">
        <v>2.8224092378510452E-4</v>
      </c>
      <c r="M69" s="1552">
        <v>3.6376898047443145E-4</v>
      </c>
      <c r="N69" s="1552">
        <v>6.3135270608976932E-2</v>
      </c>
      <c r="O69" s="1552">
        <v>2.2206264746511536E-2</v>
      </c>
      <c r="P69" s="1552">
        <v>1.6930487777923851E-2</v>
      </c>
      <c r="Q69" s="1679">
        <v>1.0000000000000002</v>
      </c>
    </row>
    <row r="70" spans="1:17">
      <c r="A70" s="1563" t="s">
        <v>2069</v>
      </c>
      <c r="B70" s="1564" t="s">
        <v>2046</v>
      </c>
      <c r="C70" s="1555"/>
      <c r="D70" s="1555"/>
      <c r="E70" s="1549"/>
      <c r="F70" s="1552">
        <v>9.0909090909090912E-2</v>
      </c>
      <c r="G70" s="1552">
        <v>9.0909090909090912E-2</v>
      </c>
      <c r="H70" s="1552">
        <v>9.0909090909090912E-2</v>
      </c>
      <c r="I70" s="1552">
        <v>9.0909090909090912E-2</v>
      </c>
      <c r="J70" s="1552">
        <v>9.0909090909090912E-2</v>
      </c>
      <c r="K70" s="1552">
        <v>9.0909090909090912E-2</v>
      </c>
      <c r="L70" s="1552">
        <v>9.0909090909090912E-2</v>
      </c>
      <c r="M70" s="1552">
        <v>9.0909090909090912E-2</v>
      </c>
      <c r="N70" s="1552">
        <v>9.0909090909090912E-2</v>
      </c>
      <c r="O70" s="1552">
        <v>9.0909090909090912E-2</v>
      </c>
      <c r="P70" s="1552">
        <v>9.0909090909090912E-2</v>
      </c>
      <c r="Q70" s="1679">
        <v>1.0000000000000002</v>
      </c>
    </row>
    <row r="71" spans="1:17">
      <c r="A71" s="1563" t="s">
        <v>2070</v>
      </c>
      <c r="B71" s="1564" t="s">
        <v>2048</v>
      </c>
      <c r="C71" s="1555"/>
      <c r="D71" s="1555"/>
      <c r="E71" s="1549"/>
      <c r="F71" s="1552">
        <v>9.0909090909090912E-2</v>
      </c>
      <c r="G71" s="1552">
        <v>9.0909090909090912E-2</v>
      </c>
      <c r="H71" s="1552">
        <v>9.0909090909090912E-2</v>
      </c>
      <c r="I71" s="1552">
        <v>9.0909090909090912E-2</v>
      </c>
      <c r="J71" s="1552">
        <v>9.0909090909090912E-2</v>
      </c>
      <c r="K71" s="1552">
        <v>9.0909090909090912E-2</v>
      </c>
      <c r="L71" s="1552">
        <v>9.0909090909090912E-2</v>
      </c>
      <c r="M71" s="1552">
        <v>9.0909090909090912E-2</v>
      </c>
      <c r="N71" s="1552">
        <v>9.0909090909090912E-2</v>
      </c>
      <c r="O71" s="1552">
        <v>9.0909090909090912E-2</v>
      </c>
      <c r="P71" s="1552">
        <v>9.0909090909090912E-2</v>
      </c>
      <c r="Q71" s="1679">
        <v>1.0000000000000002</v>
      </c>
    </row>
    <row r="72" spans="1:17">
      <c r="A72" s="1563" t="s">
        <v>2071</v>
      </c>
      <c r="B72" s="1564" t="s">
        <v>2050</v>
      </c>
      <c r="C72" s="1555"/>
      <c r="D72" s="1555"/>
      <c r="E72" s="1549"/>
      <c r="F72" s="1552">
        <v>9.0909090909090912E-2</v>
      </c>
      <c r="G72" s="1552">
        <v>9.0909090909090912E-2</v>
      </c>
      <c r="H72" s="1552">
        <v>9.0909090909090912E-2</v>
      </c>
      <c r="I72" s="1552">
        <v>9.0909090909090912E-2</v>
      </c>
      <c r="J72" s="1552">
        <v>9.0909090909090912E-2</v>
      </c>
      <c r="K72" s="1552">
        <v>9.0909090909090912E-2</v>
      </c>
      <c r="L72" s="1552">
        <v>9.0909090909090912E-2</v>
      </c>
      <c r="M72" s="1552">
        <v>9.0909090909090912E-2</v>
      </c>
      <c r="N72" s="1552">
        <v>9.0909090909090912E-2</v>
      </c>
      <c r="O72" s="1552">
        <v>9.0909090909090912E-2</v>
      </c>
      <c r="P72" s="1552">
        <v>9.0909090909090912E-2</v>
      </c>
      <c r="Q72" s="1679">
        <v>1.0000000000000002</v>
      </c>
    </row>
    <row r="73" spans="1:17">
      <c r="A73" s="1548" t="s">
        <v>2072</v>
      </c>
      <c r="B73" s="1549" t="s">
        <v>2073</v>
      </c>
      <c r="C73" s="1555"/>
      <c r="D73" s="1555"/>
      <c r="E73" s="1549"/>
      <c r="F73" s="1552">
        <v>0.35813996172964174</v>
      </c>
      <c r="G73" s="1552">
        <v>0.27152546465587896</v>
      </c>
      <c r="H73" s="1552">
        <v>7.9772204472460181E-2</v>
      </c>
      <c r="I73" s="1552">
        <v>1.0735125251442035E-3</v>
      </c>
      <c r="J73" s="1552">
        <v>0.17817489786137652</v>
      </c>
      <c r="K73" s="1552">
        <v>8.3959257178266664E-3</v>
      </c>
      <c r="L73" s="1552">
        <v>2.8224092378510452E-4</v>
      </c>
      <c r="M73" s="1552">
        <v>3.6376898047443145E-4</v>
      </c>
      <c r="N73" s="1552">
        <v>6.3135270608976932E-2</v>
      </c>
      <c r="O73" s="1552">
        <v>2.2206264746511536E-2</v>
      </c>
      <c r="P73" s="1552">
        <v>1.6930487777923851E-2</v>
      </c>
      <c r="Q73" s="1679">
        <v>1.0000000000000002</v>
      </c>
    </row>
    <row r="74" spans="1:17">
      <c r="A74" s="1553" t="s">
        <v>2074</v>
      </c>
      <c r="B74" s="1566" t="s">
        <v>2075</v>
      </c>
      <c r="C74" s="1555"/>
      <c r="D74" s="1555"/>
      <c r="E74" s="1549"/>
      <c r="F74" s="1552">
        <v>0.49511059906780058</v>
      </c>
      <c r="G74" s="1552">
        <v>0.24189537748270692</v>
      </c>
      <c r="H74" s="1552">
        <v>6.2830783597458417E-2</v>
      </c>
      <c r="I74" s="1552">
        <v>5.1001835653632505E-3</v>
      </c>
      <c r="J74" s="1552">
        <v>8.9165856379844741E-2</v>
      </c>
      <c r="K74" s="1552">
        <v>1.0949094385910978E-2</v>
      </c>
      <c r="L74" s="1552">
        <v>4.0981957065948463E-4</v>
      </c>
      <c r="M74" s="1552">
        <v>3.0492402994011287E-4</v>
      </c>
      <c r="N74" s="1552">
        <v>7.4702901792965709E-2</v>
      </c>
      <c r="O74" s="1552">
        <v>1.1078946285252767E-2</v>
      </c>
      <c r="P74" s="1552">
        <v>8.4515138420970977E-3</v>
      </c>
      <c r="Q74" s="1679">
        <v>0.99999999999999989</v>
      </c>
    </row>
    <row r="75" spans="1:17">
      <c r="A75" s="1563" t="s">
        <v>2076</v>
      </c>
      <c r="B75" s="1564" t="s">
        <v>2042</v>
      </c>
      <c r="C75" s="1555"/>
      <c r="D75" s="1555"/>
      <c r="E75" s="1549"/>
      <c r="F75" s="1552">
        <v>0.35813996172964169</v>
      </c>
      <c r="G75" s="1552">
        <v>0.2715254646558789</v>
      </c>
      <c r="H75" s="1552">
        <v>7.9772204472460168E-2</v>
      </c>
      <c r="I75" s="1552">
        <v>1.0735125251442031E-3</v>
      </c>
      <c r="J75" s="1552">
        <v>0.17817489786137647</v>
      </c>
      <c r="K75" s="1552">
        <v>8.3959257178266664E-3</v>
      </c>
      <c r="L75" s="1552">
        <v>2.8224092378510452E-4</v>
      </c>
      <c r="M75" s="1552">
        <v>3.6376898047443156E-4</v>
      </c>
      <c r="N75" s="1552">
        <v>6.3135270608976932E-2</v>
      </c>
      <c r="O75" s="1552">
        <v>2.220626474651154E-2</v>
      </c>
      <c r="P75" s="1552">
        <v>1.6930487777923851E-2</v>
      </c>
      <c r="Q75" s="1679">
        <v>1</v>
      </c>
    </row>
    <row r="76" spans="1:17">
      <c r="A76" s="1563" t="s">
        <v>2077</v>
      </c>
      <c r="B76" s="1564" t="s">
        <v>2044</v>
      </c>
      <c r="C76" s="1555"/>
      <c r="D76" s="1555"/>
      <c r="E76" s="1549"/>
      <c r="F76" s="1552">
        <v>0.35813996172964174</v>
      </c>
      <c r="G76" s="1552">
        <v>0.27152546465587896</v>
      </c>
      <c r="H76" s="1552">
        <v>7.9772204472460181E-2</v>
      </c>
      <c r="I76" s="1552">
        <v>1.0735125251442035E-3</v>
      </c>
      <c r="J76" s="1552">
        <v>0.17817489786137652</v>
      </c>
      <c r="K76" s="1552">
        <v>8.3959257178266664E-3</v>
      </c>
      <c r="L76" s="1552">
        <v>2.8224092378510452E-4</v>
      </c>
      <c r="M76" s="1552">
        <v>3.6376898047443145E-4</v>
      </c>
      <c r="N76" s="1552">
        <v>6.3135270608976932E-2</v>
      </c>
      <c r="O76" s="1552">
        <v>2.2206264746511536E-2</v>
      </c>
      <c r="P76" s="1552">
        <v>1.6930487777923851E-2</v>
      </c>
      <c r="Q76" s="1679">
        <v>1.0000000000000002</v>
      </c>
    </row>
    <row r="77" spans="1:17">
      <c r="A77" s="1563" t="s">
        <v>2078</v>
      </c>
      <c r="B77" s="1564" t="s">
        <v>2046</v>
      </c>
      <c r="C77" s="1555"/>
      <c r="D77" s="1555"/>
      <c r="E77" s="1549"/>
      <c r="F77" s="1552">
        <v>0.63099967726214234</v>
      </c>
      <c r="G77" s="1552">
        <v>0.21249925791264335</v>
      </c>
      <c r="H77" s="1552">
        <v>4.6023137004395455E-2</v>
      </c>
      <c r="I77" s="1552">
        <v>9.09505886477735E-3</v>
      </c>
      <c r="J77" s="1552">
        <v>8.5965562803141471E-4</v>
      </c>
      <c r="K77" s="1552">
        <v>1.3482102507382247E-2</v>
      </c>
      <c r="L77" s="1552">
        <v>5.3639082022036502E-4</v>
      </c>
      <c r="M77" s="1552">
        <v>2.4654373588658973E-4</v>
      </c>
      <c r="N77" s="1552">
        <v>8.6179191668171201E-2</v>
      </c>
      <c r="O77" s="1552">
        <v>3.9492298174898943E-5</v>
      </c>
      <c r="P77" s="1552">
        <v>3.9492298174898943E-5</v>
      </c>
      <c r="Q77" s="1679">
        <v>1</v>
      </c>
    </row>
    <row r="78" spans="1:17">
      <c r="A78" s="1563" t="s">
        <v>2079</v>
      </c>
      <c r="B78" s="1564" t="s">
        <v>2048</v>
      </c>
      <c r="C78" s="1555"/>
      <c r="D78" s="1555"/>
      <c r="E78" s="1549"/>
      <c r="F78" s="1552">
        <v>0.63099967726214234</v>
      </c>
      <c r="G78" s="1552">
        <v>0.21249925791264335</v>
      </c>
      <c r="H78" s="1552">
        <v>4.6023137004395455E-2</v>
      </c>
      <c r="I78" s="1552">
        <v>9.09505886477735E-3</v>
      </c>
      <c r="J78" s="1552">
        <v>8.5965562803141471E-4</v>
      </c>
      <c r="K78" s="1552">
        <v>1.3482102507382247E-2</v>
      </c>
      <c r="L78" s="1552">
        <v>5.3639082022036502E-4</v>
      </c>
      <c r="M78" s="1552">
        <v>2.4654373588658973E-4</v>
      </c>
      <c r="N78" s="1552">
        <v>8.6179191668171201E-2</v>
      </c>
      <c r="O78" s="1552">
        <v>3.9492298174898943E-5</v>
      </c>
      <c r="P78" s="1552">
        <v>3.9492298174898943E-5</v>
      </c>
      <c r="Q78" s="1679">
        <v>1</v>
      </c>
    </row>
    <row r="79" spans="1:17">
      <c r="A79" s="1563" t="s">
        <v>2080</v>
      </c>
      <c r="B79" s="1564" t="s">
        <v>2050</v>
      </c>
      <c r="C79" s="1555"/>
      <c r="D79" s="1555"/>
      <c r="E79" s="1549"/>
      <c r="F79" s="1552">
        <v>0.63099967726214234</v>
      </c>
      <c r="G79" s="1552">
        <v>0.21249925791264335</v>
      </c>
      <c r="H79" s="1552">
        <v>4.6023137004395455E-2</v>
      </c>
      <c r="I79" s="1552">
        <v>9.09505886477735E-3</v>
      </c>
      <c r="J79" s="1552">
        <v>8.5965562803141471E-4</v>
      </c>
      <c r="K79" s="1552">
        <v>1.3482102507382247E-2</v>
      </c>
      <c r="L79" s="1552">
        <v>5.3639082022036502E-4</v>
      </c>
      <c r="M79" s="1552">
        <v>2.4654373588658973E-4</v>
      </c>
      <c r="N79" s="1552">
        <v>8.6179191668171201E-2</v>
      </c>
      <c r="O79" s="1552">
        <v>3.9492298174898943E-5</v>
      </c>
      <c r="P79" s="1552">
        <v>3.9492298174898943E-5</v>
      </c>
      <c r="Q79" s="1679">
        <v>1</v>
      </c>
    </row>
    <row r="80" spans="1:17">
      <c r="A80" s="1548" t="s">
        <v>2081</v>
      </c>
      <c r="B80" s="1549" t="s">
        <v>2082</v>
      </c>
      <c r="C80" s="1555"/>
      <c r="D80" s="1555"/>
      <c r="E80" s="1549"/>
      <c r="F80" s="1552">
        <v>0.4626278130374728</v>
      </c>
      <c r="G80" s="1552">
        <v>0.24641475386263548</v>
      </c>
      <c r="H80" s="1552">
        <v>6.6714640385219542E-2</v>
      </c>
      <c r="I80" s="1552">
        <v>4.2183440314853696E-3</v>
      </c>
      <c r="J80" s="1552">
        <v>0.11173376796320826</v>
      </c>
      <c r="K80" s="1552">
        <v>1.033000811206731E-2</v>
      </c>
      <c r="L80" s="1552">
        <v>4.0811116408116094E-4</v>
      </c>
      <c r="M80" s="1552">
        <v>3.4329974094972896E-4</v>
      </c>
      <c r="N80" s="1552">
        <v>7.2063401150177786E-2</v>
      </c>
      <c r="O80" s="1552">
        <v>1.3919258027177694E-2</v>
      </c>
      <c r="P80" s="1552">
        <v>1.1226602525524978E-2</v>
      </c>
      <c r="Q80" s="1679">
        <v>1</v>
      </c>
    </row>
    <row r="81" spans="1:17">
      <c r="A81" s="1563" t="s">
        <v>2083</v>
      </c>
      <c r="B81" s="1564" t="s">
        <v>2084</v>
      </c>
      <c r="C81" s="1555"/>
      <c r="D81" s="1555"/>
      <c r="E81" s="1549"/>
      <c r="F81" s="1552">
        <v>0.34521681638756596</v>
      </c>
      <c r="G81" s="1552">
        <v>0.27168959389001374</v>
      </c>
      <c r="H81" s="1552">
        <v>8.1605559288321999E-2</v>
      </c>
      <c r="I81" s="1552">
        <v>1.3259190992294006E-3</v>
      </c>
      <c r="J81" s="1552">
        <v>0.18490145709983821</v>
      </c>
      <c r="K81" s="1552">
        <v>8.7717569111911298E-3</v>
      </c>
      <c r="L81" s="1552">
        <v>2.951736440574309E-4</v>
      </c>
      <c r="M81" s="1552">
        <v>4.3693066213065405E-4</v>
      </c>
      <c r="N81" s="1552">
        <v>6.2841798241914631E-2</v>
      </c>
      <c r="O81" s="1552">
        <v>2.3116246630202578E-2</v>
      </c>
      <c r="P81" s="1552">
        <v>1.9798748145534468E-2</v>
      </c>
      <c r="Q81" s="1679">
        <v>1.0000000000000002</v>
      </c>
    </row>
    <row r="82" spans="1:17">
      <c r="A82" s="1563" t="s">
        <v>2085</v>
      </c>
      <c r="B82" s="1564" t="s">
        <v>2086</v>
      </c>
      <c r="C82" s="1555"/>
      <c r="D82" s="1555"/>
      <c r="E82" s="1549"/>
      <c r="F82" s="1552">
        <v>0.35813996172964174</v>
      </c>
      <c r="G82" s="1552">
        <v>0.27152546465587896</v>
      </c>
      <c r="H82" s="1552">
        <v>7.9772204472460168E-2</v>
      </c>
      <c r="I82" s="1552">
        <v>1.0735125251442037E-3</v>
      </c>
      <c r="J82" s="1552">
        <v>0.17817489786137652</v>
      </c>
      <c r="K82" s="1552">
        <v>8.3959257178266664E-3</v>
      </c>
      <c r="L82" s="1552">
        <v>2.8224092378510452E-4</v>
      </c>
      <c r="M82" s="1552">
        <v>3.6376898047443145E-4</v>
      </c>
      <c r="N82" s="1552">
        <v>6.3135270608976918E-2</v>
      </c>
      <c r="O82" s="1552">
        <v>2.2206264746511536E-2</v>
      </c>
      <c r="P82" s="1552">
        <v>1.6930487777923851E-2</v>
      </c>
      <c r="Q82" s="1679">
        <v>1.0000000000000002</v>
      </c>
    </row>
    <row r="83" spans="1:17">
      <c r="A83" s="1563" t="s">
        <v>2087</v>
      </c>
      <c r="B83" s="1564" t="s">
        <v>2088</v>
      </c>
      <c r="C83" s="1555"/>
      <c r="D83" s="1555"/>
      <c r="E83" s="1549"/>
      <c r="F83" s="1552">
        <v>0.63099967726214223</v>
      </c>
      <c r="G83" s="1552">
        <v>0.21249925791264335</v>
      </c>
      <c r="H83" s="1552">
        <v>4.6023137004395448E-2</v>
      </c>
      <c r="I83" s="1552">
        <v>9.09505886477735E-3</v>
      </c>
      <c r="J83" s="1552">
        <v>8.5965562803141449E-4</v>
      </c>
      <c r="K83" s="1552">
        <v>1.3482102507382243E-2</v>
      </c>
      <c r="L83" s="1552">
        <v>5.3639082022036491E-4</v>
      </c>
      <c r="M83" s="1552">
        <v>2.4654373588658968E-4</v>
      </c>
      <c r="N83" s="1552">
        <v>8.6179191668171173E-2</v>
      </c>
      <c r="O83" s="1552">
        <v>3.9492298174898943E-5</v>
      </c>
      <c r="P83" s="1552">
        <v>3.9492298174898943E-5</v>
      </c>
      <c r="Q83" s="1679">
        <v>1</v>
      </c>
    </row>
    <row r="84" spans="1:17">
      <c r="A84" s="1563" t="s">
        <v>2089</v>
      </c>
      <c r="B84" s="1564" t="s">
        <v>2090</v>
      </c>
      <c r="C84" s="1555"/>
      <c r="D84" s="1555"/>
      <c r="E84" s="1549"/>
      <c r="F84" s="1552">
        <v>0.87052581258056738</v>
      </c>
      <c r="G84" s="1552">
        <v>1.8007472907809418E-2</v>
      </c>
      <c r="H84" s="1552">
        <v>2.7476967384582166E-4</v>
      </c>
      <c r="I84" s="1552">
        <v>7.7035796472103429E-3</v>
      </c>
      <c r="J84" s="1552">
        <v>8.2906608011306109E-4</v>
      </c>
      <c r="K84" s="1552">
        <v>2.8727789916456184E-3</v>
      </c>
      <c r="L84" s="1552">
        <v>2.4969278903939616E-3</v>
      </c>
      <c r="M84" s="1552">
        <v>5.817641061378764E-4</v>
      </c>
      <c r="N84" s="1552">
        <v>9.6697778836456666E-2</v>
      </c>
      <c r="O84" s="1552">
        <v>5.0246429097761277E-6</v>
      </c>
      <c r="P84" s="1552">
        <v>5.0246429097761277E-6</v>
      </c>
      <c r="Q84" s="1679">
        <v>0.99999999999999967</v>
      </c>
    </row>
    <row r="85" spans="1:17">
      <c r="A85" s="1563" t="s">
        <v>2091</v>
      </c>
      <c r="B85" s="1564" t="s">
        <v>2092</v>
      </c>
      <c r="C85" s="1555"/>
      <c r="D85" s="1555"/>
      <c r="E85" s="1549"/>
      <c r="F85" s="1552">
        <v>9.0909090909090912E-2</v>
      </c>
      <c r="G85" s="1552">
        <v>9.0909090909090912E-2</v>
      </c>
      <c r="H85" s="1552">
        <v>9.0909090909090912E-2</v>
      </c>
      <c r="I85" s="1552">
        <v>9.0909090909090912E-2</v>
      </c>
      <c r="J85" s="1552">
        <v>9.0909090909090912E-2</v>
      </c>
      <c r="K85" s="1552">
        <v>9.0909090909090912E-2</v>
      </c>
      <c r="L85" s="1552">
        <v>9.0909090909090912E-2</v>
      </c>
      <c r="M85" s="1552">
        <v>9.0909090909090912E-2</v>
      </c>
      <c r="N85" s="1552">
        <v>9.0909090909090912E-2</v>
      </c>
      <c r="O85" s="1552">
        <v>9.0909090909090912E-2</v>
      </c>
      <c r="P85" s="1552">
        <v>9.0909090909090912E-2</v>
      </c>
      <c r="Q85" s="1679">
        <v>1.0000000000000002</v>
      </c>
    </row>
    <row r="86" spans="1:17">
      <c r="A86" s="1548" t="s">
        <v>2093</v>
      </c>
      <c r="B86" s="1549" t="s">
        <v>2094</v>
      </c>
      <c r="C86" s="1555"/>
      <c r="D86" s="1555"/>
      <c r="E86" s="1549"/>
      <c r="F86" s="1552">
        <v>0.49783469786092915</v>
      </c>
      <c r="G86" s="1552">
        <v>0.21056569160240782</v>
      </c>
      <c r="H86" s="1552">
        <v>5.9017331664601526E-2</v>
      </c>
      <c r="I86" s="1552">
        <v>3.3590203780791729E-3</v>
      </c>
      <c r="J86" s="1552">
        <v>0.12095021299742122</v>
      </c>
      <c r="K86" s="1552">
        <v>7.7471894474960817E-3</v>
      </c>
      <c r="L86" s="1552">
        <v>7.8673504740287979E-4</v>
      </c>
      <c r="M86" s="1552">
        <v>3.9782560967160756E-4</v>
      </c>
      <c r="N86" s="1552">
        <v>7.2835521893637428E-2</v>
      </c>
      <c r="O86" s="1552">
        <v>1.5045433335914703E-2</v>
      </c>
      <c r="P86" s="1552">
        <v>1.1460340162438479E-2</v>
      </c>
      <c r="Q86" s="1679">
        <v>1.0000000000000002</v>
      </c>
    </row>
    <row r="87" spans="1:17">
      <c r="A87" s="1548" t="s">
        <v>2095</v>
      </c>
      <c r="B87" s="1549" t="s">
        <v>2096</v>
      </c>
      <c r="C87" s="1555"/>
      <c r="D87" s="1555"/>
      <c r="E87" s="1549"/>
      <c r="F87" s="1552">
        <v>0.53595656857175433</v>
      </c>
      <c r="G87" s="1552">
        <v>0.2976589285121351</v>
      </c>
      <c r="H87" s="1552">
        <v>7.4345701129033825E-2</v>
      </c>
      <c r="I87" s="1552">
        <v>1.2027352295170235E-4</v>
      </c>
      <c r="J87" s="1552">
        <v>0</v>
      </c>
      <c r="K87" s="1552">
        <v>1.5924387194837446E-2</v>
      </c>
      <c r="L87" s="1552">
        <v>2.2720748697620095E-4</v>
      </c>
      <c r="M87" s="1552">
        <v>4.7089285975523504E-5</v>
      </c>
      <c r="N87" s="1552">
        <v>7.5719844296335673E-2</v>
      </c>
      <c r="O87" s="1552">
        <v>0</v>
      </c>
      <c r="P87" s="1552">
        <v>0</v>
      </c>
      <c r="Q87" s="1679">
        <v>0.99999999999999989</v>
      </c>
    </row>
    <row r="88" spans="1:17">
      <c r="A88" s="1548" t="s">
        <v>2097</v>
      </c>
      <c r="B88" s="1549" t="s">
        <v>2098</v>
      </c>
      <c r="C88" s="1555"/>
      <c r="D88" s="1555"/>
      <c r="E88" s="1549"/>
      <c r="F88" s="1552">
        <v>0.53595656857175455</v>
      </c>
      <c r="G88" s="1552">
        <v>0.29765892851213521</v>
      </c>
      <c r="H88" s="1552">
        <v>7.4345701129033853E-2</v>
      </c>
      <c r="I88" s="1552">
        <v>1.202735229517024E-4</v>
      </c>
      <c r="J88" s="1552">
        <v>0</v>
      </c>
      <c r="K88" s="1552">
        <v>1.5924387194837453E-2</v>
      </c>
      <c r="L88" s="1552">
        <v>2.2720748697620103E-4</v>
      </c>
      <c r="M88" s="1552">
        <v>4.7089285975523524E-5</v>
      </c>
      <c r="N88" s="1552">
        <v>7.57198442963357E-2</v>
      </c>
      <c r="O88" s="1552">
        <v>0</v>
      </c>
      <c r="P88" s="1552">
        <v>0</v>
      </c>
      <c r="Q88" s="1679">
        <v>1.0000000000000002</v>
      </c>
    </row>
    <row r="89" spans="1:17">
      <c r="A89" s="1548" t="s">
        <v>2099</v>
      </c>
      <c r="B89" s="1549" t="s">
        <v>2100</v>
      </c>
      <c r="C89" s="1555"/>
      <c r="D89" s="1555"/>
      <c r="E89" s="1549"/>
      <c r="F89" s="1552">
        <v>0.53595656857175444</v>
      </c>
      <c r="G89" s="1552">
        <v>0.29765892851213516</v>
      </c>
      <c r="H89" s="1552">
        <v>7.4345701129033839E-2</v>
      </c>
      <c r="I89" s="1552">
        <v>1.2027352295170237E-4</v>
      </c>
      <c r="J89" s="1552">
        <v>0</v>
      </c>
      <c r="K89" s="1552">
        <v>1.592438719483745E-2</v>
      </c>
      <c r="L89" s="1552">
        <v>2.27207486976201E-4</v>
      </c>
      <c r="M89" s="1552">
        <v>4.7089285975523511E-5</v>
      </c>
      <c r="N89" s="1552">
        <v>7.5719844296335687E-2</v>
      </c>
      <c r="O89" s="1552">
        <v>0</v>
      </c>
      <c r="P89" s="1552">
        <v>0</v>
      </c>
      <c r="Q89" s="1679">
        <v>1</v>
      </c>
    </row>
    <row r="90" spans="1:17">
      <c r="A90" s="1548" t="s">
        <v>2101</v>
      </c>
      <c r="B90" s="1549" t="s">
        <v>2102</v>
      </c>
      <c r="C90" s="1555"/>
      <c r="D90" s="1555"/>
      <c r="E90" s="1549"/>
      <c r="F90" s="1552">
        <v>0.55861505383348675</v>
      </c>
      <c r="G90" s="1552">
        <v>0.27848969351595354</v>
      </c>
      <c r="H90" s="1552">
        <v>6.9557837976324033E-2</v>
      </c>
      <c r="I90" s="1552">
        <v>1.1252790807361271E-4</v>
      </c>
      <c r="J90" s="1552">
        <v>0</v>
      </c>
      <c r="K90" s="1552">
        <v>1.4898856659489914E-2</v>
      </c>
      <c r="L90" s="1552">
        <v>2.1257532481493361E-4</v>
      </c>
      <c r="M90" s="1552">
        <v>4.4056735958699791E-5</v>
      </c>
      <c r="N90" s="1552">
        <v>7.8069398045898269E-2</v>
      </c>
      <c r="O90" s="1552">
        <v>0</v>
      </c>
      <c r="P90" s="1552">
        <v>0</v>
      </c>
      <c r="Q90" s="1679">
        <v>0.99999999999999978</v>
      </c>
    </row>
    <row r="91" spans="1:17">
      <c r="A91" s="1548" t="s">
        <v>2103</v>
      </c>
      <c r="B91" s="1549" t="s">
        <v>2104</v>
      </c>
      <c r="C91" s="1555"/>
      <c r="D91" s="1555"/>
      <c r="E91" s="1549"/>
      <c r="F91" s="1552">
        <v>0.66627804281004133</v>
      </c>
      <c r="G91" s="1552">
        <v>0.18740606139124028</v>
      </c>
      <c r="H91" s="1552">
        <v>4.6808053430839699E-2</v>
      </c>
      <c r="I91" s="1552">
        <v>7.5724210050391803E-5</v>
      </c>
      <c r="J91" s="1552">
        <v>0</v>
      </c>
      <c r="K91" s="1552">
        <v>1.0025994177869656E-2</v>
      </c>
      <c r="L91" s="1552">
        <v>1.4304983380021615E-4</v>
      </c>
      <c r="M91" s="1552">
        <v>2.96474144501896E-5</v>
      </c>
      <c r="N91" s="1552">
        <v>8.9233426731708143E-2</v>
      </c>
      <c r="O91" s="1552">
        <v>0</v>
      </c>
      <c r="P91" s="1552">
        <v>0</v>
      </c>
      <c r="Q91" s="1679">
        <v>1</v>
      </c>
    </row>
    <row r="92" spans="1:17">
      <c r="A92" s="1548" t="s">
        <v>2105</v>
      </c>
      <c r="B92" s="1549" t="s">
        <v>2106</v>
      </c>
      <c r="C92" s="1555"/>
      <c r="D92" s="1555"/>
      <c r="E92" s="1549"/>
      <c r="F92" s="1552">
        <v>0.68693104102221048</v>
      </c>
      <c r="G92" s="1552">
        <v>0.16993348228757793</v>
      </c>
      <c r="H92" s="1552">
        <v>4.2443960774565408E-2</v>
      </c>
      <c r="I92" s="1552">
        <v>6.8664154253126865E-5</v>
      </c>
      <c r="J92" s="1552">
        <v>0</v>
      </c>
      <c r="K92" s="1552">
        <v>9.0912326495326979E-3</v>
      </c>
      <c r="L92" s="1552">
        <v>1.2971275431471313E-4</v>
      </c>
      <c r="M92" s="1552">
        <v>2.6883273363426367E-5</v>
      </c>
      <c r="N92" s="1552">
        <v>9.1375023084182147E-2</v>
      </c>
      <c r="O92" s="1552">
        <v>0</v>
      </c>
      <c r="P92" s="1552">
        <v>0</v>
      </c>
      <c r="Q92" s="1679">
        <v>0.99999999999999989</v>
      </c>
    </row>
    <row r="93" spans="1:17">
      <c r="A93" s="1548" t="s">
        <v>2107</v>
      </c>
      <c r="B93" s="1549" t="s">
        <v>2108</v>
      </c>
      <c r="C93" s="1555"/>
      <c r="D93" s="1555"/>
      <c r="E93" s="1549"/>
      <c r="F93" s="1552">
        <v>0.63746236046631644</v>
      </c>
      <c r="G93" s="1552">
        <v>0.21178432763638413</v>
      </c>
      <c r="H93" s="1552">
        <v>5.2896966353307567E-2</v>
      </c>
      <c r="I93" s="1552">
        <v>8.5574611580136229E-5</v>
      </c>
      <c r="J93" s="1552">
        <v>0</v>
      </c>
      <c r="K93" s="1552">
        <v>1.1330201489126843E-2</v>
      </c>
      <c r="L93" s="1552">
        <v>1.6165812698356699E-4</v>
      </c>
      <c r="M93" s="1552">
        <v>3.3504026971584976E-5</v>
      </c>
      <c r="N93" s="1552">
        <v>8.6245407289329612E-2</v>
      </c>
      <c r="O93" s="1552">
        <v>0</v>
      </c>
      <c r="P93" s="1552">
        <v>0</v>
      </c>
      <c r="Q93" s="1679">
        <v>0.99999999999999978</v>
      </c>
    </row>
    <row r="94" spans="1:17">
      <c r="A94" s="1548" t="s">
        <v>2109</v>
      </c>
      <c r="B94" s="1549" t="s">
        <v>2110</v>
      </c>
      <c r="C94" s="1555"/>
      <c r="D94" s="1555"/>
      <c r="E94" s="1549"/>
      <c r="F94" s="1552">
        <v>0.63134227358127448</v>
      </c>
      <c r="G94" s="1552">
        <v>0.23221575368833886</v>
      </c>
      <c r="H94" s="1552">
        <v>2.8456768355703328E-2</v>
      </c>
      <c r="I94" s="1552">
        <v>2.2954503076252947E-3</v>
      </c>
      <c r="J94" s="1552">
        <v>0</v>
      </c>
      <c r="K94" s="1552">
        <v>2.5028762402724707E-2</v>
      </c>
      <c r="L94" s="1552">
        <v>1.568980173170916E-4</v>
      </c>
      <c r="M94" s="1552">
        <v>7.1229157649937134E-4</v>
      </c>
      <c r="N94" s="1552">
        <v>7.9791802070516976E-2</v>
      </c>
      <c r="O94" s="1552">
        <v>0</v>
      </c>
      <c r="P94" s="1552">
        <v>0</v>
      </c>
      <c r="Q94" s="1679">
        <v>1</v>
      </c>
    </row>
    <row r="95" spans="1:17">
      <c r="A95" s="1548" t="s">
        <v>2111</v>
      </c>
      <c r="B95" s="1549" t="s">
        <v>2112</v>
      </c>
      <c r="C95" s="1555"/>
      <c r="D95" s="1555"/>
      <c r="E95" s="1549"/>
      <c r="F95" s="1552">
        <v>0.81367660738756764</v>
      </c>
      <c r="G95" s="1552">
        <v>6.3735743264090428E-2</v>
      </c>
      <c r="H95" s="1552">
        <v>4.8674104629329281E-3</v>
      </c>
      <c r="I95" s="1552">
        <v>0</v>
      </c>
      <c r="J95" s="1552">
        <v>0</v>
      </c>
      <c r="K95" s="1552">
        <v>0</v>
      </c>
      <c r="L95" s="1552">
        <v>2.8671340330887721E-3</v>
      </c>
      <c r="M95" s="1552">
        <v>6.6801915840436997E-4</v>
      </c>
      <c r="N95" s="1552">
        <v>0.11418508569391581</v>
      </c>
      <c r="O95" s="1552">
        <v>0</v>
      </c>
      <c r="P95" s="1552">
        <v>0</v>
      </c>
      <c r="Q95" s="1679">
        <v>1</v>
      </c>
    </row>
    <row r="96" spans="1:17">
      <c r="A96" s="1548" t="s">
        <v>2113</v>
      </c>
      <c r="B96" s="1549" t="s">
        <v>2114</v>
      </c>
      <c r="C96" s="1555"/>
      <c r="D96" s="1555"/>
      <c r="E96" s="1549"/>
      <c r="F96" s="1552">
        <v>0.72048281319090757</v>
      </c>
      <c r="G96" s="1552">
        <v>0.10158255134880707</v>
      </c>
      <c r="H96" s="1552">
        <v>1.2945246527512435E-2</v>
      </c>
      <c r="I96" s="1552">
        <v>0</v>
      </c>
      <c r="J96" s="1552">
        <v>2.8234238963182341E-2</v>
      </c>
      <c r="K96" s="1552">
        <v>1.0834227998598994E-2</v>
      </c>
      <c r="L96" s="1552">
        <v>2.2551642240006956E-3</v>
      </c>
      <c r="M96" s="1552">
        <v>5.2543511729643134E-4</v>
      </c>
      <c r="N96" s="1552">
        <v>0.12054617923665069</v>
      </c>
      <c r="O96" s="1552">
        <v>1.2970716965219466E-3</v>
      </c>
      <c r="P96" s="1552">
        <v>1.2970716965219466E-3</v>
      </c>
      <c r="Q96" s="1679">
        <v>1.0000000000000002</v>
      </c>
    </row>
    <row r="97" spans="1:17">
      <c r="A97" s="1548" t="s">
        <v>2115</v>
      </c>
      <c r="B97" s="1549" t="s">
        <v>2116</v>
      </c>
      <c r="C97" s="1555"/>
      <c r="D97" s="1555"/>
      <c r="E97" s="1549"/>
      <c r="F97" s="1552">
        <v>0</v>
      </c>
      <c r="G97" s="1552">
        <v>0</v>
      </c>
      <c r="H97" s="1552">
        <v>0</v>
      </c>
      <c r="I97" s="1552">
        <v>1</v>
      </c>
      <c r="J97" s="1552">
        <v>0</v>
      </c>
      <c r="K97" s="1552">
        <v>0</v>
      </c>
      <c r="L97" s="1552">
        <v>0</v>
      </c>
      <c r="M97" s="1552">
        <v>0</v>
      </c>
      <c r="N97" s="1552">
        <v>0</v>
      </c>
      <c r="O97" s="1552">
        <v>0</v>
      </c>
      <c r="P97" s="1552">
        <v>0</v>
      </c>
      <c r="Q97" s="1679">
        <v>1</v>
      </c>
    </row>
    <row r="98" spans="1:17">
      <c r="A98" s="1548" t="s">
        <v>2117</v>
      </c>
      <c r="B98" s="1549" t="s">
        <v>2118</v>
      </c>
      <c r="C98" s="1555"/>
      <c r="D98" s="1555"/>
      <c r="E98" s="1549"/>
      <c r="F98" s="1552">
        <v>9.0909090909090912E-2</v>
      </c>
      <c r="G98" s="1552">
        <v>9.0909090909090912E-2</v>
      </c>
      <c r="H98" s="1552">
        <v>9.0909090909090912E-2</v>
      </c>
      <c r="I98" s="1552">
        <v>9.0909090909090912E-2</v>
      </c>
      <c r="J98" s="1552">
        <v>9.0909090909090912E-2</v>
      </c>
      <c r="K98" s="1552">
        <v>9.0909090909090912E-2</v>
      </c>
      <c r="L98" s="1552">
        <v>9.0909090909090912E-2</v>
      </c>
      <c r="M98" s="1552">
        <v>9.0909090909090912E-2</v>
      </c>
      <c r="N98" s="1552">
        <v>9.0909090909090912E-2</v>
      </c>
      <c r="O98" s="1552">
        <v>9.0909090909090912E-2</v>
      </c>
      <c r="P98" s="1552">
        <v>9.0909090909090912E-2</v>
      </c>
      <c r="Q98" s="1679">
        <v>1.0000000000000002</v>
      </c>
    </row>
    <row r="99" spans="1:17">
      <c r="A99" s="1548" t="s">
        <v>2119</v>
      </c>
      <c r="B99" s="1549" t="s">
        <v>2120</v>
      </c>
      <c r="C99" s="1555"/>
      <c r="D99" s="1555"/>
      <c r="E99" s="1549"/>
      <c r="F99" s="1552">
        <v>0</v>
      </c>
      <c r="G99" s="1552">
        <v>0</v>
      </c>
      <c r="H99" s="1552">
        <v>0</v>
      </c>
      <c r="I99" s="1552">
        <v>1</v>
      </c>
      <c r="J99" s="1552">
        <v>0</v>
      </c>
      <c r="K99" s="1552">
        <v>0</v>
      </c>
      <c r="L99" s="1552">
        <v>0</v>
      </c>
      <c r="M99" s="1552">
        <v>0</v>
      </c>
      <c r="N99" s="1552">
        <v>0</v>
      </c>
      <c r="O99" s="1552">
        <v>0</v>
      </c>
      <c r="P99" s="1552">
        <v>0</v>
      </c>
      <c r="Q99" s="1679">
        <v>1</v>
      </c>
    </row>
    <row r="100" spans="1:17">
      <c r="A100" s="1548" t="s">
        <v>2121</v>
      </c>
      <c r="B100" s="1549" t="s">
        <v>2122</v>
      </c>
      <c r="C100" s="1555"/>
      <c r="D100" s="1555"/>
      <c r="E100" s="1549"/>
      <c r="F100" s="1552">
        <v>0.60849463309007812</v>
      </c>
      <c r="G100" s="1552">
        <v>0.22607399221962246</v>
      </c>
      <c r="H100" s="1552">
        <v>5.4938827804092788E-2</v>
      </c>
      <c r="I100" s="1552">
        <v>1.3262709504539468E-2</v>
      </c>
      <c r="J100" s="1552">
        <v>3.8250427776992076E-4</v>
      </c>
      <c r="K100" s="1552">
        <v>1.1890987195124684E-2</v>
      </c>
      <c r="L100" s="1552">
        <v>4.990868330772395E-4</v>
      </c>
      <c r="M100" s="1552">
        <v>1.1646087651132186E-4</v>
      </c>
      <c r="N100" s="1552">
        <v>8.4305653956540147E-2</v>
      </c>
      <c r="O100" s="1552">
        <v>1.7572121321948765E-5</v>
      </c>
      <c r="P100" s="1552">
        <v>1.7572121321948765E-5</v>
      </c>
      <c r="Q100" s="1679">
        <v>0.99999999999999978</v>
      </c>
    </row>
    <row r="101" spans="1:17">
      <c r="A101" s="1548" t="s">
        <v>2123</v>
      </c>
      <c r="B101" s="1549" t="s">
        <v>2124</v>
      </c>
      <c r="C101" s="1555"/>
      <c r="D101" s="1555"/>
      <c r="E101" s="1549"/>
      <c r="F101" s="1552">
        <v>0.59971381380313493</v>
      </c>
      <c r="G101" s="1552">
        <v>0.24371985878033692</v>
      </c>
      <c r="H101" s="1552">
        <v>6.0873442871896097E-2</v>
      </c>
      <c r="I101" s="1552">
        <v>9.8478638538831742E-5</v>
      </c>
      <c r="J101" s="1552">
        <v>0</v>
      </c>
      <c r="K101" s="1552">
        <v>1.3038713193281424E-2</v>
      </c>
      <c r="L101" s="1552">
        <v>1.8603499285732794E-4</v>
      </c>
      <c r="M101" s="1552">
        <v>3.8556189748407316E-5</v>
      </c>
      <c r="N101" s="1552">
        <v>8.2331101530205994E-2</v>
      </c>
      <c r="O101" s="1552">
        <v>0</v>
      </c>
      <c r="P101" s="1552">
        <v>0</v>
      </c>
      <c r="Q101" s="1679">
        <v>1</v>
      </c>
    </row>
    <row r="102" spans="1:17">
      <c r="A102" s="1548" t="s">
        <v>2125</v>
      </c>
      <c r="B102" s="1549" t="s">
        <v>2126</v>
      </c>
      <c r="C102" s="1555"/>
      <c r="D102" s="1555"/>
      <c r="E102" s="1549"/>
      <c r="F102" s="1552">
        <v>0.65095460734562349</v>
      </c>
      <c r="G102" s="1552">
        <v>0.2003697936078126</v>
      </c>
      <c r="H102" s="1552">
        <v>5.0045980025911818E-2</v>
      </c>
      <c r="I102" s="1552">
        <v>8.0962399114913917E-5</v>
      </c>
      <c r="J102" s="1552">
        <v>0</v>
      </c>
      <c r="K102" s="1552">
        <v>1.0719537933935652E-2</v>
      </c>
      <c r="L102" s="1552">
        <v>1.529452434003341E-4</v>
      </c>
      <c r="M102" s="1552">
        <v>3.1698261359797398E-5</v>
      </c>
      <c r="N102" s="1552">
        <v>8.7644475182841408E-2</v>
      </c>
      <c r="O102" s="1552">
        <v>0</v>
      </c>
      <c r="P102" s="1552">
        <v>0</v>
      </c>
      <c r="Q102" s="1679">
        <v>1</v>
      </c>
    </row>
    <row r="103" spans="1:17">
      <c r="A103" s="1548" t="s">
        <v>2127</v>
      </c>
      <c r="B103" s="1549" t="s">
        <v>2128</v>
      </c>
      <c r="C103" s="1555"/>
      <c r="D103" s="1555"/>
      <c r="E103" s="1549"/>
      <c r="F103" s="1552">
        <v>0.62861463018390107</v>
      </c>
      <c r="G103" s="1552">
        <v>0.21940867931381444</v>
      </c>
      <c r="H103" s="1552">
        <v>5.3308482479714855E-2</v>
      </c>
      <c r="I103" s="1552">
        <v>8.5176732155208543E-5</v>
      </c>
      <c r="J103" s="1552">
        <v>0</v>
      </c>
      <c r="K103" s="1552">
        <v>1.1277521681768477E-2</v>
      </c>
      <c r="L103" s="1552">
        <v>5.4818183980340869E-4</v>
      </c>
      <c r="M103" s="1552">
        <v>1.2358028842862547E-4</v>
      </c>
      <c r="N103" s="1552">
        <v>8.6633747480413817E-2</v>
      </c>
      <c r="O103" s="1552">
        <v>0</v>
      </c>
      <c r="P103" s="1552">
        <v>0</v>
      </c>
      <c r="Q103" s="1679">
        <v>1</v>
      </c>
    </row>
    <row r="104" spans="1:17">
      <c r="A104" s="1548" t="s">
        <v>2129</v>
      </c>
      <c r="B104" s="1549" t="s">
        <v>2130</v>
      </c>
      <c r="C104" s="1555"/>
      <c r="D104" s="1555"/>
      <c r="E104" s="1549"/>
      <c r="F104" s="1552">
        <v>0.68890960781711474</v>
      </c>
      <c r="G104" s="1552">
        <v>0.16849982246757972</v>
      </c>
      <c r="H104" s="1552">
        <v>3.9508052587568142E-2</v>
      </c>
      <c r="I104" s="1552">
        <v>6.2077872770673273E-5</v>
      </c>
      <c r="J104" s="1552">
        <v>0</v>
      </c>
      <c r="K104" s="1552">
        <v>8.2191995209870555E-3</v>
      </c>
      <c r="L104" s="1552">
        <v>7.860313458682651E-4</v>
      </c>
      <c r="M104" s="1552">
        <v>1.8012047803069034E-4</v>
      </c>
      <c r="N104" s="1552">
        <v>9.3835087910080703E-2</v>
      </c>
      <c r="O104" s="1552">
        <v>0</v>
      </c>
      <c r="P104" s="1552">
        <v>0</v>
      </c>
      <c r="Q104" s="1679">
        <v>1</v>
      </c>
    </row>
    <row r="105" spans="1:17">
      <c r="A105" s="1548" t="s">
        <v>2131</v>
      </c>
      <c r="B105" s="1549" t="s">
        <v>2132</v>
      </c>
      <c r="C105" s="1555"/>
      <c r="D105" s="1555"/>
      <c r="E105" s="1549"/>
      <c r="F105" s="1552">
        <v>0.85058159273106726</v>
      </c>
      <c r="G105" s="1552">
        <v>3.3876008767950494E-2</v>
      </c>
      <c r="H105" s="1552">
        <v>5.6724167708255306E-3</v>
      </c>
      <c r="I105" s="1552">
        <v>5.5256900430850908E-3</v>
      </c>
      <c r="J105" s="1552">
        <v>1.0249178768114143E-2</v>
      </c>
      <c r="K105" s="1552">
        <v>1.355295413822147E-3</v>
      </c>
      <c r="L105" s="1552">
        <v>2.2404983016868669E-3</v>
      </c>
      <c r="M105" s="1552">
        <v>5.2201807541131463E-4</v>
      </c>
      <c r="N105" s="1552">
        <v>8.9934045078705574E-2</v>
      </c>
      <c r="O105" s="1552">
        <v>2.1628024665900026E-5</v>
      </c>
      <c r="P105" s="1552">
        <v>2.1628024665900026E-5</v>
      </c>
      <c r="Q105" s="1679">
        <v>1.0000000000000002</v>
      </c>
    </row>
    <row r="106" spans="1:17">
      <c r="A106" s="1538" t="s">
        <v>2133</v>
      </c>
      <c r="B106" s="1567" t="s">
        <v>2134</v>
      </c>
      <c r="C106" s="1560"/>
      <c r="D106" s="1560"/>
      <c r="E106" s="1567"/>
      <c r="F106" s="1568">
        <v>0.37791912914328651</v>
      </c>
      <c r="G106" s="1568">
        <v>0.25766502950305226</v>
      </c>
      <c r="H106" s="1568">
        <v>7.7768968364728019E-2</v>
      </c>
      <c r="I106" s="1568">
        <v>2.8804089945734992E-3</v>
      </c>
      <c r="J106" s="1568">
        <v>0.16713683485442563</v>
      </c>
      <c r="K106" s="1568">
        <v>9.1354491183788019E-3</v>
      </c>
      <c r="L106" s="1568">
        <v>4.1110469597744676E-4</v>
      </c>
      <c r="M106" s="1568">
        <v>4.8344183777783488E-4</v>
      </c>
      <c r="N106" s="1568">
        <v>6.5712390828298592E-2</v>
      </c>
      <c r="O106" s="1568">
        <v>2.0916891039932221E-2</v>
      </c>
      <c r="P106" s="1568">
        <v>1.9970351619568949E-2</v>
      </c>
      <c r="Q106" s="1679">
        <v>0.99999999999999989</v>
      </c>
    </row>
    <row r="107" spans="1:17">
      <c r="A107" s="1563" t="s">
        <v>2135</v>
      </c>
      <c r="B107" s="1564" t="s">
        <v>2136</v>
      </c>
      <c r="C107" s="1555"/>
      <c r="D107" s="1555"/>
      <c r="E107" s="1549"/>
      <c r="F107" s="1568">
        <v>0.33054101499611954</v>
      </c>
      <c r="G107" s="1568">
        <v>0.2717988086627951</v>
      </c>
      <c r="H107" s="1568">
        <v>8.3693541407000319E-2</v>
      </c>
      <c r="I107" s="1568">
        <v>1.6297621895502053E-3</v>
      </c>
      <c r="J107" s="1568">
        <v>0.19249898596057033</v>
      </c>
      <c r="K107" s="1568">
        <v>9.2151244080411632E-3</v>
      </c>
      <c r="L107" s="1568">
        <v>3.1060464517852516E-4</v>
      </c>
      <c r="M107" s="1568">
        <v>5.2189623747481021E-4</v>
      </c>
      <c r="N107" s="1568">
        <v>6.2530264722844703E-2</v>
      </c>
      <c r="O107" s="1568">
        <v>2.4146386317879093E-2</v>
      </c>
      <c r="P107" s="1568">
        <v>2.311361045254617E-2</v>
      </c>
      <c r="Q107" s="1679">
        <v>1</v>
      </c>
    </row>
    <row r="108" spans="1:17">
      <c r="A108" s="1563" t="s">
        <v>2137</v>
      </c>
      <c r="B108" s="1564" t="s">
        <v>2138</v>
      </c>
      <c r="C108" s="1555"/>
      <c r="D108" s="1555"/>
      <c r="E108" s="1549"/>
      <c r="F108" s="1568">
        <v>0.33763984105312184</v>
      </c>
      <c r="G108" s="1568">
        <v>0.27081722443447354</v>
      </c>
      <c r="H108" s="1568">
        <v>8.2754868239351201E-2</v>
      </c>
      <c r="I108" s="1568">
        <v>1.6887719038356703E-3</v>
      </c>
      <c r="J108" s="1568">
        <v>0.18833317671140495</v>
      </c>
      <c r="K108" s="1568">
        <v>9.1988065651191133E-3</v>
      </c>
      <c r="L108" s="1568">
        <v>3.1210779344778225E-4</v>
      </c>
      <c r="M108" s="1568">
        <v>5.0336093182319012E-4</v>
      </c>
      <c r="N108" s="1568">
        <v>6.2941260675255753E-2</v>
      </c>
      <c r="O108" s="1568">
        <v>2.3609598823019058E-2</v>
      </c>
      <c r="P108" s="1568">
        <v>2.2200982869147796E-2</v>
      </c>
      <c r="Q108" s="1679">
        <v>0.99999999999999989</v>
      </c>
    </row>
    <row r="109" spans="1:17">
      <c r="A109" s="1563" t="s">
        <v>2139</v>
      </c>
      <c r="B109" s="1564" t="s">
        <v>2140</v>
      </c>
      <c r="C109" s="1555"/>
      <c r="D109" s="1555"/>
      <c r="E109" s="1549"/>
      <c r="F109" s="1568">
        <v>0.60079818626296322</v>
      </c>
      <c r="G109" s="1568">
        <v>0.22783543134126932</v>
      </c>
      <c r="H109" s="1568">
        <v>5.6028265876514695E-2</v>
      </c>
      <c r="I109" s="1568">
        <v>1.3152329679340501E-2</v>
      </c>
      <c r="J109" s="1568">
        <v>5.0934738798107618E-3</v>
      </c>
      <c r="K109" s="1568">
        <v>1.1719585877099295E-2</v>
      </c>
      <c r="L109" s="1568">
        <v>4.9275233749911454E-4</v>
      </c>
      <c r="M109" s="1568">
        <v>1.1754413809554306E-4</v>
      </c>
      <c r="N109" s="1568">
        <v>8.3660715651874912E-2</v>
      </c>
      <c r="O109" s="1568">
        <v>6.0819737155878351E-4</v>
      </c>
      <c r="P109" s="1568">
        <v>4.9351758397357941E-4</v>
      </c>
      <c r="Q109" s="1679">
        <v>0.99999999999999978</v>
      </c>
    </row>
    <row r="110" spans="1:17">
      <c r="A110" s="1563" t="s">
        <v>2141</v>
      </c>
      <c r="B110" s="1564" t="s">
        <v>2142</v>
      </c>
      <c r="C110" s="1555"/>
      <c r="D110" s="1555"/>
      <c r="E110" s="1549"/>
      <c r="F110" s="1568">
        <v>0.92746531767960005</v>
      </c>
      <c r="G110" s="1568">
        <v>-8.1294091445839947E-3</v>
      </c>
      <c r="H110" s="1568">
        <v>-6.7247246918043782E-3</v>
      </c>
      <c r="I110" s="1568">
        <v>6.5239827055125175E-3</v>
      </c>
      <c r="J110" s="1568">
        <v>-1.2793897799863603E-2</v>
      </c>
      <c r="K110" s="1568">
        <v>3.4740320600146646E-4</v>
      </c>
      <c r="L110" s="1568">
        <v>2.6729621378193701E-3</v>
      </c>
      <c r="M110" s="1568">
        <v>5.7911830817121207E-4</v>
      </c>
      <c r="N110" s="1568">
        <v>9.5029300121790658E-2</v>
      </c>
      <c r="O110" s="1568">
        <v>-2.8241391875933313E-3</v>
      </c>
      <c r="P110" s="1568">
        <v>-2.1459133350498084E-3</v>
      </c>
      <c r="Q110" s="1679">
        <v>1</v>
      </c>
    </row>
    <row r="111" spans="1:17">
      <c r="A111" s="1563" t="s">
        <v>2143</v>
      </c>
      <c r="B111" s="1564" t="s">
        <v>2144</v>
      </c>
      <c r="C111" s="1555"/>
      <c r="D111" s="1555"/>
      <c r="E111" s="1549"/>
      <c r="F111" s="1568">
        <v>0.43073837658792902</v>
      </c>
      <c r="G111" s="1568">
        <v>0.25582065811712829</v>
      </c>
      <c r="H111" s="1568">
        <v>7.079275949889445E-2</v>
      </c>
      <c r="I111" s="1568">
        <v>3.2077650945759794E-3</v>
      </c>
      <c r="J111" s="1568">
        <v>0.13099752141637033</v>
      </c>
      <c r="K111" s="1568">
        <v>9.7491792455236346E-3</v>
      </c>
      <c r="L111" s="1568">
        <v>3.4986131099246456E-4</v>
      </c>
      <c r="M111" s="1568">
        <v>3.32579448073711E-4</v>
      </c>
      <c r="N111" s="1568">
        <v>6.9266451013354879E-2</v>
      </c>
      <c r="O111" s="1568">
        <v>1.6308462870067403E-2</v>
      </c>
      <c r="P111" s="1568">
        <v>1.2436385397089963E-2</v>
      </c>
      <c r="Q111" s="1679">
        <v>1</v>
      </c>
    </row>
    <row r="112" spans="1:17">
      <c r="A112" s="1538" t="s">
        <v>2145</v>
      </c>
      <c r="B112" s="1567" t="s">
        <v>2146</v>
      </c>
      <c r="C112" s="1560"/>
      <c r="D112" s="1560"/>
      <c r="E112" s="1567"/>
      <c r="F112" s="1568">
        <v>0.48061684010033023</v>
      </c>
      <c r="G112" s="1568">
        <v>0.23218734098497862</v>
      </c>
      <c r="H112" s="1568">
        <v>6.458804813794583E-2</v>
      </c>
      <c r="I112" s="1568">
        <v>4.7324417535016998E-3</v>
      </c>
      <c r="J112" s="1568">
        <v>0.11246820583590104</v>
      </c>
      <c r="K112" s="1568">
        <v>8.4816028741692279E-3</v>
      </c>
      <c r="L112" s="1568">
        <v>5.719607990662853E-4</v>
      </c>
      <c r="M112" s="1568">
        <v>3.132275160098585E-4</v>
      </c>
      <c r="N112" s="1568">
        <v>7.1810637949434986E-2</v>
      </c>
      <c r="O112" s="1568">
        <v>1.3880613001454208E-2</v>
      </c>
      <c r="P112" s="1568">
        <v>1.0349081047208069E-2</v>
      </c>
      <c r="Q112" s="1679">
        <v>1</v>
      </c>
    </row>
    <row r="113" spans="1:17">
      <c r="A113" s="1563" t="s">
        <v>2147</v>
      </c>
      <c r="B113" s="1564" t="s">
        <v>2148</v>
      </c>
      <c r="C113" s="1555"/>
      <c r="D113" s="1555"/>
      <c r="E113" s="1549"/>
      <c r="F113" s="1568">
        <v>0.36072641912417569</v>
      </c>
      <c r="G113" s="1568">
        <v>0.27149261558856203</v>
      </c>
      <c r="H113" s="1568">
        <v>7.940527413199179E-2</v>
      </c>
      <c r="I113" s="1568">
        <v>1.0229955006357757E-3</v>
      </c>
      <c r="J113" s="1568">
        <v>0.17682863436115542</v>
      </c>
      <c r="K113" s="1568">
        <v>8.3207063077339119E-3</v>
      </c>
      <c r="L113" s="1568">
        <v>2.7965255004988918E-4</v>
      </c>
      <c r="M113" s="1568">
        <v>3.4912629345765944E-4</v>
      </c>
      <c r="N113" s="1568">
        <v>6.3194006601940536E-2</v>
      </c>
      <c r="O113" s="1568">
        <v>2.2024139628387139E-2</v>
      </c>
      <c r="P113" s="1568">
        <v>1.6356429911910258E-2</v>
      </c>
      <c r="Q113" s="1679">
        <v>1.0000000000000002</v>
      </c>
    </row>
    <row r="114" spans="1:17">
      <c r="A114" s="1563" t="s">
        <v>2149</v>
      </c>
      <c r="B114" s="1564" t="s">
        <v>2150</v>
      </c>
      <c r="C114" s="1555"/>
      <c r="D114" s="1555"/>
      <c r="E114" s="1549"/>
      <c r="F114" s="1568">
        <v>0.35813996172964208</v>
      </c>
      <c r="G114" s="1568">
        <v>0.27152546465587929</v>
      </c>
      <c r="H114" s="1568">
        <v>7.9772204472460237E-2</v>
      </c>
      <c r="I114" s="1568">
        <v>1.0735125251442037E-3</v>
      </c>
      <c r="J114" s="1568">
        <v>0.17817489786137661</v>
      </c>
      <c r="K114" s="1568">
        <v>8.3959257178266734E-3</v>
      </c>
      <c r="L114" s="1568">
        <v>2.822409237851049E-4</v>
      </c>
      <c r="M114" s="1568">
        <v>3.6376898047443172E-4</v>
      </c>
      <c r="N114" s="1568">
        <v>6.3135270608976987E-2</v>
      </c>
      <c r="O114" s="1568">
        <v>2.2206264746511575E-2</v>
      </c>
      <c r="P114" s="1568">
        <v>1.6930487777923865E-2</v>
      </c>
      <c r="Q114" s="1679">
        <v>1.0000000000000011</v>
      </c>
    </row>
    <row r="115" spans="1:17">
      <c r="A115" s="1563" t="s">
        <v>2151</v>
      </c>
      <c r="B115" s="1564" t="s">
        <v>2140</v>
      </c>
      <c r="C115" s="1555"/>
      <c r="D115" s="1555"/>
      <c r="E115" s="1549"/>
      <c r="F115" s="1568">
        <v>0.60849463309007801</v>
      </c>
      <c r="G115" s="1568">
        <v>0.22607399221962246</v>
      </c>
      <c r="H115" s="1568">
        <v>5.4938827804092788E-2</v>
      </c>
      <c r="I115" s="1568">
        <v>1.3262709504539468E-2</v>
      </c>
      <c r="J115" s="1568">
        <v>3.8250427776992065E-4</v>
      </c>
      <c r="K115" s="1568">
        <v>1.1890987195124682E-2</v>
      </c>
      <c r="L115" s="1568">
        <v>4.990868330772395E-4</v>
      </c>
      <c r="M115" s="1568">
        <v>1.1646087651132186E-4</v>
      </c>
      <c r="N115" s="1568">
        <v>8.4305653956540133E-2</v>
      </c>
      <c r="O115" s="1568">
        <v>1.7572121321948765E-5</v>
      </c>
      <c r="P115" s="1568">
        <v>1.7572121321948765E-5</v>
      </c>
      <c r="Q115" s="1679">
        <v>0.99999999999999967</v>
      </c>
    </row>
    <row r="116" spans="1:17">
      <c r="A116" s="1563" t="s">
        <v>2152</v>
      </c>
      <c r="B116" s="1564" t="s">
        <v>2142</v>
      </c>
      <c r="C116" s="1555"/>
      <c r="D116" s="1555"/>
      <c r="E116" s="1549"/>
      <c r="F116" s="1568">
        <v>0.85376690442127146</v>
      </c>
      <c r="G116" s="1568">
        <v>3.100840333019218E-2</v>
      </c>
      <c r="H116" s="1568">
        <v>4.774764502830822E-3</v>
      </c>
      <c r="I116" s="1568">
        <v>6.0276777834239754E-3</v>
      </c>
      <c r="J116" s="1568">
        <v>8.5793390971479026E-3</v>
      </c>
      <c r="K116" s="1568">
        <v>1.7367269307045289E-3</v>
      </c>
      <c r="L116" s="1568">
        <v>2.3285412534961324E-3</v>
      </c>
      <c r="M116" s="1568">
        <v>5.4253137471727746E-4</v>
      </c>
      <c r="N116" s="1568">
        <v>9.1198683792456603E-2</v>
      </c>
      <c r="O116" s="1568">
        <v>1.8213756879591658E-5</v>
      </c>
      <c r="P116" s="1568">
        <v>1.8213756879591658E-5</v>
      </c>
      <c r="Q116" s="1679">
        <v>1</v>
      </c>
    </row>
    <row r="117" spans="1:17">
      <c r="A117" s="1563" t="s">
        <v>2153</v>
      </c>
      <c r="B117" s="1564" t="s">
        <v>2144</v>
      </c>
      <c r="C117" s="1555"/>
      <c r="D117" s="1555"/>
      <c r="E117" s="1549"/>
      <c r="F117" s="1568">
        <v>9.0909090909090912E-2</v>
      </c>
      <c r="G117" s="1568">
        <v>9.0909090909090912E-2</v>
      </c>
      <c r="H117" s="1568">
        <v>9.0909090909090912E-2</v>
      </c>
      <c r="I117" s="1568">
        <v>9.0909090909090912E-2</v>
      </c>
      <c r="J117" s="1568">
        <v>9.0909090909090912E-2</v>
      </c>
      <c r="K117" s="1568">
        <v>9.0909090909090912E-2</v>
      </c>
      <c r="L117" s="1568">
        <v>9.0909090909090912E-2</v>
      </c>
      <c r="M117" s="1568">
        <v>9.0909090909090912E-2</v>
      </c>
      <c r="N117" s="1568">
        <v>9.0909090909090912E-2</v>
      </c>
      <c r="O117" s="1568">
        <v>9.0909090909090912E-2</v>
      </c>
      <c r="P117" s="1568">
        <v>9.0909090909090912E-2</v>
      </c>
      <c r="Q117" s="1679">
        <v>1.0000000000000002</v>
      </c>
    </row>
    <row r="118" spans="1:17" s="1569" customFormat="1">
      <c r="A118" s="1538" t="s">
        <v>2154</v>
      </c>
      <c r="B118" s="1567" t="s">
        <v>2155</v>
      </c>
      <c r="C118" s="1560"/>
      <c r="D118" s="1560"/>
      <c r="E118" s="1567"/>
      <c r="F118" s="1552">
        <v>0.40098539794179883</v>
      </c>
      <c r="G118" s="1552">
        <v>0.26025588717000092</v>
      </c>
      <c r="H118" s="1552">
        <v>7.4747564569353109E-2</v>
      </c>
      <c r="I118" s="1552">
        <v>3.4284899259339379E-3</v>
      </c>
      <c r="J118" s="1552">
        <v>0.14783072004578568</v>
      </c>
      <c r="K118" s="1552">
        <v>9.4412932847637594E-3</v>
      </c>
      <c r="L118" s="1552">
        <v>3.9453084384303888E-4</v>
      </c>
      <c r="M118" s="1552">
        <v>4.5043152143081069E-4</v>
      </c>
      <c r="N118" s="1552">
        <v>6.7816045298881203E-2</v>
      </c>
      <c r="O118" s="1552">
        <v>1.8233594979557562E-2</v>
      </c>
      <c r="P118" s="1552">
        <v>1.641604441865116E-2</v>
      </c>
      <c r="Q118" s="1679">
        <v>0.99999999999999989</v>
      </c>
    </row>
    <row r="119" spans="1:17">
      <c r="A119" s="1563" t="s">
        <v>2156</v>
      </c>
      <c r="B119" s="1564" t="s">
        <v>2155</v>
      </c>
      <c r="C119" s="1555"/>
      <c r="D119" s="1555"/>
      <c r="E119" s="1549"/>
      <c r="F119" s="1552">
        <v>0.33520774129052761</v>
      </c>
      <c r="G119" s="1552">
        <v>0.27506428913224384</v>
      </c>
      <c r="H119" s="1552">
        <v>8.318960771839376E-2</v>
      </c>
      <c r="I119" s="1552">
        <v>1.4706687167195458E-3</v>
      </c>
      <c r="J119" s="1552">
        <v>0.18734864324103978</v>
      </c>
      <c r="K119" s="1552">
        <v>8.9248656670506219E-3</v>
      </c>
      <c r="L119" s="1552">
        <v>3.0526988410958881E-4</v>
      </c>
      <c r="M119" s="1552">
        <v>5.0682895215125874E-4</v>
      </c>
      <c r="N119" s="1552">
        <v>6.3578642557805043E-2</v>
      </c>
      <c r="O119" s="1552">
        <v>2.3189717069953489E-2</v>
      </c>
      <c r="P119" s="1552">
        <v>2.1213725770005316E-2</v>
      </c>
      <c r="Q119" s="1679">
        <v>1</v>
      </c>
    </row>
    <row r="120" spans="1:17">
      <c r="A120" s="1563" t="s">
        <v>2157</v>
      </c>
      <c r="B120" s="1564" t="s">
        <v>2155</v>
      </c>
      <c r="C120" s="1555"/>
      <c r="D120" s="1555"/>
      <c r="E120" s="1549"/>
      <c r="F120" s="1552">
        <v>0.34501594332241847</v>
      </c>
      <c r="G120" s="1552">
        <v>0.27997560142462197</v>
      </c>
      <c r="H120" s="1552">
        <v>8.2572145752059165E-2</v>
      </c>
      <c r="I120" s="1552">
        <v>1.361940477165798E-3</v>
      </c>
      <c r="J120" s="1552">
        <v>0.17972748271637373</v>
      </c>
      <c r="K120" s="1552">
        <v>8.6290546911378819E-3</v>
      </c>
      <c r="L120" s="1552">
        <v>2.7832442703616764E-4</v>
      </c>
      <c r="M120" s="1552">
        <v>4.377664297307837E-4</v>
      </c>
      <c r="N120" s="1552">
        <v>6.1586952901185557E-2</v>
      </c>
      <c r="O120" s="1552">
        <v>2.1832971350925781E-2</v>
      </c>
      <c r="P120" s="1552">
        <v>1.8581816507344612E-2</v>
      </c>
      <c r="Q120" s="1679">
        <v>0.99999999999999978</v>
      </c>
    </row>
    <row r="121" spans="1:17">
      <c r="A121" s="1563" t="s">
        <v>2158</v>
      </c>
      <c r="B121" s="1564" t="s">
        <v>2155</v>
      </c>
      <c r="C121" s="1555"/>
      <c r="D121" s="1555"/>
      <c r="E121" s="1549"/>
      <c r="F121" s="1552">
        <v>0.61674799414315384</v>
      </c>
      <c r="G121" s="1552">
        <v>0.21989624129938681</v>
      </c>
      <c r="H121" s="1552">
        <v>4.8348847358515239E-2</v>
      </c>
      <c r="I121" s="1552">
        <v>1.1792764248112599E-2</v>
      </c>
      <c r="J121" s="1552">
        <v>1.6359647005405884E-3</v>
      </c>
      <c r="K121" s="1552">
        <v>1.3097682458697262E-2</v>
      </c>
      <c r="L121" s="1552">
        <v>5.4817285844048361E-4</v>
      </c>
      <c r="M121" s="1552">
        <v>2.5985634373106308E-4</v>
      </c>
      <c r="N121" s="1552">
        <v>8.7403644910120482E-2</v>
      </c>
      <c r="O121" s="1552">
        <v>1.452972763192456E-4</v>
      </c>
      <c r="P121" s="1552">
        <v>1.2353440298234485E-4</v>
      </c>
      <c r="Q121" s="1679">
        <v>0.99999999999999978</v>
      </c>
    </row>
    <row r="122" spans="1:17">
      <c r="A122" s="1563" t="s">
        <v>2159</v>
      </c>
      <c r="B122" s="1564" t="s">
        <v>2155</v>
      </c>
      <c r="C122" s="1555"/>
      <c r="D122" s="1555"/>
      <c r="E122" s="1549"/>
      <c r="F122" s="1552">
        <v>0.93317331560748717</v>
      </c>
      <c r="G122" s="1552">
        <v>1.1202607211403013E-2</v>
      </c>
      <c r="H122" s="1552">
        <v>-9.6994716721944627E-3</v>
      </c>
      <c r="I122" s="1552">
        <v>6.8210565148394174E-3</v>
      </c>
      <c r="J122" s="1552">
        <v>-2.0143673336398205E-2</v>
      </c>
      <c r="K122" s="1552">
        <v>5.4919478820787801E-4</v>
      </c>
      <c r="L122" s="1552">
        <v>2.6276769271127752E-3</v>
      </c>
      <c r="M122" s="1552">
        <v>5.748042682841418E-4</v>
      </c>
      <c r="N122" s="1552">
        <v>7.7464557021949598E-2</v>
      </c>
      <c r="O122" s="1552">
        <v>-1.4809833192183349E-3</v>
      </c>
      <c r="P122" s="1552">
        <v>-1.0890840114731492E-3</v>
      </c>
      <c r="Q122" s="1679">
        <v>0.99999999999999989</v>
      </c>
    </row>
    <row r="123" spans="1:17">
      <c r="A123" s="1680" t="s">
        <v>2160</v>
      </c>
      <c r="B123" s="2028" t="s">
        <v>2155</v>
      </c>
      <c r="C123" s="1533"/>
      <c r="D123" s="1533"/>
      <c r="E123" s="1532"/>
      <c r="F123" s="1552">
        <v>0.42995629043129352</v>
      </c>
      <c r="G123" s="1552">
        <v>0.25642985713968153</v>
      </c>
      <c r="H123" s="1552">
        <v>7.0910583996450213E-2</v>
      </c>
      <c r="I123" s="1552">
        <v>3.2511526980861685E-3</v>
      </c>
      <c r="J123" s="1552">
        <v>0.13084435094905983</v>
      </c>
      <c r="K123" s="1552">
        <v>9.7468577646661562E-3</v>
      </c>
      <c r="L123" s="1552">
        <v>3.5109516169335624E-4</v>
      </c>
      <c r="M123" s="1552">
        <v>3.3898206851645145E-4</v>
      </c>
      <c r="N123" s="1552">
        <v>6.94780869007358E-2</v>
      </c>
      <c r="O123" s="1552">
        <v>1.625023862653055E-2</v>
      </c>
      <c r="P123" s="1552">
        <v>1.2442504263286287E-2</v>
      </c>
      <c r="Q123" s="1679">
        <v>0.99999999999999989</v>
      </c>
    </row>
    <row r="124" spans="1:17">
      <c r="A124" s="1680" t="s">
        <v>2161</v>
      </c>
      <c r="B124" s="1570" t="s">
        <v>2162</v>
      </c>
      <c r="C124" s="1571"/>
      <c r="D124" s="1571"/>
      <c r="E124" s="1570"/>
      <c r="F124" s="1572">
        <v>0.38452341873417689</v>
      </c>
      <c r="G124" s="1572">
        <v>0.27504575146355281</v>
      </c>
      <c r="H124" s="1572">
        <v>7.7419480420297268E-2</v>
      </c>
      <c r="I124" s="1572">
        <v>4.4713015966620718E-3</v>
      </c>
      <c r="J124" s="1572">
        <v>0.14197156672240743</v>
      </c>
      <c r="K124" s="1572">
        <v>9.4369913482660883E-3</v>
      </c>
      <c r="L124" s="1572">
        <v>4.2485676577430029E-4</v>
      </c>
      <c r="M124" s="1572">
        <v>6.0803040651676303E-4</v>
      </c>
      <c r="N124" s="1572">
        <v>7.3012172199791503E-2</v>
      </c>
      <c r="O124" s="1572">
        <v>1.6516134630733779E-2</v>
      </c>
      <c r="P124" s="1572">
        <v>1.657029571182117E-2</v>
      </c>
      <c r="Q124" s="1679">
        <v>1.0000000000000002</v>
      </c>
    </row>
    <row r="125" spans="1:17">
      <c r="A125" s="1563" t="s">
        <v>2163</v>
      </c>
      <c r="B125" s="1564" t="s">
        <v>2164</v>
      </c>
      <c r="C125" s="1573"/>
      <c r="D125" s="2029"/>
      <c r="E125" s="1574"/>
      <c r="F125" s="1575">
        <v>0.26549446044858993</v>
      </c>
      <c r="G125" s="1575">
        <v>0.64226681613912973</v>
      </c>
      <c r="H125" s="1575">
        <v>0.11317719336638161</v>
      </c>
      <c r="I125" s="1575">
        <v>3.3420935168962281E-2</v>
      </c>
      <c r="J125" s="1575">
        <v>-0.25127969147431284</v>
      </c>
      <c r="K125" s="1575">
        <v>1.8036593790436702E-2</v>
      </c>
      <c r="L125" s="1575">
        <v>1.3719180066211387E-3</v>
      </c>
      <c r="M125" s="1575">
        <v>4.4974199619120863E-3</v>
      </c>
      <c r="N125" s="1575">
        <v>0.24239689505740553</v>
      </c>
      <c r="O125" s="1575">
        <v>-6.0753738510700581E-2</v>
      </c>
      <c r="P125" s="1575">
        <v>-8.628801954426283E-3</v>
      </c>
      <c r="Q125" s="1679">
        <v>0.99999999999999933</v>
      </c>
    </row>
    <row r="126" spans="1:17">
      <c r="A126" s="1563" t="s">
        <v>2165</v>
      </c>
      <c r="B126" s="1564" t="s">
        <v>2164</v>
      </c>
      <c r="C126" s="1573"/>
      <c r="D126" s="2029"/>
      <c r="E126" s="1574"/>
      <c r="F126" s="1575">
        <v>0.44494749673508122</v>
      </c>
      <c r="G126" s="1575">
        <v>0.19136230493638018</v>
      </c>
      <c r="H126" s="1575">
        <v>6.3271705635543518E-2</v>
      </c>
      <c r="I126" s="1575">
        <v>-8.5967831501225869E-4</v>
      </c>
      <c r="J126" s="1575">
        <v>0.20569558043307568</v>
      </c>
      <c r="K126" s="1575">
        <v>8.68900230993052E-3</v>
      </c>
      <c r="L126" s="1575">
        <v>1.5562351583473544E-4</v>
      </c>
      <c r="M126" s="1575">
        <v>-5.614440976973781E-4</v>
      </c>
      <c r="N126" s="1575">
        <v>3.9131893196599911E-2</v>
      </c>
      <c r="O126" s="1575">
        <v>3.2474744590735613E-2</v>
      </c>
      <c r="P126" s="1575">
        <v>1.569277105952796E-2</v>
      </c>
      <c r="Q126" s="1679">
        <v>0.99999999999999978</v>
      </c>
    </row>
    <row r="127" spans="1:17">
      <c r="A127" s="1563" t="s">
        <v>2166</v>
      </c>
      <c r="B127" s="1564" t="s">
        <v>2164</v>
      </c>
      <c r="C127" s="1573"/>
      <c r="D127" s="2029"/>
      <c r="E127" s="1574"/>
      <c r="F127" s="1575">
        <v>0.27101856586351625</v>
      </c>
      <c r="G127" s="1575">
        <v>0.35807063524348243</v>
      </c>
      <c r="H127" s="1575">
        <v>9.7888430603556925E-2</v>
      </c>
      <c r="I127" s="1575">
        <v>2.7879314464053415E-3</v>
      </c>
      <c r="J127" s="1575">
        <v>0.1522133735996922</v>
      </c>
      <c r="K127" s="1575">
        <v>8.1641206010389586E-3</v>
      </c>
      <c r="L127" s="1575">
        <v>3.4741495200271526E-4</v>
      </c>
      <c r="M127" s="1575">
        <v>1.0771005166280688E-3</v>
      </c>
      <c r="N127" s="1575">
        <v>7.8314391895591293E-2</v>
      </c>
      <c r="O127" s="1575">
        <v>1.1936703614537169E-2</v>
      </c>
      <c r="P127" s="1575">
        <v>1.8181331663548638E-2</v>
      </c>
      <c r="Q127" s="1679">
        <v>0.99999999999999989</v>
      </c>
    </row>
    <row r="128" spans="1:17">
      <c r="A128" s="1563" t="s">
        <v>2167</v>
      </c>
      <c r="B128" s="1564" t="s">
        <v>2164</v>
      </c>
      <c r="C128" s="1573"/>
      <c r="D128" s="2029"/>
      <c r="E128" s="1574"/>
      <c r="F128" s="1575">
        <v>0.52148207989998585</v>
      </c>
      <c r="G128" s="1575">
        <v>0.27915612547877405</v>
      </c>
      <c r="H128" s="1575">
        <v>5.6358500263988476E-2</v>
      </c>
      <c r="I128" s="1575">
        <v>1.4500474774664322E-2</v>
      </c>
      <c r="J128" s="1575">
        <v>-1.1986174979247351E-4</v>
      </c>
      <c r="K128" s="1575">
        <v>1.3972020925793241E-2</v>
      </c>
      <c r="L128" s="1575">
        <v>7.087114932232333E-4</v>
      </c>
      <c r="M128" s="1575">
        <v>7.1459302716296016E-4</v>
      </c>
      <c r="N128" s="1575">
        <v>0.11331617094030944</v>
      </c>
      <c r="O128" s="1575">
        <v>-4.0444725747571626E-5</v>
      </c>
      <c r="P128" s="1575">
        <v>-4.8370328361584396E-5</v>
      </c>
      <c r="Q128" s="1679">
        <v>0.99999999999999978</v>
      </c>
    </row>
    <row r="129" spans="1:17">
      <c r="A129" s="1563" t="s">
        <v>2168</v>
      </c>
      <c r="B129" s="1564" t="s">
        <v>2164</v>
      </c>
      <c r="C129" s="1573"/>
      <c r="D129" s="2029"/>
      <c r="E129" s="1574"/>
      <c r="F129" s="1575">
        <v>0.99584082568423193</v>
      </c>
      <c r="G129" s="1575">
        <v>3.4244320734124943E-2</v>
      </c>
      <c r="H129" s="1575">
        <v>-2.3597472946677502E-2</v>
      </c>
      <c r="I129" s="1575">
        <v>6.1332612866287113E-3</v>
      </c>
      <c r="J129" s="1575">
        <v>-6.6281364844519672E-2</v>
      </c>
      <c r="K129" s="1575">
        <v>1.4265051684516309E-3</v>
      </c>
      <c r="L129" s="1575">
        <v>2.5444290470021634E-3</v>
      </c>
      <c r="M129" s="1575">
        <v>4.3803113095905336E-4</v>
      </c>
      <c r="N129" s="1575">
        <v>4.3552025052037167E-2</v>
      </c>
      <c r="O129" s="1575">
        <v>4.0097274309180047E-3</v>
      </c>
      <c r="P129" s="1575">
        <v>1.6897122568437157E-3</v>
      </c>
      <c r="Q129" s="1679">
        <v>1.0000000000000002</v>
      </c>
    </row>
    <row r="130" spans="1:17">
      <c r="A130" s="1680" t="s">
        <v>2169</v>
      </c>
      <c r="B130" s="1564" t="s">
        <v>2164</v>
      </c>
      <c r="C130" s="1573"/>
      <c r="D130" s="2029"/>
      <c r="E130" s="1574"/>
      <c r="F130" s="1575">
        <v>0.32640311613597067</v>
      </c>
      <c r="G130" s="1575">
        <v>0.3370916480254379</v>
      </c>
      <c r="H130" s="1575">
        <v>8.6511294699857744E-2</v>
      </c>
      <c r="I130" s="1575">
        <v>8.995943431639921E-3</v>
      </c>
      <c r="J130" s="1575">
        <v>0.11056364713464753</v>
      </c>
      <c r="K130" s="1575">
        <v>9.4394786986376454E-3</v>
      </c>
      <c r="L130" s="1575">
        <v>5.1446473140875513E-4</v>
      </c>
      <c r="M130" s="1575">
        <v>1.1867293641125317E-3</v>
      </c>
      <c r="N130" s="1575">
        <v>9.7500006281647594E-2</v>
      </c>
      <c r="O130" s="1575">
        <v>8.5409862788684253E-3</v>
      </c>
      <c r="P130" s="1575">
        <v>1.3252685217771414E-2</v>
      </c>
      <c r="Q130" s="1679">
        <v>1</v>
      </c>
    </row>
    <row r="131" spans="1:17">
      <c r="A131" s="1563" t="s">
        <v>2170</v>
      </c>
      <c r="B131" s="1564" t="s">
        <v>2171</v>
      </c>
      <c r="C131" s="1576"/>
      <c r="D131" s="1577"/>
      <c r="E131" s="1681"/>
      <c r="F131" s="1575">
        <v>0.41983605528325596</v>
      </c>
      <c r="G131" s="1575">
        <v>0.25449650950362007</v>
      </c>
      <c r="H131" s="1575">
        <v>7.1156288904607595E-2</v>
      </c>
      <c r="I131" s="1575">
        <v>4.8113948066727044E-3</v>
      </c>
      <c r="J131" s="1575">
        <v>0.1403833473090636</v>
      </c>
      <c r="K131" s="1575">
        <v>9.3475690100011388E-3</v>
      </c>
      <c r="L131" s="1575">
        <v>3.555954069082405E-4</v>
      </c>
      <c r="M131" s="1575">
        <v>3.4782943223432301E-4</v>
      </c>
      <c r="N131" s="1575">
        <v>6.8468502101613954E-2</v>
      </c>
      <c r="O131" s="1575">
        <v>1.7471557965877918E-2</v>
      </c>
      <c r="P131" s="1575">
        <v>1.3325350276144662E-2</v>
      </c>
      <c r="Q131" s="1679">
        <v>1</v>
      </c>
    </row>
    <row r="132" spans="1:17">
      <c r="A132" s="1563" t="s">
        <v>2172</v>
      </c>
      <c r="B132" s="1564" t="s">
        <v>2171</v>
      </c>
      <c r="C132" s="1576"/>
      <c r="D132" s="1577"/>
      <c r="E132" s="1681"/>
      <c r="F132" s="1575">
        <v>0.35812804814854488</v>
      </c>
      <c r="G132" s="1575">
        <v>0.27152561596323405</v>
      </c>
      <c r="H132" s="1575">
        <v>7.9773894604444284E-2</v>
      </c>
      <c r="I132" s="1575">
        <v>1.0737452135579093E-3</v>
      </c>
      <c r="J132" s="1575">
        <v>0.17818109893757492</v>
      </c>
      <c r="K132" s="1575">
        <v>8.3962721888507352E-3</v>
      </c>
      <c r="L132" s="1575">
        <v>2.8225284619313204E-4</v>
      </c>
      <c r="M132" s="1575">
        <v>3.63836426719484E-4</v>
      </c>
      <c r="N132" s="1575">
        <v>6.3135000062855828E-2</v>
      </c>
      <c r="O132" s="1575">
        <v>2.2207103640037921E-2</v>
      </c>
      <c r="P132" s="1575">
        <v>1.6933131967986865E-2</v>
      </c>
      <c r="Q132" s="1679">
        <v>1</v>
      </c>
    </row>
    <row r="133" spans="1:17">
      <c r="A133" s="1563" t="s">
        <v>2173</v>
      </c>
      <c r="B133" s="1564" t="s">
        <v>2171</v>
      </c>
      <c r="C133" s="1576"/>
      <c r="D133" s="1577"/>
      <c r="E133" s="1681"/>
      <c r="F133" s="1575">
        <v>0.35813996172964169</v>
      </c>
      <c r="G133" s="1575">
        <v>0.2715254646558789</v>
      </c>
      <c r="H133" s="1575">
        <v>7.9772204472460168E-2</v>
      </c>
      <c r="I133" s="1575">
        <v>1.0735125251442033E-3</v>
      </c>
      <c r="J133" s="1575">
        <v>0.17817489786137652</v>
      </c>
      <c r="K133" s="1575">
        <v>8.3959257178266664E-3</v>
      </c>
      <c r="L133" s="1575">
        <v>2.8224092378510452E-4</v>
      </c>
      <c r="M133" s="1575">
        <v>3.6376898047443145E-4</v>
      </c>
      <c r="N133" s="1575">
        <v>6.3135270608976932E-2</v>
      </c>
      <c r="O133" s="1575">
        <v>2.2206264746511536E-2</v>
      </c>
      <c r="P133" s="1575">
        <v>1.6930487777923851E-2</v>
      </c>
      <c r="Q133" s="1679">
        <v>1</v>
      </c>
    </row>
    <row r="134" spans="1:17">
      <c r="A134" s="1563" t="s">
        <v>2174</v>
      </c>
      <c r="B134" s="1564" t="s">
        <v>2171</v>
      </c>
      <c r="C134" s="1576"/>
      <c r="D134" s="1577"/>
      <c r="E134" s="1681"/>
      <c r="F134" s="1575">
        <v>0.64554063687476704</v>
      </c>
      <c r="G134" s="1575">
        <v>0.19275283611022881</v>
      </c>
      <c r="H134" s="1575">
        <v>3.9674935368705096E-2</v>
      </c>
      <c r="I134" s="1575">
        <v>1.8601508354733686E-2</v>
      </c>
      <c r="J134" s="1575">
        <v>1.469683555149871E-3</v>
      </c>
      <c r="K134" s="1575">
        <v>1.2892615607243111E-2</v>
      </c>
      <c r="L134" s="1575">
        <v>6.1607418133084084E-4</v>
      </c>
      <c r="M134" s="1575">
        <v>2.8762255680189454E-4</v>
      </c>
      <c r="N134" s="1575">
        <v>8.8029053828086956E-2</v>
      </c>
      <c r="O134" s="1575">
        <v>6.7516781476364897E-5</v>
      </c>
      <c r="P134" s="1575">
        <v>6.7516781476364897E-5</v>
      </c>
      <c r="Q134" s="1679">
        <v>1</v>
      </c>
    </row>
    <row r="135" spans="1:17">
      <c r="A135" s="1563" t="s">
        <v>2175</v>
      </c>
      <c r="B135" s="1564" t="s">
        <v>2171</v>
      </c>
      <c r="C135" s="1576"/>
      <c r="D135" s="1577"/>
      <c r="E135" s="1681"/>
      <c r="F135" s="1575">
        <v>0.87052581258056749</v>
      </c>
      <c r="G135" s="1575">
        <v>1.8007472907809415E-2</v>
      </c>
      <c r="H135" s="1575">
        <v>2.7476967384582171E-4</v>
      </c>
      <c r="I135" s="1575">
        <v>7.7035796472103429E-3</v>
      </c>
      <c r="J135" s="1575">
        <v>8.2906608011306109E-4</v>
      </c>
      <c r="K135" s="1575">
        <v>2.8727789916456184E-3</v>
      </c>
      <c r="L135" s="1575">
        <v>2.496927890393962E-3</v>
      </c>
      <c r="M135" s="1575">
        <v>5.817641061378765E-4</v>
      </c>
      <c r="N135" s="1575">
        <v>9.6697778836456666E-2</v>
      </c>
      <c r="O135" s="1575">
        <v>5.0246429097761285E-6</v>
      </c>
      <c r="P135" s="1575">
        <v>5.0246429097761285E-6</v>
      </c>
      <c r="Q135" s="1679">
        <v>0.99999999999999978</v>
      </c>
    </row>
    <row r="136" spans="1:17">
      <c r="A136" s="1680" t="s">
        <v>2176</v>
      </c>
      <c r="B136" s="1564" t="s">
        <v>2171</v>
      </c>
      <c r="C136" s="1576"/>
      <c r="D136" s="1577"/>
      <c r="E136" s="1681"/>
      <c r="F136" s="1575">
        <v>9.0909090909090912E-2</v>
      </c>
      <c r="G136" s="1575">
        <v>9.0909090909090912E-2</v>
      </c>
      <c r="H136" s="1575">
        <v>9.0909090909090912E-2</v>
      </c>
      <c r="I136" s="1575">
        <v>9.0909090909090912E-2</v>
      </c>
      <c r="J136" s="1575">
        <v>9.0909090909090912E-2</v>
      </c>
      <c r="K136" s="1575">
        <v>9.0909090909090912E-2</v>
      </c>
      <c r="L136" s="1575">
        <v>9.0909090909090912E-2</v>
      </c>
      <c r="M136" s="1575">
        <v>9.0909090909090912E-2</v>
      </c>
      <c r="N136" s="1575">
        <v>9.0909090909090912E-2</v>
      </c>
      <c r="O136" s="1575">
        <v>9.0909090909090912E-2</v>
      </c>
      <c r="P136" s="1575">
        <v>9.0909090909090912E-2</v>
      </c>
      <c r="Q136" s="1679">
        <v>1.0000000000000002</v>
      </c>
    </row>
    <row r="137" spans="1:17" ht="13.5" thickBot="1">
      <c r="A137" s="1578"/>
      <c r="B137" s="1579"/>
      <c r="C137" s="1580"/>
      <c r="D137" s="1581"/>
      <c r="E137" s="1582"/>
      <c r="F137" s="1583"/>
      <c r="G137" s="1584"/>
      <c r="H137" s="1584"/>
      <c r="I137" s="1584"/>
      <c r="J137" s="1584"/>
      <c r="K137" s="1584"/>
      <c r="L137" s="1584"/>
      <c r="M137" s="1584"/>
      <c r="N137" s="1584"/>
      <c r="O137" s="1584"/>
      <c r="P137" s="1584"/>
      <c r="Q137" s="1585"/>
    </row>
    <row r="138" spans="1:17" ht="14.25" thickTop="1" thickBot="1"/>
    <row r="139" spans="1:17" ht="13.5" thickBot="1">
      <c r="A139" s="1586">
        <v>1</v>
      </c>
      <c r="B139" s="1587">
        <v>2</v>
      </c>
      <c r="C139" s="1587">
        <v>3</v>
      </c>
      <c r="D139" s="1587">
        <v>4</v>
      </c>
      <c r="E139" s="1587">
        <v>5</v>
      </c>
      <c r="F139" s="1587">
        <v>6</v>
      </c>
      <c r="G139" s="1587">
        <v>7</v>
      </c>
      <c r="H139" s="1587">
        <v>8</v>
      </c>
      <c r="I139" s="1587">
        <v>9</v>
      </c>
      <c r="J139" s="1587">
        <v>10</v>
      </c>
      <c r="K139" s="1587">
        <v>11</v>
      </c>
      <c r="L139" s="1587">
        <v>12</v>
      </c>
      <c r="M139" s="1587">
        <v>13</v>
      </c>
      <c r="N139" s="1587">
        <v>14</v>
      </c>
      <c r="O139" s="1587">
        <v>15</v>
      </c>
      <c r="P139" s="1587">
        <v>16</v>
      </c>
      <c r="Q139" s="1588">
        <v>1</v>
      </c>
    </row>
    <row r="145" spans="6:17">
      <c r="F145" s="1589"/>
      <c r="Q145" s="1381"/>
    </row>
    <row r="147" spans="6:17">
      <c r="F147" s="1569"/>
      <c r="G147" s="1569"/>
      <c r="H147" s="1569"/>
      <c r="I147" s="1569"/>
      <c r="J147" s="1569"/>
      <c r="K147" s="1569"/>
      <c r="L147" s="1569"/>
      <c r="M147" s="1569"/>
      <c r="N147" s="1569"/>
      <c r="O147" s="1569"/>
      <c r="P147" s="1569"/>
      <c r="Q147" s="1381"/>
    </row>
    <row r="148" spans="6:17">
      <c r="F148" s="1590"/>
      <c r="G148" s="1590"/>
      <c r="H148" s="1590"/>
      <c r="I148" s="1590"/>
      <c r="J148" s="1590"/>
      <c r="K148" s="1590"/>
      <c r="L148" s="1590"/>
      <c r="M148" s="1590"/>
      <c r="N148" s="1590"/>
      <c r="O148" s="1590"/>
      <c r="P148" s="1590"/>
      <c r="Q148" s="1381"/>
    </row>
    <row r="149" spans="6:17">
      <c r="F149" s="1569"/>
      <c r="G149" s="1569"/>
      <c r="H149" s="1569"/>
      <c r="I149" s="1569"/>
      <c r="J149" s="1569"/>
      <c r="K149" s="1569"/>
      <c r="L149" s="1569"/>
      <c r="M149" s="1569"/>
      <c r="N149" s="1569"/>
      <c r="O149" s="1569"/>
      <c r="P149" s="1569"/>
      <c r="Q149" s="1381"/>
    </row>
    <row r="150" spans="6:17">
      <c r="F150" s="1569"/>
      <c r="G150" s="1569"/>
      <c r="H150" s="1569"/>
      <c r="I150" s="1569"/>
      <c r="J150" s="1569"/>
      <c r="K150" s="1569"/>
      <c r="L150" s="1569"/>
      <c r="M150" s="1569"/>
      <c r="N150" s="1569"/>
      <c r="O150" s="1569"/>
      <c r="P150" s="1569"/>
      <c r="Q150" s="1381"/>
    </row>
    <row r="151" spans="6:17">
      <c r="F151" s="1569"/>
      <c r="G151" s="1569"/>
      <c r="H151" s="1569"/>
      <c r="I151" s="1569"/>
      <c r="J151" s="1569"/>
      <c r="K151" s="1569"/>
      <c r="L151" s="1569"/>
      <c r="M151" s="1569"/>
      <c r="N151" s="1569"/>
      <c r="O151" s="1569"/>
      <c r="P151" s="1569"/>
      <c r="Q151" s="1381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"/>
  <sheetViews>
    <sheetView topLeftCell="E7" workbookViewId="0">
      <selection activeCell="N19" sqref="N19"/>
    </sheetView>
  </sheetViews>
  <sheetFormatPr defaultRowHeight="15.75"/>
  <cols>
    <col min="2" max="2" width="10.5" bestFit="1" customWidth="1"/>
    <col min="3" max="3" width="27.75" customWidth="1"/>
    <col min="4" max="4" width="13.125" customWidth="1"/>
    <col min="5" max="5" width="9.25" customWidth="1"/>
    <col min="6" max="6" width="7.25" customWidth="1"/>
    <col min="7" max="8" width="13.125" customWidth="1"/>
    <col min="9" max="9" width="12.625" customWidth="1"/>
    <col min="10" max="10" width="11.625" customWidth="1"/>
    <col min="11" max="11" width="11.75" customWidth="1"/>
    <col min="12" max="12" width="10.625" customWidth="1"/>
    <col min="13" max="13" width="13.125" customWidth="1"/>
    <col min="14" max="14" width="16.625" customWidth="1"/>
    <col min="15" max="15" width="4.625" customWidth="1"/>
    <col min="16" max="16" width="8.25" bestFit="1" customWidth="1"/>
    <col min="17" max="17" width="10.75" bestFit="1" customWidth="1"/>
    <col min="18" max="19" width="8.75" bestFit="1" customWidth="1"/>
  </cols>
  <sheetData>
    <row r="1" spans="1:19">
      <c r="A1" s="1382" t="s">
        <v>547</v>
      </c>
      <c r="B1" s="1382"/>
      <c r="C1" s="1382"/>
      <c r="D1" s="1382"/>
      <c r="E1" s="1382"/>
      <c r="F1" s="1382"/>
      <c r="G1" s="1382"/>
      <c r="H1" s="1382"/>
      <c r="I1" s="1382"/>
      <c r="J1" s="1382"/>
      <c r="K1" s="1382"/>
      <c r="L1" s="1382"/>
      <c r="M1" s="1382"/>
      <c r="N1" s="1382"/>
      <c r="O1" s="1382"/>
    </row>
    <row r="2" spans="1:19">
      <c r="A2" s="1383" t="s">
        <v>1758</v>
      </c>
      <c r="B2" s="1383"/>
      <c r="C2" s="1383"/>
      <c r="D2" s="1383"/>
      <c r="E2" s="1383"/>
      <c r="F2" s="1383"/>
      <c r="G2" s="1383"/>
      <c r="H2" s="1383"/>
      <c r="I2" s="1383"/>
      <c r="J2" s="1383"/>
      <c r="K2" s="1383"/>
      <c r="L2" s="1383"/>
      <c r="M2" s="1383"/>
      <c r="N2" s="1383"/>
      <c r="O2" s="1383"/>
    </row>
    <row r="3" spans="1:19">
      <c r="A3" s="1384" t="s">
        <v>83</v>
      </c>
      <c r="B3" s="1384"/>
      <c r="C3" s="1384"/>
      <c r="D3" s="1384"/>
      <c r="E3" s="1384"/>
      <c r="F3" s="1384"/>
      <c r="G3" s="1384"/>
      <c r="H3" s="1384"/>
      <c r="I3" s="1384"/>
      <c r="J3" s="1384"/>
      <c r="K3" s="1384"/>
      <c r="L3" s="1384"/>
      <c r="M3" s="1384"/>
      <c r="N3" s="1384"/>
      <c r="O3" s="1384"/>
    </row>
    <row r="4" spans="1:19">
      <c r="A4" s="1384" t="s">
        <v>1948</v>
      </c>
      <c r="B4" s="1384"/>
      <c r="C4" s="1384"/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  <c r="O4" s="1384"/>
    </row>
    <row r="5" spans="1:19">
      <c r="A5" s="1384" t="s">
        <v>1950</v>
      </c>
      <c r="B5" s="1384"/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384"/>
      <c r="O5" s="1384"/>
    </row>
    <row r="6" spans="1:19">
      <c r="A6" s="1412" t="s">
        <v>2317</v>
      </c>
      <c r="B6" s="1384"/>
      <c r="C6" s="1384"/>
      <c r="D6" s="1384"/>
      <c r="E6" s="1384"/>
      <c r="F6" s="1384"/>
      <c r="G6" s="1384"/>
      <c r="H6" s="1384"/>
      <c r="I6" s="1384"/>
      <c r="J6" s="1384"/>
      <c r="K6" s="1384"/>
      <c r="L6" s="1384"/>
      <c r="M6" s="1384"/>
      <c r="N6" s="1384"/>
      <c r="O6" s="1384"/>
    </row>
    <row r="7" spans="1:19">
      <c r="A7" s="1381"/>
      <c r="B7" s="1412"/>
      <c r="C7" s="1412"/>
      <c r="D7" s="1412"/>
      <c r="E7" s="1412"/>
      <c r="F7" s="1412"/>
      <c r="G7" s="1413"/>
      <c r="H7" s="1414"/>
      <c r="I7" s="1412"/>
      <c r="J7" s="1412"/>
      <c r="K7" s="1412"/>
      <c r="L7" s="1412"/>
      <c r="M7" s="1412"/>
      <c r="N7" s="1412"/>
      <c r="O7" s="1412"/>
    </row>
    <row r="8" spans="1:19" ht="16.5" thickBot="1">
      <c r="A8" s="1385"/>
      <c r="B8" s="1386" t="s">
        <v>84</v>
      </c>
      <c r="C8" s="1386" t="s">
        <v>85</v>
      </c>
      <c r="D8" s="1386" t="s">
        <v>86</v>
      </c>
      <c r="E8" s="1386" t="s">
        <v>87</v>
      </c>
      <c r="F8" s="1386" t="s">
        <v>88</v>
      </c>
      <c r="G8" s="1386" t="s">
        <v>89</v>
      </c>
      <c r="H8" s="1386" t="s">
        <v>90</v>
      </c>
      <c r="I8" s="1386" t="s">
        <v>91</v>
      </c>
      <c r="J8" s="1386" t="s">
        <v>92</v>
      </c>
      <c r="K8" s="1386" t="s">
        <v>147</v>
      </c>
      <c r="L8" s="1386" t="s">
        <v>1639</v>
      </c>
      <c r="M8" s="1386" t="s">
        <v>1640</v>
      </c>
      <c r="N8" s="1386" t="s">
        <v>1641</v>
      </c>
      <c r="O8" s="1386"/>
    </row>
    <row r="9" spans="1:19">
      <c r="A9" s="1387"/>
      <c r="B9" s="1387"/>
      <c r="C9" s="1387"/>
      <c r="D9" s="1387"/>
      <c r="E9" s="1388" t="s">
        <v>1759</v>
      </c>
      <c r="F9" s="1388" t="s">
        <v>1760</v>
      </c>
      <c r="G9" s="1388" t="s">
        <v>93</v>
      </c>
      <c r="H9" s="1388" t="s">
        <v>1761</v>
      </c>
      <c r="I9" s="1388" t="s">
        <v>1762</v>
      </c>
      <c r="J9" s="1388" t="s">
        <v>1763</v>
      </c>
      <c r="K9" s="1388" t="s">
        <v>1764</v>
      </c>
      <c r="L9" s="1388" t="s">
        <v>1765</v>
      </c>
      <c r="M9" s="1388" t="s">
        <v>1766</v>
      </c>
      <c r="N9" s="1388" t="s">
        <v>1767</v>
      </c>
      <c r="O9" s="1507"/>
    </row>
    <row r="10" spans="1:19">
      <c r="A10" s="1389" t="s">
        <v>217</v>
      </c>
      <c r="B10" s="1389" t="s">
        <v>218</v>
      </c>
      <c r="C10" s="1389" t="s">
        <v>220</v>
      </c>
      <c r="D10" s="1389" t="s">
        <v>494</v>
      </c>
      <c r="E10" s="1389" t="s">
        <v>1136</v>
      </c>
      <c r="F10" s="1389" t="s">
        <v>1768</v>
      </c>
      <c r="G10" s="1389" t="s">
        <v>1769</v>
      </c>
      <c r="H10" s="1389" t="s">
        <v>1769</v>
      </c>
      <c r="I10" s="1389" t="s">
        <v>1769</v>
      </c>
      <c r="J10" s="1389" t="s">
        <v>1769</v>
      </c>
      <c r="K10" s="1389" t="s">
        <v>1769</v>
      </c>
      <c r="L10" s="1389" t="s">
        <v>1769</v>
      </c>
      <c r="M10" s="1389" t="s">
        <v>1770</v>
      </c>
      <c r="N10" s="1389" t="s">
        <v>1771</v>
      </c>
      <c r="O10" s="1507"/>
      <c r="P10" s="1510" t="s">
        <v>463</v>
      </c>
      <c r="Q10" s="1510" t="s">
        <v>1951</v>
      </c>
      <c r="R10" s="1510" t="s">
        <v>2179</v>
      </c>
      <c r="S10" s="1510" t="s">
        <v>1952</v>
      </c>
    </row>
    <row r="11" spans="1:19" ht="16.5" thickBot="1">
      <c r="A11" s="1390" t="s">
        <v>219</v>
      </c>
      <c r="B11" s="1390" t="s">
        <v>219</v>
      </c>
      <c r="C11" s="1391"/>
      <c r="D11" s="1390" t="s">
        <v>82</v>
      </c>
      <c r="E11" s="1390" t="s">
        <v>1366</v>
      </c>
      <c r="F11" s="1390" t="s">
        <v>1772</v>
      </c>
      <c r="G11" s="1390" t="s">
        <v>1773</v>
      </c>
      <c r="H11" s="1390" t="s">
        <v>1773</v>
      </c>
      <c r="I11" s="1390" t="s">
        <v>1773</v>
      </c>
      <c r="J11" s="1390" t="s">
        <v>1773</v>
      </c>
      <c r="K11" s="1390" t="s">
        <v>1773</v>
      </c>
      <c r="L11" s="1390" t="s">
        <v>1773</v>
      </c>
      <c r="M11" s="1390" t="s">
        <v>1774</v>
      </c>
      <c r="N11" s="1390" t="s">
        <v>1775</v>
      </c>
      <c r="O11" s="1507"/>
      <c r="P11" s="1510"/>
      <c r="Q11" s="1510"/>
      <c r="R11" s="1510">
        <v>5</v>
      </c>
      <c r="S11" s="1510"/>
    </row>
    <row r="12" spans="1:19">
      <c r="A12" s="1392">
        <v>1</v>
      </c>
      <c r="B12" s="1393" t="s">
        <v>1776</v>
      </c>
      <c r="C12" s="1394" t="s">
        <v>103</v>
      </c>
      <c r="D12" s="1395">
        <v>730624116.89999998</v>
      </c>
      <c r="E12" s="1396">
        <v>5.6858203836917608E-2</v>
      </c>
      <c r="F12" s="1397">
        <v>0.83848862192128071</v>
      </c>
      <c r="G12" s="1395">
        <v>810821742.64517033</v>
      </c>
      <c r="H12" s="1395">
        <v>397666497.83607346</v>
      </c>
      <c r="I12" s="1395">
        <v>124621095.8598296</v>
      </c>
      <c r="J12" s="1395">
        <v>246358374.37668097</v>
      </c>
      <c r="K12" s="1395">
        <v>38397652.527116902</v>
      </c>
      <c r="L12" s="1395">
        <v>3778122.045469353</v>
      </c>
      <c r="M12" s="1395">
        <v>80197625.745170355</v>
      </c>
      <c r="N12" s="1396">
        <v>0.10976591641327786</v>
      </c>
      <c r="O12" s="1508"/>
      <c r="P12" s="1511">
        <f>M12/D12</f>
        <v>0.10976591641327786</v>
      </c>
      <c r="Q12" s="1511">
        <f>P12-$P$24</f>
        <v>7.1750593317082917E-2</v>
      </c>
      <c r="R12" s="1511">
        <f>ROUND(Q12/$R$11,2)</f>
        <v>0.01</v>
      </c>
      <c r="S12" s="1511">
        <f>N12-$S$24</f>
        <v>7.2619182617204403E-2</v>
      </c>
    </row>
    <row r="13" spans="1:19">
      <c r="A13" s="1398">
        <v>2</v>
      </c>
      <c r="B13" s="1393" t="s">
        <v>1777</v>
      </c>
      <c r="C13" s="1394" t="s">
        <v>1778</v>
      </c>
      <c r="D13" s="1395">
        <v>520136533.42320013</v>
      </c>
      <c r="E13" s="1396">
        <v>8.2456572109536205E-2</v>
      </c>
      <c r="F13" s="1397">
        <v>1.2159880694575573</v>
      </c>
      <c r="G13" s="1395">
        <v>499984713.81012368</v>
      </c>
      <c r="H13" s="1395">
        <v>320663906.94165003</v>
      </c>
      <c r="I13" s="1395">
        <v>96156912.7015706</v>
      </c>
      <c r="J13" s="1395">
        <v>80811767.534291998</v>
      </c>
      <c r="K13" s="1395">
        <v>118019.70665608742</v>
      </c>
      <c r="L13" s="1395">
        <v>2234106.9259549114</v>
      </c>
      <c r="M13" s="1395">
        <v>-20151819.613076448</v>
      </c>
      <c r="N13" s="1396">
        <v>-3.8743326642430381E-2</v>
      </c>
      <c r="O13" s="1508"/>
      <c r="P13" s="1511">
        <f>M13/D13</f>
        <v>-3.8743326642430381E-2</v>
      </c>
      <c r="Q13" s="1511">
        <f t="shared" ref="Q13:Q22" si="0">P13-$P$24</f>
        <v>-7.6758649738625312E-2</v>
      </c>
      <c r="R13" s="1511">
        <f t="shared" ref="R13:R22" si="1">ROUND(Q13/$R$11,2)</f>
        <v>-0.02</v>
      </c>
      <c r="S13" s="1511">
        <f t="shared" ref="S13:S22" si="2">N13-$S$24</f>
        <v>-7.5890060438503854E-2</v>
      </c>
    </row>
    <row r="14" spans="1:19">
      <c r="A14" s="1398">
        <v>3</v>
      </c>
      <c r="B14" s="1399" t="s">
        <v>679</v>
      </c>
      <c r="C14" s="1394" t="s">
        <v>1779</v>
      </c>
      <c r="D14" s="1395">
        <v>146556965.47299996</v>
      </c>
      <c r="E14" s="1396">
        <v>7.8087664643246416E-2</v>
      </c>
      <c r="F14" s="1397">
        <v>1.1515597380382596</v>
      </c>
      <c r="G14" s="1395">
        <v>144189273.68399128</v>
      </c>
      <c r="H14" s="1395">
        <v>97613915.7201249</v>
      </c>
      <c r="I14" s="1395">
        <v>28584693.915041439</v>
      </c>
      <c r="J14" s="1395">
        <v>17859993.464318454</v>
      </c>
      <c r="K14" s="1395">
        <v>-486857.41093877074</v>
      </c>
      <c r="L14" s="1395">
        <v>617527.99544526683</v>
      </c>
      <c r="M14" s="1395">
        <v>-2367691.789008677</v>
      </c>
      <c r="N14" s="1396">
        <v>-1.615543677072704E-2</v>
      </c>
      <c r="O14" s="1508"/>
      <c r="P14" s="1511">
        <f t="shared" ref="P14:P22" si="3">M14/D14</f>
        <v>-1.615543677072704E-2</v>
      </c>
      <c r="Q14" s="1511">
        <f t="shared" si="0"/>
        <v>-5.4170759866921978E-2</v>
      </c>
      <c r="R14" s="1511">
        <f t="shared" si="1"/>
        <v>-0.01</v>
      </c>
      <c r="S14" s="1511">
        <f t="shared" si="2"/>
        <v>-5.3302170566800505E-2</v>
      </c>
    </row>
    <row r="15" spans="1:19">
      <c r="A15" s="1398">
        <v>4</v>
      </c>
      <c r="B15" s="1393" t="s">
        <v>1732</v>
      </c>
      <c r="C15" s="1394" t="s">
        <v>1780</v>
      </c>
      <c r="D15" s="1395">
        <v>8495896.4890000001</v>
      </c>
      <c r="E15" s="1396">
        <v>0.15035654972070339</v>
      </c>
      <c r="F15" s="1397">
        <v>2.2173098632126211</v>
      </c>
      <c r="G15" s="1395">
        <v>6545700.8583386531</v>
      </c>
      <c r="H15" s="1395">
        <v>1674047.9364337926</v>
      </c>
      <c r="I15" s="1395">
        <v>419318.5101836723</v>
      </c>
      <c r="J15" s="1395">
        <v>4183380.8995368206</v>
      </c>
      <c r="K15" s="1395">
        <v>240585.8098420251</v>
      </c>
      <c r="L15" s="1395">
        <v>28367.702342342731</v>
      </c>
      <c r="M15" s="1395">
        <v>-1950195.6306613469</v>
      </c>
      <c r="N15" s="1396">
        <v>-0.22954559688743248</v>
      </c>
      <c r="O15" s="1508"/>
      <c r="P15" s="1511">
        <f t="shared" si="3"/>
        <v>-0.22954559688743248</v>
      </c>
      <c r="Q15" s="1511">
        <f t="shared" si="0"/>
        <v>-0.26756091998362741</v>
      </c>
      <c r="R15" s="1511">
        <f t="shared" si="1"/>
        <v>-0.05</v>
      </c>
      <c r="S15" s="1511">
        <f t="shared" si="2"/>
        <v>-0.26669233068350595</v>
      </c>
    </row>
    <row r="16" spans="1:19">
      <c r="A16" s="1398">
        <v>5</v>
      </c>
      <c r="B16" s="1393" t="s">
        <v>1781</v>
      </c>
      <c r="C16" s="1394" t="s">
        <v>1782</v>
      </c>
      <c r="D16" s="1395">
        <v>268905447.56279993</v>
      </c>
      <c r="E16" s="1396">
        <v>6.081908932940109E-2</v>
      </c>
      <c r="F16" s="1397">
        <v>0.89689984834176895</v>
      </c>
      <c r="G16" s="1395">
        <v>287522467.70319831</v>
      </c>
      <c r="H16" s="1395">
        <v>223333530.62959591</v>
      </c>
      <c r="I16" s="1395">
        <v>64269115.568311512</v>
      </c>
      <c r="J16" s="1395">
        <v>-244126.70873946603</v>
      </c>
      <c r="K16" s="1395">
        <v>-974066.59294821403</v>
      </c>
      <c r="L16" s="1395">
        <v>1138014.8069785147</v>
      </c>
      <c r="M16" s="1395">
        <v>18617020.140398383</v>
      </c>
      <c r="N16" s="1396">
        <v>6.9232588291282496E-2</v>
      </c>
      <c r="O16" s="1508"/>
      <c r="P16" s="1511">
        <f t="shared" si="3"/>
        <v>6.9232588291282496E-2</v>
      </c>
      <c r="Q16" s="1511">
        <f t="shared" si="0"/>
        <v>3.1217265195087558E-2</v>
      </c>
      <c r="R16" s="1511">
        <f t="shared" si="1"/>
        <v>0.01</v>
      </c>
      <c r="S16" s="1511">
        <f t="shared" si="2"/>
        <v>3.208585449520903E-2</v>
      </c>
    </row>
    <row r="17" spans="1:19">
      <c r="A17" s="1398">
        <v>6</v>
      </c>
      <c r="B17" s="1393" t="s">
        <v>20</v>
      </c>
      <c r="C17" s="1394" t="s">
        <v>227</v>
      </c>
      <c r="D17" s="1395">
        <v>17699554.453499999</v>
      </c>
      <c r="E17" s="1396">
        <v>6.6478517944345727E-2</v>
      </c>
      <c r="F17" s="1397">
        <v>0.98035951079993588</v>
      </c>
      <c r="G17" s="1395">
        <v>18553053.257647533</v>
      </c>
      <c r="H17" s="1395">
        <v>10595457.782788809</v>
      </c>
      <c r="I17" s="1395">
        <v>3052194.6658107941</v>
      </c>
      <c r="J17" s="1395">
        <v>4901550.1762315435</v>
      </c>
      <c r="K17" s="1395">
        <v>-81609.656885537159</v>
      </c>
      <c r="L17" s="1395">
        <v>85460.289701922593</v>
      </c>
      <c r="M17" s="1395">
        <v>853498.80414753407</v>
      </c>
      <c r="N17" s="1396">
        <v>4.8221485257712741E-2</v>
      </c>
      <c r="O17" s="1508"/>
      <c r="P17" s="1511">
        <f t="shared" si="3"/>
        <v>4.8221485257712741E-2</v>
      </c>
      <c r="Q17" s="1511">
        <f t="shared" si="0"/>
        <v>1.0206162161517804E-2</v>
      </c>
      <c r="R17" s="1511">
        <f t="shared" si="1"/>
        <v>0</v>
      </c>
      <c r="S17" s="1511">
        <f t="shared" si="2"/>
        <v>1.1074751461639276E-2</v>
      </c>
    </row>
    <row r="18" spans="1:19">
      <c r="A18" s="1398">
        <v>7</v>
      </c>
      <c r="B18" s="1400">
        <v>15</v>
      </c>
      <c r="C18" s="1394" t="s">
        <v>1783</v>
      </c>
      <c r="D18" s="1395">
        <v>802613.05110000004</v>
      </c>
      <c r="E18" s="1396">
        <v>8.942976730013838E-2</v>
      </c>
      <c r="F18" s="1397">
        <v>1.3188218635486706</v>
      </c>
      <c r="G18" s="1395">
        <v>752049.17711453966</v>
      </c>
      <c r="H18" s="1395">
        <v>355813.80176895787</v>
      </c>
      <c r="I18" s="1395">
        <v>92989.107053857661</v>
      </c>
      <c r="J18" s="1395">
        <v>202247.41014886863</v>
      </c>
      <c r="K18" s="1395">
        <v>97929.548772943788</v>
      </c>
      <c r="L18" s="1395">
        <v>3069.3093699117217</v>
      </c>
      <c r="M18" s="1395">
        <v>-50563.873985460377</v>
      </c>
      <c r="N18" s="1396">
        <v>-6.2999067752712717E-2</v>
      </c>
      <c r="O18" s="1508"/>
      <c r="P18" s="1511">
        <f t="shared" si="3"/>
        <v>-6.2999067752712717E-2</v>
      </c>
      <c r="Q18" s="1511">
        <f t="shared" si="0"/>
        <v>-0.10101439084890765</v>
      </c>
      <c r="R18" s="1511">
        <f t="shared" si="1"/>
        <v>-0.02</v>
      </c>
      <c r="S18" s="1511">
        <f t="shared" si="2"/>
        <v>-0.10014580154878619</v>
      </c>
    </row>
    <row r="19" spans="1:19">
      <c r="A19" s="1398">
        <v>8</v>
      </c>
      <c r="B19" s="1400">
        <v>15</v>
      </c>
      <c r="C19" s="1394" t="s">
        <v>1784</v>
      </c>
      <c r="D19" s="1395">
        <v>1155315.3560000001</v>
      </c>
      <c r="E19" s="1396">
        <v>0.18526911197086554</v>
      </c>
      <c r="F19" s="1397">
        <v>2.7321658423575714</v>
      </c>
      <c r="G19" s="1395">
        <v>797023.18971369055</v>
      </c>
      <c r="H19" s="1395">
        <v>564000.30060168635</v>
      </c>
      <c r="I19" s="1395">
        <v>126489.2730898451</v>
      </c>
      <c r="J19" s="1395">
        <v>83090.491177924792</v>
      </c>
      <c r="K19" s="1395">
        <v>20542.74700507912</v>
      </c>
      <c r="L19" s="1395">
        <v>2900.37783915513</v>
      </c>
      <c r="M19" s="1395">
        <v>-358292.1662863096</v>
      </c>
      <c r="N19" s="1396">
        <v>-0.31012499264859555</v>
      </c>
      <c r="O19" s="1508"/>
      <c r="P19" s="1511">
        <f t="shared" si="3"/>
        <v>-0.31012499264859555</v>
      </c>
      <c r="Q19" s="1511">
        <f t="shared" si="0"/>
        <v>-0.34814031574479049</v>
      </c>
      <c r="R19" s="1511">
        <f t="shared" si="1"/>
        <v>-7.0000000000000007E-2</v>
      </c>
      <c r="S19" s="1511">
        <f t="shared" si="2"/>
        <v>-0.34727172644466903</v>
      </c>
    </row>
    <row r="20" spans="1:19">
      <c r="A20" s="1398">
        <v>9</v>
      </c>
      <c r="B20" s="1393" t="s">
        <v>1785</v>
      </c>
      <c r="C20" s="1394" t="s">
        <v>1786</v>
      </c>
      <c r="D20" s="1395">
        <v>138042124.46920002</v>
      </c>
      <c r="E20" s="1396">
        <v>8.6560383647838329E-2</v>
      </c>
      <c r="F20" s="1397">
        <v>1.2765070280100501</v>
      </c>
      <c r="G20" s="1395">
        <v>130038022.81566313</v>
      </c>
      <c r="H20" s="1395">
        <v>73798137.370807692</v>
      </c>
      <c r="I20" s="1395">
        <v>20768983.704585459</v>
      </c>
      <c r="J20" s="1395">
        <v>32322820.538878031</v>
      </c>
      <c r="K20" s="1395">
        <v>2541546.3681196584</v>
      </c>
      <c r="L20" s="1395">
        <v>606534.83327231405</v>
      </c>
      <c r="M20" s="1395">
        <v>-8004101.653536886</v>
      </c>
      <c r="N20" s="1396">
        <v>-5.7983037310634568E-2</v>
      </c>
      <c r="O20" s="1508"/>
      <c r="P20" s="1511">
        <f t="shared" si="3"/>
        <v>-5.7983037310634568E-2</v>
      </c>
      <c r="Q20" s="1511">
        <f t="shared" si="0"/>
        <v>-9.5998360406829505E-2</v>
      </c>
      <c r="R20" s="1511">
        <f t="shared" si="1"/>
        <v>-0.02</v>
      </c>
      <c r="S20" s="1511">
        <f t="shared" si="2"/>
        <v>-9.5129771106708033E-2</v>
      </c>
    </row>
    <row r="21" spans="1:19">
      <c r="A21" s="1398">
        <v>10</v>
      </c>
      <c r="B21" s="1393" t="s">
        <v>1787</v>
      </c>
      <c r="C21" s="1394" t="s">
        <v>1788</v>
      </c>
      <c r="D21" s="1395">
        <v>31382219.961599998</v>
      </c>
      <c r="E21" s="1396">
        <v>4.6178613908301913E-2</v>
      </c>
      <c r="F21" s="1397">
        <v>0.6809965796539319</v>
      </c>
      <c r="G21" s="1395">
        <v>36148877.350871421</v>
      </c>
      <c r="H21" s="1395">
        <v>27984731.581958216</v>
      </c>
      <c r="I21" s="1395">
        <v>8033540.4765147157</v>
      </c>
      <c r="J21" s="1395">
        <v>51970.340173094657</v>
      </c>
      <c r="K21" s="1395">
        <v>-63054.196523964441</v>
      </c>
      <c r="L21" s="1395">
        <v>141689.14874935665</v>
      </c>
      <c r="M21" s="1395">
        <v>4766657.3892714232</v>
      </c>
      <c r="N21" s="1396">
        <v>0.15189038235994823</v>
      </c>
      <c r="O21" s="1508"/>
      <c r="P21" s="1511">
        <f t="shared" si="3"/>
        <v>0.15189038235994823</v>
      </c>
      <c r="Q21" s="1511">
        <f t="shared" si="0"/>
        <v>0.1138750592637533</v>
      </c>
      <c r="R21" s="1511">
        <f t="shared" si="1"/>
        <v>0.02</v>
      </c>
      <c r="S21" s="1511">
        <f t="shared" si="2"/>
        <v>0.11474364856387476</v>
      </c>
    </row>
    <row r="22" spans="1:19">
      <c r="A22" s="1398">
        <v>11</v>
      </c>
      <c r="B22" s="1393" t="s">
        <v>1787</v>
      </c>
      <c r="C22" s="1394" t="s">
        <v>1789</v>
      </c>
      <c r="D22" s="1395">
        <v>31485131.144999996</v>
      </c>
      <c r="E22" s="1396">
        <v>7.0948479816345639E-2</v>
      </c>
      <c r="F22" s="1397">
        <v>1.0462780927664721</v>
      </c>
      <c r="G22" s="1395">
        <v>31982900.335817404</v>
      </c>
      <c r="H22" s="1395">
        <v>25382836.926551282</v>
      </c>
      <c r="I22" s="1395">
        <v>6494426.0680564297</v>
      </c>
      <c r="J22" s="1395">
        <v>45464.676725140249</v>
      </c>
      <c r="K22" s="1395">
        <v>-47854.821203172993</v>
      </c>
      <c r="L22" s="1395">
        <v>108027.48568772241</v>
      </c>
      <c r="M22" s="1395">
        <v>497769.19081740826</v>
      </c>
      <c r="N22" s="1396">
        <v>1.5809659122110933E-2</v>
      </c>
      <c r="O22" s="1508"/>
      <c r="P22" s="1511">
        <f t="shared" si="3"/>
        <v>1.5809659122110933E-2</v>
      </c>
      <c r="Q22" s="1511">
        <f t="shared" si="0"/>
        <v>-2.2205663974084005E-2</v>
      </c>
      <c r="R22" s="1511">
        <f t="shared" si="1"/>
        <v>0</v>
      </c>
      <c r="S22" s="1511">
        <f t="shared" si="2"/>
        <v>-2.1337074673962533E-2</v>
      </c>
    </row>
    <row r="23" spans="1:19">
      <c r="A23" s="1401"/>
      <c r="B23" s="1402"/>
      <c r="C23" s="1402"/>
      <c r="D23" s="1403"/>
      <c r="E23" s="1402"/>
      <c r="F23" s="1404"/>
      <c r="G23" s="1403"/>
      <c r="H23" s="1403"/>
      <c r="I23" s="1403"/>
      <c r="J23" s="1403"/>
      <c r="K23" s="1403"/>
      <c r="L23" s="1403"/>
      <c r="M23" s="1402"/>
      <c r="N23" s="1415"/>
      <c r="O23" s="1508"/>
      <c r="P23" s="1511"/>
      <c r="Q23" s="1511"/>
      <c r="R23" s="1511"/>
      <c r="S23" s="1511"/>
    </row>
    <row r="24" spans="1:19">
      <c r="A24" s="1401">
        <v>12</v>
      </c>
      <c r="B24" s="1402"/>
      <c r="C24" s="1389" t="s">
        <v>1790</v>
      </c>
      <c r="D24" s="1403">
        <v>1895285918.2844002</v>
      </c>
      <c r="E24" s="1405">
        <v>6.7810346318874185E-2</v>
      </c>
      <c r="F24" s="1404">
        <v>1</v>
      </c>
      <c r="G24" s="1403">
        <v>1967335824.8276501</v>
      </c>
      <c r="H24" s="1403">
        <v>1179632876.8283548</v>
      </c>
      <c r="I24" s="1403">
        <v>352619759.85004789</v>
      </c>
      <c r="J24" s="1403">
        <v>386576533.19942337</v>
      </c>
      <c r="K24" s="1403">
        <v>39762834.029013053</v>
      </c>
      <c r="L24" s="1403">
        <v>8743820.9208107702</v>
      </c>
      <c r="M24" s="1402">
        <v>72049906.543249995</v>
      </c>
      <c r="N24" s="1415">
        <v>3.8015323096194938E-2</v>
      </c>
      <c r="O24" s="1508"/>
      <c r="P24" s="1511">
        <f t="shared" ref="P24" si="4">M24/D24</f>
        <v>3.8015323096194938E-2</v>
      </c>
      <c r="Q24" s="1511">
        <f t="shared" ref="Q24" si="5">P24-$P$24</f>
        <v>0</v>
      </c>
      <c r="R24" s="1511">
        <f t="shared" ref="R24" si="6">Q24/2</f>
        <v>0</v>
      </c>
      <c r="S24" s="1511">
        <f>RateSpread!O74</f>
        <v>3.7146733796073465E-2</v>
      </c>
    </row>
    <row r="25" spans="1:19" ht="16.5" thickBot="1">
      <c r="A25" s="1406"/>
      <c r="B25" s="1391"/>
      <c r="C25" s="1391"/>
      <c r="D25" s="1407"/>
      <c r="E25" s="1408"/>
      <c r="F25" s="1409"/>
      <c r="G25" s="1407"/>
      <c r="H25" s="1407"/>
      <c r="I25" s="1407"/>
      <c r="J25" s="1407"/>
      <c r="K25" s="1407"/>
      <c r="L25" s="1407"/>
      <c r="M25" s="1416"/>
      <c r="N25" s="1417"/>
      <c r="O25" s="1509"/>
    </row>
    <row r="26" spans="1:19">
      <c r="A26" s="1381"/>
      <c r="B26" s="1381"/>
      <c r="C26" s="1381"/>
      <c r="D26" s="1381"/>
      <c r="E26" s="1381"/>
      <c r="F26" s="1381"/>
      <c r="G26" s="1381"/>
      <c r="H26" s="1381"/>
      <c r="I26" s="1381"/>
      <c r="J26" s="1381"/>
      <c r="K26" s="1381"/>
      <c r="L26" s="1381"/>
      <c r="M26" s="1381"/>
      <c r="N26" s="1381"/>
      <c r="O26" s="1381"/>
    </row>
    <row r="27" spans="1:19">
      <c r="A27" s="1381"/>
      <c r="B27" s="1381"/>
      <c r="C27" s="1381"/>
      <c r="D27" s="1381"/>
      <c r="E27" s="1381"/>
      <c r="F27" s="1381"/>
      <c r="G27" s="1381"/>
      <c r="H27" s="1381"/>
      <c r="I27" s="1381"/>
      <c r="J27" s="1381"/>
      <c r="K27" s="1381"/>
      <c r="L27" s="1381"/>
      <c r="M27" s="1381"/>
      <c r="N27" s="1381"/>
      <c r="O27" s="1381"/>
    </row>
    <row r="28" spans="1:19">
      <c r="A28" s="1411" t="s">
        <v>1791</v>
      </c>
      <c r="B28" s="1385"/>
      <c r="C28" s="1385"/>
      <c r="D28" s="1410"/>
      <c r="E28" s="1385"/>
      <c r="F28" s="1385"/>
      <c r="G28" s="1385"/>
      <c r="H28" s="1385"/>
      <c r="I28" s="1381"/>
      <c r="J28" s="1381"/>
      <c r="K28" s="1381"/>
      <c r="L28" s="1381"/>
      <c r="M28" s="1381"/>
      <c r="N28" s="1381"/>
      <c r="O28" s="1381"/>
    </row>
    <row r="29" spans="1:19">
      <c r="A29" s="1385"/>
      <c r="B29" s="1385" t="s">
        <v>1792</v>
      </c>
      <c r="C29" s="1385" t="s">
        <v>2215</v>
      </c>
      <c r="D29" s="1385"/>
      <c r="E29" s="1385"/>
      <c r="F29" s="1385"/>
      <c r="G29" s="1385"/>
      <c r="H29" s="1385"/>
      <c r="I29" s="1381"/>
      <c r="J29" s="1381"/>
      <c r="K29" s="1381"/>
      <c r="L29" s="1381"/>
      <c r="M29" s="1381"/>
      <c r="N29" s="1381"/>
      <c r="O29" s="1381"/>
    </row>
    <row r="30" spans="1:19">
      <c r="A30" s="1385"/>
      <c r="B30" s="1385" t="s">
        <v>1793</v>
      </c>
      <c r="C30" s="1385" t="s">
        <v>2216</v>
      </c>
      <c r="D30" s="1385"/>
      <c r="E30" s="1385"/>
      <c r="F30" s="1385"/>
      <c r="G30" s="1385"/>
      <c r="H30" s="1385"/>
      <c r="I30" s="1381"/>
      <c r="J30" s="1381"/>
      <c r="K30" s="1381"/>
      <c r="L30" s="1381"/>
      <c r="M30" s="1381"/>
      <c r="N30" s="1381"/>
      <c r="O30" s="1381"/>
    </row>
    <row r="31" spans="1:19">
      <c r="A31" s="1385"/>
      <c r="B31" s="1385" t="s">
        <v>1794</v>
      </c>
      <c r="C31" s="1385" t="s">
        <v>1795</v>
      </c>
      <c r="D31" s="1385"/>
      <c r="E31" s="1385"/>
      <c r="F31" s="1385"/>
      <c r="G31" s="1385"/>
      <c r="H31" s="1385"/>
      <c r="I31" s="1381"/>
      <c r="J31" s="1381"/>
      <c r="K31" s="1381"/>
      <c r="L31" s="1381"/>
      <c r="M31" s="1381"/>
      <c r="N31" s="1381"/>
      <c r="O31" s="1381"/>
    </row>
    <row r="32" spans="1:19">
      <c r="A32" s="1385"/>
      <c r="B32" s="1385" t="s">
        <v>1796</v>
      </c>
      <c r="C32" s="1385" t="s">
        <v>2217</v>
      </c>
      <c r="D32" s="1385"/>
      <c r="E32" s="1385"/>
      <c r="F32" s="1385"/>
      <c r="G32" s="1385"/>
      <c r="H32" s="1385"/>
      <c r="I32" s="1381"/>
      <c r="J32" s="1381"/>
      <c r="K32" s="1381"/>
      <c r="L32" s="1381"/>
      <c r="M32" s="1381"/>
      <c r="N32" s="1381"/>
      <c r="O32" s="1381"/>
    </row>
    <row r="33" spans="1:15">
      <c r="A33" s="1385"/>
      <c r="B33" s="1385" t="s">
        <v>1797</v>
      </c>
      <c r="C33" s="1385" t="s">
        <v>2218</v>
      </c>
      <c r="D33" s="1385"/>
      <c r="E33" s="1385"/>
      <c r="F33" s="1385"/>
      <c r="G33" s="1385"/>
      <c r="H33" s="1385"/>
      <c r="I33" s="1381"/>
      <c r="J33" s="1381"/>
      <c r="K33" s="1381"/>
      <c r="L33" s="1381"/>
      <c r="M33" s="1381"/>
      <c r="N33" s="1381"/>
      <c r="O33" s="1381"/>
    </row>
    <row r="34" spans="1:15">
      <c r="A34" s="1385"/>
      <c r="B34" s="1385" t="s">
        <v>1798</v>
      </c>
      <c r="C34" s="1385" t="s">
        <v>2219</v>
      </c>
      <c r="D34" s="1385"/>
      <c r="E34" s="1385"/>
      <c r="F34" s="1385"/>
      <c r="G34" s="1385"/>
      <c r="H34" s="1385"/>
      <c r="I34" s="1381"/>
      <c r="J34" s="1381"/>
      <c r="K34" s="1381"/>
      <c r="L34" s="1381"/>
      <c r="M34" s="1381"/>
      <c r="N34" s="1381"/>
      <c r="O34" s="1381"/>
    </row>
    <row r="35" spans="1:15">
      <c r="A35" s="1385"/>
      <c r="B35" s="1385" t="s">
        <v>1799</v>
      </c>
      <c r="C35" s="1385" t="s">
        <v>2220</v>
      </c>
      <c r="D35" s="1385"/>
      <c r="E35" s="1385"/>
      <c r="F35" s="1385"/>
      <c r="G35" s="1385"/>
      <c r="H35" s="1385"/>
      <c r="I35" s="1381"/>
      <c r="J35" s="1381"/>
      <c r="K35" s="1381"/>
      <c r="L35" s="1381"/>
      <c r="M35" s="1381"/>
      <c r="N35" s="1381"/>
      <c r="O35" s="1381"/>
    </row>
    <row r="36" spans="1:15">
      <c r="A36" s="1385"/>
      <c r="B36" s="1385" t="s">
        <v>1800</v>
      </c>
      <c r="C36" s="1385" t="s">
        <v>2221</v>
      </c>
      <c r="D36" s="1385"/>
      <c r="E36" s="1385"/>
      <c r="F36" s="1385"/>
      <c r="G36" s="1385"/>
      <c r="H36" s="1385"/>
      <c r="I36" s="1381"/>
      <c r="J36" s="1381"/>
      <c r="K36" s="1381"/>
      <c r="L36" s="1381"/>
      <c r="M36" s="1381"/>
      <c r="N36" s="1381"/>
      <c r="O36" s="1381"/>
    </row>
    <row r="37" spans="1:15">
      <c r="A37" s="1385"/>
      <c r="B37" s="1385" t="s">
        <v>1801</v>
      </c>
      <c r="C37" s="1385" t="s">
        <v>2222</v>
      </c>
      <c r="D37" s="1385"/>
      <c r="E37" s="1385"/>
      <c r="F37" s="1385"/>
      <c r="G37" s="1385"/>
      <c r="H37" s="1385"/>
      <c r="I37" s="1381"/>
      <c r="J37" s="1381"/>
      <c r="K37" s="1381"/>
      <c r="L37" s="1381"/>
      <c r="M37" s="1381"/>
      <c r="N37" s="1381"/>
      <c r="O37" s="1381"/>
    </row>
    <row r="38" spans="1:15">
      <c r="A38" s="1385"/>
      <c r="B38" s="1385" t="s">
        <v>1802</v>
      </c>
      <c r="C38" s="1385" t="s">
        <v>1803</v>
      </c>
      <c r="D38" s="1385"/>
      <c r="E38" s="1385"/>
      <c r="F38" s="1385"/>
      <c r="G38" s="1385"/>
      <c r="H38" s="1385"/>
      <c r="I38" s="1381"/>
      <c r="J38" s="1381"/>
      <c r="K38" s="1381"/>
      <c r="L38" s="1381"/>
      <c r="M38" s="1381"/>
      <c r="N38" s="1381"/>
      <c r="O38" s="1381"/>
    </row>
    <row r="39" spans="1:15">
      <c r="A39" s="1385"/>
      <c r="B39" s="1385" t="s">
        <v>1804</v>
      </c>
      <c r="C39" s="1385" t="s">
        <v>1805</v>
      </c>
      <c r="D39" s="1385"/>
      <c r="E39" s="1385"/>
      <c r="F39" s="1385"/>
      <c r="G39" s="1385"/>
      <c r="H39" s="1385"/>
      <c r="I39" s="1381"/>
      <c r="J39" s="1381"/>
      <c r="K39" s="1381"/>
      <c r="L39" s="1381"/>
      <c r="M39" s="1381"/>
      <c r="N39" s="1381"/>
      <c r="O39" s="1381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>
      <selection activeCell="J14" sqref="J14"/>
    </sheetView>
  </sheetViews>
  <sheetFormatPr defaultColWidth="8.25" defaultRowHeight="15"/>
  <cols>
    <col min="1" max="1" width="38.5" style="1452" customWidth="1"/>
    <col min="2" max="2" width="10.25" style="1450" customWidth="1"/>
    <col min="3" max="3" width="12.75" style="1450" bestFit="1" customWidth="1"/>
    <col min="4" max="4" width="11.25" style="1450" bestFit="1" customWidth="1"/>
    <col min="5" max="5" width="10.25" style="1450" bestFit="1" customWidth="1"/>
    <col min="6" max="6" width="9.25" style="1450" bestFit="1" customWidth="1"/>
    <col min="7" max="7" width="10.125" style="1450" bestFit="1" customWidth="1"/>
    <col min="8" max="8" width="10.25" style="1450" bestFit="1" customWidth="1"/>
    <col min="9" max="11" width="9.25" style="1450" bestFit="1" customWidth="1"/>
    <col min="12" max="12" width="10.25" style="1450" bestFit="1" customWidth="1"/>
    <col min="13" max="14" width="9.25" style="1450" bestFit="1" customWidth="1"/>
    <col min="15" max="15" width="8.25" style="1450" bestFit="1" customWidth="1"/>
    <col min="16" max="192" width="14" style="1450" customWidth="1"/>
    <col min="193" max="16384" width="8.25" style="1450"/>
  </cols>
  <sheetData>
    <row r="1" spans="1:16" ht="23.25">
      <c r="A1" s="1449" t="s">
        <v>1849</v>
      </c>
    </row>
    <row r="2" spans="1:16" ht="23.25">
      <c r="A2" s="1449"/>
      <c r="D2" s="1864">
        <v>0.5</v>
      </c>
    </row>
    <row r="3" spans="1:16">
      <c r="A3" s="1451" t="s">
        <v>1850</v>
      </c>
      <c r="D3" s="1450" t="s">
        <v>1851</v>
      </c>
      <c r="E3" s="1450" t="s">
        <v>1852</v>
      </c>
      <c r="F3" s="1450" t="s">
        <v>1853</v>
      </c>
      <c r="H3" s="1450" t="s">
        <v>1854</v>
      </c>
      <c r="I3" s="1450" t="s">
        <v>1855</v>
      </c>
      <c r="J3" s="1450" t="s">
        <v>1856</v>
      </c>
      <c r="L3" s="1450" t="s">
        <v>1857</v>
      </c>
      <c r="M3" s="1450" t="s">
        <v>1858</v>
      </c>
      <c r="N3" s="1450" t="s">
        <v>1859</v>
      </c>
    </row>
    <row r="4" spans="1:16" ht="15" customHeight="1">
      <c r="D4" s="1453" t="s">
        <v>221</v>
      </c>
      <c r="E4" s="1453" t="s">
        <v>221</v>
      </c>
      <c r="F4" s="1453" t="s">
        <v>221</v>
      </c>
      <c r="G4" s="1454"/>
      <c r="H4" s="1453" t="s">
        <v>963</v>
      </c>
      <c r="I4" s="1453" t="s">
        <v>963</v>
      </c>
      <c r="J4" s="1453" t="s">
        <v>963</v>
      </c>
      <c r="K4" s="1454"/>
      <c r="L4" s="1453" t="s">
        <v>1554</v>
      </c>
      <c r="M4" s="1453" t="s">
        <v>1554</v>
      </c>
      <c r="N4" s="1453" t="s">
        <v>1554</v>
      </c>
      <c r="O4" s="1454"/>
    </row>
    <row r="5" spans="1:16">
      <c r="B5" s="1455" t="s">
        <v>1136</v>
      </c>
      <c r="C5" s="1455"/>
      <c r="D5" s="1835" t="s">
        <v>429</v>
      </c>
      <c r="E5" s="1835" t="s">
        <v>438</v>
      </c>
      <c r="F5" s="1835" t="s">
        <v>428</v>
      </c>
      <c r="G5" s="1835" t="s">
        <v>93</v>
      </c>
      <c r="H5" s="1835" t="s">
        <v>429</v>
      </c>
      <c r="I5" s="1835" t="s">
        <v>438</v>
      </c>
      <c r="J5" s="1835" t="s">
        <v>428</v>
      </c>
      <c r="K5" s="1835" t="s">
        <v>93</v>
      </c>
      <c r="L5" s="1835" t="s">
        <v>429</v>
      </c>
      <c r="M5" s="1835" t="s">
        <v>438</v>
      </c>
      <c r="N5" s="1835" t="s">
        <v>428</v>
      </c>
      <c r="O5" s="1835" t="s">
        <v>93</v>
      </c>
      <c r="P5" s="1835" t="s">
        <v>1860</v>
      </c>
    </row>
    <row r="6" spans="1:16">
      <c r="A6" s="1456" t="s">
        <v>925</v>
      </c>
      <c r="B6" s="1457">
        <v>54</v>
      </c>
      <c r="C6" s="1458" t="s">
        <v>72</v>
      </c>
      <c r="D6" s="1459">
        <f>$D$2*'BD-Redesign1'!D6</f>
        <v>13575.066666683337</v>
      </c>
      <c r="E6" s="1459">
        <f>$D$2*'BD-Redesign1'!E6</f>
        <v>1552.0333333333333</v>
      </c>
      <c r="F6" s="1459">
        <f>$D$2*'BD-Redesign1'!F6</f>
        <v>168.43333333333331</v>
      </c>
      <c r="G6" s="1459">
        <f>$D$2*'BD-Redesign1'!G6</f>
        <v>15295.533333350002</v>
      </c>
      <c r="H6" s="1459">
        <f>$D$2*'BD-Redesign1'!H6</f>
        <v>534.75</v>
      </c>
      <c r="I6" s="1459">
        <f>$D$2*'BD-Redesign1'!I6</f>
        <v>78</v>
      </c>
      <c r="J6" s="1459">
        <f>$D$2*'BD-Redesign1'!J6</f>
        <v>10.116666683333333</v>
      </c>
      <c r="K6" s="1459">
        <f>$D$2*'BD-Redesign1'!K6</f>
        <v>622.86666668333328</v>
      </c>
      <c r="L6" s="1459">
        <f>$D$2*'BD-Redesign1'!L6</f>
        <v>7.2999999999999989</v>
      </c>
      <c r="M6" s="1459">
        <f>$D$2*'BD-Redesign1'!M6</f>
        <v>0</v>
      </c>
      <c r="N6" s="1459">
        <f>$D$2*'BD-Redesign1'!N6</f>
        <v>0</v>
      </c>
      <c r="O6" s="1459">
        <f>$D$2*'BD-Redesign1'!O6</f>
        <v>7.2999999999999989</v>
      </c>
      <c r="P6" s="1460">
        <f>$D$2*'BD-Redesign1'!P6</f>
        <v>15925.700000033336</v>
      </c>
    </row>
    <row r="7" spans="1:16">
      <c r="A7" s="1456" t="s">
        <v>1904</v>
      </c>
      <c r="B7" s="1461">
        <v>0.22</v>
      </c>
      <c r="C7" s="1462" t="s">
        <v>1861</v>
      </c>
      <c r="D7" s="1459">
        <f>$D$2*'BD-Redesign1'!D7</f>
        <v>16738185.022599567</v>
      </c>
      <c r="E7" s="1459">
        <f>$D$2*'BD-Redesign1'!E7</f>
        <v>3150762.7990320884</v>
      </c>
      <c r="F7" s="1459">
        <f>$D$2*'BD-Redesign1'!F7</f>
        <v>195834</v>
      </c>
      <c r="G7" s="1459">
        <f>$D$2*'BD-Redesign1'!G7</f>
        <v>20084781.821631655</v>
      </c>
      <c r="H7" s="1459">
        <f>$D$2*'BD-Redesign1'!H7</f>
        <v>295175.5</v>
      </c>
      <c r="I7" s="1459">
        <f>$D$2*'BD-Redesign1'!I7</f>
        <v>233367.5</v>
      </c>
      <c r="J7" s="1459">
        <f>$D$2*'BD-Redesign1'!J7</f>
        <v>0</v>
      </c>
      <c r="K7" s="1459">
        <f>$D$2*'BD-Redesign1'!K7</f>
        <v>528543</v>
      </c>
      <c r="L7" s="1459">
        <f>$D$2*'BD-Redesign1'!L7</f>
        <v>13491.679447852759</v>
      </c>
      <c r="M7" s="1459">
        <f>$D$2*'BD-Redesign1'!M7</f>
        <v>0</v>
      </c>
      <c r="N7" s="1459">
        <f>$D$2*'BD-Redesign1'!N7</f>
        <v>0</v>
      </c>
      <c r="O7" s="1459">
        <f>$D$2*'BD-Redesign1'!O7</f>
        <v>13491.679447852759</v>
      </c>
      <c r="P7" s="1460">
        <f>$D$2*'BD-Redesign1'!P7</f>
        <v>20626816.501079507</v>
      </c>
    </row>
    <row r="8" spans="1:16">
      <c r="A8" s="1456" t="s">
        <v>1899</v>
      </c>
      <c r="B8" s="1463">
        <v>4.3259225059520533E-2</v>
      </c>
      <c r="C8" s="1464" t="s">
        <v>1862</v>
      </c>
      <c r="D8" s="1459">
        <f>$D$2*'BD-Redesign1'!D8</f>
        <v>27660372.477400444</v>
      </c>
      <c r="E8" s="1459">
        <f>$D$2*'BD-Redesign1'!E8</f>
        <v>7099274.2009679126</v>
      </c>
      <c r="F8" s="1459">
        <f>$D$2*'BD-Redesign1'!F8</f>
        <v>1401051</v>
      </c>
      <c r="G8" s="1459">
        <f>$D$2*'BD-Redesign1'!G8</f>
        <v>36160697.67836836</v>
      </c>
      <c r="H8" s="1459">
        <f>$D$2*'BD-Redesign1'!H8</f>
        <v>668213.5</v>
      </c>
      <c r="I8" s="1459">
        <f>$D$2*'BD-Redesign1'!I8</f>
        <v>418289.5</v>
      </c>
      <c r="J8" s="1459">
        <f>$D$2*'BD-Redesign1'!J8</f>
        <v>0</v>
      </c>
      <c r="K8" s="1459">
        <f>$D$2*'BD-Redesign1'!K8</f>
        <v>1086503</v>
      </c>
      <c r="L8" s="1459">
        <f>$D$2*'BD-Redesign1'!L8</f>
        <v>54286.820552147241</v>
      </c>
      <c r="M8" s="1459">
        <f>$D$2*'BD-Redesign1'!M8</f>
        <v>0</v>
      </c>
      <c r="N8" s="1459">
        <f>$D$2*'BD-Redesign1'!N8</f>
        <v>0</v>
      </c>
      <c r="O8" s="1459">
        <f>$D$2*'BD-Redesign1'!O8</f>
        <v>54286.820552147241</v>
      </c>
      <c r="P8" s="1460">
        <f>$D$2*'BD-Redesign1'!P8</f>
        <v>37301487.498920508</v>
      </c>
    </row>
    <row r="9" spans="1:16" ht="15.75">
      <c r="A9" s="1456" t="s">
        <v>1905</v>
      </c>
      <c r="B9" s="1465">
        <v>0.19469</v>
      </c>
      <c r="C9" s="1466" t="s">
        <v>1863</v>
      </c>
      <c r="D9" s="1459">
        <f>$D$2*'BD-Redesign1'!D9</f>
        <v>28489192.960666597</v>
      </c>
      <c r="E9" s="1459">
        <f>$D$2*'BD-Redesign1'!E9</f>
        <v>5219922.7807393372</v>
      </c>
      <c r="F9" s="1459">
        <f>$D$2*'BD-Redesign1'!F9</f>
        <v>338106.98885443184</v>
      </c>
      <c r="G9" s="1459">
        <f>$D$2*'BD-Redesign1'!G9</f>
        <v>34047222.730260365</v>
      </c>
      <c r="H9" s="1459">
        <f>$D$2*'BD-Redesign1'!H9</f>
        <v>1056515.1250939311</v>
      </c>
      <c r="I9" s="1459">
        <f>$D$2*'BD-Redesign1'!I9</f>
        <v>502344.50077107706</v>
      </c>
      <c r="J9" s="1459">
        <f>$D$2*'BD-Redesign1'!J9</f>
        <v>689.99085923217501</v>
      </c>
      <c r="K9" s="1459">
        <f>$D$2*'BD-Redesign1'!K9</f>
        <v>1559549.6167242404</v>
      </c>
      <c r="L9" s="1459">
        <f>$D$2*'BD-Redesign1'!L9</f>
        <v>13700.011846547257</v>
      </c>
      <c r="M9" s="1459">
        <f>$D$2*'BD-Redesign1'!M9</f>
        <v>0</v>
      </c>
      <c r="N9" s="1459">
        <f>$D$2*'BD-Redesign1'!N9</f>
        <v>0</v>
      </c>
      <c r="O9" s="1459">
        <f>$D$2*'BD-Redesign1'!O9</f>
        <v>13700.011846547257</v>
      </c>
      <c r="P9" s="1460">
        <f>$D$2*'BD-Redesign1'!P9</f>
        <v>35620472.358831152</v>
      </c>
    </row>
    <row r="10" spans="1:16" ht="15.75">
      <c r="A10" s="1456" t="s">
        <v>1898</v>
      </c>
      <c r="B10" s="1465">
        <v>3.8282999999999998E-2</v>
      </c>
      <c r="C10" s="1466" t="s">
        <v>1864</v>
      </c>
      <c r="D10" s="1459">
        <f>$D$2*'BD-Redesign1'!D10</f>
        <v>59566029.039333321</v>
      </c>
      <c r="E10" s="1459">
        <f>$D$2*'BD-Redesign1'!E10</f>
        <v>9097843.2192606572</v>
      </c>
      <c r="F10" s="1459">
        <f>$D$2*'BD-Redesign1'!F10</f>
        <v>2623727.011145568</v>
      </c>
      <c r="G10" s="1459">
        <f>$D$2*'BD-Redesign1'!G10</f>
        <v>71287599.269739538</v>
      </c>
      <c r="H10" s="1459">
        <f>$D$2*'BD-Redesign1'!H10</f>
        <v>3244722.3749060687</v>
      </c>
      <c r="I10" s="1459">
        <f>$D$2*'BD-Redesign1'!I10</f>
        <v>868836.999228923</v>
      </c>
      <c r="J10" s="1459">
        <f>$D$2*'BD-Redesign1'!J10</f>
        <v>2323.0091407678251</v>
      </c>
      <c r="K10" s="1459">
        <f>$D$2*'BD-Redesign1'!K10</f>
        <v>4115882.3832757594</v>
      </c>
      <c r="L10" s="1459">
        <f>$D$2*'BD-Redesign1'!L10</f>
        <v>67669.988153452752</v>
      </c>
      <c r="M10" s="1459">
        <f>$D$2*'BD-Redesign1'!M10</f>
        <v>0</v>
      </c>
      <c r="N10" s="1459">
        <f>$D$2*'BD-Redesign1'!N10</f>
        <v>0</v>
      </c>
      <c r="O10" s="1459">
        <f>$D$2*'BD-Redesign1'!O10</f>
        <v>67669.988153452752</v>
      </c>
      <c r="P10" s="1460">
        <f>$D$2*'BD-Redesign1'!P10</f>
        <v>75471151.641168758</v>
      </c>
    </row>
    <row r="11" spans="1:16">
      <c r="A11" s="1456" t="s">
        <v>1900</v>
      </c>
      <c r="B11" s="1461">
        <v>0.06</v>
      </c>
      <c r="C11" s="1462" t="s">
        <v>1865</v>
      </c>
      <c r="D11" s="1459">
        <f>$D$2*'BD-Redesign1'!D11</f>
        <v>23100544</v>
      </c>
      <c r="E11" s="1459">
        <f>$D$2*'BD-Redesign1'!E11</f>
        <v>5446462</v>
      </c>
      <c r="F11" s="1459">
        <f>$D$2*'BD-Redesign1'!F11</f>
        <v>830941</v>
      </c>
      <c r="G11" s="1459">
        <f>$D$2*'BD-Redesign1'!G11</f>
        <v>29377947</v>
      </c>
      <c r="H11" s="1459">
        <f>$D$2*'BD-Redesign1'!H11</f>
        <v>484267</v>
      </c>
      <c r="I11" s="1459">
        <f>$D$2*'BD-Redesign1'!I11</f>
        <v>467860</v>
      </c>
      <c r="J11" s="1459">
        <f>$D$2*'BD-Redesign1'!J11</f>
        <v>0</v>
      </c>
      <c r="K11" s="1459">
        <f>$D$2*'BD-Redesign1'!K11</f>
        <v>952127</v>
      </c>
      <c r="L11" s="1459">
        <f>$D$2*'BD-Redesign1'!L11</f>
        <v>35257.5</v>
      </c>
      <c r="M11" s="1459">
        <f>$D$2*'BD-Redesign1'!M11</f>
        <v>0</v>
      </c>
      <c r="N11" s="1459">
        <f>$D$2*'BD-Redesign1'!N11</f>
        <v>0</v>
      </c>
      <c r="O11" s="1459">
        <f>$D$2*'BD-Redesign1'!O11</f>
        <v>35257.5</v>
      </c>
      <c r="P11" s="1460">
        <f>$D$2*'BD-Redesign1'!P11</f>
        <v>30365331.5</v>
      </c>
    </row>
    <row r="12" spans="1:16" ht="15.75">
      <c r="A12" s="1456" t="s">
        <v>1901</v>
      </c>
      <c r="B12" s="1465">
        <v>-2.3358E-2</v>
      </c>
      <c r="C12" s="1466" t="s">
        <v>1866</v>
      </c>
      <c r="D12" s="1459">
        <f>$D$2*'BD-Redesign1'!D12</f>
        <v>21298013.5</v>
      </c>
      <c r="E12" s="1459">
        <f>$D$2*'BD-Redesign1'!E12</f>
        <v>4803575</v>
      </c>
      <c r="F12" s="1459">
        <f>$D$2*'BD-Redesign1'!F12</f>
        <v>765944</v>
      </c>
      <c r="G12" s="1459">
        <f>$D$2*'BD-Redesign1'!G12</f>
        <v>26867532.5</v>
      </c>
      <c r="H12" s="1459">
        <f>$D$2*'BD-Redesign1'!H12</f>
        <v>479122</v>
      </c>
      <c r="I12" s="1459">
        <f>$D$2*'BD-Redesign1'!I12</f>
        <v>183797</v>
      </c>
      <c r="J12" s="1459">
        <f>$D$2*'BD-Redesign1'!J12</f>
        <v>0</v>
      </c>
      <c r="K12" s="1459">
        <f>$D$2*'BD-Redesign1'!K12</f>
        <v>662919</v>
      </c>
      <c r="L12" s="1459">
        <f>$D$2*'BD-Redesign1'!L12</f>
        <v>32521</v>
      </c>
      <c r="M12" s="1459">
        <f>$D$2*'BD-Redesign1'!M12</f>
        <v>0</v>
      </c>
      <c r="N12" s="1459">
        <f>$D$2*'BD-Redesign1'!N12</f>
        <v>0</v>
      </c>
      <c r="O12" s="1459">
        <f>$D$2*'BD-Redesign1'!O12</f>
        <v>32521</v>
      </c>
      <c r="P12" s="1460">
        <f>$D$2*'BD-Redesign1'!P12</f>
        <v>27562972.5</v>
      </c>
    </row>
    <row r="13" spans="1:16" ht="15.75">
      <c r="A13" s="1456" t="s">
        <v>1902</v>
      </c>
      <c r="B13" s="1465">
        <v>5.3096999999999998E-2</v>
      </c>
      <c r="C13" s="1466" t="s">
        <v>1867</v>
      </c>
      <c r="D13" s="1459">
        <f>$D$2*'BD-Redesign1'!D13</f>
        <v>47105532.5</v>
      </c>
      <c r="E13" s="1459">
        <f>$D$2*'BD-Redesign1'!E13</f>
        <v>8833500.5</v>
      </c>
      <c r="F13" s="1459">
        <f>$D$2*'BD-Redesign1'!F13</f>
        <v>1469173.5</v>
      </c>
      <c r="G13" s="1459">
        <f>$D$2*'BD-Redesign1'!G13</f>
        <v>57408206.5</v>
      </c>
      <c r="H13" s="1459">
        <f>$D$2*'BD-Redesign1'!H13</f>
        <v>2242922.5</v>
      </c>
      <c r="I13" s="1459">
        <f>$D$2*'BD-Redesign1'!I13</f>
        <v>1001125.5</v>
      </c>
      <c r="J13" s="1459">
        <f>$D$2*'BD-Redesign1'!J13</f>
        <v>1005</v>
      </c>
      <c r="K13" s="1459">
        <f>$D$2*'BD-Redesign1'!K13</f>
        <v>3245053</v>
      </c>
      <c r="L13" s="1459">
        <f>$D$2*'BD-Redesign1'!L13</f>
        <v>39867.5</v>
      </c>
      <c r="M13" s="1459">
        <f>$D$2*'BD-Redesign1'!M13</f>
        <v>0</v>
      </c>
      <c r="N13" s="1459">
        <f>$D$2*'BD-Redesign1'!N13</f>
        <v>0</v>
      </c>
      <c r="O13" s="1459">
        <f>$D$2*'BD-Redesign1'!O13</f>
        <v>39867.5</v>
      </c>
      <c r="P13" s="1460">
        <f>$D$2*'BD-Redesign1'!P13</f>
        <v>60693127</v>
      </c>
    </row>
    <row r="14" spans="1:16" ht="15.75">
      <c r="A14" s="1456" t="s">
        <v>1903</v>
      </c>
      <c r="B14" s="1465">
        <v>-2.0670999999999998E-2</v>
      </c>
      <c r="C14" s="1466" t="s">
        <v>1868</v>
      </c>
      <c r="D14" s="1459">
        <f>$D$2*'BD-Redesign1'!D14</f>
        <v>40949689.5</v>
      </c>
      <c r="E14" s="1459">
        <f>$D$2*'BD-Redesign1'!E14</f>
        <v>5484265.5</v>
      </c>
      <c r="F14" s="1459">
        <f>$D$2*'BD-Redesign1'!F14</f>
        <v>1492660.5</v>
      </c>
      <c r="G14" s="1459">
        <f>$D$2*'BD-Redesign1'!G14</f>
        <v>47926615.5</v>
      </c>
      <c r="H14" s="1459">
        <f>$D$2*'BD-Redesign1'!H14</f>
        <v>2058315</v>
      </c>
      <c r="I14" s="1459">
        <f>$D$2*'BD-Redesign1'!I14</f>
        <v>370056</v>
      </c>
      <c r="J14" s="1459">
        <f>$D$2*'BD-Redesign1'!J14</f>
        <v>2008</v>
      </c>
      <c r="K14" s="1459">
        <f>$D$2*'BD-Redesign1'!K14</f>
        <v>2430379</v>
      </c>
      <c r="L14" s="1459">
        <f>$D$2*'BD-Redesign1'!L14</f>
        <v>41502.5</v>
      </c>
      <c r="M14" s="1459">
        <f>$D$2*'BD-Redesign1'!M14</f>
        <v>0</v>
      </c>
      <c r="N14" s="1459">
        <f>$D$2*'BD-Redesign1'!N14</f>
        <v>0</v>
      </c>
      <c r="O14" s="1459">
        <f>$D$2*'BD-Redesign1'!O14</f>
        <v>41502.5</v>
      </c>
      <c r="P14" s="1460">
        <f>$D$2*'BD-Redesign1'!P14</f>
        <v>50398497</v>
      </c>
    </row>
    <row r="15" spans="1:16">
      <c r="A15" s="1456" t="s">
        <v>1869</v>
      </c>
      <c r="B15" s="1461">
        <v>-0.61</v>
      </c>
      <c r="C15" s="1462" t="s">
        <v>631</v>
      </c>
      <c r="D15" s="1459">
        <f>$D$2*'BD-Redesign1'!D15</f>
        <v>89305.819672131154</v>
      </c>
      <c r="E15" s="1459">
        <f>$D$2*'BD-Redesign1'!E15</f>
        <v>4972.5</v>
      </c>
      <c r="F15" s="1459">
        <f>$D$2*'BD-Redesign1'!F15</f>
        <v>0</v>
      </c>
      <c r="G15" s="1459">
        <f>$D$2*'BD-Redesign1'!G15</f>
        <v>94278.319672131154</v>
      </c>
      <c r="H15" s="1459">
        <f>$D$2*'BD-Redesign1'!H15</f>
        <v>201.5</v>
      </c>
      <c r="I15" s="1459">
        <f>$D$2*'BD-Redesign1'!I15</f>
        <v>2977.5</v>
      </c>
      <c r="J15" s="1459">
        <f>$D$2*'BD-Redesign1'!J15</f>
        <v>0</v>
      </c>
      <c r="K15" s="1459">
        <f>$D$2*'BD-Redesign1'!K15</f>
        <v>3179</v>
      </c>
      <c r="L15" s="1459">
        <f>$D$2*'BD-Redesign1'!L15</f>
        <v>0</v>
      </c>
      <c r="M15" s="1459">
        <f>$D$2*'BD-Redesign1'!M15</f>
        <v>0</v>
      </c>
      <c r="N15" s="1459">
        <f>$D$2*'BD-Redesign1'!N15</f>
        <v>0</v>
      </c>
      <c r="O15" s="1459">
        <f>$D$2*'BD-Redesign1'!O15</f>
        <v>0</v>
      </c>
      <c r="P15" s="1460">
        <f>$D$2*'BD-Redesign1'!P15</f>
        <v>97457.319672131154</v>
      </c>
    </row>
    <row r="16" spans="1:16">
      <c r="A16" s="1454" t="s">
        <v>1157</v>
      </c>
      <c r="B16" s="1467">
        <v>7.1249999999999994E-2</v>
      </c>
      <c r="C16" s="1468" t="s">
        <v>1152</v>
      </c>
      <c r="D16" s="1469">
        <f>$D$2*'BD-Redesign1'!D16</f>
        <v>10119313</v>
      </c>
      <c r="E16" s="1469">
        <f>$D$2*'BD-Redesign1'!E16</f>
        <v>3378700</v>
      </c>
      <c r="F16" s="1469">
        <f>$D$2*'BD-Redesign1'!F16</f>
        <v>0</v>
      </c>
      <c r="G16" s="1469">
        <f>$D$2*'BD-Redesign1'!G16</f>
        <v>13498013</v>
      </c>
      <c r="H16" s="1469">
        <f>$D$2*'BD-Redesign1'!H16</f>
        <v>0</v>
      </c>
      <c r="I16" s="1469">
        <f>$D$2*'BD-Redesign1'!I16</f>
        <v>0</v>
      </c>
      <c r="J16" s="1469">
        <f>$D$2*'BD-Redesign1'!J16</f>
        <v>0</v>
      </c>
      <c r="K16" s="1469">
        <f>$D$2*'BD-Redesign1'!K16</f>
        <v>0</v>
      </c>
      <c r="L16" s="1469">
        <f>$D$2*'BD-Redesign1'!L16</f>
        <v>0</v>
      </c>
      <c r="M16" s="1469">
        <f>$D$2*'BD-Redesign1'!M16</f>
        <v>0</v>
      </c>
      <c r="N16" s="1469">
        <f>$D$2*'BD-Redesign1'!N16</f>
        <v>0</v>
      </c>
      <c r="O16" s="1469">
        <f>$D$2*'BD-Redesign1'!O16</f>
        <v>0</v>
      </c>
      <c r="P16" s="1470">
        <f>$D$2*'BD-Redesign1'!P16</f>
        <v>13498013</v>
      </c>
    </row>
    <row r="17" spans="1:16">
      <c r="A17" s="1456" t="s">
        <v>1689</v>
      </c>
      <c r="B17" s="1471"/>
      <c r="C17" s="1456"/>
      <c r="D17" s="1460">
        <f>$D$2*'BD-Redesign1'!D17</f>
        <v>142573092.5</v>
      </c>
      <c r="E17" s="1460">
        <f>$D$2*'BD-Redesign1'!E17</f>
        <v>27946503</v>
      </c>
      <c r="F17" s="1460">
        <f>$D$2*'BD-Redesign1'!F17</f>
        <v>4558719</v>
      </c>
      <c r="G17" s="1459">
        <f>$D$2*'BD-Redesign1'!G17</f>
        <v>175078314.5</v>
      </c>
      <c r="H17" s="1460">
        <f>$D$2*'BD-Redesign1'!H17</f>
        <v>5264626.5</v>
      </c>
      <c r="I17" s="1460">
        <f>$D$2*'BD-Redesign1'!I17</f>
        <v>2022838.5</v>
      </c>
      <c r="J17" s="1460">
        <f>$D$2*'BD-Redesign1'!J17</f>
        <v>3013</v>
      </c>
      <c r="K17" s="1459">
        <f>$D$2*'BD-Redesign1'!K17</f>
        <v>7290478</v>
      </c>
      <c r="L17" s="1460">
        <f>$D$2*'BD-Redesign1'!L17</f>
        <v>149148.5</v>
      </c>
      <c r="M17" s="1460">
        <f>$D$2*'BD-Redesign1'!M17</f>
        <v>0</v>
      </c>
      <c r="N17" s="1460">
        <f>$D$2*'BD-Redesign1'!N17</f>
        <v>0</v>
      </c>
      <c r="O17" s="1459">
        <f>$D$2*'BD-Redesign1'!O17</f>
        <v>149148.5</v>
      </c>
      <c r="P17" s="1460">
        <f>$D$2*'BD-Redesign1'!P17</f>
        <v>182517941</v>
      </c>
    </row>
    <row r="18" spans="1:16">
      <c r="A18" s="1456"/>
      <c r="B18" s="1471"/>
      <c r="C18" s="1456"/>
      <c r="D18" s="1460"/>
      <c r="E18" s="1460"/>
      <c r="F18" s="1460"/>
      <c r="G18" s="1459"/>
      <c r="H18" s="1460"/>
      <c r="I18" s="1460"/>
      <c r="J18" s="1460"/>
      <c r="K18" s="1459"/>
      <c r="L18" s="1460"/>
      <c r="M18" s="1460"/>
      <c r="N18" s="1460"/>
      <c r="O18" s="1459"/>
    </row>
    <row r="19" spans="1:16">
      <c r="A19" s="1451" t="s">
        <v>1870</v>
      </c>
      <c r="C19" s="1452"/>
      <c r="D19" s="1450" t="s">
        <v>1871</v>
      </c>
      <c r="E19" s="1450" t="s">
        <v>1872</v>
      </c>
      <c r="F19" s="1450" t="s">
        <v>1873</v>
      </c>
      <c r="H19" s="1450" t="s">
        <v>1874</v>
      </c>
      <c r="I19" s="1450" t="s">
        <v>1875</v>
      </c>
      <c r="J19" s="1450" t="s">
        <v>1876</v>
      </c>
      <c r="L19" s="1450" t="s">
        <v>1877</v>
      </c>
      <c r="M19" s="1450" t="s">
        <v>1878</v>
      </c>
      <c r="N19" s="1450" t="s">
        <v>1879</v>
      </c>
    </row>
    <row r="20" spans="1:16" ht="15" customHeight="1">
      <c r="C20" s="1452"/>
      <c r="D20" s="1453">
        <v>6</v>
      </c>
      <c r="E20" s="1453">
        <v>6</v>
      </c>
      <c r="F20" s="1453">
        <v>6</v>
      </c>
      <c r="G20" s="1454"/>
      <c r="H20" s="1453" t="s">
        <v>959</v>
      </c>
      <c r="I20" s="1453" t="s">
        <v>959</v>
      </c>
      <c r="J20" s="1453" t="s">
        <v>959</v>
      </c>
      <c r="K20" s="1454"/>
      <c r="L20" s="1453" t="s">
        <v>1215</v>
      </c>
      <c r="M20" s="1453" t="s">
        <v>1215</v>
      </c>
      <c r="N20" s="1453" t="s">
        <v>1215</v>
      </c>
      <c r="O20" s="1454"/>
    </row>
    <row r="21" spans="1:16">
      <c r="A21" s="1454"/>
      <c r="B21" s="1472"/>
      <c r="C21" s="1454"/>
      <c r="D21" s="1835" t="s">
        <v>429</v>
      </c>
      <c r="E21" s="1835" t="s">
        <v>438</v>
      </c>
      <c r="F21" s="1835" t="s">
        <v>428</v>
      </c>
      <c r="G21" s="1835" t="s">
        <v>93</v>
      </c>
      <c r="H21" s="1835" t="s">
        <v>429</v>
      </c>
      <c r="I21" s="1835" t="s">
        <v>438</v>
      </c>
      <c r="J21" s="1835" t="s">
        <v>428</v>
      </c>
      <c r="K21" s="1835" t="s">
        <v>93</v>
      </c>
      <c r="L21" s="1835" t="s">
        <v>429</v>
      </c>
      <c r="M21" s="1835" t="s">
        <v>438</v>
      </c>
      <c r="N21" s="1835" t="s">
        <v>428</v>
      </c>
      <c r="O21" s="1835" t="s">
        <v>93</v>
      </c>
      <c r="P21" s="1835" t="s">
        <v>1860</v>
      </c>
    </row>
    <row r="22" spans="1:16">
      <c r="A22" s="1456" t="s">
        <v>925</v>
      </c>
      <c r="B22" s="1471"/>
      <c r="C22" s="1456" t="s">
        <v>72</v>
      </c>
      <c r="D22" s="1459">
        <f>$D$2*'BD-Redesign1'!D22</f>
        <v>14061.016666649997</v>
      </c>
      <c r="E22" s="1459">
        <f>$D$2*'BD-Redesign1'!E22</f>
        <v>2090.65</v>
      </c>
      <c r="F22" s="1459">
        <f>$D$2*'BD-Redesign1'!F22</f>
        <v>118.29999999999998</v>
      </c>
      <c r="G22" s="1459">
        <f>$D$2*'BD-Redesign1'!G22</f>
        <v>16269.966666649996</v>
      </c>
      <c r="H22" s="1459">
        <f>$D$2*'BD-Redesign1'!H22</f>
        <v>412.38333333333333</v>
      </c>
      <c r="I22" s="1459">
        <f>$D$2*'BD-Redesign1'!I22</f>
        <v>12</v>
      </c>
      <c r="J22" s="1459">
        <f>$D$2*'BD-Redesign1'!J22</f>
        <v>37.433333333333337</v>
      </c>
      <c r="K22" s="1459">
        <f>$D$2*'BD-Redesign1'!K22</f>
        <v>461.81666666666666</v>
      </c>
      <c r="L22" s="1459">
        <f>$D$2*'BD-Redesign1'!L22</f>
        <v>55.716666666666669</v>
      </c>
      <c r="M22" s="1459">
        <f>$D$2*'BD-Redesign1'!M22</f>
        <v>0</v>
      </c>
      <c r="N22" s="1459">
        <f>$D$2*'BD-Redesign1'!N22</f>
        <v>0</v>
      </c>
      <c r="O22" s="1459">
        <f>$D$2*'BD-Redesign1'!O22</f>
        <v>55.716666666666669</v>
      </c>
      <c r="P22" s="1460">
        <f>$D$2*'BD-Redesign1'!P22</f>
        <v>16787.499999983331</v>
      </c>
    </row>
    <row r="23" spans="1:16">
      <c r="A23" s="1456" t="s">
        <v>1904</v>
      </c>
      <c r="B23" s="1471"/>
      <c r="C23" s="1456" t="s">
        <v>1861</v>
      </c>
      <c r="D23" s="1459">
        <f>$D$2*'BD-Redesign1'!D23</f>
        <v>19353983.668316837</v>
      </c>
      <c r="E23" s="1459">
        <f>$D$2*'BD-Redesign1'!E23</f>
        <v>4185638.1212871289</v>
      </c>
      <c r="F23" s="1459">
        <f>$D$2*'BD-Redesign1'!F23</f>
        <v>70433.487623762368</v>
      </c>
      <c r="G23" s="1459">
        <f>$D$2*'BD-Redesign1'!G23</f>
        <v>23610055.27722773</v>
      </c>
      <c r="H23" s="1459">
        <f>$D$2*'BD-Redesign1'!H23</f>
        <v>471759</v>
      </c>
      <c r="I23" s="1459">
        <f>$D$2*'BD-Redesign1'!I23</f>
        <v>13275</v>
      </c>
      <c r="J23" s="1459">
        <f>$D$2*'BD-Redesign1'!J23</f>
        <v>9275</v>
      </c>
      <c r="K23" s="1459">
        <f>$D$2*'BD-Redesign1'!K23</f>
        <v>494309</v>
      </c>
      <c r="L23" s="1459">
        <f>$D$2*'BD-Redesign1'!L23</f>
        <v>111994.63366336633</v>
      </c>
      <c r="M23" s="1459">
        <f>$D$2*'BD-Redesign1'!M23</f>
        <v>0</v>
      </c>
      <c r="N23" s="1459">
        <f>$D$2*'BD-Redesign1'!N23</f>
        <v>0</v>
      </c>
      <c r="O23" s="1459">
        <f>$D$2*'BD-Redesign1'!O23</f>
        <v>111994.63366336633</v>
      </c>
      <c r="P23" s="1460">
        <f>$D$2*'BD-Redesign1'!P23</f>
        <v>24216358.910891097</v>
      </c>
    </row>
    <row r="24" spans="1:16">
      <c r="A24" s="1456" t="s">
        <v>1899</v>
      </c>
      <c r="B24" s="1471"/>
      <c r="C24" s="1456" t="s">
        <v>1862</v>
      </c>
      <c r="D24" s="1459">
        <f>$D$2*'BD-Redesign1'!D24</f>
        <v>44598391.331683159</v>
      </c>
      <c r="E24" s="1459">
        <f>$D$2*'BD-Redesign1'!E24</f>
        <v>9571608.8787128702</v>
      </c>
      <c r="F24" s="1459">
        <f>$D$2*'BD-Redesign1'!F24</f>
        <v>165608.5123762376</v>
      </c>
      <c r="G24" s="1459">
        <f>$D$2*'BD-Redesign1'!G24</f>
        <v>54335608.722772263</v>
      </c>
      <c r="H24" s="1459">
        <f>$D$2*'BD-Redesign1'!H24</f>
        <v>1131389</v>
      </c>
      <c r="I24" s="1459">
        <f>$D$2*'BD-Redesign1'!I24</f>
        <v>26685</v>
      </c>
      <c r="J24" s="1459">
        <f>$D$2*'BD-Redesign1'!J24</f>
        <v>25125</v>
      </c>
      <c r="K24" s="1459">
        <f>$D$2*'BD-Redesign1'!K24</f>
        <v>1183199</v>
      </c>
      <c r="L24" s="1459">
        <f>$D$2*'BD-Redesign1'!L24</f>
        <v>266833.36633663368</v>
      </c>
      <c r="M24" s="1459">
        <f>$D$2*'BD-Redesign1'!M24</f>
        <v>0</v>
      </c>
      <c r="N24" s="1459">
        <f>$D$2*'BD-Redesign1'!N24</f>
        <v>0</v>
      </c>
      <c r="O24" s="1459">
        <f>$D$2*'BD-Redesign1'!O24</f>
        <v>266833.36633663368</v>
      </c>
      <c r="P24" s="1460">
        <f>$D$2*'BD-Redesign1'!P24</f>
        <v>55785641.089108899</v>
      </c>
    </row>
    <row r="25" spans="1:16">
      <c r="A25" s="1456" t="s">
        <v>1905</v>
      </c>
      <c r="B25" s="1471"/>
      <c r="C25" s="1456" t="s">
        <v>1863</v>
      </c>
      <c r="D25" s="1459">
        <f>$D$2*'BD-Redesign1'!D25</f>
        <v>33445107.804455444</v>
      </c>
      <c r="E25" s="1459">
        <f>$D$2*'BD-Redesign1'!E25</f>
        <v>7459634.6336633675</v>
      </c>
      <c r="F25" s="1459">
        <f>$D$2*'BD-Redesign1'!F25</f>
        <v>120935.20792079209</v>
      </c>
      <c r="G25" s="1459">
        <f>$D$2*'BD-Redesign1'!G25</f>
        <v>41025677.646039605</v>
      </c>
      <c r="H25" s="1459">
        <f>$D$2*'BD-Redesign1'!H25</f>
        <v>798767.5</v>
      </c>
      <c r="I25" s="1459">
        <f>$D$2*'BD-Redesign1'!I25</f>
        <v>22525</v>
      </c>
      <c r="J25" s="1459">
        <f>$D$2*'BD-Redesign1'!J25</f>
        <v>35390</v>
      </c>
      <c r="K25" s="1459">
        <f>$D$2*'BD-Redesign1'!K25</f>
        <v>856682.5</v>
      </c>
      <c r="L25" s="1459">
        <f>$D$2*'BD-Redesign1'!L25</f>
        <v>151504.07425742573</v>
      </c>
      <c r="M25" s="1459">
        <f>$D$2*'BD-Redesign1'!M25</f>
        <v>0</v>
      </c>
      <c r="N25" s="1459">
        <f>$D$2*'BD-Redesign1'!N25</f>
        <v>0</v>
      </c>
      <c r="O25" s="1459">
        <f>$D$2*'BD-Redesign1'!O25</f>
        <v>151504.07425742573</v>
      </c>
      <c r="P25" s="1460">
        <f>$D$2*'BD-Redesign1'!P25</f>
        <v>42033864.220297031</v>
      </c>
    </row>
    <row r="26" spans="1:16">
      <c r="A26" s="1456" t="s">
        <v>1898</v>
      </c>
      <c r="B26" s="1471"/>
      <c r="C26" s="1456" t="s">
        <v>1864</v>
      </c>
      <c r="D26" s="1459">
        <f>$D$2*'BD-Redesign1'!D26</f>
        <v>79863876.695544586</v>
      </c>
      <c r="E26" s="1459">
        <f>$D$2*'BD-Redesign1'!E26</f>
        <v>16404117.366336634</v>
      </c>
      <c r="F26" s="1459">
        <f>$D$2*'BD-Redesign1'!F26</f>
        <v>224349.79207920792</v>
      </c>
      <c r="G26" s="1459">
        <f>$D$2*'BD-Redesign1'!G26</f>
        <v>96492343.853960425</v>
      </c>
      <c r="H26" s="1459">
        <f>$D$2*'BD-Redesign1'!H26</f>
        <v>2071239.9999999998</v>
      </c>
      <c r="I26" s="1459">
        <f>$D$2*'BD-Redesign1'!I26</f>
        <v>46055</v>
      </c>
      <c r="J26" s="1459">
        <f>$D$2*'BD-Redesign1'!J26</f>
        <v>145099.5</v>
      </c>
      <c r="K26" s="1459">
        <f>$D$2*'BD-Redesign1'!K26</f>
        <v>2262394.5</v>
      </c>
      <c r="L26" s="1459">
        <f>$D$2*'BD-Redesign1'!L26</f>
        <v>460068.42574257427</v>
      </c>
      <c r="M26" s="1459">
        <f>$D$2*'BD-Redesign1'!M26</f>
        <v>0</v>
      </c>
      <c r="N26" s="1459">
        <f>$D$2*'BD-Redesign1'!N26</f>
        <v>0</v>
      </c>
      <c r="O26" s="1459">
        <f>$D$2*'BD-Redesign1'!O26</f>
        <v>460068.42574257427</v>
      </c>
      <c r="P26" s="1460">
        <f>$D$2*'BD-Redesign1'!P26</f>
        <v>99214806.779703006</v>
      </c>
    </row>
    <row r="27" spans="1:16">
      <c r="A27" s="1456" t="s">
        <v>1900</v>
      </c>
      <c r="B27" s="1471"/>
      <c r="C27" s="1456" t="s">
        <v>1865</v>
      </c>
      <c r="D27" s="1459">
        <f>$D$2*'BD-Redesign1'!D27</f>
        <v>35515983.674359836</v>
      </c>
      <c r="E27" s="1459">
        <f>$D$2*'BD-Redesign1'!E27</f>
        <v>7640094.0521151097</v>
      </c>
      <c r="F27" s="1459">
        <f>$D$2*'BD-Redesign1'!F27</f>
        <v>131086.04361391169</v>
      </c>
      <c r="G27" s="1459">
        <f>$D$2*'BD-Redesign1'!G27</f>
        <v>43287163.770088859</v>
      </c>
      <c r="H27" s="1459">
        <f>$D$2*'BD-Redesign1'!H27</f>
        <v>890309.04943846958</v>
      </c>
      <c r="I27" s="1459">
        <f>$D$2*'BD-Redesign1'!I27</f>
        <v>22191.806131162721</v>
      </c>
      <c r="J27" s="1459">
        <f>$D$2*'BD-Redesign1'!J27</f>
        <v>19104.057330130072</v>
      </c>
      <c r="K27" s="1459">
        <f>$D$2*'BD-Redesign1'!K27</f>
        <v>931604.91289976228</v>
      </c>
      <c r="L27" s="1459">
        <f>$D$2*'BD-Redesign1'!L27</f>
        <v>210382.32064704984</v>
      </c>
      <c r="M27" s="1459">
        <f>$D$2*'BD-Redesign1'!M27</f>
        <v>0</v>
      </c>
      <c r="N27" s="1459">
        <f>$D$2*'BD-Redesign1'!N27</f>
        <v>0</v>
      </c>
      <c r="O27" s="1459">
        <f>$D$2*'BD-Redesign1'!O27</f>
        <v>210382.32064704984</v>
      </c>
      <c r="P27" s="1460">
        <f>$D$2*'BD-Redesign1'!P27</f>
        <v>44429151.003635675</v>
      </c>
    </row>
    <row r="28" spans="1:16">
      <c r="A28" s="1456" t="s">
        <v>1901</v>
      </c>
      <c r="B28" s="1471"/>
      <c r="C28" s="1456" t="s">
        <v>1866</v>
      </c>
      <c r="D28" s="1459">
        <f>$D$2*'BD-Redesign1'!D28</f>
        <v>28436391.325640164</v>
      </c>
      <c r="E28" s="1459">
        <f>$D$2*'BD-Redesign1'!E28</f>
        <v>6117152.9478848893</v>
      </c>
      <c r="F28" s="1459">
        <f>$D$2*'BD-Redesign1'!F28</f>
        <v>104955.95638608832</v>
      </c>
      <c r="G28" s="1459">
        <f>$D$2*'BD-Redesign1'!G28</f>
        <v>34658500.229911141</v>
      </c>
      <c r="H28" s="1459">
        <f>$D$2*'BD-Redesign1'!H28</f>
        <v>712838.95056153019</v>
      </c>
      <c r="I28" s="1459">
        <f>$D$2*'BD-Redesign1'!I28</f>
        <v>17768.193868837279</v>
      </c>
      <c r="J28" s="1459">
        <f>$D$2*'BD-Redesign1'!J28</f>
        <v>15295.942669869928</v>
      </c>
      <c r="K28" s="1459">
        <f>$D$2*'BD-Redesign1'!K28</f>
        <v>745903.08710023749</v>
      </c>
      <c r="L28" s="1459">
        <f>$D$2*'BD-Redesign1'!L28</f>
        <v>168445.67935295016</v>
      </c>
      <c r="M28" s="1459">
        <f>$D$2*'BD-Redesign1'!M28</f>
        <v>0</v>
      </c>
      <c r="N28" s="1459">
        <f>$D$2*'BD-Redesign1'!N28</f>
        <v>0</v>
      </c>
      <c r="O28" s="1459">
        <f>$D$2*'BD-Redesign1'!O28</f>
        <v>168445.67935295016</v>
      </c>
      <c r="P28" s="1460">
        <f>$D$2*'BD-Redesign1'!P28</f>
        <v>35572848.996364325</v>
      </c>
    </row>
    <row r="29" spans="1:16">
      <c r="A29" s="1456" t="s">
        <v>1902</v>
      </c>
      <c r="B29" s="1471"/>
      <c r="C29" s="1456" t="s">
        <v>1867</v>
      </c>
      <c r="D29" s="1459">
        <f>$D$2*'BD-Redesign1'!D29</f>
        <v>62926201.625198364</v>
      </c>
      <c r="E29" s="1459">
        <f>$D$2*'BD-Redesign1'!E29</f>
        <v>13252746.69534901</v>
      </c>
      <c r="F29" s="1459">
        <f>$D$2*'BD-Redesign1'!F29</f>
        <v>191754.1986986617</v>
      </c>
      <c r="G29" s="1459">
        <f>$D$2*'BD-Redesign1'!G29</f>
        <v>76370702.519246027</v>
      </c>
      <c r="H29" s="1459">
        <f>$D$2*'BD-Redesign1'!H29</f>
        <v>1593860.1109855603</v>
      </c>
      <c r="I29" s="1459">
        <f>$D$2*'BD-Redesign1'!I29</f>
        <v>38085.937549427908</v>
      </c>
      <c r="J29" s="1459">
        <f>$D$2*'BD-Redesign1'!J29</f>
        <v>100234.93475251488</v>
      </c>
      <c r="K29" s="1459">
        <f>$D$2*'BD-Redesign1'!K29</f>
        <v>1732180.983287503</v>
      </c>
      <c r="L29" s="1459">
        <f>$D$2*'BD-Redesign1'!L29</f>
        <v>339637.09597473755</v>
      </c>
      <c r="M29" s="1459">
        <f>$D$2*'BD-Redesign1'!M29</f>
        <v>0</v>
      </c>
      <c r="N29" s="1459">
        <f>$D$2*'BD-Redesign1'!N29</f>
        <v>0</v>
      </c>
      <c r="O29" s="1459">
        <f>$D$2*'BD-Redesign1'!O29</f>
        <v>339637.09597473755</v>
      </c>
      <c r="P29" s="1460">
        <f>$D$2*'BD-Redesign1'!P29</f>
        <v>78442520.598508269</v>
      </c>
    </row>
    <row r="30" spans="1:16">
      <c r="A30" s="1456" t="s">
        <v>1903</v>
      </c>
      <c r="B30" s="1471"/>
      <c r="C30" s="1456" t="s">
        <v>1868</v>
      </c>
      <c r="D30" s="1459">
        <f>$D$2*'BD-Redesign1'!D30</f>
        <v>50382782.874801628</v>
      </c>
      <c r="E30" s="1459">
        <f>$D$2*'BD-Redesign1'!E30</f>
        <v>10611005.304650979</v>
      </c>
      <c r="F30" s="1459">
        <f>$D$2*'BD-Redesign1'!F30</f>
        <v>153530.8013013383</v>
      </c>
      <c r="G30" s="1459">
        <f>$D$2*'BD-Redesign1'!G30</f>
        <v>61147318.980753943</v>
      </c>
      <c r="H30" s="1459">
        <f>$D$2*'BD-Redesign1'!H30</f>
        <v>1276147.3890144394</v>
      </c>
      <c r="I30" s="1459">
        <f>$D$2*'BD-Redesign1'!I30</f>
        <v>30494.062450572088</v>
      </c>
      <c r="J30" s="1459">
        <f>$D$2*'BD-Redesign1'!J30</f>
        <v>80254.565247485123</v>
      </c>
      <c r="K30" s="1459">
        <f>$D$2*'BD-Redesign1'!K30</f>
        <v>1386896.0167124968</v>
      </c>
      <c r="L30" s="1459">
        <f>$D$2*'BD-Redesign1'!L30</f>
        <v>271935.40402526245</v>
      </c>
      <c r="M30" s="1459">
        <f>$D$2*'BD-Redesign1'!M30</f>
        <v>0</v>
      </c>
      <c r="N30" s="1459">
        <f>$D$2*'BD-Redesign1'!N30</f>
        <v>0</v>
      </c>
      <c r="O30" s="1459">
        <f>$D$2*'BD-Redesign1'!O30</f>
        <v>271935.40402526245</v>
      </c>
      <c r="P30" s="1460">
        <f>$D$2*'BD-Redesign1'!P30</f>
        <v>62806150.401491702</v>
      </c>
    </row>
    <row r="31" spans="1:16">
      <c r="A31" s="1456" t="s">
        <v>1869</v>
      </c>
      <c r="B31" s="1471"/>
      <c r="C31" s="1456" t="s">
        <v>631</v>
      </c>
      <c r="D31" s="1459">
        <f>$D$2*'BD-Redesign1'!D31</f>
        <v>33386.598958333328</v>
      </c>
      <c r="E31" s="1459">
        <f>$D$2*'BD-Redesign1'!E31</f>
        <v>24029.583333333336</v>
      </c>
      <c r="F31" s="1459">
        <f>$D$2*'BD-Redesign1'!F31</f>
        <v>0</v>
      </c>
      <c r="G31" s="1459">
        <f>$D$2*'BD-Redesign1'!G31</f>
        <v>57416.182291666664</v>
      </c>
      <c r="H31" s="1459">
        <f>$D$2*'BD-Redesign1'!H31</f>
        <v>0</v>
      </c>
      <c r="I31" s="1459">
        <f>$D$2*'BD-Redesign1'!I31</f>
        <v>0</v>
      </c>
      <c r="J31" s="1459">
        <f>$D$2*'BD-Redesign1'!J31</f>
        <v>0</v>
      </c>
      <c r="K31" s="1459">
        <f>$D$2*'BD-Redesign1'!K31</f>
        <v>0</v>
      </c>
      <c r="L31" s="1459">
        <f>$D$2*'BD-Redesign1'!L31</f>
        <v>0</v>
      </c>
      <c r="M31" s="1459">
        <f>$D$2*'BD-Redesign1'!M31</f>
        <v>0</v>
      </c>
      <c r="N31" s="1459">
        <f>$D$2*'BD-Redesign1'!N31</f>
        <v>0</v>
      </c>
      <c r="O31" s="1459">
        <f>$D$2*'BD-Redesign1'!O31</f>
        <v>0</v>
      </c>
      <c r="P31" s="1460">
        <f>$D$2*'BD-Redesign1'!P31</f>
        <v>57416.182291666664</v>
      </c>
    </row>
    <row r="32" spans="1:16">
      <c r="A32" s="1454" t="s">
        <v>1157</v>
      </c>
      <c r="B32" s="1473"/>
      <c r="C32" s="1454" t="s">
        <v>1152</v>
      </c>
      <c r="D32" s="1469">
        <f>$D$2*'BD-Redesign1'!D32</f>
        <v>799246.5</v>
      </c>
      <c r="E32" s="1469">
        <f>$D$2*'BD-Redesign1'!E32</f>
        <v>400</v>
      </c>
      <c r="F32" s="1469">
        <f>$D$2*'BD-Redesign1'!F32</f>
        <v>0</v>
      </c>
      <c r="G32" s="1469">
        <f>$D$2*'BD-Redesign1'!G32</f>
        <v>799646.5</v>
      </c>
      <c r="H32" s="1469">
        <f>$D$2*'BD-Redesign1'!H32</f>
        <v>0</v>
      </c>
      <c r="I32" s="1469">
        <f>$D$2*'BD-Redesign1'!I32</f>
        <v>0</v>
      </c>
      <c r="J32" s="1469">
        <f>$D$2*'BD-Redesign1'!J32</f>
        <v>0</v>
      </c>
      <c r="K32" s="1469">
        <f>$D$2*'BD-Redesign1'!K32</f>
        <v>0</v>
      </c>
      <c r="L32" s="1469">
        <f>$D$2*'BD-Redesign1'!L32</f>
        <v>0</v>
      </c>
      <c r="M32" s="1469">
        <f>$D$2*'BD-Redesign1'!M32</f>
        <v>0</v>
      </c>
      <c r="N32" s="1469">
        <f>$D$2*'BD-Redesign1'!N32</f>
        <v>0</v>
      </c>
      <c r="O32" s="1469">
        <f>$D$2*'BD-Redesign1'!O32</f>
        <v>0</v>
      </c>
      <c r="P32" s="1470">
        <f>$D$2*'BD-Redesign1'!P32</f>
        <v>799646.5</v>
      </c>
    </row>
    <row r="33" spans="1:16">
      <c r="A33" s="1456" t="s">
        <v>1689</v>
      </c>
      <c r="B33" s="1471"/>
      <c r="C33" s="1456"/>
      <c r="D33" s="1460">
        <f>$D$2*'BD-Redesign1'!D33</f>
        <v>178060606</v>
      </c>
      <c r="E33" s="1460">
        <f>$D$2*'BD-Redesign1'!E33</f>
        <v>37621398.999999985</v>
      </c>
      <c r="F33" s="1460">
        <f>$D$2*'BD-Redesign1'!F33</f>
        <v>581327</v>
      </c>
      <c r="G33" s="1459">
        <f>$D$2*'BD-Redesign1'!G33</f>
        <v>216263332</v>
      </c>
      <c r="H33" s="1460">
        <f>$D$2*'BD-Redesign1'!H33</f>
        <v>4473155.5</v>
      </c>
      <c r="I33" s="1460">
        <f>$D$2*'BD-Redesign1'!I33</f>
        <v>108540</v>
      </c>
      <c r="J33" s="1460">
        <f>$D$2*'BD-Redesign1'!J33</f>
        <v>214889.5</v>
      </c>
      <c r="K33" s="1459">
        <f>$D$2*'BD-Redesign1'!K33</f>
        <v>4796585</v>
      </c>
      <c r="L33" s="1460">
        <f>$D$2*'BD-Redesign1'!L33</f>
        <v>990400.5</v>
      </c>
      <c r="M33" s="1460">
        <f>$D$2*'BD-Redesign1'!M33</f>
        <v>0</v>
      </c>
      <c r="N33" s="1460">
        <f>$D$2*'BD-Redesign1'!N33</f>
        <v>0</v>
      </c>
      <c r="O33" s="1459">
        <f>$D$2*'BD-Redesign1'!O33</f>
        <v>990400.5</v>
      </c>
      <c r="P33" s="1460">
        <f>$D$2*'BD-Redesign1'!P33</f>
        <v>222050317.49999997</v>
      </c>
    </row>
    <row r="34" spans="1:16">
      <c r="A34" s="1456"/>
      <c r="B34" s="1471"/>
      <c r="C34" s="1456"/>
      <c r="D34" s="1460"/>
      <c r="E34" s="1460"/>
      <c r="F34" s="1460"/>
      <c r="G34" s="1459"/>
      <c r="H34" s="1460"/>
      <c r="I34" s="1460"/>
      <c r="J34" s="1460"/>
      <c r="K34" s="1459"/>
      <c r="L34" s="1460"/>
      <c r="M34" s="1460"/>
      <c r="N34" s="1460"/>
      <c r="O34" s="1459"/>
    </row>
    <row r="35" spans="1:16">
      <c r="A35" s="1451" t="s">
        <v>1880</v>
      </c>
      <c r="C35" s="1452"/>
      <c r="D35" s="1450" t="s">
        <v>1881</v>
      </c>
      <c r="E35" s="1450" t="s">
        <v>1882</v>
      </c>
      <c r="F35" s="1450" t="s">
        <v>1883</v>
      </c>
      <c r="H35" s="1450" t="s">
        <v>1884</v>
      </c>
      <c r="I35" s="1450" t="s">
        <v>1885</v>
      </c>
      <c r="J35" s="1450" t="s">
        <v>1886</v>
      </c>
      <c r="L35" s="1450" t="s">
        <v>1887</v>
      </c>
      <c r="M35" s="1450" t="s">
        <v>1888</v>
      </c>
      <c r="N35" s="1450" t="s">
        <v>1889</v>
      </c>
    </row>
    <row r="36" spans="1:16" ht="15" customHeight="1">
      <c r="C36" s="1452"/>
      <c r="D36" s="1453" t="s">
        <v>223</v>
      </c>
      <c r="E36" s="1453" t="s">
        <v>223</v>
      </c>
      <c r="F36" s="1453" t="s">
        <v>223</v>
      </c>
      <c r="G36" s="1454"/>
      <c r="H36" s="1453" t="s">
        <v>1890</v>
      </c>
      <c r="I36" s="1453" t="s">
        <v>1890</v>
      </c>
      <c r="J36" s="1453" t="s">
        <v>1890</v>
      </c>
      <c r="K36" s="1454"/>
      <c r="L36" s="1453" t="s">
        <v>1891</v>
      </c>
      <c r="M36" s="1453" t="s">
        <v>1891</v>
      </c>
      <c r="N36" s="1453" t="s">
        <v>1891</v>
      </c>
      <c r="O36" s="1454"/>
    </row>
    <row r="37" spans="1:16">
      <c r="A37" s="1454"/>
      <c r="B37" s="1472"/>
      <c r="C37" s="1454"/>
      <c r="D37" s="1835" t="s">
        <v>429</v>
      </c>
      <c r="E37" s="1835" t="s">
        <v>438</v>
      </c>
      <c r="F37" s="1835" t="s">
        <v>428</v>
      </c>
      <c r="G37" s="1835" t="s">
        <v>93</v>
      </c>
      <c r="H37" s="1835" t="s">
        <v>429</v>
      </c>
      <c r="I37" s="1835" t="s">
        <v>438</v>
      </c>
      <c r="J37" s="1835" t="s">
        <v>428</v>
      </c>
      <c r="K37" s="1835" t="s">
        <v>93</v>
      </c>
      <c r="L37" s="1835" t="s">
        <v>429</v>
      </c>
      <c r="M37" s="1835" t="s">
        <v>438</v>
      </c>
      <c r="N37" s="1835" t="s">
        <v>428</v>
      </c>
      <c r="O37" s="1835" t="s">
        <v>93</v>
      </c>
      <c r="P37" s="1835" t="s">
        <v>1860</v>
      </c>
    </row>
    <row r="38" spans="1:16">
      <c r="A38" s="1456" t="s">
        <v>925</v>
      </c>
      <c r="B38" s="1471"/>
      <c r="C38" s="1456" t="s">
        <v>72</v>
      </c>
      <c r="D38" s="1459">
        <f>$D$2*'BD-Redesign1'!D38</f>
        <v>54</v>
      </c>
      <c r="E38" s="1459">
        <f>$D$2*'BD-Redesign1'!E38</f>
        <v>2</v>
      </c>
      <c r="F38" s="1459">
        <f>$D$2*'BD-Redesign1'!F38</f>
        <v>7</v>
      </c>
      <c r="G38" s="1459">
        <f>$D$2*'BD-Redesign1'!G38</f>
        <v>63</v>
      </c>
      <c r="H38" s="1459" t="e">
        <f>$D$2*'BD-Redesign1'!H38</f>
        <v>#N/A</v>
      </c>
      <c r="I38" s="1459" t="e">
        <f>$D$2*'BD-Redesign1'!I38</f>
        <v>#N/A</v>
      </c>
      <c r="J38" s="1459" t="e">
        <f>$D$2*'BD-Redesign1'!J38</f>
        <v>#N/A</v>
      </c>
      <c r="K38" s="1459" t="e">
        <f>$D$2*'BD-Redesign1'!K38</f>
        <v>#N/A</v>
      </c>
      <c r="L38" s="1459" t="e">
        <f>$D$2*'BD-Redesign1'!L38</f>
        <v>#N/A</v>
      </c>
      <c r="M38" s="1459" t="e">
        <f>$D$2*'BD-Redesign1'!M38</f>
        <v>#N/A</v>
      </c>
      <c r="N38" s="1459" t="e">
        <f>$D$2*'BD-Redesign1'!N38</f>
        <v>#N/A</v>
      </c>
      <c r="O38" s="1459" t="e">
        <f>$D$2*'BD-Redesign1'!O38</f>
        <v>#N/A</v>
      </c>
      <c r="P38" s="1460">
        <f>$D$2*'BD-Redesign1'!P38</f>
        <v>63</v>
      </c>
    </row>
    <row r="39" spans="1:16">
      <c r="A39" s="1456" t="s">
        <v>1904</v>
      </c>
      <c r="B39" s="1471"/>
      <c r="C39" s="1456" t="s">
        <v>1861</v>
      </c>
      <c r="D39" s="1459">
        <f>$D$2*'BD-Redesign1'!D39</f>
        <v>20514.5</v>
      </c>
      <c r="E39" s="1459">
        <f>$D$2*'BD-Redesign1'!E39</f>
        <v>0</v>
      </c>
      <c r="F39" s="1459">
        <f>$D$2*'BD-Redesign1'!F39</f>
        <v>1900</v>
      </c>
      <c r="G39" s="1459">
        <f>$D$2*'BD-Redesign1'!G39</f>
        <v>22414.5</v>
      </c>
      <c r="H39" s="1459" t="e">
        <f>$D$2*'BD-Redesign1'!H39</f>
        <v>#N/A</v>
      </c>
      <c r="I39" s="1459" t="e">
        <f>$D$2*'BD-Redesign1'!I39</f>
        <v>#N/A</v>
      </c>
      <c r="J39" s="1459" t="e">
        <f>$D$2*'BD-Redesign1'!J39</f>
        <v>#N/A</v>
      </c>
      <c r="K39" s="1459" t="e">
        <f>$D$2*'BD-Redesign1'!K39</f>
        <v>#N/A</v>
      </c>
      <c r="L39" s="1459" t="e">
        <f>$D$2*'BD-Redesign1'!L39</f>
        <v>#N/A</v>
      </c>
      <c r="M39" s="1459" t="e">
        <f>$D$2*'BD-Redesign1'!M39</f>
        <v>#N/A</v>
      </c>
      <c r="N39" s="1459" t="e">
        <f>$D$2*'BD-Redesign1'!N39</f>
        <v>#N/A</v>
      </c>
      <c r="O39" s="1459" t="e">
        <f>$D$2*'BD-Redesign1'!O39</f>
        <v>#N/A</v>
      </c>
      <c r="P39" s="1460">
        <f>$D$2*'BD-Redesign1'!P39</f>
        <v>22414.5</v>
      </c>
    </row>
    <row r="40" spans="1:16">
      <c r="A40" s="1456" t="s">
        <v>1899</v>
      </c>
      <c r="B40" s="1471"/>
      <c r="C40" s="1456" t="s">
        <v>1862</v>
      </c>
      <c r="D40" s="1459">
        <f>$D$2*'BD-Redesign1'!D40</f>
        <v>21924</v>
      </c>
      <c r="E40" s="1459">
        <f>$D$2*'BD-Redesign1'!E40</f>
        <v>0</v>
      </c>
      <c r="F40" s="1459">
        <f>$D$2*'BD-Redesign1'!F40</f>
        <v>7729.5</v>
      </c>
      <c r="G40" s="1459">
        <f>$D$2*'BD-Redesign1'!G40</f>
        <v>29653.5</v>
      </c>
      <c r="H40" s="1459" t="e">
        <f>$D$2*'BD-Redesign1'!H40</f>
        <v>#N/A</v>
      </c>
      <c r="I40" s="1459" t="e">
        <f>$D$2*'BD-Redesign1'!I40</f>
        <v>#N/A</v>
      </c>
      <c r="J40" s="1459" t="e">
        <f>$D$2*'BD-Redesign1'!J40</f>
        <v>#N/A</v>
      </c>
      <c r="K40" s="1459" t="e">
        <f>$D$2*'BD-Redesign1'!K40</f>
        <v>#N/A</v>
      </c>
      <c r="L40" s="1459" t="e">
        <f>$D$2*'BD-Redesign1'!L40</f>
        <v>#N/A</v>
      </c>
      <c r="M40" s="1459" t="e">
        <f>$D$2*'BD-Redesign1'!M40</f>
        <v>#N/A</v>
      </c>
      <c r="N40" s="1459" t="e">
        <f>$D$2*'BD-Redesign1'!N40</f>
        <v>#N/A</v>
      </c>
      <c r="O40" s="1459" t="e">
        <f>$D$2*'BD-Redesign1'!O40</f>
        <v>#N/A</v>
      </c>
      <c r="P40" s="1460">
        <f>$D$2*'BD-Redesign1'!P40</f>
        <v>29653.5</v>
      </c>
    </row>
    <row r="41" spans="1:16">
      <c r="A41" s="1456" t="s">
        <v>1905</v>
      </c>
      <c r="B41" s="1471"/>
      <c r="C41" s="1456" t="s">
        <v>1863</v>
      </c>
      <c r="D41" s="1459">
        <f>$D$2*'BD-Redesign1'!D41</f>
        <v>43500.5</v>
      </c>
      <c r="E41" s="1459">
        <f>$D$2*'BD-Redesign1'!E41</f>
        <v>3467.5</v>
      </c>
      <c r="F41" s="1459">
        <f>$D$2*'BD-Redesign1'!F41</f>
        <v>2874</v>
      </c>
      <c r="G41" s="1459">
        <f>$D$2*'BD-Redesign1'!G41</f>
        <v>49842</v>
      </c>
      <c r="H41" s="1459" t="e">
        <f>$D$2*'BD-Redesign1'!H41</f>
        <v>#N/A</v>
      </c>
      <c r="I41" s="1459" t="e">
        <f>$D$2*'BD-Redesign1'!I41</f>
        <v>#N/A</v>
      </c>
      <c r="J41" s="1459" t="e">
        <f>$D$2*'BD-Redesign1'!J41</f>
        <v>#N/A</v>
      </c>
      <c r="K41" s="1459" t="e">
        <f>$D$2*'BD-Redesign1'!K41</f>
        <v>#N/A</v>
      </c>
      <c r="L41" s="1459" t="e">
        <f>$D$2*'BD-Redesign1'!L41</f>
        <v>#N/A</v>
      </c>
      <c r="M41" s="1459" t="e">
        <f>$D$2*'BD-Redesign1'!M41</f>
        <v>#N/A</v>
      </c>
      <c r="N41" s="1459" t="e">
        <f>$D$2*'BD-Redesign1'!N41</f>
        <v>#N/A</v>
      </c>
      <c r="O41" s="1459" t="e">
        <f>$D$2*'BD-Redesign1'!O41</f>
        <v>#N/A</v>
      </c>
      <c r="P41" s="1460">
        <f>$D$2*'BD-Redesign1'!P41</f>
        <v>49842</v>
      </c>
    </row>
    <row r="42" spans="1:16">
      <c r="A42" s="1456" t="s">
        <v>1898</v>
      </c>
      <c r="B42" s="1471"/>
      <c r="C42" s="1456" t="s">
        <v>1864</v>
      </c>
      <c r="D42" s="1459">
        <f>$D$2*'BD-Redesign1'!D42</f>
        <v>25370.5</v>
      </c>
      <c r="E42" s="1459">
        <f>$D$2*'BD-Redesign1'!E42</f>
        <v>75.5</v>
      </c>
      <c r="F42" s="1459">
        <f>$D$2*'BD-Redesign1'!F42</f>
        <v>258.5</v>
      </c>
      <c r="G42" s="1459">
        <f>$D$2*'BD-Redesign1'!G42</f>
        <v>25704.5</v>
      </c>
      <c r="H42" s="1459" t="e">
        <f>$D$2*'BD-Redesign1'!H42</f>
        <v>#N/A</v>
      </c>
      <c r="I42" s="1459" t="e">
        <f>$D$2*'BD-Redesign1'!I42</f>
        <v>#N/A</v>
      </c>
      <c r="J42" s="1459" t="e">
        <f>$D$2*'BD-Redesign1'!J42</f>
        <v>#N/A</v>
      </c>
      <c r="K42" s="1459" t="e">
        <f>$D$2*'BD-Redesign1'!K42</f>
        <v>#N/A</v>
      </c>
      <c r="L42" s="1459" t="e">
        <f>$D$2*'BD-Redesign1'!L42</f>
        <v>#N/A</v>
      </c>
      <c r="M42" s="1459" t="e">
        <f>$D$2*'BD-Redesign1'!M42</f>
        <v>#N/A</v>
      </c>
      <c r="N42" s="1459" t="e">
        <f>$D$2*'BD-Redesign1'!N42</f>
        <v>#N/A</v>
      </c>
      <c r="O42" s="1459" t="e">
        <f>$D$2*'BD-Redesign1'!O42</f>
        <v>#N/A</v>
      </c>
      <c r="P42" s="1460">
        <f>$D$2*'BD-Redesign1'!P42</f>
        <v>25704.5</v>
      </c>
    </row>
    <row r="43" spans="1:16">
      <c r="A43" s="1456" t="s">
        <v>1900</v>
      </c>
      <c r="B43" s="1471"/>
      <c r="C43" s="1456" t="s">
        <v>1865</v>
      </c>
      <c r="D43" s="1459">
        <f>$D$2*'BD-Redesign1'!D43</f>
        <v>23568.242354788523</v>
      </c>
      <c r="E43" s="1459">
        <f>$D$2*'BD-Redesign1'!E43</f>
        <v>0</v>
      </c>
      <c r="F43" s="1459">
        <f>$D$2*'BD-Redesign1'!F43</f>
        <v>5347.7476761769631</v>
      </c>
      <c r="G43" s="1459">
        <f>$D$2*'BD-Redesign1'!G43</f>
        <v>28915.990030965484</v>
      </c>
      <c r="H43" s="1459" t="e">
        <f>$D$2*'BD-Redesign1'!H43</f>
        <v>#N/A</v>
      </c>
      <c r="I43" s="1459" t="e">
        <f>$D$2*'BD-Redesign1'!I43</f>
        <v>#N/A</v>
      </c>
      <c r="J43" s="1459" t="e">
        <f>$D$2*'BD-Redesign1'!J43</f>
        <v>#N/A</v>
      </c>
      <c r="K43" s="1459" t="e">
        <f>$D$2*'BD-Redesign1'!K43</f>
        <v>#N/A</v>
      </c>
      <c r="L43" s="1459" t="e">
        <f>$D$2*'BD-Redesign1'!L43</f>
        <v>#N/A</v>
      </c>
      <c r="M43" s="1459" t="e">
        <f>$D$2*'BD-Redesign1'!M43</f>
        <v>#N/A</v>
      </c>
      <c r="N43" s="1459" t="e">
        <f>$D$2*'BD-Redesign1'!N43</f>
        <v>#N/A</v>
      </c>
      <c r="O43" s="1459" t="e">
        <f>$D$2*'BD-Redesign1'!O43</f>
        <v>#N/A</v>
      </c>
      <c r="P43" s="1460">
        <f>$D$2*'BD-Redesign1'!P43</f>
        <v>28915.990030965484</v>
      </c>
    </row>
    <row r="44" spans="1:16">
      <c r="A44" s="1456" t="s">
        <v>1901</v>
      </c>
      <c r="B44" s="1471"/>
      <c r="C44" s="1456" t="s">
        <v>1866</v>
      </c>
      <c r="D44" s="1459">
        <f>$D$2*'BD-Redesign1'!D44</f>
        <v>18870.257645211477</v>
      </c>
      <c r="E44" s="1459">
        <f>$D$2*'BD-Redesign1'!E44</f>
        <v>0</v>
      </c>
      <c r="F44" s="1459">
        <f>$D$2*'BD-Redesign1'!F44</f>
        <v>4281.7523238230369</v>
      </c>
      <c r="G44" s="1459">
        <f>$D$2*'BD-Redesign1'!G44</f>
        <v>23152.009969034516</v>
      </c>
      <c r="H44" s="1459" t="e">
        <f>$D$2*'BD-Redesign1'!H44</f>
        <v>#N/A</v>
      </c>
      <c r="I44" s="1459" t="e">
        <f>$D$2*'BD-Redesign1'!I44</f>
        <v>#N/A</v>
      </c>
      <c r="J44" s="1459" t="e">
        <f>$D$2*'BD-Redesign1'!J44</f>
        <v>#N/A</v>
      </c>
      <c r="K44" s="1459" t="e">
        <f>$D$2*'BD-Redesign1'!K44</f>
        <v>#N/A</v>
      </c>
      <c r="L44" s="1459" t="e">
        <f>$D$2*'BD-Redesign1'!L44</f>
        <v>#N/A</v>
      </c>
      <c r="M44" s="1459" t="e">
        <f>$D$2*'BD-Redesign1'!M44</f>
        <v>#N/A</v>
      </c>
      <c r="N44" s="1459" t="e">
        <f>$D$2*'BD-Redesign1'!N44</f>
        <v>#N/A</v>
      </c>
      <c r="O44" s="1459" t="e">
        <f>$D$2*'BD-Redesign1'!O44</f>
        <v>#N/A</v>
      </c>
      <c r="P44" s="1460">
        <f>$D$2*'BD-Redesign1'!P44</f>
        <v>23152.009969034516</v>
      </c>
    </row>
    <row r="45" spans="1:16">
      <c r="A45" s="1456" t="s">
        <v>1902</v>
      </c>
      <c r="B45" s="1471"/>
      <c r="C45" s="1456" t="s">
        <v>1867</v>
      </c>
      <c r="D45" s="1459">
        <f>$D$2*'BD-Redesign1'!D45</f>
        <v>38247.544546028723</v>
      </c>
      <c r="E45" s="1459">
        <f>$D$2*'BD-Redesign1'!E45</f>
        <v>1967.6068349026409</v>
      </c>
      <c r="F45" s="1459">
        <f>$D$2*'BD-Redesign1'!F45</f>
        <v>1739.6354530997805</v>
      </c>
      <c r="G45" s="1459">
        <f>$D$2*'BD-Redesign1'!G45</f>
        <v>41954.78683403114</v>
      </c>
      <c r="H45" s="1459" t="e">
        <f>$D$2*'BD-Redesign1'!H45</f>
        <v>#N/A</v>
      </c>
      <c r="I45" s="1459" t="e">
        <f>$D$2*'BD-Redesign1'!I45</f>
        <v>#N/A</v>
      </c>
      <c r="J45" s="1459" t="e">
        <f>$D$2*'BD-Redesign1'!J45</f>
        <v>#N/A</v>
      </c>
      <c r="K45" s="1459" t="e">
        <f>$D$2*'BD-Redesign1'!K45</f>
        <v>#N/A</v>
      </c>
      <c r="L45" s="1459" t="e">
        <f>$D$2*'BD-Redesign1'!L45</f>
        <v>#N/A</v>
      </c>
      <c r="M45" s="1459" t="e">
        <f>$D$2*'BD-Redesign1'!M45</f>
        <v>#N/A</v>
      </c>
      <c r="N45" s="1459" t="e">
        <f>$D$2*'BD-Redesign1'!N45</f>
        <v>#N/A</v>
      </c>
      <c r="O45" s="1459" t="e">
        <f>$D$2*'BD-Redesign1'!O45</f>
        <v>#N/A</v>
      </c>
      <c r="P45" s="1460">
        <f>$D$2*'BD-Redesign1'!P45</f>
        <v>41954.78683403114</v>
      </c>
    </row>
    <row r="46" spans="1:16">
      <c r="A46" s="1456" t="s">
        <v>1903</v>
      </c>
      <c r="B46" s="1471"/>
      <c r="C46" s="1456" t="s">
        <v>1868</v>
      </c>
      <c r="D46" s="1459">
        <f>$D$2*'BD-Redesign1'!D46</f>
        <v>30623.455453971277</v>
      </c>
      <c r="E46" s="1459">
        <f>$D$2*'BD-Redesign1'!E46</f>
        <v>1575.3931650973593</v>
      </c>
      <c r="F46" s="1459">
        <f>$D$2*'BD-Redesign1'!F46</f>
        <v>1392.8645469002195</v>
      </c>
      <c r="G46" s="1459">
        <f>$D$2*'BD-Redesign1'!G46</f>
        <v>33591.71316596886</v>
      </c>
      <c r="H46" s="1459" t="e">
        <f>$D$2*'BD-Redesign1'!H46</f>
        <v>#N/A</v>
      </c>
      <c r="I46" s="1459" t="e">
        <f>$D$2*'BD-Redesign1'!I46</f>
        <v>#N/A</v>
      </c>
      <c r="J46" s="1459" t="e">
        <f>$D$2*'BD-Redesign1'!J46</f>
        <v>#N/A</v>
      </c>
      <c r="K46" s="1459" t="e">
        <f>$D$2*'BD-Redesign1'!K46</f>
        <v>#N/A</v>
      </c>
      <c r="L46" s="1459" t="e">
        <f>$D$2*'BD-Redesign1'!L46</f>
        <v>#N/A</v>
      </c>
      <c r="M46" s="1459" t="e">
        <f>$D$2*'BD-Redesign1'!M46</f>
        <v>#N/A</v>
      </c>
      <c r="N46" s="1459" t="e">
        <f>$D$2*'BD-Redesign1'!N46</f>
        <v>#N/A</v>
      </c>
      <c r="O46" s="1459" t="e">
        <f>$D$2*'BD-Redesign1'!O46</f>
        <v>#N/A</v>
      </c>
      <c r="P46" s="1460">
        <f>$D$2*'BD-Redesign1'!P46</f>
        <v>33591.71316596886</v>
      </c>
    </row>
    <row r="47" spans="1:16">
      <c r="A47" s="1456" t="s">
        <v>1869</v>
      </c>
      <c r="B47" s="1471"/>
      <c r="C47" s="1456" t="s">
        <v>631</v>
      </c>
      <c r="D47" s="1459">
        <f>$D$2*'BD-Redesign1'!D47</f>
        <v>0</v>
      </c>
      <c r="E47" s="1459">
        <f>$D$2*'BD-Redesign1'!E47</f>
        <v>0</v>
      </c>
      <c r="F47" s="1459">
        <f>$D$2*'BD-Redesign1'!F47</f>
        <v>0</v>
      </c>
      <c r="G47" s="1459">
        <f>$D$2*'BD-Redesign1'!G47</f>
        <v>0</v>
      </c>
      <c r="H47" s="1459" t="e">
        <f>$D$2*'BD-Redesign1'!H47</f>
        <v>#N/A</v>
      </c>
      <c r="I47" s="1459" t="e">
        <f>$D$2*'BD-Redesign1'!I47</f>
        <v>#N/A</v>
      </c>
      <c r="J47" s="1459" t="e">
        <f>$D$2*'BD-Redesign1'!J47</f>
        <v>#N/A</v>
      </c>
      <c r="K47" s="1459" t="e">
        <f>$D$2*'BD-Redesign1'!K47</f>
        <v>#N/A</v>
      </c>
      <c r="L47" s="1459" t="e">
        <f>$D$2*'BD-Redesign1'!L47</f>
        <v>#N/A</v>
      </c>
      <c r="M47" s="1459" t="e">
        <f>$D$2*'BD-Redesign1'!M47</f>
        <v>#N/A</v>
      </c>
      <c r="N47" s="1459" t="e">
        <f>$D$2*'BD-Redesign1'!N47</f>
        <v>#N/A</v>
      </c>
      <c r="O47" s="1459" t="e">
        <f>$D$2*'BD-Redesign1'!O47</f>
        <v>#N/A</v>
      </c>
      <c r="P47" s="1460">
        <f>$D$2*'BD-Redesign1'!P47</f>
        <v>0</v>
      </c>
    </row>
    <row r="48" spans="1:16">
      <c r="A48" s="1454" t="s">
        <v>1157</v>
      </c>
      <c r="B48" s="1473"/>
      <c r="C48" s="1454" t="s">
        <v>1152</v>
      </c>
      <c r="D48" s="1469">
        <f>$D$2*'BD-Redesign1'!D48</f>
        <v>0</v>
      </c>
      <c r="E48" s="1469">
        <f>$D$2*'BD-Redesign1'!E48</f>
        <v>0</v>
      </c>
      <c r="F48" s="1469">
        <f>$D$2*'BD-Redesign1'!F48</f>
        <v>0</v>
      </c>
      <c r="G48" s="1469">
        <f>$D$2*'BD-Redesign1'!G48</f>
        <v>0</v>
      </c>
      <c r="H48" s="1469" t="e">
        <f>$D$2*'BD-Redesign1'!H48</f>
        <v>#N/A</v>
      </c>
      <c r="I48" s="1469" t="e">
        <f>$D$2*'BD-Redesign1'!I48</f>
        <v>#N/A</v>
      </c>
      <c r="J48" s="1469" t="e">
        <f>$D$2*'BD-Redesign1'!J48</f>
        <v>#N/A</v>
      </c>
      <c r="K48" s="1469" t="e">
        <f>$D$2*'BD-Redesign1'!K48</f>
        <v>#N/A</v>
      </c>
      <c r="L48" s="1469" t="e">
        <f>$D$2*'BD-Redesign1'!L48</f>
        <v>#N/A</v>
      </c>
      <c r="M48" s="1469" t="e">
        <f>$D$2*'BD-Redesign1'!M48</f>
        <v>#N/A</v>
      </c>
      <c r="N48" s="1469" t="e">
        <f>$D$2*'BD-Redesign1'!N48</f>
        <v>#N/A</v>
      </c>
      <c r="O48" s="1469" t="e">
        <f>$D$2*'BD-Redesign1'!O48</f>
        <v>#N/A</v>
      </c>
      <c r="P48" s="1470">
        <f>$D$2*'BD-Redesign1'!P48</f>
        <v>0</v>
      </c>
    </row>
    <row r="49" spans="1:16">
      <c r="A49" s="1456" t="s">
        <v>1689</v>
      </c>
      <c r="B49" s="1471"/>
      <c r="C49" s="1456"/>
      <c r="D49" s="1460">
        <f>$D$2*'BD-Redesign1'!D49</f>
        <v>111309.5</v>
      </c>
      <c r="E49" s="1460">
        <f>$D$2*'BD-Redesign1'!E49</f>
        <v>3543</v>
      </c>
      <c r="F49" s="1460">
        <f>$D$2*'BD-Redesign1'!F49</f>
        <v>12762</v>
      </c>
      <c r="G49" s="1459">
        <f>$D$2*'BD-Redesign1'!G49</f>
        <v>127614.5</v>
      </c>
      <c r="H49" s="1460" t="e">
        <f>$D$2*'BD-Redesign1'!H49</f>
        <v>#N/A</v>
      </c>
      <c r="I49" s="1460" t="e">
        <f>$D$2*'BD-Redesign1'!I49</f>
        <v>#N/A</v>
      </c>
      <c r="J49" s="1460" t="e">
        <f>$D$2*'BD-Redesign1'!J49</f>
        <v>#N/A</v>
      </c>
      <c r="K49" s="1459" t="e">
        <f>$D$2*'BD-Redesign1'!K49</f>
        <v>#N/A</v>
      </c>
      <c r="L49" s="1460" t="e">
        <f>$D$2*'BD-Redesign1'!L49</f>
        <v>#N/A</v>
      </c>
      <c r="M49" s="1460" t="e">
        <f>$D$2*'BD-Redesign1'!M49</f>
        <v>#N/A</v>
      </c>
      <c r="N49" s="1460" t="e">
        <f>$D$2*'BD-Redesign1'!N49</f>
        <v>#N/A</v>
      </c>
      <c r="O49" s="1459" t="e">
        <f>$D$2*'BD-Redesign1'!O49</f>
        <v>#N/A</v>
      </c>
      <c r="P49" s="1460">
        <f>$D$2*'BD-Redesign1'!P49</f>
        <v>127614.5</v>
      </c>
    </row>
    <row r="50" spans="1:16">
      <c r="A50" s="1456"/>
      <c r="B50" s="1471"/>
      <c r="C50" s="1456"/>
      <c r="D50" s="1460"/>
      <c r="E50" s="1460"/>
      <c r="F50" s="1460"/>
      <c r="G50" s="1459"/>
      <c r="H50" s="1460"/>
      <c r="I50" s="1460"/>
      <c r="J50" s="1460"/>
      <c r="K50" s="1459"/>
      <c r="L50" s="1460"/>
      <c r="M50" s="1460"/>
      <c r="N50" s="1460"/>
      <c r="O50" s="1459"/>
    </row>
    <row r="51" spans="1:16">
      <c r="A51" s="1451" t="s">
        <v>1892</v>
      </c>
      <c r="C51" s="1452"/>
      <c r="D51" s="1450" t="s">
        <v>1871</v>
      </c>
      <c r="E51" s="1450" t="s">
        <v>1872</v>
      </c>
      <c r="F51" s="1450" t="s">
        <v>1873</v>
      </c>
      <c r="H51" s="1450" t="s">
        <v>1874</v>
      </c>
      <c r="I51" s="1450" t="s">
        <v>1875</v>
      </c>
      <c r="J51" s="1450" t="s">
        <v>1876</v>
      </c>
      <c r="L51" s="1450" t="s">
        <v>1877</v>
      </c>
      <c r="M51" s="1450" t="s">
        <v>1878</v>
      </c>
      <c r="N51" s="1450" t="s">
        <v>1879</v>
      </c>
    </row>
    <row r="52" spans="1:16" ht="15" customHeight="1">
      <c r="C52" s="1452"/>
      <c r="D52" s="1453">
        <v>6</v>
      </c>
      <c r="E52" s="1453">
        <v>6</v>
      </c>
      <c r="F52" s="1453">
        <v>6</v>
      </c>
      <c r="G52" s="1454"/>
      <c r="H52" s="1453" t="s">
        <v>959</v>
      </c>
      <c r="I52" s="1453" t="s">
        <v>959</v>
      </c>
      <c r="J52" s="1453" t="s">
        <v>959</v>
      </c>
      <c r="K52" s="1454"/>
      <c r="L52" s="1453" t="s">
        <v>1215</v>
      </c>
      <c r="M52" s="1453" t="s">
        <v>1215</v>
      </c>
      <c r="N52" s="1453" t="s">
        <v>1215</v>
      </c>
      <c r="O52" s="1454"/>
    </row>
    <row r="53" spans="1:16">
      <c r="A53" s="1454"/>
      <c r="B53" s="1472"/>
      <c r="C53" s="1454"/>
      <c r="D53" s="1835" t="s">
        <v>429</v>
      </c>
      <c r="E53" s="1835" t="s">
        <v>438</v>
      </c>
      <c r="F53" s="1835" t="s">
        <v>428</v>
      </c>
      <c r="G53" s="1835" t="s">
        <v>93</v>
      </c>
      <c r="H53" s="1835" t="s">
        <v>429</v>
      </c>
      <c r="I53" s="1835" t="s">
        <v>438</v>
      </c>
      <c r="J53" s="1835" t="s">
        <v>428</v>
      </c>
      <c r="K53" s="1835" t="s">
        <v>93</v>
      </c>
      <c r="L53" s="1835" t="s">
        <v>429</v>
      </c>
      <c r="M53" s="1835" t="s">
        <v>438</v>
      </c>
      <c r="N53" s="1835" t="s">
        <v>428</v>
      </c>
      <c r="O53" s="1835" t="s">
        <v>93</v>
      </c>
      <c r="P53" s="1835" t="s">
        <v>1860</v>
      </c>
    </row>
    <row r="54" spans="1:16">
      <c r="A54" s="1452" t="s">
        <v>925</v>
      </c>
      <c r="B54" s="1474"/>
      <c r="C54" s="1452" t="s">
        <v>72</v>
      </c>
      <c r="D54" s="1459">
        <f>$D$2*'BD-Redesign1'!D54</f>
        <v>14061.016666649997</v>
      </c>
      <c r="E54" s="1459">
        <f>$D$2*'BD-Redesign1'!E54</f>
        <v>2090.65</v>
      </c>
      <c r="F54" s="1459">
        <f>$D$2*'BD-Redesign1'!F54</f>
        <v>118.29999999999998</v>
      </c>
      <c r="G54" s="1459">
        <f>$D$2*'BD-Redesign1'!G54</f>
        <v>16269.966666649996</v>
      </c>
      <c r="H54" s="1459">
        <f>$D$2*'BD-Redesign1'!H54</f>
        <v>412.38333333333333</v>
      </c>
      <c r="I54" s="1459">
        <f>$D$2*'BD-Redesign1'!I54</f>
        <v>12</v>
      </c>
      <c r="J54" s="1459">
        <f>$D$2*'BD-Redesign1'!J54</f>
        <v>37.433333333333337</v>
      </c>
      <c r="K54" s="1459">
        <f>$D$2*'BD-Redesign1'!K54</f>
        <v>461.81666666666666</v>
      </c>
      <c r="L54" s="1459">
        <f>$D$2*'BD-Redesign1'!L54</f>
        <v>55.716666666666669</v>
      </c>
      <c r="M54" s="1459">
        <f>$D$2*'BD-Redesign1'!M54</f>
        <v>0</v>
      </c>
      <c r="N54" s="1459">
        <f>$D$2*'BD-Redesign1'!N54</f>
        <v>0</v>
      </c>
      <c r="O54" s="1459">
        <f>$D$2*'BD-Redesign1'!O54</f>
        <v>55.716666666666669</v>
      </c>
      <c r="P54" s="1475">
        <f>$D$2*'BD-Redesign1'!P54</f>
        <v>16269.966666649996</v>
      </c>
    </row>
    <row r="55" spans="1:16">
      <c r="A55" s="1452" t="s">
        <v>1893</v>
      </c>
      <c r="B55" s="1474"/>
      <c r="C55" s="1452" t="s">
        <v>462</v>
      </c>
      <c r="D55" s="1459">
        <f>$D$2*'BD-Redesign1'!D55</f>
        <v>1083158.4146039609</v>
      </c>
      <c r="E55" s="1459">
        <f>$D$2*'BD-Redesign1'!E55</f>
        <v>237102.33168316825</v>
      </c>
      <c r="F55" s="1459">
        <f>$D$2*'BD-Redesign1'!F55</f>
        <v>3964.2846534653472</v>
      </c>
      <c r="G55" s="1459">
        <f>$D$2*'BD-Redesign1'!G55</f>
        <v>1324225.0309405944</v>
      </c>
      <c r="H55" s="1459">
        <f>$D$2*'BD-Redesign1'!H55</f>
        <v>30550</v>
      </c>
      <c r="I55" s="1459">
        <f>$D$2*'BD-Redesign1'!I55</f>
        <v>716</v>
      </c>
      <c r="J55" s="1459">
        <f>$D$2*'BD-Redesign1'!J55</f>
        <v>1329.6670792079208</v>
      </c>
      <c r="K55" s="1459">
        <f>$D$2*'BD-Redesign1'!K55</f>
        <v>32595.66707920792</v>
      </c>
      <c r="L55" s="1459">
        <f>$D$2*'BD-Redesign1'!L55</f>
        <v>5287.6844059405939</v>
      </c>
      <c r="M55" s="1459">
        <f>$D$2*'BD-Redesign1'!M55</f>
        <v>0</v>
      </c>
      <c r="N55" s="1459">
        <f>$D$2*'BD-Redesign1'!N55</f>
        <v>0</v>
      </c>
      <c r="O55" s="1459">
        <f>$D$2*'BD-Redesign1'!O55</f>
        <v>5287.6844059405939</v>
      </c>
      <c r="P55" s="1475">
        <f>$D$2*'BD-Redesign1'!P55</f>
        <v>1324225.0309405944</v>
      </c>
    </row>
    <row r="56" spans="1:16">
      <c r="A56" s="1452" t="s">
        <v>1894</v>
      </c>
      <c r="B56" s="1474"/>
      <c r="C56" s="1452" t="s">
        <v>638</v>
      </c>
      <c r="D56" s="1459">
        <f>$D$2*'BD-Redesign1'!D56</f>
        <v>396337.73143564368</v>
      </c>
      <c r="E56" s="1459">
        <f>$D$2*'BD-Redesign1'!E56</f>
        <v>85670.315594059415</v>
      </c>
      <c r="F56" s="1459">
        <f>$D$2*'BD-Redesign1'!F56</f>
        <v>1503.5334158415844</v>
      </c>
      <c r="G56" s="1459">
        <f>$D$2*'BD-Redesign1'!G56</f>
        <v>483511.58044554468</v>
      </c>
      <c r="H56" s="1459">
        <f>$D$2*'BD-Redesign1'!H56</f>
        <v>11597.5</v>
      </c>
      <c r="I56" s="1459">
        <f>$D$2*'BD-Redesign1'!I56</f>
        <v>265.5</v>
      </c>
      <c r="J56" s="1459">
        <f>$D$2*'BD-Redesign1'!J56</f>
        <v>371</v>
      </c>
      <c r="K56" s="1459">
        <f>$D$2*'BD-Redesign1'!K56</f>
        <v>12234</v>
      </c>
      <c r="L56" s="1459">
        <f>$D$2*'BD-Redesign1'!L56</f>
        <v>2252.7326732673264</v>
      </c>
      <c r="M56" s="1459">
        <f>$D$2*'BD-Redesign1'!M56</f>
        <v>0</v>
      </c>
      <c r="N56" s="1459">
        <f>$D$2*'BD-Redesign1'!N56</f>
        <v>0</v>
      </c>
      <c r="O56" s="1459">
        <f>$D$2*'BD-Redesign1'!O56</f>
        <v>2252.7326732673264</v>
      </c>
      <c r="P56" s="1475">
        <f>$D$2*'BD-Redesign1'!P56</f>
        <v>483511.58044554468</v>
      </c>
    </row>
    <row r="57" spans="1:16">
      <c r="A57" s="1452" t="s">
        <v>1895</v>
      </c>
      <c r="B57" s="1474"/>
      <c r="C57" s="1452" t="s">
        <v>639</v>
      </c>
      <c r="D57" s="1459">
        <f>$D$2*'BD-Redesign1'!D57</f>
        <v>686820.68316831719</v>
      </c>
      <c r="E57" s="1459">
        <f>$D$2*'BD-Redesign1'!E57</f>
        <v>151432.01608910886</v>
      </c>
      <c r="F57" s="1459">
        <f>$D$2*'BD-Redesign1'!F57</f>
        <v>2460.7512376237623</v>
      </c>
      <c r="G57" s="1459">
        <f>$D$2*'BD-Redesign1'!G57</f>
        <v>840713.45049504982</v>
      </c>
      <c r="H57" s="1459">
        <f>$D$2*'BD-Redesign1'!H57</f>
        <v>18952.5</v>
      </c>
      <c r="I57" s="1459">
        <f>$D$2*'BD-Redesign1'!I57</f>
        <v>450.5</v>
      </c>
      <c r="J57" s="1459">
        <f>$D$2*'BD-Redesign1'!J57</f>
        <v>958.66707920792078</v>
      </c>
      <c r="K57" s="1459">
        <f>$D$2*'BD-Redesign1'!K57</f>
        <v>20361.66707920792</v>
      </c>
      <c r="L57" s="1459">
        <f>$D$2*'BD-Redesign1'!L57</f>
        <v>3034.9517326732675</v>
      </c>
      <c r="M57" s="1459">
        <f>$D$2*'BD-Redesign1'!M57</f>
        <v>0</v>
      </c>
      <c r="N57" s="1459">
        <f>$D$2*'BD-Redesign1'!N57</f>
        <v>0</v>
      </c>
      <c r="O57" s="1459">
        <f>$D$2*'BD-Redesign1'!O57</f>
        <v>3034.9517326732675</v>
      </c>
      <c r="P57" s="1475">
        <f>$D$2*'BD-Redesign1'!P57</f>
        <v>840713.45049504982</v>
      </c>
    </row>
    <row r="58" spans="1:16">
      <c r="A58" s="1452" t="s">
        <v>1869</v>
      </c>
      <c r="B58" s="1474"/>
      <c r="C58" s="1452" t="s">
        <v>631</v>
      </c>
      <c r="D58" s="1459">
        <f>$D$2*'BD-Redesign1'!D58</f>
        <v>33386.598958333328</v>
      </c>
      <c r="E58" s="1459">
        <f>$D$2*'BD-Redesign1'!E58</f>
        <v>24029.583333333336</v>
      </c>
      <c r="F58" s="1459">
        <f>$D$2*'BD-Redesign1'!F58</f>
        <v>0</v>
      </c>
      <c r="G58" s="1459">
        <f>$D$2*'BD-Redesign1'!G58</f>
        <v>57416.182291666664</v>
      </c>
      <c r="H58" s="1459">
        <f>$D$2*'BD-Redesign1'!H58</f>
        <v>0</v>
      </c>
      <c r="I58" s="1459">
        <f>$D$2*'BD-Redesign1'!I58</f>
        <v>0</v>
      </c>
      <c r="J58" s="1459">
        <f>$D$2*'BD-Redesign1'!J58</f>
        <v>0</v>
      </c>
      <c r="K58" s="1459">
        <f>$D$2*'BD-Redesign1'!K58</f>
        <v>0</v>
      </c>
      <c r="L58" s="1459">
        <f>$D$2*'BD-Redesign1'!L58</f>
        <v>0</v>
      </c>
      <c r="M58" s="1459">
        <f>$D$2*'BD-Redesign1'!M58</f>
        <v>0</v>
      </c>
      <c r="N58" s="1459">
        <f>$D$2*'BD-Redesign1'!N58</f>
        <v>0</v>
      </c>
      <c r="O58" s="1459">
        <f>$D$2*'BD-Redesign1'!O58</f>
        <v>0</v>
      </c>
      <c r="P58" s="1475">
        <f>$D$2*'BD-Redesign1'!P58</f>
        <v>57416.182291666664</v>
      </c>
    </row>
    <row r="59" spans="1:16">
      <c r="A59" s="1452" t="s">
        <v>1896</v>
      </c>
      <c r="B59" s="1474"/>
      <c r="C59" s="1452" t="s">
        <v>622</v>
      </c>
      <c r="D59" s="1459">
        <f>$D$2*'BD-Redesign1'!D59</f>
        <v>63952375</v>
      </c>
      <c r="E59" s="1459">
        <f>$D$2*'BD-Redesign1'!E59</f>
        <v>13757247</v>
      </c>
      <c r="F59" s="1459">
        <f>$D$2*'BD-Redesign1'!F59</f>
        <v>236042</v>
      </c>
      <c r="G59" s="1459">
        <f>$D$2*'BD-Redesign1'!G59</f>
        <v>77945664</v>
      </c>
      <c r="H59" s="1459">
        <f>$D$2*'BD-Redesign1'!H59</f>
        <v>1603148</v>
      </c>
      <c r="I59" s="1459">
        <f>$D$2*'BD-Redesign1'!I59</f>
        <v>39960</v>
      </c>
      <c r="J59" s="1459">
        <f>$D$2*'BD-Redesign1'!J59</f>
        <v>34400</v>
      </c>
      <c r="K59" s="1459">
        <f>$D$2*'BD-Redesign1'!K59</f>
        <v>1677508</v>
      </c>
      <c r="L59" s="1459">
        <f>$D$2*'BD-Redesign1'!L59</f>
        <v>378828</v>
      </c>
      <c r="M59" s="1459">
        <f>$D$2*'BD-Redesign1'!M59</f>
        <v>0</v>
      </c>
      <c r="N59" s="1459">
        <f>$D$2*'BD-Redesign1'!N59</f>
        <v>0</v>
      </c>
      <c r="O59" s="1459">
        <f>$D$2*'BD-Redesign1'!O59</f>
        <v>378828</v>
      </c>
      <c r="P59" s="1475">
        <f>$D$2*'BD-Redesign1'!P59</f>
        <v>77945664</v>
      </c>
    </row>
    <row r="60" spans="1:16">
      <c r="A60" s="1452" t="s">
        <v>1897</v>
      </c>
      <c r="B60" s="1474"/>
      <c r="C60" s="1452" t="s">
        <v>626</v>
      </c>
      <c r="D60" s="1459">
        <f>$D$2*'BD-Redesign1'!D60</f>
        <v>113308984.5</v>
      </c>
      <c r="E60" s="1459">
        <f>$D$2*'BD-Redesign1'!E60</f>
        <v>23863752</v>
      </c>
      <c r="F60" s="1459">
        <f>$D$2*'BD-Redesign1'!F60</f>
        <v>345285</v>
      </c>
      <c r="G60" s="1459">
        <f>$D$2*'BD-Redesign1'!G60</f>
        <v>137518021.5</v>
      </c>
      <c r="H60" s="1459">
        <f>$D$2*'BD-Redesign1'!H60</f>
        <v>2870007.5</v>
      </c>
      <c r="I60" s="1459">
        <f>$D$2*'BD-Redesign1'!I60</f>
        <v>68580</v>
      </c>
      <c r="J60" s="1459">
        <f>$D$2*'BD-Redesign1'!J60</f>
        <v>180489.5</v>
      </c>
      <c r="K60" s="1459">
        <f>$D$2*'BD-Redesign1'!K60</f>
        <v>3119077</v>
      </c>
      <c r="L60" s="1459">
        <f>$D$2*'BD-Redesign1'!L60</f>
        <v>611572.5</v>
      </c>
      <c r="M60" s="1459">
        <f>$D$2*'BD-Redesign1'!M60</f>
        <v>0</v>
      </c>
      <c r="N60" s="1459">
        <f>$D$2*'BD-Redesign1'!N60</f>
        <v>0</v>
      </c>
      <c r="O60" s="1459">
        <f>$D$2*'BD-Redesign1'!O60</f>
        <v>611572.5</v>
      </c>
      <c r="P60" s="1475">
        <f>$D$2*'BD-Redesign1'!P60</f>
        <v>137518021.5</v>
      </c>
    </row>
    <row r="61" spans="1:16">
      <c r="A61" s="1454" t="s">
        <v>1157</v>
      </c>
      <c r="B61" s="1473"/>
      <c r="C61" s="1454" t="s">
        <v>1152</v>
      </c>
      <c r="D61" s="1469">
        <f>$D$2*'BD-Redesign1'!D61</f>
        <v>799246.5</v>
      </c>
      <c r="E61" s="1469">
        <f>$D$2*'BD-Redesign1'!E61</f>
        <v>400</v>
      </c>
      <c r="F61" s="1469">
        <f>$D$2*'BD-Redesign1'!F61</f>
        <v>0</v>
      </c>
      <c r="G61" s="1469">
        <f>$D$2*'BD-Redesign1'!G61</f>
        <v>799646.5</v>
      </c>
      <c r="H61" s="1469">
        <f>$D$2*'BD-Redesign1'!H61</f>
        <v>0</v>
      </c>
      <c r="I61" s="1469">
        <f>$D$2*'BD-Redesign1'!I61</f>
        <v>0</v>
      </c>
      <c r="J61" s="1469">
        <f>$D$2*'BD-Redesign1'!J61</f>
        <v>0</v>
      </c>
      <c r="K61" s="1469">
        <f>$D$2*'BD-Redesign1'!K61</f>
        <v>0</v>
      </c>
      <c r="L61" s="1469">
        <f>$D$2*'BD-Redesign1'!L61</f>
        <v>0</v>
      </c>
      <c r="M61" s="1469">
        <f>$D$2*'BD-Redesign1'!M61</f>
        <v>0</v>
      </c>
      <c r="N61" s="1469">
        <f>$D$2*'BD-Redesign1'!N61</f>
        <v>0</v>
      </c>
      <c r="O61" s="1469">
        <f>$D$2*'BD-Redesign1'!O61</f>
        <v>0</v>
      </c>
      <c r="P61" s="1470">
        <f>$D$2*'BD-Redesign1'!P61</f>
        <v>799646.5</v>
      </c>
    </row>
    <row r="62" spans="1:16">
      <c r="A62" s="1456" t="s">
        <v>1689</v>
      </c>
      <c r="B62" s="1471"/>
      <c r="C62" s="1471"/>
      <c r="D62" s="1460">
        <f>$D$2*'BD-Redesign1'!D62</f>
        <v>178060606</v>
      </c>
      <c r="E62" s="1460">
        <f>$D$2*'BD-Redesign1'!E62</f>
        <v>37621399</v>
      </c>
      <c r="F62" s="1460">
        <f>$D$2*'BD-Redesign1'!F62</f>
        <v>581327</v>
      </c>
      <c r="G62" s="1476">
        <f>$D$2*'BD-Redesign1'!G62</f>
        <v>216263332</v>
      </c>
      <c r="H62" s="1460">
        <f>$D$2*'BD-Redesign1'!H62</f>
        <v>4473155.5</v>
      </c>
      <c r="I62" s="1460">
        <f>$D$2*'BD-Redesign1'!I62</f>
        <v>108540</v>
      </c>
      <c r="J62" s="1460">
        <f>$D$2*'BD-Redesign1'!J62</f>
        <v>214889.5</v>
      </c>
      <c r="K62" s="1476">
        <f>$D$2*'BD-Redesign1'!K62</f>
        <v>4796585</v>
      </c>
      <c r="L62" s="1460">
        <f>$D$2*'BD-Redesign1'!L62</f>
        <v>990400.5</v>
      </c>
      <c r="M62" s="1460">
        <f>$D$2*'BD-Redesign1'!M62</f>
        <v>0</v>
      </c>
      <c r="N62" s="1460">
        <f>$D$2*'BD-Redesign1'!N62</f>
        <v>0</v>
      </c>
      <c r="O62" s="1476">
        <f>$D$2*'BD-Redesign1'!O62</f>
        <v>990400.5</v>
      </c>
      <c r="P62" s="1460">
        <f>$D$2*'BD-Redesign1'!P62</f>
        <v>216263332</v>
      </c>
    </row>
    <row r="63" spans="1:16">
      <c r="A63" s="1456"/>
      <c r="B63" s="1471"/>
      <c r="C63" s="1456"/>
      <c r="D63" s="1460"/>
      <c r="E63" s="1460"/>
      <c r="F63" s="1460"/>
      <c r="G63" s="1459"/>
      <c r="H63" s="1460"/>
      <c r="I63" s="1460"/>
      <c r="J63" s="1460"/>
      <c r="K63" s="1459"/>
      <c r="L63" s="1460"/>
      <c r="M63" s="1460"/>
      <c r="N63" s="1460"/>
      <c r="O63" s="1459"/>
    </row>
    <row r="64" spans="1:16">
      <c r="A64" s="1451" t="s">
        <v>1924</v>
      </c>
      <c r="C64" s="1452"/>
      <c r="D64" s="1450" t="s">
        <v>1881</v>
      </c>
      <c r="E64" s="1450" t="s">
        <v>1882</v>
      </c>
      <c r="F64" s="1450" t="s">
        <v>1883</v>
      </c>
      <c r="H64" s="1450" t="s">
        <v>1884</v>
      </c>
      <c r="I64" s="1450" t="s">
        <v>1885</v>
      </c>
      <c r="J64" s="1450" t="s">
        <v>1886</v>
      </c>
      <c r="L64" s="1450" t="s">
        <v>1887</v>
      </c>
      <c r="M64" s="1450" t="s">
        <v>1888</v>
      </c>
      <c r="N64" s="1450" t="s">
        <v>1889</v>
      </c>
    </row>
    <row r="65" spans="1:16" ht="15" customHeight="1">
      <c r="C65" s="1452"/>
      <c r="D65" s="1453" t="s">
        <v>223</v>
      </c>
      <c r="E65" s="1453" t="s">
        <v>223</v>
      </c>
      <c r="F65" s="1453" t="s">
        <v>223</v>
      </c>
      <c r="G65" s="1454"/>
      <c r="H65" s="1453" t="s">
        <v>1890</v>
      </c>
      <c r="I65" s="1453" t="s">
        <v>1890</v>
      </c>
      <c r="J65" s="1453" t="s">
        <v>1890</v>
      </c>
      <c r="K65" s="1454"/>
      <c r="L65" s="1453" t="s">
        <v>1891</v>
      </c>
      <c r="M65" s="1453" t="s">
        <v>1891</v>
      </c>
      <c r="N65" s="1453" t="s">
        <v>1891</v>
      </c>
      <c r="O65" s="1454"/>
    </row>
    <row r="66" spans="1:16">
      <c r="A66" s="1454"/>
      <c r="B66" s="1472"/>
      <c r="C66" s="1454"/>
      <c r="D66" s="1835" t="s">
        <v>429</v>
      </c>
      <c r="E66" s="1835" t="s">
        <v>438</v>
      </c>
      <c r="F66" s="1835" t="s">
        <v>428</v>
      </c>
      <c r="G66" s="1835" t="s">
        <v>93</v>
      </c>
      <c r="H66" s="1835" t="s">
        <v>429</v>
      </c>
      <c r="I66" s="1835" t="s">
        <v>438</v>
      </c>
      <c r="J66" s="1835" t="s">
        <v>428</v>
      </c>
      <c r="K66" s="1835" t="s">
        <v>93</v>
      </c>
      <c r="L66" s="1835" t="s">
        <v>429</v>
      </c>
      <c r="M66" s="1835" t="s">
        <v>438</v>
      </c>
      <c r="N66" s="1835" t="s">
        <v>428</v>
      </c>
      <c r="O66" s="1835" t="s">
        <v>93</v>
      </c>
      <c r="P66" s="1835" t="s">
        <v>1860</v>
      </c>
    </row>
    <row r="67" spans="1:16">
      <c r="A67" s="1452" t="s">
        <v>925</v>
      </c>
      <c r="B67" s="1474"/>
      <c r="C67" s="1452" t="s">
        <v>72</v>
      </c>
      <c r="D67" s="1459">
        <f>$D$2*'BD-Redesign1'!D67</f>
        <v>54</v>
      </c>
      <c r="E67" s="1459">
        <f>$D$2*'BD-Redesign1'!E67</f>
        <v>2</v>
      </c>
      <c r="F67" s="1459">
        <f>$D$2*'BD-Redesign1'!F67</f>
        <v>7</v>
      </c>
      <c r="G67" s="1459">
        <f>$D$2*'BD-Redesign1'!G67</f>
        <v>63</v>
      </c>
      <c r="H67" s="1459" t="e">
        <f>$D$2*'BD-Redesign1'!H67</f>
        <v>#N/A</v>
      </c>
      <c r="I67" s="1459" t="e">
        <f>$D$2*'BD-Redesign1'!I67</f>
        <v>#N/A</v>
      </c>
      <c r="J67" s="1459" t="e">
        <f>$D$2*'BD-Redesign1'!J67</f>
        <v>#N/A</v>
      </c>
      <c r="K67" s="1459" t="e">
        <f>$D$2*'BD-Redesign1'!K67</f>
        <v>#N/A</v>
      </c>
      <c r="L67" s="1459" t="e">
        <f>$D$2*'BD-Redesign1'!L67</f>
        <v>#N/A</v>
      </c>
      <c r="M67" s="1459" t="e">
        <f>$D$2*'BD-Redesign1'!M67</f>
        <v>#N/A</v>
      </c>
      <c r="N67" s="1459" t="e">
        <f>$D$2*'BD-Redesign1'!N67</f>
        <v>#N/A</v>
      </c>
      <c r="O67" s="1459" t="e">
        <f>$D$2*'BD-Redesign1'!O67</f>
        <v>#N/A</v>
      </c>
      <c r="P67" s="1475">
        <f>$D$2*'BD-Redesign1'!P67</f>
        <v>63</v>
      </c>
    </row>
    <row r="68" spans="1:16">
      <c r="A68" s="1452" t="s">
        <v>1893</v>
      </c>
      <c r="B68" s="1474"/>
      <c r="C68" s="1452" t="s">
        <v>462</v>
      </c>
      <c r="D68" s="1459">
        <f>$D$2*'BD-Redesign1'!D68</f>
        <v>2327</v>
      </c>
      <c r="E68" s="1459">
        <f>$D$2*'BD-Redesign1'!E68</f>
        <v>79</v>
      </c>
      <c r="F68" s="1459">
        <f>$D$2*'BD-Redesign1'!F68</f>
        <v>139.5</v>
      </c>
      <c r="G68" s="1459">
        <f>$D$2*'BD-Redesign1'!G68</f>
        <v>2545.5</v>
      </c>
      <c r="H68" s="1459" t="e">
        <f>$D$2*'BD-Redesign1'!H68</f>
        <v>#N/A</v>
      </c>
      <c r="I68" s="1459" t="e">
        <f>$D$2*'BD-Redesign1'!I68</f>
        <v>#N/A</v>
      </c>
      <c r="J68" s="1459" t="e">
        <f>$D$2*'BD-Redesign1'!J68</f>
        <v>#N/A</v>
      </c>
      <c r="K68" s="1459" t="e">
        <f>$D$2*'BD-Redesign1'!K68</f>
        <v>#N/A</v>
      </c>
      <c r="L68" s="1459" t="e">
        <f>$D$2*'BD-Redesign1'!L68</f>
        <v>#N/A</v>
      </c>
      <c r="M68" s="1459" t="e">
        <f>$D$2*'BD-Redesign1'!M68</f>
        <v>#N/A</v>
      </c>
      <c r="N68" s="1459" t="e">
        <f>$D$2*'BD-Redesign1'!N68</f>
        <v>#N/A</v>
      </c>
      <c r="O68" s="1459" t="e">
        <f>$D$2*'BD-Redesign1'!O68</f>
        <v>#N/A</v>
      </c>
      <c r="P68" s="1475">
        <f>$D$2*'BD-Redesign1'!P68</f>
        <v>2545.5</v>
      </c>
    </row>
    <row r="69" spans="1:16">
      <c r="A69" s="1452" t="s">
        <v>1894</v>
      </c>
      <c r="B69" s="1474"/>
      <c r="C69" s="1452" t="s">
        <v>638</v>
      </c>
      <c r="D69" s="1459">
        <f>$D$2*'BD-Redesign1'!D69</f>
        <v>775.5</v>
      </c>
      <c r="E69" s="1459">
        <f>$D$2*'BD-Redesign1'!E69</f>
        <v>0</v>
      </c>
      <c r="F69" s="1459">
        <f>$D$2*'BD-Redesign1'!F69</f>
        <v>38</v>
      </c>
      <c r="G69" s="1459">
        <f>$D$2*'BD-Redesign1'!G69</f>
        <v>813.5</v>
      </c>
      <c r="H69" s="1459" t="e">
        <f>$D$2*'BD-Redesign1'!H69</f>
        <v>#N/A</v>
      </c>
      <c r="I69" s="1459" t="e">
        <f>$D$2*'BD-Redesign1'!I69</f>
        <v>#N/A</v>
      </c>
      <c r="J69" s="1459" t="e">
        <f>$D$2*'BD-Redesign1'!J69</f>
        <v>#N/A</v>
      </c>
      <c r="K69" s="1459" t="e">
        <f>$D$2*'BD-Redesign1'!K69</f>
        <v>#N/A</v>
      </c>
      <c r="L69" s="1459" t="e">
        <f>$D$2*'BD-Redesign1'!L69</f>
        <v>#N/A</v>
      </c>
      <c r="M69" s="1459" t="e">
        <f>$D$2*'BD-Redesign1'!M69</f>
        <v>#N/A</v>
      </c>
      <c r="N69" s="1459" t="e">
        <f>$D$2*'BD-Redesign1'!N69</f>
        <v>#N/A</v>
      </c>
      <c r="O69" s="1459" t="e">
        <f>$D$2*'BD-Redesign1'!O69</f>
        <v>#N/A</v>
      </c>
      <c r="P69" s="1475">
        <f>$D$2*'BD-Redesign1'!P69</f>
        <v>813.5</v>
      </c>
    </row>
    <row r="70" spans="1:16">
      <c r="A70" s="1452" t="s">
        <v>1895</v>
      </c>
      <c r="B70" s="1474"/>
      <c r="C70" s="1452" t="s">
        <v>639</v>
      </c>
      <c r="D70" s="1459">
        <f>$D$2*'BD-Redesign1'!D70</f>
        <v>1551.5</v>
      </c>
      <c r="E70" s="1459">
        <f>$D$2*'BD-Redesign1'!E70</f>
        <v>79</v>
      </c>
      <c r="F70" s="1459">
        <f>$D$2*'BD-Redesign1'!F70</f>
        <v>101.5</v>
      </c>
      <c r="G70" s="1459">
        <f>$D$2*'BD-Redesign1'!G70</f>
        <v>1732</v>
      </c>
      <c r="H70" s="1459" t="e">
        <f>$D$2*'BD-Redesign1'!H70</f>
        <v>#N/A</v>
      </c>
      <c r="I70" s="1459" t="e">
        <f>$D$2*'BD-Redesign1'!I70</f>
        <v>#N/A</v>
      </c>
      <c r="J70" s="1459" t="e">
        <f>$D$2*'BD-Redesign1'!J70</f>
        <v>#N/A</v>
      </c>
      <c r="K70" s="1459" t="e">
        <f>$D$2*'BD-Redesign1'!K70</f>
        <v>#N/A</v>
      </c>
      <c r="L70" s="1459" t="e">
        <f>$D$2*'BD-Redesign1'!L70</f>
        <v>#N/A</v>
      </c>
      <c r="M70" s="1459" t="e">
        <f>$D$2*'BD-Redesign1'!M70</f>
        <v>#N/A</v>
      </c>
      <c r="N70" s="1459" t="e">
        <f>$D$2*'BD-Redesign1'!N70</f>
        <v>#N/A</v>
      </c>
      <c r="O70" s="1459" t="e">
        <f>$D$2*'BD-Redesign1'!O70</f>
        <v>#N/A</v>
      </c>
      <c r="P70" s="1475">
        <f>$D$2*'BD-Redesign1'!P70</f>
        <v>1732</v>
      </c>
    </row>
    <row r="71" spans="1:16">
      <c r="A71" s="1452" t="s">
        <v>1869</v>
      </c>
      <c r="B71" s="1474"/>
      <c r="C71" s="1452" t="s">
        <v>631</v>
      </c>
      <c r="D71" s="1459">
        <f>$D$2*'BD-Redesign1'!D71</f>
        <v>0</v>
      </c>
      <c r="E71" s="1459">
        <f>$D$2*'BD-Redesign1'!E71</f>
        <v>0</v>
      </c>
      <c r="F71" s="1459">
        <f>$D$2*'BD-Redesign1'!F71</f>
        <v>0</v>
      </c>
      <c r="G71" s="1459">
        <f>$D$2*'BD-Redesign1'!G71</f>
        <v>0</v>
      </c>
      <c r="H71" s="1459" t="e">
        <f>$D$2*'BD-Redesign1'!H71</f>
        <v>#N/A</v>
      </c>
      <c r="I71" s="1459" t="e">
        <f>$D$2*'BD-Redesign1'!I71</f>
        <v>#N/A</v>
      </c>
      <c r="J71" s="1459" t="e">
        <f>$D$2*'BD-Redesign1'!J71</f>
        <v>#N/A</v>
      </c>
      <c r="K71" s="1459" t="e">
        <f>$D$2*'BD-Redesign1'!K71</f>
        <v>#N/A</v>
      </c>
      <c r="L71" s="1459" t="e">
        <f>$D$2*'BD-Redesign1'!L71</f>
        <v>#N/A</v>
      </c>
      <c r="M71" s="1459" t="e">
        <f>$D$2*'BD-Redesign1'!M71</f>
        <v>#N/A</v>
      </c>
      <c r="N71" s="1459" t="e">
        <f>$D$2*'BD-Redesign1'!N71</f>
        <v>#N/A</v>
      </c>
      <c r="O71" s="1459" t="e">
        <f>$D$2*'BD-Redesign1'!O71</f>
        <v>#N/A</v>
      </c>
      <c r="P71" s="1475">
        <f>$D$2*'BD-Redesign1'!P71</f>
        <v>0</v>
      </c>
    </row>
    <row r="72" spans="1:16">
      <c r="A72" s="1452" t="s">
        <v>1896</v>
      </c>
      <c r="B72" s="1474"/>
      <c r="C72" s="1452" t="s">
        <v>622</v>
      </c>
      <c r="D72" s="1459">
        <f>$D$2*'BD-Redesign1'!D72</f>
        <v>42438.5</v>
      </c>
      <c r="E72" s="1459">
        <f>$D$2*'BD-Redesign1'!E72</f>
        <v>0</v>
      </c>
      <c r="F72" s="1459">
        <f>$D$2*'BD-Redesign1'!F72</f>
        <v>9629.5</v>
      </c>
      <c r="G72" s="1459">
        <f>$D$2*'BD-Redesign1'!G72</f>
        <v>52068</v>
      </c>
      <c r="H72" s="1459" t="e">
        <f>$D$2*'BD-Redesign1'!H72</f>
        <v>#N/A</v>
      </c>
      <c r="I72" s="1459" t="e">
        <f>$D$2*'BD-Redesign1'!I72</f>
        <v>#N/A</v>
      </c>
      <c r="J72" s="1459" t="e">
        <f>$D$2*'BD-Redesign1'!J72</f>
        <v>#N/A</v>
      </c>
      <c r="K72" s="1459" t="e">
        <f>$D$2*'BD-Redesign1'!K72</f>
        <v>#N/A</v>
      </c>
      <c r="L72" s="1459" t="e">
        <f>$D$2*'BD-Redesign1'!L72</f>
        <v>#N/A</v>
      </c>
      <c r="M72" s="1459" t="e">
        <f>$D$2*'BD-Redesign1'!M72</f>
        <v>#N/A</v>
      </c>
      <c r="N72" s="1459" t="e">
        <f>$D$2*'BD-Redesign1'!N72</f>
        <v>#N/A</v>
      </c>
      <c r="O72" s="1459" t="e">
        <f>$D$2*'BD-Redesign1'!O72</f>
        <v>#N/A</v>
      </c>
      <c r="P72" s="1475">
        <f>$D$2*'BD-Redesign1'!P72</f>
        <v>52068</v>
      </c>
    </row>
    <row r="73" spans="1:16">
      <c r="A73" s="1452" t="s">
        <v>1897</v>
      </c>
      <c r="B73" s="1474"/>
      <c r="C73" s="1452" t="s">
        <v>626</v>
      </c>
      <c r="D73" s="1459">
        <f>$D$2*'BD-Redesign1'!D73</f>
        <v>68871</v>
      </c>
      <c r="E73" s="1459">
        <f>$D$2*'BD-Redesign1'!E73</f>
        <v>3543</v>
      </c>
      <c r="F73" s="1459">
        <f>$D$2*'BD-Redesign1'!F73</f>
        <v>3132.5</v>
      </c>
      <c r="G73" s="1459">
        <f>$D$2*'BD-Redesign1'!G73</f>
        <v>75546.5</v>
      </c>
      <c r="H73" s="1459" t="e">
        <f>$D$2*'BD-Redesign1'!H73</f>
        <v>#N/A</v>
      </c>
      <c r="I73" s="1459" t="e">
        <f>$D$2*'BD-Redesign1'!I73</f>
        <v>#N/A</v>
      </c>
      <c r="J73" s="1459" t="e">
        <f>$D$2*'BD-Redesign1'!J73</f>
        <v>#N/A</v>
      </c>
      <c r="K73" s="1459" t="e">
        <f>$D$2*'BD-Redesign1'!K73</f>
        <v>#N/A</v>
      </c>
      <c r="L73" s="1459" t="e">
        <f>$D$2*'BD-Redesign1'!L73</f>
        <v>#N/A</v>
      </c>
      <c r="M73" s="1459" t="e">
        <f>$D$2*'BD-Redesign1'!M73</f>
        <v>#N/A</v>
      </c>
      <c r="N73" s="1459" t="e">
        <f>$D$2*'BD-Redesign1'!N73</f>
        <v>#N/A</v>
      </c>
      <c r="O73" s="1459" t="e">
        <f>$D$2*'BD-Redesign1'!O73</f>
        <v>#N/A</v>
      </c>
      <c r="P73" s="1475">
        <f>$D$2*'BD-Redesign1'!P73</f>
        <v>75546.5</v>
      </c>
    </row>
    <row r="74" spans="1:16">
      <c r="A74" s="1454" t="s">
        <v>1157</v>
      </c>
      <c r="B74" s="1473"/>
      <c r="C74" s="1452" t="s">
        <v>1152</v>
      </c>
      <c r="D74" s="1469">
        <f>$D$2*'BD-Redesign1'!D74</f>
        <v>0</v>
      </c>
      <c r="E74" s="1469">
        <f>$D$2*'BD-Redesign1'!E74</f>
        <v>0</v>
      </c>
      <c r="F74" s="1469">
        <f>$D$2*'BD-Redesign1'!F74</f>
        <v>0</v>
      </c>
      <c r="G74" s="1469">
        <f>$D$2*'BD-Redesign1'!G74</f>
        <v>0</v>
      </c>
      <c r="H74" s="1469" t="e">
        <f>$D$2*'BD-Redesign1'!H74</f>
        <v>#N/A</v>
      </c>
      <c r="I74" s="1469" t="e">
        <f>$D$2*'BD-Redesign1'!I74</f>
        <v>#N/A</v>
      </c>
      <c r="J74" s="1469" t="e">
        <f>$D$2*'BD-Redesign1'!J74</f>
        <v>#N/A</v>
      </c>
      <c r="K74" s="1469" t="e">
        <f>$D$2*'BD-Redesign1'!K74</f>
        <v>#N/A</v>
      </c>
      <c r="L74" s="1469" t="e">
        <f>$D$2*'BD-Redesign1'!L74</f>
        <v>#N/A</v>
      </c>
      <c r="M74" s="1469" t="e">
        <f>$D$2*'BD-Redesign1'!M74</f>
        <v>#N/A</v>
      </c>
      <c r="N74" s="1469" t="e">
        <f>$D$2*'BD-Redesign1'!N74</f>
        <v>#N/A</v>
      </c>
      <c r="O74" s="1469" t="e">
        <f>$D$2*'BD-Redesign1'!O74</f>
        <v>#N/A</v>
      </c>
      <c r="P74" s="1470">
        <f>$D$2*'BD-Redesign1'!P74</f>
        <v>0</v>
      </c>
    </row>
    <row r="75" spans="1:16">
      <c r="A75" s="1456" t="s">
        <v>1689</v>
      </c>
      <c r="B75" s="1471"/>
      <c r="C75" s="1471"/>
      <c r="D75" s="1460">
        <f>$D$2*'BD-Redesign1'!D75</f>
        <v>111309.5</v>
      </c>
      <c r="E75" s="1460">
        <f>$D$2*'BD-Redesign1'!E75</f>
        <v>3543</v>
      </c>
      <c r="F75" s="1460">
        <f>$D$2*'BD-Redesign1'!F75</f>
        <v>12762</v>
      </c>
      <c r="G75" s="1476">
        <f>$D$2*'BD-Redesign1'!G75</f>
        <v>127614.5</v>
      </c>
      <c r="H75" s="1460" t="e">
        <f>$D$2*'BD-Redesign1'!H75</f>
        <v>#N/A</v>
      </c>
      <c r="I75" s="1460" t="e">
        <f>$D$2*'BD-Redesign1'!I75</f>
        <v>#N/A</v>
      </c>
      <c r="J75" s="1460" t="e">
        <f>$D$2*'BD-Redesign1'!J75</f>
        <v>#N/A</v>
      </c>
      <c r="K75" s="1476" t="e">
        <f>$D$2*'BD-Redesign1'!K75</f>
        <v>#N/A</v>
      </c>
      <c r="L75" s="1460" t="e">
        <f>$D$2*'BD-Redesign1'!L75</f>
        <v>#N/A</v>
      </c>
      <c r="M75" s="1460" t="e">
        <f>$D$2*'BD-Redesign1'!M75</f>
        <v>#N/A</v>
      </c>
      <c r="N75" s="1460" t="e">
        <f>$D$2*'BD-Redesign1'!N75</f>
        <v>#N/A</v>
      </c>
      <c r="O75" s="1476" t="e">
        <f>$D$2*'BD-Redesign1'!O75</f>
        <v>#N/A</v>
      </c>
      <c r="P75" s="1460">
        <f>$D$2*'BD-Redesign1'!P75</f>
        <v>127614.5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topLeftCell="D1" workbookViewId="0">
      <selection activeCell="Q18" sqref="Q18"/>
    </sheetView>
  </sheetViews>
  <sheetFormatPr defaultColWidth="8.25" defaultRowHeight="15"/>
  <cols>
    <col min="1" max="1" width="38.5" style="1452" customWidth="1"/>
    <col min="2" max="2" width="10.25" style="1450" customWidth="1"/>
    <col min="3" max="3" width="12.75" style="1450" bestFit="1" customWidth="1"/>
    <col min="4" max="4" width="11.25" style="1450" bestFit="1" customWidth="1"/>
    <col min="5" max="5" width="10.25" style="1450" bestFit="1" customWidth="1"/>
    <col min="6" max="6" width="9.25" style="1450" bestFit="1" customWidth="1"/>
    <col min="7" max="7" width="10.125" style="1450" bestFit="1" customWidth="1"/>
    <col min="8" max="8" width="10.25" style="1450" bestFit="1" customWidth="1"/>
    <col min="9" max="11" width="9.25" style="1450" bestFit="1" customWidth="1"/>
    <col min="12" max="12" width="10.25" style="1450" bestFit="1" customWidth="1"/>
    <col min="13" max="14" width="9.25" style="1450" bestFit="1" customWidth="1"/>
    <col min="15" max="15" width="8.25" style="1450" bestFit="1" customWidth="1"/>
    <col min="16" max="192" width="14" style="1450" customWidth="1"/>
    <col min="193" max="16384" width="8.25" style="1450"/>
  </cols>
  <sheetData>
    <row r="1" spans="1:16" ht="23.25">
      <c r="A1" s="1449" t="s">
        <v>1849</v>
      </c>
    </row>
    <row r="2" spans="1:16" ht="23.25">
      <c r="A2" s="1449"/>
    </row>
    <row r="3" spans="1:16">
      <c r="A3" s="1451" t="s">
        <v>1850</v>
      </c>
      <c r="D3" s="1450" t="s">
        <v>1851</v>
      </c>
      <c r="E3" s="1450" t="s">
        <v>1852</v>
      </c>
      <c r="F3" s="1450" t="s">
        <v>1853</v>
      </c>
      <c r="H3" s="1450" t="s">
        <v>1854</v>
      </c>
      <c r="I3" s="1450" t="s">
        <v>1855</v>
      </c>
      <c r="J3" s="1450" t="s">
        <v>1856</v>
      </c>
      <c r="L3" s="1450" t="s">
        <v>1857</v>
      </c>
      <c r="M3" s="1450" t="s">
        <v>1858</v>
      </c>
      <c r="N3" s="1450" t="s">
        <v>1859</v>
      </c>
    </row>
    <row r="4" spans="1:16" ht="15" customHeight="1">
      <c r="D4" s="1453" t="s">
        <v>221</v>
      </c>
      <c r="E4" s="1453" t="s">
        <v>221</v>
      </c>
      <c r="F4" s="1453" t="s">
        <v>221</v>
      </c>
      <c r="G4" s="1454"/>
      <c r="H4" s="1453" t="s">
        <v>963</v>
      </c>
      <c r="I4" s="1453" t="s">
        <v>963</v>
      </c>
      <c r="J4" s="1453" t="s">
        <v>963</v>
      </c>
      <c r="K4" s="1454"/>
      <c r="L4" s="1453" t="s">
        <v>1554</v>
      </c>
      <c r="M4" s="1453" t="s">
        <v>1554</v>
      </c>
      <c r="N4" s="1453" t="s">
        <v>1554</v>
      </c>
      <c r="O4" s="1454"/>
    </row>
    <row r="5" spans="1:16">
      <c r="B5" s="1455" t="s">
        <v>1136</v>
      </c>
      <c r="C5" s="1455"/>
      <c r="D5" s="1835" t="s">
        <v>429</v>
      </c>
      <c r="E5" s="1835" t="s">
        <v>438</v>
      </c>
      <c r="F5" s="1835" t="s">
        <v>428</v>
      </c>
      <c r="G5" s="1835" t="s">
        <v>93</v>
      </c>
      <c r="H5" s="1835" t="s">
        <v>429</v>
      </c>
      <c r="I5" s="1835" t="s">
        <v>438</v>
      </c>
      <c r="J5" s="1835" t="s">
        <v>428</v>
      </c>
      <c r="K5" s="1835" t="s">
        <v>93</v>
      </c>
      <c r="L5" s="1835" t="s">
        <v>429</v>
      </c>
      <c r="M5" s="1835" t="s">
        <v>438</v>
      </c>
      <c r="N5" s="1835" t="s">
        <v>428</v>
      </c>
      <c r="O5" s="1835" t="s">
        <v>93</v>
      </c>
      <c r="P5" s="1835" t="s">
        <v>1860</v>
      </c>
    </row>
    <row r="6" spans="1:16">
      <c r="A6" s="1456" t="s">
        <v>925</v>
      </c>
      <c r="B6" s="1457">
        <v>54</v>
      </c>
      <c r="C6" s="1458" t="s">
        <v>72</v>
      </c>
      <c r="D6" s="1459">
        <v>27150.133333366673</v>
      </c>
      <c r="E6" s="1459">
        <v>3104.0666666666666</v>
      </c>
      <c r="F6" s="1459">
        <v>336.86666666666662</v>
      </c>
      <c r="G6" s="1459">
        <v>30591.066666700004</v>
      </c>
      <c r="H6" s="1459">
        <v>1069.5</v>
      </c>
      <c r="I6" s="1459">
        <v>156</v>
      </c>
      <c r="J6" s="1459">
        <v>20.233333366666667</v>
      </c>
      <c r="K6" s="1459">
        <v>1245.7333333666666</v>
      </c>
      <c r="L6" s="1459">
        <v>14.599999999999998</v>
      </c>
      <c r="M6" s="1459">
        <v>0</v>
      </c>
      <c r="N6" s="1459">
        <v>0</v>
      </c>
      <c r="O6" s="1459">
        <v>14.599999999999998</v>
      </c>
      <c r="P6" s="1460">
        <v>31851.400000066671</v>
      </c>
    </row>
    <row r="7" spans="1:16">
      <c r="A7" s="1456" t="s">
        <v>1904</v>
      </c>
      <c r="B7" s="1461">
        <v>0.22</v>
      </c>
      <c r="C7" s="1462" t="s">
        <v>1861</v>
      </c>
      <c r="D7" s="1459">
        <v>33476370.045199133</v>
      </c>
      <c r="E7" s="1459">
        <v>6301525.5980641767</v>
      </c>
      <c r="F7" s="1459">
        <v>391668</v>
      </c>
      <c r="G7" s="1459">
        <v>40169563.64326331</v>
      </c>
      <c r="H7" s="1459">
        <v>590351</v>
      </c>
      <c r="I7" s="1459">
        <v>466735</v>
      </c>
      <c r="J7" s="1459">
        <v>0</v>
      </c>
      <c r="K7" s="1459">
        <v>1057086</v>
      </c>
      <c r="L7" s="1459">
        <v>26983.358895705518</v>
      </c>
      <c r="M7" s="1459">
        <v>0</v>
      </c>
      <c r="N7" s="1459">
        <v>0</v>
      </c>
      <c r="O7" s="1459">
        <v>26983.358895705518</v>
      </c>
      <c r="P7" s="1460">
        <v>41253633.002159014</v>
      </c>
    </row>
    <row r="8" spans="1:16">
      <c r="A8" s="1456" t="s">
        <v>1899</v>
      </c>
      <c r="B8" s="1463">
        <v>4.3259225059520533E-2</v>
      </c>
      <c r="C8" s="1464" t="s">
        <v>1862</v>
      </c>
      <c r="D8" s="1459">
        <v>55320744.954800889</v>
      </c>
      <c r="E8" s="1459">
        <v>14198548.401935825</v>
      </c>
      <c r="F8" s="1459">
        <v>2802102</v>
      </c>
      <c r="G8" s="1459">
        <v>72321395.35673672</v>
      </c>
      <c r="H8" s="1459">
        <v>1336427</v>
      </c>
      <c r="I8" s="1459">
        <v>836579</v>
      </c>
      <c r="J8" s="1459">
        <v>0</v>
      </c>
      <c r="K8" s="1459">
        <v>2173006</v>
      </c>
      <c r="L8" s="1459">
        <v>108573.64110429448</v>
      </c>
      <c r="M8" s="1459">
        <v>0</v>
      </c>
      <c r="N8" s="1459">
        <v>0</v>
      </c>
      <c r="O8" s="1459">
        <v>108573.64110429448</v>
      </c>
      <c r="P8" s="1460">
        <v>74602974.997841015</v>
      </c>
    </row>
    <row r="9" spans="1:16" ht="15.75">
      <c r="A9" s="1456" t="s">
        <v>1905</v>
      </c>
      <c r="B9" s="1465">
        <v>0.19469</v>
      </c>
      <c r="C9" s="1466" t="s">
        <v>1863</v>
      </c>
      <c r="D9" s="1459">
        <v>56978385.921333194</v>
      </c>
      <c r="E9" s="1459">
        <v>10439845.561478674</v>
      </c>
      <c r="F9" s="1459">
        <v>676213.97770886368</v>
      </c>
      <c r="G9" s="1459">
        <v>68094445.460520729</v>
      </c>
      <c r="H9" s="1459">
        <v>2113030.2501878622</v>
      </c>
      <c r="I9" s="1459">
        <v>1004689.0015421541</v>
      </c>
      <c r="J9" s="1459">
        <v>1379.98171846435</v>
      </c>
      <c r="K9" s="1459">
        <v>3119099.2334484807</v>
      </c>
      <c r="L9" s="1459">
        <v>27400.023693094514</v>
      </c>
      <c r="M9" s="1459">
        <v>0</v>
      </c>
      <c r="N9" s="1459">
        <v>0</v>
      </c>
      <c r="O9" s="1459">
        <v>27400.023693094514</v>
      </c>
      <c r="P9" s="1460">
        <v>71240944.717662305</v>
      </c>
    </row>
    <row r="10" spans="1:16" ht="15.75">
      <c r="A10" s="1456" t="s">
        <v>1898</v>
      </c>
      <c r="B10" s="1465">
        <v>3.8282999999999998E-2</v>
      </c>
      <c r="C10" s="1466" t="s">
        <v>1864</v>
      </c>
      <c r="D10" s="1459">
        <v>119132058.07866664</v>
      </c>
      <c r="E10" s="1459">
        <v>18195686.438521314</v>
      </c>
      <c r="F10" s="1459">
        <v>5247454.022291136</v>
      </c>
      <c r="G10" s="1459">
        <v>142575198.53947908</v>
      </c>
      <c r="H10" s="1459">
        <v>6489444.7498121373</v>
      </c>
      <c r="I10" s="1459">
        <v>1737673.998457846</v>
      </c>
      <c r="J10" s="1459">
        <v>4646.0182815356502</v>
      </c>
      <c r="K10" s="1459">
        <v>8231764.7665515188</v>
      </c>
      <c r="L10" s="1459">
        <v>135339.9763069055</v>
      </c>
      <c r="M10" s="1459">
        <v>0</v>
      </c>
      <c r="N10" s="1459">
        <v>0</v>
      </c>
      <c r="O10" s="1459">
        <v>135339.9763069055</v>
      </c>
      <c r="P10" s="1460">
        <v>150942303.28233752</v>
      </c>
    </row>
    <row r="11" spans="1:16">
      <c r="A11" s="1456" t="s">
        <v>1900</v>
      </c>
      <c r="B11" s="1461">
        <v>0.06</v>
      </c>
      <c r="C11" s="1462" t="s">
        <v>1865</v>
      </c>
      <c r="D11" s="1459">
        <v>46201088</v>
      </c>
      <c r="E11" s="1459">
        <v>10892924</v>
      </c>
      <c r="F11" s="1459">
        <v>1661882</v>
      </c>
      <c r="G11" s="1459">
        <v>58755894</v>
      </c>
      <c r="H11" s="1459">
        <v>968534</v>
      </c>
      <c r="I11" s="1459">
        <v>935720</v>
      </c>
      <c r="J11" s="1459">
        <v>0</v>
      </c>
      <c r="K11" s="1459">
        <v>1904254</v>
      </c>
      <c r="L11" s="1459">
        <v>70515</v>
      </c>
      <c r="M11" s="1459">
        <v>0</v>
      </c>
      <c r="N11" s="1459">
        <v>0</v>
      </c>
      <c r="O11" s="1459">
        <v>70515</v>
      </c>
      <c r="P11" s="1460">
        <v>60730663</v>
      </c>
    </row>
    <row r="12" spans="1:16" ht="15.75">
      <c r="A12" s="1456" t="s">
        <v>1901</v>
      </c>
      <c r="B12" s="1465">
        <v>-2.3358E-2</v>
      </c>
      <c r="C12" s="1466" t="s">
        <v>1866</v>
      </c>
      <c r="D12" s="1459">
        <v>42596027</v>
      </c>
      <c r="E12" s="1459">
        <v>9607150</v>
      </c>
      <c r="F12" s="1459">
        <v>1531888</v>
      </c>
      <c r="G12" s="1459">
        <v>53735065</v>
      </c>
      <c r="H12" s="1459">
        <v>958244</v>
      </c>
      <c r="I12" s="1459">
        <v>367594</v>
      </c>
      <c r="J12" s="1459">
        <v>0</v>
      </c>
      <c r="K12" s="1459">
        <v>1325838</v>
      </c>
      <c r="L12" s="1459">
        <v>65042</v>
      </c>
      <c r="M12" s="1459">
        <v>0</v>
      </c>
      <c r="N12" s="1459">
        <v>0</v>
      </c>
      <c r="O12" s="1459">
        <v>65042</v>
      </c>
      <c r="P12" s="1460">
        <v>55125945</v>
      </c>
    </row>
    <row r="13" spans="1:16" ht="15.75">
      <c r="A13" s="1456" t="s">
        <v>1902</v>
      </c>
      <c r="B13" s="1465">
        <v>5.3096999999999998E-2</v>
      </c>
      <c r="C13" s="1466" t="s">
        <v>1867</v>
      </c>
      <c r="D13" s="1459">
        <v>94211065</v>
      </c>
      <c r="E13" s="1459">
        <v>17667001</v>
      </c>
      <c r="F13" s="1459">
        <v>2938347</v>
      </c>
      <c r="G13" s="1459">
        <v>114816413</v>
      </c>
      <c r="H13" s="1459">
        <v>4485845</v>
      </c>
      <c r="I13" s="1459">
        <v>2002251</v>
      </c>
      <c r="J13" s="1459">
        <v>2010</v>
      </c>
      <c r="K13" s="1459">
        <v>6490106</v>
      </c>
      <c r="L13" s="1459">
        <v>79735</v>
      </c>
      <c r="M13" s="1459">
        <v>0</v>
      </c>
      <c r="N13" s="1459">
        <v>0</v>
      </c>
      <c r="O13" s="1459">
        <v>79735</v>
      </c>
      <c r="P13" s="1460">
        <v>121386254</v>
      </c>
    </row>
    <row r="14" spans="1:16" ht="15.75">
      <c r="A14" s="1456" t="s">
        <v>1903</v>
      </c>
      <c r="B14" s="1465">
        <v>-2.0670999999999998E-2</v>
      </c>
      <c r="C14" s="1466" t="s">
        <v>1868</v>
      </c>
      <c r="D14" s="1459">
        <v>81899379</v>
      </c>
      <c r="E14" s="1459">
        <v>10968531</v>
      </c>
      <c r="F14" s="1459">
        <v>2985321</v>
      </c>
      <c r="G14" s="1459">
        <v>95853231</v>
      </c>
      <c r="H14" s="1459">
        <v>4116630</v>
      </c>
      <c r="I14" s="1459">
        <v>740112</v>
      </c>
      <c r="J14" s="1459">
        <v>4016</v>
      </c>
      <c r="K14" s="1459">
        <v>4860758</v>
      </c>
      <c r="L14" s="1459">
        <v>83005</v>
      </c>
      <c r="M14" s="1459">
        <v>0</v>
      </c>
      <c r="N14" s="1459">
        <v>0</v>
      </c>
      <c r="O14" s="1459">
        <v>83005</v>
      </c>
      <c r="P14" s="1460">
        <v>100796994</v>
      </c>
    </row>
    <row r="15" spans="1:16">
      <c r="A15" s="1456" t="s">
        <v>1869</v>
      </c>
      <c r="B15" s="1461">
        <v>-0.61</v>
      </c>
      <c r="C15" s="1462" t="s">
        <v>631</v>
      </c>
      <c r="D15" s="1459">
        <v>178611.63934426231</v>
      </c>
      <c r="E15" s="1459">
        <v>9945</v>
      </c>
      <c r="F15" s="1459">
        <v>0</v>
      </c>
      <c r="G15" s="1459">
        <v>188556.63934426231</v>
      </c>
      <c r="H15" s="1459">
        <v>403</v>
      </c>
      <c r="I15" s="1459">
        <v>5955</v>
      </c>
      <c r="J15" s="1459">
        <v>0</v>
      </c>
      <c r="K15" s="1459">
        <v>6358</v>
      </c>
      <c r="L15" s="1459">
        <v>0</v>
      </c>
      <c r="M15" s="1459">
        <v>0</v>
      </c>
      <c r="N15" s="1459">
        <v>0</v>
      </c>
      <c r="O15" s="1459">
        <v>0</v>
      </c>
      <c r="P15" s="1460">
        <v>194914.63934426231</v>
      </c>
    </row>
    <row r="16" spans="1:16">
      <c r="A16" s="1454" t="s">
        <v>1157</v>
      </c>
      <c r="B16" s="1467">
        <v>7.1249999999999994E-2</v>
      </c>
      <c r="C16" s="1468" t="s">
        <v>1152</v>
      </c>
      <c r="D16" s="1469">
        <v>20238626</v>
      </c>
      <c r="E16" s="1469">
        <v>6757400</v>
      </c>
      <c r="F16" s="1469">
        <v>0</v>
      </c>
      <c r="G16" s="1469">
        <v>26996026</v>
      </c>
      <c r="H16" s="1469">
        <v>0</v>
      </c>
      <c r="I16" s="1469">
        <v>0</v>
      </c>
      <c r="J16" s="1469">
        <v>0</v>
      </c>
      <c r="K16" s="1469">
        <v>0</v>
      </c>
      <c r="L16" s="1469">
        <v>0</v>
      </c>
      <c r="M16" s="1469">
        <v>0</v>
      </c>
      <c r="N16" s="1469">
        <v>0</v>
      </c>
      <c r="O16" s="1469">
        <v>0</v>
      </c>
      <c r="P16" s="1470">
        <v>26996026</v>
      </c>
    </row>
    <row r="17" spans="1:16">
      <c r="A17" s="1456" t="s">
        <v>1689</v>
      </c>
      <c r="B17" s="1471"/>
      <c r="C17" s="1456"/>
      <c r="D17" s="1460">
        <v>285146185</v>
      </c>
      <c r="E17" s="1460">
        <v>55893006</v>
      </c>
      <c r="F17" s="1460">
        <v>9117438</v>
      </c>
      <c r="G17" s="1459">
        <v>350156629</v>
      </c>
      <c r="H17" s="1460">
        <v>10529253</v>
      </c>
      <c r="I17" s="1460">
        <v>4045677</v>
      </c>
      <c r="J17" s="1460">
        <v>6026</v>
      </c>
      <c r="K17" s="1459">
        <v>14580956</v>
      </c>
      <c r="L17" s="1460">
        <v>298297</v>
      </c>
      <c r="M17" s="1460">
        <v>0</v>
      </c>
      <c r="N17" s="1460">
        <v>0</v>
      </c>
      <c r="O17" s="1459">
        <v>298297</v>
      </c>
      <c r="P17" s="1460">
        <v>365035882</v>
      </c>
    </row>
    <row r="18" spans="1:16">
      <c r="A18" s="1456"/>
      <c r="B18" s="1471"/>
      <c r="C18" s="1456"/>
      <c r="D18" s="1460"/>
      <c r="E18" s="1460"/>
      <c r="F18" s="1460"/>
      <c r="G18" s="1459"/>
      <c r="H18" s="1460"/>
      <c r="I18" s="1460"/>
      <c r="J18" s="1460"/>
      <c r="K18" s="1459"/>
      <c r="L18" s="1460"/>
      <c r="M18" s="1460"/>
      <c r="N18" s="1460"/>
      <c r="O18" s="1459"/>
    </row>
    <row r="19" spans="1:16">
      <c r="A19" s="1451" t="s">
        <v>1870</v>
      </c>
      <c r="C19" s="1452"/>
      <c r="D19" s="1450" t="s">
        <v>1871</v>
      </c>
      <c r="E19" s="1450" t="s">
        <v>1872</v>
      </c>
      <c r="F19" s="1450" t="s">
        <v>1873</v>
      </c>
      <c r="H19" s="1450" t="s">
        <v>1874</v>
      </c>
      <c r="I19" s="1450" t="s">
        <v>1875</v>
      </c>
      <c r="J19" s="1450" t="s">
        <v>1876</v>
      </c>
      <c r="L19" s="1450" t="s">
        <v>1877</v>
      </c>
      <c r="M19" s="1450" t="s">
        <v>1878</v>
      </c>
      <c r="N19" s="1450" t="s">
        <v>1879</v>
      </c>
    </row>
    <row r="20" spans="1:16" ht="15" customHeight="1">
      <c r="C20" s="1452"/>
      <c r="D20" s="1453">
        <v>6</v>
      </c>
      <c r="E20" s="1453">
        <v>6</v>
      </c>
      <c r="F20" s="1453">
        <v>6</v>
      </c>
      <c r="G20" s="1454"/>
      <c r="H20" s="1453" t="s">
        <v>959</v>
      </c>
      <c r="I20" s="1453" t="s">
        <v>959</v>
      </c>
      <c r="J20" s="1453" t="s">
        <v>959</v>
      </c>
      <c r="K20" s="1454"/>
      <c r="L20" s="1453" t="s">
        <v>1215</v>
      </c>
      <c r="M20" s="1453" t="s">
        <v>1215</v>
      </c>
      <c r="N20" s="1453" t="s">
        <v>1215</v>
      </c>
      <c r="O20" s="1454"/>
    </row>
    <row r="21" spans="1:16">
      <c r="A21" s="1454"/>
      <c r="B21" s="1472"/>
      <c r="C21" s="1454"/>
      <c r="D21" s="1835" t="s">
        <v>429</v>
      </c>
      <c r="E21" s="1835" t="s">
        <v>438</v>
      </c>
      <c r="F21" s="1835" t="s">
        <v>428</v>
      </c>
      <c r="G21" s="1835" t="s">
        <v>93</v>
      </c>
      <c r="H21" s="1835" t="s">
        <v>429</v>
      </c>
      <c r="I21" s="1835" t="s">
        <v>438</v>
      </c>
      <c r="J21" s="1835" t="s">
        <v>428</v>
      </c>
      <c r="K21" s="1835" t="s">
        <v>93</v>
      </c>
      <c r="L21" s="1835" t="s">
        <v>429</v>
      </c>
      <c r="M21" s="1835" t="s">
        <v>438</v>
      </c>
      <c r="N21" s="1835" t="s">
        <v>428</v>
      </c>
      <c r="O21" s="1835" t="s">
        <v>93</v>
      </c>
      <c r="P21" s="1835" t="s">
        <v>1860</v>
      </c>
    </row>
    <row r="22" spans="1:16">
      <c r="A22" s="1456" t="s">
        <v>925</v>
      </c>
      <c r="B22" s="1471"/>
      <c r="C22" s="1456" t="s">
        <v>72</v>
      </c>
      <c r="D22" s="1459">
        <v>28122.033333299994</v>
      </c>
      <c r="E22" s="1459">
        <v>4181.3</v>
      </c>
      <c r="F22" s="1459">
        <v>236.59999999999997</v>
      </c>
      <c r="G22" s="1459">
        <v>32539.933333299992</v>
      </c>
      <c r="H22" s="1459">
        <v>824.76666666666665</v>
      </c>
      <c r="I22" s="1459">
        <v>24</v>
      </c>
      <c r="J22" s="1459">
        <v>74.866666666666674</v>
      </c>
      <c r="K22" s="1459">
        <v>923.63333333333333</v>
      </c>
      <c r="L22" s="1459">
        <v>111.43333333333334</v>
      </c>
      <c r="M22" s="1459">
        <v>0</v>
      </c>
      <c r="N22" s="1459">
        <v>0</v>
      </c>
      <c r="O22" s="1459">
        <v>111.43333333333334</v>
      </c>
      <c r="P22" s="1460">
        <v>33574.999999966662</v>
      </c>
    </row>
    <row r="23" spans="1:16">
      <c r="A23" s="1456" t="s">
        <v>1904</v>
      </c>
      <c r="B23" s="1471"/>
      <c r="C23" s="1456" t="s">
        <v>1861</v>
      </c>
      <c r="D23" s="1459">
        <v>38707967.336633675</v>
      </c>
      <c r="E23" s="1459">
        <v>8371276.2425742578</v>
      </c>
      <c r="F23" s="1459">
        <v>140866.97524752474</v>
      </c>
      <c r="G23" s="1459">
        <v>47220110.554455459</v>
      </c>
      <c r="H23" s="1459">
        <v>943518</v>
      </c>
      <c r="I23" s="1459">
        <v>26550</v>
      </c>
      <c r="J23" s="1459">
        <v>18550</v>
      </c>
      <c r="K23" s="1459">
        <v>988618</v>
      </c>
      <c r="L23" s="1459">
        <v>223989.26732673266</v>
      </c>
      <c r="M23" s="1459">
        <v>0</v>
      </c>
      <c r="N23" s="1459">
        <v>0</v>
      </c>
      <c r="O23" s="1459">
        <v>223989.26732673266</v>
      </c>
      <c r="P23" s="1460">
        <v>48432717.821782194</v>
      </c>
    </row>
    <row r="24" spans="1:16">
      <c r="A24" s="1456" t="s">
        <v>1899</v>
      </c>
      <c r="B24" s="1471"/>
      <c r="C24" s="1456" t="s">
        <v>1862</v>
      </c>
      <c r="D24" s="1459">
        <v>89196782.663366318</v>
      </c>
      <c r="E24" s="1459">
        <v>19143217.75742574</v>
      </c>
      <c r="F24" s="1459">
        <v>331217.0247524752</v>
      </c>
      <c r="G24" s="1459">
        <v>108671217.44554453</v>
      </c>
      <c r="H24" s="1459">
        <v>2262778</v>
      </c>
      <c r="I24" s="1459">
        <v>53370</v>
      </c>
      <c r="J24" s="1459">
        <v>50250</v>
      </c>
      <c r="K24" s="1459">
        <v>2366398</v>
      </c>
      <c r="L24" s="1459">
        <v>533666.73267326737</v>
      </c>
      <c r="M24" s="1459">
        <v>0</v>
      </c>
      <c r="N24" s="1459">
        <v>0</v>
      </c>
      <c r="O24" s="1459">
        <v>533666.73267326737</v>
      </c>
      <c r="P24" s="1460">
        <v>111571282.1782178</v>
      </c>
    </row>
    <row r="25" spans="1:16">
      <c r="A25" s="1456" t="s">
        <v>1905</v>
      </c>
      <c r="B25" s="1471"/>
      <c r="C25" s="1456" t="s">
        <v>1863</v>
      </c>
      <c r="D25" s="1459">
        <v>66890215.608910888</v>
      </c>
      <c r="E25" s="1459">
        <v>14919269.267326735</v>
      </c>
      <c r="F25" s="1459">
        <v>241870.41584158418</v>
      </c>
      <c r="G25" s="1459">
        <v>82051355.29207921</v>
      </c>
      <c r="H25" s="1459">
        <v>1597535</v>
      </c>
      <c r="I25" s="1459">
        <v>45050</v>
      </c>
      <c r="J25" s="1459">
        <v>70780</v>
      </c>
      <c r="K25" s="1459">
        <v>1713365</v>
      </c>
      <c r="L25" s="1459">
        <v>303008.14851485146</v>
      </c>
      <c r="M25" s="1459">
        <v>0</v>
      </c>
      <c r="N25" s="1459">
        <v>0</v>
      </c>
      <c r="O25" s="1459">
        <v>303008.14851485146</v>
      </c>
      <c r="P25" s="1460">
        <v>84067728.440594062</v>
      </c>
    </row>
    <row r="26" spans="1:16">
      <c r="A26" s="1456" t="s">
        <v>1898</v>
      </c>
      <c r="B26" s="1471"/>
      <c r="C26" s="1456" t="s">
        <v>1864</v>
      </c>
      <c r="D26" s="1459">
        <v>159727753.39108917</v>
      </c>
      <c r="E26" s="1459">
        <v>32808234.732673269</v>
      </c>
      <c r="F26" s="1459">
        <v>448699.58415841585</v>
      </c>
      <c r="G26" s="1459">
        <v>192984687.70792085</v>
      </c>
      <c r="H26" s="1459">
        <v>4142479.9999999995</v>
      </c>
      <c r="I26" s="1459">
        <v>92110</v>
      </c>
      <c r="J26" s="1459">
        <v>290199</v>
      </c>
      <c r="K26" s="1459">
        <v>4524789</v>
      </c>
      <c r="L26" s="1459">
        <v>920136.85148514854</v>
      </c>
      <c r="M26" s="1459">
        <v>0</v>
      </c>
      <c r="N26" s="1459">
        <v>0</v>
      </c>
      <c r="O26" s="1459">
        <v>920136.85148514854</v>
      </c>
      <c r="P26" s="1460">
        <v>198429613.55940601</v>
      </c>
    </row>
    <row r="27" spans="1:16">
      <c r="A27" s="1456" t="s">
        <v>1900</v>
      </c>
      <c r="B27" s="1471"/>
      <c r="C27" s="1456" t="s">
        <v>1865</v>
      </c>
      <c r="D27" s="1459">
        <v>71031967.348719671</v>
      </c>
      <c r="E27" s="1459">
        <v>15280188.104230219</v>
      </c>
      <c r="F27" s="1459">
        <v>262172.08722782339</v>
      </c>
      <c r="G27" s="1459">
        <v>86574327.540177718</v>
      </c>
      <c r="H27" s="1459">
        <v>1780618.0988769392</v>
      </c>
      <c r="I27" s="1459">
        <v>44383.612262325441</v>
      </c>
      <c r="J27" s="1459">
        <v>38208.114660260144</v>
      </c>
      <c r="K27" s="1459">
        <v>1863209.8257995246</v>
      </c>
      <c r="L27" s="1459">
        <v>420764.64129409968</v>
      </c>
      <c r="M27" s="1459">
        <v>0</v>
      </c>
      <c r="N27" s="1459">
        <v>0</v>
      </c>
      <c r="O27" s="1459">
        <v>420764.64129409968</v>
      </c>
      <c r="P27" s="1460">
        <v>88858302.007271349</v>
      </c>
    </row>
    <row r="28" spans="1:16">
      <c r="A28" s="1456" t="s">
        <v>1901</v>
      </c>
      <c r="B28" s="1471"/>
      <c r="C28" s="1456" t="s">
        <v>1866</v>
      </c>
      <c r="D28" s="1459">
        <v>56872782.651280329</v>
      </c>
      <c r="E28" s="1459">
        <v>12234305.895769779</v>
      </c>
      <c r="F28" s="1459">
        <v>209911.91277217664</v>
      </c>
      <c r="G28" s="1459">
        <v>69317000.459822282</v>
      </c>
      <c r="H28" s="1459">
        <v>1425677.9011230604</v>
      </c>
      <c r="I28" s="1459">
        <v>35536.387737674559</v>
      </c>
      <c r="J28" s="1459">
        <v>30591.885339739856</v>
      </c>
      <c r="K28" s="1459">
        <v>1491806.174200475</v>
      </c>
      <c r="L28" s="1459">
        <v>336891.35870590032</v>
      </c>
      <c r="M28" s="1459">
        <v>0</v>
      </c>
      <c r="N28" s="1459">
        <v>0</v>
      </c>
      <c r="O28" s="1459">
        <v>336891.35870590032</v>
      </c>
      <c r="P28" s="1460">
        <v>71145697.992728651</v>
      </c>
    </row>
    <row r="29" spans="1:16">
      <c r="A29" s="1456" t="s">
        <v>1902</v>
      </c>
      <c r="B29" s="1471"/>
      <c r="C29" s="1456" t="s">
        <v>1867</v>
      </c>
      <c r="D29" s="1459">
        <v>125852403.25039673</v>
      </c>
      <c r="E29" s="1459">
        <v>26505493.390698019</v>
      </c>
      <c r="F29" s="1459">
        <v>383508.3973973234</v>
      </c>
      <c r="G29" s="1459">
        <v>152741405.03849205</v>
      </c>
      <c r="H29" s="1459">
        <v>3187720.2219711207</v>
      </c>
      <c r="I29" s="1459">
        <v>76171.875098855817</v>
      </c>
      <c r="J29" s="1459">
        <v>200469.86950502975</v>
      </c>
      <c r="K29" s="1459">
        <v>3464361.966575006</v>
      </c>
      <c r="L29" s="1459">
        <v>679274.19194947509</v>
      </c>
      <c r="M29" s="1459">
        <v>0</v>
      </c>
      <c r="N29" s="1459">
        <v>0</v>
      </c>
      <c r="O29" s="1459">
        <v>679274.19194947509</v>
      </c>
      <c r="P29" s="1460">
        <v>156885041.19701654</v>
      </c>
    </row>
    <row r="30" spans="1:16">
      <c r="A30" s="1456" t="s">
        <v>1903</v>
      </c>
      <c r="B30" s="1471"/>
      <c r="C30" s="1456" t="s">
        <v>1868</v>
      </c>
      <c r="D30" s="1459">
        <v>100765565.74960326</v>
      </c>
      <c r="E30" s="1459">
        <v>21222010.609301958</v>
      </c>
      <c r="F30" s="1459">
        <v>307061.6026026766</v>
      </c>
      <c r="G30" s="1459">
        <v>122294637.96150789</v>
      </c>
      <c r="H30" s="1459">
        <v>2552294.7780288788</v>
      </c>
      <c r="I30" s="1459">
        <v>60988.124901144176</v>
      </c>
      <c r="J30" s="1459">
        <v>160509.13049497025</v>
      </c>
      <c r="K30" s="1459">
        <v>2773792.0334249935</v>
      </c>
      <c r="L30" s="1459">
        <v>543870.80805052491</v>
      </c>
      <c r="M30" s="1459">
        <v>0</v>
      </c>
      <c r="N30" s="1459">
        <v>0</v>
      </c>
      <c r="O30" s="1459">
        <v>543870.80805052491</v>
      </c>
      <c r="P30" s="1460">
        <v>125612300.8029834</v>
      </c>
    </row>
    <row r="31" spans="1:16">
      <c r="A31" s="1456" t="s">
        <v>1869</v>
      </c>
      <c r="B31" s="1471"/>
      <c r="C31" s="1456" t="s">
        <v>631</v>
      </c>
      <c r="D31" s="1459">
        <v>66773.197916666657</v>
      </c>
      <c r="E31" s="1459">
        <v>48059.166666666672</v>
      </c>
      <c r="F31" s="1459">
        <v>0</v>
      </c>
      <c r="G31" s="1459">
        <v>114832.36458333333</v>
      </c>
      <c r="H31" s="1459">
        <v>0</v>
      </c>
      <c r="I31" s="1459">
        <v>0</v>
      </c>
      <c r="J31" s="1459">
        <v>0</v>
      </c>
      <c r="K31" s="1459">
        <v>0</v>
      </c>
      <c r="L31" s="1459">
        <v>0</v>
      </c>
      <c r="M31" s="1459">
        <v>0</v>
      </c>
      <c r="N31" s="1459">
        <v>0</v>
      </c>
      <c r="O31" s="1459">
        <v>0</v>
      </c>
      <c r="P31" s="1460">
        <v>114832.36458333333</v>
      </c>
    </row>
    <row r="32" spans="1:16">
      <c r="A32" s="1454" t="s">
        <v>1157</v>
      </c>
      <c r="B32" s="1473"/>
      <c r="C32" s="1454" t="s">
        <v>1152</v>
      </c>
      <c r="D32" s="1469">
        <v>1598493</v>
      </c>
      <c r="E32" s="1469">
        <v>800</v>
      </c>
      <c r="F32" s="1469">
        <v>0</v>
      </c>
      <c r="G32" s="1469">
        <v>1599293</v>
      </c>
      <c r="H32" s="1469">
        <v>0</v>
      </c>
      <c r="I32" s="1469">
        <v>0</v>
      </c>
      <c r="J32" s="1469">
        <v>0</v>
      </c>
      <c r="K32" s="1469">
        <v>0</v>
      </c>
      <c r="L32" s="1469">
        <v>0</v>
      </c>
      <c r="M32" s="1469">
        <v>0</v>
      </c>
      <c r="N32" s="1469">
        <v>0</v>
      </c>
      <c r="O32" s="1469">
        <v>0</v>
      </c>
      <c r="P32" s="1470">
        <v>1599293</v>
      </c>
    </row>
    <row r="33" spans="1:16">
      <c r="A33" s="1456" t="s">
        <v>1689</v>
      </c>
      <c r="B33" s="1471"/>
      <c r="C33" s="1456"/>
      <c r="D33" s="1460">
        <v>356121212</v>
      </c>
      <c r="E33" s="1460">
        <v>75242797.99999997</v>
      </c>
      <c r="F33" s="1460">
        <v>1162654</v>
      </c>
      <c r="G33" s="1459">
        <v>432526664</v>
      </c>
      <c r="H33" s="1460">
        <v>8946311</v>
      </c>
      <c r="I33" s="1460">
        <v>217080</v>
      </c>
      <c r="J33" s="1460">
        <v>429779</v>
      </c>
      <c r="K33" s="1459">
        <v>9593170</v>
      </c>
      <c r="L33" s="1460">
        <v>1980801</v>
      </c>
      <c r="M33" s="1460">
        <v>0</v>
      </c>
      <c r="N33" s="1460">
        <v>0</v>
      </c>
      <c r="O33" s="1459">
        <v>1980801</v>
      </c>
      <c r="P33" s="1460">
        <v>444100634.99999994</v>
      </c>
    </row>
    <row r="34" spans="1:16">
      <c r="A34" s="1456"/>
      <c r="B34" s="1471"/>
      <c r="C34" s="1456"/>
      <c r="D34" s="1460"/>
      <c r="E34" s="1460"/>
      <c r="F34" s="1460"/>
      <c r="G34" s="1459"/>
      <c r="H34" s="1460"/>
      <c r="I34" s="1460"/>
      <c r="J34" s="1460"/>
      <c r="K34" s="1459"/>
      <c r="L34" s="1460"/>
      <c r="M34" s="1460"/>
      <c r="N34" s="1460"/>
      <c r="O34" s="1459"/>
    </row>
    <row r="35" spans="1:16">
      <c r="A35" s="1451" t="s">
        <v>1880</v>
      </c>
      <c r="C35" s="1452"/>
      <c r="D35" s="1450" t="s">
        <v>1881</v>
      </c>
      <c r="E35" s="1450" t="s">
        <v>1882</v>
      </c>
      <c r="F35" s="1450" t="s">
        <v>1883</v>
      </c>
      <c r="H35" s="1450" t="s">
        <v>1884</v>
      </c>
      <c r="I35" s="1450" t="s">
        <v>1885</v>
      </c>
      <c r="J35" s="1450" t="s">
        <v>1886</v>
      </c>
      <c r="L35" s="1450" t="s">
        <v>1887</v>
      </c>
      <c r="M35" s="1450" t="s">
        <v>1888</v>
      </c>
      <c r="N35" s="1450" t="s">
        <v>1889</v>
      </c>
    </row>
    <row r="36" spans="1:16" ht="15" customHeight="1">
      <c r="C36" s="1452"/>
      <c r="D36" s="1453" t="s">
        <v>223</v>
      </c>
      <c r="E36" s="1453" t="s">
        <v>223</v>
      </c>
      <c r="F36" s="1453" t="s">
        <v>223</v>
      </c>
      <c r="G36" s="1454"/>
      <c r="H36" s="1453" t="s">
        <v>1890</v>
      </c>
      <c r="I36" s="1453" t="s">
        <v>1890</v>
      </c>
      <c r="J36" s="1453" t="s">
        <v>1890</v>
      </c>
      <c r="K36" s="1454"/>
      <c r="L36" s="1453" t="s">
        <v>1891</v>
      </c>
      <c r="M36" s="1453" t="s">
        <v>1891</v>
      </c>
      <c r="N36" s="1453" t="s">
        <v>1891</v>
      </c>
      <c r="O36" s="1454"/>
    </row>
    <row r="37" spans="1:16">
      <c r="A37" s="1454"/>
      <c r="B37" s="1472"/>
      <c r="C37" s="1454"/>
      <c r="D37" s="1835" t="s">
        <v>429</v>
      </c>
      <c r="E37" s="1835" t="s">
        <v>438</v>
      </c>
      <c r="F37" s="1835" t="s">
        <v>428</v>
      </c>
      <c r="G37" s="1835" t="s">
        <v>93</v>
      </c>
      <c r="H37" s="1835" t="s">
        <v>429</v>
      </c>
      <c r="I37" s="1835" t="s">
        <v>438</v>
      </c>
      <c r="J37" s="1835" t="s">
        <v>428</v>
      </c>
      <c r="K37" s="1835" t="s">
        <v>93</v>
      </c>
      <c r="L37" s="1835" t="s">
        <v>429</v>
      </c>
      <c r="M37" s="1835" t="s">
        <v>438</v>
      </c>
      <c r="N37" s="1835" t="s">
        <v>428</v>
      </c>
      <c r="O37" s="1835" t="s">
        <v>93</v>
      </c>
      <c r="P37" s="1835" t="s">
        <v>1860</v>
      </c>
    </row>
    <row r="38" spans="1:16">
      <c r="A38" s="1456" t="s">
        <v>925</v>
      </c>
      <c r="B38" s="1471"/>
      <c r="C38" s="1456" t="s">
        <v>72</v>
      </c>
      <c r="D38" s="1459">
        <v>108</v>
      </c>
      <c r="E38" s="1459">
        <v>4</v>
      </c>
      <c r="F38" s="1459">
        <v>14</v>
      </c>
      <c r="G38" s="1459">
        <v>126</v>
      </c>
      <c r="H38" s="1459" t="e">
        <v>#N/A</v>
      </c>
      <c r="I38" s="1459" t="e">
        <v>#N/A</v>
      </c>
      <c r="J38" s="1459" t="e">
        <v>#N/A</v>
      </c>
      <c r="K38" s="1459" t="e">
        <v>#N/A</v>
      </c>
      <c r="L38" s="1459" t="e">
        <v>#N/A</v>
      </c>
      <c r="M38" s="1459" t="e">
        <v>#N/A</v>
      </c>
      <c r="N38" s="1459" t="e">
        <v>#N/A</v>
      </c>
      <c r="O38" s="1459" t="e">
        <v>#N/A</v>
      </c>
      <c r="P38" s="1460">
        <v>126</v>
      </c>
    </row>
    <row r="39" spans="1:16">
      <c r="A39" s="1456" t="s">
        <v>1904</v>
      </c>
      <c r="B39" s="1471"/>
      <c r="C39" s="1456" t="s">
        <v>1861</v>
      </c>
      <c r="D39" s="1459">
        <v>41029</v>
      </c>
      <c r="E39" s="1459">
        <v>0</v>
      </c>
      <c r="F39" s="1459">
        <v>3800</v>
      </c>
      <c r="G39" s="1459">
        <v>44829</v>
      </c>
      <c r="H39" s="1459" t="e">
        <v>#N/A</v>
      </c>
      <c r="I39" s="1459" t="e">
        <v>#N/A</v>
      </c>
      <c r="J39" s="1459" t="e">
        <v>#N/A</v>
      </c>
      <c r="K39" s="1459" t="e">
        <v>#N/A</v>
      </c>
      <c r="L39" s="1459" t="e">
        <v>#N/A</v>
      </c>
      <c r="M39" s="1459" t="e">
        <v>#N/A</v>
      </c>
      <c r="N39" s="1459" t="e">
        <v>#N/A</v>
      </c>
      <c r="O39" s="1459" t="e">
        <v>#N/A</v>
      </c>
      <c r="P39" s="1460">
        <v>44829</v>
      </c>
    </row>
    <row r="40" spans="1:16">
      <c r="A40" s="1456" t="s">
        <v>1899</v>
      </c>
      <c r="B40" s="1471"/>
      <c r="C40" s="1456" t="s">
        <v>1862</v>
      </c>
      <c r="D40" s="1459">
        <v>43848</v>
      </c>
      <c r="E40" s="1459">
        <v>0</v>
      </c>
      <c r="F40" s="1459">
        <v>15459</v>
      </c>
      <c r="G40" s="1459">
        <v>59307</v>
      </c>
      <c r="H40" s="1459" t="e">
        <v>#N/A</v>
      </c>
      <c r="I40" s="1459" t="e">
        <v>#N/A</v>
      </c>
      <c r="J40" s="1459" t="e">
        <v>#N/A</v>
      </c>
      <c r="K40" s="1459" t="e">
        <v>#N/A</v>
      </c>
      <c r="L40" s="1459" t="e">
        <v>#N/A</v>
      </c>
      <c r="M40" s="1459" t="e">
        <v>#N/A</v>
      </c>
      <c r="N40" s="1459" t="e">
        <v>#N/A</v>
      </c>
      <c r="O40" s="1459" t="e">
        <v>#N/A</v>
      </c>
      <c r="P40" s="1460">
        <v>59307</v>
      </c>
    </row>
    <row r="41" spans="1:16">
      <c r="A41" s="1456" t="s">
        <v>1905</v>
      </c>
      <c r="B41" s="1471"/>
      <c r="C41" s="1456" t="s">
        <v>1863</v>
      </c>
      <c r="D41" s="1459">
        <v>87001</v>
      </c>
      <c r="E41" s="1459">
        <v>6935</v>
      </c>
      <c r="F41" s="1459">
        <v>5748</v>
      </c>
      <c r="G41" s="1459">
        <v>99684</v>
      </c>
      <c r="H41" s="1459" t="e">
        <v>#N/A</v>
      </c>
      <c r="I41" s="1459" t="e">
        <v>#N/A</v>
      </c>
      <c r="J41" s="1459" t="e">
        <v>#N/A</v>
      </c>
      <c r="K41" s="1459" t="e">
        <v>#N/A</v>
      </c>
      <c r="L41" s="1459" t="e">
        <v>#N/A</v>
      </c>
      <c r="M41" s="1459" t="e">
        <v>#N/A</v>
      </c>
      <c r="N41" s="1459" t="e">
        <v>#N/A</v>
      </c>
      <c r="O41" s="1459" t="e">
        <v>#N/A</v>
      </c>
      <c r="P41" s="1460">
        <v>99684</v>
      </c>
    </row>
    <row r="42" spans="1:16">
      <c r="A42" s="1456" t="s">
        <v>1898</v>
      </c>
      <c r="B42" s="1471"/>
      <c r="C42" s="1456" t="s">
        <v>1864</v>
      </c>
      <c r="D42" s="1459">
        <v>50741</v>
      </c>
      <c r="E42" s="1459">
        <v>151</v>
      </c>
      <c r="F42" s="1459">
        <v>517</v>
      </c>
      <c r="G42" s="1459">
        <v>51409</v>
      </c>
      <c r="H42" s="1459" t="e">
        <v>#N/A</v>
      </c>
      <c r="I42" s="1459" t="e">
        <v>#N/A</v>
      </c>
      <c r="J42" s="1459" t="e">
        <v>#N/A</v>
      </c>
      <c r="K42" s="1459" t="e">
        <v>#N/A</v>
      </c>
      <c r="L42" s="1459" t="e">
        <v>#N/A</v>
      </c>
      <c r="M42" s="1459" t="e">
        <v>#N/A</v>
      </c>
      <c r="N42" s="1459" t="e">
        <v>#N/A</v>
      </c>
      <c r="O42" s="1459" t="e">
        <v>#N/A</v>
      </c>
      <c r="P42" s="1460">
        <v>51409</v>
      </c>
    </row>
    <row r="43" spans="1:16">
      <c r="A43" s="1456" t="s">
        <v>1900</v>
      </c>
      <c r="B43" s="1471"/>
      <c r="C43" s="1456" t="s">
        <v>1865</v>
      </c>
      <c r="D43" s="1459">
        <v>47136.484709577046</v>
      </c>
      <c r="E43" s="1459">
        <v>0</v>
      </c>
      <c r="F43" s="1459">
        <v>10695.495352353926</v>
      </c>
      <c r="G43" s="1459">
        <v>57831.980061930968</v>
      </c>
      <c r="H43" s="1459" t="e">
        <v>#N/A</v>
      </c>
      <c r="I43" s="1459" t="e">
        <v>#N/A</v>
      </c>
      <c r="J43" s="1459" t="e">
        <v>#N/A</v>
      </c>
      <c r="K43" s="1459" t="e">
        <v>#N/A</v>
      </c>
      <c r="L43" s="1459" t="e">
        <v>#N/A</v>
      </c>
      <c r="M43" s="1459" t="e">
        <v>#N/A</v>
      </c>
      <c r="N43" s="1459" t="e">
        <v>#N/A</v>
      </c>
      <c r="O43" s="1459" t="e">
        <v>#N/A</v>
      </c>
      <c r="P43" s="1460">
        <v>57831.980061930968</v>
      </c>
    </row>
    <row r="44" spans="1:16">
      <c r="A44" s="1456" t="s">
        <v>1901</v>
      </c>
      <c r="B44" s="1471"/>
      <c r="C44" s="1456" t="s">
        <v>1866</v>
      </c>
      <c r="D44" s="1459">
        <v>37740.515290422954</v>
      </c>
      <c r="E44" s="1459">
        <v>0</v>
      </c>
      <c r="F44" s="1459">
        <v>8563.5046476460739</v>
      </c>
      <c r="G44" s="1459">
        <v>46304.019938069032</v>
      </c>
      <c r="H44" s="1459" t="e">
        <v>#N/A</v>
      </c>
      <c r="I44" s="1459" t="e">
        <v>#N/A</v>
      </c>
      <c r="J44" s="1459" t="e">
        <v>#N/A</v>
      </c>
      <c r="K44" s="1459" t="e">
        <v>#N/A</v>
      </c>
      <c r="L44" s="1459" t="e">
        <v>#N/A</v>
      </c>
      <c r="M44" s="1459" t="e">
        <v>#N/A</v>
      </c>
      <c r="N44" s="1459" t="e">
        <v>#N/A</v>
      </c>
      <c r="O44" s="1459" t="e">
        <v>#N/A</v>
      </c>
      <c r="P44" s="1460">
        <v>46304.019938069032</v>
      </c>
    </row>
    <row r="45" spans="1:16">
      <c r="A45" s="1456" t="s">
        <v>1902</v>
      </c>
      <c r="B45" s="1471"/>
      <c r="C45" s="1456" t="s">
        <v>1867</v>
      </c>
      <c r="D45" s="1459">
        <v>76495.089092057446</v>
      </c>
      <c r="E45" s="1459">
        <v>3935.2136698052818</v>
      </c>
      <c r="F45" s="1459">
        <v>3479.2709061995611</v>
      </c>
      <c r="G45" s="1459">
        <v>83909.573668062279</v>
      </c>
      <c r="H45" s="1459" t="e">
        <v>#N/A</v>
      </c>
      <c r="I45" s="1459" t="e">
        <v>#N/A</v>
      </c>
      <c r="J45" s="1459" t="e">
        <v>#N/A</v>
      </c>
      <c r="K45" s="1459" t="e">
        <v>#N/A</v>
      </c>
      <c r="L45" s="1459" t="e">
        <v>#N/A</v>
      </c>
      <c r="M45" s="1459" t="e">
        <v>#N/A</v>
      </c>
      <c r="N45" s="1459" t="e">
        <v>#N/A</v>
      </c>
      <c r="O45" s="1459" t="e">
        <v>#N/A</v>
      </c>
      <c r="P45" s="1460">
        <v>83909.573668062279</v>
      </c>
    </row>
    <row r="46" spans="1:16">
      <c r="A46" s="1456" t="s">
        <v>1903</v>
      </c>
      <c r="B46" s="1471"/>
      <c r="C46" s="1456" t="s">
        <v>1868</v>
      </c>
      <c r="D46" s="1459">
        <v>61246.910907942554</v>
      </c>
      <c r="E46" s="1459">
        <v>3150.7863301947186</v>
      </c>
      <c r="F46" s="1459">
        <v>2785.7290938004389</v>
      </c>
      <c r="G46" s="1459">
        <v>67183.426331937721</v>
      </c>
      <c r="H46" s="1459" t="e">
        <v>#N/A</v>
      </c>
      <c r="I46" s="1459" t="e">
        <v>#N/A</v>
      </c>
      <c r="J46" s="1459" t="e">
        <v>#N/A</v>
      </c>
      <c r="K46" s="1459" t="e">
        <v>#N/A</v>
      </c>
      <c r="L46" s="1459" t="e">
        <v>#N/A</v>
      </c>
      <c r="M46" s="1459" t="e">
        <v>#N/A</v>
      </c>
      <c r="N46" s="1459" t="e">
        <v>#N/A</v>
      </c>
      <c r="O46" s="1459" t="e">
        <v>#N/A</v>
      </c>
      <c r="P46" s="1460">
        <v>67183.426331937721</v>
      </c>
    </row>
    <row r="47" spans="1:16">
      <c r="A47" s="1456" t="s">
        <v>1869</v>
      </c>
      <c r="B47" s="1471"/>
      <c r="C47" s="1456" t="s">
        <v>631</v>
      </c>
      <c r="D47" s="1459">
        <v>0</v>
      </c>
      <c r="E47" s="1459">
        <v>0</v>
      </c>
      <c r="F47" s="1459">
        <v>0</v>
      </c>
      <c r="G47" s="1459">
        <v>0</v>
      </c>
      <c r="H47" s="1459" t="e">
        <v>#N/A</v>
      </c>
      <c r="I47" s="1459" t="e">
        <v>#N/A</v>
      </c>
      <c r="J47" s="1459" t="e">
        <v>#N/A</v>
      </c>
      <c r="K47" s="1459" t="e">
        <v>#N/A</v>
      </c>
      <c r="L47" s="1459" t="e">
        <v>#N/A</v>
      </c>
      <c r="M47" s="1459" t="e">
        <v>#N/A</v>
      </c>
      <c r="N47" s="1459" t="e">
        <v>#N/A</v>
      </c>
      <c r="O47" s="1459" t="e">
        <v>#N/A</v>
      </c>
      <c r="P47" s="1460">
        <v>0</v>
      </c>
    </row>
    <row r="48" spans="1:16">
      <c r="A48" s="1454" t="s">
        <v>1157</v>
      </c>
      <c r="B48" s="1473"/>
      <c r="C48" s="1454" t="s">
        <v>1152</v>
      </c>
      <c r="D48" s="1469">
        <v>0</v>
      </c>
      <c r="E48" s="1469">
        <v>0</v>
      </c>
      <c r="F48" s="1469">
        <v>0</v>
      </c>
      <c r="G48" s="1469">
        <v>0</v>
      </c>
      <c r="H48" s="1469" t="e">
        <v>#N/A</v>
      </c>
      <c r="I48" s="1469" t="e">
        <v>#N/A</v>
      </c>
      <c r="J48" s="1469" t="e">
        <v>#N/A</v>
      </c>
      <c r="K48" s="1469" t="e">
        <v>#N/A</v>
      </c>
      <c r="L48" s="1469" t="e">
        <v>#N/A</v>
      </c>
      <c r="M48" s="1469" t="e">
        <v>#N/A</v>
      </c>
      <c r="N48" s="1469" t="e">
        <v>#N/A</v>
      </c>
      <c r="O48" s="1469" t="e">
        <v>#N/A</v>
      </c>
      <c r="P48" s="1470">
        <v>0</v>
      </c>
    </row>
    <row r="49" spans="1:16">
      <c r="A49" s="1456" t="s">
        <v>1689</v>
      </c>
      <c r="B49" s="1471"/>
      <c r="C49" s="1456"/>
      <c r="D49" s="1460">
        <v>222619</v>
      </c>
      <c r="E49" s="1460">
        <v>7086</v>
      </c>
      <c r="F49" s="1460">
        <v>25524</v>
      </c>
      <c r="G49" s="1459">
        <v>255229</v>
      </c>
      <c r="H49" s="1460" t="e">
        <v>#N/A</v>
      </c>
      <c r="I49" s="1460" t="e">
        <v>#N/A</v>
      </c>
      <c r="J49" s="1460" t="e">
        <v>#N/A</v>
      </c>
      <c r="K49" s="1459" t="e">
        <v>#N/A</v>
      </c>
      <c r="L49" s="1460" t="e">
        <v>#N/A</v>
      </c>
      <c r="M49" s="1460" t="e">
        <v>#N/A</v>
      </c>
      <c r="N49" s="1460" t="e">
        <v>#N/A</v>
      </c>
      <c r="O49" s="1459" t="e">
        <v>#N/A</v>
      </c>
      <c r="P49" s="1460">
        <v>255229</v>
      </c>
    </row>
    <row r="50" spans="1:16">
      <c r="A50" s="1456"/>
      <c r="B50" s="1471"/>
      <c r="C50" s="1456"/>
      <c r="D50" s="1460"/>
      <c r="E50" s="1460"/>
      <c r="F50" s="1460"/>
      <c r="G50" s="1459"/>
      <c r="H50" s="1460"/>
      <c r="I50" s="1460"/>
      <c r="J50" s="1460"/>
      <c r="K50" s="1459"/>
      <c r="L50" s="1460"/>
      <c r="M50" s="1460"/>
      <c r="N50" s="1460"/>
      <c r="O50" s="1459"/>
    </row>
    <row r="51" spans="1:16">
      <c r="A51" s="1451" t="s">
        <v>1892</v>
      </c>
      <c r="C51" s="1452"/>
      <c r="D51" s="1450" t="s">
        <v>1871</v>
      </c>
      <c r="E51" s="1450" t="s">
        <v>1872</v>
      </c>
      <c r="F51" s="1450" t="s">
        <v>1873</v>
      </c>
      <c r="H51" s="1450" t="s">
        <v>1874</v>
      </c>
      <c r="I51" s="1450" t="s">
        <v>1875</v>
      </c>
      <c r="J51" s="1450" t="s">
        <v>1876</v>
      </c>
      <c r="L51" s="1450" t="s">
        <v>1877</v>
      </c>
      <c r="M51" s="1450" t="s">
        <v>1878</v>
      </c>
      <c r="N51" s="1450" t="s">
        <v>1879</v>
      </c>
    </row>
    <row r="52" spans="1:16" ht="15" customHeight="1">
      <c r="C52" s="1452"/>
      <c r="D52" s="1453">
        <v>6</v>
      </c>
      <c r="E52" s="1453">
        <v>6</v>
      </c>
      <c r="F52" s="1453">
        <v>6</v>
      </c>
      <c r="G52" s="1454"/>
      <c r="H52" s="1453" t="s">
        <v>959</v>
      </c>
      <c r="I52" s="1453" t="s">
        <v>959</v>
      </c>
      <c r="J52" s="1453" t="s">
        <v>959</v>
      </c>
      <c r="K52" s="1454"/>
      <c r="L52" s="1453" t="s">
        <v>1215</v>
      </c>
      <c r="M52" s="1453" t="s">
        <v>1215</v>
      </c>
      <c r="N52" s="1453" t="s">
        <v>1215</v>
      </c>
      <c r="O52" s="1454"/>
    </row>
    <row r="53" spans="1:16">
      <c r="A53" s="1454"/>
      <c r="B53" s="1472"/>
      <c r="C53" s="1454"/>
      <c r="D53" s="1835" t="s">
        <v>429</v>
      </c>
      <c r="E53" s="1835" t="s">
        <v>438</v>
      </c>
      <c r="F53" s="1835" t="s">
        <v>428</v>
      </c>
      <c r="G53" s="1835" t="s">
        <v>93</v>
      </c>
      <c r="H53" s="1835" t="s">
        <v>429</v>
      </c>
      <c r="I53" s="1835" t="s">
        <v>438</v>
      </c>
      <c r="J53" s="1835" t="s">
        <v>428</v>
      </c>
      <c r="K53" s="1835" t="s">
        <v>93</v>
      </c>
      <c r="L53" s="1835" t="s">
        <v>429</v>
      </c>
      <c r="M53" s="1835" t="s">
        <v>438</v>
      </c>
      <c r="N53" s="1835" t="s">
        <v>428</v>
      </c>
      <c r="O53" s="1835" t="s">
        <v>93</v>
      </c>
      <c r="P53" s="1835" t="s">
        <v>1860</v>
      </c>
    </row>
    <row r="54" spans="1:16">
      <c r="A54" s="1452" t="s">
        <v>925</v>
      </c>
      <c r="B54" s="1474"/>
      <c r="C54" s="1452" t="s">
        <v>72</v>
      </c>
      <c r="D54" s="1459">
        <v>28122.033333299994</v>
      </c>
      <c r="E54" s="1459">
        <v>4181.3</v>
      </c>
      <c r="F54" s="1459">
        <v>236.59999999999997</v>
      </c>
      <c r="G54" s="1459">
        <v>32539.933333299992</v>
      </c>
      <c r="H54" s="1459">
        <v>824.76666666666665</v>
      </c>
      <c r="I54" s="1459">
        <v>24</v>
      </c>
      <c r="J54" s="1459">
        <v>74.866666666666674</v>
      </c>
      <c r="K54" s="1459">
        <v>923.63333333333333</v>
      </c>
      <c r="L54" s="1459">
        <v>111.43333333333334</v>
      </c>
      <c r="M54" s="1459">
        <v>0</v>
      </c>
      <c r="N54" s="1459">
        <v>0</v>
      </c>
      <c r="O54" s="1459">
        <v>111.43333333333334</v>
      </c>
      <c r="P54" s="1475">
        <v>32539.933333299992</v>
      </c>
    </row>
    <row r="55" spans="1:16">
      <c r="A55" s="1452" t="s">
        <v>1893</v>
      </c>
      <c r="B55" s="1474"/>
      <c r="C55" s="1452" t="s">
        <v>462</v>
      </c>
      <c r="D55" s="1459">
        <v>2166316.8292079219</v>
      </c>
      <c r="E55" s="1459">
        <v>474204.66336633649</v>
      </c>
      <c r="F55" s="1459">
        <v>7928.5693069306944</v>
      </c>
      <c r="G55" s="1459">
        <v>2648450.0618811888</v>
      </c>
      <c r="H55" s="1459">
        <v>61100</v>
      </c>
      <c r="I55" s="1459">
        <v>1432</v>
      </c>
      <c r="J55" s="1459">
        <v>2659.3341584158416</v>
      </c>
      <c r="K55" s="1459">
        <v>65191.334158415841</v>
      </c>
      <c r="L55" s="1459">
        <v>10575.368811881188</v>
      </c>
      <c r="M55" s="1459">
        <v>0</v>
      </c>
      <c r="N55" s="1459">
        <v>0</v>
      </c>
      <c r="O55" s="1459">
        <v>10575.368811881188</v>
      </c>
      <c r="P55" s="1475">
        <v>2648450.0618811888</v>
      </c>
    </row>
    <row r="56" spans="1:16">
      <c r="A56" s="1452" t="s">
        <v>1894</v>
      </c>
      <c r="B56" s="1474"/>
      <c r="C56" s="1452" t="s">
        <v>638</v>
      </c>
      <c r="D56" s="1459">
        <v>792675.46287128737</v>
      </c>
      <c r="E56" s="1459">
        <v>171340.63118811883</v>
      </c>
      <c r="F56" s="1459">
        <v>3007.0668316831689</v>
      </c>
      <c r="G56" s="1459">
        <v>967023.16089108936</v>
      </c>
      <c r="H56" s="1459">
        <v>23195</v>
      </c>
      <c r="I56" s="1459">
        <v>531</v>
      </c>
      <c r="J56" s="1459">
        <v>742</v>
      </c>
      <c r="K56" s="1459">
        <v>24468</v>
      </c>
      <c r="L56" s="1459">
        <v>4505.4653465346528</v>
      </c>
      <c r="M56" s="1459">
        <v>0</v>
      </c>
      <c r="N56" s="1459">
        <v>0</v>
      </c>
      <c r="O56" s="1459">
        <v>4505.4653465346528</v>
      </c>
      <c r="P56" s="1475">
        <v>967023.16089108936</v>
      </c>
    </row>
    <row r="57" spans="1:16">
      <c r="A57" s="1452" t="s">
        <v>1895</v>
      </c>
      <c r="B57" s="1474"/>
      <c r="C57" s="1452" t="s">
        <v>639</v>
      </c>
      <c r="D57" s="1459">
        <v>1373641.3663366344</v>
      </c>
      <c r="E57" s="1459">
        <v>302864.03217821772</v>
      </c>
      <c r="F57" s="1459">
        <v>4921.5024752475247</v>
      </c>
      <c r="G57" s="1459">
        <v>1681426.9009900996</v>
      </c>
      <c r="H57" s="1459">
        <v>37905</v>
      </c>
      <c r="I57" s="1459">
        <v>901</v>
      </c>
      <c r="J57" s="1459">
        <v>1917.3341584158416</v>
      </c>
      <c r="K57" s="1459">
        <v>40723.334158415841</v>
      </c>
      <c r="L57" s="1459">
        <v>6069.9034653465351</v>
      </c>
      <c r="M57" s="1459">
        <v>0</v>
      </c>
      <c r="N57" s="1459">
        <v>0</v>
      </c>
      <c r="O57" s="1459">
        <v>6069.9034653465351</v>
      </c>
      <c r="P57" s="1475">
        <v>1681426.9009900996</v>
      </c>
    </row>
    <row r="58" spans="1:16">
      <c r="A58" s="1452" t="s">
        <v>1869</v>
      </c>
      <c r="B58" s="1474"/>
      <c r="C58" s="1452" t="s">
        <v>631</v>
      </c>
      <c r="D58" s="1459">
        <v>66773.197916666657</v>
      </c>
      <c r="E58" s="1459">
        <v>48059.166666666672</v>
      </c>
      <c r="F58" s="1459">
        <v>0</v>
      </c>
      <c r="G58" s="1459">
        <v>114832.36458333333</v>
      </c>
      <c r="H58" s="1459">
        <v>0</v>
      </c>
      <c r="I58" s="1459">
        <v>0</v>
      </c>
      <c r="J58" s="1459">
        <v>0</v>
      </c>
      <c r="K58" s="1459">
        <v>0</v>
      </c>
      <c r="L58" s="1459">
        <v>0</v>
      </c>
      <c r="M58" s="1459">
        <v>0</v>
      </c>
      <c r="N58" s="1459">
        <v>0</v>
      </c>
      <c r="O58" s="1459">
        <v>0</v>
      </c>
      <c r="P58" s="1475">
        <v>114832.36458333333</v>
      </c>
    </row>
    <row r="59" spans="1:16">
      <c r="A59" s="1452" t="s">
        <v>1896</v>
      </c>
      <c r="B59" s="1474"/>
      <c r="C59" s="1452" t="s">
        <v>622</v>
      </c>
      <c r="D59" s="1459">
        <v>127904750</v>
      </c>
      <c r="E59" s="1459">
        <v>27514494</v>
      </c>
      <c r="F59" s="1459">
        <v>472084</v>
      </c>
      <c r="G59" s="1459">
        <v>155891328</v>
      </c>
      <c r="H59" s="1459">
        <v>3206296</v>
      </c>
      <c r="I59" s="1459">
        <v>79920</v>
      </c>
      <c r="J59" s="1459">
        <v>68800</v>
      </c>
      <c r="K59" s="1459">
        <v>3355016</v>
      </c>
      <c r="L59" s="1459">
        <v>757656</v>
      </c>
      <c r="M59" s="1459">
        <v>0</v>
      </c>
      <c r="N59" s="1459">
        <v>0</v>
      </c>
      <c r="O59" s="1459">
        <v>757656</v>
      </c>
      <c r="P59" s="1475">
        <v>155891328</v>
      </c>
    </row>
    <row r="60" spans="1:16">
      <c r="A60" s="1452" t="s">
        <v>1897</v>
      </c>
      <c r="B60" s="1474"/>
      <c r="C60" s="1452" t="s">
        <v>626</v>
      </c>
      <c r="D60" s="1459">
        <v>226617969</v>
      </c>
      <c r="E60" s="1459">
        <v>47727504</v>
      </c>
      <c r="F60" s="1459">
        <v>690570</v>
      </c>
      <c r="G60" s="1459">
        <v>275036043</v>
      </c>
      <c r="H60" s="1459">
        <v>5740015</v>
      </c>
      <c r="I60" s="1459">
        <v>137160</v>
      </c>
      <c r="J60" s="1459">
        <v>360979</v>
      </c>
      <c r="K60" s="1459">
        <v>6238154</v>
      </c>
      <c r="L60" s="1459">
        <v>1223145</v>
      </c>
      <c r="M60" s="1459">
        <v>0</v>
      </c>
      <c r="N60" s="1459">
        <v>0</v>
      </c>
      <c r="O60" s="1459">
        <v>1223145</v>
      </c>
      <c r="P60" s="1475">
        <v>275036043</v>
      </c>
    </row>
    <row r="61" spans="1:16">
      <c r="A61" s="1454" t="s">
        <v>1157</v>
      </c>
      <c r="B61" s="1473"/>
      <c r="C61" s="1454" t="s">
        <v>1152</v>
      </c>
      <c r="D61" s="1469">
        <v>1598493</v>
      </c>
      <c r="E61" s="1469">
        <v>800</v>
      </c>
      <c r="F61" s="1469">
        <v>0</v>
      </c>
      <c r="G61" s="1469">
        <v>1599293</v>
      </c>
      <c r="H61" s="1469">
        <v>0</v>
      </c>
      <c r="I61" s="1469">
        <v>0</v>
      </c>
      <c r="J61" s="1469">
        <v>0</v>
      </c>
      <c r="K61" s="1469">
        <v>0</v>
      </c>
      <c r="L61" s="1469">
        <v>0</v>
      </c>
      <c r="M61" s="1469">
        <v>0</v>
      </c>
      <c r="N61" s="1469">
        <v>0</v>
      </c>
      <c r="O61" s="1469">
        <v>0</v>
      </c>
      <c r="P61" s="1470">
        <v>1599293</v>
      </c>
    </row>
    <row r="62" spans="1:16">
      <c r="A62" s="1456" t="s">
        <v>1689</v>
      </c>
      <c r="B62" s="1471"/>
      <c r="C62" s="1471"/>
      <c r="D62" s="1460">
        <v>356121212</v>
      </c>
      <c r="E62" s="1460">
        <v>75242798</v>
      </c>
      <c r="F62" s="1460">
        <v>1162654</v>
      </c>
      <c r="G62" s="1476">
        <v>432526664</v>
      </c>
      <c r="H62" s="1460">
        <v>8946311</v>
      </c>
      <c r="I62" s="1460">
        <v>217080</v>
      </c>
      <c r="J62" s="1460">
        <v>429779</v>
      </c>
      <c r="K62" s="1476">
        <v>9593170</v>
      </c>
      <c r="L62" s="1460">
        <v>1980801</v>
      </c>
      <c r="M62" s="1460">
        <v>0</v>
      </c>
      <c r="N62" s="1460">
        <v>0</v>
      </c>
      <c r="O62" s="1476">
        <v>1980801</v>
      </c>
      <c r="P62" s="1460">
        <v>432526664</v>
      </c>
    </row>
    <row r="63" spans="1:16">
      <c r="A63" s="1456"/>
      <c r="B63" s="1471"/>
      <c r="C63" s="1456"/>
      <c r="D63" s="1460"/>
      <c r="E63" s="1460"/>
      <c r="F63" s="1460"/>
      <c r="G63" s="1459"/>
      <c r="H63" s="1460"/>
      <c r="I63" s="1460"/>
      <c r="J63" s="1460"/>
      <c r="K63" s="1459"/>
      <c r="L63" s="1460"/>
      <c r="M63" s="1460"/>
      <c r="N63" s="1460"/>
      <c r="O63" s="1459"/>
    </row>
    <row r="64" spans="1:16">
      <c r="A64" s="1451" t="s">
        <v>1924</v>
      </c>
      <c r="C64" s="1452"/>
      <c r="D64" s="1450" t="s">
        <v>1881</v>
      </c>
      <c r="E64" s="1450" t="s">
        <v>1882</v>
      </c>
      <c r="F64" s="1450" t="s">
        <v>1883</v>
      </c>
      <c r="H64" s="1450" t="s">
        <v>1884</v>
      </c>
      <c r="I64" s="1450" t="s">
        <v>1885</v>
      </c>
      <c r="J64" s="1450" t="s">
        <v>1886</v>
      </c>
      <c r="L64" s="1450" t="s">
        <v>1887</v>
      </c>
      <c r="M64" s="1450" t="s">
        <v>1888</v>
      </c>
      <c r="N64" s="1450" t="s">
        <v>1889</v>
      </c>
    </row>
    <row r="65" spans="1:16" ht="15" customHeight="1">
      <c r="C65" s="1452"/>
      <c r="D65" s="1453" t="s">
        <v>223</v>
      </c>
      <c r="E65" s="1453" t="s">
        <v>223</v>
      </c>
      <c r="F65" s="1453" t="s">
        <v>223</v>
      </c>
      <c r="G65" s="1454"/>
      <c r="H65" s="1453" t="s">
        <v>1890</v>
      </c>
      <c r="I65" s="1453" t="s">
        <v>1890</v>
      </c>
      <c r="J65" s="1453" t="s">
        <v>1890</v>
      </c>
      <c r="K65" s="1454"/>
      <c r="L65" s="1453" t="s">
        <v>1891</v>
      </c>
      <c r="M65" s="1453" t="s">
        <v>1891</v>
      </c>
      <c r="N65" s="1453" t="s">
        <v>1891</v>
      </c>
      <c r="O65" s="1454"/>
    </row>
    <row r="66" spans="1:16">
      <c r="A66" s="1454"/>
      <c r="B66" s="1472"/>
      <c r="C66" s="1454"/>
      <c r="D66" s="1835" t="s">
        <v>429</v>
      </c>
      <c r="E66" s="1835" t="s">
        <v>438</v>
      </c>
      <c r="F66" s="1835" t="s">
        <v>428</v>
      </c>
      <c r="G66" s="1835" t="s">
        <v>93</v>
      </c>
      <c r="H66" s="1835" t="s">
        <v>429</v>
      </c>
      <c r="I66" s="1835" t="s">
        <v>438</v>
      </c>
      <c r="J66" s="1835" t="s">
        <v>428</v>
      </c>
      <c r="K66" s="1835" t="s">
        <v>93</v>
      </c>
      <c r="L66" s="1835" t="s">
        <v>429</v>
      </c>
      <c r="M66" s="1835" t="s">
        <v>438</v>
      </c>
      <c r="N66" s="1835" t="s">
        <v>428</v>
      </c>
      <c r="O66" s="1835" t="s">
        <v>93</v>
      </c>
      <c r="P66" s="1835" t="s">
        <v>1860</v>
      </c>
    </row>
    <row r="67" spans="1:16">
      <c r="A67" s="1452" t="s">
        <v>925</v>
      </c>
      <c r="B67" s="1474"/>
      <c r="C67" s="1452" t="s">
        <v>72</v>
      </c>
      <c r="D67" s="1459">
        <v>108</v>
      </c>
      <c r="E67" s="1459">
        <v>4</v>
      </c>
      <c r="F67" s="1459">
        <v>14</v>
      </c>
      <c r="G67" s="1459">
        <v>126</v>
      </c>
      <c r="H67" s="1459" t="e">
        <v>#N/A</v>
      </c>
      <c r="I67" s="1459" t="e">
        <v>#N/A</v>
      </c>
      <c r="J67" s="1459" t="e">
        <v>#N/A</v>
      </c>
      <c r="K67" s="1459" t="e">
        <v>#N/A</v>
      </c>
      <c r="L67" s="1459" t="e">
        <v>#N/A</v>
      </c>
      <c r="M67" s="1459" t="e">
        <v>#N/A</v>
      </c>
      <c r="N67" s="1459" t="e">
        <v>#N/A</v>
      </c>
      <c r="O67" s="1459" t="e">
        <v>#N/A</v>
      </c>
      <c r="P67" s="1475">
        <v>126</v>
      </c>
    </row>
    <row r="68" spans="1:16">
      <c r="A68" s="1452" t="s">
        <v>1893</v>
      </c>
      <c r="B68" s="1474"/>
      <c r="C68" s="1452" t="s">
        <v>462</v>
      </c>
      <c r="D68" s="1459">
        <v>4654</v>
      </c>
      <c r="E68" s="1459">
        <v>158</v>
      </c>
      <c r="F68" s="1459">
        <v>279</v>
      </c>
      <c r="G68" s="1459">
        <v>5091</v>
      </c>
      <c r="H68" s="1459" t="e">
        <v>#N/A</v>
      </c>
      <c r="I68" s="1459" t="e">
        <v>#N/A</v>
      </c>
      <c r="J68" s="1459" t="e">
        <v>#N/A</v>
      </c>
      <c r="K68" s="1459" t="e">
        <v>#N/A</v>
      </c>
      <c r="L68" s="1459" t="e">
        <v>#N/A</v>
      </c>
      <c r="M68" s="1459" t="e">
        <v>#N/A</v>
      </c>
      <c r="N68" s="1459" t="e">
        <v>#N/A</v>
      </c>
      <c r="O68" s="1459" t="e">
        <v>#N/A</v>
      </c>
      <c r="P68" s="1475">
        <v>5091</v>
      </c>
    </row>
    <row r="69" spans="1:16">
      <c r="A69" s="1452" t="s">
        <v>1894</v>
      </c>
      <c r="B69" s="1474"/>
      <c r="C69" s="1452" t="s">
        <v>638</v>
      </c>
      <c r="D69" s="1459">
        <v>1551</v>
      </c>
      <c r="E69" s="1459">
        <v>0</v>
      </c>
      <c r="F69" s="1459">
        <v>76</v>
      </c>
      <c r="G69" s="1459">
        <v>1627</v>
      </c>
      <c r="H69" s="1459" t="e">
        <v>#N/A</v>
      </c>
      <c r="I69" s="1459" t="e">
        <v>#N/A</v>
      </c>
      <c r="J69" s="1459" t="e">
        <v>#N/A</v>
      </c>
      <c r="K69" s="1459" t="e">
        <v>#N/A</v>
      </c>
      <c r="L69" s="1459" t="e">
        <v>#N/A</v>
      </c>
      <c r="M69" s="1459" t="e">
        <v>#N/A</v>
      </c>
      <c r="N69" s="1459" t="e">
        <v>#N/A</v>
      </c>
      <c r="O69" s="1459" t="e">
        <v>#N/A</v>
      </c>
      <c r="P69" s="1475">
        <v>1627</v>
      </c>
    </row>
    <row r="70" spans="1:16">
      <c r="A70" s="1452" t="s">
        <v>1895</v>
      </c>
      <c r="B70" s="1474"/>
      <c r="C70" s="1452" t="s">
        <v>639</v>
      </c>
      <c r="D70" s="1459">
        <v>3103</v>
      </c>
      <c r="E70" s="1459">
        <v>158</v>
      </c>
      <c r="F70" s="1459">
        <v>203</v>
      </c>
      <c r="G70" s="1459">
        <v>3464</v>
      </c>
      <c r="H70" s="1459" t="e">
        <v>#N/A</v>
      </c>
      <c r="I70" s="1459" t="e">
        <v>#N/A</v>
      </c>
      <c r="J70" s="1459" t="e">
        <v>#N/A</v>
      </c>
      <c r="K70" s="1459" t="e">
        <v>#N/A</v>
      </c>
      <c r="L70" s="1459" t="e">
        <v>#N/A</v>
      </c>
      <c r="M70" s="1459" t="e">
        <v>#N/A</v>
      </c>
      <c r="N70" s="1459" t="e">
        <v>#N/A</v>
      </c>
      <c r="O70" s="1459" t="e">
        <v>#N/A</v>
      </c>
      <c r="P70" s="1475">
        <v>3464</v>
      </c>
    </row>
    <row r="71" spans="1:16">
      <c r="A71" s="1452" t="s">
        <v>1869</v>
      </c>
      <c r="B71" s="1474"/>
      <c r="C71" s="1452" t="s">
        <v>631</v>
      </c>
      <c r="D71" s="1459">
        <v>0</v>
      </c>
      <c r="E71" s="1459">
        <v>0</v>
      </c>
      <c r="F71" s="1459">
        <v>0</v>
      </c>
      <c r="G71" s="1459">
        <v>0</v>
      </c>
      <c r="H71" s="1459" t="e">
        <v>#N/A</v>
      </c>
      <c r="I71" s="1459" t="e">
        <v>#N/A</v>
      </c>
      <c r="J71" s="1459" t="e">
        <v>#N/A</v>
      </c>
      <c r="K71" s="1459" t="e">
        <v>#N/A</v>
      </c>
      <c r="L71" s="1459" t="e">
        <v>#N/A</v>
      </c>
      <c r="M71" s="1459" t="e">
        <v>#N/A</v>
      </c>
      <c r="N71" s="1459" t="e">
        <v>#N/A</v>
      </c>
      <c r="O71" s="1459" t="e">
        <v>#N/A</v>
      </c>
      <c r="P71" s="1475">
        <v>0</v>
      </c>
    </row>
    <row r="72" spans="1:16">
      <c r="A72" s="1452" t="s">
        <v>1896</v>
      </c>
      <c r="B72" s="1474"/>
      <c r="C72" s="1452" t="s">
        <v>622</v>
      </c>
      <c r="D72" s="1459">
        <v>84877</v>
      </c>
      <c r="E72" s="1459">
        <v>0</v>
      </c>
      <c r="F72" s="1459">
        <v>19259</v>
      </c>
      <c r="G72" s="1459">
        <v>104136</v>
      </c>
      <c r="H72" s="1459" t="e">
        <v>#N/A</v>
      </c>
      <c r="I72" s="1459" t="e">
        <v>#N/A</v>
      </c>
      <c r="J72" s="1459" t="e">
        <v>#N/A</v>
      </c>
      <c r="K72" s="1459" t="e">
        <v>#N/A</v>
      </c>
      <c r="L72" s="1459" t="e">
        <v>#N/A</v>
      </c>
      <c r="M72" s="1459" t="e">
        <v>#N/A</v>
      </c>
      <c r="N72" s="1459" t="e">
        <v>#N/A</v>
      </c>
      <c r="O72" s="1459" t="e">
        <v>#N/A</v>
      </c>
      <c r="P72" s="1475">
        <v>104136</v>
      </c>
    </row>
    <row r="73" spans="1:16">
      <c r="A73" s="1452" t="s">
        <v>1897</v>
      </c>
      <c r="B73" s="1474"/>
      <c r="C73" s="1452" t="s">
        <v>626</v>
      </c>
      <c r="D73" s="1459">
        <v>137742</v>
      </c>
      <c r="E73" s="1459">
        <v>7086</v>
      </c>
      <c r="F73" s="1459">
        <v>6265</v>
      </c>
      <c r="G73" s="1459">
        <v>151093</v>
      </c>
      <c r="H73" s="1459" t="e">
        <v>#N/A</v>
      </c>
      <c r="I73" s="1459" t="e">
        <v>#N/A</v>
      </c>
      <c r="J73" s="1459" t="e">
        <v>#N/A</v>
      </c>
      <c r="K73" s="1459" t="e">
        <v>#N/A</v>
      </c>
      <c r="L73" s="1459" t="e">
        <v>#N/A</v>
      </c>
      <c r="M73" s="1459" t="e">
        <v>#N/A</v>
      </c>
      <c r="N73" s="1459" t="e">
        <v>#N/A</v>
      </c>
      <c r="O73" s="1459" t="e">
        <v>#N/A</v>
      </c>
      <c r="P73" s="1475">
        <v>151093</v>
      </c>
    </row>
    <row r="74" spans="1:16">
      <c r="A74" s="1454" t="s">
        <v>1157</v>
      </c>
      <c r="B74" s="1473"/>
      <c r="C74" s="1452" t="s">
        <v>1152</v>
      </c>
      <c r="D74" s="1469">
        <v>0</v>
      </c>
      <c r="E74" s="1469">
        <v>0</v>
      </c>
      <c r="F74" s="1469">
        <v>0</v>
      </c>
      <c r="G74" s="1469">
        <v>0</v>
      </c>
      <c r="H74" s="1469" t="e">
        <v>#N/A</v>
      </c>
      <c r="I74" s="1469" t="e">
        <v>#N/A</v>
      </c>
      <c r="J74" s="1469" t="e">
        <v>#N/A</v>
      </c>
      <c r="K74" s="1469" t="e">
        <v>#N/A</v>
      </c>
      <c r="L74" s="1469" t="e">
        <v>#N/A</v>
      </c>
      <c r="M74" s="1469" t="e">
        <v>#N/A</v>
      </c>
      <c r="N74" s="1469" t="e">
        <v>#N/A</v>
      </c>
      <c r="O74" s="1469" t="e">
        <v>#N/A</v>
      </c>
      <c r="P74" s="1470">
        <v>0</v>
      </c>
    </row>
    <row r="75" spans="1:16">
      <c r="A75" s="1456" t="s">
        <v>1689</v>
      </c>
      <c r="B75" s="1471"/>
      <c r="C75" s="1471"/>
      <c r="D75" s="1460">
        <v>222619</v>
      </c>
      <c r="E75" s="1460">
        <v>7086</v>
      </c>
      <c r="F75" s="1460">
        <v>25524</v>
      </c>
      <c r="G75" s="1476">
        <v>255229</v>
      </c>
      <c r="H75" s="1460" t="e">
        <v>#N/A</v>
      </c>
      <c r="I75" s="1460" t="e">
        <v>#N/A</v>
      </c>
      <c r="J75" s="1460" t="e">
        <v>#N/A</v>
      </c>
      <c r="K75" s="1476" t="e">
        <v>#N/A</v>
      </c>
      <c r="L75" s="1460" t="e">
        <v>#N/A</v>
      </c>
      <c r="M75" s="1460" t="e">
        <v>#N/A</v>
      </c>
      <c r="N75" s="1460" t="e">
        <v>#N/A</v>
      </c>
      <c r="O75" s="1476" t="e">
        <v>#N/A</v>
      </c>
      <c r="P75" s="1460">
        <v>255229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8"/>
  <sheetViews>
    <sheetView view="pageBreakPreview" zoomScale="90" zoomScaleNormal="100" zoomScaleSheetLayoutView="90" workbookViewId="0">
      <selection activeCell="M9" sqref="M9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6.25" style="1704" bestFit="1" customWidth="1"/>
    <col min="26" max="26" width="7" style="1704" bestFit="1" customWidth="1"/>
    <col min="27" max="27" width="5.37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2252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/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146"/>
      <c r="H6" s="2146"/>
      <c r="I6" s="2146"/>
      <c r="K6" s="1709"/>
      <c r="L6" s="1701"/>
      <c r="M6" s="1709"/>
      <c r="O6" s="2146"/>
      <c r="P6" s="2146"/>
      <c r="Q6" s="2146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216</v>
      </c>
      <c r="E9" s="1718" t="s">
        <v>2334</v>
      </c>
      <c r="G9" s="1719" t="s">
        <v>1399</v>
      </c>
      <c r="I9" s="1720" t="s">
        <v>465</v>
      </c>
      <c r="K9" s="1717" t="s">
        <v>216</v>
      </c>
      <c r="M9" s="1718" t="s">
        <v>2334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15.12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19.850000000000001</v>
      </c>
      <c r="F10" s="1708"/>
      <c r="G10" s="1722">
        <f t="shared" ref="G10:G14" si="0">E10-C10</f>
        <v>4.7300000000000022</v>
      </c>
      <c r="I10" s="1723">
        <f t="shared" ref="I10:I14" si="1">ROUND(IF(C10=0,0,E10/C10-1),3)</f>
        <v>0.313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15.12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18.739999999999998</v>
      </c>
      <c r="N10" s="1708"/>
      <c r="O10" s="1722">
        <f t="shared" ref="O10:O15" si="2">M10-K10</f>
        <v>3.6199999999999992</v>
      </c>
      <c r="Q10" s="1723">
        <f t="shared" ref="Q10:Q15" si="3">ROUND(IF(K10=0,0,M10/K10-1),3)</f>
        <v>0.23899999999999999</v>
      </c>
      <c r="S10" s="1724" t="s">
        <v>448</v>
      </c>
      <c r="T10" s="1725" t="s">
        <v>216</v>
      </c>
      <c r="U10" s="1726" t="s">
        <v>2334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24.08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29.55</v>
      </c>
      <c r="F11" s="1708"/>
      <c r="G11" s="1722">
        <f t="shared" si="0"/>
        <v>5.4700000000000024</v>
      </c>
      <c r="I11" s="1723">
        <f t="shared" si="1"/>
        <v>0.22700000000000001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24.08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27.32</v>
      </c>
      <c r="N11" s="1708"/>
      <c r="O11" s="1722">
        <f t="shared" si="2"/>
        <v>3.240000000000002</v>
      </c>
      <c r="Q11" s="1723">
        <f t="shared" si="3"/>
        <v>0.13500000000000001</v>
      </c>
      <c r="S11" s="1731" t="s">
        <v>79</v>
      </c>
      <c r="T11" s="1702"/>
      <c r="U11" s="1732"/>
      <c r="W11" s="1702"/>
      <c r="X11" s="1733" t="s">
        <v>111</v>
      </c>
      <c r="Y11" s="1733" t="s">
        <v>216</v>
      </c>
      <c r="Z11" s="1733" t="s">
        <v>1367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33.04</v>
      </c>
      <c r="E12" s="1708">
        <f t="shared" si="5"/>
        <v>39.24</v>
      </c>
      <c r="F12" s="1708"/>
      <c r="G12" s="1722">
        <f t="shared" si="0"/>
        <v>6.2000000000000028</v>
      </c>
      <c r="I12" s="1723">
        <f t="shared" si="1"/>
        <v>0.188</v>
      </c>
      <c r="K12" s="1708">
        <f t="shared" si="6"/>
        <v>33.04</v>
      </c>
      <c r="M12" s="1708">
        <f t="shared" si="7"/>
        <v>35.9</v>
      </c>
      <c r="N12" s="1708"/>
      <c r="O12" s="1722">
        <f t="shared" si="2"/>
        <v>2.8599999999999994</v>
      </c>
      <c r="Q12" s="1723">
        <f t="shared" si="3"/>
        <v>8.6999999999999994E-2</v>
      </c>
      <c r="S12" s="1736" t="s">
        <v>1711</v>
      </c>
      <c r="T12" s="1737">
        <v>6</v>
      </c>
      <c r="U12" s="1738">
        <f>'Blocking-Step2'!Q13</f>
        <v>10</v>
      </c>
      <c r="V12" s="1739"/>
      <c r="W12" s="1740" t="s">
        <v>79</v>
      </c>
      <c r="X12" s="1741">
        <v>931</v>
      </c>
      <c r="Y12" s="1742">
        <f>C21</f>
        <v>104.05</v>
      </c>
      <c r="Z12" s="1742">
        <f>E21</f>
        <v>115.01</v>
      </c>
      <c r="AA12" s="1742">
        <f>Z12-Y12</f>
        <v>10.960000000000008</v>
      </c>
      <c r="AB12" s="1743">
        <f>Z12/Y12-1</f>
        <v>0.10533397405093714</v>
      </c>
    </row>
    <row r="13" spans="1:28">
      <c r="A13" s="1707">
        <v>400</v>
      </c>
      <c r="C13" s="1708">
        <f t="shared" si="4"/>
        <v>42</v>
      </c>
      <c r="E13" s="1708">
        <f t="shared" si="5"/>
        <v>48.94</v>
      </c>
      <c r="F13" s="1708"/>
      <c r="G13" s="1722">
        <f t="shared" si="0"/>
        <v>6.9399999999999977</v>
      </c>
      <c r="I13" s="1723">
        <f t="shared" si="1"/>
        <v>0.16500000000000001</v>
      </c>
      <c r="K13" s="1708">
        <f t="shared" si="6"/>
        <v>42</v>
      </c>
      <c r="M13" s="1708">
        <f t="shared" si="7"/>
        <v>44.48</v>
      </c>
      <c r="N13" s="1708"/>
      <c r="O13" s="1722">
        <f t="shared" si="2"/>
        <v>2.4799999999999969</v>
      </c>
      <c r="Q13" s="1723">
        <f t="shared" si="3"/>
        <v>5.8999999999999997E-2</v>
      </c>
      <c r="S13" s="1736" t="s">
        <v>1712</v>
      </c>
      <c r="T13" s="1744">
        <v>8.8498000000000001</v>
      </c>
      <c r="U13" s="1745">
        <f>'Blocking-Step2'!Q29</f>
        <v>9.4980863008434291</v>
      </c>
      <c r="V13" s="1739"/>
      <c r="W13" s="1746" t="s">
        <v>80</v>
      </c>
      <c r="X13" s="1741">
        <v>697</v>
      </c>
      <c r="Y13" s="1742">
        <f>K16</f>
        <v>74.19</v>
      </c>
      <c r="Z13" s="1742">
        <f>M16</f>
        <v>77.180000000000007</v>
      </c>
      <c r="AA13" s="1742">
        <f>Z13-Y13</f>
        <v>2.9900000000000091</v>
      </c>
      <c r="AB13" s="1747">
        <f>Z13/Y13-1</f>
        <v>4.0301927483488376E-2</v>
      </c>
    </row>
    <row r="14" spans="1:28">
      <c r="A14" s="1707">
        <v>500</v>
      </c>
      <c r="C14" s="1708">
        <f t="shared" si="4"/>
        <v>53.68</v>
      </c>
      <c r="E14" s="1708">
        <f t="shared" si="5"/>
        <v>61.38</v>
      </c>
      <c r="F14" s="1708"/>
      <c r="G14" s="1722">
        <f t="shared" si="0"/>
        <v>7.7000000000000028</v>
      </c>
      <c r="I14" s="1723">
        <f t="shared" si="1"/>
        <v>0.14299999999999999</v>
      </c>
      <c r="K14" s="1708">
        <f t="shared" si="6"/>
        <v>52.84</v>
      </c>
      <c r="M14" s="1708">
        <f t="shared" si="7"/>
        <v>55.49</v>
      </c>
      <c r="N14" s="1708"/>
      <c r="O14" s="1722">
        <f t="shared" si="2"/>
        <v>2.6499999999999986</v>
      </c>
      <c r="Q14" s="1723">
        <f t="shared" si="3"/>
        <v>0.05</v>
      </c>
      <c r="S14" s="1736" t="s">
        <v>1713</v>
      </c>
      <c r="T14" s="1744">
        <v>11.542899999999999</v>
      </c>
      <c r="U14" s="1745">
        <f>'Blocking-Step2'!Q30</f>
        <v>12.191186300843428</v>
      </c>
      <c r="V14" s="1739"/>
      <c r="W14" s="1748" t="s">
        <v>494</v>
      </c>
      <c r="X14" s="1749">
        <v>775</v>
      </c>
      <c r="Y14" s="1750">
        <f>(C18*5+K18*7)/12</f>
        <v>83.970833333333346</v>
      </c>
      <c r="Z14" s="1750">
        <f>(E18*4+M18*8)/12</f>
        <v>89.046666666666667</v>
      </c>
      <c r="AA14" s="1750">
        <f>Z14-Y14</f>
        <v>5.0758333333333212</v>
      </c>
      <c r="AB14" s="1751">
        <f>Z14/Y14-1</f>
        <v>6.044757604326878E-2</v>
      </c>
    </row>
    <row r="15" spans="1:28">
      <c r="A15" s="1707">
        <v>600</v>
      </c>
      <c r="C15" s="1708">
        <f t="shared" si="4"/>
        <v>65.37</v>
      </c>
      <c r="E15" s="1708">
        <f t="shared" si="5"/>
        <v>73.819999999999993</v>
      </c>
      <c r="F15" s="1708"/>
      <c r="G15" s="1722">
        <f t="shared" ref="G15" si="8">E15-C15</f>
        <v>8.4499999999999886</v>
      </c>
      <c r="I15" s="1723">
        <f t="shared" ref="I15" si="9">ROUND(IF(C15=0,0,E15/C15-1),3)</f>
        <v>0.129</v>
      </c>
      <c r="K15" s="1708">
        <f t="shared" si="6"/>
        <v>63.68</v>
      </c>
      <c r="M15" s="1708">
        <f t="shared" si="7"/>
        <v>66.5</v>
      </c>
      <c r="N15" s="1708"/>
      <c r="O15" s="1722">
        <f t="shared" si="2"/>
        <v>2.8200000000000003</v>
      </c>
      <c r="Q15" s="1723">
        <f t="shared" si="3"/>
        <v>4.3999999999999997E-2</v>
      </c>
      <c r="S15" s="1736" t="s">
        <v>1714</v>
      </c>
      <c r="T15" s="1744">
        <v>14.450799999999999</v>
      </c>
      <c r="U15" s="1745">
        <f>U14</f>
        <v>12.191186300843428</v>
      </c>
      <c r="V15" s="1739"/>
      <c r="W15" s="1748" t="s">
        <v>494</v>
      </c>
      <c r="X15" s="1749">
        <v>800</v>
      </c>
      <c r="Y15" s="1750">
        <f>(C19*5+K19*7)/12</f>
        <v>86.768333333333331</v>
      </c>
      <c r="Z15" s="1750">
        <f>(E19*4+M19*8)/12</f>
        <v>91.916666666666671</v>
      </c>
      <c r="AA15" s="1750">
        <f>Z15-Y15</f>
        <v>5.1483333333333405</v>
      </c>
      <c r="AB15" s="1751">
        <f>Z15/Y15-1</f>
        <v>5.933424252319397E-2</v>
      </c>
    </row>
    <row r="16" spans="1:28">
      <c r="A16" s="1707">
        <f>X13</f>
        <v>697</v>
      </c>
      <c r="B16" s="1704" t="s">
        <v>1716</v>
      </c>
      <c r="F16" s="1708"/>
      <c r="G16" s="1722"/>
      <c r="I16" s="1723"/>
      <c r="K16" s="1708">
        <f t="shared" si="6"/>
        <v>74.19</v>
      </c>
      <c r="M16" s="1708">
        <f t="shared" si="7"/>
        <v>77.180000000000007</v>
      </c>
      <c r="N16" s="1708"/>
      <c r="O16" s="1722">
        <f>M16-K16</f>
        <v>2.9900000000000091</v>
      </c>
      <c r="Q16" s="1723">
        <f>ROUND(IF(K16=0,0,M16/K16-1),3)</f>
        <v>0.04</v>
      </c>
      <c r="S16" s="1736" t="s">
        <v>1715</v>
      </c>
      <c r="T16" s="1737">
        <v>8</v>
      </c>
      <c r="U16" s="1738"/>
      <c r="V16" s="1739"/>
      <c r="X16" s="1702"/>
      <c r="AB16" s="1752"/>
    </row>
    <row r="17" spans="1:24">
      <c r="A17" s="1707">
        <v>700</v>
      </c>
      <c r="C17" s="1708">
        <f t="shared" ref="C17:C31" si="10">ROUND($T$12+((MIN(400,$A17)*$T$13+MAX(0,MIN(600,$A17-400))*$T$14+MAX(0,$A17-1000)*$T$15)/100+MAX(0,$T$16-($T$12+(MIN(400,$A17)*$T$13+MAX(0,MIN(600,$A17-400))*$T$14+MAX(0,$A17-1000)*$T$15)/100)))*((1+$T$32)*(1+$T$18)+$T$27)+$T$17,2)</f>
        <v>77.05</v>
      </c>
      <c r="E17" s="1708">
        <f t="shared" ref="E17:E31" si="11">ROUND($U$12+((MIN(400,$A17)*$U$13+MAX(0,MIN(600,$A17-400))*$U$14+MAX(0,$A17-1000)*$U$15)/100+MAX(0,$U$16-($U$12+(MIN(400,$A17)*$U$13+MAX(0,MIN(600,$A17-400))*$U$14+MAX(0,$A17-1000)*$U$15)/100)))*((1+$U$32)*(1+$U$18)+$U$27)+$U$17,2)</f>
        <v>86.27</v>
      </c>
      <c r="F17" s="1708"/>
      <c r="G17" s="1722">
        <f>E17-C17</f>
        <v>9.2199999999999989</v>
      </c>
      <c r="I17" s="1723">
        <f>ROUND(IF(C17=0,0,E17/C17-1),3)</f>
        <v>0.12</v>
      </c>
      <c r="K17" s="1708">
        <f t="shared" si="6"/>
        <v>74.52</v>
      </c>
      <c r="M17" s="1708">
        <f t="shared" si="7"/>
        <v>77.510000000000005</v>
      </c>
      <c r="N17" s="1708"/>
      <c r="O17" s="1722">
        <f>M17-K17</f>
        <v>2.9900000000000091</v>
      </c>
      <c r="Q17" s="1723">
        <f>ROUND(IF(K17=0,0,M17/K17-1),3)</f>
        <v>0.04</v>
      </c>
      <c r="S17" s="1736" t="s">
        <v>1133</v>
      </c>
      <c r="T17" s="1737">
        <v>0.16</v>
      </c>
      <c r="U17" s="1738">
        <f>T17</f>
        <v>0.16</v>
      </c>
      <c r="V17" s="1739"/>
      <c r="W17" s="1753"/>
      <c r="X17" s="1753"/>
    </row>
    <row r="18" spans="1:24">
      <c r="A18" s="1707">
        <f>X14</f>
        <v>775</v>
      </c>
      <c r="B18" s="1704" t="s">
        <v>1717</v>
      </c>
      <c r="C18" s="1708">
        <f t="shared" si="10"/>
        <v>85.82</v>
      </c>
      <c r="E18" s="1708">
        <f t="shared" si="11"/>
        <v>95.6</v>
      </c>
      <c r="F18" s="1708"/>
      <c r="G18" s="1722">
        <f>E18-C18</f>
        <v>9.7800000000000011</v>
      </c>
      <c r="I18" s="1723">
        <f>ROUND(IF(C18=0,0,E18/C18-1),3)</f>
        <v>0.114</v>
      </c>
      <c r="K18" s="1708">
        <f t="shared" si="6"/>
        <v>82.65</v>
      </c>
      <c r="M18" s="1708">
        <f t="shared" si="7"/>
        <v>85.77</v>
      </c>
      <c r="N18" s="1708"/>
      <c r="O18" s="1722">
        <f>M18-K18</f>
        <v>3.1199999999999903</v>
      </c>
      <c r="Q18" s="1723">
        <f>ROUND(IF(K18=0,0,M18/K18-1),3)</f>
        <v>3.7999999999999999E-2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800</v>
      </c>
      <c r="C19" s="1708">
        <f t="shared" si="10"/>
        <v>88.74</v>
      </c>
      <c r="E19" s="1708">
        <f t="shared" si="11"/>
        <v>98.71</v>
      </c>
      <c r="F19" s="1708"/>
      <c r="G19" s="1722">
        <f>E19-C19</f>
        <v>9.9699999999999989</v>
      </c>
      <c r="I19" s="1723">
        <f>ROUND(IF(C19=0,0,E19/C19-1),3)</f>
        <v>0.112</v>
      </c>
      <c r="K19" s="1708">
        <f t="shared" si="6"/>
        <v>85.36</v>
      </c>
      <c r="M19" s="1708">
        <f t="shared" si="7"/>
        <v>88.52</v>
      </c>
      <c r="N19" s="1708"/>
      <c r="O19" s="1722">
        <f>M19-K19</f>
        <v>3.1599999999999966</v>
      </c>
      <c r="Q19" s="1723">
        <f>ROUND(IF(K19=0,0,M19/K19-1),3)</f>
        <v>3.6999999999999998E-2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900</v>
      </c>
      <c r="C20" s="1708">
        <f t="shared" si="10"/>
        <v>100.42</v>
      </c>
      <c r="E20" s="1708">
        <f t="shared" si="11"/>
        <v>111.15</v>
      </c>
      <c r="F20" s="1708"/>
      <c r="G20" s="1722">
        <f t="shared" ref="G20:G31" si="12">E20-C20</f>
        <v>10.730000000000004</v>
      </c>
      <c r="I20" s="1723">
        <f t="shared" ref="I20:I31" si="13">ROUND(IF(C20=0,0,E20/C20-1),3)</f>
        <v>0.107</v>
      </c>
      <c r="K20" s="1708">
        <f t="shared" si="6"/>
        <v>96.19</v>
      </c>
      <c r="M20" s="1708">
        <f t="shared" si="7"/>
        <v>99.53</v>
      </c>
      <c r="N20" s="1708"/>
      <c r="O20" s="1722">
        <f>M20-K20</f>
        <v>3.3400000000000034</v>
      </c>
      <c r="Q20" s="1723">
        <f>ROUND(IF(K20=0,0,M20/K20-1),3)</f>
        <v>3.5000000000000003E-2</v>
      </c>
      <c r="S20" s="1736" t="s">
        <v>1711</v>
      </c>
      <c r="T20" s="1737">
        <v>6</v>
      </c>
      <c r="U20" s="1738">
        <f>U12</f>
        <v>10</v>
      </c>
      <c r="V20" s="1739"/>
      <c r="W20" s="1753"/>
      <c r="X20" s="1753"/>
    </row>
    <row r="21" spans="1:24">
      <c r="A21" s="1707">
        <f>X12</f>
        <v>931</v>
      </c>
      <c r="B21" s="1704" t="s">
        <v>1719</v>
      </c>
      <c r="C21" s="1708">
        <f t="shared" si="10"/>
        <v>104.05</v>
      </c>
      <c r="E21" s="1708">
        <f t="shared" si="11"/>
        <v>115.01</v>
      </c>
      <c r="F21" s="1708"/>
      <c r="G21" s="1722">
        <f t="shared" si="12"/>
        <v>10.960000000000008</v>
      </c>
      <c r="I21" s="1723">
        <f t="shared" si="13"/>
        <v>0.105</v>
      </c>
      <c r="N21" s="1708"/>
      <c r="O21" s="1722"/>
      <c r="Q21" s="1723"/>
      <c r="S21" s="1736" t="s">
        <v>1712</v>
      </c>
      <c r="T21" s="1758">
        <v>8.8498000000000001</v>
      </c>
      <c r="U21" s="1745">
        <f>'Blocking-Step2'!Q32</f>
        <v>8.4053861069410001</v>
      </c>
      <c r="V21" s="1739"/>
      <c r="W21" s="1753"/>
      <c r="X21" s="1753"/>
    </row>
    <row r="22" spans="1:24">
      <c r="A22" s="1707">
        <v>1000</v>
      </c>
      <c r="C22" s="1708">
        <f t="shared" si="10"/>
        <v>112.11</v>
      </c>
      <c r="E22" s="1708">
        <f t="shared" si="11"/>
        <v>123.6</v>
      </c>
      <c r="F22" s="1708"/>
      <c r="G22" s="1722">
        <f t="shared" si="12"/>
        <v>11.489999999999995</v>
      </c>
      <c r="I22" s="1723">
        <f t="shared" si="13"/>
        <v>0.10199999999999999</v>
      </c>
      <c r="K22" s="1708">
        <f t="shared" ref="K22:K30" si="14">ROUND($T$20+((MIN(400,$A22)*$T$21+MAX(0,MIN(600,$A22-400))*$T$22+MAX(0,$A22-1000)*$T$23)/100+MAX(0,$T$24-($T$20+(MIN(400,$A22)*$T$21+MAX(0,MIN(600,$A22-400))*$T$22+MAX(0,$A22-1000)*$T$23)/100)))*((1+$T$32)*(1+$T$26)+$T$27)+$T$25,2)</f>
        <v>107.03</v>
      </c>
      <c r="M22" s="1708">
        <f t="shared" ref="M22:M30" si="15">ROUND($U$20+((MIN(400,$A22)*$U$21+MAX(0,MIN(600,$A22-400))*$U$22+MAX(0,$A22-1000)*$U$23)/100+MAX(0,$U$24-($U$20+(MIN(400,$A22)*$U$21+MAX(0,MIN(600,$A22-400))*$U$22+MAX(0,$A22-1000)*$U$23)/100)))*((1+$U$32)*(1+$U$26)+$U$27)+$U$25,2)</f>
        <v>110.55</v>
      </c>
      <c r="N22" s="1708"/>
      <c r="O22" s="1722">
        <f t="shared" ref="O22:O31" si="16">M22-K22</f>
        <v>3.519999999999996</v>
      </c>
      <c r="Q22" s="1723">
        <f t="shared" ref="Q22:Q31" si="17">ROUND(IF(K22=0,0,M22/K22-1),3)</f>
        <v>3.3000000000000002E-2</v>
      </c>
      <c r="S22" s="1736" t="s">
        <v>1713</v>
      </c>
      <c r="T22" s="1758">
        <v>10.7072</v>
      </c>
      <c r="U22" s="1745">
        <f>'Blocking-Step2'!Q33</f>
        <v>10.788660443224</v>
      </c>
      <c r="V22" s="1739"/>
      <c r="W22" s="1753"/>
      <c r="X22" s="1753"/>
    </row>
    <row r="23" spans="1:24">
      <c r="A23" s="1707">
        <v>1100</v>
      </c>
      <c r="C23" s="1708">
        <f t="shared" si="10"/>
        <v>126.74</v>
      </c>
      <c r="E23" s="1708">
        <f t="shared" si="11"/>
        <v>136.04</v>
      </c>
      <c r="F23" s="1708"/>
      <c r="G23" s="1722">
        <f t="shared" si="12"/>
        <v>9.2999999999999972</v>
      </c>
      <c r="I23" s="1723">
        <f t="shared" si="13"/>
        <v>7.2999999999999995E-2</v>
      </c>
      <c r="K23" s="1708">
        <f t="shared" si="14"/>
        <v>117.87</v>
      </c>
      <c r="M23" s="1708">
        <f t="shared" si="15"/>
        <v>121.56</v>
      </c>
      <c r="N23" s="1708"/>
      <c r="O23" s="1722">
        <f t="shared" si="16"/>
        <v>3.6899999999999977</v>
      </c>
      <c r="Q23" s="1723">
        <f t="shared" si="17"/>
        <v>3.1E-2</v>
      </c>
      <c r="S23" s="1736" t="s">
        <v>1714</v>
      </c>
      <c r="T23" s="1758">
        <v>10.7072</v>
      </c>
      <c r="U23" s="1745">
        <f>U22</f>
        <v>10.788660443224</v>
      </c>
      <c r="V23" s="1739"/>
      <c r="W23" s="1753"/>
      <c r="X23" s="1753"/>
    </row>
    <row r="24" spans="1:24">
      <c r="A24" s="1707">
        <v>1200</v>
      </c>
      <c r="C24" s="1708">
        <f t="shared" si="10"/>
        <v>141.37</v>
      </c>
      <c r="E24" s="1708">
        <f t="shared" si="11"/>
        <v>148.47999999999999</v>
      </c>
      <c r="F24" s="1708"/>
      <c r="G24" s="1722">
        <f t="shared" si="12"/>
        <v>7.1099999999999852</v>
      </c>
      <c r="I24" s="1723">
        <f t="shared" si="13"/>
        <v>0.05</v>
      </c>
      <c r="K24" s="1708">
        <f t="shared" si="14"/>
        <v>128.71</v>
      </c>
      <c r="M24" s="1708">
        <f t="shared" si="15"/>
        <v>132.57</v>
      </c>
      <c r="N24" s="1708"/>
      <c r="O24" s="1722">
        <f t="shared" si="16"/>
        <v>3.8599999999999852</v>
      </c>
      <c r="Q24" s="1723">
        <f t="shared" si="17"/>
        <v>0.03</v>
      </c>
      <c r="S24" s="1736" t="s">
        <v>1715</v>
      </c>
      <c r="T24" s="1737">
        <v>8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156</v>
      </c>
      <c r="E25" s="1708">
        <f t="shared" si="11"/>
        <v>160.93</v>
      </c>
      <c r="F25" s="1708"/>
      <c r="G25" s="1722">
        <f t="shared" si="12"/>
        <v>4.9300000000000068</v>
      </c>
      <c r="I25" s="1723">
        <f t="shared" si="13"/>
        <v>3.2000000000000001E-2</v>
      </c>
      <c r="K25" s="1708">
        <f t="shared" si="14"/>
        <v>139.55000000000001</v>
      </c>
      <c r="M25" s="1708">
        <f t="shared" si="15"/>
        <v>143.58000000000001</v>
      </c>
      <c r="N25" s="1708"/>
      <c r="O25" s="1722">
        <f t="shared" si="16"/>
        <v>4.0300000000000011</v>
      </c>
      <c r="Q25" s="1723">
        <f t="shared" si="17"/>
        <v>2.9000000000000001E-2</v>
      </c>
      <c r="S25" s="1736" t="s">
        <v>1133</v>
      </c>
      <c r="T25" s="1737"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170.63</v>
      </c>
      <c r="E26" s="1708">
        <f t="shared" si="11"/>
        <v>173.37</v>
      </c>
      <c r="F26" s="1708"/>
      <c r="G26" s="1722">
        <f t="shared" si="12"/>
        <v>2.7400000000000091</v>
      </c>
      <c r="I26" s="1723">
        <f t="shared" si="13"/>
        <v>1.6E-2</v>
      </c>
      <c r="K26" s="1708">
        <f t="shared" si="14"/>
        <v>150.38999999999999</v>
      </c>
      <c r="M26" s="1708">
        <f t="shared" si="15"/>
        <v>154.59</v>
      </c>
      <c r="N26" s="1708"/>
      <c r="O26" s="1722">
        <f t="shared" si="16"/>
        <v>4.2000000000000171</v>
      </c>
      <c r="Q26" s="1723">
        <f t="shared" si="17"/>
        <v>2.8000000000000001E-2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185.26</v>
      </c>
      <c r="E27" s="1708">
        <f t="shared" si="11"/>
        <v>185.81</v>
      </c>
      <c r="F27" s="1708"/>
      <c r="G27" s="1722">
        <f t="shared" si="12"/>
        <v>0.55000000000001137</v>
      </c>
      <c r="I27" s="1723">
        <f t="shared" si="13"/>
        <v>3.0000000000000001E-3</v>
      </c>
      <c r="K27" s="1708">
        <f t="shared" si="14"/>
        <v>161.22999999999999</v>
      </c>
      <c r="M27" s="1708">
        <f t="shared" si="15"/>
        <v>165.6</v>
      </c>
      <c r="N27" s="1708"/>
      <c r="O27" s="1722">
        <f t="shared" si="16"/>
        <v>4.3700000000000045</v>
      </c>
      <c r="Q27" s="1723">
        <f t="shared" si="17"/>
        <v>2.7E-2</v>
      </c>
      <c r="S27" s="1762" t="s">
        <v>1720</v>
      </c>
      <c r="T27" s="1763">
        <v>-3.9100000000000003E-2</v>
      </c>
      <c r="U27" s="1764">
        <f>'Blocking-Step2'!Q43</f>
        <v>-3.0800000000000001E-2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258.39999999999998</v>
      </c>
      <c r="E28" s="1708">
        <f t="shared" si="11"/>
        <v>248.03</v>
      </c>
      <c r="F28" s="1708"/>
      <c r="G28" s="1722">
        <f t="shared" si="12"/>
        <v>-10.369999999999976</v>
      </c>
      <c r="I28" s="1723">
        <f t="shared" si="13"/>
        <v>-0.04</v>
      </c>
      <c r="K28" s="1708">
        <f t="shared" si="14"/>
        <v>215.43</v>
      </c>
      <c r="M28" s="1708">
        <f t="shared" si="15"/>
        <v>220.66</v>
      </c>
      <c r="N28" s="1708"/>
      <c r="O28" s="1722">
        <f t="shared" si="16"/>
        <v>5.2299999999999898</v>
      </c>
      <c r="Q28" s="1723">
        <f t="shared" si="17"/>
        <v>2.4E-2</v>
      </c>
      <c r="S28" s="1736" t="s">
        <v>1721</v>
      </c>
      <c r="T28" s="1765"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404.7</v>
      </c>
      <c r="E29" s="1708">
        <f t="shared" si="11"/>
        <v>372.46</v>
      </c>
      <c r="F29" s="1708"/>
      <c r="G29" s="1722">
        <f t="shared" si="12"/>
        <v>-32.240000000000009</v>
      </c>
      <c r="I29" s="1723">
        <f t="shared" si="13"/>
        <v>-0.08</v>
      </c>
      <c r="K29" s="1708">
        <f t="shared" si="14"/>
        <v>323.83</v>
      </c>
      <c r="M29" s="1708">
        <f t="shared" si="15"/>
        <v>330.78</v>
      </c>
      <c r="N29" s="1708"/>
      <c r="O29" s="1722">
        <f t="shared" si="16"/>
        <v>6.9499999999999886</v>
      </c>
      <c r="Q29" s="1723">
        <f t="shared" si="17"/>
        <v>2.1000000000000001E-2</v>
      </c>
      <c r="S29" s="1736" t="s">
        <v>1722</v>
      </c>
      <c r="T29" s="1765"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550.99</v>
      </c>
      <c r="E30" s="1708">
        <f t="shared" si="11"/>
        <v>496.89</v>
      </c>
      <c r="F30" s="1708"/>
      <c r="G30" s="1722">
        <f t="shared" si="12"/>
        <v>-54.100000000000023</v>
      </c>
      <c r="I30" s="1723">
        <f t="shared" si="13"/>
        <v>-9.8000000000000004E-2</v>
      </c>
      <c r="K30" s="1708">
        <f t="shared" si="14"/>
        <v>432.22</v>
      </c>
      <c r="M30" s="1708">
        <f t="shared" si="15"/>
        <v>440.89</v>
      </c>
      <c r="N30" s="1708"/>
      <c r="O30" s="1722">
        <f t="shared" si="16"/>
        <v>8.6699999999999591</v>
      </c>
      <c r="Q30" s="1723">
        <f t="shared" si="17"/>
        <v>0.02</v>
      </c>
      <c r="S30" s="1736" t="s">
        <v>1685</v>
      </c>
      <c r="T30" s="1765"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697.29</v>
      </c>
      <c r="E31" s="1708">
        <f t="shared" si="11"/>
        <v>621.32000000000005</v>
      </c>
      <c r="F31" s="1708"/>
      <c r="G31" s="1722">
        <f t="shared" si="12"/>
        <v>-75.969999999999914</v>
      </c>
      <c r="I31" s="1723">
        <f t="shared" si="13"/>
        <v>-0.109</v>
      </c>
      <c r="K31" s="1708">
        <f>ROUND($T$20+((MIN(400,$A31)*$T$21+MAX(0,MIN(600,$A31-400))*$T$22+MAX(0,$A31-1000)*$T$23)/100+MAX(0,$T$24-($T$20+(MIN(400,$A31)*$T$21+MAX(0,MIN(600,$A31-400))*$T$22+MAX(0,$A31-1000)*$T$23)/100)))*((1+$T$32)*(1+$T$26)+$T$27)+$T$25,2)</f>
        <v>540.62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551.01</v>
      </c>
      <c r="N31" s="1708"/>
      <c r="O31" s="1722">
        <f t="shared" si="16"/>
        <v>10.389999999999986</v>
      </c>
      <c r="Q31" s="1723">
        <f t="shared" si="17"/>
        <v>1.9E-2</v>
      </c>
      <c r="S31" s="1736" t="s">
        <v>1686</v>
      </c>
      <c r="T31" s="1765"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 ht="15.75">
      <c r="A34" s="1770" t="s">
        <v>1723</v>
      </c>
      <c r="W34" s="1753"/>
      <c r="X34" s="1753"/>
    </row>
    <row r="35" spans="1:28">
      <c r="A35" s="1707" t="s">
        <v>1724</v>
      </c>
      <c r="W35" s="1753"/>
      <c r="X35" s="1753"/>
    </row>
    <row r="36" spans="1:28">
      <c r="A36" s="1771"/>
      <c r="B36" s="1702"/>
      <c r="C36" s="1772"/>
      <c r="D36" s="1702"/>
      <c r="E36" s="1772"/>
      <c r="F36" s="1702"/>
      <c r="G36" s="1773"/>
      <c r="H36" s="1702"/>
      <c r="I36" s="1702"/>
      <c r="J36" s="1702"/>
      <c r="K36" s="1772"/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8"/>
  <sheetViews>
    <sheetView view="pageBreakPreview" topLeftCell="A4" zoomScale="90" zoomScaleNormal="100" zoomScaleSheetLayoutView="90" workbookViewId="0">
      <selection activeCell="E9" sqref="E9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5.625" style="1704" bestFit="1" customWidth="1"/>
    <col min="26" max="26" width="7" style="1704" bestFit="1" customWidth="1"/>
    <col min="27" max="27" width="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2253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/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146"/>
      <c r="H6" s="2146"/>
      <c r="I6" s="2146"/>
      <c r="K6" s="1709"/>
      <c r="L6" s="1701"/>
      <c r="M6" s="1709"/>
      <c r="O6" s="2146"/>
      <c r="P6" s="2146"/>
      <c r="Q6" s="2146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216</v>
      </c>
      <c r="E9" s="1718" t="s">
        <v>2334</v>
      </c>
      <c r="G9" s="1719" t="s">
        <v>1399</v>
      </c>
      <c r="I9" s="1720" t="s">
        <v>465</v>
      </c>
      <c r="K9" s="1717" t="s">
        <v>216</v>
      </c>
      <c r="M9" s="1718" t="s">
        <v>2334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15.12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15.85</v>
      </c>
      <c r="F10" s="1708"/>
      <c r="G10" s="1722">
        <f t="shared" ref="G10:G14" si="0">E10-C10</f>
        <v>0.73000000000000043</v>
      </c>
      <c r="I10" s="1723">
        <f t="shared" ref="I10:I14" si="1">ROUND(IF(C10=0,0,E10/C10-1),3)</f>
        <v>4.8000000000000001E-2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15.12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14.74</v>
      </c>
      <c r="N10" s="1708"/>
      <c r="O10" s="1722">
        <f t="shared" ref="O10:O12" si="2">M10-K10</f>
        <v>-0.37999999999999901</v>
      </c>
      <c r="Q10" s="1723">
        <f t="shared" ref="Q10:Q12" si="3">ROUND(IF(K10=0,0,M10/K10-1),3)</f>
        <v>-2.5000000000000001E-2</v>
      </c>
      <c r="S10" s="1724" t="s">
        <v>448</v>
      </c>
      <c r="T10" s="1725" t="s">
        <v>216</v>
      </c>
      <c r="U10" s="2047" t="s">
        <v>2334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24.08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25.55</v>
      </c>
      <c r="F11" s="1708"/>
      <c r="G11" s="1722">
        <f t="shared" si="0"/>
        <v>1.4700000000000024</v>
      </c>
      <c r="I11" s="1723">
        <f t="shared" si="1"/>
        <v>6.0999999999999999E-2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24.08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23.32</v>
      </c>
      <c r="N11" s="1708"/>
      <c r="O11" s="1722">
        <f t="shared" si="2"/>
        <v>-0.75999999999999801</v>
      </c>
      <c r="Q11" s="1723">
        <f t="shared" si="3"/>
        <v>-3.2000000000000001E-2</v>
      </c>
      <c r="S11" s="1731" t="s">
        <v>79</v>
      </c>
      <c r="T11" s="1702"/>
      <c r="U11" s="1732"/>
      <c r="W11" s="1702"/>
      <c r="X11" s="1733" t="s">
        <v>111</v>
      </c>
      <c r="Y11" s="1733" t="s">
        <v>216</v>
      </c>
      <c r="Z11" s="1733" t="s">
        <v>1367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33.04</v>
      </c>
      <c r="E12" s="1708">
        <f t="shared" si="5"/>
        <v>35.24</v>
      </c>
      <c r="F12" s="1708"/>
      <c r="G12" s="1722">
        <f t="shared" si="0"/>
        <v>2.2000000000000028</v>
      </c>
      <c r="I12" s="1723">
        <f t="shared" si="1"/>
        <v>6.7000000000000004E-2</v>
      </c>
      <c r="K12" s="1708">
        <f t="shared" si="6"/>
        <v>33.04</v>
      </c>
      <c r="M12" s="1708">
        <f t="shared" si="7"/>
        <v>31.9</v>
      </c>
      <c r="N12" s="1708"/>
      <c r="O12" s="1722">
        <f t="shared" si="2"/>
        <v>-1.1400000000000006</v>
      </c>
      <c r="Q12" s="1723">
        <f t="shared" si="3"/>
        <v>-3.5000000000000003E-2</v>
      </c>
      <c r="S12" s="1736" t="s">
        <v>1711</v>
      </c>
      <c r="T12" s="1737">
        <v>6</v>
      </c>
      <c r="U12" s="1738">
        <f>'Blocking-Step2'!Q14</f>
        <v>6</v>
      </c>
      <c r="V12" s="1739"/>
      <c r="W12" s="1740" t="s">
        <v>79</v>
      </c>
      <c r="X12" s="1741">
        <v>513</v>
      </c>
      <c r="Y12" s="1742">
        <f>C17</f>
        <v>55.2</v>
      </c>
      <c r="Z12" s="1742">
        <f>E17</f>
        <v>59</v>
      </c>
      <c r="AA12" s="1742">
        <f>Z12-Y12</f>
        <v>3.7999999999999972</v>
      </c>
      <c r="AB12" s="1743">
        <f>Z12/Y12-1</f>
        <v>6.8840579710144789E-2</v>
      </c>
    </row>
    <row r="13" spans="1:28">
      <c r="A13" s="1707">
        <f>X13</f>
        <v>392</v>
      </c>
      <c r="B13" s="1704" t="s">
        <v>1716</v>
      </c>
      <c r="F13" s="1708"/>
      <c r="G13" s="1722"/>
      <c r="I13" s="1723"/>
      <c r="K13" s="1708">
        <f t="shared" si="6"/>
        <v>41.28</v>
      </c>
      <c r="M13" s="1708">
        <f t="shared" si="7"/>
        <v>39.79</v>
      </c>
      <c r="N13" s="1708"/>
      <c r="O13" s="1722">
        <f>M13-K13</f>
        <v>-1.490000000000002</v>
      </c>
      <c r="Q13" s="1723">
        <f>ROUND(IF(K13=0,0,M13/K13-1),3)</f>
        <v>-3.5999999999999997E-2</v>
      </c>
      <c r="S13" s="1736" t="s">
        <v>1712</v>
      </c>
      <c r="T13" s="1744">
        <v>8.8498000000000001</v>
      </c>
      <c r="U13" s="1745">
        <f>'Blocking-Step2'!Q29</f>
        <v>9.4980863008434291</v>
      </c>
      <c r="V13" s="1739"/>
      <c r="W13" s="1746" t="s">
        <v>80</v>
      </c>
      <c r="X13" s="1741">
        <v>392</v>
      </c>
      <c r="Y13" s="1742">
        <f>K13</f>
        <v>41.28</v>
      </c>
      <c r="Z13" s="1742">
        <f>M13</f>
        <v>39.79</v>
      </c>
      <c r="AA13" s="1742">
        <f>Z13-Y13</f>
        <v>-1.490000000000002</v>
      </c>
      <c r="AB13" s="1747">
        <f>Z13/Y13-1</f>
        <v>-3.6094961240310086E-2</v>
      </c>
    </row>
    <row r="14" spans="1:28">
      <c r="A14" s="1707">
        <v>400</v>
      </c>
      <c r="C14" s="1708">
        <f t="shared" si="4"/>
        <v>42</v>
      </c>
      <c r="E14" s="1708">
        <f t="shared" si="5"/>
        <v>44.94</v>
      </c>
      <c r="F14" s="1708"/>
      <c r="G14" s="1722">
        <f t="shared" si="0"/>
        <v>2.9399999999999977</v>
      </c>
      <c r="I14" s="1723">
        <f t="shared" si="1"/>
        <v>7.0000000000000007E-2</v>
      </c>
      <c r="K14" s="1708">
        <f t="shared" si="6"/>
        <v>42</v>
      </c>
      <c r="M14" s="1708">
        <f t="shared" si="7"/>
        <v>40.479999999999997</v>
      </c>
      <c r="N14" s="1708"/>
      <c r="O14" s="1722">
        <f>M14-K14</f>
        <v>-1.5200000000000031</v>
      </c>
      <c r="Q14" s="1723">
        <f>ROUND(IF(K14=0,0,M14/K14-1),3)</f>
        <v>-3.5999999999999997E-2</v>
      </c>
      <c r="S14" s="1736" t="s">
        <v>1713</v>
      </c>
      <c r="T14" s="1744">
        <v>11.542899999999999</v>
      </c>
      <c r="U14" s="1745">
        <f>'Blocking-Step2'!Q30</f>
        <v>12.191186300843428</v>
      </c>
      <c r="V14" s="1739"/>
      <c r="W14" s="1748" t="s">
        <v>494</v>
      </c>
      <c r="X14" s="1749">
        <v>433</v>
      </c>
      <c r="Y14" s="1750">
        <f>(C15*5+K15*7)/12</f>
        <v>45.686666666666667</v>
      </c>
      <c r="Z14" s="1750">
        <f>(E15*4+M15*8)/12</f>
        <v>45.75333333333333</v>
      </c>
      <c r="AA14" s="1750">
        <f>Z14-Y14</f>
        <v>6.6666666666662877E-2</v>
      </c>
      <c r="AB14" s="1751">
        <f>Z14/Y14-1</f>
        <v>1.459214942360898E-3</v>
      </c>
    </row>
    <row r="15" spans="1:28">
      <c r="A15" s="1707">
        <f>X14</f>
        <v>433</v>
      </c>
      <c r="B15" s="1704" t="s">
        <v>1717</v>
      </c>
      <c r="C15" s="1708">
        <f t="shared" si="4"/>
        <v>45.85</v>
      </c>
      <c r="E15" s="1708">
        <f t="shared" si="5"/>
        <v>49.04</v>
      </c>
      <c r="F15" s="1708"/>
      <c r="G15" s="1722">
        <f t="shared" ref="G15" si="8">E15-C15</f>
        <v>3.1899999999999977</v>
      </c>
      <c r="I15" s="1723">
        <f t="shared" ref="I15" si="9">ROUND(IF(C15=0,0,E15/C15-1),3)</f>
        <v>7.0000000000000007E-2</v>
      </c>
      <c r="K15" s="1708">
        <f t="shared" si="6"/>
        <v>45.57</v>
      </c>
      <c r="M15" s="1708">
        <f t="shared" si="7"/>
        <v>44.11</v>
      </c>
      <c r="N15" s="1708"/>
      <c r="O15" s="1722">
        <f>M15-K15</f>
        <v>-1.4600000000000009</v>
      </c>
      <c r="Q15" s="1723">
        <f>ROUND(IF(K15=0,0,M15/K15-1),3)</f>
        <v>-3.2000000000000001E-2</v>
      </c>
      <c r="S15" s="1736" t="s">
        <v>1714</v>
      </c>
      <c r="T15" s="1744">
        <v>14.450799999999999</v>
      </c>
      <c r="U15" s="1745">
        <f>U14</f>
        <v>12.191186300843428</v>
      </c>
      <c r="V15" s="1739"/>
      <c r="W15" s="1748" t="s">
        <v>494</v>
      </c>
      <c r="X15" s="1749">
        <v>400</v>
      </c>
      <c r="Y15" s="1750">
        <f>(C14*5+K14*7)/12</f>
        <v>42</v>
      </c>
      <c r="Z15" s="1750">
        <f>(E14*4+M14*8)/12</f>
        <v>41.966666666666661</v>
      </c>
      <c r="AA15" s="1750">
        <f>Z15-Y15</f>
        <v>-3.3333333333338544E-2</v>
      </c>
      <c r="AB15" s="1751">
        <f>Z15/Y15-1</f>
        <v>-7.9365079365090185E-4</v>
      </c>
    </row>
    <row r="16" spans="1:28">
      <c r="A16" s="1707">
        <v>500</v>
      </c>
      <c r="C16" s="1708">
        <f t="shared" ref="C16:C31" si="10">ROUND($T$12+((MIN(400,$A16)*$T$13+MAX(0,MIN(600,$A16-400))*$T$14+MAX(0,$A16-1000)*$T$15)/100+MAX(0,$T$16-($T$12+(MIN(400,$A16)*$T$13+MAX(0,MIN(600,$A16-400))*$T$14+MAX(0,$A16-1000)*$T$15)/100)))*((1+$T$32)*(1+$T$18)+$T$27)+$T$17,2)</f>
        <v>53.68</v>
      </c>
      <c r="E16" s="1708">
        <f t="shared" ref="E16:E31" si="11">ROUND($U$12+((MIN(400,$A16)*$U$13+MAX(0,MIN(600,$A16-400))*$U$14+MAX(0,$A16-1000)*$U$15)/100+MAX(0,$U$16-($U$12+(MIN(400,$A16)*$U$13+MAX(0,MIN(600,$A16-400))*$U$14+MAX(0,$A16-1000)*$U$15)/100)))*((1+$U$32)*(1+$U$18)+$U$27)+$U$17,2)</f>
        <v>57.38</v>
      </c>
      <c r="F16" s="1708"/>
      <c r="G16" s="1722">
        <f>E16-C16</f>
        <v>3.7000000000000028</v>
      </c>
      <c r="I16" s="1723">
        <f>ROUND(IF(C16=0,0,E16/C16-1),3)</f>
        <v>6.9000000000000006E-2</v>
      </c>
      <c r="K16" s="1708">
        <f t="shared" si="6"/>
        <v>52.84</v>
      </c>
      <c r="M16" s="1708">
        <f t="shared" si="7"/>
        <v>51.49</v>
      </c>
      <c r="N16" s="1708"/>
      <c r="O16" s="1722">
        <f>M16-K16</f>
        <v>-1.3500000000000014</v>
      </c>
      <c r="Q16" s="1723">
        <f>ROUND(IF(K16=0,0,M16/K16-1),3)</f>
        <v>-2.5999999999999999E-2</v>
      </c>
      <c r="S16" s="1736" t="s">
        <v>1715</v>
      </c>
      <c r="T16" s="1737">
        <v>8</v>
      </c>
      <c r="U16" s="1738"/>
      <c r="V16" s="1739"/>
      <c r="X16" s="1702"/>
      <c r="AB16" s="1752"/>
    </row>
    <row r="17" spans="1:24">
      <c r="A17" s="1707">
        <f>X12</f>
        <v>513</v>
      </c>
      <c r="B17" s="1704" t="s">
        <v>1719</v>
      </c>
      <c r="C17" s="1708">
        <f t="shared" si="10"/>
        <v>55.2</v>
      </c>
      <c r="E17" s="1708">
        <f t="shared" si="11"/>
        <v>59</v>
      </c>
      <c r="F17" s="1708"/>
      <c r="G17" s="1722">
        <f>E17-C17</f>
        <v>3.7999999999999972</v>
      </c>
      <c r="I17" s="1723">
        <f>ROUND(IF(C17=0,0,E17/C17-1),3)</f>
        <v>6.9000000000000006E-2</v>
      </c>
      <c r="N17" s="1708"/>
      <c r="O17" s="1722"/>
      <c r="Q17" s="1723"/>
      <c r="S17" s="1736" t="s">
        <v>1133</v>
      </c>
      <c r="T17" s="1737">
        <v>0.16</v>
      </c>
      <c r="U17" s="1738">
        <f>T17</f>
        <v>0.16</v>
      </c>
      <c r="V17" s="1739"/>
      <c r="W17" s="1753"/>
      <c r="X17" s="1753"/>
    </row>
    <row r="18" spans="1:24">
      <c r="A18" s="1707">
        <v>600</v>
      </c>
      <c r="C18" s="1708">
        <f t="shared" si="10"/>
        <v>65.37</v>
      </c>
      <c r="E18" s="1708">
        <f t="shared" si="11"/>
        <v>69.819999999999993</v>
      </c>
      <c r="F18" s="1708"/>
      <c r="G18" s="1722">
        <f>E18-C18</f>
        <v>4.4499999999999886</v>
      </c>
      <c r="I18" s="1723">
        <f>ROUND(IF(C18=0,0,E18/C18-1),3)</f>
        <v>6.8000000000000005E-2</v>
      </c>
      <c r="K18" s="1708">
        <f t="shared" si="6"/>
        <v>63.68</v>
      </c>
      <c r="M18" s="1708">
        <f t="shared" si="7"/>
        <v>62.5</v>
      </c>
      <c r="N18" s="1708"/>
      <c r="O18" s="1722">
        <f>M18-K18</f>
        <v>-1.1799999999999997</v>
      </c>
      <c r="Q18" s="1723">
        <f>ROUND(IF(K18=0,0,M18/K18-1),3)</f>
        <v>-1.9E-2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700</v>
      </c>
      <c r="C19" s="1708">
        <f t="shared" si="10"/>
        <v>77.05</v>
      </c>
      <c r="E19" s="1708">
        <f t="shared" si="11"/>
        <v>82.27</v>
      </c>
      <c r="F19" s="1708"/>
      <c r="G19" s="1722">
        <f>E19-C19</f>
        <v>5.2199999999999989</v>
      </c>
      <c r="I19" s="1723">
        <f>ROUND(IF(C19=0,0,E19/C19-1),3)</f>
        <v>6.8000000000000005E-2</v>
      </c>
      <c r="K19" s="1708">
        <f t="shared" si="6"/>
        <v>74.52</v>
      </c>
      <c r="M19" s="1708">
        <f t="shared" si="7"/>
        <v>73.510000000000005</v>
      </c>
      <c r="N19" s="1708"/>
      <c r="O19" s="1722">
        <f>M19-K19</f>
        <v>-1.0099999999999909</v>
      </c>
      <c r="Q19" s="1723">
        <f>ROUND(IF(K19=0,0,M19/K19-1),3)</f>
        <v>-1.4E-2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800</v>
      </c>
      <c r="C20" s="1708">
        <f t="shared" si="10"/>
        <v>88.74</v>
      </c>
      <c r="E20" s="1708">
        <f t="shared" si="11"/>
        <v>94.71</v>
      </c>
      <c r="F20" s="1708"/>
      <c r="G20" s="1722">
        <f t="shared" ref="G20:G31" si="12">E20-C20</f>
        <v>5.9699999999999989</v>
      </c>
      <c r="I20" s="1723">
        <f t="shared" ref="I20:I31" si="13">ROUND(IF(C20=0,0,E20/C20-1),3)</f>
        <v>6.7000000000000004E-2</v>
      </c>
      <c r="K20" s="1708">
        <f t="shared" si="6"/>
        <v>85.36</v>
      </c>
      <c r="M20" s="1708">
        <f t="shared" si="7"/>
        <v>84.52</v>
      </c>
      <c r="N20" s="1708"/>
      <c r="O20" s="1722">
        <f>M20-K20</f>
        <v>-0.84000000000000341</v>
      </c>
      <c r="Q20" s="1723">
        <f>ROUND(IF(K20=0,0,M20/K20-1),3)</f>
        <v>-0.01</v>
      </c>
      <c r="S20" s="1736" t="s">
        <v>1711</v>
      </c>
      <c r="T20" s="1737">
        <v>6</v>
      </c>
      <c r="U20" s="1738">
        <f>U12</f>
        <v>6</v>
      </c>
      <c r="V20" s="1739"/>
      <c r="W20" s="1753"/>
      <c r="X20" s="1753"/>
    </row>
    <row r="21" spans="1:24">
      <c r="A21" s="1707">
        <v>900</v>
      </c>
      <c r="C21" s="1708">
        <f t="shared" si="10"/>
        <v>100.42</v>
      </c>
      <c r="E21" s="1708">
        <f t="shared" si="11"/>
        <v>107.15</v>
      </c>
      <c r="F21" s="1708"/>
      <c r="G21" s="1722">
        <f t="shared" si="12"/>
        <v>6.730000000000004</v>
      </c>
      <c r="I21" s="1723">
        <f t="shared" si="13"/>
        <v>6.7000000000000004E-2</v>
      </c>
      <c r="K21" s="1708">
        <f t="shared" ref="K21:K31" si="14">ROUND($T$20+((MIN(400,$A21)*$T$21+MAX(0,MIN(600,$A21-400))*$T$22+MAX(0,$A21-1000)*$T$23)/100+MAX(0,$T$24-($T$20+(MIN(400,$A21)*$T$21+MAX(0,MIN(600,$A21-400))*$T$22+MAX(0,$A21-1000)*$T$23)/100)))*((1+$T$32)*(1+$T$26)+$T$27)+$T$25,2)</f>
        <v>96.19</v>
      </c>
      <c r="M21" s="1708">
        <f t="shared" ref="M21:M30" si="15">ROUND($U$20+((MIN(400,$A21)*$U$21+MAX(0,MIN(600,$A21-400))*$U$22+MAX(0,$A21-1000)*$U$23)/100+MAX(0,$U$24-($U$20+(MIN(400,$A21)*$U$21+MAX(0,MIN(600,$A21-400))*$U$22+MAX(0,$A21-1000)*$U$23)/100)))*((1+$U$32)*(1+$U$26)+$U$27)+$U$25,2)</f>
        <v>95.53</v>
      </c>
      <c r="N21" s="1708"/>
      <c r="O21" s="1722">
        <f t="shared" ref="O21:O31" si="16">M21-K21</f>
        <v>-0.65999999999999659</v>
      </c>
      <c r="Q21" s="1723">
        <f t="shared" ref="Q21:Q31" si="17">ROUND(IF(K21=0,0,M21/K21-1),3)</f>
        <v>-7.0000000000000001E-3</v>
      </c>
      <c r="S21" s="1736" t="s">
        <v>1712</v>
      </c>
      <c r="T21" s="1758">
        <v>8.8498000000000001</v>
      </c>
      <c r="U21" s="1745">
        <f>'Blocking-Step2'!Q32</f>
        <v>8.4053861069410001</v>
      </c>
      <c r="V21" s="1739"/>
      <c r="W21" s="1753"/>
      <c r="X21" s="1753"/>
    </row>
    <row r="22" spans="1:24">
      <c r="A22" s="1707">
        <v>1000</v>
      </c>
      <c r="C22" s="1708">
        <f t="shared" si="10"/>
        <v>112.11</v>
      </c>
      <c r="E22" s="1708">
        <f t="shared" si="11"/>
        <v>119.6</v>
      </c>
      <c r="F22" s="1708"/>
      <c r="G22" s="1722">
        <f t="shared" si="12"/>
        <v>7.4899999999999949</v>
      </c>
      <c r="I22" s="1723">
        <f t="shared" si="13"/>
        <v>6.7000000000000004E-2</v>
      </c>
      <c r="K22" s="1708">
        <f t="shared" si="14"/>
        <v>107.03</v>
      </c>
      <c r="M22" s="1708">
        <f t="shared" si="15"/>
        <v>106.55</v>
      </c>
      <c r="N22" s="1708"/>
      <c r="O22" s="1722">
        <f t="shared" si="16"/>
        <v>-0.48000000000000398</v>
      </c>
      <c r="Q22" s="1723">
        <f t="shared" si="17"/>
        <v>-4.0000000000000001E-3</v>
      </c>
      <c r="S22" s="1736" t="s">
        <v>1713</v>
      </c>
      <c r="T22" s="1758">
        <v>10.7072</v>
      </c>
      <c r="U22" s="1745">
        <f>'Blocking-Step2'!Q33</f>
        <v>10.788660443224</v>
      </c>
      <c r="V22" s="1739"/>
      <c r="W22" s="1753"/>
      <c r="X22" s="1753"/>
    </row>
    <row r="23" spans="1:24">
      <c r="A23" s="1707">
        <v>1100</v>
      </c>
      <c r="C23" s="1708">
        <f t="shared" si="10"/>
        <v>126.74</v>
      </c>
      <c r="E23" s="1708">
        <f t="shared" si="11"/>
        <v>132.04</v>
      </c>
      <c r="F23" s="1708"/>
      <c r="G23" s="1722">
        <f t="shared" si="12"/>
        <v>5.2999999999999972</v>
      </c>
      <c r="I23" s="1723">
        <f t="shared" si="13"/>
        <v>4.2000000000000003E-2</v>
      </c>
      <c r="K23" s="1708">
        <f t="shared" si="14"/>
        <v>117.87</v>
      </c>
      <c r="M23" s="1708">
        <f t="shared" si="15"/>
        <v>117.56</v>
      </c>
      <c r="N23" s="1708"/>
      <c r="O23" s="1722">
        <f t="shared" si="16"/>
        <v>-0.31000000000000227</v>
      </c>
      <c r="Q23" s="1723">
        <f t="shared" si="17"/>
        <v>-3.0000000000000001E-3</v>
      </c>
      <c r="S23" s="1736" t="s">
        <v>1714</v>
      </c>
      <c r="T23" s="1758">
        <v>10.7072</v>
      </c>
      <c r="U23" s="1745">
        <f>U22</f>
        <v>10.788660443224</v>
      </c>
      <c r="V23" s="1739"/>
      <c r="W23" s="1753"/>
      <c r="X23" s="1753"/>
    </row>
    <row r="24" spans="1:24">
      <c r="A24" s="1707">
        <v>1200</v>
      </c>
      <c r="C24" s="1708">
        <f t="shared" si="10"/>
        <v>141.37</v>
      </c>
      <c r="E24" s="1708">
        <f t="shared" si="11"/>
        <v>144.47999999999999</v>
      </c>
      <c r="F24" s="1708"/>
      <c r="G24" s="1722">
        <f t="shared" si="12"/>
        <v>3.1099999999999852</v>
      </c>
      <c r="I24" s="1723">
        <f t="shared" si="13"/>
        <v>2.1999999999999999E-2</v>
      </c>
      <c r="K24" s="1708">
        <f t="shared" si="14"/>
        <v>128.71</v>
      </c>
      <c r="M24" s="1708">
        <f t="shared" si="15"/>
        <v>128.57</v>
      </c>
      <c r="N24" s="1708"/>
      <c r="O24" s="1722">
        <f t="shared" si="16"/>
        <v>-0.14000000000001478</v>
      </c>
      <c r="Q24" s="1723">
        <f t="shared" si="17"/>
        <v>-1E-3</v>
      </c>
      <c r="S24" s="1736" t="s">
        <v>1715</v>
      </c>
      <c r="T24" s="1737">
        <v>8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156</v>
      </c>
      <c r="E25" s="1708">
        <f t="shared" si="11"/>
        <v>156.93</v>
      </c>
      <c r="F25" s="1708"/>
      <c r="G25" s="1722">
        <f t="shared" si="12"/>
        <v>0.93000000000000682</v>
      </c>
      <c r="I25" s="1723">
        <f t="shared" si="13"/>
        <v>6.0000000000000001E-3</v>
      </c>
      <c r="K25" s="1708">
        <f t="shared" si="14"/>
        <v>139.55000000000001</v>
      </c>
      <c r="M25" s="1708">
        <f t="shared" si="15"/>
        <v>139.58000000000001</v>
      </c>
      <c r="N25" s="1708"/>
      <c r="O25" s="1722">
        <f t="shared" si="16"/>
        <v>3.0000000000001137E-2</v>
      </c>
      <c r="Q25" s="1723">
        <f t="shared" si="17"/>
        <v>0</v>
      </c>
      <c r="S25" s="1736" t="s">
        <v>1133</v>
      </c>
      <c r="T25" s="1737"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170.63</v>
      </c>
      <c r="E26" s="1708">
        <f t="shared" si="11"/>
        <v>169.37</v>
      </c>
      <c r="F26" s="1708"/>
      <c r="G26" s="1722">
        <f t="shared" si="12"/>
        <v>-1.2599999999999909</v>
      </c>
      <c r="I26" s="1723">
        <f t="shared" si="13"/>
        <v>-7.0000000000000001E-3</v>
      </c>
      <c r="K26" s="1708">
        <f t="shared" si="14"/>
        <v>150.38999999999999</v>
      </c>
      <c r="M26" s="1708">
        <f t="shared" si="15"/>
        <v>150.59</v>
      </c>
      <c r="N26" s="1708"/>
      <c r="O26" s="1722">
        <f t="shared" si="16"/>
        <v>0.20000000000001705</v>
      </c>
      <c r="Q26" s="1723">
        <f t="shared" si="17"/>
        <v>1E-3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185.26</v>
      </c>
      <c r="E27" s="1708">
        <f t="shared" si="11"/>
        <v>181.81</v>
      </c>
      <c r="F27" s="1708"/>
      <c r="G27" s="1722">
        <f t="shared" si="12"/>
        <v>-3.4499999999999886</v>
      </c>
      <c r="I27" s="1723">
        <f t="shared" si="13"/>
        <v>-1.9E-2</v>
      </c>
      <c r="K27" s="1708">
        <f t="shared" si="14"/>
        <v>161.22999999999999</v>
      </c>
      <c r="M27" s="1708">
        <f t="shared" si="15"/>
        <v>161.6</v>
      </c>
      <c r="N27" s="1708"/>
      <c r="O27" s="1722">
        <f t="shared" si="16"/>
        <v>0.37000000000000455</v>
      </c>
      <c r="Q27" s="1723">
        <f t="shared" si="17"/>
        <v>2E-3</v>
      </c>
      <c r="S27" s="1762" t="s">
        <v>1720</v>
      </c>
      <c r="T27" s="1763">
        <v>-3.9100000000000003E-2</v>
      </c>
      <c r="U27" s="1764">
        <f>'Blocking-Step2'!Q43</f>
        <v>-3.0800000000000001E-2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258.39999999999998</v>
      </c>
      <c r="E28" s="1708">
        <f t="shared" si="11"/>
        <v>244.03</v>
      </c>
      <c r="F28" s="1708"/>
      <c r="G28" s="1722">
        <f t="shared" si="12"/>
        <v>-14.369999999999976</v>
      </c>
      <c r="I28" s="1723">
        <f t="shared" si="13"/>
        <v>-5.6000000000000001E-2</v>
      </c>
      <c r="K28" s="1708">
        <f t="shared" si="14"/>
        <v>215.43</v>
      </c>
      <c r="M28" s="1708">
        <f t="shared" si="15"/>
        <v>216.66</v>
      </c>
      <c r="N28" s="1708"/>
      <c r="O28" s="1722">
        <f t="shared" si="16"/>
        <v>1.2299999999999898</v>
      </c>
      <c r="Q28" s="1723">
        <f t="shared" si="17"/>
        <v>6.0000000000000001E-3</v>
      </c>
      <c r="S28" s="1736" t="s">
        <v>1721</v>
      </c>
      <c r="T28" s="1765"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404.7</v>
      </c>
      <c r="E29" s="1708">
        <f t="shared" si="11"/>
        <v>368.46</v>
      </c>
      <c r="F29" s="1708"/>
      <c r="G29" s="1722">
        <f t="shared" si="12"/>
        <v>-36.240000000000009</v>
      </c>
      <c r="I29" s="1723">
        <f t="shared" si="13"/>
        <v>-0.09</v>
      </c>
      <c r="K29" s="1708">
        <f t="shared" si="14"/>
        <v>323.83</v>
      </c>
      <c r="M29" s="1708">
        <f t="shared" si="15"/>
        <v>326.77999999999997</v>
      </c>
      <c r="N29" s="1708"/>
      <c r="O29" s="1722">
        <f t="shared" si="16"/>
        <v>2.9499999999999886</v>
      </c>
      <c r="Q29" s="1723">
        <f t="shared" si="17"/>
        <v>8.9999999999999993E-3</v>
      </c>
      <c r="S29" s="1736" t="s">
        <v>1722</v>
      </c>
      <c r="T29" s="1765"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550.99</v>
      </c>
      <c r="E30" s="1708">
        <f t="shared" si="11"/>
        <v>492.89</v>
      </c>
      <c r="F30" s="1708"/>
      <c r="G30" s="1722">
        <f t="shared" si="12"/>
        <v>-58.100000000000023</v>
      </c>
      <c r="I30" s="1723">
        <f t="shared" si="13"/>
        <v>-0.105</v>
      </c>
      <c r="K30" s="1708">
        <f t="shared" si="14"/>
        <v>432.22</v>
      </c>
      <c r="M30" s="1708">
        <f t="shared" si="15"/>
        <v>436.89</v>
      </c>
      <c r="N30" s="1708"/>
      <c r="O30" s="1722">
        <f t="shared" si="16"/>
        <v>4.6699999999999591</v>
      </c>
      <c r="Q30" s="1723">
        <f t="shared" si="17"/>
        <v>1.0999999999999999E-2</v>
      </c>
      <c r="S30" s="1736" t="s">
        <v>1685</v>
      </c>
      <c r="T30" s="1765"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697.29</v>
      </c>
      <c r="E31" s="1708">
        <f t="shared" si="11"/>
        <v>617.32000000000005</v>
      </c>
      <c r="F31" s="1708"/>
      <c r="G31" s="1722">
        <f t="shared" si="12"/>
        <v>-79.969999999999914</v>
      </c>
      <c r="I31" s="1723">
        <f t="shared" si="13"/>
        <v>-0.115</v>
      </c>
      <c r="K31" s="1708">
        <f t="shared" si="14"/>
        <v>540.62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547.01</v>
      </c>
      <c r="N31" s="1708"/>
      <c r="O31" s="1722">
        <f t="shared" si="16"/>
        <v>6.3899999999999864</v>
      </c>
      <c r="Q31" s="1723">
        <f t="shared" si="17"/>
        <v>1.2E-2</v>
      </c>
      <c r="S31" s="1736" t="s">
        <v>1686</v>
      </c>
      <c r="T31" s="1765"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>
      <c r="W34" s="1753"/>
      <c r="X34" s="1753"/>
    </row>
    <row r="35" spans="1:28" ht="15.75">
      <c r="A35" s="1770" t="s">
        <v>1723</v>
      </c>
      <c r="W35" s="1753"/>
      <c r="X35" s="1753"/>
    </row>
    <row r="36" spans="1:28">
      <c r="A36" s="1707" t="s">
        <v>1724</v>
      </c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X33"/>
  <sheetViews>
    <sheetView view="pageBreakPreview" zoomScale="90" zoomScaleNormal="100" zoomScaleSheetLayoutView="90" workbookViewId="0">
      <selection activeCell="W8" sqref="W8"/>
    </sheetView>
  </sheetViews>
  <sheetFormatPr defaultColWidth="8" defaultRowHeight="12.75"/>
  <cols>
    <col min="1" max="1" width="8" style="1707" customWidth="1"/>
    <col min="2" max="2" width="2.125" style="1707" customWidth="1"/>
    <col min="3" max="3" width="9.625" style="1707" bestFit="1" customWidth="1"/>
    <col min="4" max="4" width="1.75" style="1704" customWidth="1"/>
    <col min="5" max="5" width="9.25" style="1708" bestFit="1" customWidth="1"/>
    <col min="6" max="6" width="1" style="1704" customWidth="1"/>
    <col min="7" max="7" width="9.25" style="1708" bestFit="1" customWidth="1"/>
    <col min="8" max="8" width="0.75" style="1704" customWidth="1"/>
    <col min="9" max="9" width="8.125" style="1704" bestFit="1" customWidth="1"/>
    <col min="10" max="10" width="1.125" style="1704" customWidth="1"/>
    <col min="11" max="11" width="5.5" style="1704" bestFit="1" customWidth="1"/>
    <col min="12" max="12" width="1.5" style="1704" customWidth="1"/>
    <col min="13" max="13" width="8.25" style="1708" bestFit="1" customWidth="1"/>
    <col min="14" max="14" width="0.62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625" style="1704" customWidth="1"/>
    <col min="19" max="19" width="5.5" style="1704" bestFit="1" customWidth="1"/>
    <col min="20" max="20" width="3.25" style="1704" customWidth="1"/>
    <col min="21" max="21" width="16" style="1704" bestFit="1" customWidth="1"/>
    <col min="22" max="22" width="8.25" style="1704" bestFit="1" customWidth="1"/>
    <col min="23" max="23" width="10" style="1704" bestFit="1" customWidth="1"/>
    <col min="24" max="16384" width="8" style="1704"/>
  </cols>
  <sheetData>
    <row r="1" spans="1:24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4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4" ht="16.5">
      <c r="A3" s="1697" t="s">
        <v>1688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4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4" ht="16.5">
      <c r="A5" s="1783"/>
      <c r="B5" s="1784"/>
      <c r="C5" s="1784"/>
      <c r="D5" s="1785"/>
      <c r="E5" s="1786"/>
      <c r="F5" s="1785"/>
      <c r="G5" s="1786"/>
      <c r="H5" s="1785"/>
      <c r="I5" s="1785"/>
      <c r="J5" s="1785"/>
      <c r="K5" s="1785"/>
      <c r="L5" s="1785"/>
      <c r="M5" s="1786"/>
      <c r="N5" s="1785"/>
      <c r="O5" s="1786"/>
      <c r="P5" s="1785"/>
      <c r="Q5" s="1785"/>
      <c r="R5" s="1785"/>
      <c r="S5" s="1785"/>
    </row>
    <row r="6" spans="1:24" ht="17.25">
      <c r="A6" s="1787"/>
      <c r="B6" s="1701"/>
      <c r="C6" s="1701"/>
      <c r="D6" s="1701"/>
      <c r="E6" s="1774"/>
      <c r="F6" s="1788"/>
      <c r="G6" s="1774"/>
      <c r="H6" s="1788"/>
      <c r="I6" s="1788"/>
      <c r="J6" s="1788"/>
      <c r="K6" s="1788"/>
      <c r="L6" s="1701"/>
      <c r="M6" s="1774"/>
      <c r="N6" s="1788"/>
      <c r="O6" s="1774"/>
      <c r="P6" s="1788"/>
      <c r="Q6" s="1788"/>
      <c r="R6" s="1788"/>
      <c r="S6" s="1788"/>
    </row>
    <row r="7" spans="1:24">
      <c r="E7" s="1709"/>
      <c r="F7" s="1702"/>
      <c r="G7" s="1709"/>
      <c r="H7" s="1702"/>
      <c r="I7" s="1780"/>
      <c r="J7" s="1702"/>
      <c r="K7" s="1780"/>
      <c r="L7" s="1702"/>
      <c r="M7" s="1709"/>
      <c r="N7" s="1702"/>
      <c r="O7" s="1709"/>
      <c r="P7" s="1702"/>
      <c r="Q7" s="1780"/>
      <c r="R7" s="1702"/>
      <c r="S7" s="1780"/>
    </row>
    <row r="8" spans="1:24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  <c r="U8" s="1789" t="s">
        <v>492</v>
      </c>
      <c r="V8" s="1790" t="s">
        <v>216</v>
      </c>
      <c r="W8" s="1726" t="s">
        <v>2334</v>
      </c>
    </row>
    <row r="9" spans="1:24" ht="16.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  <c r="U9" s="1792" t="s">
        <v>79</v>
      </c>
      <c r="V9" s="1702"/>
      <c r="W9" s="1732"/>
    </row>
    <row r="10" spans="1:24">
      <c r="A10" s="1720" t="s">
        <v>1677</v>
      </c>
      <c r="B10" s="1793"/>
      <c r="C10" s="1794" t="s">
        <v>111</v>
      </c>
      <c r="E10" s="1717" t="s">
        <v>216</v>
      </c>
      <c r="G10" s="1718" t="s">
        <v>2334</v>
      </c>
      <c r="I10" s="1719" t="s">
        <v>1399</v>
      </c>
      <c r="K10" s="1720" t="s">
        <v>465</v>
      </c>
      <c r="M10" s="1717" t="s">
        <v>216</v>
      </c>
      <c r="O10" s="1718" t="s">
        <v>2334</v>
      </c>
      <c r="Q10" s="1719" t="s">
        <v>1399</v>
      </c>
      <c r="S10" s="1720" t="s">
        <v>465</v>
      </c>
      <c r="U10" s="1736" t="s">
        <v>1678</v>
      </c>
      <c r="V10" s="1795">
        <v>54</v>
      </c>
      <c r="W10" s="1796">
        <f>'Blocking-Step2'!Q672</f>
        <v>54</v>
      </c>
      <c r="X10" s="1795"/>
    </row>
    <row r="11" spans="1:24" ht="18.75" customHeight="1">
      <c r="A11" s="1707">
        <v>50</v>
      </c>
      <c r="C11" s="1707">
        <v>5000</v>
      </c>
      <c r="E11" s="1797">
        <f>ROUND($V$10+($V$11*$A11+($V$12*$A11+$V$14/100*$C11)*(1+$V$33))*(1+$V$16)+($V$12*$A11+$V$14/100*$C11)*$V$28+$V$15,2)</f>
        <v>1205.44</v>
      </c>
      <c r="F11" s="1797"/>
      <c r="G11" s="1797">
        <f>ROUND($W$10+($W$11*$A11+($W$12*$A11+$W$14/100*$C11)*(1+$W$33))*(1+$W$16)+($W$12*$A11+$W$14/100*$C11)*$W$28+$W$15,2)</f>
        <v>1156.03</v>
      </c>
      <c r="H11" s="1797"/>
      <c r="I11" s="1797">
        <f>IF(G11="","",G11-E11)</f>
        <v>-49.410000000000082</v>
      </c>
      <c r="K11" s="1723">
        <f>IF(I11="","",G11/E11-1)</f>
        <v>-4.098918237324134E-2</v>
      </c>
      <c r="M11" s="1797">
        <f>ROUND($V$18+($V$19*$A11+($V$20*$A11+$V$22/100*$C11)*(1+$V$33))*(1+$V$24)+($V$20*$A11+$V$22/100*$C11)*$V$28+$V$23,2)</f>
        <v>1001.94</v>
      </c>
      <c r="N11" s="1797"/>
      <c r="O11" s="1797">
        <f>ROUND($W$18+($W$19*$A11+($W$20*$A11+$W$22/100*$C11)*(1+$W$33))*(1+$W$24)+($W$20*$A11+$W$22/100*$C11)*$W$28+$W$23,2)</f>
        <v>1054.08</v>
      </c>
      <c r="P11" s="1797"/>
      <c r="Q11" s="1797">
        <f t="shared" ref="Q11:Q29" si="0">IF(O11="","",O11-M11)</f>
        <v>52.139999999999873</v>
      </c>
      <c r="S11" s="1723">
        <f t="shared" ref="S11:S29" si="1">IF(Q11="","",O11/M11-1)</f>
        <v>5.2039044254146738E-2</v>
      </c>
      <c r="U11" s="1736" t="s">
        <v>2313</v>
      </c>
      <c r="V11" s="1795">
        <f>4.04</f>
        <v>4.04</v>
      </c>
      <c r="W11" s="1796">
        <f>'Blocking-Step2'!Q675</f>
        <v>4.03</v>
      </c>
      <c r="X11" s="1795"/>
    </row>
    <row r="12" spans="1:24">
      <c r="A12" s="1798">
        <f>A11</f>
        <v>50</v>
      </c>
      <c r="C12" s="1707">
        <v>10000</v>
      </c>
      <c r="E12" s="1797">
        <f t="shared" ref="E12:E13" si="2">ROUND($V$10+($V$11*$A12+($V$12*$A12+$V$14/100*$C12)*(1+$V$33))*(1+$V$16)+($V$12*$A12+$V$14/100*$C12)*$V$28+$V$15,2)</f>
        <v>1399</v>
      </c>
      <c r="F12" s="1797"/>
      <c r="G12" s="1797">
        <f t="shared" ref="G12:G13" si="3">ROUND($W$10+($W$11*$A12+($W$12*$A12+$W$14/100*$C12)*(1+$W$33))*(1+$W$16)+($W$12*$A12+$W$14/100*$C12)*$W$28+$W$15,2)</f>
        <v>1356.95</v>
      </c>
      <c r="H12" s="1797"/>
      <c r="I12" s="1797">
        <f>IF(G12="","",G12-E12)</f>
        <v>-42.049999999999955</v>
      </c>
      <c r="K12" s="1723">
        <f>IF(I12="","",G12/E12-1)</f>
        <v>-3.0057183702644763E-2</v>
      </c>
      <c r="M12" s="1797">
        <f t="shared" ref="M12:M13" si="4">ROUND($V$18+($V$19*$A12+($V$20*$A12+$V$22/100*$C12)*(1+$V$33))*(1+$V$24)+($V$20*$A12+$V$22/100*$C12)*$V$28+$V$23,2)</f>
        <v>1180.3499999999999</v>
      </c>
      <c r="N12" s="1797"/>
      <c r="O12" s="1797">
        <f t="shared" ref="O12:O13" si="5">ROUND($W$18+($W$19*$A12+($W$20*$A12+$W$22/100*$C12)*(1+$W$33))*(1+$W$24)+($W$20*$A12+$W$22/100*$C12)*$W$28+$W$23,2)</f>
        <v>1231.8800000000001</v>
      </c>
      <c r="P12" s="1797"/>
      <c r="Q12" s="1797">
        <f t="shared" si="0"/>
        <v>51.5300000000002</v>
      </c>
      <c r="S12" s="1723">
        <f t="shared" si="1"/>
        <v>4.3656542550938537E-2</v>
      </c>
      <c r="U12" s="1736" t="s">
        <v>1679</v>
      </c>
      <c r="V12" s="1795">
        <f>14.62</f>
        <v>14.62</v>
      </c>
      <c r="W12" s="1796">
        <f>'Blocking-Step2'!Q676</f>
        <v>13.4</v>
      </c>
      <c r="X12" s="1795"/>
    </row>
    <row r="13" spans="1:24">
      <c r="A13" s="1798">
        <f>A12</f>
        <v>50</v>
      </c>
      <c r="C13" s="1707">
        <v>20000</v>
      </c>
      <c r="E13" s="1797">
        <f t="shared" si="2"/>
        <v>1786.12</v>
      </c>
      <c r="F13" s="1797"/>
      <c r="G13" s="1797">
        <f t="shared" si="3"/>
        <v>1758.78</v>
      </c>
      <c r="H13" s="1797"/>
      <c r="I13" s="1797">
        <f>IF(G13="","",G13-E13)</f>
        <v>-27.339999999999918</v>
      </c>
      <c r="K13" s="1723">
        <f>IF(I13="","",G13/E13-1)</f>
        <v>-1.5306922267260825E-2</v>
      </c>
      <c r="M13" s="1797">
        <f t="shared" si="4"/>
        <v>1537.17</v>
      </c>
      <c r="N13" s="1797"/>
      <c r="O13" s="1797">
        <f t="shared" si="5"/>
        <v>1587.49</v>
      </c>
      <c r="P13" s="1797"/>
      <c r="Q13" s="1797">
        <f t="shared" si="0"/>
        <v>50.319999999999936</v>
      </c>
      <c r="S13" s="1723">
        <f t="shared" si="1"/>
        <v>3.2735481436666047E-2</v>
      </c>
      <c r="U13" s="1736" t="s">
        <v>1680</v>
      </c>
      <c r="V13" s="1795">
        <v>-0.96</v>
      </c>
      <c r="W13" s="1796">
        <f>'Blocking-Step2'!Q682</f>
        <v>-0.96</v>
      </c>
      <c r="X13" s="1801"/>
    </row>
    <row r="14" spans="1:24">
      <c r="E14" s="1797"/>
      <c r="F14" s="1797"/>
      <c r="G14" s="1797"/>
      <c r="H14" s="1797"/>
      <c r="I14" s="1797"/>
      <c r="K14" s="1723"/>
      <c r="M14" s="1797"/>
      <c r="N14" s="1797"/>
      <c r="O14" s="1797"/>
      <c r="P14" s="1797"/>
      <c r="Q14" s="1797" t="str">
        <f t="shared" si="0"/>
        <v/>
      </c>
      <c r="S14" s="1723" t="str">
        <f t="shared" si="1"/>
        <v/>
      </c>
      <c r="U14" s="1736" t="s">
        <v>1689</v>
      </c>
      <c r="V14" s="1799">
        <v>3.8127</v>
      </c>
      <c r="W14" s="1800">
        <f>'Blocking-Step2'!Q678</f>
        <v>3.9247702408020002</v>
      </c>
      <c r="X14" s="1795"/>
    </row>
    <row r="15" spans="1:24">
      <c r="A15" s="1707">
        <v>100</v>
      </c>
      <c r="C15" s="1707">
        <v>20000</v>
      </c>
      <c r="E15" s="1797">
        <f t="shared" ref="E15:E17" si="6">ROUND($V$10+($V$11*$A15+($V$12*$A15+$V$14/100*$C15)*(1+$V$33))*(1+$V$16)+($V$12*$A15+$V$14/100*$C15)*$V$28+$V$15,2)</f>
        <v>2738.39</v>
      </c>
      <c r="F15" s="1797"/>
      <c r="G15" s="1797">
        <f t="shared" ref="G15:G17" si="7">ROUND($W$10+($W$11*$A15+($W$12*$A15+$W$14/100*$C15)*(1+$W$33))*(1+$W$16)+($W$12*$A15+$W$14/100*$C15)*$W$28+$W$15,2)</f>
        <v>2654.3</v>
      </c>
      <c r="H15" s="1797"/>
      <c r="I15" s="1797">
        <f>IF(G15="","",G15-E15)</f>
        <v>-84.089999999999691</v>
      </c>
      <c r="K15" s="1723">
        <f>IF(I15="","",G15/E15-1)</f>
        <v>-3.0707824670700545E-2</v>
      </c>
      <c r="M15" s="1797">
        <f t="shared" ref="M15:M17" si="8">ROUND($V$18+($V$19*$A15+($V$20*$A15+$V$22/100*$C15)*(1+$V$33))*(1+$V$24)+($V$20*$A15+$V$22/100*$C15)*$V$28+$V$23,2)</f>
        <v>2301.1</v>
      </c>
      <c r="N15" s="1797"/>
      <c r="O15" s="1797">
        <f t="shared" ref="O15:O17" si="9">ROUND($W$18+($W$19*$A15+($W$20*$A15+$W$22/100*$C15)*(1+$W$33))*(1+$W$24)+($W$20*$A15+$W$22/100*$C15)*$W$28+$W$23,2)</f>
        <v>2404.17</v>
      </c>
      <c r="P15" s="1797"/>
      <c r="Q15" s="1797">
        <f t="shared" si="0"/>
        <v>103.07000000000016</v>
      </c>
      <c r="S15" s="1723">
        <f t="shared" si="1"/>
        <v>4.4791621398461601E-2</v>
      </c>
      <c r="U15" s="1736" t="s">
        <v>1133</v>
      </c>
      <c r="V15" s="1795">
        <v>5.6</v>
      </c>
      <c r="W15" s="1802">
        <f>V15</f>
        <v>5.6</v>
      </c>
      <c r="X15" s="1803"/>
    </row>
    <row r="16" spans="1:24">
      <c r="A16" s="1798">
        <f>A15</f>
        <v>100</v>
      </c>
      <c r="C16" s="1707">
        <v>40000</v>
      </c>
      <c r="E16" s="1797">
        <f t="shared" si="6"/>
        <v>3512.63</v>
      </c>
      <c r="F16" s="1797"/>
      <c r="G16" s="1797">
        <f t="shared" si="7"/>
        <v>3457.97</v>
      </c>
      <c r="H16" s="1797"/>
      <c r="I16" s="1797">
        <f>IF(G16="","",G16-E16)</f>
        <v>-54.660000000000309</v>
      </c>
      <c r="K16" s="1723">
        <f>IF(I16="","",G16/E16-1)</f>
        <v>-1.5560989913540602E-2</v>
      </c>
      <c r="M16" s="1797">
        <f t="shared" si="8"/>
        <v>3014.75</v>
      </c>
      <c r="N16" s="1797"/>
      <c r="O16" s="1797">
        <f t="shared" si="9"/>
        <v>3115.38</v>
      </c>
      <c r="P16" s="1797"/>
      <c r="Q16" s="1797">
        <f t="shared" si="0"/>
        <v>100.63000000000011</v>
      </c>
      <c r="S16" s="1723">
        <f t="shared" si="1"/>
        <v>3.3379218840699831E-2</v>
      </c>
      <c r="U16" s="1736" t="s">
        <v>1718</v>
      </c>
      <c r="V16" s="1803">
        <f>V29+V30</f>
        <v>3.9899999999999998E-2</v>
      </c>
      <c r="W16" s="1804">
        <f>V16</f>
        <v>3.9899999999999998E-2</v>
      </c>
    </row>
    <row r="17" spans="1:24" ht="13.5">
      <c r="A17" s="1798">
        <f>A16</f>
        <v>100</v>
      </c>
      <c r="C17" s="1707">
        <v>60000</v>
      </c>
      <c r="E17" s="1797">
        <f t="shared" si="6"/>
        <v>4286.87</v>
      </c>
      <c r="F17" s="1797"/>
      <c r="G17" s="1797">
        <f t="shared" si="7"/>
        <v>4261.6400000000003</v>
      </c>
      <c r="H17" s="1797"/>
      <c r="I17" s="1797">
        <f>IF(G17="","",G17-E17)</f>
        <v>-25.229999999999563</v>
      </c>
      <c r="K17" s="1723">
        <f>IF(I17="","",G17/E17-1)</f>
        <v>-5.8854129003210742E-3</v>
      </c>
      <c r="M17" s="1797">
        <f t="shared" si="8"/>
        <v>3728.39</v>
      </c>
      <c r="N17" s="1797"/>
      <c r="O17" s="1797">
        <f t="shared" si="9"/>
        <v>3826.59</v>
      </c>
      <c r="P17" s="1797"/>
      <c r="Q17" s="1797">
        <f t="shared" si="0"/>
        <v>98.200000000000273</v>
      </c>
      <c r="S17" s="1723">
        <f t="shared" si="1"/>
        <v>2.6338446353519895E-2</v>
      </c>
      <c r="U17" s="1792" t="s">
        <v>80</v>
      </c>
      <c r="V17" s="1702"/>
      <c r="W17" s="1732"/>
      <c r="X17" s="1795"/>
    </row>
    <row r="18" spans="1:24">
      <c r="E18" s="1797"/>
      <c r="F18" s="1797"/>
      <c r="G18" s="1797"/>
      <c r="H18" s="1797"/>
      <c r="I18" s="1797"/>
      <c r="K18" s="1723"/>
      <c r="M18" s="1797"/>
      <c r="N18" s="1797"/>
      <c r="O18" s="1797"/>
      <c r="P18" s="1797"/>
      <c r="Q18" s="1797" t="str">
        <f t="shared" si="0"/>
        <v/>
      </c>
      <c r="S18" s="1723" t="str">
        <f t="shared" si="1"/>
        <v/>
      </c>
      <c r="U18" s="1736" t="s">
        <v>1678</v>
      </c>
      <c r="V18" s="1773">
        <f>V10</f>
        <v>54</v>
      </c>
      <c r="W18" s="1805">
        <f>W10</f>
        <v>54</v>
      </c>
      <c r="X18" s="1795"/>
    </row>
    <row r="19" spans="1:24">
      <c r="A19" s="1707">
        <v>200</v>
      </c>
      <c r="C19" s="1707">
        <v>40000</v>
      </c>
      <c r="E19" s="1797">
        <f t="shared" ref="E19:E21" si="10">ROUND($V$10+($V$11*$A19+($V$12*$A19+$V$14/100*$C19)*(1+$V$33))*(1+$V$16)+($V$12*$A19+$V$14/100*$C19)*$V$28+$V$15,2)</f>
        <v>5417.18</v>
      </c>
      <c r="F19" s="1797"/>
      <c r="G19" s="1797">
        <f t="shared" ref="G19:G21" si="11">ROUND($W$10+($W$11*$A19+($W$12*$A19+$W$14/100*$C19)*(1+$W$33))*(1+$W$16)+($W$12*$A19+$W$14/100*$C19)*$W$28+$W$15,2)</f>
        <v>5249</v>
      </c>
      <c r="H19" s="1797"/>
      <c r="I19" s="1797">
        <f>IF(G19="","",G19-E19)</f>
        <v>-168.18000000000029</v>
      </c>
      <c r="K19" s="1723">
        <f>IF(I19="","",G19/E19-1)</f>
        <v>-3.1045673210046587E-2</v>
      </c>
      <c r="M19" s="1797">
        <f t="shared" ref="M19:M21" si="12">ROUND($V$18+($V$19*$A19+($V$20*$A19+$V$22/100*$C19)*(1+$V$33))*(1+$V$24)+($V$20*$A19+$V$22/100*$C19)*$V$28+$V$23,2)</f>
        <v>4542.6099999999997</v>
      </c>
      <c r="N19" s="1797"/>
      <c r="O19" s="1797">
        <f t="shared" ref="O19:O21" si="13">ROUND($W$18+($W$19*$A19+($W$20*$A19+$W$22/100*$C19)*(1+$W$33))*(1+$W$24)+($W$20*$A19+$W$22/100*$C19)*$W$28+$W$23,2)</f>
        <v>4748.74</v>
      </c>
      <c r="P19" s="1797"/>
      <c r="Q19" s="1797">
        <f t="shared" si="0"/>
        <v>206.13000000000011</v>
      </c>
      <c r="S19" s="1723">
        <f t="shared" si="1"/>
        <v>4.5376996924675561E-2</v>
      </c>
      <c r="U19" s="1736" t="s">
        <v>2313</v>
      </c>
      <c r="V19" s="1795">
        <f>4.04</f>
        <v>4.04</v>
      </c>
      <c r="W19" s="1796">
        <f>'Blocking-Step2'!Q675</f>
        <v>4.03</v>
      </c>
      <c r="X19" s="1795"/>
    </row>
    <row r="20" spans="1:24">
      <c r="A20" s="1798">
        <f>A19</f>
        <v>200</v>
      </c>
      <c r="C20" s="1707">
        <v>80000</v>
      </c>
      <c r="E20" s="1797">
        <f t="shared" si="10"/>
        <v>6965.66</v>
      </c>
      <c r="F20" s="1797"/>
      <c r="G20" s="1797">
        <f t="shared" si="11"/>
        <v>6856.34</v>
      </c>
      <c r="H20" s="1797"/>
      <c r="I20" s="1797">
        <f>IF(G20="","",G20-E20)</f>
        <v>-109.31999999999971</v>
      </c>
      <c r="K20" s="1723">
        <f>IF(I20="","",G20/E20-1)</f>
        <v>-1.5694133793495491E-2</v>
      </c>
      <c r="M20" s="1797">
        <f t="shared" si="12"/>
        <v>5969.89</v>
      </c>
      <c r="N20" s="1797"/>
      <c r="O20" s="1797">
        <f t="shared" si="13"/>
        <v>6171.16</v>
      </c>
      <c r="P20" s="1797"/>
      <c r="Q20" s="1797">
        <f t="shared" si="0"/>
        <v>201.26999999999953</v>
      </c>
      <c r="S20" s="1723">
        <f t="shared" si="1"/>
        <v>3.371418903865897E-2</v>
      </c>
      <c r="U20" s="1736" t="s">
        <v>1679</v>
      </c>
      <c r="V20" s="1795">
        <f>10.91</f>
        <v>10.91</v>
      </c>
      <c r="W20" s="1796">
        <f>'Blocking-Step2'!Q677</f>
        <v>11.86</v>
      </c>
      <c r="X20" s="1801"/>
    </row>
    <row r="21" spans="1:24">
      <c r="A21" s="1798">
        <f>A20</f>
        <v>200</v>
      </c>
      <c r="C21" s="1707">
        <v>120000</v>
      </c>
      <c r="E21" s="1797">
        <f t="shared" si="10"/>
        <v>8514.14</v>
      </c>
      <c r="F21" s="1797"/>
      <c r="G21" s="1797">
        <f t="shared" si="11"/>
        <v>8463.68</v>
      </c>
      <c r="H21" s="1797"/>
      <c r="I21" s="1797">
        <f>IF(G21="","",G21-E21)</f>
        <v>-50.459999999999127</v>
      </c>
      <c r="K21" s="1723">
        <f>IF(I21="","",G21/E21-1)</f>
        <v>-5.9266114956999516E-3</v>
      </c>
      <c r="M21" s="1797">
        <f t="shared" si="12"/>
        <v>7397.18</v>
      </c>
      <c r="N21" s="1797"/>
      <c r="O21" s="1797">
        <f t="shared" si="13"/>
        <v>7593.59</v>
      </c>
      <c r="P21" s="1797"/>
      <c r="Q21" s="1797">
        <f t="shared" si="0"/>
        <v>196.40999999999985</v>
      </c>
      <c r="S21" s="1723">
        <f t="shared" si="1"/>
        <v>2.6552010360705092E-2</v>
      </c>
      <c r="U21" s="1736" t="s">
        <v>1680</v>
      </c>
      <c r="V21" s="1773">
        <f>V13</f>
        <v>-0.96</v>
      </c>
      <c r="W21" s="1805">
        <f>W13</f>
        <v>-0.96</v>
      </c>
      <c r="X21" s="1795"/>
    </row>
    <row r="22" spans="1:24">
      <c r="E22" s="1797"/>
      <c r="F22" s="1797"/>
      <c r="G22" s="1797"/>
      <c r="H22" s="1797"/>
      <c r="I22" s="1797"/>
      <c r="K22" s="1723"/>
      <c r="M22" s="1797"/>
      <c r="N22" s="1797"/>
      <c r="O22" s="1797"/>
      <c r="P22" s="1797"/>
      <c r="Q22" s="1797" t="str">
        <f t="shared" si="0"/>
        <v/>
      </c>
      <c r="S22" s="1723" t="str">
        <f t="shared" si="1"/>
        <v/>
      </c>
      <c r="U22" s="1736" t="s">
        <v>1689</v>
      </c>
      <c r="V22" s="1806">
        <v>3.5143</v>
      </c>
      <c r="W22" s="1807">
        <f>'Blocking-Step2'!Q679</f>
        <v>3.4732480007099999</v>
      </c>
      <c r="X22" s="1803"/>
    </row>
    <row r="23" spans="1:24">
      <c r="A23" s="1707">
        <v>500</v>
      </c>
      <c r="C23" s="1707">
        <v>100000</v>
      </c>
      <c r="E23" s="1797">
        <f t="shared" ref="E23:E25" si="14">ROUND($V$10+($V$11*$A23+($V$12*$A23+$V$14/100*$C23)*(1+$V$33))*(1+$V$16)+($V$12*$A23+$V$14/100*$C23)*$V$28+$V$15,2)</f>
        <v>13453.55</v>
      </c>
      <c r="F23" s="1797"/>
      <c r="G23" s="1797">
        <f t="shared" ref="G23:G25" si="15">ROUND($W$10+($W$11*$A23+($W$12*$A23+$W$14/100*$C23)*(1+$W$33))*(1+$W$16)+($W$12*$A23+$W$14/100*$C23)*$W$28+$W$15,2)</f>
        <v>13033.09</v>
      </c>
      <c r="H23" s="1797"/>
      <c r="I23" s="1797">
        <f>IF(G23="","",G23-E23)</f>
        <v>-420.45999999999913</v>
      </c>
      <c r="K23" s="1723">
        <f>IF(I23="","",G23/E23-1)</f>
        <v>-3.125271768417992E-2</v>
      </c>
      <c r="M23" s="1797">
        <f t="shared" ref="M23:M25" si="16">ROUND($V$18+($V$19*$A23+($V$20*$A23+$V$22/100*$C23)*(1+$V$33))*(1+$V$24)+($V$20*$A23+$V$22/100*$C23)*$V$28+$V$23,2)</f>
        <v>11267.11</v>
      </c>
      <c r="N23" s="1797"/>
      <c r="O23" s="1797">
        <f t="shared" ref="O23:O25" si="17">ROUND($W$18+($W$19*$A23+($W$20*$A23+$W$22/100*$C23)*(1+$W$33))*(1+$W$24)+($W$20*$A23+$W$22/100*$C23)*$W$28+$W$23,2)</f>
        <v>11782.45</v>
      </c>
      <c r="P23" s="1797"/>
      <c r="Q23" s="1797">
        <f t="shared" si="0"/>
        <v>515.34000000000015</v>
      </c>
      <c r="S23" s="1723">
        <f t="shared" si="1"/>
        <v>4.5738436919493974E-2</v>
      </c>
      <c r="U23" s="1736" t="s">
        <v>1133</v>
      </c>
      <c r="V23" s="1773">
        <f>V15</f>
        <v>5.6</v>
      </c>
      <c r="W23" s="1805">
        <f>W15</f>
        <v>5.6</v>
      </c>
    </row>
    <row r="24" spans="1:24">
      <c r="A24" s="1798">
        <f>A23</f>
        <v>500</v>
      </c>
      <c r="C24" s="1707">
        <v>200000</v>
      </c>
      <c r="E24" s="1797">
        <f t="shared" si="14"/>
        <v>17324.75</v>
      </c>
      <c r="F24" s="1797"/>
      <c r="G24" s="1797">
        <f t="shared" si="15"/>
        <v>17051.439999999999</v>
      </c>
      <c r="H24" s="1797"/>
      <c r="I24" s="1797">
        <f>IF(G24="","",G24-E24)</f>
        <v>-273.31000000000131</v>
      </c>
      <c r="K24" s="1723">
        <f>IF(I24="","",G24/E24-1)</f>
        <v>-1.5775696618998913E-2</v>
      </c>
      <c r="M24" s="1797">
        <f t="shared" si="16"/>
        <v>14835.33</v>
      </c>
      <c r="N24" s="1797"/>
      <c r="O24" s="1797">
        <f t="shared" si="17"/>
        <v>15338.51</v>
      </c>
      <c r="P24" s="1797"/>
      <c r="Q24" s="1797">
        <f t="shared" si="0"/>
        <v>503.18000000000029</v>
      </c>
      <c r="S24" s="1723">
        <f t="shared" si="1"/>
        <v>3.3917681642403608E-2</v>
      </c>
      <c r="U24" s="1759" t="s">
        <v>1718</v>
      </c>
      <c r="V24" s="1768">
        <f>V16</f>
        <v>3.9899999999999998E-2</v>
      </c>
      <c r="W24" s="1769">
        <f>W16</f>
        <v>3.9899999999999998E-2</v>
      </c>
    </row>
    <row r="25" spans="1:24">
      <c r="A25" s="1798">
        <f>A24</f>
        <v>500</v>
      </c>
      <c r="C25" s="1707">
        <v>300000</v>
      </c>
      <c r="E25" s="1797">
        <f t="shared" si="14"/>
        <v>21195.95</v>
      </c>
      <c r="F25" s="1797"/>
      <c r="G25" s="1797">
        <f t="shared" si="15"/>
        <v>21069.79</v>
      </c>
      <c r="H25" s="1797"/>
      <c r="I25" s="1797">
        <f>IF(G25="","",G25-E25)</f>
        <v>-126.15999999999985</v>
      </c>
      <c r="K25" s="1723">
        <f>IF(I25="","",G25/E25-1)</f>
        <v>-5.952080468202614E-3</v>
      </c>
      <c r="M25" s="1797">
        <f t="shared" si="16"/>
        <v>18403.55</v>
      </c>
      <c r="N25" s="1797"/>
      <c r="O25" s="1797">
        <f t="shared" si="17"/>
        <v>18894.57</v>
      </c>
      <c r="P25" s="1797"/>
      <c r="Q25" s="1797">
        <f t="shared" si="0"/>
        <v>491.02000000000044</v>
      </c>
      <c r="S25" s="1723">
        <f t="shared" si="1"/>
        <v>2.6680721925932849E-2</v>
      </c>
      <c r="X25" s="1808"/>
    </row>
    <row r="26" spans="1:24">
      <c r="E26" s="1797"/>
      <c r="F26" s="1797"/>
      <c r="G26" s="1797"/>
      <c r="H26" s="1797"/>
      <c r="I26" s="1797"/>
      <c r="K26" s="1723"/>
      <c r="M26" s="1797"/>
      <c r="N26" s="1797"/>
      <c r="O26" s="1797"/>
      <c r="P26" s="1797"/>
      <c r="Q26" s="1797" t="str">
        <f t="shared" si="0"/>
        <v/>
      </c>
      <c r="S26" s="1723" t="str">
        <f t="shared" si="1"/>
        <v/>
      </c>
      <c r="W26" s="1808"/>
    </row>
    <row r="27" spans="1:24">
      <c r="A27" s="1707">
        <v>1000</v>
      </c>
      <c r="C27" s="1707">
        <v>200000</v>
      </c>
      <c r="E27" s="1797">
        <f t="shared" ref="E27:E29" si="18">ROUND($V$10+($V$11*$A27+($V$12*$A27+$V$14/100*$C27)*(1+$V$33))*(1+$V$16)+($V$12*$A27+$V$14/100*$C27)*$V$28+$V$15,2)</f>
        <v>26847.5</v>
      </c>
      <c r="F27" s="1797"/>
      <c r="G27" s="1797">
        <f t="shared" ref="G27:G28" si="19">ROUND($W$10+($W$11*$A27+($W$12*$A27+$W$14/100*$C27)*(1+$W$33))*(1+$W$16)+($W$12*$A27+$W$14/100*$C27)*$W$28+$W$15,2)</f>
        <v>26006.59</v>
      </c>
      <c r="H27" s="1797"/>
      <c r="I27" s="1797">
        <f>IF(G27="","",G27-E27)</f>
        <v>-840.90999999999985</v>
      </c>
      <c r="K27" s="1723">
        <f>IF(I27="","",G27/E27-1)</f>
        <v>-3.1321724555358976E-2</v>
      </c>
      <c r="M27" s="1797">
        <f t="shared" ref="M27:M28" si="20">ROUND($V$18+($V$19*$A27+($V$20*$A27+$V$22/100*$C27)*(1+$V$33))*(1+$V$24)+($V$20*$A27+$V$22/100*$C27)*$V$28+$V$23,2)</f>
        <v>22474.63</v>
      </c>
      <c r="N27" s="1797"/>
      <c r="O27" s="1797">
        <f t="shared" ref="O27:O29" si="21">ROUND($W$18+($W$19*$A27+($W$20*$A27+$W$22/100*$C27)*(1+$W$33))*(1+$W$24)+($W$20*$A27+$W$22/100*$C27)*$W$28+$W$23,2)</f>
        <v>23505.29</v>
      </c>
      <c r="P27" s="1797"/>
      <c r="Q27" s="1797">
        <f t="shared" si="0"/>
        <v>1030.6599999999999</v>
      </c>
      <c r="S27" s="1723">
        <f t="shared" si="1"/>
        <v>4.5858819477784474E-2</v>
      </c>
      <c r="U27" s="1702" t="s">
        <v>1684</v>
      </c>
      <c r="V27" s="1799">
        <v>0</v>
      </c>
      <c r="W27" s="1799">
        <v>0</v>
      </c>
    </row>
    <row r="28" spans="1:24">
      <c r="A28" s="1798">
        <f>A27</f>
        <v>1000</v>
      </c>
      <c r="C28" s="1707">
        <v>400000</v>
      </c>
      <c r="E28" s="1797">
        <f t="shared" si="18"/>
        <v>34589.9</v>
      </c>
      <c r="F28" s="1797"/>
      <c r="G28" s="1797">
        <f t="shared" si="19"/>
        <v>34043.279999999999</v>
      </c>
      <c r="H28" s="1797"/>
      <c r="I28" s="1797">
        <f>IF(G28="","",G28-E28)</f>
        <v>-546.62000000000262</v>
      </c>
      <c r="K28" s="1723">
        <f>IF(I28="","",G28/E28-1)</f>
        <v>-1.5802878875047388E-2</v>
      </c>
      <c r="M28" s="1797">
        <f t="shared" si="20"/>
        <v>29611.07</v>
      </c>
      <c r="N28" s="1797"/>
      <c r="O28" s="1797">
        <f t="shared" si="21"/>
        <v>30617.41</v>
      </c>
      <c r="P28" s="1797"/>
      <c r="Q28" s="1797">
        <f t="shared" si="0"/>
        <v>1006.3400000000001</v>
      </c>
      <c r="S28" s="1723">
        <f t="shared" si="1"/>
        <v>3.3985262943892369E-2</v>
      </c>
      <c r="U28" s="1702" t="s">
        <v>1720</v>
      </c>
      <c r="V28" s="1765">
        <v>-3.61E-2</v>
      </c>
      <c r="W28" s="1808">
        <f>'Blocking-Step2'!Q687</f>
        <v>-2.76E-2</v>
      </c>
    </row>
    <row r="29" spans="1:24">
      <c r="A29" s="1798">
        <f>A28</f>
        <v>1000</v>
      </c>
      <c r="C29" s="1707">
        <v>600000</v>
      </c>
      <c r="E29" s="1797">
        <f t="shared" si="18"/>
        <v>42332.3</v>
      </c>
      <c r="F29" s="1797"/>
      <c r="G29" s="1797">
        <f>ROUND($W$10+($W$11*$A29+($W$12*$A29+$W$14/100*$C29)*(1+$W$33))*(1+$W$16)+($W$12*$A29+$W$14/100*$C29)*$W$28+$W$15,2)</f>
        <v>42079.98</v>
      </c>
      <c r="H29" s="1797"/>
      <c r="I29" s="1797">
        <f>IF(G29="","",G29-E29)</f>
        <v>-252.31999999999971</v>
      </c>
      <c r="K29" s="1723">
        <f>IF(I29="","",G29/E29-1)</f>
        <v>-5.9604604521842353E-3</v>
      </c>
      <c r="M29" s="1797">
        <f>ROUND($V$18+($V$19*$A29+($V$20*$A29+$V$22/100*$C29)*(1+$V$33))*(1+$V$24)+($V$20*$A29+$V$22/100*$C29)*$V$28+$V$23,2)</f>
        <v>36747.5</v>
      </c>
      <c r="N29" s="1797"/>
      <c r="O29" s="1797">
        <f t="shared" si="21"/>
        <v>37729.54</v>
      </c>
      <c r="P29" s="1797"/>
      <c r="Q29" s="1797">
        <f t="shared" si="0"/>
        <v>982.04000000000087</v>
      </c>
      <c r="S29" s="1723">
        <f t="shared" si="1"/>
        <v>2.6723994829580322E-2</v>
      </c>
      <c r="U29" s="1702" t="s">
        <v>1721</v>
      </c>
      <c r="V29" s="1765">
        <v>3.8999999999999998E-3</v>
      </c>
      <c r="W29" s="1808">
        <f>V29</f>
        <v>3.8999999999999998E-3</v>
      </c>
    </row>
    <row r="30" spans="1:24">
      <c r="U30" s="1702" t="s">
        <v>1722</v>
      </c>
      <c r="V30" s="1803">
        <v>3.5999999999999997E-2</v>
      </c>
      <c r="W30" s="1808">
        <f>V30</f>
        <v>3.5999999999999997E-2</v>
      </c>
    </row>
    <row r="31" spans="1:24" ht="15.75">
      <c r="A31" s="1770" t="s">
        <v>1723</v>
      </c>
      <c r="U31" s="1702" t="s">
        <v>1685</v>
      </c>
      <c r="V31" s="1765">
        <v>1.06E-2</v>
      </c>
      <c r="W31" s="1809">
        <f>V31</f>
        <v>1.06E-2</v>
      </c>
    </row>
    <row r="32" spans="1:24" ht="15.75">
      <c r="A32" s="1770"/>
      <c r="U32" s="1704" t="s">
        <v>1686</v>
      </c>
      <c r="V32" s="1765">
        <v>5.0000000000000001E-4</v>
      </c>
      <c r="W32" s="1809">
        <f>V32</f>
        <v>5.0000000000000001E-4</v>
      </c>
    </row>
    <row r="33" spans="21:23">
      <c r="U33" s="1702" t="s">
        <v>1687</v>
      </c>
      <c r="V33" s="1752">
        <f>SUM(V31:V32)</f>
        <v>1.11E-2</v>
      </c>
      <c r="W33" s="1752">
        <f>SUM(W31:W32)</f>
        <v>1.11E-2</v>
      </c>
    </row>
  </sheetData>
  <printOptions horizontalCentered="1"/>
  <pageMargins left="0.75" right="0.75" top="1" bottom="1" header="0.5" footer="0.5"/>
  <pageSetup scale="92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C68"/>
  <sheetViews>
    <sheetView view="pageBreakPreview" topLeftCell="B1" zoomScaleNormal="100" zoomScaleSheetLayoutView="100" workbookViewId="0">
      <selection activeCell="AA8" sqref="AA8"/>
    </sheetView>
  </sheetViews>
  <sheetFormatPr defaultColWidth="8" defaultRowHeight="12.75"/>
  <cols>
    <col min="1" max="1" width="8.25" style="1707" bestFit="1" customWidth="1"/>
    <col min="2" max="2" width="0.75" style="1707" customWidth="1"/>
    <col min="3" max="3" width="9.625" style="1707" bestFit="1" customWidth="1"/>
    <col min="4" max="4" width="1" style="1704" customWidth="1"/>
    <col min="5" max="5" width="6.75" style="1707" bestFit="1" customWidth="1"/>
    <col min="6" max="6" width="7.25" style="1707" bestFit="1" customWidth="1"/>
    <col min="7" max="7" width="9.75" style="1707" customWidth="1"/>
    <col min="8" max="8" width="1.25" style="1704" customWidth="1"/>
    <col min="9" max="9" width="9.625" style="1708" bestFit="1" customWidth="1"/>
    <col min="10" max="10" width="0.75" style="1704" customWidth="1"/>
    <col min="11" max="11" width="9.625" style="1708" bestFit="1" customWidth="1"/>
    <col min="12" max="12" width="1" style="1704" customWidth="1"/>
    <col min="13" max="13" width="8.625" style="1704" bestFit="1" customWidth="1"/>
    <col min="14" max="14" width="0.75" style="1704" customWidth="1"/>
    <col min="15" max="15" width="5.5" style="1704" bestFit="1" customWidth="1"/>
    <col min="16" max="16" width="1.25" style="1704" customWidth="1"/>
    <col min="17" max="17" width="9.625" style="1708" bestFit="1" customWidth="1"/>
    <col min="18" max="18" width="1" style="1704" customWidth="1"/>
    <col min="19" max="19" width="9.625" style="1708" bestFit="1" customWidth="1"/>
    <col min="20" max="20" width="0.75" style="1704" customWidth="1"/>
    <col min="21" max="21" width="8.5" style="1704" bestFit="1" customWidth="1"/>
    <col min="22" max="22" width="0.75" style="1704" customWidth="1"/>
    <col min="23" max="23" width="5.5" style="1704" bestFit="1" customWidth="1"/>
    <col min="24" max="24" width="2.75" style="1704" customWidth="1"/>
    <col min="25" max="25" width="16" style="1704" bestFit="1" customWidth="1"/>
    <col min="26" max="26" width="8.25" style="1704" bestFit="1" customWidth="1"/>
    <col min="27" max="27" width="9.75" style="1704" bestFit="1" customWidth="1"/>
    <col min="28" max="28" width="9.625" style="1704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1690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1691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>
      <c r="A5" s="1810"/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N5" s="1698"/>
      <c r="P5" s="1698"/>
      <c r="Q5" s="1699"/>
      <c r="R5" s="1698"/>
      <c r="S5" s="1699"/>
      <c r="T5" s="1698"/>
      <c r="V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  <c r="Z7" s="1715"/>
      <c r="AA7" s="1715"/>
      <c r="AB7" s="1715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467</v>
      </c>
      <c r="Z8" s="1790" t="s">
        <v>216</v>
      </c>
      <c r="AA8" s="1726" t="s">
        <v>2334</v>
      </c>
      <c r="AB8" s="1715"/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216</v>
      </c>
      <c r="K10" s="1718" t="s">
        <v>2334</v>
      </c>
      <c r="M10" s="1719" t="s">
        <v>1399</v>
      </c>
      <c r="O10" s="1720" t="s">
        <v>465</v>
      </c>
      <c r="Q10" s="1717" t="s">
        <v>216</v>
      </c>
      <c r="S10" s="1718" t="s">
        <v>2334</v>
      </c>
      <c r="U10" s="1719" t="s">
        <v>1399</v>
      </c>
      <c r="W10" s="1720" t="s">
        <v>465</v>
      </c>
      <c r="Y10" s="1736" t="s">
        <v>1678</v>
      </c>
      <c r="Z10" s="1795">
        <v>70</v>
      </c>
      <c r="AA10" s="1796">
        <f>'Blocking-Step2'!Q1377</f>
        <v>71</v>
      </c>
      <c r="AB10" s="1795"/>
    </row>
    <row r="11" spans="1:29" ht="16.5" customHeight="1">
      <c r="A11" s="1707">
        <v>1000</v>
      </c>
      <c r="C11" s="1707">
        <f>A11*0.5*730</f>
        <v>365000</v>
      </c>
      <c r="E11" s="1767">
        <v>0.6</v>
      </c>
      <c r="F11" s="1767">
        <f>('Large Profile'!$M$6)/('Large Profile'!$E$6)*E11</f>
        <v>0.47838269954015672</v>
      </c>
      <c r="G11" s="1767">
        <f>('Large Profile'!$Q$6)/('Large Profile'!$I$6)*E11</f>
        <v>0.29591204321862258</v>
      </c>
      <c r="I11" s="1797">
        <f>ROUND($Z$10+(($Z$11+$Z$13)*$A11+($Z$12*$A11+($Z$14*$E11+$Z$15*(1-$E11))/100*$C11)*(1+$Z$35))*(1+$Z$17)+($Z$12*$A11+($Z$14*$E11+$Z$15*(1-$E11))/100*$C11)*$Z$30+$Z$16,2)</f>
        <v>36101.42</v>
      </c>
      <c r="J11" s="1797"/>
      <c r="K11" s="1797">
        <f>ROUND($AA$10+(($AA$11+$AA$13)*$A11+($AA$12*$A11+($AA$14*$F11+$AA$15*(1-$F11))/100*$C11)*(1+$AA$35))*(1+$AA$17)+($AA$12*$A11+($AA$14*$F11+$AA$15*(1-$F11))/100*$C11)*$AA$30+$AA$16,2)</f>
        <v>36523.599999999999</v>
      </c>
      <c r="L11" s="1797"/>
      <c r="M11" s="1797">
        <f t="shared" ref="M11:M59" si="0">IF(K11="","",K11-I11)</f>
        <v>422.18000000000029</v>
      </c>
      <c r="O11" s="1814">
        <f t="shared" ref="O11:O59" si="1">IF(M11="","",K11/I11-1)</f>
        <v>1.1694276845619855E-2</v>
      </c>
      <c r="Q11" s="1797">
        <f>ROUND($Z$19+(($Z$20+$Z$22)*$A11+($Z$21*$A11+($Z$23*$E11+$Z$24*(1-$E11))/100*$C11)*(1+$Z$35))*(1+$Z$26)+($Z$21*$A11+($Z$23*$E11+$Z$24*(1-$E11))/100*$C11)*$Z$30+$Z$25,2)</f>
        <v>29195.3</v>
      </c>
      <c r="R11" s="1797"/>
      <c r="S11" s="1797">
        <f>ROUND($AA$19+(($AA$20+$AA$22)*$A11+($AA$21*$A11+($AA$23*$G11+$AA$24*(1-$G11))/100*$C11)*(1+$AA$35))*(1+$AA$26)+($AA$21*$A11+($AA$23*$G11+$AA$24*(1-$G11))/100*$C11)*$AA$30+$AA$25,2)</f>
        <v>24476.2</v>
      </c>
      <c r="T11" s="1797"/>
      <c r="U11" s="1797">
        <f t="shared" ref="U11:U59" si="2">IF(S11="","",S11-Q11)</f>
        <v>-4719.0999999999985</v>
      </c>
      <c r="W11" s="1814">
        <f t="shared" ref="W11:W59" si="3">IF(U11="","",S11/Q11-1)</f>
        <v>-0.1616390309399115</v>
      </c>
      <c r="Y11" s="1736" t="s">
        <v>1694</v>
      </c>
      <c r="Z11" s="1795">
        <v>4.76</v>
      </c>
      <c r="AA11" s="1796">
        <f>'Blocking-Step2'!Q1378</f>
        <v>4.84</v>
      </c>
      <c r="AB11" s="1795"/>
      <c r="AC11" s="1715"/>
    </row>
    <row r="12" spans="1:29">
      <c r="A12" s="1815">
        <f>A11</f>
        <v>1000</v>
      </c>
      <c r="C12" s="1815">
        <f>C11</f>
        <v>365000</v>
      </c>
      <c r="E12" s="1767">
        <v>0.5</v>
      </c>
      <c r="F12" s="1767">
        <f>('Large Profile'!$M$6)/('Large Profile'!$E$6)*E12</f>
        <v>0.39865224961679729</v>
      </c>
      <c r="G12" s="1767">
        <f>('Large Profile'!$Q$6)/('Large Profile'!$I$6)*E12</f>
        <v>0.24659336934885218</v>
      </c>
      <c r="I12" s="1797">
        <f t="shared" ref="I12:I19" si="4">ROUND($Z$10+(($Z$11+$Z$13)*$A12+($Z$12*$A12+($Z$14*$E12+$Z$15*(1-$E12))/100*$C12)*(1+$Z$35))*(1+$Z$17)+($Z$12*$A12+($Z$14*$E12+$Z$15*(1-$E12))/100*$C12)*$Z$30+$Z$16,2)</f>
        <v>35488.19</v>
      </c>
      <c r="J12" s="1797"/>
      <c r="K12" s="1797">
        <f t="shared" ref="K12:K19" si="5">ROUND($AA$10+(($AA$11+$AA$13)*$A12+($AA$12*$A12+($AA$14*$F12+$AA$15*(1-$F12))/100*$C12)*(1+$AA$35))*(1+$AA$17)+($AA$12*$A12+($AA$14*$F12+$AA$15*(1-$F12))/100*$C12)*$AA$30+$AA$16,2)</f>
        <v>35663.230000000003</v>
      </c>
      <c r="L12" s="1797"/>
      <c r="M12" s="1797">
        <f t="shared" si="0"/>
        <v>175.04000000000087</v>
      </c>
      <c r="O12" s="1814">
        <f t="shared" si="1"/>
        <v>4.9323450984679607E-3</v>
      </c>
      <c r="Q12" s="1797">
        <f t="shared" ref="Q12:Q19" si="6">ROUND($Z$19+(($Z$20+$Z$22)*$A12+($Z$21*$A12+($Z$23*$E12+$Z$24*(1-$E12))/100*$C12)*(1+$Z$35))*(1+$Z$26)+($Z$21*$A12+($Z$23*$E12+$Z$24*(1-$E12))/100*$C12)*$Z$30+$Z$25,2)</f>
        <v>28990.21</v>
      </c>
      <c r="R12" s="1797"/>
      <c r="S12" s="1797">
        <f t="shared" ref="S12:S19" si="7">ROUND($AA$19+(($AA$20+$AA$22)*$A12+($AA$21*$A12+($AA$23*$G12+$AA$24*(1-$G12))/100*$C12)*(1+$AA$35))*(1+$AA$26)+($AA$21*$A12+($AA$23*$G12+$AA$24*(1-$G12))/100*$C12)*$AA$30+$AA$25,2)</f>
        <v>24005.23</v>
      </c>
      <c r="T12" s="1797"/>
      <c r="U12" s="1797">
        <f t="shared" si="2"/>
        <v>-4984.9799999999996</v>
      </c>
      <c r="W12" s="1814">
        <f t="shared" si="3"/>
        <v>-0.17195391133765503</v>
      </c>
      <c r="Y12" s="1736" t="s">
        <v>1695</v>
      </c>
      <c r="Z12" s="1795">
        <v>15.56</v>
      </c>
      <c r="AA12" s="1796">
        <f>'Blocking-Step2'!Q1379</f>
        <v>15.83</v>
      </c>
      <c r="AB12" s="1795"/>
      <c r="AC12" s="1715"/>
    </row>
    <row r="13" spans="1:29">
      <c r="A13" s="1815">
        <f>A12</f>
        <v>1000</v>
      </c>
      <c r="C13" s="1815">
        <f>C12</f>
        <v>365000</v>
      </c>
      <c r="E13" s="1767">
        <v>0.4</v>
      </c>
      <c r="F13" s="1767">
        <f>('Large Profile'!$M$6)/('Large Profile'!$E$6)*E13</f>
        <v>0.31892179969343787</v>
      </c>
      <c r="G13" s="1767">
        <f>('Large Profile'!$Q$6)/('Large Profile'!$I$6)*E13</f>
        <v>0.19727469547908175</v>
      </c>
      <c r="I13" s="1797">
        <f t="shared" si="4"/>
        <v>34874.949999999997</v>
      </c>
      <c r="J13" s="1797"/>
      <c r="K13" s="1797">
        <f t="shared" si="5"/>
        <v>34802.86</v>
      </c>
      <c r="L13" s="1797"/>
      <c r="M13" s="1797">
        <f t="shared" si="0"/>
        <v>-72.089999999996508</v>
      </c>
      <c r="O13" s="1814">
        <f t="shared" si="1"/>
        <v>-2.0670997377773004E-3</v>
      </c>
      <c r="Q13" s="1797">
        <f t="shared" si="6"/>
        <v>28785.11</v>
      </c>
      <c r="R13" s="1797"/>
      <c r="S13" s="1797">
        <f t="shared" si="7"/>
        <v>23534.26</v>
      </c>
      <c r="T13" s="1797"/>
      <c r="U13" s="1797">
        <f t="shared" si="2"/>
        <v>-5250.8500000000022</v>
      </c>
      <c r="W13" s="1814">
        <f t="shared" si="3"/>
        <v>-0.18241549189841566</v>
      </c>
      <c r="Y13" s="1736" t="s">
        <v>1680</v>
      </c>
      <c r="Z13" s="1795">
        <v>-1.1299999999999999</v>
      </c>
      <c r="AA13" s="1796">
        <f>'Blocking-Step2'!Q1387</f>
        <v>-1.1299999999999999</v>
      </c>
      <c r="AB13" s="1795"/>
      <c r="AC13" s="1715"/>
    </row>
    <row r="14" spans="1:29">
      <c r="A14" s="1815">
        <f>A13</f>
        <v>1000</v>
      </c>
      <c r="C14" s="1707">
        <f>A11*0.7*730</f>
        <v>511000</v>
      </c>
      <c r="E14" s="1767">
        <f t="shared" ref="E14:E19" si="8">E11</f>
        <v>0.6</v>
      </c>
      <c r="F14" s="1767">
        <f>('Large Profile'!$M$6)/('Large Profile'!$E$6)*E14</f>
        <v>0.47838269954015672</v>
      </c>
      <c r="G14" s="1767">
        <f>('Large Profile'!$Q$6)/('Large Profile'!$I$6)*E14</f>
        <v>0.29591204321862258</v>
      </c>
      <c r="I14" s="1797">
        <f t="shared" si="4"/>
        <v>42636.62</v>
      </c>
      <c r="J14" s="1797"/>
      <c r="K14" s="1797">
        <f t="shared" si="5"/>
        <v>43050.3</v>
      </c>
      <c r="L14" s="1797"/>
      <c r="M14" s="1797">
        <f t="shared" si="0"/>
        <v>413.68000000000029</v>
      </c>
      <c r="O14" s="1814">
        <f t="shared" si="1"/>
        <v>9.7024576526001383E-3</v>
      </c>
      <c r="Q14" s="1797">
        <f t="shared" si="6"/>
        <v>34750.959999999999</v>
      </c>
      <c r="R14" s="1797"/>
      <c r="S14" s="1797">
        <f t="shared" si="7"/>
        <v>29555.040000000001</v>
      </c>
      <c r="T14" s="1797"/>
      <c r="U14" s="1797">
        <f t="shared" si="2"/>
        <v>-5195.9199999999983</v>
      </c>
      <c r="W14" s="1814">
        <f t="shared" si="3"/>
        <v>-0.14951874710799351</v>
      </c>
      <c r="Y14" s="1736" t="s">
        <v>1696</v>
      </c>
      <c r="Z14" s="1799">
        <v>5.0473999999999997</v>
      </c>
      <c r="AA14" s="1800">
        <f>'Blocking-Step2'!Q1381</f>
        <v>5.8642704152740004</v>
      </c>
      <c r="AB14" s="1801"/>
      <c r="AC14" s="1816"/>
    </row>
    <row r="15" spans="1:29">
      <c r="A15" s="1815">
        <f>A14</f>
        <v>1000</v>
      </c>
      <c r="C15" s="1815">
        <f>C14</f>
        <v>511000</v>
      </c>
      <c r="E15" s="1767">
        <f t="shared" si="8"/>
        <v>0.5</v>
      </c>
      <c r="F15" s="1767">
        <f>('Large Profile'!$M$6)/('Large Profile'!$E$6)*E15</f>
        <v>0.39865224961679729</v>
      </c>
      <c r="G15" s="1767">
        <f>('Large Profile'!$Q$6)/('Large Profile'!$I$6)*E15</f>
        <v>0.24659336934885218</v>
      </c>
      <c r="I15" s="1797">
        <f t="shared" si="4"/>
        <v>41778.089999999997</v>
      </c>
      <c r="J15" s="1797"/>
      <c r="K15" s="1797">
        <f t="shared" si="5"/>
        <v>41845.78</v>
      </c>
      <c r="L15" s="1797"/>
      <c r="M15" s="1797">
        <f t="shared" si="0"/>
        <v>67.690000000002328</v>
      </c>
      <c r="O15" s="1814">
        <f t="shared" si="1"/>
        <v>1.6202272530889683E-3</v>
      </c>
      <c r="Q15" s="1797">
        <f t="shared" si="6"/>
        <v>34463.83</v>
      </c>
      <c r="R15" s="1797"/>
      <c r="S15" s="1797">
        <f t="shared" si="7"/>
        <v>28895.68</v>
      </c>
      <c r="T15" s="1797"/>
      <c r="U15" s="1797">
        <f t="shared" si="2"/>
        <v>-5568.1500000000015</v>
      </c>
      <c r="W15" s="1814">
        <f t="shared" si="3"/>
        <v>-0.16156503789625243</v>
      </c>
      <c r="Y15" s="1736" t="s">
        <v>1697</v>
      </c>
      <c r="Z15" s="1799">
        <v>3.4001999999999999</v>
      </c>
      <c r="AA15" s="1800">
        <f>'Blocking-Step2'!Q1383</f>
        <v>2.9807055047420001</v>
      </c>
      <c r="AB15" s="1801"/>
      <c r="AC15" s="1816"/>
    </row>
    <row r="16" spans="1:29">
      <c r="A16" s="1815">
        <f>A15</f>
        <v>1000</v>
      </c>
      <c r="C16" s="1815">
        <f>C15</f>
        <v>511000</v>
      </c>
      <c r="E16" s="1767">
        <f t="shared" si="8"/>
        <v>0.4</v>
      </c>
      <c r="F16" s="1767">
        <f>('Large Profile'!$M$6)/('Large Profile'!$E$6)*E16</f>
        <v>0.31892179969343787</v>
      </c>
      <c r="G16" s="1767">
        <f>('Large Profile'!$Q$6)/('Large Profile'!$I$6)*E16</f>
        <v>0.19727469547908175</v>
      </c>
      <c r="I16" s="1797">
        <f t="shared" si="4"/>
        <v>40919.56</v>
      </c>
      <c r="J16" s="1797"/>
      <c r="K16" s="1797">
        <f t="shared" si="5"/>
        <v>40641.26</v>
      </c>
      <c r="L16" s="1797"/>
      <c r="M16" s="1797">
        <f t="shared" si="0"/>
        <v>-278.29999999999563</v>
      </c>
      <c r="O16" s="1814">
        <f t="shared" si="1"/>
        <v>-6.8011483994450117E-3</v>
      </c>
      <c r="Q16" s="1797">
        <f t="shared" si="6"/>
        <v>34176.699999999997</v>
      </c>
      <c r="R16" s="1797"/>
      <c r="S16" s="1797">
        <f t="shared" si="7"/>
        <v>28236.32</v>
      </c>
      <c r="T16" s="1797"/>
      <c r="U16" s="1797">
        <f t="shared" si="2"/>
        <v>-5940.3799999999974</v>
      </c>
      <c r="W16" s="1814">
        <f t="shared" si="3"/>
        <v>-0.17381373859968918</v>
      </c>
      <c r="Y16" s="1736" t="s">
        <v>1133</v>
      </c>
      <c r="Z16" s="1795">
        <v>50</v>
      </c>
      <c r="AA16" s="1802">
        <f>Z16</f>
        <v>50</v>
      </c>
      <c r="AB16" s="1795"/>
      <c r="AC16" s="1715"/>
    </row>
    <row r="17" spans="1:29">
      <c r="A17" s="1815">
        <f>A14</f>
        <v>1000</v>
      </c>
      <c r="C17" s="1707">
        <f>A11*0.9*730</f>
        <v>657000</v>
      </c>
      <c r="E17" s="1767">
        <f t="shared" si="8"/>
        <v>0.6</v>
      </c>
      <c r="F17" s="1767">
        <f>('Large Profile'!$M$6)/('Large Profile'!$E$6)*E17</f>
        <v>0.47838269954015672</v>
      </c>
      <c r="G17" s="1767">
        <f>('Large Profile'!$Q$6)/('Large Profile'!$I$6)*E17</f>
        <v>0.29591204321862258</v>
      </c>
      <c r="I17" s="1797">
        <f t="shared" si="4"/>
        <v>49171.83</v>
      </c>
      <c r="J17" s="1797"/>
      <c r="K17" s="1797">
        <f t="shared" si="5"/>
        <v>49576.99</v>
      </c>
      <c r="L17" s="1797"/>
      <c r="M17" s="1797">
        <f t="shared" si="0"/>
        <v>405.15999999999622</v>
      </c>
      <c r="O17" s="1814">
        <f t="shared" si="1"/>
        <v>8.2396770671335773E-3</v>
      </c>
      <c r="Q17" s="1797">
        <f t="shared" si="6"/>
        <v>40306.629999999997</v>
      </c>
      <c r="R17" s="1797"/>
      <c r="S17" s="1797">
        <f t="shared" si="7"/>
        <v>34633.870000000003</v>
      </c>
      <c r="T17" s="1797"/>
      <c r="U17" s="1797">
        <f t="shared" si="2"/>
        <v>-5672.7599999999948</v>
      </c>
      <c r="W17" s="1814">
        <f t="shared" si="3"/>
        <v>-0.1407401214142685</v>
      </c>
      <c r="Y17" s="1736" t="s">
        <v>1718</v>
      </c>
      <c r="Z17" s="1803">
        <f>Z32+Z31</f>
        <v>3.9300000000000002E-2</v>
      </c>
      <c r="AA17" s="1804">
        <f>Z17</f>
        <v>3.9300000000000002E-2</v>
      </c>
      <c r="AB17" s="1803"/>
      <c r="AC17" s="1715"/>
    </row>
    <row r="18" spans="1:29" ht="13.5">
      <c r="A18" s="1815">
        <f>A15</f>
        <v>1000</v>
      </c>
      <c r="C18" s="1815">
        <f>C17</f>
        <v>657000</v>
      </c>
      <c r="E18" s="1767">
        <f t="shared" si="8"/>
        <v>0.5</v>
      </c>
      <c r="F18" s="1767">
        <f>('Large Profile'!$M$6)/('Large Profile'!$E$6)*E18</f>
        <v>0.39865224961679729</v>
      </c>
      <c r="G18" s="1767">
        <f>('Large Profile'!$Q$6)/('Large Profile'!$I$6)*E18</f>
        <v>0.24659336934885218</v>
      </c>
      <c r="I18" s="1797">
        <f t="shared" si="4"/>
        <v>48068</v>
      </c>
      <c r="J18" s="1797"/>
      <c r="K18" s="1797">
        <f t="shared" si="5"/>
        <v>48028.33</v>
      </c>
      <c r="L18" s="1797"/>
      <c r="M18" s="1797">
        <f t="shared" si="0"/>
        <v>-39.669999999998254</v>
      </c>
      <c r="O18" s="1814">
        <f t="shared" si="1"/>
        <v>-8.2528917367064025E-4</v>
      </c>
      <c r="Q18" s="1797">
        <f t="shared" si="6"/>
        <v>39937.46</v>
      </c>
      <c r="R18" s="1797"/>
      <c r="S18" s="1797">
        <f t="shared" si="7"/>
        <v>33786.120000000003</v>
      </c>
      <c r="T18" s="1797"/>
      <c r="U18" s="1797">
        <f t="shared" si="2"/>
        <v>-6151.3399999999965</v>
      </c>
      <c r="W18" s="1814">
        <f t="shared" si="3"/>
        <v>-0.15402431701966013</v>
      </c>
      <c r="Y18" s="1792" t="s">
        <v>80</v>
      </c>
      <c r="Z18" s="1702"/>
      <c r="AA18" s="1732"/>
      <c r="AB18" s="1795"/>
      <c r="AC18" s="1715"/>
    </row>
    <row r="19" spans="1:29">
      <c r="A19" s="1815">
        <f>A16</f>
        <v>1000</v>
      </c>
      <c r="C19" s="1815">
        <f>C18</f>
        <v>657000</v>
      </c>
      <c r="E19" s="1767">
        <f t="shared" si="8"/>
        <v>0.4</v>
      </c>
      <c r="F19" s="1767">
        <f>('Large Profile'!$M$6)/('Large Profile'!$E$6)*E19</f>
        <v>0.31892179969343787</v>
      </c>
      <c r="G19" s="1767">
        <f>('Large Profile'!$Q$6)/('Large Profile'!$I$6)*E19</f>
        <v>0.19727469547908175</v>
      </c>
      <c r="I19" s="1797">
        <f t="shared" si="4"/>
        <v>46964.18</v>
      </c>
      <c r="J19" s="1797"/>
      <c r="K19" s="1797">
        <f t="shared" si="5"/>
        <v>46479.66</v>
      </c>
      <c r="L19" s="1797"/>
      <c r="M19" s="1797">
        <f t="shared" si="0"/>
        <v>-484.5199999999968</v>
      </c>
      <c r="O19" s="1814">
        <f t="shared" si="1"/>
        <v>-1.031679888800352E-2</v>
      </c>
      <c r="Q19" s="1797">
        <f t="shared" si="6"/>
        <v>39568.29</v>
      </c>
      <c r="R19" s="1797"/>
      <c r="S19" s="1797">
        <f t="shared" si="7"/>
        <v>32938.370000000003</v>
      </c>
      <c r="T19" s="1797"/>
      <c r="U19" s="1797">
        <f t="shared" si="2"/>
        <v>-6629.9199999999983</v>
      </c>
      <c r="W19" s="1814">
        <f t="shared" si="3"/>
        <v>-0.16755639427430391</v>
      </c>
      <c r="Y19" s="1736" t="s">
        <v>1678</v>
      </c>
      <c r="Z19" s="1773">
        <f>Z10</f>
        <v>70</v>
      </c>
      <c r="AA19" s="1805">
        <f>AA10</f>
        <v>71</v>
      </c>
      <c r="AB19" s="1773"/>
      <c r="AC19" s="1715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1694</v>
      </c>
      <c r="Z20" s="1773">
        <f>Z11</f>
        <v>4.76</v>
      </c>
      <c r="AA20" s="1805">
        <f>AA11</f>
        <v>4.84</v>
      </c>
      <c r="AB20" s="1773"/>
      <c r="AC20" s="1715"/>
    </row>
    <row r="21" spans="1:29">
      <c r="A21" s="1707">
        <v>2000</v>
      </c>
      <c r="C21" s="1707">
        <f>A21*0.5*730</f>
        <v>730000</v>
      </c>
      <c r="E21" s="1767">
        <v>0.6</v>
      </c>
      <c r="F21" s="1767">
        <f>('Large Profile'!$M$6)/('Large Profile'!$E$6)*E21</f>
        <v>0.47838269954015672</v>
      </c>
      <c r="G21" s="1767">
        <f>('Large Profile'!$Q$6)/('Large Profile'!$I$6)*E21</f>
        <v>0.29591204321862258</v>
      </c>
      <c r="I21" s="1797">
        <f t="shared" ref="I21:I29" si="9">ROUND($Z$10+(($Z$11+$Z$13)*$A21+($Z$12*$A21+($Z$14*$E21+$Z$15*(1-$E21))/100*$C21)*(1+$Z$35))*(1+$Z$17)+($Z$12*$A21+($Z$14*$E21+$Z$15*(1-$E21))/100*$C21)*$Z$30+$Z$16,2)</f>
        <v>72082.84</v>
      </c>
      <c r="J21" s="1797"/>
      <c r="K21" s="1797">
        <f t="shared" ref="K21:K29" si="10">ROUND($AA$10+(($AA$11+$AA$13)*$A21+($AA$12*$A21+($AA$14*$F21+$AA$15*(1-$F21))/100*$C21)*(1+$AA$35))*(1+$AA$17)+($AA$12*$A21+($AA$14*$F21+$AA$15*(1-$F21))/100*$C21)*$AA$30+$AA$16,2)</f>
        <v>72926.19</v>
      </c>
      <c r="L21" s="1797"/>
      <c r="M21" s="1797">
        <f t="shared" si="0"/>
        <v>843.35000000000582</v>
      </c>
      <c r="O21" s="1814">
        <f t="shared" si="1"/>
        <v>1.1699733251353761E-2</v>
      </c>
      <c r="Q21" s="1797">
        <f t="shared" ref="Q21:Q29" si="11">ROUND($Z$19+(($Z$20+$Z$22)*$A21+($Z$21*$A21+($Z$23*$E21+$Z$24*(1-$E21))/100*$C21)*(1+$Z$35))*(1+$Z$26)+($Z$21*$A21+($Z$23*$E21+$Z$24*(1-$E21))/100*$C21)*$Z$30+$Z$25,2)</f>
        <v>58270.6</v>
      </c>
      <c r="R21" s="1797"/>
      <c r="S21" s="1797">
        <f t="shared" ref="S21:S29" si="12">ROUND($AA$19+(($AA$20+$AA$22)*$A21+($AA$21*$A21+($AA$23*$G21+$AA$24*(1-$G21))/100*$C21)*(1+$AA$35))*(1+$AA$26)+($AA$21*$A21+($AA$23*$G21+$AA$24*(1-$G21))/100*$C21)*$AA$30+$AA$25,2)</f>
        <v>48831.41</v>
      </c>
      <c r="T21" s="1797"/>
      <c r="U21" s="1797">
        <f t="shared" si="2"/>
        <v>-9439.1899999999951</v>
      </c>
      <c r="W21" s="1814">
        <f t="shared" si="3"/>
        <v>-0.16198889319828513</v>
      </c>
      <c r="Y21" s="1736" t="s">
        <v>1695</v>
      </c>
      <c r="Z21" s="1795">
        <v>11.19</v>
      </c>
      <c r="AA21" s="1796">
        <f>'Blocking-Step2'!M1380</f>
        <v>7.6099999999999994</v>
      </c>
      <c r="AB21" s="1795"/>
      <c r="AC21" s="1715"/>
    </row>
    <row r="22" spans="1:29">
      <c r="A22" s="1815">
        <f>A21</f>
        <v>2000</v>
      </c>
      <c r="C22" s="1815">
        <f>C21</f>
        <v>730000</v>
      </c>
      <c r="E22" s="1767">
        <v>0.5</v>
      </c>
      <c r="F22" s="1767">
        <f>('Large Profile'!$M$6)/('Large Profile'!$E$6)*E22</f>
        <v>0.39865224961679729</v>
      </c>
      <c r="G22" s="1767">
        <f>('Large Profile'!$Q$6)/('Large Profile'!$I$6)*E22</f>
        <v>0.24659336934885218</v>
      </c>
      <c r="I22" s="1797">
        <f t="shared" si="9"/>
        <v>70856.37</v>
      </c>
      <c r="J22" s="1797"/>
      <c r="K22" s="1797">
        <f t="shared" si="10"/>
        <v>71205.45</v>
      </c>
      <c r="L22" s="1797"/>
      <c r="M22" s="1797">
        <f t="shared" si="0"/>
        <v>349.08000000000175</v>
      </c>
      <c r="O22" s="1814">
        <f t="shared" si="1"/>
        <v>4.9265859936094003E-3</v>
      </c>
      <c r="Q22" s="1797">
        <f t="shared" si="11"/>
        <v>57860.41</v>
      </c>
      <c r="R22" s="1797"/>
      <c r="S22" s="1797">
        <f t="shared" si="12"/>
        <v>47889.47</v>
      </c>
      <c r="T22" s="1797"/>
      <c r="U22" s="1797">
        <f t="shared" si="2"/>
        <v>-9970.9400000000023</v>
      </c>
      <c r="W22" s="1814">
        <f t="shared" si="3"/>
        <v>-0.1723275033827103</v>
      </c>
      <c r="Y22" s="1736" t="s">
        <v>1680</v>
      </c>
      <c r="Z22" s="1773">
        <f>Z13</f>
        <v>-1.1299999999999999</v>
      </c>
      <c r="AA22" s="1805">
        <f>AA13</f>
        <v>-1.1299999999999999</v>
      </c>
      <c r="AB22" s="1773"/>
      <c r="AC22" s="1715"/>
    </row>
    <row r="23" spans="1:29">
      <c r="A23" s="1815">
        <f>A22</f>
        <v>2000</v>
      </c>
      <c r="C23" s="1815">
        <f>C22</f>
        <v>730000</v>
      </c>
      <c r="E23" s="1767">
        <v>0.4</v>
      </c>
      <c r="F23" s="1767">
        <f>('Large Profile'!$M$6)/('Large Profile'!$E$6)*E23</f>
        <v>0.31892179969343787</v>
      </c>
      <c r="G23" s="1767">
        <f>('Large Profile'!$Q$6)/('Large Profile'!$I$6)*E23</f>
        <v>0.19727469547908175</v>
      </c>
      <c r="I23" s="1797">
        <f t="shared" si="9"/>
        <v>69629.899999999994</v>
      </c>
      <c r="J23" s="1797"/>
      <c r="K23" s="1797">
        <f t="shared" si="10"/>
        <v>69484.710000000006</v>
      </c>
      <c r="L23" s="1797"/>
      <c r="M23" s="1797">
        <f t="shared" si="0"/>
        <v>-145.18999999998778</v>
      </c>
      <c r="O23" s="1814">
        <f t="shared" si="1"/>
        <v>-2.0851674352538874E-3</v>
      </c>
      <c r="Q23" s="1797">
        <f t="shared" si="11"/>
        <v>57450.22</v>
      </c>
      <c r="R23" s="1797"/>
      <c r="S23" s="1797">
        <f t="shared" si="12"/>
        <v>46947.519999999997</v>
      </c>
      <c r="T23" s="1797"/>
      <c r="U23" s="1797">
        <f t="shared" si="2"/>
        <v>-10502.700000000004</v>
      </c>
      <c r="W23" s="1814">
        <f t="shared" si="3"/>
        <v>-0.18281392133920471</v>
      </c>
      <c r="Y23" s="1736" t="s">
        <v>1696</v>
      </c>
      <c r="Z23" s="1799">
        <v>3.9510999999999998</v>
      </c>
      <c r="AA23" s="1800">
        <f>'Blocking-Step2'!Q1382</f>
        <v>5.189619836526</v>
      </c>
      <c r="AB23" s="1801"/>
      <c r="AC23" s="1817"/>
    </row>
    <row r="24" spans="1:29">
      <c r="A24" s="1815">
        <f>A23</f>
        <v>2000</v>
      </c>
      <c r="C24" s="1707">
        <f>A21*0.7*730</f>
        <v>1022000</v>
      </c>
      <c r="E24" s="1767">
        <f t="shared" ref="E24:E29" si="13">E21</f>
        <v>0.6</v>
      </c>
      <c r="F24" s="1767">
        <f>('Large Profile'!$M$6)/('Large Profile'!$E$6)*E24</f>
        <v>0.47838269954015672</v>
      </c>
      <c r="G24" s="1767">
        <f>('Large Profile'!$Q$6)/('Large Profile'!$I$6)*E24</f>
        <v>0.29591204321862258</v>
      </c>
      <c r="I24" s="1797">
        <f t="shared" si="9"/>
        <v>85153.25</v>
      </c>
      <c r="J24" s="1797"/>
      <c r="K24" s="1797">
        <f t="shared" si="10"/>
        <v>85979.59</v>
      </c>
      <c r="L24" s="1797"/>
      <c r="M24" s="1797">
        <f t="shared" si="0"/>
        <v>826.33999999999651</v>
      </c>
      <c r="O24" s="1814">
        <f t="shared" si="1"/>
        <v>9.7041510453212965E-3</v>
      </c>
      <c r="Q24" s="1797">
        <f t="shared" si="11"/>
        <v>69381.929999999993</v>
      </c>
      <c r="R24" s="1797"/>
      <c r="S24" s="1797">
        <f t="shared" si="12"/>
        <v>58989.08</v>
      </c>
      <c r="T24" s="1797"/>
      <c r="U24" s="1797">
        <f t="shared" si="2"/>
        <v>-10392.849999999991</v>
      </c>
      <c r="W24" s="1814">
        <f t="shared" si="3"/>
        <v>-0.14979188385217868</v>
      </c>
      <c r="Y24" s="1736" t="s">
        <v>1697</v>
      </c>
      <c r="Z24" s="1799">
        <v>3.4001999999999999</v>
      </c>
      <c r="AA24" s="1800">
        <f>'Blocking-Step2'!Q1384</f>
        <v>2.6377924820729999</v>
      </c>
      <c r="AB24" s="1801"/>
      <c r="AC24" s="1817"/>
    </row>
    <row r="25" spans="1:29">
      <c r="A25" s="1815">
        <f>A24</f>
        <v>2000</v>
      </c>
      <c r="C25" s="1815">
        <f>C24</f>
        <v>1022000</v>
      </c>
      <c r="E25" s="1767">
        <f t="shared" si="13"/>
        <v>0.5</v>
      </c>
      <c r="F25" s="1767">
        <f>('Large Profile'!$M$6)/('Large Profile'!$E$6)*E25</f>
        <v>0.39865224961679729</v>
      </c>
      <c r="G25" s="1767">
        <f>('Large Profile'!$Q$6)/('Large Profile'!$I$6)*E25</f>
        <v>0.24659336934885218</v>
      </c>
      <c r="I25" s="1797">
        <f t="shared" si="9"/>
        <v>83436.19</v>
      </c>
      <c r="J25" s="1797"/>
      <c r="K25" s="1797">
        <f t="shared" si="10"/>
        <v>83570.55</v>
      </c>
      <c r="L25" s="1797"/>
      <c r="M25" s="1797">
        <f t="shared" si="0"/>
        <v>134.36000000000058</v>
      </c>
      <c r="O25" s="1814">
        <f t="shared" si="1"/>
        <v>1.6103323989267171E-3</v>
      </c>
      <c r="Q25" s="1797">
        <f t="shared" si="11"/>
        <v>68807.66</v>
      </c>
      <c r="R25" s="1797"/>
      <c r="S25" s="1797">
        <f t="shared" si="12"/>
        <v>57670.36</v>
      </c>
      <c r="T25" s="1797"/>
      <c r="U25" s="1797">
        <f t="shared" si="2"/>
        <v>-11137.300000000003</v>
      </c>
      <c r="W25" s="1814">
        <f t="shared" si="3"/>
        <v>-0.16186133927530744</v>
      </c>
      <c r="Y25" s="1736" t="s">
        <v>1133</v>
      </c>
      <c r="Z25" s="1773">
        <f>Z16</f>
        <v>50</v>
      </c>
      <c r="AA25" s="1805">
        <f>AA16</f>
        <v>50</v>
      </c>
      <c r="AB25" s="1773"/>
      <c r="AC25" s="1715"/>
    </row>
    <row r="26" spans="1:29">
      <c r="A26" s="1815">
        <f>A25</f>
        <v>2000</v>
      </c>
      <c r="C26" s="1815">
        <f>C25</f>
        <v>1022000</v>
      </c>
      <c r="E26" s="1767">
        <f t="shared" si="13"/>
        <v>0.4</v>
      </c>
      <c r="F26" s="1767">
        <f>('Large Profile'!$M$6)/('Large Profile'!$E$6)*E26</f>
        <v>0.31892179969343787</v>
      </c>
      <c r="G26" s="1767">
        <f>('Large Profile'!$Q$6)/('Large Profile'!$I$6)*E26</f>
        <v>0.19727469547908175</v>
      </c>
      <c r="I26" s="1797">
        <f t="shared" si="9"/>
        <v>81719.13</v>
      </c>
      <c r="J26" s="1797"/>
      <c r="K26" s="1797">
        <f t="shared" si="10"/>
        <v>81161.509999999995</v>
      </c>
      <c r="L26" s="1797"/>
      <c r="M26" s="1797">
        <f t="shared" si="0"/>
        <v>-557.6200000000099</v>
      </c>
      <c r="O26" s="1814">
        <f t="shared" si="1"/>
        <v>-6.8236164530877108E-3</v>
      </c>
      <c r="Q26" s="1797">
        <f t="shared" si="11"/>
        <v>68233.399999999994</v>
      </c>
      <c r="R26" s="1797"/>
      <c r="S26" s="1797">
        <f t="shared" si="12"/>
        <v>56351.64</v>
      </c>
      <c r="T26" s="1797"/>
      <c r="U26" s="1797">
        <f t="shared" si="2"/>
        <v>-11881.759999999995</v>
      </c>
      <c r="W26" s="1814">
        <f t="shared" si="3"/>
        <v>-0.17413407510105017</v>
      </c>
      <c r="Y26" s="1759" t="s">
        <v>1718</v>
      </c>
      <c r="Z26" s="1768">
        <f>Z17</f>
        <v>3.9300000000000002E-2</v>
      </c>
      <c r="AA26" s="1769">
        <f>AA17</f>
        <v>3.9300000000000002E-2</v>
      </c>
      <c r="AB26" s="1752"/>
      <c r="AC26" s="1715"/>
    </row>
    <row r="27" spans="1:29">
      <c r="A27" s="1815">
        <f>A24</f>
        <v>2000</v>
      </c>
      <c r="C27" s="1707">
        <f>A21*0.9*730</f>
        <v>1314000</v>
      </c>
      <c r="E27" s="1767">
        <f t="shared" si="13"/>
        <v>0.6</v>
      </c>
      <c r="F27" s="1767">
        <f>('Large Profile'!$M$6)/('Large Profile'!$E$6)*E27</f>
        <v>0.47838269954015672</v>
      </c>
      <c r="G27" s="1767">
        <f>('Large Profile'!$Q$6)/('Large Profile'!$I$6)*E27</f>
        <v>0.29591204321862258</v>
      </c>
      <c r="I27" s="1797">
        <f t="shared" si="9"/>
        <v>98223.65</v>
      </c>
      <c r="J27" s="1797"/>
      <c r="K27" s="1797">
        <f t="shared" si="10"/>
        <v>99032.99</v>
      </c>
      <c r="L27" s="1797"/>
      <c r="M27" s="1797">
        <f t="shared" si="0"/>
        <v>809.34000000001106</v>
      </c>
      <c r="O27" s="1814">
        <f t="shared" si="1"/>
        <v>8.2397671029330599E-3</v>
      </c>
      <c r="Q27" s="1797">
        <f t="shared" si="11"/>
        <v>80493.25</v>
      </c>
      <c r="R27" s="1797"/>
      <c r="S27" s="1797">
        <f t="shared" si="12"/>
        <v>69146.740000000005</v>
      </c>
      <c r="T27" s="1797"/>
      <c r="U27" s="1797">
        <f t="shared" si="2"/>
        <v>-11346.509999999995</v>
      </c>
      <c r="W27" s="1814">
        <f t="shared" si="3"/>
        <v>-0.14096225459898803</v>
      </c>
    </row>
    <row r="28" spans="1:29">
      <c r="A28" s="1815">
        <f>A25</f>
        <v>2000</v>
      </c>
      <c r="C28" s="1815">
        <f>C27</f>
        <v>1314000</v>
      </c>
      <c r="E28" s="1767">
        <f t="shared" si="13"/>
        <v>0.5</v>
      </c>
      <c r="F28" s="1767">
        <f>('Large Profile'!$M$6)/('Large Profile'!$E$6)*E28</f>
        <v>0.39865224961679729</v>
      </c>
      <c r="G28" s="1767">
        <f>('Large Profile'!$Q$6)/('Large Profile'!$I$6)*E28</f>
        <v>0.24659336934885218</v>
      </c>
      <c r="I28" s="1797">
        <f t="shared" si="9"/>
        <v>96016</v>
      </c>
      <c r="J28" s="1797"/>
      <c r="K28" s="1797">
        <f t="shared" si="10"/>
        <v>95935.65</v>
      </c>
      <c r="L28" s="1797"/>
      <c r="M28" s="1797">
        <f t="shared" si="0"/>
        <v>-80.350000000005821</v>
      </c>
      <c r="O28" s="1814">
        <f t="shared" si="1"/>
        <v>-8.3683969338455011E-4</v>
      </c>
      <c r="Q28" s="1797">
        <f t="shared" si="11"/>
        <v>79754.91</v>
      </c>
      <c r="R28" s="1797"/>
      <c r="S28" s="1797">
        <f t="shared" si="12"/>
        <v>67451.25</v>
      </c>
      <c r="T28" s="1797"/>
      <c r="U28" s="1797">
        <f t="shared" si="2"/>
        <v>-12303.660000000003</v>
      </c>
      <c r="W28" s="1814">
        <f t="shared" si="3"/>
        <v>-0.1542683704363782</v>
      </c>
      <c r="AA28" s="1808"/>
    </row>
    <row r="29" spans="1:29">
      <c r="A29" s="1815">
        <f>A26</f>
        <v>2000</v>
      </c>
      <c r="C29" s="1815">
        <f>C28</f>
        <v>1314000</v>
      </c>
      <c r="E29" s="1767">
        <f t="shared" si="13"/>
        <v>0.4</v>
      </c>
      <c r="F29" s="1767">
        <f>('Large Profile'!$M$6)/('Large Profile'!$E$6)*E29</f>
        <v>0.31892179969343787</v>
      </c>
      <c r="G29" s="1767">
        <f>('Large Profile'!$Q$6)/('Large Profile'!$I$6)*E29</f>
        <v>0.19727469547908175</v>
      </c>
      <c r="I29" s="1797">
        <f t="shared" si="9"/>
        <v>93808.36</v>
      </c>
      <c r="J29" s="1797"/>
      <c r="K29" s="1797">
        <f t="shared" si="10"/>
        <v>92838.32</v>
      </c>
      <c r="L29" s="1797"/>
      <c r="M29" s="1797">
        <f t="shared" si="0"/>
        <v>-970.0399999999936</v>
      </c>
      <c r="O29" s="1814">
        <f t="shared" si="1"/>
        <v>-1.0340656205907406E-2</v>
      </c>
      <c r="Q29" s="1797">
        <f t="shared" si="11"/>
        <v>79016.570000000007</v>
      </c>
      <c r="R29" s="1797"/>
      <c r="S29" s="1797">
        <f t="shared" si="12"/>
        <v>65755.75</v>
      </c>
      <c r="T29" s="1797"/>
      <c r="U29" s="1797">
        <f t="shared" si="2"/>
        <v>-13260.820000000007</v>
      </c>
      <c r="W29" s="1814">
        <f t="shared" si="3"/>
        <v>-0.16782328061063656</v>
      </c>
      <c r="Y29" s="1704" t="s">
        <v>1684</v>
      </c>
      <c r="Z29" s="1799">
        <v>0</v>
      </c>
      <c r="AA29" s="1799">
        <v>0</v>
      </c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1720</v>
      </c>
      <c r="Z30" s="1765">
        <v>-3.1800000000000002E-2</v>
      </c>
      <c r="AA30" s="1808">
        <f>'Blocking-Step2'!Q1392</f>
        <v>-2.6499999999999999E-2</v>
      </c>
      <c r="AB30" s="1808"/>
    </row>
    <row r="31" spans="1:29">
      <c r="A31" s="1707">
        <v>4000</v>
      </c>
      <c r="C31" s="1707">
        <f>A31*0.5*730</f>
        <v>1460000</v>
      </c>
      <c r="E31" s="1767">
        <v>0.6</v>
      </c>
      <c r="F31" s="1767">
        <f>('Large Profile'!$M$6)/('Large Profile'!$E$6)*E31</f>
        <v>0.47838269954015672</v>
      </c>
      <c r="G31" s="1767">
        <f>('Large Profile'!$Q$6)/('Large Profile'!$I$6)*E31</f>
        <v>0.29591204321862258</v>
      </c>
      <c r="I31" s="1797">
        <f t="shared" ref="I31:I39" si="14">ROUND($Z$10+(($Z$11+$Z$13)*$A31+($Z$12*$A31+($Z$14*$E31+$Z$15*(1-$E31))/100*$C31)*(1+$Z$35))*(1+$Z$17)+($Z$12*$A31+($Z$14*$E31+$Z$15*(1-$E31))/100*$C31)*$Z$30+$Z$16,2)</f>
        <v>144045.69</v>
      </c>
      <c r="J31" s="1797"/>
      <c r="K31" s="1797">
        <f t="shared" ref="K31:K39" si="15">ROUND($AA$10+(($AA$11+$AA$13)*$A31+($AA$12*$A31+($AA$14*$F31+$AA$15*(1-$F31))/100*$C31)*(1+$AA$35))*(1+$AA$17)+($AA$12*$A31+($AA$14*$F31+$AA$15*(1-$F31))/100*$C31)*$AA$30+$AA$16,2)</f>
        <v>145731.39000000001</v>
      </c>
      <c r="L31" s="1797"/>
      <c r="M31" s="1797">
        <f t="shared" si="0"/>
        <v>1685.7000000000116</v>
      </c>
      <c r="O31" s="1814">
        <f t="shared" si="1"/>
        <v>1.1702536882568282E-2</v>
      </c>
      <c r="Q31" s="1797">
        <f t="shared" ref="Q31:Q39" si="16">ROUND($Z$19+(($Z$20+$Z$22)*$A31+($Z$21*$A31+($Z$23*$E31+$Z$24*(1-$E31))/100*$C31)*(1+$Z$35))*(1+$Z$26)+($Z$21*$A31+($Z$23*$E31+$Z$24*(1-$E31))/100*$C31)*$Z$30+$Z$25,2)</f>
        <v>116421.2</v>
      </c>
      <c r="R31" s="1797"/>
      <c r="S31" s="1797">
        <f t="shared" ref="S31:S39" si="17">ROUND($AA$19+(($AA$20+$AA$22)*$A31+($AA$21*$A31+($AA$23*$G31+$AA$24*(1-$G31))/100*$C31)*(1+$AA$35))*(1+$AA$26)+($AA$21*$A31+($AA$23*$G31+$AA$24*(1-$G31))/100*$C31)*$AA$30+$AA$25,2)</f>
        <v>97541.82</v>
      </c>
      <c r="T31" s="1797"/>
      <c r="U31" s="1797">
        <f t="shared" si="2"/>
        <v>-18879.37999999999</v>
      </c>
      <c r="W31" s="1814">
        <f t="shared" si="3"/>
        <v>-0.16216445114807265</v>
      </c>
      <c r="Y31" s="1702" t="s">
        <v>1721</v>
      </c>
      <c r="Z31" s="1765">
        <v>3.8999999999999998E-3</v>
      </c>
      <c r="AA31" s="1808">
        <f>Z31</f>
        <v>3.8999999999999998E-3</v>
      </c>
    </row>
    <row r="32" spans="1:29">
      <c r="A32" s="1815">
        <f>A31</f>
        <v>4000</v>
      </c>
      <c r="C32" s="1815">
        <f>C31</f>
        <v>1460000</v>
      </c>
      <c r="E32" s="1767">
        <v>0.5</v>
      </c>
      <c r="F32" s="1767">
        <f>('Large Profile'!$M$6)/('Large Profile'!$E$6)*E32</f>
        <v>0.39865224961679729</v>
      </c>
      <c r="G32" s="1767">
        <f>('Large Profile'!$Q$6)/('Large Profile'!$I$6)*E32</f>
        <v>0.24659336934885218</v>
      </c>
      <c r="I32" s="1797">
        <f t="shared" si="14"/>
        <v>141592.75</v>
      </c>
      <c r="J32" s="1797"/>
      <c r="K32" s="1797">
        <f t="shared" si="15"/>
        <v>142289.91</v>
      </c>
      <c r="L32" s="1797"/>
      <c r="M32" s="1797">
        <f t="shared" si="0"/>
        <v>697.16000000000349</v>
      </c>
      <c r="O32" s="1814">
        <f t="shared" si="1"/>
        <v>4.923698423824785E-3</v>
      </c>
      <c r="Q32" s="1797">
        <f t="shared" si="16"/>
        <v>115600.82</v>
      </c>
      <c r="R32" s="1797"/>
      <c r="S32" s="1797">
        <f t="shared" si="17"/>
        <v>95657.93</v>
      </c>
      <c r="T32" s="1797"/>
      <c r="U32" s="1797">
        <f t="shared" si="2"/>
        <v>-19942.890000000014</v>
      </c>
      <c r="W32" s="1814">
        <f t="shared" si="3"/>
        <v>-0.17251512575775863</v>
      </c>
      <c r="Y32" s="1702" t="s">
        <v>1722</v>
      </c>
      <c r="Z32" s="1803">
        <v>3.5400000000000001E-2</v>
      </c>
      <c r="AA32" s="1808">
        <f>Z32</f>
        <v>3.5400000000000001E-2</v>
      </c>
    </row>
    <row r="33" spans="1:27">
      <c r="A33" s="1815">
        <f>A32</f>
        <v>4000</v>
      </c>
      <c r="C33" s="1815">
        <f>C32</f>
        <v>1460000</v>
      </c>
      <c r="E33" s="1767">
        <v>0.4</v>
      </c>
      <c r="F33" s="1767">
        <f>('Large Profile'!$M$6)/('Large Profile'!$E$6)*E33</f>
        <v>0.31892179969343787</v>
      </c>
      <c r="G33" s="1767">
        <f>('Large Profile'!$Q$6)/('Large Profile'!$I$6)*E33</f>
        <v>0.19727469547908175</v>
      </c>
      <c r="I33" s="1797">
        <f t="shared" si="14"/>
        <v>139139.79999999999</v>
      </c>
      <c r="J33" s="1797"/>
      <c r="K33" s="1797">
        <f t="shared" si="15"/>
        <v>138848.42000000001</v>
      </c>
      <c r="L33" s="1797"/>
      <c r="M33" s="1797">
        <f t="shared" si="0"/>
        <v>-291.37999999997555</v>
      </c>
      <c r="O33" s="1814">
        <f t="shared" si="1"/>
        <v>-2.0941527873403754E-3</v>
      </c>
      <c r="Q33" s="1797">
        <f t="shared" si="16"/>
        <v>114780.44</v>
      </c>
      <c r="R33" s="1797"/>
      <c r="S33" s="1797">
        <f t="shared" si="17"/>
        <v>93774.05</v>
      </c>
      <c r="T33" s="1797"/>
      <c r="U33" s="1797">
        <f t="shared" si="2"/>
        <v>-21006.39</v>
      </c>
      <c r="W33" s="1814">
        <f t="shared" si="3"/>
        <v>-0.1830136737583512</v>
      </c>
      <c r="Y33" s="1704" t="s">
        <v>1685</v>
      </c>
      <c r="Z33" s="1765">
        <v>1.15E-2</v>
      </c>
      <c r="AA33" s="1809">
        <f>Z33</f>
        <v>1.15E-2</v>
      </c>
    </row>
    <row r="34" spans="1:27">
      <c r="A34" s="1815">
        <f>A33</f>
        <v>4000</v>
      </c>
      <c r="C34" s="1707">
        <f>A31*0.7*730</f>
        <v>2044000</v>
      </c>
      <c r="E34" s="1767">
        <f t="shared" ref="E34:E39" si="18">E31</f>
        <v>0.6</v>
      </c>
      <c r="F34" s="1767">
        <f>('Large Profile'!$M$6)/('Large Profile'!$E$6)*E34</f>
        <v>0.47838269954015672</v>
      </c>
      <c r="G34" s="1767">
        <f>('Large Profile'!$Q$6)/('Large Profile'!$I$6)*E34</f>
        <v>0.29591204321862258</v>
      </c>
      <c r="I34" s="1797">
        <f t="shared" si="14"/>
        <v>170186.5</v>
      </c>
      <c r="J34" s="1797"/>
      <c r="K34" s="1797">
        <f t="shared" si="15"/>
        <v>171838.18</v>
      </c>
      <c r="L34" s="1797"/>
      <c r="M34" s="1797">
        <f t="shared" si="0"/>
        <v>1651.679999999993</v>
      </c>
      <c r="O34" s="1814">
        <f t="shared" si="1"/>
        <v>9.705117620962822E-3</v>
      </c>
      <c r="Q34" s="1797">
        <f t="shared" si="16"/>
        <v>138643.85</v>
      </c>
      <c r="R34" s="1797"/>
      <c r="S34" s="1797">
        <f t="shared" si="17"/>
        <v>117857.15</v>
      </c>
      <c r="T34" s="1797"/>
      <c r="U34" s="1797">
        <f t="shared" si="2"/>
        <v>-20786.700000000012</v>
      </c>
      <c r="W34" s="1814">
        <f t="shared" si="3"/>
        <v>-0.14992875630617597</v>
      </c>
      <c r="Y34" s="1704" t="s">
        <v>1686</v>
      </c>
      <c r="Z34" s="1765">
        <v>5.0000000000000001E-4</v>
      </c>
      <c r="AA34" s="1809">
        <f>Z34</f>
        <v>5.0000000000000001E-4</v>
      </c>
    </row>
    <row r="35" spans="1:27">
      <c r="A35" s="1815">
        <f>A34</f>
        <v>4000</v>
      </c>
      <c r="C35" s="1815">
        <f>C34</f>
        <v>2044000</v>
      </c>
      <c r="E35" s="1767">
        <f t="shared" si="18"/>
        <v>0.5</v>
      </c>
      <c r="F35" s="1767">
        <f>('Large Profile'!$M$6)/('Large Profile'!$E$6)*E35</f>
        <v>0.39865224961679729</v>
      </c>
      <c r="G35" s="1767">
        <f>('Large Profile'!$Q$6)/('Large Profile'!$I$6)*E35</f>
        <v>0.24659336934885218</v>
      </c>
      <c r="I35" s="1797">
        <f t="shared" si="14"/>
        <v>166752.38</v>
      </c>
      <c r="J35" s="1797"/>
      <c r="K35" s="1797">
        <f t="shared" si="15"/>
        <v>167020.1</v>
      </c>
      <c r="L35" s="1797"/>
      <c r="M35" s="1797">
        <f t="shared" si="0"/>
        <v>267.72000000000116</v>
      </c>
      <c r="O35" s="1814">
        <f t="shared" si="1"/>
        <v>1.6054943263779098E-3</v>
      </c>
      <c r="Q35" s="1797">
        <f t="shared" si="16"/>
        <v>137495.32</v>
      </c>
      <c r="R35" s="1797"/>
      <c r="S35" s="1797">
        <f t="shared" si="17"/>
        <v>115219.71</v>
      </c>
      <c r="T35" s="1797"/>
      <c r="U35" s="1797">
        <f t="shared" si="2"/>
        <v>-22275.61</v>
      </c>
      <c r="W35" s="1814">
        <f t="shared" si="3"/>
        <v>-0.16200995059322743</v>
      </c>
      <c r="Y35" s="1702" t="s">
        <v>1687</v>
      </c>
      <c r="Z35" s="1752">
        <f>SUM(Z33:Z34)</f>
        <v>1.2E-2</v>
      </c>
      <c r="AA35" s="1752">
        <f>SUM(AA33:AA34)</f>
        <v>1.2E-2</v>
      </c>
    </row>
    <row r="36" spans="1:27">
      <c r="A36" s="1815">
        <f>A35</f>
        <v>4000</v>
      </c>
      <c r="C36" s="1815">
        <f>C35</f>
        <v>2044000</v>
      </c>
      <c r="E36" s="1767">
        <f t="shared" si="18"/>
        <v>0.4</v>
      </c>
      <c r="F36" s="1767">
        <f>('Large Profile'!$M$6)/('Large Profile'!$E$6)*E36</f>
        <v>0.31892179969343787</v>
      </c>
      <c r="G36" s="1767">
        <f>('Large Profile'!$Q$6)/('Large Profile'!$I$6)*E36</f>
        <v>0.19727469547908175</v>
      </c>
      <c r="I36" s="1797">
        <f t="shared" si="14"/>
        <v>163318.26</v>
      </c>
      <c r="J36" s="1797"/>
      <c r="K36" s="1797">
        <f t="shared" si="15"/>
        <v>162202.03</v>
      </c>
      <c r="L36" s="1797"/>
      <c r="M36" s="1797">
        <f t="shared" si="0"/>
        <v>-1116.2300000000105</v>
      </c>
      <c r="O36" s="1814">
        <f t="shared" si="1"/>
        <v>-6.8346919689201702E-3</v>
      </c>
      <c r="Q36" s="1797">
        <f t="shared" si="16"/>
        <v>136346.79</v>
      </c>
      <c r="R36" s="1797"/>
      <c r="S36" s="1797">
        <f t="shared" si="17"/>
        <v>112582.27</v>
      </c>
      <c r="T36" s="1797"/>
      <c r="U36" s="1797">
        <f t="shared" si="2"/>
        <v>-23764.520000000004</v>
      </c>
      <c r="W36" s="1814">
        <f t="shared" si="3"/>
        <v>-0.17429467903131424</v>
      </c>
    </row>
    <row r="37" spans="1:27">
      <c r="A37" s="1815">
        <f>A34</f>
        <v>4000</v>
      </c>
      <c r="C37" s="1707">
        <f>A31*0.9*730</f>
        <v>2628000</v>
      </c>
      <c r="E37" s="1767">
        <f t="shared" si="18"/>
        <v>0.6</v>
      </c>
      <c r="F37" s="1767">
        <f>('Large Profile'!$M$6)/('Large Profile'!$E$6)*E37</f>
        <v>0.47838269954015672</v>
      </c>
      <c r="G37" s="1767">
        <f>('Large Profile'!$Q$6)/('Large Profile'!$I$6)*E37</f>
        <v>0.29591204321862258</v>
      </c>
      <c r="I37" s="1797">
        <f t="shared" si="14"/>
        <v>196327.3</v>
      </c>
      <c r="J37" s="1797"/>
      <c r="K37" s="1797">
        <f t="shared" si="15"/>
        <v>197944.97</v>
      </c>
      <c r="L37" s="1797"/>
      <c r="M37" s="1797">
        <f t="shared" si="0"/>
        <v>1617.6700000000128</v>
      </c>
      <c r="O37" s="1814">
        <f t="shared" si="1"/>
        <v>8.2396589776358997E-3</v>
      </c>
      <c r="Q37" s="1797">
        <f t="shared" si="16"/>
        <v>160866.5</v>
      </c>
      <c r="R37" s="1797"/>
      <c r="S37" s="1797">
        <f t="shared" si="17"/>
        <v>138172.48000000001</v>
      </c>
      <c r="T37" s="1797"/>
      <c r="U37" s="1797">
        <f t="shared" si="2"/>
        <v>-22694.01999999999</v>
      </c>
      <c r="W37" s="1814">
        <f t="shared" si="3"/>
        <v>-0.14107362315957639</v>
      </c>
    </row>
    <row r="38" spans="1:27">
      <c r="A38" s="1815">
        <f>A35</f>
        <v>4000</v>
      </c>
      <c r="C38" s="1815">
        <f>C37</f>
        <v>2628000</v>
      </c>
      <c r="E38" s="1767">
        <f t="shared" si="18"/>
        <v>0.5</v>
      </c>
      <c r="F38" s="1767">
        <f>('Large Profile'!$M$6)/('Large Profile'!$E$6)*E38</f>
        <v>0.39865224961679729</v>
      </c>
      <c r="G38" s="1767">
        <f>('Large Profile'!$Q$6)/('Large Profile'!$I$6)*E38</f>
        <v>0.24659336934885218</v>
      </c>
      <c r="I38" s="1797">
        <f t="shared" si="14"/>
        <v>191912.01</v>
      </c>
      <c r="J38" s="1797"/>
      <c r="K38" s="1797">
        <f t="shared" si="15"/>
        <v>191750.3</v>
      </c>
      <c r="L38" s="1797"/>
      <c r="M38" s="1797">
        <f t="shared" si="0"/>
        <v>-161.71000000002095</v>
      </c>
      <c r="O38" s="1814">
        <f t="shared" si="1"/>
        <v>-8.4262574291216197E-4</v>
      </c>
      <c r="Q38" s="1797">
        <f t="shared" si="16"/>
        <v>159389.82999999999</v>
      </c>
      <c r="R38" s="1797"/>
      <c r="S38" s="1797">
        <f t="shared" si="17"/>
        <v>134781.49</v>
      </c>
      <c r="T38" s="1797"/>
      <c r="U38" s="1797">
        <f t="shared" si="2"/>
        <v>-24608.339999999997</v>
      </c>
      <c r="W38" s="1814">
        <f t="shared" si="3"/>
        <v>-0.15439090436322067</v>
      </c>
    </row>
    <row r="39" spans="1:27">
      <c r="A39" s="1815">
        <f>A36</f>
        <v>4000</v>
      </c>
      <c r="C39" s="1815">
        <f>C38</f>
        <v>2628000</v>
      </c>
      <c r="E39" s="1767">
        <f t="shared" si="18"/>
        <v>0.4</v>
      </c>
      <c r="F39" s="1767">
        <f>('Large Profile'!$M$6)/('Large Profile'!$E$6)*E39</f>
        <v>0.31892179969343787</v>
      </c>
      <c r="G39" s="1767">
        <f>('Large Profile'!$Q$6)/('Large Profile'!$I$6)*E39</f>
        <v>0.19727469547908175</v>
      </c>
      <c r="I39" s="1797">
        <f t="shared" si="14"/>
        <v>187496.71</v>
      </c>
      <c r="J39" s="1797"/>
      <c r="K39" s="1797">
        <f t="shared" si="15"/>
        <v>185555.63</v>
      </c>
      <c r="L39" s="1797"/>
      <c r="M39" s="1797">
        <f t="shared" si="0"/>
        <v>-1941.0799999999872</v>
      </c>
      <c r="O39" s="1814">
        <f t="shared" si="1"/>
        <v>-1.0352608320433943E-2</v>
      </c>
      <c r="Q39" s="1797">
        <f t="shared" si="16"/>
        <v>157913.15</v>
      </c>
      <c r="R39" s="1797"/>
      <c r="S39" s="1797">
        <f t="shared" si="17"/>
        <v>131390.5</v>
      </c>
      <c r="T39" s="1797"/>
      <c r="U39" s="1797">
        <f t="shared" si="2"/>
        <v>-26522.649999999994</v>
      </c>
      <c r="W39" s="1814">
        <f t="shared" si="3"/>
        <v>-0.16795719672490861</v>
      </c>
    </row>
    <row r="40" spans="1:27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</row>
    <row r="41" spans="1:27">
      <c r="A41" s="1707">
        <v>6000</v>
      </c>
      <c r="C41" s="1707">
        <f>A41*0.5*730</f>
        <v>2190000</v>
      </c>
      <c r="E41" s="1767">
        <v>0.6</v>
      </c>
      <c r="F41" s="1767">
        <f>('Large Profile'!$M$6)/('Large Profile'!$E$6)*E41</f>
        <v>0.47838269954015672</v>
      </c>
      <c r="G41" s="1767">
        <f>('Large Profile'!$Q$6)/('Large Profile'!$I$6)*E41</f>
        <v>0.29591204321862258</v>
      </c>
      <c r="I41" s="1797">
        <f t="shared" ref="I41:I49" si="19">ROUND($Z$10+(($Z$11+$Z$13)*$A41+($Z$12*$A41+($Z$14*$E41+$Z$15*(1-$E41))/100*$C41)*(1+$Z$35))*(1+$Z$17)+($Z$12*$A41+($Z$14*$E41+$Z$15*(1-$E41))/100*$C41)*$Z$30+$Z$16,2)</f>
        <v>216008.53</v>
      </c>
      <c r="J41" s="1797"/>
      <c r="K41" s="1797">
        <f t="shared" ref="K41:K49" si="20">ROUND($AA$10+(($AA$11+$AA$13)*$A41+($AA$12*$A41+($AA$14*$F41+$AA$15*(1-$F41))/100*$C41)*(1+$AA$35))*(1+$AA$17)+($AA$12*$A41+($AA$14*$F41+$AA$15*(1-$F41))/100*$C41)*$AA$30+$AA$16,2)</f>
        <v>218536.58</v>
      </c>
      <c r="L41" s="1797"/>
      <c r="M41" s="1797">
        <f t="shared" si="0"/>
        <v>2528.0499999999884</v>
      </c>
      <c r="O41" s="1814">
        <f t="shared" si="1"/>
        <v>1.170347300636676E-2</v>
      </c>
      <c r="Q41" s="1797">
        <f t="shared" ref="Q41:Q49" si="21">ROUND($Z$19+(($Z$20+$Z$22)*$A41+($Z$21*$A41+($Z$23*$E41+$Z$24*(1-$E41))/100*$C41)*(1+$Z$35))*(1+$Z$26)+($Z$21*$A41+($Z$23*$E41+$Z$24*(1-$E41))/100*$C41)*$Z$30+$Z$25,2)</f>
        <v>174571.8</v>
      </c>
      <c r="R41" s="1797"/>
      <c r="S41" s="1797">
        <f t="shared" ref="S41:S49" si="22">ROUND($AA$19+(($AA$20+$AA$22)*$A41+($AA$21*$A41+($AA$23*$G41+$AA$24*(1-$G41))/100*$C41)*(1+$AA$35))*(1+$AA$26)+($AA$21*$A41+($AA$23*$G41+$AA$24*(1-$G41))/100*$C41)*$AA$30+$AA$25,2)</f>
        <v>146252.22</v>
      </c>
      <c r="T41" s="1797"/>
      <c r="U41" s="1797">
        <f t="shared" si="2"/>
        <v>-28319.579999999987</v>
      </c>
      <c r="W41" s="1814">
        <f t="shared" si="3"/>
        <v>-0.16222310819960606</v>
      </c>
    </row>
    <row r="42" spans="1:27">
      <c r="A42" s="1815">
        <f>A41</f>
        <v>6000</v>
      </c>
      <c r="C42" s="1815">
        <f>C41</f>
        <v>2190000</v>
      </c>
      <c r="E42" s="1767">
        <v>0.5</v>
      </c>
      <c r="F42" s="1767">
        <f>('Large Profile'!$M$6)/('Large Profile'!$E$6)*E42</f>
        <v>0.39865224961679729</v>
      </c>
      <c r="G42" s="1767">
        <f>('Large Profile'!$Q$6)/('Large Profile'!$I$6)*E42</f>
        <v>0.24659336934885218</v>
      </c>
      <c r="I42" s="1797">
        <f t="shared" si="19"/>
        <v>212329.12</v>
      </c>
      <c r="J42" s="1797"/>
      <c r="K42" s="1797">
        <f t="shared" si="20"/>
        <v>213374.36</v>
      </c>
      <c r="L42" s="1797"/>
      <c r="M42" s="1797">
        <f t="shared" si="0"/>
        <v>1045.2399999999907</v>
      </c>
      <c r="O42" s="1814">
        <f t="shared" si="1"/>
        <v>4.9227350445384399E-3</v>
      </c>
      <c r="Q42" s="1797">
        <f t="shared" si="21"/>
        <v>173341.23</v>
      </c>
      <c r="R42" s="1797"/>
      <c r="S42" s="1797">
        <f t="shared" si="22"/>
        <v>143426.4</v>
      </c>
      <c r="T42" s="1797"/>
      <c r="U42" s="1797">
        <f t="shared" si="2"/>
        <v>-29914.830000000016</v>
      </c>
      <c r="W42" s="1814">
        <f t="shared" si="3"/>
        <v>-0.17257769545075929</v>
      </c>
    </row>
    <row r="43" spans="1:27">
      <c r="A43" s="1815">
        <f>A42</f>
        <v>6000</v>
      </c>
      <c r="C43" s="1815">
        <f>C42</f>
        <v>2190000</v>
      </c>
      <c r="E43" s="1767">
        <v>0.4</v>
      </c>
      <c r="F43" s="1767">
        <f>('Large Profile'!$M$6)/('Large Profile'!$E$6)*E43</f>
        <v>0.31892179969343787</v>
      </c>
      <c r="G43" s="1767">
        <f>('Large Profile'!$Q$6)/('Large Profile'!$I$6)*E43</f>
        <v>0.19727469547908175</v>
      </c>
      <c r="I43" s="1797">
        <f t="shared" si="19"/>
        <v>208649.71</v>
      </c>
      <c r="J43" s="1797"/>
      <c r="K43" s="1797">
        <f t="shared" si="20"/>
        <v>208212.13</v>
      </c>
      <c r="L43" s="1797"/>
      <c r="M43" s="1797">
        <f t="shared" si="0"/>
        <v>-437.57999999998719</v>
      </c>
      <c r="O43" s="1814">
        <f t="shared" si="1"/>
        <v>-2.097199176552822E-3</v>
      </c>
      <c r="Q43" s="1797">
        <f t="shared" si="21"/>
        <v>172110.66</v>
      </c>
      <c r="R43" s="1797"/>
      <c r="S43" s="1797">
        <f t="shared" si="22"/>
        <v>140600.57</v>
      </c>
      <c r="T43" s="1797"/>
      <c r="U43" s="1797">
        <f t="shared" si="2"/>
        <v>-31510.089999999997</v>
      </c>
      <c r="W43" s="1814">
        <f t="shared" si="3"/>
        <v>-0.18308040884858612</v>
      </c>
    </row>
    <row r="44" spans="1:27">
      <c r="A44" s="1815">
        <f>A43</f>
        <v>6000</v>
      </c>
      <c r="C44" s="1707">
        <f>A41*0.7*730</f>
        <v>3066000</v>
      </c>
      <c r="E44" s="1767">
        <f t="shared" ref="E44:E49" si="23">E41</f>
        <v>0.6</v>
      </c>
      <c r="F44" s="1767">
        <f>('Large Profile'!$M$6)/('Large Profile'!$E$6)*E44</f>
        <v>0.47838269954015672</v>
      </c>
      <c r="G44" s="1767">
        <f>('Large Profile'!$Q$6)/('Large Profile'!$I$6)*E44</f>
        <v>0.29591204321862258</v>
      </c>
      <c r="I44" s="1797">
        <f t="shared" si="19"/>
        <v>255219.74</v>
      </c>
      <c r="J44" s="1797"/>
      <c r="K44" s="1797">
        <f t="shared" si="20"/>
        <v>257696.77</v>
      </c>
      <c r="L44" s="1797"/>
      <c r="M44" s="1797">
        <f t="shared" si="0"/>
        <v>2477.0299999999988</v>
      </c>
      <c r="O44" s="1814">
        <f t="shared" si="1"/>
        <v>9.7054796780218222E-3</v>
      </c>
      <c r="Q44" s="1797">
        <f t="shared" si="21"/>
        <v>207905.78</v>
      </c>
      <c r="R44" s="1797"/>
      <c r="S44" s="1797">
        <f t="shared" si="22"/>
        <v>176725.23</v>
      </c>
      <c r="T44" s="1797"/>
      <c r="U44" s="1797">
        <f t="shared" si="2"/>
        <v>-31180.549999999988</v>
      </c>
      <c r="W44" s="1814">
        <f t="shared" si="3"/>
        <v>-0.14997442591543142</v>
      </c>
    </row>
    <row r="45" spans="1:27">
      <c r="A45" s="1815">
        <f>A44</f>
        <v>6000</v>
      </c>
      <c r="C45" s="1815">
        <f>C44</f>
        <v>3066000</v>
      </c>
      <c r="E45" s="1767">
        <f t="shared" si="23"/>
        <v>0.5</v>
      </c>
      <c r="F45" s="1767">
        <f>('Large Profile'!$M$6)/('Large Profile'!$E$6)*E45</f>
        <v>0.39865224961679729</v>
      </c>
      <c r="G45" s="1767">
        <f>('Large Profile'!$Q$6)/('Large Profile'!$I$6)*E45</f>
        <v>0.24659336934885218</v>
      </c>
      <c r="I45" s="1797">
        <f t="shared" si="19"/>
        <v>250068.57</v>
      </c>
      <c r="J45" s="1797"/>
      <c r="K45" s="1797">
        <f t="shared" si="20"/>
        <v>250469.66</v>
      </c>
      <c r="L45" s="1797"/>
      <c r="M45" s="1797">
        <f t="shared" si="0"/>
        <v>401.08999999999651</v>
      </c>
      <c r="O45" s="1814">
        <f t="shared" si="1"/>
        <v>1.603920076801213E-3</v>
      </c>
      <c r="Q45" s="1797">
        <f t="shared" si="21"/>
        <v>206182.98</v>
      </c>
      <c r="R45" s="1797"/>
      <c r="S45" s="1797">
        <f t="shared" si="22"/>
        <v>172769.07</v>
      </c>
      <c r="T45" s="1797"/>
      <c r="U45" s="1797">
        <f t="shared" si="2"/>
        <v>-33413.910000000003</v>
      </c>
      <c r="W45" s="1814">
        <f t="shared" si="3"/>
        <v>-0.16205949686050714</v>
      </c>
    </row>
    <row r="46" spans="1:27">
      <c r="A46" s="1815">
        <f>A45</f>
        <v>6000</v>
      </c>
      <c r="C46" s="1815">
        <f>C45</f>
        <v>3066000</v>
      </c>
      <c r="E46" s="1767">
        <f t="shared" si="23"/>
        <v>0.4</v>
      </c>
      <c r="F46" s="1767">
        <f>('Large Profile'!$M$6)/('Large Profile'!$E$6)*E46</f>
        <v>0.31892179969343787</v>
      </c>
      <c r="G46" s="1767">
        <f>('Large Profile'!$Q$6)/('Large Profile'!$I$6)*E46</f>
        <v>0.19727469547908175</v>
      </c>
      <c r="I46" s="1797">
        <f t="shared" si="19"/>
        <v>244917.39</v>
      </c>
      <c r="J46" s="1797"/>
      <c r="K46" s="1797">
        <f t="shared" si="20"/>
        <v>243242.54</v>
      </c>
      <c r="L46" s="1797"/>
      <c r="M46" s="1797">
        <f t="shared" si="0"/>
        <v>-1674.8500000000058</v>
      </c>
      <c r="O46" s="1814">
        <f t="shared" si="1"/>
        <v>-6.8384282553395348E-3</v>
      </c>
      <c r="Q46" s="1797">
        <f t="shared" si="21"/>
        <v>204460.19</v>
      </c>
      <c r="R46" s="1797"/>
      <c r="S46" s="1797">
        <f t="shared" si="22"/>
        <v>168812.91</v>
      </c>
      <c r="T46" s="1797"/>
      <c r="U46" s="1797">
        <f t="shared" si="2"/>
        <v>-35647.279999999999</v>
      </c>
      <c r="W46" s="1814">
        <f t="shared" si="3"/>
        <v>-0.17434826799290359</v>
      </c>
    </row>
    <row r="47" spans="1:27">
      <c r="A47" s="1815">
        <f>A44</f>
        <v>6000</v>
      </c>
      <c r="C47" s="1707">
        <f>A41*0.9*730</f>
        <v>3942000</v>
      </c>
      <c r="E47" s="1767">
        <f t="shared" si="23"/>
        <v>0.6</v>
      </c>
      <c r="F47" s="1767">
        <f>('Large Profile'!$M$6)/('Large Profile'!$E$6)*E47</f>
        <v>0.47838269954015672</v>
      </c>
      <c r="G47" s="1767">
        <f>('Large Profile'!$Q$6)/('Large Profile'!$I$6)*E47</f>
        <v>0.29591204321862258</v>
      </c>
      <c r="I47" s="1797">
        <f t="shared" si="19"/>
        <v>294430.96000000002</v>
      </c>
      <c r="J47" s="1797"/>
      <c r="K47" s="1797">
        <f t="shared" si="20"/>
        <v>296856.96000000002</v>
      </c>
      <c r="L47" s="1797"/>
      <c r="M47" s="1797">
        <f t="shared" si="0"/>
        <v>2426</v>
      </c>
      <c r="O47" s="1814">
        <f t="shared" si="1"/>
        <v>8.2396226266423511E-3</v>
      </c>
      <c r="Q47" s="1797">
        <f t="shared" si="21"/>
        <v>241239.76</v>
      </c>
      <c r="R47" s="1797"/>
      <c r="S47" s="1797">
        <f t="shared" si="22"/>
        <v>207198.23</v>
      </c>
      <c r="T47" s="1797"/>
      <c r="U47" s="1797">
        <f t="shared" si="2"/>
        <v>-34041.53</v>
      </c>
      <c r="W47" s="1814">
        <f t="shared" si="3"/>
        <v>-0.14111077709578224</v>
      </c>
    </row>
    <row r="48" spans="1:27">
      <c r="A48" s="1815">
        <f>A45</f>
        <v>6000</v>
      </c>
      <c r="C48" s="1815">
        <f>C47</f>
        <v>3942000</v>
      </c>
      <c r="E48" s="1767">
        <f t="shared" si="23"/>
        <v>0.5</v>
      </c>
      <c r="F48" s="1767">
        <f>('Large Profile'!$M$6)/('Large Profile'!$E$6)*E48</f>
        <v>0.39865224961679729</v>
      </c>
      <c r="G48" s="1767">
        <f>('Large Profile'!$Q$6)/('Large Profile'!$I$6)*E48</f>
        <v>0.24659336934885218</v>
      </c>
      <c r="I48" s="1797">
        <f t="shared" si="19"/>
        <v>287808.01</v>
      </c>
      <c r="J48" s="1797"/>
      <c r="K48" s="1797">
        <f t="shared" si="20"/>
        <v>287564.96000000002</v>
      </c>
      <c r="L48" s="1797"/>
      <c r="M48" s="1797">
        <f t="shared" si="0"/>
        <v>-243.04999999998836</v>
      </c>
      <c r="O48" s="1814">
        <f t="shared" si="1"/>
        <v>-8.4448657283719974E-4</v>
      </c>
      <c r="Q48" s="1797">
        <f t="shared" si="21"/>
        <v>239024.74</v>
      </c>
      <c r="R48" s="1797"/>
      <c r="S48" s="1797">
        <f t="shared" si="22"/>
        <v>202111.74</v>
      </c>
      <c r="T48" s="1797"/>
      <c r="U48" s="1797">
        <f t="shared" si="2"/>
        <v>-36913</v>
      </c>
      <c r="W48" s="1814">
        <f t="shared" si="3"/>
        <v>-0.1544317128009427</v>
      </c>
    </row>
    <row r="49" spans="1:23">
      <c r="A49" s="1815">
        <f>A46</f>
        <v>6000</v>
      </c>
      <c r="C49" s="1815">
        <f>C48</f>
        <v>3942000</v>
      </c>
      <c r="E49" s="1767">
        <f t="shared" si="23"/>
        <v>0.4</v>
      </c>
      <c r="F49" s="1767">
        <f>('Large Profile'!$M$6)/('Large Profile'!$E$6)*E49</f>
        <v>0.31892179969343787</v>
      </c>
      <c r="G49" s="1767">
        <f>('Large Profile'!$Q$6)/('Large Profile'!$I$6)*E49</f>
        <v>0.19727469547908175</v>
      </c>
      <c r="I49" s="1797">
        <f t="shared" si="19"/>
        <v>281185.07</v>
      </c>
      <c r="J49" s="1797"/>
      <c r="K49" s="1797">
        <f t="shared" si="20"/>
        <v>278272.95</v>
      </c>
      <c r="L49" s="1797"/>
      <c r="M49" s="1797">
        <f t="shared" si="0"/>
        <v>-2912.1199999999953</v>
      </c>
      <c r="O49" s="1814">
        <f t="shared" si="1"/>
        <v>-1.0356595391071033E-2</v>
      </c>
      <c r="Q49" s="1797">
        <f t="shared" si="21"/>
        <v>236809.72</v>
      </c>
      <c r="R49" s="1797"/>
      <c r="S49" s="1797">
        <f t="shared" si="22"/>
        <v>197025.25</v>
      </c>
      <c r="T49" s="1797"/>
      <c r="U49" s="1797">
        <f t="shared" si="2"/>
        <v>-39784.47</v>
      </c>
      <c r="W49" s="1814">
        <f t="shared" si="3"/>
        <v>-0.16800184553235398</v>
      </c>
    </row>
    <row r="50" spans="1:23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</row>
    <row r="51" spans="1:23">
      <c r="A51" s="1707">
        <v>10000</v>
      </c>
      <c r="C51" s="1707">
        <f>A51*0.5*730</f>
        <v>3650000</v>
      </c>
      <c r="E51" s="1767">
        <v>0.6</v>
      </c>
      <c r="F51" s="1767">
        <f>('Large Profile'!$M$6)/('Large Profile'!$E$6)*E51</f>
        <v>0.47838269954015672</v>
      </c>
      <c r="G51" s="1767">
        <f>('Large Profile'!$Q$6)/('Large Profile'!$I$6)*E51</f>
        <v>0.29591204321862258</v>
      </c>
      <c r="I51" s="1797">
        <f t="shared" ref="I51:I59" si="24">ROUND($Z$10+(($Z$11+$Z$13)*$A51+($Z$12*$A51+($Z$14*$E51+$Z$15*(1-$E51))/100*$C51)*(1+$Z$35))*(1+$Z$17)+($Z$12*$A51+($Z$14*$E51+$Z$15*(1-$E51))/100*$C51)*$Z$30+$Z$16,2)</f>
        <v>359934.22</v>
      </c>
      <c r="J51" s="1797"/>
      <c r="K51" s="1797">
        <f t="shared" ref="K51:K59" si="25">ROUND($AA$10+(($AA$11+$AA$13)*$A51+($AA$12*$A51+($AA$14*$F51+$AA$15*(1-$F51))/100*$C51)*(1+$AA$35))*(1+$AA$17)+($AA$12*$A51+($AA$14*$F51+$AA$15*(1-$F51))/100*$C51)*$AA$30+$AA$16,2)</f>
        <v>364146.97</v>
      </c>
      <c r="L51" s="1797"/>
      <c r="M51" s="1797">
        <f t="shared" si="0"/>
        <v>4212.75</v>
      </c>
      <c r="O51" s="1814">
        <f t="shared" si="1"/>
        <v>1.1704221954778271E-2</v>
      </c>
      <c r="Q51" s="1797">
        <f t="shared" ref="Q51:Q59" si="26">ROUND($Z$19+(($Z$20+$Z$22)*$A51+($Z$21*$A51+($Z$23*$E51+$Z$24*(1-$E51))/100*$C51)*(1+$Z$35))*(1+$Z$26)+($Z$21*$A51+($Z$23*$E51+$Z$24*(1-$E51))/100*$C51)*$Z$30+$Z$25,2)</f>
        <v>290872.99</v>
      </c>
      <c r="R51" s="1797"/>
      <c r="S51" s="1797">
        <f t="shared" ref="S51:S58" si="27">ROUND($AA$19+(($AA$20+$AA$22)*$A51+($AA$21*$A51+($AA$23*$G51+$AA$24*(1-$G51))/100*$C51)*(1+$AA$35))*(1+$AA$26)+($AA$21*$A51+($AA$23*$G51+$AA$24*(1-$G51))/100*$C51)*$AA$30+$AA$25,2)</f>
        <v>243673.04</v>
      </c>
      <c r="T51" s="1797"/>
      <c r="U51" s="1797">
        <f t="shared" si="2"/>
        <v>-47199.949999999983</v>
      </c>
      <c r="W51" s="1814">
        <f t="shared" si="3"/>
        <v>-0.16226996532060256</v>
      </c>
    </row>
    <row r="52" spans="1:23">
      <c r="A52" s="1815">
        <f>A51</f>
        <v>10000</v>
      </c>
      <c r="C52" s="1815">
        <f>C51</f>
        <v>3650000</v>
      </c>
      <c r="E52" s="1767">
        <v>0.5</v>
      </c>
      <c r="F52" s="1767">
        <f>('Large Profile'!$M$6)/('Large Profile'!$E$6)*E52</f>
        <v>0.39865224961679729</v>
      </c>
      <c r="G52" s="1767">
        <f>('Large Profile'!$Q$6)/('Large Profile'!$I$6)*E52</f>
        <v>0.24659336934885218</v>
      </c>
      <c r="I52" s="1797">
        <f t="shared" si="24"/>
        <v>353801.87</v>
      </c>
      <c r="J52" s="1797"/>
      <c r="K52" s="1797">
        <f t="shared" si="25"/>
        <v>355543.27</v>
      </c>
      <c r="L52" s="1797"/>
      <c r="M52" s="1797">
        <f t="shared" si="0"/>
        <v>1741.4000000000233</v>
      </c>
      <c r="O52" s="1814">
        <f t="shared" si="1"/>
        <v>4.9219638098578766E-3</v>
      </c>
      <c r="Q52" s="1797">
        <f t="shared" si="26"/>
        <v>288822.05</v>
      </c>
      <c r="R52" s="1797"/>
      <c r="S52" s="1797">
        <f t="shared" si="27"/>
        <v>238963.33</v>
      </c>
      <c r="T52" s="1797"/>
      <c r="U52" s="1797">
        <f t="shared" si="2"/>
        <v>-49858.720000000001</v>
      </c>
      <c r="W52" s="1814">
        <f t="shared" si="3"/>
        <v>-0.17262781702435814</v>
      </c>
    </row>
    <row r="53" spans="1:23">
      <c r="A53" s="1815">
        <f>A52</f>
        <v>10000</v>
      </c>
      <c r="C53" s="1815">
        <f>C52</f>
        <v>3650000</v>
      </c>
      <c r="E53" s="1767">
        <v>0.4</v>
      </c>
      <c r="F53" s="1767">
        <f>('Large Profile'!$M$6)/('Large Profile'!$E$6)*E53</f>
        <v>0.31892179969343787</v>
      </c>
      <c r="G53" s="1767">
        <f>('Large Profile'!$Q$6)/('Large Profile'!$I$6)*E53</f>
        <v>0.19727469547908175</v>
      </c>
      <c r="I53" s="1797">
        <f t="shared" si="24"/>
        <v>347669.51</v>
      </c>
      <c r="J53" s="1797"/>
      <c r="K53" s="1797">
        <f t="shared" si="25"/>
        <v>346939.56</v>
      </c>
      <c r="L53" s="1797"/>
      <c r="M53" s="1797">
        <f t="shared" si="0"/>
        <v>-729.95000000001164</v>
      </c>
      <c r="O53" s="1814">
        <f t="shared" si="1"/>
        <v>-2.0995513814254796E-3</v>
      </c>
      <c r="Q53" s="1797">
        <f t="shared" si="26"/>
        <v>286771.11</v>
      </c>
      <c r="R53" s="1797"/>
      <c r="S53" s="1797">
        <f t="shared" si="27"/>
        <v>234253.61</v>
      </c>
      <c r="T53" s="1797"/>
      <c r="U53" s="1797">
        <f t="shared" si="2"/>
        <v>-52517.5</v>
      </c>
      <c r="W53" s="1814">
        <f t="shared" si="3"/>
        <v>-0.18313385891626255</v>
      </c>
    </row>
    <row r="54" spans="1:23">
      <c r="A54" s="1815">
        <f>A53</f>
        <v>10000</v>
      </c>
      <c r="C54" s="1707">
        <f>A51*0.7*730</f>
        <v>5110000</v>
      </c>
      <c r="E54" s="1767">
        <f t="shared" ref="E54:E59" si="28">E51</f>
        <v>0.6</v>
      </c>
      <c r="F54" s="1767">
        <f>('Large Profile'!$M$6)/('Large Profile'!$E$6)*E54</f>
        <v>0.47838269954015672</v>
      </c>
      <c r="G54" s="1767">
        <f>('Large Profile'!$Q$6)/('Large Profile'!$I$6)*E54</f>
        <v>0.29591204321862258</v>
      </c>
      <c r="I54" s="1797">
        <f t="shared" si="24"/>
        <v>425286.24</v>
      </c>
      <c r="J54" s="1797"/>
      <c r="K54" s="1797">
        <f t="shared" si="25"/>
        <v>429413.96</v>
      </c>
      <c r="L54" s="1797"/>
      <c r="M54" s="1797">
        <f t="shared" si="0"/>
        <v>4127.7200000000303</v>
      </c>
      <c r="O54" s="1814">
        <f t="shared" si="1"/>
        <v>9.7057454762703443E-3</v>
      </c>
      <c r="Q54" s="1797">
        <f t="shared" si="26"/>
        <v>346429.63</v>
      </c>
      <c r="R54" s="1797"/>
      <c r="S54" s="1797">
        <f t="shared" si="27"/>
        <v>294461.38</v>
      </c>
      <c r="T54" s="1797"/>
      <c r="U54" s="1797">
        <f t="shared" si="2"/>
        <v>-51968.25</v>
      </c>
      <c r="W54" s="1814">
        <f t="shared" si="3"/>
        <v>-0.15001098491488729</v>
      </c>
    </row>
    <row r="55" spans="1:23">
      <c r="A55" s="1815">
        <f>A54</f>
        <v>10000</v>
      </c>
      <c r="C55" s="1815">
        <f>C54</f>
        <v>5110000</v>
      </c>
      <c r="E55" s="1767">
        <f t="shared" si="28"/>
        <v>0.5</v>
      </c>
      <c r="F55" s="1767">
        <f>('Large Profile'!$M$6)/('Large Profile'!$E$6)*E55</f>
        <v>0.39865224961679729</v>
      </c>
      <c r="G55" s="1767">
        <f>('Large Profile'!$Q$6)/('Large Profile'!$I$6)*E55</f>
        <v>0.24659336934885218</v>
      </c>
      <c r="I55" s="1797">
        <f t="shared" si="24"/>
        <v>416700.94</v>
      </c>
      <c r="J55" s="1797"/>
      <c r="K55" s="1797">
        <f t="shared" si="25"/>
        <v>417368.76</v>
      </c>
      <c r="L55" s="1797"/>
      <c r="M55" s="1797">
        <f t="shared" si="0"/>
        <v>667.82000000000698</v>
      </c>
      <c r="O55" s="1814">
        <f t="shared" si="1"/>
        <v>1.6026361735588246E-3</v>
      </c>
      <c r="Q55" s="1797">
        <f t="shared" si="26"/>
        <v>343558.31</v>
      </c>
      <c r="R55" s="1797"/>
      <c r="S55" s="1797">
        <f t="shared" si="27"/>
        <v>287867.78000000003</v>
      </c>
      <c r="T55" s="1797"/>
      <c r="U55" s="1797">
        <f t="shared" si="2"/>
        <v>-55690.52999999997</v>
      </c>
      <c r="W55" s="1814">
        <f t="shared" si="3"/>
        <v>-0.16209920813733181</v>
      </c>
    </row>
    <row r="56" spans="1:23">
      <c r="A56" s="1815">
        <f>A55</f>
        <v>10000</v>
      </c>
      <c r="C56" s="1815">
        <f>C55</f>
        <v>5110000</v>
      </c>
      <c r="E56" s="1767">
        <f t="shared" si="28"/>
        <v>0.4</v>
      </c>
      <c r="F56" s="1767">
        <f>('Large Profile'!$M$6)/('Large Profile'!$E$6)*E56</f>
        <v>0.31892179969343787</v>
      </c>
      <c r="G56" s="1767">
        <f>('Large Profile'!$Q$6)/('Large Profile'!$I$6)*E56</f>
        <v>0.19727469547908175</v>
      </c>
      <c r="I56" s="1797">
        <f t="shared" si="24"/>
        <v>408115.65</v>
      </c>
      <c r="J56" s="1797"/>
      <c r="K56" s="1797">
        <f t="shared" si="25"/>
        <v>405323.57</v>
      </c>
      <c r="L56" s="1797"/>
      <c r="M56" s="1797">
        <f t="shared" si="0"/>
        <v>-2792.0800000000163</v>
      </c>
      <c r="O56" s="1814">
        <f t="shared" si="1"/>
        <v>-6.8413940999322298E-3</v>
      </c>
      <c r="Q56" s="1797">
        <f t="shared" si="26"/>
        <v>340686.99</v>
      </c>
      <c r="R56" s="1797"/>
      <c r="S56" s="1797">
        <f t="shared" si="27"/>
        <v>281274.18</v>
      </c>
      <c r="T56" s="1797"/>
      <c r="U56" s="1797">
        <f t="shared" si="2"/>
        <v>-59412.81</v>
      </c>
      <c r="W56" s="1814">
        <f t="shared" si="3"/>
        <v>-0.17439119116347823</v>
      </c>
    </row>
    <row r="57" spans="1:23">
      <c r="A57" s="1815">
        <f>A54</f>
        <v>10000</v>
      </c>
      <c r="C57" s="1707">
        <f>A51*0.9*730</f>
        <v>6570000</v>
      </c>
      <c r="E57" s="1767">
        <f t="shared" si="28"/>
        <v>0.6</v>
      </c>
      <c r="F57" s="1767">
        <f>('Large Profile'!$M$6)/('Large Profile'!$E$6)*E57</f>
        <v>0.47838269954015672</v>
      </c>
      <c r="G57" s="1767">
        <f>('Large Profile'!$Q$6)/('Large Profile'!$I$6)*E57</f>
        <v>0.29591204321862258</v>
      </c>
      <c r="I57" s="1797">
        <f t="shared" si="24"/>
        <v>490638.26</v>
      </c>
      <c r="J57" s="1797"/>
      <c r="K57" s="1797">
        <f t="shared" si="25"/>
        <v>494680.94</v>
      </c>
      <c r="L57" s="1797"/>
      <c r="M57" s="1797">
        <f t="shared" si="0"/>
        <v>4042.679999999993</v>
      </c>
      <c r="O57" s="1814">
        <f t="shared" si="1"/>
        <v>8.2396346342823445E-3</v>
      </c>
      <c r="Q57" s="1797">
        <f t="shared" si="26"/>
        <v>401986.26</v>
      </c>
      <c r="R57" s="1797"/>
      <c r="S57" s="1797">
        <f t="shared" si="27"/>
        <v>345249.71</v>
      </c>
      <c r="T57" s="1797"/>
      <c r="U57" s="1797">
        <f t="shared" si="2"/>
        <v>-56736.549999999988</v>
      </c>
      <c r="W57" s="1814">
        <f t="shared" si="3"/>
        <v>-0.14114052057401161</v>
      </c>
    </row>
    <row r="58" spans="1:23">
      <c r="A58" s="1815">
        <f>A55</f>
        <v>10000</v>
      </c>
      <c r="C58" s="1815">
        <f>C57</f>
        <v>6570000</v>
      </c>
      <c r="E58" s="1767">
        <f t="shared" si="28"/>
        <v>0.5</v>
      </c>
      <c r="F58" s="1767">
        <f>('Large Profile'!$M$6)/('Large Profile'!$E$6)*E58</f>
        <v>0.39865224961679729</v>
      </c>
      <c r="G58" s="1767">
        <f>('Large Profile'!$Q$6)/('Large Profile'!$I$6)*E58</f>
        <v>0.24659336934885218</v>
      </c>
      <c r="I58" s="1797">
        <f t="shared" si="24"/>
        <v>479600.02</v>
      </c>
      <c r="J58" s="1797"/>
      <c r="K58" s="1797">
        <f t="shared" si="25"/>
        <v>479194.26</v>
      </c>
      <c r="L58" s="1797"/>
      <c r="M58" s="1797">
        <f t="shared" si="0"/>
        <v>-405.76000000000931</v>
      </c>
      <c r="O58" s="1814">
        <f t="shared" si="1"/>
        <v>-8.4603833002339091E-4</v>
      </c>
      <c r="Q58" s="1797">
        <f t="shared" si="26"/>
        <v>398294.56</v>
      </c>
      <c r="R58" s="1797"/>
      <c r="S58" s="1797">
        <f t="shared" si="27"/>
        <v>336772.23</v>
      </c>
      <c r="T58" s="1797"/>
      <c r="U58" s="1797">
        <f t="shared" si="2"/>
        <v>-61522.330000000016</v>
      </c>
      <c r="W58" s="1814">
        <f t="shared" si="3"/>
        <v>-0.15446439941333878</v>
      </c>
    </row>
    <row r="59" spans="1:23">
      <c r="A59" s="1815">
        <f>A56</f>
        <v>10000</v>
      </c>
      <c r="C59" s="1815">
        <f>C58</f>
        <v>6570000</v>
      </c>
      <c r="E59" s="1767">
        <f t="shared" si="28"/>
        <v>0.4</v>
      </c>
      <c r="F59" s="1767">
        <f>('Large Profile'!$M$6)/('Large Profile'!$E$6)*E59</f>
        <v>0.31892179969343787</v>
      </c>
      <c r="G59" s="1767">
        <f>('Large Profile'!$Q$6)/('Large Profile'!$I$6)*E59</f>
        <v>0.19727469547908175</v>
      </c>
      <c r="I59" s="1797">
        <f t="shared" si="24"/>
        <v>468561.78</v>
      </c>
      <c r="J59" s="1797"/>
      <c r="K59" s="1797">
        <f t="shared" si="25"/>
        <v>463707.58</v>
      </c>
      <c r="L59" s="1797"/>
      <c r="M59" s="1797">
        <f t="shared" si="0"/>
        <v>-4854.2000000000116</v>
      </c>
      <c r="O59" s="1814">
        <f t="shared" si="1"/>
        <v>-1.035978649389635E-2</v>
      </c>
      <c r="Q59" s="1797">
        <f t="shared" si="26"/>
        <v>394602.86</v>
      </c>
      <c r="R59" s="1797"/>
      <c r="S59" s="1797">
        <f>ROUND($AA$19+(($AA$20+$AA$22)*$A59+($AA$21*$A59+($AA$23*$G59+$AA$24*(1-$G59))/100*$C59)*(1+$AA$35))*(1+$AA$26)+($AA$21*$A59+($AA$23*$G59+$AA$24*(1-$G59))/100*$C59)*$AA$30+$AA$25,2)</f>
        <v>328294.74</v>
      </c>
      <c r="T59" s="1797"/>
      <c r="U59" s="1797">
        <f t="shared" si="2"/>
        <v>-66308.12</v>
      </c>
      <c r="W59" s="1814">
        <f t="shared" si="3"/>
        <v>-0.16803760621501829</v>
      </c>
    </row>
    <row r="60" spans="1:23">
      <c r="M60" s="1715"/>
      <c r="U60" s="1715"/>
    </row>
    <row r="61" spans="1:23" ht="15.75">
      <c r="A61" s="1770" t="s">
        <v>1723</v>
      </c>
      <c r="M61" s="1715"/>
      <c r="U61" s="1715"/>
    </row>
    <row r="62" spans="1:23" ht="15.75">
      <c r="A62" s="1770" t="s">
        <v>1698</v>
      </c>
      <c r="M62" s="1715"/>
      <c r="U62" s="1715"/>
    </row>
    <row r="63" spans="1:23" ht="15.75">
      <c r="A63" s="1770"/>
      <c r="M63" s="1715"/>
      <c r="U63" s="1715"/>
    </row>
    <row r="64" spans="1:23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1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C68"/>
  <sheetViews>
    <sheetView view="pageBreakPreview" topLeftCell="C4" zoomScale="80" zoomScaleNormal="100" zoomScaleSheetLayoutView="80" workbookViewId="0">
      <selection activeCell="AA8" sqref="AA8"/>
    </sheetView>
  </sheetViews>
  <sheetFormatPr defaultColWidth="8" defaultRowHeight="12.75"/>
  <cols>
    <col min="1" max="1" width="8" style="1707" customWidth="1"/>
    <col min="2" max="2" width="0.75" style="1707" customWidth="1"/>
    <col min="3" max="3" width="9.625" style="1707" bestFit="1" customWidth="1"/>
    <col min="4" max="4" width="0.625" style="1704" customWidth="1"/>
    <col min="5" max="5" width="6.75" style="1707" bestFit="1" customWidth="1"/>
    <col min="6" max="6" width="7.75" style="1707" customWidth="1"/>
    <col min="7" max="7" width="8.625" style="1707" customWidth="1"/>
    <col min="8" max="8" width="0.75" style="1704" customWidth="1"/>
    <col min="9" max="9" width="9.25" style="1708" bestFit="1" customWidth="1"/>
    <col min="10" max="10" width="0.625" style="1704" customWidth="1"/>
    <col min="11" max="11" width="9.25" style="1708" bestFit="1" customWidth="1"/>
    <col min="12" max="12" width="1" style="1704" customWidth="1"/>
    <col min="13" max="13" width="8.125" style="1704" bestFit="1" customWidth="1"/>
    <col min="14" max="14" width="1.125" style="1704" customWidth="1"/>
    <col min="15" max="15" width="5.625" style="1704" bestFit="1" customWidth="1"/>
    <col min="16" max="16" width="1.125" style="1704" customWidth="1"/>
    <col min="17" max="17" width="9.25" style="1708" bestFit="1" customWidth="1"/>
    <col min="18" max="18" width="0.75" style="1704" customWidth="1"/>
    <col min="19" max="19" width="9.25" style="1708" bestFit="1" customWidth="1"/>
    <col min="20" max="20" width="1.125" style="1704" customWidth="1"/>
    <col min="21" max="21" width="8.125" style="1704" bestFit="1" customWidth="1"/>
    <col min="22" max="22" width="0.75" style="1704" customWidth="1"/>
    <col min="23" max="23" width="5.625" style="1704" bestFit="1" customWidth="1"/>
    <col min="24" max="24" width="3.125" style="1704" customWidth="1"/>
    <col min="25" max="25" width="16" style="1704" bestFit="1" customWidth="1"/>
    <col min="26" max="26" width="8.5" style="1704" bestFit="1" customWidth="1"/>
    <col min="27" max="27" width="10" style="1704" bestFit="1" customWidth="1"/>
    <col min="28" max="28" width="9.75" style="1704" bestFit="1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1699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1700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>
      <c r="A5" s="1810"/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N5" s="1698"/>
      <c r="P5" s="1698"/>
      <c r="Q5" s="1699"/>
      <c r="R5" s="1698"/>
      <c r="S5" s="1699"/>
      <c r="T5" s="1698"/>
      <c r="V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1701</v>
      </c>
      <c r="Z8" s="1790" t="s">
        <v>216</v>
      </c>
      <c r="AA8" s="1726" t="s">
        <v>2334</v>
      </c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216</v>
      </c>
      <c r="K10" s="1718" t="s">
        <v>2334</v>
      </c>
      <c r="M10" s="1719" t="s">
        <v>1399</v>
      </c>
      <c r="O10" s="1720" t="s">
        <v>465</v>
      </c>
      <c r="Q10" s="1717" t="s">
        <v>216</v>
      </c>
      <c r="S10" s="1718" t="s">
        <v>2334</v>
      </c>
      <c r="U10" s="1719" t="s">
        <v>1399</v>
      </c>
      <c r="W10" s="1720" t="s">
        <v>465</v>
      </c>
      <c r="Y10" s="1736" t="s">
        <v>1678</v>
      </c>
      <c r="Z10" s="1795">
        <v>259</v>
      </c>
      <c r="AA10" s="1796">
        <f>'Blocking-Step2'!Q1479</f>
        <v>269</v>
      </c>
      <c r="AB10" s="1795"/>
      <c r="AC10" s="1814"/>
    </row>
    <row r="11" spans="1:29" ht="17.25" customHeight="1">
      <c r="A11" s="1707">
        <v>500</v>
      </c>
      <c r="C11" s="1707">
        <f>A11*0.5*730</f>
        <v>182500</v>
      </c>
      <c r="E11" s="1767">
        <v>0.6</v>
      </c>
      <c r="F11" s="1767">
        <f>('Large Profile'!$M$7)/('Large Profile'!$E$7)*E11</f>
        <v>0.41498481288338573</v>
      </c>
      <c r="G11" s="1767">
        <f>('Large Profile'!$Q$7)/('Large Profile'!$I$7)*E11</f>
        <v>0.29977417803954615</v>
      </c>
      <c r="I11" s="1797">
        <f>ROUND($Z$10+($Z$11*$A11+($Z$12*$A11+($Z$13*$E11+$Z$14*(1-$E11))/100*$C11)*(1+$Z$33))*(1+$Z$16)+($Z$12*$A11+($Z$13*$E11+$Z$14*(1-$E11))/100*$C11)*$Z$28+$Z$15,2)</f>
        <v>16010.54</v>
      </c>
      <c r="J11" s="1797"/>
      <c r="K11" s="1797">
        <f>ROUND($AA$10+($AA$11*$A11+($AA$12*$A11+($AA$13*$F11+$AA$14*(1-$F11))/100*$C11)*(1+$AA$33))*(1+$AA$16)+($AA$12*$A11+($AA$13*$F11+$AA$14*(1-$F11))/100*$C11)*$AA$28+$AA$15,2)</f>
        <v>15923.43</v>
      </c>
      <c r="L11" s="1797"/>
      <c r="M11" s="1797">
        <f t="shared" ref="M11:M59" si="0">IF(K11="","",K11-I11)</f>
        <v>-87.110000000000582</v>
      </c>
      <c r="O11" s="1814">
        <f t="shared" ref="O11:O59" si="1">IF(M11="","",K11/I11-1)</f>
        <v>-5.4407908790085058E-3</v>
      </c>
      <c r="Q11" s="1797">
        <f>ROUND($Z$18+($Z$19*$A11+($Z$20*$A11+($Z$21*$E11+$Z$22*(1-$E11))/100*$C11)*(1+$Z$33))*(1+$Z$24)+($Z$20*$A11+($Z$21*$E11+$Z$22*(1-$E11))/100*$C11)*$Z$28+$Z$23,2)</f>
        <v>12417.91</v>
      </c>
      <c r="R11" s="1797"/>
      <c r="S11" s="1797">
        <f>ROUND($AA$18+($AA$19*$A11+($AA$20*$A11+($AA$21*$G11+$AA$22*(1-$G11))/100*$C11)*(1+$AA$33))*(1+$AA$24)+($AA$20*$A11+($AA$21*$G11+$AA$22*(1-$G11))/100*$C11)*$AA$28+$AA$23,2)</f>
        <v>13773.76</v>
      </c>
      <c r="T11" s="1797"/>
      <c r="U11" s="1797">
        <f t="shared" ref="U11:U59" si="2">IF(S11="","",S11-Q11)</f>
        <v>1355.8500000000004</v>
      </c>
      <c r="W11" s="1814">
        <f t="shared" ref="W11:W59" si="3">IF(U11="","",S11/Q11-1)</f>
        <v>0.10918503999465301</v>
      </c>
      <c r="Y11" s="1736" t="s">
        <v>1694</v>
      </c>
      <c r="Z11" s="1795">
        <v>2.2200000000000002</v>
      </c>
      <c r="AA11" s="1796">
        <f>'Blocking-Step2'!Q1480</f>
        <v>2.2999999999999998</v>
      </c>
      <c r="AB11" s="1795"/>
      <c r="AC11" s="1814"/>
    </row>
    <row r="12" spans="1:29">
      <c r="A12" s="1815">
        <f>A11</f>
        <v>500</v>
      </c>
      <c r="C12" s="1815">
        <f>C11</f>
        <v>182500</v>
      </c>
      <c r="E12" s="1767">
        <v>0.5</v>
      </c>
      <c r="F12" s="1767">
        <f>('Large Profile'!$M$7)/('Large Profile'!$E$7)*E12</f>
        <v>0.34582067740282146</v>
      </c>
      <c r="G12" s="1767">
        <f>('Large Profile'!$Q$7)/('Large Profile'!$I$7)*E12</f>
        <v>0.24981181503295513</v>
      </c>
      <c r="I12" s="1797">
        <f t="shared" ref="I12:I19" si="4">ROUND($Z$10+($Z$11*$A12+($Z$12*$A12+($Z$13*$E12+$Z$14*(1-$E12))/100*$C12)*(1+$Z$33))*(1+$Z$16)+($Z$12*$A12+($Z$13*$E12+$Z$14*(1-$E12))/100*$C12)*$Z$28+$Z$15,2)</f>
        <v>15687.16</v>
      </c>
      <c r="J12" s="1797"/>
      <c r="K12" s="1797">
        <f t="shared" ref="K12:K19" si="5">ROUND($AA$10+($AA$11*$A12+($AA$12*$A12+($AA$13*$F12+$AA$14*(1-$F12))/100*$C12)*(1+$AA$33))*(1+$AA$16)+($AA$12*$A12+($AA$13*$F12+$AA$14*(1-$F12))/100*$C12)*$AA$28+$AA$15,2)</f>
        <v>15591.14</v>
      </c>
      <c r="L12" s="1797"/>
      <c r="M12" s="1797">
        <f t="shared" si="0"/>
        <v>-96.020000000000437</v>
      </c>
      <c r="O12" s="1814">
        <f t="shared" si="1"/>
        <v>-6.1209294735312669E-3</v>
      </c>
      <c r="Q12" s="1797">
        <f t="shared" ref="Q12:Q19" si="6">ROUND($Z$18+($Z$19*$A12+($Z$20*$A12+($Z$21*$E12+$Z$22*(1-$E12))/100*$C12)*(1+$Z$33))*(1+$Z$24)+($Z$20*$A12+($Z$21*$E12+$Z$22*(1-$E12))/100*$C12)*$Z$28+$Z$23,2)</f>
        <v>12310.21</v>
      </c>
      <c r="R12" s="1797"/>
      <c r="S12" s="1797">
        <f t="shared" ref="S12:S19" si="7">ROUND($AA$18+($AA$19*$A12+($AA$20*$A12+($AA$21*$G12+$AA$22*(1-$G12))/100*$C12)*(1+$AA$33))*(1+$AA$24)+($AA$20*$A12+($AA$21*$G12+$AA$22*(1-$G12))/100*$C12)*$AA$28+$AA$23,2)</f>
        <v>13561.34</v>
      </c>
      <c r="T12" s="1797"/>
      <c r="U12" s="1797">
        <f t="shared" si="2"/>
        <v>1251.130000000001</v>
      </c>
      <c r="W12" s="1814">
        <f t="shared" si="3"/>
        <v>0.10163352209263699</v>
      </c>
      <c r="Y12" s="1736" t="s">
        <v>1695</v>
      </c>
      <c r="Z12" s="1795">
        <v>13.96</v>
      </c>
      <c r="AA12" s="1796">
        <f>'Blocking-Step2'!Q1481</f>
        <v>14.48</v>
      </c>
      <c r="AB12" s="1795"/>
      <c r="AC12" s="1814"/>
    </row>
    <row r="13" spans="1:29">
      <c r="A13" s="1815">
        <f>A12</f>
        <v>500</v>
      </c>
      <c r="C13" s="1815">
        <f>C12</f>
        <v>182500</v>
      </c>
      <c r="E13" s="1767">
        <v>0.4</v>
      </c>
      <c r="F13" s="1767">
        <f>('Large Profile'!$M$7)/('Large Profile'!$E$7)*E13</f>
        <v>0.27665654192225719</v>
      </c>
      <c r="G13" s="1767">
        <f>('Large Profile'!$Q$7)/('Large Profile'!$I$7)*E13</f>
        <v>0.19984945202636412</v>
      </c>
      <c r="I13" s="1797">
        <f t="shared" si="4"/>
        <v>15363.79</v>
      </c>
      <c r="J13" s="1797"/>
      <c r="K13" s="1797">
        <f t="shared" si="5"/>
        <v>15258.84</v>
      </c>
      <c r="L13" s="1797"/>
      <c r="M13" s="1797">
        <f t="shared" si="0"/>
        <v>-104.95000000000073</v>
      </c>
      <c r="O13" s="1814">
        <f t="shared" si="1"/>
        <v>-6.830996778789622E-3</v>
      </c>
      <c r="Q13" s="1797">
        <f t="shared" si="6"/>
        <v>12202.5</v>
      </c>
      <c r="R13" s="1797"/>
      <c r="S13" s="1797">
        <f t="shared" si="7"/>
        <v>13348.91</v>
      </c>
      <c r="T13" s="1797"/>
      <c r="U13" s="1797">
        <f t="shared" si="2"/>
        <v>1146.4099999999999</v>
      </c>
      <c r="W13" s="1814">
        <f t="shared" si="3"/>
        <v>9.3948780987502589E-2</v>
      </c>
      <c r="Y13" s="1736" t="s">
        <v>1696</v>
      </c>
      <c r="Z13" s="1799">
        <v>4.6531000000000002</v>
      </c>
      <c r="AA13" s="1800">
        <f>'Blocking-Step2'!Q1483</f>
        <v>5.2035761607</v>
      </c>
      <c r="AB13" s="1801"/>
      <c r="AC13" s="1814"/>
    </row>
    <row r="14" spans="1:29">
      <c r="A14" s="1815">
        <f>A13</f>
        <v>500</v>
      </c>
      <c r="C14" s="1707">
        <f>A11*0.7*730</f>
        <v>255500</v>
      </c>
      <c r="E14" s="1767">
        <f t="shared" ref="E14:E19" si="8">E11</f>
        <v>0.6</v>
      </c>
      <c r="F14" s="1767">
        <f>('Large Profile'!$M$7)/('Large Profile'!$E$7)*E14</f>
        <v>0.41498481288338573</v>
      </c>
      <c r="G14" s="1767">
        <f>('Large Profile'!$Q$7)/('Large Profile'!$I$7)*E14</f>
        <v>0.29977417803954615</v>
      </c>
      <c r="I14" s="1797">
        <f t="shared" si="4"/>
        <v>18971</v>
      </c>
      <c r="J14" s="1797"/>
      <c r="K14" s="1797">
        <f t="shared" si="5"/>
        <v>18707.46</v>
      </c>
      <c r="L14" s="1797"/>
      <c r="M14" s="1797">
        <f t="shared" si="0"/>
        <v>-263.54000000000087</v>
      </c>
      <c r="O14" s="1814">
        <f t="shared" si="1"/>
        <v>-1.3891729481840698E-2</v>
      </c>
      <c r="Q14" s="1797">
        <f t="shared" si="6"/>
        <v>14860.76</v>
      </c>
      <c r="R14" s="1797"/>
      <c r="S14" s="1797">
        <f t="shared" si="7"/>
        <v>16041.57</v>
      </c>
      <c r="T14" s="1797"/>
      <c r="U14" s="1797">
        <f t="shared" si="2"/>
        <v>1180.8099999999995</v>
      </c>
      <c r="W14" s="1814">
        <f t="shared" si="3"/>
        <v>7.945825112578353E-2</v>
      </c>
      <c r="Y14" s="1736" t="s">
        <v>1697</v>
      </c>
      <c r="Z14" s="1799">
        <v>2.9224999999999999</v>
      </c>
      <c r="AA14" s="1800">
        <f>'Blocking-Step2'!Q1485</f>
        <v>2.6448862361710002</v>
      </c>
      <c r="AB14" s="1801"/>
      <c r="AC14" s="1814"/>
    </row>
    <row r="15" spans="1:29">
      <c r="A15" s="1815">
        <f>A14</f>
        <v>500</v>
      </c>
      <c r="C15" s="1815">
        <f>C14</f>
        <v>255500</v>
      </c>
      <c r="E15" s="1767">
        <f t="shared" si="8"/>
        <v>0.5</v>
      </c>
      <c r="F15" s="1767">
        <f>('Large Profile'!$M$7)/('Large Profile'!$E$7)*E15</f>
        <v>0.34582067740282146</v>
      </c>
      <c r="G15" s="1767">
        <f>('Large Profile'!$Q$7)/('Large Profile'!$I$7)*E15</f>
        <v>0.24981181503295513</v>
      </c>
      <c r="I15" s="1797">
        <f t="shared" si="4"/>
        <v>18518.27</v>
      </c>
      <c r="J15" s="1797"/>
      <c r="K15" s="1797">
        <f t="shared" si="5"/>
        <v>18242.25</v>
      </c>
      <c r="L15" s="1797"/>
      <c r="M15" s="1797">
        <f t="shared" si="0"/>
        <v>-276.02000000000044</v>
      </c>
      <c r="O15" s="1814">
        <f t="shared" si="1"/>
        <v>-1.4905280028858048E-2</v>
      </c>
      <c r="Q15" s="1797">
        <f t="shared" si="6"/>
        <v>14709.98</v>
      </c>
      <c r="R15" s="1797"/>
      <c r="S15" s="1797">
        <f t="shared" si="7"/>
        <v>15744.17</v>
      </c>
      <c r="T15" s="1797"/>
      <c r="U15" s="1797">
        <f t="shared" si="2"/>
        <v>1034.1900000000005</v>
      </c>
      <c r="W15" s="1814">
        <f t="shared" si="3"/>
        <v>7.0305330122814702E-2</v>
      </c>
      <c r="Y15" s="1736" t="s">
        <v>1683</v>
      </c>
      <c r="Z15" s="1795">
        <v>50</v>
      </c>
      <c r="AA15" s="1796">
        <f>Z15</f>
        <v>50</v>
      </c>
      <c r="AB15" s="1795"/>
      <c r="AC15" s="1814"/>
    </row>
    <row r="16" spans="1:29">
      <c r="A16" s="1815">
        <f>A15</f>
        <v>500</v>
      </c>
      <c r="C16" s="1815">
        <f>C15</f>
        <v>255500</v>
      </c>
      <c r="E16" s="1767">
        <f t="shared" si="8"/>
        <v>0.4</v>
      </c>
      <c r="F16" s="1767">
        <f>('Large Profile'!$M$7)/('Large Profile'!$E$7)*E16</f>
        <v>0.27665654192225719</v>
      </c>
      <c r="G16" s="1767">
        <f>('Large Profile'!$Q$7)/('Large Profile'!$I$7)*E16</f>
        <v>0.19984945202636412</v>
      </c>
      <c r="I16" s="1797">
        <f t="shared" si="4"/>
        <v>18065.55</v>
      </c>
      <c r="J16" s="1797"/>
      <c r="K16" s="1797">
        <f t="shared" si="5"/>
        <v>17777.03</v>
      </c>
      <c r="L16" s="1797"/>
      <c r="M16" s="1797">
        <f t="shared" si="0"/>
        <v>-288.52000000000044</v>
      </c>
      <c r="O16" s="1814">
        <f t="shared" si="1"/>
        <v>-1.5970728818109681E-2</v>
      </c>
      <c r="Q16" s="1797">
        <f t="shared" si="6"/>
        <v>14559.19</v>
      </c>
      <c r="R16" s="1797"/>
      <c r="S16" s="1797">
        <f t="shared" si="7"/>
        <v>15446.77</v>
      </c>
      <c r="T16" s="1797"/>
      <c r="U16" s="1797">
        <f t="shared" si="2"/>
        <v>887.57999999999993</v>
      </c>
      <c r="W16" s="1814">
        <f t="shared" si="3"/>
        <v>6.0963556351692594E-2</v>
      </c>
      <c r="Y16" s="1736" t="s">
        <v>1718</v>
      </c>
      <c r="Z16" s="1803">
        <f>Z29+Z30</f>
        <v>3.9399999999999998E-2</v>
      </c>
      <c r="AA16" s="1804">
        <f>Z16</f>
        <v>3.9399999999999998E-2</v>
      </c>
      <c r="AB16" s="1803"/>
      <c r="AC16" s="1814"/>
    </row>
    <row r="17" spans="1:29" ht="13.5">
      <c r="A17" s="1815">
        <f>A14</f>
        <v>500</v>
      </c>
      <c r="C17" s="1707">
        <f>A11*0.9*730</f>
        <v>328500</v>
      </c>
      <c r="E17" s="1767">
        <f t="shared" si="8"/>
        <v>0.6</v>
      </c>
      <c r="F17" s="1767">
        <f>('Large Profile'!$M$7)/('Large Profile'!$E$7)*E17</f>
        <v>0.41498481288338573</v>
      </c>
      <c r="G17" s="1767">
        <f>('Large Profile'!$Q$7)/('Large Profile'!$I$7)*E17</f>
        <v>0.29977417803954615</v>
      </c>
      <c r="I17" s="1797">
        <f t="shared" si="4"/>
        <v>21931.46</v>
      </c>
      <c r="J17" s="1797"/>
      <c r="K17" s="1797">
        <f t="shared" si="5"/>
        <v>21491.49</v>
      </c>
      <c r="L17" s="1797"/>
      <c r="M17" s="1797">
        <f t="shared" si="0"/>
        <v>-439.96999999999753</v>
      </c>
      <c r="O17" s="1814">
        <f t="shared" si="1"/>
        <v>-2.0061135920727446E-2</v>
      </c>
      <c r="Q17" s="1797">
        <f t="shared" si="6"/>
        <v>17303.62</v>
      </c>
      <c r="R17" s="1797"/>
      <c r="S17" s="1797">
        <f t="shared" si="7"/>
        <v>18309.37</v>
      </c>
      <c r="T17" s="1797"/>
      <c r="U17" s="1797">
        <f t="shared" si="2"/>
        <v>1005.75</v>
      </c>
      <c r="W17" s="1814">
        <f t="shared" si="3"/>
        <v>5.8123675855110024E-2</v>
      </c>
      <c r="Y17" s="1792" t="s">
        <v>80</v>
      </c>
      <c r="Z17" s="1773"/>
      <c r="AA17" s="1732"/>
      <c r="AB17" s="1773"/>
      <c r="AC17" s="1814"/>
    </row>
    <row r="18" spans="1:29">
      <c r="A18" s="1815">
        <f>A15</f>
        <v>500</v>
      </c>
      <c r="C18" s="1815">
        <f>C17</f>
        <v>328500</v>
      </c>
      <c r="E18" s="1767">
        <f t="shared" si="8"/>
        <v>0.5</v>
      </c>
      <c r="F18" s="1767">
        <f>('Large Profile'!$M$7)/('Large Profile'!$E$7)*E18</f>
        <v>0.34582067740282146</v>
      </c>
      <c r="G18" s="1767">
        <f>('Large Profile'!$Q$7)/('Large Profile'!$I$7)*E18</f>
        <v>0.24981181503295513</v>
      </c>
      <c r="I18" s="1797">
        <f t="shared" si="4"/>
        <v>21349.38</v>
      </c>
      <c r="J18" s="1797"/>
      <c r="K18" s="1797">
        <f t="shared" si="5"/>
        <v>20893.36</v>
      </c>
      <c r="L18" s="1797"/>
      <c r="M18" s="1797">
        <f t="shared" si="0"/>
        <v>-456.02000000000044</v>
      </c>
      <c r="O18" s="1814">
        <f t="shared" si="1"/>
        <v>-2.1359870872128428E-2</v>
      </c>
      <c r="Q18" s="1797">
        <f t="shared" si="6"/>
        <v>17109.75</v>
      </c>
      <c r="R18" s="1797"/>
      <c r="S18" s="1797">
        <f t="shared" si="7"/>
        <v>17927</v>
      </c>
      <c r="T18" s="1797"/>
      <c r="U18" s="1797">
        <f t="shared" si="2"/>
        <v>817.25</v>
      </c>
      <c r="W18" s="1814">
        <f t="shared" si="3"/>
        <v>4.7765163137976963E-2</v>
      </c>
      <c r="Y18" s="1736" t="s">
        <v>1678</v>
      </c>
      <c r="Z18" s="1773">
        <f>Z10</f>
        <v>259</v>
      </c>
      <c r="AA18" s="1805">
        <f>AA10</f>
        <v>269</v>
      </c>
      <c r="AB18" s="1773"/>
      <c r="AC18" s="1814"/>
    </row>
    <row r="19" spans="1:29">
      <c r="A19" s="1815">
        <f>A16</f>
        <v>500</v>
      </c>
      <c r="C19" s="1815">
        <f>C18</f>
        <v>328500</v>
      </c>
      <c r="E19" s="1767">
        <f t="shared" si="8"/>
        <v>0.4</v>
      </c>
      <c r="F19" s="1767">
        <f>('Large Profile'!$M$7)/('Large Profile'!$E$7)*E19</f>
        <v>0.27665654192225719</v>
      </c>
      <c r="G19" s="1767">
        <f>('Large Profile'!$Q$7)/('Large Profile'!$I$7)*E19</f>
        <v>0.19984945202636412</v>
      </c>
      <c r="I19" s="1797">
        <f t="shared" si="4"/>
        <v>20767.310000000001</v>
      </c>
      <c r="J19" s="1797"/>
      <c r="K19" s="1797">
        <f t="shared" si="5"/>
        <v>20295.23</v>
      </c>
      <c r="L19" s="1797"/>
      <c r="M19" s="1797">
        <f t="shared" si="0"/>
        <v>-472.08000000000175</v>
      </c>
      <c r="O19" s="1814">
        <f t="shared" si="1"/>
        <v>-2.2731880055722242E-2</v>
      </c>
      <c r="Q19" s="1797">
        <f t="shared" si="6"/>
        <v>16915.88</v>
      </c>
      <c r="R19" s="1797"/>
      <c r="S19" s="1797">
        <f t="shared" si="7"/>
        <v>17544.64</v>
      </c>
      <c r="T19" s="1797"/>
      <c r="U19" s="1797">
        <f t="shared" si="2"/>
        <v>628.7599999999984</v>
      </c>
      <c r="W19" s="1814">
        <f t="shared" si="3"/>
        <v>3.716980730532482E-2</v>
      </c>
      <c r="Y19" s="1736" t="s">
        <v>1694</v>
      </c>
      <c r="Z19" s="1773">
        <f>Z11</f>
        <v>2.2200000000000002</v>
      </c>
      <c r="AA19" s="1805">
        <f>AA11</f>
        <v>2.2999999999999998</v>
      </c>
      <c r="AB19" s="1773"/>
      <c r="AC19" s="1814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1695</v>
      </c>
      <c r="Z20" s="1795">
        <v>9.4700000000000006</v>
      </c>
      <c r="AA20" s="1796">
        <f>'Blocking-Step2'!Q1482</f>
        <v>12.81</v>
      </c>
      <c r="AB20" s="1795"/>
      <c r="AC20" s="1814"/>
    </row>
    <row r="21" spans="1:29">
      <c r="A21" s="1707">
        <v>1000</v>
      </c>
      <c r="C21" s="1707">
        <f>A21*0.5*730</f>
        <v>365000</v>
      </c>
      <c r="E21" s="1767">
        <v>0.6</v>
      </c>
      <c r="F21" s="1767">
        <f>('Large Profile'!$M$7)/('Large Profile'!$E$7)*E21</f>
        <v>0.41498481288338573</v>
      </c>
      <c r="G21" s="1767">
        <f>('Large Profile'!$Q$7)/('Large Profile'!$I$7)*E21</f>
        <v>0.29977417803954615</v>
      </c>
      <c r="I21" s="1797">
        <f t="shared" ref="I21:I29" si="9">ROUND($Z$10+($Z$11*$A21+($Z$12*$A21+($Z$13*$E21+$Z$14*(1-$E21))/100*$C21)*(1+$Z$33))*(1+$Z$16)+($Z$12*$A21+($Z$13*$E21+$Z$14*(1-$E21))/100*$C21)*$Z$28+$Z$15,2)</f>
        <v>31712.07</v>
      </c>
      <c r="J21" s="1797"/>
      <c r="K21" s="1797">
        <f t="shared" ref="K21:K29" si="10">ROUND($AA$10+($AA$11*$A21+($AA$12*$A21+($AA$13*$F21+$AA$14*(1-$F21))/100*$C21)*(1+$AA$33))*(1+$AA$16)+($AA$12*$A21+($AA$13*$F21+$AA$14*(1-$F21))/100*$C21)*$AA$28+$AA$15,2)</f>
        <v>31527.87</v>
      </c>
      <c r="L21" s="1797"/>
      <c r="M21" s="1797">
        <f t="shared" si="0"/>
        <v>-184.20000000000073</v>
      </c>
      <c r="O21" s="1814">
        <f t="shared" si="1"/>
        <v>-5.8085139191481616E-3</v>
      </c>
      <c r="Q21" s="1797">
        <f t="shared" ref="Q21:Q29" si="11">ROUND($Z$18+($Z$19*$A21+($Z$20*$A21+($Z$21*$E21+$Z$22*(1-$E21))/100*$C21)*(1+$Z$33))*(1+$Z$24)+($Z$20*$A21+($Z$21*$E21+$Z$22*(1-$E21))/100*$C21)*$Z$28+$Z$23,2)</f>
        <v>24526.83</v>
      </c>
      <c r="R21" s="1797"/>
      <c r="S21" s="1797">
        <f t="shared" ref="S21:S29" si="12">ROUND($AA$18+($AA$19*$A21+($AA$20*$A21+($AA$21*$G21+$AA$22*(1-$G21))/100*$C21)*(1+$AA$33))*(1+$AA$24)+($AA$20*$A21+($AA$21*$G21+$AA$22*(1-$G21))/100*$C21)*$AA$28+$AA$23,2)</f>
        <v>27228.53</v>
      </c>
      <c r="T21" s="1797"/>
      <c r="U21" s="1797">
        <f t="shared" si="2"/>
        <v>2701.6999999999971</v>
      </c>
      <c r="W21" s="1814">
        <f t="shared" si="3"/>
        <v>0.11015284078700738</v>
      </c>
      <c r="Y21" s="1736" t="s">
        <v>1696</v>
      </c>
      <c r="Z21" s="1799">
        <v>3.4988999999999999</v>
      </c>
      <c r="AA21" s="1800">
        <f>'Blocking-Step2'!Q1484</f>
        <v>4.6049346554869999</v>
      </c>
      <c r="AB21" s="1801"/>
      <c r="AC21" s="1814"/>
    </row>
    <row r="22" spans="1:29">
      <c r="A22" s="1815">
        <f>A21</f>
        <v>1000</v>
      </c>
      <c r="C22" s="1815">
        <f>C21</f>
        <v>365000</v>
      </c>
      <c r="E22" s="1767">
        <v>0.5</v>
      </c>
      <c r="F22" s="1767">
        <f>('Large Profile'!$M$7)/('Large Profile'!$E$7)*E22</f>
        <v>0.34582067740282146</v>
      </c>
      <c r="G22" s="1767">
        <f>('Large Profile'!$Q$7)/('Large Profile'!$I$7)*E22</f>
        <v>0.24981181503295513</v>
      </c>
      <c r="I22" s="1797">
        <f t="shared" si="9"/>
        <v>31065.32</v>
      </c>
      <c r="J22" s="1797"/>
      <c r="K22" s="1797">
        <f t="shared" si="10"/>
        <v>30863.279999999999</v>
      </c>
      <c r="L22" s="1797"/>
      <c r="M22" s="1797">
        <f t="shared" si="0"/>
        <v>-202.04000000000087</v>
      </c>
      <c r="O22" s="1814">
        <f t="shared" si="1"/>
        <v>-6.5037153971052586E-3</v>
      </c>
      <c r="Q22" s="1797">
        <f t="shared" si="11"/>
        <v>24311.42</v>
      </c>
      <c r="R22" s="1797"/>
      <c r="S22" s="1797">
        <f t="shared" si="12"/>
        <v>26803.68</v>
      </c>
      <c r="T22" s="1797"/>
      <c r="U22" s="1797">
        <f t="shared" si="2"/>
        <v>2492.260000000002</v>
      </c>
      <c r="W22" s="1814">
        <f t="shared" si="3"/>
        <v>0.10251396257396728</v>
      </c>
      <c r="Y22" s="1736" t="s">
        <v>1697</v>
      </c>
      <c r="Z22" s="1799">
        <v>2.9224999999999999</v>
      </c>
      <c r="AA22" s="1800">
        <f>'Blocking-Step2'!Q1486</f>
        <v>2.340607288647</v>
      </c>
      <c r="AB22" s="1801"/>
      <c r="AC22" s="1814"/>
    </row>
    <row r="23" spans="1:29">
      <c r="A23" s="1815">
        <f>A22</f>
        <v>1000</v>
      </c>
      <c r="C23" s="1815">
        <f>C22</f>
        <v>365000</v>
      </c>
      <c r="E23" s="1767">
        <v>0.4</v>
      </c>
      <c r="F23" s="1767">
        <f>('Large Profile'!$M$7)/('Large Profile'!$E$7)*E23</f>
        <v>0.27665654192225719</v>
      </c>
      <c r="G23" s="1767">
        <f>('Large Profile'!$Q$7)/('Large Profile'!$I$7)*E23</f>
        <v>0.19984945202636412</v>
      </c>
      <c r="I23" s="1797">
        <f t="shared" si="9"/>
        <v>30418.57</v>
      </c>
      <c r="J23" s="1797"/>
      <c r="K23" s="1797">
        <f t="shared" si="10"/>
        <v>30198.69</v>
      </c>
      <c r="L23" s="1797"/>
      <c r="M23" s="1797">
        <f t="shared" si="0"/>
        <v>-219.88000000000102</v>
      </c>
      <c r="O23" s="1814">
        <f t="shared" si="1"/>
        <v>-7.2284791822889716E-3</v>
      </c>
      <c r="Q23" s="1797">
        <f t="shared" si="11"/>
        <v>24096.01</v>
      </c>
      <c r="R23" s="1797"/>
      <c r="S23" s="1797">
        <f t="shared" si="12"/>
        <v>26378.82</v>
      </c>
      <c r="T23" s="1797"/>
      <c r="U23" s="1797">
        <f t="shared" si="2"/>
        <v>2282.8100000000013</v>
      </c>
      <c r="W23" s="1814">
        <f t="shared" si="3"/>
        <v>9.4738091493155929E-2</v>
      </c>
      <c r="Y23" s="1736" t="s">
        <v>1683</v>
      </c>
      <c r="Z23" s="1773">
        <f>Z15</f>
        <v>50</v>
      </c>
      <c r="AA23" s="1805">
        <f>AA15</f>
        <v>50</v>
      </c>
      <c r="AB23" s="1773"/>
      <c r="AC23" s="1814"/>
    </row>
    <row r="24" spans="1:29">
      <c r="A24" s="1815">
        <f>A23</f>
        <v>1000</v>
      </c>
      <c r="C24" s="1707">
        <f>A21*0.7*730</f>
        <v>511000</v>
      </c>
      <c r="E24" s="1767">
        <f t="shared" ref="E24:E29" si="13">E21</f>
        <v>0.6</v>
      </c>
      <c r="F24" s="1767">
        <f>('Large Profile'!$M$7)/('Large Profile'!$E$7)*E24</f>
        <v>0.41498481288338573</v>
      </c>
      <c r="G24" s="1767">
        <f>('Large Profile'!$Q$7)/('Large Profile'!$I$7)*E24</f>
        <v>0.29977417803954615</v>
      </c>
      <c r="I24" s="1797">
        <f t="shared" si="9"/>
        <v>37633</v>
      </c>
      <c r="J24" s="1797"/>
      <c r="K24" s="1797">
        <f t="shared" si="10"/>
        <v>37095.919999999998</v>
      </c>
      <c r="L24" s="1797"/>
      <c r="M24" s="1797">
        <f t="shared" si="0"/>
        <v>-537.08000000000175</v>
      </c>
      <c r="O24" s="1814">
        <f t="shared" si="1"/>
        <v>-1.4271517019637026E-2</v>
      </c>
      <c r="Q24" s="1797">
        <f t="shared" si="11"/>
        <v>29412.53</v>
      </c>
      <c r="R24" s="1797"/>
      <c r="S24" s="1797">
        <f t="shared" si="12"/>
        <v>31764.14</v>
      </c>
      <c r="T24" s="1797"/>
      <c r="U24" s="1797">
        <f t="shared" si="2"/>
        <v>2351.6100000000006</v>
      </c>
      <c r="W24" s="1814">
        <f t="shared" si="3"/>
        <v>7.9952659631796319E-2</v>
      </c>
      <c r="Y24" s="1759" t="s">
        <v>1718</v>
      </c>
      <c r="Z24" s="1768">
        <f>Z16</f>
        <v>3.9399999999999998E-2</v>
      </c>
      <c r="AA24" s="1769">
        <f>AA16</f>
        <v>3.9399999999999998E-2</v>
      </c>
      <c r="AB24" s="1752"/>
      <c r="AC24" s="1814"/>
    </row>
    <row r="25" spans="1:29">
      <c r="A25" s="1815">
        <f>A24</f>
        <v>1000</v>
      </c>
      <c r="C25" s="1815">
        <f>C24</f>
        <v>511000</v>
      </c>
      <c r="E25" s="1767">
        <f t="shared" si="13"/>
        <v>0.5</v>
      </c>
      <c r="F25" s="1767">
        <f>('Large Profile'!$M$7)/('Large Profile'!$E$7)*E25</f>
        <v>0.34582067740282146</v>
      </c>
      <c r="G25" s="1767">
        <f>('Large Profile'!$Q$7)/('Large Profile'!$I$7)*E25</f>
        <v>0.24981181503295513</v>
      </c>
      <c r="I25" s="1797">
        <f t="shared" si="9"/>
        <v>36727.550000000003</v>
      </c>
      <c r="J25" s="1797"/>
      <c r="K25" s="1797">
        <f t="shared" si="10"/>
        <v>36165.5</v>
      </c>
      <c r="L25" s="1797"/>
      <c r="M25" s="1797">
        <f t="shared" si="0"/>
        <v>-562.05000000000291</v>
      </c>
      <c r="O25" s="1814">
        <f t="shared" si="1"/>
        <v>-1.5303226052377661E-2</v>
      </c>
      <c r="Q25" s="1797">
        <f t="shared" si="11"/>
        <v>29110.959999999999</v>
      </c>
      <c r="R25" s="1797"/>
      <c r="S25" s="1797">
        <f t="shared" si="12"/>
        <v>31169.34</v>
      </c>
      <c r="T25" s="1797"/>
      <c r="U25" s="1797">
        <f t="shared" si="2"/>
        <v>2058.380000000001</v>
      </c>
      <c r="W25" s="1814">
        <f t="shared" si="3"/>
        <v>7.0708076957956667E-2</v>
      </c>
      <c r="AB25" s="1814"/>
    </row>
    <row r="26" spans="1:29">
      <c r="A26" s="1815">
        <f>A25</f>
        <v>1000</v>
      </c>
      <c r="C26" s="1815">
        <f>C25</f>
        <v>511000</v>
      </c>
      <c r="E26" s="1767">
        <f t="shared" si="13"/>
        <v>0.4</v>
      </c>
      <c r="F26" s="1767">
        <f>('Large Profile'!$M$7)/('Large Profile'!$E$7)*E26</f>
        <v>0.27665654192225719</v>
      </c>
      <c r="G26" s="1767">
        <f>('Large Profile'!$Q$7)/('Large Profile'!$I$7)*E26</f>
        <v>0.19984945202636412</v>
      </c>
      <c r="I26" s="1797">
        <f t="shared" si="9"/>
        <v>35822.089999999997</v>
      </c>
      <c r="J26" s="1797"/>
      <c r="K26" s="1797">
        <f t="shared" si="10"/>
        <v>35235.07</v>
      </c>
      <c r="L26" s="1797"/>
      <c r="M26" s="1797">
        <f t="shared" si="0"/>
        <v>-587.0199999999968</v>
      </c>
      <c r="O26" s="1814">
        <f t="shared" si="1"/>
        <v>-1.6387095225320336E-2</v>
      </c>
      <c r="Q26" s="1797">
        <f t="shared" si="11"/>
        <v>28809.38</v>
      </c>
      <c r="R26" s="1797"/>
      <c r="S26" s="1797">
        <f t="shared" si="12"/>
        <v>30574.55</v>
      </c>
      <c r="T26" s="1797"/>
      <c r="U26" s="1797">
        <f t="shared" si="2"/>
        <v>1765.1699999999983</v>
      </c>
      <c r="W26" s="1814">
        <f t="shared" si="3"/>
        <v>6.1270669483341811E-2</v>
      </c>
      <c r="AA26" s="1808"/>
      <c r="AB26" s="1814"/>
    </row>
    <row r="27" spans="1:29">
      <c r="A27" s="1815">
        <f>A24</f>
        <v>1000</v>
      </c>
      <c r="C27" s="1707">
        <f>A21*0.9*730</f>
        <v>657000</v>
      </c>
      <c r="E27" s="1767">
        <f t="shared" si="13"/>
        <v>0.6</v>
      </c>
      <c r="F27" s="1767">
        <f>('Large Profile'!$M$7)/('Large Profile'!$E$7)*E27</f>
        <v>0.41498481288338573</v>
      </c>
      <c r="G27" s="1767">
        <f>('Large Profile'!$Q$7)/('Large Profile'!$I$7)*E27</f>
        <v>0.29977417803954615</v>
      </c>
      <c r="I27" s="1797">
        <f t="shared" si="9"/>
        <v>43553.919999999998</v>
      </c>
      <c r="J27" s="1797"/>
      <c r="K27" s="1797">
        <f t="shared" si="10"/>
        <v>42663.98</v>
      </c>
      <c r="L27" s="1797"/>
      <c r="M27" s="1797">
        <f t="shared" si="0"/>
        <v>-889.93999999999505</v>
      </c>
      <c r="O27" s="1814">
        <f t="shared" si="1"/>
        <v>-2.0433063200740453E-2</v>
      </c>
      <c r="Q27" s="1797">
        <f t="shared" si="11"/>
        <v>34298.230000000003</v>
      </c>
      <c r="R27" s="1797"/>
      <c r="S27" s="1797">
        <f t="shared" si="12"/>
        <v>36299.74</v>
      </c>
      <c r="T27" s="1797"/>
      <c r="U27" s="1797">
        <f t="shared" si="2"/>
        <v>2001.5099999999948</v>
      </c>
      <c r="W27" s="1814">
        <f t="shared" si="3"/>
        <v>5.8356072601997155E-2</v>
      </c>
      <c r="Y27" s="1704" t="s">
        <v>1684</v>
      </c>
      <c r="Z27" s="1799">
        <v>0</v>
      </c>
      <c r="AA27" s="1799">
        <v>0</v>
      </c>
      <c r="AB27" s="1814"/>
    </row>
    <row r="28" spans="1:29">
      <c r="A28" s="1815">
        <f>A25</f>
        <v>1000</v>
      </c>
      <c r="C28" s="1815">
        <f>C27</f>
        <v>657000</v>
      </c>
      <c r="E28" s="1767">
        <f t="shared" si="13"/>
        <v>0.5</v>
      </c>
      <c r="F28" s="1767">
        <f>('Large Profile'!$M$7)/('Large Profile'!$E$7)*E28</f>
        <v>0.34582067740282146</v>
      </c>
      <c r="G28" s="1767">
        <f>('Large Profile'!$Q$7)/('Large Profile'!$I$7)*E28</f>
        <v>0.24981181503295513</v>
      </c>
      <c r="I28" s="1797">
        <f t="shared" si="9"/>
        <v>42389.77</v>
      </c>
      <c r="J28" s="1797"/>
      <c r="K28" s="1797">
        <f t="shared" si="10"/>
        <v>41467.71</v>
      </c>
      <c r="L28" s="1797"/>
      <c r="M28" s="1797">
        <f t="shared" si="0"/>
        <v>-922.05999999999767</v>
      </c>
      <c r="O28" s="1814">
        <f t="shared" si="1"/>
        <v>-2.1751946283265933E-2</v>
      </c>
      <c r="Q28" s="1797">
        <f t="shared" si="11"/>
        <v>33910.5</v>
      </c>
      <c r="R28" s="1797"/>
      <c r="S28" s="1797">
        <f t="shared" si="12"/>
        <v>35535.01</v>
      </c>
      <c r="T28" s="1797"/>
      <c r="U28" s="1797">
        <f t="shared" si="2"/>
        <v>1624.510000000002</v>
      </c>
      <c r="W28" s="1814">
        <f t="shared" si="3"/>
        <v>4.7905810884534272E-2</v>
      </c>
      <c r="Y28" s="1702" t="s">
        <v>1720</v>
      </c>
      <c r="Z28" s="1765">
        <v>-3.0700000000000002E-2</v>
      </c>
      <c r="AA28" s="1808">
        <f>'Blocking-Step2'!Q1493</f>
        <v>-2.5700000000000001E-2</v>
      </c>
      <c r="AB28" s="1808"/>
    </row>
    <row r="29" spans="1:29">
      <c r="A29" s="1815">
        <f>A26</f>
        <v>1000</v>
      </c>
      <c r="C29" s="1815">
        <f>C28</f>
        <v>657000</v>
      </c>
      <c r="E29" s="1767">
        <f t="shared" si="13"/>
        <v>0.4</v>
      </c>
      <c r="F29" s="1767">
        <f>('Large Profile'!$M$7)/('Large Profile'!$E$7)*E29</f>
        <v>0.27665654192225719</v>
      </c>
      <c r="G29" s="1767">
        <f>('Large Profile'!$Q$7)/('Large Profile'!$I$7)*E29</f>
        <v>0.19984945202636412</v>
      </c>
      <c r="I29" s="1797">
        <f t="shared" si="9"/>
        <v>41225.620000000003</v>
      </c>
      <c r="J29" s="1797"/>
      <c r="K29" s="1797">
        <f t="shared" si="10"/>
        <v>40271.449999999997</v>
      </c>
      <c r="L29" s="1797"/>
      <c r="M29" s="1797">
        <f t="shared" si="0"/>
        <v>-954.17000000000553</v>
      </c>
      <c r="O29" s="1814">
        <f t="shared" si="1"/>
        <v>-2.3145073379126968E-2</v>
      </c>
      <c r="Q29" s="1797">
        <f t="shared" si="11"/>
        <v>33522.76</v>
      </c>
      <c r="R29" s="1797"/>
      <c r="S29" s="1797">
        <f t="shared" si="12"/>
        <v>34770.269999999997</v>
      </c>
      <c r="T29" s="1797"/>
      <c r="U29" s="1797">
        <f t="shared" si="2"/>
        <v>1247.5099999999948</v>
      </c>
      <c r="W29" s="1814">
        <f t="shared" si="3"/>
        <v>3.7213821296337102E-2</v>
      </c>
      <c r="Y29" s="1702" t="s">
        <v>1721</v>
      </c>
      <c r="Z29" s="1765">
        <v>3.8999999999999998E-3</v>
      </c>
      <c r="AA29" s="1808">
        <f>Z29</f>
        <v>3.8999999999999998E-3</v>
      </c>
      <c r="AB29" s="1814"/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1722</v>
      </c>
      <c r="Z30" s="1803">
        <v>3.5499999999999997E-2</v>
      </c>
      <c r="AA30" s="1808">
        <f>Z30</f>
        <v>3.5499999999999997E-2</v>
      </c>
      <c r="AB30" s="1814"/>
    </row>
    <row r="31" spans="1:29">
      <c r="A31" s="1707">
        <v>2000</v>
      </c>
      <c r="C31" s="1707">
        <f>A31*0.5*730</f>
        <v>730000</v>
      </c>
      <c r="E31" s="1767">
        <v>0.6</v>
      </c>
      <c r="F31" s="1767">
        <f>('Large Profile'!$M$7)/('Large Profile'!$E$7)*E31</f>
        <v>0.41498481288338573</v>
      </c>
      <c r="G31" s="1767">
        <f>('Large Profile'!$Q$7)/('Large Profile'!$I$7)*E31</f>
        <v>0.29977417803954615</v>
      </c>
      <c r="I31" s="1797">
        <f t="shared" ref="I31:I39" si="14">ROUND($Z$10+($Z$11*$A31+($Z$12*$A31+($Z$13*$E31+$Z$14*(1-$E31))/100*$C31)*(1+$Z$33))*(1+$Z$16)+($Z$12*$A31+($Z$13*$E31+$Z$14*(1-$E31))/100*$C31)*$Z$28+$Z$15,2)</f>
        <v>63115.15</v>
      </c>
      <c r="J31" s="1797"/>
      <c r="K31" s="1797">
        <f t="shared" ref="K31:K39" si="15">ROUND($AA$10+($AA$11*$A31+($AA$12*$A31+($AA$13*$F31+$AA$14*(1-$F31))/100*$C31)*(1+$AA$33))*(1+$AA$16)+($AA$12*$A31+($AA$13*$F31+$AA$14*(1-$F31))/100*$C31)*$AA$28+$AA$15,2)</f>
        <v>62736.74</v>
      </c>
      <c r="L31" s="1797"/>
      <c r="M31" s="1797">
        <f t="shared" si="0"/>
        <v>-378.41000000000349</v>
      </c>
      <c r="O31" s="1814">
        <f t="shared" si="1"/>
        <v>-5.9955494045408342E-3</v>
      </c>
      <c r="Q31" s="1797">
        <f t="shared" ref="Q31:Q39" si="16">ROUND($Z$18+($Z$19*$A31+($Z$20*$A31+($Z$21*$E31+$Z$22*(1-$E31))/100*$C31)*(1+$Z$33))*(1+$Z$24)+($Z$20*$A31+($Z$21*$E31+$Z$22*(1-$E31))/100*$C31)*$Z$28+$Z$23,2)</f>
        <v>48744.65</v>
      </c>
      <c r="R31" s="1797"/>
      <c r="S31" s="1797">
        <f t="shared" ref="S31:S39" si="17">ROUND($AA$18+($AA$19*$A31+($AA$20*$A31+($AA$21*$G31+$AA$22*(1-$G31))/100*$C31)*(1+$AA$33))*(1+$AA$24)+($AA$20*$A31+($AA$21*$G31+$AA$22*(1-$G31))/100*$C31)*$AA$28+$AA$23,2)</f>
        <v>54138.06</v>
      </c>
      <c r="T31" s="1797"/>
      <c r="U31" s="1797">
        <f t="shared" si="2"/>
        <v>5393.4099999999962</v>
      </c>
      <c r="W31" s="1814">
        <f t="shared" si="3"/>
        <v>0.11064619399257136</v>
      </c>
      <c r="Y31" s="1704" t="s">
        <v>1685</v>
      </c>
      <c r="Z31" s="1765">
        <v>1.3899999999999999E-2</v>
      </c>
      <c r="AA31" s="1809">
        <f>Z31</f>
        <v>1.3899999999999999E-2</v>
      </c>
      <c r="AB31" s="1814"/>
    </row>
    <row r="32" spans="1:29">
      <c r="A32" s="1815">
        <f>A31</f>
        <v>2000</v>
      </c>
      <c r="C32" s="1815">
        <f>C31</f>
        <v>730000</v>
      </c>
      <c r="E32" s="1767">
        <v>0.5</v>
      </c>
      <c r="F32" s="1767">
        <f>('Large Profile'!$M$7)/('Large Profile'!$E$7)*E32</f>
        <v>0.34582067740282146</v>
      </c>
      <c r="G32" s="1767">
        <f>('Large Profile'!$Q$7)/('Large Profile'!$I$7)*E32</f>
        <v>0.24981181503295513</v>
      </c>
      <c r="I32" s="1797">
        <f t="shared" si="14"/>
        <v>61821.65</v>
      </c>
      <c r="J32" s="1797"/>
      <c r="K32" s="1797">
        <f t="shared" si="15"/>
        <v>61407.56</v>
      </c>
      <c r="L32" s="1797"/>
      <c r="M32" s="1797">
        <f t="shared" si="0"/>
        <v>-414.09000000000378</v>
      </c>
      <c r="O32" s="1814">
        <f t="shared" si="1"/>
        <v>-6.69813892058857E-3</v>
      </c>
      <c r="Q32" s="1797">
        <f t="shared" si="16"/>
        <v>48313.83</v>
      </c>
      <c r="R32" s="1797"/>
      <c r="S32" s="1797">
        <f t="shared" si="17"/>
        <v>53288.35</v>
      </c>
      <c r="T32" s="1797"/>
      <c r="U32" s="1797">
        <f t="shared" si="2"/>
        <v>4974.5199999999968</v>
      </c>
      <c r="W32" s="1814">
        <f t="shared" si="3"/>
        <v>0.10296265065303234</v>
      </c>
      <c r="Y32" s="1704" t="s">
        <v>1686</v>
      </c>
      <c r="Z32" s="1765">
        <v>6.9999999999999999E-4</v>
      </c>
      <c r="AA32" s="1809">
        <f>Z32</f>
        <v>6.9999999999999999E-4</v>
      </c>
      <c r="AB32" s="1814"/>
    </row>
    <row r="33" spans="1:28">
      <c r="A33" s="1815">
        <f>A32</f>
        <v>2000</v>
      </c>
      <c r="C33" s="1815">
        <f>C32</f>
        <v>730000</v>
      </c>
      <c r="E33" s="1767">
        <v>0.4</v>
      </c>
      <c r="F33" s="1767">
        <f>('Large Profile'!$M$7)/('Large Profile'!$E$7)*E33</f>
        <v>0.27665654192225719</v>
      </c>
      <c r="G33" s="1767">
        <f>('Large Profile'!$Q$7)/('Large Profile'!$I$7)*E33</f>
        <v>0.19984945202636412</v>
      </c>
      <c r="I33" s="1797">
        <f t="shared" si="14"/>
        <v>60528.15</v>
      </c>
      <c r="J33" s="1797"/>
      <c r="K33" s="1797">
        <f t="shared" si="15"/>
        <v>60078.37</v>
      </c>
      <c r="L33" s="1797"/>
      <c r="M33" s="1797">
        <f t="shared" si="0"/>
        <v>-449.77999999999884</v>
      </c>
      <c r="O33" s="1814">
        <f t="shared" si="1"/>
        <v>-7.4309226368226566E-3</v>
      </c>
      <c r="Q33" s="1797">
        <f t="shared" si="16"/>
        <v>47883.02</v>
      </c>
      <c r="R33" s="1797"/>
      <c r="S33" s="1797">
        <f t="shared" si="17"/>
        <v>52438.65</v>
      </c>
      <c r="T33" s="1797"/>
      <c r="U33" s="1797">
        <f t="shared" si="2"/>
        <v>4555.6300000000047</v>
      </c>
      <c r="W33" s="1814">
        <f t="shared" si="3"/>
        <v>9.5140824450922423E-2</v>
      </c>
      <c r="Y33" s="1702" t="s">
        <v>1687</v>
      </c>
      <c r="Z33" s="1752">
        <f>SUM(Z31:Z32)</f>
        <v>1.4599999999999998E-2</v>
      </c>
      <c r="AA33" s="1752">
        <f>SUM(AA31:AA32)</f>
        <v>1.4599999999999998E-2</v>
      </c>
      <c r="AB33" s="1814"/>
    </row>
    <row r="34" spans="1:28">
      <c r="A34" s="1815">
        <f>A33</f>
        <v>2000</v>
      </c>
      <c r="C34" s="1707">
        <f>A31*0.7*730</f>
        <v>1022000</v>
      </c>
      <c r="E34" s="1767">
        <f t="shared" ref="E34:E39" si="18">E31</f>
        <v>0.6</v>
      </c>
      <c r="F34" s="1767">
        <f>('Large Profile'!$M$7)/('Large Profile'!$E$7)*E34</f>
        <v>0.41498481288338573</v>
      </c>
      <c r="G34" s="1767">
        <f>('Large Profile'!$Q$7)/('Large Profile'!$I$7)*E34</f>
        <v>0.29977417803954615</v>
      </c>
      <c r="I34" s="1797">
        <f t="shared" si="14"/>
        <v>74956.990000000005</v>
      </c>
      <c r="J34" s="1797"/>
      <c r="K34" s="1797">
        <f t="shared" si="15"/>
        <v>73872.850000000006</v>
      </c>
      <c r="L34" s="1797"/>
      <c r="M34" s="1797">
        <f t="shared" si="0"/>
        <v>-1084.1399999999994</v>
      </c>
      <c r="O34" s="1814">
        <f t="shared" si="1"/>
        <v>-1.4463494331882876E-2</v>
      </c>
      <c r="Q34" s="1797">
        <f t="shared" si="16"/>
        <v>58516.06</v>
      </c>
      <c r="R34" s="1797"/>
      <c r="S34" s="1797">
        <f t="shared" si="17"/>
        <v>63209.27</v>
      </c>
      <c r="T34" s="1797"/>
      <c r="U34" s="1797">
        <f t="shared" si="2"/>
        <v>4693.2099999999991</v>
      </c>
      <c r="W34" s="1814">
        <f t="shared" si="3"/>
        <v>8.0203793625203135E-2</v>
      </c>
      <c r="AB34" s="1814"/>
    </row>
    <row r="35" spans="1:28">
      <c r="A35" s="1815">
        <f>A34</f>
        <v>2000</v>
      </c>
      <c r="C35" s="1815">
        <f>C34</f>
        <v>1022000</v>
      </c>
      <c r="E35" s="1767">
        <f t="shared" si="18"/>
        <v>0.5</v>
      </c>
      <c r="F35" s="1767">
        <f>('Large Profile'!$M$7)/('Large Profile'!$E$7)*E35</f>
        <v>0.34582067740282146</v>
      </c>
      <c r="G35" s="1767">
        <f>('Large Profile'!$Q$7)/('Large Profile'!$I$7)*E35</f>
        <v>0.24981181503295513</v>
      </c>
      <c r="I35" s="1797">
        <f t="shared" si="14"/>
        <v>73146.09</v>
      </c>
      <c r="J35" s="1797"/>
      <c r="K35" s="1797">
        <f t="shared" si="15"/>
        <v>72011.990000000005</v>
      </c>
      <c r="L35" s="1797"/>
      <c r="M35" s="1797">
        <f t="shared" si="0"/>
        <v>-1134.0999999999913</v>
      </c>
      <c r="O35" s="1814">
        <f t="shared" si="1"/>
        <v>-1.5504588146816767E-2</v>
      </c>
      <c r="Q35" s="1797">
        <f t="shared" si="16"/>
        <v>57912.91</v>
      </c>
      <c r="R35" s="1797"/>
      <c r="S35" s="1797">
        <f t="shared" si="17"/>
        <v>62019.68</v>
      </c>
      <c r="T35" s="1797"/>
      <c r="U35" s="1797">
        <f t="shared" si="2"/>
        <v>4106.7699999999968</v>
      </c>
      <c r="W35" s="1814">
        <f t="shared" si="3"/>
        <v>7.0912858635492348E-2</v>
      </c>
      <c r="AB35" s="1814"/>
    </row>
    <row r="36" spans="1:28">
      <c r="A36" s="1815">
        <f>A35</f>
        <v>2000</v>
      </c>
      <c r="C36" s="1815">
        <f>C35</f>
        <v>1022000</v>
      </c>
      <c r="E36" s="1767">
        <f t="shared" si="18"/>
        <v>0.4</v>
      </c>
      <c r="F36" s="1767">
        <f>('Large Profile'!$M$7)/('Large Profile'!$E$7)*E36</f>
        <v>0.27665654192225719</v>
      </c>
      <c r="G36" s="1767">
        <f>('Large Profile'!$Q$7)/('Large Profile'!$I$7)*E36</f>
        <v>0.19984945202636412</v>
      </c>
      <c r="I36" s="1797">
        <f t="shared" si="14"/>
        <v>71335.19</v>
      </c>
      <c r="J36" s="1797"/>
      <c r="K36" s="1797">
        <f t="shared" si="15"/>
        <v>70151.14</v>
      </c>
      <c r="L36" s="1797"/>
      <c r="M36" s="1797">
        <f t="shared" si="0"/>
        <v>-1184.0500000000029</v>
      </c>
      <c r="O36" s="1814">
        <f t="shared" si="1"/>
        <v>-1.6598399751931781E-2</v>
      </c>
      <c r="Q36" s="1797">
        <f t="shared" si="16"/>
        <v>57309.77</v>
      </c>
      <c r="R36" s="1797"/>
      <c r="S36" s="1797">
        <f t="shared" si="17"/>
        <v>60830.1</v>
      </c>
      <c r="T36" s="1797"/>
      <c r="U36" s="1797">
        <f t="shared" si="2"/>
        <v>3520.3300000000017</v>
      </c>
      <c r="W36" s="1814">
        <f t="shared" si="3"/>
        <v>6.1426350166821519E-2</v>
      </c>
      <c r="AB36" s="1814"/>
    </row>
    <row r="37" spans="1:28">
      <c r="A37" s="1815">
        <f>A34</f>
        <v>2000</v>
      </c>
      <c r="C37" s="1707">
        <f>A31*0.9*730</f>
        <v>1314000</v>
      </c>
      <c r="E37" s="1767">
        <f t="shared" si="18"/>
        <v>0.6</v>
      </c>
      <c r="F37" s="1767">
        <f>('Large Profile'!$M$7)/('Large Profile'!$E$7)*E37</f>
        <v>0.41498481288338573</v>
      </c>
      <c r="G37" s="1767">
        <f>('Large Profile'!$Q$7)/('Large Profile'!$I$7)*E37</f>
        <v>0.29977417803954615</v>
      </c>
      <c r="I37" s="1797">
        <f t="shared" si="14"/>
        <v>86798.84</v>
      </c>
      <c r="J37" s="1797"/>
      <c r="K37" s="1797">
        <f t="shared" si="15"/>
        <v>85008.95</v>
      </c>
      <c r="L37" s="1797"/>
      <c r="M37" s="1797">
        <f t="shared" si="0"/>
        <v>-1789.8899999999994</v>
      </c>
      <c r="O37" s="1814">
        <f t="shared" si="1"/>
        <v>-2.0621128116458665E-2</v>
      </c>
      <c r="Q37" s="1797">
        <f t="shared" si="16"/>
        <v>68287.47</v>
      </c>
      <c r="R37" s="1797"/>
      <c r="S37" s="1797">
        <f t="shared" si="17"/>
        <v>72280.479999999996</v>
      </c>
      <c r="T37" s="1797"/>
      <c r="U37" s="1797">
        <f t="shared" si="2"/>
        <v>3993.0099999999948</v>
      </c>
      <c r="W37" s="1814">
        <f t="shared" si="3"/>
        <v>5.8473538410487302E-2</v>
      </c>
      <c r="AB37" s="1814"/>
    </row>
    <row r="38" spans="1:28">
      <c r="A38" s="1815">
        <f>A35</f>
        <v>2000</v>
      </c>
      <c r="C38" s="1815">
        <f>C37</f>
        <v>1314000</v>
      </c>
      <c r="E38" s="1767">
        <f t="shared" si="18"/>
        <v>0.5</v>
      </c>
      <c r="F38" s="1767">
        <f>('Large Profile'!$M$7)/('Large Profile'!$E$7)*E38</f>
        <v>0.34582067740282146</v>
      </c>
      <c r="G38" s="1767">
        <f>('Large Profile'!$Q$7)/('Large Profile'!$I$7)*E38</f>
        <v>0.24981181503295513</v>
      </c>
      <c r="I38" s="1797">
        <f t="shared" si="14"/>
        <v>84470.54</v>
      </c>
      <c r="J38" s="1797"/>
      <c r="K38" s="1797">
        <f t="shared" si="15"/>
        <v>82616.429999999993</v>
      </c>
      <c r="L38" s="1797"/>
      <c r="M38" s="1797">
        <f t="shared" si="0"/>
        <v>-1854.1100000000006</v>
      </c>
      <c r="O38" s="1814">
        <f t="shared" si="1"/>
        <v>-2.1949782728984624E-2</v>
      </c>
      <c r="Q38" s="1797">
        <f t="shared" si="16"/>
        <v>67511.990000000005</v>
      </c>
      <c r="R38" s="1797"/>
      <c r="S38" s="1797">
        <f t="shared" si="17"/>
        <v>70751.02</v>
      </c>
      <c r="T38" s="1797"/>
      <c r="U38" s="1797">
        <f t="shared" si="2"/>
        <v>3239.0299999999988</v>
      </c>
      <c r="W38" s="1814">
        <f t="shared" si="3"/>
        <v>4.7977107473798242E-2</v>
      </c>
      <c r="AB38" s="1814"/>
    </row>
    <row r="39" spans="1:28">
      <c r="A39" s="1815">
        <f>A36</f>
        <v>2000</v>
      </c>
      <c r="C39" s="1815">
        <f>C38</f>
        <v>1314000</v>
      </c>
      <c r="E39" s="1767">
        <f t="shared" si="18"/>
        <v>0.4</v>
      </c>
      <c r="F39" s="1767">
        <f>('Large Profile'!$M$7)/('Large Profile'!$E$7)*E39</f>
        <v>0.27665654192225719</v>
      </c>
      <c r="G39" s="1767">
        <f>('Large Profile'!$Q$7)/('Large Profile'!$I$7)*E39</f>
        <v>0.19984945202636412</v>
      </c>
      <c r="I39" s="1797">
        <f t="shared" si="14"/>
        <v>82142.23</v>
      </c>
      <c r="J39" s="1797"/>
      <c r="K39" s="1797">
        <f t="shared" si="15"/>
        <v>80223.899999999994</v>
      </c>
      <c r="L39" s="1797"/>
      <c r="M39" s="1797">
        <f t="shared" si="0"/>
        <v>-1918.3300000000017</v>
      </c>
      <c r="O39" s="1814">
        <f t="shared" si="1"/>
        <v>-2.3353760909583299E-2</v>
      </c>
      <c r="Q39" s="1797">
        <f t="shared" si="16"/>
        <v>66736.52</v>
      </c>
      <c r="R39" s="1797"/>
      <c r="S39" s="1797">
        <f t="shared" si="17"/>
        <v>69221.55</v>
      </c>
      <c r="T39" s="1797"/>
      <c r="U39" s="1797">
        <f t="shared" si="2"/>
        <v>2485.0299999999988</v>
      </c>
      <c r="W39" s="1814">
        <f t="shared" si="3"/>
        <v>3.723643366480589E-2</v>
      </c>
      <c r="AB39" s="1814"/>
    </row>
    <row r="40" spans="1:28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  <c r="AB40" s="1814"/>
    </row>
    <row r="41" spans="1:28">
      <c r="A41" s="1707">
        <v>4000</v>
      </c>
      <c r="C41" s="1707">
        <f>A41*0.5*730</f>
        <v>1460000</v>
      </c>
      <c r="E41" s="1767">
        <v>0.6</v>
      </c>
      <c r="F41" s="1767">
        <f>('Large Profile'!$M$7)/('Large Profile'!$E$7)*E41</f>
        <v>0.41498481288338573</v>
      </c>
      <c r="G41" s="1767">
        <f>('Large Profile'!$Q$7)/('Large Profile'!$I$7)*E41</f>
        <v>0.29977417803954615</v>
      </c>
      <c r="I41" s="1797">
        <f t="shared" ref="I41:I49" si="19">ROUND($Z$10+($Z$11*$A41+($Z$12*$A41+($Z$13*$E41+$Z$14*(1-$E41))/100*$C41)*(1+$Z$33))*(1+$Z$16)+($Z$12*$A41+($Z$13*$E41+$Z$14*(1-$E41))/100*$C41)*$Z$28+$Z$15,2)</f>
        <v>125921.29</v>
      </c>
      <c r="J41" s="1797"/>
      <c r="K41" s="1797">
        <f t="shared" ref="K41:K49" si="20">ROUND($AA$10+($AA$11*$A41+($AA$12*$A41+($AA$13*$F41+$AA$14*(1-$F41))/100*$C41)*(1+$AA$33))*(1+$AA$16)+($AA$12*$A41+($AA$13*$F41+$AA$14*(1-$F41))/100*$C41)*$AA$28+$AA$15,2)</f>
        <v>125154.47</v>
      </c>
      <c r="L41" s="1797"/>
      <c r="M41" s="1797">
        <f t="shared" si="0"/>
        <v>-766.81999999999243</v>
      </c>
      <c r="O41" s="1814">
        <f t="shared" si="1"/>
        <v>-6.0896771308488473E-3</v>
      </c>
      <c r="Q41" s="1797">
        <f t="shared" ref="Q41:Q49" si="21">ROUND($Z$18+($Z$19*$A41+($Z$20*$A41+($Z$21*$E41+$Z$22*(1-$E41))/100*$C41)*(1+$Z$33))*(1+$Z$24)+($Z$20*$A41+($Z$21*$E41+$Z$22*(1-$E41))/100*$C41)*$Z$28+$Z$23,2)</f>
        <v>97180.3</v>
      </c>
      <c r="R41" s="1797"/>
      <c r="S41" s="1797">
        <f t="shared" ref="S41:S49" si="22">ROUND($AA$18+($AA$19*$A41+($AA$20*$A41+($AA$21*$G41+$AA$22*(1-$G41))/100*$C41)*(1+$AA$33))*(1+$AA$24)+($AA$20*$A41+($AA$21*$G41+$AA$22*(1-$G41))/100*$C41)*$AA$28+$AA$23,2)</f>
        <v>107957.11</v>
      </c>
      <c r="T41" s="1797"/>
      <c r="U41" s="1797">
        <f t="shared" si="2"/>
        <v>10776.809999999998</v>
      </c>
      <c r="V41" s="1818"/>
      <c r="W41" s="1814">
        <f t="shared" si="3"/>
        <v>0.11089500649823059</v>
      </c>
      <c r="AB41" s="1814"/>
    </row>
    <row r="42" spans="1:28">
      <c r="A42" s="1815">
        <f>A41</f>
        <v>4000</v>
      </c>
      <c r="C42" s="1815">
        <f>C41</f>
        <v>1460000</v>
      </c>
      <c r="E42" s="1767">
        <v>0.5</v>
      </c>
      <c r="F42" s="1767">
        <f>('Large Profile'!$M$7)/('Large Profile'!$E$7)*E42</f>
        <v>0.34582067740282146</v>
      </c>
      <c r="G42" s="1767">
        <f>('Large Profile'!$Q$7)/('Large Profile'!$I$7)*E42</f>
        <v>0.24981181503295513</v>
      </c>
      <c r="I42" s="1797">
        <f t="shared" si="19"/>
        <v>123334.29</v>
      </c>
      <c r="J42" s="1797"/>
      <c r="K42" s="1797">
        <f t="shared" si="20"/>
        <v>122496.11</v>
      </c>
      <c r="L42" s="1797"/>
      <c r="M42" s="1797">
        <f t="shared" si="0"/>
        <v>-838.17999999999302</v>
      </c>
      <c r="O42" s="1814">
        <f t="shared" si="1"/>
        <v>-6.7960013391247243E-3</v>
      </c>
      <c r="Q42" s="1797">
        <f t="shared" si="21"/>
        <v>96318.67</v>
      </c>
      <c r="R42" s="1797"/>
      <c r="S42" s="1797">
        <f t="shared" si="22"/>
        <v>106257.71</v>
      </c>
      <c r="T42" s="1797"/>
      <c r="U42" s="1797">
        <f t="shared" si="2"/>
        <v>9939.0400000000081</v>
      </c>
      <c r="V42" s="1818"/>
      <c r="W42" s="1814">
        <f t="shared" si="3"/>
        <v>0.10318913249113604</v>
      </c>
      <c r="AB42" s="1814"/>
    </row>
    <row r="43" spans="1:28">
      <c r="A43" s="1815">
        <f>A42</f>
        <v>4000</v>
      </c>
      <c r="C43" s="1815">
        <f>C42</f>
        <v>1460000</v>
      </c>
      <c r="E43" s="1767">
        <v>0.4</v>
      </c>
      <c r="F43" s="1767">
        <f>('Large Profile'!$M$7)/('Large Profile'!$E$7)*E43</f>
        <v>0.27665654192225719</v>
      </c>
      <c r="G43" s="1767">
        <f>('Large Profile'!$Q$7)/('Large Profile'!$I$7)*E43</f>
        <v>0.19984945202636412</v>
      </c>
      <c r="I43" s="1797">
        <f t="shared" si="19"/>
        <v>120747.29</v>
      </c>
      <c r="J43" s="1797"/>
      <c r="K43" s="1797">
        <f t="shared" si="20"/>
        <v>119837.75</v>
      </c>
      <c r="L43" s="1797"/>
      <c r="M43" s="1797">
        <f t="shared" si="0"/>
        <v>-909.5399999999936</v>
      </c>
      <c r="O43" s="1814">
        <f t="shared" si="1"/>
        <v>-7.5325914146809891E-3</v>
      </c>
      <c r="Q43" s="1797">
        <f t="shared" si="21"/>
        <v>95457.03</v>
      </c>
      <c r="R43" s="1797"/>
      <c r="S43" s="1797">
        <f t="shared" si="22"/>
        <v>104558.3</v>
      </c>
      <c r="T43" s="1797"/>
      <c r="U43" s="1797">
        <f t="shared" si="2"/>
        <v>9101.2700000000041</v>
      </c>
      <c r="V43" s="1818"/>
      <c r="W43" s="1814">
        <f t="shared" si="3"/>
        <v>9.5344156423052384E-2</v>
      </c>
      <c r="AB43" s="1814"/>
    </row>
    <row r="44" spans="1:28">
      <c r="A44" s="1815">
        <f>A43</f>
        <v>4000</v>
      </c>
      <c r="C44" s="1707">
        <f>A41*0.7*730</f>
        <v>2044000</v>
      </c>
      <c r="E44" s="1767">
        <f t="shared" ref="E44:E49" si="23">E41</f>
        <v>0.6</v>
      </c>
      <c r="F44" s="1767">
        <f>('Large Profile'!$M$7)/('Large Profile'!$E$7)*E44</f>
        <v>0.41498481288338573</v>
      </c>
      <c r="G44" s="1767">
        <f>('Large Profile'!$Q$7)/('Large Profile'!$I$7)*E44</f>
        <v>0.29977417803954615</v>
      </c>
      <c r="I44" s="1797">
        <f t="shared" si="19"/>
        <v>149604.98000000001</v>
      </c>
      <c r="J44" s="1797"/>
      <c r="K44" s="1797">
        <f t="shared" si="20"/>
        <v>147426.69</v>
      </c>
      <c r="L44" s="1797"/>
      <c r="M44" s="1797">
        <f t="shared" si="0"/>
        <v>-2178.2900000000081</v>
      </c>
      <c r="O44" s="1814">
        <f t="shared" si="1"/>
        <v>-1.4560277338361405E-2</v>
      </c>
      <c r="Q44" s="1797">
        <f t="shared" si="21"/>
        <v>116723.12</v>
      </c>
      <c r="R44" s="1797"/>
      <c r="S44" s="1797">
        <f t="shared" si="22"/>
        <v>126099.54</v>
      </c>
      <c r="T44" s="1797"/>
      <c r="U44" s="1797">
        <f t="shared" si="2"/>
        <v>9376.4199999999983</v>
      </c>
      <c r="V44" s="1818"/>
      <c r="W44" s="1814">
        <f t="shared" si="3"/>
        <v>8.0330443531666962E-2</v>
      </c>
      <c r="AB44" s="1814"/>
    </row>
    <row r="45" spans="1:28">
      <c r="A45" s="1815">
        <f>A44</f>
        <v>4000</v>
      </c>
      <c r="C45" s="1815">
        <f>C44</f>
        <v>2044000</v>
      </c>
      <c r="E45" s="1767">
        <f t="shared" si="23"/>
        <v>0.5</v>
      </c>
      <c r="F45" s="1767">
        <f>('Large Profile'!$M$7)/('Large Profile'!$E$7)*E45</f>
        <v>0.34582067740282146</v>
      </c>
      <c r="G45" s="1767">
        <f>('Large Profile'!$Q$7)/('Large Profile'!$I$7)*E45</f>
        <v>0.24981181503295513</v>
      </c>
      <c r="I45" s="1797">
        <f t="shared" si="19"/>
        <v>145983.18</v>
      </c>
      <c r="J45" s="1797"/>
      <c r="K45" s="1797">
        <f t="shared" si="20"/>
        <v>143704.98000000001</v>
      </c>
      <c r="L45" s="1797"/>
      <c r="M45" s="1797">
        <f t="shared" si="0"/>
        <v>-2278.1999999999825</v>
      </c>
      <c r="O45" s="1814">
        <f t="shared" si="1"/>
        <v>-1.5605907475093939E-2</v>
      </c>
      <c r="Q45" s="1797">
        <f t="shared" si="21"/>
        <v>115516.83</v>
      </c>
      <c r="R45" s="1797"/>
      <c r="S45" s="1797">
        <f t="shared" si="22"/>
        <v>123720.37</v>
      </c>
      <c r="T45" s="1797"/>
      <c r="U45" s="1797">
        <f t="shared" si="2"/>
        <v>8203.5399999999936</v>
      </c>
      <c r="V45" s="1818"/>
      <c r="W45" s="1814">
        <f t="shared" si="3"/>
        <v>7.1015972304641517E-2</v>
      </c>
      <c r="AB45" s="1814"/>
    </row>
    <row r="46" spans="1:28">
      <c r="A46" s="1815">
        <f>A45</f>
        <v>4000</v>
      </c>
      <c r="C46" s="1815">
        <f>C45</f>
        <v>2044000</v>
      </c>
      <c r="E46" s="1767">
        <f t="shared" si="23"/>
        <v>0.4</v>
      </c>
      <c r="F46" s="1767">
        <f>('Large Profile'!$M$7)/('Large Profile'!$E$7)*E46</f>
        <v>0.27665654192225719</v>
      </c>
      <c r="G46" s="1767">
        <f>('Large Profile'!$Q$7)/('Large Profile'!$I$7)*E46</f>
        <v>0.19984945202636412</v>
      </c>
      <c r="I46" s="1797">
        <f t="shared" si="19"/>
        <v>142361.38</v>
      </c>
      <c r="J46" s="1797"/>
      <c r="K46" s="1797">
        <f t="shared" si="20"/>
        <v>139983.28</v>
      </c>
      <c r="L46" s="1797"/>
      <c r="M46" s="1797">
        <f t="shared" si="0"/>
        <v>-2378.1000000000058</v>
      </c>
      <c r="O46" s="1814">
        <f t="shared" si="1"/>
        <v>-1.6704670887567996E-2</v>
      </c>
      <c r="Q46" s="1797">
        <f t="shared" si="21"/>
        <v>114310.54</v>
      </c>
      <c r="R46" s="1797"/>
      <c r="S46" s="1797">
        <f t="shared" si="22"/>
        <v>121341.2</v>
      </c>
      <c r="T46" s="1797"/>
      <c r="U46" s="1797">
        <f t="shared" si="2"/>
        <v>7030.6600000000035</v>
      </c>
      <c r="V46" s="1818"/>
      <c r="W46" s="1814">
        <f t="shared" si="3"/>
        <v>6.1504914594927129E-2</v>
      </c>
      <c r="AB46" s="1814"/>
    </row>
    <row r="47" spans="1:28">
      <c r="A47" s="1815">
        <f>A44</f>
        <v>4000</v>
      </c>
      <c r="C47" s="1707">
        <f>A41*0.9*730</f>
        <v>2628000</v>
      </c>
      <c r="E47" s="1767">
        <f t="shared" si="23"/>
        <v>0.6</v>
      </c>
      <c r="F47" s="1767">
        <f>('Large Profile'!$M$7)/('Large Profile'!$E$7)*E47</f>
        <v>0.41498481288338573</v>
      </c>
      <c r="G47" s="1767">
        <f>('Large Profile'!$Q$7)/('Large Profile'!$I$7)*E47</f>
        <v>0.29977417803954615</v>
      </c>
      <c r="I47" s="1797">
        <f t="shared" si="19"/>
        <v>173288.67</v>
      </c>
      <c r="J47" s="1797"/>
      <c r="K47" s="1797">
        <f t="shared" si="20"/>
        <v>169698.91</v>
      </c>
      <c r="L47" s="1797"/>
      <c r="M47" s="1797">
        <f t="shared" si="0"/>
        <v>-3589.7600000000093</v>
      </c>
      <c r="O47" s="1814">
        <f t="shared" si="1"/>
        <v>-2.0715491670632691E-2</v>
      </c>
      <c r="Q47" s="1797">
        <f t="shared" si="21"/>
        <v>136265.93</v>
      </c>
      <c r="R47" s="1797"/>
      <c r="S47" s="1797">
        <f t="shared" si="22"/>
        <v>144241.97</v>
      </c>
      <c r="T47" s="1797"/>
      <c r="U47" s="1797">
        <f t="shared" si="2"/>
        <v>7976.0400000000081</v>
      </c>
      <c r="V47" s="1818"/>
      <c r="W47" s="1814">
        <f t="shared" si="3"/>
        <v>5.853289960300434E-2</v>
      </c>
      <c r="AB47" s="1814"/>
    </row>
    <row r="48" spans="1:28">
      <c r="A48" s="1815">
        <f>A45</f>
        <v>4000</v>
      </c>
      <c r="C48" s="1815">
        <f>C47</f>
        <v>2628000</v>
      </c>
      <c r="E48" s="1767">
        <f t="shared" si="23"/>
        <v>0.5</v>
      </c>
      <c r="F48" s="1767">
        <f>('Large Profile'!$M$7)/('Large Profile'!$E$7)*E48</f>
        <v>0.34582067740282146</v>
      </c>
      <c r="G48" s="1767">
        <f>('Large Profile'!$Q$7)/('Large Profile'!$I$7)*E48</f>
        <v>0.24981181503295513</v>
      </c>
      <c r="I48" s="1797">
        <f t="shared" si="19"/>
        <v>168632.07</v>
      </c>
      <c r="J48" s="1797"/>
      <c r="K48" s="1797">
        <f t="shared" si="20"/>
        <v>164913.85</v>
      </c>
      <c r="L48" s="1797"/>
      <c r="M48" s="1797">
        <f t="shared" si="0"/>
        <v>-3718.2200000000012</v>
      </c>
      <c r="O48" s="1814">
        <f t="shared" si="1"/>
        <v>-2.2049305330830604E-2</v>
      </c>
      <c r="Q48" s="1797">
        <f t="shared" si="21"/>
        <v>134714.99</v>
      </c>
      <c r="R48" s="1797"/>
      <c r="S48" s="1797">
        <f t="shared" si="22"/>
        <v>141183.03</v>
      </c>
      <c r="T48" s="1797"/>
      <c r="U48" s="1797">
        <f t="shared" si="2"/>
        <v>6468.0400000000081</v>
      </c>
      <c r="V48" s="1818"/>
      <c r="W48" s="1814">
        <f t="shared" si="3"/>
        <v>4.8012771258788778E-2</v>
      </c>
      <c r="AB48" s="1814"/>
    </row>
    <row r="49" spans="1:28">
      <c r="A49" s="1815">
        <f>A46</f>
        <v>4000</v>
      </c>
      <c r="C49" s="1815">
        <f>C48</f>
        <v>2628000</v>
      </c>
      <c r="E49" s="1767">
        <f t="shared" si="23"/>
        <v>0.4</v>
      </c>
      <c r="F49" s="1767">
        <f>('Large Profile'!$M$7)/('Large Profile'!$E$7)*E49</f>
        <v>0.27665654192225719</v>
      </c>
      <c r="G49" s="1767">
        <f>('Large Profile'!$Q$7)/('Large Profile'!$I$7)*E49</f>
        <v>0.19984945202636412</v>
      </c>
      <c r="I49" s="1797">
        <f t="shared" si="19"/>
        <v>163975.47</v>
      </c>
      <c r="J49" s="1797"/>
      <c r="K49" s="1797">
        <f t="shared" si="20"/>
        <v>160128.79999999999</v>
      </c>
      <c r="L49" s="1797"/>
      <c r="M49" s="1797">
        <f t="shared" si="0"/>
        <v>-3846.6700000000128</v>
      </c>
      <c r="O49" s="1814">
        <f t="shared" si="1"/>
        <v>-2.3458813687193603E-2</v>
      </c>
      <c r="Q49" s="1797">
        <f t="shared" si="21"/>
        <v>133164.04</v>
      </c>
      <c r="R49" s="1797"/>
      <c r="S49" s="1797">
        <f t="shared" si="22"/>
        <v>138124.1</v>
      </c>
      <c r="T49" s="1797"/>
      <c r="U49" s="1797">
        <f t="shared" si="2"/>
        <v>4960.0599999999977</v>
      </c>
      <c r="V49" s="1818"/>
      <c r="W49" s="1814">
        <f t="shared" si="3"/>
        <v>3.724774345987103E-2</v>
      </c>
      <c r="AB49" s="1814"/>
    </row>
    <row r="50" spans="1:28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  <c r="AB50" s="1814"/>
    </row>
    <row r="51" spans="1:28">
      <c r="A51" s="1707">
        <v>6000</v>
      </c>
      <c r="C51" s="1707">
        <f>A51*0.5*730</f>
        <v>2190000</v>
      </c>
      <c r="E51" s="1767">
        <v>0.6</v>
      </c>
      <c r="F51" s="1767">
        <f>('Large Profile'!$M$7)/('Large Profile'!$E$7)*E51</f>
        <v>0.41498481288338573</v>
      </c>
      <c r="G51" s="1767">
        <f>('Large Profile'!$Q$7)/('Large Profile'!$I$7)*E51</f>
        <v>0.29977417803954615</v>
      </c>
      <c r="I51" s="1797">
        <f t="shared" ref="I51:I59" si="24">ROUND($Z$10+($Z$11*$A51+($Z$12*$A51+($Z$13*$E51+$Z$14*(1-$E51))/100*$C51)*(1+$Z$33))*(1+$Z$16)+($Z$12*$A51+($Z$13*$E51+$Z$14*(1-$E51))/100*$C51)*$Z$28+$Z$15,2)</f>
        <v>188727.44</v>
      </c>
      <c r="J51" s="1797"/>
      <c r="K51" s="1797">
        <f t="shared" ref="K51:K59" si="25">ROUND($AA$10+($AA$11*$A51+($AA$12*$A51+($AA$13*$F51+$AA$14*(1-$F51))/100*$C51)*(1+$AA$33))*(1+$AA$16)+($AA$12*$A51+($AA$13*$F51+$AA$14*(1-$F51))/100*$C51)*$AA$28+$AA$15,2)</f>
        <v>187572.21</v>
      </c>
      <c r="L51" s="1797"/>
      <c r="M51" s="1797">
        <f t="shared" si="0"/>
        <v>-1155.2300000000105</v>
      </c>
      <c r="O51" s="1814">
        <f t="shared" si="1"/>
        <v>-6.1211554610183239E-3</v>
      </c>
      <c r="Q51" s="1797">
        <f t="shared" ref="Q51:Q59" si="26">ROUND($Z$18+($Z$19*$A51+($Z$20*$A51+($Z$21*$E51+$Z$22*(1-$E51))/100*$C51)*(1+$Z$33))*(1+$Z$24)+($Z$20*$A51+($Z$21*$E51+$Z$22*(1-$E51))/100*$C51)*$Z$28+$Z$23,2)</f>
        <v>145615.95000000001</v>
      </c>
      <c r="R51" s="1797"/>
      <c r="S51" s="1797">
        <f t="shared" ref="S51:S58" si="27">ROUND($AA$18+($AA$19*$A51+($AA$20*$A51+($AA$21*$G51+$AA$22*(1-$G51))/100*$C51)*(1+$AA$33))*(1+$AA$24)+($AA$20*$A51+($AA$21*$G51+$AA$22*(1-$G51))/100*$C51)*$AA$28+$AA$23,2)</f>
        <v>161776.17000000001</v>
      </c>
      <c r="T51" s="1797"/>
      <c r="U51" s="1797">
        <f t="shared" si="2"/>
        <v>16160.220000000001</v>
      </c>
      <c r="W51" s="1814">
        <f t="shared" si="3"/>
        <v>0.11097836466403588</v>
      </c>
      <c r="AB51" s="1814"/>
    </row>
    <row r="52" spans="1:28">
      <c r="A52" s="1815">
        <f>A51</f>
        <v>6000</v>
      </c>
      <c r="C52" s="1815">
        <f>C51</f>
        <v>2190000</v>
      </c>
      <c r="E52" s="1767">
        <v>0.5</v>
      </c>
      <c r="F52" s="1767">
        <f>('Large Profile'!$M$7)/('Large Profile'!$E$7)*E52</f>
        <v>0.34582067740282146</v>
      </c>
      <c r="G52" s="1767">
        <f>('Large Profile'!$Q$7)/('Large Profile'!$I$7)*E52</f>
        <v>0.24981181503295513</v>
      </c>
      <c r="I52" s="1797">
        <f t="shared" si="24"/>
        <v>184846.94</v>
      </c>
      <c r="J52" s="1797"/>
      <c r="K52" s="1797">
        <f t="shared" si="25"/>
        <v>183584.67</v>
      </c>
      <c r="L52" s="1797"/>
      <c r="M52" s="1797">
        <f t="shared" si="0"/>
        <v>-1262.2699999999895</v>
      </c>
      <c r="O52" s="1814">
        <f t="shared" si="1"/>
        <v>-6.8287308407701808E-3</v>
      </c>
      <c r="Q52" s="1797">
        <f t="shared" si="26"/>
        <v>144323.5</v>
      </c>
      <c r="R52" s="1797"/>
      <c r="S52" s="1797">
        <f t="shared" si="27"/>
        <v>159227.06</v>
      </c>
      <c r="T52" s="1797"/>
      <c r="U52" s="1797">
        <f t="shared" si="2"/>
        <v>14903.559999999998</v>
      </c>
      <c r="W52" s="1814">
        <f t="shared" si="3"/>
        <v>0.10326495685040893</v>
      </c>
      <c r="AB52" s="1814"/>
    </row>
    <row r="53" spans="1:28">
      <c r="A53" s="1815">
        <f>A52</f>
        <v>6000</v>
      </c>
      <c r="C53" s="1815">
        <f>C52</f>
        <v>2190000</v>
      </c>
      <c r="E53" s="1767">
        <v>0.4</v>
      </c>
      <c r="F53" s="1767">
        <f>('Large Profile'!$M$7)/('Large Profile'!$E$7)*E53</f>
        <v>0.27665654192225719</v>
      </c>
      <c r="G53" s="1767">
        <f>('Large Profile'!$Q$7)/('Large Profile'!$I$7)*E53</f>
        <v>0.19984945202636412</v>
      </c>
      <c r="I53" s="1797">
        <f t="shared" si="24"/>
        <v>180966.44</v>
      </c>
      <c r="J53" s="1797"/>
      <c r="K53" s="1797">
        <f t="shared" si="25"/>
        <v>179597.12</v>
      </c>
      <c r="L53" s="1797"/>
      <c r="M53" s="1797">
        <f t="shared" si="0"/>
        <v>-1369.320000000007</v>
      </c>
      <c r="O53" s="1814">
        <f t="shared" si="1"/>
        <v>-7.5667068435452123E-3</v>
      </c>
      <c r="Q53" s="1797">
        <f t="shared" si="26"/>
        <v>143031.04999999999</v>
      </c>
      <c r="R53" s="1797"/>
      <c r="S53" s="1797">
        <f t="shared" si="27"/>
        <v>156677.95000000001</v>
      </c>
      <c r="T53" s="1797"/>
      <c r="U53" s="1797">
        <f t="shared" si="2"/>
        <v>13646.900000000023</v>
      </c>
      <c r="W53" s="1814">
        <f t="shared" si="3"/>
        <v>9.5412150019174247E-2</v>
      </c>
      <c r="AB53" s="1814"/>
    </row>
    <row r="54" spans="1:28">
      <c r="A54" s="1815">
        <f>A53</f>
        <v>6000</v>
      </c>
      <c r="C54" s="1707">
        <f>A51*0.7*730</f>
        <v>3066000</v>
      </c>
      <c r="E54" s="1767">
        <f t="shared" ref="E54:E59" si="28">E51</f>
        <v>0.6</v>
      </c>
      <c r="F54" s="1767">
        <f>('Large Profile'!$M$7)/('Large Profile'!$E$7)*E54</f>
        <v>0.41498481288338573</v>
      </c>
      <c r="G54" s="1767">
        <f>('Large Profile'!$Q$7)/('Large Profile'!$I$7)*E54</f>
        <v>0.29977417803954615</v>
      </c>
      <c r="I54" s="1797">
        <f t="shared" si="24"/>
        <v>224252.97</v>
      </c>
      <c r="J54" s="1797"/>
      <c r="K54" s="1797">
        <f t="shared" si="25"/>
        <v>220980.54</v>
      </c>
      <c r="L54" s="1797"/>
      <c r="M54" s="1797">
        <f t="shared" si="0"/>
        <v>-3272.429999999993</v>
      </c>
      <c r="O54" s="1814">
        <f t="shared" si="1"/>
        <v>-1.4592582653420338E-2</v>
      </c>
      <c r="Q54" s="1797">
        <f t="shared" si="26"/>
        <v>174930.18</v>
      </c>
      <c r="R54" s="1797"/>
      <c r="S54" s="1797">
        <f t="shared" si="27"/>
        <v>188989.81</v>
      </c>
      <c r="T54" s="1797"/>
      <c r="U54" s="1797">
        <f t="shared" si="2"/>
        <v>14059.630000000005</v>
      </c>
      <c r="W54" s="1814">
        <f t="shared" si="3"/>
        <v>8.0372809311692217E-2</v>
      </c>
      <c r="AB54" s="1814"/>
    </row>
    <row r="55" spans="1:28">
      <c r="A55" s="1815">
        <f>A54</f>
        <v>6000</v>
      </c>
      <c r="C55" s="1815">
        <f>C54</f>
        <v>3066000</v>
      </c>
      <c r="E55" s="1767">
        <f t="shared" si="28"/>
        <v>0.5</v>
      </c>
      <c r="F55" s="1767">
        <f>('Large Profile'!$M$7)/('Large Profile'!$E$7)*E55</f>
        <v>0.34582067740282146</v>
      </c>
      <c r="G55" s="1767">
        <f>('Large Profile'!$Q$7)/('Large Profile'!$I$7)*E55</f>
        <v>0.24981181503295513</v>
      </c>
      <c r="I55" s="1797">
        <f t="shared" si="24"/>
        <v>218820.27</v>
      </c>
      <c r="J55" s="1797"/>
      <c r="K55" s="1797">
        <f t="shared" si="25"/>
        <v>215397.98</v>
      </c>
      <c r="L55" s="1797"/>
      <c r="M55" s="1797">
        <f t="shared" si="0"/>
        <v>-3422.289999999979</v>
      </c>
      <c r="O55" s="1814">
        <f t="shared" si="1"/>
        <v>-1.5639730268132701E-2</v>
      </c>
      <c r="Q55" s="1797">
        <f t="shared" si="26"/>
        <v>173120.74</v>
      </c>
      <c r="R55" s="1797"/>
      <c r="S55" s="1797">
        <f t="shared" si="27"/>
        <v>185421.05</v>
      </c>
      <c r="T55" s="1797"/>
      <c r="U55" s="1797">
        <f t="shared" si="2"/>
        <v>12300.309999999998</v>
      </c>
      <c r="W55" s="1814">
        <f t="shared" si="3"/>
        <v>7.1050470324930393E-2</v>
      </c>
      <c r="AB55" s="1814"/>
    </row>
    <row r="56" spans="1:28">
      <c r="A56" s="1815">
        <f>A55</f>
        <v>6000</v>
      </c>
      <c r="C56" s="1815">
        <f>C55</f>
        <v>3066000</v>
      </c>
      <c r="E56" s="1767">
        <f t="shared" si="28"/>
        <v>0.4</v>
      </c>
      <c r="F56" s="1767">
        <f>('Large Profile'!$M$7)/('Large Profile'!$E$7)*E56</f>
        <v>0.27665654192225719</v>
      </c>
      <c r="G56" s="1767">
        <f>('Large Profile'!$Q$7)/('Large Profile'!$I$7)*E56</f>
        <v>0.19984945202636412</v>
      </c>
      <c r="I56" s="1797">
        <f t="shared" si="24"/>
        <v>213387.57</v>
      </c>
      <c r="J56" s="1797"/>
      <c r="K56" s="1797">
        <f t="shared" si="25"/>
        <v>209815.41</v>
      </c>
      <c r="L56" s="1797"/>
      <c r="M56" s="1797">
        <f t="shared" si="0"/>
        <v>-3572.1600000000035</v>
      </c>
      <c r="O56" s="1814">
        <f t="shared" si="1"/>
        <v>-1.6740244054515463E-2</v>
      </c>
      <c r="Q56" s="1797">
        <f t="shared" si="26"/>
        <v>171311.31</v>
      </c>
      <c r="R56" s="1797"/>
      <c r="S56" s="1797">
        <f t="shared" si="27"/>
        <v>181852.3</v>
      </c>
      <c r="T56" s="1797"/>
      <c r="U56" s="1797">
        <f t="shared" si="2"/>
        <v>10540.989999999991</v>
      </c>
      <c r="W56" s="1814">
        <f t="shared" si="3"/>
        <v>6.1531197210505262E-2</v>
      </c>
      <c r="AB56" s="1814"/>
    </row>
    <row r="57" spans="1:28">
      <c r="A57" s="1815">
        <f>A54</f>
        <v>6000</v>
      </c>
      <c r="C57" s="1707">
        <f>A51*0.9*730</f>
        <v>3942000</v>
      </c>
      <c r="E57" s="1767">
        <f t="shared" si="28"/>
        <v>0.6</v>
      </c>
      <c r="F57" s="1767">
        <f>('Large Profile'!$M$7)/('Large Profile'!$E$7)*E57</f>
        <v>0.41498481288338573</v>
      </c>
      <c r="G57" s="1767">
        <f>('Large Profile'!$Q$7)/('Large Profile'!$I$7)*E57</f>
        <v>0.29977417803954615</v>
      </c>
      <c r="I57" s="1797">
        <f t="shared" si="24"/>
        <v>259778.51</v>
      </c>
      <c r="J57" s="1797"/>
      <c r="K57" s="1797">
        <f t="shared" si="25"/>
        <v>254388.86</v>
      </c>
      <c r="L57" s="1797"/>
      <c r="M57" s="1797">
        <f t="shared" si="0"/>
        <v>-5389.6500000000233</v>
      </c>
      <c r="O57" s="1814">
        <f t="shared" si="1"/>
        <v>-2.0747097209850129E-2</v>
      </c>
      <c r="Q57" s="1797">
        <f t="shared" si="26"/>
        <v>204244.4</v>
      </c>
      <c r="R57" s="1797"/>
      <c r="S57" s="1797">
        <f t="shared" si="27"/>
        <v>216203.45</v>
      </c>
      <c r="T57" s="1797"/>
      <c r="U57" s="1797">
        <f t="shared" si="2"/>
        <v>11959.050000000017</v>
      </c>
      <c r="W57" s="1814">
        <f t="shared" si="3"/>
        <v>5.8552645751854149E-2</v>
      </c>
      <c r="AB57" s="1814"/>
    </row>
    <row r="58" spans="1:28">
      <c r="A58" s="1815">
        <f>A55</f>
        <v>6000</v>
      </c>
      <c r="C58" s="1815">
        <f>C57</f>
        <v>3942000</v>
      </c>
      <c r="E58" s="1767">
        <f t="shared" si="28"/>
        <v>0.5</v>
      </c>
      <c r="F58" s="1767">
        <f>('Large Profile'!$M$7)/('Large Profile'!$E$7)*E58</f>
        <v>0.34582067740282146</v>
      </c>
      <c r="G58" s="1767">
        <f>('Large Profile'!$Q$7)/('Large Profile'!$I$7)*E58</f>
        <v>0.24981181503295513</v>
      </c>
      <c r="I58" s="1797">
        <f t="shared" si="24"/>
        <v>252793.61</v>
      </c>
      <c r="J58" s="1797"/>
      <c r="K58" s="1797">
        <f t="shared" si="25"/>
        <v>247211.28</v>
      </c>
      <c r="L58" s="1797"/>
      <c r="M58" s="1797">
        <f t="shared" si="0"/>
        <v>-5582.3299999999872</v>
      </c>
      <c r="O58" s="1814">
        <f t="shared" si="1"/>
        <v>-2.208255976090534E-2</v>
      </c>
      <c r="Q58" s="1797">
        <f t="shared" si="26"/>
        <v>201917.98</v>
      </c>
      <c r="R58" s="1797"/>
      <c r="S58" s="1797">
        <f t="shared" si="27"/>
        <v>211615.05</v>
      </c>
      <c r="T58" s="1797"/>
      <c r="U58" s="1797">
        <f t="shared" si="2"/>
        <v>9697.0699999999779</v>
      </c>
      <c r="W58" s="1814">
        <f t="shared" si="3"/>
        <v>4.8024796999256658E-2</v>
      </c>
      <c r="AB58" s="1814"/>
    </row>
    <row r="59" spans="1:28">
      <c r="A59" s="1815">
        <f>A56</f>
        <v>6000</v>
      </c>
      <c r="C59" s="1815">
        <f>C58</f>
        <v>3942000</v>
      </c>
      <c r="E59" s="1767">
        <f t="shared" si="28"/>
        <v>0.4</v>
      </c>
      <c r="F59" s="1767">
        <f>('Large Profile'!$M$7)/('Large Profile'!$E$7)*E59</f>
        <v>0.27665654192225719</v>
      </c>
      <c r="G59" s="1767">
        <f>('Large Profile'!$Q$7)/('Large Profile'!$I$7)*E59</f>
        <v>0.19984945202636412</v>
      </c>
      <c r="I59" s="1797">
        <f t="shared" si="24"/>
        <v>245808.7</v>
      </c>
      <c r="J59" s="1797"/>
      <c r="K59" s="1797">
        <f t="shared" si="25"/>
        <v>240033.7</v>
      </c>
      <c r="L59" s="1797"/>
      <c r="M59" s="1797">
        <f t="shared" si="0"/>
        <v>-5775</v>
      </c>
      <c r="O59" s="1814">
        <f t="shared" si="1"/>
        <v>-2.3493879590103961E-2</v>
      </c>
      <c r="Q59" s="1797">
        <f t="shared" si="26"/>
        <v>199591.56</v>
      </c>
      <c r="R59" s="1797"/>
      <c r="S59" s="1797">
        <f>ROUND($AA$18+($AA$19*$A59+($AA$20*$A59+($AA$21*$G59+$AA$22*(1-$G59))/100*$C59)*(1+$AA$33))*(1+$AA$24)+($AA$20*$A59+($AA$21*$G59+$AA$22*(1-$G59))/100*$C59)*$AA$28+$AA$23,2)</f>
        <v>207026.65</v>
      </c>
      <c r="T59" s="1797"/>
      <c r="U59" s="1797">
        <f t="shared" si="2"/>
        <v>7435.0899999999965</v>
      </c>
      <c r="W59" s="1814">
        <f t="shared" si="3"/>
        <v>3.7251525064486701E-2</v>
      </c>
      <c r="AB59" s="1814"/>
    </row>
    <row r="60" spans="1:28">
      <c r="M60" s="1715"/>
      <c r="U60" s="1715"/>
    </row>
    <row r="61" spans="1:28" ht="15.75">
      <c r="A61" s="1770" t="s">
        <v>1723</v>
      </c>
      <c r="M61" s="1715"/>
      <c r="U61" s="1715"/>
    </row>
    <row r="62" spans="1:28" ht="15.75">
      <c r="A62" s="1770" t="s">
        <v>1698</v>
      </c>
      <c r="M62" s="1715"/>
      <c r="U62" s="1715"/>
    </row>
    <row r="63" spans="1:28" ht="15.75">
      <c r="A63" s="1770"/>
      <c r="M63" s="1715"/>
      <c r="U63" s="1715"/>
    </row>
    <row r="64" spans="1:28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3"/>
  <sheetViews>
    <sheetView view="pageBreakPreview" topLeftCell="A8" zoomScale="80" zoomScaleNormal="90" zoomScaleSheetLayoutView="80" workbookViewId="0">
      <pane xSplit="6" ySplit="4" topLeftCell="G27" activePane="bottomRight" state="frozen"/>
      <selection activeCell="O24" sqref="O24"/>
      <selection pane="topRight" activeCell="O24" sqref="O24"/>
      <selection pane="bottomLeft" activeCell="O24" sqref="O24"/>
      <selection pane="bottomRight" activeCell="M29" sqref="M29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25" style="1657" bestFit="1" customWidth="1"/>
    <col min="14" max="14" width="1.625" style="1657" customWidth="1"/>
    <col min="15" max="15" width="10.75" style="1657" customWidth="1"/>
    <col min="16" max="16" width="1.625" style="1657" customWidth="1"/>
    <col min="17" max="17" width="11.625" style="1657" bestFit="1" customWidth="1"/>
    <col min="18" max="18" width="1.625" style="1657" customWidth="1"/>
    <col min="19" max="19" width="11.25" style="1657" bestFit="1" customWidth="1"/>
    <col min="20" max="20" width="1.625" style="1657" customWidth="1"/>
    <col min="21" max="21" width="10.75" style="1657" customWidth="1"/>
    <col min="22" max="22" width="1.625" style="1657" customWidth="1"/>
    <col min="23" max="23" width="10.625" style="1657" bestFit="1" customWidth="1"/>
    <col min="24" max="24" width="1.625" style="76" customWidth="1"/>
    <col min="25" max="25" width="7.25" style="76" bestFit="1" customWidth="1"/>
    <col min="26" max="26" width="1.625" style="76" customWidth="1"/>
    <col min="27" max="27" width="10.625" style="1657" bestFit="1" customWidth="1"/>
    <col min="28" max="28" width="1.625" style="76" customWidth="1"/>
    <col min="29" max="29" width="7.25" style="76" bestFit="1" customWidth="1"/>
    <col min="30" max="16384" width="9" style="76"/>
  </cols>
  <sheetData>
    <row r="1" spans="1:29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1660"/>
      <c r="U1" s="1660"/>
      <c r="V1" s="1660"/>
      <c r="W1" s="1660"/>
      <c r="X1" s="75"/>
      <c r="Y1" s="75"/>
      <c r="Z1" s="75"/>
      <c r="AA1" s="1660"/>
      <c r="AB1" s="75"/>
      <c r="AC1" s="75"/>
    </row>
    <row r="2" spans="1:29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1661"/>
      <c r="U2" s="1661"/>
      <c r="V2" s="1661"/>
      <c r="W2" s="1661"/>
      <c r="X2" s="62"/>
      <c r="Y2" s="62"/>
      <c r="Z2" s="62"/>
      <c r="AA2" s="1661"/>
      <c r="AB2" s="62"/>
      <c r="AC2" s="62"/>
    </row>
    <row r="3" spans="1:29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1661"/>
      <c r="U3" s="1661"/>
      <c r="V3" s="1661"/>
      <c r="W3" s="1661"/>
      <c r="X3" s="62"/>
      <c r="Y3" s="62"/>
      <c r="Z3" s="62"/>
      <c r="AA3" s="1661"/>
      <c r="AB3" s="62"/>
      <c r="AC3" s="62"/>
    </row>
    <row r="4" spans="1:29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1661"/>
      <c r="U4" s="1661"/>
      <c r="V4" s="1661"/>
      <c r="W4" s="1661"/>
      <c r="X4" s="62"/>
      <c r="Y4" s="62"/>
      <c r="Z4" s="62"/>
      <c r="AA4" s="1661"/>
      <c r="AB4" s="62"/>
      <c r="AC4" s="62"/>
    </row>
    <row r="5" spans="1:29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1661"/>
      <c r="U5" s="1661"/>
      <c r="V5" s="1661"/>
      <c r="W5" s="1661"/>
      <c r="X5" s="62"/>
      <c r="Y5" s="62"/>
      <c r="Z5" s="62"/>
      <c r="AA5" s="1661"/>
      <c r="AB5" s="62"/>
      <c r="AC5" s="62"/>
    </row>
    <row r="6" spans="1:29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1661"/>
      <c r="U6" s="1661"/>
      <c r="V6" s="1661"/>
      <c r="W6" s="1661"/>
      <c r="X6" s="62"/>
      <c r="Y6" s="62"/>
      <c r="Z6" s="62"/>
      <c r="AA6" s="1661"/>
      <c r="AB6" s="62"/>
      <c r="AC6" s="62"/>
    </row>
    <row r="7" spans="1:29">
      <c r="D7" s="85"/>
      <c r="F7" s="85"/>
      <c r="G7" s="79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1663"/>
      <c r="U7" s="1662"/>
      <c r="V7" s="1663"/>
      <c r="W7" s="1662"/>
      <c r="X7" s="85"/>
      <c r="Y7" s="84"/>
      <c r="Z7" s="85"/>
      <c r="AA7" s="1662"/>
      <c r="AB7" s="85"/>
      <c r="AC7" s="84"/>
    </row>
    <row r="8" spans="1:29">
      <c r="D8" s="79"/>
      <c r="E8" s="79"/>
      <c r="F8" s="79"/>
      <c r="G8" s="79" t="s">
        <v>1368</v>
      </c>
      <c r="H8" s="79"/>
      <c r="I8" s="1290"/>
      <c r="J8" s="79"/>
      <c r="K8" s="1666" t="str">
        <f>'Table B-Step2'!K8</f>
        <v>Proposed Step 1 (1/1/2021)</v>
      </c>
      <c r="L8" s="1666"/>
      <c r="M8" s="1666"/>
      <c r="N8" s="1666"/>
      <c r="O8" s="1666"/>
      <c r="P8" s="1665"/>
      <c r="Q8" s="1666" t="str">
        <f>'Table B-Step2'!Q8</f>
        <v>Proposed Step 2 (7/1/2021)</v>
      </c>
      <c r="R8" s="1666"/>
      <c r="S8" s="1666"/>
      <c r="T8" s="1666"/>
      <c r="U8" s="1666"/>
      <c r="V8" s="1666"/>
      <c r="W8" s="1666"/>
      <c r="X8" s="1035"/>
      <c r="Y8" s="1039"/>
      <c r="Z8" s="1035"/>
      <c r="AA8" s="1666"/>
      <c r="AB8" s="1035"/>
      <c r="AC8" s="1039"/>
    </row>
    <row r="9" spans="1:29" s="80" customFormat="1">
      <c r="A9" s="80" t="s">
        <v>217</v>
      </c>
      <c r="D9" s="79"/>
      <c r="E9" s="79" t="s">
        <v>156</v>
      </c>
      <c r="F9" s="79"/>
      <c r="G9" s="83" t="s">
        <v>778</v>
      </c>
      <c r="H9" s="79"/>
      <c r="I9" s="1290" t="s">
        <v>109</v>
      </c>
      <c r="J9" s="83"/>
      <c r="K9" s="1664" t="s">
        <v>1366</v>
      </c>
      <c r="L9" s="1664"/>
      <c r="M9" s="1664" t="s">
        <v>1241</v>
      </c>
      <c r="N9" s="1664"/>
      <c r="O9" s="1664" t="s">
        <v>2210</v>
      </c>
      <c r="P9" s="1664"/>
      <c r="Q9" s="1664" t="s">
        <v>1366</v>
      </c>
      <c r="R9" s="1664"/>
      <c r="S9" s="1664" t="s">
        <v>1241</v>
      </c>
      <c r="T9" s="1664"/>
      <c r="U9" s="1664" t="s">
        <v>2210</v>
      </c>
      <c r="V9" s="1664"/>
      <c r="W9" s="1666" t="s">
        <v>2211</v>
      </c>
      <c r="X9" s="1035"/>
      <c r="Y9" s="1039"/>
      <c r="Z9" s="83"/>
      <c r="AA9" s="1666" t="s">
        <v>1752</v>
      </c>
      <c r="AB9" s="1035"/>
      <c r="AC9" s="1039"/>
    </row>
    <row r="10" spans="1:29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T10" s="1668"/>
      <c r="U10" s="1667" t="s">
        <v>1397</v>
      </c>
      <c r="V10" s="1668"/>
      <c r="W10" s="1667" t="s">
        <v>1397</v>
      </c>
      <c r="Y10" s="1042" t="s">
        <v>1370</v>
      </c>
      <c r="AA10" s="1667" t="s">
        <v>1397</v>
      </c>
      <c r="AC10" s="1042" t="s">
        <v>1370</v>
      </c>
    </row>
    <row r="11" spans="1:29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834">
        <f>MIN($A11:J11)-1</f>
        <v>-5</v>
      </c>
      <c r="L11" s="1834"/>
      <c r="M11" s="1834">
        <f>MIN($A11:L11)-1</f>
        <v>-6</v>
      </c>
      <c r="N11" s="1834"/>
      <c r="O11" s="1834">
        <f>MIN($A11:N11)-1</f>
        <v>-7</v>
      </c>
      <c r="P11" s="1834"/>
      <c r="Q11" s="1834">
        <f>MIN($A11:P11)-1</f>
        <v>-8</v>
      </c>
      <c r="R11" s="1834"/>
      <c r="S11" s="1834">
        <f>MIN($A11:R11)-1</f>
        <v>-9</v>
      </c>
      <c r="T11" s="1834"/>
      <c r="U11" s="1834">
        <f>MIN($A11:T11)-1</f>
        <v>-10</v>
      </c>
      <c r="V11" s="1834"/>
      <c r="W11" s="1834">
        <f>MIN($A11:V11)-1</f>
        <v>-11</v>
      </c>
      <c r="X11" s="1834"/>
      <c r="Y11" s="1834">
        <f>MIN($A11:X11)-1</f>
        <v>-12</v>
      </c>
      <c r="Z11" s="1834"/>
      <c r="AA11" s="1834">
        <f>MIN($A11:Z11)-1</f>
        <v>-13</v>
      </c>
      <c r="AB11" s="1834"/>
      <c r="AC11" s="1834">
        <f>MIN($A11:AB11)-1</f>
        <v>-14</v>
      </c>
    </row>
    <row r="12" spans="1:29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8"/>
      <c r="T12" s="1668"/>
      <c r="U12" s="1668"/>
      <c r="V12" s="1668"/>
      <c r="W12" s="1665" t="str">
        <f>"(" &amp; -Q11 &amp; ")-(" &amp; -K11 &amp; ")"</f>
        <v>(8)-(5)</v>
      </c>
      <c r="Y12" s="1043" t="str">
        <f>"(" &amp; -W11 &amp; ")/(" &amp; -K11 &amp; ")"</f>
        <v>(11)/(5)</v>
      </c>
      <c r="AA12" s="1665" t="str">
        <f>"(" &amp; -U11 &amp; ")-(" &amp; -O11 &amp; ")"</f>
        <v>(10)-(7)</v>
      </c>
      <c r="AC12" s="1043" t="str">
        <f>"(" &amp; -AA11 &amp; ")/(" &amp; -O11 &amp; ")"</f>
        <v>(13)/(7)</v>
      </c>
    </row>
    <row r="13" spans="1:29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1657"/>
      <c r="U13" s="1657"/>
      <c r="V13" s="1657"/>
      <c r="W13" s="1657"/>
      <c r="X13" s="76"/>
      <c r="Y13" s="76"/>
      <c r="Z13" s="76"/>
      <c r="AA13" s="1657"/>
      <c r="AB13" s="76"/>
      <c r="AC13" s="76"/>
    </row>
    <row r="14" spans="1:29">
      <c r="A14" s="76">
        <v>1</v>
      </c>
      <c r="C14" s="76" t="s">
        <v>103</v>
      </c>
      <c r="E14" s="1303" t="s">
        <v>2250</v>
      </c>
      <c r="G14" s="68">
        <f>'Table B-Step2'!G14+'Table B-Step2'!G17+'Table B-Step2'!G18+'Table B-Step2'!G19</f>
        <v>857245</v>
      </c>
      <c r="I14" s="68">
        <f>'Table B-Step2'!I14+'Table B-Step2'!I17+'Table B-Step2'!I18+'Table B-Step2'!I19</f>
        <v>6776607.1933199447</v>
      </c>
      <c r="K14" s="144">
        <f>'Table B-Step2'!K14+'Table B-Step2'!K17+'Table B-Step2'!K18+'Table B-Step2'!K19</f>
        <v>769508.94500000007</v>
      </c>
      <c r="M14" s="144">
        <f>'Table B-Step2'!M14+'Table B-Step2'!M17+'Table B-Step2'!M18+'Table B-Step2'!M19</f>
        <v>-11488.617441999999</v>
      </c>
      <c r="O14" s="144">
        <f>K14+M14</f>
        <v>758020.32755800011</v>
      </c>
      <c r="Q14" s="144">
        <f>'Table B-Step2'!Q14+'Table B-Step2'!Q17+'Table B-Step2'!Q18+'Table B-Step2'!Q19</f>
        <v>779039.88699999999</v>
      </c>
      <c r="S14" s="144">
        <f>'Table B-Step2'!S14+'Table B-Step2'!S17+'Table B-Step2'!S18+'Table B-Step2'!S19</f>
        <v>-21108.224614400002</v>
      </c>
      <c r="U14" s="144">
        <f>Q14+S14</f>
        <v>757931.66238560004</v>
      </c>
      <c r="W14" s="144">
        <f>Q14-K14</f>
        <v>9530.9419999999227</v>
      </c>
      <c r="Y14" s="1294">
        <f>W14/K14</f>
        <v>1.2385745561411143E-2</v>
      </c>
      <c r="AA14" s="144">
        <f>U14-O14</f>
        <v>-88.665172400069423</v>
      </c>
      <c r="AC14" s="1294">
        <f>AA14/O14</f>
        <v>-1.1696938614523525E-4</v>
      </c>
    </row>
    <row r="15" spans="1:29">
      <c r="A15" s="76">
        <f>MAX(A$13:A14)+1</f>
        <v>2</v>
      </c>
      <c r="C15" s="1295" t="s">
        <v>1377</v>
      </c>
      <c r="E15" s="1297" t="s">
        <v>2251</v>
      </c>
      <c r="G15" s="68">
        <f>'Table B-Step2'!G15+'Table B-Step2'!G16</f>
        <v>623</v>
      </c>
      <c r="I15" s="68">
        <f>'Table B-Step2'!I15+'Table B-Step2'!I16</f>
        <v>6392.1840452160832</v>
      </c>
      <c r="K15" s="144">
        <f>'Table B-Step2'!K15+'Table B-Step2'!K16</f>
        <v>635.226</v>
      </c>
      <c r="M15" s="144">
        <f>'Table B-Step2'!M15+'Table B-Step2'!M16</f>
        <v>-9.6448479999999996</v>
      </c>
      <c r="O15" s="144">
        <f t="shared" ref="O15:O16" si="0">K15+M15</f>
        <v>625.58115199999997</v>
      </c>
      <c r="Q15" s="144">
        <f>'Table B-Step2'!Q15+'Table B-Step2'!Q16</f>
        <v>643.255</v>
      </c>
      <c r="S15" s="144">
        <f>'Table B-Step2'!S15+'Table B-Step2'!S16</f>
        <v>-17.721488400000002</v>
      </c>
      <c r="U15" s="144">
        <f t="shared" ref="U15:U16" si="1">Q15+S15</f>
        <v>625.5335116</v>
      </c>
      <c r="W15" s="144">
        <f t="shared" ref="W15:W16" si="2">Q15-K15</f>
        <v>8.0289999999999964</v>
      </c>
      <c r="Y15" s="1294">
        <f t="shared" ref="Y15:Y17" si="3">W15/K15</f>
        <v>1.2639595986310379E-2</v>
      </c>
      <c r="AA15" s="144">
        <f t="shared" ref="AA15:AA16" si="4">U15-O15</f>
        <v>-4.764039999997749E-2</v>
      </c>
      <c r="AC15" s="1294">
        <f t="shared" ref="AC15:AC17" si="5">AA15/O15</f>
        <v>-7.6153828880025937E-5</v>
      </c>
    </row>
    <row r="16" spans="1:29">
      <c r="A16" s="76">
        <f>MAX(A$13:A15)+1</f>
        <v>3</v>
      </c>
      <c r="C16" s="1298" t="s">
        <v>471</v>
      </c>
      <c r="E16" s="1299"/>
      <c r="G16" s="72"/>
      <c r="I16" s="72"/>
      <c r="K16" s="145">
        <f>'Table B-Step2'!K20</f>
        <v>6.7950900000000622</v>
      </c>
      <c r="M16" s="145">
        <f>'Table B-Step2'!M20</f>
        <v>0</v>
      </c>
      <c r="O16" s="145">
        <f t="shared" si="0"/>
        <v>6.7950900000000622</v>
      </c>
      <c r="Q16" s="145">
        <f>'Table B-Step2'!Q20</f>
        <v>6.7950900000000622</v>
      </c>
      <c r="S16" s="145">
        <f>'Table B-Step2'!S20</f>
        <v>0</v>
      </c>
      <c r="U16" s="145">
        <f t="shared" si="1"/>
        <v>6.7950900000000622</v>
      </c>
      <c r="W16" s="145">
        <f t="shared" si="2"/>
        <v>0</v>
      </c>
      <c r="Y16" s="1300">
        <f t="shared" si="3"/>
        <v>0</v>
      </c>
      <c r="AA16" s="145">
        <f t="shared" si="4"/>
        <v>0</v>
      </c>
      <c r="AC16" s="1300">
        <f t="shared" si="5"/>
        <v>0</v>
      </c>
    </row>
    <row r="17" spans="1:29">
      <c r="A17" s="76">
        <f>MAX(A$13:A16)+1</f>
        <v>4</v>
      </c>
      <c r="C17" s="80" t="s">
        <v>114</v>
      </c>
      <c r="G17" s="68">
        <f>SUM(G14:G16)</f>
        <v>857868</v>
      </c>
      <c r="I17" s="68">
        <f>SUM(I14:I16)</f>
        <v>6782999.3773651607</v>
      </c>
      <c r="K17" s="144">
        <f>SUM(K14:K16)</f>
        <v>770150.96609000012</v>
      </c>
      <c r="M17" s="144">
        <f>SUM(M14:M16)</f>
        <v>-11498.262289999999</v>
      </c>
      <c r="O17" s="144">
        <f>SUM(O14:O16)</f>
        <v>758652.70380000013</v>
      </c>
      <c r="Q17" s="144">
        <f>SUM(Q14:Q16)</f>
        <v>779689.93709000002</v>
      </c>
      <c r="S17" s="144">
        <f>SUM(S14:S16)</f>
        <v>-21125.946102800001</v>
      </c>
      <c r="U17" s="144">
        <f>SUM(U14:U16)</f>
        <v>758563.99098720006</v>
      </c>
      <c r="W17" s="144">
        <f>SUM(W14:W16)</f>
        <v>9538.9709999999232</v>
      </c>
      <c r="Y17" s="1294">
        <f t="shared" si="3"/>
        <v>1.2385845658843458E-2</v>
      </c>
      <c r="AA17" s="144">
        <f>SUM(AA14:AA16)</f>
        <v>-88.712812800069401</v>
      </c>
      <c r="AC17" s="1294">
        <f t="shared" si="5"/>
        <v>-1.1693468217501578E-4</v>
      </c>
    </row>
    <row r="18" spans="1:29">
      <c r="C18" s="80" t="s">
        <v>1316</v>
      </c>
      <c r="G18" s="68"/>
      <c r="I18" s="68"/>
      <c r="K18" s="144"/>
      <c r="M18" s="144"/>
      <c r="O18" s="144"/>
      <c r="Q18" s="144"/>
      <c r="S18" s="144"/>
      <c r="U18" s="144"/>
      <c r="W18" s="144"/>
      <c r="AA18" s="144"/>
    </row>
    <row r="19" spans="1:29" ht="25.15" customHeight="1">
      <c r="A19" s="76">
        <f>MAX(A$13:A18)+1</f>
        <v>5</v>
      </c>
      <c r="C19" s="1295" t="s">
        <v>1378</v>
      </c>
      <c r="E19" s="1302">
        <v>6</v>
      </c>
      <c r="G19" s="68">
        <f>'Table B-Step2'!G23+'Table B-Step2'!G24+'Table B-Step2'!G25</f>
        <v>13514</v>
      </c>
      <c r="I19" s="68">
        <f>'Table B-Step2'!I23+'Table B-Step2'!I24+'Table B-Step2'!I25</f>
        <v>5786326.1582976859</v>
      </c>
      <c r="K19" s="144">
        <f>'Table B-Step2'!K23+'Table B-Step2'!K24+'Table B-Step2'!K25</f>
        <v>475382.78100000002</v>
      </c>
      <c r="M19" s="144">
        <f>'Table B-Step2'!M23+'Table B-Step2'!M24+'Table B-Step2'!M25</f>
        <v>-6168.9565954</v>
      </c>
      <c r="O19" s="144">
        <f t="shared" ref="O19:O21" si="6">K19+M19</f>
        <v>469213.82440460002</v>
      </c>
      <c r="Q19" s="144">
        <f>'Table B-Step2'!Q23+'Table B-Step2'!Q24+'Table B-Step2'!Q25</f>
        <v>481273.97600000002</v>
      </c>
      <c r="S19" s="144">
        <f>'Table B-Step2'!S23+'Table B-Step2'!S24+'Table B-Step2'!S25</f>
        <v>-11338.488371400001</v>
      </c>
      <c r="U19" s="144">
        <f t="shared" ref="U19:U21" si="7">Q19+S19</f>
        <v>469935.48762860004</v>
      </c>
      <c r="W19" s="144">
        <f t="shared" ref="W19:W21" si="8">Q19-K19</f>
        <v>5891.195000000007</v>
      </c>
      <c r="Y19" s="1294">
        <f t="shared" ref="Y19:Y22" si="9">W19/K19</f>
        <v>1.2392529211107473E-2</v>
      </c>
      <c r="AA19" s="144">
        <f t="shared" ref="AA19:AA21" si="10">U19-O19</f>
        <v>721.66322400001809</v>
      </c>
      <c r="AC19" s="1294">
        <f t="shared" ref="AC19:AC22" si="11">AA19/O19</f>
        <v>1.5380263463374271E-3</v>
      </c>
    </row>
    <row r="20" spans="1:29">
      <c r="A20" s="76">
        <f>MAX(A$13:A19)+1</f>
        <v>6</v>
      </c>
      <c r="C20" s="1295" t="s">
        <v>1381</v>
      </c>
      <c r="E20" s="1296" t="s">
        <v>221</v>
      </c>
      <c r="G20" s="68">
        <f>'Table B-Step2'!G26+'Table B-Step2'!G27+'Table B-Step2'!G28</f>
        <v>2806</v>
      </c>
      <c r="I20" s="68">
        <f>'Table B-Step2'!I26+'Table B-Step2'!I27+'Table B-Step2'!I28</f>
        <v>404017.6502258089</v>
      </c>
      <c r="K20" s="144">
        <f>'Table B-Step2'!K26+'Table B-Step2'!K27+'Table B-Step2'!K28</f>
        <v>46939.47</v>
      </c>
      <c r="M20" s="144">
        <f>'Table B-Step2'!M26+'Table B-Step2'!M27+'Table B-Step2'!M28</f>
        <v>-637.52880619999985</v>
      </c>
      <c r="O20" s="144">
        <f t="shared" si="6"/>
        <v>46301.941193800005</v>
      </c>
      <c r="Q20" s="144">
        <f>'Table B-Step2'!Q26+'Table B-Step2'!Q27+'Table B-Step2'!Q28</f>
        <v>47517.911</v>
      </c>
      <c r="S20" s="144">
        <f>'Table B-Step2'!S26+'Table B-Step2'!S27+'Table B-Step2'!S28</f>
        <v>-1171.0121832</v>
      </c>
      <c r="U20" s="144">
        <f t="shared" si="7"/>
        <v>46346.8988168</v>
      </c>
      <c r="W20" s="144">
        <f t="shared" si="8"/>
        <v>578.44099999999889</v>
      </c>
      <c r="Y20" s="1294">
        <f t="shared" si="9"/>
        <v>1.2323125932184554E-2</v>
      </c>
      <c r="AA20" s="144">
        <f t="shared" si="10"/>
        <v>44.957622999994783</v>
      </c>
      <c r="AC20" s="1294">
        <f t="shared" si="11"/>
        <v>9.7096626709064992E-4</v>
      </c>
    </row>
    <row r="21" spans="1:29">
      <c r="A21" s="76">
        <f>MAX(A$13:A20)+1</f>
        <v>7</v>
      </c>
      <c r="C21" s="1295" t="s">
        <v>1383</v>
      </c>
      <c r="E21" s="1296" t="s">
        <v>223</v>
      </c>
      <c r="G21" s="71">
        <f>'Table B-Step2'!G29</f>
        <v>16</v>
      </c>
      <c r="I21" s="71">
        <f>'Table B-Step2'!I29</f>
        <v>3380.6909999999998</v>
      </c>
      <c r="K21" s="145">
        <f>'Table B-Step2'!K29</f>
        <v>309.75400000000002</v>
      </c>
      <c r="M21" s="145">
        <f>'Table B-Step2'!M29</f>
        <v>-3.8116152000000003</v>
      </c>
      <c r="O21" s="145">
        <f t="shared" si="6"/>
        <v>305.94238480000001</v>
      </c>
      <c r="Q21" s="145">
        <f>'Table B-Step2'!Q29</f>
        <v>313.46299999999997</v>
      </c>
      <c r="S21" s="145">
        <f>'Table B-Step2'!S29</f>
        <v>-7.0002659999999999</v>
      </c>
      <c r="U21" s="145">
        <f t="shared" si="7"/>
        <v>306.46273399999995</v>
      </c>
      <c r="W21" s="145">
        <f t="shared" si="8"/>
        <v>3.7089999999999463</v>
      </c>
      <c r="Y21" s="1300">
        <f t="shared" si="9"/>
        <v>1.197401809177588E-2</v>
      </c>
      <c r="AA21" s="145">
        <f t="shared" si="10"/>
        <v>0.52034919999994145</v>
      </c>
      <c r="AC21" s="1300">
        <f t="shared" si="11"/>
        <v>1.700807818243631E-3</v>
      </c>
    </row>
    <row r="22" spans="1:29">
      <c r="A22" s="1038">
        <f>MAX(A$13:A21)+1</f>
        <v>8</v>
      </c>
      <c r="B22" s="1038"/>
      <c r="C22" s="1038" t="s">
        <v>224</v>
      </c>
      <c r="D22" s="1038"/>
      <c r="E22" s="1038"/>
      <c r="F22" s="1038"/>
      <c r="G22" s="1036">
        <f>SUM(G19:G21)</f>
        <v>16336</v>
      </c>
      <c r="H22" s="1038"/>
      <c r="I22" s="1036">
        <f>SUM(I19:I21)</f>
        <v>6193724.4995234944</v>
      </c>
      <c r="J22" s="1038"/>
      <c r="K22" s="1037">
        <f>SUM(K19:K21)</f>
        <v>522632.00500000006</v>
      </c>
      <c r="L22" s="1658"/>
      <c r="M22" s="1037">
        <f>SUM(M19:M21)</f>
        <v>-6810.2970168000002</v>
      </c>
      <c r="N22" s="1658"/>
      <c r="O22" s="1037">
        <f>SUM(O19:O21)</f>
        <v>515821.70798320003</v>
      </c>
      <c r="P22" s="1658"/>
      <c r="Q22" s="1037">
        <f>SUM(Q19:Q21)</f>
        <v>529105.35</v>
      </c>
      <c r="R22" s="1658"/>
      <c r="S22" s="1037">
        <f>SUM(S19:S21)</f>
        <v>-12516.5008206</v>
      </c>
      <c r="T22" s="1658"/>
      <c r="U22" s="1037">
        <f>SUM(U19:U21)</f>
        <v>516588.84917940001</v>
      </c>
      <c r="V22" s="1658"/>
      <c r="W22" s="1037">
        <f>SUM(W19:W21)</f>
        <v>6473.3450000000057</v>
      </c>
      <c r="X22" s="1038"/>
      <c r="Y22" s="1304">
        <f t="shared" si="9"/>
        <v>1.2386047808151368E-2</v>
      </c>
      <c r="Z22" s="1038"/>
      <c r="AA22" s="1037">
        <f>SUM(AA19:AA21)</f>
        <v>767.14119620001281</v>
      </c>
      <c r="AB22" s="1038"/>
      <c r="AC22" s="1304">
        <f t="shared" si="11"/>
        <v>1.4872216200427883E-3</v>
      </c>
    </row>
    <row r="23" spans="1:29" s="1038" customFormat="1">
      <c r="A23" s="76">
        <f>MAX(A$13:A22)+1</f>
        <v>9</v>
      </c>
      <c r="B23" s="76"/>
      <c r="C23" s="1295" t="s">
        <v>1384</v>
      </c>
      <c r="D23" s="76"/>
      <c r="E23" s="76">
        <v>8</v>
      </c>
      <c r="F23" s="68"/>
      <c r="G23" s="68">
        <f>'Table B-Step2'!G34</f>
        <v>249</v>
      </c>
      <c r="H23" s="68"/>
      <c r="I23" s="68">
        <f>'Table B-Step2'!I34</f>
        <v>2020703.4442505348</v>
      </c>
      <c r="J23" s="68"/>
      <c r="K23" s="144">
        <f>'Table B-Step2'!K34</f>
        <v>147246.15300000002</v>
      </c>
      <c r="L23" s="1659"/>
      <c r="M23" s="144">
        <f>'Table B-Step2'!M34</f>
        <v>-1872.2153780000001</v>
      </c>
      <c r="N23" s="1659"/>
      <c r="O23" s="144">
        <f t="shared" ref="O23:O25" si="12">K23+M23</f>
        <v>145373.93762200003</v>
      </c>
      <c r="P23" s="1659"/>
      <c r="Q23" s="144">
        <f>'Table B-Step2'!Q34</f>
        <v>149069.93700000001</v>
      </c>
      <c r="R23" s="1659"/>
      <c r="S23" s="144">
        <f>'Table B-Step2'!S34</f>
        <v>-3439.4543715</v>
      </c>
      <c r="T23" s="1659"/>
      <c r="U23" s="144">
        <f t="shared" ref="U23" si="13">Q23+S23</f>
        <v>145630.4826285</v>
      </c>
      <c r="V23" s="1659"/>
      <c r="W23" s="144">
        <f t="shared" ref="W23:W25" si="14">Q23-K23</f>
        <v>1823.7839999999851</v>
      </c>
      <c r="X23" s="76"/>
      <c r="Y23" s="1294">
        <f t="shared" ref="Y23:Y26" si="15">W23/K23</f>
        <v>1.2385953472074648E-2</v>
      </c>
      <c r="Z23" s="68"/>
      <c r="AA23" s="144">
        <f t="shared" ref="AA23:AA25" si="16">U23-O23</f>
        <v>256.54500649997499</v>
      </c>
      <c r="AB23" s="76"/>
      <c r="AC23" s="1294">
        <f t="shared" ref="AC23:AC26" si="17">AA23/O23</f>
        <v>1.7647248928968338E-3</v>
      </c>
    </row>
    <row r="24" spans="1:29" ht="22.15" customHeight="1">
      <c r="A24" s="76">
        <f>MAX(A$13:A23)+1</f>
        <v>10</v>
      </c>
      <c r="C24" s="1295" t="s">
        <v>1386</v>
      </c>
      <c r="E24" s="76">
        <v>9</v>
      </c>
      <c r="G24" s="68">
        <f>'Table B-Step2'!G35</f>
        <v>156</v>
      </c>
      <c r="I24" s="68">
        <f>'Table B-Step2'!I35</f>
        <v>4847331.9543051273</v>
      </c>
      <c r="K24" s="144">
        <f>'Table B-Step2'!K35</f>
        <v>272275.58199999999</v>
      </c>
      <c r="M24" s="144">
        <f>'Table B-Step2'!M35</f>
        <v>-3550.6652429999999</v>
      </c>
      <c r="O24" s="144">
        <f t="shared" si="12"/>
        <v>268724.91675699997</v>
      </c>
      <c r="Q24" s="144">
        <f>'Table B-Step2'!Q35</f>
        <v>275758.56699999998</v>
      </c>
      <c r="S24" s="144">
        <f>'Table B-Step2'!S35</f>
        <v>-6554.3210636000003</v>
      </c>
      <c r="U24" s="144">
        <f t="shared" ref="U24:U25" si="18">Q24+S24</f>
        <v>269204.24593639997</v>
      </c>
      <c r="W24" s="144">
        <f t="shared" si="14"/>
        <v>3482.984999999986</v>
      </c>
      <c r="Y24" s="1294">
        <f t="shared" si="15"/>
        <v>1.2792131319362991E-2</v>
      </c>
      <c r="AA24" s="144">
        <f t="shared" si="16"/>
        <v>479.32917939999606</v>
      </c>
      <c r="AC24" s="1294">
        <f t="shared" si="17"/>
        <v>1.7837169146225444E-3</v>
      </c>
    </row>
    <row r="25" spans="1:29" ht="22.15" customHeight="1">
      <c r="A25" s="76">
        <f>MAX(A$13:A24)+1</f>
        <v>11</v>
      </c>
      <c r="C25" s="1295" t="s">
        <v>1395</v>
      </c>
      <c r="E25" s="1296" t="s">
        <v>225</v>
      </c>
      <c r="G25" s="71">
        <f>'Table B-Step2'!G36</f>
        <v>9</v>
      </c>
      <c r="I25" s="71">
        <f>'Table B-Step2'!I36</f>
        <v>41940.288</v>
      </c>
      <c r="K25" s="145">
        <f>'Table B-Step2'!K36</f>
        <v>2986.2220000000002</v>
      </c>
      <c r="M25" s="145">
        <f>'Table B-Step2'!M36</f>
        <v>-33.921709499999999</v>
      </c>
      <c r="O25" s="145">
        <f t="shared" si="12"/>
        <v>2952.3002905000003</v>
      </c>
      <c r="Q25" s="145">
        <f>'Table B-Step2'!Q36</f>
        <v>3024.6320000000001</v>
      </c>
      <c r="S25" s="145">
        <f>'Table B-Step2'!S36</f>
        <v>-62.617536000000001</v>
      </c>
      <c r="U25" s="145">
        <f t="shared" si="18"/>
        <v>2962.0144639999999</v>
      </c>
      <c r="W25" s="145">
        <f t="shared" si="14"/>
        <v>38.409999999999854</v>
      </c>
      <c r="Y25" s="1300">
        <f t="shared" si="15"/>
        <v>1.2862406076976142E-2</v>
      </c>
      <c r="AA25" s="145">
        <f t="shared" si="16"/>
        <v>9.7141734999995606</v>
      </c>
      <c r="AC25" s="1300">
        <f t="shared" si="17"/>
        <v>3.290374468768681E-3</v>
      </c>
    </row>
    <row r="26" spans="1:29">
      <c r="A26" s="76">
        <f>MAX(A$13:A25)+1</f>
        <v>12</v>
      </c>
      <c r="C26" s="1038" t="s">
        <v>226</v>
      </c>
      <c r="D26" s="1038"/>
      <c r="E26" s="1038"/>
      <c r="F26" s="1038"/>
      <c r="G26" s="1036">
        <f>SUM(G24:G25)</f>
        <v>165</v>
      </c>
      <c r="H26" s="1038"/>
      <c r="I26" s="1036">
        <f>SUM(I24:I25)</f>
        <v>4889272.242305127</v>
      </c>
      <c r="J26" s="1038"/>
      <c r="K26" s="1037">
        <f>SUM(K24:K25)</f>
        <v>275261.804</v>
      </c>
      <c r="L26" s="1658"/>
      <c r="M26" s="1037">
        <f>SUM(M24:M25)</f>
        <v>-3584.5869524999998</v>
      </c>
      <c r="N26" s="1658"/>
      <c r="O26" s="1037">
        <f>SUM(O24:O25)</f>
        <v>271677.21704749996</v>
      </c>
      <c r="P26" s="1658"/>
      <c r="Q26" s="1037">
        <f>SUM(Q24:Q25)</f>
        <v>278783.19899999996</v>
      </c>
      <c r="R26" s="1658"/>
      <c r="S26" s="1037">
        <f>SUM(S24:S25)</f>
        <v>-6616.9385996000001</v>
      </c>
      <c r="T26" s="1658"/>
      <c r="U26" s="1037">
        <f>SUM(U24:U25)</f>
        <v>272166.26040039997</v>
      </c>
      <c r="V26" s="1658"/>
      <c r="W26" s="1037">
        <f>SUM(W24:W25)</f>
        <v>3521.3949999999859</v>
      </c>
      <c r="X26" s="1038"/>
      <c r="Y26" s="1304">
        <f t="shared" si="15"/>
        <v>1.2792893706385743E-2</v>
      </c>
      <c r="Z26" s="1038"/>
      <c r="AA26" s="1037">
        <f>SUM(AA24:AA25)</f>
        <v>489.04335289999563</v>
      </c>
      <c r="AB26" s="1038"/>
      <c r="AC26" s="1304">
        <f t="shared" si="17"/>
        <v>1.8000896733806407E-3</v>
      </c>
    </row>
    <row r="27" spans="1:29">
      <c r="A27" s="76">
        <f>MAX(A$13:A26)+1</f>
        <v>13</v>
      </c>
      <c r="C27" s="76" t="s">
        <v>227</v>
      </c>
      <c r="E27" s="1296">
        <v>10</v>
      </c>
      <c r="G27" s="68">
        <f>'Table B-Step2'!G38+'Table B-Step2'!G39</f>
        <v>3339</v>
      </c>
      <c r="I27" s="68">
        <f>'Table B-Step2'!I38+'Table B-Step2'!I39</f>
        <v>206134.08558220015</v>
      </c>
      <c r="K27" s="144">
        <f>'Table B-Step2'!K38+'Table B-Step2'!K39</f>
        <v>16169.429</v>
      </c>
      <c r="M27" s="144">
        <f>'Table B-Step2'!M38+'Table B-Step2'!M39</f>
        <v>-234.59020410000002</v>
      </c>
      <c r="O27" s="144">
        <f t="shared" ref="O27:O28" si="19">K27+M27</f>
        <v>15934.838795899999</v>
      </c>
      <c r="Q27" s="144">
        <f>'Table B-Step2'!Q38+'Table B-Step2'!Q39</f>
        <v>16369.491999999998</v>
      </c>
      <c r="S27" s="144">
        <f>'Table B-Step2'!S38+'Table B-Step2'!S39</f>
        <v>-432.00199429999998</v>
      </c>
      <c r="U27" s="144">
        <f t="shared" ref="U27:U28" si="20">Q27+S27</f>
        <v>15937.490005699998</v>
      </c>
      <c r="W27" s="144">
        <f t="shared" ref="W27:W28" si="21">Q27-K27</f>
        <v>200.06299999999828</v>
      </c>
      <c r="Y27" s="1294">
        <f t="shared" ref="Y27:Y29" si="22">W27/K27</f>
        <v>1.2372916817285154E-2</v>
      </c>
      <c r="AA27" s="144">
        <f t="shared" ref="AA27:AA28" si="23">U27-O27</f>
        <v>2.651209799998469</v>
      </c>
      <c r="AC27" s="1294">
        <f t="shared" ref="AC27:AC29" si="24">AA27/O27</f>
        <v>1.663782002413868E-4</v>
      </c>
    </row>
    <row r="28" spans="1:29">
      <c r="A28" s="76">
        <f>MAX(A$13:A27)+1</f>
        <v>14</v>
      </c>
      <c r="C28" s="1295" t="s">
        <v>1388</v>
      </c>
      <c r="E28" s="1296" t="s">
        <v>228</v>
      </c>
      <c r="G28" s="71">
        <f>'Table B-Step2'!G40</f>
        <v>269</v>
      </c>
      <c r="I28" s="71">
        <f>'Table B-Step2'!I40</f>
        <v>24258.38713714117</v>
      </c>
      <c r="K28" s="145">
        <f>'Table B-Step2'!K40</f>
        <v>1963.018</v>
      </c>
      <c r="M28" s="145">
        <f>'Table B-Step2'!M40</f>
        <v>-28.9182478</v>
      </c>
      <c r="O28" s="145">
        <f t="shared" si="19"/>
        <v>1934.0997522</v>
      </c>
      <c r="Q28" s="145">
        <f>'Table B-Step2'!Q40</f>
        <v>1987.5429999999999</v>
      </c>
      <c r="S28" s="145">
        <f>'Table B-Step2'!S40</f>
        <v>-53.253613799999997</v>
      </c>
      <c r="U28" s="145">
        <f t="shared" si="20"/>
        <v>1934.2893861999999</v>
      </c>
      <c r="W28" s="145">
        <f t="shared" si="21"/>
        <v>24.524999999999864</v>
      </c>
      <c r="Y28" s="1300">
        <f t="shared" si="22"/>
        <v>1.2493517634580968E-2</v>
      </c>
      <c r="AA28" s="145">
        <f t="shared" si="23"/>
        <v>0.18963399999984176</v>
      </c>
      <c r="AC28" s="1300">
        <f t="shared" si="24"/>
        <v>9.804768331319874E-5</v>
      </c>
    </row>
    <row r="29" spans="1:29">
      <c r="A29" s="76">
        <f>MAX(A$13:A28)+1</f>
        <v>15</v>
      </c>
      <c r="C29" s="1038" t="s">
        <v>229</v>
      </c>
      <c r="D29" s="1038"/>
      <c r="E29" s="1038"/>
      <c r="F29" s="1038"/>
      <c r="G29" s="1036">
        <f>SUM(G27:G28)</f>
        <v>3608</v>
      </c>
      <c r="H29" s="1038"/>
      <c r="I29" s="1036">
        <f>SUM(I27:I28)</f>
        <v>230392.47271934131</v>
      </c>
      <c r="J29" s="1038"/>
      <c r="K29" s="1037">
        <f>SUM(K27:K28)</f>
        <v>18132.447</v>
      </c>
      <c r="L29" s="1658"/>
      <c r="M29" s="1037">
        <f>SUM(M27:M28)</f>
        <v>-263.50845190000001</v>
      </c>
      <c r="N29" s="1658"/>
      <c r="O29" s="1037">
        <f>SUM(O27:O28)</f>
        <v>17868.938548099999</v>
      </c>
      <c r="P29" s="1658"/>
      <c r="Q29" s="1037">
        <f>SUM(Q27:Q28)</f>
        <v>18357.035</v>
      </c>
      <c r="R29" s="1658"/>
      <c r="S29" s="1037">
        <f>SUM(S27:S28)</f>
        <v>-485.25560809999996</v>
      </c>
      <c r="T29" s="1658"/>
      <c r="U29" s="1037">
        <f>SUM(U27:U28)</f>
        <v>17871.779391899996</v>
      </c>
      <c r="V29" s="1658"/>
      <c r="W29" s="1037">
        <f>SUM(W27:W28)</f>
        <v>224.58799999999815</v>
      </c>
      <c r="X29" s="1038"/>
      <c r="Y29" s="1304">
        <f t="shared" si="22"/>
        <v>1.2385973057028548E-2</v>
      </c>
      <c r="Z29" s="1038"/>
      <c r="AA29" s="1037">
        <f>SUM(AA27:AA28)</f>
        <v>2.8408437999983107</v>
      </c>
      <c r="AB29" s="1038"/>
      <c r="AC29" s="1304">
        <f t="shared" si="24"/>
        <v>1.5898223570198449E-4</v>
      </c>
    </row>
    <row r="30" spans="1:29">
      <c r="A30" s="76">
        <f>MAX(A$13:A29)+1</f>
        <v>16</v>
      </c>
      <c r="C30" s="76" t="s">
        <v>230</v>
      </c>
      <c r="E30" s="76">
        <v>21</v>
      </c>
      <c r="G30" s="68">
        <f>'Table B-Step2'!G42</f>
        <v>3</v>
      </c>
      <c r="I30" s="68">
        <f>'Table B-Step2'!I42</f>
        <v>1837.1120000000001</v>
      </c>
      <c r="K30" s="144">
        <f>'Table B-Step2'!K42</f>
        <v>503.18799999999999</v>
      </c>
      <c r="M30" s="144">
        <f>'Table B-Step2'!M42</f>
        <v>-6.2528878000000008</v>
      </c>
      <c r="O30" s="144">
        <f t="shared" ref="O30:O38" si="25">K30+M30</f>
        <v>496.93511219999999</v>
      </c>
      <c r="Q30" s="144">
        <f>'Table B-Step2'!Q42</f>
        <v>508.91800000000001</v>
      </c>
      <c r="S30" s="144">
        <f>'Table B-Step2'!S42</f>
        <v>-11.5120445</v>
      </c>
      <c r="U30" s="144">
        <f t="shared" ref="U30:U31" si="26">Q30+S30</f>
        <v>497.4059555</v>
      </c>
      <c r="W30" s="144">
        <f t="shared" ref="W30:W38" si="27">Q30-K30</f>
        <v>5.7300000000000182</v>
      </c>
      <c r="Y30" s="1294">
        <f t="shared" ref="Y30:Y39" si="28">W30/K30</f>
        <v>1.1387393976009004E-2</v>
      </c>
      <c r="AA30" s="144">
        <f t="shared" ref="AA30:AA38" si="29">U30-O30</f>
        <v>0.47084330000001273</v>
      </c>
      <c r="AC30" s="1294">
        <f t="shared" ref="AC30:AC39" si="30">AA30/O30</f>
        <v>9.4749452884406739E-4</v>
      </c>
    </row>
    <row r="31" spans="1:29" ht="22.15" customHeight="1">
      <c r="A31" s="76">
        <f>MAX(A$13:A30)+1</f>
        <v>17</v>
      </c>
      <c r="C31" s="1295" t="s">
        <v>1389</v>
      </c>
      <c r="E31" s="1302">
        <v>23</v>
      </c>
      <c r="G31" s="68">
        <f>'Table B-Step2'!G46</f>
        <v>96230</v>
      </c>
      <c r="I31" s="68">
        <f>'Table B-Step2'!I46</f>
        <v>1404451.8584710199</v>
      </c>
      <c r="K31" s="144">
        <f>'Table B-Step2'!K46</f>
        <v>138048.75199999998</v>
      </c>
      <c r="M31" s="144">
        <f>'Table B-Step2'!M46</f>
        <v>-1758.4203339999997</v>
      </c>
      <c r="O31" s="144">
        <f t="shared" si="25"/>
        <v>136290.33166599998</v>
      </c>
      <c r="Q31" s="144">
        <f>'Table B-Step2'!Q46</f>
        <v>138048.75199999998</v>
      </c>
      <c r="S31" s="144">
        <f>'Table B-Step2'!S46</f>
        <v>-3238.5295360000005</v>
      </c>
      <c r="U31" s="144">
        <f t="shared" si="26"/>
        <v>134810.22246399999</v>
      </c>
      <c r="W31" s="144">
        <f t="shared" si="27"/>
        <v>0</v>
      </c>
      <c r="Y31" s="1294">
        <f t="shared" si="28"/>
        <v>0</v>
      </c>
      <c r="AA31" s="144">
        <f t="shared" si="29"/>
        <v>-1480.1092019999924</v>
      </c>
      <c r="AC31" s="1294">
        <f t="shared" si="30"/>
        <v>-1.0859972119131849E-2</v>
      </c>
    </row>
    <row r="32" spans="1:29">
      <c r="A32" s="76">
        <f>MAX(A$13:A31)+1</f>
        <v>18</v>
      </c>
      <c r="C32" s="76" t="s">
        <v>1392</v>
      </c>
      <c r="E32" s="76">
        <v>31</v>
      </c>
      <c r="G32" s="68">
        <f>'Table B-Step2'!G47</f>
        <v>7</v>
      </c>
      <c r="I32" s="68">
        <f>'Table B-Step2'!I47</f>
        <v>189259.14266666665</v>
      </c>
      <c r="K32" s="144">
        <f>'Table B-Step2'!K47</f>
        <v>12559.918</v>
      </c>
      <c r="M32" s="144">
        <f>'Table B-Step2'!M47</f>
        <v>-136.59516410000001</v>
      </c>
      <c r="O32" s="144">
        <f t="shared" si="25"/>
        <v>12423.3228359</v>
      </c>
      <c r="Q32" s="144">
        <f>'Table B-Step2'!Q47</f>
        <v>12721.454</v>
      </c>
      <c r="S32" s="144">
        <f>'Table B-Step2'!S47</f>
        <v>-252.03012209999997</v>
      </c>
      <c r="U32" s="144">
        <f t="shared" ref="U32:U38" si="31">Q32+S32</f>
        <v>12469.423877900001</v>
      </c>
      <c r="W32" s="144">
        <f t="shared" si="27"/>
        <v>161.53600000000006</v>
      </c>
      <c r="Y32" s="1294">
        <f t="shared" si="28"/>
        <v>1.2861230463447297E-2</v>
      </c>
      <c r="AA32" s="144">
        <f t="shared" si="29"/>
        <v>46.101042000000234</v>
      </c>
      <c r="AC32" s="1294">
        <f t="shared" si="30"/>
        <v>3.7108463338633405E-3</v>
      </c>
    </row>
    <row r="33" spans="1:29">
      <c r="A33" s="76">
        <f>MAX(A$13:A32)+1</f>
        <v>19</v>
      </c>
      <c r="C33" s="1295" t="s">
        <v>1490</v>
      </c>
      <c r="E33" s="76">
        <v>32</v>
      </c>
      <c r="G33" s="68">
        <f>'Table B-Step2'!G48</f>
        <v>3</v>
      </c>
      <c r="I33" s="68">
        <f>'Table B-Step2'!I48</f>
        <v>196649.98999999996</v>
      </c>
      <c r="K33" s="144">
        <f>'Table B-Step2'!K48</f>
        <v>13405.413</v>
      </c>
      <c r="M33" s="144">
        <f>'Table B-Step2'!M48</f>
        <v>-19.085576699999997</v>
      </c>
      <c r="O33" s="144">
        <f t="shared" si="25"/>
        <v>13386.327423300001</v>
      </c>
      <c r="Q33" s="144">
        <f>'Table B-Step2'!Q48</f>
        <v>13453.300999999999</v>
      </c>
      <c r="S33" s="144">
        <f>'Table B-Step2'!S48</f>
        <v>-35.231153400000004</v>
      </c>
      <c r="U33" s="144">
        <f t="shared" si="31"/>
        <v>13418.069846599999</v>
      </c>
      <c r="W33" s="144">
        <f t="shared" si="27"/>
        <v>47.88799999999901</v>
      </c>
      <c r="Y33" s="1294">
        <f t="shared" si="28"/>
        <v>3.5722882987640147E-3</v>
      </c>
      <c r="AA33" s="144">
        <f t="shared" si="29"/>
        <v>31.742423299998336</v>
      </c>
      <c r="AC33" s="1294">
        <f t="shared" si="30"/>
        <v>2.3712570517846472E-3</v>
      </c>
    </row>
    <row r="34" spans="1:29">
      <c r="A34" s="76">
        <f>MAX(A$13:A33)+1</f>
        <v>20</v>
      </c>
      <c r="C34" s="1295" t="s">
        <v>1489</v>
      </c>
      <c r="E34" s="76">
        <v>34</v>
      </c>
      <c r="G34" s="68">
        <f>'Table B-Step2'!G49</f>
        <v>1</v>
      </c>
      <c r="I34" s="68">
        <f>'Table B-Step2'!I49</f>
        <v>242230</v>
      </c>
      <c r="K34" s="144">
        <f>'Table B-Step2'!K49</f>
        <v>13027.75819123467</v>
      </c>
      <c r="M34" s="144">
        <f>'Table B-Step2'!M49</f>
        <v>0</v>
      </c>
      <c r="O34" s="144">
        <f t="shared" si="25"/>
        <v>13027.75819123467</v>
      </c>
      <c r="Q34" s="144">
        <f>'Table B-Step2'!Q49</f>
        <v>13027.75819123467</v>
      </c>
      <c r="S34" s="144">
        <f>'Table B-Step2'!S49</f>
        <v>0</v>
      </c>
      <c r="U34" s="144">
        <f t="shared" si="31"/>
        <v>13027.75819123467</v>
      </c>
      <c r="W34" s="144">
        <f t="shared" si="27"/>
        <v>0</v>
      </c>
      <c r="Y34" s="1294">
        <f t="shared" si="28"/>
        <v>0</v>
      </c>
      <c r="AA34" s="144">
        <f t="shared" si="29"/>
        <v>0</v>
      </c>
      <c r="AC34" s="1294">
        <f t="shared" si="30"/>
        <v>0</v>
      </c>
    </row>
    <row r="35" spans="1:29">
      <c r="A35" s="76">
        <f>MAX(A$13:A34)+1</f>
        <v>21</v>
      </c>
      <c r="C35" s="1295" t="s">
        <v>680</v>
      </c>
      <c r="E35" s="1296"/>
      <c r="G35" s="68">
        <f>'Table B-Step2'!G50</f>
        <v>1</v>
      </c>
      <c r="I35" s="68">
        <f>'Table B-Step2'!I50</f>
        <v>617100</v>
      </c>
      <c r="K35" s="144">
        <f>'Table B-Step2'!K50</f>
        <v>32114.516</v>
      </c>
      <c r="M35" s="144">
        <f>'Table B-Step2'!M50</f>
        <v>-422.42064199999999</v>
      </c>
      <c r="O35" s="144">
        <f t="shared" si="25"/>
        <v>31692.095357999999</v>
      </c>
      <c r="Q35" s="144">
        <f>'Table B-Step2'!Q50</f>
        <v>32512.083999999999</v>
      </c>
      <c r="S35" s="144">
        <f>'Table B-Step2'!S50</f>
        <v>-775.72387399999991</v>
      </c>
      <c r="U35" s="144">
        <f t="shared" si="31"/>
        <v>31736.360126</v>
      </c>
      <c r="W35" s="144">
        <f t="shared" si="27"/>
        <v>397.5679999999993</v>
      </c>
      <c r="Y35" s="1294">
        <f t="shared" si="28"/>
        <v>1.2379697704302917E-2</v>
      </c>
      <c r="AA35" s="144">
        <f t="shared" si="29"/>
        <v>44.264768000000913</v>
      </c>
      <c r="AC35" s="1294">
        <f t="shared" si="30"/>
        <v>1.3967132024556152E-3</v>
      </c>
    </row>
    <row r="36" spans="1:29">
      <c r="A36" s="76">
        <f>MAX(A$13:A35)+1</f>
        <v>22</v>
      </c>
      <c r="C36" s="1295" t="s">
        <v>681</v>
      </c>
      <c r="E36" s="1296"/>
      <c r="G36" s="68">
        <f>'Table B-Step2'!G51</f>
        <v>1</v>
      </c>
      <c r="I36" s="68">
        <f>'Table B-Step2'!I51</f>
        <v>705455.54894656001</v>
      </c>
      <c r="K36" s="144">
        <f>'Table B-Step2'!K51</f>
        <v>32219.462</v>
      </c>
      <c r="M36" s="144">
        <f>'Table B-Step2'!M51</f>
        <v>-422.07495219999998</v>
      </c>
      <c r="O36" s="144">
        <f t="shared" si="25"/>
        <v>31797.387047799999</v>
      </c>
      <c r="Q36" s="144">
        <f>'Table B-Step2'!Q51</f>
        <v>32618.477999999999</v>
      </c>
      <c r="S36" s="144">
        <f>'Table B-Step2'!S51</f>
        <v>-776.31977640000014</v>
      </c>
      <c r="U36" s="144">
        <f t="shared" si="31"/>
        <v>31842.158223599999</v>
      </c>
      <c r="W36" s="144">
        <f t="shared" si="27"/>
        <v>399.01599999999962</v>
      </c>
      <c r="Y36" s="1294">
        <f t="shared" si="28"/>
        <v>1.2384316038548367E-2</v>
      </c>
      <c r="AA36" s="144">
        <f t="shared" si="29"/>
        <v>44.771175800000492</v>
      </c>
      <c r="AC36" s="1294">
        <f t="shared" si="30"/>
        <v>1.4080143042161737E-3</v>
      </c>
    </row>
    <row r="37" spans="1:29">
      <c r="A37" s="76">
        <f>MAX(A$13:A36)+1</f>
        <v>23</v>
      </c>
      <c r="C37" s="1295" t="s">
        <v>682</v>
      </c>
      <c r="E37" s="1296"/>
      <c r="G37" s="68">
        <f>'Table B-Step2'!G52</f>
        <v>1</v>
      </c>
      <c r="I37" s="68">
        <f>'Table B-Step2'!I52</f>
        <v>1288626.1969999999</v>
      </c>
      <c r="K37" s="144">
        <f>'Table B-Step2'!K52</f>
        <v>62957.593017309679</v>
      </c>
      <c r="M37" s="144">
        <f>'Table B-Step2'!M52</f>
        <v>0</v>
      </c>
      <c r="O37" s="144">
        <f t="shared" si="25"/>
        <v>62957.593017309679</v>
      </c>
      <c r="Q37" s="144">
        <f>'Table B-Step2'!Q52</f>
        <v>62957.593017309679</v>
      </c>
      <c r="S37" s="144">
        <f>'Table B-Step2'!S52</f>
        <v>0</v>
      </c>
      <c r="U37" s="144">
        <f t="shared" si="31"/>
        <v>62957.593017309679</v>
      </c>
      <c r="W37" s="144">
        <f t="shared" si="27"/>
        <v>0</v>
      </c>
      <c r="Y37" s="1294">
        <f t="shared" si="28"/>
        <v>0</v>
      </c>
      <c r="AA37" s="144">
        <f t="shared" si="29"/>
        <v>0</v>
      </c>
      <c r="AC37" s="1294">
        <f t="shared" si="30"/>
        <v>0</v>
      </c>
    </row>
    <row r="38" spans="1:29">
      <c r="A38" s="76">
        <f>MAX(A$13:A37)+1</f>
        <v>24</v>
      </c>
      <c r="C38" s="1298" t="s">
        <v>471</v>
      </c>
      <c r="E38" s="1299"/>
      <c r="G38" s="72"/>
      <c r="I38" s="72"/>
      <c r="K38" s="145">
        <f>'Table B-Step2'!K53</f>
        <v>4797.3367799999996</v>
      </c>
      <c r="M38" s="145">
        <f>'Table B-Step2'!M53</f>
        <v>0</v>
      </c>
      <c r="O38" s="145">
        <f t="shared" si="25"/>
        <v>4797.3367799999996</v>
      </c>
      <c r="Q38" s="145">
        <f>'Table B-Step2'!Q53</f>
        <v>4797.3367799999996</v>
      </c>
      <c r="S38" s="145">
        <f>'Table B-Step2'!S53</f>
        <v>0</v>
      </c>
      <c r="U38" s="145">
        <f t="shared" si="31"/>
        <v>4797.3367799999996</v>
      </c>
      <c r="W38" s="145">
        <f t="shared" si="27"/>
        <v>0</v>
      </c>
      <c r="Y38" s="1300">
        <f t="shared" si="28"/>
        <v>0</v>
      </c>
      <c r="AA38" s="145">
        <f t="shared" si="29"/>
        <v>0</v>
      </c>
      <c r="AC38" s="1300">
        <f t="shared" si="30"/>
        <v>0</v>
      </c>
    </row>
    <row r="39" spans="1:29">
      <c r="A39" s="76">
        <f>MAX(A$13:A38)+1</f>
        <v>25</v>
      </c>
      <c r="C39" s="80" t="s">
        <v>1393</v>
      </c>
      <c r="G39" s="68">
        <f>SUM(G19:G21,G23:G23,G24:G25,G27:G28,G30:G31,G32:G38)</f>
        <v>116605</v>
      </c>
      <c r="I39" s="68">
        <f>SUM(I19:I21,I23:I23,I24:I25,I27:I28,I30:I31,I32:I38)</f>
        <v>17979702.507882744</v>
      </c>
      <c r="K39" s="144">
        <f>SUM(K19:K21,K23:K23,K24:K25,K27:K28,K30:K31,K32:K38)</f>
        <v>1272906.3459885444</v>
      </c>
      <c r="M39" s="144">
        <f>SUM(M19:M21,M23:M23,M24:M25,M27:M28,M30:M31,M32:M38)</f>
        <v>-15295.457355999999</v>
      </c>
      <c r="O39" s="144">
        <f>SUM(O19:O21,O23:O23,O24:O25,O27:O28,O30:O31,O32:O38)</f>
        <v>1257610.8886325441</v>
      </c>
      <c r="Q39" s="144">
        <f>SUM(Q19:Q21,Q23:Q23,Q24:Q25,Q27:Q28,Q30:Q31,Q32:Q38)</f>
        <v>1285961.195988544</v>
      </c>
      <c r="S39" s="144">
        <f>SUM(S19:S21,S23:S23,S24:S25,S27:S28,S30:S31,S32:S38)</f>
        <v>-28147.495906200005</v>
      </c>
      <c r="U39" s="144">
        <f>SUM(U19:U21,U23:U23,U24:U25,U27:U28,U30:U31,U32:U38)</f>
        <v>1257813.7000823442</v>
      </c>
      <c r="W39" s="144">
        <f>SUM(W19:W21,W23:W23,W24:W25,W27:W28,W30:W31,W32:W38)</f>
        <v>13054.849999999971</v>
      </c>
      <c r="Y39" s="1294">
        <f t="shared" si="28"/>
        <v>1.0255939127918732E-2</v>
      </c>
      <c r="AA39" s="144">
        <f>SUM(AA19:AA21,AA23:AA23,AA24:AA25,AA27:AA28,AA30:AA31,AA32:AA38)</f>
        <v>202.81144979998953</v>
      </c>
      <c r="AC39" s="1294">
        <f t="shared" si="30"/>
        <v>1.6126725017506438E-4</v>
      </c>
    </row>
    <row r="40" spans="1:29">
      <c r="C40" s="1292" t="s">
        <v>231</v>
      </c>
      <c r="G40" s="68"/>
      <c r="I40" s="68"/>
      <c r="K40" s="144"/>
      <c r="M40" s="144"/>
      <c r="O40" s="144"/>
      <c r="Q40" s="144"/>
      <c r="S40" s="144"/>
      <c r="U40" s="144"/>
      <c r="W40" s="144"/>
      <c r="AA40" s="144"/>
    </row>
    <row r="41" spans="1:29" ht="25.15" customHeight="1">
      <c r="A41" s="76">
        <f>MAX(A$13:A40)+1</f>
        <v>26</v>
      </c>
      <c r="C41" s="76" t="s">
        <v>232</v>
      </c>
      <c r="E41" s="76">
        <v>7</v>
      </c>
      <c r="G41" s="68">
        <f>'Table B-Step2'!G56</f>
        <v>6491</v>
      </c>
      <c r="I41" s="68">
        <f>'Table B-Step2'!I56</f>
        <v>10497.984469308627</v>
      </c>
      <c r="K41" s="144">
        <f>'Table B-Step2'!K56</f>
        <v>1383.2668705464662</v>
      </c>
      <c r="M41" s="144">
        <f>'Table B-Step2'!M56</f>
        <v>-14.109322079573957</v>
      </c>
      <c r="O41" s="144">
        <f t="shared" ref="O41:O45" si="32">K41+M41</f>
        <v>1369.1575484668922</v>
      </c>
      <c r="Q41" s="144">
        <f>'Table B-Step2'!Q56</f>
        <v>1383.2668705464662</v>
      </c>
      <c r="S41" s="144">
        <f>'Table B-Step2'!S56</f>
        <v>-25.86709047921892</v>
      </c>
      <c r="U41" s="144">
        <f t="shared" ref="U41:U45" si="33">Q41+S41</f>
        <v>1357.3997800672473</v>
      </c>
      <c r="W41" s="144">
        <f t="shared" ref="W41:W45" si="34">Q41-K41</f>
        <v>0</v>
      </c>
      <c r="Y41" s="1294">
        <f t="shared" ref="Y41:Y46" si="35">W41/K41</f>
        <v>0</v>
      </c>
      <c r="AA41" s="144">
        <f t="shared" ref="AA41:AA45" si="36">U41-O41</f>
        <v>-11.757768399644874</v>
      </c>
      <c r="AC41" s="1294">
        <f t="shared" ref="AC41:AC46" si="37">AA41/O41</f>
        <v>-8.5875934532228092E-3</v>
      </c>
    </row>
    <row r="42" spans="1:29">
      <c r="A42" s="76">
        <f>MAX(A$13:A41)+1</f>
        <v>27</v>
      </c>
      <c r="C42" s="76" t="s">
        <v>233</v>
      </c>
      <c r="E42" s="76">
        <v>11</v>
      </c>
      <c r="G42" s="68">
        <f>'Table B-Step2'!G57</f>
        <v>715</v>
      </c>
      <c r="I42" s="68">
        <f>'Table B-Step2'!I57</f>
        <v>13572.50823362934</v>
      </c>
      <c r="K42" s="144">
        <f>'Table B-Step2'!K57</f>
        <v>3759.4048698993784</v>
      </c>
      <c r="M42" s="144">
        <f>'Table B-Step2'!M57</f>
        <v>-38.345929672973661</v>
      </c>
      <c r="O42" s="144">
        <f t="shared" si="32"/>
        <v>3721.0589402264045</v>
      </c>
      <c r="Q42" s="144">
        <f>'Table B-Step2'!Q57</f>
        <v>3759.4048698993784</v>
      </c>
      <c r="S42" s="144">
        <f>'Table B-Step2'!S57</f>
        <v>-70.300871067118379</v>
      </c>
      <c r="U42" s="144">
        <f t="shared" si="33"/>
        <v>3689.10399883226</v>
      </c>
      <c r="W42" s="144">
        <f t="shared" si="34"/>
        <v>0</v>
      </c>
      <c r="Y42" s="1294">
        <f t="shared" si="35"/>
        <v>0</v>
      </c>
      <c r="AA42" s="144">
        <f t="shared" si="36"/>
        <v>-31.954941394144498</v>
      </c>
      <c r="AC42" s="1294">
        <f t="shared" si="37"/>
        <v>-8.5875934532228144E-3</v>
      </c>
    </row>
    <row r="43" spans="1:29">
      <c r="A43" s="76">
        <f>MAX(A$13:A42)+1</f>
        <v>28</v>
      </c>
      <c r="C43" s="76" t="s">
        <v>234</v>
      </c>
      <c r="E43" s="76">
        <v>12</v>
      </c>
      <c r="G43" s="68">
        <f>'Table B-Step2'!G58</f>
        <v>1229</v>
      </c>
      <c r="I43" s="68">
        <f>'Table B-Step2'!I58</f>
        <v>26868.87420437079</v>
      </c>
      <c r="K43" s="144">
        <f>'Table B-Step2'!K58</f>
        <v>1402.8682700442894</v>
      </c>
      <c r="M43" s="144">
        <f>'Table B-Step2'!M58</f>
        <v>-14.309256354451753</v>
      </c>
      <c r="O43" s="144">
        <f t="shared" si="32"/>
        <v>1388.5590136898377</v>
      </c>
      <c r="Q43" s="144">
        <f>'Table B-Step2'!Q58</f>
        <v>1402.8682700442894</v>
      </c>
      <c r="S43" s="144">
        <f>'Table B-Step2'!S58</f>
        <v>-26.23363664982821</v>
      </c>
      <c r="U43" s="144">
        <f t="shared" si="33"/>
        <v>1376.6346333944612</v>
      </c>
      <c r="W43" s="144">
        <f t="shared" si="34"/>
        <v>0</v>
      </c>
      <c r="Y43" s="1294">
        <f t="shared" si="35"/>
        <v>0</v>
      </c>
      <c r="AA43" s="144">
        <f t="shared" si="36"/>
        <v>-11.924380295376523</v>
      </c>
      <c r="AC43" s="1294">
        <f t="shared" si="37"/>
        <v>-8.5875934532229185E-3</v>
      </c>
    </row>
    <row r="44" spans="1:29">
      <c r="A44" s="76">
        <f>MAX(A$13:A43)+1</f>
        <v>29</v>
      </c>
      <c r="C44" s="76" t="s">
        <v>236</v>
      </c>
      <c r="E44" s="76">
        <v>15</v>
      </c>
      <c r="G44" s="68">
        <f>'Table B-Step2'!G59</f>
        <v>637</v>
      </c>
      <c r="I44" s="68">
        <f>'Table B-Step2'!I59</f>
        <v>15963.151062719233</v>
      </c>
      <c r="K44" s="144">
        <f>'Table B-Step2'!K59</f>
        <v>797.02300000000002</v>
      </c>
      <c r="M44" s="144">
        <f>'Table B-Step2'!M59</f>
        <v>-8.3929017999999989</v>
      </c>
      <c r="O44" s="144">
        <f t="shared" si="32"/>
        <v>788.63009820000002</v>
      </c>
      <c r="Q44" s="144">
        <f>'Table B-Step2'!Q59</f>
        <v>797.02300000000002</v>
      </c>
      <c r="S44" s="144">
        <f>'Table B-Step2'!S59</f>
        <v>-15.377598600000001</v>
      </c>
      <c r="U44" s="144">
        <f t="shared" si="33"/>
        <v>781.64540139999997</v>
      </c>
      <c r="W44" s="144">
        <f t="shared" si="34"/>
        <v>0</v>
      </c>
      <c r="Y44" s="1294">
        <f t="shared" si="35"/>
        <v>0</v>
      </c>
      <c r="AA44" s="144">
        <f t="shared" si="36"/>
        <v>-6.9846968000000516</v>
      </c>
      <c r="AC44" s="1294">
        <f t="shared" si="37"/>
        <v>-8.8567464213478476E-3</v>
      </c>
    </row>
    <row r="45" spans="1:29">
      <c r="A45" s="76">
        <f>MAX(A$13:A44)+1</f>
        <v>30</v>
      </c>
      <c r="C45" s="76" t="s">
        <v>235</v>
      </c>
      <c r="E45" s="76">
        <v>15</v>
      </c>
      <c r="G45" s="71">
        <f>'Table B-Step2'!G60</f>
        <v>2734</v>
      </c>
      <c r="I45" s="71">
        <f>'Table B-Step2'!I60</f>
        <v>7776.3704443165416</v>
      </c>
      <c r="K45" s="145">
        <f>'Table B-Step2'!K60</f>
        <v>802.65099999999995</v>
      </c>
      <c r="M45" s="145">
        <f>'Table B-Step2'!M60</f>
        <v>-8.9595359999999999</v>
      </c>
      <c r="O45" s="145">
        <f t="shared" si="32"/>
        <v>793.691464</v>
      </c>
      <c r="Q45" s="145">
        <f>'Table B-Step2'!Q60</f>
        <v>802.65099999999995</v>
      </c>
      <c r="S45" s="145">
        <f>'Table B-Step2'!S60</f>
        <v>-16.425815999999998</v>
      </c>
      <c r="U45" s="145">
        <f t="shared" si="33"/>
        <v>786.2251839999999</v>
      </c>
      <c r="W45" s="145">
        <f t="shared" si="34"/>
        <v>0</v>
      </c>
      <c r="Y45" s="1300">
        <f t="shared" si="35"/>
        <v>0</v>
      </c>
      <c r="AA45" s="145">
        <f t="shared" si="36"/>
        <v>-7.4662800000000971</v>
      </c>
      <c r="AC45" s="1300">
        <f t="shared" si="37"/>
        <v>-9.4070307400963768E-3</v>
      </c>
    </row>
    <row r="46" spans="1:29">
      <c r="A46" s="76">
        <f>MAX(A$13:A45)+1</f>
        <v>31</v>
      </c>
      <c r="C46" s="1038" t="s">
        <v>237</v>
      </c>
      <c r="D46" s="77"/>
      <c r="F46" s="77"/>
      <c r="G46" s="68">
        <f>SUM(G41:G45)</f>
        <v>11806</v>
      </c>
      <c r="H46" s="77"/>
      <c r="I46" s="68">
        <f>SUM(I41:I45)</f>
        <v>74678.888414344532</v>
      </c>
      <c r="J46" s="77"/>
      <c r="K46" s="144">
        <f>SUM(K41:K45)</f>
        <v>8145.2140104901346</v>
      </c>
      <c r="L46" s="144"/>
      <c r="M46" s="144">
        <f>SUM(M41:M45)</f>
        <v>-84.116945906999376</v>
      </c>
      <c r="N46" s="144"/>
      <c r="O46" s="144">
        <f>SUM(O41:O45)</f>
        <v>8061.0970645831349</v>
      </c>
      <c r="P46" s="144"/>
      <c r="Q46" s="144">
        <f>SUM(Q41:Q45)</f>
        <v>8145.2140104901346</v>
      </c>
      <c r="R46" s="144"/>
      <c r="S46" s="144">
        <f>SUM(S41:S45)</f>
        <v>-154.20501279616551</v>
      </c>
      <c r="T46" s="144"/>
      <c r="U46" s="144">
        <f>SUM(U41:U45)</f>
        <v>7991.008997693968</v>
      </c>
      <c r="V46" s="144"/>
      <c r="W46" s="144">
        <f>SUM(W41:W45)</f>
        <v>0</v>
      </c>
      <c r="Y46" s="1294">
        <f t="shared" si="35"/>
        <v>0</v>
      </c>
      <c r="Z46" s="77"/>
      <c r="AA46" s="144">
        <f>SUM(AA41:AA45)</f>
        <v>-70.088066889166043</v>
      </c>
      <c r="AC46" s="1294">
        <f t="shared" si="37"/>
        <v>-8.6946064943321105E-3</v>
      </c>
    </row>
    <row r="47" spans="1:29">
      <c r="A47" s="76">
        <f>MAX(A$13:A46)+1</f>
        <v>32</v>
      </c>
      <c r="C47" s="1295" t="s">
        <v>1396</v>
      </c>
      <c r="E47" s="1296"/>
      <c r="G47" s="68">
        <f>'Table B-Step2'!G62</f>
        <v>4</v>
      </c>
      <c r="I47" s="68">
        <f>'Table B-Step2'!I62</f>
        <v>7.3869999999999996</v>
      </c>
      <c r="K47" s="144">
        <f>'Table B-Step2'!K62</f>
        <v>0.55700000000000005</v>
      </c>
      <c r="M47" s="144">
        <f>'Table B-Step2'!M62</f>
        <v>0</v>
      </c>
      <c r="O47" s="144">
        <f>K47+M47</f>
        <v>0.55700000000000005</v>
      </c>
      <c r="Q47" s="144">
        <f>'Table B-Step2'!Q62</f>
        <v>0.55700000000000005</v>
      </c>
      <c r="S47" s="144">
        <f>'Table B-Step2'!S62</f>
        <v>0</v>
      </c>
      <c r="U47" s="144">
        <f>Q47+S47</f>
        <v>0.55700000000000005</v>
      </c>
      <c r="W47" s="144">
        <f t="shared" ref="W47:W48" si="38">Q47-K47</f>
        <v>0</v>
      </c>
      <c r="Y47" s="1294">
        <f t="shared" ref="Y47:Y50" si="39">W47/K47</f>
        <v>0</v>
      </c>
      <c r="AA47" s="144">
        <f t="shared" ref="AA47:AA48" si="40">U47-O47</f>
        <v>0</v>
      </c>
      <c r="AC47" s="1294">
        <f t="shared" ref="AC47:AC50" si="41">AA47/O47</f>
        <v>0</v>
      </c>
    </row>
    <row r="48" spans="1:29" ht="22.15" customHeight="1">
      <c r="A48" s="76">
        <f>MAX(A$13:A47)+1</f>
        <v>33</v>
      </c>
      <c r="C48" s="1298" t="s">
        <v>471</v>
      </c>
      <c r="D48" s="78"/>
      <c r="E48" s="1299"/>
      <c r="F48" s="78"/>
      <c r="G48" s="73"/>
      <c r="H48" s="78"/>
      <c r="I48" s="73"/>
      <c r="J48" s="78"/>
      <c r="K48" s="145">
        <f>'Table B-Step2'!K63</f>
        <v>4.6550400000000005</v>
      </c>
      <c r="M48" s="145">
        <f>'Table B-Step2'!M63</f>
        <v>0</v>
      </c>
      <c r="O48" s="145">
        <f>K48+M48</f>
        <v>4.6550400000000005</v>
      </c>
      <c r="Q48" s="145">
        <f>'Table B-Step2'!Q63</f>
        <v>4.6550400000000005</v>
      </c>
      <c r="S48" s="145">
        <f>'Table B-Step2'!S63</f>
        <v>0</v>
      </c>
      <c r="U48" s="145">
        <f>Q48+S48</f>
        <v>4.6550400000000005</v>
      </c>
      <c r="W48" s="145">
        <f t="shared" si="38"/>
        <v>0</v>
      </c>
      <c r="Y48" s="1300">
        <f t="shared" si="39"/>
        <v>0</v>
      </c>
      <c r="Z48" s="78"/>
      <c r="AA48" s="145">
        <f t="shared" si="40"/>
        <v>0</v>
      </c>
      <c r="AC48" s="1300">
        <f t="shared" si="41"/>
        <v>0</v>
      </c>
    </row>
    <row r="49" spans="1:29">
      <c r="A49" s="76">
        <f>MAX(A$13:A48)+1</f>
        <v>34</v>
      </c>
      <c r="C49" s="1305" t="s">
        <v>238</v>
      </c>
      <c r="E49" s="1306"/>
      <c r="G49" s="71">
        <f>SUM(G47:G48)+G46</f>
        <v>11810</v>
      </c>
      <c r="I49" s="71">
        <f>SUM(I47:I48)+I46</f>
        <v>74686.275414344535</v>
      </c>
      <c r="K49" s="145">
        <f>SUM(K47:K48)+K46</f>
        <v>8150.4260504901349</v>
      </c>
      <c r="M49" s="145">
        <f>SUM(M47:M48)+M46</f>
        <v>-84.116945906999376</v>
      </c>
      <c r="O49" s="145">
        <f>SUM(O47:O48)+O46</f>
        <v>8066.3091045831352</v>
      </c>
      <c r="Q49" s="145">
        <f>SUM(Q47:Q48)+Q46</f>
        <v>8150.4260504901349</v>
      </c>
      <c r="S49" s="145">
        <f>SUM(S47:S48)+S46</f>
        <v>-154.20501279616551</v>
      </c>
      <c r="U49" s="145">
        <f>SUM(U47:U48)+U46</f>
        <v>7996.2210376939684</v>
      </c>
      <c r="W49" s="145">
        <f>SUM(W47:W48)+W46</f>
        <v>0</v>
      </c>
      <c r="Y49" s="1307">
        <f t="shared" si="39"/>
        <v>0</v>
      </c>
      <c r="AA49" s="145">
        <f>SUM(AA47:AA48)+AA46</f>
        <v>-70.088066889166043</v>
      </c>
      <c r="AC49" s="1307">
        <f t="shared" si="41"/>
        <v>-8.688988480412092E-3</v>
      </c>
    </row>
    <row r="50" spans="1:29" ht="22.15" customHeight="1" thickBot="1">
      <c r="A50" s="76">
        <f>MAX(A$13:A49)+1</f>
        <v>35</v>
      </c>
      <c r="C50" s="1308" t="s">
        <v>239</v>
      </c>
      <c r="E50" s="1309"/>
      <c r="G50" s="67">
        <f>G49+G39+G17</f>
        <v>986283</v>
      </c>
      <c r="I50" s="67">
        <f>I49+I39+I17</f>
        <v>24837388.160662249</v>
      </c>
      <c r="K50" s="146">
        <f>K49+K39+K17</f>
        <v>2051207.7381290346</v>
      </c>
      <c r="M50" s="146">
        <f>M49+M39+M17</f>
        <v>-26877.836591906998</v>
      </c>
      <c r="O50" s="146">
        <f>O49+O39+O17</f>
        <v>2024329.9015371273</v>
      </c>
      <c r="Q50" s="146">
        <f>Q49+Q39+Q17</f>
        <v>2073801.5591290342</v>
      </c>
      <c r="S50" s="146">
        <f>S49+S39+S17</f>
        <v>-49427.647021796176</v>
      </c>
      <c r="U50" s="146">
        <f>U49+U39+U17</f>
        <v>2024373.9121072383</v>
      </c>
      <c r="W50" s="146">
        <f>W49+W39+W17</f>
        <v>22593.820999999894</v>
      </c>
      <c r="Y50" s="1310">
        <f t="shared" si="39"/>
        <v>1.1014886781096276E-2</v>
      </c>
      <c r="AA50" s="146">
        <f>AA49+AA39+AA17</f>
        <v>44.010570110754088</v>
      </c>
      <c r="AC50" s="1310">
        <f t="shared" si="41"/>
        <v>2.1740809182009167E-5</v>
      </c>
    </row>
    <row r="51" spans="1:29" ht="25.15" customHeight="1" thickTop="1">
      <c r="E51" s="90"/>
    </row>
    <row r="52" spans="1:29">
      <c r="C52" s="1295"/>
    </row>
    <row r="53" spans="1:29">
      <c r="C53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36"/>
  <sheetViews>
    <sheetView view="pageBreakPreview" topLeftCell="A10" zoomScaleNormal="100" zoomScaleSheetLayoutView="100" workbookViewId="0">
      <selection activeCell="X8" sqref="X8"/>
    </sheetView>
  </sheetViews>
  <sheetFormatPr defaultColWidth="8" defaultRowHeight="12.75"/>
  <cols>
    <col min="1" max="1" width="8.625" style="1707" bestFit="1" customWidth="1"/>
    <col min="2" max="2" width="2.125" style="1707" customWidth="1"/>
    <col min="3" max="3" width="4.75" style="1707" hidden="1" customWidth="1"/>
    <col min="4" max="4" width="8.25" style="1707" bestFit="1" customWidth="1"/>
    <col min="5" max="5" width="1.75" style="1704" customWidth="1"/>
    <col min="6" max="6" width="7.75" style="1708" bestFit="1" customWidth="1"/>
    <col min="7" max="7" width="1" style="1704" customWidth="1"/>
    <col min="8" max="8" width="9" style="1708" bestFit="1" customWidth="1"/>
    <col min="9" max="9" width="0.75" style="1704" customWidth="1"/>
    <col min="10" max="10" width="7.25" style="1704" bestFit="1" customWidth="1"/>
    <col min="11" max="11" width="1.125" style="1704" customWidth="1"/>
    <col min="12" max="12" width="6.125" style="1704" bestFit="1" customWidth="1"/>
    <col min="13" max="13" width="1.5" style="1704" customWidth="1"/>
    <col min="14" max="14" width="7.75" style="1708" bestFit="1" customWidth="1"/>
    <col min="15" max="15" width="0.625" style="1704" customWidth="1"/>
    <col min="16" max="16" width="7.75" style="1708" bestFit="1" customWidth="1"/>
    <col min="17" max="17" width="0.75" style="1704" customWidth="1"/>
    <col min="18" max="18" width="7.125" style="1704" bestFit="1" customWidth="1"/>
    <col min="19" max="19" width="0.625" style="1704" customWidth="1"/>
    <col min="20" max="20" width="6.125" style="1704" bestFit="1" customWidth="1"/>
    <col min="21" max="21" width="3.25" style="1704" customWidth="1"/>
    <col min="22" max="22" width="16" style="1704" bestFit="1" customWidth="1"/>
    <col min="23" max="23" width="8.25" style="1704" bestFit="1" customWidth="1"/>
    <col min="24" max="24" width="9.75" style="1704" bestFit="1" customWidth="1"/>
    <col min="25" max="16384" width="8" style="1704"/>
  </cols>
  <sheetData>
    <row r="1" spans="1:25" ht="16.5">
      <c r="A1" s="1697" t="s">
        <v>547</v>
      </c>
      <c r="B1" s="1697"/>
      <c r="C1" s="1697"/>
      <c r="D1" s="1697"/>
      <c r="E1" s="1698"/>
      <c r="F1" s="1699"/>
      <c r="G1" s="1698"/>
      <c r="H1" s="1699"/>
      <c r="I1" s="1698"/>
      <c r="J1" s="1698"/>
      <c r="K1" s="1698"/>
      <c r="L1" s="1698"/>
      <c r="M1" s="1698"/>
      <c r="N1" s="1699"/>
      <c r="O1" s="1698"/>
      <c r="P1" s="1699"/>
      <c r="Q1" s="1698"/>
      <c r="R1" s="1698"/>
      <c r="S1" s="1698"/>
      <c r="T1" s="1698"/>
    </row>
    <row r="2" spans="1:25" ht="16.5">
      <c r="A2" s="1697" t="s">
        <v>1672</v>
      </c>
      <c r="B2" s="1697"/>
      <c r="C2" s="1697"/>
      <c r="D2" s="1697"/>
      <c r="E2" s="1698"/>
      <c r="F2" s="1699"/>
      <c r="G2" s="1698"/>
      <c r="H2" s="1699"/>
      <c r="I2" s="1698"/>
      <c r="J2" s="1698"/>
      <c r="K2" s="1698"/>
      <c r="L2" s="1698"/>
      <c r="M2" s="1698"/>
      <c r="N2" s="1699"/>
      <c r="O2" s="1698"/>
      <c r="P2" s="1699"/>
      <c r="Q2" s="1698"/>
      <c r="R2" s="1698"/>
      <c r="S2" s="1698"/>
      <c r="T2" s="1698"/>
    </row>
    <row r="3" spans="1:25" ht="16.5">
      <c r="A3" s="1697" t="s">
        <v>1702</v>
      </c>
      <c r="B3" s="1697"/>
      <c r="C3" s="1697"/>
      <c r="D3" s="1697"/>
      <c r="E3" s="1698"/>
      <c r="F3" s="1699"/>
      <c r="G3" s="1698"/>
      <c r="H3" s="1699"/>
      <c r="I3" s="1698"/>
      <c r="J3" s="1698"/>
      <c r="K3" s="1698"/>
      <c r="L3" s="1698"/>
      <c r="M3" s="1698"/>
      <c r="N3" s="1699"/>
      <c r="O3" s="1698"/>
      <c r="P3" s="1699"/>
      <c r="Q3" s="1698"/>
      <c r="R3" s="1698"/>
      <c r="S3" s="1698"/>
      <c r="T3" s="1698"/>
    </row>
    <row r="4" spans="1:25" ht="16.5">
      <c r="A4" s="1697" t="s">
        <v>1703</v>
      </c>
      <c r="B4" s="1697"/>
      <c r="C4" s="1697"/>
      <c r="D4" s="1697"/>
      <c r="E4" s="1698"/>
      <c r="F4" s="1699"/>
      <c r="G4" s="1698"/>
      <c r="H4" s="1699"/>
      <c r="I4" s="1698"/>
      <c r="J4" s="1698"/>
      <c r="K4" s="1698"/>
      <c r="L4" s="1698"/>
      <c r="M4" s="1698"/>
      <c r="N4" s="1699"/>
      <c r="O4" s="1698"/>
      <c r="P4" s="1699"/>
      <c r="Q4" s="1698"/>
      <c r="R4" s="1698"/>
      <c r="S4" s="1698"/>
      <c r="T4" s="1698"/>
    </row>
    <row r="5" spans="1:25" ht="16.5">
      <c r="A5" s="1783"/>
      <c r="B5" s="1784"/>
      <c r="C5" s="1784"/>
      <c r="D5" s="1784"/>
      <c r="E5" s="1785"/>
      <c r="F5" s="1786"/>
      <c r="G5" s="1785"/>
      <c r="H5" s="1786"/>
      <c r="I5" s="1785"/>
      <c r="J5" s="1785"/>
      <c r="K5" s="1785"/>
      <c r="L5" s="1785"/>
      <c r="M5" s="1785"/>
      <c r="N5" s="1786"/>
      <c r="O5" s="1785"/>
      <c r="P5" s="1786"/>
      <c r="Q5" s="1785"/>
      <c r="R5" s="1785"/>
      <c r="S5" s="1785"/>
      <c r="T5" s="1785"/>
    </row>
    <row r="6" spans="1:25" ht="17.25">
      <c r="A6" s="1787"/>
      <c r="B6" s="1701"/>
      <c r="C6" s="1701"/>
      <c r="D6" s="1701"/>
      <c r="E6" s="1701"/>
      <c r="F6" s="1774"/>
      <c r="G6" s="1788"/>
      <c r="H6" s="1774"/>
      <c r="I6" s="1788"/>
      <c r="J6" s="1788"/>
      <c r="K6" s="1788"/>
      <c r="L6" s="1788"/>
      <c r="M6" s="1701"/>
      <c r="N6" s="1774"/>
      <c r="O6" s="1788"/>
      <c r="P6" s="1774"/>
      <c r="Q6" s="1788"/>
      <c r="R6" s="1788"/>
      <c r="S6" s="1788"/>
      <c r="T6" s="1788"/>
    </row>
    <row r="7" spans="1:25">
      <c r="F7" s="1709"/>
      <c r="G7" s="1702"/>
      <c r="H7" s="1709"/>
      <c r="I7" s="1702"/>
      <c r="J7" s="1780"/>
      <c r="K7" s="1702"/>
      <c r="L7" s="1780"/>
      <c r="M7" s="1702"/>
      <c r="N7" s="1709"/>
      <c r="O7" s="1702"/>
      <c r="P7" s="1709"/>
      <c r="Q7" s="1702"/>
      <c r="R7" s="1780"/>
      <c r="S7" s="1702"/>
      <c r="T7" s="1780"/>
    </row>
    <row r="8" spans="1:25">
      <c r="F8" s="1710" t="s">
        <v>1704</v>
      </c>
      <c r="G8" s="1819"/>
      <c r="H8" s="1712"/>
      <c r="I8" s="1713"/>
      <c r="J8" s="1714"/>
      <c r="K8" s="1713"/>
      <c r="L8" s="1713"/>
      <c r="N8" s="1710" t="s">
        <v>1705</v>
      </c>
      <c r="O8" s="1819"/>
      <c r="P8" s="1712"/>
      <c r="Q8" s="1713"/>
      <c r="R8" s="1714"/>
      <c r="S8" s="1713"/>
      <c r="T8" s="1713"/>
      <c r="V8" s="1789" t="s">
        <v>204</v>
      </c>
      <c r="W8" s="1790" t="s">
        <v>216</v>
      </c>
      <c r="X8" s="1726" t="s">
        <v>2334</v>
      </c>
    </row>
    <row r="9" spans="1:25" ht="16.5">
      <c r="A9" s="1791" t="s">
        <v>1675</v>
      </c>
      <c r="F9" s="1712" t="s">
        <v>1676</v>
      </c>
      <c r="G9" s="1713"/>
      <c r="H9" s="1712"/>
      <c r="J9" s="1712" t="s">
        <v>197</v>
      </c>
      <c r="K9" s="1713"/>
      <c r="L9" s="1712"/>
      <c r="N9" s="1712" t="s">
        <v>1676</v>
      </c>
      <c r="O9" s="1713"/>
      <c r="P9" s="1712"/>
      <c r="R9" s="1712" t="s">
        <v>197</v>
      </c>
      <c r="S9" s="1713"/>
      <c r="T9" s="1712"/>
      <c r="V9" s="1811" t="s">
        <v>1706</v>
      </c>
      <c r="W9" s="1812"/>
      <c r="X9" s="1813"/>
      <c r="Y9" s="1709"/>
    </row>
    <row r="10" spans="1:25">
      <c r="A10" s="1820" t="s">
        <v>1677</v>
      </c>
      <c r="B10" s="1793"/>
      <c r="C10" s="1793"/>
      <c r="D10" s="1794" t="s">
        <v>111</v>
      </c>
      <c r="F10" s="1717" t="s">
        <v>216</v>
      </c>
      <c r="H10" s="1718" t="s">
        <v>2334</v>
      </c>
      <c r="J10" s="1719" t="s">
        <v>1399</v>
      </c>
      <c r="L10" s="1720" t="s">
        <v>465</v>
      </c>
      <c r="N10" s="1717" t="s">
        <v>216</v>
      </c>
      <c r="P10" s="1718" t="s">
        <v>2334</v>
      </c>
      <c r="R10" s="1719" t="s">
        <v>1399</v>
      </c>
      <c r="T10" s="1720" t="s">
        <v>465</v>
      </c>
      <c r="V10" s="1736" t="s">
        <v>1678</v>
      </c>
      <c r="W10" s="1795">
        <v>14</v>
      </c>
      <c r="X10" s="1796">
        <f>'Blocking-Step2'!Q1613</f>
        <v>14</v>
      </c>
      <c r="Y10" s="1795"/>
    </row>
    <row r="11" spans="1:25" ht="18.75" customHeight="1">
      <c r="A11" s="1821">
        <v>10</v>
      </c>
      <c r="B11" s="1821"/>
      <c r="C11" s="1822">
        <v>300</v>
      </c>
      <c r="D11" s="1822">
        <f>ROUND((A11*C11),0)</f>
        <v>3000</v>
      </c>
      <c r="F11" s="1797">
        <f>ROUND($W$10+($W$11*$A11+$W$13/100*MIN($D11,30000)+$W$14/100*MAX($D11-30000,0))*((1+$W$33)*(1+$W$16)+$W$28)+$W$15,2)</f>
        <v>309.94</v>
      </c>
      <c r="G11" s="1797"/>
      <c r="H11" s="1797">
        <f>ROUND($X$10+($X$11*$A11+$X$13/100*MIN($D11,30000)+$X$14/100*MAX($D11-30000,0))*((1+$X$33)*(1+$X$16)+$X$28)+$X$15,2)</f>
        <v>312.7</v>
      </c>
      <c r="I11" s="1797"/>
      <c r="J11" s="1797">
        <f>IF(H11="","",H11-F11)</f>
        <v>2.7599999999999909</v>
      </c>
      <c r="L11" s="1723">
        <f>IF(J11="","",H11/F11-1)</f>
        <v>8.9049493450343853E-3</v>
      </c>
      <c r="N11" s="1797">
        <f>ROUND($W$18+($W$19*$A11+$W$21/100*MIN($D11,30000)+$W$22/100*MAX($D11-30000,0))*((1+$W$33)*(1+$W$24)+$W$28)+$W$23,2)</f>
        <v>166.33</v>
      </c>
      <c r="O11" s="1797"/>
      <c r="P11" s="1797">
        <f>ROUND($X$18+($X$19*$A11+$X$21/100*MIN($D11,30000)+$X$22/100*MAX($D11-30000,0))*((1+$X$33)*(1+$X$24)+$X$28)+$X$23,2)</f>
        <v>168.15</v>
      </c>
      <c r="Q11" s="1797"/>
      <c r="R11" s="1797">
        <f t="shared" ref="R11:R33" si="0">IF(P11="","",P11-N11)</f>
        <v>1.8199999999999932</v>
      </c>
      <c r="T11" s="1723">
        <f t="shared" ref="T11:T33" si="1">IF(R11="","",P11/N11-1)</f>
        <v>1.0942103048157126E-2</v>
      </c>
      <c r="V11" s="1736" t="s">
        <v>1679</v>
      </c>
      <c r="W11" s="1795">
        <v>7.33</v>
      </c>
      <c r="X11" s="1796">
        <f>'Blocking-Step2'!Q1607</f>
        <v>7.29</v>
      </c>
      <c r="Y11" s="1795"/>
    </row>
    <row r="12" spans="1:25">
      <c r="A12" s="1823">
        <f>A11</f>
        <v>10</v>
      </c>
      <c r="B12" s="1821"/>
      <c r="C12" s="1822">
        <v>500</v>
      </c>
      <c r="D12" s="1822">
        <f>ROUND((A12*C12),0)</f>
        <v>5000</v>
      </c>
      <c r="F12" s="1797">
        <f t="shared" ref="F12:F13" si="2">ROUND($W$10+($W$11*$A12+$W$13/100*MIN($D12,30000)+$W$14/100*MAX($D12-30000,0))*((1+$W$33)*(1+$W$16)+$W$28)+$W$15,2)</f>
        <v>457.26</v>
      </c>
      <c r="G12" s="1797"/>
      <c r="H12" s="1797">
        <f t="shared" ref="H12:H13" si="3">ROUND($X$10+($X$11*$A12+$X$13/100*MIN($D12,30000)+$X$14/100*MAX($D12-30000,0))*((1+$X$33)*(1+$X$16)+$X$28)+$X$15,2)</f>
        <v>461.39</v>
      </c>
      <c r="I12" s="1797"/>
      <c r="J12" s="1797">
        <f>IF(H12="","",H12-F12)</f>
        <v>4.1299999999999955</v>
      </c>
      <c r="L12" s="1723">
        <f>IF(J12="","",H12/F12-1)</f>
        <v>9.0320605344880178E-3</v>
      </c>
      <c r="N12" s="1797">
        <f t="shared" ref="N12:N13" si="4">ROUND($W$18+($W$19*$A12+$W$21/100*MIN($D12,30000)+$W$22/100*MAX($D12-30000,0))*((1+$W$33)*(1+$W$24)+$W$28)+$W$23,2)</f>
        <v>267.24</v>
      </c>
      <c r="O12" s="1797"/>
      <c r="P12" s="1797">
        <f t="shared" ref="P12:P13" si="5">ROUND($X$18+($X$19*$A12+$X$21/100*MIN($D12,30000)+$X$22/100*MAX($D12-30000,0))*((1+$X$33)*(1+$X$24)+$X$28)+$X$23,2)</f>
        <v>270.26</v>
      </c>
      <c r="Q12" s="1797"/>
      <c r="R12" s="1797">
        <f t="shared" si="0"/>
        <v>3.0199999999999818</v>
      </c>
      <c r="T12" s="1723">
        <f t="shared" si="1"/>
        <v>1.1300703487501895E-2</v>
      </c>
      <c r="V12" s="1736" t="s">
        <v>1680</v>
      </c>
      <c r="W12" s="1795">
        <v>-2.0499999999999998</v>
      </c>
      <c r="X12" s="1796">
        <f>'Blocking-Step2'!Q1608</f>
        <v>-2.0499999999999998</v>
      </c>
      <c r="Y12" s="1795"/>
    </row>
    <row r="13" spans="1:25">
      <c r="A13" s="1823">
        <f>A11</f>
        <v>10</v>
      </c>
      <c r="B13" s="1821"/>
      <c r="C13" s="1822">
        <v>700</v>
      </c>
      <c r="D13" s="1822">
        <f>ROUND((A13*C13),0)</f>
        <v>7000</v>
      </c>
      <c r="F13" s="1797">
        <f t="shared" si="2"/>
        <v>604.58000000000004</v>
      </c>
      <c r="G13" s="1797"/>
      <c r="H13" s="1797">
        <f t="shared" si="3"/>
        <v>610.09</v>
      </c>
      <c r="I13" s="1797"/>
      <c r="J13" s="1797">
        <f>IF(H13="","",H13-F13)</f>
        <v>5.5099999999999909</v>
      </c>
      <c r="L13" s="1723">
        <f>IF(J13="","",H13/F13-1)</f>
        <v>9.1137649277184263E-3</v>
      </c>
      <c r="N13" s="1797">
        <f t="shared" si="4"/>
        <v>368.15</v>
      </c>
      <c r="O13" s="1797"/>
      <c r="P13" s="1797">
        <f t="shared" si="5"/>
        <v>372.38</v>
      </c>
      <c r="Q13" s="1797"/>
      <c r="R13" s="1797">
        <f t="shared" si="0"/>
        <v>4.2300000000000182</v>
      </c>
      <c r="T13" s="1723">
        <f t="shared" si="1"/>
        <v>1.1489881841640681E-2</v>
      </c>
      <c r="V13" s="1736" t="s">
        <v>1707</v>
      </c>
      <c r="W13" s="1799">
        <v>7.2971000000000004</v>
      </c>
      <c r="X13" s="1800">
        <f>'Blocking-Step2'!Q1609</f>
        <v>7.2575331336169997</v>
      </c>
      <c r="Y13" s="1801"/>
    </row>
    <row r="14" spans="1:25">
      <c r="F14" s="1797"/>
      <c r="G14" s="1797"/>
      <c r="H14" s="1797"/>
      <c r="I14" s="1797"/>
      <c r="J14" s="1797"/>
      <c r="L14" s="1723"/>
      <c r="N14" s="1797"/>
      <c r="O14" s="1797"/>
      <c r="P14" s="1797"/>
      <c r="Q14" s="1797"/>
      <c r="R14" s="1797" t="str">
        <f t="shared" si="0"/>
        <v/>
      </c>
      <c r="T14" s="1723" t="str">
        <f t="shared" si="1"/>
        <v/>
      </c>
      <c r="V14" s="1736" t="s">
        <v>1708</v>
      </c>
      <c r="W14" s="1799">
        <v>5.3936000000000002</v>
      </c>
      <c r="X14" s="1800">
        <f>'Blocking-Step2'!Q1610</f>
        <v>5.3643544297699997</v>
      </c>
      <c r="Y14" s="1801"/>
    </row>
    <row r="15" spans="1:25">
      <c r="A15" s="1821">
        <v>20</v>
      </c>
      <c r="B15" s="1821"/>
      <c r="C15" s="1822">
        <v>300</v>
      </c>
      <c r="D15" s="1822">
        <f>ROUND((A15*C15),0)</f>
        <v>6000</v>
      </c>
      <c r="F15" s="1797">
        <f t="shared" ref="F15:F17" si="6">ROUND($W$10+($W$11*$A15+$W$13/100*MIN($D15,30000)+$W$14/100*MAX($D15-30000,0))*((1+$W$33)*(1+$W$16)+$W$28)+$W$15,2)</f>
        <v>604.91</v>
      </c>
      <c r="G15" s="1797"/>
      <c r="H15" s="1797">
        <f t="shared" ref="H15:H17" si="7">ROUND($X$10+($X$11*$A15+$X$13/100*MIN($D15,30000)+$X$14/100*MAX($D15-30000,0))*((1+$X$33)*(1+$X$16)+$X$28)+$X$15,2)</f>
        <v>610.41999999999996</v>
      </c>
      <c r="I15" s="1797"/>
      <c r="J15" s="1797">
        <f>IF(H15="","",H15-F15)</f>
        <v>5.5099999999999909</v>
      </c>
      <c r="L15" s="1723">
        <f>IF(J15="","",H15/F15-1)</f>
        <v>9.1087930435933551E-3</v>
      </c>
      <c r="N15" s="1797">
        <f t="shared" ref="N15:N17" si="8">ROUND($W$18+($W$19*$A15+$W$21/100*MIN($D15,30000)+$W$22/100*MAX($D15-30000,0))*((1+$W$33)*(1+$W$24)+$W$28)+$W$23,2)</f>
        <v>317.7</v>
      </c>
      <c r="O15" s="1797"/>
      <c r="P15" s="1797">
        <f t="shared" ref="P15:P17" si="9">ROUND($X$18+($X$19*$A15+$X$21/100*MIN($D15,30000)+$X$22/100*MAX($D15-30000,0))*((1+$X$33)*(1+$X$24)+$X$28)+$X$23,2)</f>
        <v>321.32</v>
      </c>
      <c r="Q15" s="1797"/>
      <c r="R15" s="1797">
        <f t="shared" si="0"/>
        <v>3.6200000000000045</v>
      </c>
      <c r="T15" s="1723">
        <f t="shared" si="1"/>
        <v>1.1394397230091391E-2</v>
      </c>
      <c r="V15" s="1736" t="s">
        <v>1683</v>
      </c>
      <c r="W15" s="1795">
        <v>0.97</v>
      </c>
      <c r="X15" s="1802">
        <f>W15</f>
        <v>0.97</v>
      </c>
      <c r="Y15" s="1795"/>
    </row>
    <row r="16" spans="1:25">
      <c r="A16" s="1823">
        <f>A15</f>
        <v>20</v>
      </c>
      <c r="B16" s="1821"/>
      <c r="C16" s="1822">
        <v>500</v>
      </c>
      <c r="D16" s="1822">
        <f>ROUND((A16*C16),0)</f>
        <v>10000</v>
      </c>
      <c r="F16" s="1797">
        <f t="shared" si="6"/>
        <v>899.55</v>
      </c>
      <c r="G16" s="1797"/>
      <c r="H16" s="1797">
        <f t="shared" si="7"/>
        <v>907.82</v>
      </c>
      <c r="I16" s="1797"/>
      <c r="J16" s="1797">
        <f>IF(H16="","",H16-F16)</f>
        <v>8.2700000000000955</v>
      </c>
      <c r="L16" s="1723">
        <f>IF(J16="","",H16/F16-1)</f>
        <v>9.1934856317048563E-3</v>
      </c>
      <c r="N16" s="1797">
        <f t="shared" si="8"/>
        <v>519.51</v>
      </c>
      <c r="O16" s="1797"/>
      <c r="P16" s="1797">
        <f t="shared" si="9"/>
        <v>525.55999999999995</v>
      </c>
      <c r="Q16" s="1797"/>
      <c r="R16" s="1797">
        <f t="shared" si="0"/>
        <v>6.0499999999999545</v>
      </c>
      <c r="T16" s="1723">
        <f t="shared" si="1"/>
        <v>1.1645589112817767E-2</v>
      </c>
      <c r="V16" s="1736" t="s">
        <v>1718</v>
      </c>
      <c r="W16" s="1803">
        <f>W29+W30</f>
        <v>4.0400000000000005E-2</v>
      </c>
      <c r="X16" s="1804">
        <f>W16</f>
        <v>4.0400000000000005E-2</v>
      </c>
      <c r="Y16" s="1803"/>
    </row>
    <row r="17" spans="1:25" ht="13.5">
      <c r="A17" s="1823">
        <f>A15</f>
        <v>20</v>
      </c>
      <c r="B17" s="1821"/>
      <c r="C17" s="1822">
        <v>700</v>
      </c>
      <c r="D17" s="1822">
        <f>ROUND((A17*C17),0)</f>
        <v>14000</v>
      </c>
      <c r="F17" s="1797">
        <f t="shared" si="6"/>
        <v>1194.18</v>
      </c>
      <c r="G17" s="1797"/>
      <c r="H17" s="1797">
        <f t="shared" si="7"/>
        <v>1205.21</v>
      </c>
      <c r="I17" s="1797"/>
      <c r="J17" s="1797">
        <f>IF(H17="","",H17-F17)</f>
        <v>11.029999999999973</v>
      </c>
      <c r="L17" s="1723">
        <f>IF(J17="","",H17/F17-1)</f>
        <v>9.236463514713078E-3</v>
      </c>
      <c r="N17" s="1797">
        <f t="shared" si="8"/>
        <v>721.33</v>
      </c>
      <c r="O17" s="1797"/>
      <c r="P17" s="1797">
        <f t="shared" si="9"/>
        <v>729.79</v>
      </c>
      <c r="Q17" s="1797"/>
      <c r="R17" s="1797">
        <f t="shared" si="0"/>
        <v>8.4599999999999227</v>
      </c>
      <c r="T17" s="1723">
        <f t="shared" si="1"/>
        <v>1.1728335158665226E-2</v>
      </c>
      <c r="V17" s="1792" t="s">
        <v>1709</v>
      </c>
      <c r="W17" s="1702"/>
      <c r="X17" s="1732"/>
      <c r="Y17" s="1702"/>
    </row>
    <row r="18" spans="1:25">
      <c r="F18" s="1797"/>
      <c r="G18" s="1797"/>
      <c r="H18" s="1797"/>
      <c r="I18" s="1797"/>
      <c r="J18" s="1797"/>
      <c r="L18" s="1723"/>
      <c r="N18" s="1797"/>
      <c r="O18" s="1797"/>
      <c r="P18" s="1797"/>
      <c r="Q18" s="1797"/>
      <c r="R18" s="1797" t="str">
        <f t="shared" si="0"/>
        <v/>
      </c>
      <c r="T18" s="1723" t="str">
        <f t="shared" si="1"/>
        <v/>
      </c>
      <c r="V18" s="1736" t="s">
        <v>1678</v>
      </c>
      <c r="W18" s="1773">
        <f>W10</f>
        <v>14</v>
      </c>
      <c r="X18" s="1805">
        <f>X10</f>
        <v>14</v>
      </c>
      <c r="Y18" s="1773"/>
    </row>
    <row r="19" spans="1:25">
      <c r="A19" s="1821">
        <v>50</v>
      </c>
      <c r="B19" s="1821"/>
      <c r="C19" s="1822">
        <v>300</v>
      </c>
      <c r="D19" s="1822">
        <f>ROUND((A19*C19),0)</f>
        <v>15000</v>
      </c>
      <c r="F19" s="1797">
        <f t="shared" ref="F19:F21" si="10">ROUND($W$10+($W$11*$A19+$W$13/100*MIN($D19,30000)+$W$14/100*MAX($D19-30000,0))*((1+$W$33)*(1+$W$16)+$W$28)+$W$15,2)</f>
        <v>1489.82</v>
      </c>
      <c r="G19" s="1797"/>
      <c r="H19" s="1797">
        <f t="shared" ref="H19:H21" si="11">ROUND($X$10+($X$11*$A19+$X$13/100*MIN($D19,30000)+$X$14/100*MAX($D19-30000,0))*((1+$X$33)*(1+$X$16)+$X$28)+$X$15,2)</f>
        <v>1503.6</v>
      </c>
      <c r="I19" s="1797"/>
      <c r="J19" s="1797">
        <f>IF(H19="","",H19-F19)</f>
        <v>13.779999999999973</v>
      </c>
      <c r="L19" s="1723">
        <f>IF(J19="","",H19/F19-1)</f>
        <v>9.2494395296076615E-3</v>
      </c>
      <c r="N19" s="1797">
        <f t="shared" ref="N19:N21" si="12">ROUND($W$18+($W$19*$A19+$W$21/100*MIN($D19,30000)+$W$22/100*MAX($D19-30000,0))*((1+$W$33)*(1+$W$24)+$W$28)+$W$23,2)</f>
        <v>771.79</v>
      </c>
      <c r="O19" s="1797"/>
      <c r="P19" s="1797">
        <f t="shared" ref="P19:P21" si="13">ROUND($X$18+($X$19*$A19+$X$21/100*MIN($D19,30000)+$X$22/100*MAX($D19-30000,0))*((1+$X$33)*(1+$X$24)+$X$28)+$X$23,2)</f>
        <v>780.85</v>
      </c>
      <c r="Q19" s="1797"/>
      <c r="R19" s="1797">
        <f t="shared" si="0"/>
        <v>9.0600000000000591</v>
      </c>
      <c r="T19" s="1723">
        <f t="shared" si="1"/>
        <v>1.1738944531543671E-2</v>
      </c>
      <c r="V19" s="1736" t="s">
        <v>1679</v>
      </c>
      <c r="W19" s="1795">
        <v>0</v>
      </c>
      <c r="X19" s="1796">
        <v>0</v>
      </c>
      <c r="Y19" s="1795"/>
    </row>
    <row r="20" spans="1:25">
      <c r="A20" s="1823">
        <f>A19</f>
        <v>50</v>
      </c>
      <c r="B20" s="1821"/>
      <c r="C20" s="1822">
        <v>500</v>
      </c>
      <c r="D20" s="1822">
        <f>ROUND((A20*C20),0)</f>
        <v>25000</v>
      </c>
      <c r="F20" s="1797">
        <f t="shared" si="10"/>
        <v>2226.41</v>
      </c>
      <c r="G20" s="1797"/>
      <c r="H20" s="1797">
        <f t="shared" si="11"/>
        <v>2247.09</v>
      </c>
      <c r="I20" s="1797"/>
      <c r="J20" s="1797">
        <f>IF(H20="","",H20-F20)</f>
        <v>20.680000000000291</v>
      </c>
      <c r="L20" s="1723">
        <f>IF(J20="","",H20/F20-1)</f>
        <v>9.2884958296093334E-3</v>
      </c>
      <c r="N20" s="1797">
        <f t="shared" si="12"/>
        <v>1276.33</v>
      </c>
      <c r="O20" s="1797"/>
      <c r="P20" s="1797">
        <f t="shared" si="13"/>
        <v>1291.44</v>
      </c>
      <c r="Q20" s="1797"/>
      <c r="R20" s="1797">
        <f t="shared" si="0"/>
        <v>15.110000000000127</v>
      </c>
      <c r="T20" s="1723">
        <f t="shared" si="1"/>
        <v>1.1838631075035577E-2</v>
      </c>
      <c r="V20" s="1736" t="s">
        <v>1680</v>
      </c>
      <c r="W20" s="1795">
        <v>0</v>
      </c>
      <c r="X20" s="1796">
        <v>0</v>
      </c>
      <c r="Y20" s="1795"/>
    </row>
    <row r="21" spans="1:25">
      <c r="A21" s="1823">
        <f>A19</f>
        <v>50</v>
      </c>
      <c r="B21" s="1821"/>
      <c r="C21" s="1822">
        <v>700</v>
      </c>
      <c r="D21" s="1822">
        <f>ROUND((A21*C21),0)</f>
        <v>35000</v>
      </c>
      <c r="F21" s="1797">
        <f t="shared" si="10"/>
        <v>2866.93</v>
      </c>
      <c r="G21" s="1797"/>
      <c r="H21" s="1797">
        <f t="shared" si="11"/>
        <v>2893.6</v>
      </c>
      <c r="I21" s="1797"/>
      <c r="J21" s="1797">
        <f>IF(H21="","",H21-F21)</f>
        <v>26.670000000000073</v>
      </c>
      <c r="L21" s="1723">
        <f>IF(J21="","",H21/F21-1)</f>
        <v>9.3026338278228149E-3</v>
      </c>
      <c r="N21" s="1797">
        <f t="shared" si="12"/>
        <v>1780.88</v>
      </c>
      <c r="O21" s="1797"/>
      <c r="P21" s="1797">
        <f t="shared" si="13"/>
        <v>1802.02</v>
      </c>
      <c r="Q21" s="1797"/>
      <c r="R21" s="1797">
        <f t="shared" si="0"/>
        <v>21.139999999999873</v>
      </c>
      <c r="T21" s="1723">
        <f t="shared" si="1"/>
        <v>1.1870535914828562E-2</v>
      </c>
      <c r="V21" s="1736" t="s">
        <v>1707</v>
      </c>
      <c r="W21" s="1799">
        <v>4.9983000000000004</v>
      </c>
      <c r="X21" s="1800">
        <f>'Blocking-Step2'!Q1614</f>
        <v>4.9840878813130001</v>
      </c>
      <c r="Y21" s="1801"/>
    </row>
    <row r="22" spans="1:25">
      <c r="F22" s="1797"/>
      <c r="G22" s="1797"/>
      <c r="H22" s="1797"/>
      <c r="I22" s="1797"/>
      <c r="J22" s="1797"/>
      <c r="L22" s="1723"/>
      <c r="N22" s="1797"/>
      <c r="O22" s="1797"/>
      <c r="P22" s="1797"/>
      <c r="Q22" s="1797"/>
      <c r="R22" s="1797" t="str">
        <f t="shared" si="0"/>
        <v/>
      </c>
      <c r="T22" s="1723" t="str">
        <f t="shared" si="1"/>
        <v/>
      </c>
      <c r="V22" s="1736" t="s">
        <v>1708</v>
      </c>
      <c r="W22" s="1824">
        <f>W21</f>
        <v>4.9983000000000004</v>
      </c>
      <c r="X22" s="1825">
        <f>X21</f>
        <v>4.9840878813130001</v>
      </c>
      <c r="Y22" s="1826"/>
    </row>
    <row r="23" spans="1:25">
      <c r="A23" s="1821">
        <v>100</v>
      </c>
      <c r="B23" s="1821"/>
      <c r="C23" s="1822">
        <v>300</v>
      </c>
      <c r="D23" s="1822">
        <f>ROUND((A23*C23),0)</f>
        <v>30000</v>
      </c>
      <c r="F23" s="1797">
        <f t="shared" ref="F23:F25" si="14">ROUND($W$10+($W$11*$A23+$W$13/100*MIN($D23,30000)+$W$14/100*MAX($D23-30000,0))*((1+$W$33)*(1+$W$16)+$W$28)+$W$15,2)</f>
        <v>2964.66</v>
      </c>
      <c r="G23" s="1797"/>
      <c r="H23" s="1797">
        <f t="shared" ref="H23:H25" si="15">ROUND($X$10+($X$11*$A23+$X$13/100*MIN($D23,30000)+$X$14/100*MAX($D23-30000,0))*((1+$X$33)*(1+$X$16)+$X$28)+$X$15,2)</f>
        <v>2992.24</v>
      </c>
      <c r="I23" s="1797"/>
      <c r="J23" s="1797">
        <f>IF(H23="","",H23-F23)</f>
        <v>27.579999999999927</v>
      </c>
      <c r="L23" s="1723">
        <f>IF(J23="","",H23/F23-1)</f>
        <v>9.3029217515667728E-3</v>
      </c>
      <c r="N23" s="1797">
        <f t="shared" ref="N23:N25" si="16">ROUND($W$18+($W$19*$A23+$W$21/100*MIN($D23,30000)+$W$22/100*MAX($D23-30000,0))*((1+$W$33)*(1+$W$24)+$W$28)+$W$23,2)</f>
        <v>1528.6</v>
      </c>
      <c r="O23" s="1797"/>
      <c r="P23" s="1797">
        <f t="shared" ref="P23:P25" si="17">ROUND($X$18+($X$19*$A23+$X$21/100*MIN($D23,30000)+$X$22/100*MAX($D23-30000,0))*((1+$X$33)*(1+$X$24)+$X$28)+$X$23,2)</f>
        <v>1546.73</v>
      </c>
      <c r="Q23" s="1797"/>
      <c r="R23" s="1797">
        <f t="shared" si="0"/>
        <v>18.130000000000109</v>
      </c>
      <c r="T23" s="1723">
        <f t="shared" si="1"/>
        <v>1.1860525971477243E-2</v>
      </c>
      <c r="V23" s="1736" t="s">
        <v>1683</v>
      </c>
      <c r="W23" s="1773">
        <f>W15</f>
        <v>0.97</v>
      </c>
      <c r="X23" s="1805">
        <f>X15</f>
        <v>0.97</v>
      </c>
      <c r="Y23" s="1773"/>
    </row>
    <row r="24" spans="1:25">
      <c r="A24" s="1823">
        <f>A23</f>
        <v>100</v>
      </c>
      <c r="B24" s="1821"/>
      <c r="C24" s="1822">
        <v>500</v>
      </c>
      <c r="D24" s="1822">
        <f>ROUND((A24*C24),0)</f>
        <v>50000</v>
      </c>
      <c r="F24" s="1797">
        <f t="shared" si="14"/>
        <v>4053.56</v>
      </c>
      <c r="G24" s="1797"/>
      <c r="H24" s="1797">
        <f t="shared" si="15"/>
        <v>4091.32</v>
      </c>
      <c r="I24" s="1797"/>
      <c r="J24" s="1797">
        <f>IF(H24="","",H24-F24)</f>
        <v>37.760000000000218</v>
      </c>
      <c r="L24" s="1723">
        <f>IF(J24="","",H24/F24-1)</f>
        <v>9.3152685540611735E-3</v>
      </c>
      <c r="N24" s="1797">
        <f t="shared" si="16"/>
        <v>2537.69</v>
      </c>
      <c r="O24" s="1797"/>
      <c r="P24" s="1797">
        <f t="shared" si="17"/>
        <v>2567.9</v>
      </c>
      <c r="Q24" s="1797"/>
      <c r="R24" s="1797">
        <f t="shared" si="0"/>
        <v>30.210000000000036</v>
      </c>
      <c r="T24" s="1723">
        <f t="shared" si="1"/>
        <v>1.190452734573566E-2</v>
      </c>
      <c r="V24" s="1759" t="s">
        <v>1718</v>
      </c>
      <c r="W24" s="1768">
        <f>W16</f>
        <v>4.0400000000000005E-2</v>
      </c>
      <c r="X24" s="1769">
        <f>X16</f>
        <v>4.0400000000000005E-2</v>
      </c>
      <c r="Y24" s="1752"/>
    </row>
    <row r="25" spans="1:25">
      <c r="A25" s="1823">
        <f>A23</f>
        <v>100</v>
      </c>
      <c r="B25" s="1821"/>
      <c r="C25" s="1822">
        <v>700</v>
      </c>
      <c r="D25" s="1822">
        <f>ROUND((A25*C25),0)</f>
        <v>70000</v>
      </c>
      <c r="F25" s="1797">
        <f t="shared" si="14"/>
        <v>5142.45</v>
      </c>
      <c r="G25" s="1797"/>
      <c r="H25" s="1797">
        <f t="shared" si="15"/>
        <v>5190.3999999999996</v>
      </c>
      <c r="I25" s="1797"/>
      <c r="J25" s="1797">
        <f>IF(H25="","",H25-F25)</f>
        <v>47.949999999999818</v>
      </c>
      <c r="L25" s="1723">
        <f>IF(J25="","",H25/F25-1)</f>
        <v>9.3243492887631341E-3</v>
      </c>
      <c r="N25" s="1797">
        <f t="shared" si="16"/>
        <v>3546.78</v>
      </c>
      <c r="O25" s="1797"/>
      <c r="P25" s="1797">
        <f t="shared" si="17"/>
        <v>3589.07</v>
      </c>
      <c r="Q25" s="1797"/>
      <c r="R25" s="1797">
        <f t="shared" si="0"/>
        <v>42.289999999999964</v>
      </c>
      <c r="T25" s="1723">
        <f t="shared" si="1"/>
        <v>1.1923491166635714E-2</v>
      </c>
      <c r="Y25" s="1814"/>
    </row>
    <row r="26" spans="1:25">
      <c r="F26" s="1797"/>
      <c r="G26" s="1797"/>
      <c r="H26" s="1797"/>
      <c r="I26" s="1797"/>
      <c r="J26" s="1797"/>
      <c r="L26" s="1723"/>
      <c r="N26" s="1797"/>
      <c r="O26" s="1797"/>
      <c r="P26" s="1797"/>
      <c r="Q26" s="1797"/>
      <c r="R26" s="1797" t="str">
        <f t="shared" si="0"/>
        <v/>
      </c>
      <c r="T26" s="1723" t="str">
        <f t="shared" si="1"/>
        <v/>
      </c>
      <c r="X26" s="1808"/>
      <c r="Y26" s="1814"/>
    </row>
    <row r="27" spans="1:25">
      <c r="A27" s="1821">
        <v>200</v>
      </c>
      <c r="B27" s="1821"/>
      <c r="C27" s="1822">
        <v>300</v>
      </c>
      <c r="D27" s="1822">
        <f>ROUND((A27*C27),0)</f>
        <v>60000</v>
      </c>
      <c r="F27" s="1797">
        <f t="shared" ref="F27:F29" si="18">ROUND($W$10+($W$11*$A27+$W$13/100*MIN($D27,30000)+$W$14/100*MAX($D27-30000,0))*((1+$W$33)*(1+$W$16)+$W$28)+$W$15,2)</f>
        <v>5337.92</v>
      </c>
      <c r="G27" s="1797"/>
      <c r="H27" s="1797">
        <f t="shared" ref="H27:H29" si="19">ROUND($X$10+($X$11*$A27+$X$13/100*MIN($D27,30000)+$X$14/100*MAX($D27-30000,0))*((1+$X$33)*(1+$X$16)+$X$28)+$X$15,2)</f>
        <v>5387.67</v>
      </c>
      <c r="I27" s="1797"/>
      <c r="J27" s="1797">
        <f>IF(H27="","",H27-F27)</f>
        <v>49.75</v>
      </c>
      <c r="L27" s="1723">
        <f>IF(J27="","",H27/F27-1)</f>
        <v>9.3201097056532234E-3</v>
      </c>
      <c r="N27" s="1797">
        <f t="shared" ref="N27:N29" si="20">ROUND($W$18+($W$19*$A27+$W$21/100*MIN($D27,30000)+$W$22/100*MAX($D27-30000,0))*((1+$W$33)*(1+$W$24)+$W$28)+$W$23,2)</f>
        <v>3042.24</v>
      </c>
      <c r="O27" s="1797"/>
      <c r="P27" s="1797">
        <f t="shared" ref="P27:P29" si="21">ROUND($X$18+($X$19*$A27+$X$21/100*MIN($D27,30000)+$X$22/100*MAX($D27-30000,0))*((1+$X$33)*(1+$X$24)+$X$28)+$X$23,2)</f>
        <v>3078.49</v>
      </c>
      <c r="Q27" s="1797"/>
      <c r="R27" s="1797">
        <f t="shared" si="0"/>
        <v>36.25</v>
      </c>
      <c r="T27" s="1723">
        <f t="shared" si="1"/>
        <v>1.1915562217313491E-2</v>
      </c>
      <c r="V27" s="1704" t="s">
        <v>1684</v>
      </c>
      <c r="W27" s="1799">
        <v>0</v>
      </c>
      <c r="X27" s="1799">
        <v>0</v>
      </c>
      <c r="Y27" s="1814"/>
    </row>
    <row r="28" spans="1:25">
      <c r="A28" s="1823">
        <f>A27</f>
        <v>200</v>
      </c>
      <c r="B28" s="1821"/>
      <c r="C28" s="1822">
        <v>500</v>
      </c>
      <c r="D28" s="1822">
        <f>ROUND((A28*C28),0)</f>
        <v>100000</v>
      </c>
      <c r="F28" s="1797">
        <f t="shared" si="18"/>
        <v>7515.71</v>
      </c>
      <c r="G28" s="1797"/>
      <c r="H28" s="1797">
        <f t="shared" si="19"/>
        <v>7585.84</v>
      </c>
      <c r="I28" s="1797"/>
      <c r="J28" s="1797">
        <f>IF(H28="","",H28-F28)</f>
        <v>70.130000000000109</v>
      </c>
      <c r="L28" s="1723">
        <f>IF(J28="","",H28/F28-1)</f>
        <v>9.3311210783810772E-3</v>
      </c>
      <c r="N28" s="1797">
        <f t="shared" si="20"/>
        <v>5060.42</v>
      </c>
      <c r="O28" s="1797"/>
      <c r="P28" s="1797">
        <f t="shared" si="21"/>
        <v>5120.83</v>
      </c>
      <c r="Q28" s="1797"/>
      <c r="R28" s="1797">
        <f t="shared" si="0"/>
        <v>60.409999999999854</v>
      </c>
      <c r="T28" s="1723">
        <f t="shared" si="1"/>
        <v>1.1937744297904063E-2</v>
      </c>
      <c r="V28" s="1702" t="s">
        <v>1720</v>
      </c>
      <c r="W28" s="1765">
        <v>-4.2099999999999999E-2</v>
      </c>
      <c r="X28" s="1808">
        <f>'Blocking-Step2'!Q1617</f>
        <v>-2.7099999999999999E-2</v>
      </c>
      <c r="Y28" s="1808"/>
    </row>
    <row r="29" spans="1:25">
      <c r="A29" s="1823">
        <f>A27</f>
        <v>200</v>
      </c>
      <c r="B29" s="1821"/>
      <c r="C29" s="1822">
        <v>700</v>
      </c>
      <c r="D29" s="1822">
        <f>ROUND((A29*C29),0)</f>
        <v>140000</v>
      </c>
      <c r="F29" s="1797">
        <f t="shared" si="18"/>
        <v>9693.5</v>
      </c>
      <c r="G29" s="1797"/>
      <c r="H29" s="1797">
        <f t="shared" si="19"/>
        <v>9784.01</v>
      </c>
      <c r="I29" s="1797"/>
      <c r="J29" s="1797">
        <f>IF(H29="","",H29-F29)</f>
        <v>90.510000000000218</v>
      </c>
      <c r="L29" s="1723">
        <f>IF(J29="","",H29/F29-1)</f>
        <v>9.3371847114045448E-3</v>
      </c>
      <c r="N29" s="1797">
        <f t="shared" si="20"/>
        <v>7078.59</v>
      </c>
      <c r="O29" s="1797"/>
      <c r="P29" s="1797">
        <f t="shared" si="21"/>
        <v>7163.17</v>
      </c>
      <c r="Q29" s="1797"/>
      <c r="R29" s="1797">
        <f t="shared" si="0"/>
        <v>84.579999999999927</v>
      </c>
      <c r="T29" s="1723">
        <f t="shared" si="1"/>
        <v>1.1948707299052508E-2</v>
      </c>
      <c r="V29" s="1702" t="s">
        <v>1721</v>
      </c>
      <c r="W29" s="1765">
        <v>4.0000000000000001E-3</v>
      </c>
      <c r="X29" s="1808">
        <f>W29</f>
        <v>4.0000000000000001E-3</v>
      </c>
    </row>
    <row r="30" spans="1:25">
      <c r="F30" s="1797"/>
      <c r="G30" s="1797"/>
      <c r="H30" s="1797"/>
      <c r="I30" s="1797"/>
      <c r="J30" s="1797"/>
      <c r="L30" s="1723"/>
      <c r="N30" s="1797"/>
      <c r="O30" s="1797"/>
      <c r="P30" s="1797"/>
      <c r="Q30" s="1797"/>
      <c r="R30" s="1797" t="str">
        <f t="shared" si="0"/>
        <v/>
      </c>
      <c r="T30" s="1723" t="str">
        <f t="shared" si="1"/>
        <v/>
      </c>
      <c r="V30" s="1702" t="s">
        <v>1722</v>
      </c>
      <c r="W30" s="1803">
        <v>3.6400000000000002E-2</v>
      </c>
      <c r="X30" s="1808">
        <f>W30</f>
        <v>3.6400000000000002E-2</v>
      </c>
    </row>
    <row r="31" spans="1:25">
      <c r="A31" s="1821">
        <v>300</v>
      </c>
      <c r="B31" s="1821"/>
      <c r="C31" s="1822">
        <v>300</v>
      </c>
      <c r="D31" s="1822">
        <f>ROUND((A31*C31),0)</f>
        <v>90000</v>
      </c>
      <c r="F31" s="1797">
        <f t="shared" ref="F31:F33" si="22">ROUND($W$10+($W$11*$A31+$W$13/100*MIN($D31,30000)+$W$14/100*MAX($D31-30000,0))*((1+$W$33)*(1+$W$16)+$W$28)+$W$15,2)</f>
        <v>7711.17</v>
      </c>
      <c r="G31" s="1797"/>
      <c r="H31" s="1797">
        <f t="shared" ref="H31:H33" si="23">ROUND($X$10+($X$11*$A31+$X$13/100*MIN($D31,30000)+$X$14/100*MAX($D31-30000,0))*((1+$X$33)*(1+$X$16)+$X$28)+$X$15,2)</f>
        <v>7783.11</v>
      </c>
      <c r="I31" s="1797"/>
      <c r="J31" s="1797">
        <f>IF(H31="","",H31-F31)</f>
        <v>71.9399999999996</v>
      </c>
      <c r="L31" s="1723">
        <f>IF(J31="","",H31/F31-1)</f>
        <v>9.3293235656846107E-3</v>
      </c>
      <c r="N31" s="1797">
        <f t="shared" ref="N31:N33" si="24">ROUND($W$18+($W$19*$A31+$W$21/100*MIN($D31,30000)+$W$22/100*MAX($D31-30000,0))*((1+$W$33)*(1+$W$24)+$W$28)+$W$23,2)</f>
        <v>4555.87</v>
      </c>
      <c r="O31" s="1797"/>
      <c r="P31" s="1797">
        <f t="shared" ref="P31:P33" si="25">ROUND($X$18+($X$19*$A31+$X$21/100*MIN($D31,30000)+$X$22/100*MAX($D31-30000,0))*((1+$X$33)*(1+$X$24)+$X$28)+$X$23,2)</f>
        <v>4610.24</v>
      </c>
      <c r="Q31" s="1797"/>
      <c r="R31" s="1797">
        <f t="shared" si="0"/>
        <v>54.369999999999891</v>
      </c>
      <c r="T31" s="1723">
        <f t="shared" si="1"/>
        <v>1.1934054307958686E-2</v>
      </c>
      <c r="V31" s="1704" t="s">
        <v>1685</v>
      </c>
      <c r="W31" s="1765">
        <v>1.0200000000000001E-2</v>
      </c>
      <c r="X31" s="1808">
        <f>W31</f>
        <v>1.0200000000000001E-2</v>
      </c>
    </row>
    <row r="32" spans="1:25">
      <c r="A32" s="1823">
        <f>A31</f>
        <v>300</v>
      </c>
      <c r="B32" s="1821"/>
      <c r="C32" s="1822">
        <v>500</v>
      </c>
      <c r="D32" s="1822">
        <f>ROUND((A32*C32),0)</f>
        <v>150000</v>
      </c>
      <c r="F32" s="1797">
        <f t="shared" si="22"/>
        <v>10977.86</v>
      </c>
      <c r="G32" s="1797"/>
      <c r="H32" s="1797">
        <f t="shared" si="23"/>
        <v>11080.36</v>
      </c>
      <c r="I32" s="1797"/>
      <c r="J32" s="1797">
        <f>IF(H32="","",H32-F32)</f>
        <v>102.5</v>
      </c>
      <c r="L32" s="1723">
        <f>IF(J32="","",H32/F32-1)</f>
        <v>9.3369746016072064E-3</v>
      </c>
      <c r="N32" s="1797">
        <f t="shared" si="24"/>
        <v>7583.14</v>
      </c>
      <c r="O32" s="1797"/>
      <c r="P32" s="1797">
        <f t="shared" si="25"/>
        <v>7673.76</v>
      </c>
      <c r="Q32" s="1797"/>
      <c r="R32" s="1797">
        <f t="shared" si="0"/>
        <v>90.619999999999891</v>
      </c>
      <c r="T32" s="1723">
        <f t="shared" si="1"/>
        <v>1.1950194774196454E-2</v>
      </c>
      <c r="V32" s="1704" t="s">
        <v>1686</v>
      </c>
      <c r="W32" s="1765">
        <v>5.0000000000000001E-4</v>
      </c>
      <c r="X32" s="1808">
        <f>W32</f>
        <v>5.0000000000000001E-4</v>
      </c>
    </row>
    <row r="33" spans="1:24">
      <c r="A33" s="1823">
        <f>A31</f>
        <v>300</v>
      </c>
      <c r="B33" s="1821"/>
      <c r="C33" s="1822">
        <v>700</v>
      </c>
      <c r="D33" s="1822">
        <f>ROUND((A33*C33),0)</f>
        <v>210000</v>
      </c>
      <c r="F33" s="1797">
        <f t="shared" si="22"/>
        <v>14244.54</v>
      </c>
      <c r="G33" s="1797"/>
      <c r="H33" s="1797">
        <f t="shared" si="23"/>
        <v>14377.61</v>
      </c>
      <c r="I33" s="1797"/>
      <c r="J33" s="1797">
        <f>IF(H33="","",H33-F33)</f>
        <v>133.06999999999971</v>
      </c>
      <c r="L33" s="1723">
        <f>IF(J33="","",H33/F33-1)</f>
        <v>9.3418250080381515E-3</v>
      </c>
      <c r="N33" s="1797">
        <f t="shared" si="24"/>
        <v>10610.41</v>
      </c>
      <c r="O33" s="1797"/>
      <c r="P33" s="1797">
        <f t="shared" si="25"/>
        <v>10737.28</v>
      </c>
      <c r="Q33" s="1797"/>
      <c r="R33" s="1797">
        <f t="shared" si="0"/>
        <v>126.8700000000008</v>
      </c>
      <c r="T33" s="1723">
        <f t="shared" si="1"/>
        <v>1.1957125125230839E-2</v>
      </c>
      <c r="V33" s="1702" t="s">
        <v>1687</v>
      </c>
      <c r="W33" s="1752">
        <f>SUM(W31:W32)</f>
        <v>1.0700000000000001E-2</v>
      </c>
      <c r="X33" s="1752">
        <f>SUM(X31:X32)</f>
        <v>1.0700000000000001E-2</v>
      </c>
    </row>
    <row r="34" spans="1:24">
      <c r="W34" s="1827"/>
      <c r="X34" s="1827"/>
    </row>
    <row r="35" spans="1:24" ht="15.75">
      <c r="A35" s="1770" t="s">
        <v>2254</v>
      </c>
      <c r="W35" s="1827"/>
      <c r="X35" s="1827"/>
    </row>
    <row r="36" spans="1:24" ht="15.75">
      <c r="A36" s="1770"/>
    </row>
  </sheetData>
  <printOptions horizontalCentered="1"/>
  <pageMargins left="0.75" right="0.75" top="1" bottom="1" header="0.5" footer="0.5"/>
  <pageSetup scale="9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49"/>
  <sheetViews>
    <sheetView view="pageBreakPreview" zoomScaleNormal="100" zoomScaleSheetLayoutView="100" workbookViewId="0">
      <selection activeCell="W11" sqref="W11"/>
    </sheetView>
  </sheetViews>
  <sheetFormatPr defaultColWidth="8" defaultRowHeight="12.75"/>
  <cols>
    <col min="1" max="1" width="8" style="1707" customWidth="1"/>
    <col min="2" max="2" width="1.125" style="1707" customWidth="1"/>
    <col min="3" max="3" width="6.75" style="1707" bestFit="1" customWidth="1"/>
    <col min="4" max="4" width="0.75" style="1704" customWidth="1"/>
    <col min="5" max="5" width="8.75" style="1708" bestFit="1" customWidth="1"/>
    <col min="6" max="6" width="1" style="1704" customWidth="1"/>
    <col min="7" max="7" width="9" style="1708" bestFit="1" customWidth="1"/>
    <col min="8" max="8" width="1.25" style="1704" customWidth="1"/>
    <col min="9" max="9" width="7.625" style="1704" bestFit="1" customWidth="1"/>
    <col min="10" max="10" width="0.75" style="1704" customWidth="1"/>
    <col min="11" max="11" width="5.625" style="1704" bestFit="1" customWidth="1"/>
    <col min="12" max="12" width="1.75" style="1704" customWidth="1"/>
    <col min="13" max="13" width="8.75" style="1708" bestFit="1" customWidth="1"/>
    <col min="14" max="14" width="0.7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75" style="1704" customWidth="1"/>
    <col min="19" max="19" width="5.625" style="1704" bestFit="1" customWidth="1"/>
    <col min="20" max="20" width="2.5" style="1704" customWidth="1"/>
    <col min="21" max="21" width="16" style="1704" bestFit="1" customWidth="1"/>
    <col min="22" max="22" width="7.125" style="1704" bestFit="1" customWidth="1"/>
    <col min="23" max="23" width="11.125" style="1704" bestFit="1" customWidth="1"/>
    <col min="24" max="16384" width="8" style="1704"/>
  </cols>
  <sheetData>
    <row r="1" spans="1:25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5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5" ht="16.5">
      <c r="A3" s="1697" t="s">
        <v>1673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5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5">
      <c r="A5" s="1810"/>
      <c r="B5" s="1810"/>
      <c r="C5" s="1810"/>
      <c r="D5" s="1698"/>
      <c r="E5" s="1699"/>
      <c r="F5" s="1698"/>
      <c r="G5" s="1699"/>
      <c r="H5" s="1698"/>
      <c r="J5" s="1698"/>
      <c r="L5" s="1698"/>
      <c r="M5" s="1699"/>
      <c r="N5" s="1698"/>
      <c r="O5" s="1699"/>
      <c r="P5" s="1698"/>
      <c r="R5" s="1698"/>
    </row>
    <row r="6" spans="1:25" ht="17.25">
      <c r="A6" s="1787"/>
      <c r="B6" s="1701"/>
      <c r="C6" s="1702"/>
      <c r="D6" s="1702"/>
      <c r="E6" s="1774"/>
      <c r="F6" s="1788"/>
      <c r="G6" s="1774"/>
      <c r="H6" s="1788"/>
      <c r="I6" s="1788"/>
      <c r="J6" s="1788"/>
      <c r="K6" s="1788"/>
      <c r="L6" s="1702"/>
      <c r="M6" s="1774"/>
      <c r="N6" s="1788"/>
      <c r="O6" s="1774"/>
      <c r="P6" s="1788"/>
      <c r="Q6" s="1788"/>
      <c r="R6" s="1788"/>
      <c r="S6" s="1788"/>
    </row>
    <row r="7" spans="1:25">
      <c r="E7" s="1709"/>
      <c r="F7" s="1701"/>
      <c r="G7" s="1709"/>
      <c r="H7" s="1702"/>
      <c r="I7" s="2147"/>
      <c r="J7" s="2147"/>
      <c r="K7" s="2147"/>
      <c r="L7" s="1702"/>
      <c r="M7" s="1709"/>
      <c r="N7" s="1701"/>
      <c r="O7" s="1709"/>
      <c r="P7" s="1702"/>
      <c r="Q7" s="2147"/>
      <c r="R7" s="2147"/>
      <c r="S7" s="2147"/>
    </row>
    <row r="8" spans="1:25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</row>
    <row r="9" spans="1:25" ht="15.7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</row>
    <row r="10" spans="1:25">
      <c r="A10" s="1720" t="s">
        <v>1677</v>
      </c>
      <c r="B10" s="1793"/>
      <c r="C10" s="1794" t="s">
        <v>111</v>
      </c>
      <c r="E10" s="1717" t="s">
        <v>216</v>
      </c>
      <c r="G10" s="1718" t="s">
        <v>2334</v>
      </c>
      <c r="I10" s="1719" t="s">
        <v>1399</v>
      </c>
      <c r="K10" s="1720" t="s">
        <v>465</v>
      </c>
      <c r="M10" s="1717" t="s">
        <v>216</v>
      </c>
      <c r="O10" s="1718" t="s">
        <v>2334</v>
      </c>
      <c r="Q10" s="1719" t="s">
        <v>1399</v>
      </c>
      <c r="S10" s="1720" t="s">
        <v>465</v>
      </c>
    </row>
    <row r="11" spans="1:25" ht="18" customHeight="1">
      <c r="A11" s="1828">
        <v>15</v>
      </c>
      <c r="B11" s="1707" t="s">
        <v>2314</v>
      </c>
      <c r="C11" s="1707">
        <v>200</v>
      </c>
      <c r="E11" s="1708">
        <f>ROUND($V$13+(($A11-15)*$V$14+MIN(1500,$C11)*$V$16/100+MAX(0,$C11-1500)*$V$17/100)*((1+$V$36)*(1+$V$19)+$V$31)+$V$18,2)</f>
        <v>34.15</v>
      </c>
      <c r="G11" s="1708">
        <f>ROUND($W$13+(($A11-15)*$W$14+MIN(1500,$C11)*$W$16/100+MAX(0,$C11-1500)*$W$17/100)*((1+$W$36)*(1+$W$19)+$W$31)+$W$18,2)</f>
        <v>34.28</v>
      </c>
      <c r="I11" s="1715">
        <f t="shared" ref="I11:I14" si="0">IF(G11="","",G11-E11)</f>
        <v>0.13000000000000256</v>
      </c>
      <c r="K11" s="1723">
        <f t="shared" ref="K11:K14" si="1">IF(E11="","",G11/E11-1)</f>
        <v>3.8067349926793614E-3</v>
      </c>
      <c r="M11" s="1708">
        <f>ROUND($V$21+(($A11-15)*$V$22+MIN(1500,$C11)*$V$24/100+MAX(0,$C11-1500)*$V$25/100)*((1+$V$36)*(1+$V$27)+$V$31)+$V$26,2)</f>
        <v>32.25</v>
      </c>
      <c r="O11" s="1708">
        <f>ROUND($W$21+(($A11-15)*$W$22+MIN(1500,$C11)*$W$24/100+MAX(0,$C11-1500)*$W$25/100)*((1+$W$36)*(1+$W$27)+$W$31)+$W$26,2)</f>
        <v>31.52</v>
      </c>
      <c r="Q11" s="1715">
        <f t="shared" ref="Q11:Q18" si="2">IF(O11="","",O11-M11)</f>
        <v>-0.73000000000000043</v>
      </c>
      <c r="S11" s="1723">
        <f t="shared" ref="S11:S14" si="3">IF(M11="","",O11/M11-1)</f>
        <v>-2.263565891472874E-2</v>
      </c>
      <c r="U11" s="1789" t="s">
        <v>466</v>
      </c>
      <c r="V11" s="1790" t="s">
        <v>216</v>
      </c>
      <c r="W11" s="1726" t="s">
        <v>2334</v>
      </c>
      <c r="X11" s="1829"/>
    </row>
    <row r="12" spans="1:25" ht="13.5">
      <c r="A12" s="2021">
        <f>A11</f>
        <v>15</v>
      </c>
      <c r="C12" s="1707">
        <v>500</v>
      </c>
      <c r="E12" s="1708">
        <f t="shared" ref="E12:E14" si="4">ROUND($V$13+(($A12-15)*$V$14+MIN(1500,$C12)*$V$16/100+MAX(0,$C12-1500)*$V$17/100)*((1+$V$36)*(1+$V$19)+$V$31)+$V$18,2)</f>
        <v>69.989999999999995</v>
      </c>
      <c r="G12" s="1708">
        <f t="shared" ref="G12:G14" si="5">ROUND($W$13+(($A12-15)*$W$14+MIN(1500,$C12)*$W$16/100+MAX(0,$C12-1500)*$W$17/100)*((1+$W$36)*(1+$W$19)+$W$31)+$W$18,2)</f>
        <v>70.319999999999993</v>
      </c>
      <c r="I12" s="1715">
        <f t="shared" si="0"/>
        <v>0.32999999999999829</v>
      </c>
      <c r="K12" s="1723">
        <f t="shared" si="1"/>
        <v>4.7149592798971796E-3</v>
      </c>
      <c r="M12" s="1708">
        <f t="shared" ref="M12:M14" si="6">ROUND($V$21+(($A12-15)*$V$22+MIN(1500,$C12)*$V$24/100+MAX(0,$C12-1500)*$V$25/100)*((1+$V$36)*(1+$V$27)+$V$31)+$V$26,2)</f>
        <v>65.239999999999995</v>
      </c>
      <c r="O12" s="1708">
        <f t="shared" ref="O12:O14" si="7">ROUND($W$21+(($A12-15)*$W$22+MIN(1500,$C12)*$W$24/100+MAX(0,$C12-1500)*$W$25/100)*((1+$W$36)*(1+$W$27)+$W$31)+$W$26,2)</f>
        <v>63.41</v>
      </c>
      <c r="Q12" s="1715">
        <f t="shared" si="2"/>
        <v>-1.8299999999999983</v>
      </c>
      <c r="S12" s="1723">
        <f t="shared" si="3"/>
        <v>-2.8050275904353161E-2</v>
      </c>
      <c r="U12" s="1792" t="s">
        <v>79</v>
      </c>
      <c r="V12" s="1702"/>
      <c r="W12" s="1732"/>
    </row>
    <row r="13" spans="1:25">
      <c r="A13" s="2021">
        <f t="shared" ref="A13:A14" si="8">A12</f>
        <v>15</v>
      </c>
      <c r="C13" s="1707">
        <v>1000</v>
      </c>
      <c r="E13" s="1708">
        <f t="shared" si="4"/>
        <v>129.72</v>
      </c>
      <c r="G13" s="1708">
        <f t="shared" si="5"/>
        <v>130.38</v>
      </c>
      <c r="I13" s="1715">
        <f t="shared" si="0"/>
        <v>0.65999999999999659</v>
      </c>
      <c r="K13" s="1723">
        <f t="shared" si="1"/>
        <v>5.087881591119281E-3</v>
      </c>
      <c r="M13" s="1708">
        <f t="shared" si="6"/>
        <v>120.21</v>
      </c>
      <c r="O13" s="1708">
        <f t="shared" si="7"/>
        <v>116.56</v>
      </c>
      <c r="Q13" s="1715">
        <f t="shared" si="2"/>
        <v>-3.6499999999999915</v>
      </c>
      <c r="S13" s="1723">
        <f t="shared" si="3"/>
        <v>-3.0363530488312085E-2</v>
      </c>
      <c r="U13" s="1736" t="s">
        <v>1678</v>
      </c>
      <c r="V13" s="1795">
        <v>10</v>
      </c>
      <c r="W13" s="1796">
        <f>'Blocking-Step2'!Q1979</f>
        <v>10</v>
      </c>
      <c r="X13" s="1795"/>
      <c r="Y13" s="1827"/>
    </row>
    <row r="14" spans="1:25">
      <c r="A14" s="2021">
        <f t="shared" si="8"/>
        <v>15</v>
      </c>
      <c r="C14" s="1707">
        <v>2000</v>
      </c>
      <c r="E14" s="1708">
        <f t="shared" si="4"/>
        <v>222.93</v>
      </c>
      <c r="G14" s="1708">
        <f t="shared" si="5"/>
        <v>224.06</v>
      </c>
      <c r="I14" s="1715">
        <f t="shared" si="0"/>
        <v>1.1299999999999955</v>
      </c>
      <c r="K14" s="1723">
        <f t="shared" si="1"/>
        <v>5.0688556946125729E-3</v>
      </c>
      <c r="M14" s="1708">
        <f t="shared" si="6"/>
        <v>206.02</v>
      </c>
      <c r="O14" s="1708">
        <f t="shared" si="7"/>
        <v>199.47</v>
      </c>
      <c r="Q14" s="1715">
        <f t="shared" si="2"/>
        <v>-6.5500000000000114</v>
      </c>
      <c r="S14" s="1723">
        <f t="shared" si="3"/>
        <v>-3.179302980293186E-2</v>
      </c>
      <c r="U14" s="1736" t="s">
        <v>1679</v>
      </c>
      <c r="V14" s="1795">
        <v>8.65</v>
      </c>
      <c r="W14" s="1796">
        <f>'Blocking-Step2'!Q1980</f>
        <v>8.89</v>
      </c>
      <c r="X14" s="1795"/>
      <c r="Y14" s="1827"/>
    </row>
    <row r="15" spans="1:25">
      <c r="I15" s="1715"/>
      <c r="K15" s="1830"/>
      <c r="Q15" s="1715" t="str">
        <f t="shared" si="2"/>
        <v/>
      </c>
      <c r="S15" s="1830"/>
      <c r="U15" s="1736" t="s">
        <v>1680</v>
      </c>
      <c r="V15" s="1795">
        <v>-0.48</v>
      </c>
      <c r="W15" s="1796">
        <f>'Blocking-Step2'!Q1988</f>
        <v>-0.48</v>
      </c>
      <c r="X15" s="1795"/>
      <c r="Y15" s="1827"/>
    </row>
    <row r="16" spans="1:25">
      <c r="A16" s="1707">
        <v>20</v>
      </c>
      <c r="C16" s="1707">
        <v>5000</v>
      </c>
      <c r="E16" s="1708">
        <f t="shared" ref="E16:E18" si="9">ROUND($V$13+(($A16-15)*$V$14+MIN(1500,$C16)*$V$16/100+MAX(0,$C16-1500)*$V$17/100)*((1+$V$36)*(1+$V$19)+$V$31)+$V$18,2)</f>
        <v>467.87</v>
      </c>
      <c r="G16" s="1708">
        <f t="shared" ref="G16:G18" si="10">ROUND($W$13+(($A16-15)*$W$14+MIN(1500,$C16)*$W$16/100+MAX(0,$C16-1500)*$W$17/100)*((1+$W$36)*(1+$W$19)+$W$31)+$W$18,2)</f>
        <v>471.4</v>
      </c>
      <c r="I16" s="1715">
        <f>IF(G16="","",G16-E16)</f>
        <v>3.5299999999999727</v>
      </c>
      <c r="K16" s="1723">
        <f>IF(E16="","",G16/E16-1)</f>
        <v>7.544830829076421E-3</v>
      </c>
      <c r="M16" s="1708">
        <f t="shared" ref="M16:M18" si="11">ROUND($V$21+(($A16-15)*$V$22+MIN(1500,$C16)*$V$24/100+MAX(0,$C16-1500)*$V$25/100)*((1+$V$36)*(1+$V$27)+$V$31)+$V$26,2)</f>
        <v>435.29</v>
      </c>
      <c r="O16" s="1708">
        <f t="shared" ref="O16:O18" si="12">ROUND($W$21+(($A16-15)*$W$22+MIN(1500,$C16)*$W$24/100+MAX(0,$C16-1500)*$W$25/100)*((1+$W$36)*(1+$W$27)+$W$31)+$W$26,2)</f>
        <v>418.36</v>
      </c>
      <c r="Q16" s="1715">
        <f t="shared" si="2"/>
        <v>-16.930000000000007</v>
      </c>
      <c r="S16" s="1723">
        <f>IF(M16="","",O16/M16-1)</f>
        <v>-3.8893611155781271E-2</v>
      </c>
      <c r="U16" s="1736" t="s">
        <v>1681</v>
      </c>
      <c r="V16" s="1799">
        <v>11.733599999999999</v>
      </c>
      <c r="W16" s="1800">
        <f>'Blocking-Step2'!Q1982</f>
        <v>11.712546896636001</v>
      </c>
      <c r="X16" s="1801"/>
      <c r="Y16" s="1827"/>
    </row>
    <row r="17" spans="1:25">
      <c r="A17" s="1831">
        <f>A16</f>
        <v>20</v>
      </c>
      <c r="B17" s="1827"/>
      <c r="C17" s="1707">
        <v>7500</v>
      </c>
      <c r="E17" s="1708">
        <f t="shared" si="9"/>
        <v>635.29999999999995</v>
      </c>
      <c r="G17" s="1708">
        <f t="shared" si="10"/>
        <v>639.52</v>
      </c>
      <c r="I17" s="1715">
        <f>IF(G17="","",G17-E17)</f>
        <v>4.2200000000000273</v>
      </c>
      <c r="K17" s="1723">
        <f>IF(E17="","",G17/E17-1)</f>
        <v>6.6425310876752075E-3</v>
      </c>
      <c r="M17" s="1708">
        <f t="shared" si="11"/>
        <v>589.44000000000005</v>
      </c>
      <c r="O17" s="1708">
        <f t="shared" si="12"/>
        <v>567.14</v>
      </c>
      <c r="Q17" s="1715">
        <f t="shared" si="2"/>
        <v>-22.300000000000068</v>
      </c>
      <c r="S17" s="1723">
        <f>IF(M17="","",O17/M17-1)</f>
        <v>-3.7832519001085863E-2</v>
      </c>
      <c r="U17" s="1736" t="s">
        <v>1682</v>
      </c>
      <c r="V17" s="1799">
        <v>6.5782999999999996</v>
      </c>
      <c r="W17" s="1800">
        <f>'Blocking-Step2'!Q1983</f>
        <v>6.5572468966360011</v>
      </c>
      <c r="X17" s="1801"/>
      <c r="Y17" s="1827"/>
    </row>
    <row r="18" spans="1:25">
      <c r="A18" s="1831">
        <f>A17</f>
        <v>20</v>
      </c>
      <c r="B18" s="1827"/>
      <c r="C18" s="1707">
        <v>10000</v>
      </c>
      <c r="E18" s="1708">
        <f t="shared" si="9"/>
        <v>802.73</v>
      </c>
      <c r="G18" s="1708">
        <f t="shared" si="10"/>
        <v>807.64</v>
      </c>
      <c r="I18" s="1715">
        <f>IF(G18="","",G18-E18)</f>
        <v>4.9099999999999682</v>
      </c>
      <c r="K18" s="1723">
        <f>IF(E18="","",G18/E18-1)</f>
        <v>6.1166270103272247E-3</v>
      </c>
      <c r="M18" s="1708">
        <f t="shared" si="11"/>
        <v>743.59</v>
      </c>
      <c r="O18" s="1708">
        <f t="shared" si="12"/>
        <v>715.92</v>
      </c>
      <c r="Q18" s="1715">
        <f t="shared" si="2"/>
        <v>-27.670000000000073</v>
      </c>
      <c r="S18" s="1723">
        <f>IF(M18="","",O18/M18-1)</f>
        <v>-3.721136647883927E-2</v>
      </c>
      <c r="U18" s="1736" t="s">
        <v>1683</v>
      </c>
      <c r="V18" s="1795">
        <v>0.26</v>
      </c>
      <c r="W18" s="1802">
        <f>V18</f>
        <v>0.26</v>
      </c>
      <c r="X18" s="1795"/>
      <c r="Y18" s="1827"/>
    </row>
    <row r="19" spans="1:25">
      <c r="A19" s="1827"/>
      <c r="B19" s="1827"/>
      <c r="C19" s="1827"/>
      <c r="I19" s="1715"/>
      <c r="K19" s="1723"/>
      <c r="Q19" s="1715"/>
      <c r="S19" s="1753"/>
      <c r="U19" s="1736" t="s">
        <v>1718</v>
      </c>
      <c r="V19" s="1803">
        <f>V33+V32</f>
        <v>4.2200000000000001E-2</v>
      </c>
      <c r="W19" s="1752">
        <f>V19</f>
        <v>4.2200000000000001E-2</v>
      </c>
      <c r="X19" s="1803"/>
      <c r="Y19" s="1827"/>
    </row>
    <row r="20" spans="1:25" ht="13.5">
      <c r="A20" s="1707">
        <v>25</v>
      </c>
      <c r="C20" s="1707">
        <v>7500</v>
      </c>
      <c r="D20" s="1832"/>
      <c r="E20" s="1708">
        <f t="shared" ref="E20:E22" si="13">ROUND($V$13+(($A20-15)*$V$14+MIN(1500,$C20)*$V$16/100+MAX(0,$C20-1500)*$V$17/100)*((1+$V$36)*(1+$V$19)+$V$31)+$V$18,2)</f>
        <v>679.33</v>
      </c>
      <c r="G20" s="1708">
        <f t="shared" ref="G20:G22" si="14">ROUND($W$13+(($A20-15)*$W$14+MIN(1500,$C20)*$W$16/100+MAX(0,$C20-1500)*$W$17/100)*((1+$W$36)*(1+$W$19)+$W$31)+$W$18,2)</f>
        <v>685.1</v>
      </c>
      <c r="I20" s="1715">
        <f>IF(G20="","",G20-E20)</f>
        <v>5.7699999999999818</v>
      </c>
      <c r="K20" s="1723">
        <f>IF(E20="","",G20/E20-1)</f>
        <v>8.4936628737137809E-3</v>
      </c>
      <c r="L20" s="1832">
        <f>C20/A20/730</f>
        <v>0.41095890410958902</v>
      </c>
      <c r="M20" s="1708">
        <f t="shared" ref="M20:M22" si="15">ROUND($V$21+(($A20-15)*$V$22+MIN(1500,$C20)*$V$24/100+MAX(0,$C20-1500)*$V$25/100)*((1+$V$36)*(1+$V$27)+$V$31)+$V$26,2)</f>
        <v>633.72</v>
      </c>
      <c r="O20" s="1708">
        <f t="shared" ref="O20:O22" si="16">ROUND($W$21+(($A20-15)*$W$22+MIN(1500,$C20)*$W$24/100+MAX(0,$C20-1500)*$W$25/100)*((1+$W$36)*(1+$W$27)+$W$31)+$W$26,2)</f>
        <v>607.5</v>
      </c>
      <c r="Q20" s="1715">
        <f>IF(O20="","",O20-M20)</f>
        <v>-26.220000000000027</v>
      </c>
      <c r="S20" s="1723">
        <f>IF(M20="","",O20/M20-1)</f>
        <v>-4.1374739632645374E-2</v>
      </c>
      <c r="U20" s="1792" t="s">
        <v>80</v>
      </c>
      <c r="V20" s="1702"/>
      <c r="W20" s="1732"/>
    </row>
    <row r="21" spans="1:25">
      <c r="A21" s="1831">
        <f>A20</f>
        <v>25</v>
      </c>
      <c r="C21" s="1707">
        <v>10000</v>
      </c>
      <c r="D21" s="1832"/>
      <c r="E21" s="1708">
        <f t="shared" si="13"/>
        <v>846.76</v>
      </c>
      <c r="G21" s="1708">
        <f t="shared" si="14"/>
        <v>853.23</v>
      </c>
      <c r="I21" s="1715">
        <f>IF(G21="","",G21-E21)</f>
        <v>6.4700000000000273</v>
      </c>
      <c r="K21" s="1723">
        <f>IF(E21="","",G21/E21-1)</f>
        <v>7.6408899806321706E-3</v>
      </c>
      <c r="L21" s="1832">
        <f>C21/A20/730</f>
        <v>0.54794520547945202</v>
      </c>
      <c r="M21" s="1708">
        <f t="shared" si="15"/>
        <v>787.88</v>
      </c>
      <c r="O21" s="1708">
        <f t="shared" si="16"/>
        <v>756.28</v>
      </c>
      <c r="Q21" s="1715">
        <f>IF(O21="","",O21-M21)</f>
        <v>-31.600000000000023</v>
      </c>
      <c r="S21" s="1723">
        <f>IF(M21="","",O21/M21-1)</f>
        <v>-4.0107630603645306E-2</v>
      </c>
      <c r="U21" s="1736" t="s">
        <v>1678</v>
      </c>
      <c r="V21" s="1773">
        <f>V13</f>
        <v>10</v>
      </c>
      <c r="W21" s="1805">
        <f>W13</f>
        <v>10</v>
      </c>
      <c r="X21" s="1795"/>
    </row>
    <row r="22" spans="1:25">
      <c r="A22" s="1831">
        <f>A21</f>
        <v>25</v>
      </c>
      <c r="C22" s="1707">
        <v>12500</v>
      </c>
      <c r="D22" s="1832"/>
      <c r="E22" s="1708">
        <f t="shared" si="13"/>
        <v>1014.19</v>
      </c>
      <c r="G22" s="1708">
        <f t="shared" si="14"/>
        <v>1021.35</v>
      </c>
      <c r="I22" s="1715">
        <f>IF(G22="","",G22-E22)</f>
        <v>7.1599999999999682</v>
      </c>
      <c r="K22" s="1723">
        <f>IF(E22="","",G22/E22-1)</f>
        <v>7.0598211380510367E-3</v>
      </c>
      <c r="L22" s="1832">
        <f>C22/A20/730</f>
        <v>0.68493150684931503</v>
      </c>
      <c r="M22" s="1708">
        <f t="shared" si="15"/>
        <v>942.03</v>
      </c>
      <c r="O22" s="1708">
        <f t="shared" si="16"/>
        <v>905.06</v>
      </c>
      <c r="Q22" s="1715">
        <f>IF(O22="","",O22-M22)</f>
        <v>-36.970000000000027</v>
      </c>
      <c r="S22" s="1723">
        <f>IF(M22="","",O22/M22-1)</f>
        <v>-3.924503465919349E-2</v>
      </c>
      <c r="U22" s="1736" t="s">
        <v>1679</v>
      </c>
      <c r="V22" s="1795">
        <v>8.6999999999999993</v>
      </c>
      <c r="W22" s="1796">
        <f>'Blocking-Step2'!Q1981</f>
        <v>7.87</v>
      </c>
      <c r="X22" s="1795"/>
    </row>
    <row r="23" spans="1:25">
      <c r="D23" s="1832"/>
      <c r="I23" s="1715"/>
      <c r="K23" s="1723"/>
      <c r="L23" s="1832"/>
      <c r="Q23" s="1715"/>
      <c r="S23" s="1723"/>
      <c r="U23" s="1736" t="s">
        <v>1680</v>
      </c>
      <c r="V23" s="1773">
        <f>V15</f>
        <v>-0.48</v>
      </c>
      <c r="W23" s="1805">
        <f>W15</f>
        <v>-0.48</v>
      </c>
      <c r="X23" s="1795"/>
    </row>
    <row r="24" spans="1:25">
      <c r="A24" s="1707">
        <v>30</v>
      </c>
      <c r="C24" s="1707">
        <v>10000</v>
      </c>
      <c r="D24" s="1832"/>
      <c r="E24" s="1708">
        <f t="shared" ref="E24:E25" si="17">ROUND($V$13+(($A24-15)*$V$14+MIN(1500,$C24)*$V$16/100+MAX(0,$C24-1500)*$V$17/100)*((1+$V$36)*(1+$V$19)+$V$31)+$V$18,2)</f>
        <v>890.79</v>
      </c>
      <c r="G24" s="1708">
        <f t="shared" ref="G24:G26" si="18">ROUND($W$13+(($A24-15)*$W$14+MIN(1500,$C24)*$W$16/100+MAX(0,$C24-1500)*$W$17/100)*((1+$W$36)*(1+$W$19)+$W$31)+$W$18,2)</f>
        <v>898.81</v>
      </c>
      <c r="I24" s="1715">
        <f>IF(G24="","",G24-E24)</f>
        <v>8.0199999999999818</v>
      </c>
      <c r="K24" s="1723">
        <f>IF(E24="","",G24/E24-1)</f>
        <v>9.0032443112293414E-3</v>
      </c>
      <c r="L24" s="1832">
        <f>C24/A24/730</f>
        <v>0.45662100456621002</v>
      </c>
      <c r="M24" s="1708">
        <f t="shared" ref="M24:M26" si="19">ROUND($V$21+(($A24-15)*$V$22+MIN(1500,$C24)*$V$24/100+MAX(0,$C24-1500)*$V$25/100)*((1+$V$36)*(1+$V$27)+$V$31)+$V$26,2)</f>
        <v>832.16</v>
      </c>
      <c r="O24" s="1708">
        <f t="shared" ref="O24:O25" si="20">ROUND($W$21+(($A24-15)*$W$22+MIN(1500,$C24)*$W$24/100+MAX(0,$C24-1500)*$W$25/100)*((1+$W$36)*(1+$W$27)+$W$31)+$W$26,2)</f>
        <v>796.63</v>
      </c>
      <c r="Q24" s="1715">
        <f>IF(O24="","",O24-M24)</f>
        <v>-35.529999999999973</v>
      </c>
      <c r="S24" s="1723">
        <f>IF(M24="","",O24/M24-1)</f>
        <v>-4.269611613151314E-2</v>
      </c>
      <c r="U24" s="1736" t="s">
        <v>1681</v>
      </c>
      <c r="V24" s="1799">
        <v>10.8</v>
      </c>
      <c r="W24" s="1800">
        <f>'Blocking-Step2'!Q1984</f>
        <v>10.3651</v>
      </c>
      <c r="X24" s="1801"/>
    </row>
    <row r="25" spans="1:25">
      <c r="A25" s="1831">
        <f>A24</f>
        <v>30</v>
      </c>
      <c r="B25" s="1827"/>
      <c r="C25" s="1707">
        <v>12500</v>
      </c>
      <c r="D25" s="1832"/>
      <c r="E25" s="1708">
        <f t="shared" si="17"/>
        <v>1058.22</v>
      </c>
      <c r="G25" s="1708">
        <f t="shared" si="18"/>
        <v>1066.93</v>
      </c>
      <c r="I25" s="1715">
        <f>IF(G25="","",G25-E25)</f>
        <v>8.7100000000000364</v>
      </c>
      <c r="K25" s="1723">
        <f>IF(E25="","",G25/E25-1)</f>
        <v>8.2308026686321867E-3</v>
      </c>
      <c r="L25" s="1832">
        <f>C25/A24/730</f>
        <v>0.57077625570776258</v>
      </c>
      <c r="M25" s="1708">
        <f t="shared" si="19"/>
        <v>986.31</v>
      </c>
      <c r="O25" s="1708">
        <f t="shared" si="20"/>
        <v>945.41</v>
      </c>
      <c r="Q25" s="1715">
        <f>IF(O25="","",O25-M25)</f>
        <v>-40.899999999999977</v>
      </c>
      <c r="S25" s="1723">
        <f>IF(M25="","",O25/M25-1)</f>
        <v>-4.1467692713244242E-2</v>
      </c>
      <c r="U25" s="1736" t="s">
        <v>1682</v>
      </c>
      <c r="V25" s="1799">
        <v>6.0567000000000002</v>
      </c>
      <c r="W25" s="1800">
        <f>'Blocking-Step2'!Q1985</f>
        <v>5.8029000000000002</v>
      </c>
      <c r="X25" s="1801"/>
    </row>
    <row r="26" spans="1:25">
      <c r="A26" s="1831">
        <f>A25</f>
        <v>30</v>
      </c>
      <c r="B26" s="1827"/>
      <c r="C26" s="1707">
        <v>15000</v>
      </c>
      <c r="D26" s="1832"/>
      <c r="E26" s="1708">
        <f>ROUND($V$13+(($A26-15)*$V$14+MIN(1500,$C26)*$V$16/100+MAX(0,$C26-1500)*$V$17/100)*((1+$V$36)*(1+$V$19)+$V$31)+$V$18,2)</f>
        <v>1225.6500000000001</v>
      </c>
      <c r="G26" s="1708">
        <f t="shared" si="18"/>
        <v>1235.06</v>
      </c>
      <c r="I26" s="1715">
        <f>IF(G26="","",G26-E26)</f>
        <v>9.4099999999998545</v>
      </c>
      <c r="K26" s="1723">
        <f>IF(E26="","",G26/E26-1)</f>
        <v>7.6775588463262601E-3</v>
      </c>
      <c r="L26" s="1832">
        <f>C26/A24/730</f>
        <v>0.68493150684931503</v>
      </c>
      <c r="M26" s="1708">
        <f t="shared" si="19"/>
        <v>1140.47</v>
      </c>
      <c r="O26" s="1708">
        <f>ROUND($W$21+(($A26-15)*$W$22+MIN(1500,$C26)*$W$24/100+MAX(0,$C26-1500)*$W$25/100)*((1+$W$36)*(1+$W$27)+$W$31)+$W$26,2)</f>
        <v>1094.2</v>
      </c>
      <c r="Q26" s="1715">
        <f>IF(O26="","",O26-M26)</f>
        <v>-46.269999999999982</v>
      </c>
      <c r="S26" s="1723">
        <f>IF(M26="","",O26/M26-1)</f>
        <v>-4.0570992660920457E-2</v>
      </c>
      <c r="U26" s="1736" t="s">
        <v>1683</v>
      </c>
      <c r="V26" s="1773">
        <f>V18</f>
        <v>0.26</v>
      </c>
      <c r="W26" s="1805">
        <f>W18</f>
        <v>0.26</v>
      </c>
      <c r="X26" s="1795"/>
    </row>
    <row r="27" spans="1:25">
      <c r="A27" s="1827"/>
      <c r="B27" s="1827"/>
      <c r="C27" s="1827"/>
      <c r="D27" s="1832"/>
      <c r="I27" s="1715"/>
      <c r="K27" s="1830"/>
      <c r="L27" s="1832"/>
      <c r="Q27" s="1715"/>
      <c r="S27" s="1830"/>
      <c r="U27" s="1759" t="s">
        <v>1718</v>
      </c>
      <c r="V27" s="1768">
        <f>V19</f>
        <v>4.2200000000000001E-2</v>
      </c>
      <c r="W27" s="1769">
        <f>W19</f>
        <v>4.2200000000000001E-2</v>
      </c>
      <c r="X27" s="1803"/>
    </row>
    <row r="28" spans="1:25" ht="15.75">
      <c r="A28" s="1770" t="s">
        <v>1723</v>
      </c>
      <c r="D28" s="1832"/>
      <c r="I28" s="1715"/>
      <c r="K28" s="1830"/>
      <c r="L28" s="1832"/>
      <c r="Q28" s="1715"/>
      <c r="S28" s="1830"/>
    </row>
    <row r="29" spans="1:25" ht="15.75">
      <c r="A29" s="1770" t="s">
        <v>2315</v>
      </c>
      <c r="I29" s="1715"/>
      <c r="K29" s="1830"/>
      <c r="Q29" s="1715"/>
      <c r="S29" s="1830"/>
      <c r="W29" s="1808"/>
    </row>
    <row r="30" spans="1:25">
      <c r="I30" s="1715"/>
      <c r="K30" s="1830"/>
      <c r="Q30" s="1715"/>
      <c r="S30" s="1830"/>
      <c r="U30" s="1704" t="s">
        <v>1684</v>
      </c>
      <c r="V30" s="1799">
        <v>0</v>
      </c>
      <c r="W30" s="1799">
        <v>0</v>
      </c>
      <c r="X30" s="1808"/>
    </row>
    <row r="31" spans="1:25">
      <c r="I31" s="1715"/>
      <c r="K31" s="1830"/>
      <c r="Q31" s="1715"/>
      <c r="S31" s="1830"/>
      <c r="U31" s="1702" t="s">
        <v>1720</v>
      </c>
      <c r="V31" s="1765">
        <v>-3.3099999999999997E-2</v>
      </c>
      <c r="W31" s="1808">
        <f>'Blocking-Step2'!Q1995</f>
        <v>-2.5600000000000001E-2</v>
      </c>
    </row>
    <row r="32" spans="1:25">
      <c r="I32" s="1715"/>
      <c r="K32" s="1723"/>
      <c r="M32" s="1723"/>
      <c r="O32" s="1723"/>
      <c r="Q32" s="1739"/>
      <c r="S32" s="1830"/>
      <c r="U32" s="1702" t="s">
        <v>1721</v>
      </c>
      <c r="V32" s="1765">
        <v>4.1000000000000003E-3</v>
      </c>
      <c r="W32" s="1808">
        <f>V32</f>
        <v>4.1000000000000003E-3</v>
      </c>
    </row>
    <row r="33" spans="1:23">
      <c r="A33" s="1704"/>
      <c r="B33" s="1704"/>
      <c r="C33" s="1704"/>
      <c r="E33" s="1704"/>
      <c r="G33" s="1704"/>
      <c r="K33" s="1723"/>
      <c r="M33" s="1723"/>
      <c r="O33" s="1723"/>
      <c r="Q33" s="1739"/>
      <c r="U33" s="1702" t="s">
        <v>1722</v>
      </c>
      <c r="V33" s="1803">
        <v>3.8100000000000002E-2</v>
      </c>
      <c r="W33" s="1808">
        <f>V33</f>
        <v>3.8100000000000002E-2</v>
      </c>
    </row>
    <row r="34" spans="1:23">
      <c r="A34" s="1704"/>
      <c r="B34" s="1704"/>
      <c r="C34" s="1704"/>
      <c r="E34" s="1704"/>
      <c r="G34" s="1704"/>
      <c r="K34" s="1723"/>
      <c r="M34" s="1723"/>
      <c r="O34" s="1723"/>
      <c r="Q34" s="1739"/>
      <c r="U34" s="1704" t="s">
        <v>1685</v>
      </c>
      <c r="V34" s="1765">
        <v>8.6E-3</v>
      </c>
      <c r="W34" s="1808">
        <f>V34</f>
        <v>8.6E-3</v>
      </c>
    </row>
    <row r="35" spans="1:23">
      <c r="A35" s="1704"/>
      <c r="B35" s="1704"/>
      <c r="C35" s="1704"/>
      <c r="E35" s="1704"/>
      <c r="G35" s="1704"/>
      <c r="K35" s="1723"/>
      <c r="M35" s="1723"/>
      <c r="O35" s="1723"/>
      <c r="Q35" s="1739"/>
      <c r="U35" s="1704" t="s">
        <v>1686</v>
      </c>
      <c r="V35" s="1765">
        <v>0</v>
      </c>
      <c r="W35" s="1808">
        <f>V35</f>
        <v>0</v>
      </c>
    </row>
    <row r="36" spans="1:23">
      <c r="A36" s="1704"/>
      <c r="B36" s="1704"/>
      <c r="C36" s="1704"/>
      <c r="E36" s="1704"/>
      <c r="G36" s="1704"/>
      <c r="K36" s="1723"/>
      <c r="M36" s="1723"/>
      <c r="O36" s="1723"/>
      <c r="Q36" s="1739"/>
      <c r="U36" s="1702" t="s">
        <v>1687</v>
      </c>
      <c r="V36" s="1752">
        <f>SUM(V34:V35)</f>
        <v>8.6E-3</v>
      </c>
      <c r="W36" s="1752">
        <f>SUM(W34:W35)</f>
        <v>8.6E-3</v>
      </c>
    </row>
    <row r="37" spans="1:23">
      <c r="A37" s="1704"/>
      <c r="B37" s="1704"/>
      <c r="C37" s="1704"/>
      <c r="E37" s="1704"/>
      <c r="G37" s="1704"/>
      <c r="K37" s="1723"/>
      <c r="M37" s="1723"/>
      <c r="O37" s="1723"/>
      <c r="Q37" s="1739"/>
    </row>
    <row r="38" spans="1:23">
      <c r="A38" s="1704"/>
      <c r="B38" s="1704"/>
      <c r="C38" s="1704"/>
      <c r="E38" s="1704"/>
      <c r="G38" s="1704"/>
      <c r="K38" s="1830"/>
      <c r="M38" s="1723"/>
      <c r="O38" s="1830"/>
      <c r="Q38" s="1739"/>
    </row>
    <row r="39" spans="1:23">
      <c r="A39" s="1704"/>
      <c r="B39" s="1704"/>
      <c r="C39" s="1704"/>
      <c r="E39" s="1704"/>
      <c r="G39" s="1704"/>
      <c r="K39" s="1723"/>
      <c r="M39" s="1723"/>
      <c r="O39" s="1723"/>
      <c r="Q39" s="1739"/>
    </row>
    <row r="40" spans="1:23">
      <c r="A40" s="1704"/>
      <c r="B40" s="1704"/>
      <c r="C40" s="1704"/>
      <c r="E40" s="1704"/>
      <c r="G40" s="1704"/>
      <c r="K40" s="1723"/>
      <c r="M40" s="1723"/>
      <c r="O40" s="1723"/>
      <c r="Q40" s="1739"/>
    </row>
    <row r="41" spans="1:23">
      <c r="A41" s="1704"/>
      <c r="B41" s="1704"/>
      <c r="C41" s="1704"/>
      <c r="E41" s="1704"/>
      <c r="G41" s="1704"/>
      <c r="K41" s="1723"/>
      <c r="M41" s="1723"/>
      <c r="O41" s="1723"/>
      <c r="Q41" s="1739"/>
    </row>
    <row r="42" spans="1:23">
      <c r="A42" s="1704"/>
      <c r="B42" s="1704"/>
      <c r="C42" s="1704"/>
      <c r="E42" s="1704"/>
      <c r="G42" s="1704"/>
      <c r="K42" s="1723"/>
      <c r="M42" s="1723"/>
      <c r="O42" s="1723"/>
      <c r="Q42" s="1739"/>
    </row>
    <row r="43" spans="1:23">
      <c r="A43" s="1704"/>
      <c r="B43" s="1704"/>
      <c r="C43" s="1704"/>
      <c r="E43" s="1704"/>
      <c r="G43" s="1704"/>
      <c r="K43" s="1723"/>
      <c r="M43" s="1723"/>
      <c r="O43" s="1723"/>
      <c r="Q43" s="1739"/>
    </row>
    <row r="44" spans="1:23">
      <c r="A44" s="1704"/>
      <c r="B44" s="1704"/>
      <c r="C44" s="1704"/>
      <c r="E44" s="1704"/>
      <c r="G44" s="1704"/>
      <c r="K44" s="1723"/>
      <c r="M44" s="1723"/>
      <c r="O44" s="1723"/>
      <c r="Q44" s="1739"/>
    </row>
    <row r="45" spans="1:23">
      <c r="A45" s="1704"/>
      <c r="B45" s="1704"/>
      <c r="C45" s="1704"/>
      <c r="E45" s="1704"/>
      <c r="G45" s="1704"/>
      <c r="K45" s="1723"/>
      <c r="M45" s="1723"/>
      <c r="O45" s="1723"/>
      <c r="Q45" s="1739"/>
    </row>
    <row r="46" spans="1:23">
      <c r="A46" s="1704"/>
      <c r="B46" s="1704"/>
      <c r="C46" s="1704"/>
      <c r="E46" s="1704"/>
      <c r="G46" s="1704"/>
      <c r="K46" s="1723"/>
      <c r="M46" s="1723"/>
      <c r="O46" s="1723"/>
      <c r="Q46" s="1739"/>
    </row>
    <row r="47" spans="1:23">
      <c r="A47" s="1704"/>
      <c r="B47" s="1704"/>
      <c r="C47" s="1704"/>
      <c r="E47" s="1704"/>
      <c r="G47" s="1704"/>
      <c r="K47" s="1723"/>
      <c r="M47" s="1723"/>
      <c r="O47" s="1723"/>
      <c r="Q47" s="1739"/>
    </row>
    <row r="48" spans="1:23">
      <c r="A48" s="1704"/>
      <c r="B48" s="1704"/>
      <c r="C48" s="1704"/>
      <c r="E48" s="1704"/>
      <c r="G48" s="1704"/>
      <c r="K48" s="1723"/>
      <c r="M48" s="1723"/>
      <c r="O48" s="1723"/>
      <c r="Q48" s="1739"/>
    </row>
    <row r="49" spans="1:17">
      <c r="A49" s="1704"/>
      <c r="B49" s="1704"/>
      <c r="C49" s="1704"/>
      <c r="E49" s="1704"/>
      <c r="G49" s="1704"/>
      <c r="K49" s="1723"/>
      <c r="M49" s="1723"/>
      <c r="O49" s="1723"/>
      <c r="Q49" s="1739"/>
    </row>
  </sheetData>
  <mergeCells count="2">
    <mergeCell ref="I7:K7"/>
    <mergeCell ref="Q7:S7"/>
  </mergeCells>
  <printOptions horizontalCentered="1"/>
  <pageMargins left="0.75" right="0.75" top="1" bottom="0.5" header="0.5" footer="0.25"/>
  <pageSetup scale="97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O25"/>
  <sheetViews>
    <sheetView topLeftCell="A7" workbookViewId="0">
      <selection activeCell="Q18" sqref="Q18"/>
    </sheetView>
  </sheetViews>
  <sheetFormatPr defaultColWidth="8" defaultRowHeight="12.75"/>
  <cols>
    <col min="1" max="1" width="15.25" style="281" bestFit="1" customWidth="1"/>
    <col min="2" max="2" width="11.5" style="281" bestFit="1" customWidth="1"/>
    <col min="3" max="3" width="11" style="281" bestFit="1" customWidth="1"/>
    <col min="4" max="4" width="6.75" style="281" bestFit="1" customWidth="1"/>
    <col min="5" max="5" width="10.125" style="281" bestFit="1" customWidth="1"/>
    <col min="6" max="6" width="10.75" style="281" bestFit="1" customWidth="1"/>
    <col min="7" max="7" width="6.75" style="281" bestFit="1" customWidth="1"/>
    <col min="8" max="9" width="9" style="281" bestFit="1" customWidth="1"/>
    <col min="10" max="10" width="7" style="281" bestFit="1" customWidth="1"/>
    <col min="11" max="11" width="6.125" style="281" bestFit="1" customWidth="1"/>
    <col min="12" max="12" width="6" style="281" bestFit="1" customWidth="1"/>
    <col min="13" max="13" width="7.125" style="281" bestFit="1" customWidth="1"/>
    <col min="14" max="16384" width="8" style="281"/>
  </cols>
  <sheetData>
    <row r="1" spans="1:15" customFormat="1" ht="15.75">
      <c r="A1" s="121" t="s">
        <v>497</v>
      </c>
      <c r="B1" s="104"/>
      <c r="C1" s="104"/>
      <c r="D1" s="104"/>
      <c r="E1" s="390"/>
      <c r="F1" s="104"/>
      <c r="G1" s="104"/>
      <c r="H1" s="104"/>
      <c r="I1" s="104"/>
      <c r="J1" s="390"/>
      <c r="K1" s="104"/>
      <c r="L1" s="104"/>
      <c r="M1" s="104"/>
      <c r="O1" s="389"/>
    </row>
    <row r="2" spans="1:15" customFormat="1" ht="15.75">
      <c r="A2" s="121" t="s">
        <v>676</v>
      </c>
      <c r="B2" s="104"/>
      <c r="C2" s="104"/>
      <c r="D2" s="104"/>
      <c r="E2" s="390"/>
      <c r="F2" s="104"/>
      <c r="G2" s="104"/>
      <c r="H2" s="104"/>
      <c r="I2" s="104"/>
      <c r="J2" s="390"/>
      <c r="K2" s="104"/>
      <c r="L2" s="104"/>
      <c r="M2" s="104"/>
      <c r="O2" s="389"/>
    </row>
    <row r="3" spans="1:15" customFormat="1" ht="15.75">
      <c r="A3" s="121" t="s">
        <v>677</v>
      </c>
      <c r="B3" s="104"/>
      <c r="C3" s="104"/>
      <c r="D3" s="104"/>
      <c r="E3" s="390"/>
      <c r="F3" s="104"/>
      <c r="G3" s="104"/>
      <c r="H3" s="104"/>
      <c r="I3" s="104"/>
      <c r="J3" s="390"/>
      <c r="K3" s="104"/>
      <c r="L3" s="104"/>
      <c r="M3" s="104"/>
      <c r="O3" s="389"/>
    </row>
    <row r="4" spans="1:15" customFormat="1" ht="15.75">
      <c r="A4" s="82"/>
      <c r="E4" s="389"/>
      <c r="J4" s="389"/>
      <c r="O4" s="389"/>
    </row>
    <row r="5" spans="1:15">
      <c r="A5" s="280"/>
    </row>
    <row r="6" spans="1:15" ht="13.5" thickBot="1">
      <c r="A6" s="301"/>
      <c r="H6" s="298"/>
      <c r="I6" s="299"/>
    </row>
    <row r="7" spans="1:15" ht="13.5" thickBot="1">
      <c r="A7" s="300"/>
      <c r="B7" s="2153" t="s">
        <v>1636</v>
      </c>
      <c r="C7" s="2154"/>
      <c r="D7" s="2155"/>
      <c r="E7" s="2153" t="s">
        <v>1635</v>
      </c>
      <c r="F7" s="2154"/>
      <c r="G7" s="2155"/>
      <c r="H7" s="282" t="s">
        <v>197</v>
      </c>
      <c r="I7" s="283"/>
      <c r="J7" s="284"/>
      <c r="K7" s="282" t="s">
        <v>30</v>
      </c>
      <c r="L7" s="283"/>
      <c r="M7" s="284"/>
    </row>
    <row r="8" spans="1:15" ht="13.5" thickBot="1">
      <c r="A8" s="300"/>
      <c r="B8" s="303" t="s">
        <v>457</v>
      </c>
      <c r="C8" s="286" t="s">
        <v>109</v>
      </c>
      <c r="D8" s="287" t="s">
        <v>31</v>
      </c>
      <c r="E8" s="303" t="s">
        <v>457</v>
      </c>
      <c r="F8" s="286" t="s">
        <v>109</v>
      </c>
      <c r="G8" s="287" t="s">
        <v>31</v>
      </c>
      <c r="H8" s="303" t="s">
        <v>457</v>
      </c>
      <c r="I8" s="286" t="s">
        <v>109</v>
      </c>
      <c r="J8" s="287" t="s">
        <v>31</v>
      </c>
      <c r="K8" s="285" t="s">
        <v>496</v>
      </c>
      <c r="L8" s="286" t="s">
        <v>109</v>
      </c>
      <c r="M8" s="287" t="s">
        <v>31</v>
      </c>
    </row>
    <row r="9" spans="1:15">
      <c r="A9" s="545" t="s">
        <v>103</v>
      </c>
      <c r="B9" s="288">
        <f>'Table 3'!I42/1000</f>
        <v>754963.21950999997</v>
      </c>
      <c r="C9" s="290">
        <f>SUM('Table 2'!H42:K42)/1000</f>
        <v>7084578.8794770753</v>
      </c>
      <c r="D9" s="289">
        <f t="shared" ref="D9:D15" si="0">B9*100/C9</f>
        <v>10.656430429436124</v>
      </c>
      <c r="E9" s="288">
        <v>751294.61550090858</v>
      </c>
      <c r="F9" s="290">
        <v>7123459.318486467</v>
      </c>
      <c r="G9" s="289">
        <v>10.546766422195802</v>
      </c>
      <c r="H9" s="340">
        <f t="shared" ref="H9:H14" si="1">B9-E9</f>
        <v>3668.6040090913884</v>
      </c>
      <c r="I9" s="342">
        <f t="shared" ref="I9:J11" si="2">C9-F9</f>
        <v>-38880.439009391703</v>
      </c>
      <c r="J9" s="339">
        <f t="shared" si="2"/>
        <v>0.10966400724032255</v>
      </c>
      <c r="K9" s="345">
        <f t="shared" ref="K9:K15" si="3">H9/E9</f>
        <v>4.883043127688903E-3</v>
      </c>
      <c r="L9" s="346">
        <f t="shared" ref="L9:L15" si="4">I9/F9</f>
        <v>-5.4580839548688115E-3</v>
      </c>
      <c r="M9" s="347">
        <f t="shared" ref="M9:M15" si="5">J9/G9</f>
        <v>1.0397879582270189E-2</v>
      </c>
      <c r="N9" s="291"/>
    </row>
    <row r="10" spans="1:15">
      <c r="A10" s="292" t="s">
        <v>104</v>
      </c>
      <c r="B10" s="293">
        <f>'Table 3'!I80/1000</f>
        <v>734057.34487000015</v>
      </c>
      <c r="C10" s="294">
        <f>SUM('Table 2'!H80:K80)/1000</f>
        <v>9098711.0285807587</v>
      </c>
      <c r="D10" s="289">
        <f t="shared" si="0"/>
        <v>8.067706981397567</v>
      </c>
      <c r="E10" s="293">
        <v>729983.01193000004</v>
      </c>
      <c r="F10" s="294">
        <v>9139878.0577735677</v>
      </c>
      <c r="G10" s="289">
        <v>7.9867915886376775</v>
      </c>
      <c r="H10" s="341">
        <f t="shared" si="1"/>
        <v>4074.3329400001094</v>
      </c>
      <c r="I10" s="343">
        <f t="shared" si="2"/>
        <v>-41167.029192809016</v>
      </c>
      <c r="J10" s="339">
        <f t="shared" si="2"/>
        <v>8.0915392759889571E-2</v>
      </c>
      <c r="K10" s="348">
        <f t="shared" si="3"/>
        <v>5.5814078867780659E-3</v>
      </c>
      <c r="L10" s="349">
        <f t="shared" si="4"/>
        <v>-4.5041114260595634E-3</v>
      </c>
      <c r="M10" s="350">
        <f t="shared" si="5"/>
        <v>1.0131151146475762E-2</v>
      </c>
      <c r="N10" s="295"/>
    </row>
    <row r="11" spans="1:15">
      <c r="A11" s="292" t="s">
        <v>117</v>
      </c>
      <c r="B11" s="1323">
        <f>('Table 3'!I115)/1000-B12</f>
        <v>335855.73372741352</v>
      </c>
      <c r="C11" s="294">
        <f>SUM('Table 2'!H115:K115)/1000-Comparison!C12</f>
        <v>5348641.2979546394</v>
      </c>
      <c r="D11" s="289">
        <f t="shared" si="0"/>
        <v>6.2792719686744976</v>
      </c>
      <c r="E11" s="293">
        <v>320533.03063284501</v>
      </c>
      <c r="F11" s="294">
        <v>5176038.2152782539</v>
      </c>
      <c r="G11" s="289">
        <v>6.1926326140081205</v>
      </c>
      <c r="H11" s="341">
        <f t="shared" si="1"/>
        <v>15322.703094568511</v>
      </c>
      <c r="I11" s="343">
        <f t="shared" si="2"/>
        <v>172603.08267638553</v>
      </c>
      <c r="J11" s="339">
        <f t="shared" si="2"/>
        <v>8.6639354666377066E-2</v>
      </c>
      <c r="K11" s="348">
        <f t="shared" si="3"/>
        <v>4.7803819357761984E-2</v>
      </c>
      <c r="L11" s="349">
        <f t="shared" si="4"/>
        <v>3.3346562660010563E-2</v>
      </c>
      <c r="M11" s="350">
        <f t="shared" si="5"/>
        <v>1.3990714461308984E-2</v>
      </c>
      <c r="N11" s="295"/>
    </row>
    <row r="12" spans="1:15">
      <c r="A12" s="292" t="s">
        <v>124</v>
      </c>
      <c r="B12" s="293">
        <f>SUM('Table 3'!I99:I101)/1000</f>
        <v>131593.16414134437</v>
      </c>
      <c r="C12" s="294">
        <f>SUM('Table 2'!H99:K101)/1000</f>
        <v>2672226.574</v>
      </c>
      <c r="D12" s="289">
        <f>B12*100/C12</f>
        <v>4.9244762933543216</v>
      </c>
      <c r="E12" s="293">
        <v>140978.9227721041</v>
      </c>
      <c r="F12" s="294">
        <v>2712900.199</v>
      </c>
      <c r="G12" s="289">
        <v>5.1966129393211817</v>
      </c>
      <c r="H12" s="341">
        <f t="shared" si="1"/>
        <v>-9385.758630759723</v>
      </c>
      <c r="I12" s="343">
        <f t="shared" ref="I12:J14" si="6">C12-F12</f>
        <v>-40673.625</v>
      </c>
      <c r="J12" s="339">
        <f t="shared" si="6"/>
        <v>-0.27213664596686016</v>
      </c>
      <c r="K12" s="348">
        <f t="shared" si="3"/>
        <v>-6.6575616029724061E-2</v>
      </c>
      <c r="L12" s="349">
        <f t="shared" si="4"/>
        <v>-1.499267279164662E-2</v>
      </c>
      <c r="M12" s="350">
        <f t="shared" si="5"/>
        <v>-5.2368080737298199E-2</v>
      </c>
      <c r="N12" s="295"/>
    </row>
    <row r="13" spans="1:15">
      <c r="A13" s="292" t="s">
        <v>227</v>
      </c>
      <c r="B13" s="293">
        <f>'Table 3'!I133/1000</f>
        <v>16175.836769999998</v>
      </c>
      <c r="C13" s="294">
        <f>SUM('Table 2'!H133:K133)/1000</f>
        <v>207316.92857120003</v>
      </c>
      <c r="D13" s="289">
        <f t="shared" si="0"/>
        <v>7.8024678840660329</v>
      </c>
      <c r="E13" s="293">
        <v>17896.872979999996</v>
      </c>
      <c r="F13" s="294">
        <v>232740.74008629998</v>
      </c>
      <c r="G13" s="289">
        <v>7.689617629197131</v>
      </c>
      <c r="H13" s="341">
        <f t="shared" si="1"/>
        <v>-1721.0362099999984</v>
      </c>
      <c r="I13" s="343">
        <f t="shared" si="6"/>
        <v>-25423.811515099951</v>
      </c>
      <c r="J13" s="339">
        <f t="shared" si="6"/>
        <v>0.11285025486890188</v>
      </c>
      <c r="K13" s="348">
        <f t="shared" si="3"/>
        <v>-9.6164073574376938E-2</v>
      </c>
      <c r="L13" s="349">
        <f t="shared" si="4"/>
        <v>-0.10923661884753325</v>
      </c>
      <c r="M13" s="350">
        <f t="shared" si="5"/>
        <v>1.4675665333529011E-2</v>
      </c>
      <c r="N13" s="295"/>
    </row>
    <row r="14" spans="1:15" ht="13.5" thickBot="1">
      <c r="A14" s="292" t="s">
        <v>105</v>
      </c>
      <c r="B14" s="293">
        <f>'Table 3'!I156/1000</f>
        <v>7585.4345499999999</v>
      </c>
      <c r="C14" s="294">
        <f>SUM('Table 2'!H156:K156)/1000</f>
        <v>62166.166274905656</v>
      </c>
      <c r="D14" s="289">
        <f t="shared" si="0"/>
        <v>12.201869609356912</v>
      </c>
      <c r="E14" s="293">
        <v>7946.6498800000018</v>
      </c>
      <c r="F14" s="294">
        <v>65845.810457625543</v>
      </c>
      <c r="G14" s="289">
        <v>12.068573269538529</v>
      </c>
      <c r="H14" s="341">
        <f t="shared" si="1"/>
        <v>-361.21533000000181</v>
      </c>
      <c r="I14" s="343">
        <f t="shared" si="6"/>
        <v>-3679.6441827198869</v>
      </c>
      <c r="J14" s="339">
        <f t="shared" si="6"/>
        <v>0.13329633981838285</v>
      </c>
      <c r="K14" s="955">
        <f t="shared" si="3"/>
        <v>-4.545504526493644E-2</v>
      </c>
      <c r="L14" s="956">
        <f t="shared" si="4"/>
        <v>-5.5882738129374041E-2</v>
      </c>
      <c r="M14" s="957">
        <f t="shared" si="5"/>
        <v>1.1044912836120168E-2</v>
      </c>
      <c r="N14" s="295"/>
    </row>
    <row r="15" spans="1:15" ht="13.5" thickBot="1">
      <c r="A15" s="546" t="s">
        <v>93</v>
      </c>
      <c r="B15" s="302">
        <f>SUM(B9:B14)</f>
        <v>1980230.7335687578</v>
      </c>
      <c r="C15" s="296">
        <f>SUM(C9:C14)</f>
        <v>24473640.874858581</v>
      </c>
      <c r="D15" s="297">
        <f t="shared" si="0"/>
        <v>8.091279690236119</v>
      </c>
      <c r="E15" s="302">
        <v>1968633.1036958576</v>
      </c>
      <c r="F15" s="296">
        <v>24450862.341082212</v>
      </c>
      <c r="G15" s="297">
        <v>8.0513851668461207</v>
      </c>
      <c r="H15" s="961">
        <f>SUM(H9:H14)</f>
        <v>11597.629872900285</v>
      </c>
      <c r="I15" s="344">
        <f>SUM(I9:I14)</f>
        <v>22778.533776364973</v>
      </c>
      <c r="J15" s="962">
        <f>D15-G15</f>
        <v>3.9894523389998326E-2</v>
      </c>
      <c r="K15" s="958">
        <f t="shared" si="3"/>
        <v>5.8912094138451774E-3</v>
      </c>
      <c r="L15" s="959">
        <f t="shared" si="4"/>
        <v>9.3160451597212586E-4</v>
      </c>
      <c r="M15" s="960">
        <f t="shared" si="5"/>
        <v>4.9549888079228194E-3</v>
      </c>
      <c r="N15" s="295"/>
    </row>
    <row r="16" spans="1:15" ht="13.5" thickBot="1"/>
    <row r="17" spans="1:13" ht="13.5" thickBot="1">
      <c r="A17" s="300"/>
      <c r="B17" s="2153" t="s">
        <v>1637</v>
      </c>
      <c r="C17" s="2154"/>
      <c r="D17" s="2155"/>
      <c r="E17" s="2153" t="s">
        <v>1636</v>
      </c>
      <c r="F17" s="2154"/>
      <c r="G17" s="2155"/>
      <c r="H17" s="282" t="s">
        <v>197</v>
      </c>
      <c r="I17" s="283"/>
      <c r="J17" s="284"/>
      <c r="K17" s="282" t="s">
        <v>30</v>
      </c>
      <c r="L17" s="283"/>
      <c r="M17" s="284"/>
    </row>
    <row r="18" spans="1:13" ht="13.5" thickBot="1">
      <c r="A18" s="300"/>
      <c r="B18" s="303" t="s">
        <v>457</v>
      </c>
      <c r="C18" s="286" t="s">
        <v>109</v>
      </c>
      <c r="D18" s="287" t="s">
        <v>31</v>
      </c>
      <c r="E18" s="303" t="s">
        <v>457</v>
      </c>
      <c r="F18" s="286" t="s">
        <v>109</v>
      </c>
      <c r="G18" s="287" t="s">
        <v>31</v>
      </c>
      <c r="H18" s="303" t="s">
        <v>457</v>
      </c>
      <c r="I18" s="286" t="s">
        <v>109</v>
      </c>
      <c r="J18" s="287" t="s">
        <v>31</v>
      </c>
      <c r="K18" s="285" t="s">
        <v>496</v>
      </c>
      <c r="L18" s="286" t="s">
        <v>109</v>
      </c>
      <c r="M18" s="287" t="s">
        <v>31</v>
      </c>
    </row>
    <row r="19" spans="1:13">
      <c r="A19" s="545" t="s">
        <v>103</v>
      </c>
      <c r="B19" s="288">
        <f>'Table 3'!N42/1000</f>
        <v>754492.62301739992</v>
      </c>
      <c r="C19" s="290">
        <f>'Table 2'!O42/1000</f>
        <v>7050765.4980584551</v>
      </c>
      <c r="D19" s="289">
        <f t="shared" ref="D19:D21" si="7">B19*100/C19</f>
        <v>10.700861108274866</v>
      </c>
      <c r="E19" s="288">
        <f>B9</f>
        <v>754963.21950999997</v>
      </c>
      <c r="F19" s="290">
        <f t="shared" ref="F19:F24" si="8">C9</f>
        <v>7084578.8794770753</v>
      </c>
      <c r="G19" s="289">
        <f t="shared" ref="G19:G25" si="9">E19*100/F19</f>
        <v>10.656430429436124</v>
      </c>
      <c r="H19" s="340">
        <f t="shared" ref="H19:H24" si="10">B19-E19</f>
        <v>-470.59649260004517</v>
      </c>
      <c r="I19" s="342">
        <f t="shared" ref="I19:I24" si="11">C19-F19</f>
        <v>-33813.381418620236</v>
      </c>
      <c r="J19" s="339">
        <f t="shared" ref="J19:J24" si="12">D19-G19</f>
        <v>4.4430678838741855E-2</v>
      </c>
      <c r="K19" s="345">
        <f t="shared" ref="K19:K25" si="13">H19/E19</f>
        <v>-6.2333697912526161E-4</v>
      </c>
      <c r="L19" s="346">
        <f t="shared" ref="L19:L25" si="14">I19/F19</f>
        <v>-4.7728145869858759E-3</v>
      </c>
      <c r="M19" s="347">
        <f t="shared" ref="M19:M25" si="15">J19/G19</f>
        <v>4.1693772725256619E-3</v>
      </c>
    </row>
    <row r="20" spans="1:13">
      <c r="A20" s="292" t="s">
        <v>104</v>
      </c>
      <c r="B20" s="293">
        <f>'Table 3'!N80/1000</f>
        <v>754069.25627573498</v>
      </c>
      <c r="C20" s="294">
        <f>'Table 2'!O80/1000</f>
        <v>9517079.5892964825</v>
      </c>
      <c r="D20" s="289">
        <f t="shared" si="7"/>
        <v>7.9233261548407103</v>
      </c>
      <c r="E20" s="293">
        <f t="shared" ref="E20:E24" si="16">B10</f>
        <v>734057.34487000015</v>
      </c>
      <c r="F20" s="294">
        <f t="shared" si="8"/>
        <v>9098711.0285807587</v>
      </c>
      <c r="G20" s="289">
        <f t="shared" si="9"/>
        <v>8.067706981397567</v>
      </c>
      <c r="H20" s="341">
        <f t="shared" si="10"/>
        <v>20011.911405734834</v>
      </c>
      <c r="I20" s="343">
        <f t="shared" si="11"/>
        <v>418368.56071572378</v>
      </c>
      <c r="J20" s="339">
        <f t="shared" si="12"/>
        <v>-0.14438082655685669</v>
      </c>
      <c r="K20" s="348">
        <f t="shared" si="13"/>
        <v>2.7262054586864596E-2</v>
      </c>
      <c r="L20" s="349">
        <f t="shared" si="14"/>
        <v>4.598108011140805E-2</v>
      </c>
      <c r="M20" s="350">
        <f t="shared" si="15"/>
        <v>-1.7896141603775208E-2</v>
      </c>
    </row>
    <row r="21" spans="1:13">
      <c r="A21" s="292" t="s">
        <v>117</v>
      </c>
      <c r="B21" s="1323">
        <f>('Table 3'!N115)/1000-B22</f>
        <v>342770.75364730001</v>
      </c>
      <c r="C21" s="294">
        <f>('Table 2'!O115)/1000-C22</f>
        <v>5381985.4199729813</v>
      </c>
      <c r="D21" s="289">
        <f t="shared" si="7"/>
        <v>6.3688532558124393</v>
      </c>
      <c r="E21" s="293">
        <f t="shared" si="16"/>
        <v>335855.73372741352</v>
      </c>
      <c r="F21" s="294">
        <f t="shared" si="8"/>
        <v>5348641.2979546394</v>
      </c>
      <c r="G21" s="289">
        <f t="shared" si="9"/>
        <v>6.2792719686744976</v>
      </c>
      <c r="H21" s="341">
        <f t="shared" si="10"/>
        <v>6915.0199198864866</v>
      </c>
      <c r="I21" s="343">
        <f t="shared" si="11"/>
        <v>33344.122018341906</v>
      </c>
      <c r="J21" s="339">
        <f t="shared" si="12"/>
        <v>8.9581287137941779E-2</v>
      </c>
      <c r="K21" s="348">
        <f t="shared" si="13"/>
        <v>2.0589256711927507E-2</v>
      </c>
      <c r="L21" s="349">
        <f t="shared" si="14"/>
        <v>6.2341294098546014E-3</v>
      </c>
      <c r="M21" s="350">
        <f t="shared" si="15"/>
        <v>1.4266190027257515E-2</v>
      </c>
    </row>
    <row r="22" spans="1:13">
      <c r="A22" s="292" t="s">
        <v>124</v>
      </c>
      <c r="B22" s="293">
        <f>SUM('Table 3'!N99:N101)/1000</f>
        <v>125824.94412390968</v>
      </c>
      <c r="C22" s="294">
        <f>SUM('Table 2'!O99:O101)/1000</f>
        <v>2611181.7459465601</v>
      </c>
      <c r="D22" s="289">
        <f>B22*100/C22</f>
        <v>4.8186972936385102</v>
      </c>
      <c r="E22" s="293">
        <f t="shared" si="16"/>
        <v>131593.16414134437</v>
      </c>
      <c r="F22" s="294">
        <f t="shared" si="8"/>
        <v>2672226.574</v>
      </c>
      <c r="G22" s="289">
        <f>E22*100/F22</f>
        <v>4.9244762933543216</v>
      </c>
      <c r="H22" s="341">
        <f t="shared" si="10"/>
        <v>-5768.2200174346945</v>
      </c>
      <c r="I22" s="343">
        <f t="shared" si="11"/>
        <v>-61044.828053439967</v>
      </c>
      <c r="J22" s="339">
        <f t="shared" si="12"/>
        <v>-0.10577899971581139</v>
      </c>
      <c r="K22" s="348">
        <f t="shared" si="13"/>
        <v>-4.3833736008042502E-2</v>
      </c>
      <c r="L22" s="349">
        <f t="shared" si="14"/>
        <v>-2.2844181196081455E-2</v>
      </c>
      <c r="M22" s="350">
        <f t="shared" si="15"/>
        <v>-2.1480253617742511E-2</v>
      </c>
    </row>
    <row r="23" spans="1:13">
      <c r="A23" s="292" t="s">
        <v>227</v>
      </c>
      <c r="B23" s="293">
        <f>'Table 3'!N133/1000</f>
        <v>17931.177293499997</v>
      </c>
      <c r="C23" s="294">
        <f>'Table 2'!O133/1000</f>
        <v>230392.47271934131</v>
      </c>
      <c r="D23" s="289">
        <f t="shared" ref="D23:D25" si="17">B23*100/C23</f>
        <v>7.782883304240297</v>
      </c>
      <c r="E23" s="293">
        <f t="shared" si="16"/>
        <v>16175.836769999998</v>
      </c>
      <c r="F23" s="294">
        <f t="shared" si="8"/>
        <v>207316.92857120003</v>
      </c>
      <c r="G23" s="289">
        <f t="shared" si="9"/>
        <v>7.8024678840660329</v>
      </c>
      <c r="H23" s="341">
        <f t="shared" si="10"/>
        <v>1755.3405234999991</v>
      </c>
      <c r="I23" s="343">
        <f t="shared" si="11"/>
        <v>23075.544148141285</v>
      </c>
      <c r="J23" s="339">
        <f t="shared" si="12"/>
        <v>-1.9584579825735915E-2</v>
      </c>
      <c r="K23" s="348">
        <f t="shared" si="13"/>
        <v>0.10851621146149829</v>
      </c>
      <c r="L23" s="349">
        <f t="shared" si="14"/>
        <v>0.11130564352450514</v>
      </c>
      <c r="M23" s="350">
        <f t="shared" si="15"/>
        <v>-2.5100493993356846E-3</v>
      </c>
    </row>
    <row r="24" spans="1:13" ht="13.5" thickBot="1">
      <c r="A24" s="292" t="s">
        <v>105</v>
      </c>
      <c r="B24" s="293">
        <f>'Table 3'!N156/1000</f>
        <v>6607.1938906999994</v>
      </c>
      <c r="C24" s="294">
        <f>'Table 2'!O156/1000</f>
        <v>45983.4340918745</v>
      </c>
      <c r="D24" s="289">
        <f t="shared" si="17"/>
        <v>14.368639535487679</v>
      </c>
      <c r="E24" s="293">
        <f t="shared" si="16"/>
        <v>7585.4345499999999</v>
      </c>
      <c r="F24" s="294">
        <f t="shared" si="8"/>
        <v>62166.166274905656</v>
      </c>
      <c r="G24" s="289">
        <f t="shared" si="9"/>
        <v>12.201869609356912</v>
      </c>
      <c r="H24" s="341">
        <f t="shared" si="10"/>
        <v>-978.24065930000052</v>
      </c>
      <c r="I24" s="343">
        <f t="shared" si="11"/>
        <v>-16182.732183031156</v>
      </c>
      <c r="J24" s="339">
        <f t="shared" si="12"/>
        <v>2.1667699261307671</v>
      </c>
      <c r="K24" s="955">
        <f t="shared" si="13"/>
        <v>-0.12896303472818185</v>
      </c>
      <c r="L24" s="956">
        <f t="shared" si="14"/>
        <v>-0.26031414115950668</v>
      </c>
      <c r="M24" s="957">
        <f t="shared" si="15"/>
        <v>0.1775768792406367</v>
      </c>
    </row>
    <row r="25" spans="1:13" ht="13.5" thickBot="1">
      <c r="A25" s="546" t="s">
        <v>93</v>
      </c>
      <c r="B25" s="302">
        <f>SUM(B19:B24)</f>
        <v>2001695.9482485442</v>
      </c>
      <c r="C25" s="296">
        <f>SUM(C19:C24)</f>
        <v>24837388.160085693</v>
      </c>
      <c r="D25" s="297">
        <f t="shared" si="17"/>
        <v>8.0592046770252601</v>
      </c>
      <c r="E25" s="302">
        <f>SUM(E19:E24)</f>
        <v>1980230.7335687578</v>
      </c>
      <c r="F25" s="296">
        <f>SUM(F19:F24)</f>
        <v>24473640.874858581</v>
      </c>
      <c r="G25" s="297">
        <f t="shared" si="9"/>
        <v>8.091279690236119</v>
      </c>
      <c r="H25" s="961">
        <f>SUM(H19:H24)</f>
        <v>21465.214679786579</v>
      </c>
      <c r="I25" s="344">
        <f>SUM(I19:I24)</f>
        <v>363747.28522711562</v>
      </c>
      <c r="J25" s="962">
        <f>D25-G25</f>
        <v>-3.2075013210858927E-2</v>
      </c>
      <c r="K25" s="958">
        <f t="shared" si="13"/>
        <v>1.0839754335648615E-2</v>
      </c>
      <c r="L25" s="959">
        <f t="shared" si="14"/>
        <v>1.4862818617265402E-2</v>
      </c>
      <c r="M25" s="960">
        <f t="shared" si="15"/>
        <v>-3.9641459001305288E-3</v>
      </c>
    </row>
  </sheetData>
  <mergeCells count="4">
    <mergeCell ref="E7:G7"/>
    <mergeCell ref="B7:D7"/>
    <mergeCell ref="B17:D17"/>
    <mergeCell ref="E17:G17"/>
  </mergeCells>
  <phoneticPr fontId="46" type="noConversion"/>
  <conditionalFormatting sqref="K9:M15">
    <cfRule type="cellIs" dxfId="1" priority="5" stopIfTrue="1" operator="lessThan">
      <formula>0</formula>
    </cfRule>
  </conditionalFormatting>
  <conditionalFormatting sqref="K19:M25">
    <cfRule type="cellIs" dxfId="0" priority="1" stopIfTrue="1" operator="lessThan">
      <formula>0</formula>
    </cfRule>
  </conditionalFormatting>
  <pageMargins left="0.75" right="0.75" top="1" bottom="1" header="0.5" footer="0.5"/>
  <pageSetup scale="9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">
    <tabColor theme="4" tint="0.59999389629810485"/>
    <pageSetUpPr fitToPage="1"/>
  </sheetPr>
  <dimension ref="A1:AF43"/>
  <sheetViews>
    <sheetView workbookViewId="0">
      <selection activeCell="J14" sqref="J14"/>
    </sheetView>
  </sheetViews>
  <sheetFormatPr defaultColWidth="9.625" defaultRowHeight="15.75"/>
  <cols>
    <col min="1" max="1" width="16.625" style="10" customWidth="1"/>
    <col min="2" max="10" width="13.625" style="10" customWidth="1"/>
    <col min="11" max="13" width="15.625" style="10" customWidth="1"/>
    <col min="14" max="16384" width="9.625" style="10"/>
  </cols>
  <sheetData>
    <row r="1" spans="1:32" ht="18.75">
      <c r="A1" s="14" t="s">
        <v>469</v>
      </c>
      <c r="B1" s="2"/>
      <c r="C1" s="2"/>
      <c r="D1" s="2"/>
      <c r="E1" s="2"/>
      <c r="F1" s="2"/>
      <c r="G1" s="2"/>
      <c r="H1" s="2"/>
      <c r="I1" s="2"/>
      <c r="J1" s="2"/>
      <c r="K1" s="1"/>
      <c r="L1" s="1"/>
    </row>
    <row r="2" spans="1:32" ht="18.75">
      <c r="A2" s="14" t="s">
        <v>497</v>
      </c>
      <c r="B2" s="2"/>
      <c r="C2" s="2"/>
      <c r="D2" s="2"/>
      <c r="E2" s="2"/>
      <c r="F2" s="2"/>
      <c r="G2" s="2"/>
      <c r="H2" s="2"/>
      <c r="I2" s="2"/>
      <c r="J2" s="2"/>
      <c r="K2" s="1"/>
      <c r="L2" s="1"/>
    </row>
    <row r="3" spans="1:32" ht="18.75">
      <c r="A3" s="14" t="s">
        <v>488</v>
      </c>
      <c r="B3" s="2"/>
      <c r="C3" s="2"/>
      <c r="D3" s="2"/>
      <c r="E3" s="2"/>
      <c r="F3" s="2"/>
      <c r="G3" s="2"/>
      <c r="H3" s="2"/>
      <c r="I3" s="2"/>
      <c r="J3" s="2"/>
      <c r="K3" s="1"/>
      <c r="L3" s="1"/>
    </row>
    <row r="4" spans="1:32" ht="18.75">
      <c r="A4" s="14" t="str">
        <f>'Test Period'!$B2</f>
        <v>Base Period 12 Months Ending December 2019</v>
      </c>
      <c r="B4" s="2"/>
      <c r="C4" s="2"/>
      <c r="D4" s="2"/>
      <c r="E4" s="2"/>
      <c r="F4" s="2"/>
      <c r="G4" s="2"/>
      <c r="H4" s="2"/>
      <c r="I4" s="2"/>
      <c r="J4" s="2"/>
      <c r="K4" s="1"/>
      <c r="L4" s="1"/>
    </row>
    <row r="5" spans="1:32" ht="18.75">
      <c r="A5" s="14" t="str">
        <f>'Test Period'!$B3</f>
        <v>Forecast Period 12 Months Ending December 2021</v>
      </c>
      <c r="B5" s="2"/>
      <c r="C5" s="2"/>
      <c r="D5" s="2"/>
      <c r="E5" s="2"/>
      <c r="F5" s="2"/>
      <c r="G5" s="2"/>
      <c r="H5" s="2"/>
      <c r="I5" s="2"/>
      <c r="J5" s="2"/>
      <c r="K5" s="1"/>
      <c r="L5" s="1"/>
    </row>
    <row r="6" spans="1:32">
      <c r="A6" s="63"/>
      <c r="B6" s="62"/>
      <c r="C6" s="62"/>
      <c r="D6" s="62"/>
      <c r="E6" s="63"/>
      <c r="F6" s="62"/>
    </row>
    <row r="8" spans="1:32">
      <c r="A8" s="1"/>
      <c r="B8" s="4" t="s">
        <v>84</v>
      </c>
      <c r="C8" s="4" t="s">
        <v>85</v>
      </c>
      <c r="D8" s="4" t="s">
        <v>86</v>
      </c>
      <c r="E8" s="4" t="s">
        <v>87</v>
      </c>
      <c r="F8" s="4" t="s">
        <v>88</v>
      </c>
      <c r="G8" s="4" t="s">
        <v>89</v>
      </c>
      <c r="H8" s="4" t="s">
        <v>90</v>
      </c>
      <c r="I8" s="4" t="s">
        <v>91</v>
      </c>
      <c r="J8" s="4" t="s">
        <v>92</v>
      </c>
      <c r="K8" s="1"/>
      <c r="L8" s="1"/>
    </row>
    <row r="9" spans="1:32">
      <c r="A9" s="1"/>
      <c r="K9" s="1"/>
      <c r="L9" s="1"/>
    </row>
    <row r="10" spans="1:32">
      <c r="A10" s="1"/>
      <c r="B10" s="274"/>
      <c r="C10" s="1081" t="s">
        <v>1409</v>
      </c>
      <c r="D10" s="1082"/>
      <c r="E10" s="1082"/>
      <c r="F10" s="1082"/>
      <c r="G10" s="1081" t="s">
        <v>1423</v>
      </c>
      <c r="H10" s="1082"/>
      <c r="I10" s="1081" t="s">
        <v>1424</v>
      </c>
      <c r="J10" s="1082"/>
      <c r="K10" s="1"/>
      <c r="L10" s="4"/>
    </row>
    <row r="11" spans="1:32">
      <c r="A11" s="1"/>
      <c r="B11" s="275" t="s">
        <v>142</v>
      </c>
      <c r="C11" s="6" t="s">
        <v>97</v>
      </c>
      <c r="D11" s="13" t="s">
        <v>98</v>
      </c>
      <c r="E11" s="13" t="s">
        <v>1422</v>
      </c>
      <c r="F11" s="6" t="s">
        <v>93</v>
      </c>
      <c r="G11" s="1083"/>
      <c r="H11" s="6" t="s">
        <v>93</v>
      </c>
      <c r="I11" s="1083"/>
      <c r="J11" s="6" t="s">
        <v>93</v>
      </c>
      <c r="K11" s="1"/>
      <c r="L11" s="1"/>
    </row>
    <row r="12" spans="1:32" ht="18.75">
      <c r="A12" s="1"/>
      <c r="B12" s="1086" t="s">
        <v>81</v>
      </c>
      <c r="C12" s="1087" t="s">
        <v>1406</v>
      </c>
      <c r="D12" s="1088" t="s">
        <v>102</v>
      </c>
      <c r="E12" s="1088" t="s">
        <v>146</v>
      </c>
      <c r="F12" s="1089" t="s">
        <v>1426</v>
      </c>
      <c r="G12" s="1087" t="s">
        <v>1407</v>
      </c>
      <c r="H12" s="1089" t="s">
        <v>1426</v>
      </c>
      <c r="I12" s="1087" t="s">
        <v>1408</v>
      </c>
      <c r="J12" s="1089" t="s">
        <v>445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35.1" customHeight="1">
      <c r="A13" s="35" t="s">
        <v>103</v>
      </c>
      <c r="B13" s="276">
        <f>'Table 2'!P42/1000</f>
        <v>769345.39881000004</v>
      </c>
      <c r="C13" s="37">
        <f>SUM('Table 3'!E42:F42)/1000</f>
        <v>-8705.1216900000018</v>
      </c>
      <c r="D13" s="1084">
        <f>'Table 3'!G42/1000</f>
        <v>-5677.0576100000008</v>
      </c>
      <c r="E13" s="1085">
        <f t="shared" ref="E13:E20" si="0">C13+D13</f>
        <v>-14382.179300000003</v>
      </c>
      <c r="F13" s="11">
        <f t="shared" ref="F13:F20" si="1">B13+E13</f>
        <v>754963.21951000008</v>
      </c>
      <c r="G13" s="11">
        <f>('Table 3'!J42+'Table 3'!K42)/1000</f>
        <v>650.88628050004877</v>
      </c>
      <c r="H13" s="11">
        <f>F13+G13</f>
        <v>755614.10579050018</v>
      </c>
      <c r="I13" s="11">
        <f>'Table 3'!M42/1000</f>
        <v>-1121.482773100028</v>
      </c>
      <c r="J13" s="11">
        <f>H13+I13</f>
        <v>754492.62301740015</v>
      </c>
      <c r="K13" s="3"/>
      <c r="L13" s="38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35.1" customHeight="1">
      <c r="A14" s="39" t="s">
        <v>104</v>
      </c>
      <c r="B14" s="276">
        <f>'Table 2'!P80/1000</f>
        <v>739590.43036</v>
      </c>
      <c r="C14" s="37">
        <f>SUM('Table 3'!E80:F80)/1000</f>
        <v>-5742.704789999988</v>
      </c>
      <c r="D14" s="11">
        <f>'Table 3'!G80/1000</f>
        <v>209.61929999999992</v>
      </c>
      <c r="E14" s="46">
        <f t="shared" si="0"/>
        <v>-5533.0854899999877</v>
      </c>
      <c r="F14" s="11">
        <f t="shared" si="1"/>
        <v>734057.34487000003</v>
      </c>
      <c r="G14" s="11">
        <f>('Table 3'!J80+'Table 3'!K80)/1000</f>
        <v>532.000969700008</v>
      </c>
      <c r="H14" s="11">
        <f t="shared" ref="H14:H20" si="2">F14+G14</f>
        <v>734589.34583970008</v>
      </c>
      <c r="I14" s="11">
        <f>'Table 3'!M80/1000</f>
        <v>19479.910436034723</v>
      </c>
      <c r="J14" s="11">
        <f t="shared" ref="J14:J20" si="3">H14+I14</f>
        <v>754069.25627573475</v>
      </c>
      <c r="K14" s="3"/>
      <c r="L14" s="38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35.1" customHeight="1">
      <c r="A15" s="39" t="s">
        <v>117</v>
      </c>
      <c r="B15" s="276">
        <f>'Table 2'!P115/1000-B16-B17-B18</f>
        <v>341127.38760999986</v>
      </c>
      <c r="C15" s="37">
        <f>SUM('Table 3'!E115:F115)/1000-C16-C17-C18</f>
        <v>-5271.6538825864754</v>
      </c>
      <c r="D15" s="11">
        <f>'Table 3'!G115/1000-D16-D17-D18</f>
        <v>0</v>
      </c>
      <c r="E15" s="46">
        <f t="shared" si="0"/>
        <v>-5271.6538825864754</v>
      </c>
      <c r="F15" s="11">
        <f t="shared" si="1"/>
        <v>335855.7337274134</v>
      </c>
      <c r="G15" s="11">
        <f>('Table 3'!J115+'Table 3'!K115)/1000-G16-G17-G18</f>
        <v>247.51675139999205</v>
      </c>
      <c r="H15" s="11">
        <f t="shared" si="2"/>
        <v>336103.25047881342</v>
      </c>
      <c r="I15" s="11">
        <f>'Table 3'!M115/1000-I16-I17-I18</f>
        <v>6667.5031684864734</v>
      </c>
      <c r="J15" s="11">
        <f t="shared" si="3"/>
        <v>342770.75364729989</v>
      </c>
      <c r="K15" s="3"/>
      <c r="L15" s="38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35.1" customHeight="1">
      <c r="A16" s="39" t="s">
        <v>680</v>
      </c>
      <c r="B16" s="277">
        <f>'Table 2'!P99/1000</f>
        <v>30565.663190000003</v>
      </c>
      <c r="C16" s="54">
        <f>SUM('Table 3'!E99:F99)/1000</f>
        <v>98.049592399999497</v>
      </c>
      <c r="D16" s="53">
        <f>'Table 3'!G99/1000</f>
        <v>0</v>
      </c>
      <c r="E16" s="55">
        <f t="shared" si="0"/>
        <v>98.049592399999497</v>
      </c>
      <c r="F16" s="53">
        <f t="shared" si="1"/>
        <v>30663.712782400002</v>
      </c>
      <c r="G16" s="53">
        <f>('Table 3'!J99+'Table 3'!K99)/1000</f>
        <v>-1.0080000013113022E-4</v>
      </c>
      <c r="H16" s="53">
        <f t="shared" si="2"/>
        <v>30663.712681600002</v>
      </c>
      <c r="I16" s="53">
        <f>'Table 3'!M99/1000</f>
        <v>718.50727999999742</v>
      </c>
      <c r="J16" s="53">
        <f t="shared" si="3"/>
        <v>31382.2199616</v>
      </c>
      <c r="K16" s="3"/>
      <c r="L16" s="38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35.1" customHeight="1">
      <c r="A17" s="39" t="s">
        <v>681</v>
      </c>
      <c r="B17" s="277">
        <f>'Table 2'!P100/1000</f>
        <v>36340.880279999998</v>
      </c>
      <c r="C17" s="54">
        <f>SUM('Table 3'!E100:F100)/1000</f>
        <v>-1321.1231610556245</v>
      </c>
      <c r="D17" s="53">
        <f>'Table 3'!G100/1000</f>
        <v>0</v>
      </c>
      <c r="E17" s="55">
        <f t="shared" ref="E17" si="4">C17+D17</f>
        <v>-1321.1231610556245</v>
      </c>
      <c r="F17" s="53">
        <f t="shared" ref="F17" si="5">B17+E17</f>
        <v>35019.75711894437</v>
      </c>
      <c r="G17" s="53">
        <f>('Table 3'!J100+'Table 3'!K100)/1000</f>
        <v>4.0556266903877257E-6</v>
      </c>
      <c r="H17" s="53">
        <f t="shared" si="2"/>
        <v>35019.757122999996</v>
      </c>
      <c r="I17" s="53">
        <f>'Table 3'!M100/1000</f>
        <v>-3534.6259780000037</v>
      </c>
      <c r="J17" s="53">
        <f t="shared" si="3"/>
        <v>31485.131144999992</v>
      </c>
      <c r="K17" s="3"/>
      <c r="L17" s="38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35.1" customHeight="1">
      <c r="A18" s="39" t="s">
        <v>682</v>
      </c>
      <c r="B18" s="277">
        <f>'Table 2'!P101/1000</f>
        <v>67226.91691</v>
      </c>
      <c r="C18" s="54">
        <f>SUM('Table 3'!E101:F101)/1000</f>
        <v>-1317.2226700000017</v>
      </c>
      <c r="D18" s="53">
        <f>'Table 3'!G101/1000</f>
        <v>0</v>
      </c>
      <c r="E18" s="55">
        <f t="shared" ref="E18" si="6">C18+D18</f>
        <v>-1317.2226700000017</v>
      </c>
      <c r="F18" s="53">
        <f t="shared" ref="F18" si="7">B18+E18</f>
        <v>65909.694239999997</v>
      </c>
      <c r="G18" s="53">
        <f>('Table 3'!J101+'Table 3'!K101)/1000</f>
        <v>0</v>
      </c>
      <c r="H18" s="53">
        <f t="shared" si="2"/>
        <v>65909.694239999997</v>
      </c>
      <c r="I18" s="53">
        <f>'Table 3'!M101/1000</f>
        <v>-2952.101222690314</v>
      </c>
      <c r="J18" s="53">
        <f t="shared" si="3"/>
        <v>62957.593017309686</v>
      </c>
      <c r="K18" s="3"/>
      <c r="L18" s="38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35.1" customHeight="1">
      <c r="A19" s="39" t="s">
        <v>227</v>
      </c>
      <c r="B19" s="276">
        <f>'Table 2'!P133/1000</f>
        <v>16603.71788</v>
      </c>
      <c r="C19" s="37">
        <f>SUM('Table 3'!E133:F133)/1000</f>
        <v>-253.69126000000259</v>
      </c>
      <c r="D19" s="11">
        <f>'Table 3'!G133/1000</f>
        <v>-174.18984999999998</v>
      </c>
      <c r="E19" s="46">
        <f>C19+D19</f>
        <v>-427.88111000000254</v>
      </c>
      <c r="F19" s="11">
        <f>B19+E19</f>
        <v>16175.836769999998</v>
      </c>
      <c r="G19" s="11">
        <f>('Table 3'!J133+'Table 3'!K133)/1000</f>
        <v>0.51156790000095498</v>
      </c>
      <c r="H19" s="11">
        <f t="shared" si="2"/>
        <v>16176.348337899999</v>
      </c>
      <c r="I19" s="11">
        <f>'Table 3'!M133/1000</f>
        <v>1754.8289555999991</v>
      </c>
      <c r="J19" s="11">
        <f t="shared" si="3"/>
        <v>17931.177293499997</v>
      </c>
      <c r="K19" s="3"/>
      <c r="L19" s="38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35.1" customHeight="1">
      <c r="A20" s="39" t="s">
        <v>105</v>
      </c>
      <c r="B20" s="277">
        <f>'Table 2'!P156/1000</f>
        <v>7615.9544999999998</v>
      </c>
      <c r="C20" s="54">
        <f>SUM('Table 3'!E156:F156)/1000</f>
        <v>-30.519949999999984</v>
      </c>
      <c r="D20" s="53">
        <f>'Table 3'!G156/1000</f>
        <v>0</v>
      </c>
      <c r="E20" s="55">
        <f t="shared" si="0"/>
        <v>-30.519949999999984</v>
      </c>
      <c r="F20" s="53">
        <f t="shared" si="1"/>
        <v>7585.4345499999999</v>
      </c>
      <c r="G20" s="53">
        <f>('Table 3'!J156+'Table 3'!K156)/1000</f>
        <v>-1.5440043000002479</v>
      </c>
      <c r="H20" s="53">
        <f t="shared" si="2"/>
        <v>7583.8905457000001</v>
      </c>
      <c r="I20" s="53">
        <f>'Table 3'!M156/1000</f>
        <v>-976.69665500000008</v>
      </c>
      <c r="J20" s="53">
        <f t="shared" si="3"/>
        <v>6607.1938907000003</v>
      </c>
      <c r="K20" s="3"/>
      <c r="L20" s="3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35.1" customHeight="1">
      <c r="A21" s="39" t="s">
        <v>106</v>
      </c>
      <c r="B21" s="523">
        <f t="shared" ref="B21:H21" si="8">SUM(B13:B20)</f>
        <v>2008416.3495399996</v>
      </c>
      <c r="C21" s="53">
        <f t="shared" si="8"/>
        <v>-22543.987811242099</v>
      </c>
      <c r="D21" s="53">
        <f t="shared" si="8"/>
        <v>-5641.6281600000002</v>
      </c>
      <c r="E21" s="53">
        <f t="shared" si="8"/>
        <v>-28185.615971242096</v>
      </c>
      <c r="F21" s="53">
        <f t="shared" si="8"/>
        <v>1980230.7335687578</v>
      </c>
      <c r="G21" s="53">
        <f t="shared" si="8"/>
        <v>1429.371468455676</v>
      </c>
      <c r="H21" s="53">
        <f t="shared" si="8"/>
        <v>1981660.1050372135</v>
      </c>
      <c r="I21" s="53">
        <f t="shared" ref="I21:J21" si="9">SUM(I13:I20)</f>
        <v>20035.843211330844</v>
      </c>
      <c r="J21" s="53">
        <f t="shared" si="9"/>
        <v>2001695.9482485442</v>
      </c>
      <c r="K21" s="3"/>
      <c r="L21" s="3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>
      <c r="A22" s="41"/>
      <c r="B22" s="278"/>
      <c r="C22" s="51"/>
      <c r="D22" s="42"/>
      <c r="E22" s="42"/>
      <c r="F22" s="42"/>
      <c r="G22" s="42"/>
      <c r="H22" s="42"/>
      <c r="I22" s="42"/>
      <c r="J22" s="4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>
      <c r="A23" s="41" t="s">
        <v>107</v>
      </c>
      <c r="B23" s="278" t="s">
        <v>489</v>
      </c>
      <c r="C23" s="51" t="s">
        <v>116</v>
      </c>
      <c r="D23" s="51" t="s">
        <v>116</v>
      </c>
      <c r="E23" s="42" t="s">
        <v>145</v>
      </c>
      <c r="F23" s="42" t="s">
        <v>144</v>
      </c>
      <c r="G23" s="13" t="s">
        <v>116</v>
      </c>
      <c r="H23" s="13" t="s">
        <v>143</v>
      </c>
      <c r="I23" s="13" t="s">
        <v>116</v>
      </c>
      <c r="J23" s="13" t="s">
        <v>1425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6.899999999999999" customHeight="1">
      <c r="A24" s="39"/>
      <c r="B24" s="279"/>
      <c r="C24" s="52"/>
      <c r="D24" s="49"/>
      <c r="E24" s="49"/>
      <c r="F24" s="49"/>
      <c r="G24" s="49"/>
      <c r="H24" s="49"/>
      <c r="I24" s="49"/>
      <c r="J24" s="49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6.899999999999999" customHeight="1">
      <c r="A25" s="1090"/>
      <c r="B25" s="1091"/>
      <c r="C25" s="1091"/>
      <c r="D25" s="65"/>
      <c r="E25" s="65"/>
      <c r="F25" s="65"/>
      <c r="G25" s="65"/>
      <c r="H25" s="65"/>
      <c r="I25" s="65"/>
      <c r="J25" s="65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>
      <c r="A26" s="437" t="s">
        <v>678</v>
      </c>
    </row>
    <row r="27" spans="1:32" ht="18.75">
      <c r="A27" s="57" t="s">
        <v>1319</v>
      </c>
      <c r="B27" s="1"/>
      <c r="C27" s="1"/>
      <c r="D27" s="1"/>
      <c r="E27" s="1"/>
      <c r="F27" s="1"/>
    </row>
    <row r="28" spans="1:32" ht="18" customHeight="1">
      <c r="A28" s="103" t="s">
        <v>1320</v>
      </c>
      <c r="B28" s="1"/>
      <c r="C28" s="1"/>
      <c r="D28" s="1"/>
      <c r="E28" s="1"/>
      <c r="F28" s="1"/>
    </row>
    <row r="29" spans="1:32" ht="18" customHeight="1">
      <c r="A29" s="44" t="s">
        <v>1321</v>
      </c>
      <c r="B29" s="1"/>
      <c r="C29" s="1"/>
      <c r="D29" s="1"/>
      <c r="E29" s="1"/>
      <c r="F29" s="1"/>
    </row>
    <row r="30" spans="1:32" ht="18" customHeight="1">
      <c r="A30" s="57" t="s">
        <v>1427</v>
      </c>
      <c r="B30" s="1"/>
      <c r="C30" s="1"/>
      <c r="D30" s="1"/>
      <c r="E30" s="1"/>
      <c r="F30" s="1"/>
    </row>
    <row r="31" spans="1:32" ht="18" customHeight="1">
      <c r="A31" s="57" t="s">
        <v>1414</v>
      </c>
      <c r="B31" s="1"/>
      <c r="C31" s="1"/>
      <c r="D31" s="1"/>
      <c r="E31" s="1"/>
      <c r="F31" s="1"/>
    </row>
    <row r="32" spans="1:32" ht="18" customHeight="1">
      <c r="A32" s="57"/>
      <c r="B32" s="1"/>
      <c r="C32" s="1"/>
      <c r="D32" s="1"/>
      <c r="E32" s="1"/>
      <c r="F32" s="1"/>
    </row>
    <row r="33" spans="1:6" ht="18" customHeight="1">
      <c r="A33" s="44"/>
      <c r="B33" s="1"/>
      <c r="C33" s="1"/>
      <c r="D33" s="1"/>
      <c r="E33" s="1"/>
      <c r="F33" s="1"/>
    </row>
    <row r="34" spans="1:6">
      <c r="A34" s="1"/>
      <c r="B34" s="45"/>
      <c r="C34" s="1"/>
      <c r="D34" s="1"/>
      <c r="E34" s="1"/>
      <c r="F34" s="1"/>
    </row>
    <row r="42" spans="1:6">
      <c r="B42" s="101"/>
      <c r="C42" s="89"/>
      <c r="D42" s="89"/>
      <c r="F42" s="89"/>
    </row>
    <row r="43" spans="1:6">
      <c r="B43" s="89"/>
    </row>
  </sheetData>
  <phoneticPr fontId="25" type="noConversion"/>
  <printOptions horizontalCentered="1"/>
  <pageMargins left="0.5" right="0.5" top="0.75" bottom="0.55000000000000004" header="0.5" footer="0.38"/>
  <pageSetup scale="72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">
    <tabColor theme="4" tint="0.59999389629810485"/>
    <pageSetUpPr fitToPage="1"/>
  </sheetPr>
  <dimension ref="A1:AA32"/>
  <sheetViews>
    <sheetView zoomScale="90" zoomScaleNormal="90" workbookViewId="0">
      <selection activeCell="L19" sqref="L19"/>
    </sheetView>
  </sheetViews>
  <sheetFormatPr defaultColWidth="9.625" defaultRowHeight="15.75"/>
  <cols>
    <col min="1" max="1" width="15.625" style="10" customWidth="1"/>
    <col min="2" max="8" width="13.625" style="10" customWidth="1"/>
    <col min="9" max="16384" width="9.625" style="10"/>
  </cols>
  <sheetData>
    <row r="1" spans="1:27" ht="18.75">
      <c r="A1" s="14" t="s">
        <v>469</v>
      </c>
      <c r="B1" s="104"/>
      <c r="C1" s="104"/>
      <c r="D1" s="104"/>
      <c r="E1" s="104"/>
      <c r="F1" s="104"/>
      <c r="G1" s="104"/>
      <c r="H1" s="104"/>
    </row>
    <row r="2" spans="1:27" ht="18.75">
      <c r="A2" s="14" t="s">
        <v>497</v>
      </c>
      <c r="B2" s="104"/>
      <c r="C2" s="104"/>
      <c r="D2" s="104"/>
      <c r="E2" s="104"/>
      <c r="F2" s="104"/>
      <c r="G2" s="104"/>
      <c r="H2" s="104"/>
    </row>
    <row r="3" spans="1:27" ht="18.75">
      <c r="A3" s="14" t="s">
        <v>535</v>
      </c>
      <c r="B3" s="104"/>
      <c r="C3" s="104"/>
      <c r="D3" s="104"/>
      <c r="E3" s="104"/>
      <c r="F3" s="104"/>
      <c r="G3" s="104"/>
      <c r="H3" s="104"/>
    </row>
    <row r="4" spans="1:27" ht="18.75">
      <c r="A4" s="14" t="str">
        <f>'Test Period'!$B2</f>
        <v>Base Period 12 Months Ending December 2019</v>
      </c>
      <c r="B4" s="104"/>
      <c r="C4" s="104"/>
      <c r="D4" s="104"/>
      <c r="E4" s="104"/>
      <c r="F4" s="104"/>
      <c r="G4" s="104"/>
      <c r="H4" s="104"/>
    </row>
    <row r="5" spans="1:27" ht="18.75">
      <c r="A5" s="14" t="str">
        <f>'Test Period'!$B3</f>
        <v>Forecast Period 12 Months Ending December 2021</v>
      </c>
      <c r="B5" s="104"/>
      <c r="C5" s="104"/>
      <c r="D5" s="104"/>
      <c r="E5" s="104"/>
      <c r="F5" s="104"/>
      <c r="G5" s="104"/>
      <c r="H5" s="104"/>
    </row>
    <row r="8" spans="1:27">
      <c r="A8" s="1"/>
      <c r="B8" s="4" t="s">
        <v>84</v>
      </c>
      <c r="C8" s="4" t="s">
        <v>85</v>
      </c>
      <c r="D8" s="4" t="s">
        <v>86</v>
      </c>
      <c r="E8" s="4" t="s">
        <v>87</v>
      </c>
      <c r="F8" s="4" t="s">
        <v>88</v>
      </c>
      <c r="G8" s="4" t="s">
        <v>89</v>
      </c>
      <c r="H8" s="4" t="s">
        <v>90</v>
      </c>
    </row>
    <row r="9" spans="1:27">
      <c r="A9" s="1"/>
      <c r="B9" s="2"/>
      <c r="C9" s="2"/>
      <c r="D9" s="2"/>
      <c r="E9" s="2"/>
      <c r="F9" s="2"/>
      <c r="G9" s="2"/>
      <c r="H9" s="2"/>
    </row>
    <row r="10" spans="1:27">
      <c r="A10" s="1"/>
      <c r="B10" s="1092"/>
      <c r="C10" s="1093" t="s">
        <v>1409</v>
      </c>
      <c r="D10" s="1094"/>
      <c r="E10" s="1093" t="s">
        <v>1423</v>
      </c>
      <c r="F10" s="1094"/>
      <c r="G10" s="1093" t="s">
        <v>1424</v>
      </c>
      <c r="H10" s="1094"/>
    </row>
    <row r="11" spans="1:27">
      <c r="A11" s="1"/>
      <c r="B11" s="309" t="s">
        <v>142</v>
      </c>
      <c r="C11" s="306" t="s">
        <v>102</v>
      </c>
      <c r="D11" s="304" t="s">
        <v>100</v>
      </c>
      <c r="E11" s="306" t="s">
        <v>411</v>
      </c>
      <c r="F11" s="304" t="s">
        <v>100</v>
      </c>
      <c r="G11" s="306" t="s">
        <v>445</v>
      </c>
      <c r="H11" s="306" t="s">
        <v>93</v>
      </c>
    </row>
    <row r="12" spans="1:27">
      <c r="A12" s="1"/>
      <c r="B12" s="309" t="s">
        <v>425</v>
      </c>
      <c r="C12" s="307" t="s">
        <v>146</v>
      </c>
      <c r="D12" s="304" t="s">
        <v>425</v>
      </c>
      <c r="E12" s="307" t="s">
        <v>146</v>
      </c>
      <c r="F12" s="304" t="s">
        <v>425</v>
      </c>
      <c r="G12" s="307" t="s">
        <v>146</v>
      </c>
      <c r="H12" s="307" t="s">
        <v>445</v>
      </c>
    </row>
    <row r="13" spans="1:27" ht="18.75">
      <c r="A13" s="1"/>
      <c r="B13" s="305" t="s">
        <v>109</v>
      </c>
      <c r="C13" s="308" t="s">
        <v>1431</v>
      </c>
      <c r="D13" s="304" t="s">
        <v>109</v>
      </c>
      <c r="E13" s="308" t="s">
        <v>1432</v>
      </c>
      <c r="F13" s="304" t="s">
        <v>109</v>
      </c>
      <c r="G13" s="308" t="s">
        <v>1433</v>
      </c>
      <c r="H13" s="308" t="s">
        <v>109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>
      <c r="A14" s="35" t="s">
        <v>103</v>
      </c>
      <c r="B14" s="58">
        <f>'Table 2'!H42/1000</f>
        <v>7154065.1100000003</v>
      </c>
      <c r="C14" s="59">
        <f>SUM('Table 2'!I42:K42)/1000</f>
        <v>-69486.230522924612</v>
      </c>
      <c r="D14" s="58">
        <f>B14+C14</f>
        <v>7084578.8794770753</v>
      </c>
      <c r="E14" s="59">
        <f>'Table 2'!L42/1000</f>
        <v>-53.894000000241803</v>
      </c>
      <c r="F14" s="58">
        <f>D14+E14</f>
        <v>7084524.985477075</v>
      </c>
      <c r="G14" s="59">
        <f>'Table 2'!N42/1000</f>
        <v>-33759.487418618133</v>
      </c>
      <c r="H14" s="58">
        <f>SUM(F14:G14)</f>
        <v>7050765.4980584569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39" t="s">
        <v>104</v>
      </c>
      <c r="B15" s="58">
        <f>'Table 2'!H80/1000</f>
        <v>9053740.4949999992</v>
      </c>
      <c r="C15" s="58">
        <f>SUM('Table 2'!I80:K80)/1000</f>
        <v>44970.53358075978</v>
      </c>
      <c r="D15" s="58">
        <f t="shared" ref="D15:D21" si="0">B15+C15</f>
        <v>9098711.0285807587</v>
      </c>
      <c r="E15" s="58">
        <f>'Table 2'!L80/1000</f>
        <v>1.3511799577672849</v>
      </c>
      <c r="F15" s="58">
        <f t="shared" ref="F15:F21" si="1">D15+E15</f>
        <v>9098712.3797607161</v>
      </c>
      <c r="G15" s="58">
        <f>'Table 2'!N80/1000</f>
        <v>418367.20953576436</v>
      </c>
      <c r="H15" s="58">
        <f t="shared" ref="H15:H21" si="2">SUM(F15:G15)</f>
        <v>9517079.5892964806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39" t="s">
        <v>117</v>
      </c>
      <c r="B16" s="58">
        <f>'Table 2'!H115/1000-B17-B18-B19</f>
        <v>5312499.6370000001</v>
      </c>
      <c r="C16" s="58">
        <f>SUM('Table 2'!I115:K115)/1000-C17-C18-C19</f>
        <v>36141.660954639214</v>
      </c>
      <c r="D16" s="58">
        <f t="shared" si="0"/>
        <v>5348641.2979546394</v>
      </c>
      <c r="E16" s="58">
        <f>'Table 2'!L115/1000-E17-E18-E19</f>
        <v>-4.4138362983272632</v>
      </c>
      <c r="F16" s="58">
        <f t="shared" si="1"/>
        <v>5348636.8841183409</v>
      </c>
      <c r="G16" s="58">
        <f>'Table 2'!N115/1000-G17-G18-G19</f>
        <v>33348.535854640475</v>
      </c>
      <c r="H16" s="58">
        <f t="shared" si="2"/>
        <v>5381985.4199729813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>
      <c r="A17" s="39" t="s">
        <v>680</v>
      </c>
      <c r="B17" s="58">
        <f>'Table 2'!H99/1000</f>
        <v>602656</v>
      </c>
      <c r="C17" s="58">
        <f>SUM('Table 2'!I99:K99)/1000</f>
        <v>314</v>
      </c>
      <c r="D17" s="58">
        <f t="shared" si="0"/>
        <v>602970</v>
      </c>
      <c r="E17" s="58">
        <f>'Table 2'!L99/1000</f>
        <v>0</v>
      </c>
      <c r="F17" s="58">
        <f t="shared" si="1"/>
        <v>602970</v>
      </c>
      <c r="G17" s="58">
        <f>'Table 2'!N99/1000</f>
        <v>14130</v>
      </c>
      <c r="H17" s="58">
        <f t="shared" si="2"/>
        <v>617100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>
      <c r="A18" s="39" t="s">
        <v>681</v>
      </c>
      <c r="B18" s="58">
        <f>'Table 2'!H100/1000</f>
        <v>809246.44</v>
      </c>
      <c r="C18" s="58">
        <f>SUM('Table 2'!I100:K100)/1000</f>
        <v>-24853.112000000001</v>
      </c>
      <c r="D18" s="58">
        <f t="shared" si="0"/>
        <v>784393.32799999998</v>
      </c>
      <c r="E18" s="58">
        <f>'Table 2'!L100/1000</f>
        <v>0</v>
      </c>
      <c r="F18" s="58">
        <f t="shared" si="1"/>
        <v>784393.32799999998</v>
      </c>
      <c r="G18" s="58">
        <f>'Table 2'!N100/1000</f>
        <v>-78937.779053439968</v>
      </c>
      <c r="H18" s="58">
        <f t="shared" si="2"/>
        <v>705455.54894656001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>
      <c r="A19" s="39" t="s">
        <v>682</v>
      </c>
      <c r="B19" s="58">
        <f>'Table 2'!H101/1000</f>
        <v>1287045.423</v>
      </c>
      <c r="C19" s="58">
        <f>SUM('Table 2'!I101:K101)/1000</f>
        <v>-2182.1770000000001</v>
      </c>
      <c r="D19" s="58">
        <f t="shared" si="0"/>
        <v>1284863.246</v>
      </c>
      <c r="E19" s="58">
        <f>'Table 2'!L101/1000</f>
        <v>0</v>
      </c>
      <c r="F19" s="58">
        <f t="shared" si="1"/>
        <v>1284863.246</v>
      </c>
      <c r="G19" s="58">
        <f>'Table 2'!N101/1000</f>
        <v>3762.951</v>
      </c>
      <c r="H19" s="58">
        <f t="shared" si="2"/>
        <v>1288626.1969999999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>
      <c r="A20" s="39" t="s">
        <v>227</v>
      </c>
      <c r="B20" s="58">
        <f>('Table 2'!H133)/1000</f>
        <v>209011.85399999999</v>
      </c>
      <c r="C20" s="58">
        <f>SUM('Table 2'!I133:K133)/1000</f>
        <v>-1694.9254288000009</v>
      </c>
      <c r="D20" s="58">
        <f t="shared" si="0"/>
        <v>207316.9285712</v>
      </c>
      <c r="E20" s="58">
        <f>'Table 2'!L133/1000</f>
        <v>1.0000000064173946E-3</v>
      </c>
      <c r="F20" s="58">
        <f t="shared" si="1"/>
        <v>207316.92957120002</v>
      </c>
      <c r="G20" s="58">
        <f>'Table 2'!N133/1000</f>
        <v>23075.543148141311</v>
      </c>
      <c r="H20" s="58">
        <f t="shared" si="2"/>
        <v>230392.47271934134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>
      <c r="A21" s="39" t="s">
        <v>105</v>
      </c>
      <c r="B21" s="58">
        <f>'Table 2'!H156/1000</f>
        <v>62040.444000000003</v>
      </c>
      <c r="C21" s="58">
        <f>SUM('Table 2'!I156:K156)/1000</f>
        <v>125.72227490565788</v>
      </c>
      <c r="D21" s="58">
        <f t="shared" si="0"/>
        <v>62166.166274905663</v>
      </c>
      <c r="E21" s="58">
        <f>'Table 2'!L156/1000</f>
        <v>-1.9799222794046726E-2</v>
      </c>
      <c r="F21" s="58">
        <f t="shared" si="1"/>
        <v>62166.146475682872</v>
      </c>
      <c r="G21" s="58">
        <f>'Table 2'!N156/1000</f>
        <v>-16182.712383808359</v>
      </c>
      <c r="H21" s="58">
        <f t="shared" si="2"/>
        <v>45983.434091874515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>
      <c r="A22" s="39" t="s">
        <v>106</v>
      </c>
      <c r="B22" s="1095">
        <f t="shared" ref="B22:H22" si="3">SUM(B14:B21)</f>
        <v>24490305.402999997</v>
      </c>
      <c r="C22" s="59">
        <f t="shared" si="3"/>
        <v>-16664.528141419964</v>
      </c>
      <c r="D22" s="59">
        <f t="shared" si="3"/>
        <v>24473640.874858581</v>
      </c>
      <c r="E22" s="59">
        <f t="shared" si="3"/>
        <v>-56.975455563589414</v>
      </c>
      <c r="F22" s="59">
        <f t="shared" si="3"/>
        <v>24473583.899403017</v>
      </c>
      <c r="G22" s="59">
        <f t="shared" si="3"/>
        <v>363804.26068267971</v>
      </c>
      <c r="H22" s="59">
        <f t="shared" si="3"/>
        <v>24837388.160085693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>
      <c r="A23" s="41"/>
      <c r="B23" s="1096"/>
      <c r="C23" s="42"/>
      <c r="D23" s="42"/>
      <c r="E23" s="42"/>
      <c r="F23" s="42"/>
      <c r="G23" s="42"/>
      <c r="H23" s="4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>
      <c r="A24" s="41" t="s">
        <v>107</v>
      </c>
      <c r="B24" s="1097" t="s">
        <v>489</v>
      </c>
      <c r="C24" s="13" t="s">
        <v>108</v>
      </c>
      <c r="D24" s="13" t="s">
        <v>1428</v>
      </c>
      <c r="E24" s="13" t="s">
        <v>108</v>
      </c>
      <c r="F24" s="13" t="s">
        <v>1429</v>
      </c>
      <c r="G24" s="13" t="s">
        <v>108</v>
      </c>
      <c r="H24" s="13" t="s">
        <v>1430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>
      <c r="A25" s="39"/>
      <c r="B25" s="308"/>
      <c r="C25" s="49"/>
      <c r="D25" s="49"/>
      <c r="E25" s="49"/>
      <c r="F25" s="49"/>
      <c r="G25" s="49"/>
      <c r="H25" s="4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>
      <c r="A26" s="43"/>
    </row>
    <row r="27" spans="1:27">
      <c r="A27" s="437" t="s">
        <v>678</v>
      </c>
    </row>
    <row r="28" spans="1:27" ht="18.75">
      <c r="A28" s="57" t="s">
        <v>942</v>
      </c>
      <c r="B28" s="1"/>
      <c r="C28" s="1"/>
      <c r="D28" s="1"/>
      <c r="E28" s="1"/>
      <c r="F28" s="1"/>
      <c r="G28" s="1"/>
      <c r="H28" s="1"/>
    </row>
    <row r="29" spans="1:27" ht="18.75">
      <c r="A29" s="57" t="s">
        <v>1632</v>
      </c>
      <c r="B29" s="1"/>
      <c r="C29" s="1"/>
      <c r="D29" s="1"/>
      <c r="E29" s="1"/>
      <c r="F29" s="1"/>
      <c r="G29" s="1"/>
      <c r="H29" s="1"/>
    </row>
    <row r="30" spans="1:27" ht="18" customHeight="1">
      <c r="A30" s="57" t="s">
        <v>1633</v>
      </c>
      <c r="B30" s="1"/>
      <c r="C30" s="1"/>
      <c r="D30" s="1"/>
      <c r="E30" s="1"/>
      <c r="F30" s="1"/>
      <c r="G30" s="1"/>
      <c r="H30" s="1"/>
    </row>
    <row r="31" spans="1:27">
      <c r="A31" s="1"/>
      <c r="B31" s="45"/>
      <c r="C31" s="1"/>
      <c r="D31" s="1"/>
      <c r="E31" s="1"/>
      <c r="F31" s="1"/>
      <c r="G31" s="1"/>
      <c r="H31" s="1"/>
    </row>
    <row r="32" spans="1:27">
      <c r="B32" s="29"/>
    </row>
  </sheetData>
  <phoneticPr fontId="25" type="noConversion"/>
  <printOptions horizontalCentered="1"/>
  <pageMargins left="1" right="0.5" top="0.5" bottom="0.55000000000000004" header="0.5" footer="0.38"/>
  <pageSetup scale="78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 tint="0.59999389629810485"/>
    <pageSetUpPr fitToPage="1"/>
  </sheetPr>
  <dimension ref="A1:Z208"/>
  <sheetViews>
    <sheetView topLeftCell="A8" zoomScale="90" zoomScaleNormal="90" workbookViewId="0">
      <pane xSplit="3" ySplit="3" topLeftCell="M109" activePane="bottomRight" state="frozen"/>
      <selection activeCell="L19" sqref="L19"/>
      <selection pane="topRight" activeCell="L19" sqref="L19"/>
      <selection pane="bottomLeft" activeCell="L19" sqref="L19"/>
      <selection pane="bottomRight" activeCell="Y64" sqref="Y64"/>
    </sheetView>
  </sheetViews>
  <sheetFormatPr defaultColWidth="9" defaultRowHeight="15.75"/>
  <cols>
    <col min="1" max="1" width="3.75" style="10" customWidth="1"/>
    <col min="2" max="2" width="21.625" style="360" bestFit="1" customWidth="1"/>
    <col min="3" max="3" width="2" style="10" customWidth="1"/>
    <col min="4" max="4" width="10.125" style="321" customWidth="1"/>
    <col min="5" max="5" width="10.625" style="321" customWidth="1"/>
    <col min="6" max="7" width="10.25" style="321" customWidth="1"/>
    <col min="8" max="8" width="15.25" style="321" bestFit="1" customWidth="1"/>
    <col min="9" max="9" width="17.125" style="321" customWidth="1"/>
    <col min="10" max="10" width="12.125" style="321" customWidth="1"/>
    <col min="11" max="11" width="14.25" style="321" customWidth="1"/>
    <col min="12" max="12" width="18.125" style="321" bestFit="1" customWidth="1"/>
    <col min="13" max="13" width="15.25" style="321" customWidth="1"/>
    <col min="14" max="14" width="18.125" style="321" bestFit="1" customWidth="1"/>
    <col min="15" max="15" width="15.25" style="321" customWidth="1"/>
    <col min="16" max="16" width="15.125" style="10" bestFit="1" customWidth="1"/>
    <col min="17" max="19" width="14.25" style="10" customWidth="1"/>
    <col min="20" max="20" width="15.125" style="10" customWidth="1"/>
    <col min="21" max="21" width="2.625" style="10" customWidth="1"/>
    <col min="22" max="22" width="11.125" style="10" bestFit="1" customWidth="1"/>
    <col min="23" max="24" width="9" style="10"/>
    <col min="25" max="27" width="13.625" style="10" bestFit="1" customWidth="1"/>
    <col min="28" max="16384" width="9" style="10"/>
  </cols>
  <sheetData>
    <row r="1" spans="1:26" ht="18.75">
      <c r="A1" s="14" t="s">
        <v>108</v>
      </c>
      <c r="B1" s="358"/>
      <c r="C1" s="15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15"/>
      <c r="Q1" s="15"/>
      <c r="R1" s="15"/>
      <c r="S1" s="15"/>
      <c r="T1" s="15"/>
      <c r="U1" s="15"/>
    </row>
    <row r="2" spans="1:26" ht="18.75">
      <c r="A2" s="14" t="s">
        <v>497</v>
      </c>
      <c r="B2" s="358"/>
      <c r="C2" s="15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15"/>
      <c r="Q2" s="15"/>
      <c r="R2" s="15"/>
      <c r="S2" s="15"/>
      <c r="T2" s="15"/>
      <c r="U2" s="15"/>
    </row>
    <row r="3" spans="1:26" ht="18.75">
      <c r="A3" s="14" t="s">
        <v>446</v>
      </c>
      <c r="B3" s="358"/>
      <c r="C3" s="15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15"/>
      <c r="Q3" s="15"/>
      <c r="R3" s="15"/>
      <c r="S3" s="15"/>
      <c r="T3" s="15"/>
      <c r="U3" s="15"/>
    </row>
    <row r="4" spans="1:26" ht="18.75">
      <c r="A4" s="14" t="str">
        <f>'Test Period'!$B2</f>
        <v>Base Period 12 Months Ending December 2019</v>
      </c>
      <c r="B4" s="358"/>
      <c r="C4" s="15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15"/>
      <c r="Q4" s="15"/>
      <c r="R4" s="15"/>
      <c r="S4" s="15"/>
      <c r="T4" s="15"/>
      <c r="U4" s="15"/>
    </row>
    <row r="5" spans="1:26" ht="18.75">
      <c r="A5" s="14" t="str">
        <f>'Test Period'!$B3</f>
        <v>Forecast Period 12 Months Ending December 2021</v>
      </c>
      <c r="B5" s="358"/>
      <c r="C5" s="15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15"/>
      <c r="Q5" s="15"/>
      <c r="R5" s="15"/>
      <c r="S5" s="15"/>
      <c r="T5" s="15"/>
      <c r="U5" s="15"/>
    </row>
    <row r="6" spans="1:26" ht="18.75">
      <c r="A6" s="14"/>
      <c r="B6" s="358"/>
      <c r="C6" s="15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15"/>
      <c r="Q6" s="15"/>
      <c r="R6" s="15"/>
      <c r="S6" s="15"/>
      <c r="T6" s="15"/>
      <c r="U6" s="15"/>
    </row>
    <row r="7" spans="1:26" ht="18.75">
      <c r="A7" s="14"/>
      <c r="B7" s="358"/>
      <c r="C7" s="15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15"/>
      <c r="Q7" s="15"/>
      <c r="R7" s="15"/>
      <c r="S7" s="15"/>
      <c r="T7" s="15"/>
      <c r="U7" s="15"/>
    </row>
    <row r="8" spans="1:26" ht="18.75">
      <c r="A8" s="14"/>
      <c r="B8" s="358"/>
      <c r="C8" s="15"/>
      <c r="D8" s="407"/>
      <c r="E8" s="314"/>
      <c r="F8" s="314"/>
      <c r="G8" s="314"/>
      <c r="H8" s="401" t="s">
        <v>111</v>
      </c>
      <c r="I8" s="393"/>
      <c r="J8" s="392"/>
      <c r="K8" s="392"/>
      <c r="L8" s="393"/>
      <c r="M8" s="392"/>
      <c r="N8" s="1053"/>
      <c r="O8" s="392"/>
      <c r="P8" s="1079" t="s">
        <v>82</v>
      </c>
      <c r="Q8" s="439"/>
      <c r="R8" s="420"/>
      <c r="S8" s="420"/>
      <c r="T8" s="421"/>
      <c r="U8" s="1078"/>
      <c r="X8" s="30"/>
      <c r="Y8" s="30"/>
      <c r="Z8" s="30"/>
    </row>
    <row r="9" spans="1:26" ht="19.5">
      <c r="A9" s="14"/>
      <c r="B9" s="358"/>
      <c r="C9" s="15"/>
      <c r="D9" s="1080" t="s">
        <v>1404</v>
      </c>
      <c r="E9" s="392"/>
      <c r="F9" s="392"/>
      <c r="G9" s="392"/>
      <c r="H9" s="402"/>
      <c r="I9" s="954" t="s">
        <v>1421</v>
      </c>
      <c r="J9" s="1057"/>
      <c r="K9" s="394"/>
      <c r="L9" s="315" t="s">
        <v>1405</v>
      </c>
      <c r="M9" s="395" t="s">
        <v>100</v>
      </c>
      <c r="N9" s="315" t="s">
        <v>1415</v>
      </c>
      <c r="O9" s="1054" t="s">
        <v>93</v>
      </c>
      <c r="P9" s="408"/>
      <c r="Q9" s="1058" t="s">
        <v>139</v>
      </c>
      <c r="R9" s="1058" t="s">
        <v>140</v>
      </c>
      <c r="S9" s="1058" t="s">
        <v>1401</v>
      </c>
      <c r="T9" s="414" t="s">
        <v>93</v>
      </c>
      <c r="U9" s="65"/>
    </row>
    <row r="10" spans="1:26" ht="18.75">
      <c r="A10" s="16"/>
      <c r="B10" s="359"/>
      <c r="C10" s="18"/>
      <c r="D10" s="403" t="s">
        <v>1046</v>
      </c>
      <c r="E10" s="316" t="s">
        <v>146</v>
      </c>
      <c r="F10" s="316" t="s">
        <v>100</v>
      </c>
      <c r="G10" s="316" t="s">
        <v>445</v>
      </c>
      <c r="H10" s="403" t="s">
        <v>1046</v>
      </c>
      <c r="I10" s="324" t="s">
        <v>102</v>
      </c>
      <c r="J10" s="316" t="s">
        <v>136</v>
      </c>
      <c r="K10" s="323" t="s">
        <v>98</v>
      </c>
      <c r="L10" s="1052" t="s">
        <v>411</v>
      </c>
      <c r="M10" s="396" t="s">
        <v>425</v>
      </c>
      <c r="N10" s="1052" t="s">
        <v>1402</v>
      </c>
      <c r="O10" s="324" t="s">
        <v>445</v>
      </c>
      <c r="P10" s="409" t="s">
        <v>142</v>
      </c>
      <c r="Q10" s="1059" t="s">
        <v>1406</v>
      </c>
      <c r="R10" s="1059" t="s">
        <v>1407</v>
      </c>
      <c r="S10" s="1059" t="s">
        <v>1408</v>
      </c>
      <c r="T10" s="415" t="s">
        <v>445</v>
      </c>
      <c r="U10" s="88"/>
      <c r="V10" s="10" t="s">
        <v>468</v>
      </c>
      <c r="W10" s="88" t="s">
        <v>136</v>
      </c>
    </row>
    <row r="11" spans="1:26">
      <c r="A11" s="17" t="s">
        <v>103</v>
      </c>
      <c r="B11" s="359"/>
      <c r="C11" s="16"/>
      <c r="D11" s="404"/>
      <c r="E11" s="317"/>
      <c r="F11" s="317"/>
      <c r="G11" s="317"/>
      <c r="H11" s="404"/>
      <c r="I11" s="322"/>
      <c r="J11" s="317"/>
      <c r="K11" s="325"/>
      <c r="L11" s="317"/>
      <c r="M11" s="397"/>
      <c r="N11" s="397"/>
      <c r="O11" s="397"/>
      <c r="P11" s="410"/>
      <c r="Q11" s="19"/>
      <c r="R11" s="19"/>
      <c r="S11" s="594"/>
      <c r="T11" s="416"/>
      <c r="U11" s="18"/>
    </row>
    <row r="12" spans="1:26">
      <c r="A12" s="16"/>
      <c r="B12" s="600">
        <v>1</v>
      </c>
      <c r="C12" s="16"/>
      <c r="D12" s="404">
        <f>SUMIF('305'!$B$2:$B$202,"R1",'305'!I$2:I$202)</f>
        <v>767738.5</v>
      </c>
      <c r="E12" s="317">
        <f t="shared" ref="E12:E15" si="0">F12-D12</f>
        <v>61.427777919336222</v>
      </c>
      <c r="F12" s="317">
        <f>('Blocking-Step2'!C11)/12</f>
        <v>767799.92777791934</v>
      </c>
      <c r="G12" s="317">
        <f>('Blocking-Step2'!D11)/12</f>
        <v>778737.42370950978</v>
      </c>
      <c r="H12" s="404">
        <f>SUMIF('305'!$B$2:$B$202,"R1",'305'!H$2:H$202)</f>
        <v>6544385011</v>
      </c>
      <c r="I12" s="322">
        <f>'123'!D15</f>
        <v>-5540071</v>
      </c>
      <c r="J12" s="317">
        <f>H40-SUM(J13:J28)</f>
        <v>36991495</v>
      </c>
      <c r="K12" s="325">
        <f>TempRev!C308-K16-K17</f>
        <v>-51749405.043738097</v>
      </c>
      <c r="L12" s="317">
        <f>M12-H12-I12-J12-K12</f>
        <v>-67469.000000268221</v>
      </c>
      <c r="M12" s="397">
        <f>'Blocking-Step2'!C45</f>
        <v>6524019560.9562616</v>
      </c>
      <c r="N12" s="397">
        <f>O12-M12</f>
        <v>-216649654.4278841</v>
      </c>
      <c r="O12" s="397">
        <f>'Blocking-Step2'!D45</f>
        <v>6307369906.5283775</v>
      </c>
      <c r="P12" s="411">
        <f>'Table 3'!D12</f>
        <v>699173971.98000002</v>
      </c>
      <c r="Q12" s="21">
        <f>'Table 3'!H12</f>
        <v>-1118214.2301319586</v>
      </c>
      <c r="R12" s="21">
        <f>'Table 3'!J12+'Table 3'!K12</f>
        <v>601235.99103200436</v>
      </c>
      <c r="S12" s="593">
        <f>'Table 3'!M12</f>
        <v>-20276827.564800024</v>
      </c>
      <c r="T12" s="417">
        <f>SUM(P12:S12)</f>
        <v>678380166.17610002</v>
      </c>
      <c r="U12" s="20"/>
      <c r="V12" s="123">
        <f t="shared" ref="V12:V28" si="1">L12/M12</f>
        <v>-1.0341630549982428E-5</v>
      </c>
      <c r="W12" s="123">
        <f t="shared" ref="W12:W28" si="2">J12/(H12+I12)</f>
        <v>5.6571910390032891E-3</v>
      </c>
    </row>
    <row r="13" spans="1:26">
      <c r="A13" s="16"/>
      <c r="B13" s="600">
        <v>2</v>
      </c>
      <c r="C13" s="16"/>
      <c r="D13" s="404">
        <f>SUMIF('305'!$B$2:$B$202,"R2",'305'!I$2:I$202)</f>
        <v>384.58333333333297</v>
      </c>
      <c r="E13" s="317">
        <f t="shared" si="0"/>
        <v>-2.8555555555554974</v>
      </c>
      <c r="F13" s="317">
        <f>'Blocking-Step2'!C48/12</f>
        <v>381.72777777777748</v>
      </c>
      <c r="G13" s="317">
        <f>'Blocking-Step2'!D48/12</f>
        <v>362.5</v>
      </c>
      <c r="H13" s="404">
        <f>SUMIF('305'!$B$2:$B$202,"R2",'305'!H$2:H$202)</f>
        <v>3071091</v>
      </c>
      <c r="I13" s="322">
        <f>'123'!D16</f>
        <v>19969</v>
      </c>
      <c r="J13" s="317">
        <f t="shared" ref="J13:J28" si="3">ROUND((H13+I13)/($H$29+$I$29)*$H$40,0)</f>
        <v>17487</v>
      </c>
      <c r="K13" s="325">
        <f>TempRev!C314</f>
        <v>-51581.996362649603</v>
      </c>
      <c r="L13" s="317">
        <f t="shared" ref="L13:L28" si="4">M13-H13-I13-J13-K13</f>
        <v>1.0000000002328306</v>
      </c>
      <c r="M13" s="397">
        <f>'Blocking-Step2'!C82</f>
        <v>3056966.0036373506</v>
      </c>
      <c r="N13" s="397">
        <f t="shared" ref="N13:N28" si="5">O13-M13</f>
        <v>-312930.00363735063</v>
      </c>
      <c r="O13" s="397">
        <f>'Blocking-Step2'!D82</f>
        <v>2744036</v>
      </c>
      <c r="P13" s="411">
        <f>'Table 3'!D13</f>
        <v>323128.2</v>
      </c>
      <c r="Q13" s="21">
        <f>'Table 3'!H13</f>
        <v>-795.14999999999418</v>
      </c>
      <c r="R13" s="21">
        <f>'Table 3'!J13+'Table 3'!K13</f>
        <v>172.124199999962</v>
      </c>
      <c r="S13" s="593">
        <f>'Table 3'!M13</f>
        <v>-31450.001500000013</v>
      </c>
      <c r="T13" s="417">
        <f t="shared" ref="T13:T28" si="6">SUM(P13:S13)</f>
        <v>291055.1727</v>
      </c>
      <c r="U13" s="20"/>
      <c r="V13" s="123">
        <f t="shared" si="1"/>
        <v>3.2712172757007249E-7</v>
      </c>
      <c r="W13" s="123">
        <f t="shared" si="2"/>
        <v>5.6572826150252664E-3</v>
      </c>
    </row>
    <row r="14" spans="1:26">
      <c r="A14" s="16"/>
      <c r="B14" s="600" t="s">
        <v>1118</v>
      </c>
      <c r="C14" s="16"/>
      <c r="D14" s="404">
        <f>SUMIF('305'!$B$2:$B$202,"R2E",'305'!I$2:I$202)</f>
        <v>284.75</v>
      </c>
      <c r="E14" s="317">
        <f t="shared" ref="E14" si="7">F14-D14</f>
        <v>-11.50277777777751</v>
      </c>
      <c r="F14" s="317">
        <f>'Blocking-Step2'!C85/12</f>
        <v>273.24722222222249</v>
      </c>
      <c r="G14" s="317">
        <f>'Blocking-Step2'!D85/12</f>
        <v>259.5</v>
      </c>
      <c r="H14" s="404">
        <f>SUMIF('305'!$B$2:$B$202,"R2E",'305'!H$2:H$202)</f>
        <v>4043370</v>
      </c>
      <c r="I14" s="322">
        <f>'123'!D17</f>
        <v>-2050</v>
      </c>
      <c r="J14" s="317">
        <f t="shared" si="3"/>
        <v>22863</v>
      </c>
      <c r="K14" s="325"/>
      <c r="L14" s="317">
        <f t="shared" ref="L14" si="8">M14-H14-I14-J14-K14</f>
        <v>1</v>
      </c>
      <c r="M14" s="397">
        <f>'Blocking-Step2'!C111</f>
        <v>4064184</v>
      </c>
      <c r="N14" s="397">
        <f t="shared" si="5"/>
        <v>-416035.9547839174</v>
      </c>
      <c r="O14" s="397">
        <f>'Blocking-Step2'!D111</f>
        <v>3648148.0452160826</v>
      </c>
      <c r="P14" s="411">
        <f>'Table 3'!D14</f>
        <v>342218.06</v>
      </c>
      <c r="Q14" s="21">
        <f>'Table 3'!H14</f>
        <v>2099.7199999999998</v>
      </c>
      <c r="R14" s="21">
        <f>'Table 3'!J14+'Table 3'!K14</f>
        <v>258.31790000002366</v>
      </c>
      <c r="S14" s="593">
        <f>'Table 3'!M14</f>
        <v>-34500.133800000011</v>
      </c>
      <c r="T14" s="417">
        <f t="shared" si="6"/>
        <v>310075.96409999998</v>
      </c>
      <c r="U14" s="20"/>
      <c r="V14" s="123">
        <f t="shared" si="1"/>
        <v>2.4605185198307952E-7</v>
      </c>
      <c r="W14" s="123">
        <f t="shared" si="2"/>
        <v>5.6573099878257597E-3</v>
      </c>
    </row>
    <row r="15" spans="1:26">
      <c r="A15" s="16"/>
      <c r="B15" s="600">
        <v>3</v>
      </c>
      <c r="C15" s="16"/>
      <c r="D15" s="404">
        <f>SUMIF('305'!$B$2:$B$202,"R3",'305'!I$2:I$202)</f>
        <v>21031.666666666631</v>
      </c>
      <c r="E15" s="317">
        <f t="shared" si="0"/>
        <v>107.88888888888323</v>
      </c>
      <c r="F15" s="317">
        <f>('Blocking-Step2'!C114)/12</f>
        <v>21139.555555555515</v>
      </c>
      <c r="G15" s="317">
        <f>('Blocking-Step2'!D114)/12</f>
        <v>18026.916666666668</v>
      </c>
      <c r="H15" s="404">
        <f>SUMIF('305'!$B$2:$B$202,"R3",'305'!H$2:H$202)</f>
        <v>152478896</v>
      </c>
      <c r="I15" s="322">
        <f>'123'!D18</f>
        <v>-22313</v>
      </c>
      <c r="J15" s="317">
        <f t="shared" si="3"/>
        <v>862476</v>
      </c>
      <c r="K15" s="325">
        <f>TempRev!C323</f>
        <v>-711921.12785328145</v>
      </c>
      <c r="L15" s="317">
        <f t="shared" si="4"/>
        <v>11.000000007101335</v>
      </c>
      <c r="M15" s="397">
        <f>'Blocking-Step2'!C148</f>
        <v>152607148.87214673</v>
      </c>
      <c r="N15" s="397">
        <f t="shared" si="5"/>
        <v>-18514077.165088847</v>
      </c>
      <c r="O15" s="397">
        <f>'Blocking-Step2'!D148</f>
        <v>134093071.70705788</v>
      </c>
      <c r="P15" s="411">
        <f>'Table 3'!D15</f>
        <v>16034299.979999999</v>
      </c>
      <c r="Q15" s="21">
        <f>'Table 3'!H15</f>
        <v>35720.860000000146</v>
      </c>
      <c r="R15" s="21">
        <f>'Table 3'!J15+'Table 3'!K15</f>
        <v>12857.807400001213</v>
      </c>
      <c r="S15" s="593">
        <f>'Table 3'!M15</f>
        <v>-1996640.6472999994</v>
      </c>
      <c r="T15" s="417">
        <f t="shared" si="6"/>
        <v>14086238.0001</v>
      </c>
      <c r="U15" s="20"/>
      <c r="V15" s="123">
        <f t="shared" si="1"/>
        <v>7.2080502705132524E-8</v>
      </c>
      <c r="W15" s="123">
        <f t="shared" si="2"/>
        <v>5.6571909394033844E-3</v>
      </c>
    </row>
    <row r="16" spans="1:26">
      <c r="A16" s="16"/>
      <c r="B16" s="600">
        <v>135</v>
      </c>
      <c r="C16" s="16"/>
      <c r="D16" s="404">
        <f>SUMIF('305'!$B$2:$B$202,"R135",'305'!I$2:I$202)</f>
        <v>29869.000000000033</v>
      </c>
      <c r="E16" s="317">
        <f t="shared" ref="E16" si="9">F16-D16</f>
        <v>20.555555555518367</v>
      </c>
      <c r="F16" s="317">
        <f>('Blocking-Step2'!C151)/12</f>
        <v>29889.555555555551</v>
      </c>
      <c r="G16" s="317">
        <f>('Blocking-Step2'!D151)/12</f>
        <v>34868</v>
      </c>
      <c r="H16" s="404">
        <f>SUMIF('305'!$B$2:$B$202,"R135",'305'!H$2:H$202)</f>
        <v>118602700</v>
      </c>
      <c r="I16" s="322">
        <f>'123'!D19</f>
        <v>-375389</v>
      </c>
      <c r="J16" s="317">
        <f t="shared" si="3"/>
        <v>668834</v>
      </c>
      <c r="K16" s="325">
        <f>TempRev!M308</f>
        <v>-935678.97879443609</v>
      </c>
      <c r="L16" s="317">
        <f t="shared" ref="L16" si="10">M16-H16-I16-J16-K16</f>
        <v>69.999999995459802</v>
      </c>
      <c r="M16" s="397">
        <f>'Blocking-Step2'!C185</f>
        <v>117960536.02120556</v>
      </c>
      <c r="N16" s="397">
        <f t="shared" si="5"/>
        <v>24373709.873393103</v>
      </c>
      <c r="O16" s="397">
        <f>'Blocking-Step2'!D185</f>
        <v>142334245.89459866</v>
      </c>
      <c r="P16" s="411">
        <f>'Table 3'!D16</f>
        <v>13934825.57</v>
      </c>
      <c r="Q16" s="21">
        <f>'Table 3'!H16</f>
        <v>-43724.179597292299</v>
      </c>
      <c r="R16" s="21">
        <f>'Table 3'!J16+'Table 3'!K16</f>
        <v>18530.674997292459</v>
      </c>
      <c r="S16" s="593">
        <f>'Table 3'!M16</f>
        <v>2775672.0111999996</v>
      </c>
      <c r="T16" s="417">
        <f t="shared" si="6"/>
        <v>16685304.0766</v>
      </c>
      <c r="U16" s="20"/>
      <c r="V16" s="123">
        <f t="shared" si="1"/>
        <v>5.9341880222446619E-7</v>
      </c>
      <c r="W16" s="123">
        <f t="shared" si="2"/>
        <v>5.6571869421947691E-3</v>
      </c>
    </row>
    <row r="17" spans="1:23">
      <c r="A17" s="16"/>
      <c r="B17" s="600">
        <v>136</v>
      </c>
      <c r="C17" s="16"/>
      <c r="D17" s="404">
        <f>SUMIF('305'!$B$2:$B$202,"R136",'305'!I$2:I$202)</f>
        <v>5090.916666666667</v>
      </c>
      <c r="E17" s="317">
        <f t="shared" ref="E17" si="11">F17-D17</f>
        <v>-366.41111111111877</v>
      </c>
      <c r="F17" s="317">
        <f>('Blocking-Step2'!C188)/12</f>
        <v>4724.5055555555482</v>
      </c>
      <c r="G17" s="317">
        <f>('Blocking-Step2'!D188)/12</f>
        <v>25612.833333333332</v>
      </c>
      <c r="H17" s="404">
        <f>SUMIF('305'!$B$2:$B$202,"R136",'305'!H$2:H$202)</f>
        <v>36843222</v>
      </c>
      <c r="I17" s="322">
        <f>'123'!D20</f>
        <v>190505</v>
      </c>
      <c r="J17" s="317">
        <f t="shared" si="3"/>
        <v>209507</v>
      </c>
      <c r="K17" s="325">
        <f>TempRev!M314</f>
        <v>-293093.54884000064</v>
      </c>
      <c r="L17" s="317">
        <f t="shared" ref="L17" si="12">M17-H17-I17-J17-K17</f>
        <v>2.9999999994179234</v>
      </c>
      <c r="M17" s="397">
        <f>'Blocking-Step2'!C222</f>
        <v>36950143.451159999</v>
      </c>
      <c r="N17" s="397">
        <f t="shared" si="5"/>
        <v>155859825.7387504</v>
      </c>
      <c r="O17" s="397">
        <f>'Blocking-Step2'!D222</f>
        <v>192809969.18991041</v>
      </c>
      <c r="P17" s="411">
        <f>'Table 3'!D17</f>
        <v>3970331.2399999998</v>
      </c>
      <c r="Q17" s="21">
        <f>'Table 3'!H17</f>
        <v>13596.369729248345</v>
      </c>
      <c r="R17" s="21">
        <f>'Table 3'!J17+'Table 3'!K17</f>
        <v>2911.457070752047</v>
      </c>
      <c r="S17" s="593">
        <f>'Table 3'!M17</f>
        <v>16884438.401199996</v>
      </c>
      <c r="T17" s="417">
        <f t="shared" si="6"/>
        <v>20871277.467999995</v>
      </c>
      <c r="U17" s="20"/>
      <c r="V17" s="123">
        <f t="shared" ref="V17" si="13">L17/M17</f>
        <v>8.1190483154233668E-8</v>
      </c>
      <c r="W17" s="123">
        <f t="shared" ref="W17" si="14">J17/(H17+I17)</f>
        <v>5.6571945891376258E-3</v>
      </c>
    </row>
    <row r="18" spans="1:23">
      <c r="A18" s="16"/>
      <c r="B18" s="600">
        <v>6</v>
      </c>
      <c r="C18" s="16"/>
      <c r="D18" s="404">
        <f>SUMIF('305'!$B$2:$B$202,"R6",'305'!I$2:I$202)</f>
        <v>296.83333333333331</v>
      </c>
      <c r="E18" s="317">
        <f t="shared" ref="E18:E20" si="15">F18-D18</f>
        <v>1.75277777777751</v>
      </c>
      <c r="F18" s="317">
        <f>'Blocking-Step2'!C693/12</f>
        <v>298.58611111111082</v>
      </c>
      <c r="G18" s="317">
        <f>'Blocking-Step2'!D693/12</f>
        <v>315</v>
      </c>
      <c r="H18" s="404">
        <f>SUMIF('305'!$B$2:$B$202,"R6",'305'!H$2:H$202)</f>
        <v>135890765</v>
      </c>
      <c r="I18" s="322">
        <f>'6'!F25</f>
        <v>-9320979</v>
      </c>
      <c r="J18" s="317">
        <f t="shared" si="3"/>
        <v>716029</v>
      </c>
      <c r="K18" s="325">
        <f>TempRev!C326-K19</f>
        <v>-355514.11376883206</v>
      </c>
      <c r="L18" s="317">
        <f t="shared" si="4"/>
        <v>1.6065314412117004E-8</v>
      </c>
      <c r="M18" s="397">
        <f>'Blocking-Step2'!C711</f>
        <v>126930300.88623118</v>
      </c>
      <c r="N18" s="397">
        <f t="shared" si="5"/>
        <v>25514926.148366004</v>
      </c>
      <c r="O18" s="397">
        <f>'Blocking-Step2'!D711</f>
        <v>152445227.03459719</v>
      </c>
      <c r="P18" s="411">
        <f>'Table 3'!D18</f>
        <v>10084168.74</v>
      </c>
      <c r="Q18" s="21">
        <f>'Table 3'!H18</f>
        <v>-629527.14034203952</v>
      </c>
      <c r="R18" s="21">
        <f>'Table 3'!J18+'Table 3'!K18</f>
        <v>6080.6085420399904</v>
      </c>
      <c r="S18" s="593">
        <f>'Table 3'!M18</f>
        <v>1847093.0515999999</v>
      </c>
      <c r="T18" s="417">
        <f t="shared" si="6"/>
        <v>11307815.2598</v>
      </c>
      <c r="U18" s="20"/>
      <c r="V18" s="123">
        <f t="shared" si="1"/>
        <v>1.2656800070549346E-16</v>
      </c>
      <c r="W18" s="123">
        <f t="shared" si="2"/>
        <v>5.6571874112199255E-3</v>
      </c>
    </row>
    <row r="19" spans="1:23">
      <c r="A19" s="16"/>
      <c r="B19" s="600" t="s">
        <v>959</v>
      </c>
      <c r="C19" s="16"/>
      <c r="D19" s="404">
        <f>SUMIF('305'!$B$2:$B$202,"R6135",'305'!I$2:I$202)</f>
        <v>13.1666666666667</v>
      </c>
      <c r="E19" s="317">
        <f t="shared" ref="E19" si="16">F19-D19</f>
        <v>8.0555555555550384E-2</v>
      </c>
      <c r="F19" s="317">
        <f>'Blocking-Step2'!C775/12</f>
        <v>13.24722222222225</v>
      </c>
      <c r="G19" s="317">
        <f>'Blocking-Step2'!D775/12</f>
        <v>17</v>
      </c>
      <c r="H19" s="404">
        <f>SUMIF('305'!$B$2:$B$202,"R6135",'305'!H$2:H$202)</f>
        <v>3781783</v>
      </c>
      <c r="I19" s="322">
        <f>'6'!F29</f>
        <v>-400</v>
      </c>
      <c r="J19" s="317">
        <f t="shared" si="3"/>
        <v>21392</v>
      </c>
      <c r="K19" s="325">
        <f>TempRev!M326</f>
        <v>-10621.294927886876</v>
      </c>
      <c r="L19" s="317">
        <f t="shared" ref="L19" si="17">M19-H19-I19-J19-K19</f>
        <v>1.8917489796876907E-10</v>
      </c>
      <c r="M19" s="397">
        <f>'Blocking-Step2'!C791</f>
        <v>3792153.7050721133</v>
      </c>
      <c r="N19" s="397">
        <f t="shared" si="5"/>
        <v>781654.47990957182</v>
      </c>
      <c r="O19" s="397">
        <f>'Blocking-Step2'!D791</f>
        <v>4573808.1849816851</v>
      </c>
      <c r="P19" s="411">
        <f>'Table 3'!D19</f>
        <v>323189.90000000002</v>
      </c>
      <c r="Q19" s="21">
        <f>'Table 3'!H19</f>
        <v>888.90034203951006</v>
      </c>
      <c r="R19" s="21">
        <f>'Table 3'!J19+'Table 3'!K19</f>
        <v>263.4351579604554</v>
      </c>
      <c r="S19" s="593">
        <f>'Table 3'!M19</f>
        <v>66418.994799999986</v>
      </c>
      <c r="T19" s="417">
        <f t="shared" si="6"/>
        <v>390761.2303</v>
      </c>
      <c r="U19" s="20"/>
      <c r="V19" s="123">
        <f t="shared" si="1"/>
        <v>4.9885872958087712E-17</v>
      </c>
      <c r="W19" s="123">
        <f t="shared" si="2"/>
        <v>5.6571894462951779E-3</v>
      </c>
    </row>
    <row r="20" spans="1:23">
      <c r="A20" s="22"/>
      <c r="B20" s="600" t="s">
        <v>221</v>
      </c>
      <c r="C20" s="16"/>
      <c r="D20" s="404">
        <f>SUMIF('305'!$B$2:$B$202,"R6A",'305'!I$2:I$202)</f>
        <v>28.25</v>
      </c>
      <c r="E20" s="317">
        <f t="shared" si="15"/>
        <v>-0.17777777777774872</v>
      </c>
      <c r="F20" s="317">
        <f>('Blocking-Step2'!C993)/12</f>
        <v>28.072222222222251</v>
      </c>
      <c r="G20" s="317">
        <f>('Blocking-Step2'!D993)/12</f>
        <v>29</v>
      </c>
      <c r="H20" s="404">
        <f>SUMIF('305'!$B$2:$B$202,"R6A",'305'!H$2:H$202)</f>
        <v>8683318</v>
      </c>
      <c r="I20" s="322">
        <f>'6A'!F18</f>
        <v>434120</v>
      </c>
      <c r="J20" s="317">
        <f t="shared" si="3"/>
        <v>51579</v>
      </c>
      <c r="K20" s="325"/>
      <c r="L20" s="317">
        <f t="shared" si="4"/>
        <v>0</v>
      </c>
      <c r="M20" s="397">
        <f>'Blocking-Step2'!C1006</f>
        <v>9169017</v>
      </c>
      <c r="N20" s="397">
        <f t="shared" si="5"/>
        <v>977492</v>
      </c>
      <c r="O20" s="397">
        <f>'Blocking-Step2'!D1006</f>
        <v>10146509</v>
      </c>
      <c r="P20" s="411">
        <f>'Table 3'!D20</f>
        <v>735568.78</v>
      </c>
      <c r="Q20" s="21">
        <f>'Table 3'!H20</f>
        <v>35551.380000000005</v>
      </c>
      <c r="R20" s="21">
        <f>'Table 3'!J20+'Table 3'!K20</f>
        <v>630.95880000002217</v>
      </c>
      <c r="S20" s="593">
        <f>'Table 3'!M20</f>
        <v>82791.272699999972</v>
      </c>
      <c r="T20" s="417">
        <f t="shared" si="6"/>
        <v>854542.39150000003</v>
      </c>
      <c r="U20" s="20"/>
      <c r="V20" s="123">
        <f t="shared" si="1"/>
        <v>0</v>
      </c>
      <c r="W20" s="123">
        <f t="shared" si="2"/>
        <v>5.6571813265963531E-3</v>
      </c>
    </row>
    <row r="21" spans="1:23">
      <c r="A21" s="22"/>
      <c r="B21" s="600" t="s">
        <v>963</v>
      </c>
      <c r="C21" s="16"/>
      <c r="D21" s="404">
        <f>SUMIF('305'!$B$2:$B$202,"R6A135",'305'!I$2:I$202)</f>
        <v>1.75</v>
      </c>
      <c r="E21" s="317">
        <f t="shared" ref="E21" si="18">F21-D21</f>
        <v>-6.3888888888891771E-2</v>
      </c>
      <c r="F21" s="317">
        <f>('Blocking-Step2'!C1087)/12</f>
        <v>1.6861111111111082</v>
      </c>
      <c r="G21" s="317">
        <f>('Blocking-Step2'!D1087)/12</f>
        <v>1</v>
      </c>
      <c r="H21" s="404">
        <f>SUMIF('305'!$B$2:$B$202,"R6A135",'305'!H$2:H$202)</f>
        <v>6026</v>
      </c>
      <c r="I21" s="322">
        <f>'6A'!F22</f>
        <v>0</v>
      </c>
      <c r="J21" s="317">
        <f t="shared" si="3"/>
        <v>34</v>
      </c>
      <c r="K21" s="325"/>
      <c r="L21" s="317">
        <f t="shared" ref="L21" si="19">M21-H21-I21-J21-K21</f>
        <v>0</v>
      </c>
      <c r="M21" s="397">
        <f>'Blocking-Step2'!C1098</f>
        <v>6060</v>
      </c>
      <c r="N21" s="397">
        <f t="shared" si="5"/>
        <v>-6060</v>
      </c>
      <c r="O21" s="397">
        <f>'Blocking-Step2'!D1098</f>
        <v>0</v>
      </c>
      <c r="P21" s="411">
        <f>'Table 3'!D21</f>
        <v>5342.77</v>
      </c>
      <c r="Q21" s="21">
        <f>'Table 3'!H21</f>
        <v>33</v>
      </c>
      <c r="R21" s="21">
        <f>'Table 3'!J21+'Table 3'!K21</f>
        <v>0.21209999999973661</v>
      </c>
      <c r="S21" s="593">
        <f>'Table 3'!M21</f>
        <v>-4727.9821000000002</v>
      </c>
      <c r="T21" s="417">
        <f t="shared" si="6"/>
        <v>648</v>
      </c>
      <c r="U21" s="20"/>
      <c r="V21" s="123">
        <f t="shared" ref="V21" si="20">L21/M21</f>
        <v>0</v>
      </c>
      <c r="W21" s="123">
        <f t="shared" ref="W21" si="21">J21/(H21+I21)</f>
        <v>5.6422170594092264E-3</v>
      </c>
    </row>
    <row r="22" spans="1:23">
      <c r="A22" s="22"/>
      <c r="B22" s="600" t="s">
        <v>223</v>
      </c>
      <c r="C22" s="16"/>
      <c r="D22" s="404">
        <f>SUMIF('305'!$B$2:$B$202,"R6B",'305'!I$2:I$202)</f>
        <v>1.1666666666666701</v>
      </c>
      <c r="E22" s="317">
        <f t="shared" ref="E22" si="22">F22-D22</f>
        <v>-3.3306690738754696E-15</v>
      </c>
      <c r="F22" s="317">
        <f>('Blocking-Step2'!C907)/12</f>
        <v>1.1666666666666667</v>
      </c>
      <c r="G22" s="317">
        <f>('Blocking-Step2'!D907)/12</f>
        <v>1</v>
      </c>
      <c r="H22" s="404">
        <f>SUMIF('305'!$B$2:$B$202,"R6B",'305'!H$2:H$202)</f>
        <v>25444</v>
      </c>
      <c r="I22" s="322">
        <f>'6'!F37</f>
        <v>80</v>
      </c>
      <c r="J22" s="317">
        <f t="shared" si="3"/>
        <v>144</v>
      </c>
      <c r="K22" s="325"/>
      <c r="L22" s="317">
        <f t="shared" ref="L22" si="23">M22-H22-I22-J22-K22</f>
        <v>0</v>
      </c>
      <c r="M22" s="397">
        <f>'Blocking-Step2'!C922</f>
        <v>25668</v>
      </c>
      <c r="N22" s="397">
        <f t="shared" si="5"/>
        <v>7698</v>
      </c>
      <c r="O22" s="397">
        <f>'Blocking-Step2'!D922</f>
        <v>33366</v>
      </c>
      <c r="P22" s="411">
        <f>'Table 3'!D22</f>
        <v>3498.54</v>
      </c>
      <c r="Q22" s="21">
        <f>'Table 3'!H22</f>
        <v>277.66999999999996</v>
      </c>
      <c r="R22" s="21">
        <f>'Table 3'!J22+'Table 3'!K22</f>
        <v>0.71990000000005239</v>
      </c>
      <c r="S22" s="593">
        <f>'Table 3'!M22</f>
        <v>777.70100000000002</v>
      </c>
      <c r="T22" s="417">
        <f t="shared" si="6"/>
        <v>4554.6309000000001</v>
      </c>
      <c r="U22" s="20"/>
      <c r="V22" s="123">
        <f t="shared" si="1"/>
        <v>0</v>
      </c>
      <c r="W22" s="123">
        <f t="shared" si="2"/>
        <v>5.6417489421720732E-3</v>
      </c>
    </row>
    <row r="23" spans="1:23">
      <c r="A23" s="16"/>
      <c r="B23" s="600">
        <v>7</v>
      </c>
      <c r="C23" s="16"/>
      <c r="D23" s="404">
        <f>SUMIF('305'!$B$2:$B$202,"R7",'305'!I$2:I$202)</f>
        <v>2277.3333333333298</v>
      </c>
      <c r="E23" s="317">
        <f t="shared" ref="E23:E25" si="24">F23-D23</f>
        <v>0</v>
      </c>
      <c r="F23" s="317">
        <f>D23</f>
        <v>2277.3333333333298</v>
      </c>
      <c r="G23" s="317">
        <f>'Blocking-Step2'!D1247</f>
        <v>2205</v>
      </c>
      <c r="H23" s="404">
        <f>SUMIF('305'!$B$2:$B$202,"R7",'305'!H$2:H$202)</f>
        <v>2253162</v>
      </c>
      <c r="I23" s="322">
        <f>'7'!J91+'305vsCognos'!F15</f>
        <v>-6261.3138246095323</v>
      </c>
      <c r="J23" s="317">
        <f t="shared" si="3"/>
        <v>12711</v>
      </c>
      <c r="K23" s="325"/>
      <c r="L23" s="317">
        <f t="shared" si="4"/>
        <v>1.4551915228366852E-10</v>
      </c>
      <c r="M23" s="397">
        <f>'Blocking-Step2'!C1248</f>
        <v>2259611.6861753906</v>
      </c>
      <c r="N23" s="397">
        <f t="shared" si="5"/>
        <v>-69249.556464128196</v>
      </c>
      <c r="O23" s="397">
        <f>'Blocking-Step2'!D1248</f>
        <v>2190362.1297112624</v>
      </c>
      <c r="P23" s="411">
        <f>'Table 3'!D23</f>
        <v>625707.6</v>
      </c>
      <c r="Q23" s="21">
        <f>'Table 3'!H23</f>
        <v>2851.9900000000139</v>
      </c>
      <c r="R23" s="21">
        <f>'Table 3'!J23+'Table 3'!K23</f>
        <v>226.58340000000317</v>
      </c>
      <c r="S23" s="593">
        <f>'Table 3'!M23</f>
        <v>-19569.328800000018</v>
      </c>
      <c r="T23" s="417">
        <f t="shared" si="6"/>
        <v>609216.84459999995</v>
      </c>
      <c r="U23" s="20"/>
      <c r="V23" s="123">
        <f t="shared" si="1"/>
        <v>6.4400070673193247E-17</v>
      </c>
      <c r="W23" s="123">
        <f t="shared" si="2"/>
        <v>5.6571258704078715E-3</v>
      </c>
    </row>
    <row r="24" spans="1:23">
      <c r="A24" s="16"/>
      <c r="B24" s="600">
        <v>8</v>
      </c>
      <c r="C24" s="16"/>
      <c r="D24" s="404">
        <f>SUMIF('305'!$B$2:$B$202,"R8",'305'!I$2:I$202)</f>
        <v>0.5</v>
      </c>
      <c r="E24" s="317">
        <f t="shared" ref="E24" si="25">F24-D24</f>
        <v>-0.5</v>
      </c>
      <c r="F24" s="317">
        <v>0</v>
      </c>
      <c r="G24" s="317">
        <v>0</v>
      </c>
      <c r="H24" s="404">
        <f>SUMIF('305'!$B$2:$B$202,"R8",'305'!H$2:H$202)</f>
        <v>451360</v>
      </c>
      <c r="I24" s="322">
        <f>-H24</f>
        <v>-451360</v>
      </c>
      <c r="J24" s="317">
        <f t="shared" si="3"/>
        <v>0</v>
      </c>
      <c r="K24" s="325"/>
      <c r="L24" s="317">
        <f t="shared" ref="L24" si="26">M24-H24-I24-J24-K24</f>
        <v>0</v>
      </c>
      <c r="M24" s="397">
        <v>0</v>
      </c>
      <c r="N24" s="397">
        <f t="shared" si="5"/>
        <v>0</v>
      </c>
      <c r="O24" s="397">
        <v>0</v>
      </c>
      <c r="P24" s="411">
        <f>'Table 3'!D24</f>
        <v>32040.73</v>
      </c>
      <c r="Q24" s="21">
        <f>'Table 3'!H24</f>
        <v>-32040.73</v>
      </c>
      <c r="R24" s="21">
        <f>'Table 3'!J24+'Table 3'!K24</f>
        <v>0</v>
      </c>
      <c r="S24" s="593">
        <f>'Table 3'!M24</f>
        <v>0</v>
      </c>
      <c r="T24" s="417">
        <f t="shared" si="6"/>
        <v>0</v>
      </c>
      <c r="U24" s="20"/>
      <c r="V24" s="123" t="e">
        <f t="shared" ref="V24" si="27">L24/M24</f>
        <v>#DIV/0!</v>
      </c>
      <c r="W24" s="123" t="e">
        <f t="shared" ref="W24" si="28">J24/(H24+I24)</f>
        <v>#DIV/0!</v>
      </c>
    </row>
    <row r="25" spans="1:23">
      <c r="A25" s="16"/>
      <c r="B25" s="600">
        <v>23</v>
      </c>
      <c r="C25" s="16"/>
      <c r="D25" s="404">
        <f>SUMIF('305'!$B$2:$B$202,"R23",'305'!I$2:I$202)</f>
        <v>13842.000000000035</v>
      </c>
      <c r="E25" s="317">
        <f t="shared" si="24"/>
        <v>4.1387500006312621</v>
      </c>
      <c r="F25" s="317">
        <f>('Blocking-Step2'!C2001)/12</f>
        <v>13846.138750000666</v>
      </c>
      <c r="G25" s="317">
        <f>('Blocking-Step2'!D2001)/12</f>
        <v>14437.5</v>
      </c>
      <c r="H25" s="404">
        <f>SUMIF('305'!$B$2:$B$202,"R23",'305'!H$2:H$202)</f>
        <v>102004510</v>
      </c>
      <c r="I25" s="322">
        <f>'23'!E26</f>
        <v>-119236</v>
      </c>
      <c r="J25" s="317">
        <f t="shared" si="3"/>
        <v>576384</v>
      </c>
      <c r="K25" s="325">
        <f>TempRev!C331-K26-K27</f>
        <v>-222081.12487224539</v>
      </c>
      <c r="L25" s="317">
        <f t="shared" si="4"/>
        <v>13488.000000007945</v>
      </c>
      <c r="M25" s="397">
        <f>'Blocking-Step2'!C2022</f>
        <v>102253064.87512776</v>
      </c>
      <c r="N25" s="397">
        <f t="shared" si="5"/>
        <v>-5740060.3441254497</v>
      </c>
      <c r="O25" s="397">
        <f>'Blocking-Step2'!D2022</f>
        <v>96513004.531002313</v>
      </c>
      <c r="P25" s="411">
        <f>'Table 3'!D25</f>
        <v>10884362.17</v>
      </c>
      <c r="Q25" s="21">
        <f>'Table 3'!H25</f>
        <v>38164.800148856069</v>
      </c>
      <c r="R25" s="21">
        <f>'Table 3'!J25+'Table 3'!K25</f>
        <v>7549.1586511433125</v>
      </c>
      <c r="S25" s="593">
        <f>'Table 3'!M25</f>
        <v>-462355.55299999937</v>
      </c>
      <c r="T25" s="417">
        <f t="shared" si="6"/>
        <v>10467720.5758</v>
      </c>
      <c r="U25" s="20"/>
      <c r="V25" s="123">
        <f t="shared" si="1"/>
        <v>1.31908026585605E-4</v>
      </c>
      <c r="W25" s="123">
        <f t="shared" si="2"/>
        <v>5.6571865331588546E-3</v>
      </c>
    </row>
    <row r="26" spans="1:23">
      <c r="A26" s="16"/>
      <c r="B26" s="600" t="s">
        <v>960</v>
      </c>
      <c r="C26" s="16"/>
      <c r="D26" s="404">
        <f>SUMIF('305'!$B$2:$B$202,"R23135",'305'!I$2:I$202)</f>
        <v>435.08333333333297</v>
      </c>
      <c r="E26" s="317">
        <f t="shared" ref="E26" si="29">F26-D26</f>
        <v>1.5435833333336859</v>
      </c>
      <c r="F26" s="317">
        <f>('Blocking-Step2'!C2095)/12</f>
        <v>436.62691666666666</v>
      </c>
      <c r="G26" s="317">
        <f>('Blocking-Step2'!D2095)/12</f>
        <v>493</v>
      </c>
      <c r="H26" s="404">
        <f>SUMIF('305'!$B$2:$B$202,"R23135",'305'!H$2:H$202)</f>
        <v>1239527</v>
      </c>
      <c r="I26" s="322">
        <f>'23'!E30</f>
        <v>40156</v>
      </c>
      <c r="J26" s="317">
        <f t="shared" si="3"/>
        <v>7239</v>
      </c>
      <c r="K26" s="325">
        <f>TempRev!M331</f>
        <v>-2788.9805197144046</v>
      </c>
      <c r="L26" s="317">
        <f t="shared" ref="L26" si="30">M26-H26-I26-J26-K26</f>
        <v>0.99999999987221599</v>
      </c>
      <c r="M26" s="397">
        <f>'Blocking-Step2'!C2114</f>
        <v>1284134.0194802855</v>
      </c>
      <c r="N26" s="397">
        <f t="shared" si="5"/>
        <v>275208.46019036113</v>
      </c>
      <c r="O26" s="397">
        <f>'Blocking-Step2'!D2114</f>
        <v>1559342.4796706466</v>
      </c>
      <c r="P26" s="411">
        <f>'Table 3'!D26</f>
        <v>161144.32000000001</v>
      </c>
      <c r="Q26" s="21">
        <f>'Table 3'!H26</f>
        <v>4416.8510598755574</v>
      </c>
      <c r="R26" s="21">
        <f>'Table 3'!J26+'Table 3'!K26</f>
        <v>164.86674012441654</v>
      </c>
      <c r="S26" s="593">
        <f>'Table 3'!M26</f>
        <v>31409.625300000014</v>
      </c>
      <c r="T26" s="417">
        <f t="shared" si="6"/>
        <v>197135.66310000001</v>
      </c>
      <c r="U26" s="20"/>
      <c r="V26" s="123">
        <f t="shared" si="1"/>
        <v>7.7873491761937419E-7</v>
      </c>
      <c r="W26" s="123">
        <f t="shared" si="2"/>
        <v>5.656869709138904E-3</v>
      </c>
    </row>
    <row r="27" spans="1:23">
      <c r="A27" s="16"/>
      <c r="B27" s="600" t="s">
        <v>1214</v>
      </c>
      <c r="C27" s="16"/>
      <c r="D27" s="404">
        <f>SUMIF('305'!$B$2:$B$202,"R23136",'305'!I$2:I$202)</f>
        <v>7.6666666666666607</v>
      </c>
      <c r="E27" s="317">
        <f t="shared" ref="E27" si="31">F27-D27</f>
        <v>-0.93333333333332735</v>
      </c>
      <c r="F27" s="317">
        <f>('Blocking-Step2'!C2184)/12</f>
        <v>6.7333333333333334</v>
      </c>
      <c r="G27" s="317">
        <f>('Blocking-Step2'!D2184)/12</f>
        <v>26.833333333333332</v>
      </c>
      <c r="H27" s="404">
        <f>SUMIF('305'!$B$2:$B$202,"R23136",'305'!H$2:H$202)</f>
        <v>144533</v>
      </c>
      <c r="I27" s="322">
        <f>'23'!E34</f>
        <v>0</v>
      </c>
      <c r="J27" s="317">
        <f t="shared" si="3"/>
        <v>818</v>
      </c>
      <c r="K27" s="325">
        <f>TempRev!W331</f>
        <v>-314.99942286992894</v>
      </c>
      <c r="L27" s="317">
        <f t="shared" ref="L27" si="32">M27-H27-I27-J27-K27</f>
        <v>-7.1622707764618099E-12</v>
      </c>
      <c r="M27" s="397">
        <f>'Blocking-Step2'!C2204</f>
        <v>145036.00057713006</v>
      </c>
      <c r="N27" s="397">
        <f t="shared" si="5"/>
        <v>158073.33275620325</v>
      </c>
      <c r="O27" s="397">
        <f>'Blocking-Step2'!D2204</f>
        <v>303109.33333333331</v>
      </c>
      <c r="P27" s="411">
        <f>'Table 3'!D27</f>
        <v>13169.36</v>
      </c>
      <c r="Q27" s="21">
        <f>'Table 3'!H27</f>
        <v>50.728791269558727</v>
      </c>
      <c r="R27" s="21">
        <f>'Table 3'!J27+'Table 3'!K27</f>
        <v>3.0046087304399407</v>
      </c>
      <c r="S27" s="593">
        <f>'Table 3'!M27</f>
        <v>15988.3804</v>
      </c>
      <c r="T27" s="417">
        <f t="shared" si="6"/>
        <v>29211.4738</v>
      </c>
      <c r="U27" s="20"/>
      <c r="V27" s="123">
        <f t="shared" ref="V27" si="33">L27/M27</f>
        <v>-4.938271014066551E-17</v>
      </c>
      <c r="W27" s="123">
        <f t="shared" ref="W27" si="34">J27/(H27+I27)</f>
        <v>5.6596071485404721E-3</v>
      </c>
    </row>
    <row r="28" spans="1:23">
      <c r="A28" s="16"/>
      <c r="B28" s="654" t="s">
        <v>961</v>
      </c>
      <c r="C28" s="437"/>
      <c r="D28" s="405">
        <f>SUMIF('305'!$B$2:$B$202,"RPTLD",'305'!I$2:I$202)</f>
        <v>2</v>
      </c>
      <c r="E28" s="318">
        <f t="shared" ref="E28" si="35">F28-D28</f>
        <v>0</v>
      </c>
      <c r="F28" s="318">
        <f>D28</f>
        <v>2</v>
      </c>
      <c r="G28" s="318">
        <f>'Blocking-Step2'!D2661</f>
        <v>2</v>
      </c>
      <c r="H28" s="405">
        <f>SUMIF('305'!$B$2:$B$202,"RPTLD",'305'!H$2:H$202)</f>
        <v>1392</v>
      </c>
      <c r="I28" s="332">
        <f>PTL!H3</f>
        <v>0</v>
      </c>
      <c r="J28" s="318">
        <f t="shared" si="3"/>
        <v>8</v>
      </c>
      <c r="K28" s="326"/>
      <c r="L28" s="318">
        <f t="shared" si="4"/>
        <v>0</v>
      </c>
      <c r="M28" s="398">
        <f>'Blocking-Step2'!C2667</f>
        <v>1400</v>
      </c>
      <c r="N28" s="398">
        <f t="shared" si="5"/>
        <v>-8</v>
      </c>
      <c r="O28" s="398">
        <f>'Blocking-Step2'!D2667</f>
        <v>1392</v>
      </c>
      <c r="P28" s="412">
        <f>'Table 3'!D28</f>
        <v>104.64</v>
      </c>
      <c r="Q28" s="25">
        <f>'Table 3'!H28</f>
        <v>1</v>
      </c>
      <c r="R28" s="25">
        <f>'Table 3'!J28+'Table 3'!K28</f>
        <v>0.35999999999999943</v>
      </c>
      <c r="S28" s="1060">
        <f>'Table 3'!M28</f>
        <v>-1</v>
      </c>
      <c r="T28" s="418">
        <f t="shared" si="6"/>
        <v>105</v>
      </c>
      <c r="U28" s="20"/>
      <c r="V28" s="123">
        <f t="shared" si="1"/>
        <v>0</v>
      </c>
      <c r="W28" s="123">
        <f t="shared" si="2"/>
        <v>5.7471264367816091E-3</v>
      </c>
    </row>
    <row r="29" spans="1:23" s="557" customFormat="1">
      <c r="B29" s="557" t="s">
        <v>130</v>
      </c>
      <c r="D29" s="562">
        <f>SUM(D12:D28)</f>
        <v>841305.16666666663</v>
      </c>
      <c r="E29" s="559">
        <f t="shared" ref="E29:T29" si="36">SUM(E12:E28)</f>
        <v>-185.05655541341594</v>
      </c>
      <c r="F29" s="559">
        <f t="shared" si="36"/>
        <v>841120.11011125322</v>
      </c>
      <c r="G29" s="559">
        <f t="shared" ref="G29" si="37">SUM(G12:G28)</f>
        <v>875394.50704284315</v>
      </c>
      <c r="H29" s="562">
        <f t="shared" si="36"/>
        <v>7113906110</v>
      </c>
      <c r="I29" s="566">
        <f t="shared" si="36"/>
        <v>-15153229.313824609</v>
      </c>
      <c r="J29" s="559">
        <f t="shared" si="36"/>
        <v>40159000</v>
      </c>
      <c r="K29" s="567">
        <f t="shared" si="36"/>
        <v>-54333001.209100008</v>
      </c>
      <c r="L29" s="559">
        <f t="shared" si="36"/>
        <v>-53894.000000241802</v>
      </c>
      <c r="M29" s="561">
        <f t="shared" si="36"/>
        <v>7084524985.4770765</v>
      </c>
      <c r="N29" s="561">
        <f t="shared" si="36"/>
        <v>-33759487.418618135</v>
      </c>
      <c r="O29" s="561">
        <f t="shared" ref="O29" si="38">SUM(O12:O28)</f>
        <v>7050765498.0584555</v>
      </c>
      <c r="P29" s="568">
        <f t="shared" si="36"/>
        <v>756647072.58000004</v>
      </c>
      <c r="Q29" s="569">
        <f t="shared" si="36"/>
        <v>-1690648.1600000015</v>
      </c>
      <c r="R29" s="569">
        <f t="shared" ref="R29:S29" si="39">SUM(R12:R28)</f>
        <v>650886.28050004866</v>
      </c>
      <c r="S29" s="1061">
        <f t="shared" si="39"/>
        <v>-1121482.773100028</v>
      </c>
      <c r="T29" s="570">
        <f t="shared" si="36"/>
        <v>754485827.92739975</v>
      </c>
      <c r="U29" s="560"/>
      <c r="V29" s="565"/>
      <c r="W29" s="565"/>
    </row>
    <row r="30" spans="1:23">
      <c r="A30" s="16"/>
      <c r="C30" s="16"/>
      <c r="D30" s="404"/>
      <c r="E30" s="317"/>
      <c r="F30" s="317"/>
      <c r="G30" s="317"/>
      <c r="H30" s="404"/>
      <c r="I30" s="322"/>
      <c r="J30" s="317"/>
      <c r="K30" s="325"/>
      <c r="L30" s="317"/>
      <c r="M30" s="397"/>
      <c r="N30" s="397"/>
      <c r="O30" s="397"/>
      <c r="P30" s="411"/>
      <c r="Q30" s="21"/>
      <c r="R30" s="21"/>
      <c r="S30" s="593"/>
      <c r="T30" s="417"/>
      <c r="U30" s="20"/>
      <c r="V30" s="123"/>
      <c r="W30" s="123"/>
    </row>
    <row r="31" spans="1:23">
      <c r="A31" s="16"/>
      <c r="B31" s="16" t="s">
        <v>847</v>
      </c>
      <c r="C31" s="16"/>
      <c r="D31" s="404"/>
      <c r="E31" s="317"/>
      <c r="F31" s="317"/>
      <c r="G31" s="317"/>
      <c r="H31" s="404">
        <f>SUMIF('305'!$B$2:$B$202,"RREVDEF",'305'!H$2:H$202)</f>
        <v>0</v>
      </c>
      <c r="I31" s="322"/>
      <c r="J31" s="317"/>
      <c r="K31" s="325"/>
      <c r="L31" s="317"/>
      <c r="M31" s="397"/>
      <c r="N31" s="397"/>
      <c r="O31" s="397"/>
      <c r="P31" s="411">
        <f>'Table 3'!D31</f>
        <v>2405360.21</v>
      </c>
      <c r="Q31" s="21">
        <f>'Table 3'!H31</f>
        <v>-2405360.21</v>
      </c>
      <c r="R31" s="21">
        <f>'Table 3'!J31+'Table 3'!K31</f>
        <v>0</v>
      </c>
      <c r="S31" s="593">
        <f>'Table 3'!M31</f>
        <v>0</v>
      </c>
      <c r="T31" s="417">
        <f t="shared" ref="T31:T37" si="40">SUM(P31:S31)</f>
        <v>0</v>
      </c>
      <c r="U31" s="20"/>
      <c r="V31" s="436"/>
      <c r="W31" s="436"/>
    </row>
    <row r="32" spans="1:23">
      <c r="A32" s="16"/>
      <c r="B32" s="16" t="s">
        <v>692</v>
      </c>
      <c r="C32" s="16"/>
      <c r="D32" s="404"/>
      <c r="E32" s="317"/>
      <c r="F32" s="317"/>
      <c r="G32" s="317"/>
      <c r="H32" s="404">
        <f>SUMIF('305'!$B$2:$B$202,"RREVADJ",'305'!H$2:H$202)</f>
        <v>0</v>
      </c>
      <c r="I32" s="322"/>
      <c r="J32" s="317"/>
      <c r="K32" s="325"/>
      <c r="L32" s="317"/>
      <c r="M32" s="397"/>
      <c r="N32" s="397"/>
      <c r="O32" s="397"/>
      <c r="P32" s="411">
        <f>'Table 3'!D32</f>
        <v>-1227136.3700000001</v>
      </c>
      <c r="Q32" s="21">
        <f>'Table 3'!H32</f>
        <v>1227136.3700000001</v>
      </c>
      <c r="R32" s="21">
        <f>'Table 3'!J32+'Table 3'!K32</f>
        <v>0</v>
      </c>
      <c r="S32" s="593">
        <f>'Table 3'!M32</f>
        <v>0</v>
      </c>
      <c r="T32" s="417">
        <f t="shared" si="40"/>
        <v>0</v>
      </c>
      <c r="U32" s="20"/>
      <c r="V32" s="436"/>
      <c r="W32" s="436"/>
    </row>
    <row r="33" spans="1:23">
      <c r="A33" s="16"/>
      <c r="B33" s="16" t="s">
        <v>962</v>
      </c>
      <c r="C33" s="16"/>
      <c r="D33" s="404"/>
      <c r="E33" s="317"/>
      <c r="F33" s="317"/>
      <c r="G33" s="317"/>
      <c r="H33" s="404">
        <f>SUMIF('305'!$B$2:$B$202,"RSOLAR",'305'!H$2:H$202)</f>
        <v>0</v>
      </c>
      <c r="I33" s="322"/>
      <c r="J33" s="317"/>
      <c r="K33" s="325"/>
      <c r="L33" s="317"/>
      <c r="M33" s="397"/>
      <c r="N33" s="397"/>
      <c r="O33" s="397"/>
      <c r="P33" s="411">
        <f>'Table 3'!D33</f>
        <v>1838486.19</v>
      </c>
      <c r="Q33" s="21">
        <f>'Table 3'!H33</f>
        <v>-1838486.19</v>
      </c>
      <c r="R33" s="21">
        <f>'Table 3'!J33+'Table 3'!K33</f>
        <v>0</v>
      </c>
      <c r="S33" s="593">
        <f>'Table 3'!M33</f>
        <v>0</v>
      </c>
      <c r="T33" s="417">
        <f t="shared" si="40"/>
        <v>0</v>
      </c>
      <c r="U33" s="20"/>
      <c r="V33" s="436"/>
      <c r="W33" s="436"/>
    </row>
    <row r="34" spans="1:23">
      <c r="A34" s="16"/>
      <c r="B34" s="16" t="s">
        <v>23</v>
      </c>
      <c r="C34" s="16"/>
      <c r="D34" s="404"/>
      <c r="E34" s="317"/>
      <c r="F34" s="317"/>
      <c r="G34" s="317"/>
      <c r="H34" s="404">
        <f>SUMIF('305'!$B$2:$B$202,"RDSM",'305'!H$2:H$202)</f>
        <v>0</v>
      </c>
      <c r="I34" s="322"/>
      <c r="J34" s="317"/>
      <c r="K34" s="325"/>
      <c r="L34" s="317"/>
      <c r="M34" s="397"/>
      <c r="N34" s="397"/>
      <c r="O34" s="397"/>
      <c r="P34" s="411">
        <f>'Table 3'!D34</f>
        <v>3637604.95</v>
      </c>
      <c r="Q34" s="21">
        <f>'Table 3'!H34</f>
        <v>-3637604.95</v>
      </c>
      <c r="R34" s="21">
        <f>'Table 3'!J34+'Table 3'!K34</f>
        <v>0</v>
      </c>
      <c r="S34" s="593">
        <f>'Table 3'!M34</f>
        <v>0</v>
      </c>
      <c r="T34" s="417">
        <f t="shared" si="40"/>
        <v>0</v>
      </c>
      <c r="U34" s="20"/>
      <c r="V34" s="436"/>
      <c r="W34" s="436"/>
    </row>
    <row r="35" spans="1:23">
      <c r="A35" s="16"/>
      <c r="B35" s="16" t="s">
        <v>1412</v>
      </c>
      <c r="C35" s="16"/>
      <c r="D35" s="404"/>
      <c r="E35" s="317"/>
      <c r="F35" s="317"/>
      <c r="G35" s="317"/>
      <c r="H35" s="404">
        <f>SUMIF('305'!$B$2:$B$202,"RTAX",'305'!H$2:H$202)</f>
        <v>0</v>
      </c>
      <c r="I35" s="322"/>
      <c r="J35" s="317"/>
      <c r="K35" s="325"/>
      <c r="L35" s="317"/>
      <c r="M35" s="397"/>
      <c r="N35" s="397"/>
      <c r="O35" s="397"/>
      <c r="P35" s="411">
        <f>'Table 3'!D35</f>
        <v>-2.0000000047730299E-2</v>
      </c>
      <c r="Q35" s="21">
        <f>'Table 3'!H35</f>
        <v>2.0000000047730299E-2</v>
      </c>
      <c r="R35" s="21">
        <f>'Table 3'!J35+'Table 3'!K35</f>
        <v>0</v>
      </c>
      <c r="S35" s="593">
        <f>'Table 3'!M35</f>
        <v>0</v>
      </c>
      <c r="T35" s="417">
        <f t="shared" si="40"/>
        <v>0</v>
      </c>
      <c r="U35" s="20"/>
      <c r="V35" s="436"/>
      <c r="W35" s="436"/>
    </row>
    <row r="36" spans="1:23">
      <c r="A36" s="16"/>
      <c r="B36" s="18" t="s">
        <v>848</v>
      </c>
      <c r="C36" s="16"/>
      <c r="D36" s="404"/>
      <c r="E36" s="317"/>
      <c r="F36" s="317"/>
      <c r="G36" s="317"/>
      <c r="H36" s="404">
        <f>SUMIF('305'!$B$2:$B$202,"RBLUE",'305'!H$2:H$202)</f>
        <v>0</v>
      </c>
      <c r="I36" s="322"/>
      <c r="J36" s="317"/>
      <c r="K36" s="325"/>
      <c r="L36" s="317"/>
      <c r="M36" s="397"/>
      <c r="N36" s="397"/>
      <c r="O36" s="397"/>
      <c r="P36" s="411">
        <f>'Table 3'!D36</f>
        <v>2162994.2800000003</v>
      </c>
      <c r="Q36" s="21">
        <f>'Table 3'!H36</f>
        <v>-2162994.2800000003</v>
      </c>
      <c r="R36" s="21">
        <f>'Table 3'!J36+'Table 3'!K36</f>
        <v>0</v>
      </c>
      <c r="S36" s="593">
        <f>'Table 3'!M36</f>
        <v>0</v>
      </c>
      <c r="T36" s="417">
        <f t="shared" si="40"/>
        <v>0</v>
      </c>
      <c r="U36" s="20"/>
      <c r="V36" s="123"/>
      <c r="W36" s="123"/>
    </row>
    <row r="37" spans="1:23">
      <c r="A37" s="16"/>
      <c r="B37" s="654" t="s">
        <v>849</v>
      </c>
      <c r="C37" s="437"/>
      <c r="D37" s="405"/>
      <c r="E37" s="318"/>
      <c r="F37" s="318"/>
      <c r="G37" s="318"/>
      <c r="H37" s="405">
        <f>SUMIF('305'!$B$2:$B$202,"RINSUR",'305'!H$2:H$202)</f>
        <v>0</v>
      </c>
      <c r="I37" s="332"/>
      <c r="J37" s="318"/>
      <c r="K37" s="326"/>
      <c r="L37" s="318"/>
      <c r="M37" s="398"/>
      <c r="N37" s="398"/>
      <c r="O37" s="398"/>
      <c r="P37" s="412">
        <f>'Table 3'!D37</f>
        <v>-776778.1</v>
      </c>
      <c r="Q37" s="25">
        <f>'Table 3'!H37</f>
        <v>776778.1</v>
      </c>
      <c r="R37" s="25">
        <f>'Table 3'!J37+'Table 3'!K37</f>
        <v>0</v>
      </c>
      <c r="S37" s="1060">
        <f>'Table 3'!M37</f>
        <v>0</v>
      </c>
      <c r="T37" s="418">
        <f t="shared" si="40"/>
        <v>0</v>
      </c>
      <c r="U37" s="20"/>
      <c r="V37" s="123"/>
      <c r="W37" s="123"/>
    </row>
    <row r="38" spans="1:23" s="557" customFormat="1">
      <c r="B38" s="557" t="s">
        <v>130</v>
      </c>
      <c r="D38" s="562">
        <f t="shared" ref="D38:T38" si="41">SUM(D31:D37)</f>
        <v>0</v>
      </c>
      <c r="E38" s="559">
        <f t="shared" si="41"/>
        <v>0</v>
      </c>
      <c r="F38" s="559">
        <f t="shared" si="41"/>
        <v>0</v>
      </c>
      <c r="G38" s="559">
        <f t="shared" ref="G38" si="42">SUM(G31:G37)</f>
        <v>0</v>
      </c>
      <c r="H38" s="562">
        <f t="shared" si="41"/>
        <v>0</v>
      </c>
      <c r="I38" s="566">
        <f t="shared" si="41"/>
        <v>0</v>
      </c>
      <c r="J38" s="559">
        <f t="shared" si="41"/>
        <v>0</v>
      </c>
      <c r="K38" s="567">
        <f t="shared" si="41"/>
        <v>0</v>
      </c>
      <c r="L38" s="559">
        <f t="shared" si="41"/>
        <v>0</v>
      </c>
      <c r="M38" s="561">
        <f t="shared" si="41"/>
        <v>0</v>
      </c>
      <c r="N38" s="561">
        <f t="shared" si="41"/>
        <v>0</v>
      </c>
      <c r="O38" s="561">
        <f t="shared" ref="O38" si="43">SUM(O31:O37)</f>
        <v>0</v>
      </c>
      <c r="P38" s="568">
        <f t="shared" si="41"/>
        <v>8040531.1400000006</v>
      </c>
      <c r="Q38" s="569">
        <f t="shared" si="41"/>
        <v>-8040531.1400000006</v>
      </c>
      <c r="R38" s="569">
        <f t="shared" ref="R38:S38" si="44">SUM(R31:R37)</f>
        <v>0</v>
      </c>
      <c r="S38" s="1061">
        <f t="shared" si="44"/>
        <v>0</v>
      </c>
      <c r="T38" s="570">
        <f t="shared" si="41"/>
        <v>0</v>
      </c>
      <c r="U38" s="560"/>
      <c r="V38" s="565"/>
      <c r="W38" s="565"/>
    </row>
    <row r="39" spans="1:23">
      <c r="A39" s="16"/>
      <c r="C39" s="16"/>
      <c r="D39" s="404"/>
      <c r="E39" s="317"/>
      <c r="F39" s="317"/>
      <c r="G39" s="317"/>
      <c r="H39" s="404"/>
      <c r="I39" s="322"/>
      <c r="J39" s="317"/>
      <c r="K39" s="325"/>
      <c r="L39" s="317"/>
      <c r="M39" s="397"/>
      <c r="N39" s="397"/>
      <c r="O39" s="397"/>
      <c r="P39" s="411"/>
      <c r="Q39" s="21"/>
      <c r="R39" s="21"/>
      <c r="S39" s="593"/>
      <c r="T39" s="417"/>
      <c r="U39" s="20"/>
      <c r="V39" s="123"/>
      <c r="W39" s="123"/>
    </row>
    <row r="40" spans="1:23">
      <c r="A40" s="16"/>
      <c r="B40" s="360" t="s">
        <v>136</v>
      </c>
      <c r="C40" s="16"/>
      <c r="D40" s="404"/>
      <c r="E40" s="317"/>
      <c r="F40" s="317"/>
      <c r="G40" s="317"/>
      <c r="H40" s="404">
        <f>SUMIF('305'!$B$2:$B$202,"Ru",'305'!H$2:H$202)</f>
        <v>40159000</v>
      </c>
      <c r="I40" s="322"/>
      <c r="J40" s="317">
        <f>-H40</f>
        <v>-40159000</v>
      </c>
      <c r="K40" s="325"/>
      <c r="L40" s="317"/>
      <c r="M40" s="397"/>
      <c r="N40" s="397"/>
      <c r="O40" s="397"/>
      <c r="P40" s="411">
        <f>'Table 3'!D40</f>
        <v>4651000</v>
      </c>
      <c r="Q40" s="21">
        <f>'Table 3'!H40</f>
        <v>-4651000</v>
      </c>
      <c r="R40" s="21">
        <f>'Table 3'!J40+'Table 3'!K40</f>
        <v>0</v>
      </c>
      <c r="S40" s="593">
        <f>'Table 3'!M40</f>
        <v>0</v>
      </c>
      <c r="T40" s="417">
        <f t="shared" ref="T40:T41" si="45">SUM(P40:S40)</f>
        <v>0</v>
      </c>
      <c r="U40" s="20"/>
      <c r="V40" s="123"/>
      <c r="W40" s="123"/>
    </row>
    <row r="41" spans="1:23" s="22" customFormat="1">
      <c r="A41" s="16"/>
      <c r="B41" s="438" t="s">
        <v>471</v>
      </c>
      <c r="C41" s="437"/>
      <c r="D41" s="405"/>
      <c r="E41" s="318"/>
      <c r="F41" s="318"/>
      <c r="G41" s="318"/>
      <c r="H41" s="405">
        <f>SUMIF('305'!$B$2:$B$202,"RAGA",'305'!H$2:H$202)</f>
        <v>0</v>
      </c>
      <c r="I41" s="332">
        <f>-H41</f>
        <v>0</v>
      </c>
      <c r="J41" s="318"/>
      <c r="K41" s="326"/>
      <c r="L41" s="318"/>
      <c r="M41" s="398"/>
      <c r="N41" s="398"/>
      <c r="O41" s="398"/>
      <c r="P41" s="412">
        <f>'Table 3'!D41</f>
        <v>6795.090000000062</v>
      </c>
      <c r="Q41" s="25">
        <f>'Table 3'!H41</f>
        <v>0</v>
      </c>
      <c r="R41" s="25">
        <f>'Table 3'!J41+'Table 3'!K41</f>
        <v>0</v>
      </c>
      <c r="S41" s="1060">
        <f>'Table 3'!M41</f>
        <v>0</v>
      </c>
      <c r="T41" s="418">
        <f t="shared" si="45"/>
        <v>6795.090000000062</v>
      </c>
      <c r="U41" s="20"/>
    </row>
    <row r="42" spans="1:23">
      <c r="A42" s="16"/>
      <c r="B42" s="360" t="s">
        <v>93</v>
      </c>
      <c r="C42" s="16"/>
      <c r="D42" s="404">
        <f t="shared" ref="D42:T42" si="46">D29+D38+D40+D41</f>
        <v>841305.16666666663</v>
      </c>
      <c r="E42" s="317">
        <f t="shared" si="46"/>
        <v>-185.05655541341594</v>
      </c>
      <c r="F42" s="317">
        <f t="shared" si="46"/>
        <v>841120.11011125322</v>
      </c>
      <c r="G42" s="317">
        <f t="shared" ref="G42" si="47">G29+G38+G40+G41</f>
        <v>875394.50704284315</v>
      </c>
      <c r="H42" s="404">
        <f t="shared" si="46"/>
        <v>7154065110</v>
      </c>
      <c r="I42" s="322">
        <f t="shared" si="46"/>
        <v>-15153229.313824609</v>
      </c>
      <c r="J42" s="317">
        <f t="shared" si="46"/>
        <v>0</v>
      </c>
      <c r="K42" s="325">
        <f t="shared" si="46"/>
        <v>-54333001.209100008</v>
      </c>
      <c r="L42" s="317">
        <f t="shared" si="46"/>
        <v>-53894.000000241802</v>
      </c>
      <c r="M42" s="397">
        <f t="shared" si="46"/>
        <v>7084524985.4770765</v>
      </c>
      <c r="N42" s="397">
        <f t="shared" si="46"/>
        <v>-33759487.418618135</v>
      </c>
      <c r="O42" s="397">
        <f t="shared" ref="O42" si="48">O29+O38+O40+O41</f>
        <v>7050765498.0584555</v>
      </c>
      <c r="P42" s="411">
        <f t="shared" si="46"/>
        <v>769345398.81000006</v>
      </c>
      <c r="Q42" s="21">
        <f t="shared" si="46"/>
        <v>-14382179.300000003</v>
      </c>
      <c r="R42" s="21">
        <f t="shared" ref="R42:S42" si="49">R29+R38+R40+R41</f>
        <v>650886.28050004866</v>
      </c>
      <c r="S42" s="593">
        <f t="shared" si="49"/>
        <v>-1121482.773100028</v>
      </c>
      <c r="T42" s="417">
        <f t="shared" si="46"/>
        <v>754492623.01739979</v>
      </c>
      <c r="U42" s="20"/>
      <c r="V42" s="123">
        <f>L42/M42</f>
        <v>-7.6072849076997851E-6</v>
      </c>
      <c r="W42" s="123">
        <f>J42/(H42+I42)</f>
        <v>0</v>
      </c>
    </row>
    <row r="43" spans="1:23">
      <c r="A43" s="16"/>
      <c r="C43" s="16"/>
      <c r="D43" s="404"/>
      <c r="E43" s="317"/>
      <c r="F43" s="317"/>
      <c r="G43" s="317"/>
      <c r="H43" s="404"/>
      <c r="I43" s="322"/>
      <c r="J43" s="317"/>
      <c r="K43" s="325"/>
      <c r="L43" s="317"/>
      <c r="M43" s="397"/>
      <c r="N43" s="397"/>
      <c r="O43" s="397"/>
      <c r="P43" s="411"/>
      <c r="Q43" s="21"/>
      <c r="R43" s="21"/>
      <c r="S43" s="593"/>
      <c r="T43" s="417"/>
      <c r="U43" s="20"/>
    </row>
    <row r="44" spans="1:23">
      <c r="A44" s="17" t="s">
        <v>104</v>
      </c>
      <c r="B44" s="359"/>
      <c r="C44" s="16"/>
      <c r="D44" s="404"/>
      <c r="E44" s="317"/>
      <c r="F44" s="317"/>
      <c r="G44" s="317"/>
      <c r="H44" s="404"/>
      <c r="I44" s="322"/>
      <c r="J44" s="317"/>
      <c r="K44" s="325"/>
      <c r="L44" s="317"/>
      <c r="M44" s="397"/>
      <c r="N44" s="397"/>
      <c r="O44" s="397"/>
      <c r="P44" s="411"/>
      <c r="Q44" s="21"/>
      <c r="R44" s="21"/>
      <c r="S44" s="593"/>
      <c r="T44" s="417"/>
      <c r="U44" s="20"/>
    </row>
    <row r="45" spans="1:23">
      <c r="A45" s="16"/>
      <c r="B45" s="600">
        <v>6</v>
      </c>
      <c r="C45" s="16"/>
      <c r="D45" s="404">
        <f>SUMIF('305'!$B$2:$B$202,"C6",'305'!I$2:I$202)</f>
        <v>11894.333333333367</v>
      </c>
      <c r="E45" s="317">
        <f t="shared" ref="E45:E63" si="50">F45-D45</f>
        <v>-12.772222222225537</v>
      </c>
      <c r="F45" s="317">
        <f>'Blocking-Step2'!C714/12</f>
        <v>11881.561111111141</v>
      </c>
      <c r="G45" s="317">
        <f>'Blocking-Step2'!D714/12</f>
        <v>11789</v>
      </c>
      <c r="H45" s="404">
        <f>SUMIF('305'!$B$2:$B$202,"C6",'305'!H$2:H$202)</f>
        <v>5033539524</v>
      </c>
      <c r="I45" s="322">
        <f>'6'!F23</f>
        <v>10999046</v>
      </c>
      <c r="J45" s="317">
        <f>H78-SUM(J46:J66)</f>
        <v>26762696</v>
      </c>
      <c r="K45" s="325">
        <f>TempRev!C335-K46-K47</f>
        <v>3809077.8469096897</v>
      </c>
      <c r="L45" s="317">
        <f>M45-H45-I45-J45-K45</f>
        <v>1.9999998332932591</v>
      </c>
      <c r="M45" s="397">
        <f>'Blocking-Step2'!C732</f>
        <v>5075110345.8469095</v>
      </c>
      <c r="N45" s="397">
        <f t="shared" ref="N45:N66" si="51">O45-M45</f>
        <v>-259250341.93181419</v>
      </c>
      <c r="O45" s="397">
        <f>'Blocking-Step2'!D732</f>
        <v>4815860003.9150953</v>
      </c>
      <c r="P45" s="411">
        <f>'Table 3'!D45</f>
        <v>410505242.61999995</v>
      </c>
      <c r="Q45" s="21">
        <f>'Table 3'!H45</f>
        <v>3406348.9897964443</v>
      </c>
      <c r="R45" s="21">
        <f>'Table 3'!J45+'Table 3'!K45</f>
        <v>243845.09160357714</v>
      </c>
      <c r="S45" s="593">
        <f>'Table 3'!M45</f>
        <v>-22176860.191199958</v>
      </c>
      <c r="T45" s="417">
        <f t="shared" ref="T45:T66" si="52">SUM(P45:S45)</f>
        <v>391978576.51020002</v>
      </c>
      <c r="U45" s="20"/>
      <c r="V45" s="123">
        <f t="shared" ref="V45:V67" si="53">L45/M45</f>
        <v>3.9408006860972182E-10</v>
      </c>
      <c r="W45" s="123">
        <f t="shared" ref="W45:W67" si="54">J45/(H45+I45)</f>
        <v>5.3052812717417682E-3</v>
      </c>
    </row>
    <row r="46" spans="1:23">
      <c r="A46" s="16"/>
      <c r="B46" s="600" t="s">
        <v>959</v>
      </c>
      <c r="C46" s="16"/>
      <c r="D46" s="404">
        <f>SUMIF('305'!$B$2:$B$202,"C6135",'305'!I$2:I$202)</f>
        <v>266.58333333333297</v>
      </c>
      <c r="E46" s="317">
        <f t="shared" ref="E46" si="55">F46-D46</f>
        <v>-0.51666666666631045</v>
      </c>
      <c r="F46" s="317">
        <f>'Blocking-Step2'!C794/12</f>
        <v>266.06666666666666</v>
      </c>
      <c r="G46" s="317">
        <f>'Blocking-Step2'!D794/12</f>
        <v>336</v>
      </c>
      <c r="H46" s="404">
        <f>SUMIF('305'!$B$2:$B$202,"C6135",'305'!H$2:H$202)</f>
        <v>123797404</v>
      </c>
      <c r="I46" s="322">
        <f>'6'!F27</f>
        <v>-655797</v>
      </c>
      <c r="J46" s="317">
        <f t="shared" ref="J46:J64" si="56">ROUND((H46+I46)/($H$67+$I$67)*$H$78,0)</f>
        <v>653301</v>
      </c>
      <c r="K46" s="325">
        <f>TempRev!M335</f>
        <v>92982.929594043933</v>
      </c>
      <c r="L46" s="317">
        <f>M46-H46-I46-J46-K46</f>
        <v>2.0000000108848326</v>
      </c>
      <c r="M46" s="397">
        <f>'Blocking-Step2'!C810</f>
        <v>123887892.92959405</v>
      </c>
      <c r="N46" s="397">
        <f t="shared" si="51"/>
        <v>35601082.87649177</v>
      </c>
      <c r="O46" s="397">
        <f>'Blocking-Step2'!D810</f>
        <v>159488975.80608582</v>
      </c>
      <c r="P46" s="411">
        <f>'Table 3'!D46</f>
        <v>10411052.34</v>
      </c>
      <c r="Q46" s="21">
        <f>'Table 3'!H46</f>
        <v>21948.571401878864</v>
      </c>
      <c r="R46" s="21">
        <f>'Table 3'!J46+'Table 3'!K46</f>
        <v>7110.1936981212348</v>
      </c>
      <c r="S46" s="593">
        <f>'Table 3'!M46</f>
        <v>2946813.4098000005</v>
      </c>
      <c r="T46" s="417">
        <f t="shared" si="52"/>
        <v>13386924.514900001</v>
      </c>
      <c r="U46" s="20"/>
      <c r="V46" s="123">
        <f t="shared" si="53"/>
        <v>1.6143627626481952E-8</v>
      </c>
      <c r="W46" s="123">
        <f t="shared" si="54"/>
        <v>5.3052823973622496E-3</v>
      </c>
    </row>
    <row r="47" spans="1:23">
      <c r="A47" s="16"/>
      <c r="B47" s="600" t="s">
        <v>1215</v>
      </c>
      <c r="C47" s="16"/>
      <c r="D47" s="404">
        <f>SUMIF('305'!$B$2:$B$202,"C6136",'305'!I$2:I$202)</f>
        <v>18.9166666666667</v>
      </c>
      <c r="E47" s="317">
        <f t="shared" ref="E47" si="57">F47-D47</f>
        <v>-0.94444444444447484</v>
      </c>
      <c r="F47" s="317">
        <f>'Blocking-Step2'!C851/12</f>
        <v>17.972222222222225</v>
      </c>
      <c r="G47" s="317">
        <f>'Blocking-Step2'!D851/12</f>
        <v>50.916666666666664</v>
      </c>
      <c r="H47" s="404">
        <f>SUMIF('305'!$B$2:$B$202,"C6136",'305'!H$2:H$202)</f>
        <v>5594182</v>
      </c>
      <c r="I47" s="322">
        <f>'6'!F31</f>
        <v>423644</v>
      </c>
      <c r="J47" s="317">
        <f t="shared" si="56"/>
        <v>31926</v>
      </c>
      <c r="K47" s="325">
        <f>TempRev!W335</f>
        <v>4543.9969138880333</v>
      </c>
      <c r="L47" s="317">
        <f>M47-H47-I47-J47-K47</f>
        <v>-4.7293724492192268E-10</v>
      </c>
      <c r="M47" s="397">
        <f>'Blocking-Step2'!C867</f>
        <v>6054295.9969138876</v>
      </c>
      <c r="N47" s="397">
        <f t="shared" si="51"/>
        <v>18105660.620776899</v>
      </c>
      <c r="O47" s="397">
        <f>'Blocking-Step2'!D867</f>
        <v>24159956.617690787</v>
      </c>
      <c r="P47" s="411">
        <f>'Table 3'!D47</f>
        <v>577057.74</v>
      </c>
      <c r="Q47" s="21">
        <f>'Table 3'!H47</f>
        <v>35737.818801676687</v>
      </c>
      <c r="R47" s="21">
        <f>'Table 3'!J47+'Table 3'!K47</f>
        <v>72.211298323236406</v>
      </c>
      <c r="S47" s="593">
        <f>'Table 3'!M47</f>
        <v>1806397.7254000003</v>
      </c>
      <c r="T47" s="417">
        <f t="shared" si="52"/>
        <v>2419265.4955000002</v>
      </c>
      <c r="U47" s="20"/>
      <c r="V47" s="123">
        <f t="shared" ref="V47" si="58">L47/M47</f>
        <v>-7.8115976682176976E-17</v>
      </c>
      <c r="W47" s="123">
        <f t="shared" ref="W47" si="59">J47/(H47+I47)</f>
        <v>5.3052381374935065E-3</v>
      </c>
    </row>
    <row r="48" spans="1:23">
      <c r="A48" s="16"/>
      <c r="B48" s="600" t="s">
        <v>221</v>
      </c>
      <c r="C48" s="16"/>
      <c r="D48" s="404">
        <f>SUMIF('305'!$B$2:$B$202,"C6A",'305'!I$2:I$202)</f>
        <v>2269.0833333333303</v>
      </c>
      <c r="E48" s="317">
        <f t="shared" si="50"/>
        <v>-6.5722222222134405</v>
      </c>
      <c r="F48" s="317">
        <f>'Blocking-Step2'!C1017/12</f>
        <v>2262.5111111111169</v>
      </c>
      <c r="G48" s="317">
        <f>'Blocking-Step2'!D1017/12</f>
        <v>2363.8333333333335</v>
      </c>
      <c r="H48" s="404">
        <f>SUMIF('305'!$B$2:$B$202,"C6A",'305'!H$2:H$202)</f>
        <v>285473394</v>
      </c>
      <c r="I48" s="322">
        <f>'6A'!F16+'305vsCognos'!F25</f>
        <v>-1245931</v>
      </c>
      <c r="J48" s="317">
        <f t="shared" si="56"/>
        <v>1507907</v>
      </c>
      <c r="K48" s="325">
        <f>TempRev!C340-K49-K50</f>
        <v>296701.35359118145</v>
      </c>
      <c r="L48" s="317">
        <f t="shared" ref="L48:L63" si="60">M48-H48-I48-J48-K48</f>
        <v>2.223532646894455E-8</v>
      </c>
      <c r="M48" s="397">
        <f>'Blocking-Step2'!C1030</f>
        <v>286032071.3535912</v>
      </c>
      <c r="N48" s="397">
        <f t="shared" si="51"/>
        <v>21319789.671636343</v>
      </c>
      <c r="O48" s="397">
        <f>'Blocking-Step2'!D1030</f>
        <v>307351861.02522755</v>
      </c>
      <c r="P48" s="411">
        <f>'Table 3'!D48</f>
        <v>32303691.41</v>
      </c>
      <c r="Q48" s="21">
        <f>'Table 3'!H48</f>
        <v>192251.28471198431</v>
      </c>
      <c r="R48" s="21">
        <f>'Table 3'!J48+'Table 3'!K48</f>
        <v>19828.41508801654</v>
      </c>
      <c r="S48" s="593">
        <f>'Table 3'!M48</f>
        <v>2291675.2552999966</v>
      </c>
      <c r="T48" s="417">
        <f t="shared" si="52"/>
        <v>34807446.365099996</v>
      </c>
      <c r="U48" s="20"/>
      <c r="V48" s="123">
        <f t="shared" si="53"/>
        <v>7.7737179483825664E-17</v>
      </c>
      <c r="W48" s="123">
        <f t="shared" si="54"/>
        <v>5.305282551109426E-3</v>
      </c>
    </row>
    <row r="49" spans="1:23">
      <c r="A49" s="16"/>
      <c r="B49" s="600" t="s">
        <v>963</v>
      </c>
      <c r="C49" s="16"/>
      <c r="D49" s="404">
        <f>SUMIF('305'!$B$2:$B$202,"C6A135",'305'!I$2:I$202)</f>
        <v>89.0833333333333</v>
      </c>
      <c r="E49" s="317">
        <f t="shared" ref="E49" si="61">F49-D49</f>
        <v>4.1666666666699825E-2</v>
      </c>
      <c r="F49" s="317">
        <f>'Blocking-Step2'!C1109/12</f>
        <v>89.125</v>
      </c>
      <c r="G49" s="317">
        <f>'Blocking-Step2'!D1109/12</f>
        <v>113</v>
      </c>
      <c r="H49" s="404">
        <f>SUMIF('305'!$B$2:$B$202,"C6A135",'305'!H$2:H$202)</f>
        <v>10517450</v>
      </c>
      <c r="I49" s="322">
        <f>'6A'!F20</f>
        <v>11799</v>
      </c>
      <c r="J49" s="317">
        <f t="shared" si="56"/>
        <v>55861</v>
      </c>
      <c r="K49" s="325">
        <f>TempRev!M340</f>
        <v>10991.350323540019</v>
      </c>
      <c r="L49" s="317">
        <f t="shared" ref="L49" si="62">M49-H49-I49-J49-K49</f>
        <v>4.0000000010713848</v>
      </c>
      <c r="M49" s="397">
        <f>'Blocking-Step2'!C1120</f>
        <v>10596105.350323541</v>
      </c>
      <c r="N49" s="397">
        <f t="shared" si="51"/>
        <v>2402800.6739231143</v>
      </c>
      <c r="O49" s="397">
        <f>'Blocking-Step2'!D1120</f>
        <v>12998906.024246655</v>
      </c>
      <c r="P49" s="411">
        <f>'Table 3'!D49</f>
        <v>1360823.98</v>
      </c>
      <c r="Q49" s="21">
        <f>'Table 3'!H49</f>
        <v>8977.3732247937114</v>
      </c>
      <c r="R49" s="21">
        <f>'Table 3'!J49+'Table 3'!K49</f>
        <v>1701.9058752062265</v>
      </c>
      <c r="S49" s="593">
        <f>'Table 3'!M49</f>
        <v>305220.54029999999</v>
      </c>
      <c r="T49" s="417">
        <f t="shared" si="52"/>
        <v>1676723.7993999999</v>
      </c>
      <c r="U49" s="20"/>
      <c r="V49" s="123">
        <f t="shared" si="53"/>
        <v>3.7749719060213466E-7</v>
      </c>
      <c r="W49" s="123">
        <f t="shared" si="54"/>
        <v>5.3053166469897326E-3</v>
      </c>
    </row>
    <row r="50" spans="1:23">
      <c r="A50" s="16"/>
      <c r="B50" s="600" t="s">
        <v>1554</v>
      </c>
      <c r="C50" s="16"/>
      <c r="D50" s="404">
        <f>SUMIF('305'!$B$2:$B$202,"C6A136",'305'!I$2:I$202)</f>
        <v>1.4166666666666701</v>
      </c>
      <c r="E50" s="317">
        <f t="shared" ref="E50" si="63">F50-D50</f>
        <v>-0.20000000000000351</v>
      </c>
      <c r="F50" s="317">
        <f>'Blocking-Step2'!C1153/12</f>
        <v>1.2166666666666666</v>
      </c>
      <c r="G50" s="317">
        <f>'Blocking-Step2'!D1153/12</f>
        <v>0</v>
      </c>
      <c r="H50" s="404">
        <f>SUMIF('305'!$B$2:$B$202,"C6A136",'305'!H$2:H$202)</f>
        <v>262038</v>
      </c>
      <c r="I50" s="322">
        <f>'6A'!F24</f>
        <v>36259</v>
      </c>
      <c r="J50" s="317">
        <f t="shared" si="56"/>
        <v>1583</v>
      </c>
      <c r="K50" s="325">
        <f>TempRev!W340</f>
        <v>311.38836035766417</v>
      </c>
      <c r="L50" s="317">
        <f t="shared" ref="L50" si="64">M50-H50-I50-J50-K50</f>
        <v>4.5474735088646412E-12</v>
      </c>
      <c r="M50" s="397">
        <f>'Blocking-Step2'!C1164</f>
        <v>300191.38836035767</v>
      </c>
      <c r="N50" s="397">
        <f t="shared" ref="N50" si="65">O50-M50</f>
        <v>-300191.38836035767</v>
      </c>
      <c r="O50" s="397">
        <f>'Blocking-Step2'!D1164</f>
        <v>0</v>
      </c>
      <c r="P50" s="411">
        <f>'Table 3'!D50</f>
        <v>25073.200000000001</v>
      </c>
      <c r="Q50" s="21">
        <f>'Table 3'!H50</f>
        <v>2767.2120632219867</v>
      </c>
      <c r="R50" s="21">
        <f>'Table 3'!J50+'Table 3'!K50</f>
        <v>-0.47566322198690614</v>
      </c>
      <c r="S50" s="593">
        <f>'Table 3'!M50</f>
        <v>-27839.936399999999</v>
      </c>
      <c r="T50" s="417">
        <f t="shared" ref="T50" si="66">SUM(P50:S50)</f>
        <v>0</v>
      </c>
      <c r="U50" s="20"/>
      <c r="V50" s="123">
        <f t="shared" ref="V50" si="67">L50/M50</f>
        <v>1.5148580822730778E-17</v>
      </c>
      <c r="W50" s="123">
        <f t="shared" ref="W50" si="68">J50/(H50+I50)</f>
        <v>5.3067915533847139E-3</v>
      </c>
    </row>
    <row r="51" spans="1:23">
      <c r="A51" s="16"/>
      <c r="B51" s="601" t="s">
        <v>223</v>
      </c>
      <c r="C51" s="16"/>
      <c r="D51" s="404">
        <f>SUMIF('305'!$B$2:$B$202,"C6B",'305'!I$2:I$202)</f>
        <v>14.0833333333333</v>
      </c>
      <c r="E51" s="317">
        <f t="shared" si="50"/>
        <v>-8.3333333333300175E-2</v>
      </c>
      <c r="F51" s="317">
        <f>'Blocking-Step2'!C925/12</f>
        <v>14</v>
      </c>
      <c r="G51" s="317">
        <f>'Blocking-Step2'!D925/12</f>
        <v>14</v>
      </c>
      <c r="H51" s="404">
        <f>SUMIF('305'!$B$2:$B$202,"C6B",'305'!H$2:H$202)</f>
        <v>3269992</v>
      </c>
      <c r="I51" s="322">
        <f>'6'!F35</f>
        <v>385</v>
      </c>
      <c r="J51" s="317">
        <f t="shared" si="56"/>
        <v>17350</v>
      </c>
      <c r="K51" s="325">
        <f>TempRev!C343</f>
        <v>4687.7066724524602</v>
      </c>
      <c r="L51" s="317">
        <f t="shared" si="60"/>
        <v>-7.0031092036515474E-11</v>
      </c>
      <c r="M51" s="397">
        <f>'Blocking-Step2'!C940</f>
        <v>3292414.7066724524</v>
      </c>
      <c r="N51" s="397">
        <f t="shared" si="51"/>
        <v>31630.29332754761</v>
      </c>
      <c r="O51" s="397">
        <f>'Blocking-Step2'!D940</f>
        <v>3324045</v>
      </c>
      <c r="P51" s="411">
        <f>'Table 3'!D51</f>
        <v>313077.19</v>
      </c>
      <c r="Q51" s="21">
        <f>'Table 3'!H51</f>
        <v>2065.9300000000003</v>
      </c>
      <c r="R51" s="21">
        <f>'Table 3'!J51+'Table 3'!K51</f>
        <v>186.26760000002105</v>
      </c>
      <c r="S51" s="593">
        <f>'Table 3'!M51</f>
        <v>2127.1590999999898</v>
      </c>
      <c r="T51" s="417">
        <f t="shared" si="52"/>
        <v>317456.54670000001</v>
      </c>
      <c r="U51" s="20"/>
      <c r="V51" s="123">
        <f t="shared" si="53"/>
        <v>-2.1270434703923995E-17</v>
      </c>
      <c r="W51" s="123">
        <f t="shared" si="54"/>
        <v>5.3051987584306027E-3</v>
      </c>
    </row>
    <row r="52" spans="1:23">
      <c r="A52" s="16"/>
      <c r="B52" s="600">
        <v>7</v>
      </c>
      <c r="C52" s="16"/>
      <c r="D52" s="404">
        <f>SUMIF('305'!$B$2:$B$202,"C7",'305'!I$2:I$202)</f>
        <v>3860.5833333333298</v>
      </c>
      <c r="E52" s="317">
        <f t="shared" si="50"/>
        <v>0</v>
      </c>
      <c r="F52" s="317">
        <f>D52</f>
        <v>3860.5833333333298</v>
      </c>
      <c r="G52" s="317">
        <f>'Blocking-Step2'!D1289</f>
        <v>3720</v>
      </c>
      <c r="H52" s="404">
        <f>SUMIF('305'!$B$2:$B$202,"C7",'305'!H$2:H$202)</f>
        <v>7230362</v>
      </c>
      <c r="I52" s="322">
        <f>'7'!J88</f>
        <v>6922.8697780707416</v>
      </c>
      <c r="J52" s="317">
        <f t="shared" si="56"/>
        <v>38396</v>
      </c>
      <c r="K52" s="325"/>
      <c r="L52" s="317">
        <f t="shared" si="60"/>
        <v>1339.1799575675686</v>
      </c>
      <c r="M52" s="397">
        <f>'Blocking-Step2'!C1290</f>
        <v>7277020.0497356383</v>
      </c>
      <c r="N52" s="397">
        <f t="shared" si="51"/>
        <v>-288121.4233474331</v>
      </c>
      <c r="O52" s="397">
        <f>'Blocking-Step2'!D1290</f>
        <v>6988898.6263882052</v>
      </c>
      <c r="P52" s="411">
        <f>'Table 3'!D52</f>
        <v>1648722.3</v>
      </c>
      <c r="Q52" s="21">
        <f>'Table 3'!H52</f>
        <v>12308.54</v>
      </c>
      <c r="R52" s="21">
        <f>'Table 3'!J52+'Table 3'!K52</f>
        <v>520.01179999997839</v>
      </c>
      <c r="S52" s="593">
        <f>'Table 3'!M52</f>
        <v>-66664.491200000048</v>
      </c>
      <c r="T52" s="417">
        <f t="shared" si="52"/>
        <v>1594886.3606</v>
      </c>
      <c r="U52" s="20"/>
      <c r="V52" s="123">
        <f t="shared" si="53"/>
        <v>1.8402862001407001E-4</v>
      </c>
      <c r="W52" s="123">
        <f t="shared" si="54"/>
        <v>5.3053045017388408E-3</v>
      </c>
    </row>
    <row r="53" spans="1:23">
      <c r="A53" s="16"/>
      <c r="B53" s="601">
        <v>8</v>
      </c>
      <c r="C53" s="16"/>
      <c r="D53" s="404">
        <f>SUMIF('305'!$B$2:$B$202,"C8",'305'!I$2:I$202)</f>
        <v>129.833333333333</v>
      </c>
      <c r="E53" s="317">
        <f t="shared" si="50"/>
        <v>-1.3805714285713293</v>
      </c>
      <c r="F53" s="317">
        <f>'Blocking-Step2'!C1399/12</f>
        <v>128.45276190476167</v>
      </c>
      <c r="G53" s="317">
        <f>'Blocking-Step2'!D1399/12</f>
        <v>132.25</v>
      </c>
      <c r="H53" s="404">
        <f>SUMIF('305'!$B$2:$B$202,"C8",'305'!H$2:H$202)</f>
        <v>931987123</v>
      </c>
      <c r="I53" s="322">
        <f>'8'!E10+'8'!C8</f>
        <v>1125927</v>
      </c>
      <c r="J53" s="317">
        <f t="shared" si="56"/>
        <v>4950427</v>
      </c>
      <c r="K53" s="325">
        <f>TempRev!C347-K54-K55</f>
        <v>997470.99508160411</v>
      </c>
      <c r="L53" s="317">
        <f t="shared" si="60"/>
        <v>5.9022568166255951E-8</v>
      </c>
      <c r="M53" s="397">
        <f>'Blocking-Step2'!C1416</f>
        <v>939060947.99508166</v>
      </c>
      <c r="N53" s="397">
        <f t="shared" si="51"/>
        <v>7030993.2794866562</v>
      </c>
      <c r="O53" s="397">
        <f>'Blocking-Step2'!D1416</f>
        <v>946091941.27456832</v>
      </c>
      <c r="P53" s="411">
        <f>'Table 3'!D53</f>
        <v>66179716.859999999</v>
      </c>
      <c r="Q53" s="21">
        <f>'Table 3'!H53</f>
        <v>515034.67244547536</v>
      </c>
      <c r="R53" s="21">
        <f>'Table 3'!J53+'Table 3'!K53</f>
        <v>34712.918154522777</v>
      </c>
      <c r="S53" s="593">
        <f>'Table 3'!M53</f>
        <v>288282.66719999909</v>
      </c>
      <c r="T53" s="417">
        <f t="shared" si="52"/>
        <v>67017747.117799997</v>
      </c>
      <c r="U53" s="20"/>
      <c r="V53" s="123">
        <f t="shared" si="53"/>
        <v>6.2852755502473604E-17</v>
      </c>
      <c r="W53" s="123">
        <f t="shared" si="54"/>
        <v>5.3052810696410258E-3</v>
      </c>
    </row>
    <row r="54" spans="1:23">
      <c r="A54" s="16"/>
      <c r="B54" s="601" t="s">
        <v>964</v>
      </c>
      <c r="C54" s="16"/>
      <c r="D54" s="404">
        <f>SUMIF('305'!$B$2:$B$202,"C8135",'305'!I$2:I$202)</f>
        <v>11.25</v>
      </c>
      <c r="E54" s="317">
        <f t="shared" ref="E54" si="69">F54-D54</f>
        <v>5.2773809523833037E-2</v>
      </c>
      <c r="F54" s="317">
        <f>'Blocking-Step2'!C1439/12</f>
        <v>11.302773809523833</v>
      </c>
      <c r="G54" s="317">
        <f>'Blocking-Step2'!D1439/12</f>
        <v>14</v>
      </c>
      <c r="H54" s="404">
        <f>SUMIF('305'!$B$2:$B$202,"C8135",'305'!H$2:H$202)</f>
        <v>57650918</v>
      </c>
      <c r="I54" s="322">
        <f>'8'!E13</f>
        <v>-242460</v>
      </c>
      <c r="J54" s="317">
        <f t="shared" si="56"/>
        <v>304568</v>
      </c>
      <c r="K54" s="325">
        <f>TempRev!M347</f>
        <v>61268.511233094796</v>
      </c>
      <c r="L54" s="317">
        <f t="shared" ref="L54" si="70">M54-H54-I54-J54-K54</f>
        <v>-3.4415279515087605E-9</v>
      </c>
      <c r="M54" s="397">
        <f>'Blocking-Step2'!C1456</f>
        <v>57774294.511233091</v>
      </c>
      <c r="N54" s="397">
        <f t="shared" si="51"/>
        <v>5451327.6857365891</v>
      </c>
      <c r="O54" s="397">
        <f>'Blocking-Step2'!D1456</f>
        <v>63225622.19696968</v>
      </c>
      <c r="P54" s="411">
        <f>'Table 3'!D54</f>
        <v>4355699.9000000004</v>
      </c>
      <c r="Q54" s="21">
        <f>'Table 3'!H54</f>
        <v>14779.397748512069</v>
      </c>
      <c r="R54" s="21">
        <f>'Table 3'!J54+'Table 3'!K54</f>
        <v>1848.0142514873296</v>
      </c>
      <c r="S54" s="593">
        <f>'Table 3'!M54</f>
        <v>397933.38559999969</v>
      </c>
      <c r="T54" s="417">
        <f t="shared" si="52"/>
        <v>4770260.6975999996</v>
      </c>
      <c r="U54" s="20"/>
      <c r="V54" s="123">
        <f t="shared" si="53"/>
        <v>-5.9568498077282826E-17</v>
      </c>
      <c r="W54" s="123">
        <f t="shared" si="54"/>
        <v>5.305280974451535E-3</v>
      </c>
    </row>
    <row r="55" spans="1:23">
      <c r="A55" s="16"/>
      <c r="B55" s="601" t="s">
        <v>1216</v>
      </c>
      <c r="C55" s="16"/>
      <c r="D55" s="404">
        <f>SUMIF('305'!$B$2:$B$202,"C8136",'305'!I$2:I$202)</f>
        <v>0.58333333333333304</v>
      </c>
      <c r="E55" s="317">
        <f t="shared" ref="E55" si="71">F55-D55</f>
        <v>-8.3333333333333037E-2</v>
      </c>
      <c r="F55" s="317">
        <f>'Blocking-Step2'!C1459/12</f>
        <v>0.5</v>
      </c>
      <c r="G55" s="317">
        <f>'Blocking-Step2'!D1459/12</f>
        <v>0</v>
      </c>
      <c r="H55" s="404">
        <f>SUMIF('305'!$B$2:$B$202,"C8136",'305'!H$2:H$202)</f>
        <v>1346159</v>
      </c>
      <c r="I55" s="322">
        <f>'8'!E16</f>
        <v>261933</v>
      </c>
      <c r="J55" s="317">
        <f t="shared" si="56"/>
        <v>8531</v>
      </c>
      <c r="K55" s="325">
        <f>TempRev!W347</f>
        <v>99.306988488046201</v>
      </c>
      <c r="L55" s="317">
        <f t="shared" ref="L55" si="72">M55-H55-I55-J55-K55</f>
        <v>-9.4743768386251759E-11</v>
      </c>
      <c r="M55" s="397">
        <f>'Blocking-Step2'!C1476</f>
        <v>1616722.306988488</v>
      </c>
      <c r="N55" s="397">
        <f t="shared" si="51"/>
        <v>-1616722.306988488</v>
      </c>
      <c r="O55" s="397">
        <f>'Blocking-Step2'!D1476</f>
        <v>0</v>
      </c>
      <c r="P55" s="411">
        <f>'Table 3'!D55</f>
        <v>127011.04</v>
      </c>
      <c r="Q55" s="21">
        <f>'Table 3'!H55</f>
        <v>10286.669806012562</v>
      </c>
      <c r="R55" s="21">
        <f>'Table 3'!J55+'Table 3'!K55</f>
        <v>-55.395406012539752</v>
      </c>
      <c r="S55" s="593">
        <f>'Table 3'!M55</f>
        <v>-137242.3144</v>
      </c>
      <c r="T55" s="417">
        <f t="shared" si="52"/>
        <v>0</v>
      </c>
      <c r="U55" s="20"/>
      <c r="V55" s="123">
        <f t="shared" ref="V55" si="73">L55/M55</f>
        <v>-5.8602375916203896E-17</v>
      </c>
      <c r="W55" s="123">
        <f t="shared" ref="W55" si="74">J55/(H55+I55)</f>
        <v>5.3050447362464337E-3</v>
      </c>
    </row>
    <row r="56" spans="1:23">
      <c r="A56" s="16"/>
      <c r="B56" s="601">
        <v>9</v>
      </c>
      <c r="C56" s="16"/>
      <c r="D56" s="404">
        <f>SUMIF('305'!$B$2:$B$202,"C9",'305'!I$2:I$202)</f>
        <v>42.6666666666667</v>
      </c>
      <c r="E56" s="317">
        <f t="shared" si="50"/>
        <v>-3.550006435006452</v>
      </c>
      <c r="F56" s="317">
        <f>('Blocking-Step2'!C1500)/12</f>
        <v>39.116660231660248</v>
      </c>
      <c r="G56" s="317">
        <f>('Blocking-Step2'!D1500)/12</f>
        <v>41</v>
      </c>
      <c r="H56" s="404">
        <f>SUMIF('305'!$B$2:$B$202,"C9",'305'!H$2:H$202)</f>
        <v>1099218757</v>
      </c>
      <c r="I56" s="322">
        <f>-'32-9'!C2+'9'!E8</f>
        <v>-137468600</v>
      </c>
      <c r="J56" s="317">
        <f t="shared" si="56"/>
        <v>5102355</v>
      </c>
      <c r="K56" s="325"/>
      <c r="L56" s="317">
        <f>M56-H56-I56-J56-K56</f>
        <v>1</v>
      </c>
      <c r="M56" s="397">
        <f>'Blocking-Step2'!C1516</f>
        <v>966852513</v>
      </c>
      <c r="N56" s="397">
        <f t="shared" si="51"/>
        <v>346284143.90915966</v>
      </c>
      <c r="O56" s="397">
        <f>'Blocking-Step2'!D1516</f>
        <v>1313136656.9091597</v>
      </c>
      <c r="P56" s="411">
        <f>'Table 3'!D56</f>
        <v>61403830.159999996</v>
      </c>
      <c r="Q56" s="21">
        <f>'Table 3'!H56</f>
        <v>-7425206.540000001</v>
      </c>
      <c r="R56" s="21">
        <f>'Table 3'!J56+'Table 3'!K56</f>
        <v>50773.932700000703</v>
      </c>
      <c r="S56" s="593">
        <f>'Table 3'!M56</f>
        <v>19101538.155300006</v>
      </c>
      <c r="T56" s="417">
        <f t="shared" si="52"/>
        <v>73130935.708000004</v>
      </c>
      <c r="U56" s="20"/>
      <c r="V56" s="123">
        <f t="shared" si="53"/>
        <v>1.034283912545408E-9</v>
      </c>
      <c r="W56" s="123">
        <f t="shared" si="54"/>
        <v>5.3052811718958728E-3</v>
      </c>
    </row>
    <row r="57" spans="1:23">
      <c r="A57" s="16"/>
      <c r="B57" s="601" t="s">
        <v>225</v>
      </c>
      <c r="C57" s="16"/>
      <c r="D57" s="404">
        <f>SUMIF('305'!$B$2:$B$202,"C9A",'305'!I$2:I$202)</f>
        <v>2</v>
      </c>
      <c r="E57" s="317">
        <f t="shared" si="50"/>
        <v>0</v>
      </c>
      <c r="F57" s="317">
        <f>('Blocking-Step2'!C1560)/12</f>
        <v>2</v>
      </c>
      <c r="G57" s="317">
        <f>('Blocking-Step2'!D1560)/12</f>
        <v>2</v>
      </c>
      <c r="H57" s="404">
        <f>SUMIF('305'!$B$2:$B$202,"C9A",'305'!H$2:H$202)</f>
        <v>22539691</v>
      </c>
      <c r="I57" s="322">
        <f>'9A'!E6</f>
        <v>378000</v>
      </c>
      <c r="J57" s="317">
        <f t="shared" si="56"/>
        <v>121585</v>
      </c>
      <c r="K57" s="325"/>
      <c r="L57" s="317">
        <f t="shared" si="60"/>
        <v>0</v>
      </c>
      <c r="M57" s="397">
        <f>'Blocking-Step2'!C1579</f>
        <v>23039276</v>
      </c>
      <c r="N57" s="397">
        <f t="shared" si="51"/>
        <v>955911.42344586551</v>
      </c>
      <c r="O57" s="397">
        <f>'Blocking-Step2'!D1579</f>
        <v>23995187.423445866</v>
      </c>
      <c r="P57" s="411">
        <f>'Table 3'!D57</f>
        <v>1480550.65</v>
      </c>
      <c r="Q57" s="21">
        <f>'Table 3'!H57</f>
        <v>32035</v>
      </c>
      <c r="R57" s="21">
        <f>'Table 3'!J57+'Table 3'!K57</f>
        <v>5571.8536000000313</v>
      </c>
      <c r="S57" s="593">
        <f>'Table 3'!M57</f>
        <v>60892.144700000063</v>
      </c>
      <c r="T57" s="417">
        <f t="shared" si="52"/>
        <v>1579049.6483</v>
      </c>
      <c r="U57" s="20"/>
      <c r="V57" s="123">
        <f t="shared" si="53"/>
        <v>0</v>
      </c>
      <c r="W57" s="123">
        <f t="shared" si="54"/>
        <v>5.3052901359041801E-3</v>
      </c>
    </row>
    <row r="58" spans="1:23">
      <c r="A58" s="16"/>
      <c r="B58" s="601" t="s">
        <v>965</v>
      </c>
      <c r="C58" s="16"/>
      <c r="D58" s="404">
        <f>SUMIF('305'!$B$2:$B$202,"C15M",'305'!I$2:I$202)</f>
        <v>537.91666666666697</v>
      </c>
      <c r="E58" s="317">
        <f t="shared" si="50"/>
        <v>-1.2224462365594491</v>
      </c>
      <c r="F58" s="317">
        <f>'Blocking-Step2'!C1824/12</f>
        <v>536.69422043010752</v>
      </c>
      <c r="G58" s="317">
        <f>'Blocking-Step2'!D1824/12</f>
        <v>537</v>
      </c>
      <c r="H58" s="404">
        <f>SUMIF('305'!$B$2:$B$202,"C15M",'305'!H$2:H$202)</f>
        <v>14553989</v>
      </c>
      <c r="I58" s="322">
        <f>'15M'!E2+'305vsCognos'!F34</f>
        <v>130590</v>
      </c>
      <c r="J58" s="317">
        <f t="shared" si="56"/>
        <v>77906</v>
      </c>
      <c r="K58" s="325"/>
      <c r="L58" s="317">
        <f t="shared" si="60"/>
        <v>0</v>
      </c>
      <c r="M58" s="397">
        <f>'Blocking-Step2'!C1829</f>
        <v>14762485</v>
      </c>
      <c r="N58" s="397">
        <f t="shared" si="51"/>
        <v>280978.66779292747</v>
      </c>
      <c r="O58" s="397">
        <f>'Blocking-Step2'!D1829</f>
        <v>15043463.667792927</v>
      </c>
      <c r="P58" s="411">
        <f>'Table 3'!D58</f>
        <v>1049398.6399999999</v>
      </c>
      <c r="Q58" s="21">
        <f>'Table 3'!H58</f>
        <v>13551.45</v>
      </c>
      <c r="R58" s="21">
        <f>'Table 3'!J58+'Table 3'!K58</f>
        <v>498.31000000005588</v>
      </c>
      <c r="S58" s="593">
        <f>'Table 3'!M58</f>
        <v>16560.016000000061</v>
      </c>
      <c r="T58" s="417">
        <f t="shared" si="52"/>
        <v>1080008.416</v>
      </c>
      <c r="U58" s="20"/>
      <c r="V58" s="123">
        <f t="shared" si="53"/>
        <v>0</v>
      </c>
      <c r="W58" s="123">
        <f t="shared" si="54"/>
        <v>5.3052933965624756E-3</v>
      </c>
    </row>
    <row r="59" spans="1:23">
      <c r="A59" s="16"/>
      <c r="B59" s="601" t="s">
        <v>943</v>
      </c>
      <c r="C59" s="16"/>
      <c r="D59" s="404">
        <f>SUMIF('305'!$B$2:$B$202,"C15T",'305'!I$2:I$202)</f>
        <v>1087.4166666666699</v>
      </c>
      <c r="E59" s="317">
        <f t="shared" si="50"/>
        <v>0.36378787878834373</v>
      </c>
      <c r="F59" s="317">
        <f>'Blocking-Step2'!C1862/12</f>
        <v>1087.7804545454583</v>
      </c>
      <c r="G59" s="317">
        <f>'Blocking-Step2'!D1862/12</f>
        <v>1111.25</v>
      </c>
      <c r="H59" s="404">
        <f>SUMIF('305'!$B$2:$B$202,"C15T",'305'!H$2:H$202)</f>
        <v>3232820</v>
      </c>
      <c r="I59" s="322">
        <f>'15T'!E13</f>
        <v>84729</v>
      </c>
      <c r="J59" s="317">
        <f t="shared" si="56"/>
        <v>17601</v>
      </c>
      <c r="K59" s="325"/>
      <c r="L59" s="317">
        <f t="shared" si="60"/>
        <v>0</v>
      </c>
      <c r="M59" s="397">
        <f>'Blocking-Step2'!C1867</f>
        <v>3335150</v>
      </c>
      <c r="N59" s="397">
        <f t="shared" si="51"/>
        <v>74894.185368474573</v>
      </c>
      <c r="O59" s="397">
        <f>'Blocking-Step2'!D1867</f>
        <v>3410044.1853684746</v>
      </c>
      <c r="P59" s="411">
        <f>'Table 3'!D59</f>
        <v>331621.76000000001</v>
      </c>
      <c r="Q59" s="21">
        <f>'Table 3'!H59</f>
        <v>10206.26</v>
      </c>
      <c r="R59" s="21">
        <f>'Table 3'!J59+'Table 3'!K59</f>
        <v>-2407.8086999999941</v>
      </c>
      <c r="S59" s="593">
        <f>'Table 3'!M59</f>
        <v>6963.5228999999817</v>
      </c>
      <c r="T59" s="417">
        <f t="shared" si="52"/>
        <v>346383.73420000001</v>
      </c>
      <c r="U59" s="20"/>
      <c r="V59" s="123">
        <f t="shared" si="53"/>
        <v>0</v>
      </c>
      <c r="W59" s="123">
        <f t="shared" si="54"/>
        <v>5.3054227684353724E-3</v>
      </c>
    </row>
    <row r="60" spans="1:23">
      <c r="A60" s="16"/>
      <c r="B60" s="601">
        <v>23</v>
      </c>
      <c r="C60" s="16"/>
      <c r="D60" s="404">
        <f>SUMIF('305'!$B$2:$B$202,"C23",'305'!I$2:I$202)</f>
        <v>74254.833333333299</v>
      </c>
      <c r="E60" s="317">
        <f t="shared" si="50"/>
        <v>-110.18158334270993</v>
      </c>
      <c r="F60" s="317">
        <f>'Blocking-Step2'!C2025/12</f>
        <v>74144.651749990589</v>
      </c>
      <c r="G60" s="317">
        <f>'Blocking-Step2'!D2025/12</f>
        <v>76982.444574740119</v>
      </c>
      <c r="H60" s="404">
        <f>SUMIF('305'!$B$2:$B$202,"C23",'305'!H$2:H$202)</f>
        <v>1247106137</v>
      </c>
      <c r="I60" s="322">
        <f>'23'!E24+'305vsCognos'!F36</f>
        <v>-1597445</v>
      </c>
      <c r="J60" s="317">
        <f t="shared" si="56"/>
        <v>6607774</v>
      </c>
      <c r="K60" s="325">
        <f>TempRev!C352-K61-K62</f>
        <v>681603.57914658403</v>
      </c>
      <c r="L60" s="317">
        <f t="shared" si="60"/>
        <v>2.7799978852272034E-7</v>
      </c>
      <c r="M60" s="397">
        <f>'Blocking-Step2'!C2046</f>
        <v>1252798069.5791469</v>
      </c>
      <c r="N60" s="397">
        <f t="shared" si="51"/>
        <v>-12538545.466801882</v>
      </c>
      <c r="O60" s="397">
        <f>'Blocking-Step2'!D2046</f>
        <v>1240259524.112345</v>
      </c>
      <c r="P60" s="411">
        <f>'Table 3'!D60</f>
        <v>121006473.94999999</v>
      </c>
      <c r="Q60" s="21">
        <f>'Table 3'!H60</f>
        <v>653011.45631235396</v>
      </c>
      <c r="R60" s="21">
        <f>'Table 3'!J60+'Table 3'!K60</f>
        <v>79678.029087647796</v>
      </c>
      <c r="S60" s="593">
        <f>'Table 3'!M60</f>
        <v>-900747.79789999127</v>
      </c>
      <c r="T60" s="417">
        <f t="shared" si="52"/>
        <v>120838415.6375</v>
      </c>
      <c r="U60" s="20"/>
      <c r="V60" s="123">
        <f t="shared" si="53"/>
        <v>2.2190311054367201E-16</v>
      </c>
      <c r="W60" s="123">
        <f t="shared" si="54"/>
        <v>5.3052813219548372E-3</v>
      </c>
    </row>
    <row r="61" spans="1:23">
      <c r="A61" s="16"/>
      <c r="B61" s="601" t="s">
        <v>960</v>
      </c>
      <c r="C61" s="16"/>
      <c r="D61" s="404">
        <f>SUMIF('305'!$B$2:$B$202,"C23135",'305'!I$2:I$202)</f>
        <v>819.33333333333303</v>
      </c>
      <c r="E61" s="317">
        <f t="shared" ref="E61" si="75">F61-D61</f>
        <v>1.2690833333327873</v>
      </c>
      <c r="F61" s="317">
        <f>'Blocking-Step2'!C2117/12</f>
        <v>820.60241666666582</v>
      </c>
      <c r="G61" s="317">
        <f>'Blocking-Step2'!D2117/12</f>
        <v>1030</v>
      </c>
      <c r="H61" s="404">
        <f>SUMIF('305'!$B$2:$B$202,"C23135",'305'!H$2:H$202)</f>
        <v>9741308</v>
      </c>
      <c r="I61" s="322">
        <f>'23'!E28</f>
        <v>-16744</v>
      </c>
      <c r="J61" s="317">
        <f t="shared" si="56"/>
        <v>51592</v>
      </c>
      <c r="K61" s="325">
        <f>TempRev!M352</f>
        <v>5321.7605254955379</v>
      </c>
      <c r="L61" s="317">
        <f t="shared" ref="L61" si="76">M61-H61-I61-J61-K61</f>
        <v>1.9999999992760422</v>
      </c>
      <c r="M61" s="397">
        <f>'Blocking-Step2'!C2136</f>
        <v>9781479.7605254948</v>
      </c>
      <c r="N61" s="397">
        <f t="shared" si="51"/>
        <v>2617402.3039810378</v>
      </c>
      <c r="O61" s="397">
        <f>'Blocking-Step2'!D2136</f>
        <v>12398882.064506533</v>
      </c>
      <c r="P61" s="411">
        <f>'Table 3'!D61</f>
        <v>1020793.71</v>
      </c>
      <c r="Q61" s="21">
        <f>'Table 3'!H61</f>
        <v>5228.7031334730054</v>
      </c>
      <c r="R61" s="21">
        <f>'Table 3'!J61+'Table 3'!K61</f>
        <v>886.3975665270118</v>
      </c>
      <c r="S61" s="593">
        <f>'Table 3'!M61</f>
        <v>273398.26270000008</v>
      </c>
      <c r="T61" s="417">
        <f t="shared" si="52"/>
        <v>1300307.0734000001</v>
      </c>
      <c r="U61" s="20"/>
      <c r="V61" s="123">
        <f t="shared" si="53"/>
        <v>2.0446804044387199E-7</v>
      </c>
      <c r="W61" s="123">
        <f t="shared" si="54"/>
        <v>5.3053278275509317E-3</v>
      </c>
    </row>
    <row r="62" spans="1:23">
      <c r="A62" s="16"/>
      <c r="B62" s="601" t="s">
        <v>1214</v>
      </c>
      <c r="C62" s="16"/>
      <c r="D62" s="404">
        <f>SUMIF('305'!$B$2:$B$202,"C23136",'305'!I$2:I$202)</f>
        <v>44.833333333333329</v>
      </c>
      <c r="E62" s="317">
        <f t="shared" ref="E62" si="77">F62-D62</f>
        <v>-3.3968333333333263</v>
      </c>
      <c r="F62" s="317">
        <f>'Blocking-Step2'!C2207/12</f>
        <v>41.436500000000002</v>
      </c>
      <c r="G62" s="317">
        <f>'Blocking-Step2'!D2207/12</f>
        <v>102</v>
      </c>
      <c r="H62" s="404">
        <f>SUMIF('305'!$B$2:$B$202,"C23136",'305'!H$2:H$202)</f>
        <v>1128907</v>
      </c>
      <c r="I62" s="322">
        <f>'23'!E32</f>
        <v>20299</v>
      </c>
      <c r="J62" s="317">
        <f t="shared" si="56"/>
        <v>6097</v>
      </c>
      <c r="K62" s="325">
        <f>TempRev!W352</f>
        <v>628.90255958190323</v>
      </c>
      <c r="L62" s="317">
        <f t="shared" ref="L62" si="78">M62-H62-I62-J62-K62</f>
        <v>1.0000000000079581</v>
      </c>
      <c r="M62" s="397">
        <f>'Blocking-Step2'!C2227</f>
        <v>1155932.9025595819</v>
      </c>
      <c r="N62" s="397">
        <f t="shared" si="51"/>
        <v>70668.878364906646</v>
      </c>
      <c r="O62" s="397">
        <f>'Blocking-Step2'!D2227</f>
        <v>1226601.7809244886</v>
      </c>
      <c r="P62" s="411">
        <f>'Table 3'!D62</f>
        <v>107753.21</v>
      </c>
      <c r="Q62" s="21">
        <f>'Table 3'!H62</f>
        <v>2285.9105541860745</v>
      </c>
      <c r="R62" s="21">
        <f>'Table 3'!J62+'Table 3'!K62</f>
        <v>25.533945813920582</v>
      </c>
      <c r="S62" s="593">
        <f>'Table 3'!M62</f>
        <v>12879.269499999995</v>
      </c>
      <c r="T62" s="417">
        <f t="shared" si="52"/>
        <v>122943.924</v>
      </c>
      <c r="U62" s="20"/>
      <c r="V62" s="123">
        <f t="shared" ref="V62" si="79">L62/M62</f>
        <v>8.6510211604294535E-7</v>
      </c>
      <c r="W62" s="123">
        <f t="shared" ref="W62" si="80">J62/(H62+I62)</f>
        <v>5.3054021646249672E-3</v>
      </c>
    </row>
    <row r="63" spans="1:23">
      <c r="A63" s="16"/>
      <c r="B63" s="601">
        <v>31</v>
      </c>
      <c r="C63" s="16"/>
      <c r="D63" s="404">
        <f>SUMIF('305'!$B$2:$B$202,"C31",'305'!I$2:I$202)</f>
        <v>4</v>
      </c>
      <c r="E63" s="317">
        <f t="shared" si="50"/>
        <v>-8.3333333333333481E-2</v>
      </c>
      <c r="F63" s="317">
        <f>('Blocking-Step2'!C2357+'Blocking-Step2'!C2379)/12</f>
        <v>3.9166666666666665</v>
      </c>
      <c r="G63" s="317">
        <f>('Blocking-Step2'!D2357+'Blocking-Step2'!D2379)/12</f>
        <v>4</v>
      </c>
      <c r="H63" s="404">
        <f>SUMIF('305'!$B$2:$B$202,"C31",'305'!H$2:H$202)</f>
        <v>134486047</v>
      </c>
      <c r="I63" s="322">
        <f>'31'!G2+'31'!G3</f>
        <v>213600</v>
      </c>
      <c r="J63" s="317">
        <f t="shared" si="56"/>
        <v>714620</v>
      </c>
      <c r="K63" s="325"/>
      <c r="L63" s="317">
        <f t="shared" si="60"/>
        <v>0</v>
      </c>
      <c r="M63" s="397">
        <f>'Blocking-Step2'!C2435</f>
        <v>135414267</v>
      </c>
      <c r="N63" s="397">
        <f t="shared" si="51"/>
        <v>-6181233.3333333433</v>
      </c>
      <c r="O63" s="397">
        <f>'Blocking-Step2'!D2435</f>
        <v>129233033.66666666</v>
      </c>
      <c r="P63" s="411">
        <f>'Table 3'!D63</f>
        <v>8265787.2999999998</v>
      </c>
      <c r="Q63" s="21">
        <f>'Table 3'!H63</f>
        <v>54570.020000000004</v>
      </c>
      <c r="R63" s="21">
        <f>'Table 3'!J63+'Table 3'!K63</f>
        <v>6235.9956000000238</v>
      </c>
      <c r="S63" s="593">
        <f>'Table 3'!M63</f>
        <v>-402769.37380000018</v>
      </c>
      <c r="T63" s="417">
        <f t="shared" si="52"/>
        <v>7923823.9417999992</v>
      </c>
      <c r="U63" s="20"/>
      <c r="V63" s="123">
        <f t="shared" si="53"/>
        <v>0</v>
      </c>
      <c r="W63" s="123">
        <f t="shared" si="54"/>
        <v>5.3052848757651162E-3</v>
      </c>
    </row>
    <row r="64" spans="1:23">
      <c r="A64" s="16"/>
      <c r="B64" s="601">
        <v>32</v>
      </c>
      <c r="C64" s="16"/>
      <c r="D64" s="404">
        <f>SUMIF('305'!$B$2:$B$202,"C32",'305'!I$2:I$202)</f>
        <v>0.25</v>
      </c>
      <c r="E64" s="317">
        <f t="shared" ref="E64" si="81">F64-D64</f>
        <v>2.7611132561132585</v>
      </c>
      <c r="F64" s="317">
        <f>'Blocking-Step2'!C2545/12</f>
        <v>3.0111132561132585</v>
      </c>
      <c r="G64" s="317">
        <f>'Blocking-Step2'!D2545/12</f>
        <v>3</v>
      </c>
      <c r="H64" s="404">
        <f>SUMIF('305'!$B$2:$B$202,"C32",'305'!H$2:H$202)</f>
        <v>13073297</v>
      </c>
      <c r="I64" s="322">
        <f>'32-9'!C2+'32-9'!E2+'32'!E2+'305vsCognos'!F40</f>
        <v>166538685</v>
      </c>
      <c r="J64" s="317">
        <f t="shared" si="56"/>
        <v>952892</v>
      </c>
      <c r="K64" s="325"/>
      <c r="L64" s="317">
        <f t="shared" ref="L64" si="82">M64-H64-I64-J64-K64</f>
        <v>0</v>
      </c>
      <c r="M64" s="397">
        <f>'Blocking-Step2'!C2606</f>
        <v>180564874</v>
      </c>
      <c r="N64" s="397">
        <f t="shared" ref="N64" si="83">O64-M64</f>
        <v>16085115.99999997</v>
      </c>
      <c r="O64" s="397">
        <f>'Blocking-Step2'!D2606</f>
        <v>196649989.99999997</v>
      </c>
      <c r="P64" s="411">
        <f>'Table 3'!D64</f>
        <v>842610.25</v>
      </c>
      <c r="Q64" s="21">
        <f>'Table 3'!H64</f>
        <v>9430368.7100000009</v>
      </c>
      <c r="R64" s="21">
        <f>'Table 3'!J64+'Table 3'!K64</f>
        <v>80969.657599998638</v>
      </c>
      <c r="S64" s="593">
        <f>'Table 3'!M64</f>
        <v>2653597.8359000012</v>
      </c>
      <c r="T64" s="417">
        <f t="shared" ref="T64" si="84">SUM(P64:S64)</f>
        <v>13007546.453500001</v>
      </c>
      <c r="U64" s="20"/>
      <c r="V64" s="123">
        <f t="shared" ref="V64" si="85">L64/M64</f>
        <v>0</v>
      </c>
      <c r="W64" s="123">
        <f t="shared" ref="W64" si="86">J64/(H64+I64)</f>
        <v>5.3052808024800927E-3</v>
      </c>
    </row>
    <row r="65" spans="1:24">
      <c r="A65" s="16"/>
      <c r="B65" s="601">
        <v>34</v>
      </c>
      <c r="C65" s="16"/>
      <c r="D65" s="404"/>
      <c r="E65" s="317">
        <f t="shared" ref="E65" si="87">F65-D65</f>
        <v>0</v>
      </c>
      <c r="F65" s="317"/>
      <c r="G65" s="317">
        <f>'Blocking-Step2'!D2609/12</f>
        <v>1</v>
      </c>
      <c r="H65" s="404"/>
      <c r="I65" s="322"/>
      <c r="J65" s="317"/>
      <c r="K65" s="325"/>
      <c r="L65" s="317">
        <f t="shared" ref="L65" si="88">M65-H65-I65-J65-K65</f>
        <v>0</v>
      </c>
      <c r="M65" s="397"/>
      <c r="N65" s="397">
        <f t="shared" ref="N65" si="89">O65-M65</f>
        <v>242230000</v>
      </c>
      <c r="O65" s="397">
        <f>'Blocking-Step2'!D2610</f>
        <v>242230000</v>
      </c>
      <c r="P65" s="411">
        <f>'Table 3'!D65</f>
        <v>0</v>
      </c>
      <c r="Q65" s="21">
        <f>'Table 3'!H65</f>
        <v>0</v>
      </c>
      <c r="R65" s="21">
        <f>'Table 3'!J65+'Table 3'!K65</f>
        <v>0</v>
      </c>
      <c r="S65" s="593">
        <f>'Table 3'!M65</f>
        <v>13027758.191234671</v>
      </c>
      <c r="T65" s="417">
        <f t="shared" ref="T65" si="90">SUM(P65:S65)</f>
        <v>13027758.191234671</v>
      </c>
      <c r="U65" s="20"/>
      <c r="V65" s="123" t="e">
        <f t="shared" ref="V65" si="91">L65/M65</f>
        <v>#DIV/0!</v>
      </c>
      <c r="W65" s="123" t="e">
        <f t="shared" ref="W65" si="92">J65/(H65+I65)</f>
        <v>#DIV/0!</v>
      </c>
    </row>
    <row r="66" spans="1:24">
      <c r="A66" s="16"/>
      <c r="B66" s="654" t="s">
        <v>961</v>
      </c>
      <c r="C66" s="437"/>
      <c r="D66" s="405">
        <f>SUMIF('305'!$B$2:$B$202,"CPTLD",'305'!I$2:I$202)</f>
        <v>2</v>
      </c>
      <c r="E66" s="318">
        <f>F66-D66</f>
        <v>0</v>
      </c>
      <c r="F66" s="318">
        <f>D66</f>
        <v>2</v>
      </c>
      <c r="G66" s="318">
        <f>'Blocking-Step2'!D2652</f>
        <v>2</v>
      </c>
      <c r="H66" s="405">
        <f>SUMIF('305'!$B$2:$B$202,"CPTLD",'305'!H$2:H$202)</f>
        <v>5996</v>
      </c>
      <c r="I66" s="332">
        <f>PTL!H2+'305vsCognos'!F41</f>
        <v>2.0830817092100915</v>
      </c>
      <c r="J66" s="318">
        <f>ROUND((H66+I66)/($H$67+$I$67)*$H$78,0)</f>
        <v>32</v>
      </c>
      <c r="K66" s="326"/>
      <c r="L66" s="318">
        <f t="shared" ref="L66" si="93">M66-H66-I66-J66-K66</f>
        <v>0</v>
      </c>
      <c r="M66" s="398">
        <f>'Blocking-Step2'!C2658</f>
        <v>6030.0830817092101</v>
      </c>
      <c r="N66" s="398">
        <f t="shared" si="51"/>
        <v>-35.083081709210092</v>
      </c>
      <c r="O66" s="398">
        <f>'Blocking-Step2'!D2658</f>
        <v>5995</v>
      </c>
      <c r="P66" s="412">
        <f>'Table 3'!D66</f>
        <v>452.09</v>
      </c>
      <c r="Q66" s="25">
        <f>'Table 3'!H66</f>
        <v>3</v>
      </c>
      <c r="R66" s="25">
        <f>'Table 3'!J66+'Table 3'!K66</f>
        <v>-8.9999999999974989E-2</v>
      </c>
      <c r="S66" s="1060">
        <f>'Table 3'!M66</f>
        <v>-3</v>
      </c>
      <c r="T66" s="418">
        <f t="shared" si="52"/>
        <v>452</v>
      </c>
      <c r="U66" s="20"/>
      <c r="V66" s="123">
        <f t="shared" si="53"/>
        <v>0</v>
      </c>
      <c r="W66" s="123">
        <f t="shared" si="54"/>
        <v>5.3350378052584926E-3</v>
      </c>
    </row>
    <row r="67" spans="1:24" s="557" customFormat="1">
      <c r="B67" s="557" t="s">
        <v>130</v>
      </c>
      <c r="D67" s="562">
        <f>SUM(D45:D66)</f>
        <v>95350.999999999985</v>
      </c>
      <c r="E67" s="559">
        <f t="shared" ref="E67" si="94">SUM(E45:E66)</f>
        <v>-136.4985713873053</v>
      </c>
      <c r="F67" s="559">
        <f>SUM(F45:F66)</f>
        <v>95214.501428612697</v>
      </c>
      <c r="G67" s="559">
        <f>SUM(G45:G66)</f>
        <v>98348.694574740119</v>
      </c>
      <c r="H67" s="562">
        <f>SUM(H45:H66)</f>
        <v>9005755495</v>
      </c>
      <c r="I67" s="566">
        <f t="shared" ref="I67:T67" si="95">SUM(I45:I66)</f>
        <v>39004843.952859774</v>
      </c>
      <c r="J67" s="559">
        <f t="shared" si="95"/>
        <v>47985000</v>
      </c>
      <c r="K67" s="567">
        <f t="shared" si="95"/>
        <v>5965689.6279000035</v>
      </c>
      <c r="L67" s="559">
        <f t="shared" si="95"/>
        <v>1351.179957767285</v>
      </c>
      <c r="M67" s="561">
        <f>SUM(M45:M66)</f>
        <v>9098712379.7607174</v>
      </c>
      <c r="N67" s="561">
        <f>SUM(N45:N66)</f>
        <v>418367209.53576434</v>
      </c>
      <c r="O67" s="561">
        <f>SUM(O45:O66)</f>
        <v>9517079589.2964821</v>
      </c>
      <c r="P67" s="568">
        <f t="shared" si="95"/>
        <v>723316440.30000007</v>
      </c>
      <c r="Q67" s="569">
        <f t="shared" si="95"/>
        <v>6998560.4300000137</v>
      </c>
      <c r="R67" s="569">
        <f t="shared" ref="R67:S67" si="96">SUM(R45:R66)</f>
        <v>532000.96970000817</v>
      </c>
      <c r="S67" s="1061">
        <f t="shared" si="96"/>
        <v>19479910.436034724</v>
      </c>
      <c r="T67" s="570">
        <f t="shared" si="95"/>
        <v>750326912.13573503</v>
      </c>
      <c r="U67" s="560"/>
      <c r="V67" s="123">
        <f t="shared" si="53"/>
        <v>1.4850232663391642E-7</v>
      </c>
      <c r="W67" s="123">
        <f t="shared" si="54"/>
        <v>5.3052815333695588E-3</v>
      </c>
      <c r="X67" s="10"/>
    </row>
    <row r="68" spans="1:24">
      <c r="A68" s="16"/>
      <c r="C68" s="16"/>
      <c r="D68" s="404"/>
      <c r="E68" s="317"/>
      <c r="F68" s="317"/>
      <c r="G68" s="317"/>
      <c r="H68" s="404"/>
      <c r="I68" s="322"/>
      <c r="J68" s="317"/>
      <c r="K68" s="325"/>
      <c r="L68" s="317"/>
      <c r="M68" s="397"/>
      <c r="N68" s="397"/>
      <c r="O68" s="397"/>
      <c r="P68" s="411"/>
      <c r="Q68" s="21"/>
      <c r="R68" s="21"/>
      <c r="S68" s="593"/>
      <c r="T68" s="417"/>
      <c r="U68" s="20"/>
      <c r="V68" s="123"/>
      <c r="W68" s="123"/>
    </row>
    <row r="69" spans="1:24">
      <c r="A69" s="16"/>
      <c r="B69" s="601" t="s">
        <v>847</v>
      </c>
      <c r="C69" s="16"/>
      <c r="D69" s="404"/>
      <c r="E69" s="317"/>
      <c r="F69" s="317"/>
      <c r="G69" s="317"/>
      <c r="H69" s="404">
        <f>SUMIF('305'!$B$2:$B$202,"CREVDEF",'305'!H$2:H$202)</f>
        <v>0</v>
      </c>
      <c r="I69" s="322"/>
      <c r="J69" s="317"/>
      <c r="K69" s="325"/>
      <c r="L69" s="317"/>
      <c r="M69" s="397"/>
      <c r="N69" s="397"/>
      <c r="O69" s="397"/>
      <c r="P69" s="411">
        <f>'Table 3'!D69</f>
        <v>3097804.46</v>
      </c>
      <c r="Q69" s="21">
        <f>'Table 3'!H69</f>
        <v>-3097804.46</v>
      </c>
      <c r="R69" s="21">
        <f>'Table 3'!J69+'Table 3'!K69</f>
        <v>0</v>
      </c>
      <c r="S69" s="593">
        <f>'Table 3'!M69</f>
        <v>0</v>
      </c>
      <c r="T69" s="417">
        <f t="shared" ref="T69:T75" si="97">SUM(P69:S69)</f>
        <v>0</v>
      </c>
      <c r="U69" s="20"/>
      <c r="V69" s="123"/>
      <c r="W69" s="123"/>
    </row>
    <row r="70" spans="1:24">
      <c r="A70" s="16"/>
      <c r="B70" s="601" t="s">
        <v>692</v>
      </c>
      <c r="C70" s="16"/>
      <c r="D70" s="404"/>
      <c r="E70" s="317"/>
      <c r="F70" s="317"/>
      <c r="G70" s="317"/>
      <c r="H70" s="404">
        <f>SUMIF('305'!$B$2:$B$202,"CREVADJ",'305'!H$2:H$202)</f>
        <v>0</v>
      </c>
      <c r="I70" s="322"/>
      <c r="J70" s="317"/>
      <c r="K70" s="325"/>
      <c r="L70" s="317"/>
      <c r="M70" s="397"/>
      <c r="N70" s="397"/>
      <c r="O70" s="397"/>
      <c r="P70" s="411">
        <f>'Table 3'!D70</f>
        <v>-1600450.4</v>
      </c>
      <c r="Q70" s="21">
        <f>'Table 3'!H70</f>
        <v>1600450.4</v>
      </c>
      <c r="R70" s="21">
        <f>'Table 3'!J70+'Table 3'!K70</f>
        <v>0</v>
      </c>
      <c r="S70" s="593">
        <f>'Table 3'!M70</f>
        <v>0</v>
      </c>
      <c r="T70" s="417">
        <f t="shared" si="97"/>
        <v>0</v>
      </c>
      <c r="U70" s="20"/>
      <c r="V70" s="123"/>
      <c r="W70" s="123"/>
    </row>
    <row r="71" spans="1:24">
      <c r="A71" s="16"/>
      <c r="B71" s="601" t="s">
        <v>962</v>
      </c>
      <c r="C71" s="16"/>
      <c r="D71" s="404"/>
      <c r="E71" s="317"/>
      <c r="F71" s="317"/>
      <c r="G71" s="317"/>
      <c r="H71" s="404">
        <f>SUMIF('305'!$B$2:$B$202,"CSOLAR",'305'!H$2:H$202)</f>
        <v>0</v>
      </c>
      <c r="I71" s="322"/>
      <c r="J71" s="317"/>
      <c r="K71" s="325"/>
      <c r="L71" s="317"/>
      <c r="M71" s="397"/>
      <c r="N71" s="397"/>
      <c r="O71" s="397"/>
      <c r="P71" s="411">
        <f>'Table 3'!D71</f>
        <v>2367741.29</v>
      </c>
      <c r="Q71" s="21">
        <f>'Table 3'!H71</f>
        <v>-2367741.29</v>
      </c>
      <c r="R71" s="21">
        <f>'Table 3'!J71+'Table 3'!K71</f>
        <v>0</v>
      </c>
      <c r="S71" s="593">
        <f>'Table 3'!M71</f>
        <v>0</v>
      </c>
      <c r="T71" s="417">
        <f t="shared" si="97"/>
        <v>0</v>
      </c>
      <c r="U71" s="20"/>
      <c r="V71" s="123"/>
      <c r="W71" s="123"/>
    </row>
    <row r="72" spans="1:24">
      <c r="A72" s="16"/>
      <c r="B72" s="601" t="s">
        <v>23</v>
      </c>
      <c r="C72" s="16"/>
      <c r="D72" s="404"/>
      <c r="E72" s="317"/>
      <c r="F72" s="317"/>
      <c r="G72" s="317"/>
      <c r="H72" s="404">
        <f>SUMIF('305'!$B$2:$B$202,"CDSM",'305'!H$2:H$202)</f>
        <v>0</v>
      </c>
      <c r="I72" s="322"/>
      <c r="J72" s="317"/>
      <c r="K72" s="325"/>
      <c r="L72" s="317"/>
      <c r="M72" s="397"/>
      <c r="N72" s="397"/>
      <c r="O72" s="397"/>
      <c r="P72" s="411">
        <f>'Table 3'!D72</f>
        <v>4684682.43</v>
      </c>
      <c r="Q72" s="21">
        <f>'Table 3'!H72</f>
        <v>-4684682.43</v>
      </c>
      <c r="R72" s="21">
        <f>'Table 3'!J72+'Table 3'!K72</f>
        <v>0</v>
      </c>
      <c r="S72" s="593">
        <f>'Table 3'!M72</f>
        <v>0</v>
      </c>
      <c r="T72" s="417">
        <f t="shared" si="97"/>
        <v>0</v>
      </c>
      <c r="U72" s="20"/>
      <c r="V72" s="123"/>
      <c r="W72" s="123"/>
    </row>
    <row r="73" spans="1:24">
      <c r="A73" s="16"/>
      <c r="B73" s="16" t="s">
        <v>1412</v>
      </c>
      <c r="C73" s="16"/>
      <c r="D73" s="404"/>
      <c r="E73" s="317"/>
      <c r="F73" s="317"/>
      <c r="G73" s="317"/>
      <c r="H73" s="404">
        <f>SUMIF('305'!$B$2:$B$202,"CTAX",'305'!H$2:H$202)</f>
        <v>0</v>
      </c>
      <c r="I73" s="322"/>
      <c r="J73" s="317"/>
      <c r="K73" s="325"/>
      <c r="L73" s="317"/>
      <c r="M73" s="397"/>
      <c r="N73" s="397"/>
      <c r="O73" s="397"/>
      <c r="P73" s="411">
        <f>'Table 3'!D73</f>
        <v>-2.9999999969731999E-2</v>
      </c>
      <c r="Q73" s="21">
        <f>'Table 3'!H73</f>
        <v>2.9999999969731999E-2</v>
      </c>
      <c r="R73" s="21">
        <f>'Table 3'!J73+'Table 3'!K73</f>
        <v>0</v>
      </c>
      <c r="S73" s="593">
        <f>'Table 3'!M73</f>
        <v>0</v>
      </c>
      <c r="T73" s="417">
        <f t="shared" si="97"/>
        <v>0</v>
      </c>
      <c r="U73" s="20"/>
      <c r="V73" s="123"/>
      <c r="W73" s="123"/>
    </row>
    <row r="74" spans="1:24">
      <c r="A74" s="16"/>
      <c r="B74" s="601" t="s">
        <v>848</v>
      </c>
      <c r="C74" s="16"/>
      <c r="D74" s="404"/>
      <c r="E74" s="317"/>
      <c r="F74" s="317"/>
      <c r="G74" s="317"/>
      <c r="H74" s="404">
        <f>SUMIF('305'!$B$2:$B$202,"CBLUE",'305'!H$2:H$202)</f>
        <v>0</v>
      </c>
      <c r="I74" s="322"/>
      <c r="J74" s="317"/>
      <c r="K74" s="325"/>
      <c r="L74" s="317"/>
      <c r="M74" s="397"/>
      <c r="N74" s="397"/>
      <c r="O74" s="397"/>
      <c r="P74" s="411">
        <f>'Table 3'!D74</f>
        <v>443357.76</v>
      </c>
      <c r="Q74" s="21">
        <f>'Table 3'!H74</f>
        <v>-443357.76</v>
      </c>
      <c r="R74" s="21">
        <f>'Table 3'!J74+'Table 3'!K74</f>
        <v>0</v>
      </c>
      <c r="S74" s="593">
        <f>'Table 3'!M74</f>
        <v>0</v>
      </c>
      <c r="T74" s="417">
        <f t="shared" si="97"/>
        <v>0</v>
      </c>
      <c r="U74" s="20"/>
      <c r="V74" s="123"/>
      <c r="W74" s="123"/>
    </row>
    <row r="75" spans="1:24">
      <c r="A75" s="16"/>
      <c r="B75" s="654" t="s">
        <v>849</v>
      </c>
      <c r="C75" s="437"/>
      <c r="D75" s="405"/>
      <c r="E75" s="318"/>
      <c r="F75" s="318"/>
      <c r="G75" s="318"/>
      <c r="H75" s="405">
        <f>SUMIF('305'!$B$2:$B$202,"CINSUR",'305'!H$2:H$202)</f>
        <v>0</v>
      </c>
      <c r="I75" s="332"/>
      <c r="J75" s="318"/>
      <c r="K75" s="326"/>
      <c r="L75" s="318"/>
      <c r="M75" s="398"/>
      <c r="N75" s="398"/>
      <c r="O75" s="398"/>
      <c r="P75" s="412">
        <f>'Table 3'!D75</f>
        <v>-750489.59</v>
      </c>
      <c r="Q75" s="25">
        <f>'Table 3'!H75</f>
        <v>750489.59</v>
      </c>
      <c r="R75" s="25">
        <f>'Table 3'!J75+'Table 3'!K75</f>
        <v>0</v>
      </c>
      <c r="S75" s="1060">
        <f>'Table 3'!M75</f>
        <v>0</v>
      </c>
      <c r="T75" s="418">
        <f t="shared" si="97"/>
        <v>0</v>
      </c>
      <c r="U75" s="20"/>
      <c r="V75" s="123"/>
      <c r="W75" s="123"/>
    </row>
    <row r="76" spans="1:24" s="557" customFormat="1">
      <c r="B76" s="557" t="s">
        <v>130</v>
      </c>
      <c r="D76" s="562">
        <f t="shared" ref="D76:T76" si="98">SUM(D69:D75)</f>
        <v>0</v>
      </c>
      <c r="E76" s="559">
        <f t="shared" si="98"/>
        <v>0</v>
      </c>
      <c r="F76" s="559">
        <f t="shared" si="98"/>
        <v>0</v>
      </c>
      <c r="G76" s="559">
        <f t="shared" ref="G76" si="99">SUM(G69:G75)</f>
        <v>0</v>
      </c>
      <c r="H76" s="562">
        <f t="shared" si="98"/>
        <v>0</v>
      </c>
      <c r="I76" s="566">
        <f t="shared" si="98"/>
        <v>0</v>
      </c>
      <c r="J76" s="559">
        <f t="shared" si="98"/>
        <v>0</v>
      </c>
      <c r="K76" s="567">
        <f t="shared" si="98"/>
        <v>0</v>
      </c>
      <c r="L76" s="559">
        <f t="shared" si="98"/>
        <v>0</v>
      </c>
      <c r="M76" s="561">
        <f t="shared" si="98"/>
        <v>0</v>
      </c>
      <c r="N76" s="561">
        <f t="shared" si="98"/>
        <v>0</v>
      </c>
      <c r="O76" s="561">
        <f t="shared" ref="O76" si="100">SUM(O69:O75)</f>
        <v>0</v>
      </c>
      <c r="P76" s="568">
        <f t="shared" si="98"/>
        <v>8242645.9199999999</v>
      </c>
      <c r="Q76" s="569">
        <f t="shared" si="98"/>
        <v>-8242645.9199999999</v>
      </c>
      <c r="R76" s="569">
        <f t="shared" ref="R76:S76" si="101">SUM(R69:R75)</f>
        <v>0</v>
      </c>
      <c r="S76" s="1061">
        <f t="shared" si="101"/>
        <v>0</v>
      </c>
      <c r="T76" s="570">
        <f t="shared" si="98"/>
        <v>0</v>
      </c>
      <c r="U76" s="560"/>
      <c r="V76" s="565"/>
      <c r="W76" s="565"/>
    </row>
    <row r="77" spans="1:24">
      <c r="A77" s="16"/>
      <c r="C77" s="16"/>
      <c r="D77" s="404"/>
      <c r="E77" s="317"/>
      <c r="F77" s="317"/>
      <c r="G77" s="317"/>
      <c r="H77" s="404"/>
      <c r="I77" s="322"/>
      <c r="J77" s="317"/>
      <c r="K77" s="325"/>
      <c r="L77" s="317"/>
      <c r="M77" s="397"/>
      <c r="N77" s="397"/>
      <c r="O77" s="397"/>
      <c r="P77" s="411"/>
      <c r="Q77" s="21"/>
      <c r="R77" s="21"/>
      <c r="S77" s="593"/>
      <c r="T77" s="417"/>
      <c r="U77" s="20"/>
      <c r="V77" s="123"/>
      <c r="W77" s="123"/>
    </row>
    <row r="78" spans="1:24">
      <c r="A78" s="16"/>
      <c r="B78" s="360" t="s">
        <v>136</v>
      </c>
      <c r="C78" s="16"/>
      <c r="D78" s="404"/>
      <c r="E78" s="317"/>
      <c r="F78" s="317"/>
      <c r="G78" s="317"/>
      <c r="H78" s="404">
        <f>SUMIF('305'!$B$2:$B$202,"CU",'305'!H$2:H$202)</f>
        <v>47985000</v>
      </c>
      <c r="I78" s="322"/>
      <c r="J78" s="317">
        <f>-H78</f>
        <v>-47985000</v>
      </c>
      <c r="K78" s="325"/>
      <c r="L78" s="317"/>
      <c r="M78" s="397"/>
      <c r="N78" s="397"/>
      <c r="O78" s="397"/>
      <c r="P78" s="411">
        <f>'Table 3'!D78</f>
        <v>4289000</v>
      </c>
      <c r="Q78" s="21">
        <f>'Table 3'!H78</f>
        <v>-4289000</v>
      </c>
      <c r="R78" s="21">
        <f>'Table 3'!J78+'Table 3'!K78</f>
        <v>0</v>
      </c>
      <c r="S78" s="593">
        <f>'Table 3'!M78</f>
        <v>0</v>
      </c>
      <c r="T78" s="417">
        <f t="shared" ref="T78:T79" si="102">SUM(P78:S78)</f>
        <v>0</v>
      </c>
      <c r="U78" s="20"/>
      <c r="V78" s="123"/>
      <c r="W78" s="123">
        <f>J78/(H78+I78)</f>
        <v>-1</v>
      </c>
    </row>
    <row r="79" spans="1:24" s="22" customFormat="1">
      <c r="A79" s="16"/>
      <c r="B79" s="438" t="s">
        <v>471</v>
      </c>
      <c r="C79" s="437"/>
      <c r="D79" s="405"/>
      <c r="E79" s="318"/>
      <c r="F79" s="318"/>
      <c r="G79" s="318"/>
      <c r="H79" s="405">
        <f>SUMIF('305'!$B$2:$B$202,"CAGA",'305'!H$2:H$202)</f>
        <v>0</v>
      </c>
      <c r="I79" s="332"/>
      <c r="J79" s="318"/>
      <c r="K79" s="326"/>
      <c r="L79" s="318"/>
      <c r="M79" s="398"/>
      <c r="N79" s="398"/>
      <c r="O79" s="398"/>
      <c r="P79" s="412">
        <f>'Table 3'!D79</f>
        <v>3742344.1399999997</v>
      </c>
      <c r="Q79" s="25">
        <f>'Table 3'!H79</f>
        <v>0</v>
      </c>
      <c r="R79" s="25">
        <f>'Table 3'!J79+'Table 3'!K79</f>
        <v>0</v>
      </c>
      <c r="S79" s="1060">
        <f>'Table 3'!M79</f>
        <v>0</v>
      </c>
      <c r="T79" s="418">
        <f t="shared" si="102"/>
        <v>3742344.1399999997</v>
      </c>
      <c r="U79" s="20"/>
      <c r="W79" s="123"/>
    </row>
    <row r="80" spans="1:24">
      <c r="A80" s="16"/>
      <c r="B80" s="360" t="s">
        <v>93</v>
      </c>
      <c r="C80" s="16"/>
      <c r="D80" s="404">
        <f t="shared" ref="D80:T80" si="103">D67+D76+D78+D79</f>
        <v>95350.999999999985</v>
      </c>
      <c r="E80" s="317">
        <f t="shared" si="103"/>
        <v>-136.4985713873053</v>
      </c>
      <c r="F80" s="317">
        <f t="shared" si="103"/>
        <v>95214.501428612697</v>
      </c>
      <c r="G80" s="317">
        <f t="shared" ref="G80" si="104">G67+G76+G78+G79</f>
        <v>98348.694574740119</v>
      </c>
      <c r="H80" s="404">
        <f t="shared" si="103"/>
        <v>9053740495</v>
      </c>
      <c r="I80" s="322">
        <f t="shared" si="103"/>
        <v>39004843.952859774</v>
      </c>
      <c r="J80" s="317">
        <f t="shared" si="103"/>
        <v>0</v>
      </c>
      <c r="K80" s="325">
        <f t="shared" si="103"/>
        <v>5965689.6279000035</v>
      </c>
      <c r="L80" s="317">
        <f t="shared" si="103"/>
        <v>1351.179957767285</v>
      </c>
      <c r="M80" s="397">
        <f>M67+M76+M78+M79</f>
        <v>9098712379.7607174</v>
      </c>
      <c r="N80" s="397">
        <f>N67+N76+N78+N79</f>
        <v>418367209.53576434</v>
      </c>
      <c r="O80" s="397">
        <f>O67+O76+O78+O79</f>
        <v>9517079589.2964821</v>
      </c>
      <c r="P80" s="411">
        <f t="shared" si="103"/>
        <v>739590430.36000001</v>
      </c>
      <c r="Q80" s="21">
        <f t="shared" si="103"/>
        <v>-5533085.4899999863</v>
      </c>
      <c r="R80" s="21">
        <f t="shared" ref="R80:S80" si="105">R67+R76+R78+R79</f>
        <v>532000.96970000817</v>
      </c>
      <c r="S80" s="593">
        <f t="shared" si="105"/>
        <v>19479910.436034724</v>
      </c>
      <c r="T80" s="417">
        <f t="shared" si="103"/>
        <v>754069256.27573502</v>
      </c>
      <c r="U80" s="20"/>
      <c r="V80" s="123">
        <f>L80/M80</f>
        <v>1.4850232663391642E-7</v>
      </c>
      <c r="W80" s="123">
        <f>J80/(H80+I80)</f>
        <v>0</v>
      </c>
    </row>
    <row r="81" spans="1:23">
      <c r="A81" s="16"/>
      <c r="C81" s="16"/>
      <c r="D81" s="404"/>
      <c r="E81" s="317"/>
      <c r="F81" s="317"/>
      <c r="G81" s="317"/>
      <c r="H81" s="404"/>
      <c r="I81" s="322"/>
      <c r="J81" s="317"/>
      <c r="K81" s="325"/>
      <c r="L81" s="317"/>
      <c r="M81" s="397">
        <f>M80-'Table A-Class'!K57*1000</f>
        <v>0</v>
      </c>
      <c r="N81" s="397"/>
      <c r="O81" s="397"/>
      <c r="P81" s="411"/>
      <c r="Q81" s="21"/>
      <c r="R81" s="21"/>
      <c r="S81" s="593"/>
      <c r="T81" s="417"/>
      <c r="U81" s="20"/>
    </row>
    <row r="82" spans="1:23">
      <c r="A82" s="17" t="s">
        <v>117</v>
      </c>
      <c r="B82" s="359"/>
      <c r="C82" s="16"/>
      <c r="D82" s="404"/>
      <c r="E82" s="317"/>
      <c r="F82" s="317"/>
      <c r="G82" s="317"/>
      <c r="H82" s="404"/>
      <c r="I82" s="322"/>
      <c r="J82" s="317"/>
      <c r="K82" s="325"/>
      <c r="L82" s="317"/>
      <c r="M82" s="397"/>
      <c r="N82" s="397"/>
      <c r="O82" s="397"/>
      <c r="P82" s="411"/>
      <c r="Q82" s="21"/>
      <c r="R82" s="21"/>
      <c r="S82" s="593"/>
      <c r="T82" s="417"/>
      <c r="U82" s="20"/>
    </row>
    <row r="83" spans="1:23">
      <c r="A83" s="16"/>
      <c r="B83" s="601">
        <v>6</v>
      </c>
      <c r="C83" s="16"/>
      <c r="D83" s="404">
        <f>SUMIF('305'!$B$2:$B$202,"I6",'305'!I$2:I$202)</f>
        <v>982.00000000000023</v>
      </c>
      <c r="E83" s="317">
        <f t="shared" ref="E83:E91" si="106">F83-D83</f>
        <v>-1.2861111111085393</v>
      </c>
      <c r="F83" s="317">
        <f>'Blocking-Step2'!C735/12</f>
        <v>980.71388888889169</v>
      </c>
      <c r="G83" s="317">
        <f>'Blocking-Step2'!D735/12</f>
        <v>989</v>
      </c>
      <c r="H83" s="404">
        <f>SUMIF('305'!$B$2:$B$202,"I6",'305'!H$2:H$202)</f>
        <v>604621406</v>
      </c>
      <c r="I83" s="322">
        <f>'6'!F24</f>
        <v>32142</v>
      </c>
      <c r="J83" s="317">
        <f>H113-SUM(J84:J101)</f>
        <v>-9801655</v>
      </c>
      <c r="K83" s="325"/>
      <c r="L83" s="317">
        <f t="shared" ref="L83:L101" si="107">M83-H83-I83-J83-K83</f>
        <v>1</v>
      </c>
      <c r="M83" s="397">
        <f>'Blocking-Step2'!C753</f>
        <v>594851894</v>
      </c>
      <c r="N83" s="397">
        <f t="shared" ref="N83:N101" si="108">O83-M83</f>
        <v>28756853.23923564</v>
      </c>
      <c r="O83" s="397">
        <f>'Blocking-Step2'!D753</f>
        <v>623608747.23923564</v>
      </c>
      <c r="P83" s="411">
        <f>'Table 3'!D83</f>
        <v>51353856.679999992</v>
      </c>
      <c r="Q83" s="21">
        <f>'Table 3'!H83</f>
        <v>-752887.28258647618</v>
      </c>
      <c r="R83" s="21">
        <f>'Table 3'!J83+'Table 3'!K83</f>
        <v>71039.794500008225</v>
      </c>
      <c r="S83" s="593">
        <f>'Table 3'!M83</f>
        <v>2894863.2842864767</v>
      </c>
      <c r="T83" s="417">
        <f t="shared" ref="T83:T101" si="109">SUM(P83:S83)</f>
        <v>53566872.476199999</v>
      </c>
      <c r="U83" s="20"/>
      <c r="V83" s="123">
        <f t="shared" ref="V83:V102" si="110">L83/M83</f>
        <v>1.6810907220545892E-9</v>
      </c>
      <c r="W83" s="123">
        <f t="shared" ref="W83:W102" si="111">J83/(H83+I83)</f>
        <v>-1.6210365476925972E-2</v>
      </c>
    </row>
    <row r="84" spans="1:23">
      <c r="A84" s="16"/>
      <c r="B84" s="601" t="s">
        <v>959</v>
      </c>
      <c r="C84" s="16"/>
      <c r="D84" s="404">
        <f>SUMIF('305'!$B$2:$B$202,"I6135",'305'!I$2:I$202)</f>
        <v>6</v>
      </c>
      <c r="E84" s="317">
        <f t="shared" ref="E84" si="112">F84-D84</f>
        <v>0</v>
      </c>
      <c r="F84" s="317">
        <f>'Blocking-Step2'!C813/12</f>
        <v>6</v>
      </c>
      <c r="G84" s="317">
        <f>'Blocking-Step2'!D813/12</f>
        <v>16.5</v>
      </c>
      <c r="H84" s="404">
        <f>SUMIF('305'!$B$2:$B$202,"I6135",'305'!H$2:H$202)</f>
        <v>2230442</v>
      </c>
      <c r="I84" s="322">
        <f>'6'!F28</f>
        <v>386</v>
      </c>
      <c r="J84" s="317">
        <f t="shared" ref="J84" si="113">ROUND((H84+I84)/SUM($H$83:$H$98,$I$83:$I$98)*($H$113-SUM($J$99:$J$101)),0)</f>
        <v>-36163</v>
      </c>
      <c r="K84" s="325"/>
      <c r="L84" s="317">
        <f t="shared" ref="L84" si="114">M84-H84-I84-J84-K84</f>
        <v>0</v>
      </c>
      <c r="M84" s="397">
        <f>'Blocking-Step2'!C829</f>
        <v>2194665</v>
      </c>
      <c r="N84" s="397">
        <f t="shared" si="108"/>
        <v>3994774.5</v>
      </c>
      <c r="O84" s="397">
        <f>'Blocking-Step2'!D829</f>
        <v>6189439.5</v>
      </c>
      <c r="P84" s="411">
        <f>'Table 3'!D84</f>
        <v>208870.96</v>
      </c>
      <c r="Q84" s="21">
        <f>'Table 3'!H84</f>
        <v>-3328.63</v>
      </c>
      <c r="R84" s="21">
        <f>'Table 3'!J84+'Table 3'!K84</f>
        <v>119.27620000002207</v>
      </c>
      <c r="S84" s="593">
        <f>'Table 3'!M84</f>
        <v>379461.90559999994</v>
      </c>
      <c r="T84" s="417">
        <f t="shared" si="109"/>
        <v>585123.51179999998</v>
      </c>
      <c r="U84" s="20"/>
      <c r="V84" s="123">
        <f t="shared" si="110"/>
        <v>0</v>
      </c>
      <c r="W84" s="123">
        <f t="shared" si="111"/>
        <v>-1.6210572935250946E-2</v>
      </c>
    </row>
    <row r="85" spans="1:23">
      <c r="A85" s="16"/>
      <c r="B85" s="601" t="s">
        <v>1215</v>
      </c>
      <c r="C85" s="16"/>
      <c r="D85" s="404">
        <f>SUMIF('305'!$B$2:$B$202,"I6136",'305'!I$2:I$202)</f>
        <v>0.41666666666666702</v>
      </c>
      <c r="E85" s="317">
        <f t="shared" ref="E85" si="115">F85-D85</f>
        <v>5.5555555555554803E-3</v>
      </c>
      <c r="F85" s="317">
        <f>'Blocking-Step2'!C870/12</f>
        <v>0.4222222222222225</v>
      </c>
      <c r="G85" s="317">
        <f>'Blocking-Step2'!D870/12</f>
        <v>0</v>
      </c>
      <c r="H85" s="404">
        <f>SUMIF('305'!$B$2:$B$202,"I6136",'305'!H$2:H$202)</f>
        <v>728244</v>
      </c>
      <c r="I85" s="322">
        <f>'6'!F32</f>
        <v>0</v>
      </c>
      <c r="J85" s="317">
        <f t="shared" ref="J85" si="116">ROUND((H85+I85)/SUM($H$83:$H$98,$I$83:$I$98)*($H$113-SUM($J$99:$J$101)),0)</f>
        <v>-11805</v>
      </c>
      <c r="K85" s="325"/>
      <c r="L85" s="317">
        <f t="shared" ref="L85" si="117">M85-H85-I85-J85-K85</f>
        <v>0</v>
      </c>
      <c r="M85" s="397">
        <f>'Blocking-Step2'!C886</f>
        <v>716439</v>
      </c>
      <c r="N85" s="397">
        <f t="shared" ref="N85" si="118">O85-M85</f>
        <v>-716439</v>
      </c>
      <c r="O85" s="397">
        <f>'Blocking-Step2'!D886</f>
        <v>0</v>
      </c>
      <c r="P85" s="411">
        <f>'Table 3'!D85</f>
        <v>57860.71</v>
      </c>
      <c r="Q85" s="21">
        <f>'Table 3'!H85</f>
        <v>-880</v>
      </c>
      <c r="R85" s="21">
        <f>'Table 3'!J85+'Table 3'!K85</f>
        <v>1.450700000001234</v>
      </c>
      <c r="S85" s="593">
        <f>'Table 3'!M85</f>
        <v>-56982.1607</v>
      </c>
      <c r="T85" s="417">
        <f t="shared" ref="T85" si="119">SUM(P85:S85)</f>
        <v>0</v>
      </c>
      <c r="U85" s="20"/>
      <c r="V85" s="123">
        <f t="shared" ref="V85" si="120">L85/M85</f>
        <v>0</v>
      </c>
      <c r="W85" s="123">
        <f t="shared" ref="W85" si="121">J85/(H85+I85)</f>
        <v>-1.621022624285267E-2</v>
      </c>
    </row>
    <row r="86" spans="1:23">
      <c r="A86" s="16"/>
      <c r="B86" s="601" t="s">
        <v>221</v>
      </c>
      <c r="C86" s="16"/>
      <c r="D86" s="404">
        <f>SUMIF('305'!$B$2:$B$202,"I6A",'305'!I$2:I$202)</f>
        <v>260.91666666666697</v>
      </c>
      <c r="E86" s="317">
        <f t="shared" si="106"/>
        <v>-2.2444444444444684</v>
      </c>
      <c r="F86" s="317">
        <f>'Blocking-Step2'!C1041/12</f>
        <v>258.6722222222225</v>
      </c>
      <c r="G86" s="317">
        <f>'Blocking-Step2'!D1041/12</f>
        <v>263</v>
      </c>
      <c r="H86" s="404">
        <f>SUMIF('305'!$B$2:$B$202,"I6A",'305'!H$2:H$202)</f>
        <v>56012877</v>
      </c>
      <c r="I86" s="322">
        <f>'6A'!F17+'305vsCognos'!F46</f>
        <v>-696039</v>
      </c>
      <c r="J86" s="317">
        <f t="shared" ref="J86:J98" si="122">ROUND((H86+I86)/SUM($H$83:$H$98,$I$83:$I$98)*($H$113-SUM($J$99:$J$101)),0)</f>
        <v>-896706</v>
      </c>
      <c r="K86" s="325"/>
      <c r="L86" s="317">
        <f t="shared" si="107"/>
        <v>0</v>
      </c>
      <c r="M86" s="397">
        <f>'Blocking-Step2'!C1054</f>
        <v>54420132</v>
      </c>
      <c r="N86" s="397">
        <f t="shared" si="108"/>
        <v>8665502.099411577</v>
      </c>
      <c r="O86" s="397">
        <f>'Blocking-Step2'!D1054</f>
        <v>63085634.099411577</v>
      </c>
      <c r="P86" s="411">
        <f>'Table 3'!D86</f>
        <v>6465556.4099999992</v>
      </c>
      <c r="Q86" s="21">
        <f>'Table 3'!H86</f>
        <v>-117712.98999999999</v>
      </c>
      <c r="R86" s="21">
        <f>'Table 3'!J86+'Table 3'!K86</f>
        <v>4270.7168000014499</v>
      </c>
      <c r="S86" s="593">
        <f>'Table 3'!M86</f>
        <v>1026330.8466999996</v>
      </c>
      <c r="T86" s="417">
        <f t="shared" si="109"/>
        <v>7378444.9835000001</v>
      </c>
      <c r="U86" s="20"/>
      <c r="V86" s="123">
        <f t="shared" si="110"/>
        <v>0</v>
      </c>
      <c r="W86" s="123">
        <f t="shared" si="111"/>
        <v>-1.6210362566276837E-2</v>
      </c>
    </row>
    <row r="87" spans="1:23">
      <c r="A87" s="16"/>
      <c r="B87" s="601" t="s">
        <v>963</v>
      </c>
      <c r="C87" s="16"/>
      <c r="D87" s="404">
        <f>SUMIF('305'!$B$2:$B$202,"I6A135",'305'!I$2:I$202)</f>
        <v>13</v>
      </c>
      <c r="E87" s="317">
        <f t="shared" ref="E87" si="123">F87-D87</f>
        <v>0</v>
      </c>
      <c r="F87" s="317">
        <f>'Blocking-Step2'!C1131/12</f>
        <v>13</v>
      </c>
      <c r="G87" s="317">
        <f>'Blocking-Step2'!D1131/12</f>
        <v>35.75</v>
      </c>
      <c r="H87" s="404">
        <f>SUMIF('305'!$B$2:$B$202,"I6A135",'305'!H$2:H$202)</f>
        <v>4050614</v>
      </c>
      <c r="I87" s="322">
        <f>'6A'!F21</f>
        <v>-4938</v>
      </c>
      <c r="J87" s="317">
        <f t="shared" si="122"/>
        <v>-65582</v>
      </c>
      <c r="K87" s="325"/>
      <c r="L87" s="317">
        <f t="shared" ref="L87" si="124">M87-H87-I87-J87-K87</f>
        <v>1</v>
      </c>
      <c r="M87" s="397">
        <f>'Blocking-Step2'!C1142</f>
        <v>3980095</v>
      </c>
      <c r="N87" s="397">
        <f t="shared" si="108"/>
        <v>6454645.0769230761</v>
      </c>
      <c r="O87" s="397">
        <f>'Blocking-Step2'!D1142</f>
        <v>10434740.076923076</v>
      </c>
      <c r="P87" s="411">
        <f>'Table 3'!D87</f>
        <v>560062.84</v>
      </c>
      <c r="Q87" s="21">
        <f>'Table 3'!H87</f>
        <v>-9140.5400000000009</v>
      </c>
      <c r="R87" s="21">
        <f>'Table 3'!J87+'Table 3'!K87</f>
        <v>643.57250000012573</v>
      </c>
      <c r="S87" s="593">
        <f>'Table 3'!M87</f>
        <v>900662.34759999998</v>
      </c>
      <c r="T87" s="417">
        <f t="shared" si="109"/>
        <v>1452228.2201</v>
      </c>
      <c r="U87" s="20"/>
      <c r="V87" s="123">
        <f t="shared" si="110"/>
        <v>2.5125028422688402E-7</v>
      </c>
      <c r="W87" s="123">
        <f t="shared" si="111"/>
        <v>-1.6210393516435818E-2</v>
      </c>
    </row>
    <row r="88" spans="1:23">
      <c r="A88" s="16"/>
      <c r="B88" s="601" t="s">
        <v>223</v>
      </c>
      <c r="C88" s="16"/>
      <c r="D88" s="404">
        <f>SUMIF('305'!$B$2:$B$202,"I6B",'305'!I$2:I$202)</f>
        <v>0.41666666666666702</v>
      </c>
      <c r="E88" s="317">
        <f t="shared" si="106"/>
        <v>-8.3333333333333703E-2</v>
      </c>
      <c r="F88" s="317">
        <f>'Blocking-Step2'!C943/12</f>
        <v>0.33333333333333331</v>
      </c>
      <c r="G88" s="317">
        <f>'Blocking-Step2'!D943/12</f>
        <v>1</v>
      </c>
      <c r="H88" s="404">
        <f>SUMIF('305'!$B$2:$B$202,"I6B",'305'!H$2:H$202)</f>
        <v>7086</v>
      </c>
      <c r="I88" s="322">
        <f>'6'!F36</f>
        <v>0</v>
      </c>
      <c r="J88" s="317">
        <f t="shared" si="122"/>
        <v>-115</v>
      </c>
      <c r="K88" s="325"/>
      <c r="L88" s="317">
        <f t="shared" si="107"/>
        <v>0</v>
      </c>
      <c r="M88" s="397">
        <f>'Blocking-Step2'!C958</f>
        <v>6971</v>
      </c>
      <c r="N88" s="397">
        <f t="shared" si="108"/>
        <v>16309</v>
      </c>
      <c r="O88" s="397">
        <f>'Blocking-Step2'!D958</f>
        <v>23280</v>
      </c>
      <c r="P88" s="411">
        <f>'Table 3'!D88</f>
        <v>2755.91</v>
      </c>
      <c r="Q88" s="21">
        <f>'Table 3'!H88</f>
        <v>-42</v>
      </c>
      <c r="R88" s="21">
        <f>'Table 3'!J88+'Table 3'!K88</f>
        <v>-0.1352999999999156</v>
      </c>
      <c r="S88" s="593">
        <f>'Table 3'!M88</f>
        <v>6435.7126000000007</v>
      </c>
      <c r="T88" s="417">
        <f t="shared" si="109"/>
        <v>9149.4873000000007</v>
      </c>
      <c r="U88" s="20"/>
      <c r="V88" s="123">
        <f t="shared" si="110"/>
        <v>0</v>
      </c>
      <c r="W88" s="123">
        <f t="shared" si="111"/>
        <v>-1.6229184307084393E-2</v>
      </c>
    </row>
    <row r="89" spans="1:23">
      <c r="A89" s="16"/>
      <c r="B89" s="601">
        <v>7</v>
      </c>
      <c r="C89" s="16"/>
      <c r="D89" s="404">
        <f>SUMIF('305'!$B$2:$B$202,"I7",'305'!I$2:I$202)</f>
        <v>394</v>
      </c>
      <c r="E89" s="317">
        <f t="shared" si="106"/>
        <v>0</v>
      </c>
      <c r="F89" s="317">
        <f>D89</f>
        <v>394</v>
      </c>
      <c r="G89" s="317">
        <f>'Blocking-Step2'!D1331</f>
        <v>403</v>
      </c>
      <c r="H89" s="404">
        <f>SUMIF('305'!$B$2:$B$202,"I7",'305'!H$2:H$202)</f>
        <v>948300</v>
      </c>
      <c r="I89" s="322">
        <f>'7'!J89</f>
        <v>25755.954639211948</v>
      </c>
      <c r="J89" s="317">
        <f t="shared" si="122"/>
        <v>-15790</v>
      </c>
      <c r="K89" s="325"/>
      <c r="L89" s="317">
        <f t="shared" si="107"/>
        <v>-0.83629832726364839</v>
      </c>
      <c r="M89" s="397">
        <f>'Blocking-Step2'!C1332</f>
        <v>958265.11834088468</v>
      </c>
      <c r="N89" s="397">
        <f t="shared" si="108"/>
        <v>63458.594868274871</v>
      </c>
      <c r="O89" s="397">
        <f>'Blocking-Step2'!D1332</f>
        <v>1021723.7132091596</v>
      </c>
      <c r="P89" s="411">
        <f>'Table 3'!D89</f>
        <v>199529.37</v>
      </c>
      <c r="Q89" s="21">
        <f>'Table 3'!H89</f>
        <v>2124.3999999999514</v>
      </c>
      <c r="R89" s="21">
        <f>'Table 3'!J89+'Table 3'!K89</f>
        <v>6.792200000025332</v>
      </c>
      <c r="S89" s="593">
        <f>'Table 3'!M89</f>
        <v>13171.832200000004</v>
      </c>
      <c r="T89" s="417">
        <f t="shared" si="109"/>
        <v>214832.39439999999</v>
      </c>
      <c r="U89" s="20"/>
      <c r="V89" s="123">
        <f t="shared" si="110"/>
        <v>-8.7272124515143944E-7</v>
      </c>
      <c r="W89" s="123">
        <f t="shared" si="111"/>
        <v>-1.6210567703832352E-2</v>
      </c>
    </row>
    <row r="90" spans="1:23">
      <c r="A90" s="16"/>
      <c r="B90" s="601">
        <v>8</v>
      </c>
      <c r="C90" s="16"/>
      <c r="D90" s="404">
        <f>SUMIF('305'!$B$2:$B$202,"I8",'305'!I$2:I$202)</f>
        <v>104.666666666667</v>
      </c>
      <c r="E90" s="317">
        <f t="shared" si="106"/>
        <v>-0.49446428571449985</v>
      </c>
      <c r="F90" s="317">
        <f>'Blocking-Step2'!C1419/12</f>
        <v>104.1722023809525</v>
      </c>
      <c r="G90" s="317">
        <f>'Blocking-Step2'!D1419/12</f>
        <v>103</v>
      </c>
      <c r="H90" s="404">
        <f>SUMIF('305'!$B$2:$B$202,"I8",'305'!H$2:H$202)</f>
        <v>1011763654</v>
      </c>
      <c r="I90" s="322">
        <f>'8'!E11</f>
        <v>501200</v>
      </c>
      <c r="J90" s="317">
        <f t="shared" si="122"/>
        <v>-16409187</v>
      </c>
      <c r="K90" s="325"/>
      <c r="L90" s="317">
        <f t="shared" si="107"/>
        <v>0</v>
      </c>
      <c r="M90" s="397">
        <f>'Blocking-Step2'!C1436</f>
        <v>995855667</v>
      </c>
      <c r="N90" s="397">
        <f t="shared" si="108"/>
        <v>15530213.778996944</v>
      </c>
      <c r="O90" s="397">
        <f>'Blocking-Step2'!D1436</f>
        <v>1011385880.7789969</v>
      </c>
      <c r="P90" s="411">
        <f>'Table 3'!D90</f>
        <v>74133476.980000004</v>
      </c>
      <c r="Q90" s="21">
        <f>'Table 3'!H90</f>
        <v>-1087708.27</v>
      </c>
      <c r="R90" s="21">
        <f>'Table 3'!J90+'Table 3'!K90</f>
        <v>46295.540599986911</v>
      </c>
      <c r="S90" s="593">
        <f>'Table 3'!M90</f>
        <v>1676893.4070000052</v>
      </c>
      <c r="T90" s="417">
        <f t="shared" si="109"/>
        <v>74768957.657600001</v>
      </c>
      <c r="U90" s="20"/>
      <c r="V90" s="123">
        <f t="shared" si="110"/>
        <v>0</v>
      </c>
      <c r="W90" s="123">
        <f t="shared" si="111"/>
        <v>-1.6210369188615532E-2</v>
      </c>
    </row>
    <row r="91" spans="1:23">
      <c r="A91" s="16"/>
      <c r="B91" s="601">
        <v>9</v>
      </c>
      <c r="C91" s="16"/>
      <c r="D91" s="404">
        <f>SUMIF('305'!$B$2:$B$202,"I9",'305'!I$2:I$202)</f>
        <v>114</v>
      </c>
      <c r="E91" s="317">
        <f t="shared" si="106"/>
        <v>-1.2388996138995907</v>
      </c>
      <c r="F91" s="317">
        <f>'Blocking-Step2'!C1519/12</f>
        <v>112.76110038610041</v>
      </c>
      <c r="G91" s="317">
        <f>'Blocking-Step2'!D1519/12</f>
        <v>115</v>
      </c>
      <c r="H91" s="404">
        <f>SUMIF('305'!$B$2:$B$202,"I9",'305'!H$2:H$202)</f>
        <v>3593642664</v>
      </c>
      <c r="I91" s="322">
        <f>'9'!E9</f>
        <v>39845259</v>
      </c>
      <c r="J91" s="317">
        <f t="shared" si="122"/>
        <v>-58900180</v>
      </c>
      <c r="K91" s="325"/>
      <c r="L91" s="317">
        <f t="shared" si="107"/>
        <v>3</v>
      </c>
      <c r="M91" s="397">
        <f>'Blocking-Step2'!C1535</f>
        <v>3574587746</v>
      </c>
      <c r="N91" s="397">
        <f t="shared" si="108"/>
        <v>-40392448.604032516</v>
      </c>
      <c r="O91" s="397">
        <f>'Blocking-Step2'!D1535</f>
        <v>3534195297.3959675</v>
      </c>
      <c r="P91" s="411">
        <f>'Table 3'!D91</f>
        <v>194535572.78</v>
      </c>
      <c r="Q91" s="21">
        <f>'Table 3'!H91</f>
        <v>-1005625.6399999999</v>
      </c>
      <c r="R91" s="21">
        <f>'Table 3'!J91+'Table 3'!K91</f>
        <v>105261.85879999399</v>
      </c>
      <c r="S91" s="593">
        <f>'Table 3'!M91</f>
        <v>-1056545.7030000091</v>
      </c>
      <c r="T91" s="417">
        <f t="shared" si="109"/>
        <v>192578663.2958</v>
      </c>
      <c r="U91" s="20"/>
      <c r="V91" s="123">
        <f t="shared" si="110"/>
        <v>8.3925761882808174E-10</v>
      </c>
      <c r="W91" s="123">
        <f t="shared" si="111"/>
        <v>-1.6210369003062185E-2</v>
      </c>
    </row>
    <row r="92" spans="1:23">
      <c r="A92" s="16"/>
      <c r="B92" s="601" t="s">
        <v>225</v>
      </c>
      <c r="C92" s="16"/>
      <c r="D92" s="404">
        <f>SUMIF('305'!$B$2:$B$202,"I9A",'305'!I$2:I$202)</f>
        <v>7</v>
      </c>
      <c r="E92" s="317">
        <f t="shared" ref="E92:E98" si="125">F92-D92</f>
        <v>0</v>
      </c>
      <c r="F92" s="317">
        <f>'Blocking-Step2'!C1582/12</f>
        <v>7</v>
      </c>
      <c r="G92" s="317">
        <f>'Blocking-Step2'!D1582/12</f>
        <v>7</v>
      </c>
      <c r="H92" s="404">
        <f>SUMIF('305'!$B$2:$B$202,"I9A",'305'!H$2:H$202)</f>
        <v>17623260</v>
      </c>
      <c r="I92" s="322">
        <f>'9A'!E7</f>
        <v>0</v>
      </c>
      <c r="J92" s="317">
        <f t="shared" si="122"/>
        <v>-285680</v>
      </c>
      <c r="K92" s="325"/>
      <c r="L92" s="317">
        <f t="shared" si="107"/>
        <v>0</v>
      </c>
      <c r="M92" s="397">
        <f>'Blocking-Step2'!C1601</f>
        <v>17337580</v>
      </c>
      <c r="N92" s="397">
        <f t="shared" si="108"/>
        <v>607520</v>
      </c>
      <c r="O92" s="397">
        <f>'Blocking-Step2'!D1601</f>
        <v>17945100</v>
      </c>
      <c r="P92" s="411">
        <f>'Table 3'!D92</f>
        <v>1569320.4</v>
      </c>
      <c r="Q92" s="21">
        <f>'Table 3'!H92</f>
        <v>-23865</v>
      </c>
      <c r="R92" s="21">
        <f>'Table 3'!J92+'Table 3'!K92</f>
        <v>12947.819400000153</v>
      </c>
      <c r="S92" s="593">
        <f>'Table 3'!M92</f>
        <v>58395.691299999831</v>
      </c>
      <c r="T92" s="417">
        <f t="shared" si="109"/>
        <v>1616798.9106999999</v>
      </c>
      <c r="U92" s="20"/>
      <c r="V92" s="123">
        <f t="shared" si="110"/>
        <v>0</v>
      </c>
      <c r="W92" s="123">
        <f t="shared" si="111"/>
        <v>-1.6210394671587434E-2</v>
      </c>
    </row>
    <row r="93" spans="1:23">
      <c r="A93" s="16"/>
      <c r="B93" s="601" t="s">
        <v>965</v>
      </c>
      <c r="C93" s="16"/>
      <c r="D93" s="404">
        <f>SUMIF('305'!$B$2:$B$202,"I15M",'305'!I$2:I$202)</f>
        <v>6</v>
      </c>
      <c r="E93" s="317">
        <f t="shared" si="125"/>
        <v>0</v>
      </c>
      <c r="F93" s="317">
        <f>'Blocking-Step2'!C1835/12</f>
        <v>6</v>
      </c>
      <c r="G93" s="317">
        <f>'Blocking-Step2'!D1835/12</f>
        <v>6</v>
      </c>
      <c r="H93" s="404">
        <f>SUMIF('305'!$B$2:$B$202,"I15M",'305'!H$2:H$202)</f>
        <v>12527</v>
      </c>
      <c r="I93" s="322">
        <f>'15M'!E3+'305vsCognos'!F53</f>
        <v>0</v>
      </c>
      <c r="J93" s="317">
        <f t="shared" si="122"/>
        <v>-203</v>
      </c>
      <c r="K93" s="325"/>
      <c r="L93" s="317">
        <f t="shared" si="107"/>
        <v>0</v>
      </c>
      <c r="M93" s="397">
        <f>'Blocking-Step2'!C1840</f>
        <v>12324</v>
      </c>
      <c r="N93" s="397">
        <f t="shared" si="108"/>
        <v>798</v>
      </c>
      <c r="O93" s="397">
        <f>'Blocking-Step2'!D1840</f>
        <v>13122</v>
      </c>
      <c r="P93" s="411">
        <f>'Table 3'!D93</f>
        <v>2295.5700000000002</v>
      </c>
      <c r="Q93" s="21">
        <f>'Table 3'!H93</f>
        <v>-28.8</v>
      </c>
      <c r="R93" s="21">
        <f>'Table 3'!J93+'Table 3'!K93</f>
        <v>-0.50199999999995271</v>
      </c>
      <c r="S93" s="593">
        <f>'Table 3'!M93</f>
        <v>121.10399999999981</v>
      </c>
      <c r="T93" s="417">
        <f t="shared" si="109"/>
        <v>2387.3719999999998</v>
      </c>
      <c r="U93" s="20"/>
      <c r="V93" s="123">
        <f t="shared" si="110"/>
        <v>0</v>
      </c>
      <c r="W93" s="123">
        <f t="shared" si="111"/>
        <v>-1.6204997206034966E-2</v>
      </c>
    </row>
    <row r="94" spans="1:23">
      <c r="A94" s="16"/>
      <c r="B94" s="601" t="s">
        <v>943</v>
      </c>
      <c r="C94" s="16"/>
      <c r="D94" s="404">
        <f>SUMIF('305'!$B$2:$B$202,"I15T",'305'!I$2:I$202)</f>
        <v>12</v>
      </c>
      <c r="E94" s="317">
        <f t="shared" si="125"/>
        <v>1.9545454545417229E-2</v>
      </c>
      <c r="F94" s="317">
        <f>'Blocking-Step2'!C1870/12</f>
        <v>12.019545454545417</v>
      </c>
      <c r="G94" s="317">
        <f>'Blocking-Step2'!D1870/12</f>
        <v>12</v>
      </c>
      <c r="H94" s="404">
        <f>SUMIF('305'!$B$2:$B$202,"I15T",'305'!H$2:H$202)</f>
        <v>47617</v>
      </c>
      <c r="I94" s="322">
        <f>'15T'!E14</f>
        <v>0</v>
      </c>
      <c r="J94" s="317">
        <f t="shared" si="122"/>
        <v>-772</v>
      </c>
      <c r="K94" s="325"/>
      <c r="L94" s="317">
        <f t="shared" si="107"/>
        <v>0</v>
      </c>
      <c r="M94" s="397">
        <f>'Blocking-Step2'!C1875</f>
        <v>46845</v>
      </c>
      <c r="N94" s="397">
        <f t="shared" si="108"/>
        <v>-19005</v>
      </c>
      <c r="O94" s="397">
        <f>'Blocking-Step2'!D1875</f>
        <v>27840</v>
      </c>
      <c r="P94" s="411">
        <f>'Table 3'!D94</f>
        <v>4639.6499999999996</v>
      </c>
      <c r="Q94" s="21">
        <f>'Table 3'!H94</f>
        <v>-71</v>
      </c>
      <c r="R94" s="21">
        <f>'Table 3'!J94+'Table 3'!K94</f>
        <v>-25.421499999999469</v>
      </c>
      <c r="S94" s="593">
        <f>'Table 3'!M94</f>
        <v>-1529.3049000000001</v>
      </c>
      <c r="T94" s="417">
        <f t="shared" si="109"/>
        <v>3013.9236000000001</v>
      </c>
      <c r="U94" s="20"/>
      <c r="V94" s="123">
        <f t="shared" si="110"/>
        <v>0</v>
      </c>
      <c r="W94" s="123">
        <f t="shared" si="111"/>
        <v>-1.6212697145977277E-2</v>
      </c>
    </row>
    <row r="95" spans="1:23">
      <c r="A95" s="16"/>
      <c r="B95" s="601">
        <v>21</v>
      </c>
      <c r="C95" s="16"/>
      <c r="D95" s="404">
        <f>SUMIF('305'!$B$2:$B$202,"I21",'305'!I$2:I$202)</f>
        <v>2.333333333333333</v>
      </c>
      <c r="E95" s="317">
        <f t="shared" si="125"/>
        <v>4.9993438320210526E-2</v>
      </c>
      <c r="F95" s="317">
        <f>('Blocking-Step2'!C1919+'Blocking-Step2'!C1927)/12</f>
        <v>2.3833267716535436</v>
      </c>
      <c r="G95" s="317">
        <f>('Blocking-Step2'!D1919+'Blocking-Step2'!D1927)/12</f>
        <v>3</v>
      </c>
      <c r="H95" s="404">
        <f>SUMIF('305'!$B$2:$B$202,"I21",'305'!H$2:H$202)</f>
        <v>1256081</v>
      </c>
      <c r="I95" s="322">
        <f>'21'!F9</f>
        <v>0</v>
      </c>
      <c r="J95" s="317">
        <f t="shared" si="122"/>
        <v>-20362</v>
      </c>
      <c r="K95" s="325"/>
      <c r="L95" s="317">
        <f t="shared" si="107"/>
        <v>1</v>
      </c>
      <c r="M95" s="397">
        <f>'Blocking-Step2'!C1935</f>
        <v>1235720</v>
      </c>
      <c r="N95" s="397">
        <f t="shared" si="108"/>
        <v>601392</v>
      </c>
      <c r="O95" s="397">
        <f>'Blocking-Step2'!D1935</f>
        <v>1837112</v>
      </c>
      <c r="P95" s="411">
        <f>'Table 3'!D95</f>
        <v>157232.69</v>
      </c>
      <c r="Q95" s="21">
        <f>'Table 3'!H95</f>
        <v>-417.17000000001281</v>
      </c>
      <c r="R95" s="21">
        <f>'Table 3'!J95+'Table 3'!K95</f>
        <v>442.03599999999278</v>
      </c>
      <c r="S95" s="593">
        <f>'Table 3'!M95</f>
        <v>75857.206000000006</v>
      </c>
      <c r="T95" s="417">
        <f t="shared" si="109"/>
        <v>233114.76199999999</v>
      </c>
      <c r="U95" s="20"/>
      <c r="V95" s="123">
        <f t="shared" si="110"/>
        <v>8.0924481274075037E-7</v>
      </c>
      <c r="W95" s="123">
        <f t="shared" si="111"/>
        <v>-1.6210738001768994E-2</v>
      </c>
    </row>
    <row r="96" spans="1:23">
      <c r="A96" s="16"/>
      <c r="B96" s="601">
        <v>23</v>
      </c>
      <c r="C96" s="16"/>
      <c r="D96" s="404">
        <f>SUMIF('305'!$B$2:$B$202,"I23",'305'!I$2:I$202)</f>
        <v>3168.5833333333367</v>
      </c>
      <c r="E96" s="317">
        <f t="shared" si="125"/>
        <v>10.925583333321811</v>
      </c>
      <c r="F96" s="317">
        <f>'Blocking-Step2'!C2049/12</f>
        <v>3179.5089166666585</v>
      </c>
      <c r="G96" s="317">
        <f>'Blocking-Step2'!D2049/12</f>
        <v>3119.2500000000005</v>
      </c>
      <c r="H96" s="404">
        <f>SUMIF('305'!$B$2:$B$202,"I23",'305'!H$2:H$202)</f>
        <v>53331167</v>
      </c>
      <c r="I96" s="322">
        <f>'23'!E25</f>
        <v>209605</v>
      </c>
      <c r="J96" s="317">
        <f t="shared" si="122"/>
        <v>-867916</v>
      </c>
      <c r="K96" s="325"/>
      <c r="L96" s="317">
        <f t="shared" si="107"/>
        <v>-4419</v>
      </c>
      <c r="M96" s="397">
        <f>'Blocking-Step2'!C2070</f>
        <v>52668437</v>
      </c>
      <c r="N96" s="397">
        <f t="shared" si="108"/>
        <v>-922352.22866166383</v>
      </c>
      <c r="O96" s="397">
        <f>'Blocking-Step2'!D2070</f>
        <v>51746084.771338336</v>
      </c>
      <c r="P96" s="411">
        <f>'Table 3'!D96</f>
        <v>5177414.0199999996</v>
      </c>
      <c r="Q96" s="21">
        <f>'Table 3'!H96</f>
        <v>-64550.900000000111</v>
      </c>
      <c r="R96" s="21">
        <f>'Table 3'!J96+'Table 3'!K96</f>
        <v>3218.4612000007182</v>
      </c>
      <c r="S96" s="593">
        <f>'Table 3'!M96</f>
        <v>-80973.086699999869</v>
      </c>
      <c r="T96" s="417">
        <f t="shared" si="109"/>
        <v>5035108.4945</v>
      </c>
      <c r="U96" s="20"/>
      <c r="V96" s="123">
        <f t="shared" si="110"/>
        <v>-8.3902243007515109E-5</v>
      </c>
      <c r="W96" s="123">
        <f t="shared" si="111"/>
        <v>-1.6210375151109138E-2</v>
      </c>
    </row>
    <row r="97" spans="1:23">
      <c r="A97" s="16"/>
      <c r="B97" s="601" t="s">
        <v>960</v>
      </c>
      <c r="C97" s="16"/>
      <c r="D97" s="404">
        <f>SUMIF('305'!$B$2:$B$202,"I23135",'305'!I$2:I$202)</f>
        <v>17</v>
      </c>
      <c r="E97" s="317">
        <f t="shared" ref="E97" si="126">F97-D97</f>
        <v>1.3999999999999346E-2</v>
      </c>
      <c r="F97" s="317">
        <f>'Blocking-Step2'!C2139/12</f>
        <v>17.013999999999999</v>
      </c>
      <c r="G97" s="317">
        <f>'Blocking-Step2'!D2139/12</f>
        <v>38.5</v>
      </c>
      <c r="H97" s="404">
        <f>SUMIF('305'!$B$2:$B$202,"I23135",'305'!H$2:H$202)</f>
        <v>176532</v>
      </c>
      <c r="I97" s="322">
        <f>'23'!E29</f>
        <v>450</v>
      </c>
      <c r="J97" s="317">
        <f t="shared" si="122"/>
        <v>-2869</v>
      </c>
      <c r="K97" s="325"/>
      <c r="L97" s="317">
        <f t="shared" ref="L97" si="127">M97-H97-I97-J97-K97</f>
        <v>0</v>
      </c>
      <c r="M97" s="397">
        <f>'Blocking-Step2'!C2158</f>
        <v>174113</v>
      </c>
      <c r="N97" s="397">
        <f t="shared" si="108"/>
        <v>271196.39789915964</v>
      </c>
      <c r="O97" s="397">
        <f>'Blocking-Step2'!D2158</f>
        <v>445309.39789915964</v>
      </c>
      <c r="P97" s="411">
        <f>'Table 3'!D97</f>
        <v>20297.66</v>
      </c>
      <c r="Q97" s="21">
        <f>'Table 3'!H97</f>
        <v>-295.91000000000003</v>
      </c>
      <c r="R97" s="21">
        <f>'Table 3'!J97+'Table 3'!K97</f>
        <v>23.06420000000071</v>
      </c>
      <c r="S97" s="593">
        <f>'Table 3'!M97</f>
        <v>31256.812899999997</v>
      </c>
      <c r="T97" s="417">
        <f t="shared" si="109"/>
        <v>51281.627099999998</v>
      </c>
      <c r="U97" s="20"/>
      <c r="V97" s="123">
        <f t="shared" si="110"/>
        <v>0</v>
      </c>
      <c r="W97" s="123">
        <f t="shared" si="111"/>
        <v>-1.6210688092574387E-2</v>
      </c>
    </row>
    <row r="98" spans="1:23">
      <c r="A98" s="16"/>
      <c r="B98" s="601">
        <v>31</v>
      </c>
      <c r="C98" s="16"/>
      <c r="D98" s="404">
        <f>SUMIF('305'!$B$2:$B$202,"I31",'305'!I$2:I$202)</f>
        <v>3</v>
      </c>
      <c r="E98" s="317">
        <f t="shared" si="125"/>
        <v>0</v>
      </c>
      <c r="F98" s="317">
        <f>'Blocking-Step2'!C2483/12</f>
        <v>3</v>
      </c>
      <c r="G98" s="317">
        <f>'Blocking-Step2'!D2483/12</f>
        <v>3</v>
      </c>
      <c r="H98" s="404">
        <f>SUMIF('305'!$B$2:$B$202,"I31",'305'!H$2:H$202)</f>
        <v>49625166</v>
      </c>
      <c r="I98" s="322">
        <f>'31'!G4</f>
        <v>781943</v>
      </c>
      <c r="J98" s="317">
        <f t="shared" si="122"/>
        <v>-817118</v>
      </c>
      <c r="K98" s="325"/>
      <c r="L98" s="317">
        <f t="shared" si="107"/>
        <v>0</v>
      </c>
      <c r="M98" s="397">
        <f>'Blocking-Step2'!C2539</f>
        <v>49589991</v>
      </c>
      <c r="N98" s="397">
        <f t="shared" si="108"/>
        <v>10436118</v>
      </c>
      <c r="O98" s="397">
        <f>'Blocking-Step2'!D2539</f>
        <v>60026109</v>
      </c>
      <c r="P98" s="411">
        <f>'Table 3'!D98</f>
        <v>3757081.15</v>
      </c>
      <c r="Q98" s="21">
        <f>'Table 3'!H98</f>
        <v>-109030.12</v>
      </c>
      <c r="R98" s="21">
        <f>'Table 3'!J98+'Table 3'!K98</f>
        <v>3272.4271000004373</v>
      </c>
      <c r="S98" s="593">
        <f>'Table 3'!M98</f>
        <v>800083.27359999996</v>
      </c>
      <c r="T98" s="417">
        <f t="shared" si="109"/>
        <v>4451406.7307000002</v>
      </c>
      <c r="U98" s="20"/>
      <c r="V98" s="123">
        <f t="shared" si="110"/>
        <v>0</v>
      </c>
      <c r="W98" s="123">
        <f t="shared" si="111"/>
        <v>-1.6210372231424738E-2</v>
      </c>
    </row>
    <row r="99" spans="1:23">
      <c r="A99" s="16"/>
      <c r="B99" s="601" t="s">
        <v>680</v>
      </c>
      <c r="C99" s="16"/>
      <c r="D99" s="404">
        <f>SUMIF('305'!$B$2:$B$202,"ISPCL1",'305'!I$2:I$202)</f>
        <v>1</v>
      </c>
      <c r="E99" s="317">
        <f>F99-D99</f>
        <v>0</v>
      </c>
      <c r="F99" s="317">
        <f>D99</f>
        <v>1</v>
      </c>
      <c r="G99" s="317">
        <f>'Blocking-Step2'!D2613/12</f>
        <v>1</v>
      </c>
      <c r="H99" s="404">
        <f>SUMIF('305'!$B$2:$B$202,"ISPCL1",'305'!H$2:H$202)</f>
        <v>602656000</v>
      </c>
      <c r="I99" s="322"/>
      <c r="J99" s="317">
        <f>'Table 4'!D29</f>
        <v>314000</v>
      </c>
      <c r="K99" s="325"/>
      <c r="L99" s="317">
        <f>M99-H99-I99-J99-K99</f>
        <v>0</v>
      </c>
      <c r="M99" s="397">
        <f>'Blocking-Step2'!C2623</f>
        <v>602970000</v>
      </c>
      <c r="N99" s="397">
        <f t="shared" si="108"/>
        <v>14130000</v>
      </c>
      <c r="O99" s="397">
        <f>'Blocking-Step2'!D2623</f>
        <v>617100000</v>
      </c>
      <c r="P99" s="411">
        <f>'Table 3'!D99</f>
        <v>30565663.190000001</v>
      </c>
      <c r="Q99" s="21">
        <f>'Table 3'!H99</f>
        <v>98049.592399999499</v>
      </c>
      <c r="R99" s="21">
        <f>'Table 3'!J99+'Table 3'!K99</f>
        <v>-0.10080000013113022</v>
      </c>
      <c r="S99" s="593">
        <f>'Table 3'!M99</f>
        <v>718507.27999999747</v>
      </c>
      <c r="T99" s="417">
        <f t="shared" si="109"/>
        <v>31382219.961599998</v>
      </c>
      <c r="U99" s="20"/>
      <c r="V99" s="123">
        <f t="shared" si="110"/>
        <v>0</v>
      </c>
      <c r="W99" s="123">
        <f t="shared" si="111"/>
        <v>5.210269208304572E-4</v>
      </c>
    </row>
    <row r="100" spans="1:23">
      <c r="A100" s="16"/>
      <c r="B100" s="601" t="s">
        <v>681</v>
      </c>
      <c r="C100" s="16"/>
      <c r="D100" s="404">
        <f>SUMIF('305'!$B$2:$B$202,"ISPCL2",'305'!I$2:I$202)</f>
        <v>1</v>
      </c>
      <c r="E100" s="317">
        <f>F100-D100</f>
        <v>0</v>
      </c>
      <c r="F100" s="317">
        <f t="shared" ref="F100:F101" si="128">D100</f>
        <v>1</v>
      </c>
      <c r="G100" s="317">
        <f>'Blocking-Step2'!D2626/12</f>
        <v>1</v>
      </c>
      <c r="H100" s="404">
        <f>SUMIF('305'!$B$2:$B$202,"ISPCL2",'305'!H$2:H$202)</f>
        <v>809246440</v>
      </c>
      <c r="I100" s="322">
        <f>'Table 4'!N16</f>
        <v>-31275392</v>
      </c>
      <c r="J100" s="317">
        <f>'Table 4'!D30</f>
        <v>6422280</v>
      </c>
      <c r="K100" s="325"/>
      <c r="L100" s="317">
        <f t="shared" si="107"/>
        <v>0</v>
      </c>
      <c r="M100" s="397">
        <f>'Blocking-Step2'!C2633</f>
        <v>784393328</v>
      </c>
      <c r="N100" s="397">
        <f t="shared" si="108"/>
        <v>-78937779.053439975</v>
      </c>
      <c r="O100" s="397">
        <f>'Blocking-Step2'!D2633</f>
        <v>705455548.94656003</v>
      </c>
      <c r="P100" s="411">
        <f>'Table 3'!D100</f>
        <v>36340880.280000001</v>
      </c>
      <c r="Q100" s="21">
        <f>'Table 3'!H100</f>
        <v>-1321123.1610556245</v>
      </c>
      <c r="R100" s="21">
        <f>'Table 3'!J100+'Table 3'!K100</f>
        <v>4.0556266903877258E-3</v>
      </c>
      <c r="S100" s="593">
        <f>'Table 3'!M100</f>
        <v>-3534625.9780000038</v>
      </c>
      <c r="T100" s="417">
        <f t="shared" si="109"/>
        <v>31485131.145</v>
      </c>
      <c r="U100" s="20"/>
      <c r="V100" s="123">
        <f t="shared" si="110"/>
        <v>0</v>
      </c>
      <c r="W100" s="123">
        <f t="shared" si="111"/>
        <v>8.2551658143453169E-3</v>
      </c>
    </row>
    <row r="101" spans="1:23">
      <c r="A101" s="16"/>
      <c r="B101" s="654" t="s">
        <v>682</v>
      </c>
      <c r="C101" s="437"/>
      <c r="D101" s="405">
        <f>SUMIF('305'!$B$2:$B$202,"ISPCL3",'305'!I$2:I$202)</f>
        <v>1</v>
      </c>
      <c r="E101" s="318">
        <f>F101-D101</f>
        <v>0</v>
      </c>
      <c r="F101" s="318">
        <f t="shared" si="128"/>
        <v>1</v>
      </c>
      <c r="G101" s="318">
        <f>'Blocking-Step2'!D2636/12</f>
        <v>1</v>
      </c>
      <c r="H101" s="405">
        <f>SUMIF('305'!$B$2:$B$202,"ISPCL3",'305'!H$2:H$202)</f>
        <v>1287045423</v>
      </c>
      <c r="I101" s="332"/>
      <c r="J101" s="808">
        <f>'Table 4'!D31</f>
        <v>-2182177</v>
      </c>
      <c r="K101" s="326"/>
      <c r="L101" s="318">
        <f t="shared" si="107"/>
        <v>0</v>
      </c>
      <c r="M101" s="398">
        <f>'Blocking-Step2'!C2640</f>
        <v>1284863246</v>
      </c>
      <c r="N101" s="398">
        <f t="shared" si="108"/>
        <v>3762951</v>
      </c>
      <c r="O101" s="398">
        <f>'Blocking-Step2'!D2640</f>
        <v>1288626197</v>
      </c>
      <c r="P101" s="412">
        <f>'Table 3'!D101</f>
        <v>67226916.909999996</v>
      </c>
      <c r="Q101" s="25">
        <f>'Table 3'!H101</f>
        <v>-1317222.6700000018</v>
      </c>
      <c r="R101" s="25">
        <f>'Table 3'!J101+'Table 3'!K101</f>
        <v>0</v>
      </c>
      <c r="S101" s="1060">
        <f>'Table 3'!M101</f>
        <v>-2952101.2226903141</v>
      </c>
      <c r="T101" s="418">
        <f t="shared" si="109"/>
        <v>62957593.017309681</v>
      </c>
      <c r="U101" s="20"/>
      <c r="V101" s="123">
        <f t="shared" si="110"/>
        <v>0</v>
      </c>
      <c r="W101" s="123">
        <f t="shared" si="111"/>
        <v>-1.6954933843076959E-3</v>
      </c>
    </row>
    <row r="102" spans="1:23" s="557" customFormat="1">
      <c r="B102" s="557" t="s">
        <v>130</v>
      </c>
      <c r="D102" s="562">
        <f t="shared" ref="D102:F102" si="129">SUM(D83:D101)</f>
        <v>5094.3333333333376</v>
      </c>
      <c r="E102" s="559">
        <f t="shared" si="129"/>
        <v>5.6674249932425607</v>
      </c>
      <c r="F102" s="559">
        <f t="shared" si="129"/>
        <v>5100.0007583265806</v>
      </c>
      <c r="G102" s="559">
        <f t="shared" ref="G102" si="130">SUM(G83:G101)</f>
        <v>5118</v>
      </c>
      <c r="H102" s="562">
        <f>SUM(H83:H101)</f>
        <v>8095025500</v>
      </c>
      <c r="I102" s="566">
        <f>SUM(I83:I101)</f>
        <v>9420371.9546392113</v>
      </c>
      <c r="J102" s="559">
        <f t="shared" ref="J102:T102" si="131">SUM(J83:J101)</f>
        <v>-83578000</v>
      </c>
      <c r="K102" s="567">
        <f t="shared" si="131"/>
        <v>0</v>
      </c>
      <c r="L102" s="559">
        <f t="shared" si="131"/>
        <v>-4413.8362983272636</v>
      </c>
      <c r="M102" s="561">
        <f t="shared" si="131"/>
        <v>8020863458.1183414</v>
      </c>
      <c r="N102" s="561">
        <f t="shared" si="131"/>
        <v>-27696292.198799491</v>
      </c>
      <c r="O102" s="561">
        <f t="shared" ref="O102" si="132">SUM(O83:O101)</f>
        <v>7993167165.9195414</v>
      </c>
      <c r="P102" s="568">
        <f t="shared" si="131"/>
        <v>472339284.15999985</v>
      </c>
      <c r="Q102" s="569">
        <f t="shared" si="131"/>
        <v>-5713756.0912421029</v>
      </c>
      <c r="R102" s="569">
        <f t="shared" ref="R102:S102" si="133">SUM(R83:R101)</f>
        <v>247516.65465561862</v>
      </c>
      <c r="S102" s="1061">
        <f t="shared" si="133"/>
        <v>899283.24779615365</v>
      </c>
      <c r="T102" s="570">
        <f t="shared" si="131"/>
        <v>467772327.9712097</v>
      </c>
      <c r="U102" s="560"/>
      <c r="V102" s="123">
        <f t="shared" si="110"/>
        <v>-5.5029440675240347E-7</v>
      </c>
      <c r="W102" s="123">
        <f t="shared" si="111"/>
        <v>-1.0312611290208119E-2</v>
      </c>
    </row>
    <row r="103" spans="1:23">
      <c r="A103" s="16"/>
      <c r="C103" s="16"/>
      <c r="D103" s="404"/>
      <c r="E103" s="317"/>
      <c r="F103" s="317"/>
      <c r="G103" s="317"/>
      <c r="H103" s="404"/>
      <c r="I103" s="322"/>
      <c r="J103" s="317"/>
      <c r="K103" s="325"/>
      <c r="L103" s="317"/>
      <c r="M103" s="397"/>
      <c r="N103" s="397"/>
      <c r="O103" s="397"/>
      <c r="P103" s="411"/>
      <c r="Q103" s="21"/>
      <c r="R103" s="21"/>
      <c r="S103" s="593"/>
      <c r="T103" s="417"/>
      <c r="U103" s="20"/>
      <c r="V103" s="123"/>
      <c r="W103" s="123"/>
    </row>
    <row r="104" spans="1:23">
      <c r="A104" s="16"/>
      <c r="B104" s="601" t="s">
        <v>847</v>
      </c>
      <c r="C104" s="16"/>
      <c r="D104" s="404"/>
      <c r="E104" s="317"/>
      <c r="F104" s="317"/>
      <c r="G104" s="317"/>
      <c r="H104" s="404">
        <f>SUMIF('305'!$B$2:$B$202,"IREVDEF",'305'!H$2:H$202)</f>
        <v>0</v>
      </c>
      <c r="I104" s="322"/>
      <c r="J104" s="317"/>
      <c r="K104" s="325"/>
      <c r="L104" s="317"/>
      <c r="M104" s="397"/>
      <c r="N104" s="397"/>
      <c r="O104" s="397"/>
      <c r="P104" s="411">
        <f>'Table 3'!D104</f>
        <v>2734868.95</v>
      </c>
      <c r="Q104" s="21">
        <f>'Table 3'!H104</f>
        <v>-2734868.95</v>
      </c>
      <c r="R104" s="21">
        <f>'Table 3'!J104+'Table 3'!K104</f>
        <v>0</v>
      </c>
      <c r="S104" s="593">
        <f>'Table 3'!M104</f>
        <v>0</v>
      </c>
      <c r="T104" s="417">
        <f t="shared" ref="T104:T110" si="134">SUM(P104:S104)</f>
        <v>0</v>
      </c>
      <c r="U104" s="20"/>
      <c r="V104" s="123"/>
      <c r="W104" s="123"/>
    </row>
    <row r="105" spans="1:23">
      <c r="A105" s="16"/>
      <c r="B105" s="601" t="s">
        <v>692</v>
      </c>
      <c r="C105" s="16"/>
      <c r="D105" s="404"/>
      <c r="E105" s="317"/>
      <c r="F105" s="317"/>
      <c r="G105" s="317"/>
      <c r="H105" s="404">
        <f>SUMIF('305'!$B$2:$B$202,"IREVADJ",'305'!H$2:H$202)</f>
        <v>0</v>
      </c>
      <c r="I105" s="322"/>
      <c r="J105" s="317"/>
      <c r="K105" s="325"/>
      <c r="L105" s="317"/>
      <c r="M105" s="397"/>
      <c r="N105" s="397"/>
      <c r="O105" s="397"/>
      <c r="P105" s="411">
        <f>'Table 3'!D105</f>
        <v>-258416.13</v>
      </c>
      <c r="Q105" s="21">
        <f>'Table 3'!H105</f>
        <v>258416.13</v>
      </c>
      <c r="R105" s="21">
        <f>'Table 3'!J105+'Table 3'!K105</f>
        <v>0</v>
      </c>
      <c r="S105" s="593">
        <f>'Table 3'!M105</f>
        <v>0</v>
      </c>
      <c r="T105" s="417">
        <f t="shared" si="134"/>
        <v>0</v>
      </c>
      <c r="U105" s="20"/>
      <c r="V105" s="123"/>
      <c r="W105" s="123"/>
    </row>
    <row r="106" spans="1:23">
      <c r="A106" s="16"/>
      <c r="B106" s="601" t="s">
        <v>962</v>
      </c>
      <c r="C106" s="16"/>
      <c r="D106" s="404"/>
      <c r="E106" s="317"/>
      <c r="F106" s="317"/>
      <c r="G106" s="317"/>
      <c r="H106" s="404">
        <f>SUMIF('305'!$B$2:$B$202,"ISOLAR",'305'!H$2:H$202)</f>
        <v>0</v>
      </c>
      <c r="I106" s="322"/>
      <c r="J106" s="317"/>
      <c r="K106" s="325"/>
      <c r="L106" s="317"/>
      <c r="M106" s="397"/>
      <c r="N106" s="397"/>
      <c r="O106" s="397"/>
      <c r="P106" s="411">
        <f>'Table 3'!D106</f>
        <v>2090339.19</v>
      </c>
      <c r="Q106" s="21">
        <f>'Table 3'!H106</f>
        <v>-2090339.19</v>
      </c>
      <c r="R106" s="21">
        <f>'Table 3'!J106+'Table 3'!K106</f>
        <v>0</v>
      </c>
      <c r="S106" s="593">
        <f>'Table 3'!M106</f>
        <v>0</v>
      </c>
      <c r="T106" s="417">
        <f t="shared" si="134"/>
        <v>0</v>
      </c>
      <c r="U106" s="20"/>
      <c r="V106" s="123"/>
      <c r="W106" s="123"/>
    </row>
    <row r="107" spans="1:23">
      <c r="A107" s="16"/>
      <c r="B107" s="601" t="s">
        <v>23</v>
      </c>
      <c r="C107" s="16"/>
      <c r="D107" s="404"/>
      <c r="E107" s="317"/>
      <c r="F107" s="317"/>
      <c r="G107" s="317"/>
      <c r="H107" s="404">
        <f>SUMIF('305'!$B$2:$B$202,"IDSM",'305'!H$2:H$202)</f>
        <v>0</v>
      </c>
      <c r="I107" s="322"/>
      <c r="J107" s="317"/>
      <c r="K107" s="325"/>
      <c r="L107" s="317"/>
      <c r="M107" s="397"/>
      <c r="N107" s="397"/>
      <c r="O107" s="397"/>
      <c r="P107" s="411">
        <f>'Table 3'!D107</f>
        <v>4135249.51</v>
      </c>
      <c r="Q107" s="21">
        <f>'Table 3'!H107</f>
        <v>-4135249.51</v>
      </c>
      <c r="R107" s="21">
        <f>'Table 3'!J107+'Table 3'!K107</f>
        <v>0</v>
      </c>
      <c r="S107" s="593">
        <f>'Table 3'!M107</f>
        <v>0</v>
      </c>
      <c r="T107" s="417">
        <f t="shared" si="134"/>
        <v>0</v>
      </c>
      <c r="U107" s="20"/>
      <c r="V107" s="123"/>
      <c r="W107" s="123"/>
    </row>
    <row r="108" spans="1:23">
      <c r="A108" s="16"/>
      <c r="B108" s="16" t="s">
        <v>1412</v>
      </c>
      <c r="C108" s="16"/>
      <c r="D108" s="404"/>
      <c r="E108" s="317"/>
      <c r="F108" s="317"/>
      <c r="G108" s="317"/>
      <c r="H108" s="404">
        <f>SUMIF('305'!$B$2:$B$202,"ITAX",'305'!H$2:H$202)</f>
        <v>0</v>
      </c>
      <c r="I108" s="322"/>
      <c r="J108" s="317"/>
      <c r="K108" s="325"/>
      <c r="L108" s="317"/>
      <c r="M108" s="397"/>
      <c r="N108" s="397"/>
      <c r="O108" s="397"/>
      <c r="P108" s="411">
        <f>'Table 3'!D108</f>
        <v>1.9999999960418801E-2</v>
      </c>
      <c r="Q108" s="21">
        <f>'Table 3'!H108</f>
        <v>-1.9999999960418801E-2</v>
      </c>
      <c r="R108" s="21">
        <f>'Table 3'!J108+'Table 3'!K108</f>
        <v>0</v>
      </c>
      <c r="S108" s="593">
        <f>'Table 3'!M108</f>
        <v>0</v>
      </c>
      <c r="T108" s="417">
        <f t="shared" si="134"/>
        <v>0</v>
      </c>
      <c r="U108" s="20"/>
      <c r="V108" s="123"/>
      <c r="W108" s="123"/>
    </row>
    <row r="109" spans="1:23">
      <c r="A109" s="16"/>
      <c r="B109" s="601" t="s">
        <v>848</v>
      </c>
      <c r="C109" s="16"/>
      <c r="D109" s="404"/>
      <c r="E109" s="317"/>
      <c r="F109" s="317"/>
      <c r="G109" s="317"/>
      <c r="H109" s="404">
        <f>SUMIF('305'!$B$2:$B$202,"IBLUE",'305'!H$2:H$202)</f>
        <v>0</v>
      </c>
      <c r="I109" s="322"/>
      <c r="J109" s="317"/>
      <c r="K109" s="325"/>
      <c r="L109" s="317"/>
      <c r="M109" s="397"/>
      <c r="N109" s="397"/>
      <c r="O109" s="397"/>
      <c r="P109" s="411">
        <f>'Table 3'!D109</f>
        <v>116729.15</v>
      </c>
      <c r="Q109" s="21">
        <f>'Table 3'!H109</f>
        <v>-116729.15</v>
      </c>
      <c r="R109" s="21">
        <f>'Table 3'!J109+'Table 3'!K109</f>
        <v>0</v>
      </c>
      <c r="S109" s="593">
        <f>'Table 3'!M109</f>
        <v>0</v>
      </c>
      <c r="T109" s="417">
        <f t="shared" si="134"/>
        <v>0</v>
      </c>
      <c r="U109" s="20"/>
      <c r="V109" s="123"/>
      <c r="W109" s="123"/>
    </row>
    <row r="110" spans="1:23">
      <c r="A110" s="16"/>
      <c r="B110" s="654" t="s">
        <v>849</v>
      </c>
      <c r="C110" s="437"/>
      <c r="D110" s="405"/>
      <c r="E110" s="318"/>
      <c r="F110" s="318"/>
      <c r="G110" s="318"/>
      <c r="H110" s="405">
        <f>SUMIF('305'!$B$2:$B$202,"IINSUR",'305'!H$2:H$202)</f>
        <v>0</v>
      </c>
      <c r="I110" s="332"/>
      <c r="J110" s="318"/>
      <c r="K110" s="326"/>
      <c r="L110" s="318"/>
      <c r="M110" s="398"/>
      <c r="N110" s="398"/>
      <c r="O110" s="398"/>
      <c r="P110" s="412">
        <f>'Table 3'!D110</f>
        <v>-489576.66</v>
      </c>
      <c r="Q110" s="25">
        <f>'Table 3'!H110</f>
        <v>489576.66</v>
      </c>
      <c r="R110" s="25">
        <f>'Table 3'!J110+'Table 3'!K110</f>
        <v>0</v>
      </c>
      <c r="S110" s="1060">
        <f>'Table 3'!M110</f>
        <v>0</v>
      </c>
      <c r="T110" s="418">
        <f t="shared" si="134"/>
        <v>0</v>
      </c>
      <c r="U110" s="20"/>
      <c r="V110" s="123"/>
      <c r="W110" s="123"/>
    </row>
    <row r="111" spans="1:23" s="557" customFormat="1">
      <c r="B111" s="557" t="s">
        <v>130</v>
      </c>
      <c r="D111" s="562">
        <f t="shared" ref="D111:T111" si="135">SUM(D104:D110)</f>
        <v>0</v>
      </c>
      <c r="E111" s="559">
        <f t="shared" si="135"/>
        <v>0</v>
      </c>
      <c r="F111" s="559">
        <f t="shared" si="135"/>
        <v>0</v>
      </c>
      <c r="G111" s="559">
        <f t="shared" ref="G111" si="136">SUM(G104:G110)</f>
        <v>0</v>
      </c>
      <c r="H111" s="562">
        <f t="shared" si="135"/>
        <v>0</v>
      </c>
      <c r="I111" s="566">
        <f t="shared" si="135"/>
        <v>0</v>
      </c>
      <c r="J111" s="559">
        <f t="shared" si="135"/>
        <v>0</v>
      </c>
      <c r="K111" s="567">
        <f t="shared" si="135"/>
        <v>0</v>
      </c>
      <c r="L111" s="559">
        <f t="shared" si="135"/>
        <v>0</v>
      </c>
      <c r="M111" s="561">
        <f t="shared" si="135"/>
        <v>0</v>
      </c>
      <c r="N111" s="561">
        <f t="shared" si="135"/>
        <v>0</v>
      </c>
      <c r="O111" s="561">
        <f t="shared" ref="O111" si="137">SUM(O104:O110)</f>
        <v>0</v>
      </c>
      <c r="P111" s="568">
        <f t="shared" si="135"/>
        <v>8329194.0299999993</v>
      </c>
      <c r="Q111" s="569">
        <f t="shared" si="135"/>
        <v>-8329194.0299999993</v>
      </c>
      <c r="R111" s="569">
        <f t="shared" ref="R111:S111" si="138">SUM(R104:R110)</f>
        <v>0</v>
      </c>
      <c r="S111" s="1061">
        <f t="shared" si="138"/>
        <v>0</v>
      </c>
      <c r="T111" s="570">
        <f t="shared" si="135"/>
        <v>0</v>
      </c>
      <c r="U111" s="560"/>
      <c r="V111" s="565"/>
      <c r="W111" s="565"/>
    </row>
    <row r="112" spans="1:23">
      <c r="A112" s="16"/>
      <c r="C112" s="16"/>
      <c r="D112" s="404"/>
      <c r="E112" s="317"/>
      <c r="F112" s="317"/>
      <c r="G112" s="317"/>
      <c r="H112" s="404"/>
      <c r="I112" s="322"/>
      <c r="J112" s="317"/>
      <c r="K112" s="325"/>
      <c r="L112" s="317"/>
      <c r="M112" s="397"/>
      <c r="N112" s="397"/>
      <c r="O112" s="397"/>
      <c r="P112" s="411"/>
      <c r="Q112" s="21"/>
      <c r="R112" s="21"/>
      <c r="S112" s="593"/>
      <c r="T112" s="417"/>
      <c r="U112" s="20"/>
      <c r="V112" s="123"/>
      <c r="W112" s="123"/>
    </row>
    <row r="113" spans="1:23">
      <c r="A113" s="16"/>
      <c r="B113" s="360" t="s">
        <v>136</v>
      </c>
      <c r="C113" s="16"/>
      <c r="D113" s="404"/>
      <c r="E113" s="317"/>
      <c r="F113" s="317"/>
      <c r="G113" s="317"/>
      <c r="H113" s="404">
        <f>SUMIF('305'!$B$2:$B$202,"IU",'305'!H$2:H$202)</f>
        <v>-83578000</v>
      </c>
      <c r="I113" s="322"/>
      <c r="J113" s="317">
        <f>-H113</f>
        <v>83578000</v>
      </c>
      <c r="K113" s="325"/>
      <c r="L113" s="317"/>
      <c r="M113" s="397"/>
      <c r="N113" s="397"/>
      <c r="O113" s="397"/>
      <c r="P113" s="411">
        <f>'Table 3'!D113</f>
        <v>-6231000</v>
      </c>
      <c r="Q113" s="21">
        <f>'Table 3'!H113</f>
        <v>6231000</v>
      </c>
      <c r="R113" s="21">
        <f>'Table 3'!J113+'Table 3'!K113</f>
        <v>0</v>
      </c>
      <c r="S113" s="593">
        <f>'Table 3'!M113</f>
        <v>0</v>
      </c>
      <c r="T113" s="417">
        <f t="shared" ref="T113:T114" si="139">SUM(P113:S113)</f>
        <v>0</v>
      </c>
      <c r="U113" s="20"/>
      <c r="V113" s="123"/>
      <c r="W113" s="123">
        <f>J113/(H113+I113)</f>
        <v>-1</v>
      </c>
    </row>
    <row r="114" spans="1:23" s="22" customFormat="1">
      <c r="A114" s="16"/>
      <c r="B114" s="438" t="s">
        <v>471</v>
      </c>
      <c r="C114" s="437"/>
      <c r="D114" s="405"/>
      <c r="E114" s="318"/>
      <c r="F114" s="318"/>
      <c r="G114" s="318"/>
      <c r="H114" s="405">
        <f>SUMIF('305'!$B$2:$B$202,"IAGA",'305'!H$2:H$202)</f>
        <v>0</v>
      </c>
      <c r="I114" s="332"/>
      <c r="J114" s="318"/>
      <c r="K114" s="326"/>
      <c r="L114" s="318"/>
      <c r="M114" s="398"/>
      <c r="N114" s="398"/>
      <c r="O114" s="398"/>
      <c r="P114" s="412">
        <f>'Table 3'!D114</f>
        <v>823369.79999999993</v>
      </c>
      <c r="Q114" s="25">
        <f>'Table 3'!H114</f>
        <v>0</v>
      </c>
      <c r="R114" s="25">
        <f>'Table 3'!J114+'Table 3'!K114</f>
        <v>0</v>
      </c>
      <c r="S114" s="1060">
        <f>'Table 3'!M114</f>
        <v>0</v>
      </c>
      <c r="T114" s="418">
        <f t="shared" si="139"/>
        <v>823369.79999999993</v>
      </c>
      <c r="U114" s="20"/>
      <c r="W114" s="123"/>
    </row>
    <row r="115" spans="1:23">
      <c r="A115" s="16"/>
      <c r="B115" s="360" t="s">
        <v>93</v>
      </c>
      <c r="C115" s="16"/>
      <c r="D115" s="404">
        <f t="shared" ref="D115:T115" si="140">D102+D111+D113+D114</f>
        <v>5094.3333333333376</v>
      </c>
      <c r="E115" s="317">
        <f t="shared" si="140"/>
        <v>5.6674249932425607</v>
      </c>
      <c r="F115" s="317">
        <f t="shared" si="140"/>
        <v>5100.0007583265806</v>
      </c>
      <c r="G115" s="317">
        <f t="shared" ref="G115" si="141">G102+G111+G113+G114</f>
        <v>5118</v>
      </c>
      <c r="H115" s="404">
        <f t="shared" si="140"/>
        <v>8011447500</v>
      </c>
      <c r="I115" s="322">
        <f t="shared" si="140"/>
        <v>9420371.9546392113</v>
      </c>
      <c r="J115" s="317">
        <f t="shared" si="140"/>
        <v>0</v>
      </c>
      <c r="K115" s="325">
        <f t="shared" si="140"/>
        <v>0</v>
      </c>
      <c r="L115" s="317">
        <f t="shared" si="140"/>
        <v>-4413.8362983272636</v>
      </c>
      <c r="M115" s="397">
        <f t="shared" si="140"/>
        <v>8020863458.1183414</v>
      </c>
      <c r="N115" s="397">
        <f t="shared" si="140"/>
        <v>-27696292.198799491</v>
      </c>
      <c r="O115" s="397">
        <f t="shared" ref="O115" si="142">O102+O111+O113+O114</f>
        <v>7993167165.9195414</v>
      </c>
      <c r="P115" s="411">
        <f t="shared" si="140"/>
        <v>475260847.98999983</v>
      </c>
      <c r="Q115" s="21">
        <f t="shared" si="140"/>
        <v>-7811950.1212421022</v>
      </c>
      <c r="R115" s="21">
        <f t="shared" ref="R115:S115" si="143">R102+R111+R113+R114</f>
        <v>247516.65465561862</v>
      </c>
      <c r="S115" s="593">
        <f t="shared" si="143"/>
        <v>899283.24779615365</v>
      </c>
      <c r="T115" s="417">
        <f t="shared" si="140"/>
        <v>468595697.77120972</v>
      </c>
      <c r="U115" s="20"/>
      <c r="V115" s="123">
        <f>L115/M115</f>
        <v>-5.5029440675240347E-7</v>
      </c>
      <c r="W115" s="123">
        <f>J115/(H115+I115)</f>
        <v>0</v>
      </c>
    </row>
    <row r="116" spans="1:23">
      <c r="A116" s="16"/>
      <c r="C116" s="16"/>
      <c r="D116" s="404"/>
      <c r="E116" s="317"/>
      <c r="F116" s="317"/>
      <c r="G116" s="317"/>
      <c r="H116" s="404"/>
      <c r="I116" s="322"/>
      <c r="J116" s="317"/>
      <c r="K116" s="325"/>
      <c r="L116" s="317"/>
      <c r="M116" s="397"/>
      <c r="N116" s="397"/>
      <c r="O116" s="397"/>
      <c r="P116" s="411"/>
      <c r="Q116" s="21"/>
      <c r="R116" s="21"/>
      <c r="S116" s="593"/>
      <c r="T116" s="417"/>
      <c r="U116" s="20"/>
      <c r="V116" s="123"/>
    </row>
    <row r="117" spans="1:23">
      <c r="A117" s="17" t="s">
        <v>227</v>
      </c>
      <c r="C117" s="16"/>
      <c r="D117" s="404"/>
      <c r="E117" s="317"/>
      <c r="F117" s="317"/>
      <c r="G117" s="317"/>
      <c r="H117" s="404"/>
      <c r="I117" s="322"/>
      <c r="J117" s="317"/>
      <c r="K117" s="325"/>
      <c r="L117" s="317"/>
      <c r="M117" s="397"/>
      <c r="N117" s="397"/>
      <c r="O117" s="397"/>
      <c r="P117" s="410"/>
      <c r="Q117" s="19"/>
      <c r="R117" s="19"/>
      <c r="S117" s="594"/>
      <c r="T117" s="416"/>
      <c r="U117" s="18"/>
    </row>
    <row r="118" spans="1:23">
      <c r="A118" s="16"/>
      <c r="B118" s="601">
        <v>10</v>
      </c>
      <c r="C118" s="16"/>
      <c r="D118" s="404">
        <f>SUMIF('305'!$B$2:$B$202,"IR10",'305'!I$2:I$202)</f>
        <v>3356.9166666666629</v>
      </c>
      <c r="E118" s="317">
        <f>F118-D118</f>
        <v>7.0630659649177687</v>
      </c>
      <c r="F118" s="317">
        <f>'Blocking-Step2'!C1604+'Blocking-Step2'!C1605+'Blocking-Step2'!C1642+'Blocking-Step2'!C1643</f>
        <v>3363.9797326315806</v>
      </c>
      <c r="G118" s="317">
        <f>'Blocking-Step2'!D1604+'Blocking-Step2'!D1605+'Blocking-Step2'!D1642+'Blocking-Step2'!D1643</f>
        <v>3552</v>
      </c>
      <c r="H118" s="404">
        <f>SUMIF('305'!$B$2:$B$202,"IR10",'305'!H$2:H$202)</f>
        <v>200301702</v>
      </c>
      <c r="I118" s="322">
        <f>'10'!G19+'10'!G22</f>
        <v>361688</v>
      </c>
      <c r="J118" s="317">
        <f>ROUND(H131*(H118+I118)/(H120+I120),0)</f>
        <v>377354</v>
      </c>
      <c r="K118" s="325">
        <f>TempRev!C360-K119</f>
        <v>-1989262.895099676</v>
      </c>
      <c r="L118" s="317">
        <f t="shared" ref="L118" si="144">M118-H118-I118-J118-K118</f>
        <v>6.28642737865448E-9</v>
      </c>
      <c r="M118" s="397">
        <f>'Blocking-Step2'!C1619+'Blocking-Step2'!C1657</f>
        <v>199051481.10490033</v>
      </c>
      <c r="N118" s="397">
        <f t="shared" ref="N118:N119" si="145">O118-M118</f>
        <v>22040562.032240838</v>
      </c>
      <c r="O118" s="397">
        <f>'Blocking-Step2'!D1619+'Blocking-Step2'!D1657</f>
        <v>221092043.13714117</v>
      </c>
      <c r="P118" s="411">
        <f>'Table 3'!D118</f>
        <v>15414694.850000001</v>
      </c>
      <c r="Q118" s="21">
        <f>'Table 3'!H118</f>
        <v>-128368.54684476707</v>
      </c>
      <c r="R118" s="21">
        <f>'Table 3'!J118+'Table 3'!K118</f>
        <v>439.99974476546049</v>
      </c>
      <c r="S118" s="593">
        <f>'Table 3'!M118</f>
        <v>1674068.6298999991</v>
      </c>
      <c r="T118" s="417">
        <f t="shared" ref="T118:T119" si="146">SUM(P118:S118)</f>
        <v>16960834.932799999</v>
      </c>
      <c r="U118" s="20"/>
      <c r="V118" s="123">
        <f>L118/M118</f>
        <v>3.1581917118926269E-17</v>
      </c>
      <c r="W118" s="123">
        <f>J118/(H118+I118)</f>
        <v>1.880532368161427E-3</v>
      </c>
    </row>
    <row r="119" spans="1:23">
      <c r="A119" s="16"/>
      <c r="B119" s="654" t="s">
        <v>966</v>
      </c>
      <c r="C119" s="437"/>
      <c r="D119" s="405">
        <f>SUMIF('305'!$B$2:$B$202,"IR10135",'305'!I$2:I$202)</f>
        <v>65.5833333333333</v>
      </c>
      <c r="E119" s="318">
        <f>F119-D119</f>
        <v>-3.8607017543859001</v>
      </c>
      <c r="F119" s="318">
        <f>'Blocking-Step2'!C1622+'Blocking-Step2'!C1623</f>
        <v>61.7226315789474</v>
      </c>
      <c r="G119" s="318">
        <f>'Blocking-Step2'!D1622+'Blocking-Step2'!D1623</f>
        <v>56</v>
      </c>
      <c r="H119" s="405">
        <f>SUMIF('305'!$B$2:$B$202,"IR10135",'305'!H$2:H$202)</f>
        <v>8317152</v>
      </c>
      <c r="I119" s="332">
        <f>'10'!G25</f>
        <v>2700</v>
      </c>
      <c r="J119" s="318">
        <f>H131-J118</f>
        <v>15646</v>
      </c>
      <c r="K119" s="326">
        <f>TempRev!M360</f>
        <v>-70050.533700324726</v>
      </c>
      <c r="L119" s="318">
        <f t="shared" ref="L119" si="147">M119-H119-I119-J119-K119</f>
        <v>1.0000000001309672</v>
      </c>
      <c r="M119" s="398">
        <f>'Blocking-Step2'!C1639</f>
        <v>8265448.4662996754</v>
      </c>
      <c r="N119" s="398">
        <f t="shared" si="145"/>
        <v>1034981.1159004737</v>
      </c>
      <c r="O119" s="398">
        <f>'Blocking-Step2'!D1639</f>
        <v>9300429.5822001491</v>
      </c>
      <c r="P119" s="412">
        <f>'Table 3'!D119</f>
        <v>660965.68999999994</v>
      </c>
      <c r="Q119" s="25">
        <f>'Table 3'!H119</f>
        <v>-3078.0631552355144</v>
      </c>
      <c r="R119" s="25">
        <f>'Table 3'!J119+'Table 3'!K119</f>
        <v>71.568155235494487</v>
      </c>
      <c r="S119" s="1060">
        <f>'Table 3'!M119</f>
        <v>80760.325700000045</v>
      </c>
      <c r="T119" s="418">
        <f t="shared" si="146"/>
        <v>738719.52069999999</v>
      </c>
      <c r="U119" s="20"/>
      <c r="V119" s="123">
        <f>L119/M119</f>
        <v>1.2098557074165064E-7</v>
      </c>
      <c r="W119" s="123">
        <f>J119/(H119+I119)</f>
        <v>1.8805622984639631E-3</v>
      </c>
    </row>
    <row r="120" spans="1:23">
      <c r="A120" s="16"/>
      <c r="B120" s="601" t="s">
        <v>130</v>
      </c>
      <c r="C120" s="16"/>
      <c r="D120" s="404">
        <f>SUM(D118:D119)</f>
        <v>3422.4999999999964</v>
      </c>
      <c r="E120" s="317">
        <f t="shared" ref="E120:T120" si="148">SUM(E118:E119)</f>
        <v>3.2023642105318686</v>
      </c>
      <c r="F120" s="317">
        <f t="shared" si="148"/>
        <v>3425.7023642105282</v>
      </c>
      <c r="G120" s="317">
        <f t="shared" ref="G120" si="149">SUM(G118:G119)</f>
        <v>3608</v>
      </c>
      <c r="H120" s="404">
        <f t="shared" si="148"/>
        <v>208618854</v>
      </c>
      <c r="I120" s="322">
        <f t="shared" si="148"/>
        <v>364388</v>
      </c>
      <c r="J120" s="317">
        <f t="shared" si="148"/>
        <v>393000</v>
      </c>
      <c r="K120" s="325">
        <f t="shared" si="148"/>
        <v>-2059313.4288000008</v>
      </c>
      <c r="L120" s="317">
        <f t="shared" si="148"/>
        <v>1.0000000064173946</v>
      </c>
      <c r="M120" s="397">
        <f t="shared" si="148"/>
        <v>207316929.57120001</v>
      </c>
      <c r="N120" s="397">
        <f t="shared" si="148"/>
        <v>23075543.14814131</v>
      </c>
      <c r="O120" s="397">
        <f t="shared" ref="O120" si="150">SUM(O118:O119)</f>
        <v>230392472.71934131</v>
      </c>
      <c r="P120" s="411">
        <f t="shared" si="148"/>
        <v>16075660.540000001</v>
      </c>
      <c r="Q120" s="21">
        <f t="shared" si="148"/>
        <v>-131446.61000000258</v>
      </c>
      <c r="R120" s="21">
        <f t="shared" ref="R120:S120" si="151">SUM(R118:R119)</f>
        <v>511.56790000095498</v>
      </c>
      <c r="S120" s="593">
        <f t="shared" si="151"/>
        <v>1754828.9555999991</v>
      </c>
      <c r="T120" s="417">
        <f t="shared" si="148"/>
        <v>17699554.453499999</v>
      </c>
      <c r="U120" s="20"/>
      <c r="V120" s="123"/>
      <c r="W120" s="123"/>
    </row>
    <row r="121" spans="1:23">
      <c r="A121" s="16"/>
      <c r="B121" s="601"/>
      <c r="C121" s="16"/>
      <c r="D121" s="404"/>
      <c r="E121" s="317"/>
      <c r="F121" s="317"/>
      <c r="G121" s="317"/>
      <c r="H121" s="404"/>
      <c r="I121" s="322"/>
      <c r="J121" s="317"/>
      <c r="K121" s="325"/>
      <c r="L121" s="317"/>
      <c r="M121" s="397"/>
      <c r="N121" s="397"/>
      <c r="O121" s="397"/>
      <c r="P121" s="411"/>
      <c r="Q121" s="21"/>
      <c r="R121" s="21"/>
      <c r="S121" s="593"/>
      <c r="T121" s="417"/>
      <c r="U121" s="20"/>
      <c r="V121" s="123"/>
      <c r="W121" s="123"/>
    </row>
    <row r="122" spans="1:23">
      <c r="A122" s="16"/>
      <c r="B122" s="601" t="s">
        <v>847</v>
      </c>
      <c r="C122" s="16"/>
      <c r="D122" s="404"/>
      <c r="E122" s="317"/>
      <c r="F122" s="317"/>
      <c r="G122" s="317"/>
      <c r="H122" s="404">
        <f>SUMIF('305'!$B$2:$B$202,"IRREVDEF",'305'!H$2:H$202)</f>
        <v>0</v>
      </c>
      <c r="I122" s="322"/>
      <c r="J122" s="317"/>
      <c r="K122" s="325"/>
      <c r="L122" s="317"/>
      <c r="M122" s="397"/>
      <c r="N122" s="397"/>
      <c r="O122" s="397"/>
      <c r="P122" s="411">
        <f>'Table 3'!D122</f>
        <v>91307.73</v>
      </c>
      <c r="Q122" s="21">
        <f>'Table 3'!H122</f>
        <v>-91307.73</v>
      </c>
      <c r="R122" s="21">
        <f>'Table 3'!J122+'Table 3'!K122</f>
        <v>0</v>
      </c>
      <c r="S122" s="593">
        <f>'Table 3'!M122</f>
        <v>0</v>
      </c>
      <c r="T122" s="417">
        <f t="shared" ref="T122:T128" si="152">SUM(P122:S122)</f>
        <v>0</v>
      </c>
      <c r="U122" s="20"/>
      <c r="V122" s="123"/>
      <c r="W122" s="123"/>
    </row>
    <row r="123" spans="1:23">
      <c r="A123" s="16"/>
      <c r="B123" s="601" t="s">
        <v>692</v>
      </c>
      <c r="C123" s="16"/>
      <c r="D123" s="404"/>
      <c r="E123" s="317"/>
      <c r="F123" s="317"/>
      <c r="G123" s="317"/>
      <c r="H123" s="404">
        <f>SUMIF('305'!$B$2:$B$202,"IRREVADJ",'305'!H$2:H$202)</f>
        <v>0</v>
      </c>
      <c r="I123" s="322"/>
      <c r="J123" s="317"/>
      <c r="K123" s="325"/>
      <c r="L123" s="317"/>
      <c r="M123" s="397"/>
      <c r="N123" s="397"/>
      <c r="O123" s="397"/>
      <c r="P123" s="411">
        <f>'Table 3'!D123</f>
        <v>-6271.1</v>
      </c>
      <c r="Q123" s="21">
        <f>'Table 3'!H123</f>
        <v>6271.1</v>
      </c>
      <c r="R123" s="21">
        <f>'Table 3'!J123+'Table 3'!K123</f>
        <v>0</v>
      </c>
      <c r="S123" s="593">
        <f>'Table 3'!M123</f>
        <v>0</v>
      </c>
      <c r="T123" s="417">
        <f t="shared" si="152"/>
        <v>0</v>
      </c>
      <c r="U123" s="20"/>
      <c r="V123" s="123"/>
      <c r="W123" s="123"/>
    </row>
    <row r="124" spans="1:23">
      <c r="A124" s="16"/>
      <c r="B124" s="601" t="s">
        <v>962</v>
      </c>
      <c r="C124" s="16"/>
      <c r="D124" s="404"/>
      <c r="E124" s="317"/>
      <c r="F124" s="317"/>
      <c r="G124" s="317"/>
      <c r="H124" s="404">
        <f>SUMIF('305'!$B$2:$B$202,"IRSOLAR",'305'!H$2:H$202)</f>
        <v>0</v>
      </c>
      <c r="I124" s="322"/>
      <c r="J124" s="317"/>
      <c r="K124" s="325"/>
      <c r="L124" s="317"/>
      <c r="M124" s="397"/>
      <c r="N124" s="397"/>
      <c r="O124" s="397"/>
      <c r="P124" s="411">
        <f>'Table 3'!D124</f>
        <v>69789.13</v>
      </c>
      <c r="Q124" s="21">
        <f>'Table 3'!H124</f>
        <v>-69789.13</v>
      </c>
      <c r="R124" s="21">
        <f>'Table 3'!J124+'Table 3'!K124</f>
        <v>0</v>
      </c>
      <c r="S124" s="593">
        <f>'Table 3'!M124</f>
        <v>0</v>
      </c>
      <c r="T124" s="417">
        <f t="shared" si="152"/>
        <v>0</v>
      </c>
      <c r="U124" s="20"/>
      <c r="V124" s="123"/>
      <c r="W124" s="123"/>
    </row>
    <row r="125" spans="1:23">
      <c r="A125" s="16"/>
      <c r="B125" s="601" t="s">
        <v>23</v>
      </c>
      <c r="C125" s="16"/>
      <c r="D125" s="404"/>
      <c r="E125" s="317"/>
      <c r="F125" s="317"/>
      <c r="G125" s="317"/>
      <c r="H125" s="404">
        <f>SUMIF('305'!$B$2:$B$202,"IRDSM",'305'!H$2:H$202)</f>
        <v>0</v>
      </c>
      <c r="I125" s="322"/>
      <c r="J125" s="317"/>
      <c r="K125" s="325"/>
      <c r="L125" s="317"/>
      <c r="M125" s="397"/>
      <c r="N125" s="397"/>
      <c r="O125" s="397"/>
      <c r="P125" s="411">
        <f>'Table 3'!D125</f>
        <v>137780.81</v>
      </c>
      <c r="Q125" s="21">
        <f>'Table 3'!H125</f>
        <v>-137780.81</v>
      </c>
      <c r="R125" s="21">
        <f>'Table 3'!J125+'Table 3'!K125</f>
        <v>0</v>
      </c>
      <c r="S125" s="593">
        <f>'Table 3'!M125</f>
        <v>0</v>
      </c>
      <c r="T125" s="417">
        <f t="shared" si="152"/>
        <v>0</v>
      </c>
      <c r="U125" s="20"/>
      <c r="V125" s="123"/>
      <c r="W125" s="123"/>
    </row>
    <row r="126" spans="1:23">
      <c r="A126" s="16"/>
      <c r="B126" s="16" t="s">
        <v>1412</v>
      </c>
      <c r="C126" s="16"/>
      <c r="D126" s="404"/>
      <c r="E126" s="317"/>
      <c r="F126" s="317"/>
      <c r="G126" s="317"/>
      <c r="H126" s="404">
        <f>SUMIF('305'!$B$2:$B$202,"IRTAX",'305'!H$2:H$202)</f>
        <v>0</v>
      </c>
      <c r="I126" s="322"/>
      <c r="J126" s="317"/>
      <c r="K126" s="325"/>
      <c r="L126" s="317"/>
      <c r="M126" s="397"/>
      <c r="N126" s="397"/>
      <c r="O126" s="397"/>
      <c r="P126" s="411">
        <f>'Table 3'!D126</f>
        <v>2.0000000002255498E-2</v>
      </c>
      <c r="Q126" s="21">
        <f>'Table 3'!H126</f>
        <v>-2.0000000002255498E-2</v>
      </c>
      <c r="R126" s="21">
        <f>'Table 3'!J126+'Table 3'!K126</f>
        <v>0</v>
      </c>
      <c r="S126" s="593">
        <f>'Table 3'!M126</f>
        <v>0</v>
      </c>
      <c r="T126" s="417">
        <f t="shared" si="152"/>
        <v>0</v>
      </c>
      <c r="U126" s="20"/>
      <c r="V126" s="123"/>
      <c r="W126" s="123"/>
    </row>
    <row r="127" spans="1:23">
      <c r="A127" s="16"/>
      <c r="B127" s="601" t="s">
        <v>848</v>
      </c>
      <c r="C127" s="16"/>
      <c r="D127" s="404"/>
      <c r="E127" s="317"/>
      <c r="F127" s="317"/>
      <c r="G127" s="317"/>
      <c r="H127" s="404">
        <f>SUMIF('305'!$B$2:$B$202,"IRBLUE",'305'!H$2:H$202)</f>
        <v>0</v>
      </c>
      <c r="I127" s="322"/>
      <c r="J127" s="317"/>
      <c r="K127" s="325"/>
      <c r="L127" s="317"/>
      <c r="M127" s="397"/>
      <c r="N127" s="397"/>
      <c r="O127" s="397"/>
      <c r="P127" s="411">
        <f>'Table 3'!D127</f>
        <v>0</v>
      </c>
      <c r="Q127" s="21">
        <f>'Table 3'!H127</f>
        <v>0</v>
      </c>
      <c r="R127" s="21">
        <f>'Table 3'!J127+'Table 3'!K127</f>
        <v>0</v>
      </c>
      <c r="S127" s="593">
        <f>'Table 3'!M127</f>
        <v>0</v>
      </c>
      <c r="T127" s="417">
        <f t="shared" si="152"/>
        <v>0</v>
      </c>
      <c r="U127" s="20"/>
      <c r="V127" s="123"/>
      <c r="W127" s="123"/>
    </row>
    <row r="128" spans="1:23">
      <c r="A128" s="16"/>
      <c r="B128" s="654" t="s">
        <v>849</v>
      </c>
      <c r="C128" s="437"/>
      <c r="D128" s="405"/>
      <c r="E128" s="318"/>
      <c r="F128" s="318"/>
      <c r="G128" s="318"/>
      <c r="H128" s="405">
        <f>SUMIF('305'!$B$2:$B$202,"IRINSUR",'305'!H$2:H$202)</f>
        <v>0</v>
      </c>
      <c r="I128" s="332"/>
      <c r="J128" s="318"/>
      <c r="K128" s="326"/>
      <c r="L128" s="318"/>
      <c r="M128" s="398"/>
      <c r="N128" s="398"/>
      <c r="O128" s="398"/>
      <c r="P128" s="412">
        <f>'Table 3'!D128</f>
        <v>-20172.09</v>
      </c>
      <c r="Q128" s="25">
        <f>'Table 3'!H128</f>
        <v>20172.09</v>
      </c>
      <c r="R128" s="25">
        <f>'Table 3'!J128+'Table 3'!K128</f>
        <v>0</v>
      </c>
      <c r="S128" s="1060">
        <f>'Table 3'!M128</f>
        <v>0</v>
      </c>
      <c r="T128" s="418">
        <f t="shared" si="152"/>
        <v>0</v>
      </c>
      <c r="U128" s="20"/>
      <c r="V128" s="123"/>
      <c r="W128" s="123"/>
    </row>
    <row r="129" spans="1:23" s="557" customFormat="1">
      <c r="B129" s="557" t="s">
        <v>130</v>
      </c>
      <c r="D129" s="562">
        <f t="shared" ref="D129:T129" si="153">SUM(D122:D128)</f>
        <v>0</v>
      </c>
      <c r="E129" s="559">
        <f t="shared" si="153"/>
        <v>0</v>
      </c>
      <c r="F129" s="559">
        <f t="shared" si="153"/>
        <v>0</v>
      </c>
      <c r="G129" s="559">
        <f t="shared" ref="G129" si="154">SUM(G122:G128)</f>
        <v>0</v>
      </c>
      <c r="H129" s="562">
        <f t="shared" si="153"/>
        <v>0</v>
      </c>
      <c r="I129" s="566">
        <f t="shared" si="153"/>
        <v>0</v>
      </c>
      <c r="J129" s="559">
        <f t="shared" si="153"/>
        <v>0</v>
      </c>
      <c r="K129" s="567">
        <f t="shared" si="153"/>
        <v>0</v>
      </c>
      <c r="L129" s="559">
        <f t="shared" si="153"/>
        <v>0</v>
      </c>
      <c r="M129" s="561">
        <f t="shared" si="153"/>
        <v>0</v>
      </c>
      <c r="N129" s="561">
        <f t="shared" si="153"/>
        <v>0</v>
      </c>
      <c r="O129" s="561">
        <f t="shared" ref="O129" si="155">SUM(O122:O128)</f>
        <v>0</v>
      </c>
      <c r="P129" s="568">
        <f t="shared" si="153"/>
        <v>272434.5</v>
      </c>
      <c r="Q129" s="569">
        <f t="shared" si="153"/>
        <v>-272434.5</v>
      </c>
      <c r="R129" s="569">
        <f t="shared" ref="R129:S129" si="156">SUM(R122:R128)</f>
        <v>0</v>
      </c>
      <c r="S129" s="1061">
        <f t="shared" si="156"/>
        <v>0</v>
      </c>
      <c r="T129" s="570">
        <f t="shared" si="153"/>
        <v>0</v>
      </c>
      <c r="U129" s="560"/>
      <c r="V129" s="565"/>
      <c r="W129" s="565"/>
    </row>
    <row r="130" spans="1:23">
      <c r="A130" s="16"/>
      <c r="B130" s="16"/>
      <c r="C130" s="16"/>
      <c r="D130" s="404"/>
      <c r="E130" s="317"/>
      <c r="F130" s="317"/>
      <c r="G130" s="317"/>
      <c r="H130" s="404"/>
      <c r="I130" s="322"/>
      <c r="J130" s="317"/>
      <c r="K130" s="325"/>
      <c r="L130" s="317"/>
      <c r="M130" s="397"/>
      <c r="N130" s="397"/>
      <c r="O130" s="397"/>
      <c r="P130" s="411"/>
      <c r="Q130" s="21"/>
      <c r="R130" s="21"/>
      <c r="S130" s="593"/>
      <c r="T130" s="417"/>
      <c r="U130" s="20"/>
      <c r="V130" s="123"/>
      <c r="W130" s="123"/>
    </row>
    <row r="131" spans="1:23">
      <c r="A131" s="16"/>
      <c r="B131" s="360" t="s">
        <v>136</v>
      </c>
      <c r="C131" s="16"/>
      <c r="D131" s="404"/>
      <c r="E131" s="317"/>
      <c r="F131" s="317"/>
      <c r="G131" s="317"/>
      <c r="H131" s="404">
        <f>SUMIF('305'!$B$2:$B$202,"IRU",'305'!H$2:H$202)</f>
        <v>393000</v>
      </c>
      <c r="I131" s="322"/>
      <c r="J131" s="317">
        <f>-H131</f>
        <v>-393000</v>
      </c>
      <c r="K131" s="325"/>
      <c r="L131" s="317"/>
      <c r="M131" s="397"/>
      <c r="N131" s="397"/>
      <c r="O131" s="397"/>
      <c r="P131" s="411">
        <f>'Table 3'!D131</f>
        <v>24000</v>
      </c>
      <c r="Q131" s="21">
        <f>'Table 3'!H131</f>
        <v>-24000</v>
      </c>
      <c r="R131" s="21">
        <f>'Table 3'!J131+'Table 3'!K131</f>
        <v>0</v>
      </c>
      <c r="S131" s="593">
        <f>'Table 3'!M131</f>
        <v>0</v>
      </c>
      <c r="T131" s="417">
        <f t="shared" ref="T131:T132" si="157">SUM(P131:S131)</f>
        <v>0</v>
      </c>
      <c r="U131" s="20"/>
      <c r="V131" s="123"/>
      <c r="W131" s="123"/>
    </row>
    <row r="132" spans="1:23" s="22" customFormat="1">
      <c r="A132" s="16"/>
      <c r="B132" s="438" t="s">
        <v>471</v>
      </c>
      <c r="C132" s="437"/>
      <c r="D132" s="405"/>
      <c r="E132" s="318"/>
      <c r="F132" s="318"/>
      <c r="G132" s="318"/>
      <c r="H132" s="405">
        <f>SUMIF('305'!$B$2:$B$202,"IRAGA",'305'!H$2:H$202)</f>
        <v>0</v>
      </c>
      <c r="I132" s="332"/>
      <c r="J132" s="318"/>
      <c r="K132" s="326"/>
      <c r="L132" s="318"/>
      <c r="M132" s="398"/>
      <c r="N132" s="398"/>
      <c r="O132" s="398"/>
      <c r="P132" s="412">
        <f>'Table 3'!D132</f>
        <v>231622.84</v>
      </c>
      <c r="Q132" s="25">
        <f>'Table 3'!H132</f>
        <v>0</v>
      </c>
      <c r="R132" s="25">
        <f>'Table 3'!J132+'Table 3'!K132</f>
        <v>0</v>
      </c>
      <c r="S132" s="1060">
        <f>'Table 3'!M132</f>
        <v>0</v>
      </c>
      <c r="T132" s="418">
        <f t="shared" si="157"/>
        <v>231622.84</v>
      </c>
      <c r="U132" s="20"/>
    </row>
    <row r="133" spans="1:23">
      <c r="A133" s="16"/>
      <c r="B133" s="360" t="s">
        <v>93</v>
      </c>
      <c r="C133" s="16"/>
      <c r="D133" s="404">
        <f>D120+D129+D131+D132</f>
        <v>3422.4999999999964</v>
      </c>
      <c r="E133" s="317">
        <f t="shared" ref="E133:F133" si="158">E120+E129+E131+E132</f>
        <v>3.2023642105318686</v>
      </c>
      <c r="F133" s="317">
        <f t="shared" si="158"/>
        <v>3425.7023642105282</v>
      </c>
      <c r="G133" s="317">
        <f t="shared" ref="G133" si="159">G120+G129+G131+G132</f>
        <v>3608</v>
      </c>
      <c r="H133" s="404">
        <f>H120+H129+H131+H132</f>
        <v>209011854</v>
      </c>
      <c r="I133" s="322">
        <f t="shared" ref="I133:T133" si="160">I120+I129+I131+I132</f>
        <v>364388</v>
      </c>
      <c r="J133" s="317">
        <f t="shared" si="160"/>
        <v>0</v>
      </c>
      <c r="K133" s="325">
        <f t="shared" si="160"/>
        <v>-2059313.4288000008</v>
      </c>
      <c r="L133" s="317">
        <f t="shared" si="160"/>
        <v>1.0000000064173946</v>
      </c>
      <c r="M133" s="397">
        <f t="shared" si="160"/>
        <v>207316929.57120001</v>
      </c>
      <c r="N133" s="397">
        <f t="shared" si="160"/>
        <v>23075543.14814131</v>
      </c>
      <c r="O133" s="397">
        <f t="shared" ref="O133" si="161">O120+O129+O131+O132</f>
        <v>230392472.71934131</v>
      </c>
      <c r="P133" s="411">
        <f t="shared" si="160"/>
        <v>16603717.880000001</v>
      </c>
      <c r="Q133" s="21">
        <f t="shared" si="160"/>
        <v>-427881.11000000255</v>
      </c>
      <c r="R133" s="21">
        <f t="shared" ref="R133:S133" si="162">R120+R129+R131+R132</f>
        <v>511.56790000095498</v>
      </c>
      <c r="S133" s="593">
        <f t="shared" si="162"/>
        <v>1754828.9555999991</v>
      </c>
      <c r="T133" s="417">
        <f t="shared" si="160"/>
        <v>17931177.293499999</v>
      </c>
      <c r="U133" s="20"/>
      <c r="V133" s="123">
        <f>L133/M133</f>
        <v>4.8235327837708453E-9</v>
      </c>
      <c r="W133" s="123">
        <f>J133/(H133+I133)</f>
        <v>0</v>
      </c>
    </row>
    <row r="134" spans="1:23">
      <c r="A134" s="16"/>
      <c r="C134" s="16"/>
      <c r="D134" s="404"/>
      <c r="E134" s="317"/>
      <c r="F134" s="317"/>
      <c r="G134" s="317"/>
      <c r="H134" s="404"/>
      <c r="I134" s="322"/>
      <c r="J134" s="317"/>
      <c r="K134" s="325"/>
      <c r="L134" s="317"/>
      <c r="M134" s="397"/>
      <c r="N134" s="397"/>
      <c r="O134" s="397"/>
      <c r="P134" s="411"/>
      <c r="Q134" s="21"/>
      <c r="R134" s="21"/>
      <c r="S134" s="593"/>
      <c r="T134" s="417"/>
      <c r="U134" s="20"/>
    </row>
    <row r="135" spans="1:23">
      <c r="A135" s="17" t="s">
        <v>133</v>
      </c>
      <c r="B135" s="359"/>
      <c r="C135" s="16"/>
      <c r="D135" s="404"/>
      <c r="E135" s="317"/>
      <c r="F135" s="317"/>
      <c r="G135" s="317"/>
      <c r="H135" s="404"/>
      <c r="I135" s="322"/>
      <c r="J135" s="317"/>
      <c r="K135" s="325"/>
      <c r="L135" s="317"/>
      <c r="M135" s="397"/>
      <c r="N135" s="397"/>
      <c r="O135" s="397"/>
      <c r="P135" s="410"/>
      <c r="Q135" s="19"/>
      <c r="R135" s="19"/>
      <c r="S135" s="594"/>
      <c r="T135" s="416"/>
      <c r="U135" s="18"/>
    </row>
    <row r="136" spans="1:23">
      <c r="A136" s="16"/>
      <c r="B136" s="601">
        <v>7</v>
      </c>
      <c r="C136" s="16"/>
      <c r="D136" s="404">
        <f>SUMIF('305'!$B$2:$B$202,"P7",'305'!I$2:I$202)</f>
        <v>193.916666666667</v>
      </c>
      <c r="E136" s="317">
        <f t="shared" ref="E136:E141" si="163">F136-D136</f>
        <v>0</v>
      </c>
      <c r="F136" s="317">
        <f t="shared" ref="F136:F140" si="164">D136</f>
        <v>193.916666666667</v>
      </c>
      <c r="G136" s="317">
        <f>'Blocking-Step2'!D1373</f>
        <v>163</v>
      </c>
      <c r="H136" s="404">
        <f>SUMIF('305'!$B$2:$B$202,"P7",'305'!H$2:H$202)</f>
        <v>362799</v>
      </c>
      <c r="I136" s="322">
        <f>'7'!J90</f>
        <v>-1012.0862781092244</v>
      </c>
      <c r="J136" s="317">
        <f>H154-SUM(J137:J142)</f>
        <v>-13404</v>
      </c>
      <c r="K136" s="325"/>
      <c r="L136" s="317">
        <f t="shared" ref="L136:L139" si="165">M136-H136-I136-J136-K136</f>
        <v>-6.8174935728366108</v>
      </c>
      <c r="M136" s="397">
        <f>'Blocking-Step2'!C1374</f>
        <v>348376.09622831794</v>
      </c>
      <c r="N136" s="397">
        <f t="shared" ref="N136:N142" si="166">O136-M136</f>
        <v>-51376.09622831794</v>
      </c>
      <c r="O136" s="397">
        <f>'Blocking-Step2'!D1374</f>
        <v>297000</v>
      </c>
      <c r="P136" s="411">
        <f>'Table 3'!D136</f>
        <v>93721.74</v>
      </c>
      <c r="Q136" s="21">
        <f>'Table 3'!H136</f>
        <v>-3376.0699999999815</v>
      </c>
      <c r="R136" s="21">
        <f>'Table 3'!J136+'Table 3'!K136</f>
        <v>33.241999999969266</v>
      </c>
      <c r="S136" s="593">
        <f>'Table 3'!M136</f>
        <v>-13488.103199999998</v>
      </c>
      <c r="T136" s="417">
        <f t="shared" ref="T136:T142" si="167">SUM(P136:S136)</f>
        <v>76890.808799999999</v>
      </c>
      <c r="U136" s="20"/>
      <c r="V136" s="123">
        <f t="shared" ref="V136:V142" si="168">L136/M136</f>
        <v>-1.9569349466412807E-5</v>
      </c>
      <c r="W136" s="123">
        <f t="shared" ref="W136:W142" si="169">J136/(H136+I136)</f>
        <v>-3.7049432944121878E-2</v>
      </c>
    </row>
    <row r="137" spans="1:23">
      <c r="A137" s="16"/>
      <c r="B137" s="601">
        <v>11</v>
      </c>
      <c r="C137" s="16"/>
      <c r="D137" s="404">
        <f>SUMIF('305'!$B$2:$B$202,"P11",'305'!I$2:I$202)</f>
        <v>717.16666666666697</v>
      </c>
      <c r="E137" s="317">
        <f t="shared" si="163"/>
        <v>0</v>
      </c>
      <c r="F137" s="317">
        <f t="shared" si="164"/>
        <v>717.16666666666697</v>
      </c>
      <c r="G137" s="317">
        <f>'Blocking-Step2'!D1712</f>
        <v>715</v>
      </c>
      <c r="H137" s="404">
        <f>SUMIF('305'!$B$2:$B$202,"P11",'305'!H$2:H$202)</f>
        <v>13486873</v>
      </c>
      <c r="I137" s="322">
        <f>'11'!I33</f>
        <v>57085.944019064824</v>
      </c>
      <c r="J137" s="317">
        <f t="shared" ref="J137:J142" si="170">ROUND((H137+I137)/($H$143+$I$143)*$H$154,0)</f>
        <v>-501829</v>
      </c>
      <c r="K137" s="325"/>
      <c r="L137" s="317">
        <f t="shared" si="165"/>
        <v>-9.0635374712292105E-2</v>
      </c>
      <c r="M137" s="397">
        <f>'Blocking-Step2'!C1716</f>
        <v>13042129.85338369</v>
      </c>
      <c r="N137" s="397">
        <f t="shared" si="166"/>
        <v>530378.38024565019</v>
      </c>
      <c r="O137" s="397">
        <f>'Blocking-Step2'!D1716</f>
        <v>13572508.23362934</v>
      </c>
      <c r="P137" s="411">
        <f>'Table 3'!D137</f>
        <v>4076143.35</v>
      </c>
      <c r="Q137" s="21">
        <f>'Table 3'!H137</f>
        <v>-126087.34</v>
      </c>
      <c r="R137" s="21">
        <f>'Table 3'!J137+'Table 3'!K137</f>
        <v>668.49939999962226</v>
      </c>
      <c r="S137" s="593">
        <f>'Table 3'!M137</f>
        <v>152462.28480000002</v>
      </c>
      <c r="T137" s="417">
        <f t="shared" si="167"/>
        <v>4103186.7941999999</v>
      </c>
      <c r="U137" s="20"/>
      <c r="V137" s="123">
        <f t="shared" si="168"/>
        <v>-6.9494304788552144E-9</v>
      </c>
      <c r="W137" s="123">
        <f t="shared" si="169"/>
        <v>-3.705186955115549E-2</v>
      </c>
    </row>
    <row r="138" spans="1:23">
      <c r="A138" s="16"/>
      <c r="B138" s="601" t="s">
        <v>967</v>
      </c>
      <c r="C138" s="16"/>
      <c r="D138" s="404">
        <f>SUMIF('305'!$B$2:$B$202,"P12E",'305'!I$2:I$202)</f>
        <v>1005.41666666667</v>
      </c>
      <c r="E138" s="317">
        <f t="shared" si="163"/>
        <v>0</v>
      </c>
      <c r="F138" s="317">
        <f t="shared" si="164"/>
        <v>1005.41666666667</v>
      </c>
      <c r="G138" s="317">
        <f>'Blocking-Step2'!D1737</f>
        <v>990</v>
      </c>
      <c r="H138" s="404">
        <f>SUMIF('305'!$B$2:$B$202,"P12E",'305'!H$2:H$202)</f>
        <v>41473261</v>
      </c>
      <c r="I138" s="322">
        <f>'12E'!J96</f>
        <v>-42506.070570033509</v>
      </c>
      <c r="J138" s="317">
        <f t="shared" si="170"/>
        <v>-1535086</v>
      </c>
      <c r="K138" s="325"/>
      <c r="L138" s="317">
        <f>M138-H138-I138-J138-K138</f>
        <v>-15.819587941747159</v>
      </c>
      <c r="M138" s="397">
        <f>'Blocking-Step2'!C1736</f>
        <v>39895653.109842025</v>
      </c>
      <c r="N138" s="397">
        <f t="shared" si="166"/>
        <v>-15942520.445539728</v>
      </c>
      <c r="O138" s="397">
        <f>'Blocking-Step2'!D1736</f>
        <v>23953132.664302297</v>
      </c>
      <c r="P138" s="411">
        <f>'Table 3'!D138</f>
        <v>2642631.15</v>
      </c>
      <c r="Q138" s="21">
        <f>'Table 3'!H138</f>
        <v>-95400.41</v>
      </c>
      <c r="R138" s="21">
        <f>'Table 3'!J138+'Table 3'!K138</f>
        <v>784.1394000002183</v>
      </c>
      <c r="S138" s="593">
        <f>'Table 3'!M138</f>
        <v>-1021262.2208</v>
      </c>
      <c r="T138" s="417">
        <f t="shared" si="167"/>
        <v>1526752.6586</v>
      </c>
      <c r="U138" s="20"/>
      <c r="V138" s="123">
        <f t="shared" si="168"/>
        <v>-3.9652409996127016E-7</v>
      </c>
      <c r="W138" s="123">
        <f t="shared" si="169"/>
        <v>-3.7051847175238545E-2</v>
      </c>
    </row>
    <row r="139" spans="1:23">
      <c r="A139" s="16"/>
      <c r="B139" s="601" t="s">
        <v>968</v>
      </c>
      <c r="C139" s="16"/>
      <c r="D139" s="404">
        <f>SUMIF('305'!$B$2:$B$202,"P12F",'305'!I$2:I$202)</f>
        <v>67</v>
      </c>
      <c r="E139" s="317">
        <f t="shared" si="163"/>
        <v>0</v>
      </c>
      <c r="F139" s="317">
        <f t="shared" si="164"/>
        <v>67</v>
      </c>
      <c r="G139" s="317">
        <f>'Blocking-Step2'!D1800</f>
        <v>69</v>
      </c>
      <c r="H139" s="404">
        <f>SUMIF('305'!$B$2:$B$202,"P12F",'305'!H$2:H$202)</f>
        <v>950724</v>
      </c>
      <c r="I139" s="322">
        <f>'12F'!I14</f>
        <v>-3748</v>
      </c>
      <c r="J139" s="317">
        <f t="shared" si="170"/>
        <v>-35087</v>
      </c>
      <c r="K139" s="325"/>
      <c r="L139" s="317">
        <f t="shared" si="165"/>
        <v>0.17346773273311555</v>
      </c>
      <c r="M139" s="397">
        <f>'Blocking-Step2'!C1799</f>
        <v>911889.17346773273</v>
      </c>
      <c r="N139" s="397">
        <f t="shared" si="166"/>
        <v>69188.366600760492</v>
      </c>
      <c r="O139" s="397">
        <f>'Blocking-Step2'!D1799</f>
        <v>981077.54006849322</v>
      </c>
      <c r="P139" s="411">
        <f>'Table 3'!D139</f>
        <v>126854.46</v>
      </c>
      <c r="Q139" s="21">
        <f>'Table 3'!H139</f>
        <v>-4926.97</v>
      </c>
      <c r="R139" s="21">
        <f>'Table 3'!J139+'Table 3'!K139</f>
        <v>183.21119999999064</v>
      </c>
      <c r="S139" s="593">
        <f>'Table 3'!M139</f>
        <v>8979.2863999999972</v>
      </c>
      <c r="T139" s="417">
        <f t="shared" si="167"/>
        <v>131089.98759999999</v>
      </c>
      <c r="U139" s="20"/>
      <c r="V139" s="123">
        <f t="shared" si="168"/>
        <v>1.9022896397974806E-7</v>
      </c>
      <c r="W139" s="123">
        <f t="shared" si="169"/>
        <v>-3.7051625384381441E-2</v>
      </c>
    </row>
    <row r="140" spans="1:23">
      <c r="A140" s="16"/>
      <c r="B140" s="601" t="s">
        <v>969</v>
      </c>
      <c r="C140" s="16"/>
      <c r="D140" s="404">
        <f>SUMIF('305'!$B$2:$B$202,"P12P",'305'!I$2:I$202)</f>
        <v>169.5</v>
      </c>
      <c r="E140" s="317">
        <f t="shared" si="163"/>
        <v>0</v>
      </c>
      <c r="F140" s="317">
        <f t="shared" si="164"/>
        <v>169.5</v>
      </c>
      <c r="G140" s="317">
        <f>'Blocking-Step2'!D1774</f>
        <v>170</v>
      </c>
      <c r="H140" s="404">
        <f>SUMIF('305'!$B$2:$B$202,"P12P",'305'!H$2:H$202)</f>
        <v>3021383</v>
      </c>
      <c r="I140" s="322">
        <f>'12P'!I24</f>
        <v>22394.487734735801</v>
      </c>
      <c r="J140" s="317">
        <f t="shared" si="170"/>
        <v>-112778</v>
      </c>
      <c r="K140" s="325"/>
      <c r="L140" s="317">
        <f>M140-H140-I140-J140-K140</f>
        <v>2.7550263625162188</v>
      </c>
      <c r="M140" s="397">
        <f>'Blocking-Step2'!C1773</f>
        <v>2931002.2427610983</v>
      </c>
      <c r="N140" s="397">
        <f t="shared" si="166"/>
        <v>-996338.24276109831</v>
      </c>
      <c r="O140" s="397">
        <f>'Blocking-Step2'!D1773</f>
        <v>1934664</v>
      </c>
      <c r="P140" s="411">
        <f>'Table 3'!D140</f>
        <v>374185.08</v>
      </c>
      <c r="Q140" s="21">
        <f>'Table 3'!H140</f>
        <v>-12319.039999999999</v>
      </c>
      <c r="R140" s="21">
        <f>'Table 3'!J140+'Table 3'!K140</f>
        <v>155.01499999995576</v>
      </c>
      <c r="S140" s="593">
        <f>'Table 3'!M140</f>
        <v>-123537.4148</v>
      </c>
      <c r="T140" s="417">
        <f t="shared" si="167"/>
        <v>238483.64019999999</v>
      </c>
      <c r="U140" s="20"/>
      <c r="V140" s="123">
        <f t="shared" si="168"/>
        <v>9.399605098633072E-7</v>
      </c>
      <c r="W140" s="123">
        <f t="shared" si="169"/>
        <v>-3.7051985716581581E-2</v>
      </c>
    </row>
    <row r="141" spans="1:23">
      <c r="A141" s="16"/>
      <c r="B141" s="601" t="s">
        <v>965</v>
      </c>
      <c r="C141" s="16"/>
      <c r="D141" s="404">
        <f>SUMIF('305'!$B$2:$B$202,"P15M",'305'!I$2:I$202)</f>
        <v>94.8333333333333</v>
      </c>
      <c r="E141" s="317">
        <f t="shared" si="163"/>
        <v>-1.5387096774191349</v>
      </c>
      <c r="F141" s="317">
        <f>'Blocking-Step2'!C1846/12</f>
        <v>93.294623655914165</v>
      </c>
      <c r="G141" s="317">
        <f>'Blocking-Step2'!D1846/12</f>
        <v>94</v>
      </c>
      <c r="H141" s="404">
        <f>SUMIF('305'!$B$2:$B$202,"P15M",'305'!H$2:H$202)</f>
        <v>848753</v>
      </c>
      <c r="I141" s="322">
        <f>'15M'!E4+'305vsCognos'!F73</f>
        <v>19908</v>
      </c>
      <c r="J141" s="317">
        <f t="shared" si="170"/>
        <v>-32186</v>
      </c>
      <c r="K141" s="325"/>
      <c r="L141" s="317">
        <f>M141-H141-I141-J141-K141</f>
        <v>0</v>
      </c>
      <c r="M141" s="397">
        <f>'Blocking-Step2'!C1851</f>
        <v>836475</v>
      </c>
      <c r="N141" s="397">
        <f t="shared" si="166"/>
        <v>70090.394926306093</v>
      </c>
      <c r="O141" s="397">
        <f>'Blocking-Step2'!D1851</f>
        <v>906565.39492630609</v>
      </c>
      <c r="P141" s="411">
        <f>'Table 3'!D141</f>
        <v>68635.67</v>
      </c>
      <c r="Q141" s="21">
        <f>'Table 3'!H141</f>
        <v>-1190.45</v>
      </c>
      <c r="R141" s="21">
        <f>'Table 3'!J141+'Table 3'!K141</f>
        <v>30.047999999995227</v>
      </c>
      <c r="S141" s="593">
        <f>'Table 3'!M141</f>
        <v>5444.3000000000029</v>
      </c>
      <c r="T141" s="417">
        <f t="shared" si="167"/>
        <v>72919.567999999999</v>
      </c>
      <c r="U141" s="20"/>
      <c r="V141" s="123">
        <f t="shared" si="168"/>
        <v>0</v>
      </c>
      <c r="W141" s="123">
        <f t="shared" si="169"/>
        <v>-3.7052428968262649E-2</v>
      </c>
    </row>
    <row r="142" spans="1:23">
      <c r="A142" s="16"/>
      <c r="B142" s="654" t="s">
        <v>943</v>
      </c>
      <c r="C142" s="437"/>
      <c r="D142" s="405">
        <f>SUMIF('305'!$B$2:$B$202,"P15T",'305'!I$2:I$202)</f>
        <v>1598.9166666666699</v>
      </c>
      <c r="E142" s="318">
        <f t="shared" ref="E142" si="171">F142-D142</f>
        <v>3.5963636363549085</v>
      </c>
      <c r="F142" s="318">
        <f>'Blocking-Step2'!C1878/12</f>
        <v>1602.5130303030248</v>
      </c>
      <c r="G142" s="318">
        <f>'Blocking-Step2'!D1878/12</f>
        <v>1611</v>
      </c>
      <c r="H142" s="405">
        <f>SUMIF('305'!$B$2:$B$202,"P15T",'305'!H$2:H$202)</f>
        <v>4288651</v>
      </c>
      <c r="I142" s="332">
        <f>'15T'!E15</f>
        <v>73600</v>
      </c>
      <c r="J142" s="318">
        <f t="shared" si="170"/>
        <v>-161630</v>
      </c>
      <c r="K142" s="326"/>
      <c r="L142" s="318">
        <f t="shared" ref="L142" si="172">M142-H142-I142-J142-K142</f>
        <v>0</v>
      </c>
      <c r="M142" s="398">
        <f>'Blocking-Step2'!C1883</f>
        <v>4200621</v>
      </c>
      <c r="N142" s="398">
        <f t="shared" si="166"/>
        <v>137865.2589480672</v>
      </c>
      <c r="O142" s="398">
        <f>'Blocking-Step2'!D1883</f>
        <v>4338486.2589480672</v>
      </c>
      <c r="P142" s="412">
        <f>'Table 3'!D142</f>
        <v>450374.76</v>
      </c>
      <c r="Q142" s="25">
        <f>'Table 3'!H142</f>
        <v>-8466.42</v>
      </c>
      <c r="R142" s="25">
        <f>'Table 3'!J142+'Table 3'!K142</f>
        <v>-3398.1592999999993</v>
      </c>
      <c r="S142" s="1060">
        <f>'Table 3'!M142</f>
        <v>14705.21259999997</v>
      </c>
      <c r="T142" s="418">
        <f t="shared" si="167"/>
        <v>453215.3933</v>
      </c>
      <c r="U142" s="20"/>
      <c r="V142" s="123">
        <f t="shared" si="168"/>
        <v>0</v>
      </c>
      <c r="W142" s="123">
        <f t="shared" si="169"/>
        <v>-3.7051971562388319E-2</v>
      </c>
    </row>
    <row r="143" spans="1:23" s="557" customFormat="1">
      <c r="B143" s="601" t="s">
        <v>130</v>
      </c>
      <c r="D143" s="562">
        <f>SUM(D136:D142)</f>
        <v>3846.7500000000073</v>
      </c>
      <c r="E143" s="559">
        <f t="shared" ref="E143:T143" si="173">SUM(E136:E142)</f>
        <v>2.0576539589357736</v>
      </c>
      <c r="F143" s="559">
        <f t="shared" si="173"/>
        <v>3848.8076539589429</v>
      </c>
      <c r="G143" s="559">
        <f t="shared" ref="G143" si="174">SUM(G136:G142)</f>
        <v>3812</v>
      </c>
      <c r="H143" s="562">
        <f>SUM(H136:H142)</f>
        <v>64432444</v>
      </c>
      <c r="I143" s="566">
        <f t="shared" si="173"/>
        <v>125722.27490565789</v>
      </c>
      <c r="J143" s="559">
        <f t="shared" si="173"/>
        <v>-2392000</v>
      </c>
      <c r="K143" s="567">
        <f t="shared" si="173"/>
        <v>0</v>
      </c>
      <c r="L143" s="559">
        <f t="shared" si="173"/>
        <v>-19.799222794046727</v>
      </c>
      <c r="M143" s="561">
        <f t="shared" si="173"/>
        <v>62166146.475682862</v>
      </c>
      <c r="N143" s="561">
        <f t="shared" si="173"/>
        <v>-16182712.38380836</v>
      </c>
      <c r="O143" s="561">
        <f t="shared" ref="O143" si="175">SUM(O136:O142)</f>
        <v>45983434.091874503</v>
      </c>
      <c r="P143" s="568">
        <f t="shared" si="173"/>
        <v>7832546.21</v>
      </c>
      <c r="Q143" s="569">
        <f t="shared" si="173"/>
        <v>-251766.7</v>
      </c>
      <c r="R143" s="569">
        <f t="shared" ref="R143:S143" si="176">SUM(R136:R142)</f>
        <v>-1544.0043000002479</v>
      </c>
      <c r="S143" s="1061">
        <f t="shared" si="176"/>
        <v>-976696.65500000003</v>
      </c>
      <c r="T143" s="570">
        <f t="shared" si="173"/>
        <v>6602538.8506999994</v>
      </c>
      <c r="U143" s="560"/>
      <c r="V143" s="565"/>
      <c r="W143" s="565"/>
    </row>
    <row r="144" spans="1:23">
      <c r="A144" s="16"/>
      <c r="B144" s="601"/>
      <c r="C144" s="16"/>
      <c r="D144" s="404"/>
      <c r="E144" s="317"/>
      <c r="F144" s="317"/>
      <c r="G144" s="317"/>
      <c r="H144" s="404"/>
      <c r="I144" s="322"/>
      <c r="J144" s="317"/>
      <c r="K144" s="325"/>
      <c r="L144" s="317"/>
      <c r="M144" s="397"/>
      <c r="N144" s="397"/>
      <c r="O144" s="397"/>
      <c r="P144" s="411"/>
      <c r="Q144" s="21"/>
      <c r="R144" s="21"/>
      <c r="S144" s="593"/>
      <c r="T144" s="417"/>
      <c r="U144" s="20"/>
      <c r="V144" s="123"/>
      <c r="W144" s="123"/>
    </row>
    <row r="145" spans="1:23">
      <c r="A145" s="16"/>
      <c r="B145" s="601" t="s">
        <v>847</v>
      </c>
      <c r="C145" s="16"/>
      <c r="D145" s="404"/>
      <c r="E145" s="317"/>
      <c r="F145" s="317"/>
      <c r="G145" s="317"/>
      <c r="H145" s="404">
        <f>SUMIF('305'!$B$2:$B$202,"PREVDEF",'305'!H$2:H$202)</f>
        <v>0</v>
      </c>
      <c r="I145" s="322"/>
      <c r="J145" s="317"/>
      <c r="K145" s="325"/>
      <c r="L145" s="317"/>
      <c r="M145" s="397"/>
      <c r="N145" s="397"/>
      <c r="O145" s="397"/>
      <c r="P145" s="411">
        <f>'Table 3'!D145</f>
        <v>23340.89</v>
      </c>
      <c r="Q145" s="21">
        <f>'Table 3'!H145</f>
        <v>-23340.89</v>
      </c>
      <c r="R145" s="21">
        <f>'Table 3'!J145+'Table 3'!K145</f>
        <v>0</v>
      </c>
      <c r="S145" s="593">
        <f>'Table 3'!M145</f>
        <v>0</v>
      </c>
      <c r="T145" s="417">
        <f t="shared" ref="T145:T151" si="177">SUM(P145:S145)</f>
        <v>0</v>
      </c>
      <c r="U145" s="20"/>
      <c r="V145" s="123"/>
      <c r="W145" s="123"/>
    </row>
    <row r="146" spans="1:23">
      <c r="A146" s="16"/>
      <c r="B146" s="601" t="s">
        <v>692</v>
      </c>
      <c r="C146" s="16"/>
      <c r="D146" s="404"/>
      <c r="E146" s="317"/>
      <c r="F146" s="317"/>
      <c r="G146" s="317"/>
      <c r="H146" s="404">
        <f>SUMIF('305'!$B$2:$B$202,"PREVADJ",'305'!H$2:H$202)</f>
        <v>0</v>
      </c>
      <c r="I146" s="322"/>
      <c r="J146" s="317"/>
      <c r="K146" s="325"/>
      <c r="L146" s="317"/>
      <c r="M146" s="397"/>
      <c r="N146" s="397"/>
      <c r="O146" s="397"/>
      <c r="P146" s="411">
        <f>'Table 3'!D146</f>
        <v>-21685.81</v>
      </c>
      <c r="Q146" s="21">
        <f>'Table 3'!H146</f>
        <v>21685.81</v>
      </c>
      <c r="R146" s="21">
        <f>'Table 3'!J146+'Table 3'!K146</f>
        <v>0</v>
      </c>
      <c r="S146" s="593">
        <f>'Table 3'!M146</f>
        <v>0</v>
      </c>
      <c r="T146" s="417">
        <f t="shared" si="177"/>
        <v>0</v>
      </c>
      <c r="U146" s="20"/>
      <c r="V146" s="123"/>
      <c r="W146" s="123"/>
    </row>
    <row r="147" spans="1:23">
      <c r="A147" s="16"/>
      <c r="B147" s="601" t="s">
        <v>962</v>
      </c>
      <c r="C147" s="16"/>
      <c r="D147" s="404"/>
      <c r="E147" s="317"/>
      <c r="F147" s="317"/>
      <c r="G147" s="317"/>
      <c r="H147" s="404">
        <f>SUMIF('305'!$B$2:$B$202,"PSOLAR",'305'!H$2:H$202)</f>
        <v>0</v>
      </c>
      <c r="I147" s="322"/>
      <c r="J147" s="317"/>
      <c r="K147" s="325"/>
      <c r="L147" s="317"/>
      <c r="M147" s="397"/>
      <c r="N147" s="397"/>
      <c r="O147" s="397"/>
      <c r="P147" s="411">
        <f>'Table 3'!D147</f>
        <v>17840.13</v>
      </c>
      <c r="Q147" s="21">
        <f>'Table 3'!H147</f>
        <v>-17840.13</v>
      </c>
      <c r="R147" s="21">
        <f>'Table 3'!J147+'Table 3'!K147</f>
        <v>0</v>
      </c>
      <c r="S147" s="593">
        <f>'Table 3'!M147</f>
        <v>0</v>
      </c>
      <c r="T147" s="417">
        <f t="shared" si="177"/>
        <v>0</v>
      </c>
      <c r="U147" s="20"/>
      <c r="V147" s="123"/>
      <c r="W147" s="123"/>
    </row>
    <row r="148" spans="1:23">
      <c r="A148" s="16"/>
      <c r="B148" s="601" t="s">
        <v>23</v>
      </c>
      <c r="C148" s="16"/>
      <c r="D148" s="404"/>
      <c r="E148" s="317"/>
      <c r="F148" s="317"/>
      <c r="G148" s="317"/>
      <c r="H148" s="404">
        <f>SUMIF('305'!$B$2:$B$202,"PDSM",'305'!H$2:H$202)</f>
        <v>0</v>
      </c>
      <c r="I148" s="322"/>
      <c r="J148" s="317"/>
      <c r="K148" s="325"/>
      <c r="L148" s="317"/>
      <c r="M148" s="397"/>
      <c r="N148" s="397"/>
      <c r="O148" s="397"/>
      <c r="P148" s="411">
        <f>'Table 3'!D148</f>
        <v>35258.03</v>
      </c>
      <c r="Q148" s="21">
        <f>'Table 3'!H148</f>
        <v>-35258.03</v>
      </c>
      <c r="R148" s="21">
        <f>'Table 3'!J148+'Table 3'!K148</f>
        <v>0</v>
      </c>
      <c r="S148" s="593">
        <f>'Table 3'!M148</f>
        <v>0</v>
      </c>
      <c r="T148" s="417">
        <f t="shared" si="177"/>
        <v>0</v>
      </c>
      <c r="U148" s="20"/>
      <c r="V148" s="123"/>
      <c r="W148" s="123"/>
    </row>
    <row r="149" spans="1:23">
      <c r="A149" s="16"/>
      <c r="B149" s="16" t="s">
        <v>1412</v>
      </c>
      <c r="C149" s="16"/>
      <c r="D149" s="404"/>
      <c r="E149" s="317"/>
      <c r="F149" s="317"/>
      <c r="G149" s="317"/>
      <c r="H149" s="404">
        <f>SUMIF('305'!$B$2:$B$202,"PTAX",'305'!H$2:H$202)</f>
        <v>0</v>
      </c>
      <c r="I149" s="322"/>
      <c r="J149" s="317"/>
      <c r="K149" s="325"/>
      <c r="L149" s="317"/>
      <c r="M149" s="397"/>
      <c r="N149" s="397"/>
      <c r="O149" s="397"/>
      <c r="P149" s="411">
        <f>'Table 3'!D149</f>
        <v>1.00000000018099E-2</v>
      </c>
      <c r="Q149" s="21">
        <f>'Table 3'!H149</f>
        <v>-1.00000000018099E-2</v>
      </c>
      <c r="R149" s="21">
        <f>'Table 3'!J149+'Table 3'!K149</f>
        <v>0</v>
      </c>
      <c r="S149" s="593">
        <f>'Table 3'!M149</f>
        <v>0</v>
      </c>
      <c r="T149" s="417">
        <f t="shared" si="177"/>
        <v>0</v>
      </c>
      <c r="U149" s="20"/>
      <c r="V149" s="123"/>
      <c r="W149" s="123"/>
    </row>
    <row r="150" spans="1:23">
      <c r="A150" s="16"/>
      <c r="B150" s="601" t="s">
        <v>848</v>
      </c>
      <c r="C150" s="16"/>
      <c r="D150" s="404"/>
      <c r="E150" s="317"/>
      <c r="F150" s="317"/>
      <c r="G150" s="317"/>
      <c r="H150" s="404">
        <f>SUMIF('305'!$B$2:$B$202,"PBLUE",'305'!H$2:H$202)</f>
        <v>0</v>
      </c>
      <c r="I150" s="322"/>
      <c r="J150" s="317"/>
      <c r="K150" s="325"/>
      <c r="L150" s="317"/>
      <c r="M150" s="397"/>
      <c r="N150" s="397"/>
      <c r="O150" s="397"/>
      <c r="P150" s="411">
        <f>'Table 3'!D150</f>
        <v>0</v>
      </c>
      <c r="Q150" s="21">
        <f>'Table 3'!H150</f>
        <v>0</v>
      </c>
      <c r="R150" s="21">
        <f>'Table 3'!J150+'Table 3'!K150</f>
        <v>0</v>
      </c>
      <c r="S150" s="593">
        <f>'Table 3'!M150</f>
        <v>0</v>
      </c>
      <c r="T150" s="417">
        <f t="shared" si="177"/>
        <v>0</v>
      </c>
      <c r="U150" s="20"/>
      <c r="V150" s="123"/>
      <c r="W150" s="123"/>
    </row>
    <row r="151" spans="1:23">
      <c r="A151" s="16"/>
      <c r="B151" s="654" t="s">
        <v>849</v>
      </c>
      <c r="C151" s="437"/>
      <c r="D151" s="405"/>
      <c r="E151" s="318"/>
      <c r="F151" s="318"/>
      <c r="G151" s="318"/>
      <c r="H151" s="405">
        <f>SUMIF('305'!$B$2:$B$202,"PINSUR",'305'!H$2:H$202)</f>
        <v>0</v>
      </c>
      <c r="I151" s="332"/>
      <c r="J151" s="318"/>
      <c r="K151" s="326"/>
      <c r="L151" s="318"/>
      <c r="M151" s="398"/>
      <c r="N151" s="398"/>
      <c r="O151" s="398"/>
      <c r="P151" s="412">
        <f>'Table 3'!D151</f>
        <v>0</v>
      </c>
      <c r="Q151" s="25">
        <f>'Table 3'!H151</f>
        <v>0</v>
      </c>
      <c r="R151" s="25">
        <f>'Table 3'!J151+'Table 3'!K151</f>
        <v>0</v>
      </c>
      <c r="S151" s="1060">
        <f>'Table 3'!M151</f>
        <v>0</v>
      </c>
      <c r="T151" s="418">
        <f t="shared" si="177"/>
        <v>0</v>
      </c>
      <c r="U151" s="20"/>
      <c r="V151" s="123"/>
      <c r="W151" s="123"/>
    </row>
    <row r="152" spans="1:23" s="557" customFormat="1">
      <c r="B152" s="557" t="s">
        <v>130</v>
      </c>
      <c r="D152" s="562">
        <f t="shared" ref="D152:T152" si="178">SUM(D145:D151)</f>
        <v>0</v>
      </c>
      <c r="E152" s="559">
        <f t="shared" si="178"/>
        <v>0</v>
      </c>
      <c r="F152" s="559">
        <f t="shared" si="178"/>
        <v>0</v>
      </c>
      <c r="G152" s="559">
        <f t="shared" ref="G152" si="179">SUM(G145:G151)</f>
        <v>0</v>
      </c>
      <c r="H152" s="562">
        <f t="shared" si="178"/>
        <v>0</v>
      </c>
      <c r="I152" s="566">
        <f t="shared" si="178"/>
        <v>0</v>
      </c>
      <c r="J152" s="559">
        <f t="shared" si="178"/>
        <v>0</v>
      </c>
      <c r="K152" s="567">
        <f t="shared" si="178"/>
        <v>0</v>
      </c>
      <c r="L152" s="559">
        <f t="shared" si="178"/>
        <v>0</v>
      </c>
      <c r="M152" s="561">
        <f t="shared" si="178"/>
        <v>0</v>
      </c>
      <c r="N152" s="561">
        <f t="shared" si="178"/>
        <v>0</v>
      </c>
      <c r="O152" s="561">
        <f t="shared" ref="O152" si="180">SUM(O145:O151)</f>
        <v>0</v>
      </c>
      <c r="P152" s="568">
        <f t="shared" si="178"/>
        <v>54753.25</v>
      </c>
      <c r="Q152" s="569">
        <f t="shared" si="178"/>
        <v>-54753.25</v>
      </c>
      <c r="R152" s="569">
        <f t="shared" ref="R152:S152" si="181">SUM(R145:R151)</f>
        <v>0</v>
      </c>
      <c r="S152" s="1061">
        <f t="shared" si="181"/>
        <v>0</v>
      </c>
      <c r="T152" s="570">
        <f t="shared" si="178"/>
        <v>0</v>
      </c>
      <c r="U152" s="560"/>
      <c r="V152" s="565"/>
      <c r="W152" s="565"/>
    </row>
    <row r="153" spans="1:23">
      <c r="A153" s="16"/>
      <c r="B153" s="16"/>
      <c r="C153" s="16"/>
      <c r="D153" s="404"/>
      <c r="E153" s="317"/>
      <c r="F153" s="317"/>
      <c r="G153" s="317"/>
      <c r="H153" s="404"/>
      <c r="I153" s="322"/>
      <c r="J153" s="317"/>
      <c r="K153" s="325"/>
      <c r="L153" s="317"/>
      <c r="M153" s="397"/>
      <c r="N153" s="397"/>
      <c r="O153" s="397"/>
      <c r="P153" s="411"/>
      <c r="Q153" s="21"/>
      <c r="R153" s="21"/>
      <c r="S153" s="593"/>
      <c r="T153" s="417"/>
      <c r="U153" s="20"/>
      <c r="V153" s="123"/>
      <c r="W153" s="123"/>
    </row>
    <row r="154" spans="1:23">
      <c r="A154" s="16"/>
      <c r="B154" s="360" t="s">
        <v>136</v>
      </c>
      <c r="C154" s="16"/>
      <c r="D154" s="404"/>
      <c r="E154" s="317"/>
      <c r="F154" s="317"/>
      <c r="G154" s="317"/>
      <c r="H154" s="404">
        <f>SUMIF('305'!$B$2:$B$202,"PU",'305'!H$2:H$202)</f>
        <v>-2392000</v>
      </c>
      <c r="I154" s="322"/>
      <c r="J154" s="317">
        <f>-H154</f>
        <v>2392000</v>
      </c>
      <c r="K154" s="325"/>
      <c r="L154" s="317"/>
      <c r="M154" s="397"/>
      <c r="N154" s="397"/>
      <c r="O154" s="397"/>
      <c r="P154" s="411">
        <f>'Table 3'!D154</f>
        <v>-276000</v>
      </c>
      <c r="Q154" s="21">
        <f>'Table 3'!H154</f>
        <v>276000</v>
      </c>
      <c r="R154" s="21">
        <f>'Table 3'!J154+'Table 3'!K154</f>
        <v>0</v>
      </c>
      <c r="S154" s="593">
        <f>'Table 3'!M154</f>
        <v>0</v>
      </c>
      <c r="T154" s="417">
        <f t="shared" ref="T154:T155" si="182">SUM(P154:S154)</f>
        <v>0</v>
      </c>
      <c r="U154" s="20"/>
      <c r="V154" s="123"/>
      <c r="W154" s="123">
        <f>J154/(H154+I154)</f>
        <v>-1</v>
      </c>
    </row>
    <row r="155" spans="1:23" s="22" customFormat="1">
      <c r="A155" s="16"/>
      <c r="B155" s="438" t="s">
        <v>471</v>
      </c>
      <c r="C155" s="24"/>
      <c r="D155" s="405"/>
      <c r="E155" s="318"/>
      <c r="F155" s="318"/>
      <c r="G155" s="318"/>
      <c r="H155" s="405">
        <f>SUMIF('305'!$B$2:$B$202,"PAGA",'305'!H$2:H$202)</f>
        <v>0</v>
      </c>
      <c r="I155" s="332"/>
      <c r="J155" s="318"/>
      <c r="K155" s="326"/>
      <c r="L155" s="318"/>
      <c r="M155" s="398"/>
      <c r="N155" s="398"/>
      <c r="O155" s="398"/>
      <c r="P155" s="412">
        <f>'Table 3'!D155</f>
        <v>4655.0400000000009</v>
      </c>
      <c r="Q155" s="25">
        <f>'Table 3'!H155</f>
        <v>0</v>
      </c>
      <c r="R155" s="25">
        <f>'Table 3'!J155+'Table 3'!K155</f>
        <v>0</v>
      </c>
      <c r="S155" s="1060">
        <f>'Table 3'!M155</f>
        <v>0</v>
      </c>
      <c r="T155" s="418">
        <f t="shared" si="182"/>
        <v>4655.0400000000009</v>
      </c>
      <c r="U155" s="20"/>
      <c r="W155" s="123"/>
    </row>
    <row r="156" spans="1:23">
      <c r="A156" s="16"/>
      <c r="B156" s="360" t="s">
        <v>93</v>
      </c>
      <c r="C156" s="16"/>
      <c r="D156" s="404">
        <f t="shared" ref="D156:T156" si="183">D143+D152+D154+D155</f>
        <v>3846.7500000000073</v>
      </c>
      <c r="E156" s="317">
        <f t="shared" si="183"/>
        <v>2.0576539589357736</v>
      </c>
      <c r="F156" s="317">
        <f t="shared" si="183"/>
        <v>3848.8076539589429</v>
      </c>
      <c r="G156" s="317">
        <f t="shared" ref="G156" si="184">G143+G152+G154+G155</f>
        <v>3812</v>
      </c>
      <c r="H156" s="404">
        <f t="shared" si="183"/>
        <v>62040444</v>
      </c>
      <c r="I156" s="322">
        <f t="shared" si="183"/>
        <v>125722.27490565789</v>
      </c>
      <c r="J156" s="317">
        <f t="shared" si="183"/>
        <v>0</v>
      </c>
      <c r="K156" s="325">
        <f t="shared" si="183"/>
        <v>0</v>
      </c>
      <c r="L156" s="317">
        <f t="shared" si="183"/>
        <v>-19.799222794046727</v>
      </c>
      <c r="M156" s="397">
        <f t="shared" si="183"/>
        <v>62166146.475682862</v>
      </c>
      <c r="N156" s="397">
        <f t="shared" ref="N156" si="185">N143+N152+N154+N155</f>
        <v>-16182712.38380836</v>
      </c>
      <c r="O156" s="397">
        <f t="shared" ref="O156" si="186">O143+O152+O154+O155</f>
        <v>45983434.091874503</v>
      </c>
      <c r="P156" s="411">
        <f t="shared" si="183"/>
        <v>7615954.5</v>
      </c>
      <c r="Q156" s="21">
        <f t="shared" si="183"/>
        <v>-30519.950000000012</v>
      </c>
      <c r="R156" s="21">
        <f t="shared" ref="R156:S156" si="187">R143+R152+R154+R155</f>
        <v>-1544.0043000002479</v>
      </c>
      <c r="S156" s="593">
        <f t="shared" si="187"/>
        <v>-976696.65500000003</v>
      </c>
      <c r="T156" s="417">
        <f t="shared" si="183"/>
        <v>6607193.8906999994</v>
      </c>
      <c r="U156" s="20"/>
      <c r="V156" s="123">
        <f>L156/M156</f>
        <v>-3.1848882255861659E-7</v>
      </c>
      <c r="W156" s="123">
        <f>J156/(H156+I156)</f>
        <v>0</v>
      </c>
    </row>
    <row r="157" spans="1:23" s="26" customFormat="1" ht="16.5" thickBot="1">
      <c r="A157" s="361" t="s">
        <v>93</v>
      </c>
      <c r="B157" s="361"/>
      <c r="C157" s="27"/>
      <c r="D157" s="406">
        <f t="shared" ref="D157:T157" si="188">D42+D80+D115+D133+D156</f>
        <v>949019.75</v>
      </c>
      <c r="E157" s="319">
        <f t="shared" si="188"/>
        <v>-310.62768363801109</v>
      </c>
      <c r="F157" s="319">
        <f t="shared" si="188"/>
        <v>948709.12231636199</v>
      </c>
      <c r="G157" s="319">
        <f t="shared" ref="G157" si="189">G42+G80+G115+G133+G156</f>
        <v>986281.20161758328</v>
      </c>
      <c r="H157" s="406">
        <f t="shared" si="188"/>
        <v>24490305403</v>
      </c>
      <c r="I157" s="333">
        <f t="shared" si="188"/>
        <v>33762096.868580036</v>
      </c>
      <c r="J157" s="319">
        <f t="shared" si="188"/>
        <v>0</v>
      </c>
      <c r="K157" s="328">
        <f t="shared" si="188"/>
        <v>-50426625.010000005</v>
      </c>
      <c r="L157" s="319">
        <f t="shared" si="188"/>
        <v>-56975.455563589414</v>
      </c>
      <c r="M157" s="399">
        <f t="shared" si="188"/>
        <v>24473583899.403015</v>
      </c>
      <c r="N157" s="399">
        <f t="shared" ref="N157" si="190">N42+N80+N115+N133+N156</f>
        <v>363804260.68267965</v>
      </c>
      <c r="O157" s="399">
        <f t="shared" ref="O157" si="191">O42+O80+O115+O133+O156</f>
        <v>24837388160.085693</v>
      </c>
      <c r="P157" s="413">
        <f t="shared" si="188"/>
        <v>2008416349.54</v>
      </c>
      <c r="Q157" s="424">
        <f t="shared" si="188"/>
        <v>-28185615.971242093</v>
      </c>
      <c r="R157" s="424">
        <f t="shared" si="188"/>
        <v>1429371.4684556765</v>
      </c>
      <c r="S157" s="424">
        <f t="shared" ref="S157" si="192">S42+S80+S115+S133+S156</f>
        <v>20035843.211330846</v>
      </c>
      <c r="T157" s="419">
        <f t="shared" si="188"/>
        <v>2001695948.2485445</v>
      </c>
      <c r="U157" s="20"/>
      <c r="V157" s="123">
        <f>L157/M157</f>
        <v>-2.3280389091268E-6</v>
      </c>
      <c r="W157" s="123">
        <f>J157/(H157+I157)</f>
        <v>0</v>
      </c>
    </row>
    <row r="158" spans="1:23" ht="16.5" thickTop="1">
      <c r="A158" s="18"/>
      <c r="B158" s="362"/>
      <c r="C158" s="18"/>
      <c r="D158" s="317"/>
      <c r="E158" s="317"/>
      <c r="F158" s="317"/>
      <c r="G158" s="317"/>
      <c r="H158" s="317"/>
      <c r="I158" s="317"/>
      <c r="J158" s="317"/>
      <c r="K158" s="317"/>
      <c r="L158" s="327"/>
      <c r="M158" s="327"/>
      <c r="N158" s="327"/>
      <c r="O158" s="327"/>
      <c r="P158" s="20"/>
      <c r="Q158" s="18"/>
      <c r="R158" s="18"/>
      <c r="S158" s="18"/>
      <c r="T158" s="16"/>
      <c r="U158" s="16"/>
    </row>
    <row r="159" spans="1:23">
      <c r="A159" s="437" t="s">
        <v>678</v>
      </c>
      <c r="B159" s="438"/>
      <c r="C159" s="31"/>
      <c r="D159" s="320"/>
      <c r="E159" s="320"/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1"/>
      <c r="Q159" s="31"/>
      <c r="R159" s="31"/>
      <c r="S159" s="31"/>
      <c r="T159" s="31"/>
      <c r="U159" s="31"/>
    </row>
    <row r="160" spans="1:23" ht="18.75">
      <c r="A160" s="57" t="s">
        <v>1418</v>
      </c>
      <c r="B160" s="64"/>
      <c r="K160" s="320"/>
      <c r="L160" s="320"/>
      <c r="M160" s="320"/>
      <c r="N160" s="320"/>
      <c r="O160" s="31"/>
      <c r="P160" s="31"/>
    </row>
    <row r="161" spans="1:23" ht="18.75">
      <c r="A161" s="16" t="s">
        <v>1419</v>
      </c>
      <c r="C161" s="31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1"/>
      <c r="Q161" s="31"/>
      <c r="R161" s="31"/>
      <c r="S161" s="31"/>
      <c r="T161" s="31"/>
      <c r="U161" s="31"/>
    </row>
    <row r="162" spans="1:23">
      <c r="A162" s="16" t="s">
        <v>1420</v>
      </c>
    </row>
    <row r="163" spans="1:23" ht="18.75">
      <c r="A163" s="44" t="s">
        <v>1321</v>
      </c>
      <c r="B163" s="64"/>
      <c r="L163" s="320"/>
      <c r="M163" s="320"/>
      <c r="N163" s="320"/>
      <c r="O163" s="320"/>
      <c r="P163" s="320"/>
      <c r="Q163" s="321"/>
      <c r="R163" s="321"/>
      <c r="S163" s="321"/>
    </row>
    <row r="164" spans="1:23" ht="18.75">
      <c r="A164" s="16" t="s">
        <v>1416</v>
      </c>
      <c r="B164" s="64"/>
      <c r="L164" s="320"/>
      <c r="M164" s="320"/>
      <c r="N164" s="320"/>
      <c r="O164" s="320"/>
      <c r="P164" s="320"/>
      <c r="Q164" s="321"/>
      <c r="R164" s="321"/>
      <c r="S164" s="321"/>
    </row>
    <row r="165" spans="1:23" ht="18.75">
      <c r="A165" s="57" t="s">
        <v>1417</v>
      </c>
    </row>
    <row r="167" spans="1:23">
      <c r="B167" s="351" t="s">
        <v>121</v>
      </c>
      <c r="C167" s="16"/>
      <c r="D167" s="322">
        <f t="shared" ref="D167" si="193">D12</f>
        <v>767738.5</v>
      </c>
      <c r="E167" s="322">
        <f t="shared" ref="E167:T167" si="194">E12</f>
        <v>61.427777919336222</v>
      </c>
      <c r="F167" s="322">
        <f t="shared" si="194"/>
        <v>767799.92777791934</v>
      </c>
      <c r="G167" s="322">
        <f t="shared" si="194"/>
        <v>778737.42370950978</v>
      </c>
      <c r="H167" s="322">
        <f t="shared" si="194"/>
        <v>6544385011</v>
      </c>
      <c r="I167" s="322">
        <f t="shared" si="194"/>
        <v>-5540071</v>
      </c>
      <c r="J167" s="322">
        <f t="shared" si="194"/>
        <v>36991495</v>
      </c>
      <c r="K167" s="322">
        <f t="shared" si="194"/>
        <v>-51749405.043738097</v>
      </c>
      <c r="L167" s="322">
        <f t="shared" si="194"/>
        <v>-67469.000000268221</v>
      </c>
      <c r="M167" s="322">
        <f t="shared" si="194"/>
        <v>6524019560.9562616</v>
      </c>
      <c r="N167" s="322">
        <f t="shared" si="194"/>
        <v>-216649654.4278841</v>
      </c>
      <c r="O167" s="322">
        <f t="shared" si="194"/>
        <v>6307369906.5283775</v>
      </c>
      <c r="P167" s="322">
        <f t="shared" si="194"/>
        <v>699173971.98000002</v>
      </c>
      <c r="Q167" s="322">
        <f t="shared" si="194"/>
        <v>-1118214.2301319586</v>
      </c>
      <c r="R167" s="322">
        <f t="shared" si="194"/>
        <v>601235.99103200436</v>
      </c>
      <c r="S167" s="322">
        <f t="shared" si="194"/>
        <v>-20276827.564800024</v>
      </c>
      <c r="T167" s="322">
        <f t="shared" si="194"/>
        <v>678380166.17610002</v>
      </c>
      <c r="U167" s="322"/>
      <c r="V167" s="123">
        <f t="shared" ref="V167:V205" si="195">L167/M167</f>
        <v>-1.0341630549982428E-5</v>
      </c>
      <c r="W167" s="123">
        <f t="shared" ref="W167:W205" si="196">J167/(H167+I167)</f>
        <v>5.6571910390032891E-3</v>
      </c>
    </row>
    <row r="168" spans="1:23">
      <c r="B168" s="351" t="s">
        <v>451</v>
      </c>
      <c r="C168" s="16"/>
      <c r="D168" s="322">
        <f t="shared" ref="D168" si="197">D13</f>
        <v>384.58333333333297</v>
      </c>
      <c r="E168" s="322">
        <f t="shared" ref="E168:T168" si="198">E13</f>
        <v>-2.8555555555554974</v>
      </c>
      <c r="F168" s="322">
        <f t="shared" si="198"/>
        <v>381.72777777777748</v>
      </c>
      <c r="G168" s="322">
        <f t="shared" si="198"/>
        <v>362.5</v>
      </c>
      <c r="H168" s="322">
        <f t="shared" si="198"/>
        <v>3071091</v>
      </c>
      <c r="I168" s="322">
        <f t="shared" si="198"/>
        <v>19969</v>
      </c>
      <c r="J168" s="322">
        <f t="shared" si="198"/>
        <v>17487</v>
      </c>
      <c r="K168" s="322">
        <f t="shared" si="198"/>
        <v>-51581.996362649603</v>
      </c>
      <c r="L168" s="322">
        <f t="shared" si="198"/>
        <v>1.0000000002328306</v>
      </c>
      <c r="M168" s="322">
        <f t="shared" si="198"/>
        <v>3056966.0036373506</v>
      </c>
      <c r="N168" s="322">
        <f t="shared" si="198"/>
        <v>-312930.00363735063</v>
      </c>
      <c r="O168" s="322">
        <f t="shared" si="198"/>
        <v>2744036</v>
      </c>
      <c r="P168" s="322">
        <f t="shared" si="198"/>
        <v>323128.2</v>
      </c>
      <c r="Q168" s="322">
        <f t="shared" si="198"/>
        <v>-795.14999999999418</v>
      </c>
      <c r="R168" s="322">
        <f t="shared" si="198"/>
        <v>172.124199999962</v>
      </c>
      <c r="S168" s="322">
        <f t="shared" si="198"/>
        <v>-31450.001500000013</v>
      </c>
      <c r="T168" s="322">
        <f t="shared" si="198"/>
        <v>291055.1727</v>
      </c>
      <c r="U168" s="322"/>
      <c r="V168" s="123">
        <f t="shared" si="195"/>
        <v>3.2712172757007249E-7</v>
      </c>
      <c r="W168" s="123">
        <f t="shared" si="196"/>
        <v>5.6572826150252664E-3</v>
      </c>
    </row>
    <row r="169" spans="1:23">
      <c r="B169" s="351" t="s">
        <v>1122</v>
      </c>
      <c r="C169" s="16"/>
      <c r="D169" s="322">
        <f t="shared" ref="D169" si="199">D14</f>
        <v>284.75</v>
      </c>
      <c r="E169" s="322">
        <f t="shared" ref="E169:T169" si="200">E14</f>
        <v>-11.50277777777751</v>
      </c>
      <c r="F169" s="322">
        <f t="shared" si="200"/>
        <v>273.24722222222249</v>
      </c>
      <c r="G169" s="322">
        <f t="shared" si="200"/>
        <v>259.5</v>
      </c>
      <c r="H169" s="322">
        <f t="shared" si="200"/>
        <v>4043370</v>
      </c>
      <c r="I169" s="322">
        <f t="shared" si="200"/>
        <v>-2050</v>
      </c>
      <c r="J169" s="322">
        <f t="shared" si="200"/>
        <v>22863</v>
      </c>
      <c r="K169" s="322">
        <f t="shared" si="200"/>
        <v>0</v>
      </c>
      <c r="L169" s="322">
        <f t="shared" si="200"/>
        <v>1</v>
      </c>
      <c r="M169" s="322">
        <f t="shared" si="200"/>
        <v>4064184</v>
      </c>
      <c r="N169" s="322">
        <f t="shared" si="200"/>
        <v>-416035.9547839174</v>
      </c>
      <c r="O169" s="322">
        <f t="shared" si="200"/>
        <v>3648148.0452160826</v>
      </c>
      <c r="P169" s="322">
        <f t="shared" si="200"/>
        <v>342218.06</v>
      </c>
      <c r="Q169" s="322">
        <f t="shared" si="200"/>
        <v>2099.7199999999998</v>
      </c>
      <c r="R169" s="322">
        <f t="shared" si="200"/>
        <v>258.31790000002366</v>
      </c>
      <c r="S169" s="322">
        <f t="shared" si="200"/>
        <v>-34500.133800000011</v>
      </c>
      <c r="T169" s="322">
        <f t="shared" si="200"/>
        <v>310075.96409999998</v>
      </c>
      <c r="U169" s="322"/>
      <c r="V169" s="123">
        <f t="shared" si="195"/>
        <v>2.4605185198307952E-7</v>
      </c>
      <c r="W169" s="123">
        <f t="shared" si="196"/>
        <v>5.6573099878257597E-3</v>
      </c>
    </row>
    <row r="170" spans="1:23">
      <c r="B170" s="351" t="s">
        <v>452</v>
      </c>
      <c r="C170" s="16"/>
      <c r="D170" s="322">
        <f t="shared" ref="D170" si="201">D15</f>
        <v>21031.666666666631</v>
      </c>
      <c r="E170" s="322">
        <f t="shared" ref="E170:T170" si="202">E15</f>
        <v>107.88888888888323</v>
      </c>
      <c r="F170" s="322">
        <f t="shared" si="202"/>
        <v>21139.555555555515</v>
      </c>
      <c r="G170" s="322">
        <f t="shared" si="202"/>
        <v>18026.916666666668</v>
      </c>
      <c r="H170" s="322">
        <f t="shared" si="202"/>
        <v>152478896</v>
      </c>
      <c r="I170" s="322">
        <f t="shared" si="202"/>
        <v>-22313</v>
      </c>
      <c r="J170" s="322">
        <f t="shared" si="202"/>
        <v>862476</v>
      </c>
      <c r="K170" s="322">
        <f t="shared" si="202"/>
        <v>-711921.12785328145</v>
      </c>
      <c r="L170" s="322">
        <f t="shared" si="202"/>
        <v>11.000000007101335</v>
      </c>
      <c r="M170" s="322">
        <f t="shared" si="202"/>
        <v>152607148.87214673</v>
      </c>
      <c r="N170" s="322">
        <f t="shared" si="202"/>
        <v>-18514077.165088847</v>
      </c>
      <c r="O170" s="322">
        <f t="shared" si="202"/>
        <v>134093071.70705788</v>
      </c>
      <c r="P170" s="322">
        <f t="shared" si="202"/>
        <v>16034299.979999999</v>
      </c>
      <c r="Q170" s="322">
        <f t="shared" si="202"/>
        <v>35720.860000000146</v>
      </c>
      <c r="R170" s="322">
        <f t="shared" si="202"/>
        <v>12857.807400001213</v>
      </c>
      <c r="S170" s="322">
        <f t="shared" si="202"/>
        <v>-1996640.6472999994</v>
      </c>
      <c r="T170" s="322">
        <f t="shared" si="202"/>
        <v>14086238.0001</v>
      </c>
      <c r="U170" s="322"/>
      <c r="V170" s="123">
        <f t="shared" si="195"/>
        <v>7.2080502705132524E-8</v>
      </c>
      <c r="W170" s="123">
        <f t="shared" si="196"/>
        <v>5.6571909394033844E-3</v>
      </c>
    </row>
    <row r="171" spans="1:23">
      <c r="B171" s="351" t="s">
        <v>1042</v>
      </c>
      <c r="C171" s="16"/>
      <c r="D171" s="322">
        <f t="shared" ref="D171" si="203">D16</f>
        <v>29869.000000000033</v>
      </c>
      <c r="E171" s="322">
        <f t="shared" ref="E171:T171" si="204">E16</f>
        <v>20.555555555518367</v>
      </c>
      <c r="F171" s="322">
        <f t="shared" si="204"/>
        <v>29889.555555555551</v>
      </c>
      <c r="G171" s="322">
        <f t="shared" si="204"/>
        <v>34868</v>
      </c>
      <c r="H171" s="322">
        <f t="shared" si="204"/>
        <v>118602700</v>
      </c>
      <c r="I171" s="322">
        <f t="shared" si="204"/>
        <v>-375389</v>
      </c>
      <c r="J171" s="322">
        <f t="shared" si="204"/>
        <v>668834</v>
      </c>
      <c r="K171" s="322">
        <f t="shared" si="204"/>
        <v>-935678.97879443609</v>
      </c>
      <c r="L171" s="322">
        <f t="shared" si="204"/>
        <v>69.999999995459802</v>
      </c>
      <c r="M171" s="322">
        <f t="shared" si="204"/>
        <v>117960536.02120556</v>
      </c>
      <c r="N171" s="322">
        <f t="shared" si="204"/>
        <v>24373709.873393103</v>
      </c>
      <c r="O171" s="322">
        <f t="shared" si="204"/>
        <v>142334245.89459866</v>
      </c>
      <c r="P171" s="322">
        <f t="shared" si="204"/>
        <v>13934825.57</v>
      </c>
      <c r="Q171" s="322">
        <f t="shared" si="204"/>
        <v>-43724.179597292299</v>
      </c>
      <c r="R171" s="322">
        <f t="shared" si="204"/>
        <v>18530.674997292459</v>
      </c>
      <c r="S171" s="322">
        <f t="shared" si="204"/>
        <v>2775672.0111999996</v>
      </c>
      <c r="T171" s="322">
        <f t="shared" si="204"/>
        <v>16685304.0766</v>
      </c>
      <c r="U171" s="322"/>
      <c r="V171" s="123">
        <f t="shared" si="195"/>
        <v>5.9341880222446619E-7</v>
      </c>
      <c r="W171" s="123">
        <f t="shared" si="196"/>
        <v>5.6571869421947691E-3</v>
      </c>
    </row>
    <row r="172" spans="1:23">
      <c r="B172" s="351" t="s">
        <v>1217</v>
      </c>
      <c r="C172" s="16"/>
      <c r="D172" s="322">
        <f t="shared" ref="D172" si="205">D17</f>
        <v>5090.916666666667</v>
      </c>
      <c r="E172" s="322">
        <f t="shared" ref="E172:T172" si="206">E17</f>
        <v>-366.41111111111877</v>
      </c>
      <c r="F172" s="322">
        <f t="shared" si="206"/>
        <v>4724.5055555555482</v>
      </c>
      <c r="G172" s="322">
        <f t="shared" si="206"/>
        <v>25612.833333333332</v>
      </c>
      <c r="H172" s="322">
        <f t="shared" si="206"/>
        <v>36843222</v>
      </c>
      <c r="I172" s="322">
        <f t="shared" si="206"/>
        <v>190505</v>
      </c>
      <c r="J172" s="322">
        <f t="shared" si="206"/>
        <v>209507</v>
      </c>
      <c r="K172" s="322">
        <f t="shared" si="206"/>
        <v>-293093.54884000064</v>
      </c>
      <c r="L172" s="322">
        <f t="shared" si="206"/>
        <v>2.9999999994179234</v>
      </c>
      <c r="M172" s="322">
        <f t="shared" si="206"/>
        <v>36950143.451159999</v>
      </c>
      <c r="N172" s="322">
        <f t="shared" si="206"/>
        <v>155859825.7387504</v>
      </c>
      <c r="O172" s="322">
        <f t="shared" si="206"/>
        <v>192809969.18991041</v>
      </c>
      <c r="P172" s="322">
        <f t="shared" si="206"/>
        <v>3970331.2399999998</v>
      </c>
      <c r="Q172" s="322">
        <f t="shared" si="206"/>
        <v>13596.369729248345</v>
      </c>
      <c r="R172" s="322">
        <f t="shared" si="206"/>
        <v>2911.457070752047</v>
      </c>
      <c r="S172" s="322">
        <f t="shared" si="206"/>
        <v>16884438.401199996</v>
      </c>
      <c r="T172" s="322">
        <f t="shared" si="206"/>
        <v>20871277.467999995</v>
      </c>
      <c r="U172" s="322"/>
      <c r="V172" s="123">
        <f t="shared" ref="V172" si="207">L172/M172</f>
        <v>8.1190483154233668E-8</v>
      </c>
      <c r="W172" s="123">
        <f t="shared" ref="W172" si="208">J172/(H172+I172)</f>
        <v>5.6571945891376258E-3</v>
      </c>
    </row>
    <row r="173" spans="1:23">
      <c r="B173" s="351" t="s">
        <v>113</v>
      </c>
      <c r="C173" s="16"/>
      <c r="D173" s="322">
        <f t="shared" ref="D173" si="209">D18+D45+D83</f>
        <v>13173.166666666701</v>
      </c>
      <c r="E173" s="322">
        <f t="shared" ref="E173:T173" si="210">E18+E45+E83</f>
        <v>-12.305555555556566</v>
      </c>
      <c r="F173" s="322">
        <f t="shared" si="210"/>
        <v>13160.861111111144</v>
      </c>
      <c r="G173" s="322">
        <f t="shared" si="210"/>
        <v>13093</v>
      </c>
      <c r="H173" s="322">
        <f t="shared" si="210"/>
        <v>5774051695</v>
      </c>
      <c r="I173" s="322">
        <f t="shared" si="210"/>
        <v>1710209</v>
      </c>
      <c r="J173" s="322">
        <f t="shared" si="210"/>
        <v>17677070</v>
      </c>
      <c r="K173" s="322">
        <f t="shared" si="210"/>
        <v>3453563.7331408579</v>
      </c>
      <c r="L173" s="322">
        <f t="shared" si="210"/>
        <v>2.9999998493585736</v>
      </c>
      <c r="M173" s="322">
        <f t="shared" si="210"/>
        <v>5796892540.7331409</v>
      </c>
      <c r="N173" s="322">
        <f t="shared" si="210"/>
        <v>-204978562.54421255</v>
      </c>
      <c r="O173" s="322">
        <f t="shared" si="210"/>
        <v>5591913978.1889286</v>
      </c>
      <c r="P173" s="322">
        <f t="shared" si="210"/>
        <v>471943268.03999996</v>
      </c>
      <c r="Q173" s="322">
        <f t="shared" si="210"/>
        <v>2023934.5668679285</v>
      </c>
      <c r="R173" s="322">
        <f t="shared" si="210"/>
        <v>320965.49464562535</v>
      </c>
      <c r="S173" s="322">
        <f t="shared" si="210"/>
        <v>-17434903.85531348</v>
      </c>
      <c r="T173" s="322">
        <f t="shared" si="210"/>
        <v>456853264.24620003</v>
      </c>
      <c r="U173" s="322"/>
      <c r="V173" s="123">
        <f t="shared" si="195"/>
        <v>5.1751862368991917E-10</v>
      </c>
      <c r="W173" s="123">
        <f t="shared" si="196"/>
        <v>3.0605607180167445E-3</v>
      </c>
    </row>
    <row r="174" spans="1:23">
      <c r="B174" s="351" t="s">
        <v>1040</v>
      </c>
      <c r="C174" s="16"/>
      <c r="D174" s="322">
        <f t="shared" ref="D174" si="211">D19+D46+D84</f>
        <v>285.74999999999966</v>
      </c>
      <c r="E174" s="322">
        <f t="shared" ref="E174:T174" si="212">E19+E46+E84</f>
        <v>-0.43611111111076006</v>
      </c>
      <c r="F174" s="322">
        <f t="shared" si="212"/>
        <v>285.31388888888893</v>
      </c>
      <c r="G174" s="322">
        <f t="shared" si="212"/>
        <v>369.5</v>
      </c>
      <c r="H174" s="322">
        <f t="shared" si="212"/>
        <v>129809629</v>
      </c>
      <c r="I174" s="322">
        <f t="shared" si="212"/>
        <v>-655811</v>
      </c>
      <c r="J174" s="322">
        <f t="shared" si="212"/>
        <v>638530</v>
      </c>
      <c r="K174" s="322">
        <f t="shared" si="212"/>
        <v>82361.634666157057</v>
      </c>
      <c r="L174" s="322">
        <f t="shared" si="212"/>
        <v>2.0000000110740075</v>
      </c>
      <c r="M174" s="322">
        <f t="shared" si="212"/>
        <v>129874711.63466617</v>
      </c>
      <c r="N174" s="322">
        <f t="shared" si="212"/>
        <v>40377511.856401339</v>
      </c>
      <c r="O174" s="322">
        <f t="shared" si="212"/>
        <v>170252223.4910675</v>
      </c>
      <c r="P174" s="322">
        <f t="shared" si="212"/>
        <v>10943113.200000001</v>
      </c>
      <c r="Q174" s="322">
        <f t="shared" si="212"/>
        <v>19508.841743918372</v>
      </c>
      <c r="R174" s="322">
        <f t="shared" si="212"/>
        <v>7492.9050560817122</v>
      </c>
      <c r="S174" s="322">
        <f t="shared" si="212"/>
        <v>3392694.3102000002</v>
      </c>
      <c r="T174" s="322">
        <f t="shared" si="212"/>
        <v>14362809.257000001</v>
      </c>
      <c r="U174" s="322"/>
      <c r="V174" s="123">
        <f t="shared" si="195"/>
        <v>1.5399456798795057E-8</v>
      </c>
      <c r="W174" s="123">
        <f t="shared" si="196"/>
        <v>4.943949856751428E-3</v>
      </c>
    </row>
    <row r="175" spans="1:23">
      <c r="B175" s="351" t="s">
        <v>1219</v>
      </c>
      <c r="C175" s="16"/>
      <c r="D175" s="322">
        <f>D47+D85</f>
        <v>19.333333333333368</v>
      </c>
      <c r="E175" s="322">
        <f t="shared" ref="E175:T175" si="213">E47+E85</f>
        <v>-0.9388888888889193</v>
      </c>
      <c r="F175" s="322">
        <f t="shared" si="213"/>
        <v>18.394444444444446</v>
      </c>
      <c r="G175" s="322">
        <f t="shared" si="213"/>
        <v>50.916666666666664</v>
      </c>
      <c r="H175" s="322">
        <f t="shared" si="213"/>
        <v>6322426</v>
      </c>
      <c r="I175" s="322">
        <f t="shared" si="213"/>
        <v>423644</v>
      </c>
      <c r="J175" s="322">
        <f t="shared" si="213"/>
        <v>20121</v>
      </c>
      <c r="K175" s="322">
        <f t="shared" si="213"/>
        <v>4543.9969138880333</v>
      </c>
      <c r="L175" s="322">
        <f t="shared" si="213"/>
        <v>-4.7293724492192268E-10</v>
      </c>
      <c r="M175" s="322">
        <f t="shared" si="213"/>
        <v>6770734.9969138876</v>
      </c>
      <c r="N175" s="322">
        <f t="shared" si="213"/>
        <v>17389221.620776899</v>
      </c>
      <c r="O175" s="322">
        <f t="shared" si="213"/>
        <v>24159956.617690787</v>
      </c>
      <c r="P175" s="322">
        <f t="shared" si="213"/>
        <v>634918.44999999995</v>
      </c>
      <c r="Q175" s="322">
        <f t="shared" si="213"/>
        <v>34857.818801676687</v>
      </c>
      <c r="R175" s="322">
        <f t="shared" si="213"/>
        <v>73.66199832323764</v>
      </c>
      <c r="S175" s="322">
        <f t="shared" si="213"/>
        <v>1749415.5647000005</v>
      </c>
      <c r="T175" s="322">
        <f t="shared" si="213"/>
        <v>2419265.4955000002</v>
      </c>
      <c r="U175" s="322"/>
      <c r="V175" s="123">
        <f t="shared" ref="V175" si="214">L175/M175</f>
        <v>-6.9850207567935866E-17</v>
      </c>
      <c r="W175" s="123">
        <f t="shared" ref="W175" si="215">J175/(H175+I175)</f>
        <v>2.982625439700448E-3</v>
      </c>
    </row>
    <row r="176" spans="1:23">
      <c r="B176" s="351" t="s">
        <v>453</v>
      </c>
      <c r="C176" s="16"/>
      <c r="D176" s="322">
        <f t="shared" ref="D176" si="216">D20+D48+D86</f>
        <v>2558.2499999999973</v>
      </c>
      <c r="E176" s="322">
        <f t="shared" ref="E176:T176" si="217">E20+E48+E86</f>
        <v>-8.9944444444356577</v>
      </c>
      <c r="F176" s="322">
        <f t="shared" si="217"/>
        <v>2549.2555555555614</v>
      </c>
      <c r="G176" s="322">
        <f t="shared" si="217"/>
        <v>2655.8333333333335</v>
      </c>
      <c r="H176" s="322">
        <f t="shared" si="217"/>
        <v>350169589</v>
      </c>
      <c r="I176" s="322">
        <f t="shared" si="217"/>
        <v>-1507850</v>
      </c>
      <c r="J176" s="322">
        <f t="shared" si="217"/>
        <v>662780</v>
      </c>
      <c r="K176" s="322">
        <f t="shared" si="217"/>
        <v>296701.35359118145</v>
      </c>
      <c r="L176" s="322">
        <f t="shared" si="217"/>
        <v>2.223532646894455E-8</v>
      </c>
      <c r="M176" s="322">
        <f t="shared" si="217"/>
        <v>349621220.3535912</v>
      </c>
      <c r="N176" s="322">
        <f t="shared" si="217"/>
        <v>30962783.77104792</v>
      </c>
      <c r="O176" s="322">
        <f t="shared" si="217"/>
        <v>380584004.12463915</v>
      </c>
      <c r="P176" s="322">
        <f t="shared" si="217"/>
        <v>39504816.600000001</v>
      </c>
      <c r="Q176" s="322">
        <f t="shared" si="217"/>
        <v>110089.67471198432</v>
      </c>
      <c r="R176" s="322">
        <f t="shared" si="217"/>
        <v>24730.090688018012</v>
      </c>
      <c r="S176" s="322">
        <f t="shared" si="217"/>
        <v>3400797.3746999963</v>
      </c>
      <c r="T176" s="322">
        <f t="shared" si="217"/>
        <v>43040433.740099996</v>
      </c>
      <c r="U176" s="322"/>
      <c r="V176" s="123">
        <f t="shared" si="195"/>
        <v>6.3598332064789252E-17</v>
      </c>
      <c r="W176" s="123">
        <f t="shared" si="196"/>
        <v>1.9009255271339078E-3</v>
      </c>
    </row>
    <row r="177" spans="2:23">
      <c r="B177" s="351" t="s">
        <v>1043</v>
      </c>
      <c r="C177" s="16"/>
      <c r="D177" s="322">
        <f t="shared" ref="D177" si="218">D21+D49+D87</f>
        <v>103.8333333333333</v>
      </c>
      <c r="E177" s="322">
        <f t="shared" ref="E177:T177" si="219">E21+E49+E87</f>
        <v>-2.2222222222191945E-2</v>
      </c>
      <c r="F177" s="322">
        <f t="shared" si="219"/>
        <v>103.8111111111111</v>
      </c>
      <c r="G177" s="322">
        <f t="shared" si="219"/>
        <v>149.75</v>
      </c>
      <c r="H177" s="322">
        <f t="shared" si="219"/>
        <v>14574090</v>
      </c>
      <c r="I177" s="322">
        <f t="shared" si="219"/>
        <v>6861</v>
      </c>
      <c r="J177" s="322">
        <f t="shared" si="219"/>
        <v>-9687</v>
      </c>
      <c r="K177" s="322">
        <f t="shared" si="219"/>
        <v>10991.350323540019</v>
      </c>
      <c r="L177" s="322">
        <f t="shared" si="219"/>
        <v>5.0000000010713848</v>
      </c>
      <c r="M177" s="322">
        <f t="shared" si="219"/>
        <v>14582260.350323541</v>
      </c>
      <c r="N177" s="322">
        <f t="shared" si="219"/>
        <v>8851385.7508461904</v>
      </c>
      <c r="O177" s="322">
        <f t="shared" si="219"/>
        <v>23433646.101169731</v>
      </c>
      <c r="P177" s="322">
        <f t="shared" si="219"/>
        <v>1926229.5899999999</v>
      </c>
      <c r="Q177" s="322">
        <f t="shared" si="219"/>
        <v>-130.16677520628946</v>
      </c>
      <c r="R177" s="322">
        <f t="shared" si="219"/>
        <v>2345.6904752063519</v>
      </c>
      <c r="S177" s="322">
        <f t="shared" si="219"/>
        <v>1201154.9057999998</v>
      </c>
      <c r="T177" s="322">
        <f t="shared" si="219"/>
        <v>3129600.0194999999</v>
      </c>
      <c r="U177" s="322"/>
      <c r="V177" s="123">
        <f t="shared" si="195"/>
        <v>3.4288237083631881E-7</v>
      </c>
      <c r="W177" s="123">
        <f t="shared" si="196"/>
        <v>-6.6435995841423513E-4</v>
      </c>
    </row>
    <row r="178" spans="2:23">
      <c r="B178" s="351" t="s">
        <v>1580</v>
      </c>
      <c r="C178" s="16"/>
      <c r="D178" s="322">
        <f>D50</f>
        <v>1.4166666666666701</v>
      </c>
      <c r="E178" s="322">
        <f t="shared" ref="E178:T178" si="220">E50</f>
        <v>-0.20000000000000351</v>
      </c>
      <c r="F178" s="322">
        <f t="shared" si="220"/>
        <v>1.2166666666666666</v>
      </c>
      <c r="G178" s="322">
        <f t="shared" si="220"/>
        <v>0</v>
      </c>
      <c r="H178" s="322">
        <f t="shared" si="220"/>
        <v>262038</v>
      </c>
      <c r="I178" s="322">
        <f t="shared" si="220"/>
        <v>36259</v>
      </c>
      <c r="J178" s="322">
        <f t="shared" si="220"/>
        <v>1583</v>
      </c>
      <c r="K178" s="322">
        <f t="shared" si="220"/>
        <v>311.38836035766417</v>
      </c>
      <c r="L178" s="322">
        <f t="shared" si="220"/>
        <v>4.5474735088646412E-12</v>
      </c>
      <c r="M178" s="322">
        <f t="shared" si="220"/>
        <v>300191.38836035767</v>
      </c>
      <c r="N178" s="322">
        <f t="shared" si="220"/>
        <v>-300191.38836035767</v>
      </c>
      <c r="O178" s="322">
        <f t="shared" si="220"/>
        <v>0</v>
      </c>
      <c r="P178" s="322">
        <f t="shared" si="220"/>
        <v>25073.200000000001</v>
      </c>
      <c r="Q178" s="322">
        <f t="shared" si="220"/>
        <v>2767.2120632219867</v>
      </c>
      <c r="R178" s="322">
        <f t="shared" si="220"/>
        <v>-0.47566322198690614</v>
      </c>
      <c r="S178" s="322">
        <f t="shared" si="220"/>
        <v>-27839.936399999999</v>
      </c>
      <c r="T178" s="322">
        <f t="shared" si="220"/>
        <v>0</v>
      </c>
      <c r="U178" s="322"/>
      <c r="V178" s="123">
        <f t="shared" ref="V178" si="221">L178/M178</f>
        <v>1.5148580822730778E-17</v>
      </c>
      <c r="W178" s="123">
        <f t="shared" ref="W178" si="222">J178/(H178+I178)</f>
        <v>5.3067915533847139E-3</v>
      </c>
    </row>
    <row r="179" spans="2:23">
      <c r="B179" s="351" t="s">
        <v>454</v>
      </c>
      <c r="C179" s="22"/>
      <c r="D179" s="322">
        <f t="shared" ref="D179" si="223">D22+D51+D88</f>
        <v>15.666666666666638</v>
      </c>
      <c r="E179" s="322">
        <f t="shared" ref="E179:T179" si="224">E22+E51+E88</f>
        <v>-0.16666666666663721</v>
      </c>
      <c r="F179" s="322">
        <f t="shared" si="224"/>
        <v>15.5</v>
      </c>
      <c r="G179" s="322">
        <f t="shared" si="224"/>
        <v>16</v>
      </c>
      <c r="H179" s="322">
        <f t="shared" si="224"/>
        <v>3302522</v>
      </c>
      <c r="I179" s="322">
        <f t="shared" si="224"/>
        <v>465</v>
      </c>
      <c r="J179" s="322">
        <f t="shared" si="224"/>
        <v>17379</v>
      </c>
      <c r="K179" s="322">
        <f t="shared" si="224"/>
        <v>4687.7066724524602</v>
      </c>
      <c r="L179" s="322">
        <f t="shared" si="224"/>
        <v>-7.0031092036515474E-11</v>
      </c>
      <c r="M179" s="322">
        <f t="shared" si="224"/>
        <v>3325053.7066724524</v>
      </c>
      <c r="N179" s="322">
        <f t="shared" si="224"/>
        <v>55637.29332754761</v>
      </c>
      <c r="O179" s="322">
        <f t="shared" si="224"/>
        <v>3380691</v>
      </c>
      <c r="P179" s="322">
        <f t="shared" si="224"/>
        <v>319331.63999999996</v>
      </c>
      <c r="Q179" s="322">
        <f t="shared" si="224"/>
        <v>2301.6000000000004</v>
      </c>
      <c r="R179" s="322">
        <f t="shared" si="224"/>
        <v>186.85220000002118</v>
      </c>
      <c r="S179" s="322">
        <f t="shared" si="224"/>
        <v>9340.5726999999897</v>
      </c>
      <c r="T179" s="322">
        <f t="shared" si="224"/>
        <v>331160.66489999997</v>
      </c>
      <c r="U179" s="322"/>
      <c r="V179" s="123">
        <f t="shared" si="195"/>
        <v>-2.1061642371665357E-17</v>
      </c>
      <c r="W179" s="123">
        <f t="shared" si="196"/>
        <v>5.261601090164751E-3</v>
      </c>
    </row>
    <row r="180" spans="2:23">
      <c r="B180" s="351" t="s">
        <v>455</v>
      </c>
      <c r="C180" s="16"/>
      <c r="D180" s="322">
        <f t="shared" ref="D180" si="225">D23+D52+D89+D136</f>
        <v>6725.8333333333267</v>
      </c>
      <c r="E180" s="322">
        <f t="shared" ref="E180:T180" si="226">E23+E52+E89+E136</f>
        <v>0</v>
      </c>
      <c r="F180" s="322">
        <f t="shared" si="226"/>
        <v>6725.8333333333267</v>
      </c>
      <c r="G180" s="322">
        <f t="shared" si="226"/>
        <v>6491</v>
      </c>
      <c r="H180" s="322">
        <f t="shared" si="226"/>
        <v>10794623</v>
      </c>
      <c r="I180" s="322">
        <f t="shared" si="226"/>
        <v>25405.42431456393</v>
      </c>
      <c r="J180" s="322">
        <f t="shared" si="226"/>
        <v>21913</v>
      </c>
      <c r="K180" s="322">
        <f t="shared" si="226"/>
        <v>0</v>
      </c>
      <c r="L180" s="322">
        <f t="shared" si="226"/>
        <v>1331.5261656676139</v>
      </c>
      <c r="M180" s="322">
        <f t="shared" si="226"/>
        <v>10843272.950480232</v>
      </c>
      <c r="N180" s="322">
        <f t="shared" si="226"/>
        <v>-345288.48117160436</v>
      </c>
      <c r="O180" s="322">
        <f t="shared" si="226"/>
        <v>10497984.469308628</v>
      </c>
      <c r="P180" s="322">
        <f t="shared" si="226"/>
        <v>2567681.0100000002</v>
      </c>
      <c r="Q180" s="322">
        <f t="shared" si="226"/>
        <v>13908.859999999986</v>
      </c>
      <c r="R180" s="322">
        <f t="shared" si="226"/>
        <v>786.62939999997616</v>
      </c>
      <c r="S180" s="322">
        <f t="shared" si="226"/>
        <v>-86550.091000000059</v>
      </c>
      <c r="T180" s="322">
        <f t="shared" si="226"/>
        <v>2495826.4084000001</v>
      </c>
      <c r="U180" s="322"/>
      <c r="V180" s="123">
        <f t="shared" si="195"/>
        <v>1.2279744056508719E-4</v>
      </c>
      <c r="W180" s="123">
        <f t="shared" si="196"/>
        <v>2.0252257333037609E-3</v>
      </c>
    </row>
    <row r="181" spans="2:23">
      <c r="B181" s="351" t="s">
        <v>568</v>
      </c>
      <c r="C181" s="16"/>
      <c r="D181" s="322">
        <f t="shared" ref="D181" si="227">D24+D53+D90</f>
        <v>235</v>
      </c>
      <c r="E181" s="322">
        <f t="shared" ref="E181:T181" si="228">E24+E53+E90</f>
        <v>-2.3750357142858292</v>
      </c>
      <c r="F181" s="322">
        <f t="shared" si="228"/>
        <v>232.62496428571416</v>
      </c>
      <c r="G181" s="322">
        <f t="shared" si="228"/>
        <v>235.25</v>
      </c>
      <c r="H181" s="322">
        <f t="shared" si="228"/>
        <v>1944202137</v>
      </c>
      <c r="I181" s="322">
        <f t="shared" si="228"/>
        <v>1175767</v>
      </c>
      <c r="J181" s="322">
        <f t="shared" si="228"/>
        <v>-11458760</v>
      </c>
      <c r="K181" s="322">
        <f t="shared" si="228"/>
        <v>997470.99508160411</v>
      </c>
      <c r="L181" s="322">
        <f t="shared" si="228"/>
        <v>5.9022568166255951E-8</v>
      </c>
      <c r="M181" s="322">
        <f t="shared" si="228"/>
        <v>1934916614.9950817</v>
      </c>
      <c r="N181" s="322">
        <f t="shared" si="228"/>
        <v>22561207.058483601</v>
      </c>
      <c r="O181" s="322">
        <f t="shared" si="228"/>
        <v>1957477822.0535653</v>
      </c>
      <c r="P181" s="322">
        <f t="shared" si="228"/>
        <v>140345234.56999999</v>
      </c>
      <c r="Q181" s="322">
        <f t="shared" si="228"/>
        <v>-604714.32755452464</v>
      </c>
      <c r="R181" s="322">
        <f t="shared" si="228"/>
        <v>81008.458754509687</v>
      </c>
      <c r="S181" s="322">
        <f t="shared" si="228"/>
        <v>1965176.0742000043</v>
      </c>
      <c r="T181" s="322">
        <f t="shared" si="228"/>
        <v>141786704.77539998</v>
      </c>
      <c r="U181" s="322"/>
      <c r="V181" s="123">
        <f t="shared" si="195"/>
        <v>3.0503933714169891E-17</v>
      </c>
      <c r="W181" s="123">
        <f t="shared" si="196"/>
        <v>-5.8902488696098605E-3</v>
      </c>
    </row>
    <row r="182" spans="2:23">
      <c r="B182" s="351" t="s">
        <v>1044</v>
      </c>
      <c r="C182" s="16"/>
      <c r="D182" s="322">
        <f>D54</f>
        <v>11.25</v>
      </c>
      <c r="E182" s="322">
        <f t="shared" ref="E182:T182" si="229">E54</f>
        <v>5.2773809523833037E-2</v>
      </c>
      <c r="F182" s="322">
        <f t="shared" si="229"/>
        <v>11.302773809523833</v>
      </c>
      <c r="G182" s="322">
        <f t="shared" si="229"/>
        <v>14</v>
      </c>
      <c r="H182" s="322">
        <f t="shared" si="229"/>
        <v>57650918</v>
      </c>
      <c r="I182" s="322">
        <f t="shared" si="229"/>
        <v>-242460</v>
      </c>
      <c r="J182" s="322">
        <f t="shared" si="229"/>
        <v>304568</v>
      </c>
      <c r="K182" s="322">
        <f t="shared" si="229"/>
        <v>61268.511233094796</v>
      </c>
      <c r="L182" s="322">
        <f t="shared" si="229"/>
        <v>-3.4415279515087605E-9</v>
      </c>
      <c r="M182" s="322">
        <f t="shared" si="229"/>
        <v>57774294.511233091</v>
      </c>
      <c r="N182" s="322">
        <f t="shared" si="229"/>
        <v>5451327.6857365891</v>
      </c>
      <c r="O182" s="322">
        <f t="shared" si="229"/>
        <v>63225622.19696968</v>
      </c>
      <c r="P182" s="322">
        <f t="shared" si="229"/>
        <v>4355699.9000000004</v>
      </c>
      <c r="Q182" s="322">
        <f t="shared" si="229"/>
        <v>14779.397748512069</v>
      </c>
      <c r="R182" s="322">
        <f t="shared" si="229"/>
        <v>1848.0142514873296</v>
      </c>
      <c r="S182" s="322">
        <f t="shared" si="229"/>
        <v>397933.38559999969</v>
      </c>
      <c r="T182" s="322">
        <f t="shared" si="229"/>
        <v>4770260.6975999996</v>
      </c>
      <c r="U182" s="322"/>
      <c r="V182" s="123">
        <f t="shared" si="195"/>
        <v>-5.9568498077282826E-17</v>
      </c>
      <c r="W182" s="123">
        <f t="shared" si="196"/>
        <v>5.305280974451535E-3</v>
      </c>
    </row>
    <row r="183" spans="2:23">
      <c r="B183" s="351" t="s">
        <v>1220</v>
      </c>
      <c r="C183" s="16"/>
      <c r="D183" s="322">
        <f>D55</f>
        <v>0.58333333333333304</v>
      </c>
      <c r="E183" s="322">
        <f t="shared" ref="E183:T183" si="230">E55</f>
        <v>-8.3333333333333037E-2</v>
      </c>
      <c r="F183" s="322">
        <f t="shared" si="230"/>
        <v>0.5</v>
      </c>
      <c r="G183" s="322">
        <f t="shared" si="230"/>
        <v>0</v>
      </c>
      <c r="H183" s="322">
        <f t="shared" si="230"/>
        <v>1346159</v>
      </c>
      <c r="I183" s="322">
        <f t="shared" si="230"/>
        <v>261933</v>
      </c>
      <c r="J183" s="322">
        <f t="shared" si="230"/>
        <v>8531</v>
      </c>
      <c r="K183" s="322">
        <f t="shared" si="230"/>
        <v>99.306988488046201</v>
      </c>
      <c r="L183" s="322">
        <f t="shared" si="230"/>
        <v>-9.4743768386251759E-11</v>
      </c>
      <c r="M183" s="322">
        <f t="shared" si="230"/>
        <v>1616722.306988488</v>
      </c>
      <c r="N183" s="322">
        <f t="shared" si="230"/>
        <v>-1616722.306988488</v>
      </c>
      <c r="O183" s="322">
        <f t="shared" si="230"/>
        <v>0</v>
      </c>
      <c r="P183" s="322">
        <f t="shared" si="230"/>
        <v>127011.04</v>
      </c>
      <c r="Q183" s="322">
        <f t="shared" si="230"/>
        <v>10286.669806012562</v>
      </c>
      <c r="R183" s="322">
        <f t="shared" si="230"/>
        <v>-55.395406012539752</v>
      </c>
      <c r="S183" s="322">
        <f t="shared" si="230"/>
        <v>-137242.3144</v>
      </c>
      <c r="T183" s="322">
        <f t="shared" si="230"/>
        <v>0</v>
      </c>
      <c r="U183" s="322"/>
      <c r="V183" s="123">
        <f t="shared" ref="V183" si="231">L183/M183</f>
        <v>-5.8602375916203896E-17</v>
      </c>
      <c r="W183" s="123">
        <f t="shared" ref="W183" si="232">J183/(H183+I183)</f>
        <v>5.3050447362464337E-3</v>
      </c>
    </row>
    <row r="184" spans="2:23">
      <c r="B184" s="351" t="s">
        <v>412</v>
      </c>
      <c r="C184" s="16"/>
      <c r="D184" s="322">
        <f t="shared" ref="D184" si="233">D56+D91</f>
        <v>156.66666666666669</v>
      </c>
      <c r="E184" s="322">
        <f t="shared" ref="E184:T184" si="234">E56+E91</f>
        <v>-4.7889060489060427</v>
      </c>
      <c r="F184" s="322">
        <f t="shared" si="234"/>
        <v>151.87776061776066</v>
      </c>
      <c r="G184" s="322">
        <f t="shared" si="234"/>
        <v>156</v>
      </c>
      <c r="H184" s="322">
        <f t="shared" si="234"/>
        <v>4692861421</v>
      </c>
      <c r="I184" s="322">
        <f t="shared" si="234"/>
        <v>-97623341</v>
      </c>
      <c r="J184" s="322">
        <f t="shared" si="234"/>
        <v>-53797825</v>
      </c>
      <c r="K184" s="322">
        <f t="shared" si="234"/>
        <v>0</v>
      </c>
      <c r="L184" s="322">
        <f t="shared" si="234"/>
        <v>4</v>
      </c>
      <c r="M184" s="322">
        <f t="shared" si="234"/>
        <v>4541440259</v>
      </c>
      <c r="N184" s="322">
        <f t="shared" si="234"/>
        <v>305891695.30512714</v>
      </c>
      <c r="O184" s="322">
        <f t="shared" si="234"/>
        <v>4847331954.3051271</v>
      </c>
      <c r="P184" s="322">
        <f t="shared" si="234"/>
        <v>255939402.94</v>
      </c>
      <c r="Q184" s="322">
        <f t="shared" si="234"/>
        <v>-8430832.1800000016</v>
      </c>
      <c r="R184" s="322">
        <f t="shared" si="234"/>
        <v>156035.7914999947</v>
      </c>
      <c r="S184" s="322">
        <f t="shared" si="234"/>
        <v>18044992.452299997</v>
      </c>
      <c r="T184" s="322">
        <f t="shared" si="234"/>
        <v>265709599.0038</v>
      </c>
      <c r="U184" s="322"/>
      <c r="V184" s="123">
        <f t="shared" si="195"/>
        <v>8.8077785281288224E-10</v>
      </c>
      <c r="W184" s="123">
        <f t="shared" si="196"/>
        <v>-1.1707298743485342E-2</v>
      </c>
    </row>
    <row r="185" spans="2:23">
      <c r="B185" s="351" t="s">
        <v>456</v>
      </c>
      <c r="C185" s="16"/>
      <c r="D185" s="322">
        <f t="shared" ref="D185" si="235">D57+D92</f>
        <v>9</v>
      </c>
      <c r="E185" s="322">
        <f t="shared" ref="E185:T185" si="236">E57+E92</f>
        <v>0</v>
      </c>
      <c r="F185" s="322">
        <f t="shared" si="236"/>
        <v>9</v>
      </c>
      <c r="G185" s="322">
        <f t="shared" si="236"/>
        <v>9</v>
      </c>
      <c r="H185" s="322">
        <f t="shared" si="236"/>
        <v>40162951</v>
      </c>
      <c r="I185" s="322">
        <f t="shared" si="236"/>
        <v>378000</v>
      </c>
      <c r="J185" s="322">
        <f t="shared" si="236"/>
        <v>-164095</v>
      </c>
      <c r="K185" s="322">
        <f t="shared" si="236"/>
        <v>0</v>
      </c>
      <c r="L185" s="322">
        <f t="shared" si="236"/>
        <v>0</v>
      </c>
      <c r="M185" s="322">
        <f t="shared" si="236"/>
        <v>40376856</v>
      </c>
      <c r="N185" s="322">
        <f t="shared" si="236"/>
        <v>1563431.4234458655</v>
      </c>
      <c r="O185" s="322">
        <f t="shared" si="236"/>
        <v>41940287.423445866</v>
      </c>
      <c r="P185" s="322">
        <f t="shared" si="236"/>
        <v>3049871.05</v>
      </c>
      <c r="Q185" s="322">
        <f t="shared" si="236"/>
        <v>8170</v>
      </c>
      <c r="R185" s="322">
        <f t="shared" si="236"/>
        <v>18519.673000000184</v>
      </c>
      <c r="S185" s="322">
        <f t="shared" si="236"/>
        <v>119287.83599999989</v>
      </c>
      <c r="T185" s="322">
        <f t="shared" si="236"/>
        <v>3195848.5589999999</v>
      </c>
      <c r="U185" s="322"/>
      <c r="V185" s="123">
        <f t="shared" si="195"/>
        <v>0</v>
      </c>
      <c r="W185" s="123">
        <f t="shared" si="196"/>
        <v>-4.0476356857045608E-3</v>
      </c>
    </row>
    <row r="186" spans="2:23">
      <c r="B186" s="351" t="s">
        <v>201</v>
      </c>
      <c r="C186" s="16"/>
      <c r="D186" s="322">
        <f t="shared" ref="D186" si="237">D118</f>
        <v>3356.9166666666629</v>
      </c>
      <c r="E186" s="322">
        <f t="shared" ref="E186:T186" si="238">E118</f>
        <v>7.0630659649177687</v>
      </c>
      <c r="F186" s="322">
        <f t="shared" si="238"/>
        <v>3363.9797326315806</v>
      </c>
      <c r="G186" s="322">
        <f t="shared" si="238"/>
        <v>3552</v>
      </c>
      <c r="H186" s="322">
        <f t="shared" si="238"/>
        <v>200301702</v>
      </c>
      <c r="I186" s="322">
        <f t="shared" si="238"/>
        <v>361688</v>
      </c>
      <c r="J186" s="322">
        <f t="shared" si="238"/>
        <v>377354</v>
      </c>
      <c r="K186" s="322">
        <f t="shared" si="238"/>
        <v>-1989262.895099676</v>
      </c>
      <c r="L186" s="322">
        <f t="shared" si="238"/>
        <v>6.28642737865448E-9</v>
      </c>
      <c r="M186" s="322">
        <f t="shared" si="238"/>
        <v>199051481.10490033</v>
      </c>
      <c r="N186" s="322">
        <f t="shared" si="238"/>
        <v>22040562.032240838</v>
      </c>
      <c r="O186" s="322">
        <f t="shared" si="238"/>
        <v>221092043.13714117</v>
      </c>
      <c r="P186" s="322">
        <f t="shared" si="238"/>
        <v>15414694.850000001</v>
      </c>
      <c r="Q186" s="322">
        <f t="shared" si="238"/>
        <v>-128368.54684476707</v>
      </c>
      <c r="R186" s="322">
        <f t="shared" si="238"/>
        <v>439.99974476546049</v>
      </c>
      <c r="S186" s="322">
        <f t="shared" si="238"/>
        <v>1674068.6298999991</v>
      </c>
      <c r="T186" s="322">
        <f t="shared" si="238"/>
        <v>16960834.932799999</v>
      </c>
      <c r="U186" s="322"/>
      <c r="V186" s="123">
        <f t="shared" si="195"/>
        <v>3.1581917118926269E-17</v>
      </c>
      <c r="W186" s="123">
        <f t="shared" si="196"/>
        <v>1.880532368161427E-3</v>
      </c>
    </row>
    <row r="187" spans="2:23">
      <c r="B187" s="351" t="s">
        <v>1045</v>
      </c>
      <c r="C187" s="16"/>
      <c r="D187" s="322">
        <f t="shared" ref="D187" si="239">D119</f>
        <v>65.5833333333333</v>
      </c>
      <c r="E187" s="322">
        <f t="shared" ref="E187:T187" si="240">E119</f>
        <v>-3.8607017543859001</v>
      </c>
      <c r="F187" s="322">
        <f t="shared" si="240"/>
        <v>61.7226315789474</v>
      </c>
      <c r="G187" s="322">
        <f t="shared" si="240"/>
        <v>56</v>
      </c>
      <c r="H187" s="322">
        <f t="shared" si="240"/>
        <v>8317152</v>
      </c>
      <c r="I187" s="322">
        <f t="shared" si="240"/>
        <v>2700</v>
      </c>
      <c r="J187" s="322">
        <f t="shared" si="240"/>
        <v>15646</v>
      </c>
      <c r="K187" s="322">
        <f t="shared" si="240"/>
        <v>-70050.533700324726</v>
      </c>
      <c r="L187" s="322">
        <f t="shared" si="240"/>
        <v>1.0000000001309672</v>
      </c>
      <c r="M187" s="322">
        <f t="shared" si="240"/>
        <v>8265448.4662996754</v>
      </c>
      <c r="N187" s="322">
        <f t="shared" si="240"/>
        <v>1034981.1159004737</v>
      </c>
      <c r="O187" s="322">
        <f t="shared" si="240"/>
        <v>9300429.5822001491</v>
      </c>
      <c r="P187" s="322">
        <f t="shared" si="240"/>
        <v>660965.68999999994</v>
      </c>
      <c r="Q187" s="322">
        <f t="shared" si="240"/>
        <v>-3078.0631552355144</v>
      </c>
      <c r="R187" s="322">
        <f t="shared" si="240"/>
        <v>71.568155235494487</v>
      </c>
      <c r="S187" s="322">
        <f t="shared" si="240"/>
        <v>80760.325700000045</v>
      </c>
      <c r="T187" s="322">
        <f t="shared" si="240"/>
        <v>738719.52069999999</v>
      </c>
      <c r="U187" s="322"/>
      <c r="V187" s="123">
        <f t="shared" si="195"/>
        <v>1.2098557074165064E-7</v>
      </c>
      <c r="W187" s="123">
        <f t="shared" si="196"/>
        <v>1.8805622984639631E-3</v>
      </c>
    </row>
    <row r="188" spans="2:23">
      <c r="B188" s="351" t="s">
        <v>458</v>
      </c>
      <c r="C188" s="16"/>
      <c r="D188" s="322">
        <f t="shared" ref="D188" si="241">D137</f>
        <v>717.16666666666697</v>
      </c>
      <c r="E188" s="322">
        <f t="shared" ref="E188:T188" si="242">E137</f>
        <v>0</v>
      </c>
      <c r="F188" s="322">
        <f t="shared" si="242"/>
        <v>717.16666666666697</v>
      </c>
      <c r="G188" s="322">
        <f t="shared" si="242"/>
        <v>715</v>
      </c>
      <c r="H188" s="322">
        <f t="shared" si="242"/>
        <v>13486873</v>
      </c>
      <c r="I188" s="322">
        <f t="shared" si="242"/>
        <v>57085.944019064824</v>
      </c>
      <c r="J188" s="322">
        <f t="shared" si="242"/>
        <v>-501829</v>
      </c>
      <c r="K188" s="322">
        <f t="shared" si="242"/>
        <v>0</v>
      </c>
      <c r="L188" s="322">
        <f t="shared" si="242"/>
        <v>-9.0635374712292105E-2</v>
      </c>
      <c r="M188" s="322">
        <f t="shared" si="242"/>
        <v>13042129.85338369</v>
      </c>
      <c r="N188" s="322">
        <f t="shared" si="242"/>
        <v>530378.38024565019</v>
      </c>
      <c r="O188" s="322">
        <f t="shared" si="242"/>
        <v>13572508.23362934</v>
      </c>
      <c r="P188" s="322">
        <f t="shared" si="242"/>
        <v>4076143.35</v>
      </c>
      <c r="Q188" s="322">
        <f t="shared" si="242"/>
        <v>-126087.34</v>
      </c>
      <c r="R188" s="322">
        <f t="shared" si="242"/>
        <v>668.49939999962226</v>
      </c>
      <c r="S188" s="322">
        <f t="shared" si="242"/>
        <v>152462.28480000002</v>
      </c>
      <c r="T188" s="322">
        <f t="shared" si="242"/>
        <v>4103186.7941999999</v>
      </c>
      <c r="U188" s="322"/>
      <c r="V188" s="123">
        <f t="shared" si="195"/>
        <v>-6.9494304788552144E-9</v>
      </c>
      <c r="W188" s="123">
        <f t="shared" si="196"/>
        <v>-3.705186955115549E-2</v>
      </c>
    </row>
    <row r="189" spans="2:23">
      <c r="B189" s="351" t="s">
        <v>602</v>
      </c>
      <c r="C189" s="22"/>
      <c r="D189" s="322">
        <f t="shared" ref="D189" si="243">D138</f>
        <v>1005.41666666667</v>
      </c>
      <c r="E189" s="322">
        <f t="shared" ref="E189:T189" si="244">E138</f>
        <v>0</v>
      </c>
      <c r="F189" s="322">
        <f t="shared" si="244"/>
        <v>1005.41666666667</v>
      </c>
      <c r="G189" s="322">
        <f t="shared" si="244"/>
        <v>990</v>
      </c>
      <c r="H189" s="322">
        <f t="shared" si="244"/>
        <v>41473261</v>
      </c>
      <c r="I189" s="322">
        <f t="shared" si="244"/>
        <v>-42506.070570033509</v>
      </c>
      <c r="J189" s="322">
        <f t="shared" si="244"/>
        <v>-1535086</v>
      </c>
      <c r="K189" s="322">
        <f t="shared" si="244"/>
        <v>0</v>
      </c>
      <c r="L189" s="322">
        <f t="shared" si="244"/>
        <v>-15.819587941747159</v>
      </c>
      <c r="M189" s="322">
        <f t="shared" si="244"/>
        <v>39895653.109842025</v>
      </c>
      <c r="N189" s="322">
        <f t="shared" si="244"/>
        <v>-15942520.445539728</v>
      </c>
      <c r="O189" s="322">
        <f t="shared" si="244"/>
        <v>23953132.664302297</v>
      </c>
      <c r="P189" s="322">
        <f t="shared" si="244"/>
        <v>2642631.15</v>
      </c>
      <c r="Q189" s="322">
        <f t="shared" si="244"/>
        <v>-95400.41</v>
      </c>
      <c r="R189" s="322">
        <f t="shared" si="244"/>
        <v>784.1394000002183</v>
      </c>
      <c r="S189" s="322">
        <f t="shared" si="244"/>
        <v>-1021262.2208</v>
      </c>
      <c r="T189" s="322">
        <f t="shared" si="244"/>
        <v>1526752.6586</v>
      </c>
      <c r="U189" s="322"/>
      <c r="V189" s="123">
        <f t="shared" si="195"/>
        <v>-3.9652409996127016E-7</v>
      </c>
      <c r="W189" s="123">
        <f t="shared" si="196"/>
        <v>-3.7051847175238545E-2</v>
      </c>
    </row>
    <row r="190" spans="2:23">
      <c r="B190" s="351" t="s">
        <v>603</v>
      </c>
      <c r="C190" s="23"/>
      <c r="D190" s="322">
        <f t="shared" ref="D190" si="245">D139</f>
        <v>67</v>
      </c>
      <c r="E190" s="322">
        <f t="shared" ref="E190:T190" si="246">E139</f>
        <v>0</v>
      </c>
      <c r="F190" s="322">
        <f t="shared" si="246"/>
        <v>67</v>
      </c>
      <c r="G190" s="322">
        <f t="shared" si="246"/>
        <v>69</v>
      </c>
      <c r="H190" s="322">
        <f t="shared" si="246"/>
        <v>950724</v>
      </c>
      <c r="I190" s="322">
        <f t="shared" si="246"/>
        <v>-3748</v>
      </c>
      <c r="J190" s="322">
        <f t="shared" si="246"/>
        <v>-35087</v>
      </c>
      <c r="K190" s="322">
        <f t="shared" si="246"/>
        <v>0</v>
      </c>
      <c r="L190" s="322">
        <f t="shared" si="246"/>
        <v>0.17346773273311555</v>
      </c>
      <c r="M190" s="322">
        <f t="shared" si="246"/>
        <v>911889.17346773273</v>
      </c>
      <c r="N190" s="322">
        <f t="shared" si="246"/>
        <v>69188.366600760492</v>
      </c>
      <c r="O190" s="322">
        <f t="shared" si="246"/>
        <v>981077.54006849322</v>
      </c>
      <c r="P190" s="322">
        <f t="shared" si="246"/>
        <v>126854.46</v>
      </c>
      <c r="Q190" s="322">
        <f t="shared" si="246"/>
        <v>-4926.97</v>
      </c>
      <c r="R190" s="322">
        <f t="shared" si="246"/>
        <v>183.21119999999064</v>
      </c>
      <c r="S190" s="322">
        <f t="shared" si="246"/>
        <v>8979.2863999999972</v>
      </c>
      <c r="T190" s="322">
        <f t="shared" si="246"/>
        <v>131089.98759999999</v>
      </c>
      <c r="U190" s="322"/>
      <c r="V190" s="123">
        <f t="shared" si="195"/>
        <v>1.9022896397974806E-7</v>
      </c>
      <c r="W190" s="123">
        <f t="shared" si="196"/>
        <v>-3.7051625384381441E-2</v>
      </c>
    </row>
    <row r="191" spans="2:23">
      <c r="B191" s="351" t="s">
        <v>604</v>
      </c>
      <c r="C191" s="23"/>
      <c r="D191" s="322">
        <f t="shared" ref="D191" si="247">D140</f>
        <v>169.5</v>
      </c>
      <c r="E191" s="322">
        <f t="shared" ref="E191:T191" si="248">E140</f>
        <v>0</v>
      </c>
      <c r="F191" s="322">
        <f t="shared" si="248"/>
        <v>169.5</v>
      </c>
      <c r="G191" s="322">
        <f t="shared" si="248"/>
        <v>170</v>
      </c>
      <c r="H191" s="322">
        <f t="shared" si="248"/>
        <v>3021383</v>
      </c>
      <c r="I191" s="322">
        <f t="shared" si="248"/>
        <v>22394.487734735801</v>
      </c>
      <c r="J191" s="322">
        <f t="shared" si="248"/>
        <v>-112778</v>
      </c>
      <c r="K191" s="322">
        <f t="shared" si="248"/>
        <v>0</v>
      </c>
      <c r="L191" s="322">
        <f t="shared" si="248"/>
        <v>2.7550263625162188</v>
      </c>
      <c r="M191" s="322">
        <f t="shared" si="248"/>
        <v>2931002.2427610983</v>
      </c>
      <c r="N191" s="322">
        <f t="shared" si="248"/>
        <v>-996338.24276109831</v>
      </c>
      <c r="O191" s="322">
        <f t="shared" si="248"/>
        <v>1934664</v>
      </c>
      <c r="P191" s="322">
        <f t="shared" si="248"/>
        <v>374185.08</v>
      </c>
      <c r="Q191" s="322">
        <f t="shared" si="248"/>
        <v>-12319.039999999999</v>
      </c>
      <c r="R191" s="322">
        <f t="shared" si="248"/>
        <v>155.01499999995576</v>
      </c>
      <c r="S191" s="322">
        <f t="shared" si="248"/>
        <v>-123537.4148</v>
      </c>
      <c r="T191" s="322">
        <f t="shared" si="248"/>
        <v>238483.64019999999</v>
      </c>
      <c r="U191" s="322"/>
      <c r="V191" s="123">
        <f t="shared" si="195"/>
        <v>9.399605098633072E-7</v>
      </c>
      <c r="W191" s="123">
        <f t="shared" si="196"/>
        <v>-3.7051985716581581E-2</v>
      </c>
    </row>
    <row r="192" spans="2:23">
      <c r="B192" s="351" t="s">
        <v>601</v>
      </c>
      <c r="C192" s="16"/>
      <c r="D192" s="322">
        <f t="shared" ref="D192" si="249">D58+D93+D141</f>
        <v>638.75000000000023</v>
      </c>
      <c r="E192" s="322">
        <f t="shared" ref="E192:T192" si="250">E58+E93+E141</f>
        <v>-2.761155913978584</v>
      </c>
      <c r="F192" s="322">
        <f t="shared" si="250"/>
        <v>635.98884408602169</v>
      </c>
      <c r="G192" s="322">
        <f t="shared" si="250"/>
        <v>637</v>
      </c>
      <c r="H192" s="322">
        <f t="shared" si="250"/>
        <v>15415269</v>
      </c>
      <c r="I192" s="322">
        <f t="shared" si="250"/>
        <v>150498</v>
      </c>
      <c r="J192" s="322">
        <f t="shared" si="250"/>
        <v>45517</v>
      </c>
      <c r="K192" s="322">
        <f t="shared" si="250"/>
        <v>0</v>
      </c>
      <c r="L192" s="322">
        <f t="shared" si="250"/>
        <v>0</v>
      </c>
      <c r="M192" s="322">
        <f t="shared" si="250"/>
        <v>15611284</v>
      </c>
      <c r="N192" s="322">
        <f t="shared" si="250"/>
        <v>351867.06271923357</v>
      </c>
      <c r="O192" s="322">
        <f t="shared" si="250"/>
        <v>15963151.062719233</v>
      </c>
      <c r="P192" s="322">
        <f t="shared" si="250"/>
        <v>1120329.8799999999</v>
      </c>
      <c r="Q192" s="322">
        <f t="shared" si="250"/>
        <v>12332.2</v>
      </c>
      <c r="R192" s="322">
        <f t="shared" si="250"/>
        <v>527.85600000005115</v>
      </c>
      <c r="S192" s="322">
        <f t="shared" si="250"/>
        <v>22125.420000000064</v>
      </c>
      <c r="T192" s="322">
        <f t="shared" si="250"/>
        <v>1155315.3559999999</v>
      </c>
      <c r="U192" s="322"/>
      <c r="V192" s="123">
        <f t="shared" si="195"/>
        <v>0</v>
      </c>
      <c r="W192" s="123">
        <f t="shared" si="196"/>
        <v>2.9241732835908439E-3</v>
      </c>
    </row>
    <row r="193" spans="2:23">
      <c r="B193" s="351" t="s">
        <v>600</v>
      </c>
      <c r="C193" s="23"/>
      <c r="D193" s="322">
        <f t="shared" ref="D193" si="251">D59+D94+D142</f>
        <v>2698.3333333333399</v>
      </c>
      <c r="E193" s="322">
        <f t="shared" ref="E193:T193" si="252">E59+E94+E142</f>
        <v>3.9796969696886695</v>
      </c>
      <c r="F193" s="322">
        <f t="shared" si="252"/>
        <v>2702.3130303030284</v>
      </c>
      <c r="G193" s="322">
        <f t="shared" si="252"/>
        <v>2734.25</v>
      </c>
      <c r="H193" s="322">
        <f t="shared" si="252"/>
        <v>7569088</v>
      </c>
      <c r="I193" s="322">
        <f t="shared" si="252"/>
        <v>158329</v>
      </c>
      <c r="J193" s="322">
        <f t="shared" si="252"/>
        <v>-144801</v>
      </c>
      <c r="K193" s="322">
        <f t="shared" si="252"/>
        <v>0</v>
      </c>
      <c r="L193" s="322">
        <f t="shared" si="252"/>
        <v>0</v>
      </c>
      <c r="M193" s="322">
        <f t="shared" si="252"/>
        <v>7582616</v>
      </c>
      <c r="N193" s="322">
        <f t="shared" si="252"/>
        <v>193754.44431654178</v>
      </c>
      <c r="O193" s="322">
        <f t="shared" si="252"/>
        <v>7776370.4443165418</v>
      </c>
      <c r="P193" s="322">
        <f t="shared" si="252"/>
        <v>786636.17</v>
      </c>
      <c r="Q193" s="322">
        <f t="shared" si="252"/>
        <v>1668.8400000000001</v>
      </c>
      <c r="R193" s="322">
        <f t="shared" si="252"/>
        <v>-5831.3894999999929</v>
      </c>
      <c r="S193" s="322">
        <f t="shared" si="252"/>
        <v>20139.430599999952</v>
      </c>
      <c r="T193" s="322">
        <f t="shared" si="252"/>
        <v>802613.05110000004</v>
      </c>
      <c r="U193" s="322"/>
      <c r="V193" s="123">
        <f t="shared" si="195"/>
        <v>0</v>
      </c>
      <c r="W193" s="123">
        <f t="shared" si="196"/>
        <v>-1.8738603080434253E-2</v>
      </c>
    </row>
    <row r="194" spans="2:23">
      <c r="B194" s="351" t="s">
        <v>413</v>
      </c>
      <c r="C194" s="16"/>
      <c r="D194" s="322">
        <f t="shared" ref="D194" si="253">D95</f>
        <v>2.333333333333333</v>
      </c>
      <c r="E194" s="322">
        <f t="shared" ref="E194:T194" si="254">E95</f>
        <v>4.9993438320210526E-2</v>
      </c>
      <c r="F194" s="322">
        <f t="shared" si="254"/>
        <v>2.3833267716535436</v>
      </c>
      <c r="G194" s="322">
        <f t="shared" si="254"/>
        <v>3</v>
      </c>
      <c r="H194" s="322">
        <f t="shared" si="254"/>
        <v>1256081</v>
      </c>
      <c r="I194" s="322">
        <f t="shared" si="254"/>
        <v>0</v>
      </c>
      <c r="J194" s="322">
        <f t="shared" si="254"/>
        <v>-20362</v>
      </c>
      <c r="K194" s="322">
        <f t="shared" si="254"/>
        <v>0</v>
      </c>
      <c r="L194" s="322">
        <f t="shared" si="254"/>
        <v>1</v>
      </c>
      <c r="M194" s="322">
        <f t="shared" si="254"/>
        <v>1235720</v>
      </c>
      <c r="N194" s="322">
        <f t="shared" si="254"/>
        <v>601392</v>
      </c>
      <c r="O194" s="322">
        <f t="shared" si="254"/>
        <v>1837112</v>
      </c>
      <c r="P194" s="322">
        <f t="shared" si="254"/>
        <v>157232.69</v>
      </c>
      <c r="Q194" s="322">
        <f t="shared" si="254"/>
        <v>-417.17000000001281</v>
      </c>
      <c r="R194" s="322">
        <f t="shared" si="254"/>
        <v>442.03599999999278</v>
      </c>
      <c r="S194" s="322">
        <f t="shared" si="254"/>
        <v>75857.206000000006</v>
      </c>
      <c r="T194" s="322">
        <f t="shared" si="254"/>
        <v>233114.76199999999</v>
      </c>
      <c r="U194" s="322"/>
      <c r="V194" s="123">
        <f t="shared" si="195"/>
        <v>8.0924481274075037E-7</v>
      </c>
      <c r="W194" s="123">
        <f t="shared" si="196"/>
        <v>-1.6210738001768994E-2</v>
      </c>
    </row>
    <row r="195" spans="2:23">
      <c r="B195" s="351" t="s">
        <v>112</v>
      </c>
      <c r="C195" s="16"/>
      <c r="D195" s="322">
        <f t="shared" ref="D195" si="255">D25+D60+D96</f>
        <v>91265.416666666672</v>
      </c>
      <c r="E195" s="322">
        <f t="shared" ref="E195:T195" si="256">E25+E60+E96</f>
        <v>-95.117250008756855</v>
      </c>
      <c r="F195" s="322">
        <f t="shared" si="256"/>
        <v>91170.299416657916</v>
      </c>
      <c r="G195" s="322">
        <f t="shared" si="256"/>
        <v>94539.194574740119</v>
      </c>
      <c r="H195" s="322">
        <f t="shared" si="256"/>
        <v>1402441814</v>
      </c>
      <c r="I195" s="322">
        <f t="shared" si="256"/>
        <v>-1507076</v>
      </c>
      <c r="J195" s="322">
        <f t="shared" si="256"/>
        <v>6316242</v>
      </c>
      <c r="K195" s="322">
        <f t="shared" si="256"/>
        <v>459522.45427433867</v>
      </c>
      <c r="L195" s="322">
        <f t="shared" si="256"/>
        <v>9069.0000002859451</v>
      </c>
      <c r="M195" s="322">
        <f t="shared" si="256"/>
        <v>1407719571.4542747</v>
      </c>
      <c r="N195" s="322">
        <f t="shared" si="256"/>
        <v>-19200958.039588995</v>
      </c>
      <c r="O195" s="322">
        <f t="shared" si="256"/>
        <v>1388518613.4146855</v>
      </c>
      <c r="P195" s="322">
        <f t="shared" si="256"/>
        <v>137068250.13999999</v>
      </c>
      <c r="Q195" s="322">
        <f t="shared" si="256"/>
        <v>626625.35646120994</v>
      </c>
      <c r="R195" s="322">
        <f t="shared" si="256"/>
        <v>90445.648938791826</v>
      </c>
      <c r="S195" s="322">
        <f t="shared" si="256"/>
        <v>-1444076.4375999905</v>
      </c>
      <c r="T195" s="322">
        <f t="shared" si="256"/>
        <v>136341244.7078</v>
      </c>
      <c r="U195" s="322"/>
      <c r="V195" s="123">
        <f t="shared" si="195"/>
        <v>6.4423342434012064E-6</v>
      </c>
      <c r="W195" s="123">
        <f t="shared" si="196"/>
        <v>4.5085911774999472E-3</v>
      </c>
    </row>
    <row r="196" spans="2:23">
      <c r="B196" s="351" t="s">
        <v>1041</v>
      </c>
      <c r="C196" s="16"/>
      <c r="D196" s="322">
        <f t="shared" ref="D196" si="257">D26+D61+D97</f>
        <v>1271.4166666666661</v>
      </c>
      <c r="E196" s="322">
        <f t="shared" ref="E196:T196" si="258">E26+E61+E97</f>
        <v>2.8266666666664726</v>
      </c>
      <c r="F196" s="322">
        <f t="shared" si="258"/>
        <v>1274.2433333333324</v>
      </c>
      <c r="G196" s="322">
        <f t="shared" si="258"/>
        <v>1561.5</v>
      </c>
      <c r="H196" s="322">
        <f t="shared" si="258"/>
        <v>11157367</v>
      </c>
      <c r="I196" s="322">
        <f t="shared" si="258"/>
        <v>23862</v>
      </c>
      <c r="J196" s="322">
        <f t="shared" si="258"/>
        <v>55962</v>
      </c>
      <c r="K196" s="322">
        <f t="shared" si="258"/>
        <v>2532.7800057811332</v>
      </c>
      <c r="L196" s="322">
        <f t="shared" si="258"/>
        <v>2.9999999991482582</v>
      </c>
      <c r="M196" s="322">
        <f t="shared" si="258"/>
        <v>11239726.780005781</v>
      </c>
      <c r="N196" s="322">
        <f t="shared" si="258"/>
        <v>3163807.1620705589</v>
      </c>
      <c r="O196" s="322">
        <f t="shared" si="258"/>
        <v>14403533.942076338</v>
      </c>
      <c r="P196" s="322">
        <f t="shared" si="258"/>
        <v>1202235.69</v>
      </c>
      <c r="Q196" s="322">
        <f t="shared" si="258"/>
        <v>9349.6441933485621</v>
      </c>
      <c r="R196" s="322">
        <f t="shared" si="258"/>
        <v>1074.3285066514291</v>
      </c>
      <c r="S196" s="322">
        <f t="shared" si="258"/>
        <v>336064.70090000011</v>
      </c>
      <c r="T196" s="322">
        <f t="shared" si="258"/>
        <v>1548724.3636</v>
      </c>
      <c r="U196" s="322"/>
      <c r="V196" s="123">
        <f t="shared" si="195"/>
        <v>2.6691040252730371E-7</v>
      </c>
      <c r="W196" s="123">
        <f t="shared" si="196"/>
        <v>5.004995425815892E-3</v>
      </c>
    </row>
    <row r="197" spans="2:23">
      <c r="B197" s="351" t="s">
        <v>1218</v>
      </c>
      <c r="C197" s="16"/>
      <c r="D197" s="322">
        <f t="shared" ref="D197" si="259">D27+D62</f>
        <v>52.499999999999986</v>
      </c>
      <c r="E197" s="322">
        <f t="shared" ref="E197:T197" si="260">E27+E62</f>
        <v>-4.3301666666666536</v>
      </c>
      <c r="F197" s="322">
        <f t="shared" si="260"/>
        <v>48.169833333333337</v>
      </c>
      <c r="G197" s="322">
        <f t="shared" si="260"/>
        <v>128.83333333333334</v>
      </c>
      <c r="H197" s="322">
        <f t="shared" si="260"/>
        <v>1273440</v>
      </c>
      <c r="I197" s="322">
        <f t="shared" si="260"/>
        <v>20299</v>
      </c>
      <c r="J197" s="322">
        <f t="shared" si="260"/>
        <v>6915</v>
      </c>
      <c r="K197" s="322">
        <f t="shared" si="260"/>
        <v>313.9031367119743</v>
      </c>
      <c r="L197" s="322">
        <f t="shared" si="260"/>
        <v>1.0000000000007958</v>
      </c>
      <c r="M197" s="322">
        <f t="shared" si="260"/>
        <v>1300968.903136712</v>
      </c>
      <c r="N197" s="322">
        <f t="shared" si="260"/>
        <v>228742.2111211099</v>
      </c>
      <c r="O197" s="322">
        <f t="shared" si="260"/>
        <v>1529711.1142578218</v>
      </c>
      <c r="P197" s="322">
        <f t="shared" si="260"/>
        <v>120922.57</v>
      </c>
      <c r="Q197" s="322">
        <f t="shared" si="260"/>
        <v>2336.6393454556332</v>
      </c>
      <c r="R197" s="322">
        <f t="shared" si="260"/>
        <v>28.538554544360522</v>
      </c>
      <c r="S197" s="322">
        <f t="shared" si="260"/>
        <v>28867.649899999997</v>
      </c>
      <c r="T197" s="322">
        <f t="shared" si="260"/>
        <v>152155.39780000001</v>
      </c>
      <c r="U197" s="322"/>
      <c r="V197" s="123">
        <f t="shared" ref="V197" si="261">L197/M197</f>
        <v>7.6865788074544854E-7</v>
      </c>
      <c r="W197" s="123">
        <f t="shared" ref="W197" si="262">J197/(H197+I197)</f>
        <v>5.3449729814127886E-3</v>
      </c>
    </row>
    <row r="198" spans="2:23">
      <c r="B198" s="351" t="s">
        <v>414</v>
      </c>
      <c r="C198" s="16"/>
      <c r="D198" s="322">
        <f t="shared" ref="D198" si="263">D63+D98</f>
        <v>7</v>
      </c>
      <c r="E198" s="322">
        <f t="shared" ref="E198:T198" si="264">E63+E98</f>
        <v>-8.3333333333333481E-2</v>
      </c>
      <c r="F198" s="322">
        <f t="shared" si="264"/>
        <v>6.9166666666666661</v>
      </c>
      <c r="G198" s="322">
        <f t="shared" si="264"/>
        <v>7</v>
      </c>
      <c r="H198" s="322">
        <f t="shared" si="264"/>
        <v>184111213</v>
      </c>
      <c r="I198" s="322">
        <f t="shared" si="264"/>
        <v>995543</v>
      </c>
      <c r="J198" s="322">
        <f t="shared" si="264"/>
        <v>-102498</v>
      </c>
      <c r="K198" s="322">
        <f t="shared" si="264"/>
        <v>0</v>
      </c>
      <c r="L198" s="322">
        <f t="shared" si="264"/>
        <v>0</v>
      </c>
      <c r="M198" s="322">
        <f t="shared" si="264"/>
        <v>185004258</v>
      </c>
      <c r="N198" s="322">
        <f t="shared" si="264"/>
        <v>4254884.6666666567</v>
      </c>
      <c r="O198" s="322">
        <f t="shared" si="264"/>
        <v>189259142.66666666</v>
      </c>
      <c r="P198" s="322">
        <f t="shared" si="264"/>
        <v>12022868.449999999</v>
      </c>
      <c r="Q198" s="322">
        <f t="shared" si="264"/>
        <v>-54460.099999999991</v>
      </c>
      <c r="R198" s="322">
        <f t="shared" si="264"/>
        <v>9508.4227000004612</v>
      </c>
      <c r="S198" s="322">
        <f t="shared" si="264"/>
        <v>397313.89979999978</v>
      </c>
      <c r="T198" s="322">
        <f t="shared" si="264"/>
        <v>12375230.672499999</v>
      </c>
      <c r="U198" s="322"/>
      <c r="V198" s="123">
        <f t="shared" si="195"/>
        <v>0</v>
      </c>
      <c r="W198" s="123">
        <f t="shared" si="196"/>
        <v>-5.5372371173745814E-4</v>
      </c>
    </row>
    <row r="199" spans="2:23">
      <c r="B199" s="351" t="s">
        <v>1339</v>
      </c>
      <c r="C199" s="16"/>
      <c r="D199" s="322">
        <f>D64</f>
        <v>0.25</v>
      </c>
      <c r="E199" s="322">
        <f t="shared" ref="E199:T199" si="265">E64</f>
        <v>2.7611132561132585</v>
      </c>
      <c r="F199" s="322">
        <f t="shared" si="265"/>
        <v>3.0111132561132585</v>
      </c>
      <c r="G199" s="322">
        <f t="shared" si="265"/>
        <v>3</v>
      </c>
      <c r="H199" s="322">
        <f t="shared" si="265"/>
        <v>13073297</v>
      </c>
      <c r="I199" s="322">
        <f t="shared" si="265"/>
        <v>166538685</v>
      </c>
      <c r="J199" s="322">
        <f t="shared" si="265"/>
        <v>952892</v>
      </c>
      <c r="K199" s="322">
        <f t="shared" si="265"/>
        <v>0</v>
      </c>
      <c r="L199" s="322">
        <f t="shared" si="265"/>
        <v>0</v>
      </c>
      <c r="M199" s="322">
        <f t="shared" si="265"/>
        <v>180564874</v>
      </c>
      <c r="N199" s="322">
        <f t="shared" si="265"/>
        <v>16085115.99999997</v>
      </c>
      <c r="O199" s="322">
        <f t="shared" si="265"/>
        <v>196649989.99999997</v>
      </c>
      <c r="P199" s="322">
        <f t="shared" si="265"/>
        <v>842610.25</v>
      </c>
      <c r="Q199" s="322">
        <f t="shared" si="265"/>
        <v>9430368.7100000009</v>
      </c>
      <c r="R199" s="322">
        <f t="shared" si="265"/>
        <v>80969.657599998638</v>
      </c>
      <c r="S199" s="322">
        <f t="shared" si="265"/>
        <v>2653597.8359000012</v>
      </c>
      <c r="T199" s="322">
        <f t="shared" si="265"/>
        <v>13007546.453500001</v>
      </c>
      <c r="U199" s="322"/>
      <c r="V199" s="123">
        <f t="shared" ref="V199" si="266">L199/M199</f>
        <v>0</v>
      </c>
      <c r="W199" s="123">
        <f t="shared" ref="W199" si="267">J199/(H199+I199)</f>
        <v>5.3052808024800927E-3</v>
      </c>
    </row>
    <row r="200" spans="2:23">
      <c r="B200" s="351" t="s">
        <v>1340</v>
      </c>
      <c r="C200" s="16"/>
      <c r="D200" s="322">
        <f>D65</f>
        <v>0</v>
      </c>
      <c r="E200" s="322">
        <f t="shared" ref="E200:T200" si="268">E65</f>
        <v>0</v>
      </c>
      <c r="F200" s="322">
        <f t="shared" si="268"/>
        <v>0</v>
      </c>
      <c r="G200" s="322">
        <f t="shared" si="268"/>
        <v>1</v>
      </c>
      <c r="H200" s="322">
        <f t="shared" si="268"/>
        <v>0</v>
      </c>
      <c r="I200" s="322">
        <f t="shared" si="268"/>
        <v>0</v>
      </c>
      <c r="J200" s="322">
        <f t="shared" si="268"/>
        <v>0</v>
      </c>
      <c r="K200" s="322">
        <f t="shared" si="268"/>
        <v>0</v>
      </c>
      <c r="L200" s="322">
        <f t="shared" si="268"/>
        <v>0</v>
      </c>
      <c r="M200" s="322">
        <f t="shared" si="268"/>
        <v>0</v>
      </c>
      <c r="N200" s="322">
        <f t="shared" si="268"/>
        <v>242230000</v>
      </c>
      <c r="O200" s="322">
        <f t="shared" si="268"/>
        <v>242230000</v>
      </c>
      <c r="P200" s="322">
        <f t="shared" si="268"/>
        <v>0</v>
      </c>
      <c r="Q200" s="322">
        <f t="shared" si="268"/>
        <v>0</v>
      </c>
      <c r="R200" s="322">
        <f t="shared" si="268"/>
        <v>0</v>
      </c>
      <c r="S200" s="322">
        <f t="shared" si="268"/>
        <v>13027758.191234671</v>
      </c>
      <c r="T200" s="322">
        <f t="shared" si="268"/>
        <v>13027758.191234671</v>
      </c>
      <c r="U200" s="322"/>
      <c r="V200" s="123" t="e">
        <f t="shared" ref="V200" si="269">L200/M200</f>
        <v>#DIV/0!</v>
      </c>
      <c r="W200" s="123" t="e">
        <f t="shared" ref="W200" si="270">J200/(H200+I200)</f>
        <v>#DIV/0!</v>
      </c>
    </row>
    <row r="201" spans="2:23">
      <c r="B201" s="351" t="s">
        <v>399</v>
      </c>
      <c r="C201" s="16"/>
      <c r="D201" s="322">
        <f t="shared" ref="D201" si="271">D99</f>
        <v>1</v>
      </c>
      <c r="E201" s="322">
        <f t="shared" ref="E201:T201" si="272">E99</f>
        <v>0</v>
      </c>
      <c r="F201" s="322">
        <f t="shared" si="272"/>
        <v>1</v>
      </c>
      <c r="G201" s="322">
        <f t="shared" si="272"/>
        <v>1</v>
      </c>
      <c r="H201" s="322">
        <f t="shared" si="272"/>
        <v>602656000</v>
      </c>
      <c r="I201" s="322">
        <f t="shared" si="272"/>
        <v>0</v>
      </c>
      <c r="J201" s="322">
        <f t="shared" si="272"/>
        <v>314000</v>
      </c>
      <c r="K201" s="322">
        <f t="shared" si="272"/>
        <v>0</v>
      </c>
      <c r="L201" s="322">
        <f t="shared" si="272"/>
        <v>0</v>
      </c>
      <c r="M201" s="322">
        <f t="shared" si="272"/>
        <v>602970000</v>
      </c>
      <c r="N201" s="322">
        <f t="shared" si="272"/>
        <v>14130000</v>
      </c>
      <c r="O201" s="322">
        <f t="shared" si="272"/>
        <v>617100000</v>
      </c>
      <c r="P201" s="322">
        <f t="shared" si="272"/>
        <v>30565663.190000001</v>
      </c>
      <c r="Q201" s="322">
        <f t="shared" si="272"/>
        <v>98049.592399999499</v>
      </c>
      <c r="R201" s="322">
        <f t="shared" si="272"/>
        <v>-0.10080000013113022</v>
      </c>
      <c r="S201" s="322">
        <f t="shared" si="272"/>
        <v>718507.27999999747</v>
      </c>
      <c r="T201" s="322">
        <f t="shared" si="272"/>
        <v>31382219.961599998</v>
      </c>
      <c r="U201" s="322"/>
      <c r="V201" s="123">
        <f t="shared" si="195"/>
        <v>0</v>
      </c>
      <c r="W201" s="123">
        <f t="shared" si="196"/>
        <v>5.210269208304572E-4</v>
      </c>
    </row>
    <row r="202" spans="2:23">
      <c r="B202" s="351" t="s">
        <v>400</v>
      </c>
      <c r="C202" s="16"/>
      <c r="D202" s="322">
        <f t="shared" ref="D202" si="273">D100</f>
        <v>1</v>
      </c>
      <c r="E202" s="322">
        <f t="shared" ref="E202:T202" si="274">E100</f>
        <v>0</v>
      </c>
      <c r="F202" s="322">
        <f t="shared" si="274"/>
        <v>1</v>
      </c>
      <c r="G202" s="322">
        <f t="shared" si="274"/>
        <v>1</v>
      </c>
      <c r="H202" s="322">
        <f t="shared" si="274"/>
        <v>809246440</v>
      </c>
      <c r="I202" s="322">
        <f t="shared" si="274"/>
        <v>-31275392</v>
      </c>
      <c r="J202" s="322">
        <f t="shared" si="274"/>
        <v>6422280</v>
      </c>
      <c r="K202" s="322">
        <f t="shared" si="274"/>
        <v>0</v>
      </c>
      <c r="L202" s="322">
        <f t="shared" si="274"/>
        <v>0</v>
      </c>
      <c r="M202" s="322">
        <f t="shared" si="274"/>
        <v>784393328</v>
      </c>
      <c r="N202" s="322">
        <f t="shared" si="274"/>
        <v>-78937779.053439975</v>
      </c>
      <c r="O202" s="322">
        <f t="shared" si="274"/>
        <v>705455548.94656003</v>
      </c>
      <c r="P202" s="322">
        <f t="shared" si="274"/>
        <v>36340880.280000001</v>
      </c>
      <c r="Q202" s="322">
        <f t="shared" si="274"/>
        <v>-1321123.1610556245</v>
      </c>
      <c r="R202" s="322">
        <f t="shared" si="274"/>
        <v>4.0556266903877258E-3</v>
      </c>
      <c r="S202" s="322">
        <f t="shared" si="274"/>
        <v>-3534625.9780000038</v>
      </c>
      <c r="T202" s="322">
        <f t="shared" si="274"/>
        <v>31485131.145</v>
      </c>
      <c r="U202" s="322"/>
      <c r="V202" s="123">
        <f t="shared" si="195"/>
        <v>0</v>
      </c>
      <c r="W202" s="123">
        <f t="shared" si="196"/>
        <v>8.2551658143453169E-3</v>
      </c>
    </row>
    <row r="203" spans="2:23">
      <c r="B203" s="351" t="s">
        <v>401</v>
      </c>
      <c r="C203" s="16"/>
      <c r="D203" s="322">
        <f t="shared" ref="D203" si="275">D101</f>
        <v>1</v>
      </c>
      <c r="E203" s="322">
        <f t="shared" ref="E203:T203" si="276">E101</f>
        <v>0</v>
      </c>
      <c r="F203" s="322">
        <f t="shared" si="276"/>
        <v>1</v>
      </c>
      <c r="G203" s="322">
        <f t="shared" si="276"/>
        <v>1</v>
      </c>
      <c r="H203" s="322">
        <f t="shared" si="276"/>
        <v>1287045423</v>
      </c>
      <c r="I203" s="322">
        <f t="shared" si="276"/>
        <v>0</v>
      </c>
      <c r="J203" s="322">
        <f t="shared" si="276"/>
        <v>-2182177</v>
      </c>
      <c r="K203" s="322">
        <f t="shared" si="276"/>
        <v>0</v>
      </c>
      <c r="L203" s="322">
        <f t="shared" si="276"/>
        <v>0</v>
      </c>
      <c r="M203" s="322">
        <f t="shared" si="276"/>
        <v>1284863246</v>
      </c>
      <c r="N203" s="322">
        <f t="shared" si="276"/>
        <v>3762951</v>
      </c>
      <c r="O203" s="322">
        <f t="shared" si="276"/>
        <v>1288626197</v>
      </c>
      <c r="P203" s="322">
        <f t="shared" si="276"/>
        <v>67226916.909999996</v>
      </c>
      <c r="Q203" s="322">
        <f t="shared" si="276"/>
        <v>-1317222.6700000018</v>
      </c>
      <c r="R203" s="322">
        <f t="shared" si="276"/>
        <v>0</v>
      </c>
      <c r="S203" s="322">
        <f t="shared" si="276"/>
        <v>-2952101.2226903141</v>
      </c>
      <c r="T203" s="322">
        <f t="shared" si="276"/>
        <v>62957593.017309681</v>
      </c>
      <c r="U203" s="322"/>
      <c r="V203" s="123">
        <f t="shared" si="195"/>
        <v>0</v>
      </c>
      <c r="W203" s="123">
        <f t="shared" si="196"/>
        <v>-1.6954933843076959E-3</v>
      </c>
    </row>
    <row r="204" spans="2:23">
      <c r="B204" s="351" t="s">
        <v>459</v>
      </c>
      <c r="C204" s="16"/>
      <c r="D204" s="322">
        <f t="shared" ref="D204" si="277">D28+D66</f>
        <v>4</v>
      </c>
      <c r="E204" s="322">
        <f t="shared" ref="E204:T204" si="278">E28+E66</f>
        <v>0</v>
      </c>
      <c r="F204" s="322">
        <f t="shared" si="278"/>
        <v>4</v>
      </c>
      <c r="G204" s="322">
        <f t="shared" si="278"/>
        <v>4</v>
      </c>
      <c r="H204" s="322">
        <f t="shared" si="278"/>
        <v>7388</v>
      </c>
      <c r="I204" s="322">
        <f t="shared" si="278"/>
        <v>2.0830817092100915</v>
      </c>
      <c r="J204" s="322">
        <f t="shared" si="278"/>
        <v>40</v>
      </c>
      <c r="K204" s="322">
        <f t="shared" si="278"/>
        <v>0</v>
      </c>
      <c r="L204" s="322">
        <f t="shared" si="278"/>
        <v>0</v>
      </c>
      <c r="M204" s="322">
        <f t="shared" si="278"/>
        <v>7430.0830817092101</v>
      </c>
      <c r="N204" s="322">
        <f t="shared" si="278"/>
        <v>-43.083081709210092</v>
      </c>
      <c r="O204" s="322">
        <f t="shared" si="278"/>
        <v>7387</v>
      </c>
      <c r="P204" s="322">
        <f t="shared" si="278"/>
        <v>556.73</v>
      </c>
      <c r="Q204" s="322">
        <f t="shared" si="278"/>
        <v>4</v>
      </c>
      <c r="R204" s="322">
        <f t="shared" si="278"/>
        <v>0.27000000000002444</v>
      </c>
      <c r="S204" s="322">
        <f t="shared" si="278"/>
        <v>-4</v>
      </c>
      <c r="T204" s="322">
        <f t="shared" si="278"/>
        <v>557</v>
      </c>
      <c r="U204" s="322"/>
      <c r="V204" s="123">
        <f t="shared" si="195"/>
        <v>0</v>
      </c>
      <c r="W204" s="123">
        <f t="shared" si="196"/>
        <v>5.4126590401942587E-3</v>
      </c>
    </row>
    <row r="205" spans="2:23">
      <c r="B205" s="351" t="s">
        <v>940</v>
      </c>
      <c r="C205" s="16"/>
      <c r="D205" s="322">
        <f>SUM(D167:D204)</f>
        <v>949019.75</v>
      </c>
      <c r="E205" s="322">
        <f t="shared" ref="E205:T205" si="279">SUM(E167:E204)</f>
        <v>-310.62768363801098</v>
      </c>
      <c r="F205" s="322">
        <f t="shared" si="279"/>
        <v>948709.12231636199</v>
      </c>
      <c r="G205" s="322">
        <f t="shared" si="279"/>
        <v>986281.20161758328</v>
      </c>
      <c r="H205" s="322">
        <f t="shared" si="279"/>
        <v>24487738403</v>
      </c>
      <c r="I205" s="322">
        <f>SUM(I167:I204)</f>
        <v>33762096.868580028</v>
      </c>
      <c r="J205" s="322">
        <f t="shared" si="279"/>
        <v>2567000</v>
      </c>
      <c r="K205" s="322">
        <f t="shared" si="279"/>
        <v>-50426625.010000005</v>
      </c>
      <c r="L205" s="322">
        <f t="shared" si="279"/>
        <v>-56975.455563589414</v>
      </c>
      <c r="M205" s="322">
        <f t="shared" si="279"/>
        <v>24473583899.403011</v>
      </c>
      <c r="N205" s="322">
        <f t="shared" si="279"/>
        <v>363804260.68267965</v>
      </c>
      <c r="O205" s="322">
        <f t="shared" si="279"/>
        <v>24837388160.085701</v>
      </c>
      <c r="P205" s="322">
        <f t="shared" si="279"/>
        <v>1976211003.7900004</v>
      </c>
      <c r="Q205" s="322">
        <f t="shared" si="279"/>
        <v>-789057.13124209456</v>
      </c>
      <c r="R205" s="322">
        <f t="shared" si="279"/>
        <v>1429371.468455676</v>
      </c>
      <c r="S205" s="322">
        <f t="shared" si="279"/>
        <v>20035843.21133085</v>
      </c>
      <c r="T205" s="322">
        <f t="shared" si="279"/>
        <v>1996887161.3385441</v>
      </c>
      <c r="U205" s="322"/>
      <c r="V205" s="123">
        <f t="shared" si="195"/>
        <v>-2.3280389091268004E-6</v>
      </c>
      <c r="W205" s="123">
        <f t="shared" si="196"/>
        <v>1.0468364283065621E-4</v>
      </c>
    </row>
    <row r="206" spans="2:23">
      <c r="B206" s="351" t="s">
        <v>1055</v>
      </c>
      <c r="D206" s="321">
        <f>SUM(D38:D41,D76:D79,D111:D114,D129:D132,D152:D155)</f>
        <v>0</v>
      </c>
      <c r="E206" s="321">
        <f t="shared" ref="E206:T206" si="280">SUM(E38:E41,E76:E79,E111:E114,E129:E132,E152:E155)</f>
        <v>0</v>
      </c>
      <c r="F206" s="321">
        <f t="shared" si="280"/>
        <v>0</v>
      </c>
      <c r="G206" s="321">
        <f t="shared" si="280"/>
        <v>0</v>
      </c>
      <c r="H206" s="321">
        <f t="shared" si="280"/>
        <v>2567000</v>
      </c>
      <c r="I206" s="321">
        <f t="shared" si="280"/>
        <v>0</v>
      </c>
      <c r="J206" s="321">
        <f t="shared" si="280"/>
        <v>-2567000</v>
      </c>
      <c r="K206" s="321">
        <f t="shared" si="280"/>
        <v>0</v>
      </c>
      <c r="L206" s="321">
        <f t="shared" si="280"/>
        <v>0</v>
      </c>
      <c r="M206" s="321">
        <f t="shared" si="280"/>
        <v>0</v>
      </c>
      <c r="N206" s="321">
        <f t="shared" si="280"/>
        <v>0</v>
      </c>
      <c r="O206" s="321">
        <f t="shared" si="280"/>
        <v>0</v>
      </c>
      <c r="P206" s="321">
        <f t="shared" si="280"/>
        <v>32205345.75</v>
      </c>
      <c r="Q206" s="321">
        <f t="shared" si="280"/>
        <v>-27396558.840000004</v>
      </c>
      <c r="R206" s="321">
        <f t="shared" si="280"/>
        <v>0</v>
      </c>
      <c r="S206" s="321">
        <f t="shared" si="280"/>
        <v>0</v>
      </c>
      <c r="T206" s="321">
        <f t="shared" si="280"/>
        <v>4808786.9099999992</v>
      </c>
    </row>
    <row r="207" spans="2:23">
      <c r="B207" s="351" t="s">
        <v>450</v>
      </c>
      <c r="D207" s="321">
        <f>D205+D206</f>
        <v>949019.75</v>
      </c>
      <c r="E207" s="321">
        <f t="shared" ref="E207:T207" si="281">E205+E206</f>
        <v>-310.62768363801098</v>
      </c>
      <c r="F207" s="321">
        <f t="shared" si="281"/>
        <v>948709.12231636199</v>
      </c>
      <c r="G207" s="321">
        <f t="shared" si="281"/>
        <v>986281.20161758328</v>
      </c>
      <c r="H207" s="321">
        <f t="shared" si="281"/>
        <v>24490305403</v>
      </c>
      <c r="I207" s="321">
        <f t="shared" si="281"/>
        <v>33762096.868580028</v>
      </c>
      <c r="J207" s="321">
        <f t="shared" si="281"/>
        <v>0</v>
      </c>
      <c r="K207" s="321">
        <f t="shared" si="281"/>
        <v>-50426625.010000005</v>
      </c>
      <c r="L207" s="321">
        <f t="shared" si="281"/>
        <v>-56975.455563589414</v>
      </c>
      <c r="M207" s="321">
        <f t="shared" si="281"/>
        <v>24473583899.403011</v>
      </c>
      <c r="N207" s="321">
        <f t="shared" si="281"/>
        <v>363804260.68267965</v>
      </c>
      <c r="O207" s="321">
        <f t="shared" si="281"/>
        <v>24837388160.085701</v>
      </c>
      <c r="P207" s="321">
        <f t="shared" si="281"/>
        <v>2008416349.5400004</v>
      </c>
      <c r="Q207" s="321">
        <f t="shared" si="281"/>
        <v>-28185615.9712421</v>
      </c>
      <c r="R207" s="321">
        <f t="shared" si="281"/>
        <v>1429371.468455676</v>
      </c>
      <c r="S207" s="321">
        <f t="shared" si="281"/>
        <v>20035843.21133085</v>
      </c>
      <c r="T207" s="321">
        <f t="shared" si="281"/>
        <v>2001695948.2485442</v>
      </c>
    </row>
    <row r="208" spans="2:23">
      <c r="D208" s="321">
        <f>D207-D157</f>
        <v>0</v>
      </c>
      <c r="E208" s="321">
        <f t="shared" ref="E208:T208" si="282">E207-E157</f>
        <v>0</v>
      </c>
      <c r="F208" s="321">
        <f t="shared" si="282"/>
        <v>0</v>
      </c>
      <c r="G208" s="321">
        <f t="shared" si="282"/>
        <v>0</v>
      </c>
      <c r="H208" s="321">
        <f t="shared" si="282"/>
        <v>0</v>
      </c>
      <c r="I208" s="321">
        <f t="shared" si="282"/>
        <v>0</v>
      </c>
      <c r="J208" s="321">
        <f t="shared" si="282"/>
        <v>0</v>
      </c>
      <c r="K208" s="321">
        <f t="shared" si="282"/>
        <v>0</v>
      </c>
      <c r="L208" s="321">
        <f t="shared" si="282"/>
        <v>0</v>
      </c>
      <c r="M208" s="321">
        <f t="shared" si="282"/>
        <v>0</v>
      </c>
      <c r="N208" s="321">
        <f t="shared" si="282"/>
        <v>0</v>
      </c>
      <c r="O208" s="321">
        <f t="shared" si="282"/>
        <v>0</v>
      </c>
      <c r="P208" s="321">
        <f t="shared" si="282"/>
        <v>0</v>
      </c>
      <c r="Q208" s="321">
        <f t="shared" si="282"/>
        <v>0</v>
      </c>
      <c r="R208" s="321">
        <f t="shared" si="282"/>
        <v>0</v>
      </c>
      <c r="S208" s="321">
        <f t="shared" si="282"/>
        <v>0</v>
      </c>
      <c r="T208" s="321">
        <f t="shared" si="282"/>
        <v>0</v>
      </c>
    </row>
  </sheetData>
  <phoneticPr fontId="25" type="noConversion"/>
  <dataValidations count="1">
    <dataValidation type="decimal" allowBlank="1" showInputMessage="1" showErrorMessage="1" promptTitle="It's dangerous!" sqref="B95:B98">
      <formula1>-10000000</formula1>
      <formula2>-1</formula2>
    </dataValidation>
  </dataValidations>
  <printOptions horizontalCentered="1"/>
  <pageMargins left="0.5" right="0.5" top="0.75" bottom="0.75" header="0.5" footer="0.5"/>
  <pageSetup scale="31" fitToHeight="2" orientation="landscape" r:id="rId1"/>
  <headerFooter alignWithMargins="0">
    <oddFooter>Page &amp;P of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4" tint="0.59999389629810485"/>
    <pageSetUpPr fitToPage="1"/>
  </sheetPr>
  <dimension ref="A1:AO209"/>
  <sheetViews>
    <sheetView topLeftCell="A8" zoomScale="90" zoomScaleNormal="90" workbookViewId="0">
      <pane xSplit="3" ySplit="3" topLeftCell="F146" activePane="bottomRight" state="frozen"/>
      <selection activeCell="L19" sqref="L19"/>
      <selection pane="topRight" activeCell="L19" sqref="L19"/>
      <selection pane="bottomLeft" activeCell="L19" sqref="L19"/>
      <selection pane="bottomRight" activeCell="M64" sqref="M64"/>
    </sheetView>
  </sheetViews>
  <sheetFormatPr defaultColWidth="9" defaultRowHeight="15.75"/>
  <cols>
    <col min="1" max="1" width="3.75" style="10" customWidth="1"/>
    <col min="2" max="2" width="20.25" style="16" bestFit="1" customWidth="1"/>
    <col min="3" max="3" width="3" style="10" customWidth="1"/>
    <col min="4" max="4" width="14.125" style="321" bestFit="1" customWidth="1"/>
    <col min="5" max="5" width="13.25" style="321" customWidth="1"/>
    <col min="6" max="7" width="12.125" style="321" customWidth="1"/>
    <col min="8" max="8" width="13.75" style="321" customWidth="1"/>
    <col min="9" max="9" width="14.125" style="321" customWidth="1"/>
    <col min="10" max="10" width="12.75" style="321" customWidth="1"/>
    <col min="11" max="14" width="14.125" style="334" customWidth="1"/>
    <col min="15" max="15" width="4.125" style="10" customWidth="1"/>
    <col min="16" max="16" width="11.125" style="10" customWidth="1"/>
    <col min="17" max="17" width="9.125" style="10" bestFit="1" customWidth="1"/>
    <col min="18" max="18" width="9.25" style="10" bestFit="1" customWidth="1"/>
    <col min="19" max="20" width="9" style="10"/>
    <col min="21" max="23" width="13.625" style="10" bestFit="1" customWidth="1"/>
    <col min="24" max="16384" width="9" style="10"/>
  </cols>
  <sheetData>
    <row r="1" spans="1:41" ht="18.75">
      <c r="A1" s="14" t="s">
        <v>116</v>
      </c>
      <c r="B1" s="62"/>
      <c r="C1" s="62"/>
      <c r="D1" s="1283"/>
      <c r="E1" s="1283"/>
      <c r="F1" s="1283"/>
      <c r="G1" s="1283"/>
      <c r="H1" s="1283"/>
      <c r="I1" s="1283"/>
      <c r="J1" s="1283"/>
      <c r="K1" s="1284"/>
      <c r="L1" s="1284"/>
      <c r="M1" s="1284"/>
      <c r="N1" s="1284"/>
      <c r="O1" s="28"/>
      <c r="P1" s="4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</row>
    <row r="2" spans="1:41" ht="18.75">
      <c r="A2" s="14" t="s">
        <v>497</v>
      </c>
      <c r="B2" s="62"/>
      <c r="C2" s="62"/>
      <c r="D2" s="1283"/>
      <c r="E2" s="1283"/>
      <c r="F2" s="1283"/>
      <c r="G2" s="1283"/>
      <c r="H2" s="1283"/>
      <c r="I2" s="1283"/>
      <c r="J2" s="1283"/>
      <c r="K2" s="1284"/>
      <c r="L2" s="1284"/>
      <c r="M2" s="1284"/>
      <c r="N2" s="1284"/>
      <c r="O2" s="30"/>
      <c r="P2" s="4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</row>
    <row r="3" spans="1:41" ht="18.75">
      <c r="A3" s="14" t="s">
        <v>447</v>
      </c>
      <c r="B3" s="62"/>
      <c r="C3" s="62"/>
      <c r="D3" s="1283"/>
      <c r="E3" s="1283"/>
      <c r="F3" s="1283"/>
      <c r="G3" s="1283"/>
      <c r="H3" s="1283"/>
      <c r="I3" s="1283"/>
      <c r="J3" s="1283"/>
      <c r="K3" s="1284"/>
      <c r="L3" s="1284"/>
      <c r="M3" s="1284"/>
      <c r="N3" s="1284"/>
      <c r="O3" s="30"/>
      <c r="P3" s="4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</row>
    <row r="4" spans="1:41" ht="18.75">
      <c r="A4" s="14" t="str">
        <f>'Test Period'!$B2</f>
        <v>Base Period 12 Months Ending December 2019</v>
      </c>
      <c r="B4" s="62"/>
      <c r="C4" s="62"/>
      <c r="D4" s="1283"/>
      <c r="E4" s="1283"/>
      <c r="F4" s="1283"/>
      <c r="G4" s="1283"/>
      <c r="H4" s="1283"/>
      <c r="I4" s="1283"/>
      <c r="J4" s="1283"/>
      <c r="K4" s="1284"/>
      <c r="L4" s="1284"/>
      <c r="M4" s="1284"/>
      <c r="N4" s="1284"/>
      <c r="O4" s="4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</row>
    <row r="5" spans="1:41" ht="18.75">
      <c r="A5" s="14" t="str">
        <f>'Test Period'!$B3</f>
        <v>Forecast Period 12 Months Ending December 2021</v>
      </c>
      <c r="B5" s="62"/>
      <c r="C5" s="62"/>
      <c r="D5" s="1283"/>
      <c r="E5" s="1283"/>
      <c r="F5" s="1283"/>
      <c r="G5" s="1283"/>
      <c r="H5" s="1283"/>
      <c r="I5" s="1283"/>
      <c r="J5" s="1283"/>
      <c r="K5" s="1284"/>
      <c r="L5" s="1284"/>
      <c r="M5" s="1284"/>
      <c r="N5" s="1284"/>
      <c r="O5" s="4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</row>
    <row r="6" spans="1:41" ht="18.75">
      <c r="A6" s="14"/>
      <c r="B6" s="62"/>
      <c r="C6" s="62"/>
      <c r="D6" s="1283"/>
      <c r="E6" s="1283"/>
      <c r="F6" s="1283"/>
      <c r="G6" s="1283"/>
      <c r="H6" s="1283"/>
      <c r="I6" s="1283"/>
      <c r="J6" s="1283"/>
      <c r="K6" s="1284"/>
      <c r="L6" s="1284"/>
      <c r="M6" s="1284"/>
      <c r="N6" s="1284"/>
      <c r="O6" s="4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</row>
    <row r="7" spans="1:41" ht="18.75">
      <c r="A7" s="50"/>
      <c r="B7" s="1285"/>
      <c r="C7" s="1285"/>
      <c r="D7" s="1286"/>
      <c r="E7" s="1286"/>
      <c r="F7" s="1286"/>
      <c r="G7" s="1286"/>
      <c r="H7" s="1286"/>
      <c r="I7" s="1286"/>
      <c r="J7" s="1286"/>
      <c r="K7" s="1287"/>
      <c r="L7" s="1287"/>
      <c r="M7" s="1287"/>
      <c r="N7" s="1287"/>
      <c r="O7" s="15"/>
      <c r="P7" s="4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</row>
    <row r="8" spans="1:41" ht="19.5">
      <c r="A8" s="14"/>
      <c r="B8" s="15"/>
      <c r="C8" s="15"/>
      <c r="D8" s="430"/>
      <c r="E8" s="2156" t="s">
        <v>1409</v>
      </c>
      <c r="F8" s="2157"/>
      <c r="G8" s="2158"/>
      <c r="H8" s="2158"/>
      <c r="I8" s="2158"/>
      <c r="J8" s="1288" t="s">
        <v>1410</v>
      </c>
      <c r="K8" s="953"/>
      <c r="L8" s="1062"/>
      <c r="M8" s="1288" t="s">
        <v>1411</v>
      </c>
      <c r="N8" s="1066"/>
      <c r="O8" s="65"/>
      <c r="P8" s="598" t="s">
        <v>463</v>
      </c>
      <c r="Q8" s="599"/>
      <c r="R8" s="599"/>
    </row>
    <row r="9" spans="1:41" ht="18.75">
      <c r="A9" s="14"/>
      <c r="B9" s="15"/>
      <c r="C9" s="15"/>
      <c r="D9" s="430">
        <v>305</v>
      </c>
      <c r="E9" s="388"/>
      <c r="F9" s="314"/>
      <c r="G9" s="314"/>
      <c r="H9" s="400" t="s">
        <v>93</v>
      </c>
      <c r="I9" s="388" t="s">
        <v>100</v>
      </c>
      <c r="J9" s="402"/>
      <c r="K9" s="426" t="s">
        <v>1309</v>
      </c>
      <c r="L9" s="1054" t="s">
        <v>100</v>
      </c>
      <c r="M9" s="1067" t="s">
        <v>445</v>
      </c>
      <c r="N9" s="1055" t="s">
        <v>93</v>
      </c>
      <c r="O9" s="65"/>
      <c r="P9" s="435"/>
      <c r="Q9" s="30"/>
      <c r="R9" s="30"/>
    </row>
    <row r="10" spans="1:41" ht="18.75">
      <c r="A10" s="16"/>
      <c r="B10" s="17"/>
      <c r="C10" s="16"/>
      <c r="D10" s="431" t="s">
        <v>1046</v>
      </c>
      <c r="E10" s="316" t="s">
        <v>1047</v>
      </c>
      <c r="F10" s="316" t="s">
        <v>136</v>
      </c>
      <c r="G10" s="316" t="s">
        <v>98</v>
      </c>
      <c r="H10" s="396" t="s">
        <v>146</v>
      </c>
      <c r="I10" s="316" t="s">
        <v>425</v>
      </c>
      <c r="J10" s="403" t="s">
        <v>411</v>
      </c>
      <c r="K10" s="427" t="s">
        <v>1310</v>
      </c>
      <c r="L10" s="1063" t="s">
        <v>425</v>
      </c>
      <c r="M10" s="403" t="s">
        <v>1403</v>
      </c>
      <c r="N10" s="1056" t="s">
        <v>445</v>
      </c>
      <c r="O10" s="88"/>
      <c r="P10" s="87" t="s">
        <v>468</v>
      </c>
      <c r="Q10" s="384" t="s">
        <v>136</v>
      </c>
      <c r="R10" s="384" t="s">
        <v>674</v>
      </c>
    </row>
    <row r="11" spans="1:41">
      <c r="A11" s="17" t="s">
        <v>103</v>
      </c>
      <c r="B11" s="359"/>
      <c r="C11" s="16"/>
      <c r="D11" s="432"/>
      <c r="E11" s="425"/>
      <c r="F11" s="317"/>
      <c r="G11" s="317"/>
      <c r="H11" s="397"/>
      <c r="I11" s="317"/>
      <c r="J11" s="404"/>
      <c r="K11" s="428"/>
      <c r="L11" s="1064"/>
      <c r="M11" s="1068"/>
      <c r="N11" s="1069"/>
      <c r="O11" s="18"/>
      <c r="P11" s="31"/>
    </row>
    <row r="12" spans="1:41">
      <c r="A12" s="16"/>
      <c r="B12" s="600">
        <v>1</v>
      </c>
      <c r="C12" s="16"/>
      <c r="D12" s="432">
        <f>SUMIF('305'!$B$2:$B$202,"R1",'305'!G$2:G$202)</f>
        <v>699173971.98000002</v>
      </c>
      <c r="E12" s="317">
        <f>'123'!E15</f>
        <v>16381.84</v>
      </c>
      <c r="F12" s="317">
        <f>D40-SUM(F13:F28)</f>
        <v>4301600</v>
      </c>
      <c r="G12" s="317">
        <f>TempRev!E308-G16-G17</f>
        <v>-5436196.0701319585</v>
      </c>
      <c r="H12" s="397">
        <f t="shared" ref="H12:H28" si="0">SUM(E12:G12)</f>
        <v>-1118214.2301319586</v>
      </c>
      <c r="I12" s="317">
        <f>D12+H12</f>
        <v>698055757.74986804</v>
      </c>
      <c r="J12" s="404">
        <f>L12-I12-K12</f>
        <v>-181389.10986799374</v>
      </c>
      <c r="K12" s="397">
        <f>+'Blocking-Step2'!H43-'123'!AC15+(TempRev!G308-TempRev!Q308-TempRev!Q314-(TempRev!E308-TempRev!O308-TempRev!O314))</f>
        <v>782625.1008999981</v>
      </c>
      <c r="L12" s="322">
        <f>'Blocking-Step2'!H45</f>
        <v>698656993.74090004</v>
      </c>
      <c r="M12" s="1070">
        <f>N12-L12</f>
        <v>-20276827.564800024</v>
      </c>
      <c r="N12" s="1071">
        <f>'Blocking-Step2'!I45</f>
        <v>678380166.17610002</v>
      </c>
      <c r="O12" s="20"/>
      <c r="P12" s="436">
        <f t="shared" ref="P12:P29" si="1">J12/I12</f>
        <v>-2.5984902760875197E-4</v>
      </c>
      <c r="Q12" s="160">
        <f t="shared" ref="Q12:Q29" si="2">F12/(D12+E12)</f>
        <v>6.1522587897535645E-3</v>
      </c>
      <c r="R12" s="160">
        <f t="shared" ref="R12:R29" si="3">E12/D12</f>
        <v>2.3430277236448104E-5</v>
      </c>
    </row>
    <row r="13" spans="1:41">
      <c r="A13" s="16"/>
      <c r="B13" s="600">
        <v>2</v>
      </c>
      <c r="C13" s="16"/>
      <c r="D13" s="432">
        <f>SUMIF('305'!$B$2:$B$202,"R2",'305'!G$2:G$202)</f>
        <v>323128.2</v>
      </c>
      <c r="E13" s="317">
        <f>'123'!E16+'305vsCognos'!K5</f>
        <v>2409.820000000007</v>
      </c>
      <c r="F13" s="317">
        <f t="shared" ref="F13:F28" si="4">ROUND((D13+E13)/($D$29+$E$29)*$D$40,0)</f>
        <v>2003</v>
      </c>
      <c r="G13" s="317">
        <f>TempRev!E317</f>
        <v>-5207.9700000000012</v>
      </c>
      <c r="H13" s="397">
        <f t="shared" si="0"/>
        <v>-795.14999999999418</v>
      </c>
      <c r="I13" s="317">
        <f t="shared" ref="I13:I28" si="5">D13+H13</f>
        <v>322333.05000000005</v>
      </c>
      <c r="J13" s="404">
        <f t="shared" ref="J13:J28" si="6">L13-I13-K13</f>
        <v>-219.98000000003594</v>
      </c>
      <c r="K13" s="397">
        <f>+'Blocking-Step2'!H80-'123'!AC16+TempRev!G317-TempRev!E317</f>
        <v>392.10419999999795</v>
      </c>
      <c r="L13" s="322">
        <f>'Blocking-Step2'!H82</f>
        <v>322505.17420000001</v>
      </c>
      <c r="M13" s="1070">
        <f t="shared" ref="M13:M28" si="7">N13-L13</f>
        <v>-31450.001500000013</v>
      </c>
      <c r="N13" s="1071">
        <f>'Blocking-Step2'!I82</f>
        <v>291055.1727</v>
      </c>
      <c r="O13" s="20"/>
      <c r="P13" s="436">
        <f t="shared" si="1"/>
        <v>-6.8246182015786435E-4</v>
      </c>
      <c r="Q13" s="160">
        <f t="shared" si="2"/>
        <v>6.1528911430990454E-3</v>
      </c>
      <c r="R13" s="160">
        <f t="shared" si="3"/>
        <v>7.4577830099632498E-3</v>
      </c>
    </row>
    <row r="14" spans="1:41">
      <c r="A14" s="16"/>
      <c r="B14" s="600" t="s">
        <v>1118</v>
      </c>
      <c r="C14" s="16"/>
      <c r="D14" s="432">
        <f>SUMIF('305'!$B$2:$B$202,"R2E",'305'!G$2:G$202)</f>
        <v>342218.06</v>
      </c>
      <c r="E14" s="317">
        <f>'123'!E17</f>
        <v>-5.2800000000000011</v>
      </c>
      <c r="F14" s="317">
        <f t="shared" si="4"/>
        <v>2105</v>
      </c>
      <c r="G14" s="317"/>
      <c r="H14" s="397">
        <f t="shared" si="0"/>
        <v>2099.7199999999998</v>
      </c>
      <c r="I14" s="317">
        <f t="shared" si="5"/>
        <v>344317.77999999997</v>
      </c>
      <c r="J14" s="404">
        <f t="shared" si="6"/>
        <v>32.400000000025102</v>
      </c>
      <c r="K14" s="397">
        <f>+'Blocking-Step2'!H109-'123'!AC17</f>
        <v>225.91789999999855</v>
      </c>
      <c r="L14" s="322">
        <f>'Blocking-Step2'!H111</f>
        <v>344576.09789999999</v>
      </c>
      <c r="M14" s="1070">
        <f t="shared" si="7"/>
        <v>-34500.133800000011</v>
      </c>
      <c r="N14" s="1071">
        <f>'Blocking-Step2'!I111</f>
        <v>310075.96409999998</v>
      </c>
      <c r="O14" s="20"/>
      <c r="P14" s="436">
        <f t="shared" si="1"/>
        <v>9.4099119714425162E-5</v>
      </c>
      <c r="Q14" s="160">
        <f t="shared" si="2"/>
        <v>6.1511437416218069E-3</v>
      </c>
      <c r="R14" s="160">
        <f t="shared" si="3"/>
        <v>-1.5428759078349055E-5</v>
      </c>
    </row>
    <row r="15" spans="1:41">
      <c r="A15" s="16"/>
      <c r="B15" s="600">
        <v>3</v>
      </c>
      <c r="C15" s="16"/>
      <c r="D15" s="432">
        <f>SUMIF('305'!$B$2:$B$202,"R3",'305'!G$2:G$202)</f>
        <v>16034299.979999999</v>
      </c>
      <c r="E15" s="317">
        <f>'123'!E18+'305vsCognos'!K7</f>
        <v>8334.7900000001482</v>
      </c>
      <c r="F15" s="317">
        <f t="shared" si="4"/>
        <v>98698</v>
      </c>
      <c r="G15" s="317">
        <f>TempRev!E323</f>
        <v>-71311.930000000008</v>
      </c>
      <c r="H15" s="397">
        <f t="shared" si="0"/>
        <v>35720.860000000146</v>
      </c>
      <c r="I15" s="317">
        <f t="shared" si="5"/>
        <v>16070020.839999998</v>
      </c>
      <c r="J15" s="404">
        <f t="shared" si="6"/>
        <v>-3021.9799999987008</v>
      </c>
      <c r="K15" s="397">
        <f>+'Blocking-Step2'!H146-'123'!AC18+TempRev!G323-TempRev!E323</f>
        <v>15879.787399999914</v>
      </c>
      <c r="L15" s="322">
        <f>'Blocking-Step2'!H148</f>
        <v>16082878.647399999</v>
      </c>
      <c r="M15" s="1070">
        <f t="shared" si="7"/>
        <v>-1996640.6472999994</v>
      </c>
      <c r="N15" s="1071">
        <f>'Blocking-Step2'!I148</f>
        <v>14086238.0001</v>
      </c>
      <c r="O15" s="20"/>
      <c r="P15" s="436">
        <f t="shared" si="1"/>
        <v>-1.8805078288863632E-4</v>
      </c>
      <c r="Q15" s="160">
        <f t="shared" si="2"/>
        <v>6.1522313145573162E-3</v>
      </c>
      <c r="R15" s="160">
        <f t="shared" si="3"/>
        <v>5.1981003289176017E-4</v>
      </c>
    </row>
    <row r="16" spans="1:41">
      <c r="A16" s="16"/>
      <c r="B16" s="600">
        <v>135</v>
      </c>
      <c r="C16" s="16"/>
      <c r="D16" s="432">
        <f>SUMIF('305'!$B$2:$B$202,"R135",'305'!G$2:G$202)</f>
        <v>13934825.57</v>
      </c>
      <c r="E16" s="317">
        <f>'123'!E19+'305vsCognos'!K8</f>
        <v>-30972.530000001119</v>
      </c>
      <c r="F16" s="317">
        <f t="shared" si="4"/>
        <v>85540</v>
      </c>
      <c r="G16" s="317">
        <f>TempRev!O308</f>
        <v>-98291.64959729118</v>
      </c>
      <c r="H16" s="397">
        <f t="shared" si="0"/>
        <v>-43724.179597292299</v>
      </c>
      <c r="I16" s="317">
        <f t="shared" si="5"/>
        <v>13891101.390402708</v>
      </c>
      <c r="J16" s="404">
        <f t="shared" si="6"/>
        <v>-4090.9504027074436</v>
      </c>
      <c r="K16" s="397">
        <f>+'Blocking-Step2'!H183-'123'!AC19+TempRev!Q308-TempRev!O308</f>
        <v>22621.625399999903</v>
      </c>
      <c r="L16" s="322">
        <f>'Blocking-Step2'!H185</f>
        <v>13909632.065400001</v>
      </c>
      <c r="M16" s="1070">
        <f t="shared" si="7"/>
        <v>2775672.0111999996</v>
      </c>
      <c r="N16" s="1071">
        <f>'Blocking-Step2'!I185</f>
        <v>16685304.0766</v>
      </c>
      <c r="O16" s="20"/>
      <c r="P16" s="436">
        <f t="shared" si="1"/>
        <v>-2.9450151487151773E-4</v>
      </c>
      <c r="Q16" s="160">
        <f t="shared" si="2"/>
        <v>6.152251448135272E-3</v>
      </c>
      <c r="R16" s="160">
        <f t="shared" si="3"/>
        <v>-2.2226708073534297E-3</v>
      </c>
    </row>
    <row r="17" spans="1:18">
      <c r="A17" s="16"/>
      <c r="B17" s="600">
        <v>136</v>
      </c>
      <c r="C17" s="16"/>
      <c r="D17" s="432">
        <f>SUMIF('305'!$B$2:$B$202,"R136",'305'!G$2:G$202)</f>
        <v>3970331.2399999998</v>
      </c>
      <c r="E17" s="317">
        <f>'123'!E20</f>
        <v>19836.400000000001</v>
      </c>
      <c r="F17" s="317">
        <f t="shared" si="4"/>
        <v>24549</v>
      </c>
      <c r="G17" s="317">
        <f>TempRev!O314</f>
        <v>-30789.030270751657</v>
      </c>
      <c r="H17" s="397">
        <f t="shared" si="0"/>
        <v>13596.369729248345</v>
      </c>
      <c r="I17" s="317">
        <f t="shared" si="5"/>
        <v>3983927.6097292481</v>
      </c>
      <c r="J17" s="404">
        <f t="shared" si="6"/>
        <v>-731.019729247957</v>
      </c>
      <c r="K17" s="397">
        <f>+'Blocking-Step2'!H220-'123'!AC20+TempRev!Q314-TempRev!O314</f>
        <v>3642.476800000004</v>
      </c>
      <c r="L17" s="322">
        <f>'Blocking-Step2'!H222</f>
        <v>3986839.0668000001</v>
      </c>
      <c r="M17" s="1070">
        <f t="shared" si="7"/>
        <v>16884438.401199996</v>
      </c>
      <c r="N17" s="1071">
        <f>'Blocking-Step2'!I222</f>
        <v>20871277.467999998</v>
      </c>
      <c r="O17" s="20"/>
      <c r="P17" s="436">
        <f t="shared" ref="P17" si="8">J17/I17</f>
        <v>-1.8349222196274741E-4</v>
      </c>
      <c r="Q17" s="160">
        <f t="shared" si="2"/>
        <v>6.1523730867608364E-3</v>
      </c>
      <c r="R17" s="160">
        <f t="shared" si="3"/>
        <v>4.9961574490696653E-3</v>
      </c>
    </row>
    <row r="18" spans="1:18">
      <c r="A18" s="16"/>
      <c r="B18" s="600">
        <v>6</v>
      </c>
      <c r="C18" s="16"/>
      <c r="D18" s="432">
        <f>SUMIF('305'!$B$2:$B$202,"R6",'305'!G$2:G$202)</f>
        <v>10084168.74</v>
      </c>
      <c r="E18" s="317">
        <f>'6'!G25</f>
        <v>-674194.43</v>
      </c>
      <c r="F18" s="317">
        <f>ROUND((D18+E18)/($D$29+$E$29)*$D$40,0)</f>
        <v>57893</v>
      </c>
      <c r="G18" s="317">
        <f>TempRev!E326-G19</f>
        <v>-13225.710342039514</v>
      </c>
      <c r="H18" s="397">
        <f t="shared" si="0"/>
        <v>-629527.14034203952</v>
      </c>
      <c r="I18" s="317">
        <f t="shared" si="5"/>
        <v>9454641.5996579602</v>
      </c>
      <c r="J18" s="404">
        <f t="shared" si="6"/>
        <v>-470.17965796001954</v>
      </c>
      <c r="K18" s="397">
        <f>+'Blocking-Step2'!H708-'6'!Z25+(TempRev!G326-TempRev!Q326)-(TempRev!E326-TempRev!O326)</f>
        <v>6550.78820000001</v>
      </c>
      <c r="L18" s="322">
        <f>'Blocking-Step2'!H711</f>
        <v>9460722.2082000002</v>
      </c>
      <c r="M18" s="1070">
        <f t="shared" si="7"/>
        <v>1847093.0515999999</v>
      </c>
      <c r="N18" s="1071">
        <f>'Blocking-Step2'!I711</f>
        <v>11307815.2598</v>
      </c>
      <c r="O18" s="20"/>
      <c r="P18" s="436">
        <f t="shared" si="1"/>
        <v>-4.9730035031367997E-5</v>
      </c>
      <c r="Q18" s="160">
        <f t="shared" si="2"/>
        <v>6.1523015996416677E-3</v>
      </c>
      <c r="R18" s="160">
        <f t="shared" si="3"/>
        <v>-6.6856718424963602E-2</v>
      </c>
    </row>
    <row r="19" spans="1:18">
      <c r="A19" s="16"/>
      <c r="B19" s="600" t="s">
        <v>959</v>
      </c>
      <c r="C19" s="16"/>
      <c r="D19" s="432">
        <f>SUMIF('305'!$B$2:$B$202,"R6135",'305'!G$2:G$202)</f>
        <v>323189.90000000002</v>
      </c>
      <c r="E19" s="317">
        <f>'6'!G29</f>
        <v>-699.97</v>
      </c>
      <c r="F19" s="317">
        <f t="shared" si="4"/>
        <v>1984</v>
      </c>
      <c r="G19" s="317">
        <f>TempRev!O326</f>
        <v>-395.12965796048991</v>
      </c>
      <c r="H19" s="397">
        <f t="shared" si="0"/>
        <v>888.90034203951006</v>
      </c>
      <c r="I19" s="317">
        <f t="shared" si="5"/>
        <v>324078.80034203955</v>
      </c>
      <c r="J19" s="404">
        <f t="shared" si="6"/>
        <v>-15.450342039544921</v>
      </c>
      <c r="K19" s="397">
        <f>+'Blocking-Step2'!H789-'6'!Z29+TempRev!Q326-TempRev!O326</f>
        <v>278.88550000000032</v>
      </c>
      <c r="L19" s="322">
        <f>'Blocking-Step2'!H791</f>
        <v>324342.23550000001</v>
      </c>
      <c r="M19" s="1070">
        <f t="shared" si="7"/>
        <v>66418.994799999986</v>
      </c>
      <c r="N19" s="1071">
        <f>'Blocking-Step2'!I791</f>
        <v>390761.2303</v>
      </c>
      <c r="O19" s="20"/>
      <c r="P19" s="436">
        <f t="shared" si="1"/>
        <v>-4.767464586772818E-5</v>
      </c>
      <c r="Q19" s="160">
        <f t="shared" si="2"/>
        <v>6.1521300835657095E-3</v>
      </c>
      <c r="R19" s="160">
        <f t="shared" si="3"/>
        <v>-2.1658164441401171E-3</v>
      </c>
    </row>
    <row r="20" spans="1:18">
      <c r="A20" s="22"/>
      <c r="B20" s="600" t="s">
        <v>221</v>
      </c>
      <c r="C20" s="16"/>
      <c r="D20" s="432">
        <f>SUMIF('305'!$B$2:$B$202,"R6A",'305'!G$2:G$202)</f>
        <v>735568.78</v>
      </c>
      <c r="E20" s="317">
        <f>'6A'!G18</f>
        <v>30836.38</v>
      </c>
      <c r="F20" s="317">
        <f t="shared" si="4"/>
        <v>4715</v>
      </c>
      <c r="G20" s="317"/>
      <c r="H20" s="397">
        <f t="shared" si="0"/>
        <v>35551.380000000005</v>
      </c>
      <c r="I20" s="317">
        <f t="shared" si="5"/>
        <v>771120.16</v>
      </c>
      <c r="J20" s="404">
        <f t="shared" si="6"/>
        <v>0.56000000002313755</v>
      </c>
      <c r="K20" s="397">
        <f>+'Blocking-Step2'!H1003-'6A'!AB18</f>
        <v>630.39879999999903</v>
      </c>
      <c r="L20" s="322">
        <f>'Blocking-Step2'!H1006</f>
        <v>771751.11880000005</v>
      </c>
      <c r="M20" s="1070">
        <f t="shared" si="7"/>
        <v>82791.272699999972</v>
      </c>
      <c r="N20" s="1071">
        <f>'Blocking-Step2'!I1006</f>
        <v>854542.39150000003</v>
      </c>
      <c r="O20" s="20"/>
      <c r="P20" s="436">
        <f t="shared" si="1"/>
        <v>7.2621626183802215E-7</v>
      </c>
      <c r="Q20" s="160">
        <f t="shared" si="2"/>
        <v>6.1520984540344168E-3</v>
      </c>
      <c r="R20" s="160">
        <f t="shared" si="3"/>
        <v>4.1921817290831727E-2</v>
      </c>
    </row>
    <row r="21" spans="1:18">
      <c r="A21" s="22"/>
      <c r="B21" s="600" t="s">
        <v>963</v>
      </c>
      <c r="C21" s="16"/>
      <c r="D21" s="432">
        <f>SUMIF('305'!$B$2:$B$202,"R6A135",'305'!G$2:G$202)</f>
        <v>5342.77</v>
      </c>
      <c r="E21" s="317">
        <f>'6A'!G22</f>
        <v>0</v>
      </c>
      <c r="F21" s="317">
        <f t="shared" si="4"/>
        <v>33</v>
      </c>
      <c r="G21" s="317"/>
      <c r="H21" s="397">
        <f t="shared" si="0"/>
        <v>33</v>
      </c>
      <c r="I21" s="317">
        <f t="shared" si="5"/>
        <v>5375.77</v>
      </c>
      <c r="J21" s="404">
        <f t="shared" si="6"/>
        <v>0.20999999999973795</v>
      </c>
      <c r="K21" s="397">
        <f>+'Blocking-Step2'!H1096-'6A'!AB22</f>
        <v>2.0999999999986585E-3</v>
      </c>
      <c r="L21" s="322">
        <f>'Blocking-Step2'!H1098</f>
        <v>5375.9821000000002</v>
      </c>
      <c r="M21" s="1070">
        <f t="shared" si="7"/>
        <v>-4727.9821000000002</v>
      </c>
      <c r="N21" s="1071">
        <f>'Blocking-Step2'!I1098</f>
        <v>648</v>
      </c>
      <c r="O21" s="20"/>
      <c r="P21" s="436">
        <f t="shared" ref="P21" si="9">J21/I21</f>
        <v>3.9064171272159694E-5</v>
      </c>
      <c r="Q21" s="160">
        <f t="shared" si="2"/>
        <v>6.1765713291045653E-3</v>
      </c>
      <c r="R21" s="160">
        <f t="shared" si="3"/>
        <v>0</v>
      </c>
    </row>
    <row r="22" spans="1:18">
      <c r="A22" s="22"/>
      <c r="B22" s="600" t="s">
        <v>223</v>
      </c>
      <c r="C22" s="16"/>
      <c r="D22" s="432">
        <f>SUMIF('305'!$B$2:$B$202,"R6B",'305'!G$2:G$202)</f>
        <v>3498.54</v>
      </c>
      <c r="E22" s="317">
        <f>'6'!G37</f>
        <v>254.67</v>
      </c>
      <c r="F22" s="317">
        <f t="shared" si="4"/>
        <v>23</v>
      </c>
      <c r="G22" s="317"/>
      <c r="H22" s="397">
        <f t="shared" si="0"/>
        <v>277.66999999999996</v>
      </c>
      <c r="I22" s="317">
        <f t="shared" si="5"/>
        <v>3776.21</v>
      </c>
      <c r="J22" s="404">
        <f t="shared" si="6"/>
        <v>0.47000000000005571</v>
      </c>
      <c r="K22" s="397">
        <f>+'Blocking-Step2'!H920-'6'!Z37</f>
        <v>0.24989999999999668</v>
      </c>
      <c r="L22" s="322">
        <f>'Blocking-Step2'!H922</f>
        <v>3776.9299000000001</v>
      </c>
      <c r="M22" s="1070">
        <f t="shared" si="7"/>
        <v>777.70100000000002</v>
      </c>
      <c r="N22" s="1071">
        <f>'Blocking-Step2'!I922</f>
        <v>4554.6309000000001</v>
      </c>
      <c r="O22" s="20"/>
      <c r="P22" s="436">
        <f t="shared" si="1"/>
        <v>1.2446341702396205E-4</v>
      </c>
      <c r="Q22" s="160">
        <f t="shared" si="2"/>
        <v>6.1280876902704614E-3</v>
      </c>
      <c r="R22" s="160">
        <f t="shared" si="3"/>
        <v>7.27932223155945E-2</v>
      </c>
    </row>
    <row r="23" spans="1:18">
      <c r="A23" s="16"/>
      <c r="B23" s="600">
        <v>7</v>
      </c>
      <c r="C23" s="16"/>
      <c r="D23" s="432">
        <f>SUMIF('305'!$B$2:$B$202,"R7",'305'!G$2:G$202)</f>
        <v>625707.6</v>
      </c>
      <c r="E23" s="317">
        <f>'7'!K91+'305vsCognos'!K15</f>
        <v>-991.00999999998623</v>
      </c>
      <c r="F23" s="317">
        <f t="shared" si="4"/>
        <v>3843</v>
      </c>
      <c r="G23" s="317"/>
      <c r="H23" s="397">
        <f t="shared" si="0"/>
        <v>2851.9900000000139</v>
      </c>
      <c r="I23" s="317">
        <f t="shared" si="5"/>
        <v>628559.59</v>
      </c>
      <c r="J23" s="404">
        <f t="shared" si="6"/>
        <v>54.680000000005748</v>
      </c>
      <c r="K23" s="397">
        <f>+'Blocking-Step2'!H1245-'7'!R91</f>
        <v>171.90339999999742</v>
      </c>
      <c r="L23" s="322">
        <f>'Blocking-Step2'!H1248</f>
        <v>628786.17339999997</v>
      </c>
      <c r="M23" s="1070">
        <f t="shared" si="7"/>
        <v>-19569.328800000018</v>
      </c>
      <c r="N23" s="1071">
        <f>'Blocking-Step2'!I1248</f>
        <v>609216.84459999995</v>
      </c>
      <c r="O23" s="20"/>
      <c r="P23" s="436">
        <f t="shared" si="1"/>
        <v>8.6992547516466582E-5</v>
      </c>
      <c r="Q23" s="160">
        <f t="shared" si="2"/>
        <v>6.1515894751570472E-3</v>
      </c>
      <c r="R23" s="160">
        <f t="shared" si="3"/>
        <v>-1.5838228591118059E-3</v>
      </c>
    </row>
    <row r="24" spans="1:18">
      <c r="A24" s="16"/>
      <c r="B24" s="600">
        <v>8</v>
      </c>
      <c r="C24" s="16"/>
      <c r="D24" s="432">
        <f>SUMIF('305'!$B$2:$B$202,"R8",'305'!G$2:G$202)</f>
        <v>32040.73</v>
      </c>
      <c r="E24" s="317">
        <f>-D24</f>
        <v>-32040.73</v>
      </c>
      <c r="F24" s="317">
        <f t="shared" si="4"/>
        <v>0</v>
      </c>
      <c r="G24" s="317"/>
      <c r="H24" s="397">
        <f t="shared" si="0"/>
        <v>-32040.73</v>
      </c>
      <c r="I24" s="317">
        <f t="shared" si="5"/>
        <v>0</v>
      </c>
      <c r="J24" s="404">
        <f t="shared" si="6"/>
        <v>0</v>
      </c>
      <c r="K24" s="397">
        <v>0</v>
      </c>
      <c r="L24" s="322">
        <v>0</v>
      </c>
      <c r="M24" s="1070">
        <f t="shared" si="7"/>
        <v>0</v>
      </c>
      <c r="N24" s="1071">
        <v>0</v>
      </c>
      <c r="O24" s="20"/>
      <c r="P24" s="436" t="e">
        <f t="shared" ref="P24" si="10">J24/I24</f>
        <v>#DIV/0!</v>
      </c>
      <c r="Q24" s="160" t="e">
        <f t="shared" si="2"/>
        <v>#DIV/0!</v>
      </c>
      <c r="R24" s="160">
        <f t="shared" si="3"/>
        <v>-1</v>
      </c>
    </row>
    <row r="25" spans="1:18">
      <c r="A25" s="16"/>
      <c r="B25" s="600">
        <v>23</v>
      </c>
      <c r="C25" s="16"/>
      <c r="D25" s="432">
        <f>SUMIF('305'!$B$2:$B$202,"R23",'305'!G$2:G$202)</f>
        <v>10884362.17</v>
      </c>
      <c r="E25" s="317">
        <f>'23'!F26+'305vsCognos'!K16</f>
        <v>-7411.3699999988075</v>
      </c>
      <c r="F25" s="317">
        <f t="shared" si="4"/>
        <v>66918</v>
      </c>
      <c r="G25" s="317">
        <f>TempRev!E331-G26-G27</f>
        <v>-21341.829851145118</v>
      </c>
      <c r="H25" s="397">
        <f t="shared" si="0"/>
        <v>38164.800148856069</v>
      </c>
      <c r="I25" s="317">
        <f t="shared" si="5"/>
        <v>10922526.970148856</v>
      </c>
      <c r="J25" s="404">
        <f t="shared" si="6"/>
        <v>-705.50014885672135</v>
      </c>
      <c r="K25" s="397">
        <f>+'Blocking-Step2'!H2019-'23'!AF26+(TempRev!G331-TempRev!Q331-TempRev!AA331)-(TempRev!E331-TempRev!O331-TempRev!Y331)</f>
        <v>8254.6588000000338</v>
      </c>
      <c r="L25" s="322">
        <f>'Blocking-Step2'!H2022</f>
        <v>10930076.128799999</v>
      </c>
      <c r="M25" s="1070">
        <f t="shared" si="7"/>
        <v>-462355.55299999937</v>
      </c>
      <c r="N25" s="1071">
        <f>'Blocking-Step2'!I2022</f>
        <v>10467720.5758</v>
      </c>
      <c r="O25" s="20"/>
      <c r="P25" s="436">
        <f t="shared" si="1"/>
        <v>-6.4591293826496871E-5</v>
      </c>
      <c r="Q25" s="160">
        <f t="shared" si="2"/>
        <v>6.1522756910879833E-3</v>
      </c>
      <c r="R25" s="160">
        <f t="shared" si="3"/>
        <v>-6.8091909146742477E-4</v>
      </c>
    </row>
    <row r="26" spans="1:18">
      <c r="A26" s="16"/>
      <c r="B26" s="600" t="s">
        <v>960</v>
      </c>
      <c r="C26" s="16"/>
      <c r="D26" s="432">
        <f>SUMIF('305'!$B$2:$B$202,"R23135",'305'!G$2:G$202)</f>
        <v>161144.32000000001</v>
      </c>
      <c r="E26" s="317">
        <f>'23'!F30+'305vsCognos'!K17</f>
        <v>3670.87</v>
      </c>
      <c r="F26" s="317">
        <f t="shared" si="4"/>
        <v>1014</v>
      </c>
      <c r="G26" s="317">
        <f>TempRev!O331</f>
        <v>-268.01894012444222</v>
      </c>
      <c r="H26" s="397">
        <f t="shared" si="0"/>
        <v>4416.8510598755574</v>
      </c>
      <c r="I26" s="317">
        <f t="shared" si="5"/>
        <v>165561.17105987557</v>
      </c>
      <c r="J26" s="404">
        <f t="shared" si="6"/>
        <v>-10.741059875584142</v>
      </c>
      <c r="K26" s="397">
        <f>+'Blocking-Step2'!H2112-'23'!AF30+TempRev!Q331-TempRev!O331</f>
        <v>175.60780000000068</v>
      </c>
      <c r="L26" s="322">
        <f>'Blocking-Step2'!H2114</f>
        <v>165726.03779999999</v>
      </c>
      <c r="M26" s="1070">
        <f t="shared" si="7"/>
        <v>31409.625300000014</v>
      </c>
      <c r="N26" s="1071">
        <f>'Blocking-Step2'!I2114</f>
        <v>197135.66310000001</v>
      </c>
      <c r="O26" s="20"/>
      <c r="P26" s="436">
        <f t="shared" si="1"/>
        <v>-6.4876684592304632E-5</v>
      </c>
      <c r="Q26" s="160">
        <f t="shared" si="2"/>
        <v>6.152345545334747E-3</v>
      </c>
      <c r="R26" s="160">
        <f t="shared" si="3"/>
        <v>2.2780014833907888E-2</v>
      </c>
    </row>
    <row r="27" spans="1:18">
      <c r="A27" s="16"/>
      <c r="B27" s="600" t="s">
        <v>1214</v>
      </c>
      <c r="C27" s="16"/>
      <c r="D27" s="432">
        <f>SUMIF('305'!$B$2:$B$202,"R23136",'305'!G$2:G$202)</f>
        <v>13169.36</v>
      </c>
      <c r="E27" s="317">
        <f>'23'!F34</f>
        <v>0</v>
      </c>
      <c r="F27" s="317">
        <f t="shared" si="4"/>
        <v>81</v>
      </c>
      <c r="G27" s="317">
        <f>TempRev!Y331</f>
        <v>-30.271208730441273</v>
      </c>
      <c r="H27" s="397">
        <f t="shared" si="0"/>
        <v>50.728791269558727</v>
      </c>
      <c r="I27" s="317">
        <f t="shared" si="5"/>
        <v>13220.08879126956</v>
      </c>
      <c r="J27" s="404">
        <f t="shared" si="6"/>
        <v>-0.37879126956005393</v>
      </c>
      <c r="K27" s="397">
        <f>+'Blocking-Step2'!H2202-'23'!AF34+TempRev!AA331-TempRev!Y331</f>
        <v>3.3833999999999946</v>
      </c>
      <c r="L27" s="322">
        <f>'Blocking-Step2'!H2204</f>
        <v>13223.0934</v>
      </c>
      <c r="M27" s="1070">
        <f t="shared" si="7"/>
        <v>15988.3804</v>
      </c>
      <c r="N27" s="1071">
        <f>'Blocking-Step2'!I2204</f>
        <v>29211.4738</v>
      </c>
      <c r="O27" s="20"/>
      <c r="P27" s="436">
        <f t="shared" ref="P27" si="11">J27/I27</f>
        <v>-2.865270237898891E-5</v>
      </c>
      <c r="Q27" s="160">
        <f t="shared" si="2"/>
        <v>6.1506405778261053E-3</v>
      </c>
      <c r="R27" s="160">
        <f t="shared" si="3"/>
        <v>0</v>
      </c>
    </row>
    <row r="28" spans="1:18">
      <c r="A28" s="16"/>
      <c r="B28" s="654" t="s">
        <v>961</v>
      </c>
      <c r="C28" s="437"/>
      <c r="D28" s="433">
        <f>SUMIF('305'!$B$2:$B$202,"RPTLD",'305'!G$2:G$202)</f>
        <v>104.64</v>
      </c>
      <c r="E28" s="318">
        <f>PTL!I3</f>
        <v>0</v>
      </c>
      <c r="F28" s="318">
        <f t="shared" si="4"/>
        <v>1</v>
      </c>
      <c r="G28" s="318"/>
      <c r="H28" s="398">
        <f t="shared" si="0"/>
        <v>1</v>
      </c>
      <c r="I28" s="318">
        <f t="shared" si="5"/>
        <v>105.64</v>
      </c>
      <c r="J28" s="405">
        <f t="shared" si="6"/>
        <v>0.35999999999999943</v>
      </c>
      <c r="K28" s="398">
        <v>0</v>
      </c>
      <c r="L28" s="332">
        <f>'Blocking-Step2'!H2667</f>
        <v>106</v>
      </c>
      <c r="M28" s="1072">
        <f t="shared" si="7"/>
        <v>-1</v>
      </c>
      <c r="N28" s="1073">
        <f>'Blocking-Step2'!I2667</f>
        <v>105</v>
      </c>
      <c r="O28" s="20"/>
      <c r="P28" s="436">
        <f>J28/I28</f>
        <v>3.4078000757288853E-3</v>
      </c>
      <c r="Q28" s="160">
        <f t="shared" si="2"/>
        <v>9.5565749235474E-3</v>
      </c>
      <c r="R28" s="160">
        <f t="shared" si="3"/>
        <v>0</v>
      </c>
    </row>
    <row r="29" spans="1:18" s="557" customFormat="1">
      <c r="B29" s="557" t="s">
        <v>130</v>
      </c>
      <c r="D29" s="558">
        <f>SUM(D12:D28)</f>
        <v>756647072.58000004</v>
      </c>
      <c r="E29" s="559">
        <f t="shared" ref="E29:L29" si="12">SUM(E12:E28)</f>
        <v>-664590.54999999981</v>
      </c>
      <c r="F29" s="559">
        <f t="shared" si="12"/>
        <v>4651000</v>
      </c>
      <c r="G29" s="559">
        <f t="shared" si="12"/>
        <v>-5677057.6100000003</v>
      </c>
      <c r="H29" s="561">
        <f t="shared" si="12"/>
        <v>-1690648.1600000015</v>
      </c>
      <c r="I29" s="559">
        <f t="shared" si="12"/>
        <v>754956424.41999996</v>
      </c>
      <c r="J29" s="562">
        <f t="shared" si="12"/>
        <v>-190566.60999994929</v>
      </c>
      <c r="K29" s="561">
        <f t="shared" ref="K29:N29" si="13">SUM(K12:K28)</f>
        <v>841452.89049999812</v>
      </c>
      <c r="L29" s="566">
        <f t="shared" si="12"/>
        <v>755607310.70050025</v>
      </c>
      <c r="M29" s="1074">
        <f t="shared" si="13"/>
        <v>-1121482.773100028</v>
      </c>
      <c r="N29" s="1075">
        <f t="shared" si="13"/>
        <v>754485827.92739987</v>
      </c>
      <c r="O29" s="560"/>
      <c r="P29" s="436">
        <f t="shared" si="1"/>
        <v>-2.5242067467185712E-4</v>
      </c>
      <c r="Q29" s="160">
        <f t="shared" si="2"/>
        <v>6.1522589617565128E-3</v>
      </c>
      <c r="R29" s="160">
        <f t="shared" si="3"/>
        <v>-8.7833624695578651E-4</v>
      </c>
    </row>
    <row r="30" spans="1:18">
      <c r="A30" s="16"/>
      <c r="B30" s="360"/>
      <c r="C30" s="16"/>
      <c r="D30" s="432"/>
      <c r="E30" s="317"/>
      <c r="F30" s="317"/>
      <c r="G30" s="317"/>
      <c r="H30" s="397"/>
      <c r="I30" s="317"/>
      <c r="J30" s="404"/>
      <c r="K30" s="397"/>
      <c r="L30" s="322"/>
      <c r="M30" s="1070"/>
      <c r="N30" s="1071"/>
      <c r="O30" s="20"/>
      <c r="P30" s="436"/>
      <c r="Q30" s="160"/>
      <c r="R30" s="160"/>
    </row>
    <row r="31" spans="1:18">
      <c r="A31" s="16"/>
      <c r="B31" s="16" t="s">
        <v>847</v>
      </c>
      <c r="C31" s="16"/>
      <c r="D31" s="432">
        <f>SUMIF('305'!$B$2:$B$202,"RREVDEF",'305'!G$2:G$202)</f>
        <v>2405360.21</v>
      </c>
      <c r="E31" s="317">
        <f>-D31</f>
        <v>-2405360.21</v>
      </c>
      <c r="F31" s="317"/>
      <c r="G31" s="317"/>
      <c r="H31" s="397">
        <f t="shared" ref="H31:H37" si="14">SUM(E31:G31)</f>
        <v>-2405360.21</v>
      </c>
      <c r="I31" s="317">
        <f t="shared" ref="I31:I37" si="15">D31+H31</f>
        <v>0</v>
      </c>
      <c r="J31" s="404"/>
      <c r="K31" s="397"/>
      <c r="L31" s="322"/>
      <c r="M31" s="1070"/>
      <c r="N31" s="1071"/>
      <c r="O31" s="20"/>
      <c r="P31" s="436"/>
      <c r="Q31" s="160"/>
      <c r="R31" s="160"/>
    </row>
    <row r="32" spans="1:18">
      <c r="A32" s="16"/>
      <c r="B32" s="16" t="s">
        <v>692</v>
      </c>
      <c r="C32" s="16"/>
      <c r="D32" s="432">
        <f>SUMIF('305'!$B$2:$B$202,"RREVADJ",'305'!G$2:G$202)</f>
        <v>-1227136.3700000001</v>
      </c>
      <c r="E32" s="317">
        <f t="shared" ref="E32:E37" si="16">-D32</f>
        <v>1227136.3700000001</v>
      </c>
      <c r="F32" s="317"/>
      <c r="G32" s="317"/>
      <c r="H32" s="397">
        <f t="shared" si="14"/>
        <v>1227136.3700000001</v>
      </c>
      <c r="I32" s="317">
        <f t="shared" si="15"/>
        <v>0</v>
      </c>
      <c r="J32" s="404"/>
      <c r="K32" s="397"/>
      <c r="L32" s="322"/>
      <c r="M32" s="1070"/>
      <c r="N32" s="1071"/>
      <c r="O32" s="20"/>
      <c r="P32" s="436"/>
      <c r="Q32" s="160"/>
      <c r="R32" s="160"/>
    </row>
    <row r="33" spans="1:18">
      <c r="A33" s="16"/>
      <c r="B33" s="16" t="s">
        <v>962</v>
      </c>
      <c r="C33" s="16"/>
      <c r="D33" s="432">
        <f>SUMIF('305'!$B$2:$B$202,"RSOLAR",'305'!G$2:G$202)</f>
        <v>1838486.19</v>
      </c>
      <c r="E33" s="317">
        <f t="shared" si="16"/>
        <v>-1838486.19</v>
      </c>
      <c r="F33" s="317"/>
      <c r="G33" s="317"/>
      <c r="H33" s="397">
        <f t="shared" si="14"/>
        <v>-1838486.19</v>
      </c>
      <c r="I33" s="317">
        <f t="shared" si="15"/>
        <v>0</v>
      </c>
      <c r="J33" s="404"/>
      <c r="K33" s="397"/>
      <c r="L33" s="322"/>
      <c r="M33" s="1070"/>
      <c r="N33" s="1071"/>
      <c r="O33" s="20"/>
      <c r="P33" s="436"/>
      <c r="Q33" s="160"/>
      <c r="R33" s="160"/>
    </row>
    <row r="34" spans="1:18">
      <c r="A34" s="16"/>
      <c r="B34" s="16" t="s">
        <v>23</v>
      </c>
      <c r="C34" s="16"/>
      <c r="D34" s="432">
        <f>SUMIF('305'!$B$2:$B$202,"RDSM",'305'!G$2:G$202)</f>
        <v>3637604.95</v>
      </c>
      <c r="E34" s="317">
        <f t="shared" si="16"/>
        <v>-3637604.95</v>
      </c>
      <c r="F34" s="317"/>
      <c r="G34" s="317"/>
      <c r="H34" s="397">
        <f t="shared" si="14"/>
        <v>-3637604.95</v>
      </c>
      <c r="I34" s="317">
        <f t="shared" si="15"/>
        <v>0</v>
      </c>
      <c r="J34" s="404"/>
      <c r="K34" s="397"/>
      <c r="L34" s="322"/>
      <c r="M34" s="1070"/>
      <c r="N34" s="1071"/>
      <c r="O34" s="20"/>
      <c r="P34" s="436"/>
      <c r="Q34" s="160"/>
      <c r="R34" s="160"/>
    </row>
    <row r="35" spans="1:18">
      <c r="A35" s="16"/>
      <c r="B35" s="16" t="s">
        <v>1412</v>
      </c>
      <c r="C35" s="16"/>
      <c r="D35" s="432">
        <f>SUMIF('305'!$B$2:$B$202,"RTAX",'305'!G$2:G$202)</f>
        <v>-2.0000000047730299E-2</v>
      </c>
      <c r="E35" s="317">
        <f t="shared" ref="E35" si="17">-D35</f>
        <v>2.0000000047730299E-2</v>
      </c>
      <c r="F35" s="317"/>
      <c r="G35" s="317"/>
      <c r="H35" s="397">
        <f t="shared" si="14"/>
        <v>2.0000000047730299E-2</v>
      </c>
      <c r="I35" s="317">
        <f t="shared" si="15"/>
        <v>0</v>
      </c>
      <c r="J35" s="404"/>
      <c r="K35" s="397"/>
      <c r="L35" s="322"/>
      <c r="M35" s="1070"/>
      <c r="N35" s="1071"/>
      <c r="O35" s="20"/>
      <c r="P35" s="436"/>
      <c r="Q35" s="160"/>
      <c r="R35" s="160"/>
    </row>
    <row r="36" spans="1:18">
      <c r="A36" s="16"/>
      <c r="B36" s="18" t="s">
        <v>848</v>
      </c>
      <c r="C36" s="16"/>
      <c r="D36" s="432">
        <f>SUMIF('305'!$B$2:$B$202,"RBLUE",'305'!G$2:G$202)</f>
        <v>2162994.2800000003</v>
      </c>
      <c r="E36" s="317">
        <f t="shared" si="16"/>
        <v>-2162994.2800000003</v>
      </c>
      <c r="F36" s="317"/>
      <c r="G36" s="317"/>
      <c r="H36" s="397">
        <f t="shared" si="14"/>
        <v>-2162994.2800000003</v>
      </c>
      <c r="I36" s="317">
        <f t="shared" si="15"/>
        <v>0</v>
      </c>
      <c r="J36" s="404"/>
      <c r="K36" s="397"/>
      <c r="L36" s="322"/>
      <c r="M36" s="1070"/>
      <c r="N36" s="1071"/>
      <c r="O36" s="20"/>
      <c r="P36" s="436"/>
      <c r="Q36" s="160"/>
      <c r="R36" s="160"/>
    </row>
    <row r="37" spans="1:18">
      <c r="A37" s="16"/>
      <c r="B37" s="654" t="s">
        <v>849</v>
      </c>
      <c r="C37" s="437"/>
      <c r="D37" s="433">
        <f>SUMIF('305'!$B$2:$B$202,"RINSUR",'305'!G$2:G$202)</f>
        <v>-776778.1</v>
      </c>
      <c r="E37" s="318">
        <f t="shared" si="16"/>
        <v>776778.1</v>
      </c>
      <c r="F37" s="318"/>
      <c r="G37" s="318"/>
      <c r="H37" s="398">
        <f t="shared" si="14"/>
        <v>776778.1</v>
      </c>
      <c r="I37" s="318">
        <f t="shared" si="15"/>
        <v>0</v>
      </c>
      <c r="J37" s="405"/>
      <c r="K37" s="398"/>
      <c r="L37" s="332"/>
      <c r="M37" s="1072"/>
      <c r="N37" s="1073"/>
      <c r="O37" s="20"/>
      <c r="P37" s="436"/>
      <c r="Q37" s="160"/>
      <c r="R37" s="160"/>
    </row>
    <row r="38" spans="1:18" s="557" customFormat="1">
      <c r="B38" s="557" t="s">
        <v>130</v>
      </c>
      <c r="D38" s="558">
        <f t="shared" ref="D38:L38" si="18">SUM(D31:D37)</f>
        <v>8040531.1400000006</v>
      </c>
      <c r="E38" s="559">
        <f t="shared" si="18"/>
        <v>-8040531.1400000006</v>
      </c>
      <c r="F38" s="559">
        <f t="shared" si="18"/>
        <v>0</v>
      </c>
      <c r="G38" s="559">
        <f t="shared" si="18"/>
        <v>0</v>
      </c>
      <c r="H38" s="561">
        <f t="shared" si="18"/>
        <v>-8040531.1400000006</v>
      </c>
      <c r="I38" s="559">
        <f t="shared" si="18"/>
        <v>0</v>
      </c>
      <c r="J38" s="562">
        <f t="shared" si="18"/>
        <v>0</v>
      </c>
      <c r="K38" s="561">
        <f t="shared" ref="K38:M38" si="19">SUM(K31:K37)</f>
        <v>0</v>
      </c>
      <c r="L38" s="566">
        <f t="shared" si="18"/>
        <v>0</v>
      </c>
      <c r="M38" s="1074">
        <f t="shared" si="19"/>
        <v>0</v>
      </c>
      <c r="N38" s="1075">
        <f t="shared" ref="N38" si="20">SUM(N31:N37)</f>
        <v>0</v>
      </c>
      <c r="O38" s="560"/>
      <c r="P38" s="563"/>
      <c r="Q38" s="564"/>
      <c r="R38" s="564"/>
    </row>
    <row r="39" spans="1:18">
      <c r="A39" s="16"/>
      <c r="B39" s="360"/>
      <c r="C39" s="16"/>
      <c r="D39" s="432"/>
      <c r="E39" s="317"/>
      <c r="F39" s="317"/>
      <c r="G39" s="317"/>
      <c r="H39" s="397"/>
      <c r="I39" s="317"/>
      <c r="J39" s="404"/>
      <c r="K39" s="397"/>
      <c r="L39" s="322"/>
      <c r="M39" s="1070"/>
      <c r="N39" s="1071"/>
      <c r="O39" s="20"/>
      <c r="P39" s="436"/>
      <c r="Q39" s="160"/>
      <c r="R39" s="160"/>
    </row>
    <row r="40" spans="1:18">
      <c r="A40" s="16"/>
      <c r="B40" s="360" t="s">
        <v>136</v>
      </c>
      <c r="C40" s="16"/>
      <c r="D40" s="432">
        <f>SUMIF('305'!$B$2:$B$202,"RU",'305'!G$2:G$202)</f>
        <v>4651000</v>
      </c>
      <c r="E40" s="317"/>
      <c r="F40" s="317">
        <f>-D40</f>
        <v>-4651000</v>
      </c>
      <c r="G40" s="317"/>
      <c r="H40" s="397">
        <f>SUM(E40:G40)</f>
        <v>-4651000</v>
      </c>
      <c r="I40" s="317">
        <f>D40+H40</f>
        <v>0</v>
      </c>
      <c r="J40" s="404"/>
      <c r="K40" s="397"/>
      <c r="L40" s="322">
        <f>SUM(I40:J40)</f>
        <v>0</v>
      </c>
      <c r="M40" s="1070"/>
      <c r="N40" s="1071">
        <f>SUM(K40:L40)</f>
        <v>0</v>
      </c>
      <c r="O40" s="20"/>
      <c r="P40" s="436"/>
      <c r="Q40" s="160">
        <f>F40/(D40+E40)</f>
        <v>-1</v>
      </c>
      <c r="R40" s="160">
        <f>E40/D40</f>
        <v>0</v>
      </c>
    </row>
    <row r="41" spans="1:18">
      <c r="A41" s="16"/>
      <c r="B41" s="438" t="s">
        <v>471</v>
      </c>
      <c r="C41" s="437"/>
      <c r="D41" s="433">
        <f>SUMIF('305'!$B$2:$B$202,"RAGA",'305'!G$2:G$202)</f>
        <v>6795.090000000062</v>
      </c>
      <c r="E41" s="318">
        <v>0</v>
      </c>
      <c r="F41" s="318"/>
      <c r="G41" s="318"/>
      <c r="H41" s="398">
        <f>SUM(E41:G41)</f>
        <v>0</v>
      </c>
      <c r="I41" s="318">
        <f>D41+H41</f>
        <v>6795.090000000062</v>
      </c>
      <c r="J41" s="405"/>
      <c r="K41" s="398"/>
      <c r="L41" s="332">
        <f>SUM(I41:J41)</f>
        <v>6795.090000000062</v>
      </c>
      <c r="M41" s="1072"/>
      <c r="N41" s="1073">
        <f>SUM(K41:L41)</f>
        <v>6795.090000000062</v>
      </c>
      <c r="O41" s="20"/>
      <c r="P41" s="436"/>
      <c r="Q41" s="160">
        <f>F41/(D41+E41)</f>
        <v>0</v>
      </c>
      <c r="R41" s="160">
        <f>E41/D41</f>
        <v>0</v>
      </c>
    </row>
    <row r="42" spans="1:18">
      <c r="A42" s="16"/>
      <c r="B42" s="360" t="s">
        <v>93</v>
      </c>
      <c r="C42" s="16"/>
      <c r="D42" s="432">
        <f t="shared" ref="D42:L42" si="21">D29+D38+D40+D41</f>
        <v>769345398.81000006</v>
      </c>
      <c r="E42" s="317">
        <f t="shared" si="21"/>
        <v>-8705121.6900000013</v>
      </c>
      <c r="F42" s="317">
        <f t="shared" si="21"/>
        <v>0</v>
      </c>
      <c r="G42" s="317">
        <f t="shared" si="21"/>
        <v>-5677057.6100000003</v>
      </c>
      <c r="H42" s="397">
        <f t="shared" si="21"/>
        <v>-14382179.300000003</v>
      </c>
      <c r="I42" s="317">
        <f t="shared" si="21"/>
        <v>754963219.50999999</v>
      </c>
      <c r="J42" s="404">
        <f t="shared" si="21"/>
        <v>-190566.60999994929</v>
      </c>
      <c r="K42" s="428">
        <f t="shared" ref="K42:N42" si="22">K29+K38+K40+K41</f>
        <v>841452.89049999812</v>
      </c>
      <c r="L42" s="1064">
        <f t="shared" si="21"/>
        <v>755614105.79050028</v>
      </c>
      <c r="M42" s="1068">
        <f t="shared" si="22"/>
        <v>-1121482.773100028</v>
      </c>
      <c r="N42" s="1069">
        <f t="shared" si="22"/>
        <v>754492623.01739991</v>
      </c>
      <c r="O42" s="20"/>
      <c r="P42" s="436">
        <f>J42/I42</f>
        <v>-2.5241840274501623E-4</v>
      </c>
      <c r="Q42" s="160">
        <f>F42/(D42+E42)</f>
        <v>0</v>
      </c>
      <c r="R42" s="160">
        <f>E42/D42</f>
        <v>-1.1314972057368273E-2</v>
      </c>
    </row>
    <row r="43" spans="1:18">
      <c r="A43" s="16"/>
      <c r="B43" s="360"/>
      <c r="C43" s="16"/>
      <c r="D43" s="432"/>
      <c r="E43" s="317"/>
      <c r="F43" s="317"/>
      <c r="G43" s="317"/>
      <c r="H43" s="397"/>
      <c r="I43" s="317"/>
      <c r="J43" s="404"/>
      <c r="K43" s="428"/>
      <c r="L43" s="1064"/>
      <c r="M43" s="1068"/>
      <c r="N43" s="1069"/>
      <c r="O43" s="20"/>
      <c r="P43" s="31"/>
      <c r="Q43" s="123"/>
    </row>
    <row r="44" spans="1:18">
      <c r="A44" s="17" t="s">
        <v>104</v>
      </c>
      <c r="B44" s="359"/>
      <c r="C44" s="16"/>
      <c r="D44" s="432"/>
      <c r="E44" s="317"/>
      <c r="F44" s="317"/>
      <c r="G44" s="317"/>
      <c r="H44" s="397"/>
      <c r="I44" s="317"/>
      <c r="J44" s="404"/>
      <c r="K44" s="428"/>
      <c r="L44" s="1064"/>
      <c r="M44" s="1068"/>
      <c r="N44" s="1069"/>
      <c r="O44" s="20"/>
      <c r="P44" s="31"/>
      <c r="Q44" s="123"/>
    </row>
    <row r="45" spans="1:18">
      <c r="A45" s="16"/>
      <c r="B45" s="600">
        <v>6</v>
      </c>
      <c r="C45" s="16"/>
      <c r="D45" s="432">
        <f>SUMIF('305'!$B$2:$B$202,"C6",'305'!G$2:G$202)</f>
        <v>410505242.61999995</v>
      </c>
      <c r="E45" s="317">
        <f>'6'!G23</f>
        <v>867302.53999999992</v>
      </c>
      <c r="F45" s="317">
        <f>D78-SUM(F46:F66)</f>
        <v>2430886</v>
      </c>
      <c r="G45" s="317">
        <f>TempRev!E335-G46-G47</f>
        <v>108160.44979644439</v>
      </c>
      <c r="H45" s="397">
        <f t="shared" ref="H45:H66" si="23">SUM(E45:G45)</f>
        <v>3406348.9897964443</v>
      </c>
      <c r="I45" s="317">
        <f t="shared" ref="I45:I66" si="24">D45+H45</f>
        <v>413911591.6097964</v>
      </c>
      <c r="J45" s="404">
        <f t="shared" ref="J45:J66" si="25">L45-I45-K45</f>
        <v>29647.630203576759</v>
      </c>
      <c r="K45" s="397">
        <f>+'Blocking-Step2'!H729-'6'!Z23+(TempRev!G335-TempRev!Q335-TempRev!AA335)-(TempRev!E335-TempRev!O335-TempRev!Y335)</f>
        <v>214197.46140000038</v>
      </c>
      <c r="L45" s="322">
        <f>'Blocking-Step2'!H732</f>
        <v>414155436.70139998</v>
      </c>
      <c r="M45" s="1070">
        <f t="shared" ref="M45:M66" si="26">N45-L45</f>
        <v>-22176860.191199958</v>
      </c>
      <c r="N45" s="1071">
        <f>'Blocking-Step2'!I732</f>
        <v>391978576.51020002</v>
      </c>
      <c r="O45" s="20"/>
      <c r="P45" s="436">
        <f t="shared" ref="P45:P67" si="27">J45/I45</f>
        <v>7.1627929259652704E-5</v>
      </c>
      <c r="Q45" s="160">
        <f t="shared" ref="Q45:Q67" si="28">F45/(D45+E45)</f>
        <v>5.9092081583969752E-3</v>
      </c>
      <c r="R45" s="160">
        <f t="shared" ref="R45:R67" si="29">E45/D45</f>
        <v>2.1127684861332015E-3</v>
      </c>
    </row>
    <row r="46" spans="1:18">
      <c r="A46" s="16"/>
      <c r="B46" s="600" t="s">
        <v>959</v>
      </c>
      <c r="C46" s="16"/>
      <c r="D46" s="432">
        <f>SUMIF('305'!$B$2:$B$202,"C6135",'305'!G$2:G$202)</f>
        <v>10411052.34</v>
      </c>
      <c r="E46" s="317">
        <f>'6'!G27</f>
        <v>-41964.72</v>
      </c>
      <c r="F46" s="317">
        <f t="shared" ref="F46:F64" si="30">ROUND((D46+E46)/($D$67+$E$67)*$D$78,0)</f>
        <v>61273</v>
      </c>
      <c r="G46" s="317">
        <f>TempRev!O335</f>
        <v>2640.2914018788651</v>
      </c>
      <c r="H46" s="397">
        <f t="shared" si="23"/>
        <v>21948.571401878864</v>
      </c>
      <c r="I46" s="317">
        <f t="shared" si="24"/>
        <v>10433000.911401879</v>
      </c>
      <c r="J46" s="404">
        <f t="shared" si="25"/>
        <v>1166.7685981212417</v>
      </c>
      <c r="K46" s="397">
        <f>+'Blocking-Step2'!H808-'6'!Z27+TempRev!Q335-TempRev!O335</f>
        <v>5943.4250999999931</v>
      </c>
      <c r="L46" s="322">
        <f>'Blocking-Step2'!H810</f>
        <v>10440111.1051</v>
      </c>
      <c r="M46" s="1070">
        <f t="shared" si="26"/>
        <v>2946813.4098000005</v>
      </c>
      <c r="N46" s="1071">
        <f>'Blocking-Step2'!I810</f>
        <v>13386924.514900001</v>
      </c>
      <c r="O46" s="20"/>
      <c r="P46" s="436">
        <f t="shared" si="27"/>
        <v>1.1183441926532558E-4</v>
      </c>
      <c r="Q46" s="160">
        <f t="shared" si="28"/>
        <v>5.909198788311522E-3</v>
      </c>
      <c r="R46" s="160">
        <f t="shared" si="29"/>
        <v>-4.0307856141274575E-3</v>
      </c>
    </row>
    <row r="47" spans="1:18">
      <c r="A47" s="16"/>
      <c r="B47" s="600" t="s">
        <v>1215</v>
      </c>
      <c r="C47" s="16"/>
      <c r="D47" s="432">
        <f>SUMIF('305'!$B$2:$B$202,"C6136",'305'!G$2:G$202)</f>
        <v>577057.74</v>
      </c>
      <c r="E47" s="317">
        <f>'6'!G31+'305vsCognos'!K24</f>
        <v>32009.790000000055</v>
      </c>
      <c r="F47" s="317">
        <f t="shared" si="30"/>
        <v>3599</v>
      </c>
      <c r="G47" s="317">
        <f>TempRev!Y335</f>
        <v>129.02880167663784</v>
      </c>
      <c r="H47" s="397">
        <f t="shared" si="23"/>
        <v>35737.818801676687</v>
      </c>
      <c r="I47" s="317">
        <f t="shared" si="24"/>
        <v>612795.55880167673</v>
      </c>
      <c r="J47" s="404">
        <f t="shared" si="25"/>
        <v>5.0111983232345665</v>
      </c>
      <c r="K47" s="397">
        <f>+'Blocking-Step2'!H865-'6'!Z31+TempRev!AA335-TempRev!Y335</f>
        <v>67.200100000001839</v>
      </c>
      <c r="L47" s="322">
        <f>'Blocking-Step2'!H867</f>
        <v>612867.77009999997</v>
      </c>
      <c r="M47" s="1070">
        <f t="shared" si="26"/>
        <v>1806397.7254000003</v>
      </c>
      <c r="N47" s="1071">
        <f>'Blocking-Step2'!I867</f>
        <v>2419265.4955000002</v>
      </c>
      <c r="O47" s="20"/>
      <c r="P47" s="436">
        <f t="shared" ref="P47" si="31">J47/I47</f>
        <v>8.1776022219122763E-6</v>
      </c>
      <c r="Q47" s="160">
        <f t="shared" si="28"/>
        <v>5.9090327799940345E-3</v>
      </c>
      <c r="R47" s="160">
        <f t="shared" si="29"/>
        <v>5.5470688253830641E-2</v>
      </c>
    </row>
    <row r="48" spans="1:18">
      <c r="A48" s="16"/>
      <c r="B48" s="600" t="s">
        <v>221</v>
      </c>
      <c r="C48" s="16"/>
      <c r="D48" s="432">
        <f>SUMIF('305'!$B$2:$B$202,"C6A",'305'!G$2:G$202)</f>
        <v>32303691.41</v>
      </c>
      <c r="E48" s="317">
        <f>'6A'!G16</f>
        <v>-13244.850000000006</v>
      </c>
      <c r="F48" s="317">
        <f t="shared" si="30"/>
        <v>190811</v>
      </c>
      <c r="G48" s="317">
        <f>TempRev!E340-G49-G50</f>
        <v>14685.134711984307</v>
      </c>
      <c r="H48" s="397">
        <f t="shared" si="23"/>
        <v>192251.28471198431</v>
      </c>
      <c r="I48" s="317">
        <f t="shared" si="24"/>
        <v>32495942.694711983</v>
      </c>
      <c r="J48" s="404">
        <f t="shared" si="25"/>
        <v>772.32528801646549</v>
      </c>
      <c r="K48" s="397">
        <f>+'Blocking-Step2'!H1027-'6A'!AB16+(TempRev!G340-TempRev!Q340)-(TempRev!E340-TempRev!O340)</f>
        <v>19056.089800000074</v>
      </c>
      <c r="L48" s="322">
        <f>'Blocking-Step2'!H1030</f>
        <v>32515771.1098</v>
      </c>
      <c r="M48" s="1070">
        <f t="shared" si="26"/>
        <v>2291675.2552999966</v>
      </c>
      <c r="N48" s="1071">
        <f>'Blocking-Step2'!I1030</f>
        <v>34807446.365099996</v>
      </c>
      <c r="O48" s="20"/>
      <c r="P48" s="436">
        <f t="shared" si="27"/>
        <v>2.3766822069825501E-5</v>
      </c>
      <c r="Q48" s="160">
        <f t="shared" si="28"/>
        <v>5.9092090797024889E-3</v>
      </c>
      <c r="R48" s="160">
        <f t="shared" si="29"/>
        <v>-4.1001041744411604E-4</v>
      </c>
    </row>
    <row r="49" spans="1:18">
      <c r="A49" s="16"/>
      <c r="B49" s="600" t="s">
        <v>963</v>
      </c>
      <c r="C49" s="16"/>
      <c r="D49" s="432">
        <f>SUMIF('305'!$B$2:$B$202,"C6A135",'305'!G$2:G$202)</f>
        <v>1360823.98</v>
      </c>
      <c r="E49" s="317">
        <f>'6A'!G20</f>
        <v>389.36</v>
      </c>
      <c r="F49" s="317">
        <f t="shared" si="30"/>
        <v>8044</v>
      </c>
      <c r="G49" s="317">
        <f>TempRev!O340</f>
        <v>544.01322479371004</v>
      </c>
      <c r="H49" s="397">
        <f t="shared" si="23"/>
        <v>8977.3732247937114</v>
      </c>
      <c r="I49" s="317">
        <f t="shared" si="24"/>
        <v>1369801.3532247937</v>
      </c>
      <c r="J49" s="404">
        <f t="shared" si="25"/>
        <v>210.39677520622354</v>
      </c>
      <c r="K49" s="397">
        <f>+'Blocking-Step2'!H1118-'6A'!AB20+TempRev!Q340-TempRev!O340</f>
        <v>1491.5091000000029</v>
      </c>
      <c r="L49" s="322">
        <f>'Blocking-Step2'!H1120</f>
        <v>1371503.2590999999</v>
      </c>
      <c r="M49" s="1070">
        <f t="shared" si="26"/>
        <v>305220.54029999999</v>
      </c>
      <c r="N49" s="1071">
        <f>'Blocking-Step2'!I1120</f>
        <v>1676723.7993999999</v>
      </c>
      <c r="O49" s="20"/>
      <c r="P49" s="436">
        <f t="shared" si="27"/>
        <v>1.5359655961129425E-4</v>
      </c>
      <c r="Q49" s="160">
        <f t="shared" si="28"/>
        <v>5.9094337115444366E-3</v>
      </c>
      <c r="R49" s="160">
        <f t="shared" si="29"/>
        <v>2.8612076633158684E-4</v>
      </c>
    </row>
    <row r="50" spans="1:18">
      <c r="A50" s="16"/>
      <c r="B50" s="600" t="s">
        <v>1554</v>
      </c>
      <c r="C50" s="16"/>
      <c r="D50" s="432">
        <f>SUMIF('305'!$B$2:$B$202,"C6A136",'305'!G$2:G$202)</f>
        <v>25073.200000000001</v>
      </c>
      <c r="E50" s="317">
        <f>'6A'!G24</f>
        <v>2588.8000000000002</v>
      </c>
      <c r="F50" s="317">
        <f t="shared" si="30"/>
        <v>163</v>
      </c>
      <c r="G50" s="317">
        <f>TempRev!Y340</f>
        <v>15.412063221986337</v>
      </c>
      <c r="H50" s="397">
        <f t="shared" ref="H50" si="32">SUM(E50:G50)</f>
        <v>2767.2120632219867</v>
      </c>
      <c r="I50" s="317">
        <f t="shared" ref="I50" si="33">D50+H50</f>
        <v>27840.412063221986</v>
      </c>
      <c r="J50" s="404">
        <f t="shared" ref="J50" si="34">L50-I50-K50</f>
        <v>0.3179367780130633</v>
      </c>
      <c r="K50" s="397">
        <f>+'Blocking-Step2'!H1162-'6A'!AB24+TempRev!AA340-TempRev!Y340</f>
        <v>-0.79359999999996944</v>
      </c>
      <c r="L50" s="322">
        <f>'Blocking-Step2'!H1164</f>
        <v>27839.936399999999</v>
      </c>
      <c r="M50" s="1070">
        <f t="shared" ref="M50" si="35">N50-L50</f>
        <v>-27839.936399999999</v>
      </c>
      <c r="N50" s="1071">
        <f>'Blocking-Step2'!I1164</f>
        <v>0</v>
      </c>
      <c r="O50" s="20"/>
      <c r="P50" s="436">
        <f t="shared" ref="P50" si="36">J50/I50</f>
        <v>1.141997385997987E-5</v>
      </c>
      <c r="Q50" s="160">
        <f t="shared" ref="Q50" si="37">F50/(D50+E50)</f>
        <v>5.8925601908755695E-3</v>
      </c>
      <c r="R50" s="160">
        <f t="shared" ref="R50" si="38">E50/D50</f>
        <v>0.10324968492254678</v>
      </c>
    </row>
    <row r="51" spans="1:18">
      <c r="A51" s="16"/>
      <c r="B51" s="601" t="s">
        <v>223</v>
      </c>
      <c r="C51" s="16"/>
      <c r="D51" s="432">
        <f>SUMIF('305'!$B$2:$B$202,"C6B",'305'!G$2:G$202)</f>
        <v>313077.19</v>
      </c>
      <c r="E51" s="317">
        <f>'6'!G35</f>
        <v>65.13</v>
      </c>
      <c r="F51" s="317">
        <f t="shared" si="30"/>
        <v>1850</v>
      </c>
      <c r="G51" s="317">
        <f>TempRev!E343</f>
        <v>150.80000000000001</v>
      </c>
      <c r="H51" s="397">
        <f t="shared" si="23"/>
        <v>2065.9300000000003</v>
      </c>
      <c r="I51" s="317">
        <f t="shared" si="24"/>
        <v>315143.12</v>
      </c>
      <c r="J51" s="404">
        <f t="shared" si="25"/>
        <v>4.8000000000211003</v>
      </c>
      <c r="K51" s="397">
        <f>+'Blocking-Step2'!H938-'6'!Z35+TempRev!G343-TempRev!E343</f>
        <v>181.46759999999995</v>
      </c>
      <c r="L51" s="322">
        <f>'Blocking-Step2'!H940</f>
        <v>315329.38760000002</v>
      </c>
      <c r="M51" s="1070">
        <f t="shared" si="26"/>
        <v>2127.1590999999898</v>
      </c>
      <c r="N51" s="1071">
        <f>'Blocking-Step2'!I940</f>
        <v>317456.54670000001</v>
      </c>
      <c r="O51" s="20"/>
      <c r="P51" s="436">
        <f t="shared" si="27"/>
        <v>1.5231174965904699E-5</v>
      </c>
      <c r="Q51" s="160">
        <f t="shared" si="28"/>
        <v>5.9078568492435006E-3</v>
      </c>
      <c r="R51" s="160">
        <f t="shared" si="29"/>
        <v>2.0803176366825061E-4</v>
      </c>
    </row>
    <row r="52" spans="1:18">
      <c r="A52" s="16"/>
      <c r="B52" s="600">
        <v>7</v>
      </c>
      <c r="C52" s="16"/>
      <c r="D52" s="432">
        <f>SUMIF('305'!$B$2:$B$202,"C7",'305'!G$2:G$202)</f>
        <v>1648722.3</v>
      </c>
      <c r="E52" s="317">
        <f>'7'!K88+'305vsCognos'!K28</f>
        <v>2550.54</v>
      </c>
      <c r="F52" s="317">
        <f t="shared" si="30"/>
        <v>9758</v>
      </c>
      <c r="G52" s="317">
        <v>0</v>
      </c>
      <c r="H52" s="397">
        <f t="shared" si="23"/>
        <v>12308.54</v>
      </c>
      <c r="I52" s="317">
        <f t="shared" si="24"/>
        <v>1661030.84</v>
      </c>
      <c r="J52" s="404">
        <f t="shared" si="25"/>
        <v>27.219999999986612</v>
      </c>
      <c r="K52" s="397">
        <f>+'Blocking-Step2'!H1287-'7'!R88</f>
        <v>492.79179999999178</v>
      </c>
      <c r="L52" s="322">
        <f>'Blocking-Step2'!H1290</f>
        <v>1661550.8518000001</v>
      </c>
      <c r="M52" s="1070">
        <f t="shared" si="26"/>
        <v>-66664.491200000048</v>
      </c>
      <c r="N52" s="1071">
        <f>'Blocking-Step2'!I1290</f>
        <v>1594886.3606</v>
      </c>
      <c r="O52" s="20"/>
      <c r="P52" s="436">
        <f t="shared" si="27"/>
        <v>1.638741397479809E-5</v>
      </c>
      <c r="Q52" s="160">
        <f t="shared" si="28"/>
        <v>5.9093807901545812E-3</v>
      </c>
      <c r="R52" s="160">
        <f t="shared" si="29"/>
        <v>1.5469797430410202E-3</v>
      </c>
    </row>
    <row r="53" spans="1:18">
      <c r="A53" s="16"/>
      <c r="B53" s="601">
        <v>8</v>
      </c>
      <c r="C53" s="16"/>
      <c r="D53" s="432">
        <f>SUMIF('305'!$B$2:$B$202,"C8",'305'!G$2:G$202)</f>
        <v>66179716.859999999</v>
      </c>
      <c r="E53" s="317">
        <f>'8'!F10+'8'!D8</f>
        <v>89894.7</v>
      </c>
      <c r="F53" s="317">
        <f t="shared" si="30"/>
        <v>391601</v>
      </c>
      <c r="G53" s="317">
        <f>TempRev!E347-G54-G55</f>
        <v>33538.97244547536</v>
      </c>
      <c r="H53" s="397">
        <f t="shared" si="23"/>
        <v>515034.67244547536</v>
      </c>
      <c r="I53" s="317">
        <f t="shared" si="24"/>
        <v>66694751.532445475</v>
      </c>
      <c r="J53" s="404">
        <f t="shared" si="25"/>
        <v>1156.7975545227528</v>
      </c>
      <c r="K53" s="397">
        <f>+'Blocking-Step2'!H1414-'8'!U10+(TempRev!G347-TempRev!Q347-TempRev!AA347)-(TempRev!E347-TempRev!O347-TempRev!Y347)</f>
        <v>33556.120600000024</v>
      </c>
      <c r="L53" s="322">
        <f>'Blocking-Step2'!H1416</f>
        <v>66729464.450599998</v>
      </c>
      <c r="M53" s="1070">
        <f t="shared" si="26"/>
        <v>288282.66719999909</v>
      </c>
      <c r="N53" s="1071">
        <f>'Blocking-Step2'!I1416</f>
        <v>67017747.117799997</v>
      </c>
      <c r="O53" s="20"/>
      <c r="P53" s="436">
        <f t="shared" si="27"/>
        <v>1.734465648260189E-5</v>
      </c>
      <c r="Q53" s="160">
        <f t="shared" si="28"/>
        <v>5.9092092254901391E-3</v>
      </c>
      <c r="R53" s="160">
        <f t="shared" si="29"/>
        <v>1.3583421668328969E-3</v>
      </c>
    </row>
    <row r="54" spans="1:18">
      <c r="A54" s="16"/>
      <c r="B54" s="601" t="s">
        <v>964</v>
      </c>
      <c r="C54" s="16"/>
      <c r="D54" s="432">
        <f>SUMIF('305'!$B$2:$B$202,"C8135",'305'!G$2:G$202)</f>
        <v>4355699.9000000004</v>
      </c>
      <c r="E54" s="317">
        <f>'8'!F13</f>
        <v>-12946.04</v>
      </c>
      <c r="F54" s="317">
        <f t="shared" si="30"/>
        <v>25662</v>
      </c>
      <c r="G54" s="317">
        <f>TempRev!O347</f>
        <v>2063.437748512069</v>
      </c>
      <c r="H54" s="397">
        <f t="shared" si="23"/>
        <v>14779.397748512069</v>
      </c>
      <c r="I54" s="317">
        <f t="shared" si="24"/>
        <v>4370479.2977485126</v>
      </c>
      <c r="J54" s="404">
        <f t="shared" si="25"/>
        <v>66.092251487338217</v>
      </c>
      <c r="K54" s="397">
        <f>+'Blocking-Step2'!H1454-'8'!U13+TempRev!Q347-TempRev!O347</f>
        <v>1781.9219999999914</v>
      </c>
      <c r="L54" s="322">
        <f>'Blocking-Step2'!H1456</f>
        <v>4372327.3119999999</v>
      </c>
      <c r="M54" s="1070">
        <f t="shared" si="26"/>
        <v>397933.38559999969</v>
      </c>
      <c r="N54" s="1071">
        <f>'Blocking-Step2'!I1456</f>
        <v>4770260.6975999996</v>
      </c>
      <c r="O54" s="20"/>
      <c r="P54" s="436">
        <f t="shared" si="27"/>
        <v>1.5122426394145414E-5</v>
      </c>
      <c r="Q54" s="160">
        <f t="shared" si="28"/>
        <v>5.9091536907873469E-3</v>
      </c>
      <c r="R54" s="160">
        <f t="shared" si="29"/>
        <v>-2.97220660220416E-3</v>
      </c>
    </row>
    <row r="55" spans="1:18">
      <c r="A55" s="16"/>
      <c r="B55" s="601" t="s">
        <v>1216</v>
      </c>
      <c r="C55" s="16"/>
      <c r="D55" s="432">
        <f>SUMIF('305'!$B$2:$B$202,"C8136",'305'!G$2:G$202)</f>
        <v>127011.04</v>
      </c>
      <c r="E55" s="317">
        <f>'8'!F16</f>
        <v>9422.8700000000008</v>
      </c>
      <c r="F55" s="317">
        <f t="shared" si="30"/>
        <v>806</v>
      </c>
      <c r="G55" s="317">
        <f>TempRev!Y347</f>
        <v>57.799806012561255</v>
      </c>
      <c r="H55" s="397">
        <f t="shared" si="23"/>
        <v>10286.669806012562</v>
      </c>
      <c r="I55" s="317">
        <f t="shared" si="24"/>
        <v>137297.70980601254</v>
      </c>
      <c r="J55" s="404">
        <f t="shared" si="25"/>
        <v>-55.309806012539411</v>
      </c>
      <c r="K55" s="397">
        <f>+'Blocking-Step2'!H1474-'8'!U16+TempRev!AA347-TempRev!Y347</f>
        <v>-8.5600000000340515E-2</v>
      </c>
      <c r="L55" s="322">
        <f>'Blocking-Step2'!H1476</f>
        <v>137242.3144</v>
      </c>
      <c r="M55" s="1070">
        <f t="shared" si="26"/>
        <v>-137242.3144</v>
      </c>
      <c r="N55" s="1071">
        <f>'Blocking-Step2'!I1476</f>
        <v>0</v>
      </c>
      <c r="O55" s="20"/>
      <c r="P55" s="436">
        <f t="shared" ref="P55" si="39">J55/I55</f>
        <v>-4.028458019488194E-4</v>
      </c>
      <c r="Q55" s="160">
        <f t="shared" si="28"/>
        <v>5.9076222326253057E-3</v>
      </c>
      <c r="R55" s="160">
        <f t="shared" si="29"/>
        <v>7.4189377553321362E-2</v>
      </c>
    </row>
    <row r="56" spans="1:18">
      <c r="A56" s="16"/>
      <c r="B56" s="601">
        <v>9</v>
      </c>
      <c r="C56" s="16"/>
      <c r="D56" s="432">
        <f>SUMIF('305'!$B$2:$B$202,"C9",'305'!G$2:G$202)</f>
        <v>61403830.159999996</v>
      </c>
      <c r="E56" s="317">
        <f>-'32-9'!D2+'9'!F8</f>
        <v>-7742303.540000001</v>
      </c>
      <c r="F56" s="317">
        <f t="shared" si="30"/>
        <v>317097</v>
      </c>
      <c r="G56" s="317"/>
      <c r="H56" s="397">
        <f t="shared" si="23"/>
        <v>-7425206.540000001</v>
      </c>
      <c r="I56" s="317">
        <f t="shared" si="24"/>
        <v>53978623.619999997</v>
      </c>
      <c r="J56" s="404">
        <f t="shared" si="25"/>
        <v>2991.3500000007916</v>
      </c>
      <c r="K56" s="397">
        <f>+'Blocking-Step2'!H1514-'9'!V8</f>
        <v>47782.582699999912</v>
      </c>
      <c r="L56" s="322">
        <f>'Blocking-Step2'!H1516</f>
        <v>54029397.552699998</v>
      </c>
      <c r="M56" s="1070">
        <f t="shared" si="26"/>
        <v>19101538.155300006</v>
      </c>
      <c r="N56" s="1071">
        <f>'Blocking-Step2'!I1516</f>
        <v>73130935.708000004</v>
      </c>
      <c r="O56" s="20"/>
      <c r="P56" s="436">
        <f t="shared" si="27"/>
        <v>5.5417307804277646E-5</v>
      </c>
      <c r="Q56" s="160">
        <f t="shared" si="28"/>
        <v>5.9092057191271917E-3</v>
      </c>
      <c r="R56" s="160">
        <f t="shared" si="29"/>
        <v>-0.12608828341531589</v>
      </c>
    </row>
    <row r="57" spans="1:18">
      <c r="A57" s="16"/>
      <c r="B57" s="601" t="s">
        <v>225</v>
      </c>
      <c r="C57" s="16"/>
      <c r="D57" s="432">
        <f>SUMIF('305'!$B$2:$B$202,"C9A",'305'!G$2:G$202)</f>
        <v>1480550.65</v>
      </c>
      <c r="E57" s="317">
        <f>'9A'!F6</f>
        <v>23149</v>
      </c>
      <c r="F57" s="317">
        <f t="shared" si="30"/>
        <v>8886</v>
      </c>
      <c r="G57" s="317"/>
      <c r="H57" s="397">
        <f t="shared" si="23"/>
        <v>32035</v>
      </c>
      <c r="I57" s="317">
        <f t="shared" si="24"/>
        <v>1512585.65</v>
      </c>
      <c r="J57" s="404">
        <f t="shared" si="25"/>
        <v>0.78000000002793968</v>
      </c>
      <c r="K57" s="397">
        <f>+'Blocking-Step2'!H1577-'9A'!O6</f>
        <v>5571.0736000000034</v>
      </c>
      <c r="L57" s="322">
        <f>'Blocking-Step2'!H1579</f>
        <v>1518157.5035999999</v>
      </c>
      <c r="M57" s="1070">
        <f t="shared" si="26"/>
        <v>60892.144700000063</v>
      </c>
      <c r="N57" s="1071">
        <f>'Blocking-Step2'!I1579</f>
        <v>1579049.6483</v>
      </c>
      <c r="O57" s="20"/>
      <c r="P57" s="436">
        <f t="shared" si="27"/>
        <v>5.1567327775980141E-7</v>
      </c>
      <c r="Q57" s="160">
        <f t="shared" si="28"/>
        <v>5.9094247976981314E-3</v>
      </c>
      <c r="R57" s="160">
        <f t="shared" si="29"/>
        <v>1.5635398897025241E-2</v>
      </c>
    </row>
    <row r="58" spans="1:18">
      <c r="A58" s="16"/>
      <c r="B58" s="601" t="s">
        <v>965</v>
      </c>
      <c r="C58" s="16"/>
      <c r="D58" s="432">
        <f>SUMIF('305'!$B$2:$B$202,"C15M",'305'!G$2:G$202)</f>
        <v>1049398.6399999999</v>
      </c>
      <c r="E58" s="317">
        <f>'15M'!F2+'305vsCognos'!K34</f>
        <v>7307.45</v>
      </c>
      <c r="F58" s="317">
        <f t="shared" si="30"/>
        <v>6244</v>
      </c>
      <c r="G58" s="317"/>
      <c r="H58" s="397">
        <f t="shared" si="23"/>
        <v>13551.45</v>
      </c>
      <c r="I58" s="317">
        <f t="shared" si="24"/>
        <v>1062950.0899999999</v>
      </c>
      <c r="J58" s="404">
        <f t="shared" si="25"/>
        <v>0.77000000005864422</v>
      </c>
      <c r="K58" s="397">
        <f>+'Blocking-Step2'!H1827-'15M'!N2</f>
        <v>497.53999999999724</v>
      </c>
      <c r="L58" s="322">
        <f>'Blocking-Step2'!H1829</f>
        <v>1063448.3999999999</v>
      </c>
      <c r="M58" s="1070">
        <f t="shared" si="26"/>
        <v>16560.016000000061</v>
      </c>
      <c r="N58" s="1071">
        <f>'Blocking-Step2'!I1829</f>
        <v>1080008.416</v>
      </c>
      <c r="O58" s="20"/>
      <c r="P58" s="436">
        <f t="shared" si="27"/>
        <v>7.243990167578276E-7</v>
      </c>
      <c r="Q58" s="160">
        <f t="shared" si="28"/>
        <v>5.9089278079205556E-3</v>
      </c>
      <c r="R58" s="160">
        <f t="shared" si="29"/>
        <v>6.9634643322960665E-3</v>
      </c>
    </row>
    <row r="59" spans="1:18">
      <c r="A59" s="16"/>
      <c r="B59" s="601" t="s">
        <v>943</v>
      </c>
      <c r="C59" s="16"/>
      <c r="D59" s="432">
        <f>SUMIF('305'!$B$2:$B$202,"C15T",'305'!G$2:G$202)</f>
        <v>331621.76000000001</v>
      </c>
      <c r="E59" s="317">
        <f>'15T'!F13</f>
        <v>8198.26</v>
      </c>
      <c r="F59" s="317">
        <f t="shared" si="30"/>
        <v>2008</v>
      </c>
      <c r="G59" s="317"/>
      <c r="H59" s="397">
        <f t="shared" si="23"/>
        <v>10206.26</v>
      </c>
      <c r="I59" s="317">
        <f t="shared" si="24"/>
        <v>341828.02</v>
      </c>
      <c r="J59" s="404">
        <f t="shared" si="25"/>
        <v>1.9800000000050204</v>
      </c>
      <c r="K59" s="397">
        <f>+'Blocking-Step2'!H1865-'15T'!L13</f>
        <v>-2409.7886999999992</v>
      </c>
      <c r="L59" s="322">
        <f>'Blocking-Step2'!H1867</f>
        <v>339420.21130000002</v>
      </c>
      <c r="M59" s="1070">
        <f t="shared" si="26"/>
        <v>6963.5228999999817</v>
      </c>
      <c r="N59" s="1071">
        <f>'Blocking-Step2'!I1867</f>
        <v>346383.73420000001</v>
      </c>
      <c r="O59" s="20"/>
      <c r="P59" s="436">
        <f t="shared" si="27"/>
        <v>5.7923864755294794E-6</v>
      </c>
      <c r="Q59" s="160">
        <f t="shared" si="28"/>
        <v>5.9090103049255303E-3</v>
      </c>
      <c r="R59" s="160">
        <f t="shared" si="29"/>
        <v>2.4721719105525525E-2</v>
      </c>
    </row>
    <row r="60" spans="1:18">
      <c r="A60" s="16"/>
      <c r="B60" s="601">
        <v>23</v>
      </c>
      <c r="C60" s="16"/>
      <c r="D60" s="432">
        <f>SUMIF('305'!$B$2:$B$202,"C23",'305'!G$2:G$202)</f>
        <v>121006473.94999999</v>
      </c>
      <c r="E60" s="317">
        <f>'23'!F24+'305vsCognos'!K36</f>
        <v>-108621.23999998689</v>
      </c>
      <c r="F60" s="317">
        <f t="shared" si="30"/>
        <v>714411</v>
      </c>
      <c r="G60" s="317">
        <f>TempRev!E352-G61-G62</f>
        <v>47221.69631234093</v>
      </c>
      <c r="H60" s="397">
        <f t="shared" si="23"/>
        <v>653011.45631235396</v>
      </c>
      <c r="I60" s="317">
        <f t="shared" si="24"/>
        <v>121659485.40631235</v>
      </c>
      <c r="J60" s="404">
        <f t="shared" si="25"/>
        <v>1972.983687648084</v>
      </c>
      <c r="K60" s="397">
        <f>+'Blocking-Step2'!H2043-'23'!AF24+(TempRev!G352-TempRev!Q352-TempRev!AA352)-(TempRev!E352-TempRev!O352-TempRev!Y352)</f>
        <v>77705.045399999712</v>
      </c>
      <c r="L60" s="322">
        <f>'Blocking-Step2'!H2046</f>
        <v>121739163.43539999</v>
      </c>
      <c r="M60" s="1070">
        <f t="shared" si="26"/>
        <v>-900747.79789999127</v>
      </c>
      <c r="N60" s="1071">
        <f>'Blocking-Step2'!I2046</f>
        <v>120838415.6375</v>
      </c>
      <c r="O60" s="20"/>
      <c r="P60" s="436">
        <f t="shared" si="27"/>
        <v>1.6217261490617114E-5</v>
      </c>
      <c r="Q60" s="160">
        <f t="shared" si="28"/>
        <v>5.9092116525317562E-3</v>
      </c>
      <c r="R60" s="160">
        <f t="shared" si="29"/>
        <v>-8.9764817083149871E-4</v>
      </c>
    </row>
    <row r="61" spans="1:18">
      <c r="A61" s="16"/>
      <c r="B61" s="601" t="s">
        <v>960</v>
      </c>
      <c r="C61" s="16"/>
      <c r="D61" s="432">
        <f>SUMIF('305'!$B$2:$B$202,"C23135",'305'!G$2:G$202)</f>
        <v>1020793.71</v>
      </c>
      <c r="E61" s="317">
        <f>'23'!F28+'305vsCognos'!K37</f>
        <v>-1164.9899999999768</v>
      </c>
      <c r="F61" s="317">
        <f t="shared" si="30"/>
        <v>6025</v>
      </c>
      <c r="G61" s="317">
        <f>TempRev!O352</f>
        <v>368.69313347298237</v>
      </c>
      <c r="H61" s="397">
        <f t="shared" si="23"/>
        <v>5228.7031334730054</v>
      </c>
      <c r="I61" s="317">
        <f t="shared" si="24"/>
        <v>1026022.413133473</v>
      </c>
      <c r="J61" s="404">
        <f t="shared" si="25"/>
        <v>14.876866527010748</v>
      </c>
      <c r="K61" s="397">
        <f>+'Blocking-Step2'!H2134-'23'!AF28+TempRev!Q352-TempRev!O352</f>
        <v>871.52070000000106</v>
      </c>
      <c r="L61" s="322">
        <f>'Blocking-Step2'!H2136</f>
        <v>1026908.8107</v>
      </c>
      <c r="M61" s="1070">
        <f t="shared" si="26"/>
        <v>273398.26270000008</v>
      </c>
      <c r="N61" s="1071">
        <f>'Blocking-Step2'!I2136</f>
        <v>1300307.0734000001</v>
      </c>
      <c r="O61" s="20"/>
      <c r="P61" s="436">
        <f t="shared" si="27"/>
        <v>1.4499553164318106E-5</v>
      </c>
      <c r="Q61" s="160">
        <f t="shared" si="28"/>
        <v>5.9090136260579245E-3</v>
      </c>
      <c r="R61" s="160">
        <f t="shared" si="29"/>
        <v>-1.1412589914959182E-3</v>
      </c>
    </row>
    <row r="62" spans="1:18">
      <c r="A62" s="16"/>
      <c r="B62" s="601" t="s">
        <v>1214</v>
      </c>
      <c r="C62" s="16"/>
      <c r="D62" s="432">
        <f>SUMIF('305'!$B$2:$B$202,"C23136",'305'!G$2:G$202)</f>
        <v>107753.21</v>
      </c>
      <c r="E62" s="317">
        <f>'23'!F32+'305vsCognos'!K38</f>
        <v>1596.339999999997</v>
      </c>
      <c r="F62" s="317">
        <f t="shared" si="30"/>
        <v>646</v>
      </c>
      <c r="G62" s="317">
        <f>TempRev!Y352</f>
        <v>43.570554186077388</v>
      </c>
      <c r="H62" s="397">
        <f t="shared" si="23"/>
        <v>2285.9105541860745</v>
      </c>
      <c r="I62" s="317">
        <f t="shared" si="24"/>
        <v>110039.12055418608</v>
      </c>
      <c r="J62" s="404">
        <f t="shared" si="25"/>
        <v>1.3094458139207745</v>
      </c>
      <c r="K62" s="397">
        <f>+'Blocking-Step2'!H2225-'23'!AF32+TempRev!AA352-TempRev!Y352</f>
        <v>24.224499999999807</v>
      </c>
      <c r="L62" s="322">
        <f>'Blocking-Step2'!H2227</f>
        <v>110064.6545</v>
      </c>
      <c r="M62" s="1070">
        <f t="shared" si="26"/>
        <v>12879.269499999995</v>
      </c>
      <c r="N62" s="1071">
        <f>'Blocking-Step2'!I2227</f>
        <v>122943.924</v>
      </c>
      <c r="O62" s="20"/>
      <c r="P62" s="436">
        <f t="shared" ref="P62" si="40">J62/I62</f>
        <v>1.1899820784881409E-5</v>
      </c>
      <c r="Q62" s="160">
        <f t="shared" si="28"/>
        <v>5.9076603424522553E-3</v>
      </c>
      <c r="R62" s="160">
        <f t="shared" si="29"/>
        <v>1.4814779067834702E-2</v>
      </c>
    </row>
    <row r="63" spans="1:18">
      <c r="A63" s="16"/>
      <c r="B63" s="601">
        <v>31</v>
      </c>
      <c r="C63" s="16"/>
      <c r="D63" s="432">
        <f>SUMIF('305'!$B$2:$B$202,"C31",'305'!G$2:G$202)</f>
        <v>8265787.2999999998</v>
      </c>
      <c r="E63" s="317">
        <f>'31'!H2+'31'!H3</f>
        <v>5692.02</v>
      </c>
      <c r="F63" s="317">
        <f t="shared" si="30"/>
        <v>48878</v>
      </c>
      <c r="G63" s="317"/>
      <c r="H63" s="397">
        <f t="shared" si="23"/>
        <v>54570.020000000004</v>
      </c>
      <c r="I63" s="317">
        <f t="shared" si="24"/>
        <v>8320357.3199999994</v>
      </c>
      <c r="J63" s="404">
        <f t="shared" si="25"/>
        <v>-0.12999999994644895</v>
      </c>
      <c r="K63" s="397">
        <f>+'Blocking-Step2'!H2416+'Blocking-Step2'!H2431-'31'!AG2-'31'!AG3</f>
        <v>6236.1255999999703</v>
      </c>
      <c r="L63" s="322">
        <f>'Blocking-Step2'!H2435</f>
        <v>8326593.3155999994</v>
      </c>
      <c r="M63" s="1070">
        <f t="shared" si="26"/>
        <v>-402769.37380000018</v>
      </c>
      <c r="N63" s="1071">
        <f>'Blocking-Step2'!I2435</f>
        <v>7923823.9417999992</v>
      </c>
      <c r="O63" s="20"/>
      <c r="P63" s="436">
        <f t="shared" si="27"/>
        <v>-1.5624328973704336E-8</v>
      </c>
      <c r="Q63" s="160">
        <f t="shared" si="28"/>
        <v>5.9092210847720532E-3</v>
      </c>
      <c r="R63" s="160">
        <f t="shared" si="29"/>
        <v>6.886240588358716E-4</v>
      </c>
    </row>
    <row r="64" spans="1:18">
      <c r="A64" s="16"/>
      <c r="B64" s="601">
        <v>32</v>
      </c>
      <c r="C64" s="16"/>
      <c r="D64" s="432">
        <f>SUMIF('305'!$B$2:$B$202,"C32",'305'!G$2:G$202)</f>
        <v>842610.25</v>
      </c>
      <c r="E64" s="317">
        <f>'32-9'!D2+'32-9'!F2+'32'!F2-'32'!X2</f>
        <v>9370019.7100000009</v>
      </c>
      <c r="F64" s="317">
        <f t="shared" si="30"/>
        <v>60349</v>
      </c>
      <c r="G64" s="317"/>
      <c r="H64" s="397">
        <f t="shared" ref="H64" si="41">SUM(E64:G64)</f>
        <v>9430368.7100000009</v>
      </c>
      <c r="I64" s="317">
        <f t="shared" ref="I64" si="42">D64+H64</f>
        <v>10272978.960000001</v>
      </c>
      <c r="J64" s="404">
        <f t="shared" ref="J64" si="43">L64-I64-K64</f>
        <v>87923.769999998651</v>
      </c>
      <c r="K64" s="397">
        <f>'Blocking-Step2'!H2602-'32-9'!V2</f>
        <v>-6954.1124000000127</v>
      </c>
      <c r="L64" s="322">
        <f>'Blocking-Step2'!H2606</f>
        <v>10353948.6176</v>
      </c>
      <c r="M64" s="1070">
        <f t="shared" ref="M64" si="44">N64-L64</f>
        <v>2653597.8359000012</v>
      </c>
      <c r="N64" s="1071">
        <f>'Blocking-Step2'!I2606</f>
        <v>13007546.453500001</v>
      </c>
      <c r="O64" s="20"/>
      <c r="P64" s="436">
        <f t="shared" ref="P64" si="45">J64/I64</f>
        <v>8.5587413682387849E-3</v>
      </c>
      <c r="Q64" s="160">
        <f t="shared" ref="Q64" si="46">F64/(D64+E64)</f>
        <v>5.9092516067232497E-3</v>
      </c>
      <c r="R64" s="160">
        <f t="shared" ref="R64" si="47">E64/D64</f>
        <v>11.120229916500541</v>
      </c>
    </row>
    <row r="65" spans="1:18">
      <c r="A65" s="16"/>
      <c r="B65" s="601">
        <v>34</v>
      </c>
      <c r="C65" s="16"/>
      <c r="D65" s="432"/>
      <c r="E65" s="317"/>
      <c r="F65" s="317"/>
      <c r="G65" s="317"/>
      <c r="H65" s="397">
        <f t="shared" ref="H65" si="48">SUM(E65:G65)</f>
        <v>0</v>
      </c>
      <c r="I65" s="317">
        <f t="shared" ref="I65" si="49">D65+H65</f>
        <v>0</v>
      </c>
      <c r="J65" s="404">
        <f t="shared" ref="J65" si="50">L65-I65-K65</f>
        <v>0</v>
      </c>
      <c r="K65" s="397"/>
      <c r="L65" s="322">
        <f>'Blocking-Step2'!H2610</f>
        <v>0</v>
      </c>
      <c r="M65" s="1070">
        <f t="shared" ref="M65" si="51">N65-L65</f>
        <v>13027758.191234671</v>
      </c>
      <c r="N65" s="1071">
        <f>'Blocking-Step2'!I2610</f>
        <v>13027758.191234671</v>
      </c>
      <c r="O65" s="20"/>
      <c r="P65" s="436" t="e">
        <f t="shared" ref="P65" si="52">J65/I65</f>
        <v>#DIV/0!</v>
      </c>
      <c r="Q65" s="160" t="e">
        <f t="shared" ref="Q65" si="53">F65/(D65+E65)</f>
        <v>#DIV/0!</v>
      </c>
      <c r="R65" s="160" t="e">
        <f t="shared" ref="R65" si="54">E65/D65</f>
        <v>#DIV/0!</v>
      </c>
    </row>
    <row r="66" spans="1:18">
      <c r="A66" s="16"/>
      <c r="B66" s="654" t="s">
        <v>961</v>
      </c>
      <c r="C66" s="437"/>
      <c r="D66" s="433">
        <f>SUMIF('305'!$B$2:$B$202,"CPTLD",'305'!G$2:G$202)</f>
        <v>452.09</v>
      </c>
      <c r="E66" s="318">
        <f>PTL!I2</f>
        <v>0</v>
      </c>
      <c r="F66" s="318">
        <f>ROUND((D66+E66)/($D$67+$E$67)*$D$78,0)</f>
        <v>3</v>
      </c>
      <c r="G66" s="318"/>
      <c r="H66" s="398">
        <f t="shared" si="23"/>
        <v>3</v>
      </c>
      <c r="I66" s="318">
        <f t="shared" si="24"/>
        <v>455.09</v>
      </c>
      <c r="J66" s="405">
        <f t="shared" si="25"/>
        <v>-8.9999999999974989E-2</v>
      </c>
      <c r="K66" s="398">
        <v>0</v>
      </c>
      <c r="L66" s="332">
        <f>'Blocking-Step2'!H2658</f>
        <v>455</v>
      </c>
      <c r="M66" s="1072">
        <f t="shared" si="26"/>
        <v>-3</v>
      </c>
      <c r="N66" s="1073">
        <f>'Blocking-Step2'!I2658</f>
        <v>452</v>
      </c>
      <c r="O66" s="20"/>
      <c r="P66" s="436">
        <f t="shared" si="27"/>
        <v>-1.9776307983030827E-4</v>
      </c>
      <c r="Q66" s="160">
        <f t="shared" si="28"/>
        <v>6.635846844654826E-3</v>
      </c>
      <c r="R66" s="160">
        <f t="shared" si="29"/>
        <v>0</v>
      </c>
    </row>
    <row r="67" spans="1:18" s="557" customFormat="1">
      <c r="B67" s="557" t="s">
        <v>130</v>
      </c>
      <c r="D67" s="558">
        <f>SUM(D45:D66)</f>
        <v>723316440.30000007</v>
      </c>
      <c r="E67" s="559">
        <f t="shared" ref="E67:L67" si="55">SUM(E45:E66)</f>
        <v>2499941.130000012</v>
      </c>
      <c r="F67" s="559">
        <f t="shared" si="55"/>
        <v>4289000</v>
      </c>
      <c r="G67" s="559">
        <f>SUM(G45:G66)</f>
        <v>209619.29999999993</v>
      </c>
      <c r="H67" s="561">
        <f t="shared" si="55"/>
        <v>6998560.4300000137</v>
      </c>
      <c r="I67" s="559">
        <f t="shared" si="55"/>
        <v>730315000.73000014</v>
      </c>
      <c r="J67" s="562">
        <f t="shared" si="55"/>
        <v>125909.6500000081</v>
      </c>
      <c r="K67" s="561">
        <f t="shared" ref="K67:N67" si="56">SUM(K45:K66)</f>
        <v>406091.31969999999</v>
      </c>
      <c r="L67" s="566">
        <f t="shared" si="55"/>
        <v>730847001.69970012</v>
      </c>
      <c r="M67" s="1074">
        <f t="shared" si="56"/>
        <v>19479910.436034724</v>
      </c>
      <c r="N67" s="1075">
        <f t="shared" si="56"/>
        <v>750326912.13573503</v>
      </c>
      <c r="O67" s="560"/>
      <c r="P67" s="436">
        <f t="shared" si="27"/>
        <v>1.7240457867379519E-4</v>
      </c>
      <c r="Q67" s="160">
        <f t="shared" si="28"/>
        <v>5.9092080445330153E-3</v>
      </c>
      <c r="R67" s="160">
        <f t="shared" si="29"/>
        <v>3.4562205290994707E-3</v>
      </c>
    </row>
    <row r="68" spans="1:18">
      <c r="A68" s="16"/>
      <c r="B68" s="360"/>
      <c r="C68" s="16"/>
      <c r="D68" s="432"/>
      <c r="E68" s="317"/>
      <c r="F68" s="317"/>
      <c r="G68" s="317"/>
      <c r="H68" s="397"/>
      <c r="I68" s="317"/>
      <c r="J68" s="404"/>
      <c r="K68" s="397"/>
      <c r="L68" s="322"/>
      <c r="M68" s="1070"/>
      <c r="N68" s="1071"/>
      <c r="O68" s="20"/>
      <c r="P68" s="436"/>
      <c r="Q68" s="160"/>
      <c r="R68" s="160"/>
    </row>
    <row r="69" spans="1:18">
      <c r="A69" s="16"/>
      <c r="B69" s="601" t="s">
        <v>847</v>
      </c>
      <c r="C69" s="16"/>
      <c r="D69" s="432">
        <f>SUMIF('305'!$B$2:$B$202,"CREVDEF",'305'!G$2:G$202)</f>
        <v>3097804.46</v>
      </c>
      <c r="E69" s="317">
        <f>-D69</f>
        <v>-3097804.46</v>
      </c>
      <c r="F69" s="317"/>
      <c r="G69" s="317"/>
      <c r="H69" s="397">
        <f t="shared" ref="H69:H75" si="57">SUM(E69:G69)</f>
        <v>-3097804.46</v>
      </c>
      <c r="I69" s="317">
        <f t="shared" ref="I69:I75" si="58">D69+H69</f>
        <v>0</v>
      </c>
      <c r="J69" s="404"/>
      <c r="K69" s="397"/>
      <c r="L69" s="322"/>
      <c r="M69" s="1070"/>
      <c r="N69" s="1071"/>
      <c r="O69" s="20"/>
      <c r="P69" s="436"/>
      <c r="Q69" s="160"/>
      <c r="R69" s="160"/>
    </row>
    <row r="70" spans="1:18">
      <c r="A70" s="16"/>
      <c r="B70" s="601" t="s">
        <v>692</v>
      </c>
      <c r="C70" s="16"/>
      <c r="D70" s="432">
        <f>SUMIF('305'!$B$2:$B$202,"CREVADJ",'305'!G$2:G$202)</f>
        <v>-1600450.4</v>
      </c>
      <c r="E70" s="317">
        <f t="shared" ref="E70:E75" si="59">-D70</f>
        <v>1600450.4</v>
      </c>
      <c r="F70" s="317"/>
      <c r="G70" s="317"/>
      <c r="H70" s="397">
        <f t="shared" si="57"/>
        <v>1600450.4</v>
      </c>
      <c r="I70" s="317">
        <f t="shared" si="58"/>
        <v>0</v>
      </c>
      <c r="J70" s="404"/>
      <c r="K70" s="397"/>
      <c r="L70" s="322"/>
      <c r="M70" s="1070"/>
      <c r="N70" s="1071"/>
      <c r="O70" s="20"/>
      <c r="P70" s="436"/>
      <c r="Q70" s="160"/>
      <c r="R70" s="160"/>
    </row>
    <row r="71" spans="1:18">
      <c r="A71" s="16"/>
      <c r="B71" s="601" t="s">
        <v>962</v>
      </c>
      <c r="C71" s="16"/>
      <c r="D71" s="432">
        <f>SUMIF('305'!$B$2:$B$202,"CSOLAR",'305'!G$2:G$202)</f>
        <v>2367741.29</v>
      </c>
      <c r="E71" s="317">
        <f t="shared" si="59"/>
        <v>-2367741.29</v>
      </c>
      <c r="F71" s="317"/>
      <c r="G71" s="317"/>
      <c r="H71" s="397">
        <f t="shared" si="57"/>
        <v>-2367741.29</v>
      </c>
      <c r="I71" s="317">
        <f t="shared" si="58"/>
        <v>0</v>
      </c>
      <c r="J71" s="404"/>
      <c r="K71" s="397"/>
      <c r="L71" s="322"/>
      <c r="M71" s="1070"/>
      <c r="N71" s="1071"/>
      <c r="O71" s="20"/>
      <c r="P71" s="436"/>
      <c r="Q71" s="160"/>
      <c r="R71" s="160"/>
    </row>
    <row r="72" spans="1:18">
      <c r="A72" s="16"/>
      <c r="B72" s="601" t="s">
        <v>23</v>
      </c>
      <c r="C72" s="16"/>
      <c r="D72" s="432">
        <f>SUMIF('305'!$B$2:$B$202,"CDSM",'305'!G$2:G$202)</f>
        <v>4684682.43</v>
      </c>
      <c r="E72" s="317">
        <f t="shared" si="59"/>
        <v>-4684682.43</v>
      </c>
      <c r="F72" s="317"/>
      <c r="G72" s="317"/>
      <c r="H72" s="397">
        <f t="shared" si="57"/>
        <v>-4684682.43</v>
      </c>
      <c r="I72" s="317">
        <f t="shared" si="58"/>
        <v>0</v>
      </c>
      <c r="J72" s="404"/>
      <c r="K72" s="397"/>
      <c r="L72" s="322"/>
      <c r="M72" s="1070"/>
      <c r="N72" s="1071"/>
      <c r="O72" s="20"/>
      <c r="P72" s="436"/>
      <c r="Q72" s="160"/>
      <c r="R72" s="160"/>
    </row>
    <row r="73" spans="1:18">
      <c r="A73" s="16"/>
      <c r="B73" s="16" t="s">
        <v>1412</v>
      </c>
      <c r="C73" s="16"/>
      <c r="D73" s="432">
        <f>SUMIF('305'!$B$2:$B$202,"CTAX",'305'!G$2:G$202)</f>
        <v>-2.9999999969731999E-2</v>
      </c>
      <c r="E73" s="317">
        <f t="shared" ref="E73" si="60">-D73</f>
        <v>2.9999999969731999E-2</v>
      </c>
      <c r="F73" s="317"/>
      <c r="G73" s="317"/>
      <c r="H73" s="397">
        <f t="shared" si="57"/>
        <v>2.9999999969731999E-2</v>
      </c>
      <c r="I73" s="317">
        <f t="shared" si="58"/>
        <v>0</v>
      </c>
      <c r="J73" s="404"/>
      <c r="K73" s="397"/>
      <c r="L73" s="322"/>
      <c r="M73" s="1070"/>
      <c r="N73" s="1071"/>
      <c r="O73" s="20"/>
      <c r="P73" s="436"/>
      <c r="Q73" s="160"/>
      <c r="R73" s="160"/>
    </row>
    <row r="74" spans="1:18">
      <c r="A74" s="16"/>
      <c r="B74" s="601" t="s">
        <v>848</v>
      </c>
      <c r="C74" s="16"/>
      <c r="D74" s="432">
        <f>SUMIF('305'!$B$2:$B$202,"CBLUE",'305'!G$2:G$202)</f>
        <v>443357.76</v>
      </c>
      <c r="E74" s="317">
        <f t="shared" si="59"/>
        <v>-443357.76</v>
      </c>
      <c r="F74" s="317"/>
      <c r="G74" s="317"/>
      <c r="H74" s="397">
        <f t="shared" si="57"/>
        <v>-443357.76</v>
      </c>
      <c r="I74" s="317">
        <f t="shared" si="58"/>
        <v>0</v>
      </c>
      <c r="J74" s="404"/>
      <c r="K74" s="397"/>
      <c r="L74" s="322"/>
      <c r="M74" s="1070"/>
      <c r="N74" s="1071"/>
      <c r="O74" s="20"/>
      <c r="P74" s="436"/>
      <c r="Q74" s="160"/>
      <c r="R74" s="160"/>
    </row>
    <row r="75" spans="1:18">
      <c r="A75" s="16"/>
      <c r="B75" s="654" t="s">
        <v>849</v>
      </c>
      <c r="C75" s="437"/>
      <c r="D75" s="433">
        <f>SUMIF('305'!$B$2:$B$202,"CINSUR",'305'!G$2:G$202)</f>
        <v>-750489.59</v>
      </c>
      <c r="E75" s="318">
        <f t="shared" si="59"/>
        <v>750489.59</v>
      </c>
      <c r="F75" s="318"/>
      <c r="G75" s="318"/>
      <c r="H75" s="398">
        <f t="shared" si="57"/>
        <v>750489.59</v>
      </c>
      <c r="I75" s="318">
        <f t="shared" si="58"/>
        <v>0</v>
      </c>
      <c r="J75" s="405"/>
      <c r="K75" s="398"/>
      <c r="L75" s="332"/>
      <c r="M75" s="1072"/>
      <c r="N75" s="1073"/>
      <c r="O75" s="20"/>
      <c r="P75" s="436"/>
      <c r="Q75" s="160"/>
      <c r="R75" s="160"/>
    </row>
    <row r="76" spans="1:18" s="557" customFormat="1">
      <c r="B76" s="557" t="s">
        <v>130</v>
      </c>
      <c r="D76" s="558">
        <f t="shared" ref="D76:L76" si="61">SUM(D69:D75)</f>
        <v>8242645.9199999999</v>
      </c>
      <c r="E76" s="559">
        <f t="shared" si="61"/>
        <v>-8242645.9199999999</v>
      </c>
      <c r="F76" s="559">
        <f t="shared" si="61"/>
        <v>0</v>
      </c>
      <c r="G76" s="559">
        <f t="shared" si="61"/>
        <v>0</v>
      </c>
      <c r="H76" s="561">
        <f t="shared" si="61"/>
        <v>-8242645.9199999999</v>
      </c>
      <c r="I76" s="559">
        <f t="shared" si="61"/>
        <v>0</v>
      </c>
      <c r="J76" s="562">
        <f t="shared" si="61"/>
        <v>0</v>
      </c>
      <c r="K76" s="561">
        <f t="shared" ref="K76:M76" si="62">SUM(K69:K75)</f>
        <v>0</v>
      </c>
      <c r="L76" s="566">
        <f t="shared" si="61"/>
        <v>0</v>
      </c>
      <c r="M76" s="1074">
        <f t="shared" si="62"/>
        <v>0</v>
      </c>
      <c r="N76" s="1075">
        <f t="shared" ref="N76" si="63">SUM(N69:N75)</f>
        <v>0</v>
      </c>
      <c r="O76" s="560"/>
      <c r="P76" s="563"/>
      <c r="Q76" s="564"/>
      <c r="R76" s="564"/>
    </row>
    <row r="77" spans="1:18">
      <c r="A77" s="16"/>
      <c r="B77" s="360"/>
      <c r="C77" s="16"/>
      <c r="D77" s="432"/>
      <c r="E77" s="317"/>
      <c r="F77" s="317"/>
      <c r="G77" s="317"/>
      <c r="H77" s="397"/>
      <c r="I77" s="317"/>
      <c r="J77" s="404"/>
      <c r="K77" s="397"/>
      <c r="L77" s="322"/>
      <c r="M77" s="1070"/>
      <c r="N77" s="1071"/>
      <c r="O77" s="20"/>
      <c r="P77" s="436"/>
      <c r="Q77" s="160"/>
      <c r="R77" s="160"/>
    </row>
    <row r="78" spans="1:18">
      <c r="A78" s="16"/>
      <c r="B78" s="360" t="s">
        <v>136</v>
      </c>
      <c r="C78" s="16"/>
      <c r="D78" s="432">
        <f>SUMIF('305'!$B$2:$B$202,"CU",'305'!G$2:G$202)</f>
        <v>4289000</v>
      </c>
      <c r="E78" s="317"/>
      <c r="F78" s="317">
        <f>-D78</f>
        <v>-4289000</v>
      </c>
      <c r="G78" s="317"/>
      <c r="H78" s="397">
        <f>SUM(E78:G78)</f>
        <v>-4289000</v>
      </c>
      <c r="I78" s="317">
        <f>D78+H78</f>
        <v>0</v>
      </c>
      <c r="J78" s="404"/>
      <c r="K78" s="397"/>
      <c r="L78" s="322">
        <f t="shared" ref="L78:L79" si="64">SUM(I78:J78)</f>
        <v>0</v>
      </c>
      <c r="M78" s="1070"/>
      <c r="N78" s="1071">
        <f t="shared" ref="N78:N79" si="65">SUM(K78:L78)</f>
        <v>0</v>
      </c>
      <c r="O78" s="20"/>
      <c r="P78" s="436"/>
      <c r="Q78" s="160">
        <f>F78/(D78+E78)</f>
        <v>-1</v>
      </c>
      <c r="R78" s="160">
        <f>E78/D78</f>
        <v>0</v>
      </c>
    </row>
    <row r="79" spans="1:18">
      <c r="A79" s="16"/>
      <c r="B79" s="438" t="s">
        <v>471</v>
      </c>
      <c r="C79" s="437"/>
      <c r="D79" s="433">
        <f>SUMIF('305'!$B$2:$B$202,"CAGA",'305'!G$2:G$202)</f>
        <v>3742344.1399999997</v>
      </c>
      <c r="E79" s="318"/>
      <c r="F79" s="318"/>
      <c r="G79" s="318"/>
      <c r="H79" s="398">
        <f>SUM(E79:G79)</f>
        <v>0</v>
      </c>
      <c r="I79" s="318">
        <f>D79+H79</f>
        <v>3742344.1399999997</v>
      </c>
      <c r="J79" s="405"/>
      <c r="K79" s="398"/>
      <c r="L79" s="332">
        <f t="shared" si="64"/>
        <v>3742344.1399999997</v>
      </c>
      <c r="M79" s="1072"/>
      <c r="N79" s="1073">
        <f t="shared" si="65"/>
        <v>3742344.1399999997</v>
      </c>
      <c r="O79" s="20"/>
      <c r="P79" s="436"/>
      <c r="Q79" s="160">
        <f>F79/(D79+E79)</f>
        <v>0</v>
      </c>
      <c r="R79" s="160">
        <f>E79/D79</f>
        <v>0</v>
      </c>
    </row>
    <row r="80" spans="1:18">
      <c r="A80" s="16"/>
      <c r="B80" s="360" t="s">
        <v>93</v>
      </c>
      <c r="C80" s="16"/>
      <c r="D80" s="432">
        <f t="shared" ref="D80:L80" si="66">D67+D76+D78+D79</f>
        <v>739590430.36000001</v>
      </c>
      <c r="E80" s="317">
        <f t="shared" si="66"/>
        <v>-5742704.7899999879</v>
      </c>
      <c r="F80" s="317">
        <f t="shared" si="66"/>
        <v>0</v>
      </c>
      <c r="G80" s="317">
        <f t="shared" si="66"/>
        <v>209619.29999999993</v>
      </c>
      <c r="H80" s="397">
        <f t="shared" si="66"/>
        <v>-5533085.4899999863</v>
      </c>
      <c r="I80" s="317">
        <f t="shared" si="66"/>
        <v>734057344.87000012</v>
      </c>
      <c r="J80" s="404">
        <f t="shared" si="66"/>
        <v>125909.6500000081</v>
      </c>
      <c r="K80" s="397">
        <f t="shared" ref="K80:N80" si="67">K67+K76+K78+K79</f>
        <v>406091.31969999999</v>
      </c>
      <c r="L80" s="322">
        <f t="shared" si="66"/>
        <v>734589345.8397001</v>
      </c>
      <c r="M80" s="1070">
        <f t="shared" si="67"/>
        <v>19479910.436034724</v>
      </c>
      <c r="N80" s="1071">
        <f t="shared" si="67"/>
        <v>754069256.27573502</v>
      </c>
      <c r="O80" s="20"/>
      <c r="P80" s="436">
        <f>J80/I80</f>
        <v>1.7152563199583054E-4</v>
      </c>
      <c r="Q80" s="160">
        <f>F80/(D80+E80)</f>
        <v>0</v>
      </c>
      <c r="R80" s="160">
        <f>E80/D80</f>
        <v>-7.7647094314142115E-3</v>
      </c>
    </row>
    <row r="81" spans="1:18">
      <c r="A81" s="16"/>
      <c r="B81" s="360"/>
      <c r="C81" s="16"/>
      <c r="D81" s="432"/>
      <c r="E81" s="317"/>
      <c r="F81" s="317"/>
      <c r="G81" s="317"/>
      <c r="H81" s="397"/>
      <c r="I81" s="317"/>
      <c r="J81" s="404"/>
      <c r="K81" s="397"/>
      <c r="L81" s="322"/>
      <c r="M81" s="1070"/>
      <c r="N81" s="1071"/>
      <c r="O81" s="20"/>
      <c r="P81" s="436"/>
      <c r="Q81" s="160"/>
      <c r="R81" s="160"/>
    </row>
    <row r="82" spans="1:18">
      <c r="A82" s="17" t="s">
        <v>117</v>
      </c>
      <c r="B82" s="359"/>
      <c r="C82" s="16"/>
      <c r="D82" s="432"/>
      <c r="E82" s="317"/>
      <c r="F82" s="317"/>
      <c r="G82" s="317"/>
      <c r="H82" s="397"/>
      <c r="I82" s="317"/>
      <c r="J82" s="404"/>
      <c r="K82" s="397"/>
      <c r="L82" s="322"/>
      <c r="M82" s="1070"/>
      <c r="N82" s="1071"/>
      <c r="O82" s="20"/>
      <c r="P82" s="436"/>
      <c r="Q82" s="160"/>
      <c r="R82" s="160"/>
    </row>
    <row r="83" spans="1:18">
      <c r="A83" s="16"/>
      <c r="B83" s="601">
        <v>6</v>
      </c>
      <c r="C83" s="16"/>
      <c r="D83" s="432">
        <f>SUMIF('305'!$B$2:$B$202,"I6",'305'!G$2:G$202)</f>
        <v>51353856.679999992</v>
      </c>
      <c r="E83" s="317">
        <f>'6'!G24</f>
        <v>28498.07</v>
      </c>
      <c r="F83" s="317">
        <f>D113-SUM(F84:F101)</f>
        <v>-781385.35258647613</v>
      </c>
      <c r="G83" s="317"/>
      <c r="H83" s="397">
        <f t="shared" ref="H83:H101" si="68">SUM(E83:G83)</f>
        <v>-752887.28258647618</v>
      </c>
      <c r="I83" s="317">
        <f t="shared" ref="I83:I101" si="69">D83+H83</f>
        <v>50600969.397413515</v>
      </c>
      <c r="J83" s="404">
        <f t="shared" ref="J83:J101" si="70">L83-I83-K83</f>
        <v>42692.24000000814</v>
      </c>
      <c r="K83" s="397">
        <f>+'Blocking-Step2'!H750-'6'!Z24</f>
        <v>28347.554500000086</v>
      </c>
      <c r="L83" s="322">
        <f>'Blocking-Step2'!H753</f>
        <v>50672009.191913523</v>
      </c>
      <c r="M83" s="1070">
        <f t="shared" ref="M83:M101" si="71">N83-L83</f>
        <v>2894863.2842864767</v>
      </c>
      <c r="N83" s="1071">
        <f>'Blocking-Step2'!I753</f>
        <v>53566872.476199999</v>
      </c>
      <c r="O83" s="20"/>
      <c r="P83" s="436">
        <f t="shared" ref="P83:P102" si="72">J83/I83</f>
        <v>8.437039943782256E-4</v>
      </c>
      <c r="Q83" s="160">
        <f t="shared" ref="Q83:Q102" si="73">F83/(D83+E83)</f>
        <v>-1.5207270207609086E-2</v>
      </c>
      <c r="R83" s="160">
        <f t="shared" ref="R83:R102" si="74">E83/D83</f>
        <v>5.5493534161570989E-4</v>
      </c>
    </row>
    <row r="84" spans="1:18">
      <c r="A84" s="16"/>
      <c r="B84" s="601" t="s">
        <v>959</v>
      </c>
      <c r="C84" s="16"/>
      <c r="D84" s="432">
        <f>SUMIF('305'!$B$2:$B$202,"I6135",'305'!G$2:G$202)</f>
        <v>208870.96</v>
      </c>
      <c r="E84" s="317">
        <f>'6'!G28</f>
        <v>-154.63</v>
      </c>
      <c r="F84" s="317">
        <f t="shared" ref="F84:F98" si="75">ROUND((D84+E84)/SUM($D$83:$D$98,$E$83:$E$98)*($D$113-SUM($F$99:$F$101)),0)</f>
        <v>-3174</v>
      </c>
      <c r="G84" s="317"/>
      <c r="H84" s="397">
        <f t="shared" si="68"/>
        <v>-3328.63</v>
      </c>
      <c r="I84" s="317">
        <f t="shared" si="69"/>
        <v>205542.33</v>
      </c>
      <c r="J84" s="404">
        <f t="shared" si="70"/>
        <v>-0.93999999997777195</v>
      </c>
      <c r="K84" s="397">
        <f>+'Blocking-Step2'!H827-'6'!Z28</f>
        <v>120.21619999999984</v>
      </c>
      <c r="L84" s="322">
        <f>'Blocking-Step2'!H829</f>
        <v>205661.60620000001</v>
      </c>
      <c r="M84" s="1070">
        <f t="shared" si="71"/>
        <v>379461.90559999994</v>
      </c>
      <c r="N84" s="1071">
        <f>'Blocking-Step2'!I829</f>
        <v>585123.51179999998</v>
      </c>
      <c r="O84" s="20"/>
      <c r="P84" s="436">
        <f t="shared" si="72"/>
        <v>-4.5732672193497658E-6</v>
      </c>
      <c r="Q84" s="160">
        <f t="shared" si="73"/>
        <v>-1.5207243247330001E-2</v>
      </c>
      <c r="R84" s="160">
        <f t="shared" si="74"/>
        <v>-7.4031354095370656E-4</v>
      </c>
    </row>
    <row r="85" spans="1:18">
      <c r="A85" s="16"/>
      <c r="B85" s="601" t="s">
        <v>1215</v>
      </c>
      <c r="C85" s="16"/>
      <c r="D85" s="432">
        <f>SUMIF('305'!$B$2:$B$202,"I6136",'305'!G$2:G$202)</f>
        <v>57860.71</v>
      </c>
      <c r="E85" s="317">
        <f>'6'!G32</f>
        <v>0</v>
      </c>
      <c r="F85" s="317">
        <f t="shared" si="75"/>
        <v>-880</v>
      </c>
      <c r="G85" s="317"/>
      <c r="H85" s="397">
        <f t="shared" ref="H85" si="76">SUM(E85:G85)</f>
        <v>-880</v>
      </c>
      <c r="I85" s="317">
        <f t="shared" ref="I85" si="77">D85+H85</f>
        <v>56980.71</v>
      </c>
      <c r="J85" s="404">
        <f t="shared" ref="J85" si="78">L85-I85-K85</f>
        <v>1.4800000000013824</v>
      </c>
      <c r="K85" s="397">
        <f>+'Blocking-Step2'!H884-'6'!Z32</f>
        <v>-2.930000000014843E-2</v>
      </c>
      <c r="L85" s="322">
        <f>'Blocking-Step2'!H886</f>
        <v>56982.1607</v>
      </c>
      <c r="M85" s="1070">
        <f t="shared" ref="M85" si="79">N85-L85</f>
        <v>-56982.1607</v>
      </c>
      <c r="N85" s="1071">
        <f>'Blocking-Step2'!I886</f>
        <v>0</v>
      </c>
      <c r="O85" s="20"/>
      <c r="P85" s="436">
        <f t="shared" ref="P85" si="80">J85/I85</f>
        <v>2.5973702328408728E-5</v>
      </c>
      <c r="Q85" s="160">
        <f t="shared" ref="Q85" si="81">F85/(D85+E85)</f>
        <v>-1.5208938846412359E-2</v>
      </c>
      <c r="R85" s="160">
        <f t="shared" ref="R85" si="82">E85/D85</f>
        <v>0</v>
      </c>
    </row>
    <row r="86" spans="1:18">
      <c r="A86" s="16"/>
      <c r="B86" s="601" t="s">
        <v>221</v>
      </c>
      <c r="C86" s="16"/>
      <c r="D86" s="432">
        <f>SUMIF('305'!$B$2:$B$202,"I6A",'305'!G$2:G$202)</f>
        <v>6465556.4099999992</v>
      </c>
      <c r="E86" s="317">
        <f>'6A'!G17</f>
        <v>-19688.989999999998</v>
      </c>
      <c r="F86" s="317">
        <f t="shared" si="75"/>
        <v>-98024</v>
      </c>
      <c r="G86" s="317"/>
      <c r="H86" s="397">
        <f t="shared" si="68"/>
        <v>-117712.98999999999</v>
      </c>
      <c r="I86" s="317">
        <f t="shared" si="69"/>
        <v>6347843.419999999</v>
      </c>
      <c r="J86" s="404">
        <f t="shared" si="70"/>
        <v>958.18000000144821</v>
      </c>
      <c r="K86" s="397">
        <f>+'Blocking-Step2'!H1051-'6A'!AB17</f>
        <v>3312.5368000000017</v>
      </c>
      <c r="L86" s="322">
        <f>'Blocking-Step2'!H1054</f>
        <v>6352114.1368000004</v>
      </c>
      <c r="M86" s="1070">
        <f t="shared" si="71"/>
        <v>1026330.8466999996</v>
      </c>
      <c r="N86" s="1071">
        <f>'Blocking-Step2'!I1054</f>
        <v>7378444.9835000001</v>
      </c>
      <c r="O86" s="20"/>
      <c r="P86" s="436">
        <f t="shared" si="72"/>
        <v>1.5094575221917626E-4</v>
      </c>
      <c r="Q86" s="160">
        <f t="shared" si="73"/>
        <v>-1.5207262826389317E-2</v>
      </c>
      <c r="R86" s="160">
        <f t="shared" si="74"/>
        <v>-3.0452120051953891E-3</v>
      </c>
    </row>
    <row r="87" spans="1:18">
      <c r="A87" s="16"/>
      <c r="B87" s="601" t="s">
        <v>963</v>
      </c>
      <c r="C87" s="16"/>
      <c r="D87" s="432">
        <f>SUMIF('305'!$B$2:$B$202,"I6A135",'305'!G$2:G$202)</f>
        <v>560062.84</v>
      </c>
      <c r="E87" s="317">
        <f>'6A'!G21</f>
        <v>-633.54</v>
      </c>
      <c r="F87" s="317">
        <f t="shared" si="75"/>
        <v>-8507</v>
      </c>
      <c r="G87" s="317"/>
      <c r="H87" s="397">
        <f t="shared" si="68"/>
        <v>-9140.5400000000009</v>
      </c>
      <c r="I87" s="317">
        <f t="shared" si="69"/>
        <v>550922.29999999993</v>
      </c>
      <c r="J87" s="404">
        <f t="shared" si="70"/>
        <v>218.27000000012413</v>
      </c>
      <c r="K87" s="397">
        <f>+'Blocking-Step2'!H1140-'6A'!AB21</f>
        <v>425.3025000000016</v>
      </c>
      <c r="L87" s="322">
        <f>'Blocking-Step2'!H1142</f>
        <v>551565.87250000006</v>
      </c>
      <c r="M87" s="1070">
        <f t="shared" si="71"/>
        <v>900662.34759999998</v>
      </c>
      <c r="N87" s="1071">
        <f>'Blocking-Step2'!I1142</f>
        <v>1452228.2201</v>
      </c>
      <c r="O87" s="20"/>
      <c r="P87" s="436">
        <f t="shared" si="72"/>
        <v>3.9619017055603694E-4</v>
      </c>
      <c r="Q87" s="160">
        <f t="shared" si="73"/>
        <v>-1.5206568551200306E-2</v>
      </c>
      <c r="R87" s="160">
        <f t="shared" si="74"/>
        <v>-1.1311944923894611E-3</v>
      </c>
    </row>
    <row r="88" spans="1:18">
      <c r="A88" s="16"/>
      <c r="B88" s="601" t="s">
        <v>223</v>
      </c>
      <c r="C88" s="16"/>
      <c r="D88" s="432">
        <f>SUMIF('305'!$B$2:$B$202,"I6B",'305'!G$2:G$202)</f>
        <v>2755.91</v>
      </c>
      <c r="E88" s="317">
        <f>'6'!G36</f>
        <v>0</v>
      </c>
      <c r="F88" s="317">
        <f t="shared" si="75"/>
        <v>-42</v>
      </c>
      <c r="G88" s="317"/>
      <c r="H88" s="397">
        <f t="shared" si="68"/>
        <v>-42</v>
      </c>
      <c r="I88" s="317">
        <f t="shared" si="69"/>
        <v>2713.91</v>
      </c>
      <c r="J88" s="404">
        <f t="shared" si="70"/>
        <v>-0.12999999999991019</v>
      </c>
      <c r="K88" s="397">
        <f>+'Blocking-Step2'!H956-'6'!Z36</f>
        <v>-5.3000000000054115E-3</v>
      </c>
      <c r="L88" s="322">
        <f>'Blocking-Step2'!H958</f>
        <v>2713.7746999999999</v>
      </c>
      <c r="M88" s="1070">
        <f t="shared" si="71"/>
        <v>6435.7126000000007</v>
      </c>
      <c r="N88" s="1071">
        <f>'Blocking-Step2'!I958</f>
        <v>9149.4873000000007</v>
      </c>
      <c r="O88" s="20"/>
      <c r="P88" s="436">
        <f t="shared" si="72"/>
        <v>-4.7901367399770147E-5</v>
      </c>
      <c r="Q88" s="160">
        <f t="shared" si="73"/>
        <v>-1.5239975180611849E-2</v>
      </c>
      <c r="R88" s="160">
        <f t="shared" si="74"/>
        <v>0</v>
      </c>
    </row>
    <row r="89" spans="1:18">
      <c r="A89" s="16"/>
      <c r="B89" s="601">
        <v>7</v>
      </c>
      <c r="C89" s="16"/>
      <c r="D89" s="432">
        <f>SUMIF('305'!$B$2:$B$202,"I7",'305'!G$2:G$202)</f>
        <v>199529.37</v>
      </c>
      <c r="E89" s="317">
        <f>'7'!K89+'305vsCognos'!K49</f>
        <v>5238.3999999999514</v>
      </c>
      <c r="F89" s="317">
        <f t="shared" si="75"/>
        <v>-3114</v>
      </c>
      <c r="G89" s="317"/>
      <c r="H89" s="397">
        <f t="shared" si="68"/>
        <v>2124.3999999999514</v>
      </c>
      <c r="I89" s="317">
        <f t="shared" si="69"/>
        <v>201653.76999999996</v>
      </c>
      <c r="J89" s="404">
        <f t="shared" si="70"/>
        <v>-50.909999999973479</v>
      </c>
      <c r="K89" s="397">
        <f>+'Blocking-Step2'!H1329-'7'!R89</f>
        <v>57.702199999998811</v>
      </c>
      <c r="L89" s="322">
        <f>'Blocking-Step2'!H1332</f>
        <v>201660.56219999999</v>
      </c>
      <c r="M89" s="1070">
        <f t="shared" si="71"/>
        <v>13171.832200000004</v>
      </c>
      <c r="N89" s="1071">
        <f>'Blocking-Step2'!I1332</f>
        <v>214832.39439999999</v>
      </c>
      <c r="O89" s="20"/>
      <c r="P89" s="436">
        <f t="shared" si="72"/>
        <v>-2.5246242606807444E-4</v>
      </c>
      <c r="Q89" s="160">
        <f t="shared" si="73"/>
        <v>-1.5207471371104939E-2</v>
      </c>
      <c r="R89" s="160">
        <f t="shared" si="74"/>
        <v>2.6253779080242429E-2</v>
      </c>
    </row>
    <row r="90" spans="1:18">
      <c r="A90" s="16"/>
      <c r="B90" s="601">
        <v>8</v>
      </c>
      <c r="C90" s="16"/>
      <c r="D90" s="432">
        <f>SUMIF('305'!$B$2:$B$202,"I8",'305'!G$2:G$202)</f>
        <v>74133476.980000004</v>
      </c>
      <c r="E90" s="317">
        <f>'8'!F11</f>
        <v>40272.73000000001</v>
      </c>
      <c r="F90" s="317">
        <f t="shared" si="75"/>
        <v>-1127981</v>
      </c>
      <c r="G90" s="317"/>
      <c r="H90" s="397">
        <f t="shared" si="68"/>
        <v>-1087708.27</v>
      </c>
      <c r="I90" s="317">
        <f t="shared" si="69"/>
        <v>73045768.710000008</v>
      </c>
      <c r="J90" s="404">
        <f t="shared" si="70"/>
        <v>621.71999998716637</v>
      </c>
      <c r="K90" s="397">
        <f>+'Blocking-Step2'!H1434-'8'!U11</f>
        <v>45673.820599999744</v>
      </c>
      <c r="L90" s="322">
        <f>'Blocking-Step2'!H1436</f>
        <v>73092064.250599995</v>
      </c>
      <c r="M90" s="1070">
        <f t="shared" si="71"/>
        <v>1676893.4070000052</v>
      </c>
      <c r="N90" s="1071">
        <f>'Blocking-Step2'!I1436</f>
        <v>74768957.657600001</v>
      </c>
      <c r="O90" s="20"/>
      <c r="P90" s="436">
        <f t="shared" si="72"/>
        <v>8.5113759628633013E-6</v>
      </c>
      <c r="Q90" s="160">
        <f t="shared" si="73"/>
        <v>-1.5207280263032558E-2</v>
      </c>
      <c r="R90" s="160">
        <f t="shared" si="74"/>
        <v>5.4324620455701721E-4</v>
      </c>
    </row>
    <row r="91" spans="1:18">
      <c r="A91" s="16"/>
      <c r="B91" s="601">
        <v>9</v>
      </c>
      <c r="C91" s="16"/>
      <c r="D91" s="432">
        <f>SUMIF('305'!$B$2:$B$202,"I9",'305'!G$2:G$202)</f>
        <v>194535572.78</v>
      </c>
      <c r="E91" s="317">
        <f>'9'!F9</f>
        <v>1982886.36</v>
      </c>
      <c r="F91" s="317">
        <f t="shared" si="75"/>
        <v>-2988512</v>
      </c>
      <c r="G91" s="317"/>
      <c r="H91" s="397">
        <f t="shared" si="68"/>
        <v>-1005625.6399999999</v>
      </c>
      <c r="I91" s="317">
        <f t="shared" si="69"/>
        <v>193529947.14000002</v>
      </c>
      <c r="J91" s="404">
        <f t="shared" si="70"/>
        <v>-65464.940000005066</v>
      </c>
      <c r="K91" s="397">
        <f>+'Blocking-Step2'!H1533-'9'!V9</f>
        <v>170726.79879999906</v>
      </c>
      <c r="L91" s="322">
        <f>'Blocking-Step2'!H1535</f>
        <v>193635208.99880001</v>
      </c>
      <c r="M91" s="1070">
        <f t="shared" si="71"/>
        <v>-1056545.7030000091</v>
      </c>
      <c r="N91" s="1071">
        <f>'Blocking-Step2'!I1535</f>
        <v>192578663.2958</v>
      </c>
      <c r="O91" s="20"/>
      <c r="P91" s="436">
        <f t="shared" si="72"/>
        <v>-3.3826775115402462E-4</v>
      </c>
      <c r="Q91" s="160">
        <f t="shared" si="73"/>
        <v>-1.5207283901361042E-2</v>
      </c>
      <c r="R91" s="160">
        <f t="shared" si="74"/>
        <v>1.0192924263997944E-2</v>
      </c>
    </row>
    <row r="92" spans="1:18">
      <c r="A92" s="16"/>
      <c r="B92" s="601" t="s">
        <v>225</v>
      </c>
      <c r="C92" s="16"/>
      <c r="D92" s="432">
        <f>SUMIF('305'!$B$2:$B$202,"I9A",'305'!G$2:G$202)</f>
        <v>1569320.4</v>
      </c>
      <c r="E92" s="317">
        <f>'9A'!F7</f>
        <v>0</v>
      </c>
      <c r="F92" s="317">
        <f t="shared" si="75"/>
        <v>-23865</v>
      </c>
      <c r="G92" s="317"/>
      <c r="H92" s="397">
        <f t="shared" si="68"/>
        <v>-23865</v>
      </c>
      <c r="I92" s="317">
        <f t="shared" si="69"/>
        <v>1545455.4</v>
      </c>
      <c r="J92" s="404">
        <f t="shared" si="70"/>
        <v>0.16000000014901161</v>
      </c>
      <c r="K92" s="397">
        <f>+'Blocking-Step2'!H1599-'9A'!O7</f>
        <v>12947.659400000004</v>
      </c>
      <c r="L92" s="322">
        <f>'Blocking-Step2'!H1601</f>
        <v>1558403.2194000001</v>
      </c>
      <c r="M92" s="1070">
        <f t="shared" si="71"/>
        <v>58395.691299999831</v>
      </c>
      <c r="N92" s="1071">
        <f>'Blocking-Step2'!I1601</f>
        <v>1616798.9106999999</v>
      </c>
      <c r="O92" s="20"/>
      <c r="P92" s="436">
        <f t="shared" si="72"/>
        <v>1.0352935461548203E-7</v>
      </c>
      <c r="Q92" s="160">
        <f t="shared" si="73"/>
        <v>-1.5207219634690279E-2</v>
      </c>
      <c r="R92" s="160">
        <f t="shared" si="74"/>
        <v>0</v>
      </c>
    </row>
    <row r="93" spans="1:18">
      <c r="A93" s="16"/>
      <c r="B93" s="601" t="s">
        <v>965</v>
      </c>
      <c r="C93" s="16"/>
      <c r="D93" s="432">
        <f>SUMIF('305'!$B$2:$B$202,"I15M",'305'!G$2:G$202)</f>
        <v>2295.5700000000002</v>
      </c>
      <c r="E93" s="317">
        <f>'15M'!F3+'305vsCognos'!K53</f>
        <v>6.2</v>
      </c>
      <c r="F93" s="317">
        <f t="shared" si="75"/>
        <v>-35</v>
      </c>
      <c r="G93" s="317"/>
      <c r="H93" s="397">
        <f t="shared" si="68"/>
        <v>-28.8</v>
      </c>
      <c r="I93" s="317">
        <f t="shared" si="69"/>
        <v>2266.77</v>
      </c>
      <c r="J93" s="404">
        <f t="shared" si="70"/>
        <v>-0.79999999999995453</v>
      </c>
      <c r="K93" s="397">
        <f>+'Blocking-Step2'!H1838-'15M'!N3</f>
        <v>0.29800000000000182</v>
      </c>
      <c r="L93" s="322">
        <f>'Blocking-Step2'!H1840</f>
        <v>2266.268</v>
      </c>
      <c r="M93" s="1070">
        <f t="shared" si="71"/>
        <v>121.10399999999981</v>
      </c>
      <c r="N93" s="1071">
        <f>'Blocking-Step2'!I1840</f>
        <v>2387.3719999999998</v>
      </c>
      <c r="O93" s="20"/>
      <c r="P93" s="436">
        <f t="shared" si="72"/>
        <v>-3.5292508723864992E-4</v>
      </c>
      <c r="Q93" s="160">
        <f t="shared" si="73"/>
        <v>-1.5205689534575566E-2</v>
      </c>
      <c r="R93" s="160">
        <f t="shared" si="74"/>
        <v>2.7008542540632608E-3</v>
      </c>
    </row>
    <row r="94" spans="1:18">
      <c r="A94" s="16"/>
      <c r="B94" s="601" t="s">
        <v>943</v>
      </c>
      <c r="C94" s="16"/>
      <c r="D94" s="432">
        <f>SUMIF('305'!$B$2:$B$202,"I15T",'305'!G$2:G$202)</f>
        <v>4639.6499999999996</v>
      </c>
      <c r="E94" s="317">
        <f>'15T'!F14</f>
        <v>0</v>
      </c>
      <c r="F94" s="317">
        <f t="shared" si="75"/>
        <v>-71</v>
      </c>
      <c r="G94" s="317"/>
      <c r="H94" s="397">
        <f t="shared" si="68"/>
        <v>-71</v>
      </c>
      <c r="I94" s="317">
        <f t="shared" si="69"/>
        <v>4568.6499999999996</v>
      </c>
      <c r="J94" s="404">
        <f t="shared" si="70"/>
        <v>-0.42999999999949523</v>
      </c>
      <c r="K94" s="397">
        <f>+'Blocking-Step2'!H1873-'15T'!L14</f>
        <v>-24.991499999999974</v>
      </c>
      <c r="L94" s="322">
        <f>'Blocking-Step2'!H1875</f>
        <v>4543.2285000000002</v>
      </c>
      <c r="M94" s="1070">
        <f t="shared" si="71"/>
        <v>-1529.3049000000001</v>
      </c>
      <c r="N94" s="1071">
        <f>'Blocking-Step2'!I1875</f>
        <v>3013.9236000000001</v>
      </c>
      <c r="O94" s="20"/>
      <c r="P94" s="436">
        <f t="shared" si="72"/>
        <v>-9.4119707134382203E-5</v>
      </c>
      <c r="Q94" s="160">
        <f t="shared" si="73"/>
        <v>-1.5302878449883074E-2</v>
      </c>
      <c r="R94" s="160">
        <f t="shared" si="74"/>
        <v>0</v>
      </c>
    </row>
    <row r="95" spans="1:18">
      <c r="A95" s="16"/>
      <c r="B95" s="601">
        <v>21</v>
      </c>
      <c r="C95" s="16"/>
      <c r="D95" s="432">
        <f>SUMIF('305'!$B$2:$B$202,"I21",'305'!G$2:G$202)</f>
        <v>157232.69</v>
      </c>
      <c r="E95" s="317">
        <f>'21'!G9+'305vsCognos'!K55</f>
        <v>2004.8299999999872</v>
      </c>
      <c r="F95" s="317">
        <f t="shared" si="75"/>
        <v>-2422</v>
      </c>
      <c r="G95" s="317"/>
      <c r="H95" s="397">
        <f t="shared" si="68"/>
        <v>-417.17000000001281</v>
      </c>
      <c r="I95" s="317">
        <f t="shared" si="69"/>
        <v>156815.51999999999</v>
      </c>
      <c r="J95" s="404">
        <f t="shared" si="70"/>
        <v>-10313.814000000008</v>
      </c>
      <c r="K95" s="397">
        <f>+'Blocking-Step2'!H1934-'21'!R9</f>
        <v>10755.85</v>
      </c>
      <c r="L95" s="322">
        <f>'Blocking-Step2'!H1935</f>
        <v>157257.55599999998</v>
      </c>
      <c r="M95" s="1070">
        <f t="shared" si="71"/>
        <v>75857.206000000006</v>
      </c>
      <c r="N95" s="1071">
        <f>'Blocking-Step2'!I1935</f>
        <v>233114.76199999999</v>
      </c>
      <c r="O95" s="20"/>
      <c r="P95" s="436">
        <f t="shared" si="72"/>
        <v>-6.5770365076109866E-2</v>
      </c>
      <c r="Q95" s="160">
        <f t="shared" si="73"/>
        <v>-1.5209983174819603E-2</v>
      </c>
      <c r="R95" s="160">
        <f t="shared" si="74"/>
        <v>1.2750719967965868E-2</v>
      </c>
    </row>
    <row r="96" spans="1:18">
      <c r="A96" s="16"/>
      <c r="B96" s="601">
        <v>23</v>
      </c>
      <c r="C96" s="16"/>
      <c r="D96" s="432">
        <f>SUMIF('305'!$B$2:$B$202,"I23",'305'!G$2:G$202)</f>
        <v>5177414.0199999996</v>
      </c>
      <c r="E96" s="317">
        <f>'23'!F25+'305vsCognos'!K56</f>
        <v>14402.099999999888</v>
      </c>
      <c r="F96" s="317">
        <f t="shared" si="75"/>
        <v>-78953</v>
      </c>
      <c r="G96" s="317"/>
      <c r="H96" s="397">
        <f t="shared" si="68"/>
        <v>-64550.900000000111</v>
      </c>
      <c r="I96" s="317">
        <f t="shared" si="69"/>
        <v>5112863.1199999992</v>
      </c>
      <c r="J96" s="404">
        <f t="shared" si="70"/>
        <v>13.850000000675209</v>
      </c>
      <c r="K96" s="397">
        <f>+'Blocking-Step2'!H2067-'23'!AF25</f>
        <v>3204.611200000043</v>
      </c>
      <c r="L96" s="322">
        <f>'Blocking-Step2'!H2070</f>
        <v>5116081.5811999999</v>
      </c>
      <c r="M96" s="1070">
        <f t="shared" si="71"/>
        <v>-80973.086699999869</v>
      </c>
      <c r="N96" s="1071">
        <f>'Blocking-Step2'!I2070</f>
        <v>5035108.4945</v>
      </c>
      <c r="O96" s="20"/>
      <c r="P96" s="436">
        <f t="shared" si="72"/>
        <v>2.7088540560567972E-6</v>
      </c>
      <c r="Q96" s="160">
        <f t="shared" si="73"/>
        <v>-1.5207202677278179E-2</v>
      </c>
      <c r="R96" s="160">
        <f t="shared" si="74"/>
        <v>2.7817168849865108E-3</v>
      </c>
    </row>
    <row r="97" spans="1:18">
      <c r="A97" s="16"/>
      <c r="B97" s="601" t="s">
        <v>960</v>
      </c>
      <c r="C97" s="16"/>
      <c r="D97" s="432">
        <f>SUMIF('305'!$B$2:$B$202,"I23135",'305'!G$2:G$202)</f>
        <v>20297.66</v>
      </c>
      <c r="E97" s="317">
        <f>'23'!F29</f>
        <v>13.09</v>
      </c>
      <c r="F97" s="317">
        <f t="shared" si="75"/>
        <v>-309</v>
      </c>
      <c r="G97" s="317"/>
      <c r="H97" s="397">
        <f t="shared" si="68"/>
        <v>-295.91000000000003</v>
      </c>
      <c r="I97" s="317">
        <f t="shared" si="69"/>
        <v>20001.75</v>
      </c>
      <c r="J97" s="404">
        <f t="shared" si="70"/>
        <v>0.62000000000068667</v>
      </c>
      <c r="K97" s="397">
        <f>+'Blocking-Step2'!H2156-'23'!AF29</f>
        <v>22.444200000000023</v>
      </c>
      <c r="L97" s="322">
        <f>'Blocking-Step2'!H2158</f>
        <v>20024.814200000001</v>
      </c>
      <c r="M97" s="1070">
        <f t="shared" si="71"/>
        <v>31256.812899999997</v>
      </c>
      <c r="N97" s="1071">
        <f>'Blocking-Step2'!I2158</f>
        <v>51281.627099999998</v>
      </c>
      <c r="O97" s="20"/>
      <c r="P97" s="436">
        <f t="shared" si="72"/>
        <v>3.0997287737357312E-5</v>
      </c>
      <c r="Q97" s="160">
        <f t="shared" si="73"/>
        <v>-1.5213618404047119E-2</v>
      </c>
      <c r="R97" s="160">
        <f t="shared" si="74"/>
        <v>6.4490192465535437E-4</v>
      </c>
    </row>
    <row r="98" spans="1:18">
      <c r="A98" s="16"/>
      <c r="B98" s="601">
        <v>31</v>
      </c>
      <c r="C98" s="16"/>
      <c r="D98" s="432">
        <f>SUMIF('305'!$B$2:$B$202,"I31",'305'!G$2:G$202)</f>
        <v>3757081.15</v>
      </c>
      <c r="E98" s="317">
        <f>'31'!H4</f>
        <v>-52696.12</v>
      </c>
      <c r="F98" s="317">
        <f t="shared" si="75"/>
        <v>-56334</v>
      </c>
      <c r="G98" s="317"/>
      <c r="H98" s="397">
        <f t="shared" si="68"/>
        <v>-109030.12</v>
      </c>
      <c r="I98" s="317">
        <f t="shared" si="69"/>
        <v>3648051.03</v>
      </c>
      <c r="J98" s="404">
        <f t="shared" si="70"/>
        <v>1.2100000004429603</v>
      </c>
      <c r="K98" s="397">
        <f>+'Blocking-Step2'!H2520+'Blocking-Step2'!H2535-'31'!AG4</f>
        <v>3271.2170999999944</v>
      </c>
      <c r="L98" s="322">
        <f>'Blocking-Step2'!H2539</f>
        <v>3651323.4571000002</v>
      </c>
      <c r="M98" s="1070">
        <f t="shared" si="71"/>
        <v>800083.27359999996</v>
      </c>
      <c r="N98" s="1071">
        <f>'Blocking-Step2'!I2539</f>
        <v>4451406.7307000002</v>
      </c>
      <c r="O98" s="20"/>
      <c r="P98" s="436">
        <f>J98/I98</f>
        <v>3.3168395685598738E-7</v>
      </c>
      <c r="Q98" s="160">
        <f t="shared" si="73"/>
        <v>-1.5207382478813225E-2</v>
      </c>
      <c r="R98" s="160">
        <f t="shared" si="74"/>
        <v>-1.4025813629285065E-2</v>
      </c>
    </row>
    <row r="99" spans="1:18">
      <c r="A99" s="16"/>
      <c r="B99" s="601" t="s">
        <v>680</v>
      </c>
      <c r="C99" s="16"/>
      <c r="D99" s="432">
        <f>SUMIF('305'!$B$2:$B$202,"ISPCL1",'305'!G$2:G$202)</f>
        <v>30565663.190000001</v>
      </c>
      <c r="E99" s="317">
        <f>'Table 4'!E15</f>
        <v>1.2603999995626509</v>
      </c>
      <c r="F99" s="317">
        <f>'Table 4'!D15</f>
        <v>98048.331999999937</v>
      </c>
      <c r="G99" s="317"/>
      <c r="H99" s="397">
        <f t="shared" si="68"/>
        <v>98049.592399999499</v>
      </c>
      <c r="I99" s="317">
        <f t="shared" si="69"/>
        <v>30663712.782400001</v>
      </c>
      <c r="J99" s="404">
        <f t="shared" si="70"/>
        <v>0</v>
      </c>
      <c r="K99" s="397">
        <f>'Blocking-Step2'!H2621-'C1'!X21</f>
        <v>-0.10080000013113022</v>
      </c>
      <c r="L99" s="322">
        <f>'Blocking-Step2'!H2623</f>
        <v>30663712.681600001</v>
      </c>
      <c r="M99" s="1070">
        <f t="shared" si="71"/>
        <v>718507.27999999747</v>
      </c>
      <c r="N99" s="1071">
        <f>'Blocking-Step2'!I2623</f>
        <v>31382219.961599998</v>
      </c>
      <c r="O99" s="20"/>
      <c r="P99" s="436">
        <f t="shared" si="72"/>
        <v>0</v>
      </c>
      <c r="Q99" s="160">
        <f t="shared" si="73"/>
        <v>3.207793246539969E-3</v>
      </c>
      <c r="R99" s="160">
        <f t="shared" si="74"/>
        <v>4.1235813917330901E-8</v>
      </c>
    </row>
    <row r="100" spans="1:18">
      <c r="A100" s="16"/>
      <c r="B100" s="601" t="s">
        <v>681</v>
      </c>
      <c r="C100" s="16"/>
      <c r="D100" s="432">
        <f>SUMIF('305'!$B$2:$B$202,"ISPCL2",'305'!G$2:G$202)</f>
        <v>36340880.280000001</v>
      </c>
      <c r="E100" s="317">
        <f>'Table 4'!E16</f>
        <v>-1598840.0316420998</v>
      </c>
      <c r="F100" s="317">
        <f>'Table 4'!D16</f>
        <v>277716.87058647536</v>
      </c>
      <c r="G100" s="317"/>
      <c r="H100" s="397">
        <f t="shared" si="68"/>
        <v>-1321123.1610556245</v>
      </c>
      <c r="I100" s="317">
        <f t="shared" si="69"/>
        <v>35019757.118944377</v>
      </c>
      <c r="J100" s="404">
        <f t="shared" si="70"/>
        <v>1.862645149230957E-9</v>
      </c>
      <c r="K100" s="397">
        <f>'Blocking-Step2'!H2631-'C2'!O21</f>
        <v>4.0556248277425766E-3</v>
      </c>
      <c r="L100" s="322">
        <f>'Blocking-Step2'!H2633</f>
        <v>35019757.123000003</v>
      </c>
      <c r="M100" s="1070">
        <f t="shared" si="71"/>
        <v>-3534625.9780000038</v>
      </c>
      <c r="N100" s="1071">
        <f>'Blocking-Step2'!I2633</f>
        <v>31485131.145</v>
      </c>
      <c r="O100" s="20"/>
      <c r="P100" s="436">
        <f t="shared" si="72"/>
        <v>5.3188408557617771E-17</v>
      </c>
      <c r="Q100" s="160">
        <f t="shared" si="73"/>
        <v>7.9936834049232838E-3</v>
      </c>
      <c r="R100" s="160">
        <f t="shared" si="74"/>
        <v>-4.3995632998521848E-2</v>
      </c>
    </row>
    <row r="101" spans="1:18">
      <c r="A101" s="16"/>
      <c r="B101" s="654" t="s">
        <v>682</v>
      </c>
      <c r="C101" s="437"/>
      <c r="D101" s="433">
        <f>SUMIF('305'!$B$2:$B$202,"ISPCL3",'305'!G$2:G$202)</f>
        <v>67226916.909999996</v>
      </c>
      <c r="E101" s="405">
        <f>'Table 4'!E17</f>
        <v>115934.17999999784</v>
      </c>
      <c r="F101" s="318">
        <f>'Table 4'!D17</f>
        <v>-1433156.8499999996</v>
      </c>
      <c r="G101" s="318"/>
      <c r="H101" s="398">
        <f t="shared" si="68"/>
        <v>-1317222.6700000018</v>
      </c>
      <c r="I101" s="318">
        <f t="shared" si="69"/>
        <v>65909694.239999995</v>
      </c>
      <c r="J101" s="405">
        <f t="shared" si="70"/>
        <v>0</v>
      </c>
      <c r="K101" s="398">
        <v>0</v>
      </c>
      <c r="L101" s="332">
        <f>'Blocking-Step2'!H2640</f>
        <v>65909694.239999995</v>
      </c>
      <c r="M101" s="1072">
        <f t="shared" si="71"/>
        <v>-2952101.2226903141</v>
      </c>
      <c r="N101" s="1073">
        <f>'Blocking-Step2'!I2640</f>
        <v>62957593.017309681</v>
      </c>
      <c r="O101" s="20"/>
      <c r="P101" s="436">
        <f t="shared" si="72"/>
        <v>0</v>
      </c>
      <c r="Q101" s="160">
        <f t="shared" si="73"/>
        <v>-2.1281499473265023E-2</v>
      </c>
      <c r="R101" s="160">
        <f t="shared" si="74"/>
        <v>1.7245202565990742E-3</v>
      </c>
    </row>
    <row r="102" spans="1:18" s="557" customFormat="1">
      <c r="B102" s="557" t="s">
        <v>130</v>
      </c>
      <c r="D102" s="558">
        <f>SUM(D83:D101)</f>
        <v>472339284.15999985</v>
      </c>
      <c r="E102" s="559">
        <f t="shared" ref="E102:L102" si="83">SUM(E83:E101)</f>
        <v>517243.90875789756</v>
      </c>
      <c r="F102" s="559">
        <f t="shared" si="83"/>
        <v>-6231000</v>
      </c>
      <c r="G102" s="559">
        <f t="shared" si="83"/>
        <v>0</v>
      </c>
      <c r="H102" s="561">
        <f t="shared" si="83"/>
        <v>-5713756.0912421029</v>
      </c>
      <c r="I102" s="559">
        <f t="shared" si="83"/>
        <v>466625528.06875789</v>
      </c>
      <c r="J102" s="562">
        <f t="shared" si="83"/>
        <v>-31324.234000005021</v>
      </c>
      <c r="K102" s="561">
        <f t="shared" ref="K102:N102" si="84">SUM(K83:K101)</f>
        <v>278840.88865562365</v>
      </c>
      <c r="L102" s="566">
        <f t="shared" si="83"/>
        <v>466873044.72341353</v>
      </c>
      <c r="M102" s="1074">
        <f t="shared" si="84"/>
        <v>899283.24779615365</v>
      </c>
      <c r="N102" s="1075">
        <f t="shared" si="84"/>
        <v>467772327.9712097</v>
      </c>
      <c r="O102" s="560"/>
      <c r="P102" s="436">
        <f t="shared" si="72"/>
        <v>-6.7129276294950908E-5</v>
      </c>
      <c r="Q102" s="160">
        <f t="shared" si="73"/>
        <v>-1.3177358522359142E-2</v>
      </c>
      <c r="R102" s="160">
        <f t="shared" si="74"/>
        <v>1.0950685790993551E-3</v>
      </c>
    </row>
    <row r="103" spans="1:18">
      <c r="A103" s="16"/>
      <c r="B103" s="360"/>
      <c r="C103" s="16"/>
      <c r="D103" s="432"/>
      <c r="E103" s="317"/>
      <c r="F103" s="317"/>
      <c r="G103" s="317"/>
      <c r="H103" s="397"/>
      <c r="I103" s="317"/>
      <c r="J103" s="404"/>
      <c r="K103" s="397"/>
      <c r="L103" s="322"/>
      <c r="M103" s="1070"/>
      <c r="N103" s="1071"/>
      <c r="O103" s="20"/>
      <c r="P103" s="436"/>
      <c r="Q103" s="160"/>
      <c r="R103" s="160"/>
    </row>
    <row r="104" spans="1:18">
      <c r="A104" s="16"/>
      <c r="B104" s="601" t="s">
        <v>847</v>
      </c>
      <c r="C104" s="16"/>
      <c r="D104" s="432">
        <f>SUMIF('305'!$B$2:$B$202,"IREVDEF",'305'!G$2:G$202)</f>
        <v>2734868.95</v>
      </c>
      <c r="E104" s="317">
        <f>-D104</f>
        <v>-2734868.95</v>
      </c>
      <c r="F104" s="317"/>
      <c r="G104" s="317"/>
      <c r="H104" s="397">
        <f t="shared" ref="H104:H110" si="85">SUM(E104:G104)</f>
        <v>-2734868.95</v>
      </c>
      <c r="I104" s="317">
        <f t="shared" ref="I104:I110" si="86">D104+H104</f>
        <v>0</v>
      </c>
      <c r="J104" s="404"/>
      <c r="K104" s="397"/>
      <c r="L104" s="322"/>
      <c r="M104" s="1070"/>
      <c r="N104" s="1071"/>
      <c r="O104" s="20"/>
      <c r="P104" s="436"/>
      <c r="Q104" s="160"/>
      <c r="R104" s="160"/>
    </row>
    <row r="105" spans="1:18">
      <c r="A105" s="16"/>
      <c r="B105" s="601" t="s">
        <v>692</v>
      </c>
      <c r="C105" s="16"/>
      <c r="D105" s="432">
        <f>SUMIF('305'!$B$2:$B$202,"IREVADJ",'305'!G$2:G$202)</f>
        <v>-258416.13</v>
      </c>
      <c r="E105" s="317">
        <f t="shared" ref="E105:E110" si="87">-D105</f>
        <v>258416.13</v>
      </c>
      <c r="F105" s="317"/>
      <c r="G105" s="317"/>
      <c r="H105" s="397">
        <f t="shared" si="85"/>
        <v>258416.13</v>
      </c>
      <c r="I105" s="317">
        <f t="shared" si="86"/>
        <v>0</v>
      </c>
      <c r="J105" s="404"/>
      <c r="K105" s="397"/>
      <c r="L105" s="322"/>
      <c r="M105" s="1070"/>
      <c r="N105" s="1071"/>
      <c r="O105" s="20"/>
      <c r="P105" s="436"/>
      <c r="Q105" s="160"/>
      <c r="R105" s="160"/>
    </row>
    <row r="106" spans="1:18">
      <c r="A106" s="16"/>
      <c r="B106" s="601" t="s">
        <v>962</v>
      </c>
      <c r="C106" s="16"/>
      <c r="D106" s="432">
        <f>SUMIF('305'!$B$2:$B$202,"ISOLAR",'305'!G$2:G$202)</f>
        <v>2090339.19</v>
      </c>
      <c r="E106" s="317">
        <f t="shared" si="87"/>
        <v>-2090339.19</v>
      </c>
      <c r="F106" s="317"/>
      <c r="G106" s="317"/>
      <c r="H106" s="397">
        <f t="shared" si="85"/>
        <v>-2090339.19</v>
      </c>
      <c r="I106" s="317">
        <f t="shared" si="86"/>
        <v>0</v>
      </c>
      <c r="J106" s="404"/>
      <c r="K106" s="397"/>
      <c r="L106" s="322"/>
      <c r="M106" s="1070"/>
      <c r="N106" s="1071"/>
      <c r="O106" s="20"/>
      <c r="P106" s="436"/>
      <c r="Q106" s="160"/>
      <c r="R106" s="160"/>
    </row>
    <row r="107" spans="1:18">
      <c r="A107" s="16"/>
      <c r="B107" s="601" t="s">
        <v>23</v>
      </c>
      <c r="C107" s="16"/>
      <c r="D107" s="432">
        <f>SUMIF('305'!$B$2:$B$202,"IDSM",'305'!G$2:G$202)</f>
        <v>4135249.51</v>
      </c>
      <c r="E107" s="317">
        <f t="shared" si="87"/>
        <v>-4135249.51</v>
      </c>
      <c r="F107" s="317"/>
      <c r="G107" s="317"/>
      <c r="H107" s="397">
        <f t="shared" si="85"/>
        <v>-4135249.51</v>
      </c>
      <c r="I107" s="317">
        <f t="shared" si="86"/>
        <v>0</v>
      </c>
      <c r="J107" s="404"/>
      <c r="K107" s="397"/>
      <c r="L107" s="322"/>
      <c r="M107" s="1070"/>
      <c r="N107" s="1071"/>
      <c r="O107" s="20"/>
      <c r="P107" s="436"/>
      <c r="Q107" s="160"/>
      <c r="R107" s="160"/>
    </row>
    <row r="108" spans="1:18">
      <c r="A108" s="16"/>
      <c r="B108" s="16" t="s">
        <v>1412</v>
      </c>
      <c r="C108" s="16"/>
      <c r="D108" s="432">
        <f>SUMIF('305'!$B$2:$B$202,"ITAX",'305'!G$2:G$202)</f>
        <v>1.9999999960418801E-2</v>
      </c>
      <c r="E108" s="317">
        <f t="shared" ref="E108" si="88">-D108</f>
        <v>-1.9999999960418801E-2</v>
      </c>
      <c r="F108" s="317"/>
      <c r="G108" s="317"/>
      <c r="H108" s="397">
        <f t="shared" si="85"/>
        <v>-1.9999999960418801E-2</v>
      </c>
      <c r="I108" s="317">
        <f t="shared" si="86"/>
        <v>0</v>
      </c>
      <c r="J108" s="404"/>
      <c r="K108" s="397"/>
      <c r="L108" s="322"/>
      <c r="M108" s="1070"/>
      <c r="N108" s="1071"/>
      <c r="O108" s="20"/>
      <c r="P108" s="436"/>
      <c r="Q108" s="160"/>
      <c r="R108" s="160"/>
    </row>
    <row r="109" spans="1:18">
      <c r="A109" s="16"/>
      <c r="B109" s="601" t="s">
        <v>848</v>
      </c>
      <c r="C109" s="16"/>
      <c r="D109" s="432">
        <f>SUMIF('305'!$B$2:$B$202,"IBLUE",'305'!G$2:G$202)</f>
        <v>116729.15</v>
      </c>
      <c r="E109" s="317">
        <f t="shared" si="87"/>
        <v>-116729.15</v>
      </c>
      <c r="F109" s="317"/>
      <c r="G109" s="317"/>
      <c r="H109" s="397">
        <f t="shared" si="85"/>
        <v>-116729.15</v>
      </c>
      <c r="I109" s="317">
        <f t="shared" si="86"/>
        <v>0</v>
      </c>
      <c r="J109" s="404"/>
      <c r="K109" s="397"/>
      <c r="L109" s="322"/>
      <c r="M109" s="1070"/>
      <c r="N109" s="1071"/>
      <c r="O109" s="20"/>
      <c r="P109" s="436"/>
      <c r="Q109" s="160"/>
      <c r="R109" s="160"/>
    </row>
    <row r="110" spans="1:18">
      <c r="A110" s="16"/>
      <c r="B110" s="654" t="s">
        <v>849</v>
      </c>
      <c r="C110" s="437"/>
      <c r="D110" s="433">
        <f>SUMIF('305'!$B$2:$B$202,"IINSUR",'305'!G$2:G$202)</f>
        <v>-489576.66</v>
      </c>
      <c r="E110" s="318">
        <f t="shared" si="87"/>
        <v>489576.66</v>
      </c>
      <c r="F110" s="318"/>
      <c r="G110" s="318"/>
      <c r="H110" s="398">
        <f t="shared" si="85"/>
        <v>489576.66</v>
      </c>
      <c r="I110" s="318">
        <f t="shared" si="86"/>
        <v>0</v>
      </c>
      <c r="J110" s="405"/>
      <c r="K110" s="398"/>
      <c r="L110" s="332"/>
      <c r="M110" s="1072"/>
      <c r="N110" s="1073"/>
      <c r="O110" s="20"/>
      <c r="P110" s="436"/>
      <c r="Q110" s="160"/>
      <c r="R110" s="160"/>
    </row>
    <row r="111" spans="1:18" s="557" customFormat="1">
      <c r="B111" s="557" t="s">
        <v>130</v>
      </c>
      <c r="D111" s="558">
        <f t="shared" ref="D111:L111" si="89">SUM(D104:D110)</f>
        <v>8329194.0299999993</v>
      </c>
      <c r="E111" s="559">
        <f t="shared" si="89"/>
        <v>-8329194.0299999993</v>
      </c>
      <c r="F111" s="559">
        <f t="shared" si="89"/>
        <v>0</v>
      </c>
      <c r="G111" s="559">
        <f t="shared" si="89"/>
        <v>0</v>
      </c>
      <c r="H111" s="561">
        <f t="shared" si="89"/>
        <v>-8329194.0299999993</v>
      </c>
      <c r="I111" s="559">
        <f t="shared" si="89"/>
        <v>0</v>
      </c>
      <c r="J111" s="562">
        <f t="shared" si="89"/>
        <v>0</v>
      </c>
      <c r="K111" s="561">
        <f t="shared" ref="K111:M111" si="90">SUM(K104:K110)</f>
        <v>0</v>
      </c>
      <c r="L111" s="566">
        <f t="shared" si="89"/>
        <v>0</v>
      </c>
      <c r="M111" s="1074">
        <f t="shared" si="90"/>
        <v>0</v>
      </c>
      <c r="N111" s="1075">
        <f t="shared" ref="N111" si="91">SUM(N104:N110)</f>
        <v>0</v>
      </c>
      <c r="O111" s="560"/>
      <c r="P111" s="563"/>
      <c r="Q111" s="564"/>
      <c r="R111" s="564"/>
    </row>
    <row r="112" spans="1:18">
      <c r="A112" s="16"/>
      <c r="B112" s="360"/>
      <c r="C112" s="16"/>
      <c r="D112" s="432"/>
      <c r="E112" s="317"/>
      <c r="F112" s="317"/>
      <c r="G112" s="317"/>
      <c r="H112" s="397"/>
      <c r="I112" s="317"/>
      <c r="J112" s="404"/>
      <c r="K112" s="397"/>
      <c r="L112" s="322"/>
      <c r="M112" s="1070"/>
      <c r="N112" s="1071"/>
      <c r="O112" s="20"/>
      <c r="P112" s="436"/>
      <c r="Q112" s="160"/>
      <c r="R112" s="160"/>
    </row>
    <row r="113" spans="1:18">
      <c r="A113" s="16"/>
      <c r="B113" s="360" t="s">
        <v>136</v>
      </c>
      <c r="C113" s="16"/>
      <c r="D113" s="432">
        <f>SUMIF('305'!$B$2:$B$202,"IU",'305'!G$2:G$202)</f>
        <v>-6231000</v>
      </c>
      <c r="E113" s="317"/>
      <c r="F113" s="317">
        <f>-D113</f>
        <v>6231000</v>
      </c>
      <c r="G113" s="317"/>
      <c r="H113" s="397">
        <f>SUM(E113:G113)</f>
        <v>6231000</v>
      </c>
      <c r="I113" s="317">
        <f>D113+H113</f>
        <v>0</v>
      </c>
      <c r="J113" s="404"/>
      <c r="K113" s="397"/>
      <c r="L113" s="322">
        <f t="shared" ref="L113:L114" si="92">SUM(I113:J113)</f>
        <v>0</v>
      </c>
      <c r="M113" s="1070"/>
      <c r="N113" s="1071">
        <f t="shared" ref="N113:N114" si="93">SUM(K113:L113)</f>
        <v>0</v>
      </c>
      <c r="O113" s="20"/>
      <c r="P113" s="436"/>
      <c r="Q113" s="160">
        <f>F113/(D113+E113)</f>
        <v>-1</v>
      </c>
      <c r="R113" s="160">
        <f>E113/D113</f>
        <v>0</v>
      </c>
    </row>
    <row r="114" spans="1:18">
      <c r="A114" s="16"/>
      <c r="B114" s="438" t="s">
        <v>471</v>
      </c>
      <c r="C114" s="437"/>
      <c r="D114" s="433">
        <f>SUMIF('305'!$B$2:$B$202,"IAGA",'305'!G$2:G$202)</f>
        <v>823369.79999999993</v>
      </c>
      <c r="E114" s="318">
        <f>-'9'!S9*8000</f>
        <v>0</v>
      </c>
      <c r="F114" s="318"/>
      <c r="G114" s="318"/>
      <c r="H114" s="398">
        <f>SUM(E114:G114)</f>
        <v>0</v>
      </c>
      <c r="I114" s="318">
        <f>D114+H114</f>
        <v>823369.79999999993</v>
      </c>
      <c r="J114" s="405"/>
      <c r="K114" s="398"/>
      <c r="L114" s="332">
        <f t="shared" si="92"/>
        <v>823369.79999999993</v>
      </c>
      <c r="M114" s="1072"/>
      <c r="N114" s="1073">
        <f t="shared" si="93"/>
        <v>823369.79999999993</v>
      </c>
      <c r="O114" s="20"/>
      <c r="P114" s="436"/>
      <c r="Q114" s="160">
        <f>F114/(D114+E114)</f>
        <v>0</v>
      </c>
      <c r="R114" s="160">
        <f>E114/D114</f>
        <v>0</v>
      </c>
    </row>
    <row r="115" spans="1:18">
      <c r="A115" s="16"/>
      <c r="B115" s="360" t="s">
        <v>93</v>
      </c>
      <c r="C115" s="16"/>
      <c r="D115" s="432">
        <f t="shared" ref="D115:L115" si="94">D102+D111+D113+D114</f>
        <v>475260847.98999983</v>
      </c>
      <c r="E115" s="317">
        <f t="shared" si="94"/>
        <v>-7811950.1212421022</v>
      </c>
      <c r="F115" s="317">
        <f t="shared" si="94"/>
        <v>0</v>
      </c>
      <c r="G115" s="317">
        <f t="shared" si="94"/>
        <v>0</v>
      </c>
      <c r="H115" s="397">
        <f t="shared" si="94"/>
        <v>-7811950.1212421022</v>
      </c>
      <c r="I115" s="317">
        <f t="shared" si="94"/>
        <v>467448897.8687579</v>
      </c>
      <c r="J115" s="404">
        <f t="shared" si="94"/>
        <v>-31324.234000005021</v>
      </c>
      <c r="K115" s="397">
        <f t="shared" ref="K115:N115" si="95">K102+K111+K113+K114</f>
        <v>278840.88865562365</v>
      </c>
      <c r="L115" s="322">
        <f t="shared" si="94"/>
        <v>467696414.52341354</v>
      </c>
      <c r="M115" s="1070">
        <f t="shared" si="95"/>
        <v>899283.24779615365</v>
      </c>
      <c r="N115" s="1071">
        <f t="shared" si="95"/>
        <v>468595697.77120972</v>
      </c>
      <c r="O115" s="20"/>
      <c r="P115" s="436">
        <f>J115/I115</f>
        <v>-6.7011034024942097E-5</v>
      </c>
      <c r="Q115" s="160">
        <f>F115/(D115+E115)</f>
        <v>0</v>
      </c>
      <c r="R115" s="160">
        <f>E115/D115</f>
        <v>-1.6437184241624037E-2</v>
      </c>
    </row>
    <row r="116" spans="1:18">
      <c r="A116" s="16"/>
      <c r="B116" s="360"/>
      <c r="C116" s="16"/>
      <c r="D116" s="432"/>
      <c r="E116" s="317"/>
      <c r="F116" s="317"/>
      <c r="G116" s="317"/>
      <c r="H116" s="397"/>
      <c r="I116" s="317"/>
      <c r="J116" s="404"/>
      <c r="K116" s="397"/>
      <c r="L116" s="322"/>
      <c r="M116" s="1070"/>
      <c r="N116" s="1071"/>
      <c r="O116" s="20"/>
      <c r="P116" s="436"/>
      <c r="Q116" s="160"/>
      <c r="R116" s="160"/>
    </row>
    <row r="117" spans="1:18">
      <c r="A117" s="17" t="s">
        <v>227</v>
      </c>
      <c r="B117" s="360"/>
      <c r="C117" s="16"/>
      <c r="D117" s="432"/>
      <c r="E117" s="317"/>
      <c r="F117" s="317"/>
      <c r="G117" s="317"/>
      <c r="H117" s="397"/>
      <c r="I117" s="317"/>
      <c r="J117" s="404"/>
      <c r="K117" s="397"/>
      <c r="L117" s="322"/>
      <c r="M117" s="1070"/>
      <c r="N117" s="1071"/>
      <c r="O117" s="20"/>
      <c r="P117" s="436"/>
      <c r="Q117" s="160"/>
      <c r="R117" s="160"/>
    </row>
    <row r="118" spans="1:18">
      <c r="A118" s="16"/>
      <c r="B118" s="601">
        <v>10</v>
      </c>
      <c r="C118" s="16"/>
      <c r="D118" s="432">
        <f>SUMIF('305'!$B$2:$B$202,"IR10",'305'!G$2:G$202)</f>
        <v>15414694.850000001</v>
      </c>
      <c r="E118" s="317">
        <f>'10'!H19+'10'!H22+'305vsCognos'!K64</f>
        <v>16908.989999997393</v>
      </c>
      <c r="F118" s="317">
        <f>ROUND(D131*(D118+E118)/(D120+E120),2)</f>
        <v>23011.63</v>
      </c>
      <c r="G118" s="317">
        <f>TempRev!E360-G119</f>
        <v>-168289.16684476446</v>
      </c>
      <c r="H118" s="397">
        <f>SUM(E118:G118)</f>
        <v>-128368.54684476707</v>
      </c>
      <c r="I118" s="317">
        <f>D118+H118</f>
        <v>15286326.303155234</v>
      </c>
      <c r="J118" s="404">
        <f t="shared" ref="J118:J119" si="96">L118-I118-K118</f>
        <v>-7400.9531552346016</v>
      </c>
      <c r="K118" s="397">
        <f>+'Blocking-Step2'!H1617+'Blocking-Step2'!H1655-'10'!Y19-'10'!Y22+(TempRev!G360-TempRev!Q360)-(TempRev!E360-TempRev!O360)</f>
        <v>7840.9529000000621</v>
      </c>
      <c r="L118" s="322">
        <f>'Blocking-Step2'!H1619+'Blocking-Step2'!H1657</f>
        <v>15286766.3029</v>
      </c>
      <c r="M118" s="1070">
        <f t="shared" ref="M118:M119" si="97">N118-L118</f>
        <v>1674068.6298999991</v>
      </c>
      <c r="N118" s="1071">
        <f>'Blocking-Step2'!I1619+'Blocking-Step2'!I1657</f>
        <v>16960834.932799999</v>
      </c>
      <c r="O118" s="20"/>
      <c r="P118" s="436">
        <f>J118/I118</f>
        <v>-4.8415512062613625E-4</v>
      </c>
      <c r="Q118" s="160">
        <f>F118/(D118+E118)</f>
        <v>1.4912014485721793E-3</v>
      </c>
      <c r="R118" s="160">
        <f>E118/D118</f>
        <v>1.0969396517114571E-3</v>
      </c>
    </row>
    <row r="119" spans="1:18">
      <c r="A119" s="16"/>
      <c r="B119" s="654" t="s">
        <v>966</v>
      </c>
      <c r="C119" s="437"/>
      <c r="D119" s="433">
        <f>SUMIF('305'!$B$2:$B$202,"IR10135",'305'!G$2:G$202)</f>
        <v>660965.68999999994</v>
      </c>
      <c r="E119" s="318">
        <f>'10'!H25</f>
        <v>1834.25</v>
      </c>
      <c r="F119" s="318">
        <f>D131-F118</f>
        <v>988.36999999999898</v>
      </c>
      <c r="G119" s="318">
        <f>TempRev!O360</f>
        <v>-5900.6831552355134</v>
      </c>
      <c r="H119" s="398">
        <f>SUM(E119:G119)</f>
        <v>-3078.0631552355144</v>
      </c>
      <c r="I119" s="318">
        <f>D119+H119</f>
        <v>657887.62684476445</v>
      </c>
      <c r="J119" s="405">
        <f t="shared" si="96"/>
        <v>-192.36684476450318</v>
      </c>
      <c r="K119" s="398">
        <f>+'Blocking-Step2'!H1637-'10'!Y25+TempRev!Q360-TempRev!O360</f>
        <v>263.93499999999767</v>
      </c>
      <c r="L119" s="332">
        <f>'Blocking-Step2'!H1639</f>
        <v>657959.19499999995</v>
      </c>
      <c r="M119" s="1072">
        <f t="shared" si="97"/>
        <v>80760.325700000045</v>
      </c>
      <c r="N119" s="1073">
        <f>'Blocking-Step2'!I1639</f>
        <v>738719.52069999999</v>
      </c>
      <c r="O119" s="20"/>
      <c r="P119" s="436">
        <f>J119/I119</f>
        <v>-2.9240076407440049E-4</v>
      </c>
      <c r="Q119" s="160">
        <f>F119/(D119+E119)</f>
        <v>1.4912041180933104E-3</v>
      </c>
      <c r="R119" s="160">
        <f>E119/D119</f>
        <v>2.7751062237436259E-3</v>
      </c>
    </row>
    <row r="120" spans="1:18">
      <c r="A120" s="16"/>
      <c r="B120" s="601" t="s">
        <v>130</v>
      </c>
      <c r="C120" s="22"/>
      <c r="D120" s="432">
        <f>SUM(D118:D119)</f>
        <v>16075660.540000001</v>
      </c>
      <c r="E120" s="317">
        <f t="shared" ref="E120:L120" si="98">SUM(E118:E119)</f>
        <v>18743.239999997393</v>
      </c>
      <c r="F120" s="317">
        <f t="shared" si="98"/>
        <v>24000</v>
      </c>
      <c r="G120" s="317">
        <f t="shared" si="98"/>
        <v>-174189.84999999998</v>
      </c>
      <c r="H120" s="397">
        <f t="shared" si="98"/>
        <v>-131446.61000000258</v>
      </c>
      <c r="I120" s="317">
        <f t="shared" si="98"/>
        <v>15944213.929999998</v>
      </c>
      <c r="J120" s="404">
        <f t="shared" si="98"/>
        <v>-7593.3199999991048</v>
      </c>
      <c r="K120" s="397">
        <f t="shared" ref="K120:N120" si="99">SUM(K118:K119)</f>
        <v>8104.8879000000597</v>
      </c>
      <c r="L120" s="322">
        <f t="shared" si="98"/>
        <v>15944725.4979</v>
      </c>
      <c r="M120" s="1070">
        <f t="shared" si="99"/>
        <v>1754828.9555999991</v>
      </c>
      <c r="N120" s="1071">
        <f t="shared" si="99"/>
        <v>17699554.453499999</v>
      </c>
      <c r="O120" s="20"/>
      <c r="P120" s="436"/>
      <c r="Q120" s="160"/>
      <c r="R120" s="160"/>
    </row>
    <row r="121" spans="1:18">
      <c r="A121" s="16"/>
      <c r="B121" s="601"/>
      <c r="C121" s="16"/>
      <c r="D121" s="432"/>
      <c r="E121" s="317"/>
      <c r="F121" s="317"/>
      <c r="G121" s="317"/>
      <c r="H121" s="397"/>
      <c r="I121" s="317"/>
      <c r="J121" s="404"/>
      <c r="K121" s="397"/>
      <c r="L121" s="322"/>
      <c r="M121" s="1070"/>
      <c r="N121" s="1071"/>
      <c r="O121" s="20"/>
      <c r="P121" s="436"/>
      <c r="Q121" s="160"/>
      <c r="R121" s="160"/>
    </row>
    <row r="122" spans="1:18">
      <c r="A122" s="16"/>
      <c r="B122" s="601" t="s">
        <v>847</v>
      </c>
      <c r="C122" s="16"/>
      <c r="D122" s="432">
        <f>SUMIF('305'!$B$2:$B$202,"IRREVDEF",'305'!G$2:G$202)</f>
        <v>91307.73</v>
      </c>
      <c r="E122" s="317">
        <f>-D122</f>
        <v>-91307.73</v>
      </c>
      <c r="F122" s="317"/>
      <c r="G122" s="317"/>
      <c r="H122" s="397">
        <f t="shared" ref="H122:H128" si="100">SUM(E122:G122)</f>
        <v>-91307.73</v>
      </c>
      <c r="I122" s="317">
        <f t="shared" ref="I122:I128" si="101">D122+H122</f>
        <v>0</v>
      </c>
      <c r="J122" s="404"/>
      <c r="K122" s="397"/>
      <c r="L122" s="322"/>
      <c r="M122" s="1070"/>
      <c r="N122" s="1071"/>
      <c r="O122" s="20"/>
      <c r="P122" s="436"/>
      <c r="Q122" s="160"/>
      <c r="R122" s="160"/>
    </row>
    <row r="123" spans="1:18">
      <c r="A123" s="16"/>
      <c r="B123" s="601" t="s">
        <v>692</v>
      </c>
      <c r="C123" s="16"/>
      <c r="D123" s="432">
        <f>SUMIF('305'!$B$2:$B$202,"IRREVADJ",'305'!G$2:G$202)</f>
        <v>-6271.1</v>
      </c>
      <c r="E123" s="317">
        <f t="shared" ref="E123:E128" si="102">-D123</f>
        <v>6271.1</v>
      </c>
      <c r="F123" s="317"/>
      <c r="G123" s="317"/>
      <c r="H123" s="397">
        <f t="shared" si="100"/>
        <v>6271.1</v>
      </c>
      <c r="I123" s="317">
        <f t="shared" si="101"/>
        <v>0</v>
      </c>
      <c r="J123" s="404"/>
      <c r="K123" s="397"/>
      <c r="L123" s="322"/>
      <c r="M123" s="1070"/>
      <c r="N123" s="1071"/>
      <c r="O123" s="20"/>
      <c r="P123" s="436"/>
      <c r="Q123" s="160"/>
      <c r="R123" s="160"/>
    </row>
    <row r="124" spans="1:18">
      <c r="A124" s="16"/>
      <c r="B124" s="601" t="s">
        <v>962</v>
      </c>
      <c r="C124" s="16"/>
      <c r="D124" s="432">
        <f>SUMIF('305'!$B$2:$B$202,"IRSOLAR",'305'!G$2:G$202)</f>
        <v>69789.13</v>
      </c>
      <c r="E124" s="317">
        <f t="shared" si="102"/>
        <v>-69789.13</v>
      </c>
      <c r="F124" s="317"/>
      <c r="G124" s="317"/>
      <c r="H124" s="397">
        <f t="shared" si="100"/>
        <v>-69789.13</v>
      </c>
      <c r="I124" s="317">
        <f t="shared" si="101"/>
        <v>0</v>
      </c>
      <c r="J124" s="404"/>
      <c r="K124" s="397"/>
      <c r="L124" s="322"/>
      <c r="M124" s="1070"/>
      <c r="N124" s="1071"/>
      <c r="O124" s="20"/>
      <c r="P124" s="436"/>
      <c r="Q124" s="160"/>
      <c r="R124" s="160"/>
    </row>
    <row r="125" spans="1:18">
      <c r="A125" s="16"/>
      <c r="B125" s="601" t="s">
        <v>23</v>
      </c>
      <c r="C125" s="16"/>
      <c r="D125" s="432">
        <f>SUMIF('305'!$B$2:$B$202,"IRDSM",'305'!G$2:G$202)</f>
        <v>137780.81</v>
      </c>
      <c r="E125" s="317">
        <f t="shared" si="102"/>
        <v>-137780.81</v>
      </c>
      <c r="F125" s="317"/>
      <c r="G125" s="317"/>
      <c r="H125" s="397">
        <f t="shared" si="100"/>
        <v>-137780.81</v>
      </c>
      <c r="I125" s="317">
        <f t="shared" si="101"/>
        <v>0</v>
      </c>
      <c r="J125" s="404"/>
      <c r="K125" s="397"/>
      <c r="L125" s="322"/>
      <c r="M125" s="1070"/>
      <c r="N125" s="1071"/>
      <c r="O125" s="20"/>
      <c r="P125" s="436"/>
      <c r="Q125" s="160"/>
      <c r="R125" s="160"/>
    </row>
    <row r="126" spans="1:18">
      <c r="A126" s="16"/>
      <c r="B126" s="16" t="s">
        <v>1412</v>
      </c>
      <c r="C126" s="16"/>
      <c r="D126" s="432">
        <f>SUMIF('305'!$B$2:$B$202,"IRTAX",'305'!G$2:G$202)</f>
        <v>2.0000000002255498E-2</v>
      </c>
      <c r="E126" s="317">
        <f t="shared" ref="E126" si="103">-D126</f>
        <v>-2.0000000002255498E-2</v>
      </c>
      <c r="F126" s="317"/>
      <c r="G126" s="317"/>
      <c r="H126" s="397">
        <f t="shared" si="100"/>
        <v>-2.0000000002255498E-2</v>
      </c>
      <c r="I126" s="317">
        <f t="shared" si="101"/>
        <v>0</v>
      </c>
      <c r="J126" s="404"/>
      <c r="K126" s="397"/>
      <c r="L126" s="322"/>
      <c r="M126" s="1070"/>
      <c r="N126" s="1071"/>
      <c r="O126" s="20"/>
      <c r="P126" s="436"/>
      <c r="Q126" s="160"/>
      <c r="R126" s="160"/>
    </row>
    <row r="127" spans="1:18">
      <c r="A127" s="16"/>
      <c r="B127" s="601" t="s">
        <v>848</v>
      </c>
      <c r="C127" s="16"/>
      <c r="D127" s="432">
        <f>SUMIF('305'!$B$2:$B$202,"IRBLUE",'305'!G$2:G$202)</f>
        <v>0</v>
      </c>
      <c r="E127" s="317">
        <f t="shared" si="102"/>
        <v>0</v>
      </c>
      <c r="F127" s="317"/>
      <c r="G127" s="317"/>
      <c r="H127" s="397">
        <f t="shared" si="100"/>
        <v>0</v>
      </c>
      <c r="I127" s="317">
        <f t="shared" si="101"/>
        <v>0</v>
      </c>
      <c r="J127" s="404"/>
      <c r="K127" s="397"/>
      <c r="L127" s="322"/>
      <c r="M127" s="1070"/>
      <c r="N127" s="1071"/>
      <c r="O127" s="20"/>
      <c r="P127" s="436"/>
      <c r="Q127" s="160"/>
      <c r="R127" s="160"/>
    </row>
    <row r="128" spans="1:18">
      <c r="A128" s="16"/>
      <c r="B128" s="654" t="s">
        <v>849</v>
      </c>
      <c r="C128" s="437"/>
      <c r="D128" s="433">
        <f>SUMIF('305'!$B$2:$B$202,"IRINSUR",'305'!G$2:G$202)</f>
        <v>-20172.09</v>
      </c>
      <c r="E128" s="318">
        <f t="shared" si="102"/>
        <v>20172.09</v>
      </c>
      <c r="F128" s="318"/>
      <c r="G128" s="318"/>
      <c r="H128" s="398">
        <f t="shared" si="100"/>
        <v>20172.09</v>
      </c>
      <c r="I128" s="318">
        <f t="shared" si="101"/>
        <v>0</v>
      </c>
      <c r="J128" s="405"/>
      <c r="K128" s="398"/>
      <c r="L128" s="332"/>
      <c r="M128" s="1072"/>
      <c r="N128" s="1073"/>
      <c r="O128" s="20"/>
      <c r="P128" s="436"/>
      <c r="Q128" s="160"/>
      <c r="R128" s="160"/>
    </row>
    <row r="129" spans="1:18" s="557" customFormat="1">
      <c r="B129" s="557" t="s">
        <v>130</v>
      </c>
      <c r="D129" s="558">
        <f t="shared" ref="D129:L129" si="104">SUM(D122:D128)</f>
        <v>272434.5</v>
      </c>
      <c r="E129" s="559">
        <f t="shared" si="104"/>
        <v>-272434.5</v>
      </c>
      <c r="F129" s="559">
        <f t="shared" si="104"/>
        <v>0</v>
      </c>
      <c r="G129" s="559">
        <f t="shared" si="104"/>
        <v>0</v>
      </c>
      <c r="H129" s="561">
        <f t="shared" si="104"/>
        <v>-272434.5</v>
      </c>
      <c r="I129" s="559">
        <f t="shared" si="104"/>
        <v>0</v>
      </c>
      <c r="J129" s="562">
        <f t="shared" si="104"/>
        <v>0</v>
      </c>
      <c r="K129" s="561">
        <f t="shared" ref="K129:M129" si="105">SUM(K122:K128)</f>
        <v>0</v>
      </c>
      <c r="L129" s="566">
        <f t="shared" si="104"/>
        <v>0</v>
      </c>
      <c r="M129" s="1074">
        <f t="shared" si="105"/>
        <v>0</v>
      </c>
      <c r="N129" s="1075">
        <f t="shared" ref="N129" si="106">SUM(N122:N128)</f>
        <v>0</v>
      </c>
      <c r="O129" s="560"/>
      <c r="P129" s="563"/>
      <c r="Q129" s="564"/>
      <c r="R129" s="564"/>
    </row>
    <row r="130" spans="1:18">
      <c r="A130" s="16"/>
      <c r="C130" s="16"/>
      <c r="D130" s="432"/>
      <c r="E130" s="317"/>
      <c r="F130" s="317"/>
      <c r="G130" s="317"/>
      <c r="H130" s="397"/>
      <c r="I130" s="317"/>
      <c r="J130" s="404"/>
      <c r="K130" s="397"/>
      <c r="L130" s="322"/>
      <c r="M130" s="1070"/>
      <c r="N130" s="1071"/>
      <c r="O130" s="20"/>
      <c r="P130" s="436"/>
      <c r="Q130" s="160"/>
      <c r="R130" s="160"/>
    </row>
    <row r="131" spans="1:18">
      <c r="A131" s="16"/>
      <c r="B131" s="360" t="s">
        <v>136</v>
      </c>
      <c r="C131" s="16"/>
      <c r="D131" s="432">
        <f>SUMIF('305'!$B$2:$B$202,"IRU",'305'!G$2:G$202)</f>
        <v>24000</v>
      </c>
      <c r="E131" s="317"/>
      <c r="F131" s="317">
        <f>-D131</f>
        <v>-24000</v>
      </c>
      <c r="G131" s="317"/>
      <c r="H131" s="397">
        <f>SUM(E131:G131)</f>
        <v>-24000</v>
      </c>
      <c r="I131" s="317">
        <f>D131+H131</f>
        <v>0</v>
      </c>
      <c r="J131" s="404"/>
      <c r="K131" s="397"/>
      <c r="L131" s="322">
        <f t="shared" ref="L131:L132" si="107">SUM(I131:J131)</f>
        <v>0</v>
      </c>
      <c r="M131" s="1070"/>
      <c r="N131" s="1071">
        <f t="shared" ref="N131:N132" si="108">SUM(K131:L131)</f>
        <v>0</v>
      </c>
      <c r="O131" s="20"/>
      <c r="P131" s="436"/>
      <c r="Q131" s="160">
        <f>F131/(D131+E131)</f>
        <v>-1</v>
      </c>
      <c r="R131" s="160">
        <f>E131/D131</f>
        <v>0</v>
      </c>
    </row>
    <row r="132" spans="1:18">
      <c r="A132" s="16"/>
      <c r="B132" s="438" t="s">
        <v>471</v>
      </c>
      <c r="C132" s="437"/>
      <c r="D132" s="433">
        <f>SUMIF('305'!$B$2:$B$202,"IRAGA",'305'!G$2:G$202)</f>
        <v>231622.84</v>
      </c>
      <c r="E132" s="318">
        <v>0</v>
      </c>
      <c r="F132" s="318"/>
      <c r="G132" s="318"/>
      <c r="H132" s="398">
        <f>SUM(E132:G132)</f>
        <v>0</v>
      </c>
      <c r="I132" s="318">
        <f>D132+H132</f>
        <v>231622.84</v>
      </c>
      <c r="J132" s="405"/>
      <c r="K132" s="398"/>
      <c r="L132" s="332">
        <f t="shared" si="107"/>
        <v>231622.84</v>
      </c>
      <c r="M132" s="1072"/>
      <c r="N132" s="1073">
        <f t="shared" si="108"/>
        <v>231622.84</v>
      </c>
      <c r="O132" s="20"/>
      <c r="P132" s="436"/>
      <c r="Q132" s="160">
        <f>F132/(D132+E132)</f>
        <v>0</v>
      </c>
      <c r="R132" s="160">
        <f>E132/D132</f>
        <v>0</v>
      </c>
    </row>
    <row r="133" spans="1:18">
      <c r="A133" s="16"/>
      <c r="B133" s="360" t="s">
        <v>93</v>
      </c>
      <c r="C133" s="16"/>
      <c r="D133" s="432">
        <f>D120+D129+D131+D132</f>
        <v>16603717.880000001</v>
      </c>
      <c r="E133" s="317">
        <f t="shared" ref="E133:L133" si="109">E120+E129+E131+E132</f>
        <v>-253691.2600000026</v>
      </c>
      <c r="F133" s="317">
        <f t="shared" si="109"/>
        <v>0</v>
      </c>
      <c r="G133" s="317">
        <f t="shared" si="109"/>
        <v>-174189.84999999998</v>
      </c>
      <c r="H133" s="397">
        <f t="shared" si="109"/>
        <v>-427881.11000000255</v>
      </c>
      <c r="I133" s="317">
        <f t="shared" si="109"/>
        <v>16175836.769999998</v>
      </c>
      <c r="J133" s="404">
        <f t="shared" si="109"/>
        <v>-7593.3199999991048</v>
      </c>
      <c r="K133" s="397">
        <f t="shared" ref="K133:N133" si="110">K120+K129+K131+K132</f>
        <v>8104.8879000000597</v>
      </c>
      <c r="L133" s="322">
        <f t="shared" si="109"/>
        <v>16176348.3379</v>
      </c>
      <c r="M133" s="1070">
        <f t="shared" si="110"/>
        <v>1754828.9555999991</v>
      </c>
      <c r="N133" s="1071">
        <f t="shared" si="110"/>
        <v>17931177.293499999</v>
      </c>
      <c r="O133" s="20"/>
      <c r="P133" s="436">
        <f>J133/I133</f>
        <v>-4.6942362908123644E-4</v>
      </c>
      <c r="Q133" s="160">
        <f>F133/(D133+E133)</f>
        <v>0</v>
      </c>
      <c r="R133" s="160">
        <f>E133/D133</f>
        <v>-1.5279183965513306E-2</v>
      </c>
    </row>
    <row r="134" spans="1:18">
      <c r="A134" s="16"/>
      <c r="B134" s="360"/>
      <c r="C134" s="16"/>
      <c r="D134" s="432"/>
      <c r="E134" s="317"/>
      <c r="F134" s="317"/>
      <c r="G134" s="317"/>
      <c r="H134" s="397"/>
      <c r="I134" s="317"/>
      <c r="J134" s="404"/>
      <c r="K134" s="397"/>
      <c r="L134" s="322"/>
      <c r="M134" s="1070"/>
      <c r="N134" s="1071"/>
      <c r="O134" s="20"/>
      <c r="P134" s="436"/>
      <c r="Q134" s="160"/>
      <c r="R134" s="160"/>
    </row>
    <row r="135" spans="1:18">
      <c r="A135" s="17" t="s">
        <v>133</v>
      </c>
      <c r="B135" s="359"/>
      <c r="C135" s="16"/>
      <c r="D135" s="432"/>
      <c r="E135" s="317"/>
      <c r="F135" s="317"/>
      <c r="G135" s="317"/>
      <c r="H135" s="397"/>
      <c r="I135" s="317"/>
      <c r="J135" s="404"/>
      <c r="K135" s="397"/>
      <c r="L135" s="322"/>
      <c r="M135" s="1070"/>
      <c r="N135" s="1071"/>
      <c r="O135" s="20"/>
      <c r="P135" s="436"/>
      <c r="Q135" s="160"/>
      <c r="R135" s="160"/>
    </row>
    <row r="136" spans="1:18">
      <c r="A136" s="16"/>
      <c r="B136" s="601">
        <v>7</v>
      </c>
      <c r="C136" s="16"/>
      <c r="D136" s="432">
        <f>SUMIF('305'!$B$2:$B$202,"P7",'305'!G$2:G$202)</f>
        <v>93721.74</v>
      </c>
      <c r="E136" s="317">
        <f>'7'!K90+'305vsCognos'!K68</f>
        <v>-87.069999999981349</v>
      </c>
      <c r="F136" s="317">
        <f>D154-SUM(F137:F142)</f>
        <v>-3289</v>
      </c>
      <c r="G136" s="317"/>
      <c r="H136" s="397">
        <f t="shared" ref="H136:H142" si="111">SUM(E136:G136)</f>
        <v>-3376.0699999999815</v>
      </c>
      <c r="I136" s="317">
        <f t="shared" ref="I136:I142" si="112">D136+H136</f>
        <v>90345.670000000027</v>
      </c>
      <c r="J136" s="404">
        <f t="shared" ref="J136:J142" si="113">L136-I136-K136</f>
        <v>7.8999999999693955</v>
      </c>
      <c r="K136" s="397">
        <f>+'Blocking-Step2'!H1371-'7'!R90</f>
        <v>25.341999999999871</v>
      </c>
      <c r="L136" s="322">
        <f>'Blocking-Step2'!H1374</f>
        <v>90378.911999999997</v>
      </c>
      <c r="M136" s="1070">
        <f t="shared" ref="M136:M142" si="114">N136-L136</f>
        <v>-13488.103199999998</v>
      </c>
      <c r="N136" s="1071">
        <f>'Blocking-Step2'!I1374</f>
        <v>76890.808799999999</v>
      </c>
      <c r="O136" s="20"/>
      <c r="P136" s="436">
        <f t="shared" ref="P136:P142" si="115">J136/I136</f>
        <v>8.7441932745303594E-5</v>
      </c>
      <c r="Q136" s="160">
        <f t="shared" ref="Q136:Q142" si="116">F136/(D136+E136)</f>
        <v>-3.5125878053503035E-2</v>
      </c>
      <c r="R136" s="160">
        <f t="shared" ref="R136:R142" si="117">E136/D136</f>
        <v>-9.2902671247867719E-4</v>
      </c>
    </row>
    <row r="137" spans="1:18">
      <c r="A137" s="16"/>
      <c r="B137" s="601">
        <v>11</v>
      </c>
      <c r="C137" s="16"/>
      <c r="D137" s="432">
        <f>SUMIF('305'!$B$2:$B$202,"P11",'305'!G$2:G$202)</f>
        <v>4076143.35</v>
      </c>
      <c r="E137" s="317">
        <f>'11'!J33</f>
        <v>17725.66</v>
      </c>
      <c r="F137" s="317">
        <f t="shared" ref="F137:F142" si="118">ROUND((D137+E137)/($D$143+$E$143)*$D$154,0)</f>
        <v>-143813</v>
      </c>
      <c r="G137" s="317"/>
      <c r="H137" s="397">
        <f t="shared" si="111"/>
        <v>-126087.34</v>
      </c>
      <c r="I137" s="317">
        <f t="shared" si="112"/>
        <v>3950056.0100000002</v>
      </c>
      <c r="J137" s="404">
        <f t="shared" si="113"/>
        <v>-262.82000000034168</v>
      </c>
      <c r="K137" s="397">
        <f>+'Blocking-Step2'!H1714-'11'!P33</f>
        <v>931.31939999996393</v>
      </c>
      <c r="L137" s="322">
        <f>'Blocking-Step2'!H1716</f>
        <v>3950724.5093999999</v>
      </c>
      <c r="M137" s="1070">
        <f t="shared" si="114"/>
        <v>152462.28480000002</v>
      </c>
      <c r="N137" s="1071">
        <f>'Blocking-Step2'!I1716</f>
        <v>4103186.7941999999</v>
      </c>
      <c r="O137" s="20"/>
      <c r="P137" s="436">
        <f t="shared" si="115"/>
        <v>-6.6535765400537112E-5</v>
      </c>
      <c r="Q137" s="160">
        <f t="shared" si="116"/>
        <v>-3.5128871893241154E-2</v>
      </c>
      <c r="R137" s="160">
        <f t="shared" si="117"/>
        <v>4.3486350890971489E-3</v>
      </c>
    </row>
    <row r="138" spans="1:18">
      <c r="A138" s="16"/>
      <c r="B138" s="601" t="s">
        <v>967</v>
      </c>
      <c r="C138" s="16"/>
      <c r="D138" s="432">
        <f>SUMIF('305'!$B$2:$B$202,"P12E",'305'!G$2:G$202)</f>
        <v>2642631.15</v>
      </c>
      <c r="E138" s="317">
        <f>'12E'!K96</f>
        <v>-2661.4099999999989</v>
      </c>
      <c r="F138" s="317">
        <f t="shared" si="118"/>
        <v>-92739</v>
      </c>
      <c r="G138" s="317"/>
      <c r="H138" s="397">
        <f t="shared" si="111"/>
        <v>-95400.41</v>
      </c>
      <c r="I138" s="317">
        <f t="shared" si="112"/>
        <v>2547230.7399999998</v>
      </c>
      <c r="J138" s="404">
        <f t="shared" si="113"/>
        <v>-123.87999999975</v>
      </c>
      <c r="K138" s="397">
        <f>+'Blocking-Step2'!H1734-'12E'!R96</f>
        <v>908.0193999999683</v>
      </c>
      <c r="L138" s="322">
        <f>'Blocking-Step2'!H1736</f>
        <v>2548014.8794</v>
      </c>
      <c r="M138" s="1070">
        <f t="shared" si="114"/>
        <v>-1021262.2208</v>
      </c>
      <c r="N138" s="1071">
        <f>'Blocking-Step2'!I1736</f>
        <v>1526752.6586</v>
      </c>
      <c r="O138" s="20"/>
      <c r="P138" s="436">
        <f t="shared" si="115"/>
        <v>-4.8633207056754507E-5</v>
      </c>
      <c r="Q138" s="160">
        <f t="shared" si="116"/>
        <v>-3.5128811741607313E-2</v>
      </c>
      <c r="R138" s="160">
        <f t="shared" si="117"/>
        <v>-1.0071061184607618E-3</v>
      </c>
    </row>
    <row r="139" spans="1:18">
      <c r="A139" s="16"/>
      <c r="B139" s="601" t="s">
        <v>968</v>
      </c>
      <c r="C139" s="16"/>
      <c r="D139" s="432">
        <f>SUMIF('305'!$B$2:$B$202,"P12F",'305'!G$2:G$202)</f>
        <v>126854.46</v>
      </c>
      <c r="E139" s="317">
        <f>'12F'!J14</f>
        <v>-487.97</v>
      </c>
      <c r="F139" s="317">
        <f t="shared" si="118"/>
        <v>-4439</v>
      </c>
      <c r="G139" s="317"/>
      <c r="H139" s="397">
        <f t="shared" si="111"/>
        <v>-4926.97</v>
      </c>
      <c r="I139" s="317">
        <f t="shared" si="112"/>
        <v>121927.49</v>
      </c>
      <c r="J139" s="404">
        <f t="shared" si="113"/>
        <v>162.35999999999103</v>
      </c>
      <c r="K139" s="397">
        <f>+'Blocking-Step2'!H1797-'12F'!P14</f>
        <v>20.851199999999608</v>
      </c>
      <c r="L139" s="322">
        <f>'Blocking-Step2'!H1799</f>
        <v>122110.7012</v>
      </c>
      <c r="M139" s="1070">
        <f t="shared" si="114"/>
        <v>8979.2863999999972</v>
      </c>
      <c r="N139" s="1071">
        <f>'Blocking-Step2'!I1799</f>
        <v>131089.98759999999</v>
      </c>
      <c r="O139" s="20"/>
      <c r="P139" s="436">
        <f t="shared" si="115"/>
        <v>1.3316111075524562E-3</v>
      </c>
      <c r="Q139" s="160">
        <f t="shared" si="116"/>
        <v>-3.5127983692512153E-2</v>
      </c>
      <c r="R139" s="160">
        <f t="shared" si="117"/>
        <v>-3.8466917126918519E-3</v>
      </c>
    </row>
    <row r="140" spans="1:18">
      <c r="A140" s="16"/>
      <c r="B140" s="601" t="s">
        <v>969</v>
      </c>
      <c r="C140" s="16"/>
      <c r="D140" s="432">
        <f>SUMIF('305'!$B$2:$B$202,"P12P",'305'!G$2:G$202)</f>
        <v>374185.08</v>
      </c>
      <c r="E140" s="317">
        <f>'12P'!J24</f>
        <v>855.96000000000049</v>
      </c>
      <c r="F140" s="317">
        <f t="shared" si="118"/>
        <v>-13175</v>
      </c>
      <c r="G140" s="317"/>
      <c r="H140" s="397">
        <f t="shared" si="111"/>
        <v>-12319.039999999999</v>
      </c>
      <c r="I140" s="317">
        <f t="shared" si="112"/>
        <v>361866.04000000004</v>
      </c>
      <c r="J140" s="404">
        <f t="shared" si="113"/>
        <v>113.97999999995591</v>
      </c>
      <c r="K140" s="397">
        <f>+'Blocking-Step2'!H1771-'12P'!P24</f>
        <v>41.034999999999854</v>
      </c>
      <c r="L140" s="322">
        <f>'Blocking-Step2'!H1773</f>
        <v>362021.05499999999</v>
      </c>
      <c r="M140" s="1070">
        <f t="shared" si="114"/>
        <v>-123537.4148</v>
      </c>
      <c r="N140" s="1071">
        <f>'Blocking-Step2'!I1773</f>
        <v>238483.64019999999</v>
      </c>
      <c r="O140" s="20"/>
      <c r="P140" s="436">
        <f t="shared" si="115"/>
        <v>3.1497843787705497E-4</v>
      </c>
      <c r="Q140" s="160">
        <f t="shared" si="116"/>
        <v>-3.5129488762083209E-2</v>
      </c>
      <c r="R140" s="160">
        <f t="shared" si="117"/>
        <v>2.2875310795395704E-3</v>
      </c>
    </row>
    <row r="141" spans="1:18">
      <c r="A141" s="16"/>
      <c r="B141" s="601" t="s">
        <v>965</v>
      </c>
      <c r="C141" s="16"/>
      <c r="D141" s="432">
        <f>SUMIF('305'!$B$2:$B$202,"P15M",'305'!G$2:G$202)</f>
        <v>68635.67</v>
      </c>
      <c r="E141" s="317">
        <f>'15M'!F4+'305vsCognos'!K73</f>
        <v>1265.55</v>
      </c>
      <c r="F141" s="317">
        <f t="shared" si="118"/>
        <v>-2456</v>
      </c>
      <c r="G141" s="317"/>
      <c r="H141" s="397">
        <f t="shared" si="111"/>
        <v>-1190.45</v>
      </c>
      <c r="I141" s="317">
        <f t="shared" si="112"/>
        <v>67445.22</v>
      </c>
      <c r="J141" s="404">
        <f t="shared" si="113"/>
        <v>0.3499999999951342</v>
      </c>
      <c r="K141" s="397">
        <f>+'Blocking-Step2'!H1849-'15M'!N4</f>
        <v>29.698000000000093</v>
      </c>
      <c r="L141" s="322">
        <f>'Blocking-Step2'!H1851</f>
        <v>67475.267999999996</v>
      </c>
      <c r="M141" s="1070">
        <f t="shared" si="114"/>
        <v>5444.3000000000029</v>
      </c>
      <c r="N141" s="1071">
        <f>'Blocking-Step2'!I1851</f>
        <v>72919.567999999999</v>
      </c>
      <c r="O141" s="20"/>
      <c r="P141" s="436">
        <f t="shared" si="115"/>
        <v>5.1893966688096534E-6</v>
      </c>
      <c r="Q141" s="160">
        <f t="shared" si="116"/>
        <v>-3.5135295206578654E-2</v>
      </c>
      <c r="R141" s="160">
        <f t="shared" si="117"/>
        <v>1.8438663161589302E-2</v>
      </c>
    </row>
    <row r="142" spans="1:18">
      <c r="A142" s="16"/>
      <c r="B142" s="654" t="s">
        <v>943</v>
      </c>
      <c r="C142" s="437"/>
      <c r="D142" s="433">
        <f>SUMIF('305'!$B$2:$B$202,"P15T",'305'!G$2:G$202)</f>
        <v>450374.76</v>
      </c>
      <c r="E142" s="318">
        <f>'15T'!F15</f>
        <v>7622.58</v>
      </c>
      <c r="F142" s="318">
        <f t="shared" si="118"/>
        <v>-16089</v>
      </c>
      <c r="G142" s="318"/>
      <c r="H142" s="398">
        <f t="shared" si="111"/>
        <v>-8466.42</v>
      </c>
      <c r="I142" s="318">
        <f t="shared" si="112"/>
        <v>441908.34</v>
      </c>
      <c r="J142" s="405">
        <f t="shared" si="113"/>
        <v>1.569999999999709</v>
      </c>
      <c r="K142" s="398">
        <f>+'Blocking-Step2'!H1881-'15T'!L15</f>
        <v>-3399.7292999999991</v>
      </c>
      <c r="L142" s="332">
        <f>'Blocking-Step2'!H1883</f>
        <v>438510.18070000003</v>
      </c>
      <c r="M142" s="1072">
        <f t="shared" si="114"/>
        <v>14705.21259999997</v>
      </c>
      <c r="N142" s="1073">
        <f>'Blocking-Step2'!I1883</f>
        <v>453215.3933</v>
      </c>
      <c r="O142" s="20"/>
      <c r="P142" s="436">
        <f t="shared" si="115"/>
        <v>3.5527729573958911E-6</v>
      </c>
      <c r="Q142" s="160">
        <f t="shared" si="116"/>
        <v>-3.5129024985166943E-2</v>
      </c>
      <c r="R142" s="160">
        <f t="shared" si="117"/>
        <v>1.6924971550359526E-2</v>
      </c>
    </row>
    <row r="143" spans="1:18" s="557" customFormat="1">
      <c r="B143" s="601" t="s">
        <v>130</v>
      </c>
      <c r="D143" s="558">
        <f>SUM(D136:D142)</f>
        <v>7832546.21</v>
      </c>
      <c r="E143" s="559">
        <f t="shared" ref="E143:L143" si="119">SUM(E136:E142)</f>
        <v>24233.300000000017</v>
      </c>
      <c r="F143" s="559">
        <f t="shared" si="119"/>
        <v>-276000</v>
      </c>
      <c r="G143" s="559">
        <f t="shared" si="119"/>
        <v>0</v>
      </c>
      <c r="H143" s="561">
        <f t="shared" si="119"/>
        <v>-251766.7</v>
      </c>
      <c r="I143" s="559">
        <f t="shared" si="119"/>
        <v>7580779.5099999998</v>
      </c>
      <c r="J143" s="562">
        <f t="shared" si="119"/>
        <v>-100.5400000001805</v>
      </c>
      <c r="K143" s="561">
        <f t="shared" ref="K143:N143" si="120">SUM(K136:K142)</f>
        <v>-1443.4643000000674</v>
      </c>
      <c r="L143" s="566">
        <f t="shared" si="119"/>
        <v>7579235.5056999996</v>
      </c>
      <c r="M143" s="1074">
        <f t="shared" si="120"/>
        <v>-976696.65500000003</v>
      </c>
      <c r="N143" s="1075">
        <f t="shared" si="120"/>
        <v>6602538.8506999994</v>
      </c>
      <c r="O143" s="560"/>
      <c r="P143" s="563"/>
      <c r="Q143" s="564"/>
      <c r="R143" s="564"/>
    </row>
    <row r="144" spans="1:18">
      <c r="A144" s="16"/>
      <c r="B144" s="601"/>
      <c r="C144" s="16"/>
      <c r="D144" s="432"/>
      <c r="E144" s="317"/>
      <c r="F144" s="317"/>
      <c r="G144" s="317"/>
      <c r="H144" s="397"/>
      <c r="I144" s="317"/>
      <c r="J144" s="404"/>
      <c r="K144" s="397"/>
      <c r="L144" s="322"/>
      <c r="M144" s="1070"/>
      <c r="N144" s="1071"/>
      <c r="O144" s="20"/>
      <c r="P144" s="436"/>
      <c r="Q144" s="160"/>
      <c r="R144" s="160"/>
    </row>
    <row r="145" spans="1:18">
      <c r="A145" s="16"/>
      <c r="B145" s="601" t="s">
        <v>847</v>
      </c>
      <c r="C145" s="16"/>
      <c r="D145" s="432">
        <f>SUMIF('305'!$B$2:$B$202,"PREVDEF",'305'!G$2:G$202)</f>
        <v>23340.89</v>
      </c>
      <c r="E145" s="317">
        <f>-D145</f>
        <v>-23340.89</v>
      </c>
      <c r="F145" s="317"/>
      <c r="G145" s="317"/>
      <c r="H145" s="397">
        <f t="shared" ref="H145:H151" si="121">SUM(E145:G145)</f>
        <v>-23340.89</v>
      </c>
      <c r="I145" s="317">
        <f t="shared" ref="I145:I151" si="122">D145+H145</f>
        <v>0</v>
      </c>
      <c r="J145" s="404"/>
      <c r="K145" s="397"/>
      <c r="L145" s="322"/>
      <c r="M145" s="1070"/>
      <c r="N145" s="1071"/>
      <c r="O145" s="20"/>
      <c r="P145" s="436"/>
      <c r="Q145" s="160"/>
      <c r="R145" s="160"/>
    </row>
    <row r="146" spans="1:18">
      <c r="A146" s="16"/>
      <c r="B146" s="601" t="s">
        <v>692</v>
      </c>
      <c r="C146" s="16"/>
      <c r="D146" s="432">
        <f>SUMIF('305'!$B$2:$B$202,"PREVADJ",'305'!G$2:G$202)</f>
        <v>-21685.81</v>
      </c>
      <c r="E146" s="317">
        <f t="shared" ref="E146:E151" si="123">-D146</f>
        <v>21685.81</v>
      </c>
      <c r="F146" s="317"/>
      <c r="G146" s="317"/>
      <c r="H146" s="397">
        <f t="shared" si="121"/>
        <v>21685.81</v>
      </c>
      <c r="I146" s="317">
        <f t="shared" si="122"/>
        <v>0</v>
      </c>
      <c r="J146" s="404"/>
      <c r="K146" s="397"/>
      <c r="L146" s="322"/>
      <c r="M146" s="1070"/>
      <c r="N146" s="1071"/>
      <c r="O146" s="20"/>
      <c r="P146" s="436"/>
      <c r="Q146" s="160"/>
      <c r="R146" s="160"/>
    </row>
    <row r="147" spans="1:18">
      <c r="A147" s="16"/>
      <c r="B147" s="601" t="s">
        <v>962</v>
      </c>
      <c r="C147" s="16"/>
      <c r="D147" s="432">
        <f>SUMIF('305'!$B$2:$B$202,"PSOLAR",'305'!G$2:G$202)</f>
        <v>17840.13</v>
      </c>
      <c r="E147" s="317">
        <f t="shared" si="123"/>
        <v>-17840.13</v>
      </c>
      <c r="F147" s="317"/>
      <c r="G147" s="317"/>
      <c r="H147" s="397">
        <f t="shared" si="121"/>
        <v>-17840.13</v>
      </c>
      <c r="I147" s="317">
        <f t="shared" si="122"/>
        <v>0</v>
      </c>
      <c r="J147" s="404"/>
      <c r="K147" s="397"/>
      <c r="L147" s="322"/>
      <c r="M147" s="1070"/>
      <c r="N147" s="1071"/>
      <c r="O147" s="20"/>
      <c r="P147" s="436"/>
      <c r="Q147" s="160"/>
      <c r="R147" s="160"/>
    </row>
    <row r="148" spans="1:18">
      <c r="A148" s="16"/>
      <c r="B148" s="601" t="s">
        <v>23</v>
      </c>
      <c r="C148" s="16"/>
      <c r="D148" s="432">
        <f>SUMIF('305'!$B$2:$B$202,"PDSM",'305'!G$2:G$202)</f>
        <v>35258.03</v>
      </c>
      <c r="E148" s="317">
        <f t="shared" si="123"/>
        <v>-35258.03</v>
      </c>
      <c r="F148" s="317"/>
      <c r="G148" s="317"/>
      <c r="H148" s="397">
        <f t="shared" si="121"/>
        <v>-35258.03</v>
      </c>
      <c r="I148" s="317">
        <f t="shared" si="122"/>
        <v>0</v>
      </c>
      <c r="J148" s="404"/>
      <c r="K148" s="397"/>
      <c r="L148" s="322"/>
      <c r="M148" s="1070"/>
      <c r="N148" s="1071"/>
      <c r="O148" s="20"/>
      <c r="P148" s="436"/>
      <c r="Q148" s="160"/>
      <c r="R148" s="160"/>
    </row>
    <row r="149" spans="1:18">
      <c r="A149" s="16"/>
      <c r="B149" s="16" t="s">
        <v>1412</v>
      </c>
      <c r="C149" s="16"/>
      <c r="D149" s="432">
        <f>SUMIF('305'!$B$2:$B$202,"PTAX",'305'!G$2:G$202)</f>
        <v>1.00000000018099E-2</v>
      </c>
      <c r="E149" s="317">
        <f t="shared" ref="E149" si="124">-D149</f>
        <v>-1.00000000018099E-2</v>
      </c>
      <c r="F149" s="317"/>
      <c r="G149" s="317"/>
      <c r="H149" s="397">
        <f t="shared" si="121"/>
        <v>-1.00000000018099E-2</v>
      </c>
      <c r="I149" s="317">
        <f t="shared" si="122"/>
        <v>0</v>
      </c>
      <c r="J149" s="404"/>
      <c r="K149" s="397"/>
      <c r="L149" s="322"/>
      <c r="M149" s="1070"/>
      <c r="N149" s="1071"/>
      <c r="O149" s="20"/>
      <c r="P149" s="436"/>
      <c r="Q149" s="160"/>
      <c r="R149" s="160"/>
    </row>
    <row r="150" spans="1:18">
      <c r="A150" s="16"/>
      <c r="B150" s="601" t="s">
        <v>848</v>
      </c>
      <c r="C150" s="16"/>
      <c r="D150" s="432">
        <f>SUMIF('305'!$B$2:$B$202,"PBLUE",'305'!G$2:G$202)</f>
        <v>0</v>
      </c>
      <c r="E150" s="317">
        <f t="shared" si="123"/>
        <v>0</v>
      </c>
      <c r="F150" s="317"/>
      <c r="G150" s="317"/>
      <c r="H150" s="397">
        <f t="shared" si="121"/>
        <v>0</v>
      </c>
      <c r="I150" s="317">
        <f t="shared" si="122"/>
        <v>0</v>
      </c>
      <c r="J150" s="404"/>
      <c r="K150" s="397"/>
      <c r="L150" s="322"/>
      <c r="M150" s="1070"/>
      <c r="N150" s="1071"/>
      <c r="O150" s="20"/>
      <c r="P150" s="436"/>
      <c r="Q150" s="160"/>
      <c r="R150" s="160"/>
    </row>
    <row r="151" spans="1:18">
      <c r="A151" s="16"/>
      <c r="B151" s="654" t="s">
        <v>849</v>
      </c>
      <c r="C151" s="437"/>
      <c r="D151" s="433">
        <f>SUMIF('305'!$B$2:$B$202,"PINSUR",'305'!G$2:G$202)</f>
        <v>0</v>
      </c>
      <c r="E151" s="318">
        <f t="shared" si="123"/>
        <v>0</v>
      </c>
      <c r="F151" s="318"/>
      <c r="G151" s="318"/>
      <c r="H151" s="398">
        <f t="shared" si="121"/>
        <v>0</v>
      </c>
      <c r="I151" s="318">
        <f t="shared" si="122"/>
        <v>0</v>
      </c>
      <c r="J151" s="405"/>
      <c r="K151" s="398"/>
      <c r="L151" s="332"/>
      <c r="M151" s="1072"/>
      <c r="N151" s="1073"/>
      <c r="O151" s="20"/>
      <c r="P151" s="436"/>
      <c r="Q151" s="160"/>
      <c r="R151" s="160"/>
    </row>
    <row r="152" spans="1:18" s="557" customFormat="1">
      <c r="B152" s="557" t="s">
        <v>130</v>
      </c>
      <c r="D152" s="558">
        <f t="shared" ref="D152:L152" si="125">SUM(D145:D151)</f>
        <v>54753.25</v>
      </c>
      <c r="E152" s="559">
        <f t="shared" si="125"/>
        <v>-54753.25</v>
      </c>
      <c r="F152" s="559">
        <f t="shared" si="125"/>
        <v>0</v>
      </c>
      <c r="G152" s="559">
        <f t="shared" si="125"/>
        <v>0</v>
      </c>
      <c r="H152" s="561">
        <f t="shared" si="125"/>
        <v>-54753.25</v>
      </c>
      <c r="I152" s="559">
        <f t="shared" si="125"/>
        <v>0</v>
      </c>
      <c r="J152" s="562">
        <f t="shared" si="125"/>
        <v>0</v>
      </c>
      <c r="K152" s="561">
        <f t="shared" ref="K152:M152" si="126">SUM(K145:K151)</f>
        <v>0</v>
      </c>
      <c r="L152" s="566">
        <f t="shared" si="125"/>
        <v>0</v>
      </c>
      <c r="M152" s="1074">
        <f t="shared" si="126"/>
        <v>0</v>
      </c>
      <c r="N152" s="1075">
        <f t="shared" ref="N152" si="127">SUM(N145:N151)</f>
        <v>0</v>
      </c>
      <c r="O152" s="560"/>
      <c r="P152" s="563"/>
      <c r="Q152" s="564"/>
      <c r="R152" s="564"/>
    </row>
    <row r="153" spans="1:18">
      <c r="A153" s="16"/>
      <c r="C153" s="16"/>
      <c r="D153" s="432"/>
      <c r="E153" s="317"/>
      <c r="F153" s="317"/>
      <c r="G153" s="317"/>
      <c r="H153" s="397"/>
      <c r="I153" s="317"/>
      <c r="J153" s="404"/>
      <c r="K153" s="397"/>
      <c r="L153" s="322"/>
      <c r="M153" s="1070"/>
      <c r="N153" s="1071"/>
      <c r="O153" s="20"/>
      <c r="P153" s="436"/>
      <c r="Q153" s="160"/>
      <c r="R153" s="160"/>
    </row>
    <row r="154" spans="1:18">
      <c r="A154" s="16"/>
      <c r="B154" s="360" t="s">
        <v>136</v>
      </c>
      <c r="C154" s="16"/>
      <c r="D154" s="432">
        <f>SUMIF('305'!$B$2:$B$202,"PU",'305'!G$2:G$202)</f>
        <v>-276000</v>
      </c>
      <c r="E154" s="317"/>
      <c r="F154" s="317">
        <f>-D154</f>
        <v>276000</v>
      </c>
      <c r="G154" s="317"/>
      <c r="H154" s="397">
        <f>SUM(E154:G154)</f>
        <v>276000</v>
      </c>
      <c r="I154" s="317">
        <f>D154+H154</f>
        <v>0</v>
      </c>
      <c r="J154" s="404"/>
      <c r="K154" s="397"/>
      <c r="L154" s="322">
        <f t="shared" ref="L154:L155" si="128">SUM(I154:J154)</f>
        <v>0</v>
      </c>
      <c r="M154" s="1070"/>
      <c r="N154" s="1071">
        <f t="shared" ref="N154:N155" si="129">SUM(K154:L154)</f>
        <v>0</v>
      </c>
      <c r="O154" s="20"/>
      <c r="P154" s="436"/>
      <c r="Q154" s="160">
        <f>F154/(D154+E154)</f>
        <v>-1</v>
      </c>
      <c r="R154" s="160">
        <f>E154/D154</f>
        <v>0</v>
      </c>
    </row>
    <row r="155" spans="1:18">
      <c r="A155" s="16"/>
      <c r="B155" s="438" t="s">
        <v>471</v>
      </c>
      <c r="C155" s="437"/>
      <c r="D155" s="433">
        <f>SUMIF('305'!$B$2:$B$202,"PAGA",'305'!G$2:G$202)</f>
        <v>4655.0400000000009</v>
      </c>
      <c r="E155" s="318"/>
      <c r="F155" s="318"/>
      <c r="G155" s="318"/>
      <c r="H155" s="398">
        <f>SUM(E155:G155)</f>
        <v>0</v>
      </c>
      <c r="I155" s="318">
        <f>D155+H155</f>
        <v>4655.0400000000009</v>
      </c>
      <c r="J155" s="405"/>
      <c r="K155" s="398"/>
      <c r="L155" s="332">
        <f t="shared" si="128"/>
        <v>4655.0400000000009</v>
      </c>
      <c r="M155" s="1072">
        <f>N155-L155</f>
        <v>0</v>
      </c>
      <c r="N155" s="1073">
        <f t="shared" si="129"/>
        <v>4655.0400000000009</v>
      </c>
      <c r="O155" s="20"/>
      <c r="P155" s="436"/>
      <c r="Q155" s="160">
        <f>F155/(D155+E155)</f>
        <v>0</v>
      </c>
      <c r="R155" s="160">
        <f>E155/D155</f>
        <v>0</v>
      </c>
    </row>
    <row r="156" spans="1:18">
      <c r="A156" s="16"/>
      <c r="B156" s="360" t="s">
        <v>93</v>
      </c>
      <c r="C156" s="16"/>
      <c r="D156" s="432">
        <f t="shared" ref="D156:L156" si="130">D143+D152+D154+D155</f>
        <v>7615954.5</v>
      </c>
      <c r="E156" s="317">
        <f t="shared" si="130"/>
        <v>-30519.949999999983</v>
      </c>
      <c r="F156" s="317">
        <f t="shared" si="130"/>
        <v>0</v>
      </c>
      <c r="G156" s="317">
        <f t="shared" si="130"/>
        <v>0</v>
      </c>
      <c r="H156" s="397">
        <f t="shared" si="130"/>
        <v>-30519.950000000012</v>
      </c>
      <c r="I156" s="317">
        <f t="shared" si="130"/>
        <v>7585434.5499999998</v>
      </c>
      <c r="J156" s="404">
        <f t="shared" si="130"/>
        <v>-100.5400000001805</v>
      </c>
      <c r="K156" s="397">
        <f t="shared" ref="K156:N156" si="131">K143+K152+K154+K155</f>
        <v>-1443.4643000000674</v>
      </c>
      <c r="L156" s="322">
        <f t="shared" si="130"/>
        <v>7583890.5456999997</v>
      </c>
      <c r="M156" s="1070">
        <f t="shared" si="131"/>
        <v>-976696.65500000003</v>
      </c>
      <c r="N156" s="1071">
        <f t="shared" si="131"/>
        <v>6607193.8906999994</v>
      </c>
      <c r="O156" s="20"/>
      <c r="P156" s="436">
        <f>J156/I156</f>
        <v>-1.325434941630081E-5</v>
      </c>
      <c r="Q156" s="160">
        <f>F156/(D156+E156)</f>
        <v>0</v>
      </c>
      <c r="R156" s="160">
        <f>E156/D156</f>
        <v>-4.0073703171414673E-3</v>
      </c>
    </row>
    <row r="157" spans="1:18" s="26" customFormat="1" ht="16.5" thickBot="1">
      <c r="A157" s="361" t="s">
        <v>93</v>
      </c>
      <c r="B157" s="361"/>
      <c r="C157" s="27"/>
      <c r="D157" s="434">
        <f t="shared" ref="D157:L157" si="132">D42+D80+D115+D133+D156</f>
        <v>2008416349.54</v>
      </c>
      <c r="E157" s="319">
        <f t="shared" si="132"/>
        <v>-22543987.811242092</v>
      </c>
      <c r="F157" s="319">
        <f t="shared" si="132"/>
        <v>0</v>
      </c>
      <c r="G157" s="319">
        <f t="shared" si="132"/>
        <v>-5641628.1600000001</v>
      </c>
      <c r="H157" s="399">
        <f t="shared" si="132"/>
        <v>-28185615.971242093</v>
      </c>
      <c r="I157" s="319">
        <f t="shared" si="132"/>
        <v>1980230733.568758</v>
      </c>
      <c r="J157" s="406">
        <f t="shared" si="132"/>
        <v>-103675.05399994549</v>
      </c>
      <c r="K157" s="429">
        <f t="shared" ref="K157:N157" si="133">K42+K80+K115+K133+K156</f>
        <v>1533046.5224556217</v>
      </c>
      <c r="L157" s="1065">
        <f t="shared" si="132"/>
        <v>1981660105.037214</v>
      </c>
      <c r="M157" s="1076">
        <f t="shared" si="133"/>
        <v>20035843.211330846</v>
      </c>
      <c r="N157" s="1077">
        <f t="shared" si="133"/>
        <v>2001695948.2485447</v>
      </c>
      <c r="O157" s="20"/>
      <c r="P157" s="436">
        <f>J157/I157</f>
        <v>-5.2355037341079457E-5</v>
      </c>
      <c r="Q157" s="160">
        <f>F157/(D157+E157)</f>
        <v>0</v>
      </c>
      <c r="R157" s="160">
        <f>E157/D157</f>
        <v>-1.122475816152636E-2</v>
      </c>
    </row>
    <row r="158" spans="1:18" ht="16.5" thickTop="1">
      <c r="A158" s="16"/>
      <c r="C158" s="16"/>
      <c r="D158" s="317"/>
      <c r="E158" s="329"/>
      <c r="F158" s="317"/>
      <c r="G158" s="317"/>
      <c r="H158" s="317"/>
      <c r="I158" s="317"/>
      <c r="J158" s="317"/>
      <c r="K158" s="331"/>
      <c r="L158" s="331"/>
      <c r="M158" s="331"/>
      <c r="N158" s="331"/>
      <c r="O158" s="18"/>
      <c r="P158" s="31"/>
    </row>
    <row r="159" spans="1:18">
      <c r="A159" s="437" t="s">
        <v>678</v>
      </c>
      <c r="B159" s="437"/>
      <c r="C159" s="16"/>
      <c r="D159" s="317"/>
      <c r="E159" s="317"/>
      <c r="F159" s="317"/>
      <c r="G159" s="317"/>
      <c r="H159" s="317"/>
      <c r="I159" s="317"/>
      <c r="J159" s="317"/>
      <c r="K159" s="331"/>
      <c r="L159" s="331"/>
      <c r="M159" s="331"/>
      <c r="N159" s="331"/>
      <c r="O159" s="18"/>
      <c r="P159" s="31"/>
    </row>
    <row r="160" spans="1:18" ht="18.75">
      <c r="A160" s="57" t="s">
        <v>1319</v>
      </c>
      <c r="B160" s="64"/>
      <c r="K160" s="320"/>
      <c r="L160" s="320"/>
      <c r="M160" s="320"/>
      <c r="N160" s="320"/>
      <c r="O160" s="31"/>
      <c r="P160" s="31"/>
    </row>
    <row r="161" spans="1:18" ht="18.75">
      <c r="A161" s="103" t="s">
        <v>1413</v>
      </c>
      <c r="B161" s="64"/>
      <c r="K161" s="320"/>
      <c r="L161" s="320"/>
      <c r="M161" s="320"/>
      <c r="N161" s="320"/>
      <c r="O161" s="31"/>
      <c r="P161" s="31"/>
    </row>
    <row r="162" spans="1:18">
      <c r="A162" s="44" t="s">
        <v>1321</v>
      </c>
    </row>
    <row r="163" spans="1:18" ht="18.75">
      <c r="A163" s="57" t="s">
        <v>1322</v>
      </c>
    </row>
    <row r="164" spans="1:18" ht="18.75">
      <c r="A164" s="57" t="s">
        <v>1414</v>
      </c>
    </row>
    <row r="168" spans="1:18">
      <c r="A168" s="16"/>
      <c r="B168" s="351" t="s">
        <v>121</v>
      </c>
      <c r="C168" s="16"/>
      <c r="D168" s="322">
        <f t="shared" ref="D168:N173" si="134">D12</f>
        <v>699173971.98000002</v>
      </c>
      <c r="E168" s="322">
        <f t="shared" si="134"/>
        <v>16381.84</v>
      </c>
      <c r="F168" s="322">
        <f t="shared" si="134"/>
        <v>4301600</v>
      </c>
      <c r="G168" s="322">
        <f t="shared" si="134"/>
        <v>-5436196.0701319585</v>
      </c>
      <c r="H168" s="322">
        <f t="shared" si="134"/>
        <v>-1118214.2301319586</v>
      </c>
      <c r="I168" s="322">
        <f t="shared" si="134"/>
        <v>698055757.74986804</v>
      </c>
      <c r="J168" s="322">
        <f t="shared" si="134"/>
        <v>-181389.10986799374</v>
      </c>
      <c r="K168" s="322">
        <f t="shared" si="134"/>
        <v>782625.1008999981</v>
      </c>
      <c r="L168" s="322">
        <f t="shared" si="134"/>
        <v>698656993.74090004</v>
      </c>
      <c r="M168" s="322">
        <f t="shared" si="134"/>
        <v>-20276827.564800024</v>
      </c>
      <c r="N168" s="322">
        <f t="shared" si="134"/>
        <v>678380166.17610002</v>
      </c>
      <c r="O168" s="21"/>
      <c r="P168" s="436">
        <f t="shared" ref="P168:P206" si="135">J168/I168</f>
        <v>-2.5984902760875197E-4</v>
      </c>
      <c r="Q168" s="160">
        <f t="shared" ref="Q168:Q206" si="136">F168/(D168+E168)</f>
        <v>6.1522587897535645E-3</v>
      </c>
      <c r="R168" s="160">
        <f t="shared" ref="R168:R206" si="137">E168/D168</f>
        <v>2.3430277236448104E-5</v>
      </c>
    </row>
    <row r="169" spans="1:18">
      <c r="A169" s="16"/>
      <c r="B169" s="351" t="s">
        <v>451</v>
      </c>
      <c r="C169" s="16"/>
      <c r="D169" s="322">
        <f t="shared" si="134"/>
        <v>323128.2</v>
      </c>
      <c r="E169" s="322">
        <f t="shared" si="134"/>
        <v>2409.820000000007</v>
      </c>
      <c r="F169" s="322">
        <f t="shared" si="134"/>
        <v>2003</v>
      </c>
      <c r="G169" s="322">
        <f t="shared" si="134"/>
        <v>-5207.9700000000012</v>
      </c>
      <c r="H169" s="322">
        <f t="shared" si="134"/>
        <v>-795.14999999999418</v>
      </c>
      <c r="I169" s="322">
        <f t="shared" si="134"/>
        <v>322333.05000000005</v>
      </c>
      <c r="J169" s="322">
        <f t="shared" si="134"/>
        <v>-219.98000000003594</v>
      </c>
      <c r="K169" s="322">
        <f t="shared" si="134"/>
        <v>392.10419999999795</v>
      </c>
      <c r="L169" s="322">
        <f t="shared" si="134"/>
        <v>322505.17420000001</v>
      </c>
      <c r="M169" s="322">
        <f t="shared" si="134"/>
        <v>-31450.001500000013</v>
      </c>
      <c r="N169" s="322">
        <f t="shared" si="134"/>
        <v>291055.1727</v>
      </c>
      <c r="O169" s="21"/>
      <c r="P169" s="436">
        <f t="shared" si="135"/>
        <v>-6.8246182015786435E-4</v>
      </c>
      <c r="Q169" s="160">
        <f t="shared" si="136"/>
        <v>6.1528911430990454E-3</v>
      </c>
      <c r="R169" s="160">
        <f t="shared" si="137"/>
        <v>7.4577830099632498E-3</v>
      </c>
    </row>
    <row r="170" spans="1:18">
      <c r="A170" s="16"/>
      <c r="B170" s="351" t="s">
        <v>1122</v>
      </c>
      <c r="C170" s="16"/>
      <c r="D170" s="322">
        <f t="shared" si="134"/>
        <v>342218.06</v>
      </c>
      <c r="E170" s="322">
        <f t="shared" si="134"/>
        <v>-5.2800000000000011</v>
      </c>
      <c r="F170" s="322">
        <f t="shared" si="134"/>
        <v>2105</v>
      </c>
      <c r="G170" s="322">
        <f t="shared" si="134"/>
        <v>0</v>
      </c>
      <c r="H170" s="322">
        <f t="shared" si="134"/>
        <v>2099.7199999999998</v>
      </c>
      <c r="I170" s="322">
        <f t="shared" si="134"/>
        <v>344317.77999999997</v>
      </c>
      <c r="J170" s="322">
        <f t="shared" si="134"/>
        <v>32.400000000025102</v>
      </c>
      <c r="K170" s="322">
        <f t="shared" si="134"/>
        <v>225.91789999999855</v>
      </c>
      <c r="L170" s="322">
        <f t="shared" si="134"/>
        <v>344576.09789999999</v>
      </c>
      <c r="M170" s="322">
        <f t="shared" si="134"/>
        <v>-34500.133800000011</v>
      </c>
      <c r="N170" s="322">
        <f t="shared" si="134"/>
        <v>310075.96409999998</v>
      </c>
      <c r="O170" s="21"/>
      <c r="P170" s="436">
        <f t="shared" si="135"/>
        <v>9.4099119714425162E-5</v>
      </c>
      <c r="Q170" s="160">
        <f t="shared" si="136"/>
        <v>6.1511437416218069E-3</v>
      </c>
      <c r="R170" s="160">
        <f t="shared" si="137"/>
        <v>-1.5428759078349055E-5</v>
      </c>
    </row>
    <row r="171" spans="1:18">
      <c r="A171" s="16"/>
      <c r="B171" s="351" t="s">
        <v>452</v>
      </c>
      <c r="C171" s="16"/>
      <c r="D171" s="322">
        <f t="shared" si="134"/>
        <v>16034299.979999999</v>
      </c>
      <c r="E171" s="322">
        <f t="shared" si="134"/>
        <v>8334.7900000001482</v>
      </c>
      <c r="F171" s="322">
        <f t="shared" si="134"/>
        <v>98698</v>
      </c>
      <c r="G171" s="322">
        <f t="shared" si="134"/>
        <v>-71311.930000000008</v>
      </c>
      <c r="H171" s="322">
        <f t="shared" si="134"/>
        <v>35720.860000000146</v>
      </c>
      <c r="I171" s="322">
        <f t="shared" si="134"/>
        <v>16070020.839999998</v>
      </c>
      <c r="J171" s="322">
        <f t="shared" si="134"/>
        <v>-3021.9799999987008</v>
      </c>
      <c r="K171" s="322">
        <f t="shared" si="134"/>
        <v>15879.787399999914</v>
      </c>
      <c r="L171" s="322">
        <f t="shared" si="134"/>
        <v>16082878.647399999</v>
      </c>
      <c r="M171" s="322">
        <f t="shared" si="134"/>
        <v>-1996640.6472999994</v>
      </c>
      <c r="N171" s="322">
        <f t="shared" si="134"/>
        <v>14086238.0001</v>
      </c>
      <c r="O171" s="21"/>
      <c r="P171" s="436">
        <f t="shared" si="135"/>
        <v>-1.8805078288863632E-4</v>
      </c>
      <c r="Q171" s="160">
        <f t="shared" si="136"/>
        <v>6.1522313145573162E-3</v>
      </c>
      <c r="R171" s="160">
        <f t="shared" si="137"/>
        <v>5.1981003289176017E-4</v>
      </c>
    </row>
    <row r="172" spans="1:18">
      <c r="A172" s="16"/>
      <c r="B172" s="351" t="s">
        <v>1042</v>
      </c>
      <c r="C172" s="16"/>
      <c r="D172" s="322">
        <f t="shared" si="134"/>
        <v>13934825.57</v>
      </c>
      <c r="E172" s="322">
        <f t="shared" si="134"/>
        <v>-30972.530000001119</v>
      </c>
      <c r="F172" s="322">
        <f t="shared" si="134"/>
        <v>85540</v>
      </c>
      <c r="G172" s="322">
        <f t="shared" si="134"/>
        <v>-98291.64959729118</v>
      </c>
      <c r="H172" s="322">
        <f t="shared" si="134"/>
        <v>-43724.179597292299</v>
      </c>
      <c r="I172" s="322">
        <f t="shared" si="134"/>
        <v>13891101.390402708</v>
      </c>
      <c r="J172" s="322">
        <f t="shared" si="134"/>
        <v>-4090.9504027074436</v>
      </c>
      <c r="K172" s="322">
        <f t="shared" si="134"/>
        <v>22621.625399999903</v>
      </c>
      <c r="L172" s="322">
        <f t="shared" si="134"/>
        <v>13909632.065400001</v>
      </c>
      <c r="M172" s="322">
        <f t="shared" si="134"/>
        <v>2775672.0111999996</v>
      </c>
      <c r="N172" s="322">
        <f t="shared" si="134"/>
        <v>16685304.0766</v>
      </c>
      <c r="O172" s="21"/>
      <c r="P172" s="436">
        <f t="shared" si="135"/>
        <v>-2.9450151487151773E-4</v>
      </c>
      <c r="Q172" s="160">
        <f t="shared" si="136"/>
        <v>6.152251448135272E-3</v>
      </c>
      <c r="R172" s="160">
        <f t="shared" si="137"/>
        <v>-2.2226708073534297E-3</v>
      </c>
    </row>
    <row r="173" spans="1:18">
      <c r="A173" s="16"/>
      <c r="B173" s="351" t="s">
        <v>1217</v>
      </c>
      <c r="C173" s="16"/>
      <c r="D173" s="322">
        <f t="shared" si="134"/>
        <v>3970331.2399999998</v>
      </c>
      <c r="E173" s="322">
        <f t="shared" si="134"/>
        <v>19836.400000000001</v>
      </c>
      <c r="F173" s="322">
        <f t="shared" si="134"/>
        <v>24549</v>
      </c>
      <c r="G173" s="322">
        <f t="shared" si="134"/>
        <v>-30789.030270751657</v>
      </c>
      <c r="H173" s="322">
        <f t="shared" si="134"/>
        <v>13596.369729248345</v>
      </c>
      <c r="I173" s="322">
        <f t="shared" si="134"/>
        <v>3983927.6097292481</v>
      </c>
      <c r="J173" s="322">
        <f t="shared" si="134"/>
        <v>-731.019729247957</v>
      </c>
      <c r="K173" s="322">
        <f t="shared" si="134"/>
        <v>3642.476800000004</v>
      </c>
      <c r="L173" s="322">
        <f t="shared" si="134"/>
        <v>3986839.0668000001</v>
      </c>
      <c r="M173" s="322">
        <f t="shared" si="134"/>
        <v>16884438.401199996</v>
      </c>
      <c r="N173" s="322">
        <f t="shared" si="134"/>
        <v>20871277.467999998</v>
      </c>
      <c r="O173" s="21"/>
      <c r="P173" s="436">
        <f t="shared" ref="P173" si="138">J173/I173</f>
        <v>-1.8349222196274741E-4</v>
      </c>
      <c r="Q173" s="160">
        <f t="shared" ref="Q173" si="139">F173/(D173+E173)</f>
        <v>6.1523730867608364E-3</v>
      </c>
      <c r="R173" s="160">
        <f t="shared" ref="R173" si="140">E173/D173</f>
        <v>4.9961574490696653E-3</v>
      </c>
    </row>
    <row r="174" spans="1:18">
      <c r="A174" s="16"/>
      <c r="B174" s="351" t="s">
        <v>113</v>
      </c>
      <c r="C174" s="16"/>
      <c r="D174" s="322">
        <f t="shared" ref="D174:N175" si="141">D18+D45+D83</f>
        <v>471943268.03999996</v>
      </c>
      <c r="E174" s="322">
        <f t="shared" si="141"/>
        <v>221606.17999999988</v>
      </c>
      <c r="F174" s="322">
        <f t="shared" si="141"/>
        <v>1707393.6474135239</v>
      </c>
      <c r="G174" s="322">
        <f t="shared" si="141"/>
        <v>94934.739454404873</v>
      </c>
      <c r="H174" s="322">
        <f t="shared" si="141"/>
        <v>2023934.5668679285</v>
      </c>
      <c r="I174" s="322">
        <f t="shared" si="141"/>
        <v>473967202.60686785</v>
      </c>
      <c r="J174" s="322">
        <f t="shared" si="141"/>
        <v>71869.690545624879</v>
      </c>
      <c r="K174" s="322">
        <f t="shared" si="141"/>
        <v>249095.80410000047</v>
      </c>
      <c r="L174" s="322">
        <f t="shared" si="141"/>
        <v>474288168.1015135</v>
      </c>
      <c r="M174" s="322">
        <f t="shared" si="141"/>
        <v>-17434903.85531348</v>
      </c>
      <c r="N174" s="322">
        <f t="shared" si="141"/>
        <v>456853264.24620003</v>
      </c>
      <c r="O174" s="21"/>
      <c r="P174" s="436">
        <f t="shared" si="135"/>
        <v>1.5163431172100994E-4</v>
      </c>
      <c r="Q174" s="160">
        <f t="shared" si="136"/>
        <v>3.6160962846592073E-3</v>
      </c>
      <c r="R174" s="160">
        <f t="shared" si="137"/>
        <v>4.6956105745578184E-4</v>
      </c>
    </row>
    <row r="175" spans="1:18">
      <c r="A175" s="16"/>
      <c r="B175" s="351" t="s">
        <v>1040</v>
      </c>
      <c r="C175" s="16"/>
      <c r="D175" s="322">
        <f t="shared" si="141"/>
        <v>10943113.200000001</v>
      </c>
      <c r="E175" s="322">
        <f t="shared" si="141"/>
        <v>-42819.32</v>
      </c>
      <c r="F175" s="322">
        <f t="shared" si="141"/>
        <v>60083</v>
      </c>
      <c r="G175" s="322">
        <f t="shared" si="141"/>
        <v>2245.1617439183751</v>
      </c>
      <c r="H175" s="322">
        <f t="shared" si="141"/>
        <v>19508.841743918372</v>
      </c>
      <c r="I175" s="322">
        <f t="shared" si="141"/>
        <v>10962622.041743919</v>
      </c>
      <c r="J175" s="322">
        <f t="shared" si="141"/>
        <v>1150.378256081719</v>
      </c>
      <c r="K175" s="322">
        <f t="shared" si="141"/>
        <v>6342.5267999999933</v>
      </c>
      <c r="L175" s="322">
        <f t="shared" si="141"/>
        <v>10970114.946800001</v>
      </c>
      <c r="M175" s="322">
        <f t="shared" si="141"/>
        <v>3392694.3102000002</v>
      </c>
      <c r="N175" s="322">
        <f t="shared" si="141"/>
        <v>14362809.257000001</v>
      </c>
      <c r="O175" s="21"/>
      <c r="P175" s="436">
        <f t="shared" si="135"/>
        <v>1.0493641500192761E-4</v>
      </c>
      <c r="Q175" s="160">
        <f t="shared" si="136"/>
        <v>5.512053221816437E-3</v>
      </c>
      <c r="R175" s="160">
        <f t="shared" si="137"/>
        <v>-3.9129011294518996E-3</v>
      </c>
    </row>
    <row r="176" spans="1:18">
      <c r="A176" s="16"/>
      <c r="B176" s="351" t="s">
        <v>1219</v>
      </c>
      <c r="C176" s="16"/>
      <c r="D176" s="322">
        <f>D47+D85</f>
        <v>634918.44999999995</v>
      </c>
      <c r="E176" s="322">
        <f t="shared" ref="E176:N176" si="142">E47+E85</f>
        <v>32009.790000000055</v>
      </c>
      <c r="F176" s="322">
        <f t="shared" si="142"/>
        <v>2719</v>
      </c>
      <c r="G176" s="322">
        <f t="shared" si="142"/>
        <v>129.02880167663784</v>
      </c>
      <c r="H176" s="322">
        <f t="shared" si="142"/>
        <v>34857.818801676687</v>
      </c>
      <c r="I176" s="322">
        <f t="shared" si="142"/>
        <v>669776.26880167669</v>
      </c>
      <c r="J176" s="322">
        <f t="shared" si="142"/>
        <v>6.4911983232359489</v>
      </c>
      <c r="K176" s="322">
        <f t="shared" si="142"/>
        <v>67.170800000001691</v>
      </c>
      <c r="L176" s="322">
        <f t="shared" si="142"/>
        <v>669849.93079999997</v>
      </c>
      <c r="M176" s="322">
        <f t="shared" si="142"/>
        <v>1749415.5647000005</v>
      </c>
      <c r="N176" s="322">
        <f t="shared" si="142"/>
        <v>2419265.4955000002</v>
      </c>
      <c r="O176" s="21"/>
      <c r="P176" s="436">
        <f t="shared" ref="P176" si="143">J176/I176</f>
        <v>9.6915919921283707E-6</v>
      </c>
      <c r="Q176" s="160">
        <f t="shared" ref="Q176" si="144">F176/(D176+E176)</f>
        <v>4.0769003873640138E-3</v>
      </c>
      <c r="R176" s="160">
        <f t="shared" ref="R176" si="145">E176/D176</f>
        <v>5.0415592742658617E-2</v>
      </c>
    </row>
    <row r="177" spans="1:18">
      <c r="A177" s="16"/>
      <c r="B177" s="351" t="s">
        <v>453</v>
      </c>
      <c r="C177" s="16"/>
      <c r="D177" s="322">
        <f t="shared" ref="D177:N177" si="146">D20+D48+D86</f>
        <v>39504816.600000001</v>
      </c>
      <c r="E177" s="322">
        <f t="shared" si="146"/>
        <v>-2097.4600000000028</v>
      </c>
      <c r="F177" s="322">
        <f t="shared" si="146"/>
        <v>97502</v>
      </c>
      <c r="G177" s="322">
        <f t="shared" si="146"/>
        <v>14685.134711984307</v>
      </c>
      <c r="H177" s="322">
        <f t="shared" si="146"/>
        <v>110089.67471198432</v>
      </c>
      <c r="I177" s="322">
        <f t="shared" si="146"/>
        <v>39614906.274711981</v>
      </c>
      <c r="J177" s="322">
        <f t="shared" si="146"/>
        <v>1731.0652880179368</v>
      </c>
      <c r="K177" s="322">
        <f t="shared" si="146"/>
        <v>22999.025400000075</v>
      </c>
      <c r="L177" s="322">
        <f t="shared" si="146"/>
        <v>39639636.365400001</v>
      </c>
      <c r="M177" s="322">
        <f t="shared" si="146"/>
        <v>3400797.3746999963</v>
      </c>
      <c r="N177" s="322">
        <f t="shared" si="146"/>
        <v>43040433.740099996</v>
      </c>
      <c r="O177" s="21"/>
      <c r="P177" s="436">
        <f t="shared" si="135"/>
        <v>4.369732130662532E-5</v>
      </c>
      <c r="Q177" s="160">
        <f t="shared" si="136"/>
        <v>2.4682351524827209E-3</v>
      </c>
      <c r="R177" s="160">
        <f t="shared" si="137"/>
        <v>-5.309377894947632E-5</v>
      </c>
    </row>
    <row r="178" spans="1:18">
      <c r="A178" s="16"/>
      <c r="B178" s="351" t="s">
        <v>1043</v>
      </c>
      <c r="C178" s="16"/>
      <c r="D178" s="322">
        <f>D21+D49+D87</f>
        <v>1926229.5899999999</v>
      </c>
      <c r="E178" s="322">
        <f t="shared" ref="E178:N178" si="147">E21+E49+E87</f>
        <v>-244.17999999999995</v>
      </c>
      <c r="F178" s="322">
        <f t="shared" si="147"/>
        <v>-430</v>
      </c>
      <c r="G178" s="322">
        <f t="shared" si="147"/>
        <v>544.01322479371004</v>
      </c>
      <c r="H178" s="322">
        <f t="shared" si="147"/>
        <v>-130.16677520628946</v>
      </c>
      <c r="I178" s="322">
        <f t="shared" si="147"/>
        <v>1926099.4232247937</v>
      </c>
      <c r="J178" s="322">
        <f t="shared" si="147"/>
        <v>428.87677520634742</v>
      </c>
      <c r="K178" s="322">
        <f t="shared" si="147"/>
        <v>1916.8137000000045</v>
      </c>
      <c r="L178" s="322">
        <f t="shared" si="147"/>
        <v>1928445.1136999999</v>
      </c>
      <c r="M178" s="322">
        <f t="shared" si="147"/>
        <v>1201154.9057999998</v>
      </c>
      <c r="N178" s="322">
        <f t="shared" si="147"/>
        <v>3129600.0194999999</v>
      </c>
      <c r="O178" s="21"/>
      <c r="P178" s="436">
        <f t="shared" si="135"/>
        <v>2.2266595900241517E-4</v>
      </c>
      <c r="Q178" s="160">
        <f t="shared" si="136"/>
        <v>-2.2326233509733598E-4</v>
      </c>
      <c r="R178" s="160">
        <f t="shared" si="137"/>
        <v>-1.2676578185054252E-4</v>
      </c>
    </row>
    <row r="179" spans="1:18">
      <c r="A179" s="16"/>
      <c r="B179" s="351" t="s">
        <v>1580</v>
      </c>
      <c r="C179" s="16"/>
      <c r="D179" s="322">
        <f>D50</f>
        <v>25073.200000000001</v>
      </c>
      <c r="E179" s="322">
        <f t="shared" ref="E179:N179" si="148">E50</f>
        <v>2588.8000000000002</v>
      </c>
      <c r="F179" s="322">
        <f t="shared" si="148"/>
        <v>163</v>
      </c>
      <c r="G179" s="322">
        <f t="shared" si="148"/>
        <v>15.412063221986337</v>
      </c>
      <c r="H179" s="322">
        <f t="shared" si="148"/>
        <v>2767.2120632219867</v>
      </c>
      <c r="I179" s="322">
        <f t="shared" si="148"/>
        <v>27840.412063221986</v>
      </c>
      <c r="J179" s="322">
        <f t="shared" si="148"/>
        <v>0.3179367780130633</v>
      </c>
      <c r="K179" s="322">
        <f t="shared" si="148"/>
        <v>-0.79359999999996944</v>
      </c>
      <c r="L179" s="322">
        <f t="shared" si="148"/>
        <v>27839.936399999999</v>
      </c>
      <c r="M179" s="322">
        <f t="shared" si="148"/>
        <v>-27839.936399999999</v>
      </c>
      <c r="N179" s="322">
        <f t="shared" si="148"/>
        <v>0</v>
      </c>
      <c r="O179" s="21"/>
      <c r="P179" s="436">
        <f t="shared" ref="P179" si="149">J179/I179</f>
        <v>1.141997385997987E-5</v>
      </c>
      <c r="Q179" s="160">
        <f t="shared" ref="Q179" si="150">F179/(D179+E179)</f>
        <v>5.8925601908755695E-3</v>
      </c>
      <c r="R179" s="160">
        <f t="shared" ref="R179" si="151">E179/D179</f>
        <v>0.10324968492254678</v>
      </c>
    </row>
    <row r="180" spans="1:18" s="22" customFormat="1">
      <c r="B180" s="351" t="s">
        <v>454</v>
      </c>
      <c r="D180" s="322">
        <f>D22+D51+D88</f>
        <v>319331.63999999996</v>
      </c>
      <c r="E180" s="322">
        <f t="shared" ref="E180:N180" si="152">E22+E51+E88</f>
        <v>319.79999999999995</v>
      </c>
      <c r="F180" s="322">
        <f t="shared" si="152"/>
        <v>1831</v>
      </c>
      <c r="G180" s="322">
        <f t="shared" si="152"/>
        <v>150.80000000000001</v>
      </c>
      <c r="H180" s="322">
        <f t="shared" si="152"/>
        <v>2301.6000000000004</v>
      </c>
      <c r="I180" s="322">
        <f t="shared" si="152"/>
        <v>321633.24</v>
      </c>
      <c r="J180" s="322">
        <f t="shared" si="152"/>
        <v>5.1400000000212458</v>
      </c>
      <c r="K180" s="322">
        <f t="shared" si="152"/>
        <v>181.71219999999994</v>
      </c>
      <c r="L180" s="322">
        <f t="shared" si="152"/>
        <v>321820.09220000001</v>
      </c>
      <c r="M180" s="322">
        <f t="shared" si="152"/>
        <v>9340.5726999999897</v>
      </c>
      <c r="N180" s="322">
        <f t="shared" si="152"/>
        <v>331160.66489999997</v>
      </c>
      <c r="O180" s="21"/>
      <c r="P180" s="436">
        <f t="shared" si="135"/>
        <v>1.598093530389224E-5</v>
      </c>
      <c r="Q180" s="160">
        <f t="shared" si="136"/>
        <v>5.7281143485541633E-3</v>
      </c>
      <c r="R180" s="160">
        <f t="shared" si="137"/>
        <v>1.0014666883619799E-3</v>
      </c>
    </row>
    <row r="181" spans="1:18">
      <c r="A181" s="16"/>
      <c r="B181" s="351" t="s">
        <v>455</v>
      </c>
      <c r="C181" s="16"/>
      <c r="D181" s="322">
        <f>D23+D52+D89+D136</f>
        <v>2567681.0100000002</v>
      </c>
      <c r="E181" s="322">
        <f t="shared" ref="E181:N181" si="153">E23+E52+E89+E136</f>
        <v>6710.8599999999842</v>
      </c>
      <c r="F181" s="322">
        <f t="shared" si="153"/>
        <v>7198</v>
      </c>
      <c r="G181" s="322">
        <f t="shared" si="153"/>
        <v>0</v>
      </c>
      <c r="H181" s="322">
        <f t="shared" si="153"/>
        <v>13908.859999999986</v>
      </c>
      <c r="I181" s="322">
        <f t="shared" si="153"/>
        <v>2581589.87</v>
      </c>
      <c r="J181" s="322">
        <f t="shared" si="153"/>
        <v>38.889999999988277</v>
      </c>
      <c r="K181" s="322">
        <f t="shared" si="153"/>
        <v>747.73939999998788</v>
      </c>
      <c r="L181" s="322">
        <f t="shared" si="153"/>
        <v>2582376.4994000001</v>
      </c>
      <c r="M181" s="322">
        <f t="shared" si="153"/>
        <v>-86550.091000000059</v>
      </c>
      <c r="N181" s="322">
        <f t="shared" si="153"/>
        <v>2495826.4084000001</v>
      </c>
      <c r="O181" s="21"/>
      <c r="P181" s="436">
        <f t="shared" si="135"/>
        <v>1.506436031994047E-5</v>
      </c>
      <c r="Q181" s="160">
        <f t="shared" si="136"/>
        <v>2.796000128760506E-3</v>
      </c>
      <c r="R181" s="160">
        <f t="shared" si="137"/>
        <v>2.6135878926798559E-3</v>
      </c>
    </row>
    <row r="182" spans="1:18">
      <c r="A182" s="16"/>
      <c r="B182" s="351" t="s">
        <v>568</v>
      </c>
      <c r="C182" s="16"/>
      <c r="D182" s="322">
        <f>D24+D53+D90</f>
        <v>140345234.56999999</v>
      </c>
      <c r="E182" s="322">
        <f t="shared" ref="E182:N182" si="154">E24+E53+E90</f>
        <v>98126.700000000012</v>
      </c>
      <c r="F182" s="322">
        <f t="shared" si="154"/>
        <v>-736380</v>
      </c>
      <c r="G182" s="322">
        <f t="shared" si="154"/>
        <v>33538.97244547536</v>
      </c>
      <c r="H182" s="322">
        <f t="shared" si="154"/>
        <v>-604714.32755452464</v>
      </c>
      <c r="I182" s="322">
        <f t="shared" si="154"/>
        <v>139740520.24244547</v>
      </c>
      <c r="J182" s="322">
        <f t="shared" si="154"/>
        <v>1778.5175545099191</v>
      </c>
      <c r="K182" s="322">
        <f t="shared" si="154"/>
        <v>79229.941199999768</v>
      </c>
      <c r="L182" s="322">
        <f t="shared" si="154"/>
        <v>139821528.70120001</v>
      </c>
      <c r="M182" s="322">
        <f t="shared" si="154"/>
        <v>1965176.0742000043</v>
      </c>
      <c r="N182" s="322">
        <f t="shared" si="154"/>
        <v>141786704.77539998</v>
      </c>
      <c r="O182" s="21"/>
      <c r="P182" s="436">
        <f t="shared" si="135"/>
        <v>1.2727285911232092E-5</v>
      </c>
      <c r="Q182" s="160">
        <f t="shared" si="136"/>
        <v>-5.2432524637766389E-3</v>
      </c>
      <c r="R182" s="160">
        <f t="shared" si="137"/>
        <v>6.9918084714915886E-4</v>
      </c>
    </row>
    <row r="183" spans="1:18">
      <c r="A183" s="16"/>
      <c r="B183" s="351" t="s">
        <v>1044</v>
      </c>
      <c r="C183" s="16"/>
      <c r="D183" s="322">
        <f>D54</f>
        <v>4355699.9000000004</v>
      </c>
      <c r="E183" s="322">
        <f t="shared" ref="E183:N183" si="155">E54</f>
        <v>-12946.04</v>
      </c>
      <c r="F183" s="322">
        <f t="shared" si="155"/>
        <v>25662</v>
      </c>
      <c r="G183" s="322">
        <f t="shared" si="155"/>
        <v>2063.437748512069</v>
      </c>
      <c r="H183" s="322">
        <f t="shared" si="155"/>
        <v>14779.397748512069</v>
      </c>
      <c r="I183" s="322">
        <f t="shared" si="155"/>
        <v>4370479.2977485126</v>
      </c>
      <c r="J183" s="322">
        <f t="shared" si="155"/>
        <v>66.092251487338217</v>
      </c>
      <c r="K183" s="322">
        <f t="shared" si="155"/>
        <v>1781.9219999999914</v>
      </c>
      <c r="L183" s="322">
        <f t="shared" si="155"/>
        <v>4372327.3119999999</v>
      </c>
      <c r="M183" s="322">
        <f t="shared" si="155"/>
        <v>397933.38559999969</v>
      </c>
      <c r="N183" s="322">
        <f t="shared" si="155"/>
        <v>4770260.6975999996</v>
      </c>
      <c r="O183" s="21"/>
      <c r="P183" s="436">
        <f t="shared" si="135"/>
        <v>1.5122426394145414E-5</v>
      </c>
      <c r="Q183" s="160">
        <f t="shared" si="136"/>
        <v>5.9091536907873469E-3</v>
      </c>
      <c r="R183" s="160">
        <f t="shared" si="137"/>
        <v>-2.97220660220416E-3</v>
      </c>
    </row>
    <row r="184" spans="1:18">
      <c r="A184" s="16"/>
      <c r="B184" s="351" t="s">
        <v>1220</v>
      </c>
      <c r="C184" s="16"/>
      <c r="D184" s="322">
        <f>D55</f>
        <v>127011.04</v>
      </c>
      <c r="E184" s="322">
        <f t="shared" ref="E184:N184" si="156">E55</f>
        <v>9422.8700000000008</v>
      </c>
      <c r="F184" s="322">
        <f t="shared" si="156"/>
        <v>806</v>
      </c>
      <c r="G184" s="322">
        <f t="shared" si="156"/>
        <v>57.799806012561255</v>
      </c>
      <c r="H184" s="322">
        <f t="shared" si="156"/>
        <v>10286.669806012562</v>
      </c>
      <c r="I184" s="322">
        <f t="shared" si="156"/>
        <v>137297.70980601254</v>
      </c>
      <c r="J184" s="322">
        <f t="shared" si="156"/>
        <v>-55.309806012539411</v>
      </c>
      <c r="K184" s="322">
        <f t="shared" si="156"/>
        <v>-8.5600000000340515E-2</v>
      </c>
      <c r="L184" s="322">
        <f t="shared" si="156"/>
        <v>137242.3144</v>
      </c>
      <c r="M184" s="322">
        <f t="shared" si="156"/>
        <v>-137242.3144</v>
      </c>
      <c r="N184" s="322">
        <f t="shared" si="156"/>
        <v>0</v>
      </c>
      <c r="O184" s="21"/>
      <c r="P184" s="436">
        <f t="shared" ref="P184" si="157">J184/I184</f>
        <v>-4.028458019488194E-4</v>
      </c>
      <c r="Q184" s="160">
        <f t="shared" ref="Q184" si="158">F184/(D184+E184)</f>
        <v>5.9076222326253057E-3</v>
      </c>
      <c r="R184" s="160">
        <f t="shared" ref="R184" si="159">E184/D184</f>
        <v>7.4189377553321362E-2</v>
      </c>
    </row>
    <row r="185" spans="1:18">
      <c r="A185" s="16"/>
      <c r="B185" s="351" t="s">
        <v>412</v>
      </c>
      <c r="C185" s="16"/>
      <c r="D185" s="322">
        <f>D56+D91</f>
        <v>255939402.94</v>
      </c>
      <c r="E185" s="322">
        <f t="shared" ref="E185:N185" si="160">E56+E91</f>
        <v>-5759417.1800000006</v>
      </c>
      <c r="F185" s="322">
        <f t="shared" si="160"/>
        <v>-2671415</v>
      </c>
      <c r="G185" s="322">
        <f t="shared" si="160"/>
        <v>0</v>
      </c>
      <c r="H185" s="322">
        <f t="shared" si="160"/>
        <v>-8430832.1800000016</v>
      </c>
      <c r="I185" s="322">
        <f t="shared" si="160"/>
        <v>247508570.76000002</v>
      </c>
      <c r="J185" s="322">
        <f t="shared" si="160"/>
        <v>-62473.590000004275</v>
      </c>
      <c r="K185" s="322">
        <f t="shared" si="160"/>
        <v>218509.38149999897</v>
      </c>
      <c r="L185" s="322">
        <f t="shared" si="160"/>
        <v>247664606.55150002</v>
      </c>
      <c r="M185" s="322">
        <f t="shared" si="160"/>
        <v>18044992.452299997</v>
      </c>
      <c r="N185" s="322">
        <f t="shared" si="160"/>
        <v>265709599.0038</v>
      </c>
      <c r="O185" s="21"/>
      <c r="P185" s="436">
        <f t="shared" si="135"/>
        <v>-2.5240980467130012E-4</v>
      </c>
      <c r="Q185" s="160">
        <f t="shared" si="136"/>
        <v>-1.0677972468040323E-2</v>
      </c>
      <c r="R185" s="160">
        <f t="shared" si="137"/>
        <v>-2.2503049994807497E-2</v>
      </c>
    </row>
    <row r="186" spans="1:18">
      <c r="A186" s="16"/>
      <c r="B186" s="351" t="s">
        <v>456</v>
      </c>
      <c r="C186" s="16"/>
      <c r="D186" s="322">
        <f>D57+D92</f>
        <v>3049871.05</v>
      </c>
      <c r="E186" s="322">
        <f t="shared" ref="E186:N186" si="161">E57+E92</f>
        <v>23149</v>
      </c>
      <c r="F186" s="322">
        <f t="shared" si="161"/>
        <v>-14979</v>
      </c>
      <c r="G186" s="322">
        <f t="shared" si="161"/>
        <v>0</v>
      </c>
      <c r="H186" s="322">
        <f t="shared" si="161"/>
        <v>8170</v>
      </c>
      <c r="I186" s="322">
        <f t="shared" si="161"/>
        <v>3058041.05</v>
      </c>
      <c r="J186" s="322">
        <f t="shared" si="161"/>
        <v>0.94000000017695129</v>
      </c>
      <c r="K186" s="322">
        <f t="shared" si="161"/>
        <v>18518.733000000007</v>
      </c>
      <c r="L186" s="322">
        <f t="shared" si="161"/>
        <v>3076560.7230000002</v>
      </c>
      <c r="M186" s="322">
        <f t="shared" si="161"/>
        <v>119287.83599999989</v>
      </c>
      <c r="N186" s="322">
        <f t="shared" si="161"/>
        <v>3195848.5589999999</v>
      </c>
      <c r="O186" s="21"/>
      <c r="P186" s="436">
        <f t="shared" si="135"/>
        <v>3.0738632503868819E-7</v>
      </c>
      <c r="Q186" s="160">
        <f t="shared" si="136"/>
        <v>-4.8743580439704589E-3</v>
      </c>
      <c r="R186" s="160">
        <f t="shared" si="137"/>
        <v>7.5901569674560508E-3</v>
      </c>
    </row>
    <row r="187" spans="1:18">
      <c r="A187" s="16"/>
      <c r="B187" s="351" t="s">
        <v>201</v>
      </c>
      <c r="C187" s="16"/>
      <c r="D187" s="322">
        <f>D118</f>
        <v>15414694.850000001</v>
      </c>
      <c r="E187" s="322">
        <f t="shared" ref="E187:N187" si="162">E118</f>
        <v>16908.989999997393</v>
      </c>
      <c r="F187" s="322">
        <f t="shared" si="162"/>
        <v>23011.63</v>
      </c>
      <c r="G187" s="322">
        <f t="shared" si="162"/>
        <v>-168289.16684476446</v>
      </c>
      <c r="H187" s="322">
        <f t="shared" si="162"/>
        <v>-128368.54684476707</v>
      </c>
      <c r="I187" s="322">
        <f t="shared" si="162"/>
        <v>15286326.303155234</v>
      </c>
      <c r="J187" s="322">
        <f t="shared" si="162"/>
        <v>-7400.9531552346016</v>
      </c>
      <c r="K187" s="322">
        <f t="shared" si="162"/>
        <v>7840.9529000000621</v>
      </c>
      <c r="L187" s="322">
        <f t="shared" si="162"/>
        <v>15286766.3029</v>
      </c>
      <c r="M187" s="322">
        <f t="shared" si="162"/>
        <v>1674068.6298999991</v>
      </c>
      <c r="N187" s="322">
        <f t="shared" si="162"/>
        <v>16960834.932799999</v>
      </c>
      <c r="O187" s="21"/>
      <c r="P187" s="436">
        <f t="shared" si="135"/>
        <v>-4.8415512062613625E-4</v>
      </c>
      <c r="Q187" s="160">
        <f t="shared" si="136"/>
        <v>1.4912014485721793E-3</v>
      </c>
      <c r="R187" s="160">
        <f t="shared" si="137"/>
        <v>1.0969396517114571E-3</v>
      </c>
    </row>
    <row r="188" spans="1:18">
      <c r="A188" s="16"/>
      <c r="B188" s="351" t="s">
        <v>1045</v>
      </c>
      <c r="C188" s="16"/>
      <c r="D188" s="322">
        <f>D119</f>
        <v>660965.68999999994</v>
      </c>
      <c r="E188" s="322">
        <f t="shared" ref="E188:N188" si="163">E119</f>
        <v>1834.25</v>
      </c>
      <c r="F188" s="322">
        <f t="shared" si="163"/>
        <v>988.36999999999898</v>
      </c>
      <c r="G188" s="322">
        <f t="shared" si="163"/>
        <v>-5900.6831552355134</v>
      </c>
      <c r="H188" s="322">
        <f t="shared" si="163"/>
        <v>-3078.0631552355144</v>
      </c>
      <c r="I188" s="322">
        <f t="shared" si="163"/>
        <v>657887.62684476445</v>
      </c>
      <c r="J188" s="322">
        <f t="shared" si="163"/>
        <v>-192.36684476450318</v>
      </c>
      <c r="K188" s="322">
        <f t="shared" si="163"/>
        <v>263.93499999999767</v>
      </c>
      <c r="L188" s="322">
        <f t="shared" si="163"/>
        <v>657959.19499999995</v>
      </c>
      <c r="M188" s="322">
        <f t="shared" si="163"/>
        <v>80760.325700000045</v>
      </c>
      <c r="N188" s="322">
        <f t="shared" si="163"/>
        <v>738719.52069999999</v>
      </c>
      <c r="O188" s="21"/>
      <c r="P188" s="436">
        <f>J188/I188</f>
        <v>-2.9240076407440049E-4</v>
      </c>
      <c r="Q188" s="160">
        <f t="shared" si="136"/>
        <v>1.4912041180933104E-3</v>
      </c>
      <c r="R188" s="160">
        <f t="shared" si="137"/>
        <v>2.7751062237436259E-3</v>
      </c>
    </row>
    <row r="189" spans="1:18">
      <c r="A189" s="16"/>
      <c r="B189" s="351" t="s">
        <v>458</v>
      </c>
      <c r="C189" s="16"/>
      <c r="D189" s="322">
        <f>D137</f>
        <v>4076143.35</v>
      </c>
      <c r="E189" s="322">
        <f t="shared" ref="E189:N189" si="164">E137</f>
        <v>17725.66</v>
      </c>
      <c r="F189" s="322">
        <f t="shared" si="164"/>
        <v>-143813</v>
      </c>
      <c r="G189" s="322">
        <f t="shared" si="164"/>
        <v>0</v>
      </c>
      <c r="H189" s="322">
        <f t="shared" si="164"/>
        <v>-126087.34</v>
      </c>
      <c r="I189" s="322">
        <f t="shared" si="164"/>
        <v>3950056.0100000002</v>
      </c>
      <c r="J189" s="322">
        <f t="shared" si="164"/>
        <v>-262.82000000034168</v>
      </c>
      <c r="K189" s="322">
        <f t="shared" si="164"/>
        <v>931.31939999996393</v>
      </c>
      <c r="L189" s="322">
        <f t="shared" si="164"/>
        <v>3950724.5093999999</v>
      </c>
      <c r="M189" s="322">
        <f t="shared" si="164"/>
        <v>152462.28480000002</v>
      </c>
      <c r="N189" s="322">
        <f t="shared" si="164"/>
        <v>4103186.7941999999</v>
      </c>
      <c r="O189" s="21"/>
      <c r="P189" s="436">
        <f t="shared" si="135"/>
        <v>-6.6535765400537112E-5</v>
      </c>
      <c r="Q189" s="160">
        <f t="shared" si="136"/>
        <v>-3.5128871893241154E-2</v>
      </c>
      <c r="R189" s="160">
        <f t="shared" si="137"/>
        <v>4.3486350890971489E-3</v>
      </c>
    </row>
    <row r="190" spans="1:18" s="22" customFormat="1">
      <c r="B190" s="351" t="s">
        <v>602</v>
      </c>
      <c r="D190" s="322">
        <f>D138</f>
        <v>2642631.15</v>
      </c>
      <c r="E190" s="322">
        <f t="shared" ref="E190:N190" si="165">E138</f>
        <v>-2661.4099999999989</v>
      </c>
      <c r="F190" s="322">
        <f t="shared" si="165"/>
        <v>-92739</v>
      </c>
      <c r="G190" s="322">
        <f t="shared" si="165"/>
        <v>0</v>
      </c>
      <c r="H190" s="322">
        <f t="shared" si="165"/>
        <v>-95400.41</v>
      </c>
      <c r="I190" s="322">
        <f t="shared" si="165"/>
        <v>2547230.7399999998</v>
      </c>
      <c r="J190" s="322">
        <f t="shared" si="165"/>
        <v>-123.87999999975</v>
      </c>
      <c r="K190" s="322">
        <f t="shared" si="165"/>
        <v>908.0193999999683</v>
      </c>
      <c r="L190" s="322">
        <f t="shared" si="165"/>
        <v>2548014.8794</v>
      </c>
      <c r="M190" s="322">
        <f t="shared" si="165"/>
        <v>-1021262.2208</v>
      </c>
      <c r="N190" s="322">
        <f t="shared" si="165"/>
        <v>1526752.6586</v>
      </c>
      <c r="O190" s="21"/>
      <c r="P190" s="436">
        <f t="shared" si="135"/>
        <v>-4.8633207056754507E-5</v>
      </c>
      <c r="Q190" s="160">
        <f t="shared" si="136"/>
        <v>-3.5128811741607313E-2</v>
      </c>
      <c r="R190" s="160">
        <f t="shared" si="137"/>
        <v>-1.0071061184607618E-3</v>
      </c>
    </row>
    <row r="191" spans="1:18" s="22" customFormat="1">
      <c r="B191" s="351" t="s">
        <v>603</v>
      </c>
      <c r="C191" s="23"/>
      <c r="D191" s="322">
        <f>D139</f>
        <v>126854.46</v>
      </c>
      <c r="E191" s="322">
        <f t="shared" ref="E191:N191" si="166">E139</f>
        <v>-487.97</v>
      </c>
      <c r="F191" s="322">
        <f t="shared" si="166"/>
        <v>-4439</v>
      </c>
      <c r="G191" s="322">
        <f t="shared" si="166"/>
        <v>0</v>
      </c>
      <c r="H191" s="322">
        <f t="shared" si="166"/>
        <v>-4926.97</v>
      </c>
      <c r="I191" s="322">
        <f t="shared" si="166"/>
        <v>121927.49</v>
      </c>
      <c r="J191" s="322">
        <f t="shared" si="166"/>
        <v>162.35999999999103</v>
      </c>
      <c r="K191" s="322">
        <f t="shared" si="166"/>
        <v>20.851199999999608</v>
      </c>
      <c r="L191" s="322">
        <f t="shared" si="166"/>
        <v>122110.7012</v>
      </c>
      <c r="M191" s="322">
        <f t="shared" si="166"/>
        <v>8979.2863999999972</v>
      </c>
      <c r="N191" s="322">
        <f t="shared" si="166"/>
        <v>131089.98759999999</v>
      </c>
      <c r="O191" s="21"/>
      <c r="P191" s="436">
        <f t="shared" si="135"/>
        <v>1.3316111075524562E-3</v>
      </c>
      <c r="Q191" s="160">
        <f t="shared" si="136"/>
        <v>-3.5127983692512153E-2</v>
      </c>
      <c r="R191" s="160">
        <f t="shared" si="137"/>
        <v>-3.8466917126918519E-3</v>
      </c>
    </row>
    <row r="192" spans="1:18" s="22" customFormat="1">
      <c r="B192" s="351" t="s">
        <v>604</v>
      </c>
      <c r="C192" s="23"/>
      <c r="D192" s="322">
        <f>D140</f>
        <v>374185.08</v>
      </c>
      <c r="E192" s="322">
        <f t="shared" ref="E192:N192" si="167">E140</f>
        <v>855.96000000000049</v>
      </c>
      <c r="F192" s="322">
        <f t="shared" si="167"/>
        <v>-13175</v>
      </c>
      <c r="G192" s="322">
        <f t="shared" si="167"/>
        <v>0</v>
      </c>
      <c r="H192" s="322">
        <f t="shared" si="167"/>
        <v>-12319.039999999999</v>
      </c>
      <c r="I192" s="322">
        <f t="shared" si="167"/>
        <v>361866.04000000004</v>
      </c>
      <c r="J192" s="322">
        <f t="shared" si="167"/>
        <v>113.97999999995591</v>
      </c>
      <c r="K192" s="322">
        <f t="shared" si="167"/>
        <v>41.034999999999854</v>
      </c>
      <c r="L192" s="322">
        <f t="shared" si="167"/>
        <v>362021.05499999999</v>
      </c>
      <c r="M192" s="322">
        <f t="shared" si="167"/>
        <v>-123537.4148</v>
      </c>
      <c r="N192" s="322">
        <f t="shared" si="167"/>
        <v>238483.64019999999</v>
      </c>
      <c r="O192" s="21"/>
      <c r="P192" s="436">
        <f t="shared" si="135"/>
        <v>3.1497843787705497E-4</v>
      </c>
      <c r="Q192" s="160">
        <f t="shared" si="136"/>
        <v>-3.5129488762083209E-2</v>
      </c>
      <c r="R192" s="160">
        <f t="shared" si="137"/>
        <v>2.2875310795395704E-3</v>
      </c>
    </row>
    <row r="193" spans="1:18">
      <c r="A193" s="16"/>
      <c r="B193" s="351" t="s">
        <v>601</v>
      </c>
      <c r="C193" s="16"/>
      <c r="D193" s="322">
        <f>D58+D93+D141</f>
        <v>1120329.8799999999</v>
      </c>
      <c r="E193" s="322">
        <f t="shared" ref="E193:N193" si="168">E58+E93+E141</f>
        <v>8579.1999999999989</v>
      </c>
      <c r="F193" s="322">
        <f t="shared" si="168"/>
        <v>3753</v>
      </c>
      <c r="G193" s="322">
        <f t="shared" si="168"/>
        <v>0</v>
      </c>
      <c r="H193" s="322">
        <f t="shared" si="168"/>
        <v>12332.2</v>
      </c>
      <c r="I193" s="322">
        <f t="shared" si="168"/>
        <v>1132662.0799999998</v>
      </c>
      <c r="J193" s="322">
        <f t="shared" si="168"/>
        <v>0.3200000000538239</v>
      </c>
      <c r="K193" s="322">
        <f t="shared" si="168"/>
        <v>527.53599999999733</v>
      </c>
      <c r="L193" s="322">
        <f t="shared" si="168"/>
        <v>1133189.9359999998</v>
      </c>
      <c r="M193" s="322">
        <f t="shared" si="168"/>
        <v>22125.420000000064</v>
      </c>
      <c r="N193" s="322">
        <f t="shared" si="168"/>
        <v>1155315.3559999999</v>
      </c>
      <c r="O193" s="21"/>
      <c r="P193" s="436">
        <f t="shared" si="135"/>
        <v>2.8252027299600598E-7</v>
      </c>
      <c r="Q193" s="160">
        <f t="shared" si="136"/>
        <v>3.3244484135073133E-3</v>
      </c>
      <c r="R193" s="160">
        <f t="shared" si="137"/>
        <v>7.6577445207477637E-3</v>
      </c>
    </row>
    <row r="194" spans="1:18">
      <c r="A194" s="16"/>
      <c r="B194" s="351" t="s">
        <v>600</v>
      </c>
      <c r="C194" s="23"/>
      <c r="D194" s="322">
        <f>D59+D94+D142</f>
        <v>786636.17</v>
      </c>
      <c r="E194" s="322">
        <f t="shared" ref="E194:N194" si="169">E59+E94+E142</f>
        <v>15820.84</v>
      </c>
      <c r="F194" s="322">
        <f t="shared" si="169"/>
        <v>-14152</v>
      </c>
      <c r="G194" s="322">
        <f t="shared" si="169"/>
        <v>0</v>
      </c>
      <c r="H194" s="322">
        <f t="shared" si="169"/>
        <v>1668.8400000000001</v>
      </c>
      <c r="I194" s="322">
        <f t="shared" si="169"/>
        <v>788305.01</v>
      </c>
      <c r="J194" s="322">
        <f t="shared" si="169"/>
        <v>3.1200000000052341</v>
      </c>
      <c r="K194" s="322">
        <f t="shared" si="169"/>
        <v>-5834.5094999999983</v>
      </c>
      <c r="L194" s="322">
        <f t="shared" si="169"/>
        <v>782473.62050000008</v>
      </c>
      <c r="M194" s="322">
        <f t="shared" si="169"/>
        <v>20139.430599999952</v>
      </c>
      <c r="N194" s="322">
        <f t="shared" si="169"/>
        <v>802613.05110000004</v>
      </c>
      <c r="O194" s="21"/>
      <c r="P194" s="436">
        <f t="shared" si="135"/>
        <v>3.9578589003325428E-6</v>
      </c>
      <c r="Q194" s="160">
        <f t="shared" si="136"/>
        <v>-1.7635835719099768E-2</v>
      </c>
      <c r="R194" s="160">
        <f t="shared" si="137"/>
        <v>2.0112016969674809E-2</v>
      </c>
    </row>
    <row r="195" spans="1:18">
      <c r="A195" s="16"/>
      <c r="B195" s="351" t="s">
        <v>413</v>
      </c>
      <c r="C195" s="16"/>
      <c r="D195" s="322">
        <f>D95</f>
        <v>157232.69</v>
      </c>
      <c r="E195" s="322">
        <f t="shared" ref="E195:N195" si="170">E95</f>
        <v>2004.8299999999872</v>
      </c>
      <c r="F195" s="322">
        <f t="shared" si="170"/>
        <v>-2422</v>
      </c>
      <c r="G195" s="322">
        <f t="shared" si="170"/>
        <v>0</v>
      </c>
      <c r="H195" s="322">
        <f t="shared" si="170"/>
        <v>-417.17000000001281</v>
      </c>
      <c r="I195" s="322">
        <f t="shared" si="170"/>
        <v>156815.51999999999</v>
      </c>
      <c r="J195" s="322">
        <f t="shared" si="170"/>
        <v>-10313.814000000008</v>
      </c>
      <c r="K195" s="322">
        <f t="shared" si="170"/>
        <v>10755.85</v>
      </c>
      <c r="L195" s="322">
        <f t="shared" si="170"/>
        <v>157257.55599999998</v>
      </c>
      <c r="M195" s="322">
        <f t="shared" si="170"/>
        <v>75857.206000000006</v>
      </c>
      <c r="N195" s="322">
        <f t="shared" si="170"/>
        <v>233114.76199999999</v>
      </c>
      <c r="O195" s="21"/>
      <c r="P195" s="436">
        <f t="shared" si="135"/>
        <v>-6.5770365076109866E-2</v>
      </c>
      <c r="Q195" s="160">
        <f t="shared" si="136"/>
        <v>-1.5209983174819603E-2</v>
      </c>
      <c r="R195" s="160">
        <f t="shared" si="137"/>
        <v>1.2750719967965868E-2</v>
      </c>
    </row>
    <row r="196" spans="1:18">
      <c r="A196" s="16"/>
      <c r="B196" s="351" t="s">
        <v>112</v>
      </c>
      <c r="C196" s="16"/>
      <c r="D196" s="322">
        <f>D25+D60+D96</f>
        <v>137068250.13999999</v>
      </c>
      <c r="E196" s="322">
        <f t="shared" ref="E196:N196" si="171">E25+E60+E96</f>
        <v>-101630.50999998581</v>
      </c>
      <c r="F196" s="322">
        <f t="shared" si="171"/>
        <v>702376</v>
      </c>
      <c r="G196" s="322">
        <f t="shared" si="171"/>
        <v>25879.866461195812</v>
      </c>
      <c r="H196" s="322">
        <f t="shared" si="171"/>
        <v>626625.35646120994</v>
      </c>
      <c r="I196" s="322">
        <f t="shared" si="171"/>
        <v>137694875.49646121</v>
      </c>
      <c r="J196" s="322">
        <f t="shared" si="171"/>
        <v>1281.3335387920379</v>
      </c>
      <c r="K196" s="322">
        <f t="shared" si="171"/>
        <v>89164.315399999788</v>
      </c>
      <c r="L196" s="322">
        <f t="shared" si="171"/>
        <v>137785321.14539999</v>
      </c>
      <c r="M196" s="322">
        <f t="shared" si="171"/>
        <v>-1444076.4375999905</v>
      </c>
      <c r="N196" s="322">
        <f t="shared" si="171"/>
        <v>136341244.7078</v>
      </c>
      <c r="O196" s="21"/>
      <c r="P196" s="436">
        <f t="shared" si="135"/>
        <v>9.3056007652584598E-6</v>
      </c>
      <c r="Q196" s="160">
        <f t="shared" si="136"/>
        <v>5.1280815858447135E-3</v>
      </c>
      <c r="R196" s="160">
        <f t="shared" si="137"/>
        <v>-7.4145916283443862E-4</v>
      </c>
    </row>
    <row r="197" spans="1:18">
      <c r="A197" s="16"/>
      <c r="B197" s="351" t="s">
        <v>1041</v>
      </c>
      <c r="C197" s="16"/>
      <c r="D197" s="322">
        <f>D26+D61+D97</f>
        <v>1202235.69</v>
      </c>
      <c r="E197" s="322">
        <f t="shared" ref="E197:N197" si="172">E26+E61+E97</f>
        <v>2518.970000000023</v>
      </c>
      <c r="F197" s="322">
        <f t="shared" si="172"/>
        <v>6730</v>
      </c>
      <c r="G197" s="322">
        <f t="shared" si="172"/>
        <v>100.67419334854014</v>
      </c>
      <c r="H197" s="322">
        <f t="shared" si="172"/>
        <v>9349.6441933485621</v>
      </c>
      <c r="I197" s="322">
        <f t="shared" si="172"/>
        <v>1211585.3341933487</v>
      </c>
      <c r="J197" s="322">
        <f t="shared" si="172"/>
        <v>4.7558066514272923</v>
      </c>
      <c r="K197" s="322">
        <f t="shared" si="172"/>
        <v>1069.5727000000015</v>
      </c>
      <c r="L197" s="322">
        <f t="shared" si="172"/>
        <v>1212659.6627</v>
      </c>
      <c r="M197" s="322">
        <f t="shared" si="172"/>
        <v>336064.70090000011</v>
      </c>
      <c r="N197" s="322">
        <f t="shared" si="172"/>
        <v>1548724.3636</v>
      </c>
      <c r="O197" s="21"/>
      <c r="P197" s="436">
        <f t="shared" si="135"/>
        <v>3.9252758490953686E-6</v>
      </c>
      <c r="Q197" s="160">
        <f t="shared" si="136"/>
        <v>5.5861996001741968E-3</v>
      </c>
      <c r="R197" s="160">
        <f t="shared" si="137"/>
        <v>2.0952380809789659E-3</v>
      </c>
    </row>
    <row r="198" spans="1:18">
      <c r="A198" s="16"/>
      <c r="B198" s="351" t="s">
        <v>1218</v>
      </c>
      <c r="C198" s="16"/>
      <c r="D198" s="322">
        <f>D27+D62</f>
        <v>120922.57</v>
      </c>
      <c r="E198" s="322">
        <f t="shared" ref="E198:N198" si="173">E27+E62</f>
        <v>1596.339999999997</v>
      </c>
      <c r="F198" s="322">
        <f t="shared" si="173"/>
        <v>727</v>
      </c>
      <c r="G198" s="322">
        <f t="shared" si="173"/>
        <v>13.299345455636114</v>
      </c>
      <c r="H198" s="322">
        <f t="shared" si="173"/>
        <v>2336.6393454556332</v>
      </c>
      <c r="I198" s="322">
        <f t="shared" si="173"/>
        <v>123259.20934545565</v>
      </c>
      <c r="J198" s="322">
        <f t="shared" si="173"/>
        <v>0.93065454436072059</v>
      </c>
      <c r="K198" s="322">
        <f t="shared" si="173"/>
        <v>27.607899999999802</v>
      </c>
      <c r="L198" s="322">
        <f t="shared" si="173"/>
        <v>123287.7479</v>
      </c>
      <c r="M198" s="322">
        <f t="shared" si="173"/>
        <v>28867.649899999997</v>
      </c>
      <c r="N198" s="322">
        <f t="shared" si="173"/>
        <v>152155.39780000001</v>
      </c>
      <c r="O198" s="21"/>
      <c r="P198" s="436">
        <f t="shared" ref="P198" si="174">J198/I198</f>
        <v>7.5503854787223021E-6</v>
      </c>
      <c r="Q198" s="160">
        <f t="shared" ref="Q198" si="175">F198/(D198+E198)</f>
        <v>5.9337778959998909E-3</v>
      </c>
      <c r="R198" s="160">
        <f t="shared" ref="R198" si="176">E198/D198</f>
        <v>1.3201340328773998E-2</v>
      </c>
    </row>
    <row r="199" spans="1:18">
      <c r="A199" s="16"/>
      <c r="B199" s="351" t="s">
        <v>414</v>
      </c>
      <c r="C199" s="16"/>
      <c r="D199" s="322">
        <f>D63+D98</f>
        <v>12022868.449999999</v>
      </c>
      <c r="E199" s="322">
        <f t="shared" ref="E199:N199" si="177">E63+E98</f>
        <v>-47004.100000000006</v>
      </c>
      <c r="F199" s="322">
        <f t="shared" si="177"/>
        <v>-7456</v>
      </c>
      <c r="G199" s="322">
        <f t="shared" si="177"/>
        <v>0</v>
      </c>
      <c r="H199" s="322">
        <f t="shared" si="177"/>
        <v>-54460.099999999991</v>
      </c>
      <c r="I199" s="322">
        <f t="shared" si="177"/>
        <v>11968408.35</v>
      </c>
      <c r="J199" s="322">
        <f t="shared" si="177"/>
        <v>1.0800000004965113</v>
      </c>
      <c r="K199" s="322">
        <f t="shared" si="177"/>
        <v>9507.3426999999647</v>
      </c>
      <c r="L199" s="322">
        <f t="shared" si="177"/>
        <v>11977916.772700001</v>
      </c>
      <c r="M199" s="322">
        <f t="shared" si="177"/>
        <v>397313.89979999978</v>
      </c>
      <c r="N199" s="322">
        <f t="shared" si="177"/>
        <v>12375230.672499999</v>
      </c>
      <c r="O199" s="21"/>
      <c r="P199" s="436">
        <f t="shared" si="135"/>
        <v>9.0237562833199235E-8</v>
      </c>
      <c r="Q199" s="160">
        <f t="shared" si="136"/>
        <v>-6.2258554222852406E-4</v>
      </c>
      <c r="R199" s="160">
        <f t="shared" si="137"/>
        <v>-3.9095578726056849E-3</v>
      </c>
    </row>
    <row r="200" spans="1:18">
      <c r="A200" s="16"/>
      <c r="B200" s="351" t="s">
        <v>1339</v>
      </c>
      <c r="C200" s="16"/>
      <c r="D200" s="322">
        <f>D64</f>
        <v>842610.25</v>
      </c>
      <c r="E200" s="322">
        <f t="shared" ref="E200:N200" si="178">E64</f>
        <v>9370019.7100000009</v>
      </c>
      <c r="F200" s="322">
        <f t="shared" si="178"/>
        <v>60349</v>
      </c>
      <c r="G200" s="322">
        <f t="shared" si="178"/>
        <v>0</v>
      </c>
      <c r="H200" s="322">
        <f t="shared" si="178"/>
        <v>9430368.7100000009</v>
      </c>
      <c r="I200" s="322">
        <f t="shared" si="178"/>
        <v>10272978.960000001</v>
      </c>
      <c r="J200" s="322">
        <f t="shared" si="178"/>
        <v>87923.769999998651</v>
      </c>
      <c r="K200" s="322">
        <f t="shared" si="178"/>
        <v>-6954.1124000000127</v>
      </c>
      <c r="L200" s="322">
        <f t="shared" si="178"/>
        <v>10353948.6176</v>
      </c>
      <c r="M200" s="322">
        <f t="shared" si="178"/>
        <v>2653597.8359000012</v>
      </c>
      <c r="N200" s="322">
        <f t="shared" si="178"/>
        <v>13007546.453500001</v>
      </c>
      <c r="O200" s="21"/>
      <c r="P200" s="436">
        <f t="shared" ref="P200" si="179">J200/I200</f>
        <v>8.5587413682387849E-3</v>
      </c>
      <c r="Q200" s="160">
        <f t="shared" ref="Q200" si="180">F200/(D200+E200)</f>
        <v>5.9092516067232497E-3</v>
      </c>
      <c r="R200" s="160">
        <f t="shared" ref="R200" si="181">E200/D200</f>
        <v>11.120229916500541</v>
      </c>
    </row>
    <row r="201" spans="1:18">
      <c r="A201" s="16"/>
      <c r="B201" s="351" t="s">
        <v>1340</v>
      </c>
      <c r="C201" s="16"/>
      <c r="D201" s="322">
        <f>D65</f>
        <v>0</v>
      </c>
      <c r="E201" s="322">
        <f t="shared" ref="E201:N201" si="182">E65</f>
        <v>0</v>
      </c>
      <c r="F201" s="322">
        <f t="shared" si="182"/>
        <v>0</v>
      </c>
      <c r="G201" s="322">
        <f t="shared" si="182"/>
        <v>0</v>
      </c>
      <c r="H201" s="322">
        <f t="shared" si="182"/>
        <v>0</v>
      </c>
      <c r="I201" s="322">
        <f t="shared" si="182"/>
        <v>0</v>
      </c>
      <c r="J201" s="322">
        <f t="shared" si="182"/>
        <v>0</v>
      </c>
      <c r="K201" s="322">
        <f t="shared" si="182"/>
        <v>0</v>
      </c>
      <c r="L201" s="322">
        <f t="shared" si="182"/>
        <v>0</v>
      </c>
      <c r="M201" s="322">
        <f t="shared" si="182"/>
        <v>13027758.191234671</v>
      </c>
      <c r="N201" s="322">
        <f t="shared" si="182"/>
        <v>13027758.191234671</v>
      </c>
      <c r="O201" s="21"/>
      <c r="P201" s="436" t="e">
        <f t="shared" ref="P201" si="183">J201/I201</f>
        <v>#DIV/0!</v>
      </c>
      <c r="Q201" s="160" t="e">
        <f t="shared" ref="Q201" si="184">F201/(D201+E201)</f>
        <v>#DIV/0!</v>
      </c>
      <c r="R201" s="160" t="e">
        <f t="shared" ref="R201" si="185">E201/D201</f>
        <v>#DIV/0!</v>
      </c>
    </row>
    <row r="202" spans="1:18">
      <c r="A202" s="16"/>
      <c r="B202" s="351" t="s">
        <v>399</v>
      </c>
      <c r="C202" s="16"/>
      <c r="D202" s="322">
        <f>D99</f>
        <v>30565663.190000001</v>
      </c>
      <c r="E202" s="322">
        <f t="shared" ref="E202:N202" si="186">E99</f>
        <v>1.2603999995626509</v>
      </c>
      <c r="F202" s="322">
        <f t="shared" si="186"/>
        <v>98048.331999999937</v>
      </c>
      <c r="G202" s="322">
        <f t="shared" si="186"/>
        <v>0</v>
      </c>
      <c r="H202" s="322">
        <f t="shared" si="186"/>
        <v>98049.592399999499</v>
      </c>
      <c r="I202" s="322">
        <f t="shared" si="186"/>
        <v>30663712.782400001</v>
      </c>
      <c r="J202" s="322">
        <f t="shared" si="186"/>
        <v>0</v>
      </c>
      <c r="K202" s="322">
        <f t="shared" si="186"/>
        <v>-0.10080000013113022</v>
      </c>
      <c r="L202" s="322">
        <f t="shared" si="186"/>
        <v>30663712.681600001</v>
      </c>
      <c r="M202" s="322">
        <f t="shared" si="186"/>
        <v>718507.27999999747</v>
      </c>
      <c r="N202" s="322">
        <f t="shared" si="186"/>
        <v>31382219.961599998</v>
      </c>
      <c r="O202" s="21"/>
      <c r="P202" s="436">
        <f t="shared" si="135"/>
        <v>0</v>
      </c>
      <c r="Q202" s="160">
        <f t="shared" si="136"/>
        <v>3.207793246539969E-3</v>
      </c>
      <c r="R202" s="160">
        <f t="shared" si="137"/>
        <v>4.1235813917330901E-8</v>
      </c>
    </row>
    <row r="203" spans="1:18">
      <c r="A203" s="16"/>
      <c r="B203" s="351" t="s">
        <v>400</v>
      </c>
      <c r="C203" s="16"/>
      <c r="D203" s="322">
        <f>D100</f>
        <v>36340880.280000001</v>
      </c>
      <c r="E203" s="322">
        <f t="shared" ref="E203:N203" si="187">E100</f>
        <v>-1598840.0316420998</v>
      </c>
      <c r="F203" s="322">
        <f t="shared" si="187"/>
        <v>277716.87058647536</v>
      </c>
      <c r="G203" s="322">
        <f t="shared" si="187"/>
        <v>0</v>
      </c>
      <c r="H203" s="322">
        <f t="shared" si="187"/>
        <v>-1321123.1610556245</v>
      </c>
      <c r="I203" s="322">
        <f t="shared" si="187"/>
        <v>35019757.118944377</v>
      </c>
      <c r="J203" s="322">
        <f t="shared" si="187"/>
        <v>1.862645149230957E-9</v>
      </c>
      <c r="K203" s="322">
        <f t="shared" si="187"/>
        <v>4.0556248277425766E-3</v>
      </c>
      <c r="L203" s="322">
        <f t="shared" si="187"/>
        <v>35019757.123000003</v>
      </c>
      <c r="M203" s="322">
        <f t="shared" si="187"/>
        <v>-3534625.9780000038</v>
      </c>
      <c r="N203" s="322">
        <f t="shared" si="187"/>
        <v>31485131.145</v>
      </c>
      <c r="O203" s="21"/>
      <c r="P203" s="436">
        <f t="shared" si="135"/>
        <v>5.3188408557617771E-17</v>
      </c>
      <c r="Q203" s="160">
        <f t="shared" si="136"/>
        <v>7.9936834049232838E-3</v>
      </c>
      <c r="R203" s="160">
        <f t="shared" si="137"/>
        <v>-4.3995632998521848E-2</v>
      </c>
    </row>
    <row r="204" spans="1:18">
      <c r="A204" s="16"/>
      <c r="B204" s="351" t="s">
        <v>401</v>
      </c>
      <c r="C204" s="16"/>
      <c r="D204" s="322">
        <f>D101</f>
        <v>67226916.909999996</v>
      </c>
      <c r="E204" s="322">
        <f t="shared" ref="E204:N204" si="188">E101</f>
        <v>115934.17999999784</v>
      </c>
      <c r="F204" s="322">
        <f t="shared" si="188"/>
        <v>-1433156.8499999996</v>
      </c>
      <c r="G204" s="322">
        <f t="shared" si="188"/>
        <v>0</v>
      </c>
      <c r="H204" s="322">
        <f t="shared" si="188"/>
        <v>-1317222.6700000018</v>
      </c>
      <c r="I204" s="322">
        <f t="shared" si="188"/>
        <v>65909694.239999995</v>
      </c>
      <c r="J204" s="322">
        <f t="shared" si="188"/>
        <v>0</v>
      </c>
      <c r="K204" s="322">
        <f t="shared" si="188"/>
        <v>0</v>
      </c>
      <c r="L204" s="322">
        <f t="shared" si="188"/>
        <v>65909694.239999995</v>
      </c>
      <c r="M204" s="322">
        <f t="shared" si="188"/>
        <v>-2952101.2226903141</v>
      </c>
      <c r="N204" s="322">
        <f t="shared" si="188"/>
        <v>62957593.017309681</v>
      </c>
      <c r="O204" s="21"/>
      <c r="P204" s="436">
        <f t="shared" si="135"/>
        <v>0</v>
      </c>
      <c r="Q204" s="160">
        <f t="shared" si="136"/>
        <v>-2.1281499473265023E-2</v>
      </c>
      <c r="R204" s="160">
        <f t="shared" si="137"/>
        <v>1.7245202565990742E-3</v>
      </c>
    </row>
    <row r="205" spans="1:18">
      <c r="A205" s="16"/>
      <c r="B205" s="351" t="s">
        <v>459</v>
      </c>
      <c r="C205" s="16"/>
      <c r="D205" s="322">
        <f>D28+D66</f>
        <v>556.73</v>
      </c>
      <c r="E205" s="322">
        <f t="shared" ref="E205:N205" si="189">E28+E66</f>
        <v>0</v>
      </c>
      <c r="F205" s="322">
        <f t="shared" si="189"/>
        <v>4</v>
      </c>
      <c r="G205" s="322">
        <f t="shared" si="189"/>
        <v>0</v>
      </c>
      <c r="H205" s="322">
        <f t="shared" si="189"/>
        <v>4</v>
      </c>
      <c r="I205" s="322">
        <f t="shared" si="189"/>
        <v>560.73</v>
      </c>
      <c r="J205" s="322">
        <f t="shared" si="189"/>
        <v>0.27000000000002444</v>
      </c>
      <c r="K205" s="322">
        <f t="shared" si="189"/>
        <v>0</v>
      </c>
      <c r="L205" s="322">
        <f t="shared" si="189"/>
        <v>561</v>
      </c>
      <c r="M205" s="322">
        <f t="shared" si="189"/>
        <v>-4</v>
      </c>
      <c r="N205" s="322">
        <f t="shared" si="189"/>
        <v>557</v>
      </c>
      <c r="O205" s="21"/>
      <c r="P205" s="436">
        <f t="shared" si="135"/>
        <v>4.8151516772782698E-4</v>
      </c>
      <c r="Q205" s="160">
        <f t="shared" si="136"/>
        <v>7.1848113088929999E-3</v>
      </c>
      <c r="R205" s="160">
        <f t="shared" si="137"/>
        <v>0</v>
      </c>
    </row>
    <row r="206" spans="1:18">
      <c r="A206" s="16"/>
      <c r="B206" s="351" t="s">
        <v>940</v>
      </c>
      <c r="C206" s="16"/>
      <c r="D206" s="322">
        <f>SUM(D168:D205)</f>
        <v>1976211003.7900004</v>
      </c>
      <c r="E206" s="322">
        <f t="shared" ref="E206:N206" si="190">SUM(E168:E205)</f>
        <v>2395571.0287579088</v>
      </c>
      <c r="F206" s="322">
        <f t="shared" si="190"/>
        <v>2456999.9999999995</v>
      </c>
      <c r="G206" s="322">
        <f t="shared" si="190"/>
        <v>-5641628.1600000001</v>
      </c>
      <c r="H206" s="322">
        <f t="shared" si="190"/>
        <v>-789057.13124209456</v>
      </c>
      <c r="I206" s="322">
        <f t="shared" si="190"/>
        <v>1975421946.6587572</v>
      </c>
      <c r="J206" s="322">
        <f t="shared" si="190"/>
        <v>-103675.05399994545</v>
      </c>
      <c r="K206" s="322">
        <f t="shared" si="190"/>
        <v>1533046.5224556217</v>
      </c>
      <c r="L206" s="322">
        <f t="shared" si="190"/>
        <v>1976851318.1272137</v>
      </c>
      <c r="M206" s="322">
        <f t="shared" si="190"/>
        <v>20035843.21133085</v>
      </c>
      <c r="N206" s="322">
        <f t="shared" si="190"/>
        <v>1996887161.3385441</v>
      </c>
      <c r="O206" s="21"/>
      <c r="P206" s="436">
        <f t="shared" si="135"/>
        <v>-5.2482485666063481E-5</v>
      </c>
      <c r="Q206" s="160">
        <f t="shared" si="136"/>
        <v>1.2417829958060573E-3</v>
      </c>
      <c r="R206" s="160">
        <f t="shared" si="137"/>
        <v>1.2122040734332796E-3</v>
      </c>
    </row>
    <row r="207" spans="1:18">
      <c r="B207" s="351" t="s">
        <v>1055</v>
      </c>
      <c r="D207" s="321">
        <f>SUM(D38:D41,D76:D79,D111:D114,D129:D132,D152:D155)</f>
        <v>32205345.75</v>
      </c>
      <c r="E207" s="321">
        <f t="shared" ref="E207:N207" si="191">SUM(E38:E41,E76:E79,E111:E114,E129:E132,E152:E155)</f>
        <v>-24939558.84</v>
      </c>
      <c r="F207" s="321">
        <f t="shared" si="191"/>
        <v>-2457000</v>
      </c>
      <c r="G207" s="321">
        <f t="shared" si="191"/>
        <v>0</v>
      </c>
      <c r="H207" s="321">
        <f t="shared" si="191"/>
        <v>-27396558.840000004</v>
      </c>
      <c r="I207" s="321">
        <f t="shared" si="191"/>
        <v>4808786.9099999992</v>
      </c>
      <c r="J207" s="321">
        <f t="shared" si="191"/>
        <v>0</v>
      </c>
      <c r="K207" s="321">
        <f t="shared" si="191"/>
        <v>0</v>
      </c>
      <c r="L207" s="321">
        <f t="shared" si="191"/>
        <v>4808786.9099999992</v>
      </c>
      <c r="M207" s="321">
        <f t="shared" si="191"/>
        <v>0</v>
      </c>
      <c r="N207" s="321">
        <f t="shared" si="191"/>
        <v>4808786.9099999992</v>
      </c>
    </row>
    <row r="208" spans="1:18">
      <c r="B208" s="351" t="s">
        <v>450</v>
      </c>
      <c r="D208" s="321">
        <f>D206+D207</f>
        <v>2008416349.5400004</v>
      </c>
      <c r="E208" s="321">
        <f t="shared" ref="E208:N208" si="192">E206+E207</f>
        <v>-22543987.811242092</v>
      </c>
      <c r="F208" s="321">
        <f t="shared" si="192"/>
        <v>0</v>
      </c>
      <c r="G208" s="321">
        <f t="shared" si="192"/>
        <v>-5641628.1600000001</v>
      </c>
      <c r="H208" s="321">
        <f t="shared" si="192"/>
        <v>-28185615.9712421</v>
      </c>
      <c r="I208" s="321">
        <f t="shared" si="192"/>
        <v>1980230733.5687573</v>
      </c>
      <c r="J208" s="321">
        <f t="shared" si="192"/>
        <v>-103675.05399994545</v>
      </c>
      <c r="K208" s="321">
        <f t="shared" si="192"/>
        <v>1533046.5224556217</v>
      </c>
      <c r="L208" s="321">
        <f t="shared" si="192"/>
        <v>1981660105.0372138</v>
      </c>
      <c r="M208" s="321">
        <f t="shared" si="192"/>
        <v>20035843.21133085</v>
      </c>
      <c r="N208" s="321">
        <f t="shared" si="192"/>
        <v>2001695948.2485442</v>
      </c>
    </row>
    <row r="209" spans="4:14">
      <c r="D209" s="321">
        <f>D208-D157</f>
        <v>0</v>
      </c>
      <c r="E209" s="321">
        <f t="shared" ref="E209:N209" si="193">E208-E157</f>
        <v>0</v>
      </c>
      <c r="F209" s="321">
        <f t="shared" si="193"/>
        <v>0</v>
      </c>
      <c r="G209" s="321">
        <f t="shared" si="193"/>
        <v>0</v>
      </c>
      <c r="H209" s="321">
        <f t="shared" si="193"/>
        <v>0</v>
      </c>
      <c r="I209" s="321">
        <f t="shared" si="193"/>
        <v>0</v>
      </c>
      <c r="J209" s="321">
        <f t="shared" si="193"/>
        <v>0</v>
      </c>
      <c r="K209" s="321">
        <f t="shared" si="193"/>
        <v>0</v>
      </c>
      <c r="L209" s="321">
        <f t="shared" si="193"/>
        <v>0</v>
      </c>
      <c r="M209" s="321">
        <f t="shared" si="193"/>
        <v>0</v>
      </c>
      <c r="N209" s="321">
        <f t="shared" si="193"/>
        <v>0</v>
      </c>
    </row>
  </sheetData>
  <mergeCells count="1">
    <mergeCell ref="E8:I8"/>
  </mergeCells>
  <phoneticPr fontId="25" type="noConversion"/>
  <dataValidations count="1">
    <dataValidation type="decimal" allowBlank="1" showInputMessage="1" showErrorMessage="1" promptTitle="It's dangerous!" sqref="B95:B98">
      <formula1>-10000000</formula1>
      <formula2>-1</formula2>
    </dataValidation>
  </dataValidations>
  <printOptions horizontalCentered="1"/>
  <pageMargins left="0.25" right="0.25" top="0.75" bottom="0.75" header="0.5" footer="0.5"/>
  <pageSetup scale="31" fitToHeight="2" orientation="landscape" r:id="rId1"/>
  <headerFooter alignWithMargins="0">
    <oddFooter>Page &amp;P of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theme="4" tint="0.59999389629810485"/>
    <pageSetUpPr fitToPage="1"/>
  </sheetPr>
  <dimension ref="A1:AY34"/>
  <sheetViews>
    <sheetView topLeftCell="H7" workbookViewId="0">
      <selection activeCell="L19" sqref="L19"/>
    </sheetView>
  </sheetViews>
  <sheetFormatPr defaultColWidth="10.75" defaultRowHeight="15.75"/>
  <cols>
    <col min="1" max="1" width="16.625" style="10" customWidth="1"/>
    <col min="2" max="3" width="14.625" style="10" customWidth="1"/>
    <col min="4" max="5" width="14" style="10" bestFit="1" customWidth="1"/>
    <col min="6" max="6" width="15.125" style="10" bestFit="1" customWidth="1"/>
    <col min="7" max="7" width="14" style="10" bestFit="1" customWidth="1"/>
    <col min="8" max="8" width="15.125" style="10" bestFit="1" customWidth="1"/>
    <col min="9" max="9" width="16.75" style="10" bestFit="1" customWidth="1"/>
    <col min="10" max="10" width="12.25" style="10" bestFit="1" customWidth="1"/>
    <col min="11" max="11" width="5.125" style="10" customWidth="1"/>
    <col min="12" max="12" width="13.125" style="10" bestFit="1" customWidth="1"/>
    <col min="13" max="13" width="15.125" style="10" customWidth="1"/>
    <col min="14" max="15" width="13.625" style="10" customWidth="1"/>
    <col min="16" max="16" width="15.625" style="10" customWidth="1"/>
    <col min="17" max="17" width="19.625" style="10" customWidth="1"/>
    <col min="18" max="18" width="15.125" style="10" bestFit="1" customWidth="1"/>
    <col min="19" max="16384" width="10.75" style="10"/>
  </cols>
  <sheetData>
    <row r="1" spans="1:35" ht="18.75">
      <c r="A1" s="14" t="s">
        <v>470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</row>
    <row r="2" spans="1:35" ht="18.75">
      <c r="A2" s="14" t="s">
        <v>497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</row>
    <row r="3" spans="1:35" ht="18.75">
      <c r="A3" s="14" t="s">
        <v>779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</row>
    <row r="4" spans="1:35" ht="18.75">
      <c r="A4" s="14" t="str">
        <f>'Test Period'!$B2</f>
        <v>Base Period 12 Months Ending December 2019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</row>
    <row r="5" spans="1:35" ht="18.75">
      <c r="A5" s="14" t="str">
        <f>'Test Period'!$B3</f>
        <v>Forecast Period 12 Months Ending December 2021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</row>
    <row r="9" spans="1:35">
      <c r="A9" s="1"/>
      <c r="B9" s="1"/>
      <c r="C9" s="4" t="s">
        <v>84</v>
      </c>
      <c r="D9" s="4" t="s">
        <v>85</v>
      </c>
      <c r="E9" s="4" t="s">
        <v>86</v>
      </c>
      <c r="F9" s="4" t="s">
        <v>87</v>
      </c>
      <c r="G9" s="4" t="s">
        <v>88</v>
      </c>
      <c r="H9" s="4" t="s">
        <v>89</v>
      </c>
      <c r="I9" s="4" t="s">
        <v>90</v>
      </c>
      <c r="J9" s="4" t="s">
        <v>91</v>
      </c>
      <c r="K9" s="4"/>
      <c r="L9" s="4" t="s">
        <v>92</v>
      </c>
      <c r="M9" s="4" t="s">
        <v>147</v>
      </c>
      <c r="N9" s="4" t="s">
        <v>1639</v>
      </c>
      <c r="O9" s="4" t="s">
        <v>1640</v>
      </c>
      <c r="P9" s="4" t="s">
        <v>1641</v>
      </c>
      <c r="Q9" s="4" t="s">
        <v>1642</v>
      </c>
    </row>
    <row r="10" spans="1:35">
      <c r="A10" s="1"/>
      <c r="B10" s="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1"/>
    </row>
    <row r="11" spans="1:35">
      <c r="A11" s="1"/>
      <c r="B11" s="1"/>
      <c r="C11" s="32"/>
      <c r="D11" s="5"/>
      <c r="E11" s="5"/>
      <c r="F11" s="5" t="s">
        <v>93</v>
      </c>
      <c r="G11" s="5" t="s">
        <v>140</v>
      </c>
      <c r="H11" s="5" t="s">
        <v>96</v>
      </c>
      <c r="I11" s="1324"/>
      <c r="J11" s="5" t="s">
        <v>96</v>
      </c>
      <c r="K11" s="929"/>
      <c r="L11" s="12" t="s">
        <v>96</v>
      </c>
      <c r="M11" s="5"/>
      <c r="N11" s="5"/>
      <c r="O11" s="12" t="s">
        <v>93</v>
      </c>
      <c r="P11" s="12"/>
      <c r="Q11" s="12" t="s">
        <v>96</v>
      </c>
    </row>
    <row r="12" spans="1:35">
      <c r="A12" s="1"/>
      <c r="B12" s="1"/>
      <c r="C12" s="33" t="s">
        <v>93</v>
      </c>
      <c r="D12" s="6" t="s">
        <v>424</v>
      </c>
      <c r="E12" s="6" t="s">
        <v>97</v>
      </c>
      <c r="F12" s="6" t="s">
        <v>139</v>
      </c>
      <c r="G12" s="6" t="s">
        <v>1308</v>
      </c>
      <c r="H12" s="6" t="s">
        <v>140</v>
      </c>
      <c r="I12" s="6" t="s">
        <v>1401</v>
      </c>
      <c r="J12" s="6" t="s">
        <v>1401</v>
      </c>
      <c r="K12" s="930"/>
      <c r="L12" s="13" t="s">
        <v>142</v>
      </c>
      <c r="M12" s="6" t="s">
        <v>424</v>
      </c>
      <c r="N12" s="6" t="s">
        <v>97</v>
      </c>
      <c r="O12" s="13" t="s">
        <v>100</v>
      </c>
      <c r="P12" s="13" t="s">
        <v>1401</v>
      </c>
      <c r="Q12" s="13" t="s">
        <v>1401</v>
      </c>
    </row>
    <row r="13" spans="1:35">
      <c r="A13" s="1"/>
      <c r="B13" s="1"/>
      <c r="C13" s="33" t="s">
        <v>82</v>
      </c>
      <c r="D13" s="6" t="s">
        <v>101</v>
      </c>
      <c r="E13" s="6" t="s">
        <v>101</v>
      </c>
      <c r="F13" s="6" t="s">
        <v>100</v>
      </c>
      <c r="G13" s="6" t="s">
        <v>99</v>
      </c>
      <c r="H13" s="6" t="s">
        <v>100</v>
      </c>
      <c r="I13" s="6" t="s">
        <v>445</v>
      </c>
      <c r="J13" s="6" t="s">
        <v>445</v>
      </c>
      <c r="K13" s="930"/>
      <c r="L13" s="13" t="s">
        <v>111</v>
      </c>
      <c r="M13" s="6" t="s">
        <v>101</v>
      </c>
      <c r="N13" s="6" t="s">
        <v>101</v>
      </c>
      <c r="O13" s="13" t="s">
        <v>111</v>
      </c>
      <c r="P13" s="13" t="s">
        <v>445</v>
      </c>
      <c r="Q13" s="13" t="s">
        <v>445</v>
      </c>
    </row>
    <row r="14" spans="1:35">
      <c r="A14" s="1"/>
      <c r="B14" s="1"/>
      <c r="C14" s="7"/>
      <c r="D14" s="34"/>
      <c r="E14" s="34"/>
      <c r="F14" s="34" t="s">
        <v>82</v>
      </c>
      <c r="G14" s="34" t="s">
        <v>197</v>
      </c>
      <c r="H14" s="34" t="s">
        <v>82</v>
      </c>
      <c r="I14" s="34" t="s">
        <v>101</v>
      </c>
      <c r="J14" s="34" t="s">
        <v>82</v>
      </c>
      <c r="K14" s="930"/>
      <c r="L14" s="13"/>
      <c r="M14" s="7"/>
      <c r="N14" s="7"/>
      <c r="O14" s="7" t="s">
        <v>425</v>
      </c>
      <c r="P14" s="7" t="s">
        <v>101</v>
      </c>
      <c r="Q14" s="7" t="s">
        <v>111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spans="1:35" ht="35.1" customHeight="1">
      <c r="A15" s="35" t="s">
        <v>680</v>
      </c>
      <c r="B15" s="36" t="s">
        <v>176</v>
      </c>
      <c r="C15" s="8">
        <f>SUMIF('305'!$B$2:$B$202,"ISPCL1",'305'!G$2:G$202)</f>
        <v>30565663.190000001</v>
      </c>
      <c r="D15" s="933">
        <f>C29</f>
        <v>98048.331999999937</v>
      </c>
      <c r="E15" s="933">
        <f>F15-C15-D15</f>
        <v>1.2603999995626509</v>
      </c>
      <c r="F15" s="933">
        <f>H15-G15</f>
        <v>30663712.782400001</v>
      </c>
      <c r="G15" s="933">
        <f>'Table 3'!K99</f>
        <v>-0.10080000013113022</v>
      </c>
      <c r="H15" s="933">
        <f>'Table 3'!L99</f>
        <v>30663712.681600001</v>
      </c>
      <c r="I15" s="933">
        <f>J15-H15</f>
        <v>718507.27999999747</v>
      </c>
      <c r="J15" s="933">
        <f>'Table 3'!N99</f>
        <v>31382219.961599998</v>
      </c>
      <c r="K15" s="934"/>
      <c r="L15" s="935">
        <f>SUMIF('305'!$B$2:$B$202,"ISPCL1",'305'!H$2:H$202)</f>
        <v>602656000</v>
      </c>
      <c r="M15" s="935">
        <f>D29</f>
        <v>314000</v>
      </c>
      <c r="N15" s="935">
        <f>O15-L15-M15</f>
        <v>0</v>
      </c>
      <c r="O15" s="60">
        <f>'Blocking-Step2'!C2623</f>
        <v>602970000</v>
      </c>
      <c r="P15" s="60">
        <f>Q15-O15</f>
        <v>14130000</v>
      </c>
      <c r="Q15" s="60">
        <f>'Table 2'!O99</f>
        <v>617100000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spans="1:35" ht="35.1" customHeight="1">
      <c r="A16" s="35" t="s">
        <v>681</v>
      </c>
      <c r="B16" s="36" t="s">
        <v>775</v>
      </c>
      <c r="C16" s="8">
        <f>SUMIF('305'!$B$2:$B$202,"ISPCL2",'305'!G$2:G$202)</f>
        <v>36340880.280000001</v>
      </c>
      <c r="D16" s="933">
        <f>C30</f>
        <v>277716.87058647536</v>
      </c>
      <c r="E16" s="933">
        <f>F16-C16-D16</f>
        <v>-1598840.0316420998</v>
      </c>
      <c r="F16" s="933">
        <f t="shared" ref="F16:F17" si="0">H16-G16</f>
        <v>35019757.118944377</v>
      </c>
      <c r="G16" s="933">
        <f>'Table 3'!K100</f>
        <v>4.0556248277425766E-3</v>
      </c>
      <c r="H16" s="933">
        <f>'Table 3'!L100</f>
        <v>35019757.123000003</v>
      </c>
      <c r="I16" s="933">
        <f t="shared" ref="I16:I17" si="1">J16-H16</f>
        <v>-3534625.9780000038</v>
      </c>
      <c r="J16" s="933">
        <f>'Table 3'!N100</f>
        <v>31485131.145</v>
      </c>
      <c r="K16" s="934"/>
      <c r="L16" s="935">
        <f>SUMIF('305'!$B$2:$B$202,"ISPCL2",'305'!H$2:H$202)</f>
        <v>809246440</v>
      </c>
      <c r="M16" s="935">
        <f>D30</f>
        <v>6422280</v>
      </c>
      <c r="N16" s="935">
        <f t="shared" ref="N16:N17" si="2">O16-L16-M16</f>
        <v>-31275392</v>
      </c>
      <c r="O16" s="60">
        <f>'Blocking-Step2'!C2633</f>
        <v>784393328</v>
      </c>
      <c r="P16" s="60">
        <f t="shared" ref="P16:P17" si="3">Q16-O16</f>
        <v>-78937779.053439975</v>
      </c>
      <c r="Q16" s="60">
        <f>'Table 2'!O100</f>
        <v>705455548.94656003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1:51" ht="35.1" customHeight="1">
      <c r="A17" s="35" t="s">
        <v>682</v>
      </c>
      <c r="B17" s="36" t="s">
        <v>176</v>
      </c>
      <c r="C17" s="8">
        <f>SUMIF('305'!$B$2:$B$202,"ISPCL3",'305'!G$2:G$202)</f>
        <v>67226916.909999996</v>
      </c>
      <c r="D17" s="933">
        <f>C31</f>
        <v>-1433156.8499999996</v>
      </c>
      <c r="E17" s="933">
        <f>F17-C17-D17</f>
        <v>115934.17999999784</v>
      </c>
      <c r="F17" s="933">
        <f t="shared" si="0"/>
        <v>65909694.239999995</v>
      </c>
      <c r="G17" s="933">
        <f>'Table 3'!K101</f>
        <v>0</v>
      </c>
      <c r="H17" s="933">
        <f>'Table 3'!L101</f>
        <v>65909694.239999995</v>
      </c>
      <c r="I17" s="933">
        <f t="shared" si="1"/>
        <v>-2952101.2226903141</v>
      </c>
      <c r="J17" s="933">
        <f>'Table 3'!N101</f>
        <v>62957593.017309681</v>
      </c>
      <c r="K17" s="934"/>
      <c r="L17" s="935">
        <f>SUMIF('305'!$B$2:$B$202,"ISPCL3",'305'!H$2:H$202)</f>
        <v>1287045423</v>
      </c>
      <c r="M17" s="935">
        <f>D31</f>
        <v>-2182177</v>
      </c>
      <c r="N17" s="935">
        <f t="shared" si="2"/>
        <v>0</v>
      </c>
      <c r="O17" s="60">
        <f>'Blocking-Step2'!C2640</f>
        <v>1284863246</v>
      </c>
      <c r="P17" s="60">
        <f t="shared" si="3"/>
        <v>3762951</v>
      </c>
      <c r="Q17" s="60">
        <f>'Table 2'!O101</f>
        <v>1288626197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1:51" ht="35.1" customHeight="1">
      <c r="A18" s="39" t="s">
        <v>93</v>
      </c>
      <c r="B18" s="40"/>
      <c r="C18" s="53">
        <f t="shared" ref="C18:E18" si="4">SUM(C15:C17)</f>
        <v>134133460.38</v>
      </c>
      <c r="D18" s="54">
        <f t="shared" si="4"/>
        <v>-1057391.6474135243</v>
      </c>
      <c r="E18" s="54">
        <f t="shared" si="4"/>
        <v>-1482904.5912421024</v>
      </c>
      <c r="F18" s="54">
        <f>SUM(F15:F17)</f>
        <v>131593164.14134437</v>
      </c>
      <c r="G18" s="54">
        <f t="shared" ref="G18" si="5">SUM(G15:G17)</f>
        <v>-9.6744375303387642E-2</v>
      </c>
      <c r="H18" s="54">
        <f>SUM(H15:H17)</f>
        <v>131593164.0446</v>
      </c>
      <c r="I18" s="54">
        <f>SUM(I15:I17)</f>
        <v>-5768219.9206903204</v>
      </c>
      <c r="J18" s="54">
        <f>SUM(J15:J17)</f>
        <v>125824944.12390968</v>
      </c>
      <c r="K18" s="931"/>
      <c r="L18" s="310">
        <f t="shared" ref="L18:O18" si="6">SUM(L15:L17)</f>
        <v>2698947863</v>
      </c>
      <c r="M18" s="311">
        <f t="shared" si="6"/>
        <v>4554103</v>
      </c>
      <c r="N18" s="311">
        <f t="shared" si="6"/>
        <v>-31275392</v>
      </c>
      <c r="O18" s="61">
        <f t="shared" si="6"/>
        <v>2672226574</v>
      </c>
      <c r="P18" s="61">
        <f>SUM(P15:P17)</f>
        <v>-61044828.053439975</v>
      </c>
      <c r="Q18" s="61">
        <f>SUM(Q15:Q17)</f>
        <v>2611181745.9465599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51">
      <c r="A19" s="41"/>
      <c r="B19" s="9"/>
      <c r="C19" s="47"/>
      <c r="D19" s="51"/>
      <c r="E19" s="51"/>
      <c r="F19" s="51"/>
      <c r="G19" s="51"/>
      <c r="H19" s="51"/>
      <c r="I19" s="51"/>
      <c r="J19" s="51"/>
      <c r="K19" s="307"/>
      <c r="L19" s="13"/>
      <c r="M19" s="13"/>
      <c r="N19" s="13"/>
      <c r="O19" s="13"/>
      <c r="P19" s="13"/>
      <c r="Q19" s="1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51">
      <c r="A20" s="41"/>
      <c r="B20" s="9"/>
      <c r="C20" s="47"/>
      <c r="D20" s="51" t="s">
        <v>198</v>
      </c>
      <c r="E20" s="51" t="s">
        <v>198</v>
      </c>
      <c r="F20" s="51"/>
      <c r="G20" s="51" t="s">
        <v>198</v>
      </c>
      <c r="H20" s="51"/>
      <c r="I20" s="51"/>
      <c r="J20" s="51"/>
      <c r="K20" s="307"/>
      <c r="L20" s="13"/>
      <c r="M20" s="51" t="s">
        <v>198</v>
      </c>
      <c r="N20" s="51" t="s">
        <v>198</v>
      </c>
      <c r="O20" s="13"/>
      <c r="P20" s="13"/>
      <c r="Q20" s="1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51">
      <c r="A21" s="41" t="s">
        <v>107</v>
      </c>
      <c r="B21" s="9"/>
      <c r="C21" s="47" t="s">
        <v>489</v>
      </c>
      <c r="D21" s="51" t="s">
        <v>199</v>
      </c>
      <c r="E21" s="51" t="s">
        <v>199</v>
      </c>
      <c r="F21" s="51" t="s">
        <v>774</v>
      </c>
      <c r="G21" s="51" t="s">
        <v>199</v>
      </c>
      <c r="H21" s="51" t="s">
        <v>1318</v>
      </c>
      <c r="I21" s="51" t="s">
        <v>1638</v>
      </c>
      <c r="J21" s="51" t="s">
        <v>108</v>
      </c>
      <c r="K21" s="307"/>
      <c r="L21" s="47" t="s">
        <v>489</v>
      </c>
      <c r="M21" s="51" t="s">
        <v>199</v>
      </c>
      <c r="N21" s="51" t="s">
        <v>199</v>
      </c>
      <c r="O21" s="13" t="s">
        <v>1644</v>
      </c>
      <c r="P21" s="13" t="s">
        <v>1643</v>
      </c>
      <c r="Q21" s="13" t="s">
        <v>108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1:51" ht="15" customHeight="1">
      <c r="A22" s="41"/>
      <c r="B22" s="9"/>
      <c r="C22" s="47"/>
      <c r="D22" s="51" t="s">
        <v>149</v>
      </c>
      <c r="E22" s="51" t="s">
        <v>149</v>
      </c>
      <c r="F22" s="51"/>
      <c r="G22" s="51" t="s">
        <v>149</v>
      </c>
      <c r="H22" s="51"/>
      <c r="I22" s="51"/>
      <c r="J22" s="51"/>
      <c r="K22" s="307"/>
      <c r="L22" s="13"/>
      <c r="M22" s="51" t="s">
        <v>149</v>
      </c>
      <c r="N22" s="51" t="s">
        <v>149</v>
      </c>
      <c r="O22" s="13"/>
      <c r="P22" s="13"/>
      <c r="Q22" s="13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51" ht="16.899999999999999" customHeight="1">
      <c r="A23" s="39"/>
      <c r="B23" s="40"/>
      <c r="C23" s="48"/>
      <c r="D23" s="52"/>
      <c r="E23" s="52"/>
      <c r="F23" s="52"/>
      <c r="G23" s="52"/>
      <c r="H23" s="52"/>
      <c r="I23" s="52"/>
      <c r="J23" s="52"/>
      <c r="K23" s="308"/>
      <c r="L23" s="48"/>
      <c r="M23" s="48"/>
      <c r="N23" s="48"/>
      <c r="O23" s="48"/>
      <c r="P23" s="48"/>
      <c r="Q23" s="48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51">
      <c r="A24" s="43"/>
    </row>
    <row r="25" spans="1:51" ht="18.75">
      <c r="A25" s="103" t="s">
        <v>1306</v>
      </c>
      <c r="F25" s="89"/>
      <c r="H25" s="89"/>
      <c r="I25" s="89"/>
      <c r="J25" s="89"/>
      <c r="K25" s="89"/>
      <c r="P25" s="616"/>
    </row>
    <row r="26" spans="1:51">
      <c r="A26" s="16" t="s">
        <v>1305</v>
      </c>
      <c r="F26" s="89"/>
      <c r="H26" s="89"/>
      <c r="I26" s="89"/>
      <c r="J26" s="89"/>
      <c r="K26" s="89"/>
      <c r="P26" s="387"/>
    </row>
    <row r="27" spans="1:51" s="100" customFormat="1">
      <c r="A27" s="383" t="s">
        <v>1577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s="100" customFormat="1">
      <c r="A28" s="377"/>
      <c r="B28" s="381" t="s">
        <v>1177</v>
      </c>
      <c r="C28" s="381" t="s">
        <v>669</v>
      </c>
      <c r="D28" s="381" t="s">
        <v>670</v>
      </c>
      <c r="E28" s="382" t="s">
        <v>544</v>
      </c>
      <c r="F28" s="381" t="s">
        <v>1307</v>
      </c>
      <c r="G28" s="88"/>
      <c r="H28" s="88"/>
      <c r="I28" s="88"/>
      <c r="J28" s="88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</row>
    <row r="29" spans="1:51" s="100" customFormat="1" ht="18" customHeight="1">
      <c r="A29" s="377" t="s">
        <v>671</v>
      </c>
      <c r="B29" s="806"/>
      <c r="C29" s="806">
        <v>98048.331999999937</v>
      </c>
      <c r="D29" s="335">
        <v>314000</v>
      </c>
      <c r="E29" s="376">
        <f>C29/D29*100</f>
        <v>31.225583439490421</v>
      </c>
      <c r="F29" s="335"/>
      <c r="G29" s="932"/>
      <c r="H29" s="335"/>
      <c r="I29" s="335"/>
      <c r="J29" s="335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</row>
    <row r="30" spans="1:51" s="100" customFormat="1" ht="18" customHeight="1">
      <c r="A30" s="377" t="s">
        <v>672</v>
      </c>
      <c r="B30" s="806">
        <v>-1648839.87</v>
      </c>
      <c r="C30" s="806">
        <v>277716.87058647536</v>
      </c>
      <c r="D30" s="335">
        <v>6422280</v>
      </c>
      <c r="E30" s="376">
        <f>C30/D30*100</f>
        <v>4.3242722302122516</v>
      </c>
      <c r="F30" s="335">
        <v>-31275392</v>
      </c>
      <c r="G30" s="932"/>
      <c r="H30" s="335"/>
      <c r="I30" s="335"/>
      <c r="J30" s="335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</row>
    <row r="31" spans="1:51" ht="18" customHeight="1">
      <c r="A31" s="377" t="s">
        <v>673</v>
      </c>
      <c r="B31" s="806"/>
      <c r="C31" s="806">
        <v>-1433156.8499999996</v>
      </c>
      <c r="D31" s="335">
        <v>-2182177</v>
      </c>
      <c r="E31" s="376">
        <f>C31/D31*100</f>
        <v>65.675554732727889</v>
      </c>
      <c r="F31" s="335"/>
      <c r="G31" s="932"/>
      <c r="H31" s="335"/>
      <c r="I31" s="335"/>
      <c r="J31" s="335"/>
    </row>
    <row r="32" spans="1:51">
      <c r="A32" s="378"/>
      <c r="B32" s="807"/>
      <c r="C32" s="807">
        <f>SUM(C29:C31)</f>
        <v>-1057391.6474135243</v>
      </c>
      <c r="D32" s="380">
        <f>SUM(D29:D31)</f>
        <v>4554103</v>
      </c>
      <c r="E32" s="379">
        <f>C32/D32*100</f>
        <v>-23.218439447099119</v>
      </c>
      <c r="F32" s="380"/>
      <c r="G32" s="932"/>
      <c r="H32" s="320"/>
      <c r="I32" s="320"/>
      <c r="J32" s="320"/>
    </row>
    <row r="34" spans="6:16">
      <c r="F34" s="387"/>
      <c r="H34" s="387"/>
      <c r="I34" s="387"/>
      <c r="J34" s="387"/>
      <c r="K34" s="89"/>
      <c r="P34" s="616"/>
    </row>
  </sheetData>
  <phoneticPr fontId="25" type="noConversion"/>
  <printOptions horizontalCentered="1"/>
  <pageMargins left="0.5" right="0.5" top="0.75" bottom="0.55000000000000004" header="0.5" footer="0.38"/>
  <pageSetup scale="1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R105"/>
  <sheetViews>
    <sheetView workbookViewId="0">
      <pane xSplit="3" ySplit="4" topLeftCell="D92" activePane="bottomRight" state="frozen"/>
      <selection activeCell="L19" sqref="L19"/>
      <selection pane="topRight" activeCell="L19" sqref="L19"/>
      <selection pane="bottomLeft" activeCell="L19" sqref="L19"/>
      <selection pane="bottomRight" activeCell="C71" sqref="C71"/>
    </sheetView>
  </sheetViews>
  <sheetFormatPr defaultColWidth="8.125" defaultRowHeight="15.75"/>
  <cols>
    <col min="1" max="1" width="8.125" style="351"/>
    <col min="2" max="2" width="4.125" style="10" customWidth="1"/>
    <col min="3" max="3" width="36.625" style="10" customWidth="1"/>
    <col min="4" max="15" width="11.125" style="10" customWidth="1"/>
    <col min="16" max="16" width="10.125" style="10" bestFit="1" customWidth="1"/>
    <col min="17" max="17" width="12" style="10" customWidth="1"/>
    <col min="18" max="16384" width="8.125" style="10"/>
  </cols>
  <sheetData>
    <row r="2" spans="1:18" s="351" customFormat="1">
      <c r="A2" s="963" t="s">
        <v>1357</v>
      </c>
      <c r="B2" s="964"/>
      <c r="C2" s="964"/>
      <c r="D2" s="1009">
        <v>2021</v>
      </c>
      <c r="E2" s="1009">
        <v>2021</v>
      </c>
      <c r="F2" s="1009">
        <v>2021</v>
      </c>
      <c r="G2" s="1009">
        <v>2021</v>
      </c>
      <c r="H2" s="1009">
        <v>2021</v>
      </c>
      <c r="I2" s="1009">
        <v>2021</v>
      </c>
      <c r="J2" s="1009">
        <v>2021</v>
      </c>
      <c r="K2" s="1009">
        <v>2021</v>
      </c>
      <c r="L2" s="1009">
        <v>2021</v>
      </c>
      <c r="M2" s="1009">
        <v>2021</v>
      </c>
      <c r="N2" s="1009">
        <v>2021</v>
      </c>
      <c r="O2" s="1009">
        <v>2021</v>
      </c>
      <c r="Q2" s="10"/>
    </row>
    <row r="3" spans="1:18" s="351" customFormat="1">
      <c r="A3" s="351" t="s">
        <v>1358</v>
      </c>
      <c r="B3" s="1010"/>
      <c r="C3" s="966"/>
      <c r="D3" s="967">
        <v>1</v>
      </c>
      <c r="E3" s="967">
        <v>2</v>
      </c>
      <c r="F3" s="967">
        <v>3</v>
      </c>
      <c r="G3" s="967">
        <v>4</v>
      </c>
      <c r="H3" s="967">
        <v>5</v>
      </c>
      <c r="I3" s="967">
        <v>6</v>
      </c>
      <c r="J3" s="967">
        <v>7</v>
      </c>
      <c r="K3" s="967">
        <v>8</v>
      </c>
      <c r="L3" s="967">
        <v>9</v>
      </c>
      <c r="M3" s="967">
        <v>10</v>
      </c>
      <c r="N3" s="967">
        <v>11</v>
      </c>
      <c r="O3" s="967">
        <v>12</v>
      </c>
      <c r="Q3" s="10"/>
    </row>
    <row r="4" spans="1:18" s="351" customFormat="1" ht="12.75">
      <c r="D4" s="968">
        <v>44197</v>
      </c>
      <c r="E4" s="968">
        <v>44228</v>
      </c>
      <c r="F4" s="968">
        <v>44256</v>
      </c>
      <c r="G4" s="968">
        <v>44287</v>
      </c>
      <c r="H4" s="968">
        <v>44317</v>
      </c>
      <c r="I4" s="968">
        <v>44348</v>
      </c>
      <c r="J4" s="968">
        <v>44378</v>
      </c>
      <c r="K4" s="968">
        <v>44409</v>
      </c>
      <c r="L4" s="968">
        <v>44440</v>
      </c>
      <c r="M4" s="968">
        <v>44470</v>
      </c>
      <c r="N4" s="968">
        <v>44501</v>
      </c>
      <c r="O4" s="968">
        <v>44531</v>
      </c>
      <c r="Q4" s="969">
        <v>2021</v>
      </c>
    </row>
    <row r="5" spans="1:18">
      <c r="B5" s="1011"/>
    </row>
    <row r="6" spans="1:18">
      <c r="B6" s="351" t="s">
        <v>103</v>
      </c>
    </row>
    <row r="7" spans="1:18" s="965" customFormat="1">
      <c r="A7" s="351">
        <v>1</v>
      </c>
      <c r="B7" s="351"/>
      <c r="C7" s="351" t="s">
        <v>121</v>
      </c>
      <c r="D7" s="967">
        <v>771811.52503334091</v>
      </c>
      <c r="E7" s="967">
        <v>772214.19374090387</v>
      </c>
      <c r="F7" s="967">
        <v>772541.95408138924</v>
      </c>
      <c r="G7" s="967">
        <v>773072.99203440512</v>
      </c>
      <c r="H7" s="967">
        <v>773925.06572753552</v>
      </c>
      <c r="I7" s="967">
        <v>775021.14098520111</v>
      </c>
      <c r="J7" s="967">
        <v>777826.45976671297</v>
      </c>
      <c r="K7" s="967">
        <v>782781.88254012947</v>
      </c>
      <c r="L7" s="967">
        <v>784021.48546547198</v>
      </c>
      <c r="M7" s="967">
        <v>785892.21441588469</v>
      </c>
      <c r="N7" s="967">
        <v>787541.60440714459</v>
      </c>
      <c r="O7" s="967">
        <v>788198.56631599891</v>
      </c>
      <c r="P7" s="967">
        <f>SUM(D7:O7)</f>
        <v>9344849.0845141169</v>
      </c>
      <c r="Q7" s="1012">
        <v>778737</v>
      </c>
      <c r="R7" s="1021"/>
    </row>
    <row r="8" spans="1:18" s="965" customFormat="1">
      <c r="A8" s="351">
        <v>2</v>
      </c>
      <c r="B8" s="351"/>
      <c r="C8" s="351" t="s">
        <v>451</v>
      </c>
      <c r="D8" s="1013">
        <v>622</v>
      </c>
      <c r="E8" s="1013">
        <v>622</v>
      </c>
      <c r="F8" s="1013">
        <v>622</v>
      </c>
      <c r="G8" s="1013">
        <v>622</v>
      </c>
      <c r="H8" s="1013">
        <v>622</v>
      </c>
      <c r="I8" s="1013">
        <v>622</v>
      </c>
      <c r="J8" s="1013">
        <v>622</v>
      </c>
      <c r="K8" s="1013">
        <v>622</v>
      </c>
      <c r="L8" s="1013">
        <v>622</v>
      </c>
      <c r="M8" s="1013">
        <v>622</v>
      </c>
      <c r="N8" s="1013">
        <v>622</v>
      </c>
      <c r="O8" s="1013">
        <v>622</v>
      </c>
      <c r="P8" s="967">
        <f t="shared" ref="P8:P27" si="0">SUM(D8:O8)</f>
        <v>7464</v>
      </c>
      <c r="Q8" s="1012">
        <v>622</v>
      </c>
      <c r="R8" s="1021"/>
    </row>
    <row r="9" spans="1:18" s="965" customFormat="1">
      <c r="A9" s="351">
        <v>3</v>
      </c>
      <c r="B9" s="351"/>
      <c r="C9" s="351" t="s">
        <v>452</v>
      </c>
      <c r="D9" s="1014">
        <v>18654</v>
      </c>
      <c r="E9" s="1014">
        <v>19513</v>
      </c>
      <c r="F9" s="1014">
        <v>20277</v>
      </c>
      <c r="G9" s="1014">
        <v>20734</v>
      </c>
      <c r="H9" s="1014">
        <v>20647</v>
      </c>
      <c r="I9" s="1014">
        <v>20297</v>
      </c>
      <c r="J9" s="1014">
        <v>18756</v>
      </c>
      <c r="K9" s="1014">
        <v>15065</v>
      </c>
      <c r="L9" s="1014">
        <v>15277</v>
      </c>
      <c r="M9" s="1014">
        <v>15058</v>
      </c>
      <c r="N9" s="1014">
        <v>15594</v>
      </c>
      <c r="O9" s="1014">
        <v>16451</v>
      </c>
      <c r="P9" s="967">
        <f t="shared" si="0"/>
        <v>216323</v>
      </c>
      <c r="Q9" s="1012">
        <v>18027</v>
      </c>
      <c r="R9" s="1021"/>
    </row>
    <row r="10" spans="1:18" s="965" customFormat="1">
      <c r="A10" s="351">
        <v>4</v>
      </c>
      <c r="B10" s="351"/>
      <c r="C10" s="351" t="s">
        <v>113</v>
      </c>
      <c r="D10" s="1014">
        <v>312</v>
      </c>
      <c r="E10" s="1014">
        <v>313</v>
      </c>
      <c r="F10" s="1014">
        <v>313</v>
      </c>
      <c r="G10" s="1014">
        <v>314</v>
      </c>
      <c r="H10" s="1014">
        <v>314</v>
      </c>
      <c r="I10" s="1014">
        <v>315</v>
      </c>
      <c r="J10" s="1014">
        <v>315</v>
      </c>
      <c r="K10" s="1014">
        <v>316</v>
      </c>
      <c r="L10" s="1014">
        <v>316</v>
      </c>
      <c r="M10" s="1014">
        <v>317</v>
      </c>
      <c r="N10" s="1014">
        <v>317</v>
      </c>
      <c r="O10" s="1014">
        <v>318</v>
      </c>
      <c r="P10" s="967">
        <f t="shared" si="0"/>
        <v>3780</v>
      </c>
      <c r="Q10" s="1012">
        <v>315</v>
      </c>
      <c r="R10" s="1021"/>
    </row>
    <row r="11" spans="1:18" s="965" customFormat="1">
      <c r="A11" s="351">
        <v>5</v>
      </c>
      <c r="B11" s="351"/>
      <c r="C11" s="351" t="s">
        <v>453</v>
      </c>
      <c r="D11" s="1013">
        <v>29</v>
      </c>
      <c r="E11" s="1013">
        <v>29</v>
      </c>
      <c r="F11" s="1013">
        <v>29</v>
      </c>
      <c r="G11" s="1013">
        <v>29</v>
      </c>
      <c r="H11" s="1013">
        <v>29</v>
      </c>
      <c r="I11" s="1013">
        <v>29</v>
      </c>
      <c r="J11" s="1013">
        <v>29</v>
      </c>
      <c r="K11" s="1013">
        <v>29</v>
      </c>
      <c r="L11" s="1013">
        <v>29</v>
      </c>
      <c r="M11" s="1013">
        <v>29</v>
      </c>
      <c r="N11" s="1013">
        <v>29</v>
      </c>
      <c r="O11" s="1013">
        <v>29</v>
      </c>
      <c r="P11" s="967">
        <f t="shared" si="0"/>
        <v>348</v>
      </c>
      <c r="Q11" s="1012">
        <v>29</v>
      </c>
      <c r="R11" s="1021"/>
    </row>
    <row r="12" spans="1:18" s="965" customFormat="1">
      <c r="A12" s="351">
        <v>6</v>
      </c>
      <c r="B12" s="351"/>
      <c r="C12" s="351" t="s">
        <v>454</v>
      </c>
      <c r="D12" s="1013">
        <v>1</v>
      </c>
      <c r="E12" s="1013">
        <v>1</v>
      </c>
      <c r="F12" s="1013">
        <v>1</v>
      </c>
      <c r="G12" s="1013">
        <v>1</v>
      </c>
      <c r="H12" s="1013">
        <v>1</v>
      </c>
      <c r="I12" s="1013">
        <v>1</v>
      </c>
      <c r="J12" s="1013">
        <v>1</v>
      </c>
      <c r="K12" s="1013">
        <v>1</v>
      </c>
      <c r="L12" s="1013">
        <v>1</v>
      </c>
      <c r="M12" s="1013">
        <v>1</v>
      </c>
      <c r="N12" s="1013">
        <v>1</v>
      </c>
      <c r="O12" s="1013">
        <v>1</v>
      </c>
      <c r="P12" s="967">
        <f t="shared" si="0"/>
        <v>12</v>
      </c>
      <c r="Q12" s="1012">
        <v>1</v>
      </c>
      <c r="R12" s="1021"/>
    </row>
    <row r="13" spans="1:18" s="965" customFormat="1">
      <c r="A13" s="351">
        <v>7</v>
      </c>
      <c r="B13" s="351"/>
      <c r="C13" s="351" t="s">
        <v>455</v>
      </c>
      <c r="D13" s="1014">
        <v>2226</v>
      </c>
      <c r="E13" s="1014">
        <v>2222</v>
      </c>
      <c r="F13" s="1014">
        <v>2218</v>
      </c>
      <c r="G13" s="1014">
        <v>2214</v>
      </c>
      <c r="H13" s="1014">
        <v>2210</v>
      </c>
      <c r="I13" s="1014">
        <v>2206</v>
      </c>
      <c r="J13" s="1014">
        <v>2203</v>
      </c>
      <c r="K13" s="1014">
        <v>2199</v>
      </c>
      <c r="L13" s="1014">
        <v>2195</v>
      </c>
      <c r="M13" s="1014">
        <v>2191</v>
      </c>
      <c r="N13" s="1014">
        <v>2187</v>
      </c>
      <c r="O13" s="1014">
        <v>2183</v>
      </c>
      <c r="P13" s="967">
        <f t="shared" si="0"/>
        <v>26454</v>
      </c>
      <c r="Q13" s="1012">
        <v>2205</v>
      </c>
      <c r="R13" s="1021"/>
    </row>
    <row r="14" spans="1:18" s="965" customFormat="1">
      <c r="A14" s="351">
        <v>8</v>
      </c>
      <c r="B14" s="351"/>
      <c r="C14" s="351" t="s">
        <v>112</v>
      </c>
      <c r="D14" s="967">
        <v>14307</v>
      </c>
      <c r="E14" s="967">
        <v>14318</v>
      </c>
      <c r="F14" s="967">
        <v>14306</v>
      </c>
      <c r="G14" s="967">
        <v>14301</v>
      </c>
      <c r="H14" s="967">
        <v>14354</v>
      </c>
      <c r="I14" s="967">
        <v>14423</v>
      </c>
      <c r="J14" s="967">
        <v>14447</v>
      </c>
      <c r="K14" s="967">
        <v>14560</v>
      </c>
      <c r="L14" s="967">
        <v>14522</v>
      </c>
      <c r="M14" s="967">
        <v>14587</v>
      </c>
      <c r="N14" s="967">
        <v>14530</v>
      </c>
      <c r="O14" s="967">
        <v>14595</v>
      </c>
      <c r="P14" s="967">
        <f t="shared" si="0"/>
        <v>173250</v>
      </c>
      <c r="Q14" s="1012">
        <v>14438</v>
      </c>
      <c r="R14" s="1021"/>
    </row>
    <row r="15" spans="1:18" s="965" customFormat="1">
      <c r="A15" s="351">
        <v>9</v>
      </c>
      <c r="B15" s="351"/>
      <c r="C15" s="351" t="s">
        <v>459</v>
      </c>
      <c r="D15" s="1013">
        <v>2</v>
      </c>
      <c r="E15" s="1013">
        <v>2</v>
      </c>
      <c r="F15" s="1013">
        <v>2</v>
      </c>
      <c r="G15" s="1013">
        <v>2</v>
      </c>
      <c r="H15" s="1013">
        <v>2</v>
      </c>
      <c r="I15" s="1013">
        <v>2</v>
      </c>
      <c r="J15" s="1013">
        <v>2</v>
      </c>
      <c r="K15" s="1013">
        <v>2</v>
      </c>
      <c r="L15" s="1013">
        <v>2</v>
      </c>
      <c r="M15" s="1013">
        <v>2</v>
      </c>
      <c r="N15" s="1013">
        <v>2</v>
      </c>
      <c r="O15" s="1013">
        <v>2</v>
      </c>
      <c r="P15" s="967">
        <f t="shared" si="0"/>
        <v>24</v>
      </c>
      <c r="Q15" s="1012">
        <v>2</v>
      </c>
      <c r="R15" s="1021"/>
    </row>
    <row r="16" spans="1:18" s="965" customFormat="1">
      <c r="A16" s="974">
        <v>50</v>
      </c>
      <c r="B16" s="974"/>
      <c r="C16" s="974" t="s">
        <v>1325</v>
      </c>
      <c r="D16" s="1015">
        <v>0</v>
      </c>
      <c r="E16" s="1015">
        <v>0</v>
      </c>
      <c r="F16" s="1015">
        <v>0</v>
      </c>
      <c r="G16" s="1015">
        <v>0</v>
      </c>
      <c r="H16" s="1015">
        <v>0</v>
      </c>
      <c r="I16" s="1015">
        <v>0</v>
      </c>
      <c r="J16" s="1015">
        <v>0</v>
      </c>
      <c r="K16" s="1015">
        <v>0</v>
      </c>
      <c r="L16" s="1015">
        <v>0</v>
      </c>
      <c r="M16" s="1015">
        <v>0</v>
      </c>
      <c r="N16" s="1015">
        <v>0</v>
      </c>
      <c r="O16" s="1015">
        <v>0</v>
      </c>
      <c r="P16" s="967">
        <f t="shared" si="0"/>
        <v>0</v>
      </c>
      <c r="Q16" s="1012">
        <v>0</v>
      </c>
      <c r="R16" s="1021"/>
    </row>
    <row r="17" spans="1:18" s="351" customFormat="1">
      <c r="A17" s="977">
        <v>1</v>
      </c>
      <c r="B17" s="978"/>
      <c r="C17" s="978" t="s">
        <v>1326</v>
      </c>
      <c r="D17" s="1016">
        <v>34664</v>
      </c>
      <c r="E17" s="1016">
        <v>34664</v>
      </c>
      <c r="F17" s="1016">
        <v>34664</v>
      </c>
      <c r="G17" s="1016">
        <v>34664</v>
      </c>
      <c r="H17" s="1016">
        <v>34664</v>
      </c>
      <c r="I17" s="1016">
        <v>34664</v>
      </c>
      <c r="J17" s="1016">
        <v>34664</v>
      </c>
      <c r="K17" s="1016">
        <v>34664</v>
      </c>
      <c r="L17" s="1016">
        <v>34664</v>
      </c>
      <c r="M17" s="1016">
        <v>34664</v>
      </c>
      <c r="N17" s="1016">
        <v>34664</v>
      </c>
      <c r="O17" s="1016">
        <v>34664</v>
      </c>
      <c r="P17" s="967">
        <f t="shared" si="0"/>
        <v>415968</v>
      </c>
      <c r="Q17" s="1012">
        <v>34664</v>
      </c>
      <c r="R17" s="1021"/>
    </row>
    <row r="18" spans="1:18" s="351" customFormat="1">
      <c r="A18" s="979">
        <v>2</v>
      </c>
      <c r="B18" s="974"/>
      <c r="C18" s="974" t="s">
        <v>1327</v>
      </c>
      <c r="D18" s="1015">
        <v>0</v>
      </c>
      <c r="E18" s="1015">
        <v>0</v>
      </c>
      <c r="F18" s="1015">
        <v>0</v>
      </c>
      <c r="G18" s="1015">
        <v>0</v>
      </c>
      <c r="H18" s="1015">
        <v>0</v>
      </c>
      <c r="I18" s="1015">
        <v>0</v>
      </c>
      <c r="J18" s="1015">
        <v>0</v>
      </c>
      <c r="K18" s="1015">
        <v>0</v>
      </c>
      <c r="L18" s="1015">
        <v>0</v>
      </c>
      <c r="M18" s="1015">
        <v>0</v>
      </c>
      <c r="N18" s="1015">
        <v>0</v>
      </c>
      <c r="O18" s="1015">
        <v>0</v>
      </c>
      <c r="P18" s="967">
        <f t="shared" si="0"/>
        <v>0</v>
      </c>
      <c r="Q18" s="1012">
        <v>0</v>
      </c>
      <c r="R18" s="1021"/>
    </row>
    <row r="19" spans="1:18" s="351" customFormat="1">
      <c r="A19" s="977">
        <v>3</v>
      </c>
      <c r="B19" s="978"/>
      <c r="C19" s="978" t="s">
        <v>1328</v>
      </c>
      <c r="D19" s="1016">
        <v>204</v>
      </c>
      <c r="E19" s="1016">
        <v>204</v>
      </c>
      <c r="F19" s="1016">
        <v>204</v>
      </c>
      <c r="G19" s="1016">
        <v>204</v>
      </c>
      <c r="H19" s="1016">
        <v>204</v>
      </c>
      <c r="I19" s="1016">
        <v>204</v>
      </c>
      <c r="J19" s="1016">
        <v>204</v>
      </c>
      <c r="K19" s="1016">
        <v>204</v>
      </c>
      <c r="L19" s="1016">
        <v>204</v>
      </c>
      <c r="M19" s="1016">
        <v>204</v>
      </c>
      <c r="N19" s="1016">
        <v>204</v>
      </c>
      <c r="O19" s="1016">
        <v>204</v>
      </c>
      <c r="P19" s="967">
        <f t="shared" si="0"/>
        <v>2448</v>
      </c>
      <c r="Q19" s="1012">
        <v>204</v>
      </c>
      <c r="R19" s="1021"/>
    </row>
    <row r="20" spans="1:18" s="351" customFormat="1">
      <c r="A20" s="977">
        <v>4</v>
      </c>
      <c r="B20" s="978"/>
      <c r="C20" s="978" t="s">
        <v>1329</v>
      </c>
      <c r="D20" s="1016">
        <v>17</v>
      </c>
      <c r="E20" s="1016">
        <v>17</v>
      </c>
      <c r="F20" s="1016">
        <v>17</v>
      </c>
      <c r="G20" s="1016">
        <v>17</v>
      </c>
      <c r="H20" s="1016">
        <v>17</v>
      </c>
      <c r="I20" s="1016">
        <v>17</v>
      </c>
      <c r="J20" s="1016">
        <v>17</v>
      </c>
      <c r="K20" s="1016">
        <v>17</v>
      </c>
      <c r="L20" s="1016">
        <v>17</v>
      </c>
      <c r="M20" s="1016">
        <v>17</v>
      </c>
      <c r="N20" s="1016">
        <v>17</v>
      </c>
      <c r="O20" s="1016">
        <v>17</v>
      </c>
      <c r="P20" s="967">
        <f t="shared" si="0"/>
        <v>204</v>
      </c>
      <c r="Q20" s="1012">
        <v>17</v>
      </c>
      <c r="R20" s="1021"/>
    </row>
    <row r="21" spans="1:18" s="351" customFormat="1">
      <c r="A21" s="977">
        <v>5</v>
      </c>
      <c r="B21" s="978"/>
      <c r="C21" s="978" t="s">
        <v>1330</v>
      </c>
      <c r="D21" s="1016">
        <v>1</v>
      </c>
      <c r="E21" s="1016">
        <v>1</v>
      </c>
      <c r="F21" s="1016">
        <v>1</v>
      </c>
      <c r="G21" s="1016">
        <v>1</v>
      </c>
      <c r="H21" s="1016">
        <v>1</v>
      </c>
      <c r="I21" s="1016">
        <v>1</v>
      </c>
      <c r="J21" s="1016">
        <v>1</v>
      </c>
      <c r="K21" s="1016">
        <v>1</v>
      </c>
      <c r="L21" s="1016">
        <v>1</v>
      </c>
      <c r="M21" s="1016">
        <v>1</v>
      </c>
      <c r="N21" s="1016">
        <v>1</v>
      </c>
      <c r="O21" s="1016">
        <v>1</v>
      </c>
      <c r="P21" s="967">
        <f t="shared" si="0"/>
        <v>12</v>
      </c>
      <c r="Q21" s="1012">
        <v>1</v>
      </c>
      <c r="R21" s="1021"/>
    </row>
    <row r="22" spans="1:18" s="351" customFormat="1">
      <c r="A22" s="977">
        <v>6</v>
      </c>
      <c r="B22" s="978"/>
      <c r="C22" s="978" t="s">
        <v>1331</v>
      </c>
      <c r="D22" s="1016">
        <v>493</v>
      </c>
      <c r="E22" s="1016">
        <v>493</v>
      </c>
      <c r="F22" s="1016">
        <v>493</v>
      </c>
      <c r="G22" s="1016">
        <v>493</v>
      </c>
      <c r="H22" s="1016">
        <v>493</v>
      </c>
      <c r="I22" s="1016">
        <v>493</v>
      </c>
      <c r="J22" s="1016">
        <v>493</v>
      </c>
      <c r="K22" s="1016">
        <v>493</v>
      </c>
      <c r="L22" s="1016">
        <v>493</v>
      </c>
      <c r="M22" s="1016">
        <v>493</v>
      </c>
      <c r="N22" s="1016">
        <v>493</v>
      </c>
      <c r="O22" s="1016">
        <v>493</v>
      </c>
      <c r="P22" s="967">
        <f t="shared" si="0"/>
        <v>5916</v>
      </c>
      <c r="Q22" s="1012">
        <v>493</v>
      </c>
      <c r="R22" s="1021"/>
    </row>
    <row r="23" spans="1:18" s="351" customFormat="1">
      <c r="A23" s="980">
        <v>1</v>
      </c>
      <c r="B23" s="981"/>
      <c r="C23" s="981" t="s">
        <v>1332</v>
      </c>
      <c r="D23" s="1016">
        <v>24566</v>
      </c>
      <c r="E23" s="1016">
        <v>24701</v>
      </c>
      <c r="F23" s="1016">
        <v>24836</v>
      </c>
      <c r="G23" s="1016">
        <v>24971</v>
      </c>
      <c r="H23" s="1016">
        <v>25106</v>
      </c>
      <c r="I23" s="1016">
        <v>25241</v>
      </c>
      <c r="J23" s="1016">
        <v>25376</v>
      </c>
      <c r="K23" s="1016">
        <v>25511</v>
      </c>
      <c r="L23" s="1016">
        <v>25646</v>
      </c>
      <c r="M23" s="1016">
        <v>25781</v>
      </c>
      <c r="N23" s="1016">
        <v>25916</v>
      </c>
      <c r="O23" s="1016">
        <v>26051</v>
      </c>
      <c r="P23" s="967">
        <f t="shared" si="0"/>
        <v>303702</v>
      </c>
      <c r="Q23" s="1012">
        <v>25309</v>
      </c>
      <c r="R23" s="1021"/>
    </row>
    <row r="24" spans="1:18" s="351" customFormat="1">
      <c r="A24" s="980">
        <v>2</v>
      </c>
      <c r="B24" s="981"/>
      <c r="C24" s="981" t="s">
        <v>1333</v>
      </c>
      <c r="D24" s="1016">
        <v>26</v>
      </c>
      <c r="E24" s="1016">
        <v>26</v>
      </c>
      <c r="F24" s="1016">
        <v>26</v>
      </c>
      <c r="G24" s="1016">
        <v>26</v>
      </c>
      <c r="H24" s="1016">
        <v>27</v>
      </c>
      <c r="I24" s="1016">
        <v>27</v>
      </c>
      <c r="J24" s="1016">
        <v>27</v>
      </c>
      <c r="K24" s="1016">
        <v>27</v>
      </c>
      <c r="L24" s="1016">
        <v>27</v>
      </c>
      <c r="M24" s="1016">
        <v>27</v>
      </c>
      <c r="N24" s="1016">
        <v>28</v>
      </c>
      <c r="O24" s="1016">
        <v>28</v>
      </c>
      <c r="P24" s="967">
        <f t="shared" si="0"/>
        <v>322</v>
      </c>
      <c r="Q24" s="1012">
        <v>27</v>
      </c>
      <c r="R24" s="1021"/>
    </row>
    <row r="25" spans="1:18" s="351" customFormat="1">
      <c r="A25" s="980">
        <v>3</v>
      </c>
      <c r="B25" s="981"/>
      <c r="C25" s="981" t="s">
        <v>1334</v>
      </c>
      <c r="D25" s="1016">
        <v>269</v>
      </c>
      <c r="E25" s="1016">
        <v>271</v>
      </c>
      <c r="F25" s="1016">
        <v>272</v>
      </c>
      <c r="G25" s="1016">
        <v>274</v>
      </c>
      <c r="H25" s="1016">
        <v>275</v>
      </c>
      <c r="I25" s="1016">
        <v>277</v>
      </c>
      <c r="J25" s="1016">
        <v>278</v>
      </c>
      <c r="K25" s="1016">
        <v>280</v>
      </c>
      <c r="L25" s="1016">
        <v>281</v>
      </c>
      <c r="M25" s="1016">
        <v>283</v>
      </c>
      <c r="N25" s="1016">
        <v>284</v>
      </c>
      <c r="O25" s="1016">
        <v>286</v>
      </c>
      <c r="P25" s="967">
        <f t="shared" si="0"/>
        <v>3330</v>
      </c>
      <c r="Q25" s="1012">
        <v>278</v>
      </c>
      <c r="R25" s="1021"/>
    </row>
    <row r="26" spans="1:18" s="351" customFormat="1">
      <c r="A26" s="980">
        <v>4</v>
      </c>
      <c r="B26" s="981"/>
      <c r="C26" s="981" t="s">
        <v>1335</v>
      </c>
      <c r="D26" s="1016">
        <v>26</v>
      </c>
      <c r="E26" s="1016">
        <v>26</v>
      </c>
      <c r="F26" s="1016">
        <v>26</v>
      </c>
      <c r="G26" s="1016">
        <v>26</v>
      </c>
      <c r="H26" s="1016">
        <v>27</v>
      </c>
      <c r="I26" s="1016">
        <v>27</v>
      </c>
      <c r="J26" s="1016">
        <v>27</v>
      </c>
      <c r="K26" s="1016">
        <v>27</v>
      </c>
      <c r="L26" s="1016">
        <v>27</v>
      </c>
      <c r="M26" s="1016">
        <v>27</v>
      </c>
      <c r="N26" s="1016">
        <v>28</v>
      </c>
      <c r="O26" s="1016">
        <v>28</v>
      </c>
      <c r="P26" s="967">
        <f t="shared" si="0"/>
        <v>322</v>
      </c>
      <c r="Q26" s="1012">
        <v>27</v>
      </c>
      <c r="R26" s="1021"/>
    </row>
    <row r="27" spans="1:18" s="351" customFormat="1" ht="12.75">
      <c r="A27" s="1001"/>
      <c r="B27" s="1001" t="s">
        <v>114</v>
      </c>
      <c r="C27" s="1001"/>
      <c r="D27" s="1007">
        <v>868230.52503334091</v>
      </c>
      <c r="E27" s="1007">
        <v>869637.19374090387</v>
      </c>
      <c r="F27" s="1007">
        <v>870848.95408138924</v>
      </c>
      <c r="G27" s="1007">
        <v>871965.99203440512</v>
      </c>
      <c r="H27" s="1007">
        <v>872918.06572753552</v>
      </c>
      <c r="I27" s="1007">
        <v>873867.14098520111</v>
      </c>
      <c r="J27" s="1007">
        <v>875288.45976671297</v>
      </c>
      <c r="K27" s="1007">
        <v>876799.88254012947</v>
      </c>
      <c r="L27" s="1007">
        <v>878345.48546547198</v>
      </c>
      <c r="M27" s="1007">
        <v>880196.21441588469</v>
      </c>
      <c r="N27" s="1007">
        <v>882458.60440714459</v>
      </c>
      <c r="O27" s="1007">
        <v>884171.56631599891</v>
      </c>
      <c r="P27" s="967">
        <f t="shared" si="0"/>
        <v>10504728.084514119</v>
      </c>
      <c r="Q27" s="984">
        <v>875396</v>
      </c>
    </row>
    <row r="28" spans="1:18" s="351" customFormat="1" ht="12.75">
      <c r="A28" s="985"/>
      <c r="B28" s="985" t="s">
        <v>1336</v>
      </c>
      <c r="C28" s="985"/>
      <c r="D28" s="1002">
        <v>811005.52503334091</v>
      </c>
      <c r="E28" s="1002">
        <v>811556.19374090387</v>
      </c>
      <c r="F28" s="1002">
        <v>812007.95408138924</v>
      </c>
      <c r="G28" s="1002">
        <v>812670.99203440512</v>
      </c>
      <c r="H28" s="1002">
        <v>813714.06572753552</v>
      </c>
      <c r="I28" s="1002">
        <v>815016.14098520111</v>
      </c>
      <c r="J28" s="1002">
        <v>817981.45976671297</v>
      </c>
      <c r="K28" s="1002">
        <v>823186.88254012947</v>
      </c>
      <c r="L28" s="1002">
        <v>824524.48546547198</v>
      </c>
      <c r="M28" s="1002">
        <v>826597.21441588469</v>
      </c>
      <c r="N28" s="1002">
        <v>828327.60440714459</v>
      </c>
      <c r="O28" s="1002">
        <v>829186.56631599891</v>
      </c>
      <c r="Q28" s="984"/>
    </row>
    <row r="29" spans="1:18">
      <c r="C29" s="351"/>
      <c r="D29" s="1007">
        <v>24887</v>
      </c>
      <c r="E29" s="1007">
        <v>25024</v>
      </c>
      <c r="F29" s="1007">
        <v>25160</v>
      </c>
      <c r="G29" s="1007">
        <v>25297</v>
      </c>
      <c r="H29" s="1007">
        <v>25435</v>
      </c>
      <c r="I29" s="1007">
        <v>25572</v>
      </c>
      <c r="J29" s="1007">
        <v>25708</v>
      </c>
      <c r="K29" s="1007">
        <v>25845</v>
      </c>
      <c r="L29" s="1007">
        <v>25981</v>
      </c>
      <c r="M29" s="1007">
        <v>26118</v>
      </c>
      <c r="N29" s="1007">
        <v>26256</v>
      </c>
      <c r="O29" s="1007">
        <v>26393</v>
      </c>
      <c r="Q29" s="1012"/>
    </row>
    <row r="30" spans="1:18">
      <c r="B30" s="351" t="s">
        <v>104</v>
      </c>
      <c r="Q30" s="1012"/>
    </row>
    <row r="31" spans="1:18" s="351" customFormat="1">
      <c r="A31" s="351">
        <v>10</v>
      </c>
      <c r="C31" s="351" t="s">
        <v>113</v>
      </c>
      <c r="D31" s="1014">
        <v>11789</v>
      </c>
      <c r="E31" s="1014">
        <v>11789</v>
      </c>
      <c r="F31" s="1014">
        <v>11789</v>
      </c>
      <c r="G31" s="1014">
        <v>11789</v>
      </c>
      <c r="H31" s="1014">
        <v>11789</v>
      </c>
      <c r="I31" s="1014">
        <v>11789</v>
      </c>
      <c r="J31" s="1014">
        <v>11789</v>
      </c>
      <c r="K31" s="1014">
        <v>11789</v>
      </c>
      <c r="L31" s="1014">
        <v>11789</v>
      </c>
      <c r="M31" s="1014">
        <v>11789</v>
      </c>
      <c r="N31" s="1014">
        <v>11789</v>
      </c>
      <c r="O31" s="1014">
        <v>11789</v>
      </c>
      <c r="P31" s="967">
        <f t="shared" ref="P31:P52" si="1">SUM(D31:O31)</f>
        <v>141468</v>
      </c>
      <c r="Q31" s="1012">
        <v>11789</v>
      </c>
    </row>
    <row r="32" spans="1:18" s="351" customFormat="1">
      <c r="A32" s="351">
        <v>11</v>
      </c>
      <c r="C32" s="351" t="s">
        <v>453</v>
      </c>
      <c r="D32" s="1014">
        <v>2345</v>
      </c>
      <c r="E32" s="1014">
        <v>2348</v>
      </c>
      <c r="F32" s="1014">
        <v>2352</v>
      </c>
      <c r="G32" s="1014">
        <v>2355</v>
      </c>
      <c r="H32" s="1014">
        <v>2359</v>
      </c>
      <c r="I32" s="1014">
        <v>2362</v>
      </c>
      <c r="J32" s="1014">
        <v>2366</v>
      </c>
      <c r="K32" s="1014">
        <v>2369</v>
      </c>
      <c r="L32" s="1014">
        <v>2372</v>
      </c>
      <c r="M32" s="1014">
        <v>2376</v>
      </c>
      <c r="N32" s="1014">
        <v>2379</v>
      </c>
      <c r="O32" s="1014">
        <v>2383</v>
      </c>
      <c r="P32" s="967">
        <f t="shared" si="1"/>
        <v>28366</v>
      </c>
      <c r="Q32" s="1012">
        <v>2364</v>
      </c>
    </row>
    <row r="33" spans="1:17" s="351" customFormat="1">
      <c r="A33" s="351">
        <v>12</v>
      </c>
      <c r="C33" s="351" t="s">
        <v>454</v>
      </c>
      <c r="D33" s="1013">
        <v>14</v>
      </c>
      <c r="E33" s="1013">
        <v>14</v>
      </c>
      <c r="F33" s="1013">
        <v>14</v>
      </c>
      <c r="G33" s="1013">
        <v>14</v>
      </c>
      <c r="H33" s="1013">
        <v>14</v>
      </c>
      <c r="I33" s="1013">
        <v>14</v>
      </c>
      <c r="J33" s="1013">
        <v>14</v>
      </c>
      <c r="K33" s="1013">
        <v>14</v>
      </c>
      <c r="L33" s="1013">
        <v>14</v>
      </c>
      <c r="M33" s="1013">
        <v>14</v>
      </c>
      <c r="N33" s="1013">
        <v>14</v>
      </c>
      <c r="O33" s="1013">
        <v>14</v>
      </c>
      <c r="P33" s="967">
        <f t="shared" si="1"/>
        <v>168</v>
      </c>
      <c r="Q33" s="1012">
        <v>14</v>
      </c>
    </row>
    <row r="34" spans="1:17" s="351" customFormat="1">
      <c r="A34" s="351">
        <v>13</v>
      </c>
      <c r="C34" s="351" t="s">
        <v>455</v>
      </c>
      <c r="D34" s="1014">
        <v>3757</v>
      </c>
      <c r="E34" s="1014">
        <v>3750</v>
      </c>
      <c r="F34" s="1014">
        <v>3744</v>
      </c>
      <c r="G34" s="1014">
        <v>3737</v>
      </c>
      <c r="H34" s="1014">
        <v>3730</v>
      </c>
      <c r="I34" s="1014">
        <v>3723</v>
      </c>
      <c r="J34" s="1014">
        <v>3717</v>
      </c>
      <c r="K34" s="1014">
        <v>3710</v>
      </c>
      <c r="L34" s="1014">
        <v>3703</v>
      </c>
      <c r="M34" s="1014">
        <v>3696</v>
      </c>
      <c r="N34" s="1014">
        <v>3689</v>
      </c>
      <c r="O34" s="1014">
        <v>3683</v>
      </c>
      <c r="P34" s="967">
        <f t="shared" si="1"/>
        <v>44639</v>
      </c>
      <c r="Q34" s="1012">
        <v>3720</v>
      </c>
    </row>
    <row r="35" spans="1:17" s="351" customFormat="1">
      <c r="A35" s="351">
        <v>14</v>
      </c>
      <c r="C35" s="351" t="s">
        <v>568</v>
      </c>
      <c r="D35" s="1013">
        <v>137</v>
      </c>
      <c r="E35" s="1013">
        <v>135</v>
      </c>
      <c r="F35" s="1013">
        <v>131</v>
      </c>
      <c r="G35" s="1013">
        <v>131</v>
      </c>
      <c r="H35" s="1013">
        <v>128</v>
      </c>
      <c r="I35" s="1013">
        <v>131</v>
      </c>
      <c r="J35" s="1013">
        <v>130</v>
      </c>
      <c r="K35" s="1013">
        <v>130</v>
      </c>
      <c r="L35" s="1013">
        <v>131</v>
      </c>
      <c r="M35" s="1013">
        <v>133</v>
      </c>
      <c r="N35" s="1013">
        <v>134</v>
      </c>
      <c r="O35" s="1013">
        <v>136</v>
      </c>
      <c r="P35" s="967">
        <f t="shared" si="1"/>
        <v>1587</v>
      </c>
      <c r="Q35" s="1012">
        <v>132</v>
      </c>
    </row>
    <row r="36" spans="1:17" s="351" customFormat="1">
      <c r="A36" s="351">
        <v>15</v>
      </c>
      <c r="C36" s="351" t="s">
        <v>412</v>
      </c>
      <c r="D36" s="1017">
        <v>41</v>
      </c>
      <c r="E36" s="1017">
        <v>41</v>
      </c>
      <c r="F36" s="1017">
        <v>41</v>
      </c>
      <c r="G36" s="1017">
        <v>41</v>
      </c>
      <c r="H36" s="1017">
        <v>41</v>
      </c>
      <c r="I36" s="1017">
        <v>41</v>
      </c>
      <c r="J36" s="1017">
        <v>41</v>
      </c>
      <c r="K36" s="1017">
        <v>41</v>
      </c>
      <c r="L36" s="1017">
        <v>41</v>
      </c>
      <c r="M36" s="1017">
        <v>41</v>
      </c>
      <c r="N36" s="1017">
        <v>41</v>
      </c>
      <c r="O36" s="1017">
        <v>41</v>
      </c>
      <c r="P36" s="967">
        <f t="shared" si="1"/>
        <v>492</v>
      </c>
      <c r="Q36" s="1012">
        <v>41</v>
      </c>
    </row>
    <row r="37" spans="1:17" s="351" customFormat="1">
      <c r="A37" s="351">
        <v>16</v>
      </c>
      <c r="C37" s="351" t="s">
        <v>456</v>
      </c>
      <c r="D37" s="1013">
        <v>2</v>
      </c>
      <c r="E37" s="1013">
        <v>2</v>
      </c>
      <c r="F37" s="1013">
        <v>2</v>
      </c>
      <c r="G37" s="1013">
        <v>2</v>
      </c>
      <c r="H37" s="1013">
        <v>2</v>
      </c>
      <c r="I37" s="1013">
        <v>2</v>
      </c>
      <c r="J37" s="1013">
        <v>2</v>
      </c>
      <c r="K37" s="1013">
        <v>2</v>
      </c>
      <c r="L37" s="1013">
        <v>2</v>
      </c>
      <c r="M37" s="1013">
        <v>2</v>
      </c>
      <c r="N37" s="1013">
        <v>2</v>
      </c>
      <c r="O37" s="1013">
        <v>2</v>
      </c>
      <c r="P37" s="967">
        <f t="shared" si="1"/>
        <v>24</v>
      </c>
      <c r="Q37" s="1012">
        <v>2</v>
      </c>
    </row>
    <row r="38" spans="1:17" s="351" customFormat="1">
      <c r="A38" s="351">
        <v>17</v>
      </c>
      <c r="C38" s="351" t="s">
        <v>1337</v>
      </c>
      <c r="D38" s="1013">
        <v>20</v>
      </c>
      <c r="E38" s="1013">
        <v>20</v>
      </c>
      <c r="F38" s="1013">
        <v>20</v>
      </c>
      <c r="G38" s="1013">
        <v>20</v>
      </c>
      <c r="H38" s="1013">
        <v>20</v>
      </c>
      <c r="I38" s="1013">
        <v>20</v>
      </c>
      <c r="J38" s="1013">
        <v>20</v>
      </c>
      <c r="K38" s="1013">
        <v>20</v>
      </c>
      <c r="L38" s="1013">
        <v>20</v>
      </c>
      <c r="M38" s="1013">
        <v>20</v>
      </c>
      <c r="N38" s="1013">
        <v>20</v>
      </c>
      <c r="O38" s="1013">
        <v>20</v>
      </c>
      <c r="P38" s="967">
        <f t="shared" si="1"/>
        <v>240</v>
      </c>
      <c r="Q38" s="1012">
        <v>20</v>
      </c>
    </row>
    <row r="39" spans="1:17" s="351" customFormat="1">
      <c r="A39" s="351">
        <v>18</v>
      </c>
      <c r="C39" s="351" t="s">
        <v>1338</v>
      </c>
      <c r="D39" s="1013">
        <v>537</v>
      </c>
      <c r="E39" s="1013">
        <v>537</v>
      </c>
      <c r="F39" s="1013">
        <v>537</v>
      </c>
      <c r="G39" s="1013">
        <v>537</v>
      </c>
      <c r="H39" s="1013">
        <v>537</v>
      </c>
      <c r="I39" s="1013">
        <v>537</v>
      </c>
      <c r="J39" s="1013">
        <v>537</v>
      </c>
      <c r="K39" s="1013">
        <v>537</v>
      </c>
      <c r="L39" s="1013">
        <v>537</v>
      </c>
      <c r="M39" s="1013">
        <v>537</v>
      </c>
      <c r="N39" s="1013">
        <v>537</v>
      </c>
      <c r="O39" s="1013">
        <v>537</v>
      </c>
      <c r="P39" s="967">
        <f t="shared" si="1"/>
        <v>6444</v>
      </c>
      <c r="Q39" s="1012">
        <v>537</v>
      </c>
    </row>
    <row r="40" spans="1:17" s="351" customFormat="1">
      <c r="A40" s="351">
        <v>19</v>
      </c>
      <c r="C40" s="351" t="s">
        <v>600</v>
      </c>
      <c r="D40" s="967">
        <v>1095</v>
      </c>
      <c r="E40" s="967">
        <v>1096</v>
      </c>
      <c r="F40" s="967">
        <v>1073</v>
      </c>
      <c r="G40" s="967">
        <v>1073</v>
      </c>
      <c r="H40" s="967">
        <v>1075</v>
      </c>
      <c r="I40" s="967">
        <v>1077</v>
      </c>
      <c r="J40" s="967">
        <v>1090</v>
      </c>
      <c r="K40" s="967">
        <v>1098</v>
      </c>
      <c r="L40" s="967">
        <v>1096</v>
      </c>
      <c r="M40" s="967">
        <v>1104</v>
      </c>
      <c r="N40" s="967">
        <v>1108</v>
      </c>
      <c r="O40" s="967">
        <v>1110</v>
      </c>
      <c r="P40" s="967">
        <f t="shared" si="1"/>
        <v>13095</v>
      </c>
      <c r="Q40" s="1012">
        <v>1091</v>
      </c>
    </row>
    <row r="41" spans="1:17" s="351" customFormat="1">
      <c r="A41" s="351">
        <v>20</v>
      </c>
      <c r="C41" s="351" t="s">
        <v>112</v>
      </c>
      <c r="D41" s="967">
        <v>76436.802257930976</v>
      </c>
      <c r="E41" s="967">
        <v>76541.231045045701</v>
      </c>
      <c r="F41" s="967">
        <v>76653.694343233394</v>
      </c>
      <c r="G41" s="967">
        <v>76715.828178125666</v>
      </c>
      <c r="H41" s="967">
        <v>76773.445523537521</v>
      </c>
      <c r="I41" s="967">
        <v>76835.395127116339</v>
      </c>
      <c r="J41" s="967">
        <v>76962.699428196051</v>
      </c>
      <c r="K41" s="967">
        <v>77072.20449904236</v>
      </c>
      <c r="L41" s="967">
        <v>77195.330482207937</v>
      </c>
      <c r="M41" s="967">
        <v>77310.105678897817</v>
      </c>
      <c r="N41" s="967">
        <v>77553.658943512681</v>
      </c>
      <c r="O41" s="967">
        <v>77738.93939003488</v>
      </c>
      <c r="P41" s="967">
        <f t="shared" si="1"/>
        <v>923789.33489688137</v>
      </c>
      <c r="Q41" s="1012">
        <v>76982</v>
      </c>
    </row>
    <row r="42" spans="1:17" s="351" customFormat="1">
      <c r="A42" s="351">
        <v>21</v>
      </c>
      <c r="C42" s="351" t="s">
        <v>414</v>
      </c>
      <c r="D42" s="1013">
        <v>4</v>
      </c>
      <c r="E42" s="1013">
        <v>4</v>
      </c>
      <c r="F42" s="1013">
        <v>4</v>
      </c>
      <c r="G42" s="1013">
        <v>4</v>
      </c>
      <c r="H42" s="1013">
        <v>4</v>
      </c>
      <c r="I42" s="1013">
        <v>4</v>
      </c>
      <c r="J42" s="1013">
        <v>4</v>
      </c>
      <c r="K42" s="1013">
        <v>4</v>
      </c>
      <c r="L42" s="1013">
        <v>4</v>
      </c>
      <c r="M42" s="1013">
        <v>4</v>
      </c>
      <c r="N42" s="1013">
        <v>4</v>
      </c>
      <c r="O42" s="1013">
        <v>4</v>
      </c>
      <c r="P42" s="967">
        <f t="shared" si="1"/>
        <v>48</v>
      </c>
      <c r="Q42" s="1012">
        <v>4</v>
      </c>
    </row>
    <row r="43" spans="1:17" s="351" customFormat="1">
      <c r="C43" s="351" t="s">
        <v>1339</v>
      </c>
      <c r="D43" s="1017">
        <v>1</v>
      </c>
      <c r="E43" s="1017">
        <v>1</v>
      </c>
      <c r="F43" s="1017">
        <v>1</v>
      </c>
      <c r="G43" s="1017">
        <v>1</v>
      </c>
      <c r="H43" s="1017">
        <v>1</v>
      </c>
      <c r="I43" s="1017">
        <v>1</v>
      </c>
      <c r="J43" s="1017">
        <v>1</v>
      </c>
      <c r="K43" s="1017">
        <v>1</v>
      </c>
      <c r="L43" s="1017">
        <v>1</v>
      </c>
      <c r="M43" s="1017">
        <v>1</v>
      </c>
      <c r="N43" s="1017">
        <v>1</v>
      </c>
      <c r="O43" s="1017">
        <v>1</v>
      </c>
      <c r="P43" s="967">
        <f t="shared" si="1"/>
        <v>12</v>
      </c>
      <c r="Q43" s="1012">
        <v>1</v>
      </c>
    </row>
    <row r="44" spans="1:17" s="351" customFormat="1">
      <c r="C44" s="351" t="s">
        <v>1340</v>
      </c>
      <c r="D44" s="1017">
        <v>1</v>
      </c>
      <c r="E44" s="1017">
        <v>1</v>
      </c>
      <c r="F44" s="1017">
        <v>1</v>
      </c>
      <c r="G44" s="1017">
        <v>1</v>
      </c>
      <c r="H44" s="1017">
        <v>1</v>
      </c>
      <c r="I44" s="1017">
        <v>1</v>
      </c>
      <c r="J44" s="1017">
        <v>1</v>
      </c>
      <c r="K44" s="1017">
        <v>1</v>
      </c>
      <c r="L44" s="1017">
        <v>1</v>
      </c>
      <c r="M44" s="1017">
        <v>1</v>
      </c>
      <c r="N44" s="1017">
        <v>1</v>
      </c>
      <c r="O44" s="1017">
        <v>1</v>
      </c>
      <c r="P44" s="967">
        <f t="shared" si="1"/>
        <v>12</v>
      </c>
      <c r="Q44" s="1012">
        <v>1</v>
      </c>
    </row>
    <row r="45" spans="1:17" s="351" customFormat="1">
      <c r="A45" s="351">
        <v>22</v>
      </c>
      <c r="C45" s="351" t="s">
        <v>459</v>
      </c>
      <c r="D45" s="1013">
        <v>2</v>
      </c>
      <c r="E45" s="1013">
        <v>2</v>
      </c>
      <c r="F45" s="1013">
        <v>2</v>
      </c>
      <c r="G45" s="1013">
        <v>2</v>
      </c>
      <c r="H45" s="1013">
        <v>2</v>
      </c>
      <c r="I45" s="1013">
        <v>2</v>
      </c>
      <c r="J45" s="1013">
        <v>2</v>
      </c>
      <c r="K45" s="1013">
        <v>2</v>
      </c>
      <c r="L45" s="1013">
        <v>2</v>
      </c>
      <c r="M45" s="1013">
        <v>2</v>
      </c>
      <c r="N45" s="1013">
        <v>2</v>
      </c>
      <c r="O45" s="1013">
        <v>2</v>
      </c>
      <c r="P45" s="967">
        <f t="shared" si="1"/>
        <v>24</v>
      </c>
      <c r="Q45" s="1012">
        <v>2</v>
      </c>
    </row>
    <row r="46" spans="1:17" s="351" customFormat="1">
      <c r="A46" s="977">
        <v>7</v>
      </c>
      <c r="B46" s="977"/>
      <c r="C46" s="990" t="s">
        <v>1329</v>
      </c>
      <c r="D46" s="1016">
        <v>336</v>
      </c>
      <c r="E46" s="1016">
        <v>336</v>
      </c>
      <c r="F46" s="1016">
        <v>336</v>
      </c>
      <c r="G46" s="1016">
        <v>336</v>
      </c>
      <c r="H46" s="1016">
        <v>336</v>
      </c>
      <c r="I46" s="1016">
        <v>336</v>
      </c>
      <c r="J46" s="1016">
        <v>336</v>
      </c>
      <c r="K46" s="1016">
        <v>336</v>
      </c>
      <c r="L46" s="1016">
        <v>336</v>
      </c>
      <c r="M46" s="1016">
        <v>336</v>
      </c>
      <c r="N46" s="1016">
        <v>336</v>
      </c>
      <c r="O46" s="1016">
        <v>336</v>
      </c>
      <c r="P46" s="967">
        <f t="shared" si="1"/>
        <v>4032</v>
      </c>
      <c r="Q46" s="1012">
        <v>336</v>
      </c>
    </row>
    <row r="47" spans="1:17" s="351" customFormat="1">
      <c r="A47" s="977">
        <v>8</v>
      </c>
      <c r="B47" s="977"/>
      <c r="C47" s="990" t="s">
        <v>1330</v>
      </c>
      <c r="D47" s="1016">
        <v>113</v>
      </c>
      <c r="E47" s="1016">
        <v>113</v>
      </c>
      <c r="F47" s="1016">
        <v>113</v>
      </c>
      <c r="G47" s="1016">
        <v>113</v>
      </c>
      <c r="H47" s="1016">
        <v>113</v>
      </c>
      <c r="I47" s="1016">
        <v>113</v>
      </c>
      <c r="J47" s="1016">
        <v>113</v>
      </c>
      <c r="K47" s="1016">
        <v>113</v>
      </c>
      <c r="L47" s="1016">
        <v>113</v>
      </c>
      <c r="M47" s="1016">
        <v>113</v>
      </c>
      <c r="N47" s="1016">
        <v>113</v>
      </c>
      <c r="O47" s="1016">
        <v>113</v>
      </c>
      <c r="P47" s="967">
        <f t="shared" si="1"/>
        <v>1356</v>
      </c>
      <c r="Q47" s="1012">
        <v>113</v>
      </c>
    </row>
    <row r="48" spans="1:17" s="351" customFormat="1">
      <c r="A48" s="977">
        <v>9</v>
      </c>
      <c r="B48" s="977"/>
      <c r="C48" s="990" t="s">
        <v>1341</v>
      </c>
      <c r="D48" s="1016">
        <v>14</v>
      </c>
      <c r="E48" s="1016">
        <v>14</v>
      </c>
      <c r="F48" s="1016">
        <v>14</v>
      </c>
      <c r="G48" s="1016">
        <v>14</v>
      </c>
      <c r="H48" s="1016">
        <v>14</v>
      </c>
      <c r="I48" s="1016">
        <v>14</v>
      </c>
      <c r="J48" s="1016">
        <v>14</v>
      </c>
      <c r="K48" s="1016">
        <v>14</v>
      </c>
      <c r="L48" s="1016">
        <v>14</v>
      </c>
      <c r="M48" s="1016">
        <v>14</v>
      </c>
      <c r="N48" s="1016">
        <v>14</v>
      </c>
      <c r="O48" s="1016">
        <v>14</v>
      </c>
      <c r="P48" s="967">
        <f t="shared" si="1"/>
        <v>168</v>
      </c>
      <c r="Q48" s="1012">
        <v>14</v>
      </c>
    </row>
    <row r="49" spans="1:17" s="351" customFormat="1">
      <c r="A49" s="977">
        <v>10</v>
      </c>
      <c r="B49" s="977"/>
      <c r="C49" s="990" t="s">
        <v>1331</v>
      </c>
      <c r="D49" s="1016">
        <v>1030</v>
      </c>
      <c r="E49" s="1016">
        <v>1030</v>
      </c>
      <c r="F49" s="1016">
        <v>1030</v>
      </c>
      <c r="G49" s="1016">
        <v>1030</v>
      </c>
      <c r="H49" s="1016">
        <v>1030</v>
      </c>
      <c r="I49" s="1016">
        <v>1030</v>
      </c>
      <c r="J49" s="1016">
        <v>1030</v>
      </c>
      <c r="K49" s="1016">
        <v>1030</v>
      </c>
      <c r="L49" s="1016">
        <v>1030</v>
      </c>
      <c r="M49" s="1016">
        <v>1030</v>
      </c>
      <c r="N49" s="1016">
        <v>1030</v>
      </c>
      <c r="O49" s="1016">
        <v>1030</v>
      </c>
      <c r="P49" s="967">
        <f t="shared" si="1"/>
        <v>12360</v>
      </c>
      <c r="Q49" s="1012">
        <v>1030</v>
      </c>
    </row>
    <row r="50" spans="1:17" s="351" customFormat="1">
      <c r="A50" s="980">
        <v>5</v>
      </c>
      <c r="B50" s="980"/>
      <c r="C50" s="981" t="s">
        <v>1342</v>
      </c>
      <c r="D50" s="1016">
        <v>50</v>
      </c>
      <c r="E50" s="1016">
        <v>50</v>
      </c>
      <c r="F50" s="1016">
        <v>51</v>
      </c>
      <c r="G50" s="1016">
        <v>51</v>
      </c>
      <c r="H50" s="1016">
        <v>51</v>
      </c>
      <c r="I50" s="1016">
        <v>51</v>
      </c>
      <c r="J50" s="1016">
        <v>51</v>
      </c>
      <c r="K50" s="1016">
        <v>51</v>
      </c>
      <c r="L50" s="1016">
        <v>51</v>
      </c>
      <c r="M50" s="1016">
        <v>51</v>
      </c>
      <c r="N50" s="1016">
        <v>51</v>
      </c>
      <c r="O50" s="1016">
        <v>52</v>
      </c>
      <c r="P50" s="967">
        <f t="shared" si="1"/>
        <v>611</v>
      </c>
      <c r="Q50" s="1012">
        <v>51</v>
      </c>
    </row>
    <row r="51" spans="1:17" s="351" customFormat="1">
      <c r="A51" s="980">
        <v>6</v>
      </c>
      <c r="B51" s="980"/>
      <c r="C51" s="981" t="s">
        <v>1335</v>
      </c>
      <c r="D51" s="1016">
        <v>101</v>
      </c>
      <c r="E51" s="1016">
        <v>101</v>
      </c>
      <c r="F51" s="1016">
        <v>101</v>
      </c>
      <c r="G51" s="1016">
        <v>101</v>
      </c>
      <c r="H51" s="1016">
        <v>102</v>
      </c>
      <c r="I51" s="1016">
        <v>102</v>
      </c>
      <c r="J51" s="1016">
        <v>102</v>
      </c>
      <c r="K51" s="1016">
        <v>102</v>
      </c>
      <c r="L51" s="1016">
        <v>103</v>
      </c>
      <c r="M51" s="1016">
        <v>103</v>
      </c>
      <c r="N51" s="1016">
        <v>103</v>
      </c>
      <c r="O51" s="1016">
        <v>103</v>
      </c>
      <c r="P51" s="967">
        <f t="shared" si="1"/>
        <v>1224</v>
      </c>
      <c r="Q51" s="1012">
        <v>102</v>
      </c>
    </row>
    <row r="52" spans="1:17" s="351" customFormat="1" ht="12.75">
      <c r="A52" s="1001"/>
      <c r="B52" s="1001" t="s">
        <v>115</v>
      </c>
      <c r="C52" s="1001"/>
      <c r="D52" s="1007">
        <v>97825.802257930976</v>
      </c>
      <c r="E52" s="1007">
        <v>97925.231045045701</v>
      </c>
      <c r="F52" s="1007">
        <v>98009.694343233394</v>
      </c>
      <c r="G52" s="1007">
        <v>98067.828178125666</v>
      </c>
      <c r="H52" s="1007">
        <v>98122.445523537521</v>
      </c>
      <c r="I52" s="1007">
        <v>98185.395127116339</v>
      </c>
      <c r="J52" s="1007">
        <v>98322.699428196051</v>
      </c>
      <c r="K52" s="1007">
        <v>98436.20449904236</v>
      </c>
      <c r="L52" s="1007">
        <v>98555.330482207937</v>
      </c>
      <c r="M52" s="1007">
        <v>98677.105678897817</v>
      </c>
      <c r="N52" s="1007">
        <v>98921.658943512681</v>
      </c>
      <c r="O52" s="1007">
        <v>99109.93939003488</v>
      </c>
      <c r="P52" s="987">
        <f t="shared" si="1"/>
        <v>1180159.3348968814</v>
      </c>
      <c r="Q52" s="984">
        <v>98346</v>
      </c>
    </row>
    <row r="53" spans="1:17" s="351" customFormat="1" ht="12.75">
      <c r="A53" s="985"/>
      <c r="B53" s="985" t="s">
        <v>1343</v>
      </c>
      <c r="C53" s="985"/>
      <c r="D53" s="1002">
        <v>77682.802257930976</v>
      </c>
      <c r="E53" s="1002">
        <v>77788.231045045701</v>
      </c>
      <c r="F53" s="1002">
        <v>77878.694343233394</v>
      </c>
      <c r="G53" s="1002">
        <v>77940.828178125666</v>
      </c>
      <c r="H53" s="1002">
        <v>78001.445523537521</v>
      </c>
      <c r="I53" s="1002">
        <v>78065.395127116339</v>
      </c>
      <c r="J53" s="1002">
        <v>78205.699428196051</v>
      </c>
      <c r="K53" s="1002">
        <v>78323.20449904236</v>
      </c>
      <c r="L53" s="1002">
        <v>78445.330482207937</v>
      </c>
      <c r="M53" s="1002">
        <v>78568.105678897817</v>
      </c>
      <c r="N53" s="1002">
        <v>78815.658943512681</v>
      </c>
      <c r="O53" s="1002">
        <v>79003.93939003488</v>
      </c>
      <c r="Q53" s="984"/>
    </row>
    <row r="54" spans="1:17">
      <c r="C54" s="351"/>
      <c r="D54" s="1007">
        <v>0</v>
      </c>
      <c r="E54" s="1007">
        <v>0</v>
      </c>
      <c r="F54" s="1007">
        <v>0</v>
      </c>
      <c r="G54" s="1007">
        <v>0</v>
      </c>
      <c r="H54" s="1007">
        <v>0</v>
      </c>
      <c r="I54" s="1007">
        <v>0</v>
      </c>
      <c r="J54" s="1007">
        <v>0</v>
      </c>
      <c r="K54" s="1007">
        <v>0</v>
      </c>
      <c r="L54" s="1007">
        <v>0</v>
      </c>
      <c r="M54" s="1007">
        <v>0</v>
      </c>
      <c r="N54" s="1007">
        <v>0</v>
      </c>
      <c r="O54" s="1007">
        <v>0</v>
      </c>
      <c r="Q54" s="1012"/>
    </row>
    <row r="55" spans="1:17">
      <c r="B55" s="351" t="s">
        <v>117</v>
      </c>
      <c r="Q55" s="1012"/>
    </row>
    <row r="56" spans="1:17" s="351" customFormat="1">
      <c r="A56" s="351">
        <v>23</v>
      </c>
      <c r="C56" s="351" t="s">
        <v>113</v>
      </c>
      <c r="D56" s="1013">
        <v>989</v>
      </c>
      <c r="E56" s="1013">
        <v>989</v>
      </c>
      <c r="F56" s="1013">
        <v>989</v>
      </c>
      <c r="G56" s="1013">
        <v>989</v>
      </c>
      <c r="H56" s="1013">
        <v>989</v>
      </c>
      <c r="I56" s="1013">
        <v>989</v>
      </c>
      <c r="J56" s="1013">
        <v>989</v>
      </c>
      <c r="K56" s="1013">
        <v>989</v>
      </c>
      <c r="L56" s="1013">
        <v>989</v>
      </c>
      <c r="M56" s="1013">
        <v>989</v>
      </c>
      <c r="N56" s="1013">
        <v>989</v>
      </c>
      <c r="O56" s="1013">
        <v>989</v>
      </c>
      <c r="P56" s="967">
        <f t="shared" ref="P56:P76" si="2">SUM(D56:O56)</f>
        <v>11868</v>
      </c>
      <c r="Q56" s="1012">
        <v>989</v>
      </c>
    </row>
    <row r="57" spans="1:17" s="351" customFormat="1">
      <c r="A57" s="351">
        <v>24</v>
      </c>
      <c r="C57" s="351" t="s">
        <v>453</v>
      </c>
      <c r="D57" s="1013">
        <v>263</v>
      </c>
      <c r="E57" s="1013">
        <v>263</v>
      </c>
      <c r="F57" s="1013">
        <v>263</v>
      </c>
      <c r="G57" s="1013">
        <v>263</v>
      </c>
      <c r="H57" s="1013">
        <v>263</v>
      </c>
      <c r="I57" s="1013">
        <v>263</v>
      </c>
      <c r="J57" s="1013">
        <v>263</v>
      </c>
      <c r="K57" s="1013">
        <v>263</v>
      </c>
      <c r="L57" s="1013">
        <v>263</v>
      </c>
      <c r="M57" s="1013">
        <v>263</v>
      </c>
      <c r="N57" s="1013">
        <v>263</v>
      </c>
      <c r="O57" s="1013">
        <v>263</v>
      </c>
      <c r="P57" s="967">
        <f t="shared" si="2"/>
        <v>3156</v>
      </c>
      <c r="Q57" s="1012">
        <v>263</v>
      </c>
    </row>
    <row r="58" spans="1:17" s="351" customFormat="1">
      <c r="A58" s="351">
        <v>25</v>
      </c>
      <c r="C58" s="351" t="s">
        <v>454</v>
      </c>
      <c r="D58" s="1015">
        <v>1</v>
      </c>
      <c r="E58" s="1015">
        <v>1</v>
      </c>
      <c r="F58" s="1015">
        <v>1</v>
      </c>
      <c r="G58" s="1015">
        <v>1</v>
      </c>
      <c r="H58" s="1015">
        <v>1</v>
      </c>
      <c r="I58" s="1015">
        <v>1</v>
      </c>
      <c r="J58" s="1015">
        <v>1</v>
      </c>
      <c r="K58" s="1015">
        <v>1</v>
      </c>
      <c r="L58" s="1015">
        <v>1</v>
      </c>
      <c r="M58" s="1015">
        <v>1</v>
      </c>
      <c r="N58" s="1015">
        <v>1</v>
      </c>
      <c r="O58" s="1015">
        <v>1</v>
      </c>
      <c r="P58" s="967">
        <f t="shared" si="2"/>
        <v>12</v>
      </c>
      <c r="Q58" s="1012">
        <v>1</v>
      </c>
    </row>
    <row r="59" spans="1:17" s="351" customFormat="1">
      <c r="A59" s="351">
        <v>26</v>
      </c>
      <c r="C59" s="351" t="s">
        <v>455</v>
      </c>
      <c r="D59" s="1013">
        <v>403</v>
      </c>
      <c r="E59" s="1013">
        <v>403</v>
      </c>
      <c r="F59" s="1013">
        <v>403</v>
      </c>
      <c r="G59" s="1013">
        <v>403</v>
      </c>
      <c r="H59" s="1013">
        <v>403</v>
      </c>
      <c r="I59" s="1013">
        <v>403</v>
      </c>
      <c r="J59" s="1013">
        <v>403</v>
      </c>
      <c r="K59" s="1013">
        <v>403</v>
      </c>
      <c r="L59" s="1013">
        <v>403</v>
      </c>
      <c r="M59" s="1013">
        <v>403</v>
      </c>
      <c r="N59" s="1013">
        <v>403</v>
      </c>
      <c r="O59" s="1013">
        <v>403</v>
      </c>
      <c r="P59" s="967">
        <f t="shared" si="2"/>
        <v>4836</v>
      </c>
      <c r="Q59" s="1012">
        <v>403</v>
      </c>
    </row>
    <row r="60" spans="1:17" s="351" customFormat="1">
      <c r="A60" s="351">
        <v>27</v>
      </c>
      <c r="C60" s="351" t="s">
        <v>568</v>
      </c>
      <c r="D60" s="1013">
        <v>103</v>
      </c>
      <c r="E60" s="1013">
        <v>103</v>
      </c>
      <c r="F60" s="1013">
        <v>103</v>
      </c>
      <c r="G60" s="1013">
        <v>103</v>
      </c>
      <c r="H60" s="1013">
        <v>103</v>
      </c>
      <c r="I60" s="1013">
        <v>103</v>
      </c>
      <c r="J60" s="1013">
        <v>103</v>
      </c>
      <c r="K60" s="1013">
        <v>103</v>
      </c>
      <c r="L60" s="1013">
        <v>103</v>
      </c>
      <c r="M60" s="1013">
        <v>103</v>
      </c>
      <c r="N60" s="1013">
        <v>103</v>
      </c>
      <c r="O60" s="1013">
        <v>103</v>
      </c>
      <c r="P60" s="967">
        <f t="shared" si="2"/>
        <v>1236</v>
      </c>
      <c r="Q60" s="1012">
        <v>103</v>
      </c>
    </row>
    <row r="61" spans="1:17" s="351" customFormat="1">
      <c r="A61" s="351">
        <v>28</v>
      </c>
      <c r="C61" s="351" t="s">
        <v>412</v>
      </c>
      <c r="D61" s="1013">
        <v>115</v>
      </c>
      <c r="E61" s="1013">
        <v>115</v>
      </c>
      <c r="F61" s="1013">
        <v>115</v>
      </c>
      <c r="G61" s="1013">
        <v>115</v>
      </c>
      <c r="H61" s="1013">
        <v>115</v>
      </c>
      <c r="I61" s="1013">
        <v>115</v>
      </c>
      <c r="J61" s="1013">
        <v>115</v>
      </c>
      <c r="K61" s="1013">
        <v>115</v>
      </c>
      <c r="L61" s="1013">
        <v>115</v>
      </c>
      <c r="M61" s="1013">
        <v>115</v>
      </c>
      <c r="N61" s="1013">
        <v>115</v>
      </c>
      <c r="O61" s="1013">
        <v>115</v>
      </c>
      <c r="P61" s="967">
        <f t="shared" si="2"/>
        <v>1380</v>
      </c>
      <c r="Q61" s="1012">
        <v>115</v>
      </c>
    </row>
    <row r="62" spans="1:17" s="351" customFormat="1">
      <c r="A62" s="351">
        <v>29</v>
      </c>
      <c r="C62" s="351" t="s">
        <v>456</v>
      </c>
      <c r="D62" s="1013">
        <v>7</v>
      </c>
      <c r="E62" s="1013">
        <v>7</v>
      </c>
      <c r="F62" s="1013">
        <v>7</v>
      </c>
      <c r="G62" s="1013">
        <v>7</v>
      </c>
      <c r="H62" s="1013">
        <v>7</v>
      </c>
      <c r="I62" s="1013">
        <v>7</v>
      </c>
      <c r="J62" s="1013">
        <v>7</v>
      </c>
      <c r="K62" s="1013">
        <v>7</v>
      </c>
      <c r="L62" s="1013">
        <v>7</v>
      </c>
      <c r="M62" s="1013">
        <v>7</v>
      </c>
      <c r="N62" s="1013">
        <v>7</v>
      </c>
      <c r="O62" s="1013">
        <v>7</v>
      </c>
      <c r="P62" s="967">
        <f t="shared" si="2"/>
        <v>84</v>
      </c>
      <c r="Q62" s="1012">
        <v>7</v>
      </c>
    </row>
    <row r="63" spans="1:17" s="351" customFormat="1">
      <c r="A63" s="351">
        <v>30</v>
      </c>
      <c r="C63" s="351" t="s">
        <v>1338</v>
      </c>
      <c r="D63" s="1013">
        <v>6</v>
      </c>
      <c r="E63" s="1013">
        <v>6</v>
      </c>
      <c r="F63" s="1013">
        <v>6</v>
      </c>
      <c r="G63" s="1013">
        <v>6</v>
      </c>
      <c r="H63" s="1013">
        <v>6</v>
      </c>
      <c r="I63" s="1013">
        <v>6</v>
      </c>
      <c r="J63" s="1013">
        <v>6</v>
      </c>
      <c r="K63" s="1013">
        <v>6</v>
      </c>
      <c r="L63" s="1013">
        <v>6</v>
      </c>
      <c r="M63" s="1013">
        <v>6</v>
      </c>
      <c r="N63" s="1013">
        <v>6</v>
      </c>
      <c r="O63" s="1013">
        <v>6</v>
      </c>
      <c r="P63" s="967">
        <f t="shared" si="2"/>
        <v>72</v>
      </c>
      <c r="Q63" s="1012">
        <v>6</v>
      </c>
    </row>
    <row r="64" spans="1:17" s="351" customFormat="1">
      <c r="A64" s="351">
        <v>31</v>
      </c>
      <c r="C64" s="351" t="s">
        <v>600</v>
      </c>
      <c r="D64" s="1013">
        <v>12</v>
      </c>
      <c r="E64" s="1013">
        <v>12</v>
      </c>
      <c r="F64" s="1013">
        <v>12</v>
      </c>
      <c r="G64" s="1013">
        <v>12</v>
      </c>
      <c r="H64" s="1013">
        <v>12</v>
      </c>
      <c r="I64" s="1013">
        <v>12</v>
      </c>
      <c r="J64" s="1013">
        <v>12</v>
      </c>
      <c r="K64" s="1013">
        <v>12</v>
      </c>
      <c r="L64" s="1013">
        <v>12</v>
      </c>
      <c r="M64" s="1013">
        <v>12</v>
      </c>
      <c r="N64" s="1013">
        <v>12</v>
      </c>
      <c r="O64" s="1013">
        <v>12</v>
      </c>
      <c r="P64" s="967">
        <f t="shared" si="2"/>
        <v>144</v>
      </c>
      <c r="Q64" s="1012">
        <v>12</v>
      </c>
    </row>
    <row r="65" spans="1:17" s="351" customFormat="1">
      <c r="A65" s="351">
        <v>32</v>
      </c>
      <c r="C65" s="351" t="s">
        <v>413</v>
      </c>
      <c r="D65" s="1013">
        <v>3</v>
      </c>
      <c r="E65" s="1013">
        <v>3</v>
      </c>
      <c r="F65" s="1013">
        <v>3</v>
      </c>
      <c r="G65" s="1013">
        <v>3</v>
      </c>
      <c r="H65" s="1013">
        <v>3</v>
      </c>
      <c r="I65" s="1013">
        <v>3</v>
      </c>
      <c r="J65" s="1013">
        <v>3</v>
      </c>
      <c r="K65" s="1013">
        <v>3</v>
      </c>
      <c r="L65" s="1013">
        <v>3</v>
      </c>
      <c r="M65" s="1013">
        <v>3</v>
      </c>
      <c r="N65" s="1013">
        <v>3</v>
      </c>
      <c r="O65" s="1013">
        <v>3</v>
      </c>
      <c r="P65" s="967">
        <f t="shared" si="2"/>
        <v>36</v>
      </c>
      <c r="Q65" s="1012">
        <v>3</v>
      </c>
    </row>
    <row r="66" spans="1:17" s="351" customFormat="1">
      <c r="A66" s="351">
        <v>33</v>
      </c>
      <c r="C66" s="351" t="s">
        <v>112</v>
      </c>
      <c r="D66" s="967">
        <v>3127.0000000000009</v>
      </c>
      <c r="E66" s="967">
        <v>3126.0000000000009</v>
      </c>
      <c r="F66" s="967">
        <v>3124.0000000000009</v>
      </c>
      <c r="G66" s="967">
        <v>3123.0000000000009</v>
      </c>
      <c r="H66" s="967">
        <v>3121.0000000000009</v>
      </c>
      <c r="I66" s="967">
        <v>3121.0000000000009</v>
      </c>
      <c r="J66" s="967">
        <v>3118.0000000000009</v>
      </c>
      <c r="K66" s="967">
        <v>3117.0000000000009</v>
      </c>
      <c r="L66" s="967">
        <v>3116.0000000000009</v>
      </c>
      <c r="M66" s="967">
        <v>3114.0000000000009</v>
      </c>
      <c r="N66" s="967">
        <v>3113.0000000000009</v>
      </c>
      <c r="O66" s="967">
        <v>3111.0000000000009</v>
      </c>
      <c r="P66" s="967">
        <f t="shared" si="2"/>
        <v>37431.000000000007</v>
      </c>
      <c r="Q66" s="1012">
        <v>3119</v>
      </c>
    </row>
    <row r="67" spans="1:17" s="351" customFormat="1">
      <c r="A67" s="351">
        <v>34</v>
      </c>
      <c r="C67" s="351" t="s">
        <v>414</v>
      </c>
      <c r="D67" s="1013">
        <v>3</v>
      </c>
      <c r="E67" s="1013">
        <v>3</v>
      </c>
      <c r="F67" s="1013">
        <v>3</v>
      </c>
      <c r="G67" s="1013">
        <v>3</v>
      </c>
      <c r="H67" s="1013">
        <v>3</v>
      </c>
      <c r="I67" s="1013">
        <v>3</v>
      </c>
      <c r="J67" s="1013">
        <v>3</v>
      </c>
      <c r="K67" s="1013">
        <v>3</v>
      </c>
      <c r="L67" s="1013">
        <v>3</v>
      </c>
      <c r="M67" s="1013">
        <v>3</v>
      </c>
      <c r="N67" s="1013">
        <v>3</v>
      </c>
      <c r="O67" s="1013">
        <v>3</v>
      </c>
      <c r="P67" s="967">
        <f t="shared" si="2"/>
        <v>36</v>
      </c>
      <c r="Q67" s="1012">
        <v>3</v>
      </c>
    </row>
    <row r="68" spans="1:17" s="351" customFormat="1">
      <c r="A68" s="351">
        <v>35</v>
      </c>
      <c r="C68" s="351" t="s">
        <v>2258</v>
      </c>
      <c r="D68" s="1013">
        <v>1</v>
      </c>
      <c r="E68" s="1013">
        <v>1</v>
      </c>
      <c r="F68" s="1013">
        <v>1</v>
      </c>
      <c r="G68" s="1013">
        <v>1</v>
      </c>
      <c r="H68" s="1013">
        <v>1</v>
      </c>
      <c r="I68" s="1013">
        <v>1</v>
      </c>
      <c r="J68" s="1013">
        <v>1</v>
      </c>
      <c r="K68" s="1013">
        <v>1</v>
      </c>
      <c r="L68" s="1013">
        <v>1</v>
      </c>
      <c r="M68" s="1013">
        <v>1</v>
      </c>
      <c r="N68" s="1013">
        <v>1</v>
      </c>
      <c r="O68" s="1013">
        <v>1</v>
      </c>
      <c r="P68" s="967">
        <f t="shared" si="2"/>
        <v>12</v>
      </c>
      <c r="Q68" s="1012">
        <v>1</v>
      </c>
    </row>
    <row r="69" spans="1:17" s="351" customFormat="1">
      <c r="A69" s="351">
        <v>36</v>
      </c>
      <c r="C69" s="351" t="s">
        <v>2259</v>
      </c>
      <c r="D69" s="1013">
        <v>1</v>
      </c>
      <c r="E69" s="1013">
        <v>1</v>
      </c>
      <c r="F69" s="1013">
        <v>1</v>
      </c>
      <c r="G69" s="1013">
        <v>1</v>
      </c>
      <c r="H69" s="1013">
        <v>1</v>
      </c>
      <c r="I69" s="1013">
        <v>1</v>
      </c>
      <c r="J69" s="1013">
        <v>1</v>
      </c>
      <c r="K69" s="1013">
        <v>1</v>
      </c>
      <c r="L69" s="1013">
        <v>1</v>
      </c>
      <c r="M69" s="1013">
        <v>1</v>
      </c>
      <c r="N69" s="1013">
        <v>1</v>
      </c>
      <c r="O69" s="1013">
        <v>1</v>
      </c>
      <c r="P69" s="967">
        <f t="shared" si="2"/>
        <v>12</v>
      </c>
      <c r="Q69" s="1012">
        <v>1</v>
      </c>
    </row>
    <row r="70" spans="1:17" s="351" customFormat="1">
      <c r="A70" s="351">
        <v>37</v>
      </c>
      <c r="C70" s="351" t="s">
        <v>2260</v>
      </c>
      <c r="D70" s="1013">
        <v>1</v>
      </c>
      <c r="E70" s="1013">
        <v>1</v>
      </c>
      <c r="F70" s="1013">
        <v>1</v>
      </c>
      <c r="G70" s="1013">
        <v>1</v>
      </c>
      <c r="H70" s="1013">
        <v>1</v>
      </c>
      <c r="I70" s="1013">
        <v>1</v>
      </c>
      <c r="J70" s="1013">
        <v>1</v>
      </c>
      <c r="K70" s="1013">
        <v>1</v>
      </c>
      <c r="L70" s="1013">
        <v>1</v>
      </c>
      <c r="M70" s="1013">
        <v>1</v>
      </c>
      <c r="N70" s="1013">
        <v>1</v>
      </c>
      <c r="O70" s="1013">
        <v>1</v>
      </c>
      <c r="P70" s="967">
        <f t="shared" si="2"/>
        <v>12</v>
      </c>
      <c r="Q70" s="1012">
        <v>1</v>
      </c>
    </row>
    <row r="71" spans="1:17" s="351" customFormat="1">
      <c r="A71" s="974">
        <v>51</v>
      </c>
      <c r="B71" s="998"/>
      <c r="C71" s="974" t="s">
        <v>1344</v>
      </c>
      <c r="D71" s="1015">
        <v>0</v>
      </c>
      <c r="E71" s="1015">
        <v>0</v>
      </c>
      <c r="F71" s="1015">
        <v>0</v>
      </c>
      <c r="G71" s="1015">
        <v>0</v>
      </c>
      <c r="H71" s="1015">
        <v>0</v>
      </c>
      <c r="I71" s="1015">
        <v>0</v>
      </c>
      <c r="J71" s="1015">
        <v>0</v>
      </c>
      <c r="K71" s="1015">
        <v>0</v>
      </c>
      <c r="L71" s="1015">
        <v>0</v>
      </c>
      <c r="M71" s="1015">
        <v>0</v>
      </c>
      <c r="N71" s="1015">
        <v>0</v>
      </c>
      <c r="O71" s="1015">
        <v>0</v>
      </c>
      <c r="P71" s="967">
        <f t="shared" si="2"/>
        <v>0</v>
      </c>
      <c r="Q71" s="1012">
        <v>0</v>
      </c>
    </row>
    <row r="72" spans="1:17" s="351" customFormat="1">
      <c r="A72" s="977">
        <v>11</v>
      </c>
      <c r="B72" s="977"/>
      <c r="C72" s="990" t="s">
        <v>1329</v>
      </c>
      <c r="D72" s="1016">
        <v>15</v>
      </c>
      <c r="E72" s="1016">
        <v>15</v>
      </c>
      <c r="F72" s="1016">
        <v>16</v>
      </c>
      <c r="G72" s="1016">
        <v>16</v>
      </c>
      <c r="H72" s="1016">
        <v>16</v>
      </c>
      <c r="I72" s="1016">
        <v>16</v>
      </c>
      <c r="J72" s="1016">
        <v>17</v>
      </c>
      <c r="K72" s="1016">
        <v>17</v>
      </c>
      <c r="L72" s="1016">
        <v>17</v>
      </c>
      <c r="M72" s="1016">
        <v>17</v>
      </c>
      <c r="N72" s="1016">
        <v>18</v>
      </c>
      <c r="O72" s="1016">
        <v>18</v>
      </c>
      <c r="P72" s="967">
        <f t="shared" si="2"/>
        <v>198</v>
      </c>
      <c r="Q72" s="1012">
        <v>17</v>
      </c>
    </row>
    <row r="73" spans="1:17" s="351" customFormat="1">
      <c r="A73" s="977">
        <v>12</v>
      </c>
      <c r="B73" s="977"/>
      <c r="C73" s="990" t="s">
        <v>1330</v>
      </c>
      <c r="D73" s="1016">
        <v>33</v>
      </c>
      <c r="E73" s="1016">
        <v>33</v>
      </c>
      <c r="F73" s="1016">
        <v>34</v>
      </c>
      <c r="G73" s="1016">
        <v>34</v>
      </c>
      <c r="H73" s="1016">
        <v>35</v>
      </c>
      <c r="I73" s="1016">
        <v>35</v>
      </c>
      <c r="J73" s="1016">
        <v>36</v>
      </c>
      <c r="K73" s="1016">
        <v>37</v>
      </c>
      <c r="L73" s="1016">
        <v>37</v>
      </c>
      <c r="M73" s="1016">
        <v>38</v>
      </c>
      <c r="N73" s="1016">
        <v>38</v>
      </c>
      <c r="O73" s="1016">
        <v>39</v>
      </c>
      <c r="P73" s="967">
        <f t="shared" si="2"/>
        <v>429</v>
      </c>
      <c r="Q73" s="1012">
        <v>36</v>
      </c>
    </row>
    <row r="74" spans="1:17" s="351" customFormat="1">
      <c r="A74" s="977">
        <v>13</v>
      </c>
      <c r="B74" s="977"/>
      <c r="C74" s="990" t="s">
        <v>1331</v>
      </c>
      <c r="D74" s="1016">
        <v>35</v>
      </c>
      <c r="E74" s="1016">
        <v>36</v>
      </c>
      <c r="F74" s="1016">
        <v>36</v>
      </c>
      <c r="G74" s="1016">
        <v>37</v>
      </c>
      <c r="H74" s="1016">
        <v>38</v>
      </c>
      <c r="I74" s="1016">
        <v>38</v>
      </c>
      <c r="J74" s="1016">
        <v>39</v>
      </c>
      <c r="K74" s="1016">
        <v>39</v>
      </c>
      <c r="L74" s="1016">
        <v>40</v>
      </c>
      <c r="M74" s="1016">
        <v>41</v>
      </c>
      <c r="N74" s="1016">
        <v>41</v>
      </c>
      <c r="O74" s="1016">
        <v>42</v>
      </c>
      <c r="P74" s="967">
        <f t="shared" si="2"/>
        <v>462</v>
      </c>
      <c r="Q74" s="1012">
        <v>39</v>
      </c>
    </row>
    <row r="75" spans="1:17" s="351" customFormat="1">
      <c r="A75" s="1018"/>
      <c r="B75" s="1019"/>
      <c r="C75" s="1008" t="s">
        <v>1345</v>
      </c>
      <c r="D75" s="1020">
        <v>3</v>
      </c>
      <c r="E75" s="1020">
        <v>3</v>
      </c>
      <c r="F75" s="1020">
        <v>3</v>
      </c>
      <c r="G75" s="1020">
        <v>3</v>
      </c>
      <c r="H75" s="1020">
        <v>3</v>
      </c>
      <c r="I75" s="1020">
        <v>3</v>
      </c>
      <c r="J75" s="1020">
        <v>3</v>
      </c>
      <c r="K75" s="1020">
        <v>3</v>
      </c>
      <c r="L75" s="1020">
        <v>3</v>
      </c>
      <c r="M75" s="1020">
        <v>3</v>
      </c>
      <c r="N75" s="1020">
        <v>3</v>
      </c>
      <c r="O75" s="1020">
        <v>3</v>
      </c>
      <c r="P75" s="967">
        <f t="shared" si="2"/>
        <v>36</v>
      </c>
      <c r="Q75" s="1012">
        <v>3</v>
      </c>
    </row>
    <row r="76" spans="1:17" s="351" customFormat="1" ht="12.75">
      <c r="A76" s="1001"/>
      <c r="B76" s="1001" t="s">
        <v>464</v>
      </c>
      <c r="C76" s="1001"/>
      <c r="D76" s="1007">
        <v>5118.0000000000009</v>
      </c>
      <c r="E76" s="1007">
        <v>5118.0000000000009</v>
      </c>
      <c r="F76" s="1007">
        <v>5118.0000000000009</v>
      </c>
      <c r="G76" s="1007">
        <v>5118.0000000000009</v>
      </c>
      <c r="H76" s="1007">
        <v>5118.0000000000009</v>
      </c>
      <c r="I76" s="1007">
        <v>5118.0000000000009</v>
      </c>
      <c r="J76" s="1007">
        <v>5118.0000000000009</v>
      </c>
      <c r="K76" s="1007">
        <v>5118.0000000000009</v>
      </c>
      <c r="L76" s="1007">
        <v>5118.0000000000009</v>
      </c>
      <c r="M76" s="1007">
        <v>5118.0000000000009</v>
      </c>
      <c r="N76" s="1007">
        <v>5118.0000000000009</v>
      </c>
      <c r="O76" s="1007">
        <v>5118.0000000000009</v>
      </c>
      <c r="P76" s="987">
        <f t="shared" si="2"/>
        <v>61416.000000000007</v>
      </c>
      <c r="Q76" s="984">
        <v>5122</v>
      </c>
    </row>
    <row r="77" spans="1:17" s="351" customFormat="1" ht="12.75">
      <c r="A77" s="985"/>
      <c r="B77" s="985" t="s">
        <v>1346</v>
      </c>
      <c r="C77" s="985"/>
      <c r="D77" s="1002">
        <v>3908.0000000000009</v>
      </c>
      <c r="E77" s="1002">
        <v>3907.0000000000009</v>
      </c>
      <c r="F77" s="1002">
        <v>3905.0000000000009</v>
      </c>
      <c r="G77" s="1002">
        <v>3904.0000000000009</v>
      </c>
      <c r="H77" s="1002">
        <v>3902.0000000000009</v>
      </c>
      <c r="I77" s="1002">
        <v>3902.0000000000009</v>
      </c>
      <c r="J77" s="1002">
        <v>3899.0000000000009</v>
      </c>
      <c r="K77" s="1002">
        <v>3898.0000000000009</v>
      </c>
      <c r="L77" s="1002">
        <v>3897.0000000000009</v>
      </c>
      <c r="M77" s="1002">
        <v>3895.0000000000009</v>
      </c>
      <c r="N77" s="1002">
        <v>3894.0000000000009</v>
      </c>
      <c r="O77" s="1002">
        <v>3892.0000000000009</v>
      </c>
      <c r="Q77" s="984"/>
    </row>
    <row r="78" spans="1:17" ht="13.5" customHeight="1">
      <c r="C78" s="351"/>
      <c r="D78" s="1007">
        <v>0</v>
      </c>
      <c r="E78" s="1007">
        <v>0</v>
      </c>
      <c r="F78" s="1007">
        <v>0</v>
      </c>
      <c r="G78" s="1007">
        <v>0</v>
      </c>
      <c r="H78" s="1007">
        <v>0</v>
      </c>
      <c r="I78" s="1007">
        <v>0</v>
      </c>
      <c r="J78" s="1007">
        <v>0</v>
      </c>
      <c r="K78" s="1007">
        <v>0</v>
      </c>
      <c r="L78" s="1007">
        <v>0</v>
      </c>
      <c r="M78" s="1007">
        <v>0</v>
      </c>
      <c r="N78" s="1007">
        <v>0</v>
      </c>
      <c r="O78" s="1007">
        <v>0</v>
      </c>
      <c r="Q78" s="1012"/>
    </row>
    <row r="79" spans="1:17">
      <c r="B79" s="351" t="s">
        <v>227</v>
      </c>
      <c r="Q79" s="1012"/>
    </row>
    <row r="80" spans="1:17">
      <c r="A80" s="351">
        <v>38</v>
      </c>
      <c r="C80" s="351" t="s">
        <v>201</v>
      </c>
      <c r="D80" s="967">
        <v>3485.0433588577935</v>
      </c>
      <c r="E80" s="967">
        <v>3483.8009602134266</v>
      </c>
      <c r="F80" s="967">
        <v>3489.0405197016157</v>
      </c>
      <c r="G80" s="967">
        <v>3512.7016056143561</v>
      </c>
      <c r="H80" s="967">
        <v>3548.8258192324488</v>
      </c>
      <c r="I80" s="967">
        <v>3577.9040957429179</v>
      </c>
      <c r="J80" s="967">
        <v>3595.1124089947925</v>
      </c>
      <c r="K80" s="967">
        <v>3601.6124324435646</v>
      </c>
      <c r="L80" s="967">
        <v>3599.7486336425882</v>
      </c>
      <c r="M80" s="967">
        <v>3587.738890663989</v>
      </c>
      <c r="N80" s="967">
        <v>3573.6842836364435</v>
      </c>
      <c r="O80" s="967">
        <v>3565.8000481720219</v>
      </c>
      <c r="P80" s="967">
        <f t="shared" ref="P80:P82" si="3">SUM(D80:O80)</f>
        <v>42621.013056915959</v>
      </c>
      <c r="Q80" s="1012">
        <v>3552</v>
      </c>
    </row>
    <row r="81" spans="1:17">
      <c r="A81" s="977">
        <v>14</v>
      </c>
      <c r="B81" s="977"/>
      <c r="C81" s="990" t="s">
        <v>1347</v>
      </c>
      <c r="D81" s="1016">
        <v>55</v>
      </c>
      <c r="E81" s="1016">
        <v>55</v>
      </c>
      <c r="F81" s="1016">
        <v>55</v>
      </c>
      <c r="G81" s="1016">
        <v>55</v>
      </c>
      <c r="H81" s="1016">
        <v>56</v>
      </c>
      <c r="I81" s="1016">
        <v>56</v>
      </c>
      <c r="J81" s="1016">
        <v>56</v>
      </c>
      <c r="K81" s="1016">
        <v>56</v>
      </c>
      <c r="L81" s="1016">
        <v>56</v>
      </c>
      <c r="M81" s="1016">
        <v>56</v>
      </c>
      <c r="N81" s="1016">
        <v>56</v>
      </c>
      <c r="O81" s="1016">
        <v>56</v>
      </c>
      <c r="P81" s="967">
        <f t="shared" si="3"/>
        <v>668</v>
      </c>
      <c r="Q81" s="1012">
        <v>56</v>
      </c>
    </row>
    <row r="82" spans="1:17" s="351" customFormat="1" ht="12.75">
      <c r="A82" s="1001"/>
      <c r="B82" s="1001" t="s">
        <v>250</v>
      </c>
      <c r="C82" s="1001"/>
      <c r="D82" s="1007">
        <v>3540.0433588577935</v>
      </c>
      <c r="E82" s="1007">
        <v>3538.8009602134266</v>
      </c>
      <c r="F82" s="1007">
        <v>3544.0405197016157</v>
      </c>
      <c r="G82" s="1007">
        <v>3567.7016056143561</v>
      </c>
      <c r="H82" s="1007">
        <v>3604.8258192324488</v>
      </c>
      <c r="I82" s="1007">
        <v>3633.9040957429179</v>
      </c>
      <c r="J82" s="1007">
        <v>3651.1124089947925</v>
      </c>
      <c r="K82" s="1007">
        <v>3657.6124324435646</v>
      </c>
      <c r="L82" s="1007">
        <v>3655.7486336425882</v>
      </c>
      <c r="M82" s="1007">
        <v>3643.738890663989</v>
      </c>
      <c r="N82" s="1007">
        <v>3629.6842836364435</v>
      </c>
      <c r="O82" s="1007">
        <v>3621.8000481720219</v>
      </c>
      <c r="P82" s="987">
        <f t="shared" si="3"/>
        <v>43289.013056915959</v>
      </c>
      <c r="Q82" s="984">
        <v>3608</v>
      </c>
    </row>
    <row r="83" spans="1:17">
      <c r="C83" s="351"/>
      <c r="D83" s="1007">
        <v>0</v>
      </c>
      <c r="E83" s="1007">
        <v>0</v>
      </c>
      <c r="F83" s="1007">
        <v>0</v>
      </c>
      <c r="G83" s="1007">
        <v>0</v>
      </c>
      <c r="H83" s="1007">
        <v>0</v>
      </c>
      <c r="I83" s="1007">
        <v>0</v>
      </c>
      <c r="J83" s="1007">
        <v>0</v>
      </c>
      <c r="K83" s="1007">
        <v>0</v>
      </c>
      <c r="L83" s="1007">
        <v>0</v>
      </c>
      <c r="M83" s="1007">
        <v>0</v>
      </c>
      <c r="N83" s="1007">
        <v>0</v>
      </c>
      <c r="O83" s="1007">
        <v>0</v>
      </c>
    </row>
    <row r="84" spans="1:17">
      <c r="B84" s="351" t="s">
        <v>1348</v>
      </c>
      <c r="Q84" s="971"/>
    </row>
    <row r="85" spans="1:17" s="351" customFormat="1">
      <c r="A85" s="351">
        <v>39</v>
      </c>
      <c r="B85" s="965"/>
      <c r="C85" s="351" t="s">
        <v>455</v>
      </c>
      <c r="D85" s="1013">
        <v>163</v>
      </c>
      <c r="E85" s="1013">
        <v>163</v>
      </c>
      <c r="F85" s="1013">
        <v>163</v>
      </c>
      <c r="G85" s="1013">
        <v>163</v>
      </c>
      <c r="H85" s="1013">
        <v>163</v>
      </c>
      <c r="I85" s="1013">
        <v>163</v>
      </c>
      <c r="J85" s="1013">
        <v>163</v>
      </c>
      <c r="K85" s="1013">
        <v>163</v>
      </c>
      <c r="L85" s="1013">
        <v>163</v>
      </c>
      <c r="M85" s="1013">
        <v>163</v>
      </c>
      <c r="N85" s="1013">
        <v>163</v>
      </c>
      <c r="O85" s="1013">
        <v>163</v>
      </c>
      <c r="P85" s="967">
        <f t="shared" ref="P85:P94" si="4">SUM(D85:O85)</f>
        <v>1956</v>
      </c>
      <c r="Q85" s="1012">
        <v>163</v>
      </c>
    </row>
    <row r="86" spans="1:17" s="351" customFormat="1">
      <c r="A86" s="351">
        <v>40</v>
      </c>
      <c r="B86" s="965"/>
      <c r="C86" s="351" t="s">
        <v>458</v>
      </c>
      <c r="D86" s="1013">
        <v>715</v>
      </c>
      <c r="E86" s="1013">
        <v>715</v>
      </c>
      <c r="F86" s="1013">
        <v>715</v>
      </c>
      <c r="G86" s="1013">
        <v>715</v>
      </c>
      <c r="H86" s="1013">
        <v>715</v>
      </c>
      <c r="I86" s="1013">
        <v>715</v>
      </c>
      <c r="J86" s="1013">
        <v>715</v>
      </c>
      <c r="K86" s="1013">
        <v>715</v>
      </c>
      <c r="L86" s="1013">
        <v>715</v>
      </c>
      <c r="M86" s="1013">
        <v>715</v>
      </c>
      <c r="N86" s="1013">
        <v>715</v>
      </c>
      <c r="O86" s="1013">
        <v>715</v>
      </c>
      <c r="P86" s="967">
        <f t="shared" si="4"/>
        <v>8580</v>
      </c>
      <c r="Q86" s="1012">
        <v>715</v>
      </c>
    </row>
    <row r="87" spans="1:17" s="351" customFormat="1">
      <c r="A87" s="351">
        <v>41</v>
      </c>
      <c r="B87" s="965"/>
      <c r="C87" s="351" t="s">
        <v>602</v>
      </c>
      <c r="D87" s="1013">
        <v>990</v>
      </c>
      <c r="E87" s="1013">
        <v>990</v>
      </c>
      <c r="F87" s="1013">
        <v>990</v>
      </c>
      <c r="G87" s="1013">
        <v>990</v>
      </c>
      <c r="H87" s="1013">
        <v>990</v>
      </c>
      <c r="I87" s="1013">
        <v>990</v>
      </c>
      <c r="J87" s="1013">
        <v>990</v>
      </c>
      <c r="K87" s="1013">
        <v>990</v>
      </c>
      <c r="L87" s="1013">
        <v>990</v>
      </c>
      <c r="M87" s="1013">
        <v>990</v>
      </c>
      <c r="N87" s="1013">
        <v>990</v>
      </c>
      <c r="O87" s="1013">
        <v>990</v>
      </c>
      <c r="P87" s="967">
        <f t="shared" si="4"/>
        <v>11880</v>
      </c>
      <c r="Q87" s="1012">
        <v>990</v>
      </c>
    </row>
    <row r="88" spans="1:17" s="351" customFormat="1">
      <c r="A88" s="351">
        <v>42</v>
      </c>
      <c r="B88" s="965"/>
      <c r="C88" s="351" t="s">
        <v>603</v>
      </c>
      <c r="D88" s="1013">
        <v>69</v>
      </c>
      <c r="E88" s="1013">
        <v>69</v>
      </c>
      <c r="F88" s="1013">
        <v>69</v>
      </c>
      <c r="G88" s="1013">
        <v>69</v>
      </c>
      <c r="H88" s="1013">
        <v>69</v>
      </c>
      <c r="I88" s="1013">
        <v>69</v>
      </c>
      <c r="J88" s="1013">
        <v>69</v>
      </c>
      <c r="K88" s="1013">
        <v>69</v>
      </c>
      <c r="L88" s="1013">
        <v>69</v>
      </c>
      <c r="M88" s="1013">
        <v>69</v>
      </c>
      <c r="N88" s="1013">
        <v>69</v>
      </c>
      <c r="O88" s="1013">
        <v>69</v>
      </c>
      <c r="P88" s="967">
        <f t="shared" si="4"/>
        <v>828</v>
      </c>
      <c r="Q88" s="1012">
        <v>69</v>
      </c>
    </row>
    <row r="89" spans="1:17" s="351" customFormat="1">
      <c r="A89" s="351">
        <v>43</v>
      </c>
      <c r="B89" s="965"/>
      <c r="C89" s="351" t="s">
        <v>604</v>
      </c>
      <c r="D89" s="1013">
        <v>170</v>
      </c>
      <c r="E89" s="1013">
        <v>170</v>
      </c>
      <c r="F89" s="1013">
        <v>170</v>
      </c>
      <c r="G89" s="1013">
        <v>170</v>
      </c>
      <c r="H89" s="1013">
        <v>170</v>
      </c>
      <c r="I89" s="1013">
        <v>170</v>
      </c>
      <c r="J89" s="1013">
        <v>170</v>
      </c>
      <c r="K89" s="1013">
        <v>170</v>
      </c>
      <c r="L89" s="1013">
        <v>170</v>
      </c>
      <c r="M89" s="1013">
        <v>170</v>
      </c>
      <c r="N89" s="1013">
        <v>170</v>
      </c>
      <c r="O89" s="1013">
        <v>170</v>
      </c>
      <c r="P89" s="967">
        <f t="shared" si="4"/>
        <v>2040</v>
      </c>
      <c r="Q89" s="1012">
        <v>170</v>
      </c>
    </row>
    <row r="90" spans="1:17" s="351" customFormat="1">
      <c r="A90" s="351">
        <v>44</v>
      </c>
      <c r="B90" s="965"/>
      <c r="C90" s="351" t="s">
        <v>1337</v>
      </c>
      <c r="D90" s="1013">
        <v>121</v>
      </c>
      <c r="E90" s="1013">
        <v>121</v>
      </c>
      <c r="F90" s="1013">
        <v>121</v>
      </c>
      <c r="G90" s="1013">
        <v>121</v>
      </c>
      <c r="H90" s="1013">
        <v>121</v>
      </c>
      <c r="I90" s="1013">
        <v>121</v>
      </c>
      <c r="J90" s="1013">
        <v>121</v>
      </c>
      <c r="K90" s="1013">
        <v>121</v>
      </c>
      <c r="L90" s="1013">
        <v>121</v>
      </c>
      <c r="M90" s="1013">
        <v>121</v>
      </c>
      <c r="N90" s="1013">
        <v>121</v>
      </c>
      <c r="O90" s="1013">
        <v>121</v>
      </c>
      <c r="P90" s="967">
        <f t="shared" si="4"/>
        <v>1452</v>
      </c>
      <c r="Q90" s="1012">
        <v>121</v>
      </c>
    </row>
    <row r="91" spans="1:17">
      <c r="A91" s="351">
        <v>46</v>
      </c>
      <c r="B91" s="965"/>
      <c r="C91" s="351" t="s">
        <v>600</v>
      </c>
      <c r="D91" s="967">
        <v>1490</v>
      </c>
      <c r="E91" s="967">
        <v>1490</v>
      </c>
      <c r="F91" s="967">
        <v>1490</v>
      </c>
      <c r="G91" s="967">
        <v>1490</v>
      </c>
      <c r="H91" s="967">
        <v>1490</v>
      </c>
      <c r="I91" s="967">
        <v>1490</v>
      </c>
      <c r="J91" s="967">
        <v>1490</v>
      </c>
      <c r="K91" s="967">
        <v>1490</v>
      </c>
      <c r="L91" s="967">
        <v>1490</v>
      </c>
      <c r="M91" s="967">
        <v>1490</v>
      </c>
      <c r="N91" s="967">
        <v>1490</v>
      </c>
      <c r="O91" s="967">
        <v>1490</v>
      </c>
      <c r="P91" s="967">
        <f t="shared" si="4"/>
        <v>17880</v>
      </c>
      <c r="Q91" s="1012">
        <v>1490</v>
      </c>
    </row>
    <row r="92" spans="1:17" s="351" customFormat="1">
      <c r="A92" s="351">
        <v>45</v>
      </c>
      <c r="B92" s="965"/>
      <c r="C92" s="351" t="s">
        <v>601</v>
      </c>
      <c r="D92" s="1013">
        <v>94</v>
      </c>
      <c r="E92" s="1013">
        <v>94</v>
      </c>
      <c r="F92" s="1013">
        <v>94</v>
      </c>
      <c r="G92" s="1013">
        <v>94</v>
      </c>
      <c r="H92" s="1013">
        <v>94</v>
      </c>
      <c r="I92" s="1013">
        <v>94</v>
      </c>
      <c r="J92" s="1013">
        <v>94</v>
      </c>
      <c r="K92" s="1013">
        <v>94</v>
      </c>
      <c r="L92" s="1013">
        <v>94</v>
      </c>
      <c r="M92" s="1013">
        <v>94</v>
      </c>
      <c r="N92" s="1013">
        <v>94</v>
      </c>
      <c r="O92" s="1013">
        <v>94</v>
      </c>
      <c r="P92" s="967">
        <f t="shared" si="4"/>
        <v>1128</v>
      </c>
      <c r="Q92" s="1012">
        <v>94</v>
      </c>
    </row>
    <row r="93" spans="1:17" s="1003" customFormat="1">
      <c r="A93" s="974">
        <v>52</v>
      </c>
      <c r="B93" s="998"/>
      <c r="C93" s="974" t="s">
        <v>1349</v>
      </c>
      <c r="D93" s="1015">
        <v>0</v>
      </c>
      <c r="E93" s="1015">
        <v>0</v>
      </c>
      <c r="F93" s="1015">
        <v>0</v>
      </c>
      <c r="G93" s="1015">
        <v>0</v>
      </c>
      <c r="H93" s="1015">
        <v>0</v>
      </c>
      <c r="I93" s="1015">
        <v>0</v>
      </c>
      <c r="J93" s="1015">
        <v>0</v>
      </c>
      <c r="K93" s="1015">
        <v>0</v>
      </c>
      <c r="L93" s="1015">
        <v>0</v>
      </c>
      <c r="M93" s="1015">
        <v>0</v>
      </c>
      <c r="N93" s="1015">
        <v>0</v>
      </c>
      <c r="O93" s="1015">
        <v>0</v>
      </c>
      <c r="P93" s="967">
        <f t="shared" si="4"/>
        <v>0</v>
      </c>
      <c r="Q93" s="1012">
        <v>0</v>
      </c>
    </row>
    <row r="94" spans="1:17" s="351" customFormat="1" ht="12.75">
      <c r="A94" s="1001"/>
      <c r="B94" s="1001" t="s">
        <v>1350</v>
      </c>
      <c r="C94" s="1001"/>
      <c r="D94" s="1007">
        <v>3812</v>
      </c>
      <c r="E94" s="1007">
        <v>3812</v>
      </c>
      <c r="F94" s="1007">
        <v>3812</v>
      </c>
      <c r="G94" s="1007">
        <v>3812</v>
      </c>
      <c r="H94" s="1007">
        <v>3812</v>
      </c>
      <c r="I94" s="1007">
        <v>3812</v>
      </c>
      <c r="J94" s="1007">
        <v>3812</v>
      </c>
      <c r="K94" s="1007">
        <v>3812</v>
      </c>
      <c r="L94" s="1007">
        <v>3812</v>
      </c>
      <c r="M94" s="1007">
        <v>3812</v>
      </c>
      <c r="N94" s="1007">
        <v>3812</v>
      </c>
      <c r="O94" s="1007">
        <v>3812</v>
      </c>
      <c r="P94" s="987">
        <f t="shared" si="4"/>
        <v>45744</v>
      </c>
      <c r="Q94" s="984">
        <v>3812</v>
      </c>
    </row>
    <row r="95" spans="1:17" s="351" customFormat="1" ht="12.75">
      <c r="A95" s="985"/>
      <c r="B95" s="985" t="s">
        <v>1351</v>
      </c>
      <c r="C95" s="985"/>
      <c r="D95" s="1002">
        <v>2090</v>
      </c>
      <c r="E95" s="1002">
        <v>2090</v>
      </c>
      <c r="F95" s="1002">
        <v>2090</v>
      </c>
      <c r="G95" s="1002">
        <v>2090</v>
      </c>
      <c r="H95" s="1002">
        <v>2090</v>
      </c>
      <c r="I95" s="1002">
        <v>2090</v>
      </c>
      <c r="J95" s="1002">
        <v>2090</v>
      </c>
      <c r="K95" s="1002">
        <v>2090</v>
      </c>
      <c r="L95" s="1002">
        <v>2090</v>
      </c>
      <c r="M95" s="1002">
        <v>2090</v>
      </c>
      <c r="N95" s="1002">
        <v>2090</v>
      </c>
      <c r="O95" s="1002">
        <v>2090</v>
      </c>
      <c r="Q95" s="984"/>
    </row>
    <row r="96" spans="1:17">
      <c r="D96" s="1007">
        <v>0</v>
      </c>
      <c r="E96" s="1007">
        <v>0</v>
      </c>
      <c r="F96" s="1007">
        <v>0</v>
      </c>
      <c r="G96" s="1007">
        <v>0</v>
      </c>
      <c r="H96" s="1007">
        <v>0</v>
      </c>
      <c r="I96" s="1007">
        <v>0</v>
      </c>
      <c r="J96" s="1007">
        <v>0</v>
      </c>
      <c r="K96" s="1007">
        <v>0</v>
      </c>
      <c r="L96" s="1007">
        <v>0</v>
      </c>
      <c r="M96" s="1007">
        <v>0</v>
      </c>
      <c r="N96" s="1007">
        <v>0</v>
      </c>
      <c r="O96" s="1007">
        <v>0</v>
      </c>
    </row>
    <row r="97" spans="1:17">
      <c r="B97" s="351" t="s">
        <v>1356</v>
      </c>
    </row>
    <row r="98" spans="1:17" s="351" customFormat="1">
      <c r="A98" s="974">
        <v>47</v>
      </c>
      <c r="B98" s="998"/>
      <c r="C98" s="974" t="s">
        <v>412</v>
      </c>
      <c r="D98" s="1015">
        <v>0</v>
      </c>
      <c r="E98" s="1015">
        <v>0</v>
      </c>
      <c r="F98" s="1015">
        <v>0</v>
      </c>
      <c r="G98" s="1015">
        <v>0</v>
      </c>
      <c r="H98" s="1015">
        <v>0</v>
      </c>
      <c r="I98" s="1015">
        <v>0</v>
      </c>
      <c r="J98" s="1015">
        <v>0</v>
      </c>
      <c r="K98" s="1015">
        <v>0</v>
      </c>
      <c r="L98" s="1015">
        <v>0</v>
      </c>
      <c r="M98" s="1015">
        <v>0</v>
      </c>
      <c r="N98" s="1015">
        <v>0</v>
      </c>
      <c r="O98" s="1015">
        <v>0</v>
      </c>
      <c r="Q98" s="1012">
        <v>0</v>
      </c>
    </row>
    <row r="99" spans="1:17" s="351" customFormat="1">
      <c r="A99" s="974">
        <v>48</v>
      </c>
      <c r="B99" s="998"/>
      <c r="C99" s="974" t="s">
        <v>1352</v>
      </c>
      <c r="D99" s="1015">
        <v>0</v>
      </c>
      <c r="E99" s="1015">
        <v>0</v>
      </c>
      <c r="F99" s="1015">
        <v>0</v>
      </c>
      <c r="G99" s="1015">
        <v>0</v>
      </c>
      <c r="H99" s="1015">
        <v>0</v>
      </c>
      <c r="I99" s="1015">
        <v>0</v>
      </c>
      <c r="J99" s="1015">
        <v>0</v>
      </c>
      <c r="K99" s="1015">
        <v>0</v>
      </c>
      <c r="L99" s="1015">
        <v>0</v>
      </c>
      <c r="M99" s="1015">
        <v>0</v>
      </c>
      <c r="N99" s="1015">
        <v>0</v>
      </c>
      <c r="O99" s="1015">
        <v>0</v>
      </c>
      <c r="Q99" s="1012">
        <v>0</v>
      </c>
    </row>
    <row r="100" spans="1:17" s="351" customFormat="1">
      <c r="A100" s="974">
        <v>49</v>
      </c>
      <c r="B100" s="998"/>
      <c r="C100" s="974" t="s">
        <v>1353</v>
      </c>
      <c r="D100" s="1015">
        <v>0</v>
      </c>
      <c r="E100" s="1015">
        <v>0</v>
      </c>
      <c r="F100" s="1015">
        <v>0</v>
      </c>
      <c r="G100" s="1015">
        <v>0</v>
      </c>
      <c r="H100" s="1015">
        <v>0</v>
      </c>
      <c r="I100" s="1015">
        <v>0</v>
      </c>
      <c r="J100" s="1015">
        <v>0</v>
      </c>
      <c r="K100" s="1015">
        <v>0</v>
      </c>
      <c r="L100" s="1015">
        <v>0</v>
      </c>
      <c r="M100" s="1015">
        <v>0</v>
      </c>
      <c r="N100" s="1015">
        <v>0</v>
      </c>
      <c r="O100" s="1015">
        <v>0</v>
      </c>
      <c r="Q100" s="1012">
        <v>0</v>
      </c>
    </row>
    <row r="101" spans="1:17" s="351" customFormat="1" ht="12.75">
      <c r="A101" s="1001"/>
      <c r="B101" s="1001" t="s">
        <v>1359</v>
      </c>
      <c r="C101" s="1001"/>
      <c r="D101" s="1015">
        <v>0</v>
      </c>
      <c r="E101" s="1015">
        <v>0</v>
      </c>
      <c r="F101" s="1015">
        <v>0</v>
      </c>
      <c r="G101" s="1015">
        <v>0</v>
      </c>
      <c r="H101" s="1015">
        <v>0</v>
      </c>
      <c r="I101" s="1015">
        <v>0</v>
      </c>
      <c r="J101" s="1015">
        <v>0</v>
      </c>
      <c r="K101" s="1015">
        <v>0</v>
      </c>
      <c r="L101" s="1015">
        <v>0</v>
      </c>
      <c r="M101" s="1015">
        <v>0</v>
      </c>
      <c r="N101" s="1015">
        <v>0</v>
      </c>
      <c r="O101" s="1015">
        <v>0</v>
      </c>
      <c r="Q101" s="984">
        <v>0</v>
      </c>
    </row>
    <row r="102" spans="1:17">
      <c r="C102" s="351"/>
    </row>
    <row r="103" spans="1:17">
      <c r="C103" s="351"/>
    </row>
    <row r="104" spans="1:17" s="351" customFormat="1" ht="12.75">
      <c r="A104" s="1001"/>
      <c r="B104" s="1001" t="s">
        <v>106</v>
      </c>
      <c r="C104" s="1001"/>
      <c r="D104" s="987">
        <v>978526.37065012963</v>
      </c>
      <c r="E104" s="987">
        <v>980031.22574616293</v>
      </c>
      <c r="F104" s="987">
        <v>981332.68894432427</v>
      </c>
      <c r="G104" s="987">
        <v>982531.52181814518</v>
      </c>
      <c r="H104" s="987">
        <v>983575.33707030548</v>
      </c>
      <c r="I104" s="987">
        <v>984616.44020806043</v>
      </c>
      <c r="J104" s="987">
        <v>986192.27160390385</v>
      </c>
      <c r="K104" s="987">
        <v>987823.69947161537</v>
      </c>
      <c r="L104" s="987">
        <v>989486.56458132248</v>
      </c>
      <c r="M104" s="987">
        <v>991447.05898544646</v>
      </c>
      <c r="N104" s="987">
        <v>993939.9476342937</v>
      </c>
      <c r="O104" s="987">
        <v>995833.30575420579</v>
      </c>
      <c r="P104" s="987">
        <f>P27+P52+P76+P82+P94</f>
        <v>11835336.432467915</v>
      </c>
      <c r="Q104" s="984">
        <v>986284</v>
      </c>
    </row>
    <row r="105" spans="1:17">
      <c r="C105" s="351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GO117"/>
  <sheetViews>
    <sheetView workbookViewId="0">
      <pane xSplit="3" ySplit="4" topLeftCell="P65" activePane="bottomRight" state="frozen"/>
      <selection activeCell="S13" sqref="S13"/>
      <selection pane="topRight" activeCell="S13" sqref="S13"/>
      <selection pane="bottomLeft" activeCell="S13" sqref="S13"/>
      <selection pane="bottomRight" activeCell="C71" sqref="C71"/>
    </sheetView>
  </sheetViews>
  <sheetFormatPr defaultColWidth="8.125" defaultRowHeight="15.75"/>
  <cols>
    <col min="1" max="1" width="7.5" style="351" customWidth="1"/>
    <col min="2" max="2" width="6" style="10" customWidth="1"/>
    <col min="3" max="3" width="38.125" style="10" bestFit="1" customWidth="1"/>
    <col min="4" max="15" width="15.75" style="10" customWidth="1"/>
    <col min="16" max="16" width="13.125" style="10" bestFit="1" customWidth="1"/>
    <col min="17" max="20" width="13.125" style="10" customWidth="1"/>
    <col min="21" max="21" width="17.25" style="30" customWidth="1"/>
    <col min="22" max="22" width="8.125" style="10"/>
    <col min="23" max="26" width="14.125" style="10" bestFit="1" customWidth="1"/>
    <col min="27" max="16384" width="8.125" style="10"/>
  </cols>
  <sheetData>
    <row r="1" spans="1:21">
      <c r="D1" s="1022" t="str">
        <f>IF(OR(D3&lt;5,D3&gt;9),"W","S")</f>
        <v>W</v>
      </c>
      <c r="E1" s="1022" t="str">
        <f t="shared" ref="E1:O1" si="0">IF(OR(E3&lt;5,E3&gt;9),"W","S")</f>
        <v>W</v>
      </c>
      <c r="F1" s="1022" t="str">
        <f t="shared" si="0"/>
        <v>W</v>
      </c>
      <c r="G1" s="1022" t="str">
        <f t="shared" si="0"/>
        <v>W</v>
      </c>
      <c r="H1" s="1022" t="str">
        <f t="shared" si="0"/>
        <v>S</v>
      </c>
      <c r="I1" s="1022" t="str">
        <f t="shared" si="0"/>
        <v>S</v>
      </c>
      <c r="J1" s="1022" t="str">
        <f t="shared" si="0"/>
        <v>S</v>
      </c>
      <c r="K1" s="1022" t="str">
        <f t="shared" si="0"/>
        <v>S</v>
      </c>
      <c r="L1" s="1022" t="str">
        <f t="shared" si="0"/>
        <v>S</v>
      </c>
      <c r="M1" s="1022" t="str">
        <f t="shared" si="0"/>
        <v>W</v>
      </c>
      <c r="N1" s="1022" t="str">
        <f t="shared" si="0"/>
        <v>W</v>
      </c>
      <c r="O1" s="1022" t="str">
        <f t="shared" si="0"/>
        <v>W</v>
      </c>
    </row>
    <row r="2" spans="1:21" s="351" customFormat="1">
      <c r="A2" s="963" t="s">
        <v>1323</v>
      </c>
      <c r="B2" s="964"/>
      <c r="C2" s="964"/>
      <c r="D2" s="965">
        <v>2021</v>
      </c>
      <c r="E2" s="965">
        <v>2021</v>
      </c>
      <c r="F2" s="965">
        <v>2021</v>
      </c>
      <c r="G2" s="965">
        <v>2021</v>
      </c>
      <c r="H2" s="965">
        <v>2021</v>
      </c>
      <c r="I2" s="965">
        <v>2021</v>
      </c>
      <c r="J2" s="965">
        <v>2021</v>
      </c>
      <c r="K2" s="965">
        <v>2021</v>
      </c>
      <c r="L2" s="965">
        <v>2021</v>
      </c>
      <c r="M2" s="965">
        <v>2021</v>
      </c>
      <c r="N2" s="965">
        <v>2021</v>
      </c>
      <c r="O2" s="965">
        <v>2021</v>
      </c>
      <c r="U2" s="30"/>
    </row>
    <row r="3" spans="1:21" s="351" customFormat="1">
      <c r="A3" s="351" t="s">
        <v>1324</v>
      </c>
      <c r="C3" s="966"/>
      <c r="D3" s="967">
        <v>1</v>
      </c>
      <c r="E3" s="967">
        <v>2</v>
      </c>
      <c r="F3" s="967">
        <v>3</v>
      </c>
      <c r="G3" s="967">
        <v>4</v>
      </c>
      <c r="H3" s="967">
        <v>5</v>
      </c>
      <c r="I3" s="967">
        <v>6</v>
      </c>
      <c r="J3" s="967">
        <v>7</v>
      </c>
      <c r="K3" s="967">
        <v>8</v>
      </c>
      <c r="L3" s="967">
        <v>9</v>
      </c>
      <c r="M3" s="967">
        <v>10</v>
      </c>
      <c r="N3" s="967">
        <v>11</v>
      </c>
      <c r="O3" s="967">
        <v>12</v>
      </c>
      <c r="Q3" s="1339" t="s">
        <v>216</v>
      </c>
      <c r="R3" s="1339"/>
      <c r="S3" s="1339" t="s">
        <v>1367</v>
      </c>
      <c r="T3" s="1339"/>
      <c r="U3" s="30"/>
    </row>
    <row r="4" spans="1:21">
      <c r="D4" s="968">
        <v>44197</v>
      </c>
      <c r="E4" s="968">
        <v>44228</v>
      </c>
      <c r="F4" s="968">
        <v>44256</v>
      </c>
      <c r="G4" s="968">
        <v>44287</v>
      </c>
      <c r="H4" s="968">
        <v>44317</v>
      </c>
      <c r="I4" s="968">
        <v>44348</v>
      </c>
      <c r="J4" s="968">
        <v>44378</v>
      </c>
      <c r="K4" s="968">
        <v>44409</v>
      </c>
      <c r="L4" s="968">
        <v>44440</v>
      </c>
      <c r="M4" s="968">
        <v>44470</v>
      </c>
      <c r="N4" s="968">
        <v>44501</v>
      </c>
      <c r="O4" s="968">
        <v>44531</v>
      </c>
      <c r="P4" s="1023" t="s">
        <v>93</v>
      </c>
      <c r="Q4" s="1023" t="s">
        <v>79</v>
      </c>
      <c r="R4" s="1023" t="s">
        <v>80</v>
      </c>
      <c r="S4" s="1023" t="s">
        <v>79</v>
      </c>
      <c r="T4" s="1023" t="s">
        <v>80</v>
      </c>
      <c r="U4" s="969">
        <v>2021</v>
      </c>
    </row>
    <row r="5" spans="1:21" ht="12" customHeight="1">
      <c r="B5" s="351"/>
      <c r="D5" s="968"/>
      <c r="E5" s="968"/>
      <c r="F5" s="968"/>
      <c r="G5" s="968"/>
      <c r="H5" s="968"/>
      <c r="I5" s="968"/>
      <c r="J5" s="968"/>
      <c r="K5" s="968"/>
      <c r="L5" s="968"/>
      <c r="M5" s="968"/>
      <c r="N5" s="968"/>
      <c r="O5" s="968"/>
      <c r="U5" s="969"/>
    </row>
    <row r="6" spans="1:21" ht="12" customHeight="1">
      <c r="B6" s="351" t="s">
        <v>103</v>
      </c>
      <c r="D6" s="968"/>
      <c r="E6" s="968"/>
      <c r="F6" s="968"/>
      <c r="G6" s="968"/>
      <c r="H6" s="968"/>
      <c r="I6" s="968"/>
      <c r="J6" s="968"/>
      <c r="K6" s="968"/>
      <c r="L6" s="968"/>
      <c r="M6" s="968"/>
      <c r="N6" s="968"/>
      <c r="O6" s="968"/>
      <c r="U6" s="969"/>
    </row>
    <row r="7" spans="1:21" s="351" customFormat="1" ht="12.75">
      <c r="A7" s="351">
        <v>1</v>
      </c>
      <c r="C7" s="351" t="s">
        <v>121</v>
      </c>
      <c r="D7" s="970">
        <v>554071555.1733247</v>
      </c>
      <c r="E7" s="970">
        <v>447039130.329337</v>
      </c>
      <c r="F7" s="970">
        <v>440740395.76479125</v>
      </c>
      <c r="G7" s="970">
        <v>396603062.80418247</v>
      </c>
      <c r="H7" s="970">
        <v>432860503.50026822</v>
      </c>
      <c r="I7" s="970">
        <v>571433070.97230256</v>
      </c>
      <c r="J7" s="970">
        <v>809122275.50966859</v>
      </c>
      <c r="K7" s="970">
        <v>722123669.55210912</v>
      </c>
      <c r="L7" s="970">
        <v>471984130.52659863</v>
      </c>
      <c r="M7" s="970">
        <v>409962395.78181988</v>
      </c>
      <c r="N7" s="970">
        <v>472912504.76453948</v>
      </c>
      <c r="O7" s="970">
        <v>578517211.84943497</v>
      </c>
      <c r="P7" s="970">
        <f>SUM(D7:O7)</f>
        <v>6307369906.5283775</v>
      </c>
      <c r="Q7" s="970">
        <f>SUMIF($D$1:$O$1,"S",D7:O7)</f>
        <v>3007523650.0609469</v>
      </c>
      <c r="R7" s="970">
        <f>P7-Q7</f>
        <v>3299846256.4674306</v>
      </c>
      <c r="S7" s="970">
        <f>Q7-H7</f>
        <v>2574663146.5606785</v>
      </c>
      <c r="T7" s="970">
        <f>P7-S7</f>
        <v>3732706759.9676991</v>
      </c>
      <c r="U7" s="971">
        <v>6307369906.5283775</v>
      </c>
    </row>
    <row r="8" spans="1:21" s="351" customFormat="1" ht="12.75">
      <c r="A8" s="351">
        <v>2</v>
      </c>
      <c r="C8" s="351" t="s">
        <v>451</v>
      </c>
      <c r="D8" s="972">
        <v>617906.80532445922</v>
      </c>
      <c r="E8" s="972">
        <v>539285</v>
      </c>
      <c r="F8" s="972">
        <v>418461.80353634577</v>
      </c>
      <c r="G8" s="972">
        <v>399587.47775628627</v>
      </c>
      <c r="H8" s="972">
        <v>388532.3</v>
      </c>
      <c r="I8" s="972">
        <v>482859.5496183206</v>
      </c>
      <c r="J8" s="972">
        <v>697704.95700934576</v>
      </c>
      <c r="K8" s="972">
        <v>751154.01811594202</v>
      </c>
      <c r="L8" s="972">
        <v>607242.4412811388</v>
      </c>
      <c r="M8" s="972">
        <v>455214.37152777781</v>
      </c>
      <c r="N8" s="972">
        <v>442950.12307692308</v>
      </c>
      <c r="O8" s="972">
        <v>591285.19796954305</v>
      </c>
      <c r="P8" s="970">
        <f t="shared" ref="P8:P71" si="1">SUM(D8:O8)</f>
        <v>6392184.0452160826</v>
      </c>
      <c r="Q8" s="970">
        <f t="shared" ref="Q8:Q27" si="2">SUMIF($D$1:$O$1,"S",D8:O8)</f>
        <v>2927493.2660247474</v>
      </c>
      <c r="R8" s="970">
        <f t="shared" ref="R8:R27" si="3">P8-Q8</f>
        <v>3464690.7791913352</v>
      </c>
      <c r="S8" s="970">
        <f t="shared" ref="S8:S71" si="4">Q8-H8</f>
        <v>2538960.9660247476</v>
      </c>
      <c r="T8" s="970">
        <f t="shared" ref="T8:T71" si="5">P8-S8</f>
        <v>3853223.079191335</v>
      </c>
      <c r="U8" s="971">
        <v>6392184.0452160826</v>
      </c>
    </row>
    <row r="9" spans="1:21" s="351" customFormat="1" ht="12.75">
      <c r="A9" s="351">
        <v>3</v>
      </c>
      <c r="C9" s="351" t="s">
        <v>452</v>
      </c>
      <c r="D9" s="972">
        <v>12909114.000561982</v>
      </c>
      <c r="E9" s="972">
        <v>11996975.086720744</v>
      </c>
      <c r="F9" s="972">
        <v>11757563.34578193</v>
      </c>
      <c r="G9" s="972">
        <v>10386096.496425178</v>
      </c>
      <c r="H9" s="972">
        <v>9716882.3955492936</v>
      </c>
      <c r="I9" s="972">
        <v>11508001.320803903</v>
      </c>
      <c r="J9" s="972">
        <v>14828624.179241668</v>
      </c>
      <c r="K9" s="972">
        <v>13003408.847960019</v>
      </c>
      <c r="L9" s="972">
        <v>10518212.840250315</v>
      </c>
      <c r="M9" s="972">
        <v>8001340.9883251404</v>
      </c>
      <c r="N9" s="972">
        <v>8576683.1085779127</v>
      </c>
      <c r="O9" s="972">
        <v>10890169.096859796</v>
      </c>
      <c r="P9" s="970">
        <f t="shared" si="1"/>
        <v>134093071.70705788</v>
      </c>
      <c r="Q9" s="970">
        <f t="shared" si="2"/>
        <v>59575129.583805196</v>
      </c>
      <c r="R9" s="970">
        <f t="shared" si="3"/>
        <v>74517942.12325269</v>
      </c>
      <c r="S9" s="970">
        <f t="shared" si="4"/>
        <v>49858247.188255906</v>
      </c>
      <c r="T9" s="970">
        <f t="shared" si="5"/>
        <v>84234824.518801972</v>
      </c>
      <c r="U9" s="971">
        <v>134093071.70705788</v>
      </c>
    </row>
    <row r="10" spans="1:21" s="351" customFormat="1" ht="12.75">
      <c r="A10" s="351">
        <v>4</v>
      </c>
      <c r="C10" s="351" t="s">
        <v>113</v>
      </c>
      <c r="D10" s="972">
        <v>17257435.643564358</v>
      </c>
      <c r="E10" s="972">
        <v>11927418.282828281</v>
      </c>
      <c r="F10" s="972">
        <v>11075218.924731182</v>
      </c>
      <c r="G10" s="972">
        <v>9833097.2785714269</v>
      </c>
      <c r="H10" s="972">
        <v>9101560.2642857134</v>
      </c>
      <c r="I10" s="972">
        <v>14973819.893617021</v>
      </c>
      <c r="J10" s="972">
        <v>12397299.169611307</v>
      </c>
      <c r="K10" s="972">
        <v>10190235.591549296</v>
      </c>
      <c r="L10" s="972">
        <v>19431867.271477662</v>
      </c>
      <c r="M10" s="972">
        <v>12477541.930313589</v>
      </c>
      <c r="N10" s="972">
        <v>11720987.55172414</v>
      </c>
      <c r="O10" s="972">
        <v>12058745.232323233</v>
      </c>
      <c r="P10" s="970">
        <f t="shared" si="1"/>
        <v>152445227.03459719</v>
      </c>
      <c r="Q10" s="970">
        <f t="shared" si="2"/>
        <v>66094782.190540992</v>
      </c>
      <c r="R10" s="970">
        <f t="shared" si="3"/>
        <v>86350444.844056189</v>
      </c>
      <c r="S10" s="970">
        <f t="shared" si="4"/>
        <v>56993221.926255278</v>
      </c>
      <c r="T10" s="970">
        <f t="shared" si="5"/>
        <v>95452005.108341902</v>
      </c>
      <c r="U10" s="971">
        <v>152445227.03459719</v>
      </c>
    </row>
    <row r="11" spans="1:21" s="351" customFormat="1" ht="12.75">
      <c r="A11" s="351">
        <v>5</v>
      </c>
      <c r="C11" s="351" t="s">
        <v>453</v>
      </c>
      <c r="D11" s="973">
        <v>873041</v>
      </c>
      <c r="E11" s="973">
        <v>800625</v>
      </c>
      <c r="F11" s="973">
        <v>702219</v>
      </c>
      <c r="G11" s="973">
        <v>730388</v>
      </c>
      <c r="H11" s="973">
        <v>713903</v>
      </c>
      <c r="I11" s="973">
        <v>827226</v>
      </c>
      <c r="J11" s="973">
        <v>1074292</v>
      </c>
      <c r="K11" s="973">
        <v>987849</v>
      </c>
      <c r="L11" s="973">
        <v>995494</v>
      </c>
      <c r="M11" s="973">
        <v>724757</v>
      </c>
      <c r="N11" s="973">
        <v>836424</v>
      </c>
      <c r="O11" s="973">
        <v>880291</v>
      </c>
      <c r="P11" s="970">
        <f t="shared" si="1"/>
        <v>10146509</v>
      </c>
      <c r="Q11" s="970">
        <f t="shared" si="2"/>
        <v>4598764</v>
      </c>
      <c r="R11" s="970">
        <f t="shared" si="3"/>
        <v>5547745</v>
      </c>
      <c r="S11" s="970">
        <f t="shared" si="4"/>
        <v>3884861</v>
      </c>
      <c r="T11" s="970">
        <f t="shared" si="5"/>
        <v>6261648</v>
      </c>
      <c r="U11" s="971">
        <v>10146509</v>
      </c>
    </row>
    <row r="12" spans="1:21" s="351" customFormat="1" ht="12.75">
      <c r="A12" s="351">
        <v>6</v>
      </c>
      <c r="C12" s="351" t="s">
        <v>454</v>
      </c>
      <c r="D12" s="973">
        <v>660</v>
      </c>
      <c r="E12" s="973">
        <v>580</v>
      </c>
      <c r="F12" s="973">
        <v>523</v>
      </c>
      <c r="G12" s="973">
        <v>536</v>
      </c>
      <c r="H12" s="973">
        <v>907</v>
      </c>
      <c r="I12" s="973">
        <v>5495</v>
      </c>
      <c r="J12" s="973">
        <v>6734</v>
      </c>
      <c r="K12" s="973">
        <v>7753</v>
      </c>
      <c r="L12" s="973">
        <v>5703</v>
      </c>
      <c r="M12" s="973">
        <v>3287</v>
      </c>
      <c r="N12" s="973">
        <v>599</v>
      </c>
      <c r="O12" s="973">
        <v>589</v>
      </c>
      <c r="P12" s="970">
        <f t="shared" si="1"/>
        <v>33366</v>
      </c>
      <c r="Q12" s="970">
        <f t="shared" si="2"/>
        <v>26592</v>
      </c>
      <c r="R12" s="970">
        <f t="shared" si="3"/>
        <v>6774</v>
      </c>
      <c r="S12" s="970">
        <f t="shared" si="4"/>
        <v>25685</v>
      </c>
      <c r="T12" s="970">
        <f t="shared" si="5"/>
        <v>7681</v>
      </c>
      <c r="U12" s="971">
        <v>33366</v>
      </c>
    </row>
    <row r="13" spans="1:21" s="351" customFormat="1" ht="12.75">
      <c r="A13" s="351">
        <v>7</v>
      </c>
      <c r="C13" s="351" t="s">
        <v>455</v>
      </c>
      <c r="D13" s="972">
        <v>192791.91476538958</v>
      </c>
      <c r="E13" s="972">
        <v>189537.84562311339</v>
      </c>
      <c r="F13" s="972">
        <v>182291.05887300253</v>
      </c>
      <c r="G13" s="972">
        <v>188621.01942567565</v>
      </c>
      <c r="H13" s="972">
        <v>175058.56115107911</v>
      </c>
      <c r="I13" s="972">
        <v>190149.70615711252</v>
      </c>
      <c r="J13" s="972">
        <v>183014.1311754685</v>
      </c>
      <c r="K13" s="972">
        <v>182861.00383631713</v>
      </c>
      <c r="L13" s="972">
        <v>178617.77278562263</v>
      </c>
      <c r="M13" s="972">
        <v>181455.3184931507</v>
      </c>
      <c r="N13" s="972">
        <v>172094.59897172236</v>
      </c>
      <c r="O13" s="972">
        <v>173869.19845360823</v>
      </c>
      <c r="P13" s="970">
        <f t="shared" si="1"/>
        <v>2190362.1297112624</v>
      </c>
      <c r="Q13" s="970">
        <f t="shared" si="2"/>
        <v>909701.1751055998</v>
      </c>
      <c r="R13" s="970">
        <f t="shared" si="3"/>
        <v>1280660.9546056627</v>
      </c>
      <c r="S13" s="970">
        <f t="shared" si="4"/>
        <v>734642.61395452067</v>
      </c>
      <c r="T13" s="970">
        <f t="shared" si="5"/>
        <v>1455719.5157567416</v>
      </c>
      <c r="U13" s="971">
        <v>2190362.1297112624</v>
      </c>
    </row>
    <row r="14" spans="1:21" s="351" customFormat="1" ht="12.75">
      <c r="A14" s="351">
        <v>8</v>
      </c>
      <c r="C14" s="351" t="s">
        <v>112</v>
      </c>
      <c r="D14" s="970">
        <v>10089764.757987184</v>
      </c>
      <c r="E14" s="970">
        <v>9028942.2321823332</v>
      </c>
      <c r="F14" s="970">
        <v>8407092.7832644507</v>
      </c>
      <c r="G14" s="970">
        <v>7637989.6110781655</v>
      </c>
      <c r="H14" s="970">
        <v>7364029.2268331917</v>
      </c>
      <c r="I14" s="970">
        <v>8202532.6380106201</v>
      </c>
      <c r="J14" s="970">
        <v>8793004.2197449058</v>
      </c>
      <c r="K14" s="970">
        <v>7314721.5106440093</v>
      </c>
      <c r="L14" s="970">
        <v>5069302.2683535507</v>
      </c>
      <c r="M14" s="970">
        <v>6068756.1794930156</v>
      </c>
      <c r="N14" s="970">
        <v>8539621.7233840711</v>
      </c>
      <c r="O14" s="970">
        <v>9997247.3800268248</v>
      </c>
      <c r="P14" s="970">
        <f t="shared" si="1"/>
        <v>96513004.531002313</v>
      </c>
      <c r="Q14" s="970">
        <f t="shared" si="2"/>
        <v>36743589.863586277</v>
      </c>
      <c r="R14" s="970">
        <f t="shared" si="3"/>
        <v>59769414.667416036</v>
      </c>
      <c r="S14" s="970">
        <f t="shared" si="4"/>
        <v>29379560.636753086</v>
      </c>
      <c r="T14" s="970">
        <f t="shared" si="5"/>
        <v>67133443.894249231</v>
      </c>
      <c r="U14" s="971">
        <v>96513004.531002313</v>
      </c>
    </row>
    <row r="15" spans="1:21" s="351" customFormat="1" ht="12.75">
      <c r="A15" s="351">
        <v>9</v>
      </c>
      <c r="C15" s="351" t="s">
        <v>459</v>
      </c>
      <c r="D15" s="973">
        <v>116</v>
      </c>
      <c r="E15" s="973">
        <v>116</v>
      </c>
      <c r="F15" s="973">
        <v>116</v>
      </c>
      <c r="G15" s="973">
        <v>116</v>
      </c>
      <c r="H15" s="973">
        <v>116</v>
      </c>
      <c r="I15" s="973">
        <v>116</v>
      </c>
      <c r="J15" s="973">
        <v>116</v>
      </c>
      <c r="K15" s="973">
        <v>116</v>
      </c>
      <c r="L15" s="973">
        <v>116</v>
      </c>
      <c r="M15" s="973">
        <v>116</v>
      </c>
      <c r="N15" s="973">
        <v>116</v>
      </c>
      <c r="O15" s="973">
        <v>116</v>
      </c>
      <c r="P15" s="970">
        <f t="shared" si="1"/>
        <v>1392</v>
      </c>
      <c r="Q15" s="970">
        <f t="shared" si="2"/>
        <v>580</v>
      </c>
      <c r="R15" s="970">
        <f t="shared" si="3"/>
        <v>812</v>
      </c>
      <c r="S15" s="970">
        <f t="shared" si="4"/>
        <v>464</v>
      </c>
      <c r="T15" s="970">
        <f t="shared" si="5"/>
        <v>928</v>
      </c>
      <c r="U15" s="971">
        <v>1392</v>
      </c>
    </row>
    <row r="16" spans="1:21" s="351" customFormat="1" ht="12.75">
      <c r="A16" s="974">
        <v>50</v>
      </c>
      <c r="B16" s="974"/>
      <c r="C16" s="974" t="s">
        <v>1325</v>
      </c>
      <c r="D16" s="975">
        <v>0</v>
      </c>
      <c r="E16" s="975">
        <v>0</v>
      </c>
      <c r="F16" s="975">
        <v>0</v>
      </c>
      <c r="G16" s="975">
        <v>0</v>
      </c>
      <c r="H16" s="975">
        <v>0</v>
      </c>
      <c r="I16" s="975">
        <v>0</v>
      </c>
      <c r="J16" s="975">
        <v>0</v>
      </c>
      <c r="K16" s="975">
        <v>0</v>
      </c>
      <c r="L16" s="975">
        <v>0</v>
      </c>
      <c r="M16" s="975">
        <v>0</v>
      </c>
      <c r="N16" s="975">
        <v>0</v>
      </c>
      <c r="O16" s="975">
        <v>0</v>
      </c>
      <c r="P16" s="970">
        <f t="shared" si="1"/>
        <v>0</v>
      </c>
      <c r="Q16" s="970">
        <f t="shared" si="2"/>
        <v>0</v>
      </c>
      <c r="R16" s="970">
        <f t="shared" si="3"/>
        <v>0</v>
      </c>
      <c r="S16" s="970">
        <f t="shared" si="4"/>
        <v>0</v>
      </c>
      <c r="T16" s="970">
        <f t="shared" si="5"/>
        <v>0</v>
      </c>
      <c r="U16" s="976">
        <v>0</v>
      </c>
    </row>
    <row r="17" spans="1:197" s="351" customFormat="1" ht="12.75">
      <c r="A17" s="977">
        <v>1</v>
      </c>
      <c r="B17" s="978"/>
      <c r="C17" s="978" t="s">
        <v>1326</v>
      </c>
      <c r="D17" s="972">
        <v>23475486.48796602</v>
      </c>
      <c r="E17" s="972">
        <v>20286586.957160674</v>
      </c>
      <c r="F17" s="972">
        <v>13626736.432787346</v>
      </c>
      <c r="G17" s="972">
        <v>5596778.0446601929</v>
      </c>
      <c r="H17" s="972">
        <v>3148090.3839762816</v>
      </c>
      <c r="I17" s="972">
        <v>4448132.936462665</v>
      </c>
      <c r="J17" s="972">
        <v>9664359.5720604882</v>
      </c>
      <c r="K17" s="972">
        <v>18311810.745140977</v>
      </c>
      <c r="L17" s="972">
        <v>11583753.408168139</v>
      </c>
      <c r="M17" s="972">
        <v>7170082.6731116176</v>
      </c>
      <c r="N17" s="972">
        <v>7051063.4132954814</v>
      </c>
      <c r="O17" s="972">
        <v>16839809.986855853</v>
      </c>
      <c r="P17" s="970">
        <f t="shared" si="1"/>
        <v>141202691.04164574</v>
      </c>
      <c r="Q17" s="970">
        <f t="shared" si="2"/>
        <v>47156147.045808554</v>
      </c>
      <c r="R17" s="970">
        <f t="shared" si="3"/>
        <v>94046543.995837182</v>
      </c>
      <c r="S17" s="970">
        <f t="shared" si="4"/>
        <v>44008056.661832273</v>
      </c>
      <c r="T17" s="970">
        <f t="shared" si="5"/>
        <v>97194634.379813462</v>
      </c>
      <c r="U17" s="971">
        <v>141202691.04164574</v>
      </c>
    </row>
    <row r="18" spans="1:197" s="974" customFormat="1" ht="12.75">
      <c r="A18" s="979">
        <v>2</v>
      </c>
      <c r="C18" s="974" t="s">
        <v>1327</v>
      </c>
      <c r="D18" s="975">
        <v>0</v>
      </c>
      <c r="E18" s="975">
        <v>0</v>
      </c>
      <c r="F18" s="975">
        <v>0</v>
      </c>
      <c r="G18" s="975">
        <v>0</v>
      </c>
      <c r="H18" s="975">
        <v>0</v>
      </c>
      <c r="I18" s="975">
        <v>0</v>
      </c>
      <c r="J18" s="975">
        <v>0</v>
      </c>
      <c r="K18" s="975">
        <v>0</v>
      </c>
      <c r="L18" s="975">
        <v>0</v>
      </c>
      <c r="M18" s="975">
        <v>0</v>
      </c>
      <c r="N18" s="975">
        <v>0</v>
      </c>
      <c r="O18" s="975">
        <v>0</v>
      </c>
      <c r="P18" s="970">
        <f t="shared" si="1"/>
        <v>0</v>
      </c>
      <c r="Q18" s="970">
        <f t="shared" si="2"/>
        <v>0</v>
      </c>
      <c r="R18" s="970">
        <f t="shared" si="3"/>
        <v>0</v>
      </c>
      <c r="S18" s="970">
        <f t="shared" si="4"/>
        <v>0</v>
      </c>
      <c r="T18" s="970">
        <f t="shared" si="5"/>
        <v>0</v>
      </c>
      <c r="U18" s="976">
        <v>0</v>
      </c>
      <c r="V18" s="351"/>
      <c r="W18" s="351"/>
      <c r="X18" s="351"/>
      <c r="Y18" s="351"/>
      <c r="Z18" s="351"/>
      <c r="AA18" s="351"/>
      <c r="AB18" s="351"/>
      <c r="AC18" s="351"/>
      <c r="AD18" s="351"/>
      <c r="AE18" s="351"/>
      <c r="AF18" s="351"/>
      <c r="AG18" s="351"/>
      <c r="AH18" s="351"/>
      <c r="AI18" s="351"/>
      <c r="AJ18" s="351"/>
      <c r="AK18" s="351"/>
      <c r="AL18" s="351"/>
      <c r="AM18" s="351"/>
      <c r="AN18" s="351"/>
      <c r="AO18" s="351"/>
      <c r="AP18" s="351"/>
      <c r="AQ18" s="351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1"/>
      <c r="BF18" s="351"/>
      <c r="BG18" s="351"/>
      <c r="BH18" s="351"/>
      <c r="BI18" s="351"/>
      <c r="BJ18" s="351"/>
      <c r="BK18" s="351"/>
      <c r="BL18" s="351"/>
      <c r="BM18" s="351"/>
      <c r="BN18" s="351"/>
      <c r="BO18" s="351"/>
      <c r="BP18" s="351"/>
      <c r="BQ18" s="351"/>
      <c r="BR18" s="351"/>
      <c r="BS18" s="351"/>
      <c r="BT18" s="351"/>
      <c r="BU18" s="351"/>
      <c r="BV18" s="351"/>
      <c r="BW18" s="351"/>
      <c r="BX18" s="351"/>
      <c r="BY18" s="351"/>
      <c r="BZ18" s="351"/>
      <c r="CA18" s="351"/>
      <c r="CB18" s="351"/>
      <c r="CC18" s="351"/>
      <c r="CD18" s="351"/>
      <c r="CE18" s="351"/>
      <c r="CF18" s="351"/>
      <c r="CG18" s="351"/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1"/>
      <c r="CZ18" s="351"/>
      <c r="DA18" s="351"/>
      <c r="DB18" s="351"/>
      <c r="DC18" s="351"/>
      <c r="DD18" s="351"/>
      <c r="DE18" s="351"/>
      <c r="DF18" s="351"/>
      <c r="DG18" s="351"/>
      <c r="DH18" s="351"/>
      <c r="DI18" s="351"/>
      <c r="DJ18" s="351"/>
      <c r="DK18" s="351"/>
      <c r="DL18" s="351"/>
      <c r="DM18" s="351"/>
      <c r="DN18" s="351"/>
      <c r="DO18" s="351"/>
      <c r="DP18" s="351"/>
      <c r="DQ18" s="351"/>
      <c r="DR18" s="351"/>
      <c r="DS18" s="351"/>
      <c r="DT18" s="351"/>
      <c r="DU18" s="351"/>
      <c r="DV18" s="351"/>
      <c r="DW18" s="351"/>
      <c r="DX18" s="351"/>
      <c r="DY18" s="351"/>
      <c r="DZ18" s="351"/>
      <c r="EA18" s="351"/>
      <c r="EB18" s="351"/>
      <c r="EC18" s="351"/>
      <c r="ED18" s="351"/>
      <c r="EE18" s="351"/>
      <c r="EF18" s="351"/>
      <c r="EG18" s="351"/>
      <c r="EH18" s="351"/>
      <c r="EI18" s="351"/>
      <c r="EJ18" s="351"/>
      <c r="EK18" s="351"/>
      <c r="EL18" s="351"/>
      <c r="EM18" s="351"/>
      <c r="EN18" s="351"/>
      <c r="EO18" s="351"/>
      <c r="EP18" s="351"/>
      <c r="EQ18" s="351"/>
      <c r="ER18" s="351"/>
      <c r="ES18" s="351"/>
      <c r="ET18" s="351"/>
      <c r="EU18" s="351"/>
      <c r="EV18" s="351"/>
      <c r="EW18" s="351"/>
      <c r="EX18" s="351"/>
      <c r="EY18" s="351"/>
      <c r="EZ18" s="351"/>
      <c r="FA18" s="351"/>
      <c r="FB18" s="351"/>
      <c r="FC18" s="351"/>
      <c r="FD18" s="351"/>
      <c r="FE18" s="351"/>
      <c r="FF18" s="351"/>
      <c r="FG18" s="351"/>
      <c r="FH18" s="351"/>
      <c r="FI18" s="351"/>
      <c r="FJ18" s="351"/>
      <c r="FK18" s="351"/>
      <c r="FL18" s="351"/>
      <c r="FM18" s="351"/>
      <c r="FN18" s="351"/>
      <c r="FO18" s="351"/>
      <c r="FP18" s="351"/>
      <c r="FQ18" s="351"/>
      <c r="FR18" s="351"/>
      <c r="FS18" s="351"/>
      <c r="FT18" s="351"/>
      <c r="FU18" s="351"/>
      <c r="FV18" s="351"/>
      <c r="FW18" s="351"/>
      <c r="FX18" s="351"/>
      <c r="FY18" s="351"/>
      <c r="FZ18" s="351"/>
      <c r="GA18" s="351"/>
      <c r="GB18" s="351"/>
      <c r="GC18" s="351"/>
      <c r="GD18" s="351"/>
      <c r="GE18" s="351"/>
      <c r="GF18" s="351"/>
      <c r="GG18" s="351"/>
      <c r="GH18" s="351"/>
      <c r="GI18" s="351"/>
      <c r="GJ18" s="351"/>
      <c r="GK18" s="351"/>
      <c r="GL18" s="351"/>
      <c r="GM18" s="351"/>
      <c r="GN18" s="351"/>
      <c r="GO18" s="351"/>
    </row>
    <row r="19" spans="1:197" s="351" customFormat="1" ht="12.75">
      <c r="A19" s="977">
        <v>3</v>
      </c>
      <c r="B19" s="978"/>
      <c r="C19" s="978" t="s">
        <v>1328</v>
      </c>
      <c r="D19" s="972">
        <v>161376.53631284914</v>
      </c>
      <c r="E19" s="972">
        <v>146468.95522388059</v>
      </c>
      <c r="F19" s="972">
        <v>103870.77272727272</v>
      </c>
      <c r="G19" s="972">
        <v>64842.545454545456</v>
      </c>
      <c r="H19" s="972">
        <v>40975.936507936509</v>
      </c>
      <c r="I19" s="972">
        <v>48644.627027027032</v>
      </c>
      <c r="J19" s="972">
        <v>78351.606557377032</v>
      </c>
      <c r="K19" s="972">
        <v>112190.83146067416</v>
      </c>
      <c r="L19" s="972">
        <v>83029.139664804476</v>
      </c>
      <c r="M19" s="972">
        <v>62841.379310344826</v>
      </c>
      <c r="N19" s="972">
        <v>86815.076923076922</v>
      </c>
      <c r="O19" s="972">
        <v>142147.44578313251</v>
      </c>
      <c r="P19" s="970">
        <f t="shared" si="1"/>
        <v>1131554.8529529213</v>
      </c>
      <c r="Q19" s="970">
        <f t="shared" si="2"/>
        <v>363192.14121781918</v>
      </c>
      <c r="R19" s="970">
        <f t="shared" si="3"/>
        <v>768362.71173510212</v>
      </c>
      <c r="S19" s="970">
        <f t="shared" si="4"/>
        <v>322216.20470988267</v>
      </c>
      <c r="T19" s="970">
        <f t="shared" si="5"/>
        <v>809338.64824303868</v>
      </c>
      <c r="U19" s="971">
        <v>1131554.8529529213</v>
      </c>
    </row>
    <row r="20" spans="1:197" s="351" customFormat="1" ht="12.75">
      <c r="A20" s="977">
        <v>4</v>
      </c>
      <c r="B20" s="978"/>
      <c r="C20" s="978" t="s">
        <v>1329</v>
      </c>
      <c r="D20" s="972">
        <v>500309.99999999994</v>
      </c>
      <c r="E20" s="972">
        <v>510348.49999999994</v>
      </c>
      <c r="F20" s="972">
        <v>442870.92307692301</v>
      </c>
      <c r="G20" s="972">
        <v>306534.28571428574</v>
      </c>
      <c r="H20" s="972">
        <v>298350</v>
      </c>
      <c r="I20" s="972">
        <v>321688.57142857142</v>
      </c>
      <c r="J20" s="972">
        <v>379197.14285714284</v>
      </c>
      <c r="K20" s="972">
        <v>403852</v>
      </c>
      <c r="L20" s="972">
        <v>349871.33333333337</v>
      </c>
      <c r="M20" s="972">
        <v>288831.21428571426</v>
      </c>
      <c r="N20" s="972">
        <v>326910</v>
      </c>
      <c r="O20" s="972">
        <v>445044.21428571426</v>
      </c>
      <c r="P20" s="970">
        <f t="shared" si="1"/>
        <v>4573808.1849816851</v>
      </c>
      <c r="Q20" s="970">
        <f t="shared" si="2"/>
        <v>1752959.0476190476</v>
      </c>
      <c r="R20" s="970">
        <f t="shared" si="3"/>
        <v>2820849.1373626376</v>
      </c>
      <c r="S20" s="970">
        <f t="shared" si="4"/>
        <v>1454609.0476190476</v>
      </c>
      <c r="T20" s="970">
        <f t="shared" si="5"/>
        <v>3119199.1373626376</v>
      </c>
      <c r="U20" s="971">
        <v>4573808.1849816851</v>
      </c>
    </row>
    <row r="21" spans="1:197" s="351" customFormat="1" ht="12.75">
      <c r="A21" s="977">
        <v>5</v>
      </c>
      <c r="B21" s="978"/>
      <c r="C21" s="978" t="s">
        <v>1330</v>
      </c>
      <c r="D21" s="973">
        <v>0</v>
      </c>
      <c r="E21" s="973">
        <v>0</v>
      </c>
      <c r="F21" s="973">
        <v>0</v>
      </c>
      <c r="G21" s="973">
        <v>0</v>
      </c>
      <c r="H21" s="973">
        <v>0</v>
      </c>
      <c r="I21" s="973">
        <v>0</v>
      </c>
      <c r="J21" s="973">
        <v>0</v>
      </c>
      <c r="K21" s="973">
        <v>0</v>
      </c>
      <c r="L21" s="973">
        <v>0</v>
      </c>
      <c r="M21" s="973">
        <v>0</v>
      </c>
      <c r="N21" s="973">
        <v>0</v>
      </c>
      <c r="O21" s="973">
        <v>0</v>
      </c>
      <c r="P21" s="970">
        <f t="shared" si="1"/>
        <v>0</v>
      </c>
      <c r="Q21" s="970">
        <f t="shared" si="2"/>
        <v>0</v>
      </c>
      <c r="R21" s="970">
        <f t="shared" si="3"/>
        <v>0</v>
      </c>
      <c r="S21" s="970">
        <f t="shared" si="4"/>
        <v>0</v>
      </c>
      <c r="T21" s="970">
        <f t="shared" si="5"/>
        <v>0</v>
      </c>
      <c r="U21" s="971">
        <v>0</v>
      </c>
    </row>
    <row r="22" spans="1:197" s="351" customFormat="1" ht="12.75">
      <c r="A22" s="977">
        <v>6</v>
      </c>
      <c r="B22" s="978"/>
      <c r="C22" s="978" t="s">
        <v>1331</v>
      </c>
      <c r="D22" s="972">
        <v>229994.13333333333</v>
      </c>
      <c r="E22" s="972">
        <v>259499.75115207373</v>
      </c>
      <c r="F22" s="972">
        <v>38721.137209302331</v>
      </c>
      <c r="G22" s="972">
        <v>46303.018604651159</v>
      </c>
      <c r="H22" s="972">
        <v>41147.770301624143</v>
      </c>
      <c r="I22" s="972">
        <v>164005.42923433875</v>
      </c>
      <c r="J22" s="972">
        <v>229994.13333333333</v>
      </c>
      <c r="K22" s="972">
        <v>259499.75115207373</v>
      </c>
      <c r="L22" s="972">
        <v>38721.137209302331</v>
      </c>
      <c r="M22" s="972">
        <v>46303.018604651159</v>
      </c>
      <c r="N22" s="972">
        <v>41147.770301624143</v>
      </c>
      <c r="O22" s="972">
        <v>164005.42923433875</v>
      </c>
      <c r="P22" s="970">
        <f t="shared" si="1"/>
        <v>1559342.4796706466</v>
      </c>
      <c r="Q22" s="970">
        <f t="shared" si="2"/>
        <v>733368.22123067221</v>
      </c>
      <c r="R22" s="970">
        <f t="shared" si="3"/>
        <v>825974.25843997439</v>
      </c>
      <c r="S22" s="970">
        <f t="shared" si="4"/>
        <v>692220.45092904801</v>
      </c>
      <c r="T22" s="970">
        <f t="shared" si="5"/>
        <v>867122.02874159859</v>
      </c>
      <c r="U22" s="971">
        <v>1559342.4796706466</v>
      </c>
    </row>
    <row r="23" spans="1:197" s="351" customFormat="1" ht="12.75">
      <c r="A23" s="980">
        <v>1</v>
      </c>
      <c r="B23" s="981"/>
      <c r="C23" s="981" t="s">
        <v>1332</v>
      </c>
      <c r="D23" s="972">
        <v>19926421.681601521</v>
      </c>
      <c r="E23" s="972">
        <v>16910285.854349095</v>
      </c>
      <c r="F23" s="972">
        <v>15908200.225287359</v>
      </c>
      <c r="G23" s="972">
        <v>11894950.820623504</v>
      </c>
      <c r="H23" s="972">
        <v>11243834.171218917</v>
      </c>
      <c r="I23" s="972">
        <v>17771985.422002126</v>
      </c>
      <c r="J23" s="972">
        <v>20583443.645376544</v>
      </c>
      <c r="K23" s="972">
        <v>17464811.23963806</v>
      </c>
      <c r="L23" s="972">
        <v>16427029.43218391</v>
      </c>
      <c r="M23" s="972">
        <v>12280794.806235015</v>
      </c>
      <c r="N23" s="972">
        <v>11606596.286995515</v>
      </c>
      <c r="O23" s="972">
        <v>18342299.917934209</v>
      </c>
      <c r="P23" s="970">
        <f t="shared" si="1"/>
        <v>190360653.50344577</v>
      </c>
      <c r="Q23" s="970">
        <f t="shared" si="2"/>
        <v>83491103.910419554</v>
      </c>
      <c r="R23" s="970">
        <f t="shared" si="3"/>
        <v>106869549.59302622</v>
      </c>
      <c r="S23" s="970">
        <f t="shared" si="4"/>
        <v>72247269.739200637</v>
      </c>
      <c r="T23" s="970">
        <f t="shared" si="5"/>
        <v>118113383.76424514</v>
      </c>
      <c r="U23" s="971">
        <v>190360653.50344577</v>
      </c>
    </row>
    <row r="24" spans="1:197" s="351" customFormat="1" ht="12.75">
      <c r="A24" s="980">
        <v>2</v>
      </c>
      <c r="B24" s="981"/>
      <c r="C24" s="981" t="s">
        <v>1333</v>
      </c>
      <c r="D24" s="972">
        <v>16120</v>
      </c>
      <c r="E24" s="972">
        <v>16120</v>
      </c>
      <c r="F24" s="972">
        <v>16120</v>
      </c>
      <c r="G24" s="972">
        <v>16120</v>
      </c>
      <c r="H24" s="972">
        <v>16740</v>
      </c>
      <c r="I24" s="972">
        <v>16740</v>
      </c>
      <c r="J24" s="972">
        <v>16740</v>
      </c>
      <c r="K24" s="972">
        <v>16740</v>
      </c>
      <c r="L24" s="972">
        <v>16740</v>
      </c>
      <c r="M24" s="972">
        <v>16740</v>
      </c>
      <c r="N24" s="972">
        <v>17360</v>
      </c>
      <c r="O24" s="972">
        <v>17360</v>
      </c>
      <c r="P24" s="970">
        <f t="shared" si="1"/>
        <v>199640</v>
      </c>
      <c r="Q24" s="970">
        <f t="shared" si="2"/>
        <v>83700</v>
      </c>
      <c r="R24" s="970">
        <f t="shared" si="3"/>
        <v>115940</v>
      </c>
      <c r="S24" s="970">
        <f t="shared" si="4"/>
        <v>66960</v>
      </c>
      <c r="T24" s="970">
        <f t="shared" si="5"/>
        <v>132680</v>
      </c>
      <c r="U24" s="971">
        <v>199640</v>
      </c>
    </row>
    <row r="25" spans="1:197" s="351" customFormat="1" ht="12.75">
      <c r="A25" s="980">
        <v>3</v>
      </c>
      <c r="B25" s="981"/>
      <c r="C25" s="981" t="s">
        <v>1334</v>
      </c>
      <c r="D25" s="972">
        <v>234455.19354838709</v>
      </c>
      <c r="E25" s="972">
        <v>183581.9696969697</v>
      </c>
      <c r="F25" s="972">
        <v>176631.61904761902</v>
      </c>
      <c r="G25" s="972">
        <v>135827.28000000003</v>
      </c>
      <c r="H25" s="972">
        <v>159011.11111111112</v>
      </c>
      <c r="I25" s="972">
        <v>217078.64516129027</v>
      </c>
      <c r="J25" s="972">
        <v>242299.4193548387</v>
      </c>
      <c r="K25" s="972">
        <v>189678.78787878787</v>
      </c>
      <c r="L25" s="972">
        <v>182476.0476190476</v>
      </c>
      <c r="M25" s="972">
        <v>140288.76</v>
      </c>
      <c r="N25" s="972">
        <v>164215.11111111112</v>
      </c>
      <c r="O25" s="972">
        <v>224131.74193548382</v>
      </c>
      <c r="P25" s="970">
        <f t="shared" si="1"/>
        <v>2249675.6864646464</v>
      </c>
      <c r="Q25" s="970">
        <f t="shared" si="2"/>
        <v>990544.01112507551</v>
      </c>
      <c r="R25" s="970">
        <f t="shared" si="3"/>
        <v>1259131.6753395707</v>
      </c>
      <c r="S25" s="970">
        <f t="shared" si="4"/>
        <v>831532.90001396439</v>
      </c>
      <c r="T25" s="970">
        <f t="shared" si="5"/>
        <v>1418142.786450682</v>
      </c>
      <c r="U25" s="971">
        <v>2249675.6864646464</v>
      </c>
    </row>
    <row r="26" spans="1:197" s="351" customFormat="1" ht="12.75">
      <c r="A26" s="980">
        <v>4</v>
      </c>
      <c r="B26" s="981"/>
      <c r="C26" s="981" t="s">
        <v>1335</v>
      </c>
      <c r="D26" s="972">
        <v>24474.666666666664</v>
      </c>
      <c r="E26" s="972">
        <v>24474.666666666664</v>
      </c>
      <c r="F26" s="972">
        <v>24474.666666666664</v>
      </c>
      <c r="G26" s="972">
        <v>24474.666666666664</v>
      </c>
      <c r="H26" s="972">
        <v>25416</v>
      </c>
      <c r="I26" s="972">
        <v>25416</v>
      </c>
      <c r="J26" s="972">
        <v>25416</v>
      </c>
      <c r="K26" s="972">
        <v>25416</v>
      </c>
      <c r="L26" s="972">
        <v>25416</v>
      </c>
      <c r="M26" s="972">
        <v>25416</v>
      </c>
      <c r="N26" s="972">
        <v>26357.333333333332</v>
      </c>
      <c r="O26" s="972">
        <v>26357.333333333332</v>
      </c>
      <c r="P26" s="970">
        <f t="shared" si="1"/>
        <v>303109.33333333331</v>
      </c>
      <c r="Q26" s="970">
        <f t="shared" si="2"/>
        <v>127080</v>
      </c>
      <c r="R26" s="970">
        <f t="shared" si="3"/>
        <v>176029.33333333331</v>
      </c>
      <c r="S26" s="970">
        <f t="shared" si="4"/>
        <v>101664</v>
      </c>
      <c r="T26" s="970">
        <f t="shared" si="5"/>
        <v>201445.33333333331</v>
      </c>
      <c r="U26" s="971">
        <v>303109.33333333331</v>
      </c>
    </row>
    <row r="27" spans="1:197" s="351" customFormat="1" ht="12.75">
      <c r="A27" s="982"/>
      <c r="B27" s="982" t="s">
        <v>114</v>
      </c>
      <c r="C27" s="982"/>
      <c r="D27" s="983">
        <v>640581023.99495685</v>
      </c>
      <c r="E27" s="983">
        <v>519859976.43094087</v>
      </c>
      <c r="F27" s="983">
        <v>503621507.45778066</v>
      </c>
      <c r="G27" s="983">
        <v>443865325.34916306</v>
      </c>
      <c r="H27" s="983">
        <v>475295057.62120336</v>
      </c>
      <c r="I27" s="983">
        <v>630636962.71182561</v>
      </c>
      <c r="J27" s="983">
        <v>878322865.68599105</v>
      </c>
      <c r="K27" s="983">
        <v>791345767.87948525</v>
      </c>
      <c r="L27" s="983">
        <v>537497722.61892545</v>
      </c>
      <c r="M27" s="983">
        <v>457906162.42151988</v>
      </c>
      <c r="N27" s="983">
        <v>522522445.86223441</v>
      </c>
      <c r="O27" s="983">
        <v>649310680.02443004</v>
      </c>
      <c r="P27" s="970">
        <f t="shared" si="1"/>
        <v>7050765498.0584564</v>
      </c>
      <c r="Q27" s="970">
        <f t="shared" si="2"/>
        <v>3313098376.5174308</v>
      </c>
      <c r="R27" s="970">
        <f t="shared" si="3"/>
        <v>3737667121.5410256</v>
      </c>
      <c r="S27" s="970">
        <f t="shared" si="4"/>
        <v>2837803318.8962274</v>
      </c>
      <c r="T27" s="970">
        <f t="shared" si="5"/>
        <v>4212962179.1622291</v>
      </c>
      <c r="U27" s="984">
        <v>7050765498.0584555</v>
      </c>
    </row>
    <row r="28" spans="1:197" s="351" customFormat="1" ht="12.75">
      <c r="A28" s="985"/>
      <c r="B28" s="985" t="s">
        <v>1336</v>
      </c>
      <c r="C28" s="985"/>
      <c r="D28" s="986">
        <v>614529341.11725485</v>
      </c>
      <c r="E28" s="986">
        <v>497126928.42178112</v>
      </c>
      <c r="F28" s="986">
        <v>488105697.32957047</v>
      </c>
      <c r="G28" s="986">
        <v>436531618.95754743</v>
      </c>
      <c r="H28" s="986">
        <v>470487976.66926646</v>
      </c>
      <c r="I28" s="986">
        <v>624148644.89189756</v>
      </c>
      <c r="J28" s="986">
        <v>866009102.14299786</v>
      </c>
      <c r="K28" s="986">
        <v>770328681.52977931</v>
      </c>
      <c r="L28" s="986">
        <v>523655174.38648313</v>
      </c>
      <c r="M28" s="986">
        <v>448973274.4461866</v>
      </c>
      <c r="N28" s="986">
        <v>513564325.87966561</v>
      </c>
      <c r="O28" s="986">
        <v>630073522.55184782</v>
      </c>
      <c r="P28" s="970"/>
      <c r="Q28" s="970"/>
      <c r="R28" s="970"/>
      <c r="S28" s="970"/>
      <c r="T28" s="970"/>
      <c r="U28" s="971"/>
      <c r="W28" s="987"/>
      <c r="X28" s="987"/>
      <c r="Y28" s="987"/>
      <c r="Z28" s="987"/>
    </row>
    <row r="29" spans="1:197">
      <c r="C29" s="351"/>
      <c r="D29" s="988">
        <v>20201471.541816711</v>
      </c>
      <c r="E29" s="988">
        <v>17134462.490712762</v>
      </c>
      <c r="F29" s="988">
        <v>16125426.511001647</v>
      </c>
      <c r="G29" s="988">
        <v>12071372.767290235</v>
      </c>
      <c r="H29" s="988">
        <v>11445001.282329977</v>
      </c>
      <c r="I29" s="988">
        <v>18031220.067163467</v>
      </c>
      <c r="J29" s="988">
        <v>20867899.064731359</v>
      </c>
      <c r="K29" s="988">
        <v>17696646.027516842</v>
      </c>
      <c r="L29" s="988">
        <v>16651661.479803026</v>
      </c>
      <c r="M29" s="988">
        <v>12463239.566235006</v>
      </c>
      <c r="N29" s="988">
        <v>11814528.731439948</v>
      </c>
      <c r="O29" s="988">
        <v>18610148.993202806</v>
      </c>
      <c r="P29" s="970"/>
      <c r="Q29" s="970"/>
      <c r="R29" s="970"/>
      <c r="S29" s="970"/>
      <c r="T29" s="970"/>
      <c r="U29" s="971"/>
    </row>
    <row r="30" spans="1:197">
      <c r="B30" s="351" t="s">
        <v>104</v>
      </c>
      <c r="P30" s="970"/>
      <c r="Q30" s="970"/>
      <c r="R30" s="970"/>
      <c r="S30" s="970"/>
      <c r="T30" s="970"/>
      <c r="U30" s="971"/>
    </row>
    <row r="31" spans="1:197" s="351" customFormat="1" ht="12.75">
      <c r="A31" s="351">
        <v>10</v>
      </c>
      <c r="B31" s="987"/>
      <c r="C31" s="351" t="s">
        <v>113</v>
      </c>
      <c r="D31" s="970">
        <v>399279357.44950593</v>
      </c>
      <c r="E31" s="970">
        <v>340019345.84390479</v>
      </c>
      <c r="F31" s="970">
        <v>383621000.44795924</v>
      </c>
      <c r="G31" s="970">
        <v>376299202.52472252</v>
      </c>
      <c r="H31" s="970">
        <v>407398230.81213748</v>
      </c>
      <c r="I31" s="970">
        <v>424957214.02475852</v>
      </c>
      <c r="J31" s="970">
        <v>483587347.74971944</v>
      </c>
      <c r="K31" s="970">
        <v>460118187.21523619</v>
      </c>
      <c r="L31" s="970">
        <v>402127244.43340439</v>
      </c>
      <c r="M31" s="970">
        <v>398917334.26748294</v>
      </c>
      <c r="N31" s="970">
        <v>373744650.81181365</v>
      </c>
      <c r="O31" s="970">
        <v>365790888.3344509</v>
      </c>
      <c r="P31" s="970">
        <f t="shared" si="1"/>
        <v>4815860003.9150953</v>
      </c>
      <c r="Q31" s="970">
        <f t="shared" ref="Q31:Q52" si="6">SUMIF($D$1:$O$1,"S",D31:O31)</f>
        <v>2178188224.2352557</v>
      </c>
      <c r="R31" s="970">
        <f t="shared" ref="R31:R52" si="7">P31-Q31</f>
        <v>2637671779.6798396</v>
      </c>
      <c r="S31" s="970">
        <f t="shared" si="4"/>
        <v>1770789993.4231181</v>
      </c>
      <c r="T31" s="970">
        <f t="shared" si="5"/>
        <v>3045070010.4919772</v>
      </c>
      <c r="U31" s="971">
        <v>4815860003.9150953</v>
      </c>
    </row>
    <row r="32" spans="1:197" s="351" customFormat="1" ht="12.75">
      <c r="A32" s="351">
        <v>11</v>
      </c>
      <c r="B32" s="987"/>
      <c r="C32" s="351" t="s">
        <v>453</v>
      </c>
      <c r="D32" s="972">
        <v>30033203.244021259</v>
      </c>
      <c r="E32" s="972">
        <v>26529144.439716309</v>
      </c>
      <c r="F32" s="972">
        <v>25605696.448598128</v>
      </c>
      <c r="G32" s="972">
        <v>23177307.338386089</v>
      </c>
      <c r="H32" s="972">
        <v>20490820.725533806</v>
      </c>
      <c r="I32" s="972">
        <v>21851958.754984487</v>
      </c>
      <c r="J32" s="972">
        <v>26940838.314437561</v>
      </c>
      <c r="K32" s="972">
        <v>28443886.112190813</v>
      </c>
      <c r="L32" s="972">
        <v>27184364.723253757</v>
      </c>
      <c r="M32" s="972">
        <v>22627292.659301814</v>
      </c>
      <c r="N32" s="972">
        <v>24486163.67152318</v>
      </c>
      <c r="O32" s="972">
        <v>29981184.593280289</v>
      </c>
      <c r="P32" s="970">
        <f t="shared" si="1"/>
        <v>307351861.02522755</v>
      </c>
      <c r="Q32" s="970">
        <f t="shared" si="6"/>
        <v>124911868.63040042</v>
      </c>
      <c r="R32" s="970">
        <f t="shared" si="7"/>
        <v>182439992.39482713</v>
      </c>
      <c r="S32" s="970">
        <f t="shared" si="4"/>
        <v>104421047.90486661</v>
      </c>
      <c r="T32" s="970">
        <f t="shared" si="5"/>
        <v>202930813.12036094</v>
      </c>
      <c r="U32" s="971">
        <v>307351861.02522755</v>
      </c>
    </row>
    <row r="33" spans="1:21" s="351" customFormat="1" ht="12.75">
      <c r="A33" s="351">
        <v>12</v>
      </c>
      <c r="B33" s="987"/>
      <c r="C33" s="351" t="s">
        <v>454</v>
      </c>
      <c r="D33" s="973">
        <v>249736</v>
      </c>
      <c r="E33" s="973">
        <v>258833</v>
      </c>
      <c r="F33" s="973">
        <v>200771</v>
      </c>
      <c r="G33" s="973">
        <v>286294</v>
      </c>
      <c r="H33" s="973">
        <v>279127</v>
      </c>
      <c r="I33" s="973">
        <v>297546</v>
      </c>
      <c r="J33" s="973">
        <v>315286</v>
      </c>
      <c r="K33" s="973">
        <v>321337</v>
      </c>
      <c r="L33" s="973">
        <v>313556</v>
      </c>
      <c r="M33" s="973">
        <v>266620</v>
      </c>
      <c r="N33" s="973">
        <v>249834</v>
      </c>
      <c r="O33" s="973">
        <v>285105</v>
      </c>
      <c r="P33" s="970">
        <f t="shared" si="1"/>
        <v>3324045</v>
      </c>
      <c r="Q33" s="970">
        <f t="shared" si="6"/>
        <v>1526852</v>
      </c>
      <c r="R33" s="970">
        <f t="shared" si="7"/>
        <v>1797193</v>
      </c>
      <c r="S33" s="970">
        <f t="shared" si="4"/>
        <v>1247725</v>
      </c>
      <c r="T33" s="970">
        <f t="shared" si="5"/>
        <v>2076320</v>
      </c>
      <c r="U33" s="971">
        <v>3324045</v>
      </c>
    </row>
    <row r="34" spans="1:21" s="351" customFormat="1" ht="12.75">
      <c r="A34" s="351">
        <v>13</v>
      </c>
      <c r="B34" s="987"/>
      <c r="C34" s="351" t="s">
        <v>455</v>
      </c>
      <c r="D34" s="972">
        <v>587951.7965279551</v>
      </c>
      <c r="E34" s="972">
        <v>590066.63249615591</v>
      </c>
      <c r="F34" s="972">
        <v>585942.55200000014</v>
      </c>
      <c r="G34" s="972">
        <v>590648.10115172761</v>
      </c>
      <c r="H34" s="972">
        <v>586069.35038876359</v>
      </c>
      <c r="I34" s="972">
        <v>585292.47435897437</v>
      </c>
      <c r="J34" s="972">
        <v>582021.65158371034</v>
      </c>
      <c r="K34" s="972">
        <v>578835.6</v>
      </c>
      <c r="L34" s="972">
        <v>574698.30436979025</v>
      </c>
      <c r="M34" s="972">
        <v>580311.33907754684</v>
      </c>
      <c r="N34" s="972">
        <v>571254.18452532438</v>
      </c>
      <c r="O34" s="972">
        <v>575806.63990825682</v>
      </c>
      <c r="P34" s="970">
        <f t="shared" si="1"/>
        <v>6988898.6263882052</v>
      </c>
      <c r="Q34" s="970">
        <f t="shared" si="6"/>
        <v>2906917.3807012383</v>
      </c>
      <c r="R34" s="970">
        <f t="shared" si="7"/>
        <v>4081981.2456869669</v>
      </c>
      <c r="S34" s="970">
        <f t="shared" si="4"/>
        <v>2320848.0303124748</v>
      </c>
      <c r="T34" s="970">
        <f t="shared" si="5"/>
        <v>4668050.5960757304</v>
      </c>
      <c r="U34" s="971">
        <v>6988898.6263882052</v>
      </c>
    </row>
    <row r="35" spans="1:21" s="351" customFormat="1" ht="12.75">
      <c r="A35" s="351">
        <v>14</v>
      </c>
      <c r="B35" s="987"/>
      <c r="C35" s="351" t="s">
        <v>568</v>
      </c>
      <c r="D35" s="989">
        <v>75402229.673087925</v>
      </c>
      <c r="E35" s="989">
        <v>68275294.877080441</v>
      </c>
      <c r="F35" s="989">
        <v>73668544.228059709</v>
      </c>
      <c r="G35" s="989">
        <v>71707252.944677189</v>
      </c>
      <c r="H35" s="989">
        <v>76245490.391164556</v>
      </c>
      <c r="I35" s="989">
        <v>81221586.148847431</v>
      </c>
      <c r="J35" s="989">
        <v>89304016.949517146</v>
      </c>
      <c r="K35" s="989">
        <v>87081658.083809644</v>
      </c>
      <c r="L35" s="989">
        <v>78946051.647097901</v>
      </c>
      <c r="M35" s="989">
        <v>82654819.375329524</v>
      </c>
      <c r="N35" s="989">
        <v>79923946.727134228</v>
      </c>
      <c r="O35" s="989">
        <v>81661050.228762671</v>
      </c>
      <c r="P35" s="970">
        <f t="shared" si="1"/>
        <v>946091941.27456832</v>
      </c>
      <c r="Q35" s="970">
        <f t="shared" si="6"/>
        <v>412798803.22043663</v>
      </c>
      <c r="R35" s="970">
        <f t="shared" si="7"/>
        <v>533293138.05413169</v>
      </c>
      <c r="S35" s="970">
        <f t="shared" si="4"/>
        <v>336553312.82927209</v>
      </c>
      <c r="T35" s="970">
        <f t="shared" si="5"/>
        <v>609538628.44529629</v>
      </c>
      <c r="U35" s="971">
        <v>946091941.27456832</v>
      </c>
    </row>
    <row r="36" spans="1:21" s="351" customFormat="1" ht="12.75">
      <c r="A36" s="351">
        <v>15</v>
      </c>
      <c r="B36" s="987"/>
      <c r="C36" s="351" t="s">
        <v>412</v>
      </c>
      <c r="D36" s="989">
        <v>99135094.975719541</v>
      </c>
      <c r="E36" s="989">
        <v>109604959.82359564</v>
      </c>
      <c r="F36" s="989">
        <v>95505876.215910718</v>
      </c>
      <c r="G36" s="989">
        <v>109700375.51109526</v>
      </c>
      <c r="H36" s="989">
        <v>106505505.16166204</v>
      </c>
      <c r="I36" s="989">
        <v>102690434.42420533</v>
      </c>
      <c r="J36" s="989">
        <v>103373321.96174753</v>
      </c>
      <c r="K36" s="989">
        <v>111188098.73224381</v>
      </c>
      <c r="L36" s="989">
        <v>111349181.11054361</v>
      </c>
      <c r="M36" s="989">
        <v>105712657.79341081</v>
      </c>
      <c r="N36" s="989">
        <v>113121831.82596877</v>
      </c>
      <c r="O36" s="989">
        <v>145249319.37305677</v>
      </c>
      <c r="P36" s="970">
        <f t="shared" si="1"/>
        <v>1313136656.9091597</v>
      </c>
      <c r="Q36" s="970">
        <f t="shared" si="6"/>
        <v>535106541.39040232</v>
      </c>
      <c r="R36" s="970">
        <f t="shared" si="7"/>
        <v>778030115.51875734</v>
      </c>
      <c r="S36" s="970">
        <f t="shared" si="4"/>
        <v>428601036.22874027</v>
      </c>
      <c r="T36" s="970">
        <f t="shared" si="5"/>
        <v>884535620.68041945</v>
      </c>
      <c r="U36" s="971">
        <v>1313136656.9091597</v>
      </c>
    </row>
    <row r="37" spans="1:21" s="351" customFormat="1" ht="12.75">
      <c r="A37" s="351">
        <v>16</v>
      </c>
      <c r="B37" s="987"/>
      <c r="C37" s="351" t="s">
        <v>456</v>
      </c>
      <c r="D37" s="970">
        <v>2427879.0573446397</v>
      </c>
      <c r="E37" s="970">
        <v>1670062.2181574462</v>
      </c>
      <c r="F37" s="970">
        <v>2209229.0637929323</v>
      </c>
      <c r="G37" s="970">
        <v>1635161.9318570769</v>
      </c>
      <c r="H37" s="970">
        <v>1118308.959879898</v>
      </c>
      <c r="I37" s="970">
        <v>1253013.1417589895</v>
      </c>
      <c r="J37" s="970">
        <v>1939030.0986382556</v>
      </c>
      <c r="K37" s="970">
        <v>1948423.1004505318</v>
      </c>
      <c r="L37" s="970">
        <v>1593403.3059089105</v>
      </c>
      <c r="M37" s="970">
        <v>1379638.8076724305</v>
      </c>
      <c r="N37" s="970">
        <v>3249289.1675028359</v>
      </c>
      <c r="O37" s="970">
        <v>3571748.5704819178</v>
      </c>
      <c r="P37" s="970">
        <f t="shared" si="1"/>
        <v>23995187.423445866</v>
      </c>
      <c r="Q37" s="970">
        <f t="shared" si="6"/>
        <v>7852178.6066365857</v>
      </c>
      <c r="R37" s="970">
        <f t="shared" si="7"/>
        <v>16143008.81680928</v>
      </c>
      <c r="S37" s="970">
        <f t="shared" si="4"/>
        <v>6733869.6467566881</v>
      </c>
      <c r="T37" s="970">
        <f t="shared" si="5"/>
        <v>17261317.776689179</v>
      </c>
      <c r="U37" s="971">
        <v>23995187.423445866</v>
      </c>
    </row>
    <row r="38" spans="1:21" s="351" customFormat="1" ht="12.75">
      <c r="A38" s="351">
        <v>17</v>
      </c>
      <c r="B38" s="987"/>
      <c r="C38" s="351" t="s">
        <v>1337</v>
      </c>
      <c r="D38" s="973">
        <v>14243</v>
      </c>
      <c r="E38" s="973">
        <v>14243</v>
      </c>
      <c r="F38" s="973">
        <v>14243</v>
      </c>
      <c r="G38" s="973">
        <v>14243</v>
      </c>
      <c r="H38" s="973">
        <v>14243</v>
      </c>
      <c r="I38" s="973">
        <v>14243</v>
      </c>
      <c r="J38" s="973">
        <v>14243</v>
      </c>
      <c r="K38" s="973">
        <v>14243</v>
      </c>
      <c r="L38" s="973">
        <v>14243</v>
      </c>
      <c r="M38" s="973">
        <v>14243</v>
      </c>
      <c r="N38" s="973">
        <v>14243</v>
      </c>
      <c r="O38" s="973">
        <v>14243</v>
      </c>
      <c r="P38" s="970">
        <f t="shared" si="1"/>
        <v>170916</v>
      </c>
      <c r="Q38" s="970">
        <f t="shared" si="6"/>
        <v>71215</v>
      </c>
      <c r="R38" s="970">
        <f t="shared" si="7"/>
        <v>99701</v>
      </c>
      <c r="S38" s="970">
        <f t="shared" si="4"/>
        <v>56972</v>
      </c>
      <c r="T38" s="970">
        <f t="shared" si="5"/>
        <v>113944</v>
      </c>
      <c r="U38" s="971">
        <v>170916</v>
      </c>
    </row>
    <row r="39" spans="1:21" s="351" customFormat="1" ht="12.75">
      <c r="A39" s="351">
        <v>18</v>
      </c>
      <c r="B39" s="987"/>
      <c r="C39" s="351" t="s">
        <v>1338</v>
      </c>
      <c r="D39" s="972">
        <v>1375512</v>
      </c>
      <c r="E39" s="972">
        <v>1266325</v>
      </c>
      <c r="F39" s="972">
        <v>1156355.8957528959</v>
      </c>
      <c r="G39" s="972">
        <v>1218861.653919694</v>
      </c>
      <c r="H39" s="972">
        <v>1124488.2091254753</v>
      </c>
      <c r="I39" s="972">
        <v>1248544.3238636365</v>
      </c>
      <c r="J39" s="972">
        <v>1158008.5236294896</v>
      </c>
      <c r="K39" s="972">
        <v>1204548.8620037807</v>
      </c>
      <c r="L39" s="972">
        <v>1184725.935483871</v>
      </c>
      <c r="M39" s="972">
        <v>1310138.0931558935</v>
      </c>
      <c r="N39" s="972">
        <v>1205194.2382739212</v>
      </c>
      <c r="O39" s="972">
        <v>1590760.9325842694</v>
      </c>
      <c r="P39" s="970">
        <f t="shared" si="1"/>
        <v>15043463.667792927</v>
      </c>
      <c r="Q39" s="970">
        <f t="shared" si="6"/>
        <v>5920315.854106253</v>
      </c>
      <c r="R39" s="970">
        <f t="shared" si="7"/>
        <v>9123147.8136866745</v>
      </c>
      <c r="S39" s="970">
        <f t="shared" si="4"/>
        <v>4795827.644980778</v>
      </c>
      <c r="T39" s="970">
        <f t="shared" si="5"/>
        <v>10247636.02281215</v>
      </c>
      <c r="U39" s="971">
        <v>15043463.667792927</v>
      </c>
    </row>
    <row r="40" spans="1:21" s="351" customFormat="1" ht="12.75">
      <c r="A40" s="351">
        <v>19</v>
      </c>
      <c r="B40" s="987"/>
      <c r="C40" s="351" t="s">
        <v>600</v>
      </c>
      <c r="D40" s="972">
        <v>266852.63954588457</v>
      </c>
      <c r="E40" s="972">
        <v>368423.97729422891</v>
      </c>
      <c r="F40" s="972">
        <v>238766.14593535749</v>
      </c>
      <c r="G40" s="972">
        <v>321664.59157688537</v>
      </c>
      <c r="H40" s="972">
        <v>189747.998046875</v>
      </c>
      <c r="I40" s="972">
        <v>238700.35964912284</v>
      </c>
      <c r="J40" s="972">
        <v>256648.795761079</v>
      </c>
      <c r="K40" s="972">
        <v>255114.62068965513</v>
      </c>
      <c r="L40" s="972">
        <v>223554.57718120803</v>
      </c>
      <c r="M40" s="972">
        <v>290578.27264061011</v>
      </c>
      <c r="N40" s="972">
        <v>220138.11406844109</v>
      </c>
      <c r="O40" s="972">
        <v>368938.09297912713</v>
      </c>
      <c r="P40" s="970">
        <f t="shared" si="1"/>
        <v>3239128.1853684746</v>
      </c>
      <c r="Q40" s="970">
        <f t="shared" si="6"/>
        <v>1163766.3513279399</v>
      </c>
      <c r="R40" s="970">
        <f t="shared" si="7"/>
        <v>2075361.8340405347</v>
      </c>
      <c r="S40" s="970">
        <f t="shared" si="4"/>
        <v>974018.35328106489</v>
      </c>
      <c r="T40" s="970">
        <f t="shared" si="5"/>
        <v>2265109.8320874097</v>
      </c>
      <c r="U40" s="971">
        <v>3239128.1853684746</v>
      </c>
    </row>
    <row r="41" spans="1:21" s="351" customFormat="1" ht="12.75">
      <c r="A41" s="351">
        <v>20</v>
      </c>
      <c r="B41" s="987"/>
      <c r="C41" s="351" t="s">
        <v>112</v>
      </c>
      <c r="D41" s="970">
        <v>108771336.01801264</v>
      </c>
      <c r="E41" s="970">
        <v>93367482.290363699</v>
      </c>
      <c r="F41" s="970">
        <v>111277970.45410885</v>
      </c>
      <c r="G41" s="970">
        <v>88912013.592654377</v>
      </c>
      <c r="H41" s="970">
        <v>97537947.812431365</v>
      </c>
      <c r="I41" s="970">
        <v>105828005.48015533</v>
      </c>
      <c r="J41" s="970">
        <v>123842141.00153874</v>
      </c>
      <c r="K41" s="970">
        <v>121203696.55458723</v>
      </c>
      <c r="L41" s="970">
        <v>103019745.32772119</v>
      </c>
      <c r="M41" s="970">
        <v>97866808.630296364</v>
      </c>
      <c r="N41" s="970">
        <v>91874963.67105332</v>
      </c>
      <c r="O41" s="970">
        <v>96757413.279421851</v>
      </c>
      <c r="P41" s="970">
        <f t="shared" si="1"/>
        <v>1240259524.112345</v>
      </c>
      <c r="Q41" s="970">
        <f t="shared" si="6"/>
        <v>551431536.17643392</v>
      </c>
      <c r="R41" s="970">
        <f t="shared" si="7"/>
        <v>688827987.93591106</v>
      </c>
      <c r="S41" s="970">
        <f t="shared" si="4"/>
        <v>453893588.36400259</v>
      </c>
      <c r="T41" s="970">
        <f t="shared" si="5"/>
        <v>786365935.74834239</v>
      </c>
      <c r="U41" s="971">
        <v>1240259524.112345</v>
      </c>
    </row>
    <row r="42" spans="1:21" s="351" customFormat="1" ht="12.75">
      <c r="A42" s="351">
        <v>21</v>
      </c>
      <c r="B42" s="987"/>
      <c r="C42" s="351" t="s">
        <v>414</v>
      </c>
      <c r="D42" s="989">
        <v>8390600</v>
      </c>
      <c r="E42" s="989">
        <v>9795487.6666666679</v>
      </c>
      <c r="F42" s="989">
        <v>9177649</v>
      </c>
      <c r="G42" s="989">
        <v>8606030</v>
      </c>
      <c r="H42" s="989">
        <v>10005546.666666668</v>
      </c>
      <c r="I42" s="989">
        <v>12162461</v>
      </c>
      <c r="J42" s="989">
        <v>13475854.333333334</v>
      </c>
      <c r="K42" s="989">
        <v>14316707.333333334</v>
      </c>
      <c r="L42" s="989">
        <v>17034862</v>
      </c>
      <c r="M42" s="989">
        <v>6762733.333333334</v>
      </c>
      <c r="N42" s="989">
        <v>7849954.333333333</v>
      </c>
      <c r="O42" s="989">
        <v>11655148</v>
      </c>
      <c r="P42" s="970">
        <f t="shared" si="1"/>
        <v>129233033.66666666</v>
      </c>
      <c r="Q42" s="970">
        <f t="shared" si="6"/>
        <v>66995431.333333336</v>
      </c>
      <c r="R42" s="970">
        <f t="shared" si="7"/>
        <v>62237602.333333321</v>
      </c>
      <c r="S42" s="970">
        <f t="shared" si="4"/>
        <v>56989884.666666672</v>
      </c>
      <c r="T42" s="970">
        <f t="shared" si="5"/>
        <v>72243148.999999985</v>
      </c>
      <c r="U42" s="971">
        <v>129233033.66666666</v>
      </c>
    </row>
    <row r="43" spans="1:21" s="351" customFormat="1" ht="12.75">
      <c r="A43" s="974"/>
      <c r="B43" s="974"/>
      <c r="C43" s="974" t="s">
        <v>1339</v>
      </c>
      <c r="D43" s="975">
        <v>16701480</v>
      </c>
      <c r="E43" s="975">
        <v>14995886</v>
      </c>
      <c r="F43" s="975">
        <v>16024656</v>
      </c>
      <c r="G43" s="975">
        <v>16218385</v>
      </c>
      <c r="H43" s="975">
        <v>16609579</v>
      </c>
      <c r="I43" s="975">
        <v>16888879</v>
      </c>
      <c r="J43" s="975">
        <v>19106974</v>
      </c>
      <c r="K43" s="975">
        <v>17942996</v>
      </c>
      <c r="L43" s="975">
        <v>17289568</v>
      </c>
      <c r="M43" s="975">
        <v>15792183</v>
      </c>
      <c r="N43" s="975">
        <v>14607937</v>
      </c>
      <c r="O43" s="975">
        <v>14471467</v>
      </c>
      <c r="P43" s="970">
        <f t="shared" si="1"/>
        <v>196649990</v>
      </c>
      <c r="Q43" s="970">
        <f t="shared" si="6"/>
        <v>87837996</v>
      </c>
      <c r="R43" s="970">
        <f t="shared" si="7"/>
        <v>108811994</v>
      </c>
      <c r="S43" s="970">
        <f t="shared" si="4"/>
        <v>71228417</v>
      </c>
      <c r="T43" s="970">
        <f t="shared" si="5"/>
        <v>125421573</v>
      </c>
      <c r="U43" s="971">
        <v>196649990</v>
      </c>
    </row>
    <row r="44" spans="1:21" s="351" customFormat="1" ht="12.75">
      <c r="A44" s="974"/>
      <c r="B44" s="974"/>
      <c r="C44" s="974" t="s">
        <v>1340</v>
      </c>
      <c r="D44" s="975">
        <v>15062000</v>
      </c>
      <c r="E44" s="975">
        <v>14558000</v>
      </c>
      <c r="F44" s="975">
        <v>17173000</v>
      </c>
      <c r="G44" s="975">
        <v>17641000</v>
      </c>
      <c r="H44" s="975">
        <v>19284000</v>
      </c>
      <c r="I44" s="975">
        <v>19551000</v>
      </c>
      <c r="J44" s="975">
        <v>21121000</v>
      </c>
      <c r="K44" s="975">
        <v>22039000</v>
      </c>
      <c r="L44" s="975">
        <v>22217000</v>
      </c>
      <c r="M44" s="975">
        <v>23876000</v>
      </c>
      <c r="N44" s="975">
        <v>23995000</v>
      </c>
      <c r="O44" s="975">
        <v>25713000</v>
      </c>
      <c r="P44" s="970">
        <f t="shared" si="1"/>
        <v>242230000</v>
      </c>
      <c r="Q44" s="970">
        <f t="shared" si="6"/>
        <v>104212000</v>
      </c>
      <c r="R44" s="970">
        <f t="shared" si="7"/>
        <v>138018000</v>
      </c>
      <c r="S44" s="970">
        <f t="shared" si="4"/>
        <v>84928000</v>
      </c>
      <c r="T44" s="970">
        <f t="shared" si="5"/>
        <v>157302000</v>
      </c>
      <c r="U44" s="971">
        <v>242230000</v>
      </c>
    </row>
    <row r="45" spans="1:21" s="351" customFormat="1" ht="12.75">
      <c r="A45" s="351">
        <v>22</v>
      </c>
      <c r="C45" s="351" t="s">
        <v>459</v>
      </c>
      <c r="D45" s="973">
        <v>542</v>
      </c>
      <c r="E45" s="973">
        <v>476</v>
      </c>
      <c r="F45" s="973">
        <v>476</v>
      </c>
      <c r="G45" s="973">
        <v>476</v>
      </c>
      <c r="H45" s="973">
        <v>476</v>
      </c>
      <c r="I45" s="973">
        <v>526</v>
      </c>
      <c r="J45" s="973">
        <v>483</v>
      </c>
      <c r="K45" s="973">
        <v>503</v>
      </c>
      <c r="L45" s="973">
        <v>526</v>
      </c>
      <c r="M45" s="973">
        <v>476</v>
      </c>
      <c r="N45" s="973">
        <v>483</v>
      </c>
      <c r="O45" s="973">
        <v>552</v>
      </c>
      <c r="P45" s="970">
        <f t="shared" si="1"/>
        <v>5995</v>
      </c>
      <c r="Q45" s="970">
        <f t="shared" si="6"/>
        <v>2514</v>
      </c>
      <c r="R45" s="970">
        <f t="shared" si="7"/>
        <v>3481</v>
      </c>
      <c r="S45" s="970">
        <f t="shared" si="4"/>
        <v>2038</v>
      </c>
      <c r="T45" s="970">
        <f t="shared" si="5"/>
        <v>3957</v>
      </c>
      <c r="U45" s="971">
        <v>5995</v>
      </c>
    </row>
    <row r="46" spans="1:21" s="351" customFormat="1" ht="12.75">
      <c r="A46" s="977">
        <v>7</v>
      </c>
      <c r="B46" s="977"/>
      <c r="C46" s="990" t="s">
        <v>1329</v>
      </c>
      <c r="D46" s="972">
        <v>15298368</v>
      </c>
      <c r="E46" s="972">
        <v>13452043.818181818</v>
      </c>
      <c r="F46" s="972">
        <v>12265269.767441859</v>
      </c>
      <c r="G46" s="972">
        <v>11934876.458015267</v>
      </c>
      <c r="H46" s="972">
        <v>11533971.650190115</v>
      </c>
      <c r="I46" s="972">
        <v>12375955.711026615</v>
      </c>
      <c r="J46" s="972">
        <v>13735404.631578948</v>
      </c>
      <c r="K46" s="972">
        <v>15937286.144486692</v>
      </c>
      <c r="L46" s="972">
        <v>14568004.580152672</v>
      </c>
      <c r="M46" s="972">
        <v>13165563.954022989</v>
      </c>
      <c r="N46" s="972">
        <v>12664161.839080459</v>
      </c>
      <c r="O46" s="972">
        <v>12558069.251908395</v>
      </c>
      <c r="P46" s="970">
        <f t="shared" si="1"/>
        <v>159488975.80608582</v>
      </c>
      <c r="Q46" s="970">
        <f t="shared" si="6"/>
        <v>68150622.717435047</v>
      </c>
      <c r="R46" s="970">
        <f t="shared" si="7"/>
        <v>91338353.088650778</v>
      </c>
      <c r="S46" s="970">
        <f t="shared" si="4"/>
        <v>56616651.067244932</v>
      </c>
      <c r="T46" s="970">
        <f t="shared" si="5"/>
        <v>102872324.73884089</v>
      </c>
      <c r="U46" s="971">
        <v>159488975.80608582</v>
      </c>
    </row>
    <row r="47" spans="1:21" s="351" customFormat="1" ht="12.75">
      <c r="A47" s="977">
        <v>8</v>
      </c>
      <c r="B47" s="977"/>
      <c r="C47" s="990" t="s">
        <v>1330</v>
      </c>
      <c r="D47" s="972">
        <v>2247691.7888888889</v>
      </c>
      <c r="E47" s="972">
        <v>2073232.5842696629</v>
      </c>
      <c r="F47" s="972">
        <v>2078820.8552631577</v>
      </c>
      <c r="G47" s="972">
        <v>1126479.835443038</v>
      </c>
      <c r="H47" s="972">
        <v>569754.26829268294</v>
      </c>
      <c r="I47" s="972">
        <v>377060.57831325306</v>
      </c>
      <c r="J47" s="972">
        <v>366011.13414634147</v>
      </c>
      <c r="K47" s="972">
        <v>657274.96296296292</v>
      </c>
      <c r="L47" s="972">
        <v>761987.25</v>
      </c>
      <c r="M47" s="972">
        <v>632552.65555555548</v>
      </c>
      <c r="N47" s="972">
        <v>666173.92222222232</v>
      </c>
      <c r="O47" s="972">
        <v>1441866.1888888888</v>
      </c>
      <c r="P47" s="970">
        <f t="shared" si="1"/>
        <v>12998906.024246655</v>
      </c>
      <c r="Q47" s="970">
        <f t="shared" si="6"/>
        <v>2732088.1937152408</v>
      </c>
      <c r="R47" s="970">
        <f t="shared" si="7"/>
        <v>10266817.830531415</v>
      </c>
      <c r="S47" s="970">
        <f t="shared" si="4"/>
        <v>2162333.9254225576</v>
      </c>
      <c r="T47" s="970">
        <f t="shared" si="5"/>
        <v>10836572.098824099</v>
      </c>
      <c r="U47" s="971">
        <v>12998906.024246655</v>
      </c>
    </row>
    <row r="48" spans="1:21" s="351" customFormat="1" ht="12.75">
      <c r="A48" s="977">
        <v>9</v>
      </c>
      <c r="B48" s="977"/>
      <c r="C48" s="990" t="s">
        <v>1341</v>
      </c>
      <c r="D48" s="989">
        <v>6800803.333333334</v>
      </c>
      <c r="E48" s="989">
        <v>5739516.3636363633</v>
      </c>
      <c r="F48" s="989">
        <v>5353226.666666667</v>
      </c>
      <c r="G48" s="989">
        <v>5263720</v>
      </c>
      <c r="H48" s="989">
        <v>4416090</v>
      </c>
      <c r="I48" s="989">
        <v>4308854.666666667</v>
      </c>
      <c r="J48" s="989">
        <v>4654879.8333333321</v>
      </c>
      <c r="K48" s="989">
        <v>5489962.3333333321</v>
      </c>
      <c r="L48" s="989">
        <v>4965744</v>
      </c>
      <c r="M48" s="989">
        <v>4935653.3333333321</v>
      </c>
      <c r="N48" s="989">
        <v>6006105</v>
      </c>
      <c r="O48" s="989">
        <v>5291066.666666667</v>
      </c>
      <c r="P48" s="970">
        <f t="shared" si="1"/>
        <v>63225622.19696968</v>
      </c>
      <c r="Q48" s="970">
        <f t="shared" si="6"/>
        <v>23835530.833333332</v>
      </c>
      <c r="R48" s="970">
        <f t="shared" si="7"/>
        <v>39390091.363636345</v>
      </c>
      <c r="S48" s="970">
        <f t="shared" si="4"/>
        <v>19419440.833333332</v>
      </c>
      <c r="T48" s="970">
        <f t="shared" si="5"/>
        <v>43806181.363636345</v>
      </c>
      <c r="U48" s="971">
        <v>63225622.19696968</v>
      </c>
    </row>
    <row r="49" spans="1:26" s="351" customFormat="1" ht="12.75">
      <c r="A49" s="977">
        <v>10</v>
      </c>
      <c r="B49" s="978"/>
      <c r="C49" s="990" t="s">
        <v>1331</v>
      </c>
      <c r="D49" s="972">
        <v>1654786.7123287672</v>
      </c>
      <c r="E49" s="972">
        <v>1706323.4320987656</v>
      </c>
      <c r="F49" s="972">
        <v>1173757.1700680272</v>
      </c>
      <c r="G49" s="972">
        <v>707687.11229946511</v>
      </c>
      <c r="H49" s="972">
        <v>593444.14342629479</v>
      </c>
      <c r="I49" s="972">
        <v>631973.71202113607</v>
      </c>
      <c r="J49" s="972">
        <v>779522.35910878109</v>
      </c>
      <c r="K49" s="972">
        <v>1194969.2238033635</v>
      </c>
      <c r="L49" s="972">
        <v>1034435.1984635084</v>
      </c>
      <c r="M49" s="972">
        <v>750981.95652173914</v>
      </c>
      <c r="N49" s="972">
        <v>840253.83939774148</v>
      </c>
      <c r="O49" s="972">
        <v>1330747.204968944</v>
      </c>
      <c r="P49" s="970">
        <f t="shared" si="1"/>
        <v>12398882.064506533</v>
      </c>
      <c r="Q49" s="970">
        <f t="shared" si="6"/>
        <v>4234344.6368230842</v>
      </c>
      <c r="R49" s="970">
        <f t="shared" si="7"/>
        <v>8164537.4276834484</v>
      </c>
      <c r="S49" s="970">
        <f t="shared" si="4"/>
        <v>3640900.4933967893</v>
      </c>
      <c r="T49" s="970">
        <f t="shared" si="5"/>
        <v>8757981.5711097438</v>
      </c>
      <c r="U49" s="971">
        <v>12398882.064506533</v>
      </c>
    </row>
    <row r="50" spans="1:26" s="351" customFormat="1" ht="12.75">
      <c r="A50" s="980">
        <v>5</v>
      </c>
      <c r="B50" s="980"/>
      <c r="C50" s="981" t="s">
        <v>1342</v>
      </c>
      <c r="D50" s="991">
        <v>2276542.8571428573</v>
      </c>
      <c r="E50" s="991">
        <v>2001792.2348484849</v>
      </c>
      <c r="F50" s="991">
        <v>1861692.7325581396</v>
      </c>
      <c r="G50" s="991">
        <v>1811543.7480916029</v>
      </c>
      <c r="H50" s="991">
        <v>1750692.1254752853</v>
      </c>
      <c r="I50" s="991">
        <v>1878493.2775665401</v>
      </c>
      <c r="J50" s="991">
        <v>2084838.2030075188</v>
      </c>
      <c r="K50" s="991">
        <v>2419052.36121673</v>
      </c>
      <c r="L50" s="991">
        <v>2211214.9809160307</v>
      </c>
      <c r="M50" s="991">
        <v>1998344.5287356323</v>
      </c>
      <c r="N50" s="991">
        <v>1922238.8505747127</v>
      </c>
      <c r="O50" s="991">
        <v>1943510.7175572522</v>
      </c>
      <c r="P50" s="970">
        <f t="shared" si="1"/>
        <v>24159956.617690787</v>
      </c>
      <c r="Q50" s="970">
        <f t="shared" si="6"/>
        <v>10344290.948182104</v>
      </c>
      <c r="R50" s="970">
        <f t="shared" si="7"/>
        <v>13815665.669508683</v>
      </c>
      <c r="S50" s="970">
        <f t="shared" si="4"/>
        <v>8593598.8227068186</v>
      </c>
      <c r="T50" s="970">
        <f t="shared" si="5"/>
        <v>15566357.794983968</v>
      </c>
      <c r="U50" s="971">
        <v>24159956.617690787</v>
      </c>
    </row>
    <row r="51" spans="1:26" s="351" customFormat="1" ht="12.75">
      <c r="A51" s="980">
        <v>6</v>
      </c>
      <c r="B51" s="980"/>
      <c r="C51" s="981" t="s">
        <v>1335</v>
      </c>
      <c r="D51" s="991">
        <v>162265.49315068495</v>
      </c>
      <c r="E51" s="991">
        <v>167319.09382716048</v>
      </c>
      <c r="F51" s="991">
        <v>115096.57687074831</v>
      </c>
      <c r="G51" s="991">
        <v>69394.561497326198</v>
      </c>
      <c r="H51" s="991">
        <v>58768.254980079684</v>
      </c>
      <c r="I51" s="991">
        <v>62583.804491413481</v>
      </c>
      <c r="J51" s="991">
        <v>77195.418086500664</v>
      </c>
      <c r="K51" s="991">
        <v>118336.75808538163</v>
      </c>
      <c r="L51" s="991">
        <v>103443.51984635083</v>
      </c>
      <c r="M51" s="991">
        <v>75098.195652173905</v>
      </c>
      <c r="N51" s="991">
        <v>84025.383939774139</v>
      </c>
      <c r="O51" s="991">
        <v>133074.72049689441</v>
      </c>
      <c r="P51" s="970">
        <f t="shared" si="1"/>
        <v>1226601.7809244886</v>
      </c>
      <c r="Q51" s="970">
        <f t="shared" si="6"/>
        <v>420327.75548972632</v>
      </c>
      <c r="R51" s="970">
        <f t="shared" si="7"/>
        <v>806274.02543476224</v>
      </c>
      <c r="S51" s="970">
        <f t="shared" si="4"/>
        <v>361559.5005096466</v>
      </c>
      <c r="T51" s="970">
        <f t="shared" si="5"/>
        <v>865042.28041484195</v>
      </c>
      <c r="U51" s="971">
        <v>1226601.7809244886</v>
      </c>
    </row>
    <row r="52" spans="1:26" s="351" customFormat="1" ht="12.75">
      <c r="A52" s="982"/>
      <c r="B52" s="982" t="s">
        <v>115</v>
      </c>
      <c r="C52" s="982"/>
      <c r="D52" s="983">
        <v>786138476.03861034</v>
      </c>
      <c r="E52" s="983">
        <v>706454258.29613769</v>
      </c>
      <c r="F52" s="983">
        <v>759308040.22098649</v>
      </c>
      <c r="G52" s="983">
        <v>737242617.9053874</v>
      </c>
      <c r="H52" s="983">
        <v>776312301.52940142</v>
      </c>
      <c r="I52" s="983">
        <v>808424325.88266742</v>
      </c>
      <c r="J52" s="983">
        <v>906715066.95916772</v>
      </c>
      <c r="K52" s="983">
        <v>892474116.99843335</v>
      </c>
      <c r="L52" s="983">
        <v>806717553.89434326</v>
      </c>
      <c r="M52" s="983">
        <v>779610029.19552267</v>
      </c>
      <c r="N52" s="983">
        <v>757297842.58041191</v>
      </c>
      <c r="O52" s="983">
        <v>800384959.79541314</v>
      </c>
      <c r="P52" s="970">
        <f t="shared" si="1"/>
        <v>9517079589.2964821</v>
      </c>
      <c r="Q52" s="970">
        <f t="shared" si="6"/>
        <v>4190643365.2640133</v>
      </c>
      <c r="R52" s="970">
        <f t="shared" si="7"/>
        <v>5326436224.0324688</v>
      </c>
      <c r="S52" s="970">
        <f t="shared" si="4"/>
        <v>3414331063.734612</v>
      </c>
      <c r="T52" s="970">
        <f t="shared" si="5"/>
        <v>6102748525.5618706</v>
      </c>
      <c r="U52" s="984">
        <v>9517079589.2964821</v>
      </c>
    </row>
    <row r="53" spans="1:26" s="351" customFormat="1" ht="12.75">
      <c r="A53" s="985"/>
      <c r="B53" s="985" t="s">
        <v>1343</v>
      </c>
      <c r="C53" s="985"/>
      <c r="D53" s="986">
        <v>674602649.27396429</v>
      </c>
      <c r="E53" s="986">
        <v>603442683.63177776</v>
      </c>
      <c r="F53" s="986">
        <v>655700419.12137938</v>
      </c>
      <c r="G53" s="986">
        <v>636820568.62987912</v>
      </c>
      <c r="H53" s="986">
        <v>679322730.77352142</v>
      </c>
      <c r="I53" s="986">
        <v>707849503.92889273</v>
      </c>
      <c r="J53" s="986">
        <v>794793075.36281514</v>
      </c>
      <c r="K53" s="986">
        <v>772513063.29716015</v>
      </c>
      <c r="L53" s="986">
        <v>686627294.44285285</v>
      </c>
      <c r="M53" s="986">
        <v>673219058.35898447</v>
      </c>
      <c r="N53" s="986">
        <v>645417907.49696326</v>
      </c>
      <c r="O53" s="986">
        <v>674594608.03970814</v>
      </c>
      <c r="P53" s="970"/>
      <c r="Q53" s="970"/>
      <c r="R53" s="970"/>
      <c r="S53" s="970"/>
      <c r="T53" s="970"/>
      <c r="U53" s="984"/>
      <c r="W53" s="987"/>
      <c r="X53" s="987"/>
      <c r="Y53" s="987"/>
      <c r="Z53" s="987"/>
    </row>
    <row r="54" spans="1:26">
      <c r="C54" s="351"/>
      <c r="D54" s="988">
        <v>2438808.3502933979</v>
      </c>
      <c r="E54" s="988">
        <v>2169111.3286757469</v>
      </c>
      <c r="F54" s="988">
        <v>1976789.3094289303</v>
      </c>
      <c r="G54" s="988">
        <v>1880938.3095887899</v>
      </c>
      <c r="H54" s="988">
        <v>1809460.3804554939</v>
      </c>
      <c r="I54" s="988">
        <v>1941077.0820578337</v>
      </c>
      <c r="J54" s="988">
        <v>2162033.62109375</v>
      </c>
      <c r="K54" s="988">
        <v>2537389.1193019152</v>
      </c>
      <c r="L54" s="988">
        <v>2314658.5007624626</v>
      </c>
      <c r="M54" s="988">
        <v>2073442.7243877649</v>
      </c>
      <c r="N54" s="988">
        <v>2006264.2345143557</v>
      </c>
      <c r="O54" s="988">
        <v>2076585.4380543232</v>
      </c>
      <c r="P54" s="970"/>
      <c r="Q54" s="970"/>
      <c r="R54" s="970"/>
      <c r="S54" s="970"/>
      <c r="T54" s="970"/>
      <c r="U54" s="971"/>
    </row>
    <row r="55" spans="1:26">
      <c r="B55" s="351" t="s">
        <v>117</v>
      </c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970"/>
      <c r="Q55" s="970"/>
      <c r="R55" s="970"/>
      <c r="S55" s="970"/>
      <c r="T55" s="970"/>
      <c r="U55" s="971"/>
    </row>
    <row r="56" spans="1:26" s="351" customFormat="1" ht="12.75">
      <c r="A56" s="351">
        <v>23</v>
      </c>
      <c r="B56" s="965"/>
      <c r="C56" s="351" t="s">
        <v>113</v>
      </c>
      <c r="D56" s="993">
        <v>47412882.747747749</v>
      </c>
      <c r="E56" s="993">
        <v>46646495</v>
      </c>
      <c r="F56" s="993">
        <v>46065216.207436398</v>
      </c>
      <c r="G56" s="993">
        <v>45908004</v>
      </c>
      <c r="H56" s="993">
        <v>48060074.690782957</v>
      </c>
      <c r="I56" s="993">
        <v>52379204.878848061</v>
      </c>
      <c r="J56" s="993">
        <v>61733420.427716851</v>
      </c>
      <c r="K56" s="993">
        <v>61431319.973214284</v>
      </c>
      <c r="L56" s="993">
        <v>60565715.340257168</v>
      </c>
      <c r="M56" s="993">
        <v>52495384.136904761</v>
      </c>
      <c r="N56" s="993">
        <v>49916858.338323355</v>
      </c>
      <c r="O56" s="993">
        <v>50994171.498003989</v>
      </c>
      <c r="P56" s="970">
        <f t="shared" si="1"/>
        <v>623608747.23923564</v>
      </c>
      <c r="Q56" s="970">
        <f t="shared" ref="Q56:Q76" si="8">SUMIF($D$1:$O$1,"S",D56:O56)</f>
        <v>284169735.31081933</v>
      </c>
      <c r="R56" s="970">
        <f t="shared" ref="R56:R76" si="9">P56-Q56</f>
        <v>339439011.92841631</v>
      </c>
      <c r="S56" s="970">
        <f t="shared" si="4"/>
        <v>236109660.62003636</v>
      </c>
      <c r="T56" s="970">
        <f t="shared" si="5"/>
        <v>387499086.61919928</v>
      </c>
      <c r="U56" s="971">
        <v>623608747.23923564</v>
      </c>
    </row>
    <row r="57" spans="1:26" s="351" customFormat="1" ht="12.75">
      <c r="A57" s="351">
        <v>24</v>
      </c>
      <c r="B57" s="965"/>
      <c r="C57" s="351" t="s">
        <v>453</v>
      </c>
      <c r="D57" s="993">
        <v>3731816.5833333335</v>
      </c>
      <c r="E57" s="993">
        <v>3610421</v>
      </c>
      <c r="F57" s="993">
        <v>4139842.6934865904</v>
      </c>
      <c r="G57" s="993">
        <v>4273687.5249042148</v>
      </c>
      <c r="H57" s="993">
        <v>4706178</v>
      </c>
      <c r="I57" s="993">
        <v>5611260.4090909092</v>
      </c>
      <c r="J57" s="993">
        <v>7538188.3735849056</v>
      </c>
      <c r="K57" s="993">
        <v>7188171.2022471903</v>
      </c>
      <c r="L57" s="993">
        <v>6821374.4301886791</v>
      </c>
      <c r="M57" s="993">
        <v>6037866.333333333</v>
      </c>
      <c r="N57" s="993">
        <v>4863323.2765151514</v>
      </c>
      <c r="O57" s="993">
        <v>4563504.2727272725</v>
      </c>
      <c r="P57" s="970">
        <f t="shared" si="1"/>
        <v>63085634.099411577</v>
      </c>
      <c r="Q57" s="970">
        <f t="shared" si="8"/>
        <v>31865172.415111687</v>
      </c>
      <c r="R57" s="970">
        <f t="shared" si="9"/>
        <v>31220461.68429989</v>
      </c>
      <c r="S57" s="970">
        <f t="shared" si="4"/>
        <v>27158994.415111687</v>
      </c>
      <c r="T57" s="970">
        <f t="shared" si="5"/>
        <v>35926639.684299886</v>
      </c>
      <c r="U57" s="971">
        <v>63085634.099411577</v>
      </c>
    </row>
    <row r="58" spans="1:26" s="351" customFormat="1" ht="12.75">
      <c r="A58" s="351">
        <v>25</v>
      </c>
      <c r="B58" s="965"/>
      <c r="C58" s="351" t="s">
        <v>454</v>
      </c>
      <c r="D58" s="994">
        <v>1940</v>
      </c>
      <c r="E58" s="994">
        <v>1940</v>
      </c>
      <c r="F58" s="994">
        <v>1940</v>
      </c>
      <c r="G58" s="994">
        <v>1940</v>
      </c>
      <c r="H58" s="994">
        <v>1940</v>
      </c>
      <c r="I58" s="994">
        <v>1940</v>
      </c>
      <c r="J58" s="994">
        <v>1940</v>
      </c>
      <c r="K58" s="994">
        <v>1940</v>
      </c>
      <c r="L58" s="994">
        <v>1940</v>
      </c>
      <c r="M58" s="994">
        <v>1940</v>
      </c>
      <c r="N58" s="994">
        <v>1940</v>
      </c>
      <c r="O58" s="994">
        <v>1940</v>
      </c>
      <c r="P58" s="970">
        <f t="shared" si="1"/>
        <v>23280</v>
      </c>
      <c r="Q58" s="970">
        <f t="shared" si="8"/>
        <v>9700</v>
      </c>
      <c r="R58" s="970">
        <f t="shared" si="9"/>
        <v>13580</v>
      </c>
      <c r="S58" s="970">
        <f t="shared" si="4"/>
        <v>7760</v>
      </c>
      <c r="T58" s="970">
        <f t="shared" si="5"/>
        <v>15520</v>
      </c>
      <c r="U58" s="976">
        <v>23280</v>
      </c>
    </row>
    <row r="59" spans="1:26" s="351" customFormat="1" ht="12.75">
      <c r="A59" s="351">
        <v>26</v>
      </c>
      <c r="B59" s="965"/>
      <c r="C59" s="351" t="s">
        <v>455</v>
      </c>
      <c r="D59" s="993">
        <v>85937.027027027027</v>
      </c>
      <c r="E59" s="993">
        <v>84280</v>
      </c>
      <c r="F59" s="993">
        <v>83147.8125</v>
      </c>
      <c r="G59" s="993">
        <v>84643.661016949147</v>
      </c>
      <c r="H59" s="993">
        <v>87762.497584541066</v>
      </c>
      <c r="I59" s="993">
        <v>84061.691747572811</v>
      </c>
      <c r="J59" s="993">
        <v>86732.267639902682</v>
      </c>
      <c r="K59" s="993">
        <v>86710.536407766995</v>
      </c>
      <c r="L59" s="993">
        <v>85162.779661016946</v>
      </c>
      <c r="M59" s="993">
        <v>83445.633251833744</v>
      </c>
      <c r="N59" s="993">
        <v>84113.409313725497</v>
      </c>
      <c r="O59" s="993">
        <v>85726.397058823539</v>
      </c>
      <c r="P59" s="970">
        <f t="shared" si="1"/>
        <v>1021723.7132091596</v>
      </c>
      <c r="Q59" s="970">
        <f t="shared" si="8"/>
        <v>430429.77304080053</v>
      </c>
      <c r="R59" s="970">
        <f t="shared" si="9"/>
        <v>591293.94016835908</v>
      </c>
      <c r="S59" s="970">
        <f t="shared" si="4"/>
        <v>342667.27545625949</v>
      </c>
      <c r="T59" s="970">
        <f t="shared" si="5"/>
        <v>679056.43775290006</v>
      </c>
      <c r="U59" s="971">
        <v>1021723.7132091596</v>
      </c>
    </row>
    <row r="60" spans="1:26" s="351" customFormat="1" ht="12.75">
      <c r="A60" s="351">
        <v>27</v>
      </c>
      <c r="B60" s="965"/>
      <c r="C60" s="351" t="s">
        <v>568</v>
      </c>
      <c r="D60" s="995">
        <v>79556039.188340947</v>
      </c>
      <c r="E60" s="995">
        <v>72878206.736284539</v>
      </c>
      <c r="F60" s="995">
        <v>91048580.355926201</v>
      </c>
      <c r="G60" s="995">
        <v>76423776.963308766</v>
      </c>
      <c r="H60" s="995">
        <v>94243910.743023962</v>
      </c>
      <c r="I60" s="995">
        <v>81187677.708165795</v>
      </c>
      <c r="J60" s="995">
        <v>75329497.863140211</v>
      </c>
      <c r="K60" s="995">
        <v>112238558.078247</v>
      </c>
      <c r="L60" s="995">
        <v>71047653.229314223</v>
      </c>
      <c r="M60" s="995">
        <v>110359041.06035207</v>
      </c>
      <c r="N60" s="995">
        <v>70991822.32799609</v>
      </c>
      <c r="O60" s="995">
        <v>76081116.524897233</v>
      </c>
      <c r="P60" s="970">
        <f t="shared" si="1"/>
        <v>1011385880.7789969</v>
      </c>
      <c r="Q60" s="970">
        <f t="shared" si="8"/>
        <v>434047297.6218912</v>
      </c>
      <c r="R60" s="970">
        <f t="shared" si="9"/>
        <v>577338583.15710568</v>
      </c>
      <c r="S60" s="970">
        <f t="shared" si="4"/>
        <v>339803386.87886727</v>
      </c>
      <c r="T60" s="970">
        <f t="shared" si="5"/>
        <v>671582493.90012968</v>
      </c>
      <c r="U60" s="971">
        <v>1011385880.7789969</v>
      </c>
    </row>
    <row r="61" spans="1:26" s="351" customFormat="1" ht="12.75">
      <c r="A61" s="351">
        <v>28</v>
      </c>
      <c r="B61" s="965"/>
      <c r="C61" s="351" t="s">
        <v>412</v>
      </c>
      <c r="D61" s="995">
        <v>299923378.60014617</v>
      </c>
      <c r="E61" s="995">
        <v>265159336.27448136</v>
      </c>
      <c r="F61" s="995">
        <v>296092722.74726737</v>
      </c>
      <c r="G61" s="995">
        <v>303419688.76960421</v>
      </c>
      <c r="H61" s="995">
        <v>289248864.54069287</v>
      </c>
      <c r="I61" s="995">
        <v>299305777.33338624</v>
      </c>
      <c r="J61" s="995">
        <v>317429921.7988404</v>
      </c>
      <c r="K61" s="995">
        <v>286504440.53686684</v>
      </c>
      <c r="L61" s="995">
        <v>307763045.78225082</v>
      </c>
      <c r="M61" s="995">
        <v>285859112.68345308</v>
      </c>
      <c r="N61" s="995">
        <v>295542424.68801254</v>
      </c>
      <c r="O61" s="995">
        <v>287946583.64096582</v>
      </c>
      <c r="P61" s="970">
        <f t="shared" si="1"/>
        <v>3534195297.3959675</v>
      </c>
      <c r="Q61" s="970">
        <f t="shared" si="8"/>
        <v>1500252049.9920373</v>
      </c>
      <c r="R61" s="970">
        <f t="shared" si="9"/>
        <v>2033943247.4039302</v>
      </c>
      <c r="S61" s="970">
        <f t="shared" si="4"/>
        <v>1211003185.4513445</v>
      </c>
      <c r="T61" s="970">
        <f t="shared" si="5"/>
        <v>2323192111.944623</v>
      </c>
      <c r="U61" s="971">
        <v>3534195297.3959675</v>
      </c>
    </row>
    <row r="62" spans="1:26" s="351" customFormat="1" ht="12.75">
      <c r="A62" s="351">
        <v>29</v>
      </c>
      <c r="B62" s="965"/>
      <c r="C62" s="351" t="s">
        <v>456</v>
      </c>
      <c r="D62" s="996">
        <v>1426920</v>
      </c>
      <c r="E62" s="996">
        <v>1259600</v>
      </c>
      <c r="F62" s="996">
        <v>1195140</v>
      </c>
      <c r="G62" s="996">
        <v>1332220</v>
      </c>
      <c r="H62" s="996">
        <v>2248580</v>
      </c>
      <c r="I62" s="996">
        <v>1450240</v>
      </c>
      <c r="J62" s="996">
        <v>1521380</v>
      </c>
      <c r="K62" s="996">
        <v>1592520</v>
      </c>
      <c r="L62" s="996">
        <v>1383600</v>
      </c>
      <c r="M62" s="996">
        <v>1509780</v>
      </c>
      <c r="N62" s="996">
        <v>1666380</v>
      </c>
      <c r="O62" s="996">
        <v>1358740</v>
      </c>
      <c r="P62" s="970">
        <f t="shared" si="1"/>
        <v>17945100</v>
      </c>
      <c r="Q62" s="970">
        <f t="shared" si="8"/>
        <v>8196320</v>
      </c>
      <c r="R62" s="970">
        <f t="shared" si="9"/>
        <v>9748780</v>
      </c>
      <c r="S62" s="970">
        <f t="shared" si="4"/>
        <v>5947740</v>
      </c>
      <c r="T62" s="970">
        <f t="shared" si="5"/>
        <v>11997360</v>
      </c>
      <c r="U62" s="971">
        <v>17945100</v>
      </c>
    </row>
    <row r="63" spans="1:26" s="351" customFormat="1" ht="12.75">
      <c r="A63" s="351">
        <v>30</v>
      </c>
      <c r="B63" s="965"/>
      <c r="C63" s="351" t="s">
        <v>1338</v>
      </c>
      <c r="D63" s="996">
        <v>1095</v>
      </c>
      <c r="E63" s="996">
        <v>1200.5</v>
      </c>
      <c r="F63" s="996">
        <v>896</v>
      </c>
      <c r="G63" s="996">
        <v>899</v>
      </c>
      <c r="H63" s="996">
        <v>973</v>
      </c>
      <c r="I63" s="996">
        <v>1086</v>
      </c>
      <c r="J63" s="996">
        <v>1263</v>
      </c>
      <c r="K63" s="996">
        <v>1116.5</v>
      </c>
      <c r="L63" s="996">
        <v>1116.5</v>
      </c>
      <c r="M63" s="996">
        <v>1138</v>
      </c>
      <c r="N63" s="996">
        <v>1138</v>
      </c>
      <c r="O63" s="996">
        <v>1200.5</v>
      </c>
      <c r="P63" s="970">
        <f t="shared" si="1"/>
        <v>13122</v>
      </c>
      <c r="Q63" s="970">
        <f t="shared" si="8"/>
        <v>5555</v>
      </c>
      <c r="R63" s="970">
        <f t="shared" si="9"/>
        <v>7567</v>
      </c>
      <c r="S63" s="970">
        <f t="shared" si="4"/>
        <v>4582</v>
      </c>
      <c r="T63" s="970">
        <f t="shared" si="5"/>
        <v>8540</v>
      </c>
      <c r="U63" s="971">
        <v>13122</v>
      </c>
    </row>
    <row r="64" spans="1:26" s="351" customFormat="1" ht="12.75">
      <c r="A64" s="351">
        <v>31</v>
      </c>
      <c r="B64" s="965"/>
      <c r="C64" s="351" t="s">
        <v>600</v>
      </c>
      <c r="D64" s="996">
        <v>4572</v>
      </c>
      <c r="E64" s="996">
        <v>3687</v>
      </c>
      <c r="F64" s="996">
        <v>783</v>
      </c>
      <c r="G64" s="996">
        <v>731</v>
      </c>
      <c r="H64" s="996">
        <v>628</v>
      </c>
      <c r="I64" s="996">
        <v>738</v>
      </c>
      <c r="J64" s="996">
        <v>982</v>
      </c>
      <c r="K64" s="996">
        <v>1468</v>
      </c>
      <c r="L64" s="996">
        <v>3687</v>
      </c>
      <c r="M64" s="996">
        <v>3091</v>
      </c>
      <c r="N64" s="996">
        <v>3398</v>
      </c>
      <c r="O64" s="996">
        <v>4075</v>
      </c>
      <c r="P64" s="970">
        <f t="shared" si="1"/>
        <v>27840</v>
      </c>
      <c r="Q64" s="970">
        <f t="shared" si="8"/>
        <v>7503</v>
      </c>
      <c r="R64" s="970">
        <f t="shared" si="9"/>
        <v>20337</v>
      </c>
      <c r="S64" s="970">
        <f t="shared" si="4"/>
        <v>6875</v>
      </c>
      <c r="T64" s="970">
        <f t="shared" si="5"/>
        <v>20965</v>
      </c>
      <c r="U64" s="971">
        <v>27840</v>
      </c>
    </row>
    <row r="65" spans="1:26" s="351" customFormat="1" ht="12.75">
      <c r="A65" s="351">
        <v>32</v>
      </c>
      <c r="B65" s="965"/>
      <c r="C65" s="351" t="s">
        <v>413</v>
      </c>
      <c r="D65" s="996">
        <v>131782</v>
      </c>
      <c r="E65" s="996">
        <v>128538</v>
      </c>
      <c r="F65" s="996">
        <v>160102</v>
      </c>
      <c r="G65" s="996">
        <v>177781</v>
      </c>
      <c r="H65" s="996">
        <v>164452</v>
      </c>
      <c r="I65" s="996">
        <v>169180</v>
      </c>
      <c r="J65" s="996">
        <v>152231</v>
      </c>
      <c r="K65" s="996">
        <v>158074</v>
      </c>
      <c r="L65" s="996">
        <v>156713</v>
      </c>
      <c r="M65" s="996">
        <v>154887</v>
      </c>
      <c r="N65" s="996">
        <v>146358</v>
      </c>
      <c r="O65" s="996">
        <v>137014</v>
      </c>
      <c r="P65" s="970">
        <f t="shared" si="1"/>
        <v>1837112</v>
      </c>
      <c r="Q65" s="970">
        <f t="shared" si="8"/>
        <v>800650</v>
      </c>
      <c r="R65" s="970">
        <f t="shared" si="9"/>
        <v>1036462</v>
      </c>
      <c r="S65" s="970">
        <f t="shared" si="4"/>
        <v>636198</v>
      </c>
      <c r="T65" s="970">
        <f t="shared" si="5"/>
        <v>1200914</v>
      </c>
      <c r="U65" s="971">
        <v>1837112</v>
      </c>
    </row>
    <row r="66" spans="1:26" s="351" customFormat="1" ht="12.75">
      <c r="A66" s="351">
        <v>33</v>
      </c>
      <c r="B66" s="965"/>
      <c r="C66" s="351" t="s">
        <v>112</v>
      </c>
      <c r="D66" s="993">
        <v>4845607.2811219674</v>
      </c>
      <c r="E66" s="993">
        <v>4784887.6370510412</v>
      </c>
      <c r="F66" s="993">
        <v>4190434.1293532345</v>
      </c>
      <c r="G66" s="993">
        <v>3879433.6892479807</v>
      </c>
      <c r="H66" s="993">
        <v>3740285.2995018694</v>
      </c>
      <c r="I66" s="993">
        <v>3853547.1796631333</v>
      </c>
      <c r="J66" s="993">
        <v>4518002.3981308425</v>
      </c>
      <c r="K66" s="993">
        <v>5457323.9380669389</v>
      </c>
      <c r="L66" s="993">
        <v>4418353.4122065743</v>
      </c>
      <c r="M66" s="993">
        <v>3628010.9661654141</v>
      </c>
      <c r="N66" s="993">
        <v>3753432.6384446551</v>
      </c>
      <c r="O66" s="993">
        <v>4676766.2023846889</v>
      </c>
      <c r="P66" s="970">
        <f t="shared" si="1"/>
        <v>51746084.771338336</v>
      </c>
      <c r="Q66" s="970">
        <f t="shared" si="8"/>
        <v>21987512.227569357</v>
      </c>
      <c r="R66" s="970">
        <f t="shared" si="9"/>
        <v>29758572.54376898</v>
      </c>
      <c r="S66" s="970">
        <f t="shared" si="4"/>
        <v>18247226.928067487</v>
      </c>
      <c r="T66" s="970">
        <f t="shared" si="5"/>
        <v>33498857.843270849</v>
      </c>
      <c r="U66" s="971">
        <v>51746084.771338336</v>
      </c>
    </row>
    <row r="67" spans="1:26" s="351" customFormat="1" ht="12.75">
      <c r="A67" s="351">
        <v>34</v>
      </c>
      <c r="B67" s="965"/>
      <c r="C67" s="351" t="s">
        <v>414</v>
      </c>
      <c r="D67" s="996">
        <v>3381000</v>
      </c>
      <c r="E67" s="996">
        <v>7668690</v>
      </c>
      <c r="F67" s="996">
        <v>3476962</v>
      </c>
      <c r="G67" s="996">
        <v>3556334</v>
      </c>
      <c r="H67" s="996">
        <v>8230299</v>
      </c>
      <c r="I67" s="996">
        <v>3016235</v>
      </c>
      <c r="J67" s="996">
        <v>7937579</v>
      </c>
      <c r="K67" s="996">
        <v>4722911</v>
      </c>
      <c r="L67" s="996">
        <v>3843588</v>
      </c>
      <c r="M67" s="996">
        <v>4068936</v>
      </c>
      <c r="N67" s="996">
        <v>5065807</v>
      </c>
      <c r="O67" s="996">
        <v>5057768</v>
      </c>
      <c r="P67" s="970">
        <f t="shared" si="1"/>
        <v>60026109</v>
      </c>
      <c r="Q67" s="970">
        <f t="shared" si="8"/>
        <v>27750612</v>
      </c>
      <c r="R67" s="970">
        <f t="shared" si="9"/>
        <v>32275497</v>
      </c>
      <c r="S67" s="970">
        <f t="shared" si="4"/>
        <v>19520313</v>
      </c>
      <c r="T67" s="970">
        <f t="shared" si="5"/>
        <v>40505796</v>
      </c>
      <c r="U67" s="971">
        <v>60026109</v>
      </c>
    </row>
    <row r="68" spans="1:26" s="351" customFormat="1" ht="12.75">
      <c r="A68" s="351">
        <v>35</v>
      </c>
      <c r="B68" s="965"/>
      <c r="C68" s="351" t="s">
        <v>2258</v>
      </c>
      <c r="D68" s="997">
        <v>53100000</v>
      </c>
      <c r="E68" s="997">
        <v>51000000</v>
      </c>
      <c r="F68" s="997">
        <v>43500000</v>
      </c>
      <c r="G68" s="997">
        <v>55500000</v>
      </c>
      <c r="H68" s="997">
        <v>52000000</v>
      </c>
      <c r="I68" s="997">
        <v>51500000</v>
      </c>
      <c r="J68" s="997">
        <v>53500000</v>
      </c>
      <c r="K68" s="997">
        <v>55000000</v>
      </c>
      <c r="L68" s="997">
        <v>42000000</v>
      </c>
      <c r="M68" s="997">
        <v>56500000</v>
      </c>
      <c r="N68" s="997">
        <v>51000000</v>
      </c>
      <c r="O68" s="997">
        <v>52500000</v>
      </c>
      <c r="P68" s="970">
        <f t="shared" si="1"/>
        <v>617100000</v>
      </c>
      <c r="Q68" s="970">
        <f t="shared" si="8"/>
        <v>254000000</v>
      </c>
      <c r="R68" s="970">
        <f t="shared" si="9"/>
        <v>363100000</v>
      </c>
      <c r="S68" s="970">
        <f t="shared" si="4"/>
        <v>202000000</v>
      </c>
      <c r="T68" s="970">
        <f t="shared" si="5"/>
        <v>415100000</v>
      </c>
      <c r="U68" s="971">
        <v>617100000</v>
      </c>
    </row>
    <row r="69" spans="1:26" s="351" customFormat="1" ht="12.75">
      <c r="A69" s="351">
        <v>36</v>
      </c>
      <c r="B69" s="965"/>
      <c r="C69" s="351" t="s">
        <v>2259</v>
      </c>
      <c r="D69" s="997">
        <v>63397152.286540791</v>
      </c>
      <c r="E69" s="997">
        <v>55126687.11029759</v>
      </c>
      <c r="F69" s="997">
        <v>62625226.546982393</v>
      </c>
      <c r="G69" s="997">
        <v>60248767.987967998</v>
      </c>
      <c r="H69" s="997">
        <v>63484159.177151993</v>
      </c>
      <c r="I69" s="997">
        <v>63099503.115263999</v>
      </c>
      <c r="J69" s="997">
        <v>64700513.235187203</v>
      </c>
      <c r="K69" s="997">
        <v>63997564.225190401</v>
      </c>
      <c r="L69" s="997">
        <v>57005460.194457598</v>
      </c>
      <c r="M69" s="997">
        <v>63713513.431679994</v>
      </c>
      <c r="N69" s="997">
        <v>59025103.381439991</v>
      </c>
      <c r="O69" s="997">
        <v>60307290.254399993</v>
      </c>
      <c r="P69" s="970">
        <f t="shared" si="1"/>
        <v>736730940.94656003</v>
      </c>
      <c r="Q69" s="970">
        <f t="shared" si="8"/>
        <v>312287199.9472512</v>
      </c>
      <c r="R69" s="970">
        <f t="shared" si="9"/>
        <v>424443740.99930882</v>
      </c>
      <c r="S69" s="970">
        <f t="shared" si="4"/>
        <v>248803040.77009922</v>
      </c>
      <c r="T69" s="970">
        <f t="shared" si="5"/>
        <v>487927900.1764608</v>
      </c>
      <c r="U69" s="971">
        <v>736730940.94656003</v>
      </c>
    </row>
    <row r="70" spans="1:26" s="351" customFormat="1" ht="12.75">
      <c r="A70" s="351">
        <v>37</v>
      </c>
      <c r="B70" s="965"/>
      <c r="C70" s="351" t="s">
        <v>2260</v>
      </c>
      <c r="D70" s="997">
        <v>105501785.00000006</v>
      </c>
      <c r="E70" s="997">
        <v>93180889.999999925</v>
      </c>
      <c r="F70" s="997">
        <v>102727346.99999991</v>
      </c>
      <c r="G70" s="997">
        <v>101634906.99999997</v>
      </c>
      <c r="H70" s="997">
        <v>80866344.99999997</v>
      </c>
      <c r="I70" s="997">
        <v>108716269.99999987</v>
      </c>
      <c r="J70" s="997">
        <v>114387229.00000004</v>
      </c>
      <c r="K70" s="997">
        <v>117434171.00000009</v>
      </c>
      <c r="L70" s="997">
        <v>120719343.99999997</v>
      </c>
      <c r="M70" s="997">
        <v>118101494.00000007</v>
      </c>
      <c r="N70" s="997">
        <v>111885994.00000004</v>
      </c>
      <c r="O70" s="997">
        <v>113470421.00000001</v>
      </c>
      <c r="P70" s="970">
        <f t="shared" si="1"/>
        <v>1288626197</v>
      </c>
      <c r="Q70" s="970">
        <f t="shared" si="8"/>
        <v>542123359</v>
      </c>
      <c r="R70" s="970">
        <f t="shared" si="9"/>
        <v>746502838</v>
      </c>
      <c r="S70" s="970">
        <f t="shared" si="4"/>
        <v>461257014</v>
      </c>
      <c r="T70" s="970">
        <f t="shared" si="5"/>
        <v>827369183</v>
      </c>
      <c r="U70" s="971">
        <v>1288626197</v>
      </c>
    </row>
    <row r="71" spans="1:26" s="351" customFormat="1" ht="12.75">
      <c r="A71" s="974">
        <v>51</v>
      </c>
      <c r="B71" s="998"/>
      <c r="C71" s="974" t="s">
        <v>1344</v>
      </c>
      <c r="D71" s="994">
        <v>0</v>
      </c>
      <c r="E71" s="994">
        <v>0</v>
      </c>
      <c r="F71" s="994">
        <v>0</v>
      </c>
      <c r="G71" s="994">
        <v>0</v>
      </c>
      <c r="H71" s="994">
        <v>0</v>
      </c>
      <c r="I71" s="994">
        <v>0</v>
      </c>
      <c r="J71" s="994">
        <v>0</v>
      </c>
      <c r="K71" s="994">
        <v>0</v>
      </c>
      <c r="L71" s="994">
        <v>0</v>
      </c>
      <c r="M71" s="994">
        <v>0</v>
      </c>
      <c r="N71" s="994">
        <v>0</v>
      </c>
      <c r="O71" s="994">
        <v>0</v>
      </c>
      <c r="P71" s="970">
        <f t="shared" si="1"/>
        <v>0</v>
      </c>
      <c r="Q71" s="970">
        <f t="shared" si="8"/>
        <v>0</v>
      </c>
      <c r="R71" s="970">
        <f t="shared" si="9"/>
        <v>0</v>
      </c>
      <c r="S71" s="970">
        <f t="shared" si="4"/>
        <v>0</v>
      </c>
      <c r="T71" s="970">
        <f t="shared" si="5"/>
        <v>0</v>
      </c>
      <c r="U71" s="976">
        <v>0</v>
      </c>
    </row>
    <row r="72" spans="1:26" s="351" customFormat="1" ht="12.75">
      <c r="A72" s="977">
        <v>11</v>
      </c>
      <c r="B72" s="977"/>
      <c r="C72" s="990" t="s">
        <v>1329</v>
      </c>
      <c r="D72" s="993">
        <v>409600</v>
      </c>
      <c r="E72" s="993">
        <v>384199.99999999994</v>
      </c>
      <c r="F72" s="993">
        <v>421322.66666666663</v>
      </c>
      <c r="G72" s="993">
        <v>461584</v>
      </c>
      <c r="H72" s="993">
        <v>433858.66666666669</v>
      </c>
      <c r="I72" s="993">
        <v>514850.66666666663</v>
      </c>
      <c r="J72" s="993">
        <v>626234.66666666663</v>
      </c>
      <c r="K72" s="993">
        <v>716620.83333333337</v>
      </c>
      <c r="L72" s="993">
        <v>661699.5</v>
      </c>
      <c r="M72" s="993">
        <v>534386.5</v>
      </c>
      <c r="N72" s="993">
        <v>513522</v>
      </c>
      <c r="O72" s="993">
        <v>511560</v>
      </c>
      <c r="P72" s="970">
        <f t="shared" ref="P72:P106" si="10">SUM(D72:O72)</f>
        <v>6189439.5</v>
      </c>
      <c r="Q72" s="970">
        <f t="shared" si="8"/>
        <v>2953264.3333333335</v>
      </c>
      <c r="R72" s="970">
        <f t="shared" si="9"/>
        <v>3236175.1666666665</v>
      </c>
      <c r="S72" s="970">
        <f t="shared" ref="S72:S102" si="11">Q72-H72</f>
        <v>2519405.666666667</v>
      </c>
      <c r="T72" s="970">
        <f t="shared" ref="T72:T102" si="12">P72-S72</f>
        <v>3670033.833333333</v>
      </c>
      <c r="U72" s="971">
        <v>6189439.5</v>
      </c>
    </row>
    <row r="73" spans="1:26" s="351" customFormat="1" ht="12.75">
      <c r="A73" s="977">
        <v>12</v>
      </c>
      <c r="B73" s="977"/>
      <c r="C73" s="990" t="s">
        <v>1330</v>
      </c>
      <c r="D73" s="993">
        <v>821867.53846153861</v>
      </c>
      <c r="E73" s="993">
        <v>908406.23076923098</v>
      </c>
      <c r="F73" s="993">
        <v>1224834.3076923075</v>
      </c>
      <c r="G73" s="993">
        <v>841536.61538461538</v>
      </c>
      <c r="H73" s="993">
        <v>740815.38461538451</v>
      </c>
      <c r="I73" s="993">
        <v>807861.92307692301</v>
      </c>
      <c r="J73" s="993">
        <v>527832</v>
      </c>
      <c r="K73" s="993">
        <v>929331.84615384601</v>
      </c>
      <c r="L73" s="993">
        <v>885008.69230769237</v>
      </c>
      <c r="M73" s="993">
        <v>656435.38461538462</v>
      </c>
      <c r="N73" s="993">
        <v>1002434.153846154</v>
      </c>
      <c r="O73" s="993">
        <v>1088376</v>
      </c>
      <c r="P73" s="970">
        <f t="shared" si="10"/>
        <v>10434740.076923076</v>
      </c>
      <c r="Q73" s="970">
        <f t="shared" si="8"/>
        <v>3890849.846153846</v>
      </c>
      <c r="R73" s="970">
        <f t="shared" si="9"/>
        <v>6543890.2307692301</v>
      </c>
      <c r="S73" s="970">
        <f t="shared" si="11"/>
        <v>3150034.4615384615</v>
      </c>
      <c r="T73" s="970">
        <f t="shared" si="12"/>
        <v>7284705.6153846141</v>
      </c>
      <c r="U73" s="971">
        <v>10434740.076923076</v>
      </c>
    </row>
    <row r="74" spans="1:26" s="351" customFormat="1" ht="12.75">
      <c r="A74" s="977">
        <v>13</v>
      </c>
      <c r="B74" s="977"/>
      <c r="C74" s="990" t="s">
        <v>1331</v>
      </c>
      <c r="D74" s="993">
        <v>69431.76470588235</v>
      </c>
      <c r="E74" s="993">
        <v>69757.411764705874</v>
      </c>
      <c r="F74" s="993">
        <v>49780.799999999988</v>
      </c>
      <c r="G74" s="993">
        <v>4588</v>
      </c>
      <c r="H74" s="993">
        <v>40521.571428571428</v>
      </c>
      <c r="I74" s="993">
        <v>19988</v>
      </c>
      <c r="J74" s="993">
        <v>21036.6</v>
      </c>
      <c r="K74" s="993">
        <v>34661.25</v>
      </c>
      <c r="L74" s="993">
        <v>25383.52941176471</v>
      </c>
      <c r="M74" s="993">
        <v>23070.941176470584</v>
      </c>
      <c r="N74" s="993">
        <v>25473.058823529405</v>
      </c>
      <c r="O74" s="993">
        <v>61616.470588235286</v>
      </c>
      <c r="P74" s="970">
        <f t="shared" si="10"/>
        <v>445309.39789915964</v>
      </c>
      <c r="Q74" s="970">
        <f t="shared" si="8"/>
        <v>141590.95084033613</v>
      </c>
      <c r="R74" s="970">
        <f t="shared" si="9"/>
        <v>303718.44705882354</v>
      </c>
      <c r="S74" s="970">
        <f t="shared" si="11"/>
        <v>101069.3794117647</v>
      </c>
      <c r="T74" s="970">
        <f t="shared" si="12"/>
        <v>344240.0184873949</v>
      </c>
      <c r="U74" s="971">
        <v>445309.39789915964</v>
      </c>
    </row>
    <row r="75" spans="1:26" s="351" customFormat="1" ht="12.75">
      <c r="A75" s="999"/>
      <c r="B75" s="1000"/>
      <c r="C75" s="999" t="s">
        <v>1345</v>
      </c>
      <c r="D75" s="987">
        <v>221998937.28654087</v>
      </c>
      <c r="E75" s="987">
        <v>199307577.1102975</v>
      </c>
      <c r="F75" s="987">
        <v>208852573.54698229</v>
      </c>
      <c r="G75" s="987">
        <v>217383674.98796797</v>
      </c>
      <c r="H75" s="987">
        <v>196350504.17715198</v>
      </c>
      <c r="I75" s="987">
        <v>223315773.11526388</v>
      </c>
      <c r="J75" s="987">
        <v>232587742.23518723</v>
      </c>
      <c r="K75" s="987">
        <v>236431735.22519049</v>
      </c>
      <c r="L75" s="987">
        <v>219724804.19445756</v>
      </c>
      <c r="M75" s="987">
        <v>238315007.43168008</v>
      </c>
      <c r="N75" s="987">
        <v>221911097.38144004</v>
      </c>
      <c r="O75" s="987">
        <v>226277711.25440001</v>
      </c>
      <c r="P75" s="970">
        <f t="shared" si="10"/>
        <v>2642457137.9465599</v>
      </c>
      <c r="Q75" s="970">
        <f t="shared" si="8"/>
        <v>1108410558.9472513</v>
      </c>
      <c r="R75" s="970">
        <f t="shared" si="9"/>
        <v>1534046578.9993086</v>
      </c>
      <c r="S75" s="970">
        <f t="shared" si="11"/>
        <v>912060054.7700994</v>
      </c>
      <c r="T75" s="970">
        <f t="shared" si="12"/>
        <v>1730397083.1764605</v>
      </c>
      <c r="U75" s="971">
        <v>2642457137.9465599</v>
      </c>
    </row>
    <row r="76" spans="1:26" s="351" customFormat="1" ht="12.75">
      <c r="A76" s="982"/>
      <c r="B76" s="982" t="s">
        <v>464</v>
      </c>
      <c r="C76" s="982"/>
      <c r="D76" s="983">
        <v>663802807.01742554</v>
      </c>
      <c r="E76" s="983">
        <v>602897222.90064836</v>
      </c>
      <c r="F76" s="983">
        <v>657004278.2673111</v>
      </c>
      <c r="G76" s="983">
        <v>657750523.21143472</v>
      </c>
      <c r="H76" s="983">
        <v>648299647.5714488</v>
      </c>
      <c r="I76" s="983">
        <v>671719421.90590918</v>
      </c>
      <c r="J76" s="983">
        <v>710013983.63090706</v>
      </c>
      <c r="K76" s="983">
        <v>717496902.91972768</v>
      </c>
      <c r="L76" s="983">
        <v>677388845.39005554</v>
      </c>
      <c r="M76" s="983">
        <v>703731533.07093239</v>
      </c>
      <c r="N76" s="983">
        <v>655489522.27271521</v>
      </c>
      <c r="O76" s="983">
        <v>658847869.76102602</v>
      </c>
      <c r="P76" s="970">
        <f t="shared" si="10"/>
        <v>8024442557.9195423</v>
      </c>
      <c r="Q76" s="970">
        <f t="shared" si="8"/>
        <v>3424918801.4180484</v>
      </c>
      <c r="R76" s="970">
        <f t="shared" si="9"/>
        <v>4599523756.5014935</v>
      </c>
      <c r="S76" s="970">
        <f t="shared" si="11"/>
        <v>2776619153.8465996</v>
      </c>
      <c r="T76" s="970">
        <f t="shared" si="12"/>
        <v>5247823404.0729427</v>
      </c>
      <c r="U76" s="984">
        <v>8024442557.9195423</v>
      </c>
    </row>
    <row r="77" spans="1:26" s="351" customFormat="1" ht="12.75">
      <c r="A77" s="985"/>
      <c r="B77" s="985" t="s">
        <v>1346</v>
      </c>
      <c r="C77" s="985"/>
      <c r="D77" s="1002">
        <v>379748362.87769485</v>
      </c>
      <c r="E77" s="1002">
        <v>342216507.14115584</v>
      </c>
      <c r="F77" s="1002">
        <v>385194887.38044167</v>
      </c>
      <c r="G77" s="1002">
        <v>380006000.37969637</v>
      </c>
      <c r="H77" s="1002">
        <v>384591487.2696898</v>
      </c>
      <c r="I77" s="1002">
        <v>385734463.5191918</v>
      </c>
      <c r="J77" s="1002">
        <v>405889378.02471089</v>
      </c>
      <c r="K77" s="1002">
        <v>412696463.05236804</v>
      </c>
      <c r="L77" s="1002">
        <v>396253651.22005719</v>
      </c>
      <c r="M77" s="1002">
        <v>405831885.78370988</v>
      </c>
      <c r="N77" s="1002">
        <v>375161061.94733196</v>
      </c>
      <c r="O77" s="1002">
        <v>370367493.89686698</v>
      </c>
      <c r="P77" s="970"/>
      <c r="Q77" s="970"/>
      <c r="R77" s="970"/>
      <c r="S77" s="970"/>
      <c r="T77" s="970"/>
      <c r="U77" s="984"/>
      <c r="W77" s="987"/>
      <c r="X77" s="987"/>
      <c r="Y77" s="987"/>
      <c r="Z77" s="987"/>
    </row>
    <row r="78" spans="1:26" ht="13.5" customHeight="1">
      <c r="C78" s="351"/>
      <c r="D78" s="988">
        <v>0</v>
      </c>
      <c r="E78" s="988">
        <v>0</v>
      </c>
      <c r="F78" s="988">
        <v>0</v>
      </c>
      <c r="G78" s="988">
        <v>0</v>
      </c>
      <c r="H78" s="988">
        <v>0</v>
      </c>
      <c r="I78" s="988">
        <v>0</v>
      </c>
      <c r="J78" s="988">
        <v>0</v>
      </c>
      <c r="K78" s="988">
        <v>0</v>
      </c>
      <c r="L78" s="988">
        <v>0</v>
      </c>
      <c r="M78" s="988">
        <v>0</v>
      </c>
      <c r="N78" s="988">
        <v>0</v>
      </c>
      <c r="O78" s="988">
        <v>0</v>
      </c>
      <c r="P78" s="970"/>
      <c r="Q78" s="970"/>
      <c r="R78" s="970"/>
      <c r="S78" s="970"/>
      <c r="T78" s="970"/>
      <c r="U78" s="971"/>
    </row>
    <row r="79" spans="1:26">
      <c r="B79" s="351" t="s">
        <v>227</v>
      </c>
      <c r="P79" s="970"/>
      <c r="Q79" s="970"/>
      <c r="R79" s="970"/>
      <c r="S79" s="970"/>
      <c r="T79" s="970"/>
      <c r="U79" s="971"/>
    </row>
    <row r="80" spans="1:26">
      <c r="A80" s="351">
        <v>38</v>
      </c>
      <c r="B80" s="965"/>
      <c r="C80" s="351" t="s">
        <v>201</v>
      </c>
      <c r="D80" s="992">
        <v>742901.64819347591</v>
      </c>
      <c r="E80" s="992">
        <v>653811.91385323438</v>
      </c>
      <c r="F80" s="992">
        <v>588759.58035239996</v>
      </c>
      <c r="G80" s="992">
        <v>8290636.9132720986</v>
      </c>
      <c r="H80" s="992">
        <v>24659470.575574864</v>
      </c>
      <c r="I80" s="992">
        <v>42615170.059039742</v>
      </c>
      <c r="J80" s="992">
        <v>51631008.881623536</v>
      </c>
      <c r="K80" s="992">
        <v>48440118.895411894</v>
      </c>
      <c r="L80" s="992">
        <v>29645427.991502699</v>
      </c>
      <c r="M80" s="992">
        <v>10761149.960530706</v>
      </c>
      <c r="N80" s="992">
        <v>2111554.9610229</v>
      </c>
      <c r="O80" s="992">
        <v>952031.75676359248</v>
      </c>
      <c r="P80" s="970">
        <f t="shared" si="10"/>
        <v>221092043.13714117</v>
      </c>
      <c r="Q80" s="970">
        <f t="shared" ref="Q80:Q82" si="13">SUMIF($D$1:$O$1,"S",D80:O80)</f>
        <v>196991196.40315273</v>
      </c>
      <c r="R80" s="970">
        <f t="shared" ref="R80:R82" si="14">P80-Q80</f>
        <v>24100846.733988434</v>
      </c>
      <c r="S80" s="970">
        <f t="shared" si="11"/>
        <v>172331725.82757786</v>
      </c>
      <c r="T80" s="970">
        <f t="shared" si="12"/>
        <v>48760317.309563309</v>
      </c>
      <c r="U80" s="971">
        <v>221092043.13714117</v>
      </c>
    </row>
    <row r="81" spans="1:26">
      <c r="A81" s="977">
        <v>14</v>
      </c>
      <c r="B81" s="977"/>
      <c r="C81" s="990" t="s">
        <v>1347</v>
      </c>
      <c r="D81" s="993">
        <v>3439.3965517241381</v>
      </c>
      <c r="E81" s="993">
        <v>10525.862068965518</v>
      </c>
      <c r="F81" s="993">
        <v>0</v>
      </c>
      <c r="G81" s="993">
        <v>26337.500000000004</v>
      </c>
      <c r="H81" s="993">
        <v>820186.95652173914</v>
      </c>
      <c r="I81" s="993">
        <v>1327307.2340425532</v>
      </c>
      <c r="J81" s="993">
        <v>2315268.6666666665</v>
      </c>
      <c r="K81" s="993">
        <v>1176810.8800000001</v>
      </c>
      <c r="L81" s="993">
        <v>2523040.8000000003</v>
      </c>
      <c r="M81" s="993">
        <v>963150.5882352941</v>
      </c>
      <c r="N81" s="993">
        <v>120834.00000000001</v>
      </c>
      <c r="O81" s="993">
        <v>13527.698113207547</v>
      </c>
      <c r="P81" s="970">
        <f t="shared" si="10"/>
        <v>9300429.5822001491</v>
      </c>
      <c r="Q81" s="970">
        <f t="shared" si="13"/>
        <v>8162614.5372309592</v>
      </c>
      <c r="R81" s="970">
        <f t="shared" si="14"/>
        <v>1137815.0449691899</v>
      </c>
      <c r="S81" s="970">
        <f t="shared" si="11"/>
        <v>7342427.5807092199</v>
      </c>
      <c r="T81" s="970">
        <f t="shared" si="12"/>
        <v>1958002.0014909292</v>
      </c>
      <c r="U81" s="971">
        <v>9300429.5822001491</v>
      </c>
    </row>
    <row r="82" spans="1:26" s="351" customFormat="1" ht="12.75">
      <c r="A82" s="982"/>
      <c r="B82" s="982" t="s">
        <v>250</v>
      </c>
      <c r="C82" s="982"/>
      <c r="D82" s="983">
        <v>746341.04474520008</v>
      </c>
      <c r="E82" s="983">
        <v>664337.77592219994</v>
      </c>
      <c r="F82" s="983">
        <v>588759.58035239996</v>
      </c>
      <c r="G82" s="983">
        <v>8316974.4132720986</v>
      </c>
      <c r="H82" s="983">
        <v>25479657.532096602</v>
      </c>
      <c r="I82" s="983">
        <v>43942477.293082297</v>
      </c>
      <c r="J82" s="983">
        <v>53946277.548290201</v>
      </c>
      <c r="K82" s="983">
        <v>49616929.775411896</v>
      </c>
      <c r="L82" s="983">
        <v>32168468.791502699</v>
      </c>
      <c r="M82" s="983">
        <v>11724300.548766</v>
      </c>
      <c r="N82" s="983">
        <v>2232388.9610229</v>
      </c>
      <c r="O82" s="983">
        <v>965559.45487680007</v>
      </c>
      <c r="P82" s="970">
        <f t="shared" si="10"/>
        <v>230392472.71934134</v>
      </c>
      <c r="Q82" s="970">
        <f t="shared" si="13"/>
        <v>205153810.94038367</v>
      </c>
      <c r="R82" s="970">
        <f t="shared" si="14"/>
        <v>25238661.778957665</v>
      </c>
      <c r="S82" s="970">
        <f t="shared" si="11"/>
        <v>179674153.40828708</v>
      </c>
      <c r="T82" s="970">
        <f t="shared" si="12"/>
        <v>50718319.31105426</v>
      </c>
      <c r="U82" s="984">
        <v>230392472.71934131</v>
      </c>
    </row>
    <row r="83" spans="1:26">
      <c r="C83" s="351"/>
      <c r="D83" s="988">
        <v>0</v>
      </c>
      <c r="E83" s="988">
        <v>0</v>
      </c>
      <c r="F83" s="988">
        <v>0</v>
      </c>
      <c r="G83" s="988">
        <v>0</v>
      </c>
      <c r="H83" s="988">
        <v>0</v>
      </c>
      <c r="I83" s="988">
        <v>0</v>
      </c>
      <c r="J83" s="988">
        <v>0</v>
      </c>
      <c r="K83" s="988">
        <v>0</v>
      </c>
      <c r="L83" s="988">
        <v>0</v>
      </c>
      <c r="M83" s="988">
        <v>0</v>
      </c>
      <c r="N83" s="988">
        <v>0</v>
      </c>
      <c r="O83" s="988">
        <v>0</v>
      </c>
      <c r="P83" s="970"/>
      <c r="Q83" s="970"/>
      <c r="R83" s="970"/>
      <c r="S83" s="970"/>
      <c r="T83" s="970"/>
      <c r="W83" s="987"/>
      <c r="X83" s="987"/>
      <c r="Y83" s="987"/>
      <c r="Z83" s="987"/>
    </row>
    <row r="84" spans="1:26">
      <c r="B84" s="351" t="s">
        <v>1348</v>
      </c>
      <c r="P84" s="970"/>
      <c r="Q84" s="970"/>
      <c r="R84" s="970"/>
      <c r="S84" s="970"/>
      <c r="T84" s="970"/>
    </row>
    <row r="85" spans="1:26" s="351" customFormat="1" ht="12.75">
      <c r="A85" s="351">
        <v>39</v>
      </c>
      <c r="B85" s="965"/>
      <c r="C85" s="351" t="s">
        <v>455</v>
      </c>
      <c r="D85" s="996">
        <v>24750</v>
      </c>
      <c r="E85" s="996">
        <v>24750</v>
      </c>
      <c r="F85" s="996">
        <v>24750</v>
      </c>
      <c r="G85" s="996">
        <v>24750</v>
      </c>
      <c r="H85" s="996">
        <v>24750</v>
      </c>
      <c r="I85" s="996">
        <v>24750</v>
      </c>
      <c r="J85" s="996">
        <v>24750</v>
      </c>
      <c r="K85" s="996">
        <v>24750</v>
      </c>
      <c r="L85" s="996">
        <v>24750</v>
      </c>
      <c r="M85" s="996">
        <v>24750</v>
      </c>
      <c r="N85" s="996">
        <v>24750</v>
      </c>
      <c r="O85" s="996">
        <v>24750</v>
      </c>
      <c r="P85" s="970">
        <f t="shared" si="10"/>
        <v>297000</v>
      </c>
      <c r="Q85" s="970">
        <f t="shared" ref="Q85:Q94" si="15">SUMIF($D$1:$O$1,"S",D85:O85)</f>
        <v>123750</v>
      </c>
      <c r="R85" s="970">
        <f t="shared" ref="R85:R94" si="16">P85-Q85</f>
        <v>173250</v>
      </c>
      <c r="S85" s="970">
        <f t="shared" si="11"/>
        <v>99000</v>
      </c>
      <c r="T85" s="970">
        <f t="shared" si="12"/>
        <v>198000</v>
      </c>
      <c r="U85" s="971">
        <v>297000</v>
      </c>
    </row>
    <row r="86" spans="1:26" s="351" customFormat="1" ht="12.75">
      <c r="A86" s="351">
        <v>40</v>
      </c>
      <c r="B86" s="965"/>
      <c r="C86" s="351" t="s">
        <v>458</v>
      </c>
      <c r="D86" s="993">
        <v>1158546.3445378151</v>
      </c>
      <c r="E86" s="993">
        <v>950100</v>
      </c>
      <c r="F86" s="993">
        <v>1142351.8644067796</v>
      </c>
      <c r="G86" s="993">
        <v>1178410.8898305085</v>
      </c>
      <c r="H86" s="993">
        <v>1139298.9759887005</v>
      </c>
      <c r="I86" s="993">
        <v>1166735.7898448519</v>
      </c>
      <c r="J86" s="993">
        <v>1145588.5522598871</v>
      </c>
      <c r="K86" s="993">
        <v>996486.49929278635</v>
      </c>
      <c r="L86" s="993">
        <v>1155978.2697740113</v>
      </c>
      <c r="M86" s="993">
        <v>1256544.4287729196</v>
      </c>
      <c r="N86" s="993">
        <v>1163374.2907303371</v>
      </c>
      <c r="O86" s="993">
        <v>1119092.3281907435</v>
      </c>
      <c r="P86" s="970">
        <f t="shared" si="10"/>
        <v>13572508.23362934</v>
      </c>
      <c r="Q86" s="970">
        <f t="shared" si="15"/>
        <v>5604088.0871602371</v>
      </c>
      <c r="R86" s="970">
        <f t="shared" si="16"/>
        <v>7968420.1464691032</v>
      </c>
      <c r="S86" s="970">
        <f t="shared" si="11"/>
        <v>4464789.1111715361</v>
      </c>
      <c r="T86" s="970">
        <f t="shared" si="12"/>
        <v>9107719.1224578042</v>
      </c>
      <c r="U86" s="971">
        <v>13572508.23362934</v>
      </c>
    </row>
    <row r="87" spans="1:26" s="351" customFormat="1" ht="12.75">
      <c r="A87" s="351">
        <v>41</v>
      </c>
      <c r="B87" s="965"/>
      <c r="C87" s="351" t="s">
        <v>602</v>
      </c>
      <c r="D87" s="992">
        <v>2299044.0561778853</v>
      </c>
      <c r="E87" s="992">
        <v>2220463.6100187004</v>
      </c>
      <c r="F87" s="992">
        <v>2375274.8816607748</v>
      </c>
      <c r="G87" s="992">
        <v>2197498.2862038184</v>
      </c>
      <c r="H87" s="992">
        <v>2335448.4701205073</v>
      </c>
      <c r="I87" s="992">
        <v>1900660.7770090248</v>
      </c>
      <c r="J87" s="992">
        <v>1883506.5496878899</v>
      </c>
      <c r="K87" s="992">
        <v>2040036.1316264013</v>
      </c>
      <c r="L87" s="992">
        <v>1899893.5774079277</v>
      </c>
      <c r="M87" s="992">
        <v>1833801.1697207594</v>
      </c>
      <c r="N87" s="992">
        <v>1538866.4119428652</v>
      </c>
      <c r="O87" s="992">
        <v>1428638.7427257397</v>
      </c>
      <c r="P87" s="970">
        <f t="shared" si="10"/>
        <v>23953132.664302297</v>
      </c>
      <c r="Q87" s="970">
        <f t="shared" si="15"/>
        <v>10059545.505851751</v>
      </c>
      <c r="R87" s="970">
        <f t="shared" si="16"/>
        <v>13893587.158450546</v>
      </c>
      <c r="S87" s="970">
        <f t="shared" si="11"/>
        <v>7724097.0357312439</v>
      </c>
      <c r="T87" s="970">
        <f t="shared" si="12"/>
        <v>16229035.628571052</v>
      </c>
      <c r="U87" s="971">
        <v>23953132.664302297</v>
      </c>
    </row>
    <row r="88" spans="1:26" s="351" customFormat="1" ht="12.75">
      <c r="A88" s="351">
        <v>42</v>
      </c>
      <c r="B88" s="965"/>
      <c r="C88" s="351" t="s">
        <v>603</v>
      </c>
      <c r="D88" s="993">
        <v>82328</v>
      </c>
      <c r="E88" s="993">
        <v>62746</v>
      </c>
      <c r="F88" s="993">
        <v>81949.315068493146</v>
      </c>
      <c r="G88" s="993">
        <v>81187.125</v>
      </c>
      <c r="H88" s="993">
        <v>87053.357142857145</v>
      </c>
      <c r="I88" s="993">
        <v>83760.085714285713</v>
      </c>
      <c r="J88" s="993">
        <v>84306.171428571426</v>
      </c>
      <c r="K88" s="993">
        <v>62577.08571428572</v>
      </c>
      <c r="L88" s="993">
        <v>84586.114285714284</v>
      </c>
      <c r="M88" s="993">
        <v>104239.28571428572</v>
      </c>
      <c r="N88" s="993">
        <v>83595</v>
      </c>
      <c r="O88" s="993">
        <v>82750</v>
      </c>
      <c r="P88" s="970">
        <f t="shared" si="10"/>
        <v>981077.54006849322</v>
      </c>
      <c r="Q88" s="970">
        <f t="shared" si="15"/>
        <v>402282.8142857143</v>
      </c>
      <c r="R88" s="970">
        <f t="shared" si="16"/>
        <v>578794.72578277893</v>
      </c>
      <c r="S88" s="970">
        <f t="shared" si="11"/>
        <v>315229.45714285714</v>
      </c>
      <c r="T88" s="970">
        <f t="shared" si="12"/>
        <v>665848.08292563609</v>
      </c>
      <c r="U88" s="971">
        <v>981077.54006849322</v>
      </c>
    </row>
    <row r="89" spans="1:26" s="351" customFormat="1" ht="12.75">
      <c r="A89" s="351">
        <v>43</v>
      </c>
      <c r="B89" s="965"/>
      <c r="C89" s="351" t="s">
        <v>604</v>
      </c>
      <c r="D89" s="996">
        <v>161222</v>
      </c>
      <c r="E89" s="996">
        <v>161222</v>
      </c>
      <c r="F89" s="996">
        <v>161222</v>
      </c>
      <c r="G89" s="996">
        <v>161222</v>
      </c>
      <c r="H89" s="996">
        <v>161222</v>
      </c>
      <c r="I89" s="996">
        <v>161222</v>
      </c>
      <c r="J89" s="996">
        <v>161222</v>
      </c>
      <c r="K89" s="996">
        <v>161222</v>
      </c>
      <c r="L89" s="996">
        <v>161222</v>
      </c>
      <c r="M89" s="996">
        <v>161222</v>
      </c>
      <c r="N89" s="996">
        <v>161222</v>
      </c>
      <c r="O89" s="996">
        <v>161222</v>
      </c>
      <c r="P89" s="970">
        <f t="shared" si="10"/>
        <v>1934664</v>
      </c>
      <c r="Q89" s="970">
        <f t="shared" si="15"/>
        <v>806110</v>
      </c>
      <c r="R89" s="970">
        <f t="shared" si="16"/>
        <v>1128554</v>
      </c>
      <c r="S89" s="970">
        <f t="shared" si="11"/>
        <v>644888</v>
      </c>
      <c r="T89" s="970">
        <f t="shared" si="12"/>
        <v>1289776</v>
      </c>
      <c r="U89" s="971">
        <v>1934664</v>
      </c>
    </row>
    <row r="90" spans="1:26" s="351" customFormat="1" ht="12.75">
      <c r="A90" s="351">
        <v>44</v>
      </c>
      <c r="B90" s="965"/>
      <c r="C90" s="351" t="s">
        <v>1337</v>
      </c>
      <c r="D90" s="993">
        <v>95986</v>
      </c>
      <c r="E90" s="993">
        <v>95986</v>
      </c>
      <c r="F90" s="993">
        <v>93883</v>
      </c>
      <c r="G90" s="993">
        <v>95986</v>
      </c>
      <c r="H90" s="993">
        <v>95086</v>
      </c>
      <c r="I90" s="993">
        <v>95086</v>
      </c>
      <c r="J90" s="993">
        <v>98089</v>
      </c>
      <c r="K90" s="993">
        <v>94633</v>
      </c>
      <c r="L90" s="993">
        <v>95986</v>
      </c>
      <c r="M90" s="993">
        <v>99139</v>
      </c>
      <c r="N90" s="993">
        <v>94936</v>
      </c>
      <c r="O90" s="993">
        <v>97786</v>
      </c>
      <c r="P90" s="970">
        <f t="shared" si="10"/>
        <v>1152582</v>
      </c>
      <c r="Q90" s="970">
        <f t="shared" si="15"/>
        <v>478880</v>
      </c>
      <c r="R90" s="970">
        <f t="shared" si="16"/>
        <v>673702</v>
      </c>
      <c r="S90" s="970">
        <f t="shared" si="11"/>
        <v>383794</v>
      </c>
      <c r="T90" s="970">
        <f t="shared" si="12"/>
        <v>768788</v>
      </c>
      <c r="U90" s="971">
        <v>1152582</v>
      </c>
    </row>
    <row r="91" spans="1:26">
      <c r="A91" s="351">
        <v>46</v>
      </c>
      <c r="B91" s="965"/>
      <c r="C91" s="351" t="s">
        <v>600</v>
      </c>
      <c r="D91" s="993">
        <v>277796</v>
      </c>
      <c r="E91" s="993">
        <v>299530</v>
      </c>
      <c r="F91" s="993">
        <v>233730.14608233731</v>
      </c>
      <c r="G91" s="993">
        <v>253774.18109187749</v>
      </c>
      <c r="H91" s="993">
        <v>218149.72630173565</v>
      </c>
      <c r="I91" s="993">
        <v>236055.58744993326</v>
      </c>
      <c r="J91" s="993">
        <v>259382.4248496994</v>
      </c>
      <c r="K91" s="993">
        <v>294592.7205882353</v>
      </c>
      <c r="L91" s="993">
        <v>247666.68449197861</v>
      </c>
      <c r="M91" s="993">
        <v>247227.07578806169</v>
      </c>
      <c r="N91" s="993">
        <v>267488.95442359248</v>
      </c>
      <c r="O91" s="993">
        <v>350510.75788061705</v>
      </c>
      <c r="P91" s="970">
        <f t="shared" si="10"/>
        <v>3185904.2589480677</v>
      </c>
      <c r="Q91" s="970">
        <f t="shared" si="15"/>
        <v>1255847.1436815821</v>
      </c>
      <c r="R91" s="970">
        <f t="shared" si="16"/>
        <v>1930057.1152664856</v>
      </c>
      <c r="S91" s="970">
        <f t="shared" si="11"/>
        <v>1037697.4173798464</v>
      </c>
      <c r="T91" s="970">
        <f t="shared" si="12"/>
        <v>2148206.8415682213</v>
      </c>
      <c r="U91" s="971">
        <v>3185904.2589480677</v>
      </c>
    </row>
    <row r="92" spans="1:26" s="351" customFormat="1" ht="12.75">
      <c r="A92" s="351">
        <v>45</v>
      </c>
      <c r="B92" s="965"/>
      <c r="C92" s="351" t="s">
        <v>601</v>
      </c>
      <c r="D92" s="993">
        <v>88251</v>
      </c>
      <c r="E92" s="993">
        <v>79009</v>
      </c>
      <c r="F92" s="993">
        <v>72797.440860215051</v>
      </c>
      <c r="G92" s="993">
        <v>72072.731182795702</v>
      </c>
      <c r="H92" s="993">
        <v>70688</v>
      </c>
      <c r="I92" s="993">
        <v>76173.717391304352</v>
      </c>
      <c r="J92" s="993">
        <v>74688.108695652176</v>
      </c>
      <c r="K92" s="993">
        <v>73158.565217391311</v>
      </c>
      <c r="L92" s="993">
        <v>55894.378947368423</v>
      </c>
      <c r="M92" s="993">
        <v>79005.515789473677</v>
      </c>
      <c r="N92" s="993">
        <v>66275.936842105264</v>
      </c>
      <c r="O92" s="993">
        <v>98551</v>
      </c>
      <c r="P92" s="970">
        <f t="shared" si="10"/>
        <v>906565.39492630609</v>
      </c>
      <c r="Q92" s="970">
        <f t="shared" si="15"/>
        <v>350602.77025171625</v>
      </c>
      <c r="R92" s="970">
        <f t="shared" si="16"/>
        <v>555962.62467458984</v>
      </c>
      <c r="S92" s="970">
        <f t="shared" si="11"/>
        <v>279914.77025171625</v>
      </c>
      <c r="T92" s="970">
        <f t="shared" si="12"/>
        <v>626650.62467458984</v>
      </c>
      <c r="U92" s="971">
        <v>906565.39492630609</v>
      </c>
    </row>
    <row r="93" spans="1:26" s="1003" customFormat="1" ht="12.75">
      <c r="A93" s="974">
        <v>52</v>
      </c>
      <c r="B93" s="998"/>
      <c r="C93" s="974" t="s">
        <v>1349</v>
      </c>
      <c r="D93" s="994">
        <v>0</v>
      </c>
      <c r="E93" s="994">
        <v>0</v>
      </c>
      <c r="F93" s="994">
        <v>0</v>
      </c>
      <c r="G93" s="994">
        <v>0</v>
      </c>
      <c r="H93" s="994">
        <v>0</v>
      </c>
      <c r="I93" s="994">
        <v>0</v>
      </c>
      <c r="J93" s="994">
        <v>0</v>
      </c>
      <c r="K93" s="994">
        <v>0</v>
      </c>
      <c r="L93" s="994">
        <v>0</v>
      </c>
      <c r="M93" s="994">
        <v>0</v>
      </c>
      <c r="N93" s="994">
        <v>0</v>
      </c>
      <c r="O93" s="994">
        <v>0</v>
      </c>
      <c r="P93" s="970">
        <f t="shared" si="10"/>
        <v>0</v>
      </c>
      <c r="Q93" s="970">
        <f t="shared" si="15"/>
        <v>0</v>
      </c>
      <c r="R93" s="970">
        <f t="shared" si="16"/>
        <v>0</v>
      </c>
      <c r="S93" s="970">
        <f t="shared" si="11"/>
        <v>0</v>
      </c>
      <c r="T93" s="970">
        <f t="shared" si="12"/>
        <v>0</v>
      </c>
      <c r="U93" s="976">
        <v>0</v>
      </c>
    </row>
    <row r="94" spans="1:26" s="351" customFormat="1" ht="12.75">
      <c r="A94" s="982"/>
      <c r="B94" s="982" t="s">
        <v>1350</v>
      </c>
      <c r="C94" s="982"/>
      <c r="D94" s="983">
        <v>4187923.4007157004</v>
      </c>
      <c r="E94" s="983">
        <v>3893806.6100187004</v>
      </c>
      <c r="F94" s="983">
        <v>4185958.6480785999</v>
      </c>
      <c r="G94" s="983">
        <v>4064901.2133090002</v>
      </c>
      <c r="H94" s="983">
        <v>4131696.5295538004</v>
      </c>
      <c r="I94" s="983">
        <v>3744443.9574094</v>
      </c>
      <c r="J94" s="983">
        <v>3731532.8069217</v>
      </c>
      <c r="K94" s="983">
        <v>3747456.0024390998</v>
      </c>
      <c r="L94" s="983">
        <v>3725977.0249070004</v>
      </c>
      <c r="M94" s="983">
        <v>3805928.4757854999</v>
      </c>
      <c r="N94" s="983">
        <v>3400508.5939389002</v>
      </c>
      <c r="O94" s="983">
        <v>3363300.8287971001</v>
      </c>
      <c r="P94" s="970">
        <f t="shared" si="10"/>
        <v>45983434.091874503</v>
      </c>
      <c r="Q94" s="970">
        <f t="shared" si="15"/>
        <v>19081106.321231</v>
      </c>
      <c r="R94" s="970">
        <f t="shared" si="16"/>
        <v>26902327.770643502</v>
      </c>
      <c r="S94" s="970">
        <f t="shared" si="11"/>
        <v>14949409.791677199</v>
      </c>
      <c r="T94" s="970">
        <f t="shared" si="12"/>
        <v>31034024.300197303</v>
      </c>
      <c r="U94" s="984">
        <v>45983434.091874503</v>
      </c>
    </row>
    <row r="95" spans="1:26" s="351" customFormat="1" ht="12.75">
      <c r="A95" s="985"/>
      <c r="B95" s="985" t="s">
        <v>1351</v>
      </c>
      <c r="C95" s="985"/>
      <c r="D95" s="1002">
        <v>3707063.4007157004</v>
      </c>
      <c r="E95" s="1002">
        <v>3410794.6100187004</v>
      </c>
      <c r="F95" s="1002">
        <v>3751646.1869277693</v>
      </c>
      <c r="G95" s="1002">
        <v>3609203.9072171226</v>
      </c>
      <c r="H95" s="1002">
        <v>3706657.4461092073</v>
      </c>
      <c r="I95" s="1002">
        <v>3304792.2842451809</v>
      </c>
      <c r="J95" s="1002">
        <v>3265005.2106434293</v>
      </c>
      <c r="K95" s="1002">
        <v>3270903.1961365789</v>
      </c>
      <c r="L95" s="1002">
        <v>3272988.2261293074</v>
      </c>
      <c r="M95" s="1002">
        <v>3330573.1142831524</v>
      </c>
      <c r="N95" s="1002">
        <v>2929738.6395153077</v>
      </c>
      <c r="O95" s="1002">
        <v>2807504.0709164832</v>
      </c>
      <c r="P95" s="970"/>
      <c r="Q95" s="970"/>
      <c r="R95" s="970"/>
      <c r="S95" s="970"/>
      <c r="T95" s="970"/>
      <c r="U95" s="984"/>
      <c r="W95" s="987"/>
      <c r="X95" s="987"/>
      <c r="Y95" s="987"/>
      <c r="Z95" s="987"/>
    </row>
    <row r="96" spans="1:26">
      <c r="D96" s="988">
        <v>0</v>
      </c>
      <c r="E96" s="988">
        <v>0</v>
      </c>
      <c r="F96" s="988">
        <v>0</v>
      </c>
      <c r="G96" s="988">
        <v>0</v>
      </c>
      <c r="H96" s="988">
        <v>0</v>
      </c>
      <c r="I96" s="988">
        <v>0</v>
      </c>
      <c r="J96" s="988">
        <v>0</v>
      </c>
      <c r="K96" s="988">
        <v>0</v>
      </c>
      <c r="L96" s="988">
        <v>0</v>
      </c>
      <c r="M96" s="988">
        <v>0</v>
      </c>
      <c r="N96" s="988">
        <v>0</v>
      </c>
      <c r="O96" s="988">
        <v>0</v>
      </c>
      <c r="P96" s="970"/>
      <c r="Q96" s="970"/>
      <c r="R96" s="970"/>
      <c r="S96" s="970"/>
      <c r="T96" s="970"/>
      <c r="U96" s="971"/>
    </row>
    <row r="97" spans="1:26">
      <c r="B97" s="351" t="s">
        <v>1356</v>
      </c>
      <c r="P97" s="970"/>
      <c r="Q97" s="970"/>
      <c r="R97" s="970"/>
      <c r="S97" s="970"/>
      <c r="T97" s="970"/>
      <c r="U97" s="971"/>
    </row>
    <row r="98" spans="1:26" s="351" customFormat="1" ht="12.75">
      <c r="A98" s="351">
        <v>47</v>
      </c>
      <c r="B98" s="965"/>
      <c r="C98" s="351" t="s">
        <v>412</v>
      </c>
      <c r="D98" s="1004">
        <v>0</v>
      </c>
      <c r="E98" s="1004">
        <v>0</v>
      </c>
      <c r="F98" s="1004">
        <v>0</v>
      </c>
      <c r="G98" s="1004">
        <v>0</v>
      </c>
      <c r="H98" s="1004">
        <v>0</v>
      </c>
      <c r="I98" s="1004">
        <v>0</v>
      </c>
      <c r="J98" s="1004">
        <v>0</v>
      </c>
      <c r="K98" s="1004">
        <v>0</v>
      </c>
      <c r="L98" s="1004">
        <v>0</v>
      </c>
      <c r="M98" s="1004">
        <v>0</v>
      </c>
      <c r="N98" s="1004">
        <v>0</v>
      </c>
      <c r="O98" s="1004">
        <v>0</v>
      </c>
      <c r="P98" s="970"/>
      <c r="Q98" s="970">
        <f t="shared" ref="Q98:Q102" si="17">SUMIF($D$1:$O$1,"S",D98:O98)</f>
        <v>0</v>
      </c>
      <c r="R98" s="970">
        <f t="shared" ref="R98:R102" si="18">P98-Q98</f>
        <v>0</v>
      </c>
      <c r="S98" s="970">
        <f t="shared" si="11"/>
        <v>0</v>
      </c>
      <c r="T98" s="970">
        <f t="shared" si="12"/>
        <v>0</v>
      </c>
      <c r="U98" s="976">
        <v>0</v>
      </c>
    </row>
    <row r="99" spans="1:26" s="351" customFormat="1" ht="12.75">
      <c r="A99" s="351">
        <v>48</v>
      </c>
      <c r="B99" s="965"/>
      <c r="C99" s="351" t="s">
        <v>1352</v>
      </c>
      <c r="D99" s="1004">
        <v>0</v>
      </c>
      <c r="E99" s="1004">
        <v>0</v>
      </c>
      <c r="F99" s="1004">
        <v>0</v>
      </c>
      <c r="G99" s="1004">
        <v>0</v>
      </c>
      <c r="H99" s="1004">
        <v>0</v>
      </c>
      <c r="I99" s="1004">
        <v>0</v>
      </c>
      <c r="J99" s="1004">
        <v>0</v>
      </c>
      <c r="K99" s="1004">
        <v>0</v>
      </c>
      <c r="L99" s="1004">
        <v>0</v>
      </c>
      <c r="M99" s="1004">
        <v>0</v>
      </c>
      <c r="N99" s="1004">
        <v>0</v>
      </c>
      <c r="O99" s="1004">
        <v>0</v>
      </c>
      <c r="P99" s="970"/>
      <c r="Q99" s="970">
        <f t="shared" si="17"/>
        <v>0</v>
      </c>
      <c r="R99" s="970">
        <f t="shared" si="18"/>
        <v>0</v>
      </c>
      <c r="S99" s="970">
        <f t="shared" si="11"/>
        <v>0</v>
      </c>
      <c r="T99" s="970">
        <f t="shared" si="12"/>
        <v>0</v>
      </c>
      <c r="U99" s="976">
        <v>0</v>
      </c>
    </row>
    <row r="100" spans="1:26" s="351" customFormat="1" ht="12.75">
      <c r="A100" s="974">
        <v>49</v>
      </c>
      <c r="B100" s="998"/>
      <c r="C100" s="974" t="s">
        <v>1353</v>
      </c>
      <c r="D100" s="1004">
        <v>0</v>
      </c>
      <c r="E100" s="1004">
        <v>0</v>
      </c>
      <c r="F100" s="1004">
        <v>0</v>
      </c>
      <c r="G100" s="1004">
        <v>0</v>
      </c>
      <c r="H100" s="1004">
        <v>0</v>
      </c>
      <c r="I100" s="1004">
        <v>0</v>
      </c>
      <c r="J100" s="1004">
        <v>0</v>
      </c>
      <c r="K100" s="1004">
        <v>0</v>
      </c>
      <c r="L100" s="1004">
        <v>0</v>
      </c>
      <c r="M100" s="1004">
        <v>0</v>
      </c>
      <c r="N100" s="1004">
        <v>0</v>
      </c>
      <c r="O100" s="1004">
        <v>0</v>
      </c>
      <c r="P100" s="970"/>
      <c r="Q100" s="970">
        <f t="shared" si="17"/>
        <v>0</v>
      </c>
      <c r="R100" s="970">
        <f t="shared" si="18"/>
        <v>0</v>
      </c>
      <c r="S100" s="970">
        <f t="shared" si="11"/>
        <v>0</v>
      </c>
      <c r="T100" s="970">
        <f t="shared" si="12"/>
        <v>0</v>
      </c>
      <c r="U100" s="976">
        <v>0</v>
      </c>
    </row>
    <row r="101" spans="1:26" s="351" customFormat="1" ht="12.75">
      <c r="A101" s="982"/>
      <c r="B101" s="982" t="s">
        <v>1354</v>
      </c>
      <c r="C101" s="982"/>
      <c r="D101" s="1005">
        <v>0</v>
      </c>
      <c r="E101" s="1005">
        <v>0</v>
      </c>
      <c r="F101" s="1005">
        <v>0</v>
      </c>
      <c r="G101" s="1005">
        <v>0</v>
      </c>
      <c r="H101" s="1005">
        <v>0</v>
      </c>
      <c r="I101" s="1005">
        <v>0</v>
      </c>
      <c r="J101" s="1005">
        <v>0</v>
      </c>
      <c r="K101" s="1005">
        <v>0</v>
      </c>
      <c r="L101" s="1005">
        <v>0</v>
      </c>
      <c r="M101" s="1005">
        <v>0</v>
      </c>
      <c r="N101" s="1005">
        <v>0</v>
      </c>
      <c r="O101" s="1005">
        <v>0</v>
      </c>
      <c r="P101" s="970"/>
      <c r="Q101" s="970">
        <f t="shared" si="17"/>
        <v>0</v>
      </c>
      <c r="R101" s="970">
        <f t="shared" si="18"/>
        <v>0</v>
      </c>
      <c r="S101" s="970">
        <f t="shared" si="11"/>
        <v>0</v>
      </c>
      <c r="T101" s="970">
        <f t="shared" si="12"/>
        <v>0</v>
      </c>
      <c r="U101" s="1006">
        <v>0</v>
      </c>
    </row>
    <row r="102" spans="1:26">
      <c r="A102" s="985"/>
      <c r="B102" s="985" t="s">
        <v>1355</v>
      </c>
      <c r="C102" s="985"/>
      <c r="D102" s="1002">
        <v>0</v>
      </c>
      <c r="E102" s="1002">
        <v>0</v>
      </c>
      <c r="F102" s="1002">
        <v>0</v>
      </c>
      <c r="G102" s="1002">
        <v>0</v>
      </c>
      <c r="H102" s="1002">
        <v>0</v>
      </c>
      <c r="I102" s="1002">
        <v>0</v>
      </c>
      <c r="J102" s="1002">
        <v>0</v>
      </c>
      <c r="K102" s="1002">
        <v>0</v>
      </c>
      <c r="L102" s="1002">
        <v>0</v>
      </c>
      <c r="M102" s="1002">
        <v>0</v>
      </c>
      <c r="N102" s="1002">
        <v>0</v>
      </c>
      <c r="O102" s="1002">
        <v>0</v>
      </c>
      <c r="P102" s="970"/>
      <c r="Q102" s="970">
        <f t="shared" si="17"/>
        <v>0</v>
      </c>
      <c r="R102" s="970">
        <f t="shared" si="18"/>
        <v>0</v>
      </c>
      <c r="S102" s="970">
        <f t="shared" si="11"/>
        <v>0</v>
      </c>
      <c r="T102" s="970">
        <f t="shared" si="12"/>
        <v>0</v>
      </c>
    </row>
    <row r="103" spans="1:26">
      <c r="C103" s="351"/>
      <c r="D103" s="988"/>
      <c r="E103" s="988"/>
      <c r="F103" s="988"/>
      <c r="G103" s="988"/>
      <c r="H103" s="988"/>
      <c r="I103" s="988"/>
      <c r="J103" s="988"/>
      <c r="K103" s="988"/>
      <c r="L103" s="988"/>
      <c r="M103" s="988"/>
      <c r="N103" s="988"/>
      <c r="O103" s="988"/>
      <c r="P103" s="970"/>
      <c r="Q103" s="970"/>
      <c r="R103" s="970"/>
      <c r="S103" s="970"/>
      <c r="T103" s="970"/>
    </row>
    <row r="104" spans="1:26">
      <c r="C104" s="351"/>
      <c r="D104" s="988"/>
      <c r="E104" s="988"/>
      <c r="F104" s="988"/>
      <c r="G104" s="988"/>
      <c r="H104" s="988"/>
      <c r="I104" s="988"/>
      <c r="J104" s="988"/>
      <c r="K104" s="988"/>
      <c r="L104" s="988"/>
      <c r="M104" s="988"/>
      <c r="N104" s="988"/>
      <c r="O104" s="988"/>
      <c r="P104" s="970"/>
      <c r="Q104" s="970"/>
      <c r="R104" s="970"/>
      <c r="S104" s="970"/>
      <c r="T104" s="970"/>
    </row>
    <row r="105" spans="1:26">
      <c r="C105" s="351"/>
      <c r="P105" s="970"/>
      <c r="Q105" s="970"/>
      <c r="R105" s="970"/>
      <c r="S105" s="970"/>
      <c r="T105" s="970"/>
      <c r="U105" s="969">
        <v>2021</v>
      </c>
    </row>
    <row r="106" spans="1:26" s="987" customFormat="1" ht="12.75">
      <c r="A106" s="1001"/>
      <c r="B106" s="1001" t="s">
        <v>106</v>
      </c>
      <c r="C106" s="1001"/>
      <c r="D106" s="1001">
        <v>2095456571.4964538</v>
      </c>
      <c r="E106" s="1001">
        <v>1833769602.0136678</v>
      </c>
      <c r="F106" s="1001">
        <v>1924708544.1745093</v>
      </c>
      <c r="G106" s="1001">
        <v>1851240342.0925663</v>
      </c>
      <c r="H106" s="1001">
        <v>1929518360.783704</v>
      </c>
      <c r="I106" s="1001">
        <v>2158467631.7508936</v>
      </c>
      <c r="J106" s="1001">
        <v>2552729726.631278</v>
      </c>
      <c r="K106" s="1001">
        <v>2454681173.5754972</v>
      </c>
      <c r="L106" s="1001">
        <v>2057498567.7197342</v>
      </c>
      <c r="M106" s="1001">
        <v>1956777953.7125263</v>
      </c>
      <c r="N106" s="1001">
        <v>1940942708.2703233</v>
      </c>
      <c r="O106" s="1001">
        <v>2112872369.8645432</v>
      </c>
      <c r="P106" s="970">
        <f t="shared" si="10"/>
        <v>24868663552.085697</v>
      </c>
      <c r="Q106" s="970"/>
      <c r="R106" s="970"/>
      <c r="S106" s="970"/>
      <c r="T106" s="970"/>
      <c r="U106" s="984">
        <v>24868663552.085697</v>
      </c>
    </row>
    <row r="107" spans="1:26">
      <c r="C107" s="351"/>
      <c r="P107" s="970"/>
      <c r="Q107" s="970"/>
      <c r="R107" s="970"/>
      <c r="S107" s="970"/>
      <c r="T107" s="970"/>
      <c r="U107" s="971"/>
      <c r="W107" s="987"/>
      <c r="X107" s="987"/>
      <c r="Y107" s="987"/>
      <c r="Z107" s="987"/>
    </row>
    <row r="108" spans="1:26">
      <c r="C108" s="1325" t="s">
        <v>2256</v>
      </c>
      <c r="D108" s="1326">
        <v>7700620</v>
      </c>
      <c r="E108" s="1326">
        <v>0</v>
      </c>
      <c r="F108" s="1326">
        <v>0</v>
      </c>
      <c r="G108" s="1271">
        <v>0</v>
      </c>
      <c r="H108" s="1271">
        <v>0</v>
      </c>
      <c r="I108" s="1271">
        <v>2408431</v>
      </c>
      <c r="J108" s="1271">
        <v>5955622</v>
      </c>
      <c r="K108" s="1271">
        <v>5358813</v>
      </c>
      <c r="L108" s="1271">
        <v>1807557</v>
      </c>
      <c r="M108" s="1271">
        <v>0</v>
      </c>
      <c r="N108" s="1271">
        <v>0</v>
      </c>
      <c r="O108" s="1327">
        <v>8044349</v>
      </c>
      <c r="P108" s="1328">
        <f>SUM(D108:O108)</f>
        <v>31275392</v>
      </c>
      <c r="Q108" s="970">
        <f>SUMIF($D$1:$O$1,"S",D108:O108)</f>
        <v>15530423</v>
      </c>
      <c r="R108" s="970">
        <f t="shared" ref="R108" si="19">P108-Q108</f>
        <v>15744969</v>
      </c>
      <c r="S108" s="970">
        <f t="shared" ref="S108:S109" si="20">Q108-H108</f>
        <v>15530423</v>
      </c>
      <c r="T108" s="970">
        <f t="shared" ref="T108:T109" si="21">P108-S108</f>
        <v>15744969</v>
      </c>
    </row>
    <row r="109" spans="1:26">
      <c r="C109" s="1325" t="s">
        <v>2257</v>
      </c>
      <c r="D109" s="1329">
        <f t="shared" ref="D109:P109" si="22">D69-D108</f>
        <v>55696532.286540791</v>
      </c>
      <c r="E109" s="1329">
        <f t="shared" si="22"/>
        <v>55126687.11029759</v>
      </c>
      <c r="F109" s="1329">
        <f t="shared" si="22"/>
        <v>62625226.546982393</v>
      </c>
      <c r="G109" s="1329">
        <f t="shared" si="22"/>
        <v>60248767.987967998</v>
      </c>
      <c r="H109" s="1329">
        <f t="shared" si="22"/>
        <v>63484159.177151993</v>
      </c>
      <c r="I109" s="1329">
        <f t="shared" si="22"/>
        <v>60691072.115263999</v>
      </c>
      <c r="J109" s="1329">
        <f t="shared" si="22"/>
        <v>58744891.235187203</v>
      </c>
      <c r="K109" s="1329">
        <f t="shared" si="22"/>
        <v>58638751.225190401</v>
      </c>
      <c r="L109" s="1329">
        <f t="shared" si="22"/>
        <v>55197903.194457598</v>
      </c>
      <c r="M109" s="1329">
        <f t="shared" si="22"/>
        <v>63713513.431679994</v>
      </c>
      <c r="N109" s="1329">
        <f t="shared" si="22"/>
        <v>59025103.381439991</v>
      </c>
      <c r="O109" s="1329">
        <f t="shared" si="22"/>
        <v>52262941.254399993</v>
      </c>
      <c r="P109" s="1329">
        <f t="shared" si="22"/>
        <v>705455548.94656003</v>
      </c>
      <c r="Q109" s="970">
        <f t="shared" ref="Q109" si="23">SUMIF($D$1:$O$1,"S",D109:O109)</f>
        <v>296756776.9472512</v>
      </c>
      <c r="R109" s="970">
        <f t="shared" ref="R109" si="24">P109-Q109</f>
        <v>408698771.99930882</v>
      </c>
      <c r="S109" s="970">
        <f t="shared" si="20"/>
        <v>233272617.77009922</v>
      </c>
      <c r="T109" s="970">
        <f t="shared" si="21"/>
        <v>472182931.1764608</v>
      </c>
    </row>
    <row r="110" spans="1:26">
      <c r="C110" s="351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</row>
    <row r="111" spans="1:26">
      <c r="C111" s="351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</row>
    <row r="113" spans="4:15"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</row>
    <row r="114" spans="4:15"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</row>
    <row r="115" spans="4:15"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</row>
    <row r="116" spans="4:15"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</row>
    <row r="117" spans="4:15"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L88"/>
  <sheetViews>
    <sheetView view="pageBreakPreview" topLeftCell="A8" zoomScale="80" zoomScaleNormal="90" zoomScaleSheetLayoutView="80" workbookViewId="0">
      <pane xSplit="5" ySplit="5" topLeftCell="U46" activePane="bottomRight" state="frozen"/>
      <selection activeCell="O24" sqref="O24"/>
      <selection pane="topRight" activeCell="O24" sqref="O24"/>
      <selection pane="bottomLeft" activeCell="O24" sqref="O24"/>
      <selection pane="bottomRight" activeCell="AG73" sqref="AG73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76" bestFit="1" customWidth="1"/>
    <col min="10" max="10" width="1.625" style="76" customWidth="1"/>
    <col min="11" max="11" width="10.75" style="76" customWidth="1"/>
    <col min="12" max="12" width="1.625" style="76" customWidth="1"/>
    <col min="13" max="13" width="12.125" style="76" customWidth="1"/>
    <col min="14" max="14" width="1.625" style="76" customWidth="1"/>
    <col min="15" max="15" width="12.75" style="76" bestFit="1" customWidth="1"/>
    <col min="16" max="16" width="1.625" style="76" customWidth="1"/>
    <col min="17" max="17" width="8.125" style="76" bestFit="1" customWidth="1"/>
    <col min="18" max="18" width="1.625" style="76" customWidth="1"/>
    <col min="19" max="19" width="8.125" style="76" bestFit="1" customWidth="1"/>
    <col min="20" max="20" width="1.625" style="90" customWidth="1"/>
    <col min="21" max="21" width="12.625" style="76" bestFit="1" customWidth="1"/>
    <col min="22" max="23" width="15.75" style="76" bestFit="1" customWidth="1"/>
    <col min="24" max="24" width="15.25" style="76" bestFit="1" customWidth="1"/>
    <col min="25" max="27" width="8.125" style="76" bestFit="1" customWidth="1"/>
    <col min="28" max="28" width="4.625" style="76" customWidth="1"/>
    <col min="29" max="35" width="9" style="76"/>
    <col min="36" max="37" width="9.5" style="76" bestFit="1" customWidth="1"/>
    <col min="38" max="16384" width="9" style="76"/>
  </cols>
  <sheetData>
    <row r="1" spans="1:38">
      <c r="A1" s="75" t="s">
        <v>427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1491"/>
      <c r="U1" s="75"/>
      <c r="V1" s="75"/>
      <c r="W1" s="75"/>
      <c r="X1" s="75"/>
      <c r="Y1" s="75"/>
      <c r="Z1" s="75"/>
      <c r="AA1" s="75"/>
    </row>
    <row r="2" spans="1:38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1492"/>
      <c r="U2" s="62"/>
      <c r="V2" s="62"/>
      <c r="W2" s="62"/>
      <c r="X2" s="62"/>
      <c r="Y2" s="62"/>
      <c r="Z2" s="62"/>
      <c r="AA2" s="62"/>
    </row>
    <row r="3" spans="1:38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1492"/>
      <c r="U3" s="62"/>
      <c r="V3" s="62"/>
      <c r="W3" s="62"/>
      <c r="X3" s="62"/>
      <c r="Y3" s="62"/>
      <c r="Z3" s="62"/>
      <c r="AA3" s="62"/>
    </row>
    <row r="4" spans="1:38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1492"/>
      <c r="U4" s="62"/>
      <c r="V4" s="62"/>
      <c r="W4" s="62"/>
      <c r="X4" s="62"/>
      <c r="Y4" s="62"/>
      <c r="Z4" s="62"/>
      <c r="AA4" s="62"/>
    </row>
    <row r="5" spans="1:38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1492"/>
      <c r="U5" s="62"/>
      <c r="V5" s="62"/>
      <c r="W5" s="62"/>
      <c r="X5" s="62"/>
      <c r="Y5" s="62"/>
      <c r="Z5" s="62"/>
      <c r="AA5" s="62"/>
    </row>
    <row r="6" spans="1:38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1492"/>
      <c r="U6" s="62"/>
      <c r="V6" s="62"/>
      <c r="W6" s="62"/>
      <c r="X6" s="62"/>
      <c r="Y6" s="62"/>
      <c r="Z6" s="62"/>
      <c r="AA6" s="62"/>
    </row>
    <row r="7" spans="1:38">
      <c r="D7" s="85"/>
      <c r="F7" s="85"/>
      <c r="G7" s="2022"/>
      <c r="H7" s="85"/>
      <c r="J7" s="85"/>
      <c r="K7" s="84"/>
      <c r="L7" s="85"/>
      <c r="M7" s="84"/>
      <c r="N7" s="85"/>
      <c r="O7" s="84"/>
      <c r="P7" s="85"/>
      <c r="Q7" s="84"/>
      <c r="R7" s="85"/>
      <c r="S7" s="84"/>
      <c r="T7" s="85"/>
      <c r="U7" s="84"/>
      <c r="V7" s="84"/>
      <c r="W7" s="84"/>
      <c r="X7" s="84"/>
      <c r="Y7" s="84"/>
      <c r="Z7" s="84"/>
      <c r="AA7" s="84"/>
    </row>
    <row r="8" spans="1:38">
      <c r="D8" s="2022"/>
      <c r="E8" s="2022"/>
      <c r="F8" s="2022"/>
      <c r="G8" s="2022" t="s">
        <v>1368</v>
      </c>
      <c r="H8" s="2022"/>
      <c r="I8" s="2022"/>
      <c r="J8" s="2022"/>
      <c r="K8" s="83" t="s">
        <v>200</v>
      </c>
      <c r="L8" s="2022"/>
      <c r="M8" s="1035" t="s">
        <v>2333</v>
      </c>
      <c r="N8" s="1035"/>
      <c r="O8" s="1035"/>
      <c r="P8" s="1035"/>
      <c r="Q8" s="1039"/>
      <c r="R8" s="1035"/>
      <c r="S8" s="1040"/>
      <c r="T8" s="1493"/>
      <c r="U8" s="1035" t="s">
        <v>1937</v>
      </c>
      <c r="V8" s="1035"/>
      <c r="W8" s="1035"/>
      <c r="X8" s="1035"/>
      <c r="Y8" s="1039"/>
      <c r="Z8" s="1039"/>
      <c r="AA8" s="1039"/>
    </row>
    <row r="9" spans="1:38" s="80" customFormat="1">
      <c r="A9" s="80" t="s">
        <v>217</v>
      </c>
      <c r="D9" s="2022"/>
      <c r="E9" s="2022" t="s">
        <v>156</v>
      </c>
      <c r="F9" s="2022"/>
      <c r="G9" s="83" t="s">
        <v>778</v>
      </c>
      <c r="H9" s="2022"/>
      <c r="I9" s="2022" t="s">
        <v>109</v>
      </c>
      <c r="J9" s="83"/>
      <c r="K9" s="2022" t="s">
        <v>82</v>
      </c>
      <c r="L9" s="83"/>
      <c r="M9" s="1049" t="s">
        <v>1933</v>
      </c>
      <c r="N9" s="1049"/>
      <c r="O9" s="1049"/>
      <c r="P9" s="1049"/>
      <c r="Q9" s="1477"/>
      <c r="R9" s="2022"/>
      <c r="S9" s="1041" t="s">
        <v>1369</v>
      </c>
      <c r="T9" s="83"/>
      <c r="U9" s="1035" t="s">
        <v>1935</v>
      </c>
      <c r="V9" s="1032" t="s">
        <v>2321</v>
      </c>
      <c r="W9" s="1032" t="s">
        <v>2320</v>
      </c>
      <c r="X9" s="1032" t="s">
        <v>2319</v>
      </c>
      <c r="Y9" s="1032" t="s">
        <v>2321</v>
      </c>
      <c r="Z9" s="1032" t="s">
        <v>2320</v>
      </c>
      <c r="AA9" s="1032" t="s">
        <v>2319</v>
      </c>
    </row>
    <row r="10" spans="1:38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031" t="s">
        <v>445</v>
      </c>
      <c r="K10" s="1032" t="s">
        <v>1397</v>
      </c>
      <c r="M10" s="1032" t="s">
        <v>1397</v>
      </c>
      <c r="O10" s="1032" t="s">
        <v>197</v>
      </c>
      <c r="Q10" s="1042" t="s">
        <v>1370</v>
      </c>
      <c r="S10" s="1034" t="s">
        <v>1371</v>
      </c>
      <c r="T10" s="1291"/>
      <c r="U10" s="1032" t="s">
        <v>1934</v>
      </c>
      <c r="V10" s="1032" t="s">
        <v>1397</v>
      </c>
      <c r="W10" s="1032" t="s">
        <v>1397</v>
      </c>
      <c r="X10" s="1032" t="s">
        <v>1397</v>
      </c>
      <c r="Y10" s="1042" t="s">
        <v>465</v>
      </c>
      <c r="Z10" s="1042" t="s">
        <v>465</v>
      </c>
      <c r="AA10" s="1042" t="s">
        <v>465</v>
      </c>
    </row>
    <row r="11" spans="1:38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81">
        <f>MIN($A11:J11)-1</f>
        <v>-5</v>
      </c>
      <c r="L11" s="81"/>
      <c r="M11" s="81">
        <f>MIN($A11:L11)-1</f>
        <v>-6</v>
      </c>
      <c r="N11" s="81"/>
      <c r="O11" s="81">
        <f>MIN($A11:N11)-1</f>
        <v>-7</v>
      </c>
      <c r="P11" s="81"/>
      <c r="Q11" s="81">
        <f>MIN($A11:P11)-1</f>
        <v>-8</v>
      </c>
      <c r="R11" s="81"/>
      <c r="S11" s="81">
        <f>MIN($A11:R11)-1</f>
        <v>-9</v>
      </c>
      <c r="T11" s="1494"/>
      <c r="U11" s="81">
        <f>MIN($A11:T11)-1</f>
        <v>-10</v>
      </c>
      <c r="V11" s="81">
        <f>MIN($A11:T11)-1</f>
        <v>-10</v>
      </c>
      <c r="W11" s="81">
        <f>MIN($A11:U11)-1</f>
        <v>-11</v>
      </c>
      <c r="X11" s="81">
        <f>MIN($A11:W11)-1</f>
        <v>-12</v>
      </c>
      <c r="Y11" s="81">
        <f>MIN($A11:W11)-1</f>
        <v>-12</v>
      </c>
      <c r="Z11" s="81">
        <f>MIN($A11:X11)-1</f>
        <v>-13</v>
      </c>
      <c r="AA11" s="81">
        <f>MIN($A11:Z11)-1</f>
        <v>-14</v>
      </c>
      <c r="AJ11" s="2049" t="s">
        <v>2338</v>
      </c>
      <c r="AK11" s="2049"/>
      <c r="AL11" s="2049"/>
    </row>
    <row r="12" spans="1:38" s="80" customFormat="1">
      <c r="O12" s="2022" t="str">
        <f>"(" &amp; -M11 &amp; ")-(" &amp; -K11 &amp; ")"</f>
        <v>(6)-(5)</v>
      </c>
      <c r="Q12" s="1043" t="str">
        <f>"(" &amp; -O11 &amp; ")/(" &amp; -K11 &amp; ")"</f>
        <v>(7)/(5)</v>
      </c>
      <c r="S12" s="2022" t="str">
        <f>"(" &amp; -M11 &amp; ")/(" &amp; -I11 &amp; ")"</f>
        <v>(6)/(4)</v>
      </c>
      <c r="T12" s="1291"/>
      <c r="U12" s="2022"/>
      <c r="V12" s="2024"/>
      <c r="W12" s="2022"/>
      <c r="X12" s="2022"/>
      <c r="Y12" s="1043" t="str">
        <f>"(" &amp; -V11 &amp; ")/(" &amp; -L11 &amp; ")"</f>
        <v>(10)/(0)</v>
      </c>
      <c r="Z12" s="1043" t="str">
        <f>"(" &amp; -W11 &amp; ")/(" &amp; -M11 &amp; ")"</f>
        <v>(11)/(6)</v>
      </c>
      <c r="AA12" s="1043" t="str">
        <f>"(" &amp; -X11 &amp; ")/(" &amp; -M11 &amp; ")"</f>
        <v>(12)/(6)</v>
      </c>
      <c r="AJ12" s="80" t="s">
        <v>2339</v>
      </c>
      <c r="AK12" s="80" t="s">
        <v>2341</v>
      </c>
      <c r="AL12" s="80" t="s">
        <v>2342</v>
      </c>
    </row>
    <row r="13" spans="1:38">
      <c r="C13" s="1292" t="s">
        <v>103</v>
      </c>
      <c r="AC13" s="1295" t="s">
        <v>2214</v>
      </c>
      <c r="AF13" s="1295" t="s">
        <v>2209</v>
      </c>
      <c r="AJ13" s="2050" t="s">
        <v>2340</v>
      </c>
      <c r="AK13" s="2050" t="s">
        <v>2343</v>
      </c>
      <c r="AL13" s="2050" t="s">
        <v>2344</v>
      </c>
    </row>
    <row r="14" spans="1:38">
      <c r="A14" s="76">
        <v>1</v>
      </c>
      <c r="C14" s="76" t="s">
        <v>103</v>
      </c>
      <c r="E14" s="1293">
        <v>1</v>
      </c>
      <c r="G14" s="68">
        <f>ROUND(('Blocking-Step2'!D11)/12,0)</f>
        <v>778737</v>
      </c>
      <c r="I14" s="68">
        <f>('Blocking-Step2'!D45)/1000</f>
        <v>6307369.9065283779</v>
      </c>
      <c r="K14" s="144">
        <f>('Blocking-Step2'!I45)/1000</f>
        <v>678380.16617610003</v>
      </c>
      <c r="L14" s="1657"/>
      <c r="M14" s="144">
        <f>K14+O14</f>
        <v>723931.17817610002</v>
      </c>
      <c r="N14" s="1657"/>
      <c r="O14" s="144">
        <f>ROUND(K14*Q14,3)</f>
        <v>45551.012000000002</v>
      </c>
      <c r="Q14" s="1294">
        <f>$O$71</f>
        <v>6.7146733796073471E-2</v>
      </c>
      <c r="S14" s="76">
        <f>ROUND(M14/I14*100,2)</f>
        <v>11.48</v>
      </c>
      <c r="U14" s="144"/>
      <c r="V14" s="2019">
        <f>V$21*$M14/($M$21-$M$20)</f>
        <v>-10691.1636813857</v>
      </c>
      <c r="W14" s="2019">
        <f>W$21*$M14/($M$21-$M$20)</f>
        <v>-19646.591255395884</v>
      </c>
      <c r="X14" s="144">
        <f>X$21*$M14/($M$21-$M$20)</f>
        <v>-10664.623358355355</v>
      </c>
      <c r="Y14" s="1294">
        <f t="shared" ref="Y14:AA19" si="0">V14/$M14</f>
        <v>-1.4768204497451578E-2</v>
      </c>
      <c r="Z14" s="1294">
        <f t="shared" si="0"/>
        <v>-2.713875551664215E-2</v>
      </c>
      <c r="AA14" s="1294">
        <f t="shared" si="0"/>
        <v>-1.4731543107763664E-2</v>
      </c>
      <c r="AC14" s="144">
        <f>M14-'Table B-Step2'!Q14</f>
        <v>423.03217610006686</v>
      </c>
      <c r="AD14" s="1294">
        <f>O14/K14</f>
        <v>6.7146733161086353E-2</v>
      </c>
      <c r="AE14" s="1294">
        <f>AC14/M14</f>
        <v>5.843541331730875E-4</v>
      </c>
      <c r="AF14" s="144">
        <f>W14-'Table B-Step2'!S14</f>
        <v>26.916691004116728</v>
      </c>
      <c r="AG14" s="1294">
        <f>AF14/W14</f>
        <v>-1.3700438235932724E-3</v>
      </c>
      <c r="AH14" s="144">
        <f>V14-'Table B-Step1'!O14</f>
        <v>16.726329614299175</v>
      </c>
      <c r="AI14" s="1294">
        <f t="shared" ref="AI14:AI19" si="1">AH14/V14</f>
        <v>-1.5645003773930852E-3</v>
      </c>
    </row>
    <row r="15" spans="1:38">
      <c r="A15" s="76">
        <f>MAX(A$13:A14)+1</f>
        <v>2</v>
      </c>
      <c r="C15" s="1295" t="s">
        <v>1377</v>
      </c>
      <c r="E15" s="1296">
        <v>2</v>
      </c>
      <c r="G15" s="68">
        <f>ROUND('Blocking-Step2'!D48/12,0)</f>
        <v>363</v>
      </c>
      <c r="I15" s="68">
        <f>'Blocking-Step2'!D82/1000</f>
        <v>2744.0360000000001</v>
      </c>
      <c r="K15" s="144">
        <f>('Blocking-Step2'!I82)/1000</f>
        <v>291.05517270000001</v>
      </c>
      <c r="L15" s="1657"/>
      <c r="M15" s="144">
        <f t="shared" ref="M15:M20" si="2">K15+O15</f>
        <v>310.59817270000002</v>
      </c>
      <c r="N15" s="1657"/>
      <c r="O15" s="144">
        <f t="shared" ref="O15:O19" si="3">ROUND(K15*Q15,3)</f>
        <v>19.542999999999999</v>
      </c>
      <c r="Q15" s="1294">
        <f t="shared" ref="Q15:Q19" si="4">$O$71</f>
        <v>6.7146733796073471E-2</v>
      </c>
      <c r="S15" s="76">
        <f t="shared" ref="S15:S64" si="5">ROUND(M15/I15*100,2)</f>
        <v>11.32</v>
      </c>
      <c r="U15" s="144"/>
      <c r="V15" s="144">
        <f t="shared" ref="V15:X19" si="6">V$21*$M15/($M$21-$M$20)</f>
        <v>-4.5869773309683826</v>
      </c>
      <c r="W15" s="144">
        <f t="shared" si="6"/>
        <v>-8.4292478728210956</v>
      </c>
      <c r="X15" s="144">
        <f t="shared" si="6"/>
        <v>-4.575590370322673</v>
      </c>
      <c r="Y15" s="1294">
        <f t="shared" si="0"/>
        <v>-1.4768204497451578E-2</v>
      </c>
      <c r="Z15" s="1294">
        <f t="shared" si="0"/>
        <v>-2.7138755516642146E-2</v>
      </c>
      <c r="AA15" s="1294">
        <f t="shared" si="0"/>
        <v>-1.4731543107763662E-2</v>
      </c>
      <c r="AC15" s="144">
        <f>M15-'Table B-Step2'!Q15</f>
        <v>-2.9638272999999913</v>
      </c>
      <c r="AD15" s="1294">
        <f t="shared" ref="AD15:AD65" si="7">O15/K15</f>
        <v>6.7145345051618788E-2</v>
      </c>
      <c r="AE15" s="1294">
        <f t="shared" ref="AE15:AE65" si="8">AC15/M15</f>
        <v>-9.542320465815126E-3</v>
      </c>
      <c r="AF15" s="144">
        <f>W15-'Table B-Step2'!S15</f>
        <v>7.3276927178905993E-2</v>
      </c>
      <c r="AG15" s="1294">
        <f t="shared" ref="AG15:AG65" si="9">AF15/W15</f>
        <v>-8.6931750358388397E-3</v>
      </c>
      <c r="AH15" s="144">
        <f>V15-'Table B-Step1'!O15</f>
        <v>4.0354669031617441E-2</v>
      </c>
      <c r="AI15" s="1294">
        <f t="shared" si="1"/>
        <v>-8.7976604460563001E-3</v>
      </c>
    </row>
    <row r="16" spans="1:38">
      <c r="A16" s="76">
        <f>MAX(A$13:A15)+1</f>
        <v>3</v>
      </c>
      <c r="C16" s="1295" t="s">
        <v>1375</v>
      </c>
      <c r="E16" s="1297" t="s">
        <v>1118</v>
      </c>
      <c r="G16" s="68">
        <f>ROUND('Blocking-Step2'!D85/12,0)</f>
        <v>260</v>
      </c>
      <c r="I16" s="68">
        <f>'Blocking-Step2'!D111/1000</f>
        <v>3648.1480452160827</v>
      </c>
      <c r="K16" s="144">
        <f>('Blocking-Step2'!I111)/1000</f>
        <v>310.07596409999996</v>
      </c>
      <c r="L16" s="1657"/>
      <c r="M16" s="144">
        <f t="shared" si="2"/>
        <v>330.89696409999999</v>
      </c>
      <c r="N16" s="1657"/>
      <c r="O16" s="144">
        <f t="shared" si="3"/>
        <v>20.821000000000002</v>
      </c>
      <c r="Q16" s="1294">
        <f t="shared" si="4"/>
        <v>6.7146733796073471E-2</v>
      </c>
      <c r="S16" s="76">
        <f t="shared" si="5"/>
        <v>9.07</v>
      </c>
      <c r="U16" s="144"/>
      <c r="V16" s="144">
        <f t="shared" si="6"/>
        <v>-4.8867540334146939</v>
      </c>
      <c r="W16" s="144">
        <f t="shared" si="6"/>
        <v>-8.9801318099090128</v>
      </c>
      <c r="X16" s="144">
        <f t="shared" si="6"/>
        <v>-4.8746228908672755</v>
      </c>
      <c r="Y16" s="1294">
        <f t="shared" si="0"/>
        <v>-1.476820449745158E-2</v>
      </c>
      <c r="Z16" s="1294">
        <f t="shared" si="0"/>
        <v>-2.7138755516642146E-2</v>
      </c>
      <c r="AA16" s="1294">
        <f t="shared" si="0"/>
        <v>-1.4731543107763664E-2</v>
      </c>
      <c r="AC16" s="144">
        <f>M16-'Table B-Step2'!Q16</f>
        <v>1.2039641000000074</v>
      </c>
      <c r="AD16" s="1294">
        <f t="shared" si="7"/>
        <v>6.7148061799737563E-2</v>
      </c>
      <c r="AE16" s="1294">
        <f t="shared" si="8"/>
        <v>3.6384863888813401E-3</v>
      </c>
      <c r="AF16" s="144">
        <f>W16-'Table B-Step2'!S16</f>
        <v>0.23883179009098754</v>
      </c>
      <c r="AG16" s="1294">
        <f t="shared" si="9"/>
        <v>-2.6595577341910686E-2</v>
      </c>
      <c r="AH16" s="144">
        <f>V16-'Table B-Step1'!O16</f>
        <v>0.13076196658530659</v>
      </c>
      <c r="AI16" s="1294">
        <f t="shared" si="1"/>
        <v>-2.67584506384363E-2</v>
      </c>
    </row>
    <row r="17" spans="1:38">
      <c r="A17" s="76">
        <f>MAX(A$13:A16)+1</f>
        <v>4</v>
      </c>
      <c r="C17" s="1295" t="s">
        <v>1394</v>
      </c>
      <c r="E17" s="1293">
        <v>3</v>
      </c>
      <c r="G17" s="68">
        <f>ROUND(('Blocking-Step2'!D114)/12,0)</f>
        <v>18027</v>
      </c>
      <c r="I17" s="68">
        <f>('Blocking-Step2'!D148)/1000</f>
        <v>134093.07170705788</v>
      </c>
      <c r="K17" s="144">
        <f>('Blocking-Step2'!I148)/1000</f>
        <v>14086.2380001</v>
      </c>
      <c r="L17" s="1657"/>
      <c r="M17" s="144">
        <f t="shared" si="2"/>
        <v>15032.083000099999</v>
      </c>
      <c r="N17" s="1657"/>
      <c r="O17" s="144">
        <f t="shared" si="3"/>
        <v>945.84500000000003</v>
      </c>
      <c r="Q17" s="1294">
        <f t="shared" si="4"/>
        <v>6.7146733796073471E-2</v>
      </c>
      <c r="S17" s="76">
        <f t="shared" si="5"/>
        <v>11.21</v>
      </c>
      <c r="U17" s="144"/>
      <c r="V17" s="144">
        <f t="shared" si="6"/>
        <v>-221.99687576814225</v>
      </c>
      <c r="W17" s="144">
        <f t="shared" si="6"/>
        <v>-407.95202544558651</v>
      </c>
      <c r="X17" s="144">
        <f t="shared" si="6"/>
        <v>-221.44577871545448</v>
      </c>
      <c r="Y17" s="1294">
        <f t="shared" si="0"/>
        <v>-1.476820449745158E-2</v>
      </c>
      <c r="Z17" s="1294">
        <f t="shared" si="0"/>
        <v>-2.713875551664215E-2</v>
      </c>
      <c r="AA17" s="1294">
        <f t="shared" si="0"/>
        <v>-1.4731543107763664E-2</v>
      </c>
      <c r="AC17" s="144">
        <f>M17-'Table B-Step2'!Q17</f>
        <v>42.677000099998622</v>
      </c>
      <c r="AD17" s="1294">
        <f t="shared" si="7"/>
        <v>6.7146742799126732E-2</v>
      </c>
      <c r="AE17" s="1294">
        <f t="shared" si="8"/>
        <v>2.8390609671137871E-3</v>
      </c>
      <c r="AF17" s="144">
        <f>W17-'Table B-Step2'!S17</f>
        <v>-0.25205584558648297</v>
      </c>
      <c r="AG17" s="1294">
        <f t="shared" si="9"/>
        <v>6.1785658573743909E-4</v>
      </c>
      <c r="AH17" s="144">
        <f>V17-'Table B-Step1'!O17</f>
        <v>-0.16268576814223934</v>
      </c>
      <c r="AI17" s="1294">
        <f t="shared" si="1"/>
        <v>7.3282908860461372E-4</v>
      </c>
    </row>
    <row r="18" spans="1:38">
      <c r="A18" s="76">
        <f>MAX(A$13:A17)+1</f>
        <v>5</v>
      </c>
      <c r="C18" s="1295" t="s">
        <v>1376</v>
      </c>
      <c r="E18" s="1293">
        <v>135</v>
      </c>
      <c r="G18" s="68">
        <f>ROUND(('Blocking-Step2'!D151)/12,0)</f>
        <v>34868</v>
      </c>
      <c r="I18" s="68">
        <f>('Blocking-Step2'!D185)/1000</f>
        <v>142334.24589459866</v>
      </c>
      <c r="K18" s="144">
        <f>('Blocking-Step2'!I185)/1000</f>
        <v>16685.304076600001</v>
      </c>
      <c r="L18" s="1657"/>
      <c r="M18" s="144">
        <f t="shared" si="2"/>
        <v>17805.668076600003</v>
      </c>
      <c r="N18" s="1657"/>
      <c r="O18" s="144">
        <f t="shared" si="3"/>
        <v>1120.364</v>
      </c>
      <c r="Q18" s="1294">
        <f t="shared" si="4"/>
        <v>6.7146733796073471E-2</v>
      </c>
      <c r="S18" s="76">
        <f t="shared" si="5"/>
        <v>12.51</v>
      </c>
      <c r="U18" s="144"/>
      <c r="V18" s="144">
        <f t="shared" si="6"/>
        <v>-262.9577473689742</v>
      </c>
      <c r="W18" s="144">
        <f t="shared" si="6"/>
        <v>-483.22367274132728</v>
      </c>
      <c r="X18" s="144">
        <f t="shared" si="6"/>
        <v>-262.30496683296428</v>
      </c>
      <c r="Y18" s="1294">
        <f t="shared" si="0"/>
        <v>-1.476820449745158E-2</v>
      </c>
      <c r="Z18" s="1294">
        <f t="shared" si="0"/>
        <v>-2.7138755516642146E-2</v>
      </c>
      <c r="AA18" s="1294">
        <f t="shared" si="0"/>
        <v>-1.4731543107763666E-2</v>
      </c>
      <c r="AC18" s="144">
        <f>M18-'Table B-Step2'!Q18</f>
        <v>-523.81792339999811</v>
      </c>
      <c r="AD18" s="1294">
        <f t="shared" si="7"/>
        <v>6.7146753505753248E-2</v>
      </c>
      <c r="AE18" s="1294">
        <f t="shared" si="8"/>
        <v>-2.9418605420843118E-2</v>
      </c>
      <c r="AF18" s="144">
        <f>W18-'Table B-Step2'!S18</f>
        <v>-46.067845941327221</v>
      </c>
      <c r="AG18" s="1294">
        <f t="shared" si="9"/>
        <v>9.5334414557930056E-2</v>
      </c>
      <c r="AH18" s="144">
        <f>V18-'Table B-Step1'!O18</f>
        <v>-25.037392368974196</v>
      </c>
      <c r="AI18" s="1294">
        <f t="shared" si="1"/>
        <v>9.5214507347610111E-2</v>
      </c>
    </row>
    <row r="19" spans="1:38">
      <c r="A19" s="76">
        <f>MAX(A$13:A18)+1</f>
        <v>6</v>
      </c>
      <c r="C19" s="1295" t="s">
        <v>1374</v>
      </c>
      <c r="E19" s="1293">
        <v>136</v>
      </c>
      <c r="G19" s="68">
        <f>ROUND(('Blocking-Step2'!D188)/12,0)</f>
        <v>25613</v>
      </c>
      <c r="I19" s="68">
        <f>('Blocking-Step2'!D222)/1000</f>
        <v>192809.96918991042</v>
      </c>
      <c r="K19" s="144">
        <f>('Blocking-Step2'!I222)/1000</f>
        <v>20871.277468</v>
      </c>
      <c r="L19" s="1657"/>
      <c r="M19" s="144">
        <f t="shared" si="2"/>
        <v>22272.715468000002</v>
      </c>
      <c r="N19" s="1657"/>
      <c r="O19" s="144">
        <f t="shared" si="3"/>
        <v>1401.4380000000001</v>
      </c>
      <c r="Q19" s="1294">
        <f t="shared" si="4"/>
        <v>6.7146733796073471E-2</v>
      </c>
      <c r="S19" s="76">
        <f t="shared" si="5"/>
        <v>11.55</v>
      </c>
      <c r="U19" s="144"/>
      <c r="V19" s="144">
        <f t="shared" si="6"/>
        <v>-328.92801674497696</v>
      </c>
      <c r="W19" s="144">
        <f t="shared" si="6"/>
        <v>-604.45377977778594</v>
      </c>
      <c r="X19" s="144">
        <f t="shared" si="6"/>
        <v>-328.11146804379661</v>
      </c>
      <c r="Y19" s="1294">
        <f t="shared" si="0"/>
        <v>-1.4768204497451578E-2</v>
      </c>
      <c r="Z19" s="1294">
        <f t="shared" si="0"/>
        <v>-2.7138755516642146E-2</v>
      </c>
      <c r="AA19" s="1294">
        <f t="shared" si="0"/>
        <v>-1.4731543107763666E-2</v>
      </c>
      <c r="AC19" s="144">
        <f>M19-'Table B-Step2'!Q19</f>
        <v>59.866468000003806</v>
      </c>
      <c r="AD19" s="1294">
        <f t="shared" si="7"/>
        <v>6.7146728423724683E-2</v>
      </c>
      <c r="AE19" s="1294">
        <f t="shared" si="8"/>
        <v>2.6878836613351471E-3</v>
      </c>
      <c r="AF19" s="144">
        <f>W19-'Table B-Step2'!S19</f>
        <v>-14.59290817778583</v>
      </c>
      <c r="AG19" s="1294">
        <f t="shared" si="9"/>
        <v>2.4142306105109625E-2</v>
      </c>
      <c r="AH19" s="144">
        <f>V19-'Table B-Step1'!O19</f>
        <v>-7.9551307449769411</v>
      </c>
      <c r="AI19" s="1294">
        <f t="shared" si="1"/>
        <v>2.4185020247590155E-2</v>
      </c>
    </row>
    <row r="20" spans="1:38">
      <c r="A20" s="76">
        <f>MAX(A$13:A19)+1</f>
        <v>7</v>
      </c>
      <c r="C20" s="1298" t="s">
        <v>471</v>
      </c>
      <c r="E20" s="1299"/>
      <c r="G20" s="72"/>
      <c r="I20" s="72"/>
      <c r="K20" s="145">
        <f>'Blocking-Step2'!I2670/1000</f>
        <v>6.7950900000000622</v>
      </c>
      <c r="L20" s="1657"/>
      <c r="M20" s="145">
        <f t="shared" si="2"/>
        <v>6.7950900000000622</v>
      </c>
      <c r="N20" s="1657"/>
      <c r="O20" s="145">
        <v>0</v>
      </c>
      <c r="Q20" s="1300">
        <v>0</v>
      </c>
      <c r="S20" s="1301"/>
      <c r="U20" s="145"/>
      <c r="V20" s="145"/>
      <c r="W20" s="145"/>
      <c r="X20" s="145"/>
      <c r="Y20" s="1300"/>
      <c r="Z20" s="1300"/>
      <c r="AA20" s="1300"/>
      <c r="AC20" s="144"/>
      <c r="AD20" s="1294"/>
      <c r="AE20" s="1294"/>
      <c r="AF20" s="144"/>
      <c r="AG20" s="1294"/>
      <c r="AH20" s="144"/>
      <c r="AI20" s="1294"/>
    </row>
    <row r="21" spans="1:38">
      <c r="A21" s="76">
        <f>MAX(A$13:A20)+1</f>
        <v>8</v>
      </c>
      <c r="C21" s="80" t="s">
        <v>114</v>
      </c>
      <c r="G21" s="68">
        <f>SUM(G14:G20)</f>
        <v>857868</v>
      </c>
      <c r="I21" s="68">
        <f>SUM(I14:I20)</f>
        <v>6782999.3773651607</v>
      </c>
      <c r="K21" s="144">
        <f>SUM(K14:K20)</f>
        <v>730630.91194759996</v>
      </c>
      <c r="L21" s="1657"/>
      <c r="M21" s="144">
        <f>SUM(M14:M20)</f>
        <v>779689.93494760001</v>
      </c>
      <c r="N21" s="1657"/>
      <c r="O21" s="144">
        <f>SUM(O14:O20)</f>
        <v>49059.023000000008</v>
      </c>
      <c r="Q21" s="1294">
        <f t="shared" ref="Q21" si="10">O21/K21</f>
        <v>6.7146109202013166E-2</v>
      </c>
      <c r="S21" s="76">
        <f t="shared" si="5"/>
        <v>11.49</v>
      </c>
      <c r="U21" s="1478">
        <f>'COS F101'!F48</f>
        <v>0.43458606161011543</v>
      </c>
      <c r="V21" s="144">
        <f>(V$67-V$50-V$51-V$52-V$49)*$U21*V$69</f>
        <v>-11514.520052632177</v>
      </c>
      <c r="W21" s="144">
        <f>(W$67-W$50-W$51-W$52-W$49)*$U21*W$69</f>
        <v>-21159.630113043313</v>
      </c>
      <c r="X21" s="144">
        <f>(X$67-X$50-X$51-X$52-X$49)*$U21*X$69</f>
        <v>-11485.93578520876</v>
      </c>
      <c r="Y21" s="1294">
        <f>V21/$M21</f>
        <v>-1.4768075790802691E-2</v>
      </c>
      <c r="Z21" s="1294">
        <f>W21/$M21</f>
        <v>-2.7138518999178015E-2</v>
      </c>
      <c r="AA21" s="1294">
        <f>X21/$M21</f>
        <v>-1.4731414720623122E-2</v>
      </c>
      <c r="AC21" s="144">
        <f>M21-'Table B-Step2'!Q21</f>
        <v>-2.1424000151455402E-3</v>
      </c>
      <c r="AD21" s="1294">
        <f t="shared" si="7"/>
        <v>6.7146109202013166E-2</v>
      </c>
      <c r="AE21" s="1294">
        <f t="shared" si="8"/>
        <v>-2.7477589733020254E-9</v>
      </c>
      <c r="AF21" s="144">
        <f>W21-'Table B-Step2'!S21</f>
        <v>-33.684010243312514</v>
      </c>
      <c r="AG21" s="1294">
        <f t="shared" si="9"/>
        <v>1.5918997668370803E-3</v>
      </c>
      <c r="AH21" s="144">
        <f>V21-'Table B-Step1'!O21</f>
        <v>-16.257762632178128</v>
      </c>
      <c r="AI21" s="1294">
        <f>AH21/V21</f>
        <v>1.4119357609231539E-3</v>
      </c>
      <c r="AJ21" s="1294">
        <f>'Table A-Step1'!Y17</f>
        <v>3.8352869272536047E-2</v>
      </c>
      <c r="AK21" s="1294">
        <f>(M21+X21)/'Table A-Step1'!Q17-1</f>
        <v>1.2589812590859895E-2</v>
      </c>
      <c r="AL21" s="1294">
        <f>M21/(M21+X21)-1</f>
        <v>1.49516740315494E-2</v>
      </c>
    </row>
    <row r="22" spans="1:38" ht="25.15" customHeight="1">
      <c r="C22" s="80" t="s">
        <v>1316</v>
      </c>
      <c r="G22" s="68"/>
      <c r="I22" s="68"/>
      <c r="K22" s="144"/>
      <c r="L22" s="1657"/>
      <c r="M22" s="144"/>
      <c r="N22" s="1657"/>
      <c r="O22" s="144"/>
      <c r="U22" s="1479"/>
      <c r="V22" s="144"/>
      <c r="W22" s="144"/>
      <c r="X22" s="144"/>
      <c r="AC22" s="144"/>
      <c r="AD22" s="1294"/>
      <c r="AE22" s="1294"/>
      <c r="AF22" s="144"/>
      <c r="AG22" s="1294"/>
      <c r="AH22" s="144"/>
      <c r="AI22" s="1294"/>
      <c r="AJ22" s="1294"/>
      <c r="AK22" s="1294"/>
    </row>
    <row r="23" spans="1:38">
      <c r="A23" s="76">
        <f>MAX(A$13:A22)+1</f>
        <v>9</v>
      </c>
      <c r="C23" s="1295" t="s">
        <v>1378</v>
      </c>
      <c r="E23" s="1302">
        <v>6</v>
      </c>
      <c r="G23" s="68">
        <f>ROUND(('Blocking-Step2'!D672)/12,0)</f>
        <v>13093</v>
      </c>
      <c r="I23" s="68">
        <f>SUM(('Blocking-Step2'!D690))/1000</f>
        <v>5591913.9781889282</v>
      </c>
      <c r="K23" s="144">
        <f>('Blocking-Step2'!I690)/1000</f>
        <v>456853.26424620004</v>
      </c>
      <c r="L23" s="1657"/>
      <c r="M23" s="144">
        <f>K23+O23</f>
        <v>464686.80524620006</v>
      </c>
      <c r="N23" s="1657"/>
      <c r="O23" s="144">
        <f>ROUND(K23*Q23,3)</f>
        <v>7833.5410000000002</v>
      </c>
      <c r="Q23" s="1294">
        <f>$O$72</f>
        <v>1.7146733796073465E-2</v>
      </c>
      <c r="S23" s="76">
        <f t="shared" si="5"/>
        <v>8.31</v>
      </c>
      <c r="U23" s="1479"/>
      <c r="V23" s="144">
        <f>V$30*$M23/$M$30</f>
        <v>-5983.297762167781</v>
      </c>
      <c r="W23" s="144">
        <f>W$30*$M23/$M$30</f>
        <v>-10995.1927587923</v>
      </c>
      <c r="X23" s="144">
        <f>X$30*$M23/$M$30</f>
        <v>-5968.4445001537351</v>
      </c>
      <c r="Y23" s="1294">
        <f t="shared" ref="Y23:AA32" si="11">V23/$M23</f>
        <v>-1.2875979465347019E-2</v>
      </c>
      <c r="Z23" s="1294">
        <f t="shared" si="11"/>
        <v>-2.3661512732144039E-2</v>
      </c>
      <c r="AA23" s="1294">
        <f t="shared" si="11"/>
        <v>-1.2844015437433257E-2</v>
      </c>
      <c r="AC23" s="144">
        <f>M23-'Table B-Step2'!Q23</f>
        <v>274.12124619999668</v>
      </c>
      <c r="AD23" s="1294">
        <f t="shared" si="7"/>
        <v>1.7146733126500051E-2</v>
      </c>
      <c r="AE23" s="1294">
        <f t="shared" si="8"/>
        <v>5.8990537950558315E-4</v>
      </c>
      <c r="AF23" s="144">
        <f>W23-'Table B-Step2'!S23</f>
        <v>-52.465532192300088</v>
      </c>
      <c r="AG23" s="1294">
        <f t="shared" si="9"/>
        <v>4.7716791640916032E-3</v>
      </c>
      <c r="AH23" s="144">
        <f>V23-'Table B-Step1'!O23</f>
        <v>-29.632614267780809</v>
      </c>
      <c r="AI23" s="1294">
        <f>AH23/V23</f>
        <v>4.9525555046160286E-3</v>
      </c>
      <c r="AJ23" s="1294"/>
      <c r="AK23" s="1294"/>
    </row>
    <row r="24" spans="1:38">
      <c r="A24" s="76">
        <f>MAX(A$13:A23)+1</f>
        <v>10</v>
      </c>
      <c r="C24" s="1295" t="s">
        <v>1379</v>
      </c>
      <c r="E24" s="1303" t="s">
        <v>959</v>
      </c>
      <c r="G24" s="68">
        <f>ROUND(('Blocking-Step2'!D756)/12,0)</f>
        <v>370</v>
      </c>
      <c r="I24" s="68">
        <f>SUM(('Blocking-Step2'!D772))/1000</f>
        <v>170252.22349106753</v>
      </c>
      <c r="K24" s="144">
        <f>('Blocking-Step2'!I772)/1000</f>
        <v>14362.809256999999</v>
      </c>
      <c r="L24" s="1657"/>
      <c r="M24" s="144">
        <f t="shared" ref="M24:M29" si="12">K24+O24</f>
        <v>14609.084256999999</v>
      </c>
      <c r="N24" s="1657"/>
      <c r="O24" s="144">
        <f t="shared" ref="O24:O29" si="13">ROUND(K24*Q24,3)</f>
        <v>246.27500000000001</v>
      </c>
      <c r="Q24" s="1294">
        <f t="shared" ref="Q24:Q29" si="14">$O$72</f>
        <v>1.7146733796073465E-2</v>
      </c>
      <c r="S24" s="76">
        <f t="shared" si="5"/>
        <v>8.58</v>
      </c>
      <c r="U24" s="1479"/>
      <c r="V24" s="144">
        <f t="shared" ref="V24:X29" si="15">V$30*$M24/$M$30</f>
        <v>-188.10626890065637</v>
      </c>
      <c r="W24" s="144">
        <f t="shared" si="15"/>
        <v>-345.67303315197051</v>
      </c>
      <c r="X24" s="144">
        <f t="shared" si="15"/>
        <v>-187.63930372367116</v>
      </c>
      <c r="Y24" s="1294">
        <f t="shared" si="11"/>
        <v>-1.2875979465347017E-2</v>
      </c>
      <c r="Z24" s="1294">
        <f t="shared" si="11"/>
        <v>-2.3661512732144039E-2</v>
      </c>
      <c r="AA24" s="1294">
        <f t="shared" si="11"/>
        <v>-1.2844015437433258E-2</v>
      </c>
      <c r="AC24" s="144">
        <f>M24-'Table B-Step2'!Q24</f>
        <v>146.29925699999694</v>
      </c>
      <c r="AD24" s="1294">
        <f t="shared" si="7"/>
        <v>1.7146715213806313E-2</v>
      </c>
      <c r="AE24" s="1294">
        <f t="shared" si="8"/>
        <v>1.0014266084467073E-2</v>
      </c>
      <c r="AF24" s="144">
        <f>W24-'Table B-Step2'!S24</f>
        <v>-5.7591887519705551</v>
      </c>
      <c r="AG24" s="1294">
        <f t="shared" si="9"/>
        <v>1.6660798499252921E-2</v>
      </c>
      <c r="AH24" s="144">
        <f>V24-'Table B-Step1'!O24</f>
        <v>-3.1779517006563651</v>
      </c>
      <c r="AI24" s="1294">
        <f>AH24/V24</f>
        <v>1.6894448649846544E-2</v>
      </c>
      <c r="AJ24" s="1294"/>
      <c r="AK24" s="1294"/>
    </row>
    <row r="25" spans="1:38">
      <c r="A25" s="76">
        <f>MAX(A$13:A24)+1</f>
        <v>11</v>
      </c>
      <c r="C25" s="1295" t="s">
        <v>1380</v>
      </c>
      <c r="E25" s="1303" t="s">
        <v>1215</v>
      </c>
      <c r="G25" s="68">
        <f>ROUND(('Blocking-Step2'!D832)/12,0)</f>
        <v>51</v>
      </c>
      <c r="I25" s="68">
        <f>SUM(('Blocking-Step2'!D848))/1000</f>
        <v>24159.956617690787</v>
      </c>
      <c r="K25" s="144">
        <f>'Blocking-Step2'!I867/1000</f>
        <v>2419.2654955000003</v>
      </c>
      <c r="L25" s="1657"/>
      <c r="M25" s="144">
        <f t="shared" si="12"/>
        <v>2460.7484955000004</v>
      </c>
      <c r="N25" s="1657"/>
      <c r="O25" s="144">
        <f t="shared" si="13"/>
        <v>41.482999999999997</v>
      </c>
      <c r="Q25" s="1294">
        <f t="shared" si="14"/>
        <v>1.7146733796073465E-2</v>
      </c>
      <c r="S25" s="76">
        <f t="shared" si="5"/>
        <v>10.19</v>
      </c>
      <c r="U25" s="1479"/>
      <c r="V25" s="144">
        <f t="shared" si="15"/>
        <v>-31.684547097441573</v>
      </c>
      <c r="W25" s="144">
        <f t="shared" si="15"/>
        <v>-58.22503185687755</v>
      </c>
      <c r="X25" s="144">
        <f t="shared" si="15"/>
        <v>-31.605891663842666</v>
      </c>
      <c r="Y25" s="1294">
        <f t="shared" si="11"/>
        <v>-1.2875979465347017E-2</v>
      </c>
      <c r="Z25" s="1294">
        <f t="shared" si="11"/>
        <v>-2.3661512732144039E-2</v>
      </c>
      <c r="AA25" s="1294">
        <f t="shared" si="11"/>
        <v>-1.2844015437433257E-2</v>
      </c>
      <c r="AC25" s="144">
        <f>M25-'Table B-Step2'!Q25</f>
        <v>62.241495500000383</v>
      </c>
      <c r="AD25" s="1294">
        <f t="shared" si="7"/>
        <v>1.7146939877893196E-2</v>
      </c>
      <c r="AE25" s="1294">
        <f t="shared" si="8"/>
        <v>2.5293724902736764E-2</v>
      </c>
      <c r="AF25" s="144">
        <f>W25-'Table B-Step2'!S25</f>
        <v>-2.3777314568775481</v>
      </c>
      <c r="AG25" s="1294">
        <f t="shared" si="9"/>
        <v>4.0836928397432727E-2</v>
      </c>
      <c r="AH25" s="144">
        <f>V25-'Table B-Step1'!O25</f>
        <v>-1.3214167974415751</v>
      </c>
      <c r="AI25" s="1294">
        <f>AH25/V25</f>
        <v>4.1705402743417323E-2</v>
      </c>
      <c r="AJ25" s="1294"/>
      <c r="AK25" s="1294"/>
    </row>
    <row r="26" spans="1:38">
      <c r="A26" s="76">
        <f>MAX(A$13:A25)+1</f>
        <v>12</v>
      </c>
      <c r="C26" s="1295" t="s">
        <v>1381</v>
      </c>
      <c r="E26" s="1296" t="s">
        <v>221</v>
      </c>
      <c r="G26" s="68">
        <f>ROUND(('Blocking-Step2'!D969)/12,0)</f>
        <v>2656</v>
      </c>
      <c r="I26" s="68">
        <f>SUM('Blocking-Step2'!D982)/1000</f>
        <v>380584.00412463915</v>
      </c>
      <c r="K26" s="144">
        <f>('Blocking-Step2'!I982)/1000</f>
        <v>43040.434740099998</v>
      </c>
      <c r="L26" s="1657"/>
      <c r="M26" s="144">
        <f t="shared" si="12"/>
        <v>43778.437740099995</v>
      </c>
      <c r="N26" s="1657"/>
      <c r="O26" s="144">
        <f t="shared" si="13"/>
        <v>738.00300000000004</v>
      </c>
      <c r="Q26" s="1294">
        <f t="shared" si="14"/>
        <v>1.7146733796073465E-2</v>
      </c>
      <c r="S26" s="76">
        <f t="shared" si="5"/>
        <v>11.5</v>
      </c>
      <c r="U26" s="1479"/>
      <c r="V26" s="144">
        <f t="shared" si="15"/>
        <v>-563.6902653665004</v>
      </c>
      <c r="W26" s="144">
        <f t="shared" si="15"/>
        <v>-1035.8640619807513</v>
      </c>
      <c r="X26" s="144">
        <f t="shared" si="15"/>
        <v>-562.29093016055515</v>
      </c>
      <c r="Y26" s="1294">
        <f t="shared" si="11"/>
        <v>-1.2875979465347017E-2</v>
      </c>
      <c r="Z26" s="1294">
        <f t="shared" si="11"/>
        <v>-2.3661512732144042E-2</v>
      </c>
      <c r="AA26" s="1294">
        <f t="shared" si="11"/>
        <v>-1.284401543743326E-2</v>
      </c>
      <c r="AC26" s="144">
        <f>M26-'Table B-Step2'!Q26</f>
        <v>-955.27925990000222</v>
      </c>
      <c r="AD26" s="1294">
        <f t="shared" si="7"/>
        <v>1.7146736654878997E-2</v>
      </c>
      <c r="AE26" s="1294">
        <f t="shared" si="8"/>
        <v>-2.1820770891168403E-2</v>
      </c>
      <c r="AF26" s="144">
        <f>W26-'Table B-Step2'!S26</f>
        <v>70.662476819248695</v>
      </c>
      <c r="AG26" s="1294">
        <f t="shared" si="9"/>
        <v>-6.8215974868487878E-2</v>
      </c>
      <c r="AH26" s="144">
        <f>V26-'Table B-Step1'!O26</f>
        <v>38.813679533499453</v>
      </c>
      <c r="AI26" s="1294">
        <f>AH26/V26</f>
        <v>-6.8856394935725138E-2</v>
      </c>
      <c r="AJ26" s="1294"/>
      <c r="AK26" s="1294"/>
    </row>
    <row r="27" spans="1:38">
      <c r="A27" s="76">
        <f>MAX(A$13:A26)+1</f>
        <v>13</v>
      </c>
      <c r="C27" s="1295" t="s">
        <v>1382</v>
      </c>
      <c r="E27" s="1297" t="s">
        <v>963</v>
      </c>
      <c r="G27" s="68">
        <f>ROUND(('Blocking-Step2'!D1065)/12,0)</f>
        <v>150</v>
      </c>
      <c r="I27" s="68">
        <f>SUM('Blocking-Step2'!D1076)/1000</f>
        <v>23433.646101169732</v>
      </c>
      <c r="K27" s="144">
        <f>('Blocking-Step2'!I1076)/1000</f>
        <v>3129.5990194999999</v>
      </c>
      <c r="L27" s="1657"/>
      <c r="M27" s="144">
        <f t="shared" si="12"/>
        <v>3183.2610194999997</v>
      </c>
      <c r="N27" s="1657"/>
      <c r="O27" s="144">
        <f t="shared" si="13"/>
        <v>53.661999999999999</v>
      </c>
      <c r="Q27" s="1294">
        <f t="shared" si="14"/>
        <v>1.7146733796073465E-2</v>
      </c>
      <c r="S27" s="76">
        <f t="shared" si="5"/>
        <v>13.58</v>
      </c>
      <c r="U27" s="1479"/>
      <c r="V27" s="144">
        <f t="shared" si="15"/>
        <v>-40.987603519921606</v>
      </c>
      <c r="W27" s="144">
        <f t="shared" si="15"/>
        <v>-75.320771142637071</v>
      </c>
      <c r="X27" s="144">
        <f t="shared" si="15"/>
        <v>-40.885853675837531</v>
      </c>
      <c r="Y27" s="1294">
        <f t="shared" si="11"/>
        <v>-1.2875979465347017E-2</v>
      </c>
      <c r="Z27" s="1294">
        <f t="shared" si="11"/>
        <v>-2.3661512732144042E-2</v>
      </c>
      <c r="AA27" s="1294">
        <f t="shared" si="11"/>
        <v>-1.2844015437433258E-2</v>
      </c>
      <c r="AC27" s="144">
        <f>M27-'Table B-Step2'!Q27</f>
        <v>399.06701949999979</v>
      </c>
      <c r="AD27" s="1294">
        <f t="shared" si="7"/>
        <v>1.7146605576510342E-2</v>
      </c>
      <c r="AE27" s="1294">
        <f t="shared" si="8"/>
        <v>0.1253642152042819</v>
      </c>
      <c r="AF27" s="144">
        <f>W27-'Table B-Step2'!S27</f>
        <v>-10.835126742637073</v>
      </c>
      <c r="AG27" s="1294">
        <f t="shared" si="9"/>
        <v>0.14385310424024056</v>
      </c>
      <c r="AH27" s="144">
        <f>V27-'Table B-Step1'!O27</f>
        <v>-5.9627422199216085</v>
      </c>
      <c r="AI27" s="1294">
        <f>AH27/V27</f>
        <v>0.1454767224198282</v>
      </c>
      <c r="AJ27" s="1294"/>
      <c r="AK27" s="1294"/>
    </row>
    <row r="28" spans="1:38">
      <c r="A28" s="76">
        <f>MAX(A$13:A27)+1</f>
        <v>14</v>
      </c>
      <c r="C28" s="1295" t="s">
        <v>1631</v>
      </c>
      <c r="E28" s="1297" t="s">
        <v>1554</v>
      </c>
      <c r="G28" s="68">
        <f>ROUND(('Blocking-Step2'!D1153)/12,0)</f>
        <v>0</v>
      </c>
      <c r="I28" s="68">
        <f>SUM('Blocking-Step2'!D1164)/1000</f>
        <v>0</v>
      </c>
      <c r="K28" s="144">
        <f>('Blocking-Step2'!I1164)/1000</f>
        <v>0</v>
      </c>
      <c r="L28" s="1657"/>
      <c r="M28" s="144">
        <f t="shared" si="12"/>
        <v>0</v>
      </c>
      <c r="N28" s="1657"/>
      <c r="O28" s="144">
        <f t="shared" si="13"/>
        <v>0</v>
      </c>
      <c r="Q28" s="1294">
        <f t="shared" si="14"/>
        <v>1.7146733796073465E-2</v>
      </c>
      <c r="U28" s="1479"/>
      <c r="V28" s="144">
        <f t="shared" si="15"/>
        <v>0</v>
      </c>
      <c r="W28" s="144">
        <f t="shared" si="15"/>
        <v>0</v>
      </c>
      <c r="X28" s="144">
        <f t="shared" si="15"/>
        <v>0</v>
      </c>
      <c r="Y28" s="1294"/>
      <c r="Z28" s="1294"/>
      <c r="AA28" s="1294"/>
      <c r="AC28" s="144"/>
      <c r="AD28" s="1294"/>
      <c r="AE28" s="1294"/>
      <c r="AF28" s="144"/>
      <c r="AG28" s="1294"/>
      <c r="AH28" s="144"/>
      <c r="AI28" s="1294"/>
      <c r="AJ28" s="1294"/>
      <c r="AK28" s="1294"/>
    </row>
    <row r="29" spans="1:38">
      <c r="A29" s="76">
        <f>MAX(A$13:A28)+1</f>
        <v>15</v>
      </c>
      <c r="C29" s="1295" t="s">
        <v>1383</v>
      </c>
      <c r="E29" s="1296" t="s">
        <v>223</v>
      </c>
      <c r="G29" s="71">
        <f>ROUND('Blocking-Step2'!D889/12,0)</f>
        <v>16</v>
      </c>
      <c r="I29" s="71">
        <f>'Blocking-Step2'!D904/1000</f>
        <v>3380.6909999999998</v>
      </c>
      <c r="K29" s="145">
        <f>'Blocking-Step2'!I904/1000</f>
        <v>331.16066489999997</v>
      </c>
      <c r="L29" s="1657"/>
      <c r="M29" s="1378">
        <f t="shared" si="12"/>
        <v>336.83866489999997</v>
      </c>
      <c r="N29" s="1657"/>
      <c r="O29" s="1378">
        <f t="shared" si="13"/>
        <v>5.6779999999999999</v>
      </c>
      <c r="Q29" s="1300">
        <f t="shared" si="14"/>
        <v>1.7146733796073465E-2</v>
      </c>
      <c r="S29" s="1301">
        <f t="shared" si="5"/>
        <v>9.9600000000000009</v>
      </c>
      <c r="U29" s="1480"/>
      <c r="V29" s="1378">
        <f t="shared" si="15"/>
        <v>-4.3371277323873052</v>
      </c>
      <c r="W29" s="1378">
        <f t="shared" si="15"/>
        <v>-7.9701123582097484</v>
      </c>
      <c r="X29" s="1378">
        <f t="shared" si="15"/>
        <v>-4.3263610119000075</v>
      </c>
      <c r="Y29" s="1300">
        <f t="shared" si="11"/>
        <v>-1.2875979465347019E-2</v>
      </c>
      <c r="Z29" s="1300">
        <f t="shared" si="11"/>
        <v>-2.3661512732144039E-2</v>
      </c>
      <c r="AA29" s="1300">
        <f t="shared" si="11"/>
        <v>-1.2844015437433258E-2</v>
      </c>
      <c r="AC29" s="144">
        <f>M29-'Table B-Step2'!Q29</f>
        <v>23.375664900000004</v>
      </c>
      <c r="AD29" s="1294">
        <f t="shared" si="7"/>
        <v>1.7145756129323439E-2</v>
      </c>
      <c r="AE29" s="1294">
        <f t="shared" si="8"/>
        <v>6.9397213965741514E-2</v>
      </c>
      <c r="AF29" s="144">
        <f>W29-'Table B-Step2'!S29</f>
        <v>-0.96984635820974852</v>
      </c>
      <c r="AG29" s="1294">
        <f t="shared" si="9"/>
        <v>0.12168540600443882</v>
      </c>
      <c r="AH29" s="144">
        <f>V29-'Table B-Step1'!O29</f>
        <v>-0.52551253238730489</v>
      </c>
      <c r="AI29" s="1294">
        <f>AH29/V29</f>
        <v>0.12116602618434864</v>
      </c>
      <c r="AJ29" s="1294"/>
      <c r="AK29" s="1294"/>
    </row>
    <row r="30" spans="1:38" s="1038" customFormat="1">
      <c r="A30" s="1038">
        <f>MAX(A$13:A29)+1</f>
        <v>16</v>
      </c>
      <c r="C30" s="1038" t="s">
        <v>224</v>
      </c>
      <c r="G30" s="1036">
        <f>SUM(G23:G29)</f>
        <v>16336</v>
      </c>
      <c r="I30" s="1036">
        <f>SUM(I23:I29)</f>
        <v>6193724.4995234944</v>
      </c>
      <c r="K30" s="1037">
        <f>SUM(K23:K29)</f>
        <v>520136.53342320002</v>
      </c>
      <c r="L30" s="1658"/>
      <c r="M30" s="1037">
        <f>SUM(M23:M29)</f>
        <v>529055.17542320013</v>
      </c>
      <c r="N30" s="1658"/>
      <c r="O30" s="1037">
        <f>SUM(O23:O29)</f>
        <v>8918.6419999999998</v>
      </c>
      <c r="Q30" s="1304">
        <f t="shared" ref="Q30:Q54" si="16">O30/K30</f>
        <v>1.7146732495991589E-2</v>
      </c>
      <c r="S30" s="1038">
        <f t="shared" si="5"/>
        <v>8.5399999999999991</v>
      </c>
      <c r="T30" s="1490"/>
      <c r="U30" s="1481">
        <f>'COS F101'!G48</f>
        <v>0.25710539825488599</v>
      </c>
      <c r="V30" s="1037">
        <f>(V$67-V$50-V$51-V$52-V$49)*$U30*V$69</f>
        <v>-6812.103574784689</v>
      </c>
      <c r="W30" s="1037">
        <f>(W$67-W$50-W$51-W$52-W$49)*$U30*W$69</f>
        <v>-12518.245769282748</v>
      </c>
      <c r="X30" s="1037">
        <f>(X$67-X$50-X$51-X$52-X$49)*$U30*X$69</f>
        <v>-6795.1928403895427</v>
      </c>
      <c r="Y30" s="1304">
        <f t="shared" si="11"/>
        <v>-1.2875979465347017E-2</v>
      </c>
      <c r="Z30" s="1304">
        <f t="shared" si="11"/>
        <v>-2.3661512732144039E-2</v>
      </c>
      <c r="AA30" s="1304">
        <f t="shared" si="11"/>
        <v>-1.2844015437433258E-2</v>
      </c>
      <c r="AC30" s="144">
        <f>M30-'Table B-Step2'!Q30</f>
        <v>-50.174576799850911</v>
      </c>
      <c r="AD30" s="1294">
        <f t="shared" si="7"/>
        <v>1.7146732495991589E-2</v>
      </c>
      <c r="AE30" s="1294">
        <f t="shared" si="8"/>
        <v>-9.4838079524910463E-5</v>
      </c>
      <c r="AF30" s="144">
        <f>W30-'Table B-Step2'!S30</f>
        <v>-1.7449486827481451</v>
      </c>
      <c r="AG30" s="1294">
        <f t="shared" si="9"/>
        <v>1.3939242885212377E-4</v>
      </c>
      <c r="AH30" s="144">
        <f>V30-'Table B-Step1'!O30</f>
        <v>-1.8065579846888795</v>
      </c>
      <c r="AI30" s="1294">
        <f>AH30/V30</f>
        <v>2.6519825555441288E-4</v>
      </c>
      <c r="AJ30" s="1304">
        <f>'Table A-Step1'!Y22</f>
        <v>-8.2955631122517519E-3</v>
      </c>
      <c r="AK30" s="1304">
        <f>(M30+X30)/'Table A-Step1'!Q22-1</f>
        <v>1.2481589083916944E-2</v>
      </c>
      <c r="AL30" s="1294">
        <f>M30/(M30+X30)-1</f>
        <v>1.3011130599714482E-2</v>
      </c>
    </row>
    <row r="31" spans="1:38">
      <c r="A31" s="76">
        <f>MAX(A$13:A30)+1</f>
        <v>17</v>
      </c>
      <c r="C31" s="1295" t="s">
        <v>1384</v>
      </c>
      <c r="E31" s="76">
        <v>8</v>
      </c>
      <c r="F31" s="68"/>
      <c r="G31" s="68">
        <f>ROUND(('Blocking-Step2'!D1377)/12,0)</f>
        <v>235</v>
      </c>
      <c r="H31" s="68"/>
      <c r="I31" s="68">
        <f>('Blocking-Step2'!D1394)/1000</f>
        <v>1957477.8220535652</v>
      </c>
      <c r="J31" s="68"/>
      <c r="K31" s="144">
        <f>('Blocking-Step2'!I1394)/1000</f>
        <v>141786.70277540002</v>
      </c>
      <c r="L31" s="1659"/>
      <c r="M31" s="144">
        <f>K31+O31</f>
        <v>144217.88177540002</v>
      </c>
      <c r="N31" s="1657"/>
      <c r="O31" s="144">
        <f>ROUND(K31*Q31,3)</f>
        <v>2431.1790000000001</v>
      </c>
      <c r="Q31" s="1294">
        <f>$O$73</f>
        <v>1.7146733796073465E-2</v>
      </c>
      <c r="S31" s="76">
        <f t="shared" si="5"/>
        <v>7.37</v>
      </c>
      <c r="U31" s="1479"/>
      <c r="V31" s="144">
        <f>V$34*$M31/$M$34</f>
        <v>-1811.2867893149066</v>
      </c>
      <c r="W31" s="144">
        <f>W$34*$M31/$M$34</f>
        <v>-3328.5068170760642</v>
      </c>
      <c r="X31" s="144">
        <f>X$34*$M31/$M$34</f>
        <v>-1806.7903530127749</v>
      </c>
      <c r="Y31" s="1294">
        <f t="shared" si="11"/>
        <v>-1.2559377290922512E-2</v>
      </c>
      <c r="Z31" s="1294">
        <f t="shared" si="11"/>
        <v>-2.3079709506895731E-2</v>
      </c>
      <c r="AA31" s="1294">
        <f t="shared" si="11"/>
        <v>-1.2528199213372223E-2</v>
      </c>
      <c r="AC31" s="144">
        <f>M31-'Table B-Step2'!Q31</f>
        <v>17.987775400019018</v>
      </c>
      <c r="AD31" s="1294">
        <f t="shared" si="7"/>
        <v>1.7146734865900341E-2</v>
      </c>
      <c r="AE31" s="1294">
        <f t="shared" si="8"/>
        <v>1.2472638745334341E-4</v>
      </c>
      <c r="AF31" s="144">
        <f>W31-'Table B-Step2'!S31</f>
        <v>-1.1198060760643784</v>
      </c>
      <c r="AG31" s="1294">
        <f t="shared" si="9"/>
        <v>3.364289567680907E-4</v>
      </c>
      <c r="AH31" s="144">
        <f>V31-'Table B-Step1'!O31</f>
        <v>-7.1656714906566776E-2</v>
      </c>
      <c r="AI31" s="1294">
        <f>AH31/V31</f>
        <v>3.9561219862741839E-5</v>
      </c>
      <c r="AJ31" s="1304"/>
      <c r="AK31" s="1304"/>
    </row>
    <row r="32" spans="1:38">
      <c r="A32" s="76">
        <f>MAX(A$13:A31)+1</f>
        <v>18</v>
      </c>
      <c r="C32" s="1295" t="s">
        <v>1385</v>
      </c>
      <c r="E32" s="1296" t="s">
        <v>964</v>
      </c>
      <c r="F32" s="68"/>
      <c r="G32" s="68">
        <f>ROUND(('Blocking-Step2'!D1439)/12,0)</f>
        <v>14</v>
      </c>
      <c r="H32" s="68"/>
      <c r="I32" s="68">
        <f>('Blocking-Step2'!D1456)/1000</f>
        <v>63225.622196969678</v>
      </c>
      <c r="J32" s="68"/>
      <c r="K32" s="144">
        <f>('Blocking-Step2'!I1456)/1000</f>
        <v>4770.2606975999997</v>
      </c>
      <c r="L32" s="1659"/>
      <c r="M32" s="144">
        <f t="shared" ref="M32:M33" si="17">K32+O32</f>
        <v>4852.0546975999996</v>
      </c>
      <c r="N32" s="1657"/>
      <c r="O32" s="144">
        <f t="shared" ref="O32:O33" si="18">ROUND(K32*Q32,3)</f>
        <v>81.793999999999997</v>
      </c>
      <c r="Q32" s="1294">
        <f t="shared" ref="Q32:Q33" si="19">$O$73</f>
        <v>1.7146733796073465E-2</v>
      </c>
      <c r="S32" s="1301">
        <f t="shared" si="5"/>
        <v>7.67</v>
      </c>
      <c r="U32" s="1479"/>
      <c r="V32" s="144">
        <f t="shared" ref="V32:X33" si="20">V$34*$M32/$M$34</f>
        <v>-60.938785583351326</v>
      </c>
      <c r="W32" s="144">
        <f t="shared" si="20"/>
        <v>-111.98401293217678</v>
      </c>
      <c r="X32" s="144">
        <f t="shared" si="20"/>
        <v>-60.78750784571131</v>
      </c>
      <c r="Y32" s="1294">
        <f t="shared" si="11"/>
        <v>-1.255937729092251E-2</v>
      </c>
      <c r="Z32" s="1294">
        <f t="shared" si="11"/>
        <v>-2.3079709506895727E-2</v>
      </c>
      <c r="AA32" s="1294">
        <f t="shared" si="11"/>
        <v>-1.2528199213372223E-2</v>
      </c>
      <c r="AC32" s="144">
        <f>M32-'Table B-Step2'!Q32</f>
        <v>-17.988302400000066</v>
      </c>
      <c r="AD32" s="1294">
        <f t="shared" si="7"/>
        <v>1.7146651972533067E-2</v>
      </c>
      <c r="AE32" s="1294">
        <f t="shared" si="8"/>
        <v>-3.7073577115480016E-3</v>
      </c>
      <c r="AF32" s="144">
        <f>W32-'Table B-Step2'!S32</f>
        <v>8.3347567823210511E-2</v>
      </c>
      <c r="AG32" s="1294">
        <f t="shared" si="9"/>
        <v>-7.4428095261856741E-4</v>
      </c>
      <c r="AH32" s="144">
        <f>V32-'Table B-Step1'!O32</f>
        <v>6.1459816648671506E-2</v>
      </c>
      <c r="AI32" s="1294">
        <f>AH32/V32</f>
        <v>-1.0085500730008397E-3</v>
      </c>
      <c r="AJ32" s="1294"/>
      <c r="AK32" s="1294"/>
    </row>
    <row r="33" spans="1:38">
      <c r="A33" s="76">
        <f>MAX(A$13:A32)+1</f>
        <v>19</v>
      </c>
      <c r="C33" s="1295" t="s">
        <v>1385</v>
      </c>
      <c r="E33" s="1297" t="s">
        <v>1216</v>
      </c>
      <c r="F33" s="68"/>
      <c r="G33" s="71">
        <f>ROUND(('Blocking-Step2'!D1459)/12,0)</f>
        <v>0</v>
      </c>
      <c r="I33" s="71">
        <f>('Blocking-Step2'!D1476)/1000</f>
        <v>0</v>
      </c>
      <c r="K33" s="145">
        <f>('Blocking-Step2'!I1476)/1000</f>
        <v>0</v>
      </c>
      <c r="L33" s="1657"/>
      <c r="M33" s="1378">
        <f t="shared" si="17"/>
        <v>0</v>
      </c>
      <c r="N33" s="1657"/>
      <c r="O33" s="1378">
        <f t="shared" si="18"/>
        <v>0</v>
      </c>
      <c r="Q33" s="1300">
        <f t="shared" si="19"/>
        <v>1.7146733796073465E-2</v>
      </c>
      <c r="S33" s="1301"/>
      <c r="U33" s="1480"/>
      <c r="V33" s="1378">
        <f t="shared" si="20"/>
        <v>0</v>
      </c>
      <c r="W33" s="1378">
        <f t="shared" si="20"/>
        <v>0</v>
      </c>
      <c r="X33" s="1378">
        <f t="shared" si="20"/>
        <v>0</v>
      </c>
      <c r="Y33" s="1300"/>
      <c r="Z33" s="1300"/>
      <c r="AA33" s="1300"/>
      <c r="AC33" s="144">
        <f>M33-'Table B-Step2'!Q33</f>
        <v>0</v>
      </c>
      <c r="AD33" s="1294"/>
      <c r="AE33" s="1294"/>
      <c r="AF33" s="144"/>
      <c r="AG33" s="1294"/>
      <c r="AH33" s="144"/>
      <c r="AI33" s="1294"/>
      <c r="AJ33" s="1294"/>
      <c r="AK33" s="1294"/>
    </row>
    <row r="34" spans="1:38" ht="22.15" customHeight="1">
      <c r="A34" s="76">
        <f>MAX(A$13:A33)+1</f>
        <v>20</v>
      </c>
      <c r="C34" s="1038" t="s">
        <v>1372</v>
      </c>
      <c r="D34" s="1038"/>
      <c r="E34" s="1038"/>
      <c r="F34" s="1038"/>
      <c r="G34" s="1036">
        <f>SUM(G31:G33)</f>
        <v>249</v>
      </c>
      <c r="H34" s="1038"/>
      <c r="I34" s="1036">
        <f>SUM(I31:I33)</f>
        <v>2020703.4442505348</v>
      </c>
      <c r="J34" s="1038"/>
      <c r="K34" s="1037">
        <f>SUM(K31:K33)</f>
        <v>146556.96347300001</v>
      </c>
      <c r="L34" s="1658"/>
      <c r="M34" s="1037">
        <f>SUM(M31:M33)</f>
        <v>149069.93647300001</v>
      </c>
      <c r="N34" s="1658"/>
      <c r="O34" s="1037">
        <f>SUM(O31:O33)</f>
        <v>2512.973</v>
      </c>
      <c r="P34" s="1038"/>
      <c r="Q34" s="1304">
        <f t="shared" si="16"/>
        <v>1.7146732167816519E-2</v>
      </c>
      <c r="R34" s="1038"/>
      <c r="S34" s="1038">
        <f t="shared" si="5"/>
        <v>7.38</v>
      </c>
      <c r="T34" s="1490"/>
      <c r="U34" s="1481">
        <f>'COS F101'!H48</f>
        <v>7.0662358076728715E-2</v>
      </c>
      <c r="V34" s="1037">
        <f>(V$67-V$50-V$51-V$52-V$49)*$U34*V$69</f>
        <v>-1872.2255748982577</v>
      </c>
      <c r="W34" s="1037">
        <f>(W$67-W$50-W$51-W$52-W$49)*$U34*W$69</f>
        <v>-3440.4908300082407</v>
      </c>
      <c r="X34" s="1037">
        <f>(X$67-X$50-X$51-X$52-X$49)*$U34*X$69</f>
        <v>-1867.577860858486</v>
      </c>
      <c r="Y34" s="1304">
        <f t="shared" ref="Y34:AA52" si="21">V34/$M34</f>
        <v>-1.2559377290922512E-2</v>
      </c>
      <c r="Z34" s="1304">
        <f t="shared" si="21"/>
        <v>-2.3079709506895731E-2</v>
      </c>
      <c r="AA34" s="1304">
        <f t="shared" si="21"/>
        <v>-1.2528199213372223E-2</v>
      </c>
      <c r="AC34" s="144">
        <f>M34-'Table B-Step2'!Q34</f>
        <v>-5.2699999650940299E-4</v>
      </c>
      <c r="AD34" s="1294">
        <f t="shared" si="7"/>
        <v>1.7146732167816519E-2</v>
      </c>
      <c r="AE34" s="1294">
        <f t="shared" si="8"/>
        <v>-3.535253378234684E-9</v>
      </c>
      <c r="AF34" s="144">
        <f>W34-'Table B-Step2'!S34</f>
        <v>-1.0364585082406848</v>
      </c>
      <c r="AG34" s="1294">
        <f t="shared" si="9"/>
        <v>3.0125309423894095E-4</v>
      </c>
      <c r="AH34" s="144">
        <f>V34-'Table B-Step1'!O34</f>
        <v>-1.0196898257618159E-2</v>
      </c>
      <c r="AI34" s="1294">
        <f t="shared" ref="AI34:AI48" si="22">AH34/V34</f>
        <v>5.4464047464858972E-6</v>
      </c>
      <c r="AJ34" s="1294">
        <f>'Table A-Step1'!Y23</f>
        <v>-8.0721231046652457E-3</v>
      </c>
      <c r="AK34" s="1294">
        <f>(M34+X34)/'Table A-Step1'!Q23-1</f>
        <v>1.2577364416555437E-2</v>
      </c>
      <c r="AL34" s="1294">
        <f>M34/(M34+X34)-1</f>
        <v>1.268714630979062E-2</v>
      </c>
    </row>
    <row r="35" spans="1:38" ht="22.15" customHeight="1">
      <c r="A35" s="76">
        <f>MAX(A$13:A34)+1</f>
        <v>21</v>
      </c>
      <c r="C35" s="1295" t="s">
        <v>1386</v>
      </c>
      <c r="E35" s="76">
        <v>9</v>
      </c>
      <c r="G35" s="68">
        <f>ROUND('Blocking-Step2'!D1479/12,0)</f>
        <v>156</v>
      </c>
      <c r="I35" s="68">
        <f>('Blocking-Step2'!D1495)/1000</f>
        <v>4847331.9543051273</v>
      </c>
      <c r="K35" s="144">
        <f>('Blocking-Step2'!I1495)/1000</f>
        <v>265709.5999731</v>
      </c>
      <c r="L35" s="1659"/>
      <c r="M35" s="144">
        <f t="shared" ref="M35:M36" si="23">K35+O35</f>
        <v>275579.84397310001</v>
      </c>
      <c r="N35" s="1657"/>
      <c r="O35" s="144">
        <f t="shared" ref="O35:O36" si="24">ROUND(K35*Q35,3)</f>
        <v>9870.2440000000006</v>
      </c>
      <c r="Q35" s="1294">
        <f>$O$74</f>
        <v>3.7146733796073465E-2</v>
      </c>
      <c r="S35" s="76">
        <f t="shared" si="5"/>
        <v>5.69</v>
      </c>
      <c r="U35" s="1479"/>
      <c r="V35" s="144">
        <f t="shared" ref="V35:X36" si="25">V$37*$M35/$M$37</f>
        <v>-3388.1235369091119</v>
      </c>
      <c r="W35" s="144">
        <f t="shared" si="25"/>
        <v>-6226.177078210435</v>
      </c>
      <c r="X35" s="144">
        <f t="shared" si="25"/>
        <v>-3379.7126757703145</v>
      </c>
      <c r="Y35" s="1294">
        <f t="shared" si="21"/>
        <v>-1.2294525927809998E-2</v>
      </c>
      <c r="Z35" s="1294">
        <f t="shared" si="21"/>
        <v>-2.2593006035732374E-2</v>
      </c>
      <c r="AA35" s="1294">
        <f t="shared" si="21"/>
        <v>-1.2264005331609869E-2</v>
      </c>
      <c r="AC35" s="144">
        <f>M35-'Table B-Step2'!Q35</f>
        <v>-178.72302689997014</v>
      </c>
      <c r="AD35" s="1294">
        <f t="shared" si="7"/>
        <v>3.7146734634349858E-2</v>
      </c>
      <c r="AE35" s="1294">
        <f t="shared" si="8"/>
        <v>-6.4853446581316634E-4</v>
      </c>
      <c r="AF35" s="144">
        <f>W35-'Table B-Step2'!S35</f>
        <v>328.14398538956539</v>
      </c>
      <c r="AG35" s="1294">
        <f t="shared" si="9"/>
        <v>-5.2703927509219269E-2</v>
      </c>
      <c r="AH35" s="144">
        <f>V35-'Table B-Step1'!O35</f>
        <v>162.54170609088806</v>
      </c>
      <c r="AI35" s="1294">
        <f t="shared" si="22"/>
        <v>-4.7973960902018997E-2</v>
      </c>
      <c r="AJ35" s="1294"/>
      <c r="AK35" s="1294"/>
    </row>
    <row r="36" spans="1:38">
      <c r="A36" s="76">
        <f>MAX(A$13:A35)+1</f>
        <v>22</v>
      </c>
      <c r="C36" s="1295" t="s">
        <v>1395</v>
      </c>
      <c r="E36" s="1296" t="s">
        <v>225</v>
      </c>
      <c r="G36" s="71">
        <f>ROUND('Blocking-Step2'!D1538/12,0)</f>
        <v>9</v>
      </c>
      <c r="I36" s="71">
        <f>'Blocking-Step2'!D1557/1000</f>
        <v>41940.288</v>
      </c>
      <c r="K36" s="145">
        <f>('Blocking-Step2'!I1557)/1000</f>
        <v>3195.848559</v>
      </c>
      <c r="L36" s="1657"/>
      <c r="M36" s="1378">
        <f t="shared" si="23"/>
        <v>3314.5635590000002</v>
      </c>
      <c r="N36" s="1657"/>
      <c r="O36" s="1378">
        <f t="shared" si="24"/>
        <v>118.715</v>
      </c>
      <c r="Q36" s="1300">
        <f>$O$74</f>
        <v>3.7146733796073465E-2</v>
      </c>
      <c r="S36" s="1301">
        <f t="shared" si="5"/>
        <v>7.9</v>
      </c>
      <c r="U36" s="1480"/>
      <c r="V36" s="1378">
        <f t="shared" si="25"/>
        <v>-40.750987615499689</v>
      </c>
      <c r="W36" s="1378">
        <f t="shared" si="25"/>
        <v>-74.885954494305594</v>
      </c>
      <c r="X36" s="1378">
        <f t="shared" si="25"/>
        <v>-40.649825159535794</v>
      </c>
      <c r="Y36" s="1300">
        <f t="shared" si="21"/>
        <v>-1.229452592781E-2</v>
      </c>
      <c r="Z36" s="1300">
        <f t="shared" si="21"/>
        <v>-2.2593006035732378E-2</v>
      </c>
      <c r="AA36" s="1300">
        <f t="shared" si="21"/>
        <v>-1.2264005331609871E-2</v>
      </c>
      <c r="AC36" s="144">
        <f>M36-'Table B-Step2'!Q36</f>
        <v>289.93155900000011</v>
      </c>
      <c r="AD36" s="1294">
        <f t="shared" si="7"/>
        <v>3.7146628761766678E-2</v>
      </c>
      <c r="AE36" s="1294">
        <f t="shared" si="8"/>
        <v>8.7472016704205874E-2</v>
      </c>
      <c r="AF36" s="144">
        <f>W36-'Table B-Step2'!S36</f>
        <v>-12.268418494305593</v>
      </c>
      <c r="AG36" s="1294">
        <f t="shared" si="9"/>
        <v>0.16382803126637713</v>
      </c>
      <c r="AH36" s="144">
        <f>V36-'Table B-Step1'!O36</f>
        <v>-6.8292781154996902</v>
      </c>
      <c r="AI36" s="1294">
        <f t="shared" si="22"/>
        <v>0.16758558540804949</v>
      </c>
      <c r="AJ36" s="1294"/>
      <c r="AK36" s="1294"/>
    </row>
    <row r="37" spans="1:38">
      <c r="A37" s="76">
        <f>MAX(A$13:A36)+1</f>
        <v>23</v>
      </c>
      <c r="C37" s="1038" t="s">
        <v>226</v>
      </c>
      <c r="D37" s="1038"/>
      <c r="E37" s="1038"/>
      <c r="F37" s="1038"/>
      <c r="G37" s="1036">
        <f>SUM(G35:G36)</f>
        <v>165</v>
      </c>
      <c r="H37" s="1038"/>
      <c r="I37" s="1036">
        <f>SUM(I35:I36)</f>
        <v>4889272.242305127</v>
      </c>
      <c r="J37" s="1038"/>
      <c r="K37" s="1037">
        <f>SUM(K35:K36)</f>
        <v>268905.44853210001</v>
      </c>
      <c r="L37" s="1658"/>
      <c r="M37" s="1037">
        <f>SUM(M35:M36)</f>
        <v>278894.40753209998</v>
      </c>
      <c r="N37" s="1658"/>
      <c r="O37" s="1037">
        <f>SUM(O35:O36)</f>
        <v>9988.9590000000007</v>
      </c>
      <c r="P37" s="1038"/>
      <c r="Q37" s="1304">
        <f t="shared" si="16"/>
        <v>3.7146733376090708E-2</v>
      </c>
      <c r="R37" s="1038"/>
      <c r="S37" s="1038">
        <f t="shared" si="5"/>
        <v>5.7</v>
      </c>
      <c r="T37" s="1490"/>
      <c r="U37" s="1481">
        <f>'COS F101'!J48</f>
        <v>0.12941408487345221</v>
      </c>
      <c r="V37" s="1037">
        <f>(V$67-V$50-V$51-V$52-V$49)*$U37*V$69</f>
        <v>-3428.8745245246114</v>
      </c>
      <c r="W37" s="1037">
        <f>(W$67-W$50-W$51-W$52-W$49)*$U37*W$69</f>
        <v>-6301.0630327047402</v>
      </c>
      <c r="X37" s="1037">
        <f>(X$67-X$50-X$51-X$52-X$49)*$U37*X$69</f>
        <v>-3420.3625009298503</v>
      </c>
      <c r="Y37" s="1304">
        <f t="shared" si="21"/>
        <v>-1.2294525927809998E-2</v>
      </c>
      <c r="Z37" s="1304">
        <f t="shared" si="21"/>
        <v>-2.2593006035732378E-2</v>
      </c>
      <c r="AA37" s="1304">
        <f t="shared" si="21"/>
        <v>-1.2264005331609871E-2</v>
      </c>
      <c r="AC37" s="144">
        <f>M37-'Table B-Step2'!Q37</f>
        <v>111.20853210001951</v>
      </c>
      <c r="AD37" s="1294">
        <f t="shared" si="7"/>
        <v>3.7146733376090708E-2</v>
      </c>
      <c r="AE37" s="1294">
        <f t="shared" si="8"/>
        <v>3.9874780238187353E-4</v>
      </c>
      <c r="AF37" s="144">
        <f>W37-'Table B-Step2'!S37</f>
        <v>315.87556689525991</v>
      </c>
      <c r="AG37" s="1294">
        <f t="shared" si="9"/>
        <v>-5.0130520081413922E-2</v>
      </c>
      <c r="AH37" s="144">
        <f>V37-'Table B-Step1'!O37</f>
        <v>155.71242797538844</v>
      </c>
      <c r="AI37" s="1294">
        <f t="shared" si="22"/>
        <v>-4.5412110259991749E-2</v>
      </c>
      <c r="AJ37" s="1294">
        <f>'Table A-Step1'!Y26</f>
        <v>1.0307595218060789E-2</v>
      </c>
      <c r="AK37" s="1294">
        <f>(M37+X37)/'Table A-Step1'!Q26-1</f>
        <v>1.3975511178054845E-2</v>
      </c>
      <c r="AL37" s="1294">
        <f>M37/(M37+X37)-1</f>
        <v>1.2416278639037825E-2</v>
      </c>
    </row>
    <row r="38" spans="1:38" ht="22.15" customHeight="1">
      <c r="A38" s="76">
        <f>MAX(A$13:A37)+1</f>
        <v>24</v>
      </c>
      <c r="C38" s="76" t="s">
        <v>227</v>
      </c>
      <c r="E38" s="1296">
        <v>10</v>
      </c>
      <c r="G38" s="68">
        <f>'Blocking-Step2'!D1604+'Blocking-Step2'!D1605</f>
        <v>3283</v>
      </c>
      <c r="I38" s="68">
        <f>('Blocking-Step2'!D1619)/1000</f>
        <v>196833.65599999999</v>
      </c>
      <c r="K38" s="144">
        <f>('Blocking-Step2'!I1619)/1000</f>
        <v>15038.1552961</v>
      </c>
      <c r="L38" s="1657"/>
      <c r="M38" s="144">
        <f t="shared" ref="M38:M40" si="26">K38+O38</f>
        <v>15596.7732961</v>
      </c>
      <c r="N38" s="1657"/>
      <c r="O38" s="144">
        <f t="shared" ref="O38:O40" si="27">ROUND(K38*Q38,3)</f>
        <v>558.61800000000005</v>
      </c>
      <c r="Q38" s="1294">
        <f>$O$75</f>
        <v>3.7146733796073465E-2</v>
      </c>
      <c r="S38" s="76">
        <f t="shared" si="5"/>
        <v>7.92</v>
      </c>
      <c r="U38" s="1479"/>
      <c r="V38" s="144">
        <f>V$41*$M38/$M$41</f>
        <v>-224.11850633382414</v>
      </c>
      <c r="W38" s="144">
        <f>W$41*$M38/$M$41</f>
        <v>-411.85083475775531</v>
      </c>
      <c r="X38" s="144">
        <f>X$41*$M38/$M$41</f>
        <v>-223.56214243065668</v>
      </c>
      <c r="Y38" s="1294">
        <f t="shared" si="21"/>
        <v>-1.4369543115040684E-2</v>
      </c>
      <c r="Z38" s="1294">
        <f t="shared" si="21"/>
        <v>-2.6406156384970941E-2</v>
      </c>
      <c r="AA38" s="1294">
        <f t="shared" si="21"/>
        <v>-1.4333871383932904E-2</v>
      </c>
      <c r="AC38" s="144">
        <f>M38-'Table B-Step2'!Q38</f>
        <v>-7.5087038999990909</v>
      </c>
      <c r="AD38" s="1294">
        <f t="shared" si="7"/>
        <v>3.7146710417658227E-2</v>
      </c>
      <c r="AE38" s="1294">
        <f t="shared" si="8"/>
        <v>-4.8142675138303481E-4</v>
      </c>
      <c r="AF38" s="144">
        <f>W38-'Table B-Step2'!S38</f>
        <v>-0.41801145775531268</v>
      </c>
      <c r="AG38" s="1294">
        <f t="shared" si="9"/>
        <v>1.0149583841469714E-3</v>
      </c>
      <c r="AH38" s="144">
        <f>V38-'Table B-Step1'!O38</f>
        <v>-0.698266033824126</v>
      </c>
      <c r="AI38" s="1294">
        <f t="shared" si="22"/>
        <v>3.1156107777376486E-3</v>
      </c>
      <c r="AJ38" s="1294"/>
      <c r="AK38" s="1294"/>
    </row>
    <row r="39" spans="1:38">
      <c r="A39" s="76">
        <f>MAX(A$13:A38)+1</f>
        <v>25</v>
      </c>
      <c r="C39" s="1295" t="s">
        <v>1387</v>
      </c>
      <c r="E39" s="1297" t="s">
        <v>966</v>
      </c>
      <c r="G39" s="68">
        <f>'Blocking-Step2'!D1622+'Blocking-Step2'!D1623</f>
        <v>56</v>
      </c>
      <c r="I39" s="68">
        <f>('Blocking-Step2'!D1639)/1000</f>
        <v>9300.4295822001495</v>
      </c>
      <c r="K39" s="144">
        <f>('Blocking-Step2'!I1639)/1000</f>
        <v>738.71952069999998</v>
      </c>
      <c r="L39" s="1657"/>
      <c r="M39" s="144">
        <f t="shared" si="26"/>
        <v>766.16052070000001</v>
      </c>
      <c r="N39" s="1657"/>
      <c r="O39" s="144">
        <f t="shared" si="27"/>
        <v>27.440999999999999</v>
      </c>
      <c r="Q39" s="1294">
        <f t="shared" ref="Q39:Q40" si="28">$O$75</f>
        <v>3.7146733796073465E-2</v>
      </c>
      <c r="S39" s="76">
        <f t="shared" si="5"/>
        <v>8.24</v>
      </c>
      <c r="U39" s="1479"/>
      <c r="V39" s="144">
        <f t="shared" ref="V39:X40" si="29">V$41*$M39/$M$41</f>
        <v>-11.00937663524067</v>
      </c>
      <c r="W39" s="144">
        <f t="shared" si="29"/>
        <v>-20.231354525594963</v>
      </c>
      <c r="X39" s="144">
        <f t="shared" si="29"/>
        <v>-10.982046363160864</v>
      </c>
      <c r="Y39" s="1294">
        <f t="shared" si="21"/>
        <v>-1.4369543115040684E-2</v>
      </c>
      <c r="Z39" s="1294">
        <f t="shared" si="21"/>
        <v>-2.6406156384970937E-2</v>
      </c>
      <c r="AA39" s="1294">
        <f t="shared" si="21"/>
        <v>-1.4333871383932904E-2</v>
      </c>
      <c r="AC39" s="144">
        <f>M39-'Table B-Step2'!Q39</f>
        <v>0.95052069999997002</v>
      </c>
      <c r="AD39" s="1294">
        <f t="shared" si="7"/>
        <v>3.7146710261558136E-2</v>
      </c>
      <c r="AE39" s="1294">
        <f t="shared" si="8"/>
        <v>1.2406286598160004E-3</v>
      </c>
      <c r="AF39" s="144">
        <f>W39-'Table B-Step2'!S39</f>
        <v>0.33781647440503448</v>
      </c>
      <c r="AG39" s="1294">
        <f t="shared" si="9"/>
        <v>-1.6697669648251097E-2</v>
      </c>
      <c r="AH39" s="144">
        <f>V39-'Table B-Step1'!O39</f>
        <v>0.16058716475932933</v>
      </c>
      <c r="AI39" s="1294">
        <f t="shared" si="22"/>
        <v>-1.4586399401151818E-2</v>
      </c>
      <c r="AJ39" s="1294"/>
      <c r="AK39" s="1294"/>
    </row>
    <row r="40" spans="1:38">
      <c r="A40" s="76">
        <f>MAX(A$13:A39)+1</f>
        <v>26</v>
      </c>
      <c r="C40" s="1295" t="s">
        <v>1388</v>
      </c>
      <c r="E40" s="1296" t="s">
        <v>228</v>
      </c>
      <c r="G40" s="71">
        <f>'Blocking-Step2'!D1642+'Blocking-Step2'!D1643</f>
        <v>269</v>
      </c>
      <c r="I40" s="71">
        <f>'Blocking-Step2'!D1657/1000</f>
        <v>24258.38713714117</v>
      </c>
      <c r="K40" s="145">
        <f>('Blocking-Step2'!I1657)/1000</f>
        <v>1922.6796366999999</v>
      </c>
      <c r="L40" s="1657"/>
      <c r="M40" s="144">
        <f t="shared" si="26"/>
        <v>1994.1006367</v>
      </c>
      <c r="N40" s="1657"/>
      <c r="O40" s="144">
        <f t="shared" si="27"/>
        <v>71.421000000000006</v>
      </c>
      <c r="Q40" s="1294">
        <f t="shared" si="28"/>
        <v>3.7146733796073465E-2</v>
      </c>
      <c r="S40" s="1301">
        <f t="shared" si="5"/>
        <v>8.2200000000000006</v>
      </c>
      <c r="U40" s="1480"/>
      <c r="V40" s="1378">
        <f t="shared" si="29"/>
        <v>-28.654315074790723</v>
      </c>
      <c r="W40" s="1378">
        <f t="shared" si="29"/>
        <v>-52.656533260070326</v>
      </c>
      <c r="X40" s="1378">
        <f t="shared" si="29"/>
        <v>-28.583182053076513</v>
      </c>
      <c r="Y40" s="1300">
        <f t="shared" si="21"/>
        <v>-1.436954311504068E-2</v>
      </c>
      <c r="Z40" s="1300">
        <f t="shared" si="21"/>
        <v>-2.6406156384970941E-2</v>
      </c>
      <c r="AA40" s="1300">
        <f t="shared" si="21"/>
        <v>-1.4333871383932903E-2</v>
      </c>
      <c r="AC40" s="144">
        <f>M40-'Table B-Step2'!Q40</f>
        <v>6.5576367000001028</v>
      </c>
      <c r="AD40" s="1294">
        <f t="shared" si="7"/>
        <v>3.7146594074602968E-2</v>
      </c>
      <c r="AE40" s="1294">
        <f t="shared" si="8"/>
        <v>3.2885184324760127E-3</v>
      </c>
      <c r="AF40" s="144">
        <f>W40-'Table B-Step2'!S40</f>
        <v>0.59708053992967081</v>
      </c>
      <c r="AG40" s="1294">
        <f t="shared" si="9"/>
        <v>-1.1339154003562927E-2</v>
      </c>
      <c r="AH40" s="144">
        <f>V40-'Table B-Step1'!O40</f>
        <v>0.26393272520927624</v>
      </c>
      <c r="AI40" s="1294">
        <f t="shared" si="22"/>
        <v>-9.2109242367296017E-3</v>
      </c>
      <c r="AJ40" s="1294"/>
      <c r="AK40" s="1294"/>
    </row>
    <row r="41" spans="1:38">
      <c r="A41" s="76">
        <f>MAX(A$13:A40)+1</f>
        <v>27</v>
      </c>
      <c r="C41" s="1038" t="s">
        <v>229</v>
      </c>
      <c r="D41" s="1038"/>
      <c r="E41" s="1038"/>
      <c r="F41" s="1038"/>
      <c r="G41" s="1036">
        <f>SUM(G38:G40)</f>
        <v>3608</v>
      </c>
      <c r="H41" s="1038"/>
      <c r="I41" s="1036">
        <f>SUM(I38:I40)</f>
        <v>230392.47271934131</v>
      </c>
      <c r="J41" s="1038"/>
      <c r="K41" s="1037">
        <f>SUM(K38:K40)</f>
        <v>17699.554453500001</v>
      </c>
      <c r="L41" s="1658"/>
      <c r="M41" s="1037">
        <f>SUM(M38:M40)</f>
        <v>18357.0344535</v>
      </c>
      <c r="N41" s="1658"/>
      <c r="O41" s="1037">
        <f>SUM(O38:O40)</f>
        <v>657.48000000000013</v>
      </c>
      <c r="P41" s="1038"/>
      <c r="Q41" s="1304">
        <f t="shared" si="16"/>
        <v>3.714669777294799E-2</v>
      </c>
      <c r="R41" s="1038"/>
      <c r="S41" s="1038">
        <f t="shared" si="5"/>
        <v>7.97</v>
      </c>
      <c r="T41" s="1490"/>
      <c r="U41" s="1481">
        <f>'COS F101'!K48</f>
        <v>9.9557833107019773E-3</v>
      </c>
      <c r="V41" s="1037">
        <f>(V$67-V$50-V$51-V$52-V$49)*$U41*V$69</f>
        <v>-263.78219804385554</v>
      </c>
      <c r="W41" s="1037">
        <f>(W$67-W$50-W$51-W$52-W$49)*$U41*W$69</f>
        <v>-484.73872254342058</v>
      </c>
      <c r="X41" s="1037">
        <f>(X$67-X$50-X$51-X$52-X$49)*$U41*X$69</f>
        <v>-263.12737084689405</v>
      </c>
      <c r="Y41" s="1304">
        <f t="shared" si="21"/>
        <v>-1.4369543115040684E-2</v>
      </c>
      <c r="Z41" s="1304">
        <f t="shared" si="21"/>
        <v>-2.6406156384970941E-2</v>
      </c>
      <c r="AA41" s="1304">
        <f t="shared" si="21"/>
        <v>-1.4333871383932904E-2</v>
      </c>
      <c r="AC41" s="144">
        <f>M41-'Table B-Step2'!Q41</f>
        <v>-5.4649999947287142E-4</v>
      </c>
      <c r="AD41" s="1294">
        <f t="shared" si="7"/>
        <v>3.714669777294799E-2</v>
      </c>
      <c r="AE41" s="1294">
        <f t="shared" si="8"/>
        <v>-2.9770603789909775E-8</v>
      </c>
      <c r="AF41" s="144">
        <f>W41-'Table B-Step2'!S41</f>
        <v>0.51688555657938196</v>
      </c>
      <c r="AG41" s="1294">
        <f t="shared" si="9"/>
        <v>-1.0663178585512772E-3</v>
      </c>
      <c r="AH41" s="144">
        <f>V41-'Table B-Step1'!O41</f>
        <v>-0.27374614385553286</v>
      </c>
      <c r="AI41" s="1294">
        <f t="shared" si="22"/>
        <v>1.0377733823039141E-3</v>
      </c>
      <c r="AJ41" s="1294">
        <f>'Table A-Step1'!Y29</f>
        <v>9.5699637550200733E-3</v>
      </c>
      <c r="AK41" s="1294">
        <f>(M41+X41)/'Table A-Step1'!Q29-1</f>
        <v>1.2589921552840444E-2</v>
      </c>
      <c r="AL41" s="1294">
        <f>M41/(M41+X41)-1</f>
        <v>1.4542319115762314E-2</v>
      </c>
    </row>
    <row r="42" spans="1:38" ht="22.15" customHeight="1">
      <c r="A42" s="76">
        <f>MAX(A$13:A41)+1</f>
        <v>28</v>
      </c>
      <c r="C42" s="76" t="s">
        <v>230</v>
      </c>
      <c r="E42" s="76">
        <v>21</v>
      </c>
      <c r="G42" s="68">
        <f>ROUND(('Blocking-Step2'!D1919+'Blocking-Step2'!D1927)/12,0)</f>
        <v>3</v>
      </c>
      <c r="I42" s="68">
        <f>'Blocking-Step2'!D1935/1000</f>
        <v>1837.1120000000001</v>
      </c>
      <c r="K42" s="144">
        <f>('Blocking-Step2'!I1935)/1000</f>
        <v>233.11476199999998</v>
      </c>
      <c r="L42" s="1657"/>
      <c r="M42" s="144">
        <f t="shared" ref="M42:M45" si="30">K42+O42</f>
        <v>241.77376199999998</v>
      </c>
      <c r="N42" s="1657"/>
      <c r="O42" s="144">
        <f t="shared" ref="O42:O45" si="31">ROUND(K42*Q42,3)</f>
        <v>8.6590000000000007</v>
      </c>
      <c r="Q42" s="1294">
        <f>$O$74</f>
        <v>3.7146733796073465E-2</v>
      </c>
      <c r="S42" s="76">
        <f t="shared" si="5"/>
        <v>13.16</v>
      </c>
      <c r="U42" s="1479"/>
      <c r="V42" s="144">
        <f>ROUND($M42*Y$35,3)</f>
        <v>-2.972</v>
      </c>
      <c r="W42" s="144">
        <f>ROUND($M42*Z$35,3)</f>
        <v>-5.4619999999999997</v>
      </c>
      <c r="X42" s="144">
        <f>ROUND($M42*AA$35,3)</f>
        <v>-2.9649999999999999</v>
      </c>
      <c r="Y42" s="1294">
        <f t="shared" si="21"/>
        <v>-1.2292483582234205E-2</v>
      </c>
      <c r="Z42" s="1294">
        <f t="shared" si="21"/>
        <v>-2.2591367875559633E-2</v>
      </c>
      <c r="AA42" s="1294">
        <f t="shared" si="21"/>
        <v>-1.2263530895465821E-2</v>
      </c>
      <c r="AC42" s="144">
        <f>M42-'Table B-Step2'!Q42</f>
        <v>-267.14423800000003</v>
      </c>
      <c r="AD42" s="1294">
        <f t="shared" si="7"/>
        <v>3.7144794802827633E-2</v>
      </c>
      <c r="AE42" s="1294">
        <f t="shared" si="8"/>
        <v>-1.1049347778275462</v>
      </c>
      <c r="AF42" s="144">
        <f>W42-'Table B-Step2'!S42</f>
        <v>6.0500445000000003</v>
      </c>
      <c r="AG42" s="1294">
        <f t="shared" si="9"/>
        <v>-1.1076610216038083</v>
      </c>
      <c r="AH42" s="144">
        <f>V42-'Table B-Step1'!O42</f>
        <v>3.2808878000000008</v>
      </c>
      <c r="AI42" s="1294">
        <f t="shared" si="22"/>
        <v>-1.1039326379542398</v>
      </c>
      <c r="AJ42" s="1294"/>
      <c r="AK42" s="1294"/>
    </row>
    <row r="43" spans="1:38">
      <c r="A43" s="76">
        <f>MAX(A$13:A42)+1</f>
        <v>29</v>
      </c>
      <c r="C43" s="1295" t="s">
        <v>1389</v>
      </c>
      <c r="E43" s="1302">
        <v>23</v>
      </c>
      <c r="G43" s="68">
        <f>ROUND(('Blocking-Step2'!D1977)/12,0)</f>
        <v>94539</v>
      </c>
      <c r="I43" s="68">
        <f>SUM('Blocking-Step2'!D1998)/1000</f>
        <v>1388518.6134146857</v>
      </c>
      <c r="K43" s="144">
        <f>('Blocking-Step2'!I1998)/1000</f>
        <v>136341.24374090001</v>
      </c>
      <c r="L43" s="1657"/>
      <c r="M43" s="144">
        <f t="shared" si="30"/>
        <v>136347.61574090002</v>
      </c>
      <c r="N43" s="1657"/>
      <c r="O43" s="144">
        <f t="shared" si="31"/>
        <v>6.3719999999999999</v>
      </c>
      <c r="Q43" s="1294">
        <f>$O$76</f>
        <v>4.6733796073464284E-5</v>
      </c>
      <c r="S43" s="76">
        <f t="shared" si="5"/>
        <v>9.82</v>
      </c>
      <c r="U43" s="1479"/>
      <c r="V43" s="144">
        <f>V$46*$M43/$M$46</f>
        <v>-1737.8229448801787</v>
      </c>
      <c r="W43" s="144">
        <f>W$46*$M43/$M$46</f>
        <v>-3193.5061598349794</v>
      </c>
      <c r="X43" s="144">
        <f>X$46*$M43/$M$46</f>
        <v>-1733.5088791992866</v>
      </c>
      <c r="Y43" s="1294">
        <f t="shared" si="21"/>
        <v>-1.2745532332465174E-2</v>
      </c>
      <c r="Z43" s="1294">
        <f t="shared" si="21"/>
        <v>-2.3421796871780778E-2</v>
      </c>
      <c r="AA43" s="1294">
        <f t="shared" si="21"/>
        <v>-1.2713892133570241E-2</v>
      </c>
      <c r="AC43" s="144">
        <f>M43-'Table B-Step2'!Q43</f>
        <v>-2.2812590999819804</v>
      </c>
      <c r="AD43" s="1294">
        <f t="shared" si="7"/>
        <v>4.6735674585081628E-5</v>
      </c>
      <c r="AE43" s="1294">
        <f t="shared" si="8"/>
        <v>-1.673119905754006E-5</v>
      </c>
      <c r="AF43" s="144">
        <f>W43-'Table B-Step2'!S43</f>
        <v>6.7480737650212177</v>
      </c>
      <c r="AG43" s="1294">
        <f t="shared" si="9"/>
        <v>-2.113061139474964E-3</v>
      </c>
      <c r="AH43" s="144">
        <f>V43-'Table B-Step1'!O43</f>
        <v>-0.18490398017888765</v>
      </c>
      <c r="AI43" s="1294">
        <f t="shared" si="22"/>
        <v>1.0639978067019745E-4</v>
      </c>
      <c r="AJ43" s="1294"/>
      <c r="AK43" s="1294"/>
      <c r="AL43" s="1294"/>
    </row>
    <row r="44" spans="1:38">
      <c r="A44" s="76">
        <f>MAX(A$13:A43)+1</f>
        <v>30</v>
      </c>
      <c r="C44" s="1295" t="s">
        <v>1390</v>
      </c>
      <c r="E44" s="1303" t="s">
        <v>960</v>
      </c>
      <c r="G44" s="68">
        <f>ROUND(('Blocking-Step2'!D2073)/12,0)</f>
        <v>1562</v>
      </c>
      <c r="I44" s="68">
        <f>SUM('Blocking-Step2'!D2092)/1000</f>
        <v>14403.533942076338</v>
      </c>
      <c r="K44" s="144">
        <f>('Blocking-Step2'!I2092)/1000</f>
        <v>1548.7243636000001</v>
      </c>
      <c r="L44" s="1657"/>
      <c r="M44" s="144">
        <f t="shared" si="30"/>
        <v>1548.7963635999999</v>
      </c>
      <c r="N44" s="1657"/>
      <c r="O44" s="144">
        <f t="shared" si="31"/>
        <v>7.1999999999999995E-2</v>
      </c>
      <c r="Q44" s="1294">
        <f>$O$76</f>
        <v>4.6733796073464284E-5</v>
      </c>
      <c r="S44" s="76">
        <f t="shared" si="5"/>
        <v>10.75</v>
      </c>
      <c r="U44" s="1479"/>
      <c r="V44" s="144">
        <f t="shared" ref="V44:X45" si="32">V$46*$M44/$M$46</f>
        <v>-19.740234128668288</v>
      </c>
      <c r="W44" s="144">
        <f t="shared" si="32"/>
        <v>-36.275593823991919</v>
      </c>
      <c r="X44" s="144">
        <f t="shared" si="32"/>
        <v>-19.691229903676234</v>
      </c>
      <c r="Y44" s="1294">
        <f t="shared" si="21"/>
        <v>-1.2745532332465174E-2</v>
      </c>
      <c r="Z44" s="1294">
        <f t="shared" si="21"/>
        <v>-2.3421796871780774E-2</v>
      </c>
      <c r="AA44" s="1294">
        <f t="shared" si="21"/>
        <v>-1.2713892133570241E-2</v>
      </c>
      <c r="AC44" s="144">
        <f>M44-'Table B-Step2'!Q44</f>
        <v>1.9363636000000497</v>
      </c>
      <c r="AD44" s="1294">
        <f t="shared" si="7"/>
        <v>4.6489873661337931E-5</v>
      </c>
      <c r="AE44" s="1294">
        <f t="shared" si="8"/>
        <v>1.250237697807602E-3</v>
      </c>
      <c r="AF44" s="144">
        <f>W44-'Table B-Step2'!S44</f>
        <v>-1.4754658239919181</v>
      </c>
      <c r="AG44" s="1294">
        <f t="shared" si="9"/>
        <v>4.0673788309319857E-2</v>
      </c>
      <c r="AH44" s="144">
        <f>V44-'Table B-Step1'!O44</f>
        <v>-0.84485212866828974</v>
      </c>
      <c r="AI44" s="1294">
        <f t="shared" si="22"/>
        <v>4.2798485730284754E-2</v>
      </c>
      <c r="AJ44" s="1294"/>
      <c r="AK44" s="1294"/>
    </row>
    <row r="45" spans="1:38">
      <c r="A45" s="76">
        <f>MAX(A$13:A44)+1</f>
        <v>31</v>
      </c>
      <c r="C45" s="1295" t="s">
        <v>1391</v>
      </c>
      <c r="E45" s="1296" t="s">
        <v>1214</v>
      </c>
      <c r="G45" s="68">
        <f>ROUND(('Blocking-Step2'!D2161)/12,0)</f>
        <v>129</v>
      </c>
      <c r="I45" s="68">
        <f>SUM('Blocking-Step2'!D2181)/1000</f>
        <v>1529.7111142578219</v>
      </c>
      <c r="K45" s="144">
        <f>('Blocking-Step2'!I2181)/1000</f>
        <v>152.1553978</v>
      </c>
      <c r="L45" s="1657"/>
      <c r="M45" s="144">
        <f t="shared" si="30"/>
        <v>152.16239780000001</v>
      </c>
      <c r="N45" s="1657"/>
      <c r="O45" s="144">
        <f t="shared" si="31"/>
        <v>7.0000000000000001E-3</v>
      </c>
      <c r="Q45" s="1294">
        <f>$O$76</f>
        <v>4.6733796073464284E-5</v>
      </c>
      <c r="S45" s="1301">
        <f t="shared" si="5"/>
        <v>9.9499999999999993</v>
      </c>
      <c r="U45" s="1480"/>
      <c r="V45" s="1378">
        <f t="shared" si="32"/>
        <v>-1.9393907609453278</v>
      </c>
      <c r="W45" s="1378">
        <f t="shared" si="32"/>
        <v>-3.5639167727947023</v>
      </c>
      <c r="X45" s="1378">
        <f t="shared" si="32"/>
        <v>-1.9345763124146058</v>
      </c>
      <c r="Y45" s="1300">
        <f t="shared" si="21"/>
        <v>-1.2745532332465174E-2</v>
      </c>
      <c r="Z45" s="1300">
        <f t="shared" si="21"/>
        <v>-2.3421796871780778E-2</v>
      </c>
      <c r="AA45" s="1300">
        <f t="shared" si="21"/>
        <v>-1.2713892133570241E-2</v>
      </c>
      <c r="AC45" s="144">
        <f>M45-'Table B-Step2'!Q45</f>
        <v>0.16739780000000337</v>
      </c>
      <c r="AD45" s="1294">
        <f t="shared" si="7"/>
        <v>4.6005597574665868E-5</v>
      </c>
      <c r="AE45" s="1294">
        <f t="shared" si="8"/>
        <v>1.1001259340039354E-3</v>
      </c>
      <c r="AF45" s="144">
        <f>W45-'Table B-Step2'!S45</f>
        <v>-8.8742372794702096E-2</v>
      </c>
      <c r="AG45" s="1294">
        <f t="shared" si="9"/>
        <v>2.4900237141372229E-2</v>
      </c>
      <c r="AH45" s="144">
        <f>V45-'Table B-Step1'!O45</f>
        <v>-5.2479660945327966E-2</v>
      </c>
      <c r="AI45" s="1294">
        <f t="shared" si="22"/>
        <v>2.7059869523018414E-2</v>
      </c>
      <c r="AJ45" s="1294"/>
      <c r="AK45" s="1294"/>
    </row>
    <row r="46" spans="1:38">
      <c r="A46" s="76">
        <f>MAX(A$13:A45)+1</f>
        <v>32</v>
      </c>
      <c r="C46" s="1038" t="s">
        <v>1373</v>
      </c>
      <c r="D46" s="1038"/>
      <c r="E46" s="1038"/>
      <c r="F46" s="1038"/>
      <c r="G46" s="1036">
        <f>SUM(G43:G45)</f>
        <v>96230</v>
      </c>
      <c r="H46" s="1038"/>
      <c r="I46" s="1036">
        <f>SUM(I43:I45)</f>
        <v>1404451.8584710199</v>
      </c>
      <c r="J46" s="1038"/>
      <c r="K46" s="1037">
        <f>SUM(K43:K45)</f>
        <v>138042.1235023</v>
      </c>
      <c r="L46" s="1658"/>
      <c r="M46" s="1037">
        <f>SUM(M43:M45)</f>
        <v>138048.57450230003</v>
      </c>
      <c r="N46" s="1658"/>
      <c r="O46" s="1037">
        <f>SUM(O43:O45)</f>
        <v>6.4509999999999996</v>
      </c>
      <c r="P46" s="1038"/>
      <c r="Q46" s="1304">
        <f t="shared" si="16"/>
        <v>4.6732112172213256E-5</v>
      </c>
      <c r="R46" s="1038"/>
      <c r="S46" s="1038">
        <f t="shared" si="5"/>
        <v>9.83</v>
      </c>
      <c r="T46" s="1490"/>
      <c r="U46" s="1481">
        <f>'COS F101'!N48</f>
        <v>6.6407917020764942E-2</v>
      </c>
      <c r="V46" s="1037">
        <f>(V$67-V$50-V$51-V$52-V$49)*$U46*V$69</f>
        <v>-1759.5025697697927</v>
      </c>
      <c r="W46" s="1037">
        <f>(W$67-W$50-W$51-W$52-W$49)*$U46*W$69</f>
        <v>-3233.3456704317664</v>
      </c>
      <c r="X46" s="1037">
        <f>(X$67-X$50-X$51-X$52-X$49)*$U46*X$69</f>
        <v>-1755.1346854153778</v>
      </c>
      <c r="Y46" s="1304">
        <f t="shared" si="21"/>
        <v>-1.2745532332465176E-2</v>
      </c>
      <c r="Z46" s="1304">
        <f t="shared" si="21"/>
        <v>-2.3421796871780778E-2</v>
      </c>
      <c r="AA46" s="1304">
        <f t="shared" si="21"/>
        <v>-1.2713892133570241E-2</v>
      </c>
      <c r="AC46" s="144">
        <f>M46-'Table B-Step2'!Q46</f>
        <v>-0.17749769994406961</v>
      </c>
      <c r="AD46" s="1294">
        <f t="shared" si="7"/>
        <v>4.6732112172213256E-5</v>
      </c>
      <c r="AE46" s="1294">
        <f t="shared" si="8"/>
        <v>-1.2857626424901064E-6</v>
      </c>
      <c r="AF46" s="144">
        <f>W46-'Table B-Step2'!S46</f>
        <v>5.1838655682340686</v>
      </c>
      <c r="AG46" s="1294">
        <f t="shared" si="9"/>
        <v>-1.603251274875859E-3</v>
      </c>
      <c r="AH46" s="144">
        <f>V46-'Table B-Step1'!O46</f>
        <v>-1.0822357697929874</v>
      </c>
      <c r="AI46" s="1294">
        <f t="shared" si="22"/>
        <v>6.1508052809185925E-4</v>
      </c>
      <c r="AJ46" s="1294">
        <f>'Table A-Step1'!Y31</f>
        <v>-1.2690270128094872E-2</v>
      </c>
      <c r="AK46" s="1294">
        <f>(M46+X46)/'Table A-Step1'!Q31-1</f>
        <v>2.280536591769966E-5</v>
      </c>
      <c r="AL46" s="1294">
        <f>M46/(M46+X46)-1</f>
        <v>1.2877616764045641E-2</v>
      </c>
    </row>
    <row r="47" spans="1:38">
      <c r="A47" s="76">
        <f>MAX(A$13:A46)+1</f>
        <v>33</v>
      </c>
      <c r="C47" s="76" t="s">
        <v>1392</v>
      </c>
      <c r="E47" s="76">
        <v>31</v>
      </c>
      <c r="G47" s="68">
        <f>ROUND(('Blocking-Step2'!D2231+'Blocking-Step2'!D2253+'Blocking-Step2'!D2275)/12,0)</f>
        <v>7</v>
      </c>
      <c r="I47" s="68">
        <f>'Blocking-Step2'!D2331/1000</f>
        <v>189259.14266666665</v>
      </c>
      <c r="K47" s="144">
        <f>'Blocking-Step2'!I2331/1000</f>
        <v>12375.2296725</v>
      </c>
      <c r="L47" s="1657"/>
      <c r="M47" s="144">
        <f t="shared" ref="M47:M52" si="33">K47+O47</f>
        <v>12834.9286725</v>
      </c>
      <c r="N47" s="1657"/>
      <c r="O47" s="144">
        <f t="shared" ref="O47:O52" si="34">ROUND(K47*Q47,3)</f>
        <v>459.69900000000001</v>
      </c>
      <c r="Q47" s="1294">
        <f t="shared" ref="Q47:Q48" si="35">$O$74</f>
        <v>3.7146733796073465E-2</v>
      </c>
      <c r="S47" s="76">
        <f t="shared" si="5"/>
        <v>6.78</v>
      </c>
      <c r="U47" s="1479"/>
      <c r="V47" s="144">
        <f t="shared" ref="V47:X48" si="36">ROUND($M47*Y$35,3)</f>
        <v>-157.79900000000001</v>
      </c>
      <c r="W47" s="144">
        <f t="shared" si="36"/>
        <v>-289.98</v>
      </c>
      <c r="X47" s="144">
        <f t="shared" si="36"/>
        <v>-157.40799999999999</v>
      </c>
      <c r="Y47" s="1294">
        <f t="shared" si="21"/>
        <v>-1.2294497618681644E-2</v>
      </c>
      <c r="Z47" s="1294">
        <f t="shared" si="21"/>
        <v>-2.2593035567179152E-2</v>
      </c>
      <c r="AA47" s="1294">
        <f t="shared" si="21"/>
        <v>-1.2264033873227586E-2</v>
      </c>
      <c r="AC47" s="144">
        <f>M47-'Table B-Step2'!Q47</f>
        <v>113.47467250000045</v>
      </c>
      <c r="AD47" s="1294">
        <f t="shared" si="7"/>
        <v>3.7146704519071219E-2</v>
      </c>
      <c r="AE47" s="1294">
        <f t="shared" si="8"/>
        <v>8.8410832187272095E-3</v>
      </c>
      <c r="AF47" s="144">
        <f>W47-'Table B-Step2'!S47</f>
        <v>-37.949877900000047</v>
      </c>
      <c r="AG47" s="1294">
        <f t="shared" si="9"/>
        <v>0.13087067349472392</v>
      </c>
      <c r="AH47" s="144">
        <f>V47-'Table B-Step1'!O47</f>
        <v>-21.203835900000001</v>
      </c>
      <c r="AI47" s="1294">
        <f t="shared" si="22"/>
        <v>0.13437243518653477</v>
      </c>
      <c r="AJ47" s="1294"/>
      <c r="AK47" s="1294"/>
    </row>
    <row r="48" spans="1:38">
      <c r="A48" s="76">
        <f>MAX(A$13:A47)+1</f>
        <v>34</v>
      </c>
      <c r="C48" s="1295" t="s">
        <v>1490</v>
      </c>
      <c r="E48" s="76">
        <v>32</v>
      </c>
      <c r="G48" s="68">
        <f>ROUND('Blocking-Step2'!D2545/12,0)</f>
        <v>3</v>
      </c>
      <c r="I48" s="68">
        <f>'Blocking-Step2'!D2606/1000</f>
        <v>196649.98999999996</v>
      </c>
      <c r="K48" s="144">
        <f>'Blocking-Step2'!I2606/1000</f>
        <v>13007.546453500001</v>
      </c>
      <c r="L48" s="1657"/>
      <c r="M48" s="144">
        <f t="shared" si="33"/>
        <v>13490.734453500001</v>
      </c>
      <c r="N48" s="1657"/>
      <c r="O48" s="144">
        <f t="shared" si="34"/>
        <v>483.18799999999999</v>
      </c>
      <c r="Q48" s="1294">
        <f t="shared" si="35"/>
        <v>3.7146733796073465E-2</v>
      </c>
      <c r="S48" s="76">
        <f t="shared" si="5"/>
        <v>6.86</v>
      </c>
      <c r="U48" s="1479"/>
      <c r="V48" s="144">
        <f t="shared" si="36"/>
        <v>-165.86199999999999</v>
      </c>
      <c r="W48" s="144">
        <f t="shared" si="36"/>
        <v>-304.79599999999999</v>
      </c>
      <c r="X48" s="144">
        <f t="shared" si="36"/>
        <v>-165.45</v>
      </c>
      <c r="Y48" s="1294">
        <f t="shared" si="21"/>
        <v>-1.2294512249996085E-2</v>
      </c>
      <c r="Z48" s="1294">
        <f t="shared" si="21"/>
        <v>-2.2592987879983401E-2</v>
      </c>
      <c r="AA48" s="1294">
        <f t="shared" si="21"/>
        <v>-1.2263972771110031E-2</v>
      </c>
      <c r="AC48" s="144">
        <f>M48-'Table B-Step2'!Q48</f>
        <v>37.433453500001633</v>
      </c>
      <c r="AD48" s="1294">
        <f t="shared" si="7"/>
        <v>3.7146744140205343E-2</v>
      </c>
      <c r="AE48" s="1294">
        <f t="shared" si="8"/>
        <v>2.774752822318728E-3</v>
      </c>
      <c r="AF48" s="144">
        <f>W48-'Table B-Step2'!S48</f>
        <v>-269.56484660000001</v>
      </c>
      <c r="AG48" s="1294">
        <f t="shared" si="9"/>
        <v>0.88441070945812938</v>
      </c>
      <c r="AH48" s="144">
        <f>V48-'Table B-Step1'!O48</f>
        <v>-146.7764233</v>
      </c>
      <c r="AI48" s="1294">
        <f t="shared" si="22"/>
        <v>0.88493098660332092</v>
      </c>
      <c r="AJ48" s="1294"/>
      <c r="AK48" s="1294"/>
    </row>
    <row r="49" spans="1:38">
      <c r="A49" s="76">
        <f>MAX(A$13:A48)+1</f>
        <v>35</v>
      </c>
      <c r="C49" s="1295" t="s">
        <v>1489</v>
      </c>
      <c r="E49" s="76">
        <v>34</v>
      </c>
      <c r="G49" s="68">
        <f>ROUND('Blocking-Step2'!D2609/12,0)</f>
        <v>1</v>
      </c>
      <c r="I49" s="68">
        <f>'Blocking-Step2'!D2610/1000</f>
        <v>242230</v>
      </c>
      <c r="K49" s="144">
        <f>'Blocking-Step2'!I2610/1000</f>
        <v>13027.75819123467</v>
      </c>
      <c r="L49" s="1657"/>
      <c r="M49" s="144">
        <f t="shared" si="33"/>
        <v>13027.75819123467</v>
      </c>
      <c r="N49" s="1657"/>
      <c r="O49" s="144">
        <f t="shared" si="34"/>
        <v>0</v>
      </c>
      <c r="Q49" s="1294">
        <f>$O$79</f>
        <v>0</v>
      </c>
      <c r="S49" s="76">
        <f t="shared" si="5"/>
        <v>5.38</v>
      </c>
      <c r="U49" s="1479"/>
      <c r="V49" s="1488">
        <v>0</v>
      </c>
      <c r="W49" s="1488">
        <v>0</v>
      </c>
      <c r="X49" s="1488">
        <v>0</v>
      </c>
      <c r="Y49" s="1294">
        <f t="shared" si="21"/>
        <v>0</v>
      </c>
      <c r="Z49" s="1294">
        <f t="shared" si="21"/>
        <v>0</v>
      </c>
      <c r="AA49" s="1294">
        <f t="shared" si="21"/>
        <v>0</v>
      </c>
      <c r="AC49" s="144">
        <f>M49-'Table B-Step2'!Q49</f>
        <v>0</v>
      </c>
      <c r="AD49" s="1294">
        <f t="shared" si="7"/>
        <v>0</v>
      </c>
      <c r="AE49" s="1294">
        <f t="shared" si="8"/>
        <v>0</v>
      </c>
      <c r="AF49" s="144">
        <f>W49-'Table B-Step2'!S49</f>
        <v>0</v>
      </c>
      <c r="AG49" s="1294"/>
      <c r="AH49" s="144">
        <f>V49-'Table B-Step1'!O49</f>
        <v>0</v>
      </c>
      <c r="AI49" s="1294"/>
      <c r="AJ49" s="1294"/>
      <c r="AK49" s="1294"/>
    </row>
    <row r="50" spans="1:38">
      <c r="A50" s="76">
        <f>MAX(A$13:A49)+1</f>
        <v>36</v>
      </c>
      <c r="C50" s="1295" t="s">
        <v>680</v>
      </c>
      <c r="E50" s="1296"/>
      <c r="G50" s="595">
        <f>ROUND('Blocking-Step2'!D2613/12,0)</f>
        <v>1</v>
      </c>
      <c r="I50" s="68">
        <f>'Blocking-Step2'!D2623/1000</f>
        <v>617100</v>
      </c>
      <c r="K50" s="144">
        <f>('Blocking-Step2'!I2623)/1000</f>
        <v>31382.2199616</v>
      </c>
      <c r="L50" s="1657"/>
      <c r="M50" s="144">
        <f t="shared" si="33"/>
        <v>32511.804961599999</v>
      </c>
      <c r="N50" s="1657"/>
      <c r="O50" s="144">
        <f t="shared" si="34"/>
        <v>1129.585</v>
      </c>
      <c r="Q50" s="1294">
        <f>O77</f>
        <v>3.5994431032362724E-2</v>
      </c>
      <c r="S50" s="76">
        <f t="shared" si="5"/>
        <v>5.27</v>
      </c>
      <c r="U50" s="1478">
        <f>'COS F101'!O48</f>
        <v>1.6200630275174977E-2</v>
      </c>
      <c r="V50" s="144">
        <f t="shared" ref="V50:X51" si="37">ROUND($M50*V$68,3)</f>
        <v>-421.83699999999999</v>
      </c>
      <c r="W50" s="144">
        <f t="shared" si="37"/>
        <v>-775.18700000000001</v>
      </c>
      <c r="X50" s="144">
        <f t="shared" si="37"/>
        <v>-420.79</v>
      </c>
      <c r="Y50" s="1294">
        <f t="shared" si="21"/>
        <v>-1.2974887137094838E-2</v>
      </c>
      <c r="Z50" s="1294">
        <f t="shared" si="21"/>
        <v>-2.3843247119487238E-2</v>
      </c>
      <c r="AA50" s="1294">
        <f t="shared" si="21"/>
        <v>-1.2942683449811509E-2</v>
      </c>
      <c r="AC50" s="144">
        <f>M50-'Table B-Step2'!Q50</f>
        <v>-0.27903839999999036</v>
      </c>
      <c r="AD50" s="1294">
        <f t="shared" si="7"/>
        <v>3.5994426187254631E-2</v>
      </c>
      <c r="AE50" s="1294">
        <f t="shared" si="8"/>
        <v>-8.5826794399623544E-6</v>
      </c>
      <c r="AF50" s="144">
        <f>W50-'Table B-Step2'!S50</f>
        <v>0.53687399999989793</v>
      </c>
      <c r="AG50" s="1294">
        <f t="shared" si="9"/>
        <v>-6.925735338697604E-4</v>
      </c>
      <c r="AH50" s="144">
        <f>V50-'Table B-Step1'!O50</f>
        <v>0.58364199999999755</v>
      </c>
      <c r="AI50" s="1294">
        <f>AH50/V50</f>
        <v>-1.3835723277000301E-3</v>
      </c>
      <c r="AJ50" s="1294"/>
      <c r="AK50" s="1294"/>
    </row>
    <row r="51" spans="1:38">
      <c r="A51" s="76">
        <f>MAX(A$13:A50)+1</f>
        <v>37</v>
      </c>
      <c r="C51" s="1295" t="s">
        <v>681</v>
      </c>
      <c r="E51" s="1296"/>
      <c r="G51" s="68">
        <f>ROUND('Blocking-Step2'!D2626/12,0)</f>
        <v>1</v>
      </c>
      <c r="I51" s="68">
        <f>'Blocking-Step2'!D2633/1000</f>
        <v>705455.54894656001</v>
      </c>
      <c r="K51" s="144">
        <f>'Blocking-Step2'!I2633/1000</f>
        <v>31485.131144999999</v>
      </c>
      <c r="L51" s="1657"/>
      <c r="M51" s="144">
        <f t="shared" si="33"/>
        <v>32618.420145</v>
      </c>
      <c r="N51" s="1657"/>
      <c r="O51" s="144">
        <f t="shared" si="34"/>
        <v>1133.289</v>
      </c>
      <c r="Q51" s="1294">
        <f>O78</f>
        <v>3.5994431032362724E-2</v>
      </c>
      <c r="S51" s="76">
        <f t="shared" si="5"/>
        <v>4.62</v>
      </c>
      <c r="U51" s="1478">
        <f>'COS F101'!P48</f>
        <v>1.2500940670019556E-2</v>
      </c>
      <c r="V51" s="144">
        <f t="shared" si="37"/>
        <v>-423.22</v>
      </c>
      <c r="W51" s="144">
        <f t="shared" si="37"/>
        <v>-777.72900000000004</v>
      </c>
      <c r="X51" s="144">
        <f t="shared" si="37"/>
        <v>-422.17</v>
      </c>
      <c r="Y51" s="1294">
        <f t="shared" si="21"/>
        <v>-1.2974877327554271E-2</v>
      </c>
      <c r="Z51" s="1294">
        <f t="shared" si="21"/>
        <v>-2.3843245520252958E-2</v>
      </c>
      <c r="AA51" s="1294">
        <f t="shared" si="21"/>
        <v>-1.2942686927303972E-2</v>
      </c>
      <c r="AC51" s="144">
        <f>M51-'Table B-Step2'!Q51</f>
        <v>-5.7854999999108259E-2</v>
      </c>
      <c r="AD51" s="1294">
        <f t="shared" si="7"/>
        <v>3.5994418914147418E-2</v>
      </c>
      <c r="AE51" s="1294">
        <f t="shared" si="8"/>
        <v>-1.7736910537641939E-6</v>
      </c>
      <c r="AF51" s="144">
        <f>W51-'Table B-Step2'!S51</f>
        <v>-1.4092235999999048</v>
      </c>
      <c r="AG51" s="1294">
        <f t="shared" si="9"/>
        <v>1.8119725508498521E-3</v>
      </c>
      <c r="AH51" s="144">
        <f>V51-'Table B-Step1'!O51</f>
        <v>-1.145047800000043</v>
      </c>
      <c r="AI51" s="1294">
        <f>AH51/V51</f>
        <v>2.7055616464251287E-3</v>
      </c>
      <c r="AJ51" s="1294"/>
      <c r="AK51" s="1294"/>
    </row>
    <row r="52" spans="1:38">
      <c r="A52" s="76">
        <f>MAX(A$13:A51)+1</f>
        <v>38</v>
      </c>
      <c r="C52" s="1295" t="s">
        <v>682</v>
      </c>
      <c r="E52" s="1296"/>
      <c r="G52" s="68">
        <f>ROUND('Blocking-Step2'!D2636/12,0)</f>
        <v>1</v>
      </c>
      <c r="I52" s="68">
        <f>'Blocking-Step2'!D2640/1000</f>
        <v>1288626.1969999999</v>
      </c>
      <c r="K52" s="144">
        <f>('Blocking-Step2'!I2640)/1000</f>
        <v>62957.593017309679</v>
      </c>
      <c r="L52" s="1657"/>
      <c r="M52" s="144">
        <f t="shared" si="33"/>
        <v>62957.593017309679</v>
      </c>
      <c r="N52" s="1657"/>
      <c r="O52" s="144">
        <f t="shared" si="34"/>
        <v>0</v>
      </c>
      <c r="Q52" s="1294">
        <f>$O$79</f>
        <v>0</v>
      </c>
      <c r="S52" s="76">
        <f t="shared" si="5"/>
        <v>4.8899999999999997</v>
      </c>
      <c r="U52" s="1479"/>
      <c r="V52" s="1488">
        <v>0</v>
      </c>
      <c r="W52" s="1488">
        <v>0</v>
      </c>
      <c r="X52" s="1488">
        <v>0</v>
      </c>
      <c r="Y52" s="1294">
        <f t="shared" si="21"/>
        <v>0</v>
      </c>
      <c r="Z52" s="1294">
        <f t="shared" si="21"/>
        <v>0</v>
      </c>
      <c r="AA52" s="1294">
        <f t="shared" si="21"/>
        <v>0</v>
      </c>
      <c r="AC52" s="144">
        <f>M52-'Table B-Step2'!Q52</f>
        <v>0</v>
      </c>
      <c r="AD52" s="1294">
        <f t="shared" si="7"/>
        <v>0</v>
      </c>
      <c r="AE52" s="1294">
        <f t="shared" si="8"/>
        <v>0</v>
      </c>
      <c r="AF52" s="144">
        <f>W52-'Table B-Step2'!S52</f>
        <v>0</v>
      </c>
      <c r="AG52" s="1294"/>
      <c r="AH52" s="144">
        <f>V52-'Table B-Step1'!O52</f>
        <v>0</v>
      </c>
      <c r="AI52" s="1294"/>
      <c r="AJ52" s="1294"/>
      <c r="AK52" s="1294"/>
    </row>
    <row r="53" spans="1:38">
      <c r="A53" s="76">
        <f>MAX(A$13:A52)+1</f>
        <v>39</v>
      </c>
      <c r="C53" s="1298" t="s">
        <v>471</v>
      </c>
      <c r="E53" s="1299"/>
      <c r="G53" s="72"/>
      <c r="I53" s="72"/>
      <c r="K53" s="145">
        <f>('Blocking-Step2'!I2671+'Blocking-Step2'!I2672+'Blocking-Step2'!I2673)/1000</f>
        <v>4797.3367799999996</v>
      </c>
      <c r="L53" s="1657"/>
      <c r="M53" s="145">
        <f>('Blocking-Step2'!Y2671+'Blocking-Step2'!Y2672+'Blocking-Step2'!Y2673)/1000</f>
        <v>4797.3367799999996</v>
      </c>
      <c r="N53" s="1657"/>
      <c r="O53" s="145">
        <f t="shared" ref="O53" si="38">M53-K53</f>
        <v>0</v>
      </c>
      <c r="Q53" s="1300">
        <f t="shared" si="16"/>
        <v>0</v>
      </c>
      <c r="S53" s="1301"/>
      <c r="U53" s="1482"/>
      <c r="V53" s="145"/>
      <c r="W53" s="145"/>
      <c r="X53" s="145"/>
      <c r="Y53" s="1300"/>
      <c r="Z53" s="1300"/>
      <c r="AA53" s="1300"/>
      <c r="AC53" s="144">
        <f>M53-'Table B-Step2'!Q53</f>
        <v>0</v>
      </c>
      <c r="AD53" s="1294">
        <f t="shared" si="7"/>
        <v>0</v>
      </c>
      <c r="AE53" s="1294">
        <f t="shared" si="8"/>
        <v>0</v>
      </c>
      <c r="AF53" s="144">
        <f>W53-'Table B-Step2'!S53</f>
        <v>0</v>
      </c>
      <c r="AG53" s="1294"/>
      <c r="AH53" s="144">
        <f>V53-'Table B-Step1'!O53</f>
        <v>0</v>
      </c>
      <c r="AI53" s="1294"/>
      <c r="AJ53" s="1294"/>
      <c r="AK53" s="1294"/>
    </row>
    <row r="54" spans="1:38">
      <c r="A54" s="76">
        <f>MAX(A$13:A53)+1</f>
        <v>40</v>
      </c>
      <c r="C54" s="80" t="s">
        <v>1393</v>
      </c>
      <c r="G54" s="68">
        <f>SUM(G23:G29,G31:G33,G35:G36,G38:G40,G42:G45,G47:G53)</f>
        <v>116605</v>
      </c>
      <c r="I54" s="68">
        <f>SUM(I23:I29,I31:I33,I35:I36,I38:I40,I42:I45,I47:I53)</f>
        <v>17979702.507882744</v>
      </c>
      <c r="K54" s="144">
        <f>SUM(K23:K29,K31:K33,K35:K36,K38:K40,K42:K45,K47:K53)</f>
        <v>1260606.5533672441</v>
      </c>
      <c r="L54" s="1657"/>
      <c r="M54" s="144">
        <f>SUM(M23:M29,M31:M33,M35:M36,M38:M40,M42:M45,M47:M53)</f>
        <v>1285905.4783672448</v>
      </c>
      <c r="N54" s="1657"/>
      <c r="O54" s="144">
        <f>SUM(O23:O29,O31:O33,O35:O36,O38:O40,O42:O45,O47:O53)</f>
        <v>25298.924999999996</v>
      </c>
      <c r="Q54" s="1294">
        <f t="shared" si="16"/>
        <v>2.0068850929279462E-2</v>
      </c>
      <c r="S54" s="76">
        <f t="shared" si="5"/>
        <v>7.15</v>
      </c>
      <c r="U54" s="1479"/>
      <c r="V54" s="144">
        <f>SUM(V23:V29,V31:V33,V35:V36,V38:V40,V42:V45,V47:V53)</f>
        <v>-15308.178442021204</v>
      </c>
      <c r="W54" s="144">
        <f>SUM(W23:W29,W31:W33,W35:W36,W38:W40,W42:W45,W47:W53)</f>
        <v>-28131.038024970909</v>
      </c>
      <c r="X54" s="144">
        <f>SUM(X23:X29,X31:X33,X35:X36,X38:X40,X42:X45,X47:X53)</f>
        <v>-15270.178258440152</v>
      </c>
      <c r="Y54" s="1294">
        <f>V54/$M54</f>
        <v>-1.1904590733572803E-2</v>
      </c>
      <c r="Z54" s="1294">
        <f>W54/$M54</f>
        <v>-2.1876443096493985E-2</v>
      </c>
      <c r="AA54" s="1294">
        <f>X54/$M54</f>
        <v>-1.1875039429670355E-2</v>
      </c>
      <c r="AC54" s="144">
        <f>M54-'Table B-Step2'!Q54</f>
        <v>-55.717621299205348</v>
      </c>
      <c r="AD54" s="1294">
        <f t="shared" si="7"/>
        <v>2.0068850929279462E-2</v>
      </c>
      <c r="AE54" s="1294">
        <f t="shared" si="8"/>
        <v>-4.33294843489988E-5</v>
      </c>
      <c r="AF54" s="144">
        <f>W54-'Table B-Step2'!S54</f>
        <v>16.457881229092891</v>
      </c>
      <c r="AG54" s="1294">
        <f t="shared" si="9"/>
        <v>-5.8504351010737045E-4</v>
      </c>
      <c r="AH54" s="144">
        <f>V54-'Table B-Step1'!O54</f>
        <v>-12.721086021207157</v>
      </c>
      <c r="AI54" s="1294">
        <f>AH54/V54</f>
        <v>8.3099932950138366E-4</v>
      </c>
      <c r="AJ54" s="1294"/>
      <c r="AK54" s="1294"/>
    </row>
    <row r="55" spans="1:38" ht="25.15" customHeight="1">
      <c r="C55" s="1292" t="s">
        <v>231</v>
      </c>
      <c r="G55" s="68"/>
      <c r="I55" s="68"/>
      <c r="K55" s="144"/>
      <c r="L55" s="1657"/>
      <c r="M55" s="144"/>
      <c r="N55" s="1657"/>
      <c r="O55" s="144"/>
      <c r="U55" s="1479"/>
      <c r="V55" s="144"/>
      <c r="W55" s="144"/>
      <c r="X55" s="144"/>
      <c r="AC55" s="144"/>
      <c r="AD55" s="1294"/>
      <c r="AE55" s="1294"/>
      <c r="AF55" s="144"/>
      <c r="AG55" s="1294"/>
      <c r="AH55" s="144"/>
      <c r="AI55" s="1294"/>
      <c r="AJ55" s="1294"/>
      <c r="AK55" s="1294"/>
    </row>
    <row r="56" spans="1:38">
      <c r="A56" s="76">
        <f>MAX(A$13:A55)+1</f>
        <v>41</v>
      </c>
      <c r="C56" s="76" t="s">
        <v>232</v>
      </c>
      <c r="E56" s="76">
        <v>7</v>
      </c>
      <c r="G56" s="68">
        <f>'Blocking-Step2'!D1205</f>
        <v>6491</v>
      </c>
      <c r="I56" s="68">
        <f>'Blocking-Step2'!D1206/1000</f>
        <v>10497.984469308627</v>
      </c>
      <c r="K56" s="144">
        <f>('Blocking-Step2'!I1206)/1000</f>
        <v>2495.8234678000003</v>
      </c>
      <c r="L56" s="1657"/>
      <c r="M56" s="144">
        <f>SUM('COS Lighting'!H11:H13)/1000</f>
        <v>1383.2668705464662</v>
      </c>
      <c r="N56" s="1657"/>
      <c r="O56" s="144">
        <f>M56-K56</f>
        <v>-1112.5565972535342</v>
      </c>
      <c r="Q56" s="1294">
        <f>O56/K56</f>
        <v>-0.4457673435670601</v>
      </c>
      <c r="S56" s="76">
        <f t="shared" ref="S56:S60" si="39">ROUND(M56/I56*100,2)</f>
        <v>13.18</v>
      </c>
      <c r="U56" s="1479"/>
      <c r="V56" s="144">
        <f>(V$67-V$50-V$51-V$52-V$49)*$U$61*V$69*$M56/SUM($M$56:$M$58)</f>
        <v>-14.07585709050729</v>
      </c>
      <c r="W56" s="144">
        <f>(W$67-W$50-W$51-W$52-W$49)*$U$61*W$69*$M56/SUM($M$56:$M$58)</f>
        <v>-25.866464967517881</v>
      </c>
      <c r="X56" s="144">
        <f>(X$67-X$50-X$51-X$52-X$49)*$U$61*X$69*$M56/SUM($M$56:$M$58)</f>
        <v>-14.040914421472912</v>
      </c>
      <c r="Y56" s="1294">
        <f t="shared" ref="Y56:AA62" si="40">V56/$M56</f>
        <v>-1.0175807279289899E-2</v>
      </c>
      <c r="Z56" s="1294">
        <f t="shared" si="40"/>
        <v>-1.8699547801140651E-2</v>
      </c>
      <c r="AA56" s="1294">
        <f t="shared" si="40"/>
        <v>-1.0150546304868837E-2</v>
      </c>
      <c r="AC56" s="144">
        <f>M56-'Table B-Step2'!Q56</f>
        <v>0</v>
      </c>
      <c r="AD56" s="1294">
        <f t="shared" si="7"/>
        <v>-0.4457673435670601</v>
      </c>
      <c r="AE56" s="1294">
        <f t="shared" si="8"/>
        <v>0</v>
      </c>
      <c r="AF56" s="144">
        <f>W56-'Table B-Step2'!S56</f>
        <v>6.25511701038306E-4</v>
      </c>
      <c r="AG56" s="1294">
        <f t="shared" si="9"/>
        <v>-2.4182341956034567E-5</v>
      </c>
      <c r="AH56" s="144">
        <f>V56-'Table B-Step1'!O56</f>
        <v>3.3464989066667172E-2</v>
      </c>
      <c r="AI56" s="1294">
        <f t="shared" ref="AI56:AI61" si="41">AH56/V56</f>
        <v>-2.3774743414549048E-3</v>
      </c>
      <c r="AJ56" s="1294"/>
      <c r="AK56" s="1294"/>
    </row>
    <row r="57" spans="1:38">
      <c r="A57" s="76">
        <f>MAX(A$13:A56)+1</f>
        <v>42</v>
      </c>
      <c r="C57" s="76" t="s">
        <v>233</v>
      </c>
      <c r="E57" s="76">
        <v>11</v>
      </c>
      <c r="G57" s="68">
        <f>'Blocking-Step2'!D1712</f>
        <v>715</v>
      </c>
      <c r="I57" s="68">
        <f>'Blocking-Step2'!D1716/1000</f>
        <v>13572.50823362934</v>
      </c>
      <c r="K57" s="144">
        <f>('Blocking-Step2'!I1716)/1000</f>
        <v>4103.1867941999999</v>
      </c>
      <c r="L57" s="1657"/>
      <c r="M57" s="144">
        <f>SUM('COS Lighting'!H16:H29)/1000</f>
        <v>3759.4048698993784</v>
      </c>
      <c r="N57" s="1657"/>
      <c r="O57" s="144">
        <f>M57-K57</f>
        <v>-343.78192430062154</v>
      </c>
      <c r="Q57" s="1294">
        <f>O57/K57</f>
        <v>-8.3784127202439204E-2</v>
      </c>
      <c r="S57" s="76">
        <f t="shared" si="39"/>
        <v>27.7</v>
      </c>
      <c r="U57" s="1479"/>
      <c r="V57" s="144">
        <f t="shared" ref="V57:X58" si="42">(V$67-V$50-V$51-V$52-V$49)*$U$61*V$69*$M57/SUM($M$56:$M$58)</f>
        <v>-38.254979440919989</v>
      </c>
      <c r="W57" s="144">
        <f t="shared" si="42"/>
        <v>-70.299171068524387</v>
      </c>
      <c r="X57" s="144">
        <f t="shared" si="42"/>
        <v>-38.160013210663045</v>
      </c>
      <c r="Y57" s="1294">
        <f t="shared" si="40"/>
        <v>-1.0175807279289899E-2</v>
      </c>
      <c r="Z57" s="1294">
        <f t="shared" si="40"/>
        <v>-1.8699547801140654E-2</v>
      </c>
      <c r="AA57" s="1294">
        <f t="shared" si="40"/>
        <v>-1.0150546304868837E-2</v>
      </c>
      <c r="AC57" s="144">
        <f>M57-'Table B-Step2'!Q57</f>
        <v>0</v>
      </c>
      <c r="AD57" s="1294">
        <f t="shared" si="7"/>
        <v>-8.3784127202439204E-2</v>
      </c>
      <c r="AE57" s="1294">
        <f t="shared" si="8"/>
        <v>0</v>
      </c>
      <c r="AF57" s="144">
        <f>W57-'Table B-Step2'!S57</f>
        <v>1.6999985939918361E-3</v>
      </c>
      <c r="AG57" s="1294">
        <f t="shared" si="9"/>
        <v>-2.4182341955849748E-5</v>
      </c>
      <c r="AH57" s="144">
        <f>V57-'Table B-Step1'!O57</f>
        <v>9.0950232053671698E-2</v>
      </c>
      <c r="AI57" s="1294">
        <f t="shared" si="41"/>
        <v>-2.3774743414548922E-3</v>
      </c>
      <c r="AJ57" s="1294"/>
      <c r="AK57" s="1294"/>
    </row>
    <row r="58" spans="1:38">
      <c r="A58" s="76">
        <f>MAX(A$13:A57)+1</f>
        <v>43</v>
      </c>
      <c r="C58" s="76" t="s">
        <v>234</v>
      </c>
      <c r="E58" s="76">
        <v>12</v>
      </c>
      <c r="G58" s="68">
        <f>'Blocking-Step2'!D1803</f>
        <v>1229</v>
      </c>
      <c r="I58" s="68">
        <f>'Blocking-Step2'!D1807/1000</f>
        <v>26868.87420437079</v>
      </c>
      <c r="K58" s="144">
        <f>('Blocking-Step2'!I1807)/1000</f>
        <v>1896.3262864000001</v>
      </c>
      <c r="L58" s="1657"/>
      <c r="M58" s="144">
        <f>'COS Lighting'!H31/1000</f>
        <v>1402.8682700442894</v>
      </c>
      <c r="N58" s="1657"/>
      <c r="O58" s="144">
        <f>M58-K58</f>
        <v>-493.4580163557107</v>
      </c>
      <c r="Q58" s="1294">
        <f>O58/K58</f>
        <v>-0.2602178854423281</v>
      </c>
      <c r="S58" s="76">
        <f t="shared" si="39"/>
        <v>5.22</v>
      </c>
      <c r="U58" s="1479"/>
      <c r="V58" s="144">
        <f t="shared" si="42"/>
        <v>-14.27531715420151</v>
      </c>
      <c r="W58" s="144">
        <f t="shared" si="42"/>
        <v>-26.233002274396682</v>
      </c>
      <c r="X58" s="144">
        <f t="shared" si="42"/>
        <v>-14.2398793347158</v>
      </c>
      <c r="Y58" s="1294">
        <f t="shared" si="40"/>
        <v>-1.01758072792899E-2</v>
      </c>
      <c r="Z58" s="1294">
        <f t="shared" si="40"/>
        <v>-1.8699547801140651E-2</v>
      </c>
      <c r="AA58" s="1294">
        <f t="shared" si="40"/>
        <v>-1.0150546304868838E-2</v>
      </c>
      <c r="AC58" s="144">
        <f>M58-'Table B-Step2'!Q58</f>
        <v>0</v>
      </c>
      <c r="AD58" s="1294">
        <f t="shared" si="7"/>
        <v>-0.2602178854423281</v>
      </c>
      <c r="AE58" s="1294">
        <f t="shared" si="8"/>
        <v>0</v>
      </c>
      <c r="AF58" s="144">
        <f>W58-'Table B-Step2'!S58</f>
        <v>6.3437543152744524E-4</v>
      </c>
      <c r="AG58" s="1294">
        <f t="shared" si="9"/>
        <v>-2.4182341955826895E-5</v>
      </c>
      <c r="AH58" s="144">
        <f>V58-'Table B-Step1'!O58</f>
        <v>3.3939200250243218E-2</v>
      </c>
      <c r="AI58" s="1294">
        <f t="shared" si="41"/>
        <v>-2.3774743414547704E-3</v>
      </c>
      <c r="AJ58" s="1294"/>
      <c r="AK58" s="1294"/>
    </row>
    <row r="59" spans="1:38">
      <c r="A59" s="76">
        <f>MAX(A$13:A58)+1</f>
        <v>44</v>
      </c>
      <c r="C59" s="76" t="s">
        <v>236</v>
      </c>
      <c r="E59" s="76">
        <v>15</v>
      </c>
      <c r="G59" s="68">
        <f>ROUND('Blocking-Step2'!D1813/12,0)</f>
        <v>637</v>
      </c>
      <c r="I59" s="68">
        <f>('Blocking-Step2'!D1818)/1000</f>
        <v>15963.151062719233</v>
      </c>
      <c r="K59" s="144">
        <f>('Blocking-Step2'!I1818)/1000</f>
        <v>1155.3153559999998</v>
      </c>
      <c r="L59" s="1657"/>
      <c r="M59" s="144">
        <f t="shared" ref="M59:M60" si="43">K59+O59</f>
        <v>797.02335599999992</v>
      </c>
      <c r="N59" s="1657"/>
      <c r="O59" s="144">
        <f t="shared" ref="O59:O60" si="44">ROUND(K59*Q59,3)</f>
        <v>-358.29199999999997</v>
      </c>
      <c r="Q59" s="1294">
        <f>$O$83</f>
        <v>-0.31012499264859555</v>
      </c>
      <c r="S59" s="76">
        <f t="shared" si="39"/>
        <v>4.99</v>
      </c>
      <c r="U59" s="1478">
        <f>'COS F101'!M48</f>
        <v>3.1585567638525513E-4</v>
      </c>
      <c r="V59" s="144">
        <f>(V$67-V$50-V$51-V$52-V$49)*$U59*V$69</f>
        <v>-8.3687141414547987</v>
      </c>
      <c r="W59" s="144">
        <f>(W$67-W$50-W$51-W$52-W$49)*$U59*W$69</f>
        <v>-15.378747437631917</v>
      </c>
      <c r="X59" s="144">
        <f>(X$67-X$50-X$51-X$52-X$49)*$U59*X$69</f>
        <v>-8.3479391927885906</v>
      </c>
      <c r="Y59" s="1294">
        <f t="shared" si="40"/>
        <v>-1.0499960984148123E-2</v>
      </c>
      <c r="Z59" s="1294">
        <f t="shared" si="40"/>
        <v>-1.9295228078149217E-2</v>
      </c>
      <c r="AA59" s="1294">
        <f t="shared" si="40"/>
        <v>-1.047389531303596E-2</v>
      </c>
      <c r="AC59" s="144">
        <f>M59-'Table B-Step2'!Q59</f>
        <v>3.5599999989699427E-4</v>
      </c>
      <c r="AD59" s="1294">
        <f t="shared" si="7"/>
        <v>-0.3101248487170632</v>
      </c>
      <c r="AE59" s="1294">
        <f t="shared" si="8"/>
        <v>4.4666194185781716E-7</v>
      </c>
      <c r="AF59" s="144">
        <f>W59-'Table B-Step2'!S59</f>
        <v>-1.1488376319164217E-3</v>
      </c>
      <c r="AG59" s="1294">
        <f t="shared" si="9"/>
        <v>7.4702939012133516E-5</v>
      </c>
      <c r="AH59" s="144">
        <f>V59-'Table B-Step1'!O59</f>
        <v>2.4187658545200108E-2</v>
      </c>
      <c r="AI59" s="1294">
        <f t="shared" si="41"/>
        <v>-2.8902479086225998E-3</v>
      </c>
      <c r="AJ59" s="1294"/>
      <c r="AK59" s="1294"/>
    </row>
    <row r="60" spans="1:38">
      <c r="A60" s="76">
        <f>MAX(A$13:A59)+1</f>
        <v>45</v>
      </c>
      <c r="C60" s="76" t="s">
        <v>235</v>
      </c>
      <c r="E60" s="76">
        <v>15</v>
      </c>
      <c r="G60" s="71">
        <f>ROUND('Blocking-Step2'!D1854/12,0)</f>
        <v>2734</v>
      </c>
      <c r="I60" s="71">
        <f>'Blocking-Step2'!D1859/1000</f>
        <v>7776.3704443165416</v>
      </c>
      <c r="K60" s="145">
        <f>('Blocking-Step2'!I1859)/1000</f>
        <v>802.61305110000001</v>
      </c>
      <c r="L60" s="1657"/>
      <c r="M60" s="145">
        <f t="shared" si="43"/>
        <v>802.65105110000002</v>
      </c>
      <c r="N60" s="1657"/>
      <c r="O60" s="145">
        <f t="shared" si="44"/>
        <v>3.7999999999999999E-2</v>
      </c>
      <c r="Q60" s="1300">
        <f>$O$84</f>
        <v>4.6733796073464284E-5</v>
      </c>
      <c r="S60" s="1301">
        <f t="shared" si="39"/>
        <v>10.32</v>
      </c>
      <c r="U60" s="1483">
        <f>'COS F101'!L48</f>
        <v>3.370915918515725E-4</v>
      </c>
      <c r="V60" s="1378">
        <f t="shared" ref="V60:X60" si="45">(V$67-V$50-V$51-V$52-V$49)*$U60*V$69</f>
        <v>-8.9313676549314529</v>
      </c>
      <c r="W60" s="1378">
        <f t="shared" si="45"/>
        <v>-16.41270631499291</v>
      </c>
      <c r="X60" s="1378">
        <f t="shared" si="45"/>
        <v>-8.9091959447482694</v>
      </c>
      <c r="Y60" s="1300">
        <f t="shared" si="40"/>
        <v>-1.112733564939756E-2</v>
      </c>
      <c r="Z60" s="1300">
        <f t="shared" si="40"/>
        <v>-2.0448121624583905E-2</v>
      </c>
      <c r="AA60" s="1300">
        <f t="shared" si="40"/>
        <v>-1.1099712549480356E-2</v>
      </c>
      <c r="AC60" s="144">
        <f>M60-'Table B-Step2'!Q60</f>
        <v>5.1100000064252526E-5</v>
      </c>
      <c r="AD60" s="1294">
        <f t="shared" si="7"/>
        <v>4.7345355209362854E-5</v>
      </c>
      <c r="AE60" s="1294">
        <f t="shared" si="8"/>
        <v>6.3664029336561745E-8</v>
      </c>
      <c r="AF60" s="144">
        <f>W60-'Table B-Step2'!S60</f>
        <v>1.3109685007087535E-2</v>
      </c>
      <c r="AG60" s="1294">
        <f t="shared" si="9"/>
        <v>-7.9875218355134493E-4</v>
      </c>
      <c r="AH60" s="144">
        <f>V60-'Table B-Step1'!O60</f>
        <v>2.816834506854704E-2</v>
      </c>
      <c r="AI60" s="1294">
        <f t="shared" si="41"/>
        <v>-3.1538669279831846E-3</v>
      </c>
      <c r="AJ60" s="1294"/>
      <c r="AK60" s="1294"/>
    </row>
    <row r="61" spans="1:38">
      <c r="A61" s="76">
        <f>MAX(A$13:A60)+1</f>
        <v>46</v>
      </c>
      <c r="C61" s="1038" t="s">
        <v>237</v>
      </c>
      <c r="D61" s="77"/>
      <c r="F61" s="77"/>
      <c r="G61" s="68">
        <f>SUM(G56:G60)</f>
        <v>11806</v>
      </c>
      <c r="H61" s="77"/>
      <c r="I61" s="68">
        <f>SUM(I56:I60)</f>
        <v>74678.888414344532</v>
      </c>
      <c r="J61" s="77"/>
      <c r="K61" s="144">
        <f>SUM(K56:K60)</f>
        <v>10453.264955499999</v>
      </c>
      <c r="L61" s="144"/>
      <c r="M61" s="144">
        <f>SUM(M56:M60)</f>
        <v>8145.214417590134</v>
      </c>
      <c r="N61" s="144"/>
      <c r="O61" s="144">
        <f>SUM(O56:O60)</f>
        <v>-2308.0505379098663</v>
      </c>
      <c r="Q61" s="1294">
        <f t="shared" ref="Q61:Q65" si="46">O61/K61</f>
        <v>-0.22079709523630534</v>
      </c>
      <c r="S61" s="76">
        <f t="shared" si="5"/>
        <v>10.91</v>
      </c>
      <c r="U61" s="1478">
        <f>'COS F101'!I48</f>
        <v>2.5138786399193881E-3</v>
      </c>
      <c r="V61" s="144">
        <f>SUM(V56:V60)</f>
        <v>-83.906235482015035</v>
      </c>
      <c r="W61" s="144">
        <f>SUM(W56:W60)</f>
        <v>-154.19009206306379</v>
      </c>
      <c r="X61" s="144">
        <f>SUM(X56:X60)</f>
        <v>-83.697942104388602</v>
      </c>
      <c r="Y61" s="1294">
        <f t="shared" si="40"/>
        <v>-1.0301292412979814E-2</v>
      </c>
      <c r="Z61" s="1294">
        <f t="shared" si="40"/>
        <v>-1.8930145255609231E-2</v>
      </c>
      <c r="AA61" s="1294">
        <f t="shared" si="40"/>
        <v>-1.0275719927475122E-2</v>
      </c>
      <c r="AC61" s="144">
        <f>M61-'Table B-Step2'!Q61</f>
        <v>4.0709999939281261E-4</v>
      </c>
      <c r="AD61" s="1294">
        <f t="shared" si="7"/>
        <v>-0.22079709523630534</v>
      </c>
      <c r="AE61" s="1294">
        <f t="shared" si="8"/>
        <v>4.9980267985782301E-8</v>
      </c>
      <c r="AF61" s="144">
        <f>W61-'Table B-Step2'!S61</f>
        <v>1.4920733101718042E-2</v>
      </c>
      <c r="AG61" s="1294">
        <f t="shared" si="9"/>
        <v>-9.6768429813346622E-5</v>
      </c>
      <c r="AH61" s="144">
        <f>V61-'Table B-Step1'!O61</f>
        <v>0.21071042498434167</v>
      </c>
      <c r="AI61" s="1294">
        <f t="shared" si="41"/>
        <v>-2.5112606205471653E-3</v>
      </c>
      <c r="AJ61" s="1294">
        <f>'Table A-Step1'!Y46</f>
        <v>-0.22884408853123192</v>
      </c>
      <c r="AK61" s="1294">
        <f>(M61+X61)/'Table A-Step1'!Q46-1</f>
        <v>5.2029010350507221E-5</v>
      </c>
      <c r="AL61" s="1294">
        <f>M61/(M61+X61)-1</f>
        <v>1.0382406630180085E-2</v>
      </c>
    </row>
    <row r="62" spans="1:38" ht="22.15" customHeight="1">
      <c r="A62" s="76">
        <f>MAX(A$13:A61)+1</f>
        <v>47</v>
      </c>
      <c r="C62" s="1295" t="s">
        <v>1396</v>
      </c>
      <c r="E62" s="1296"/>
      <c r="G62" s="68">
        <f>'Blocking-Step2'!D2643</f>
        <v>4</v>
      </c>
      <c r="I62" s="68">
        <f>'Blocking-Step2'!D2649/1000</f>
        <v>7.3869999999999996</v>
      </c>
      <c r="K62" s="144">
        <f>'Blocking-Step2'!I2649/1000</f>
        <v>0.55700000000000005</v>
      </c>
      <c r="L62" s="1657"/>
      <c r="M62" s="144">
        <f t="shared" ref="M62" si="47">K62+O62</f>
        <v>0.55700000000000005</v>
      </c>
      <c r="N62" s="1657"/>
      <c r="O62" s="144">
        <f t="shared" ref="O62" si="48">ROUND(K62*Q62,3)</f>
        <v>0</v>
      </c>
      <c r="Q62" s="1516">
        <v>0</v>
      </c>
      <c r="S62" s="76">
        <f>ROUND(M62/I62*100,2)</f>
        <v>7.54</v>
      </c>
      <c r="U62" s="1479"/>
      <c r="V62" s="1488">
        <v>0</v>
      </c>
      <c r="W62" s="1488">
        <v>0</v>
      </c>
      <c r="X62" s="1488">
        <v>0</v>
      </c>
      <c r="Y62" s="1294">
        <f t="shared" si="40"/>
        <v>0</v>
      </c>
      <c r="Z62" s="1294">
        <f t="shared" si="40"/>
        <v>0</v>
      </c>
      <c r="AA62" s="1294">
        <f t="shared" si="40"/>
        <v>0</v>
      </c>
      <c r="AC62" s="144">
        <f>M62-'Table B-Step2'!Q62</f>
        <v>0</v>
      </c>
      <c r="AD62" s="1294">
        <f t="shared" si="7"/>
        <v>0</v>
      </c>
      <c r="AE62" s="1294">
        <f t="shared" si="8"/>
        <v>0</v>
      </c>
      <c r="AF62" s="144">
        <f>W62-'Table B-Step2'!S62</f>
        <v>0</v>
      </c>
      <c r="AG62" s="1294"/>
      <c r="AH62" s="144">
        <f>V62-'Table B-Step1'!O62</f>
        <v>0</v>
      </c>
      <c r="AI62" s="1294"/>
    </row>
    <row r="63" spans="1:38">
      <c r="A63" s="76">
        <f>MAX(A$13:A62)+1</f>
        <v>48</v>
      </c>
      <c r="C63" s="1298" t="s">
        <v>471</v>
      </c>
      <c r="D63" s="78"/>
      <c r="E63" s="1299"/>
      <c r="F63" s="78"/>
      <c r="G63" s="73"/>
      <c r="H63" s="78"/>
      <c r="I63" s="73"/>
      <c r="J63" s="78"/>
      <c r="K63" s="145">
        <f>'Blocking-Step2'!I2674/1000</f>
        <v>4.6550400000000005</v>
      </c>
      <c r="L63" s="1657"/>
      <c r="M63" s="145">
        <f>'Blocking-Step2'!Y2674/1000</f>
        <v>4.6550400000000005</v>
      </c>
      <c r="N63" s="1657"/>
      <c r="O63" s="145">
        <f t="shared" ref="O63" si="49">M63-K63</f>
        <v>0</v>
      </c>
      <c r="Q63" s="1300">
        <f t="shared" si="46"/>
        <v>0</v>
      </c>
      <c r="S63" s="1301"/>
      <c r="U63" s="1482"/>
      <c r="V63" s="145"/>
      <c r="W63" s="145"/>
      <c r="X63" s="145"/>
      <c r="Y63" s="1300"/>
      <c r="Z63" s="1300"/>
      <c r="AA63" s="1300"/>
      <c r="AC63" s="144"/>
      <c r="AD63" s="1294"/>
      <c r="AE63" s="1294"/>
      <c r="AF63" s="144">
        <f>W63-'Table B-Step2'!S63</f>
        <v>0</v>
      </c>
      <c r="AG63" s="1294"/>
      <c r="AH63" s="144">
        <f>V63-'Table B-Step1'!O63</f>
        <v>0</v>
      </c>
      <c r="AI63" s="1294"/>
    </row>
    <row r="64" spans="1:38" ht="22.15" customHeight="1">
      <c r="A64" s="76">
        <f>MAX(A$13:A63)+1</f>
        <v>49</v>
      </c>
      <c r="C64" s="1305" t="s">
        <v>238</v>
      </c>
      <c r="E64" s="1306"/>
      <c r="G64" s="71">
        <f>SUM(G62:G63)+G61</f>
        <v>11810</v>
      </c>
      <c r="I64" s="71">
        <f>SUM(I62:I63)+I61</f>
        <v>74686.275414344535</v>
      </c>
      <c r="K64" s="145">
        <f>SUM(K62:K63)+K61</f>
        <v>10458.476995499999</v>
      </c>
      <c r="L64" s="1657"/>
      <c r="M64" s="145">
        <f>SUM(M62:M63)+M61</f>
        <v>8150.4264575901343</v>
      </c>
      <c r="N64" s="1657"/>
      <c r="O64" s="145">
        <f>SUM(O62:O63)+O61</f>
        <v>-2308.0505379098663</v>
      </c>
      <c r="Q64" s="1307">
        <f t="shared" si="46"/>
        <v>-0.22068705977963696</v>
      </c>
      <c r="S64" s="1306">
        <f t="shared" si="5"/>
        <v>10.91</v>
      </c>
      <c r="U64" s="1482"/>
      <c r="V64" s="145">
        <f>SUM(V62:V63)+V61</f>
        <v>-83.906235482015035</v>
      </c>
      <c r="W64" s="145">
        <f>SUM(W62:W63)+W61</f>
        <v>-154.19009206306379</v>
      </c>
      <c r="X64" s="145">
        <f>SUM(X62:X63)+X61</f>
        <v>-83.697942104388602</v>
      </c>
      <c r="Y64" s="1307">
        <f t="shared" ref="Y64:AA65" si="50">V64/$M64</f>
        <v>-1.029470493582294E-2</v>
      </c>
      <c r="Z64" s="1307">
        <f t="shared" si="50"/>
        <v>-1.8918039794037198E-2</v>
      </c>
      <c r="AA64" s="1307">
        <f t="shared" si="50"/>
        <v>-1.0269148803427873E-2</v>
      </c>
      <c r="AC64" s="144">
        <f>M64-'Table B-Step2'!Q64</f>
        <v>4.0709999939281261E-4</v>
      </c>
      <c r="AD64" s="1294">
        <f t="shared" si="7"/>
        <v>-0.22068705977963696</v>
      </c>
      <c r="AE64" s="1294">
        <f t="shared" si="8"/>
        <v>4.9948306571578015E-8</v>
      </c>
      <c r="AF64" s="144">
        <f>W64-'Table B-Step2'!S64</f>
        <v>1.4920733101718042E-2</v>
      </c>
      <c r="AG64" s="1294">
        <f t="shared" si="9"/>
        <v>-9.6768429813346622E-5</v>
      </c>
      <c r="AH64" s="144">
        <f>V64-'Table B-Step1'!O64</f>
        <v>0.21071042498434167</v>
      </c>
      <c r="AI64" s="1294">
        <f>AH64/V64</f>
        <v>-2.5112606205471653E-3</v>
      </c>
    </row>
    <row r="65" spans="1:38" ht="25.15" customHeight="1" thickBot="1">
      <c r="A65" s="76">
        <f>MAX(A$13:A64)+1</f>
        <v>50</v>
      </c>
      <c r="C65" s="1308" t="s">
        <v>239</v>
      </c>
      <c r="E65" s="1309"/>
      <c r="G65" s="67">
        <f>G64+G54+G21</f>
        <v>986283</v>
      </c>
      <c r="I65" s="67">
        <f>I64+I54+I21</f>
        <v>24837388.160662249</v>
      </c>
      <c r="K65" s="146">
        <f>K64+K54+K21</f>
        <v>2001695.942310344</v>
      </c>
      <c r="L65" s="1657"/>
      <c r="M65" s="146">
        <f>M64+M54+M21</f>
        <v>2073745.8397724349</v>
      </c>
      <c r="N65" s="1657"/>
      <c r="O65" s="146">
        <f>O64+O54+O21</f>
        <v>72049.897462090143</v>
      </c>
      <c r="Q65" s="1310">
        <f t="shared" si="46"/>
        <v>3.5994426495629818E-2</v>
      </c>
      <c r="S65" s="1309">
        <f>ROUND(M65/I65*100,2)</f>
        <v>8.35</v>
      </c>
      <c r="U65" s="1484">
        <f>SUM(U21:U64)</f>
        <v>1.0000000000000002</v>
      </c>
      <c r="V65" s="146">
        <f>V64+V54+V21</f>
        <v>-26906.604730135397</v>
      </c>
      <c r="W65" s="146">
        <f>W64+W54+W21</f>
        <v>-49444.858230077283</v>
      </c>
      <c r="X65" s="146">
        <f>X64+X54+X21</f>
        <v>-26839.811985753302</v>
      </c>
      <c r="Y65" s="1310">
        <f t="shared" si="50"/>
        <v>-1.2974880631026619E-2</v>
      </c>
      <c r="Z65" s="1310">
        <f t="shared" si="50"/>
        <v>-2.3843258552602171E-2</v>
      </c>
      <c r="AA65" s="1310">
        <f t="shared" si="50"/>
        <v>-1.2942671889192844E-2</v>
      </c>
      <c r="AC65" s="144">
        <f>M65-'Table B-Step2'!Q65</f>
        <v>-55.719356599263847</v>
      </c>
      <c r="AD65" s="1294">
        <f t="shared" si="7"/>
        <v>3.5994426495629818E-2</v>
      </c>
      <c r="AE65" s="1294">
        <f t="shared" si="8"/>
        <v>-2.6868941955480078E-5</v>
      </c>
      <c r="AF65" s="144">
        <f>W65-'Table B-Step2'!S65</f>
        <v>-17.211208281114523</v>
      </c>
      <c r="AG65" s="1294">
        <f t="shared" si="9"/>
        <v>3.4808893982519204E-4</v>
      </c>
      <c r="AH65" s="144">
        <f>V65-'Table B-Step1'!O65</f>
        <v>-28.768138228402677</v>
      </c>
      <c r="AI65" s="1294">
        <f>AH65/V65</f>
        <v>1.0691850018587578E-3</v>
      </c>
      <c r="AJ65" s="1294">
        <f>'Table A-Step1'!Y50</f>
        <v>1.1307391271752908E-2</v>
      </c>
      <c r="AK65" s="1294">
        <f>(M65+X65)/'Table A-Step1'!Q50-1</f>
        <v>1.1152394791190678E-2</v>
      </c>
      <c r="AL65" s="1294">
        <f>M65/(M65+X65)-1</f>
        <v>1.3112381135921058E-2</v>
      </c>
    </row>
    <row r="66" spans="1:38" ht="16.5" thickTop="1">
      <c r="E66" s="90"/>
      <c r="AI66" s="1297" t="s">
        <v>2345</v>
      </c>
      <c r="AJ66" s="1379">
        <f>'Table A-Step1'!Q50/'Table A-Step1'!I50*100</f>
        <v>8.1503332332796781</v>
      </c>
      <c r="AK66" s="1379">
        <f>'Table A-Step2'!U50/'Table A-Step2'!I50*100</f>
        <v>8.1505104281192722</v>
      </c>
      <c r="AL66" s="1379">
        <f>M65/I65*100</f>
        <v>8.3492911024229919</v>
      </c>
    </row>
    <row r="67" spans="1:38">
      <c r="A67" s="2044"/>
      <c r="B67" s="2045"/>
      <c r="C67" s="2045"/>
      <c r="D67" s="90"/>
      <c r="E67" s="2045"/>
      <c r="I67" s="90"/>
      <c r="J67" s="90"/>
      <c r="K67" s="1856"/>
      <c r="L67" s="1857"/>
      <c r="M67" s="1858" t="s">
        <v>1736</v>
      </c>
      <c r="N67" s="1857"/>
      <c r="O67" s="1859">
        <f>'COS Target'!M24/1000</f>
        <v>72049.906543249992</v>
      </c>
      <c r="P67" s="1857"/>
      <c r="Q67" s="1860"/>
      <c r="U67" s="1512" t="s">
        <v>1936</v>
      </c>
      <c r="V67" s="1488">
        <f>-26906605/1000</f>
        <v>-26906.605</v>
      </c>
      <c r="W67" s="1488">
        <f>-49444859/1000</f>
        <v>-49444.858999999997</v>
      </c>
      <c r="X67" s="1488">
        <f>-26839812/1000</f>
        <v>-26839.812000000002</v>
      </c>
      <c r="Y67" s="1485"/>
      <c r="Z67" s="1485"/>
      <c r="AA67" s="1485"/>
      <c r="AJ67" s="1379">
        <f>K65/I65*100</f>
        <v>8.0592046529298678</v>
      </c>
    </row>
    <row r="68" spans="1:38">
      <c r="A68" s="2045"/>
      <c r="B68" s="2045"/>
      <c r="C68" s="2046"/>
      <c r="D68" s="90"/>
      <c r="E68" s="2045"/>
      <c r="I68" s="90"/>
      <c r="J68" s="90"/>
      <c r="K68" s="1861"/>
      <c r="L68" s="90"/>
      <c r="M68" s="1366" t="s">
        <v>1738</v>
      </c>
      <c r="N68" s="90"/>
      <c r="O68" s="1367">
        <f>O67/K65</f>
        <v>3.5994431032362724E-2</v>
      </c>
      <c r="P68" s="90"/>
      <c r="Q68" s="1368"/>
      <c r="U68" s="1513" t="s">
        <v>465</v>
      </c>
      <c r="V68" s="1478">
        <f>V67/$M65</f>
        <v>-1.2974880761160504E-2</v>
      </c>
      <c r="W68" s="1478">
        <f>W67/$M65</f>
        <v>-2.3843258923873664E-2</v>
      </c>
      <c r="X68" s="1478">
        <f>X67/$M65</f>
        <v>-1.2942671896062876E-2</v>
      </c>
      <c r="Y68" s="1485"/>
      <c r="Z68" s="1485"/>
      <c r="AA68" s="1485"/>
    </row>
    <row r="69" spans="1:38">
      <c r="A69" s="2045"/>
      <c r="B69" s="2045"/>
      <c r="C69" s="2046"/>
      <c r="D69" s="90"/>
      <c r="E69" s="2045"/>
      <c r="I69" s="90"/>
      <c r="J69" s="90"/>
      <c r="K69" s="1861"/>
      <c r="L69" s="90"/>
      <c r="M69" s="1366" t="s">
        <v>1737</v>
      </c>
      <c r="N69" s="90"/>
      <c r="O69" s="1367">
        <f>O67/(K65-K52-K49)</f>
        <v>3.7414711678989354E-2</v>
      </c>
      <c r="P69" s="90"/>
      <c r="Q69" s="1368"/>
      <c r="U69" s="1513" t="s">
        <v>1727</v>
      </c>
      <c r="V69" s="1478">
        <v>1.0166461936375937</v>
      </c>
      <c r="W69" s="1478">
        <v>1.0166461527475965</v>
      </c>
      <c r="X69" s="1478">
        <v>1.0166461703113612</v>
      </c>
      <c r="Y69" s="1485"/>
      <c r="Z69" s="1485"/>
      <c r="AA69" s="1485"/>
    </row>
    <row r="70" spans="1:38">
      <c r="A70" s="2045"/>
      <c r="B70" s="2045"/>
      <c r="C70" s="2046"/>
      <c r="D70" s="90"/>
      <c r="E70" s="2045"/>
      <c r="I70" s="90"/>
      <c r="J70" s="90"/>
      <c r="K70" s="1861"/>
      <c r="L70" s="90"/>
      <c r="M70" s="1366" t="s">
        <v>1739</v>
      </c>
      <c r="N70" s="90"/>
      <c r="O70" s="1369">
        <f>O67/(K65-K49-K52-K61+K59+K60-K20-K53-K63)</f>
        <v>3.7674996274215125E-2</v>
      </c>
      <c r="P70" s="90"/>
      <c r="Q70" s="1370" t="s">
        <v>1727</v>
      </c>
      <c r="U70" s="1367"/>
      <c r="V70" s="1489">
        <f>V65-V67</f>
        <v>2.6986460215994157E-4</v>
      </c>
      <c r="W70" s="1489">
        <f>W65-W67</f>
        <v>7.6992271351628006E-4</v>
      </c>
      <c r="X70" s="1489">
        <f>X65-X67</f>
        <v>1.4246699720388278E-5</v>
      </c>
      <c r="Y70" s="1486"/>
      <c r="Z70" s="1486"/>
      <c r="AA70" s="1486"/>
    </row>
    <row r="71" spans="1:38">
      <c r="A71" s="2045"/>
      <c r="B71" s="2045"/>
      <c r="C71" s="2046"/>
      <c r="D71" s="90"/>
      <c r="E71" s="2045"/>
      <c r="I71" s="90"/>
      <c r="J71" s="90"/>
      <c r="K71" s="1861"/>
      <c r="L71" s="90"/>
      <c r="M71" s="1371" t="s">
        <v>1729</v>
      </c>
      <c r="N71" s="90"/>
      <c r="O71" s="1367">
        <f>$O$74+Q71</f>
        <v>6.7146733796073471E-2</v>
      </c>
      <c r="P71" s="90"/>
      <c r="Q71" s="1372">
        <v>0.03</v>
      </c>
      <c r="U71" s="1372">
        <v>0.02</v>
      </c>
      <c r="V71" s="1367"/>
      <c r="W71" s="1367"/>
      <c r="X71" s="1367"/>
      <c r="Y71" s="1487"/>
      <c r="Z71" s="1487"/>
      <c r="AA71" s="1487"/>
    </row>
    <row r="72" spans="1:38">
      <c r="A72" s="2045"/>
      <c r="B72" s="2045"/>
      <c r="C72" s="2046"/>
      <c r="D72" s="90"/>
      <c r="E72" s="2045"/>
      <c r="I72" s="90"/>
      <c r="J72" s="90"/>
      <c r="K72" s="1861"/>
      <c r="L72" s="90"/>
      <c r="M72" s="1373" t="s">
        <v>1730</v>
      </c>
      <c r="N72" s="90"/>
      <c r="O72" s="1367">
        <f t="shared" ref="O72:O76" si="51">$O$74+Q72</f>
        <v>1.7146733796073465E-2</v>
      </c>
      <c r="P72" s="90"/>
      <c r="Q72" s="1372">
        <v>-0.02</v>
      </c>
      <c r="U72" s="1372">
        <v>-0.01</v>
      </c>
      <c r="V72" s="1367"/>
      <c r="W72" s="1367"/>
      <c r="X72" s="1367"/>
      <c r="Y72" s="1487"/>
      <c r="Z72" s="1487"/>
      <c r="AA72" s="1487"/>
    </row>
    <row r="73" spans="1:38">
      <c r="A73" s="2045"/>
      <c r="B73" s="2045"/>
      <c r="C73" s="2046"/>
      <c r="D73" s="90"/>
      <c r="E73" s="2045"/>
      <c r="I73" s="90"/>
      <c r="J73" s="90"/>
      <c r="K73" s="1861"/>
      <c r="L73" s="90"/>
      <c r="M73" s="1373" t="s">
        <v>1728</v>
      </c>
      <c r="N73" s="90"/>
      <c r="O73" s="1367">
        <f t="shared" si="51"/>
        <v>1.7146733796073465E-2</v>
      </c>
      <c r="P73" s="90"/>
      <c r="Q73" s="1372">
        <v>-0.02</v>
      </c>
      <c r="U73" s="1372">
        <v>-0.01</v>
      </c>
      <c r="V73" s="1367"/>
      <c r="W73" s="1367"/>
      <c r="X73" s="1367"/>
      <c r="Y73" s="1487"/>
      <c r="Z73" s="1487"/>
      <c r="AA73" s="1487"/>
    </row>
    <row r="74" spans="1:38">
      <c r="A74" s="2045"/>
      <c r="B74" s="2045"/>
      <c r="C74" s="2046"/>
      <c r="D74" s="90"/>
      <c r="E74" s="2045"/>
      <c r="I74" s="90"/>
      <c r="J74" s="90"/>
      <c r="K74" s="1861"/>
      <c r="L74" s="90"/>
      <c r="M74" s="1366" t="s">
        <v>1731</v>
      </c>
      <c r="N74" s="90"/>
      <c r="O74" s="1369">
        <f>O70+Q74</f>
        <v>3.7146733796073465E-2</v>
      </c>
      <c r="P74" s="90"/>
      <c r="Q74" s="1374">
        <v>-5.2826247814165837E-4</v>
      </c>
      <c r="S74" s="1379">
        <f>O65-O67</f>
        <v>-9.0811598493019119E-3</v>
      </c>
      <c r="U74" s="1374">
        <v>-7.1572183660504078E-4</v>
      </c>
      <c r="V74" s="1367"/>
      <c r="W74" s="1367"/>
      <c r="X74" s="1367"/>
      <c r="Y74" s="1487"/>
      <c r="Z74" s="1487"/>
      <c r="AA74" s="1487"/>
    </row>
    <row r="75" spans="1:38">
      <c r="A75" s="2045"/>
      <c r="B75" s="2045"/>
      <c r="C75" s="2046"/>
      <c r="D75" s="90"/>
      <c r="E75" s="2045"/>
      <c r="I75" s="90"/>
      <c r="J75" s="90"/>
      <c r="K75" s="1861"/>
      <c r="L75" s="90"/>
      <c r="M75" s="1366">
        <v>10</v>
      </c>
      <c r="N75" s="90"/>
      <c r="O75" s="1367">
        <f t="shared" si="51"/>
        <v>3.7146733796073465E-2</v>
      </c>
      <c r="P75" s="90"/>
      <c r="Q75" s="1372">
        <v>0</v>
      </c>
      <c r="U75" s="1372">
        <v>0</v>
      </c>
      <c r="V75" s="1367"/>
      <c r="W75" s="1367"/>
      <c r="X75" s="1367"/>
      <c r="Y75" s="1487"/>
      <c r="Z75" s="1487"/>
      <c r="AA75" s="1487"/>
    </row>
    <row r="76" spans="1:38">
      <c r="A76" s="2045"/>
      <c r="B76" s="2045"/>
      <c r="C76" s="1485"/>
      <c r="D76" s="90"/>
      <c r="E76" s="2045"/>
      <c r="I76" s="90"/>
      <c r="J76" s="90"/>
      <c r="K76" s="1861"/>
      <c r="L76" s="90"/>
      <c r="M76" s="1380">
        <v>23</v>
      </c>
      <c r="N76" s="90"/>
      <c r="O76" s="1367">
        <f t="shared" si="51"/>
        <v>4.6733796073464284E-5</v>
      </c>
      <c r="P76" s="90"/>
      <c r="Q76" s="1372">
        <v>-3.7100000000000001E-2</v>
      </c>
      <c r="U76" s="1372">
        <v>-0.03</v>
      </c>
      <c r="V76" s="1367"/>
      <c r="W76" s="1367"/>
      <c r="X76" s="1367"/>
      <c r="Y76" s="1487"/>
      <c r="Z76" s="1487"/>
      <c r="AA76" s="1487"/>
    </row>
    <row r="77" spans="1:38">
      <c r="A77" s="2045"/>
      <c r="B77" s="2045"/>
      <c r="C77" s="2046"/>
      <c r="D77" s="90"/>
      <c r="E77" s="2045"/>
      <c r="I77" s="90"/>
      <c r="J77" s="90"/>
      <c r="K77" s="1861"/>
      <c r="L77" s="90"/>
      <c r="M77" s="1366" t="s">
        <v>1733</v>
      </c>
      <c r="N77" s="90"/>
      <c r="O77" s="1367">
        <f>O68</f>
        <v>3.5994431032362724E-2</v>
      </c>
      <c r="P77" s="90"/>
      <c r="Q77" s="1372">
        <v>0</v>
      </c>
      <c r="U77" s="1372">
        <v>0</v>
      </c>
      <c r="V77" s="1367"/>
      <c r="W77" s="1367"/>
      <c r="X77" s="1367"/>
      <c r="Y77" s="1487"/>
      <c r="Z77" s="1487"/>
      <c r="AA77" s="1487"/>
    </row>
    <row r="78" spans="1:38">
      <c r="A78" s="2045"/>
      <c r="B78" s="2045"/>
      <c r="C78" s="2046"/>
      <c r="D78" s="90"/>
      <c r="E78" s="2045"/>
      <c r="I78" s="90"/>
      <c r="J78" s="90"/>
      <c r="K78" s="1861"/>
      <c r="L78" s="90"/>
      <c r="M78" s="1366" t="s">
        <v>1734</v>
      </c>
      <c r="N78" s="90"/>
      <c r="O78" s="1367">
        <f>O68</f>
        <v>3.5994431032362724E-2</v>
      </c>
      <c r="P78" s="90"/>
      <c r="Q78" s="1372">
        <v>0</v>
      </c>
      <c r="U78" s="1372">
        <v>0</v>
      </c>
      <c r="V78" s="1367"/>
      <c r="W78" s="1367"/>
      <c r="X78" s="1367"/>
      <c r="Y78" s="1487"/>
      <c r="Z78" s="1487"/>
      <c r="AA78" s="1487"/>
    </row>
    <row r="79" spans="1:38">
      <c r="A79" s="2045"/>
      <c r="B79" s="2045"/>
      <c r="C79" s="2046"/>
      <c r="D79" s="90"/>
      <c r="E79" s="2045"/>
      <c r="I79" s="90"/>
      <c r="J79" s="90"/>
      <c r="K79" s="1861"/>
      <c r="L79" s="90"/>
      <c r="M79" s="1366" t="s">
        <v>1735</v>
      </c>
      <c r="N79" s="90"/>
      <c r="O79" s="1375">
        <v>0</v>
      </c>
      <c r="P79" s="90"/>
      <c r="Q79" s="1372">
        <v>0</v>
      </c>
      <c r="U79" s="1372">
        <v>0</v>
      </c>
      <c r="V79" s="1367"/>
      <c r="W79" s="1367"/>
      <c r="X79" s="1367"/>
      <c r="Y79" s="1487"/>
      <c r="Z79" s="1487"/>
      <c r="AA79" s="1487"/>
    </row>
    <row r="80" spans="1:38">
      <c r="A80" s="2045"/>
      <c r="B80" s="2045"/>
      <c r="C80" s="2046"/>
      <c r="D80" s="90"/>
      <c r="E80" s="2045"/>
      <c r="I80" s="90"/>
      <c r="J80" s="90"/>
      <c r="K80" s="1861"/>
      <c r="L80" s="90"/>
      <c r="M80" s="1366">
        <v>7</v>
      </c>
      <c r="N80" s="90"/>
      <c r="O80" s="1375">
        <f>Q56</f>
        <v>-0.4457673435670601</v>
      </c>
      <c r="P80" s="90"/>
      <c r="Q80" s="1372">
        <v>0</v>
      </c>
      <c r="U80" s="1372">
        <v>0</v>
      </c>
      <c r="V80" s="1375"/>
      <c r="W80" s="1375"/>
      <c r="X80" s="1375"/>
      <c r="Y80" s="1487"/>
      <c r="Z80" s="1487"/>
      <c r="AA80" s="1487"/>
    </row>
    <row r="81" spans="1:27">
      <c r="A81" s="2045"/>
      <c r="B81" s="2045"/>
      <c r="C81" s="2046"/>
      <c r="D81" s="90"/>
      <c r="E81" s="2045"/>
      <c r="J81" s="90"/>
      <c r="K81" s="1861"/>
      <c r="L81" s="90"/>
      <c r="M81" s="1366">
        <v>11</v>
      </c>
      <c r="N81" s="90"/>
      <c r="O81" s="1375">
        <f t="shared" ref="O81:O82" si="52">Q57</f>
        <v>-8.3784127202439204E-2</v>
      </c>
      <c r="P81" s="90"/>
      <c r="Q81" s="1372">
        <v>0</v>
      </c>
      <c r="U81" s="1372">
        <v>0</v>
      </c>
      <c r="V81" s="1375"/>
      <c r="W81" s="1375"/>
      <c r="X81" s="1375"/>
      <c r="Y81" s="1487"/>
      <c r="Z81" s="1487"/>
      <c r="AA81" s="1487"/>
    </row>
    <row r="82" spans="1:27">
      <c r="K82" s="1861"/>
      <c r="L82" s="90"/>
      <c r="M82" s="1366">
        <v>12</v>
      </c>
      <c r="N82" s="90"/>
      <c r="O82" s="1375">
        <f t="shared" si="52"/>
        <v>-0.2602178854423281</v>
      </c>
      <c r="P82" s="90"/>
      <c r="Q82" s="1372">
        <v>0</v>
      </c>
      <c r="U82" s="1372">
        <v>0</v>
      </c>
    </row>
    <row r="83" spans="1:27">
      <c r="K83" s="1861"/>
      <c r="L83" s="90"/>
      <c r="M83" s="1366" t="s">
        <v>965</v>
      </c>
      <c r="N83" s="90"/>
      <c r="O83" s="1593">
        <f>'COS Target'!N19</f>
        <v>-0.31012499264859555</v>
      </c>
      <c r="P83" s="90"/>
      <c r="Q83" s="1372">
        <v>0</v>
      </c>
      <c r="U83" s="1372">
        <v>0</v>
      </c>
    </row>
    <row r="84" spans="1:27">
      <c r="K84" s="1376"/>
      <c r="L84" s="1514"/>
      <c r="M84" s="1515" t="s">
        <v>943</v>
      </c>
      <c r="N84" s="1514"/>
      <c r="O84" s="1592">
        <f t="shared" ref="O84" si="53">$O$74+Q84</f>
        <v>4.6733796073464284E-5</v>
      </c>
      <c r="P84" s="1514"/>
      <c r="Q84" s="1377">
        <v>-3.7100000000000001E-2</v>
      </c>
      <c r="U84" s="1377">
        <v>-0.03</v>
      </c>
    </row>
    <row r="85" spans="1:27">
      <c r="M85" s="1858" t="s">
        <v>2322</v>
      </c>
      <c r="O85" s="1859">
        <f>49511653/1000</f>
        <v>49511.652999999998</v>
      </c>
      <c r="Q85" s="1478">
        <f>(O85+K65)/(O67+K65)</f>
        <v>0.98913162210513428</v>
      </c>
    </row>
    <row r="86" spans="1:27">
      <c r="M86" s="1295" t="s">
        <v>1727</v>
      </c>
      <c r="Q86" s="76">
        <v>-1.3660378166732241E-3</v>
      </c>
    </row>
    <row r="87" spans="1:27">
      <c r="M87" s="1295" t="s">
        <v>2210</v>
      </c>
      <c r="Q87" s="76">
        <f>Q85+Q86</f>
        <v>0.98776558428846106</v>
      </c>
    </row>
    <row r="88" spans="1:27">
      <c r="Q88" s="2043">
        <f>O85-'Table B-Step1'!S65</f>
        <v>-0.14281869000842562</v>
      </c>
    </row>
  </sheetData>
  <printOptions horizontalCentered="1"/>
  <pageMargins left="0.5" right="0.5" top="1" bottom="0.5" header="0.5" footer="0.25"/>
  <pageSetup scale="48" orientation="landscape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rgb="FF0066FF"/>
    <pageSetUpPr fitToPage="1"/>
  </sheetPr>
  <dimension ref="A1:AD363"/>
  <sheetViews>
    <sheetView topLeftCell="A7" zoomScale="80" zoomScaleNormal="80" workbookViewId="0">
      <pane xSplit="3" ySplit="3" topLeftCell="D331" activePane="bottomRight" state="frozen"/>
      <selection activeCell="C355" sqref="C355"/>
      <selection pane="topRight" activeCell="C355" sqref="C355"/>
      <selection pane="bottomLeft" activeCell="C355" sqref="C355"/>
      <selection pane="bottomRight" activeCell="F351" sqref="F351"/>
    </sheetView>
  </sheetViews>
  <sheetFormatPr defaultColWidth="9.625" defaultRowHeight="15.75"/>
  <cols>
    <col min="1" max="1" width="13.125" style="445" customWidth="1"/>
    <col min="2" max="2" width="7.75" style="486" bestFit="1" customWidth="1"/>
    <col min="3" max="3" width="14.125" style="445" bestFit="1" customWidth="1"/>
    <col min="4" max="4" width="9.75" style="445" bestFit="1" customWidth="1"/>
    <col min="5" max="5" width="13.125" style="445" bestFit="1" customWidth="1"/>
    <col min="6" max="6" width="9.75" style="445" bestFit="1" customWidth="1"/>
    <col min="7" max="7" width="13.125" style="445" bestFit="1" customWidth="1"/>
    <col min="8" max="8" width="9.75" style="445" bestFit="1" customWidth="1"/>
    <col min="9" max="9" width="13.125" style="445" bestFit="1" customWidth="1"/>
    <col min="10" max="10" width="12.25" style="579" bestFit="1" customWidth="1"/>
    <col min="11" max="11" width="11" style="445" customWidth="1"/>
    <col min="12" max="12" width="8.625" style="445" bestFit="1" customWidth="1"/>
    <col min="13" max="13" width="12.625" style="446" bestFit="1" customWidth="1"/>
    <col min="14" max="14" width="10.125" style="445" bestFit="1" customWidth="1"/>
    <col min="15" max="15" width="12.125" style="445" bestFit="1" customWidth="1"/>
    <col min="16" max="16" width="10.125" style="445" bestFit="1" customWidth="1"/>
    <col min="17" max="17" width="12.125" style="445" bestFit="1" customWidth="1"/>
    <col min="18" max="18" width="10.125" style="445" bestFit="1" customWidth="1"/>
    <col min="19" max="19" width="12.125" style="445" bestFit="1" customWidth="1"/>
    <col min="20" max="20" width="12.125" style="581" bestFit="1" customWidth="1"/>
    <col min="21" max="21" width="13.125" style="445" customWidth="1"/>
    <col min="22" max="22" width="5.625" style="445" bestFit="1" customWidth="1"/>
    <col min="23" max="24" width="9.625" style="445"/>
    <col min="25" max="25" width="12.125" style="445" bestFit="1" customWidth="1"/>
    <col min="26" max="26" width="9.625" style="445"/>
    <col min="27" max="27" width="12.125" style="445" bestFit="1" customWidth="1"/>
    <col min="28" max="28" width="9.625" style="445"/>
    <col min="29" max="29" width="12.125" style="445" bestFit="1" customWidth="1"/>
    <col min="30" max="16384" width="9.625" style="445"/>
  </cols>
  <sheetData>
    <row r="1" spans="1:25" ht="18.75">
      <c r="A1" s="442" t="s">
        <v>547</v>
      </c>
      <c r="B1" s="443"/>
      <c r="C1" s="444"/>
      <c r="D1" s="444"/>
      <c r="E1" s="444"/>
      <c r="F1" s="444"/>
      <c r="G1" s="444"/>
      <c r="H1" s="444"/>
      <c r="I1" s="444"/>
    </row>
    <row r="2" spans="1:25" ht="18.75">
      <c r="A2" s="442" t="s">
        <v>83</v>
      </c>
      <c r="B2" s="443"/>
      <c r="C2" s="444"/>
      <c r="D2" s="444"/>
      <c r="E2" s="444"/>
      <c r="F2" s="444"/>
      <c r="G2" s="444"/>
      <c r="H2" s="444"/>
      <c r="I2" s="444"/>
    </row>
    <row r="3" spans="1:25" ht="18.75">
      <c r="A3" s="442" t="s">
        <v>148</v>
      </c>
      <c r="B3" s="447"/>
      <c r="C3" s="448"/>
      <c r="D3" s="448"/>
      <c r="E3" s="448"/>
      <c r="F3" s="448"/>
      <c r="G3" s="448"/>
      <c r="H3" s="448"/>
      <c r="I3" s="448"/>
      <c r="J3" s="458"/>
      <c r="K3" s="449"/>
      <c r="L3" s="449"/>
      <c r="M3" s="450"/>
      <c r="N3" s="449"/>
      <c r="P3" s="449"/>
      <c r="R3" s="449"/>
    </row>
    <row r="4" spans="1:25" ht="18.75">
      <c r="A4" s="442"/>
      <c r="B4" s="447"/>
      <c r="C4" s="448"/>
      <c r="D4" s="448"/>
      <c r="E4" s="448"/>
      <c r="F4" s="448"/>
      <c r="G4" s="448"/>
      <c r="H4" s="448"/>
      <c r="I4" s="448"/>
      <c r="J4" s="458"/>
      <c r="K4" s="449"/>
      <c r="L4" s="449"/>
      <c r="M4" s="450"/>
      <c r="N4" s="449"/>
      <c r="P4" s="449"/>
      <c r="R4" s="449"/>
    </row>
    <row r="7" spans="1:25">
      <c r="A7" s="451" t="s">
        <v>121</v>
      </c>
      <c r="B7" s="452"/>
      <c r="C7" s="448"/>
      <c r="D7" s="448"/>
      <c r="E7" s="448"/>
      <c r="F7" s="448"/>
      <c r="G7" s="448"/>
      <c r="H7" s="448"/>
      <c r="I7" s="448"/>
      <c r="J7" s="458"/>
      <c r="K7" s="451" t="s">
        <v>452</v>
      </c>
      <c r="L7" s="452"/>
      <c r="M7" s="448"/>
      <c r="N7" s="448"/>
      <c r="O7" s="448"/>
      <c r="P7" s="448"/>
      <c r="Q7" s="448"/>
      <c r="R7" s="448"/>
      <c r="S7" s="448"/>
      <c r="T7" s="458"/>
      <c r="U7" s="448"/>
      <c r="W7" s="947"/>
      <c r="X7" s="948" t="s">
        <v>1309</v>
      </c>
      <c r="Y7" s="949"/>
    </row>
    <row r="8" spans="1:25">
      <c r="A8" s="449"/>
      <c r="B8" s="454"/>
      <c r="C8" s="449"/>
      <c r="D8" s="455" t="s">
        <v>425</v>
      </c>
      <c r="E8" s="455" t="s">
        <v>425</v>
      </c>
      <c r="F8" s="455" t="s">
        <v>494</v>
      </c>
      <c r="G8" s="455" t="s">
        <v>494</v>
      </c>
      <c r="H8" s="455" t="s">
        <v>216</v>
      </c>
      <c r="I8" s="455" t="s">
        <v>216</v>
      </c>
      <c r="J8" s="458"/>
      <c r="K8" s="449"/>
      <c r="L8" s="454"/>
      <c r="M8" s="449"/>
      <c r="N8" s="455" t="s">
        <v>425</v>
      </c>
      <c r="O8" s="455" t="s">
        <v>425</v>
      </c>
      <c r="P8" s="455" t="s">
        <v>494</v>
      </c>
      <c r="Q8" s="455" t="s">
        <v>494</v>
      </c>
      <c r="R8" s="455" t="s">
        <v>216</v>
      </c>
      <c r="S8" s="455" t="s">
        <v>216</v>
      </c>
      <c r="T8" s="458"/>
      <c r="U8" s="449"/>
      <c r="W8" s="950"/>
      <c r="X8" s="951">
        <v>2019</v>
      </c>
      <c r="Y8" s="949">
        <v>2019</v>
      </c>
    </row>
    <row r="9" spans="1:25">
      <c r="A9" s="456" t="s">
        <v>110</v>
      </c>
      <c r="B9" s="457" t="s">
        <v>571</v>
      </c>
      <c r="C9" s="456" t="s">
        <v>109</v>
      </c>
      <c r="D9" s="456" t="s">
        <v>99</v>
      </c>
      <c r="E9" s="456" t="s">
        <v>496</v>
      </c>
      <c r="F9" s="456" t="s">
        <v>99</v>
      </c>
      <c r="G9" s="456" t="s">
        <v>496</v>
      </c>
      <c r="H9" s="456" t="s">
        <v>99</v>
      </c>
      <c r="I9" s="456" t="s">
        <v>496</v>
      </c>
      <c r="J9" s="458" t="s">
        <v>251</v>
      </c>
      <c r="K9" s="456" t="s">
        <v>110</v>
      </c>
      <c r="L9" s="457" t="s">
        <v>571</v>
      </c>
      <c r="M9" s="456" t="s">
        <v>109</v>
      </c>
      <c r="N9" s="456" t="s">
        <v>99</v>
      </c>
      <c r="O9" s="456" t="s">
        <v>496</v>
      </c>
      <c r="P9" s="456" t="s">
        <v>99</v>
      </c>
      <c r="Q9" s="456" t="s">
        <v>496</v>
      </c>
      <c r="R9" s="456" t="s">
        <v>99</v>
      </c>
      <c r="S9" s="456" t="s">
        <v>496</v>
      </c>
      <c r="T9" s="458"/>
      <c r="U9" s="449"/>
      <c r="W9" s="941" t="s">
        <v>448</v>
      </c>
      <c r="X9" s="940">
        <v>-3.9100000000000003E-2</v>
      </c>
      <c r="Y9" s="942">
        <v>-3.9100000000000003E-2</v>
      </c>
    </row>
    <row r="10" spans="1:25">
      <c r="A10" s="618">
        <v>43466</v>
      </c>
      <c r="B10" s="461">
        <v>1</v>
      </c>
      <c r="C10" s="469">
        <f>ROUND(C12*J10,3)</f>
        <v>2780.5970000000002</v>
      </c>
      <c r="D10" s="952">
        <f>0.088498*(1+$Y$9)</f>
        <v>8.5037728199999996E-2</v>
      </c>
      <c r="E10" s="464">
        <f>ROUND(D10*$C10*1000,2)</f>
        <v>236455.65</v>
      </c>
      <c r="F10" s="620">
        <f>D10</f>
        <v>8.5037728199999996E-2</v>
      </c>
      <c r="G10" s="464">
        <f>ROUND(F10*$C10*1000,2)</f>
        <v>236455.65</v>
      </c>
      <c r="H10" s="620">
        <f>F10</f>
        <v>8.5037728199999996E-2</v>
      </c>
      <c r="I10" s="464">
        <f>ROUND(H10*$C10*1000,2)</f>
        <v>236455.65</v>
      </c>
      <c r="J10" s="641">
        <f>'123'!M24</f>
        <v>0.53962992681653466</v>
      </c>
      <c r="K10" s="460">
        <f>A10</f>
        <v>43466</v>
      </c>
      <c r="L10" s="461">
        <v>1</v>
      </c>
      <c r="M10" s="469">
        <f>ROUND(M12*T$16,3)</f>
        <v>72.778999999999996</v>
      </c>
      <c r="N10" s="463">
        <f>D10</f>
        <v>8.5037728199999996E-2</v>
      </c>
      <c r="O10" s="464">
        <f>ROUND(N10*$M10*1000,2)</f>
        <v>6188.96</v>
      </c>
      <c r="P10" s="463">
        <f>F10</f>
        <v>8.5037728199999996E-2</v>
      </c>
      <c r="Q10" s="464">
        <f>ROUND(P10*$M10*1000,2)</f>
        <v>6188.96</v>
      </c>
      <c r="R10" s="463">
        <f>H10</f>
        <v>8.5037728199999996E-2</v>
      </c>
      <c r="S10" s="464">
        <f>ROUND(R10*$M10*1000,2)</f>
        <v>6188.96</v>
      </c>
      <c r="T10" s="580"/>
      <c r="U10" s="449"/>
      <c r="W10" s="941" t="s">
        <v>449</v>
      </c>
      <c r="X10" s="940">
        <v>-3.9100000000000003E-2</v>
      </c>
      <c r="Y10" s="942">
        <v>-3.9100000000000003E-2</v>
      </c>
    </row>
    <row r="11" spans="1:25">
      <c r="A11" s="618">
        <v>43466</v>
      </c>
      <c r="B11" s="461">
        <v>2</v>
      </c>
      <c r="C11" s="469">
        <f>C12-C10</f>
        <v>2372.1873842707723</v>
      </c>
      <c r="D11" s="952">
        <f>0.107072*(1+$Y$9)</f>
        <v>0.1028854848</v>
      </c>
      <c r="E11" s="464">
        <f>ROUND(D11*$C11*1000,2)</f>
        <v>244063.65</v>
      </c>
      <c r="F11" s="620">
        <f>D11</f>
        <v>0.1028854848</v>
      </c>
      <c r="G11" s="464">
        <f>ROUND(F11*$C11*1000,2)</f>
        <v>244063.65</v>
      </c>
      <c r="H11" s="620">
        <f>F11</f>
        <v>0.1028854848</v>
      </c>
      <c r="I11" s="464">
        <f>ROUND(H11*$C11*1000,2)</f>
        <v>244063.65</v>
      </c>
      <c r="J11" s="458"/>
      <c r="K11" s="460">
        <f>A11</f>
        <v>43466</v>
      </c>
      <c r="L11" s="461">
        <v>2</v>
      </c>
      <c r="M11" s="469">
        <f>M12-M10</f>
        <v>49.591285456087164</v>
      </c>
      <c r="N11" s="463">
        <f>D11</f>
        <v>0.1028854848</v>
      </c>
      <c r="O11" s="464">
        <f>ROUND(N11*$M11*1000,2)</f>
        <v>5102.22</v>
      </c>
      <c r="P11" s="463">
        <f>F11</f>
        <v>0.1028854848</v>
      </c>
      <c r="Q11" s="464">
        <f>ROUND(P11*$M11*1000,2)</f>
        <v>5102.22</v>
      </c>
      <c r="R11" s="463">
        <f>H11</f>
        <v>0.1028854848</v>
      </c>
      <c r="S11" s="464">
        <f>ROUND(R11*$M11*1000,2)</f>
        <v>5102.22</v>
      </c>
      <c r="T11" s="458" t="s">
        <v>780</v>
      </c>
      <c r="U11" s="449"/>
      <c r="W11" s="943" t="s">
        <v>668</v>
      </c>
      <c r="X11" s="940">
        <v>-3.9100000000000003E-2</v>
      </c>
      <c r="Y11" s="942">
        <v>-3.9100000000000003E-2</v>
      </c>
    </row>
    <row r="12" spans="1:25">
      <c r="A12" s="618"/>
      <c r="B12" s="461" t="s">
        <v>93</v>
      </c>
      <c r="C12" s="462">
        <f>TempMWH!C4</f>
        <v>5152.7843842707725</v>
      </c>
      <c r="D12" s="746"/>
      <c r="E12" s="464"/>
      <c r="F12" s="746"/>
      <c r="G12" s="464"/>
      <c r="H12" s="746"/>
      <c r="I12" s="464"/>
      <c r="J12" s="458"/>
      <c r="K12" s="460"/>
      <c r="L12" s="461" t="s">
        <v>93</v>
      </c>
      <c r="M12" s="462">
        <f>TempMWH!E4</f>
        <v>122.37028545608716</v>
      </c>
      <c r="N12" s="463"/>
      <c r="O12" s="464"/>
      <c r="P12" s="463"/>
      <c r="Q12" s="464"/>
      <c r="R12" s="463"/>
      <c r="S12" s="464"/>
      <c r="T12" s="458">
        <f>'123'!P26</f>
        <v>0.56083733205302377</v>
      </c>
      <c r="U12" s="449"/>
      <c r="W12" s="943" t="s">
        <v>492</v>
      </c>
      <c r="X12" s="940">
        <v>-3.61E-2</v>
      </c>
      <c r="Y12" s="942">
        <v>-3.61E-2</v>
      </c>
    </row>
    <row r="13" spans="1:25">
      <c r="A13" s="618">
        <v>43497</v>
      </c>
      <c r="B13" s="461">
        <v>1</v>
      </c>
      <c r="C13" s="469">
        <f>ROUND(C15*J13,3)</f>
        <v>-2016.921</v>
      </c>
      <c r="D13" s="620">
        <f>$D$10</f>
        <v>8.5037728199999996E-2</v>
      </c>
      <c r="E13" s="464">
        <f t="shared" ref="E13:I14" si="0">ROUND(D13*$C13*1000,2)</f>
        <v>-171514.38</v>
      </c>
      <c r="F13" s="620">
        <f t="shared" ref="F13:F14" si="1">D13</f>
        <v>8.5037728199999996E-2</v>
      </c>
      <c r="G13" s="464">
        <f t="shared" ref="G13:G14" si="2">ROUND(F13*$C13*1000,2)</f>
        <v>-171514.38</v>
      </c>
      <c r="H13" s="620">
        <f t="shared" ref="H13:H14" si="3">F13</f>
        <v>8.5037728199999996E-2</v>
      </c>
      <c r="I13" s="464">
        <f t="shared" si="0"/>
        <v>-171514.38</v>
      </c>
      <c r="J13" s="458">
        <f>$J$10</f>
        <v>0.53962992681653466</v>
      </c>
      <c r="K13" s="460">
        <f t="shared" ref="K13:K14" si="4">A13</f>
        <v>43497</v>
      </c>
      <c r="L13" s="461">
        <v>1</v>
      </c>
      <c r="M13" s="469">
        <f>ROUND(M15*T$16,3)</f>
        <v>-56.442999999999998</v>
      </c>
      <c r="N13" s="463">
        <f t="shared" ref="N13:R14" si="5">D13</f>
        <v>8.5037728199999996E-2</v>
      </c>
      <c r="O13" s="464">
        <f t="shared" ref="O13:S14" si="6">ROUND(N13*$M13*1000,2)</f>
        <v>-4799.78</v>
      </c>
      <c r="P13" s="463">
        <f t="shared" si="5"/>
        <v>8.5037728199999996E-2</v>
      </c>
      <c r="Q13" s="464">
        <f t="shared" ref="Q13:Q14" si="7">ROUND(P13*$M13*1000,2)</f>
        <v>-4799.78</v>
      </c>
      <c r="R13" s="463">
        <f t="shared" si="5"/>
        <v>8.5037728199999996E-2</v>
      </c>
      <c r="S13" s="464">
        <f t="shared" si="6"/>
        <v>-4799.78</v>
      </c>
      <c r="T13" s="458">
        <f>'123'!Q26</f>
        <v>0.33959126596303585</v>
      </c>
      <c r="U13" s="449"/>
      <c r="W13" s="943" t="s">
        <v>69</v>
      </c>
      <c r="X13" s="940">
        <v>-4.99E-2</v>
      </c>
      <c r="Y13" s="942">
        <v>-4.99E-2</v>
      </c>
    </row>
    <row r="14" spans="1:25">
      <c r="A14" s="618">
        <v>43497</v>
      </c>
      <c r="B14" s="461">
        <v>2</v>
      </c>
      <c r="C14" s="469">
        <f>C15-C13</f>
        <v>-1720.6784750459753</v>
      </c>
      <c r="D14" s="620">
        <f>$D$11</f>
        <v>0.1028854848</v>
      </c>
      <c r="E14" s="464">
        <f t="shared" si="0"/>
        <v>-177032.84</v>
      </c>
      <c r="F14" s="620">
        <f t="shared" si="1"/>
        <v>0.1028854848</v>
      </c>
      <c r="G14" s="464">
        <f t="shared" si="2"/>
        <v>-177032.84</v>
      </c>
      <c r="H14" s="620">
        <f t="shared" si="3"/>
        <v>0.1028854848</v>
      </c>
      <c r="I14" s="464">
        <f t="shared" si="0"/>
        <v>-177032.84</v>
      </c>
      <c r="J14" s="458"/>
      <c r="K14" s="460">
        <f t="shared" si="4"/>
        <v>43497</v>
      </c>
      <c r="L14" s="461">
        <v>2</v>
      </c>
      <c r="M14" s="469">
        <f>M15-M13</f>
        <v>-38.459431171395678</v>
      </c>
      <c r="N14" s="463">
        <f t="shared" si="5"/>
        <v>0.1028854848</v>
      </c>
      <c r="O14" s="464">
        <f t="shared" si="6"/>
        <v>-3956.92</v>
      </c>
      <c r="P14" s="463">
        <f t="shared" si="5"/>
        <v>0.1028854848</v>
      </c>
      <c r="Q14" s="464">
        <f t="shared" si="7"/>
        <v>-3956.92</v>
      </c>
      <c r="R14" s="463">
        <f t="shared" si="5"/>
        <v>0.1028854848</v>
      </c>
      <c r="S14" s="464">
        <f t="shared" si="6"/>
        <v>-3956.92</v>
      </c>
      <c r="T14" s="458"/>
      <c r="U14" s="449"/>
      <c r="W14" s="943" t="s">
        <v>493</v>
      </c>
      <c r="X14" s="940">
        <v>-3.61E-2</v>
      </c>
      <c r="Y14" s="942">
        <v>-3.61E-2</v>
      </c>
    </row>
    <row r="15" spans="1:25">
      <c r="A15" s="618"/>
      <c r="B15" s="461" t="s">
        <v>93</v>
      </c>
      <c r="C15" s="462">
        <f>TempMWH!C5</f>
        <v>-3737.5994750459754</v>
      </c>
      <c r="D15" s="746"/>
      <c r="E15" s="464"/>
      <c r="F15" s="746"/>
      <c r="G15" s="464"/>
      <c r="H15" s="746"/>
      <c r="I15" s="464"/>
      <c r="J15" s="458"/>
      <c r="K15" s="460"/>
      <c r="L15" s="461" t="s">
        <v>93</v>
      </c>
      <c r="M15" s="462">
        <f>TempMWH!E5</f>
        <v>-94.902431171395676</v>
      </c>
      <c r="N15" s="463"/>
      <c r="O15" s="464"/>
      <c r="P15" s="463"/>
      <c r="Q15" s="464"/>
      <c r="R15" s="463"/>
      <c r="S15" s="464"/>
      <c r="T15" s="458" t="s">
        <v>781</v>
      </c>
      <c r="U15" s="449"/>
      <c r="W15" s="943" t="s">
        <v>467</v>
      </c>
      <c r="X15" s="940">
        <v>-3.1800000000000002E-2</v>
      </c>
      <c r="Y15" s="942">
        <v>-3.1800000000000002E-2</v>
      </c>
    </row>
    <row r="16" spans="1:25">
      <c r="A16" s="618">
        <v>43525</v>
      </c>
      <c r="B16" s="461">
        <v>1</v>
      </c>
      <c r="C16" s="469">
        <f>ROUND(C18*J16,3)</f>
        <v>-3786.7179999999998</v>
      </c>
      <c r="D16" s="620">
        <f>$D$10</f>
        <v>8.5037728199999996E-2</v>
      </c>
      <c r="E16" s="464">
        <f t="shared" ref="E16:I17" si="8">ROUND(D16*$C16*1000,2)</f>
        <v>-322013.90000000002</v>
      </c>
      <c r="F16" s="620">
        <f t="shared" ref="F16:F17" si="9">D16</f>
        <v>8.5037728199999996E-2</v>
      </c>
      <c r="G16" s="464">
        <f t="shared" ref="G16:G17" si="10">ROUND(F16*$C16*1000,2)</f>
        <v>-322013.90000000002</v>
      </c>
      <c r="H16" s="620">
        <f t="shared" ref="H16:H17" si="11">F16</f>
        <v>8.5037728199999996E-2</v>
      </c>
      <c r="I16" s="464">
        <f t="shared" si="8"/>
        <v>-322013.90000000002</v>
      </c>
      <c r="J16" s="458">
        <f>$J$10</f>
        <v>0.53962992681653466</v>
      </c>
      <c r="K16" s="460">
        <f t="shared" ref="K16:K17" si="12">A16</f>
        <v>43525</v>
      </c>
      <c r="L16" s="461">
        <v>1</v>
      </c>
      <c r="M16" s="469">
        <f>ROUND(M18*T$16,3)</f>
        <v>-110.23099999999999</v>
      </c>
      <c r="N16" s="463">
        <f t="shared" ref="N16:R17" si="13">D16</f>
        <v>8.5037728199999996E-2</v>
      </c>
      <c r="O16" s="464">
        <f t="shared" ref="O16:S17" si="14">ROUND(N16*$M16*1000,2)</f>
        <v>-9373.7900000000009</v>
      </c>
      <c r="P16" s="463">
        <f t="shared" si="13"/>
        <v>8.5037728199999996E-2</v>
      </c>
      <c r="Q16" s="464">
        <f t="shared" ref="Q16:Q17" si="15">ROUND(P16*$M16*1000,2)</f>
        <v>-9373.7900000000009</v>
      </c>
      <c r="R16" s="463">
        <f t="shared" si="13"/>
        <v>8.5037728199999996E-2</v>
      </c>
      <c r="S16" s="464">
        <f t="shared" si="14"/>
        <v>-9373.7900000000009</v>
      </c>
      <c r="T16" s="458">
        <f>'123'!M26</f>
        <v>0.59474411699163676</v>
      </c>
      <c r="U16" s="449"/>
      <c r="W16" s="943" t="s">
        <v>204</v>
      </c>
      <c r="X16" s="940">
        <v>-4.2099999999999999E-2</v>
      </c>
      <c r="Y16" s="942">
        <v>-4.2099999999999999E-2</v>
      </c>
    </row>
    <row r="17" spans="1:25">
      <c r="A17" s="618">
        <v>43525</v>
      </c>
      <c r="B17" s="461">
        <v>2</v>
      </c>
      <c r="C17" s="469">
        <f>C18-C16</f>
        <v>-3230.5312078927936</v>
      </c>
      <c r="D17" s="620">
        <f>$D$11</f>
        <v>0.1028854848</v>
      </c>
      <c r="E17" s="464">
        <f t="shared" si="8"/>
        <v>-332374.77</v>
      </c>
      <c r="F17" s="620">
        <f t="shared" si="9"/>
        <v>0.1028854848</v>
      </c>
      <c r="G17" s="464">
        <f t="shared" si="10"/>
        <v>-332374.77</v>
      </c>
      <c r="H17" s="620">
        <f t="shared" si="11"/>
        <v>0.1028854848</v>
      </c>
      <c r="I17" s="464">
        <f t="shared" si="8"/>
        <v>-332374.77</v>
      </c>
      <c r="J17" s="458"/>
      <c r="K17" s="460">
        <f t="shared" si="12"/>
        <v>43525</v>
      </c>
      <c r="L17" s="461">
        <v>2</v>
      </c>
      <c r="M17" s="469">
        <f>M18-M16</f>
        <v>-75.111422475936621</v>
      </c>
      <c r="N17" s="463">
        <f t="shared" si="13"/>
        <v>0.1028854848</v>
      </c>
      <c r="O17" s="464">
        <f t="shared" si="14"/>
        <v>-7727.88</v>
      </c>
      <c r="P17" s="463">
        <f t="shared" si="13"/>
        <v>0.1028854848</v>
      </c>
      <c r="Q17" s="464">
        <f t="shared" si="15"/>
        <v>-7727.88</v>
      </c>
      <c r="R17" s="463">
        <f t="shared" si="13"/>
        <v>0.1028854848</v>
      </c>
      <c r="S17" s="464">
        <f t="shared" si="14"/>
        <v>-7727.88</v>
      </c>
      <c r="T17" s="458"/>
      <c r="U17" s="449"/>
      <c r="W17" s="944" t="s">
        <v>466</v>
      </c>
      <c r="X17" s="945">
        <v>-3.3099999999999997E-2</v>
      </c>
      <c r="Y17" s="946">
        <v>-3.3099999999999997E-2</v>
      </c>
    </row>
    <row r="18" spans="1:25">
      <c r="A18" s="618"/>
      <c r="B18" s="461" t="s">
        <v>93</v>
      </c>
      <c r="C18" s="462">
        <f>TempMWH!C6</f>
        <v>-7017.2492078927935</v>
      </c>
      <c r="D18" s="620"/>
      <c r="E18" s="464"/>
      <c r="F18" s="620"/>
      <c r="G18" s="464"/>
      <c r="H18" s="620"/>
      <c r="I18" s="464"/>
      <c r="J18" s="458"/>
      <c r="K18" s="460"/>
      <c r="L18" s="461" t="s">
        <v>93</v>
      </c>
      <c r="M18" s="462">
        <f>TempMWH!E6</f>
        <v>-185.34242247593662</v>
      </c>
      <c r="N18" s="463"/>
      <c r="O18" s="464"/>
      <c r="P18" s="463"/>
      <c r="Q18" s="464"/>
      <c r="R18" s="463"/>
      <c r="S18" s="464"/>
      <c r="T18" s="458"/>
      <c r="U18" s="449"/>
    </row>
    <row r="19" spans="1:25">
      <c r="A19" s="618">
        <v>43556</v>
      </c>
      <c r="B19" s="461">
        <v>1</v>
      </c>
      <c r="C19" s="469">
        <f>ROUND(C21*J19,3)</f>
        <v>5147.4989999999998</v>
      </c>
      <c r="D19" s="620">
        <f>$D$10</f>
        <v>8.5037728199999996E-2</v>
      </c>
      <c r="E19" s="464">
        <f t="shared" ref="E19:I20" si="16">ROUND(D19*$C19*1000,2)</f>
        <v>437731.62</v>
      </c>
      <c r="F19" s="620">
        <f t="shared" ref="F19:F20" si="17">D19</f>
        <v>8.5037728199999996E-2</v>
      </c>
      <c r="G19" s="464">
        <f t="shared" ref="G19:G20" si="18">ROUND(F19*$C19*1000,2)</f>
        <v>437731.62</v>
      </c>
      <c r="H19" s="620">
        <f t="shared" ref="H19:H20" si="19">F19</f>
        <v>8.5037728199999996E-2</v>
      </c>
      <c r="I19" s="464">
        <f t="shared" si="16"/>
        <v>437731.62</v>
      </c>
      <c r="J19" s="458">
        <f>$J$10</f>
        <v>0.53962992681653466</v>
      </c>
      <c r="K19" s="460">
        <f t="shared" ref="K19:K20" si="20">A19</f>
        <v>43556</v>
      </c>
      <c r="L19" s="461">
        <v>1</v>
      </c>
      <c r="M19" s="469">
        <f>ROUND(M21*T$16,3)</f>
        <v>151.934</v>
      </c>
      <c r="N19" s="463">
        <f t="shared" ref="N19:R20" si="21">D19</f>
        <v>8.5037728199999996E-2</v>
      </c>
      <c r="O19" s="464">
        <f t="shared" ref="O19:S20" si="22">ROUND(N19*$M19*1000,2)</f>
        <v>12920.12</v>
      </c>
      <c r="P19" s="463">
        <f t="shared" si="21"/>
        <v>8.5037728199999996E-2</v>
      </c>
      <c r="Q19" s="464">
        <f t="shared" ref="Q19:Q20" si="23">ROUND(P19*$M19*1000,2)</f>
        <v>12920.12</v>
      </c>
      <c r="R19" s="463">
        <f t="shared" si="21"/>
        <v>8.5037728199999996E-2</v>
      </c>
      <c r="S19" s="464">
        <f t="shared" si="22"/>
        <v>12920.12</v>
      </c>
      <c r="T19" s="458"/>
      <c r="U19" s="449"/>
      <c r="W19" s="463"/>
    </row>
    <row r="20" spans="1:25">
      <c r="A20" s="618">
        <v>43556</v>
      </c>
      <c r="B20" s="461">
        <v>2</v>
      </c>
      <c r="C20" s="469">
        <f>C21-C19</f>
        <v>4391.4428718309755</v>
      </c>
      <c r="D20" s="620">
        <f>$D$11</f>
        <v>0.1028854848</v>
      </c>
      <c r="E20" s="464">
        <f t="shared" si="16"/>
        <v>451815.73</v>
      </c>
      <c r="F20" s="620">
        <f t="shared" si="17"/>
        <v>0.1028854848</v>
      </c>
      <c r="G20" s="464">
        <f t="shared" si="18"/>
        <v>451815.73</v>
      </c>
      <c r="H20" s="620">
        <f t="shared" si="19"/>
        <v>0.1028854848</v>
      </c>
      <c r="I20" s="464">
        <f t="shared" si="16"/>
        <v>451815.73</v>
      </c>
      <c r="J20" s="458"/>
      <c r="K20" s="460">
        <f t="shared" si="20"/>
        <v>43556</v>
      </c>
      <c r="L20" s="461">
        <v>2</v>
      </c>
      <c r="M20" s="469">
        <f>M21-M19</f>
        <v>103.52756709123926</v>
      </c>
      <c r="N20" s="463">
        <f t="shared" si="21"/>
        <v>0.1028854848</v>
      </c>
      <c r="O20" s="464">
        <f t="shared" si="22"/>
        <v>10651.48</v>
      </c>
      <c r="P20" s="463">
        <f t="shared" si="21"/>
        <v>0.1028854848</v>
      </c>
      <c r="Q20" s="464">
        <f t="shared" si="23"/>
        <v>10651.48</v>
      </c>
      <c r="R20" s="463">
        <f t="shared" si="21"/>
        <v>0.1028854848</v>
      </c>
      <c r="S20" s="464">
        <f t="shared" si="22"/>
        <v>10651.48</v>
      </c>
      <c r="T20" s="458"/>
      <c r="U20" s="449"/>
      <c r="W20" s="463"/>
    </row>
    <row r="21" spans="1:25">
      <c r="A21" s="618"/>
      <c r="B21" s="461" t="s">
        <v>93</v>
      </c>
      <c r="C21" s="462">
        <f>TempMWH!C7</f>
        <v>9538.9418718309753</v>
      </c>
      <c r="D21" s="620"/>
      <c r="E21" s="464"/>
      <c r="F21" s="620"/>
      <c r="G21" s="464"/>
      <c r="H21" s="620"/>
      <c r="I21" s="464"/>
      <c r="J21" s="458"/>
      <c r="K21" s="460"/>
      <c r="L21" s="461" t="s">
        <v>93</v>
      </c>
      <c r="M21" s="462">
        <f>TempMWH!E7</f>
        <v>255.46156709123926</v>
      </c>
      <c r="N21" s="463"/>
      <c r="O21" s="464"/>
      <c r="P21" s="463"/>
      <c r="Q21" s="464"/>
      <c r="R21" s="463"/>
      <c r="S21" s="464"/>
      <c r="T21" s="458"/>
      <c r="U21" s="449"/>
      <c r="W21" s="463"/>
    </row>
    <row r="22" spans="1:25">
      <c r="A22" s="618">
        <v>43586</v>
      </c>
      <c r="B22" s="461">
        <v>1</v>
      </c>
      <c r="C22" s="469">
        <f>ROUND(C25*J22,3)</f>
        <v>9551.277</v>
      </c>
      <c r="D22" s="952">
        <f>0.088498*(1+$Y$9)</f>
        <v>8.5037728199999996E-2</v>
      </c>
      <c r="E22" s="464">
        <f t="shared" ref="E22:I24" si="24">ROUND(D22*$C22*1000,2)</f>
        <v>812218.9</v>
      </c>
      <c r="F22" s="620">
        <f t="shared" ref="F22:F24" si="25">D22</f>
        <v>8.5037728199999996E-2</v>
      </c>
      <c r="G22" s="464">
        <f t="shared" ref="G22:G24" si="26">ROUND(F22*$C22*1000,2)</f>
        <v>812218.9</v>
      </c>
      <c r="H22" s="620">
        <f t="shared" ref="H22:H24" si="27">F22</f>
        <v>8.5037728199999996E-2</v>
      </c>
      <c r="I22" s="464">
        <f t="shared" si="24"/>
        <v>812218.9</v>
      </c>
      <c r="J22" s="641">
        <f>'123'!P24</f>
        <v>0.45189349904050696</v>
      </c>
      <c r="K22" s="460">
        <f t="shared" ref="K22:K24" si="28">A22</f>
        <v>43586</v>
      </c>
      <c r="L22" s="461">
        <v>1</v>
      </c>
      <c r="M22" s="469">
        <f>ROUND(M25*T$12,3)</f>
        <v>320.34800000000001</v>
      </c>
      <c r="N22" s="463">
        <f t="shared" ref="N22:R24" si="29">D22</f>
        <v>8.5037728199999996E-2</v>
      </c>
      <c r="O22" s="464">
        <f t="shared" ref="O22:S24" si="30">ROUND(N22*$M22*1000,2)</f>
        <v>27241.67</v>
      </c>
      <c r="P22" s="463">
        <f t="shared" si="29"/>
        <v>8.5037728199999996E-2</v>
      </c>
      <c r="Q22" s="464">
        <f t="shared" ref="Q22:Q24" si="31">ROUND(P22*$M22*1000,2)</f>
        <v>27241.67</v>
      </c>
      <c r="R22" s="463">
        <f t="shared" si="29"/>
        <v>8.5037728199999996E-2</v>
      </c>
      <c r="S22" s="464">
        <f t="shared" si="30"/>
        <v>27241.67</v>
      </c>
      <c r="T22" s="458"/>
      <c r="U22" s="449"/>
      <c r="W22" s="463"/>
    </row>
    <row r="23" spans="1:25">
      <c r="A23" s="618">
        <v>43586</v>
      </c>
      <c r="B23" s="461">
        <v>2</v>
      </c>
      <c r="C23" s="469">
        <f>ROUND(C25*J23,3)</f>
        <v>7634.0709999999999</v>
      </c>
      <c r="D23" s="952">
        <f>0.115429*(1+$Y$9)</f>
        <v>0.1109157261</v>
      </c>
      <c r="E23" s="464">
        <f t="shared" si="24"/>
        <v>846738.53</v>
      </c>
      <c r="F23" s="620">
        <f t="shared" si="25"/>
        <v>0.1109157261</v>
      </c>
      <c r="G23" s="464">
        <f t="shared" si="26"/>
        <v>846738.53</v>
      </c>
      <c r="H23" s="620">
        <f t="shared" si="27"/>
        <v>0.1109157261</v>
      </c>
      <c r="I23" s="464">
        <f t="shared" si="24"/>
        <v>846738.53</v>
      </c>
      <c r="J23" s="641">
        <f>'123'!Q24</f>
        <v>0.36118592986837977</v>
      </c>
      <c r="K23" s="460">
        <f t="shared" si="28"/>
        <v>43586</v>
      </c>
      <c r="L23" s="461">
        <v>2</v>
      </c>
      <c r="M23" s="469">
        <f>ROUND(M25*T$13,3)</f>
        <v>193.97300000000001</v>
      </c>
      <c r="N23" s="463">
        <f t="shared" si="29"/>
        <v>0.1109157261</v>
      </c>
      <c r="O23" s="464">
        <f t="shared" si="30"/>
        <v>21514.66</v>
      </c>
      <c r="P23" s="463">
        <f t="shared" si="29"/>
        <v>0.1109157261</v>
      </c>
      <c r="Q23" s="464">
        <f t="shared" si="31"/>
        <v>21514.66</v>
      </c>
      <c r="R23" s="463">
        <f t="shared" si="29"/>
        <v>0.1109157261</v>
      </c>
      <c r="S23" s="464">
        <f t="shared" si="30"/>
        <v>21514.66</v>
      </c>
      <c r="T23" s="458"/>
      <c r="U23" s="449"/>
      <c r="W23" s="463"/>
    </row>
    <row r="24" spans="1:25">
      <c r="A24" s="618">
        <v>43586</v>
      </c>
      <c r="B24" s="461">
        <v>3</v>
      </c>
      <c r="C24" s="469">
        <f>C25-C22-C23</f>
        <v>3950.7758008034889</v>
      </c>
      <c r="D24" s="952">
        <f>0.144508*(1+$Y$9)</f>
        <v>0.1388577372</v>
      </c>
      <c r="E24" s="464">
        <f t="shared" si="24"/>
        <v>548595.79</v>
      </c>
      <c r="F24" s="620">
        <f t="shared" si="25"/>
        <v>0.1388577372</v>
      </c>
      <c r="G24" s="464">
        <f t="shared" si="26"/>
        <v>548595.79</v>
      </c>
      <c r="H24" s="620">
        <f t="shared" si="27"/>
        <v>0.1388577372</v>
      </c>
      <c r="I24" s="464">
        <f t="shared" si="24"/>
        <v>548595.79</v>
      </c>
      <c r="J24" s="458"/>
      <c r="K24" s="460">
        <f t="shared" si="28"/>
        <v>43586</v>
      </c>
      <c r="L24" s="461">
        <v>3</v>
      </c>
      <c r="M24" s="469">
        <f>M25-M22-M23</f>
        <v>56.874871812647598</v>
      </c>
      <c r="N24" s="463">
        <f t="shared" si="29"/>
        <v>0.1388577372</v>
      </c>
      <c r="O24" s="464">
        <f t="shared" si="30"/>
        <v>7897.52</v>
      </c>
      <c r="P24" s="463">
        <f t="shared" si="29"/>
        <v>0.1388577372</v>
      </c>
      <c r="Q24" s="464">
        <f t="shared" si="31"/>
        <v>7897.52</v>
      </c>
      <c r="R24" s="463">
        <f t="shared" si="29"/>
        <v>0.1388577372</v>
      </c>
      <c r="S24" s="464">
        <f t="shared" si="30"/>
        <v>7897.52</v>
      </c>
      <c r="T24" s="458"/>
      <c r="U24" s="449"/>
      <c r="W24" s="463"/>
    </row>
    <row r="25" spans="1:25">
      <c r="A25" s="618"/>
      <c r="B25" s="461" t="s">
        <v>93</v>
      </c>
      <c r="C25" s="462">
        <f>TempMWH!C8</f>
        <v>21136.123800803489</v>
      </c>
      <c r="D25" s="621"/>
      <c r="E25" s="464"/>
      <c r="F25" s="621"/>
      <c r="G25" s="464"/>
      <c r="H25" s="621"/>
      <c r="I25" s="464"/>
      <c r="K25" s="460"/>
      <c r="L25" s="461" t="s">
        <v>93</v>
      </c>
      <c r="M25" s="462">
        <f>TempMWH!E8</f>
        <v>571.19587181264762</v>
      </c>
      <c r="N25" s="470"/>
      <c r="O25" s="464"/>
      <c r="P25" s="470"/>
      <c r="Q25" s="464"/>
      <c r="R25" s="470"/>
      <c r="S25" s="464"/>
      <c r="T25" s="579"/>
      <c r="U25" s="449"/>
      <c r="W25" s="470"/>
    </row>
    <row r="26" spans="1:25">
      <c r="A26" s="618">
        <v>43617</v>
      </c>
      <c r="B26" s="461">
        <v>1</v>
      </c>
      <c r="C26" s="469">
        <f>ROUND(C29*J26,3)</f>
        <v>14954.073</v>
      </c>
      <c r="D26" s="620">
        <f>D22</f>
        <v>8.5037728199999996E-2</v>
      </c>
      <c r="E26" s="464">
        <f t="shared" ref="E26:I28" si="32">ROUND(D26*$C26*1000,2)</f>
        <v>1271660.3999999999</v>
      </c>
      <c r="F26" s="620">
        <f t="shared" ref="F26:F28" si="33">D26</f>
        <v>8.5037728199999996E-2</v>
      </c>
      <c r="G26" s="464">
        <f t="shared" ref="G26:G28" si="34">ROUND(F26*$C26*1000,2)</f>
        <v>1271660.3999999999</v>
      </c>
      <c r="H26" s="620">
        <f t="shared" ref="H26:H28" si="35">F26</f>
        <v>8.5037728199999996E-2</v>
      </c>
      <c r="I26" s="464">
        <f t="shared" si="32"/>
        <v>1271660.3999999999</v>
      </c>
      <c r="J26" s="458">
        <f>$J$22</f>
        <v>0.45189349904050696</v>
      </c>
      <c r="K26" s="460">
        <f t="shared" ref="K26:K28" si="36">A26</f>
        <v>43617</v>
      </c>
      <c r="L26" s="461">
        <v>1</v>
      </c>
      <c r="M26" s="469">
        <f>ROUND(M29*T$12,3)</f>
        <v>478.053</v>
      </c>
      <c r="N26" s="463">
        <f t="shared" ref="N26:R28" si="37">D26</f>
        <v>8.5037728199999996E-2</v>
      </c>
      <c r="O26" s="464">
        <f t="shared" ref="O26:S28" si="38">ROUND(N26*$M26*1000,2)</f>
        <v>40652.54</v>
      </c>
      <c r="P26" s="463">
        <f t="shared" si="37"/>
        <v>8.5037728199999996E-2</v>
      </c>
      <c r="Q26" s="464">
        <f t="shared" ref="Q26:Q28" si="39">ROUND(P26*$M26*1000,2)</f>
        <v>40652.54</v>
      </c>
      <c r="R26" s="463">
        <f t="shared" si="37"/>
        <v>8.5037728199999996E-2</v>
      </c>
      <c r="S26" s="464">
        <f t="shared" si="38"/>
        <v>40652.54</v>
      </c>
      <c r="T26" s="458"/>
      <c r="U26" s="449"/>
      <c r="W26" s="463"/>
    </row>
    <row r="27" spans="1:25">
      <c r="A27" s="618">
        <v>43617</v>
      </c>
      <c r="B27" s="461">
        <v>2</v>
      </c>
      <c r="C27" s="469">
        <f>ROUND(C29*J27,3)</f>
        <v>11952.375</v>
      </c>
      <c r="D27" s="620">
        <f t="shared" ref="D27:D28" si="40">D23</f>
        <v>0.1109157261</v>
      </c>
      <c r="E27" s="464">
        <f t="shared" si="32"/>
        <v>1325706.3500000001</v>
      </c>
      <c r="F27" s="620">
        <f t="shared" si="33"/>
        <v>0.1109157261</v>
      </c>
      <c r="G27" s="464">
        <f t="shared" si="34"/>
        <v>1325706.3500000001</v>
      </c>
      <c r="H27" s="620">
        <f t="shared" si="35"/>
        <v>0.1109157261</v>
      </c>
      <c r="I27" s="464">
        <f t="shared" si="32"/>
        <v>1325706.3500000001</v>
      </c>
      <c r="J27" s="458">
        <f>$J$23</f>
        <v>0.36118592986837977</v>
      </c>
      <c r="K27" s="460">
        <f t="shared" si="36"/>
        <v>43617</v>
      </c>
      <c r="L27" s="461">
        <v>2</v>
      </c>
      <c r="M27" s="469">
        <f>ROUND(M29*T$13,3)</f>
        <v>289.46499999999997</v>
      </c>
      <c r="N27" s="463">
        <f t="shared" si="37"/>
        <v>0.1109157261</v>
      </c>
      <c r="O27" s="464">
        <f t="shared" si="38"/>
        <v>32106.22</v>
      </c>
      <c r="P27" s="463">
        <f t="shared" si="37"/>
        <v>0.1109157261</v>
      </c>
      <c r="Q27" s="464">
        <f t="shared" si="39"/>
        <v>32106.22</v>
      </c>
      <c r="R27" s="463">
        <f t="shared" si="37"/>
        <v>0.1109157261</v>
      </c>
      <c r="S27" s="464">
        <f t="shared" si="38"/>
        <v>32106.22</v>
      </c>
      <c r="T27" s="458"/>
      <c r="U27" s="449"/>
      <c r="W27" s="463"/>
    </row>
    <row r="28" spans="1:25">
      <c r="A28" s="618">
        <v>43617</v>
      </c>
      <c r="B28" s="461">
        <v>3</v>
      </c>
      <c r="C28" s="469">
        <f>C29-C26-C27</f>
        <v>6185.5816288549431</v>
      </c>
      <c r="D28" s="620">
        <f t="shared" si="40"/>
        <v>0.1388577372</v>
      </c>
      <c r="E28" s="464">
        <f t="shared" si="32"/>
        <v>858915.87</v>
      </c>
      <c r="F28" s="620">
        <f t="shared" si="33"/>
        <v>0.1388577372</v>
      </c>
      <c r="G28" s="464">
        <f t="shared" si="34"/>
        <v>858915.87</v>
      </c>
      <c r="H28" s="620">
        <f t="shared" si="35"/>
        <v>0.1388577372</v>
      </c>
      <c r="I28" s="464">
        <f t="shared" si="32"/>
        <v>858915.87</v>
      </c>
      <c r="K28" s="460">
        <f t="shared" si="36"/>
        <v>43617</v>
      </c>
      <c r="L28" s="461">
        <v>3</v>
      </c>
      <c r="M28" s="469">
        <f>M29-M26-M27</f>
        <v>84.873657548134645</v>
      </c>
      <c r="N28" s="463">
        <f t="shared" si="37"/>
        <v>0.1388577372</v>
      </c>
      <c r="O28" s="464">
        <f t="shared" si="38"/>
        <v>11785.36</v>
      </c>
      <c r="P28" s="463">
        <f t="shared" si="37"/>
        <v>0.1388577372</v>
      </c>
      <c r="Q28" s="464">
        <f t="shared" si="39"/>
        <v>11785.36</v>
      </c>
      <c r="R28" s="463">
        <f t="shared" si="37"/>
        <v>0.1388577372</v>
      </c>
      <c r="S28" s="464">
        <f t="shared" si="38"/>
        <v>11785.36</v>
      </c>
      <c r="T28" s="579"/>
      <c r="U28" s="449"/>
      <c r="W28" s="463"/>
    </row>
    <row r="29" spans="1:25">
      <c r="A29" s="618"/>
      <c r="B29" s="461" t="s">
        <v>93</v>
      </c>
      <c r="C29" s="462">
        <f>TempMWH!C9</f>
        <v>33092.029628854943</v>
      </c>
      <c r="D29" s="620"/>
      <c r="E29" s="464"/>
      <c r="F29" s="620"/>
      <c r="G29" s="464"/>
      <c r="H29" s="620"/>
      <c r="I29" s="464"/>
      <c r="K29" s="460"/>
      <c r="L29" s="461" t="s">
        <v>93</v>
      </c>
      <c r="M29" s="462">
        <f>TempMWH!E9</f>
        <v>852.39165754813462</v>
      </c>
      <c r="N29" s="463"/>
      <c r="O29" s="464"/>
      <c r="P29" s="463"/>
      <c r="Q29" s="464"/>
      <c r="R29" s="463"/>
      <c r="S29" s="464"/>
      <c r="T29" s="579"/>
      <c r="U29" s="449"/>
      <c r="W29" s="463"/>
    </row>
    <row r="30" spans="1:25">
      <c r="A30" s="618">
        <v>43282</v>
      </c>
      <c r="B30" s="461">
        <v>1</v>
      </c>
      <c r="C30" s="469">
        <f>ROUND(C33*J30,3)</f>
        <v>-10226.653</v>
      </c>
      <c r="D30" s="952">
        <f>0.088498*(1+$X$9)</f>
        <v>8.5037728199999996E-2</v>
      </c>
      <c r="E30" s="464">
        <f t="shared" ref="E30:I32" si="41">ROUND(D30*$C30*1000,2)</f>
        <v>-869651.34</v>
      </c>
      <c r="F30" s="620">
        <f>F22</f>
        <v>8.5037728199999996E-2</v>
      </c>
      <c r="G30" s="464">
        <f t="shared" ref="G30:G32" si="42">ROUND(F30*$C30*1000,2)</f>
        <v>-869651.34</v>
      </c>
      <c r="H30" s="620">
        <f t="shared" ref="H30:H32" si="43">F30</f>
        <v>8.5037728199999996E-2</v>
      </c>
      <c r="I30" s="464">
        <f t="shared" si="41"/>
        <v>-869651.34</v>
      </c>
      <c r="J30" s="458">
        <f>$J$22</f>
        <v>0.45189349904050696</v>
      </c>
      <c r="K30" s="460">
        <f t="shared" ref="K30:K32" si="44">A30</f>
        <v>43282</v>
      </c>
      <c r="L30" s="461">
        <v>1</v>
      </c>
      <c r="M30" s="469">
        <f>ROUND(M33*T$12,3)</f>
        <v>-292.512</v>
      </c>
      <c r="N30" s="463">
        <f t="shared" ref="N30:R32" si="45">D30</f>
        <v>8.5037728199999996E-2</v>
      </c>
      <c r="O30" s="464">
        <f t="shared" ref="O30:S32" si="46">ROUND(N30*$M30*1000,2)</f>
        <v>-24874.560000000001</v>
      </c>
      <c r="P30" s="463">
        <f t="shared" si="45"/>
        <v>8.5037728199999996E-2</v>
      </c>
      <c r="Q30" s="464">
        <f t="shared" ref="Q30:Q32" si="47">ROUND(P30*$M30*1000,2)</f>
        <v>-24874.560000000001</v>
      </c>
      <c r="R30" s="463">
        <f t="shared" si="45"/>
        <v>8.5037728199999996E-2</v>
      </c>
      <c r="S30" s="464">
        <f t="shared" si="46"/>
        <v>-24874.560000000001</v>
      </c>
      <c r="T30" s="579"/>
      <c r="U30" s="449"/>
      <c r="W30" s="463"/>
    </row>
    <row r="31" spans="1:25">
      <c r="A31" s="618">
        <v>43282</v>
      </c>
      <c r="B31" s="461">
        <v>2</v>
      </c>
      <c r="C31" s="469">
        <f>ROUND(C33*J31,3)</f>
        <v>-8173.88</v>
      </c>
      <c r="D31" s="952">
        <f>0.115429*(1+$X$9)</f>
        <v>0.1109157261</v>
      </c>
      <c r="E31" s="464">
        <f t="shared" si="41"/>
        <v>-906611.84</v>
      </c>
      <c r="F31" s="620">
        <f t="shared" ref="F31:F32" si="48">F23</f>
        <v>0.1109157261</v>
      </c>
      <c r="G31" s="464">
        <f t="shared" si="42"/>
        <v>-906611.84</v>
      </c>
      <c r="H31" s="620">
        <f t="shared" si="43"/>
        <v>0.1109157261</v>
      </c>
      <c r="I31" s="464">
        <f t="shared" si="41"/>
        <v>-906611.84</v>
      </c>
      <c r="J31" s="458">
        <f>$J$23</f>
        <v>0.36118592986837977</v>
      </c>
      <c r="K31" s="460">
        <f t="shared" si="44"/>
        <v>43282</v>
      </c>
      <c r="L31" s="461">
        <v>2</v>
      </c>
      <c r="M31" s="469">
        <f>ROUND(M33*T$13,3)</f>
        <v>-177.11799999999999</v>
      </c>
      <c r="N31" s="463">
        <f t="shared" si="45"/>
        <v>0.1109157261</v>
      </c>
      <c r="O31" s="464">
        <f t="shared" si="46"/>
        <v>-19645.169999999998</v>
      </c>
      <c r="P31" s="463">
        <f t="shared" si="45"/>
        <v>0.1109157261</v>
      </c>
      <c r="Q31" s="464">
        <f t="shared" si="47"/>
        <v>-19645.169999999998</v>
      </c>
      <c r="R31" s="463">
        <f t="shared" si="45"/>
        <v>0.1109157261</v>
      </c>
      <c r="S31" s="464">
        <f t="shared" si="46"/>
        <v>-19645.169999999998</v>
      </c>
      <c r="T31" s="458"/>
      <c r="U31" s="449"/>
      <c r="W31" s="463"/>
    </row>
    <row r="32" spans="1:25">
      <c r="A32" s="618">
        <v>43282</v>
      </c>
      <c r="B32" s="461">
        <v>3</v>
      </c>
      <c r="C32" s="469">
        <f>C33-C30-C31</f>
        <v>-4230.1370199581243</v>
      </c>
      <c r="D32" s="952">
        <f>0.144508*(1+$X$9)</f>
        <v>0.1388577372</v>
      </c>
      <c r="E32" s="464">
        <f t="shared" si="41"/>
        <v>-587387.25</v>
      </c>
      <c r="F32" s="620">
        <f t="shared" si="48"/>
        <v>0.1388577372</v>
      </c>
      <c r="G32" s="464">
        <f t="shared" si="42"/>
        <v>-587387.25</v>
      </c>
      <c r="H32" s="620">
        <f t="shared" si="43"/>
        <v>0.1388577372</v>
      </c>
      <c r="I32" s="464">
        <f t="shared" si="41"/>
        <v>-587387.25</v>
      </c>
      <c r="J32" s="458"/>
      <c r="K32" s="460">
        <f t="shared" si="44"/>
        <v>43282</v>
      </c>
      <c r="L32" s="461">
        <v>3</v>
      </c>
      <c r="M32" s="469">
        <f>M33-M30-M31</f>
        <v>-51.933562324696595</v>
      </c>
      <c r="N32" s="463">
        <f t="shared" si="45"/>
        <v>0.1388577372</v>
      </c>
      <c r="O32" s="464">
        <f t="shared" si="46"/>
        <v>-7211.38</v>
      </c>
      <c r="P32" s="463">
        <f t="shared" si="45"/>
        <v>0.1388577372</v>
      </c>
      <c r="Q32" s="464">
        <f t="shared" si="47"/>
        <v>-7211.38</v>
      </c>
      <c r="R32" s="463">
        <f t="shared" si="45"/>
        <v>0.1388577372</v>
      </c>
      <c r="S32" s="464">
        <f t="shared" si="46"/>
        <v>-7211.38</v>
      </c>
      <c r="T32" s="458"/>
      <c r="U32" s="449"/>
      <c r="W32" s="463"/>
    </row>
    <row r="33" spans="1:23">
      <c r="A33" s="618"/>
      <c r="B33" s="461" t="s">
        <v>93</v>
      </c>
      <c r="C33" s="462">
        <f>TempMWH!C10</f>
        <v>-22630.670019958125</v>
      </c>
      <c r="D33" s="746"/>
      <c r="E33" s="464"/>
      <c r="F33" s="746"/>
      <c r="G33" s="464"/>
      <c r="H33" s="746"/>
      <c r="I33" s="464"/>
      <c r="J33" s="458"/>
      <c r="K33" s="460"/>
      <c r="L33" s="461" t="s">
        <v>93</v>
      </c>
      <c r="M33" s="462">
        <f>TempMWH!E10</f>
        <v>-521.56356232469659</v>
      </c>
      <c r="N33" s="463"/>
      <c r="O33" s="464"/>
      <c r="P33" s="463"/>
      <c r="Q33" s="464"/>
      <c r="R33" s="463"/>
      <c r="S33" s="464"/>
      <c r="T33" s="458"/>
      <c r="U33" s="449"/>
      <c r="W33" s="463"/>
    </row>
    <row r="34" spans="1:23">
      <c r="A34" s="618">
        <v>43313</v>
      </c>
      <c r="B34" s="461">
        <v>1</v>
      </c>
      <c r="C34" s="469">
        <f>ROUND(C37*J34,3)</f>
        <v>-26701.995999999999</v>
      </c>
      <c r="D34" s="620">
        <f>$D$30</f>
        <v>8.5037728199999996E-2</v>
      </c>
      <c r="E34" s="464">
        <f t="shared" ref="E34:I36" si="49">ROUND(D34*$C34*1000,2)</f>
        <v>-2270677.08</v>
      </c>
      <c r="F34" s="620">
        <f>F22</f>
        <v>8.5037728199999996E-2</v>
      </c>
      <c r="G34" s="464">
        <f t="shared" ref="G34:G36" si="50">ROUND(F34*$C34*1000,2)</f>
        <v>-2270677.08</v>
      </c>
      <c r="H34" s="620">
        <f t="shared" ref="H34:H36" si="51">F34</f>
        <v>8.5037728199999996E-2</v>
      </c>
      <c r="I34" s="464">
        <f t="shared" si="49"/>
        <v>-2270677.08</v>
      </c>
      <c r="J34" s="458">
        <f>$J$22</f>
        <v>0.45189349904050696</v>
      </c>
      <c r="K34" s="460">
        <f t="shared" ref="K34:K36" si="52">A34</f>
        <v>43313</v>
      </c>
      <c r="L34" s="461">
        <v>1</v>
      </c>
      <c r="M34" s="469">
        <f>ROUND(M37*T$12,3)</f>
        <v>-669.07600000000002</v>
      </c>
      <c r="N34" s="463">
        <f t="shared" ref="N34:R36" si="53">D34</f>
        <v>8.5037728199999996E-2</v>
      </c>
      <c r="O34" s="464">
        <f t="shared" ref="O34:S36" si="54">ROUND(N34*$M34*1000,2)</f>
        <v>-56896.7</v>
      </c>
      <c r="P34" s="463">
        <f t="shared" si="53"/>
        <v>8.5037728199999996E-2</v>
      </c>
      <c r="Q34" s="464">
        <f t="shared" ref="Q34:Q36" si="55">ROUND(P34*$M34*1000,2)</f>
        <v>-56896.7</v>
      </c>
      <c r="R34" s="463">
        <f t="shared" si="53"/>
        <v>8.5037728199999996E-2</v>
      </c>
      <c r="S34" s="464">
        <f t="shared" si="54"/>
        <v>-56896.7</v>
      </c>
      <c r="T34" s="458"/>
      <c r="U34" s="449"/>
      <c r="W34" s="463"/>
    </row>
    <row r="35" spans="1:23">
      <c r="A35" s="618">
        <v>43313</v>
      </c>
      <c r="B35" s="461">
        <v>2</v>
      </c>
      <c r="C35" s="469">
        <f>ROUND(C37*J35,3)</f>
        <v>-21342.164000000001</v>
      </c>
      <c r="D35" s="620">
        <f>$D$31</f>
        <v>0.1109157261</v>
      </c>
      <c r="E35" s="464">
        <f t="shared" si="49"/>
        <v>-2367181.62</v>
      </c>
      <c r="F35" s="620">
        <f t="shared" ref="F35:F36" si="56">F23</f>
        <v>0.1109157261</v>
      </c>
      <c r="G35" s="464">
        <f t="shared" si="50"/>
        <v>-2367181.62</v>
      </c>
      <c r="H35" s="620">
        <f t="shared" si="51"/>
        <v>0.1109157261</v>
      </c>
      <c r="I35" s="464">
        <f t="shared" si="49"/>
        <v>-2367181.62</v>
      </c>
      <c r="J35" s="458">
        <f>$J$23</f>
        <v>0.36118592986837977</v>
      </c>
      <c r="K35" s="460">
        <f t="shared" si="52"/>
        <v>43313</v>
      </c>
      <c r="L35" s="461">
        <v>2</v>
      </c>
      <c r="M35" s="469">
        <f>ROUND(M37*T$13,3)</f>
        <v>-405.13099999999997</v>
      </c>
      <c r="N35" s="463">
        <f t="shared" si="53"/>
        <v>0.1109157261</v>
      </c>
      <c r="O35" s="464">
        <f t="shared" si="54"/>
        <v>-44935.4</v>
      </c>
      <c r="P35" s="463">
        <f t="shared" si="53"/>
        <v>0.1109157261</v>
      </c>
      <c r="Q35" s="464">
        <f t="shared" si="55"/>
        <v>-44935.4</v>
      </c>
      <c r="R35" s="463">
        <f t="shared" si="53"/>
        <v>0.1109157261</v>
      </c>
      <c r="S35" s="464">
        <f t="shared" si="54"/>
        <v>-44935.4</v>
      </c>
      <c r="T35" s="458"/>
      <c r="U35" s="449"/>
      <c r="W35" s="463"/>
    </row>
    <row r="36" spans="1:23">
      <c r="A36" s="618">
        <v>43313</v>
      </c>
      <c r="B36" s="461">
        <v>3</v>
      </c>
      <c r="C36" s="469">
        <f>C37-C34-C35</f>
        <v>-11044.974622580226</v>
      </c>
      <c r="D36" s="620">
        <f>$D$32</f>
        <v>0.1388577372</v>
      </c>
      <c r="E36" s="464">
        <f t="shared" si="49"/>
        <v>-1533680.18</v>
      </c>
      <c r="F36" s="620">
        <f t="shared" si="56"/>
        <v>0.1388577372</v>
      </c>
      <c r="G36" s="464">
        <f t="shared" si="50"/>
        <v>-1533680.18</v>
      </c>
      <c r="H36" s="620">
        <f t="shared" si="51"/>
        <v>0.1388577372</v>
      </c>
      <c r="I36" s="464">
        <f t="shared" si="49"/>
        <v>-1533680.18</v>
      </c>
      <c r="J36" s="458"/>
      <c r="K36" s="460">
        <f t="shared" si="52"/>
        <v>43313</v>
      </c>
      <c r="L36" s="461">
        <v>3</v>
      </c>
      <c r="M36" s="469">
        <f>M37-M34-M35</f>
        <v>-118.78814243720797</v>
      </c>
      <c r="N36" s="463">
        <f t="shared" si="53"/>
        <v>0.1388577372</v>
      </c>
      <c r="O36" s="464">
        <f t="shared" si="54"/>
        <v>-16494.650000000001</v>
      </c>
      <c r="P36" s="463">
        <f t="shared" si="53"/>
        <v>0.1388577372</v>
      </c>
      <c r="Q36" s="464">
        <f t="shared" si="55"/>
        <v>-16494.650000000001</v>
      </c>
      <c r="R36" s="463">
        <f t="shared" si="53"/>
        <v>0.1388577372</v>
      </c>
      <c r="S36" s="464">
        <f t="shared" si="54"/>
        <v>-16494.650000000001</v>
      </c>
      <c r="T36" s="458"/>
      <c r="U36" s="449"/>
      <c r="W36" s="463"/>
    </row>
    <row r="37" spans="1:23">
      <c r="A37" s="618"/>
      <c r="B37" s="461" t="s">
        <v>93</v>
      </c>
      <c r="C37" s="462">
        <f>TempMWH!C11</f>
        <v>-59089.134622580226</v>
      </c>
      <c r="D37" s="747"/>
      <c r="E37" s="464"/>
      <c r="F37" s="747"/>
      <c r="G37" s="464"/>
      <c r="H37" s="747"/>
      <c r="I37" s="464"/>
      <c r="J37" s="458"/>
      <c r="K37" s="460"/>
      <c r="L37" s="461" t="s">
        <v>93</v>
      </c>
      <c r="M37" s="462">
        <f>TempMWH!E11</f>
        <v>-1192.995142437208</v>
      </c>
      <c r="N37" s="470"/>
      <c r="O37" s="464"/>
      <c r="P37" s="470"/>
      <c r="Q37" s="464"/>
      <c r="R37" s="470"/>
      <c r="S37" s="464"/>
      <c r="T37" s="458"/>
      <c r="U37" s="468"/>
      <c r="W37" s="470"/>
    </row>
    <row r="38" spans="1:23">
      <c r="A38" s="618">
        <v>43344</v>
      </c>
      <c r="B38" s="461">
        <v>1</v>
      </c>
      <c r="C38" s="469">
        <f>ROUND(C41*J38,3)</f>
        <v>-12809.207</v>
      </c>
      <c r="D38" s="620">
        <f>$D$30</f>
        <v>8.5037728199999996E-2</v>
      </c>
      <c r="E38" s="464">
        <f t="shared" ref="E38:I40" si="57">ROUND(D38*$C38*1000,2)</f>
        <v>-1089265.8600000001</v>
      </c>
      <c r="F38" s="620">
        <f>F22</f>
        <v>8.5037728199999996E-2</v>
      </c>
      <c r="G38" s="464">
        <f t="shared" ref="G38:G40" si="58">ROUND(F38*$C38*1000,2)</f>
        <v>-1089265.8600000001</v>
      </c>
      <c r="H38" s="620">
        <f t="shared" ref="H38:H40" si="59">F38</f>
        <v>8.5037728199999996E-2</v>
      </c>
      <c r="I38" s="464">
        <f t="shared" si="57"/>
        <v>-1089265.8600000001</v>
      </c>
      <c r="J38" s="458">
        <f>$J$22</f>
        <v>0.45189349904050696</v>
      </c>
      <c r="K38" s="460">
        <f t="shared" ref="K38:K40" si="60">A38</f>
        <v>43344</v>
      </c>
      <c r="L38" s="461">
        <v>1</v>
      </c>
      <c r="M38" s="469">
        <f>ROUND(M41*T$12,3)</f>
        <v>-292.89</v>
      </c>
      <c r="N38" s="463">
        <f t="shared" ref="N38:R40" si="61">D38</f>
        <v>8.5037728199999996E-2</v>
      </c>
      <c r="O38" s="464">
        <f t="shared" ref="O38:S40" si="62">ROUND(N38*$M38*1000,2)</f>
        <v>-24906.7</v>
      </c>
      <c r="P38" s="463">
        <f t="shared" si="61"/>
        <v>8.5037728199999996E-2</v>
      </c>
      <c r="Q38" s="464">
        <f t="shared" ref="Q38:Q40" si="63">ROUND(P38*$M38*1000,2)</f>
        <v>-24906.7</v>
      </c>
      <c r="R38" s="463">
        <f t="shared" si="61"/>
        <v>8.5037728199999996E-2</v>
      </c>
      <c r="S38" s="464">
        <f t="shared" si="62"/>
        <v>-24906.7</v>
      </c>
      <c r="T38" s="458"/>
      <c r="W38" s="463"/>
    </row>
    <row r="39" spans="1:23">
      <c r="A39" s="618">
        <v>43344</v>
      </c>
      <c r="B39" s="461">
        <v>2</v>
      </c>
      <c r="C39" s="469">
        <f>ROUND(C41*J39,3)</f>
        <v>-10238.043</v>
      </c>
      <c r="D39" s="620">
        <f>$D$31</f>
        <v>0.1109157261</v>
      </c>
      <c r="E39" s="464">
        <f t="shared" si="57"/>
        <v>-1135559.97</v>
      </c>
      <c r="F39" s="620">
        <f t="shared" ref="F39:F40" si="64">F23</f>
        <v>0.1109157261</v>
      </c>
      <c r="G39" s="464">
        <f t="shared" si="58"/>
        <v>-1135559.97</v>
      </c>
      <c r="H39" s="620">
        <f t="shared" si="59"/>
        <v>0.1109157261</v>
      </c>
      <c r="I39" s="464">
        <f t="shared" si="57"/>
        <v>-1135559.97</v>
      </c>
      <c r="J39" s="458">
        <f>$J$23</f>
        <v>0.36118592986837977</v>
      </c>
      <c r="K39" s="460">
        <f t="shared" si="60"/>
        <v>43344</v>
      </c>
      <c r="L39" s="461">
        <v>2</v>
      </c>
      <c r="M39" s="469">
        <f>ROUND(M41*T$13,3)</f>
        <v>-177.34700000000001</v>
      </c>
      <c r="N39" s="463">
        <f t="shared" si="61"/>
        <v>0.1109157261</v>
      </c>
      <c r="O39" s="464">
        <f t="shared" si="62"/>
        <v>-19670.57</v>
      </c>
      <c r="P39" s="463">
        <f t="shared" si="61"/>
        <v>0.1109157261</v>
      </c>
      <c r="Q39" s="464">
        <f t="shared" si="63"/>
        <v>-19670.57</v>
      </c>
      <c r="R39" s="463">
        <f t="shared" si="61"/>
        <v>0.1109157261</v>
      </c>
      <c r="S39" s="464">
        <f t="shared" si="62"/>
        <v>-19670.57</v>
      </c>
      <c r="T39" s="458"/>
      <c r="W39" s="463"/>
    </row>
    <row r="40" spans="1:23">
      <c r="A40" s="618">
        <v>43344</v>
      </c>
      <c r="B40" s="461">
        <v>3</v>
      </c>
      <c r="C40" s="469">
        <f>C41-C38-C39</f>
        <v>-5298.382038209922</v>
      </c>
      <c r="D40" s="620">
        <f>$D$32</f>
        <v>0.1388577372</v>
      </c>
      <c r="E40" s="464">
        <f t="shared" si="57"/>
        <v>-735721.34</v>
      </c>
      <c r="F40" s="620">
        <f t="shared" si="64"/>
        <v>0.1388577372</v>
      </c>
      <c r="G40" s="464">
        <f t="shared" si="58"/>
        <v>-735721.34</v>
      </c>
      <c r="H40" s="620">
        <f t="shared" si="59"/>
        <v>0.1388577372</v>
      </c>
      <c r="I40" s="464">
        <f t="shared" si="57"/>
        <v>-735721.34</v>
      </c>
      <c r="J40" s="458"/>
      <c r="K40" s="460">
        <f t="shared" si="60"/>
        <v>43344</v>
      </c>
      <c r="L40" s="461">
        <v>3</v>
      </c>
      <c r="M40" s="469">
        <f>M41-M38-M39</f>
        <v>-51.99924606957606</v>
      </c>
      <c r="N40" s="463">
        <f t="shared" si="61"/>
        <v>0.1388577372</v>
      </c>
      <c r="O40" s="464">
        <f t="shared" si="62"/>
        <v>-7220.5</v>
      </c>
      <c r="P40" s="463">
        <f t="shared" si="61"/>
        <v>0.1388577372</v>
      </c>
      <c r="Q40" s="464">
        <f t="shared" si="63"/>
        <v>-7220.5</v>
      </c>
      <c r="R40" s="463">
        <f t="shared" si="61"/>
        <v>0.1388577372</v>
      </c>
      <c r="S40" s="464">
        <f t="shared" si="62"/>
        <v>-7220.5</v>
      </c>
      <c r="T40" s="458"/>
      <c r="W40" s="463"/>
    </row>
    <row r="41" spans="1:23">
      <c r="A41" s="618"/>
      <c r="B41" s="461" t="s">
        <v>93</v>
      </c>
      <c r="C41" s="462">
        <f>TempMWH!C12</f>
        <v>-28345.632038209922</v>
      </c>
      <c r="D41" s="747"/>
      <c r="E41" s="464"/>
      <c r="F41" s="747"/>
      <c r="G41" s="464"/>
      <c r="H41" s="747"/>
      <c r="I41" s="464"/>
      <c r="K41" s="460"/>
      <c r="L41" s="461" t="s">
        <v>93</v>
      </c>
      <c r="M41" s="462">
        <f>TempMWH!E12</f>
        <v>-522.23624606957605</v>
      </c>
      <c r="N41" s="470"/>
      <c r="O41" s="464"/>
      <c r="P41" s="470"/>
      <c r="Q41" s="464"/>
      <c r="R41" s="470"/>
      <c r="S41" s="464"/>
      <c r="T41" s="579"/>
      <c r="W41" s="470"/>
    </row>
    <row r="42" spans="1:23">
      <c r="A42" s="618">
        <v>43374</v>
      </c>
      <c r="B42" s="461">
        <v>1</v>
      </c>
      <c r="C42" s="469">
        <f>ROUND(C44*J42,3)</f>
        <v>-11717.826999999999</v>
      </c>
      <c r="D42" s="952">
        <f>0.088498*(1+$X$9)</f>
        <v>8.5037728199999996E-2</v>
      </c>
      <c r="E42" s="464">
        <f t="shared" ref="E42:I43" si="65">ROUND(D42*$C42*1000,2)</f>
        <v>-996457.39</v>
      </c>
      <c r="F42" s="620">
        <f>F10</f>
        <v>8.5037728199999996E-2</v>
      </c>
      <c r="G42" s="464">
        <f t="shared" ref="G42:G43" si="66">ROUND(F42*$C42*1000,2)</f>
        <v>-996457.39</v>
      </c>
      <c r="H42" s="620">
        <f t="shared" ref="H42:H43" si="67">F42</f>
        <v>8.5037728199999996E-2</v>
      </c>
      <c r="I42" s="464">
        <f t="shared" si="65"/>
        <v>-996457.39</v>
      </c>
      <c r="J42" s="458">
        <f>$J$10</f>
        <v>0.53962992681653466</v>
      </c>
      <c r="K42" s="460">
        <f t="shared" ref="K42:K43" si="68">A42</f>
        <v>43374</v>
      </c>
      <c r="L42" s="461">
        <v>1</v>
      </c>
      <c r="M42" s="469">
        <f>ROUND(M44*T$16,3)</f>
        <v>-267.137</v>
      </c>
      <c r="N42" s="463">
        <f t="shared" ref="N42:R43" si="69">D42</f>
        <v>8.5037728199999996E-2</v>
      </c>
      <c r="O42" s="464">
        <f t="shared" ref="O42:S43" si="70">ROUND(N42*$M42*1000,2)</f>
        <v>-22716.720000000001</v>
      </c>
      <c r="P42" s="463">
        <f t="shared" si="69"/>
        <v>8.5037728199999996E-2</v>
      </c>
      <c r="Q42" s="464">
        <f t="shared" ref="Q42:Q43" si="71">ROUND(P42*$M42*1000,2)</f>
        <v>-22716.720000000001</v>
      </c>
      <c r="R42" s="463">
        <f t="shared" si="69"/>
        <v>8.5037728199999996E-2</v>
      </c>
      <c r="S42" s="464">
        <f t="shared" si="70"/>
        <v>-22716.720000000001</v>
      </c>
      <c r="T42" s="579"/>
      <c r="W42" s="463"/>
    </row>
    <row r="43" spans="1:23">
      <c r="A43" s="618">
        <v>43374</v>
      </c>
      <c r="B43" s="461">
        <v>2</v>
      </c>
      <c r="C43" s="469">
        <f>C44-C42</f>
        <v>-9996.7347486804774</v>
      </c>
      <c r="D43" s="952">
        <f>0.107072*(1+$X$9)</f>
        <v>0.1028854848</v>
      </c>
      <c r="E43" s="464">
        <f t="shared" si="65"/>
        <v>-1028518.9</v>
      </c>
      <c r="F43" s="620">
        <f>F11</f>
        <v>0.1028854848</v>
      </c>
      <c r="G43" s="464">
        <f t="shared" si="66"/>
        <v>-1028518.9</v>
      </c>
      <c r="H43" s="620">
        <f t="shared" si="67"/>
        <v>0.1028854848</v>
      </c>
      <c r="I43" s="464">
        <f t="shared" si="65"/>
        <v>-1028518.9</v>
      </c>
      <c r="K43" s="460">
        <f t="shared" si="68"/>
        <v>43374</v>
      </c>
      <c r="L43" s="461">
        <v>2</v>
      </c>
      <c r="M43" s="469">
        <f>M44-M42</f>
        <v>-182.02659037457698</v>
      </c>
      <c r="N43" s="463">
        <f t="shared" si="69"/>
        <v>0.1028854848</v>
      </c>
      <c r="O43" s="464">
        <f t="shared" si="70"/>
        <v>-18727.89</v>
      </c>
      <c r="P43" s="463">
        <f t="shared" si="69"/>
        <v>0.1028854848</v>
      </c>
      <c r="Q43" s="464">
        <f t="shared" si="71"/>
        <v>-18727.89</v>
      </c>
      <c r="R43" s="463">
        <f t="shared" si="69"/>
        <v>0.1028854848</v>
      </c>
      <c r="S43" s="464">
        <f t="shared" si="70"/>
        <v>-18727.89</v>
      </c>
      <c r="T43" s="579"/>
      <c r="W43" s="463"/>
    </row>
    <row r="44" spans="1:23">
      <c r="A44" s="618"/>
      <c r="B44" s="461" t="s">
        <v>93</v>
      </c>
      <c r="C44" s="462">
        <f>TempMWH!C13</f>
        <v>-21714.561748680477</v>
      </c>
      <c r="D44" s="746"/>
      <c r="E44" s="464"/>
      <c r="F44" s="746"/>
      <c r="G44" s="464"/>
      <c r="H44" s="746"/>
      <c r="I44" s="464"/>
      <c r="K44" s="460"/>
      <c r="L44" s="461" t="s">
        <v>93</v>
      </c>
      <c r="M44" s="462">
        <f>TempMWH!E13</f>
        <v>-449.16359037457698</v>
      </c>
      <c r="N44" s="463"/>
      <c r="O44" s="464"/>
      <c r="P44" s="463"/>
      <c r="Q44" s="464"/>
      <c r="R44" s="463"/>
      <c r="S44" s="464"/>
      <c r="T44" s="579"/>
      <c r="U44" s="468"/>
      <c r="W44" s="463"/>
    </row>
    <row r="45" spans="1:23">
      <c r="A45" s="618">
        <v>43405</v>
      </c>
      <c r="B45" s="461">
        <v>1</v>
      </c>
      <c r="C45" s="469">
        <f>ROUND(C47*J45,3)</f>
        <v>1194.8530000000001</v>
      </c>
      <c r="D45" s="620">
        <f>$D$42</f>
        <v>8.5037728199999996E-2</v>
      </c>
      <c r="E45" s="464">
        <f t="shared" ref="E45:I46" si="72">ROUND(D45*$C45*1000,2)</f>
        <v>101607.58</v>
      </c>
      <c r="F45" s="620">
        <f>F10</f>
        <v>8.5037728199999996E-2</v>
      </c>
      <c r="G45" s="464">
        <f t="shared" ref="G45:G46" si="73">ROUND(F45*$C45*1000,2)</f>
        <v>101607.58</v>
      </c>
      <c r="H45" s="620">
        <f t="shared" ref="H45:H49" si="74">F45</f>
        <v>8.5037728199999996E-2</v>
      </c>
      <c r="I45" s="464">
        <f t="shared" si="72"/>
        <v>101607.58</v>
      </c>
      <c r="J45" s="458">
        <f>$J$10</f>
        <v>0.53962992681653466</v>
      </c>
      <c r="K45" s="460">
        <f t="shared" ref="K45:K46" si="75">A45</f>
        <v>43405</v>
      </c>
      <c r="L45" s="461">
        <v>1</v>
      </c>
      <c r="M45" s="469">
        <f>ROUND(M47*T$16,3)</f>
        <v>29.17</v>
      </c>
      <c r="N45" s="463">
        <f t="shared" ref="N45:R46" si="76">D45</f>
        <v>8.5037728199999996E-2</v>
      </c>
      <c r="O45" s="464">
        <f t="shared" ref="O45:S46" si="77">ROUND(N45*$M45*1000,2)</f>
        <v>2480.5500000000002</v>
      </c>
      <c r="P45" s="463">
        <f t="shared" si="76"/>
        <v>8.5037728199999996E-2</v>
      </c>
      <c r="Q45" s="464">
        <f t="shared" ref="Q45:Q46" si="78">ROUND(P45*$M45*1000,2)</f>
        <v>2480.5500000000002</v>
      </c>
      <c r="R45" s="463">
        <f t="shared" si="76"/>
        <v>8.5037728199999996E-2</v>
      </c>
      <c r="S45" s="464">
        <f t="shared" si="77"/>
        <v>2480.5500000000002</v>
      </c>
      <c r="T45" s="579"/>
      <c r="U45" s="468"/>
      <c r="W45" s="463"/>
    </row>
    <row r="46" spans="1:23">
      <c r="A46" s="618">
        <v>43405</v>
      </c>
      <c r="B46" s="461">
        <v>2</v>
      </c>
      <c r="C46" s="469">
        <f>C47-C45</f>
        <v>1019.3552404551065</v>
      </c>
      <c r="D46" s="620">
        <f>$D$43</f>
        <v>0.1028854848</v>
      </c>
      <c r="E46" s="464">
        <f t="shared" si="72"/>
        <v>104876.86</v>
      </c>
      <c r="F46" s="620">
        <f>F11</f>
        <v>0.1028854848</v>
      </c>
      <c r="G46" s="464">
        <f t="shared" si="73"/>
        <v>104876.86</v>
      </c>
      <c r="H46" s="620">
        <f t="shared" si="74"/>
        <v>0.1028854848</v>
      </c>
      <c r="I46" s="464">
        <f t="shared" si="72"/>
        <v>104876.86</v>
      </c>
      <c r="J46" s="458"/>
      <c r="K46" s="460">
        <f t="shared" si="75"/>
        <v>43405</v>
      </c>
      <c r="L46" s="461">
        <v>2</v>
      </c>
      <c r="M46" s="469">
        <f>M47-M45</f>
        <v>19.875827414276067</v>
      </c>
      <c r="N46" s="463">
        <f t="shared" si="76"/>
        <v>0.1028854848</v>
      </c>
      <c r="O46" s="464">
        <f t="shared" si="77"/>
        <v>2044.93</v>
      </c>
      <c r="P46" s="463">
        <f t="shared" si="76"/>
        <v>0.1028854848</v>
      </c>
      <c r="Q46" s="464">
        <f t="shared" si="78"/>
        <v>2044.93</v>
      </c>
      <c r="R46" s="463">
        <f t="shared" si="76"/>
        <v>0.1028854848</v>
      </c>
      <c r="S46" s="464">
        <f t="shared" si="77"/>
        <v>2044.93</v>
      </c>
      <c r="T46" s="458"/>
      <c r="W46" s="463"/>
    </row>
    <row r="47" spans="1:23">
      <c r="A47" s="618"/>
      <c r="B47" s="461" t="s">
        <v>93</v>
      </c>
      <c r="C47" s="462">
        <f>TempMWH!C14</f>
        <v>2214.2082404551065</v>
      </c>
      <c r="D47" s="746"/>
      <c r="E47" s="464"/>
      <c r="F47" s="746"/>
      <c r="G47" s="464"/>
      <c r="H47" s="620"/>
      <c r="I47" s="464"/>
      <c r="J47" s="458"/>
      <c r="K47" s="460"/>
      <c r="L47" s="461" t="s">
        <v>93</v>
      </c>
      <c r="M47" s="462">
        <f>TempMWH!E14</f>
        <v>49.045827414276069</v>
      </c>
      <c r="N47" s="463"/>
      <c r="O47" s="464"/>
      <c r="P47" s="463"/>
      <c r="Q47" s="464"/>
      <c r="R47" s="463"/>
      <c r="S47" s="464"/>
      <c r="T47" s="458"/>
      <c r="W47" s="463"/>
    </row>
    <row r="48" spans="1:23">
      <c r="A48" s="618">
        <v>43435</v>
      </c>
      <c r="B48" s="461">
        <v>1</v>
      </c>
      <c r="C48" s="469">
        <f>ROUND(C50*J48,3)</f>
        <v>9941.3760000000002</v>
      </c>
      <c r="D48" s="620">
        <f>$D$42</f>
        <v>8.5037728199999996E-2</v>
      </c>
      <c r="E48" s="464">
        <f t="shared" ref="E48:I49" si="79">ROUND(D48*$C48*1000,2)</f>
        <v>845392.03</v>
      </c>
      <c r="F48" s="620">
        <f>F10</f>
        <v>8.5037728199999996E-2</v>
      </c>
      <c r="G48" s="464">
        <f t="shared" ref="G48:G49" si="80">ROUND(F48*$C48*1000,2)</f>
        <v>845392.03</v>
      </c>
      <c r="H48" s="620">
        <f t="shared" si="74"/>
        <v>8.5037728199999996E-2</v>
      </c>
      <c r="I48" s="464">
        <f t="shared" si="79"/>
        <v>845392.03</v>
      </c>
      <c r="J48" s="458">
        <f>$J$10</f>
        <v>0.53962992681653466</v>
      </c>
      <c r="K48" s="460">
        <f t="shared" ref="K48:K49" si="81">A48</f>
        <v>43435</v>
      </c>
      <c r="L48" s="461">
        <v>1</v>
      </c>
      <c r="M48" s="469">
        <f>ROUND(M50*T$16,3)</f>
        <v>240.16800000000001</v>
      </c>
      <c r="N48" s="463">
        <f t="shared" ref="N48:R49" si="82">D48</f>
        <v>8.5037728199999996E-2</v>
      </c>
      <c r="O48" s="464">
        <f t="shared" ref="O48:S49" si="83">ROUND(N48*$M48*1000,2)</f>
        <v>20423.34</v>
      </c>
      <c r="P48" s="463">
        <f t="shared" si="82"/>
        <v>8.5037728199999996E-2</v>
      </c>
      <c r="Q48" s="464">
        <f t="shared" ref="Q48:Q49" si="84">ROUND(P48*$M48*1000,2)</f>
        <v>20423.34</v>
      </c>
      <c r="R48" s="463">
        <f t="shared" si="82"/>
        <v>8.5037728199999996E-2</v>
      </c>
      <c r="S48" s="464">
        <f t="shared" si="83"/>
        <v>20423.34</v>
      </c>
      <c r="T48" s="458"/>
      <c r="W48" s="463"/>
    </row>
    <row r="49" spans="1:23">
      <c r="A49" s="618">
        <v>43435</v>
      </c>
      <c r="B49" s="461">
        <v>2</v>
      </c>
      <c r="C49" s="469">
        <f>C50-C48</f>
        <v>8481.2056147797011</v>
      </c>
      <c r="D49" s="620">
        <f>$D$43</f>
        <v>0.1028854848</v>
      </c>
      <c r="E49" s="464">
        <f t="shared" si="79"/>
        <v>872592.95</v>
      </c>
      <c r="F49" s="620">
        <f>F11</f>
        <v>0.1028854848</v>
      </c>
      <c r="G49" s="464">
        <f t="shared" si="80"/>
        <v>872592.95</v>
      </c>
      <c r="H49" s="620">
        <f t="shared" si="74"/>
        <v>0.1028854848</v>
      </c>
      <c r="I49" s="464">
        <f t="shared" si="79"/>
        <v>872592.95</v>
      </c>
      <c r="J49" s="458"/>
      <c r="K49" s="460">
        <f t="shared" si="81"/>
        <v>43435</v>
      </c>
      <c r="L49" s="461">
        <v>2</v>
      </c>
      <c r="M49" s="469">
        <f>M50-M48</f>
        <v>163.64905767772376</v>
      </c>
      <c r="N49" s="463">
        <f t="shared" si="82"/>
        <v>0.1028854848</v>
      </c>
      <c r="O49" s="464">
        <f t="shared" si="83"/>
        <v>16837.11</v>
      </c>
      <c r="P49" s="463">
        <f t="shared" si="82"/>
        <v>0.1028854848</v>
      </c>
      <c r="Q49" s="464">
        <f t="shared" si="84"/>
        <v>16837.11</v>
      </c>
      <c r="R49" s="463">
        <f t="shared" si="82"/>
        <v>0.1028854848</v>
      </c>
      <c r="S49" s="464">
        <f t="shared" si="83"/>
        <v>16837.11</v>
      </c>
      <c r="T49" s="458"/>
      <c r="U49" s="449"/>
      <c r="W49" s="463"/>
    </row>
    <row r="50" spans="1:23">
      <c r="A50" s="474"/>
      <c r="B50" s="475" t="s">
        <v>93</v>
      </c>
      <c r="C50" s="476">
        <f>TempMWH!C15</f>
        <v>18422.581614779701</v>
      </c>
      <c r="D50" s="477"/>
      <c r="E50" s="478"/>
      <c r="F50" s="477"/>
      <c r="G50" s="478"/>
      <c r="H50" s="477"/>
      <c r="I50" s="478"/>
      <c r="J50" s="458"/>
      <c r="K50" s="474"/>
      <c r="L50" s="475" t="s">
        <v>93</v>
      </c>
      <c r="M50" s="476">
        <f>TempMWH!E15</f>
        <v>403.81705767772377</v>
      </c>
      <c r="N50" s="477"/>
      <c r="O50" s="478"/>
      <c r="P50" s="477"/>
      <c r="Q50" s="478"/>
      <c r="R50" s="477"/>
      <c r="S50" s="478"/>
      <c r="T50" s="458"/>
      <c r="U50" s="449"/>
    </row>
    <row r="51" spans="1:23">
      <c r="A51" s="449" t="s">
        <v>93</v>
      </c>
      <c r="B51" s="454"/>
      <c r="C51" s="479">
        <f>SUM(C12,C15,C18,C21,C25,C29,C33,C37,C41,C44,C47,C50)</f>
        <v>-52978.177571372522</v>
      </c>
      <c r="D51" s="463"/>
      <c r="E51" s="468">
        <f>SUM(E10:E50)</f>
        <v>-5565276.7499999981</v>
      </c>
      <c r="F51" s="463"/>
      <c r="G51" s="468">
        <f>SUM(G10:G50)</f>
        <v>-5565276.7499999981</v>
      </c>
      <c r="H51" s="463"/>
      <c r="I51" s="468">
        <f>SUM(I10:I50)</f>
        <v>-5565276.7499999981</v>
      </c>
      <c r="J51" s="458"/>
      <c r="K51" s="449" t="s">
        <v>93</v>
      </c>
      <c r="L51" s="454"/>
      <c r="M51" s="479">
        <f>SUM(M12,M15,M18,M21,M25,M29,M33,M37,M41,M44,M47,M50)</f>
        <v>-711.9211278532814</v>
      </c>
      <c r="N51" s="463"/>
      <c r="O51" s="468">
        <f>SUM(O10:O50)</f>
        <v>-71311.930000000008</v>
      </c>
      <c r="P51" s="463"/>
      <c r="Q51" s="468">
        <f>SUM(Q10:Q50)</f>
        <v>-71311.930000000008</v>
      </c>
      <c r="R51" s="463"/>
      <c r="S51" s="468">
        <f>SUM(S10:S50)</f>
        <v>-71311.930000000008</v>
      </c>
      <c r="T51" s="458"/>
    </row>
    <row r="52" spans="1:23">
      <c r="B52" s="461"/>
      <c r="J52" s="458"/>
      <c r="U52" s="449"/>
    </row>
    <row r="53" spans="1:23">
      <c r="A53" s="451" t="s">
        <v>190</v>
      </c>
      <c r="B53" s="452"/>
      <c r="C53" s="448"/>
      <c r="D53" s="448"/>
      <c r="E53" s="448"/>
      <c r="F53" s="448"/>
      <c r="G53" s="448"/>
      <c r="H53" s="448"/>
      <c r="I53" s="448"/>
      <c r="J53" s="458"/>
      <c r="K53" s="451" t="s">
        <v>193</v>
      </c>
      <c r="L53" s="452"/>
      <c r="M53" s="448"/>
      <c r="N53" s="448"/>
      <c r="O53" s="448"/>
      <c r="P53" s="448"/>
      <c r="Q53" s="448"/>
      <c r="R53" s="448"/>
      <c r="S53" s="448"/>
      <c r="T53" s="579"/>
      <c r="U53" s="449"/>
    </row>
    <row r="54" spans="1:23">
      <c r="A54" s="449"/>
      <c r="B54" s="454"/>
      <c r="C54" s="449"/>
      <c r="D54" s="455" t="s">
        <v>425</v>
      </c>
      <c r="E54" s="455" t="s">
        <v>425</v>
      </c>
      <c r="F54" s="455" t="s">
        <v>494</v>
      </c>
      <c r="G54" s="455" t="s">
        <v>494</v>
      </c>
      <c r="H54" s="455" t="s">
        <v>216</v>
      </c>
      <c r="I54" s="455" t="s">
        <v>216</v>
      </c>
      <c r="J54" s="458"/>
      <c r="K54" s="449"/>
      <c r="L54" s="454"/>
      <c r="M54" s="449"/>
      <c r="N54" s="455" t="s">
        <v>425</v>
      </c>
      <c r="O54" s="455" t="s">
        <v>425</v>
      </c>
      <c r="P54" s="455" t="s">
        <v>494</v>
      </c>
      <c r="Q54" s="455" t="s">
        <v>494</v>
      </c>
      <c r="R54" s="455" t="s">
        <v>216</v>
      </c>
      <c r="S54" s="455" t="s">
        <v>216</v>
      </c>
      <c r="T54" s="579"/>
    </row>
    <row r="55" spans="1:23">
      <c r="A55" s="456" t="s">
        <v>110</v>
      </c>
      <c r="B55" s="457" t="s">
        <v>571</v>
      </c>
      <c r="C55" s="456" t="s">
        <v>109</v>
      </c>
      <c r="D55" s="456" t="s">
        <v>99</v>
      </c>
      <c r="E55" s="456" t="s">
        <v>496</v>
      </c>
      <c r="F55" s="456" t="s">
        <v>99</v>
      </c>
      <c r="G55" s="456" t="s">
        <v>496</v>
      </c>
      <c r="H55" s="456" t="s">
        <v>99</v>
      </c>
      <c r="I55" s="456" t="s">
        <v>496</v>
      </c>
      <c r="J55" s="458"/>
      <c r="K55" s="456" t="s">
        <v>110</v>
      </c>
      <c r="L55" s="457" t="s">
        <v>571</v>
      </c>
      <c r="M55" s="456" t="s">
        <v>109</v>
      </c>
      <c r="N55" s="456" t="s">
        <v>99</v>
      </c>
      <c r="O55" s="456" t="s">
        <v>496</v>
      </c>
      <c r="P55" s="456" t="s">
        <v>99</v>
      </c>
      <c r="Q55" s="456" t="s">
        <v>496</v>
      </c>
      <c r="R55" s="456" t="s">
        <v>99</v>
      </c>
      <c r="S55" s="456" t="s">
        <v>496</v>
      </c>
      <c r="T55" s="458"/>
      <c r="U55" s="449"/>
    </row>
    <row r="56" spans="1:23">
      <c r="A56" s="460">
        <f>A10</f>
        <v>43466</v>
      </c>
      <c r="B56" s="461">
        <v>1</v>
      </c>
      <c r="C56" s="469">
        <f>ROUND(C58*J$62,3)</f>
        <v>2.6680000000000001</v>
      </c>
      <c r="D56" s="463">
        <f>D10</f>
        <v>8.5037728199999996E-2</v>
      </c>
      <c r="E56" s="464">
        <f>ROUND(D56*$C56*1000,2)</f>
        <v>226.88</v>
      </c>
      <c r="F56" s="463">
        <f>F10</f>
        <v>8.5037728199999996E-2</v>
      </c>
      <c r="G56" s="464">
        <f>ROUND(F56*$C56*1000,2)</f>
        <v>226.88</v>
      </c>
      <c r="H56" s="463">
        <f>H10</f>
        <v>8.5037728199999996E-2</v>
      </c>
      <c r="I56" s="464">
        <f>ROUND(H56*$C56*1000,2)</f>
        <v>226.88</v>
      </c>
      <c r="J56" s="580"/>
      <c r="K56" s="460">
        <f>A68</f>
        <v>43586</v>
      </c>
      <c r="L56" s="466" t="s">
        <v>252</v>
      </c>
      <c r="M56" s="482">
        <f>ROUND(M58*$T$57,3)</f>
        <v>5.6550000000000002</v>
      </c>
      <c r="N56" s="622">
        <v>4.3560000000000001E-2</v>
      </c>
      <c r="O56" s="464">
        <f>ROUND(N56*$M56*1000,2)</f>
        <v>246.33</v>
      </c>
      <c r="P56" s="622">
        <v>4.3560000000000001E-2</v>
      </c>
      <c r="Q56" s="464">
        <f>ROUND(P56*$M56*1000,2)</f>
        <v>246.33</v>
      </c>
      <c r="R56" s="622">
        <v>4.3560000000000001E-2</v>
      </c>
      <c r="S56" s="464">
        <f>ROUND(R56*$M56*1000,2)</f>
        <v>246.33</v>
      </c>
      <c r="T56" s="458" t="s">
        <v>251</v>
      </c>
      <c r="U56" s="449"/>
      <c r="W56" s="485">
        <v>4.2415000000000001E-2</v>
      </c>
    </row>
    <row r="57" spans="1:23">
      <c r="A57" s="460">
        <f>A11</f>
        <v>43466</v>
      </c>
      <c r="B57" s="461">
        <v>2</v>
      </c>
      <c r="C57" s="469">
        <f>C58-C56</f>
        <v>2.2293128788294183</v>
      </c>
      <c r="D57" s="463">
        <f>D11</f>
        <v>0.1028854848</v>
      </c>
      <c r="E57" s="464">
        <f>ROUND(D57*$C57*1000,2)</f>
        <v>229.36</v>
      </c>
      <c r="F57" s="463">
        <f>F11</f>
        <v>0.1028854848</v>
      </c>
      <c r="G57" s="464">
        <f>ROUND(F57*$C57*1000,2)</f>
        <v>229.36</v>
      </c>
      <c r="H57" s="463">
        <f>H11</f>
        <v>0.1028854848</v>
      </c>
      <c r="I57" s="464">
        <f>ROUND(H57*$C57*1000,2)</f>
        <v>229.36</v>
      </c>
      <c r="J57" s="458" t="s">
        <v>780</v>
      </c>
      <c r="K57" s="460">
        <f>K56</f>
        <v>43586</v>
      </c>
      <c r="L57" s="466" t="s">
        <v>253</v>
      </c>
      <c r="M57" s="482">
        <f>M58-M56</f>
        <v>17.842363688024747</v>
      </c>
      <c r="N57" s="623">
        <v>-1.6334000000000001E-2</v>
      </c>
      <c r="O57" s="464">
        <f>ROUND(N57*$M57*1000,2)</f>
        <v>-291.44</v>
      </c>
      <c r="P57" s="623">
        <v>-1.6334000000000001E-2</v>
      </c>
      <c r="Q57" s="464">
        <f>ROUND(P57*$M57*1000,2)</f>
        <v>-291.44</v>
      </c>
      <c r="R57" s="623">
        <v>-1.6334000000000001E-2</v>
      </c>
      <c r="S57" s="464">
        <f>ROUND(R57*$M57*1000,2)</f>
        <v>-291.44</v>
      </c>
      <c r="T57" s="458">
        <f>'123'!S25</f>
        <v>0.24067780197099656</v>
      </c>
      <c r="W57" s="485">
        <v>-1.5904999999999999E-2</v>
      </c>
    </row>
    <row r="58" spans="1:23">
      <c r="A58" s="460"/>
      <c r="B58" s="461" t="s">
        <v>93</v>
      </c>
      <c r="C58" s="462">
        <f>TempMWH!D4</f>
        <v>4.8973128788294185</v>
      </c>
      <c r="D58" s="463"/>
      <c r="E58" s="464"/>
      <c r="F58" s="463"/>
      <c r="G58" s="464"/>
      <c r="H58" s="463"/>
      <c r="I58" s="464"/>
      <c r="J58" s="458">
        <f>'123'!P25</f>
        <v>0.4913204820147784</v>
      </c>
      <c r="K58" s="460"/>
      <c r="L58" s="461" t="s">
        <v>93</v>
      </c>
      <c r="M58" s="483">
        <f>C71</f>
        <v>23.497363688024748</v>
      </c>
      <c r="N58" s="463"/>
      <c r="O58" s="464"/>
      <c r="P58" s="463"/>
      <c r="Q58" s="464"/>
      <c r="R58" s="463"/>
      <c r="S58" s="464"/>
      <c r="T58" s="458"/>
      <c r="W58" s="463"/>
    </row>
    <row r="59" spans="1:23">
      <c r="A59" s="460">
        <f t="shared" ref="A59:A60" si="85">A13</f>
        <v>43497</v>
      </c>
      <c r="B59" s="461">
        <v>1</v>
      </c>
      <c r="C59" s="469">
        <f>ROUND(C61*J$62,3)</f>
        <v>-2.0110000000000001</v>
      </c>
      <c r="D59" s="463">
        <f t="shared" ref="D59:F60" si="86">D13</f>
        <v>8.5037728199999996E-2</v>
      </c>
      <c r="E59" s="464">
        <f t="shared" ref="E59:I60" si="87">ROUND(D59*$C59*1000,2)</f>
        <v>-171.01</v>
      </c>
      <c r="F59" s="463">
        <f t="shared" si="86"/>
        <v>8.5037728199999996E-2</v>
      </c>
      <c r="G59" s="464">
        <f t="shared" ref="G59:G60" si="88">ROUND(F59*$C59*1000,2)</f>
        <v>-171.01</v>
      </c>
      <c r="H59" s="463">
        <f t="shared" ref="H59:H60" si="89">H13</f>
        <v>8.5037728199999996E-2</v>
      </c>
      <c r="I59" s="464">
        <f t="shared" si="87"/>
        <v>-171.01</v>
      </c>
      <c r="J59" s="458">
        <f>'123'!Q25</f>
        <v>0.35902946649563694</v>
      </c>
      <c r="K59" s="460">
        <f>A72</f>
        <v>43617</v>
      </c>
      <c r="L59" s="466" t="s">
        <v>252</v>
      </c>
      <c r="M59" s="482">
        <f>ROUND(M61*$T$57,3)</f>
        <v>8.0739999999999998</v>
      </c>
      <c r="N59" s="622">
        <v>4.3560000000000001E-2</v>
      </c>
      <c r="O59" s="464">
        <f t="shared" ref="O59:S60" si="90">ROUND(N59*$M59*1000,2)</f>
        <v>351.7</v>
      </c>
      <c r="P59" s="622">
        <v>4.3560000000000001E-2</v>
      </c>
      <c r="Q59" s="464">
        <f t="shared" ref="Q59:Q60" si="91">ROUND(P59*$M59*1000,2)</f>
        <v>351.7</v>
      </c>
      <c r="R59" s="622">
        <v>4.3560000000000001E-2</v>
      </c>
      <c r="S59" s="464">
        <f t="shared" si="90"/>
        <v>351.7</v>
      </c>
      <c r="T59" s="579"/>
      <c r="W59" s="485">
        <v>4.2415000000000001E-2</v>
      </c>
    </row>
    <row r="60" spans="1:23">
      <c r="A60" s="460">
        <f t="shared" si="85"/>
        <v>43497</v>
      </c>
      <c r="B60" s="461">
        <v>2</v>
      </c>
      <c r="C60" s="469">
        <f>C61-C59</f>
        <v>-1.6808597232999078</v>
      </c>
      <c r="D60" s="463">
        <f t="shared" si="86"/>
        <v>0.1028854848</v>
      </c>
      <c r="E60" s="464">
        <f t="shared" si="87"/>
        <v>-172.94</v>
      </c>
      <c r="F60" s="463">
        <f t="shared" si="86"/>
        <v>0.1028854848</v>
      </c>
      <c r="G60" s="464">
        <f t="shared" si="88"/>
        <v>-172.94</v>
      </c>
      <c r="H60" s="463">
        <f t="shared" si="89"/>
        <v>0.1028854848</v>
      </c>
      <c r="I60" s="464">
        <f t="shared" si="87"/>
        <v>-172.94</v>
      </c>
      <c r="J60" s="458"/>
      <c r="K60" s="460">
        <f>K59</f>
        <v>43617</v>
      </c>
      <c r="L60" s="466" t="s">
        <v>253</v>
      </c>
      <c r="M60" s="482">
        <f>M61-M59</f>
        <v>25.473326234628189</v>
      </c>
      <c r="N60" s="623">
        <v>-1.6334000000000001E-2</v>
      </c>
      <c r="O60" s="464">
        <f t="shared" si="90"/>
        <v>-416.08</v>
      </c>
      <c r="P60" s="623">
        <v>-1.6334000000000001E-2</v>
      </c>
      <c r="Q60" s="464">
        <f t="shared" si="91"/>
        <v>-416.08</v>
      </c>
      <c r="R60" s="623">
        <v>-1.6334000000000001E-2</v>
      </c>
      <c r="S60" s="464">
        <f t="shared" si="90"/>
        <v>-416.08</v>
      </c>
      <c r="T60" s="458"/>
      <c r="W60" s="485">
        <v>-1.5904999999999999E-2</v>
      </c>
    </row>
    <row r="61" spans="1:23">
      <c r="A61" s="460"/>
      <c r="B61" s="461" t="s">
        <v>93</v>
      </c>
      <c r="C61" s="462">
        <f>TempMWH!D5</f>
        <v>-3.691859723299908</v>
      </c>
      <c r="D61" s="463"/>
      <c r="E61" s="464"/>
      <c r="F61" s="463"/>
      <c r="G61" s="464"/>
      <c r="H61" s="463"/>
      <c r="I61" s="464"/>
      <c r="J61" s="458" t="s">
        <v>781</v>
      </c>
      <c r="K61" s="460"/>
      <c r="L61" s="461" t="s">
        <v>93</v>
      </c>
      <c r="M61" s="483">
        <f>C75</f>
        <v>33.547326234628187</v>
      </c>
      <c r="N61" s="463"/>
      <c r="O61" s="464"/>
      <c r="P61" s="463"/>
      <c r="Q61" s="464"/>
      <c r="R61" s="463"/>
      <c r="S61" s="464"/>
      <c r="T61" s="458"/>
      <c r="W61" s="463"/>
    </row>
    <row r="62" spans="1:23">
      <c r="A62" s="460">
        <f t="shared" ref="A62:A63" si="92">A16</f>
        <v>43525</v>
      </c>
      <c r="B62" s="461">
        <v>1</v>
      </c>
      <c r="C62" s="469">
        <f>ROUND(C64*J$62,3)</f>
        <v>-3.9550000000000001</v>
      </c>
      <c r="D62" s="463">
        <f t="shared" ref="D62:F63" si="93">D16</f>
        <v>8.5037728199999996E-2</v>
      </c>
      <c r="E62" s="464">
        <f t="shared" ref="E62:I63" si="94">ROUND(D62*$C62*1000,2)</f>
        <v>-336.32</v>
      </c>
      <c r="F62" s="463">
        <f t="shared" si="93"/>
        <v>8.5037728199999996E-2</v>
      </c>
      <c r="G62" s="464">
        <f t="shared" ref="G62:G63" si="95">ROUND(F62*$C62*1000,2)</f>
        <v>-336.32</v>
      </c>
      <c r="H62" s="463">
        <f t="shared" ref="H62:H63" si="96">H16</f>
        <v>8.5037728199999996E-2</v>
      </c>
      <c r="I62" s="464">
        <f t="shared" si="94"/>
        <v>-336.32</v>
      </c>
      <c r="J62" s="458">
        <f>'123'!M25</f>
        <v>0.5447236139697742</v>
      </c>
      <c r="K62" s="460">
        <f>A76</f>
        <v>43282</v>
      </c>
      <c r="L62" s="466" t="s">
        <v>252</v>
      </c>
      <c r="M62" s="482">
        <f>ROUND(M64*$T$57,3)</f>
        <v>-5.5490000000000004</v>
      </c>
      <c r="N62" s="622">
        <v>4.3560000000000001E-2</v>
      </c>
      <c r="O62" s="464">
        <f t="shared" ref="O62:S63" si="97">ROUND(N62*$M62*1000,2)</f>
        <v>-241.71</v>
      </c>
      <c r="P62" s="622">
        <v>4.3560000000000001E-2</v>
      </c>
      <c r="Q62" s="464">
        <f t="shared" ref="Q62:Q63" si="98">ROUND(P62*$M62*1000,2)</f>
        <v>-241.71</v>
      </c>
      <c r="R62" s="622">
        <v>4.3560000000000001E-2</v>
      </c>
      <c r="S62" s="464">
        <f t="shared" si="97"/>
        <v>-241.71</v>
      </c>
      <c r="T62" s="458"/>
      <c r="W62" s="485">
        <v>4.2415000000000001E-2</v>
      </c>
    </row>
    <row r="63" spans="1:23">
      <c r="A63" s="460">
        <f t="shared" si="92"/>
        <v>43525</v>
      </c>
      <c r="B63" s="461">
        <v>2</v>
      </c>
      <c r="C63" s="469">
        <f>C64-C62</f>
        <v>-3.306093207741597</v>
      </c>
      <c r="D63" s="463">
        <f t="shared" si="93"/>
        <v>0.1028854848</v>
      </c>
      <c r="E63" s="464">
        <f t="shared" si="94"/>
        <v>-340.15</v>
      </c>
      <c r="F63" s="463">
        <f t="shared" si="93"/>
        <v>0.1028854848</v>
      </c>
      <c r="G63" s="464">
        <f t="shared" si="95"/>
        <v>-340.15</v>
      </c>
      <c r="H63" s="463">
        <f t="shared" si="96"/>
        <v>0.1028854848</v>
      </c>
      <c r="I63" s="464">
        <f t="shared" si="94"/>
        <v>-340.15</v>
      </c>
      <c r="J63" s="458"/>
      <c r="K63" s="460">
        <f>K62</f>
        <v>43282</v>
      </c>
      <c r="L63" s="466" t="s">
        <v>253</v>
      </c>
      <c r="M63" s="482">
        <f>M64-M62</f>
        <v>-17.504880512170015</v>
      </c>
      <c r="N63" s="623">
        <v>-1.6334000000000001E-2</v>
      </c>
      <c r="O63" s="464">
        <f t="shared" si="97"/>
        <v>285.92</v>
      </c>
      <c r="P63" s="623">
        <v>-1.6334000000000001E-2</v>
      </c>
      <c r="Q63" s="464">
        <f t="shared" si="98"/>
        <v>285.92</v>
      </c>
      <c r="R63" s="623">
        <v>-1.6334000000000001E-2</v>
      </c>
      <c r="S63" s="464">
        <f t="shared" si="97"/>
        <v>285.92</v>
      </c>
      <c r="T63" s="580"/>
      <c r="W63" s="485">
        <v>-1.5904999999999999E-2</v>
      </c>
    </row>
    <row r="64" spans="1:23">
      <c r="A64" s="460"/>
      <c r="B64" s="461" t="s">
        <v>93</v>
      </c>
      <c r="C64" s="462">
        <f>TempMWH!D6</f>
        <v>-7.2610932077415971</v>
      </c>
      <c r="D64" s="463"/>
      <c r="E64" s="464"/>
      <c r="F64" s="463"/>
      <c r="G64" s="464"/>
      <c r="H64" s="463"/>
      <c r="I64" s="464"/>
      <c r="J64" s="458"/>
      <c r="K64" s="460"/>
      <c r="L64" s="461" t="s">
        <v>93</v>
      </c>
      <c r="M64" s="483">
        <f>C79</f>
        <v>-23.053880512170014</v>
      </c>
      <c r="N64" s="463"/>
      <c r="O64" s="464"/>
      <c r="P64" s="463"/>
      <c r="Q64" s="464"/>
      <c r="R64" s="463"/>
      <c r="S64" s="464"/>
      <c r="T64" s="458"/>
      <c r="W64" s="463"/>
    </row>
    <row r="65" spans="1:23">
      <c r="A65" s="460">
        <f>A19</f>
        <v>43556</v>
      </c>
      <c r="B65" s="461">
        <v>1</v>
      </c>
      <c r="C65" s="469">
        <f>ROUND(C67*J$62,3)</f>
        <v>5.5030000000000001</v>
      </c>
      <c r="D65" s="463">
        <f t="shared" ref="D65:F66" si="99">D19</f>
        <v>8.5037728199999996E-2</v>
      </c>
      <c r="E65" s="464">
        <f t="shared" ref="E65:I66" si="100">ROUND(D65*$C65*1000,2)</f>
        <v>467.96</v>
      </c>
      <c r="F65" s="463">
        <f t="shared" si="99"/>
        <v>8.5037728199999996E-2</v>
      </c>
      <c r="G65" s="464">
        <f t="shared" ref="G65:G66" si="101">ROUND(F65*$C65*1000,2)</f>
        <v>467.96</v>
      </c>
      <c r="H65" s="463">
        <f t="shared" ref="H65:H66" si="102">H19</f>
        <v>8.5037728199999996E-2</v>
      </c>
      <c r="I65" s="464">
        <f t="shared" si="100"/>
        <v>467.96</v>
      </c>
      <c r="J65" s="458"/>
      <c r="K65" s="460">
        <f>A80</f>
        <v>43313</v>
      </c>
      <c r="L65" s="466" t="s">
        <v>252</v>
      </c>
      <c r="M65" s="482">
        <f>ROUND(M67*$T$57,3)</f>
        <v>-14.252000000000001</v>
      </c>
      <c r="N65" s="622">
        <v>4.3560000000000001E-2</v>
      </c>
      <c r="O65" s="464">
        <f t="shared" ref="O65:S66" si="103">ROUND(N65*$M65*1000,2)</f>
        <v>-620.82000000000005</v>
      </c>
      <c r="P65" s="622">
        <v>4.3560000000000001E-2</v>
      </c>
      <c r="Q65" s="464">
        <f t="shared" ref="Q65:Q66" si="104">ROUND(P65*$M65*1000,2)</f>
        <v>-620.82000000000005</v>
      </c>
      <c r="R65" s="622">
        <v>4.3560000000000001E-2</v>
      </c>
      <c r="S65" s="464">
        <f t="shared" si="103"/>
        <v>-620.82000000000005</v>
      </c>
      <c r="T65" s="458"/>
      <c r="W65" s="485">
        <v>4.2415000000000001E-2</v>
      </c>
    </row>
    <row r="66" spans="1:23">
      <c r="A66" s="460">
        <f>A20</f>
        <v>43556</v>
      </c>
      <c r="B66" s="461">
        <v>2</v>
      </c>
      <c r="C66" s="469">
        <f>C67-C65</f>
        <v>4.5990544227080683</v>
      </c>
      <c r="D66" s="463">
        <f t="shared" si="99"/>
        <v>0.1028854848</v>
      </c>
      <c r="E66" s="464">
        <f t="shared" si="100"/>
        <v>473.18</v>
      </c>
      <c r="F66" s="463">
        <f t="shared" si="99"/>
        <v>0.1028854848</v>
      </c>
      <c r="G66" s="464">
        <f t="shared" si="101"/>
        <v>473.18</v>
      </c>
      <c r="H66" s="463">
        <f t="shared" si="102"/>
        <v>0.1028854848</v>
      </c>
      <c r="I66" s="464">
        <f t="shared" si="100"/>
        <v>473.18</v>
      </c>
      <c r="J66" s="458"/>
      <c r="K66" s="460">
        <f>K65</f>
        <v>43313</v>
      </c>
      <c r="L66" s="466" t="s">
        <v>253</v>
      </c>
      <c r="M66" s="482">
        <f>M67-M65</f>
        <v>-44.963541334829607</v>
      </c>
      <c r="N66" s="623">
        <v>-1.6334000000000001E-2</v>
      </c>
      <c r="O66" s="464">
        <f t="shared" si="103"/>
        <v>734.43</v>
      </c>
      <c r="P66" s="623">
        <v>-1.6334000000000001E-2</v>
      </c>
      <c r="Q66" s="464">
        <f t="shared" si="104"/>
        <v>734.43</v>
      </c>
      <c r="R66" s="623">
        <v>-1.6334000000000001E-2</v>
      </c>
      <c r="S66" s="464">
        <f t="shared" si="103"/>
        <v>734.43</v>
      </c>
      <c r="T66" s="458"/>
      <c r="W66" s="485">
        <v>-1.5904999999999999E-2</v>
      </c>
    </row>
    <row r="67" spans="1:23">
      <c r="A67" s="460"/>
      <c r="B67" s="461" t="s">
        <v>93</v>
      </c>
      <c r="C67" s="462">
        <f>TempMWH!D7</f>
        <v>10.102054422708068</v>
      </c>
      <c r="D67" s="463"/>
      <c r="E67" s="464"/>
      <c r="F67" s="463"/>
      <c r="G67" s="464"/>
      <c r="H67" s="463"/>
      <c r="I67" s="464"/>
      <c r="J67" s="458"/>
      <c r="K67" s="460"/>
      <c r="L67" s="461" t="s">
        <v>93</v>
      </c>
      <c r="M67" s="483">
        <f>C83</f>
        <v>-59.215541334829609</v>
      </c>
      <c r="N67" s="463"/>
      <c r="O67" s="464"/>
      <c r="P67" s="463"/>
      <c r="Q67" s="464"/>
      <c r="R67" s="463"/>
      <c r="S67" s="464"/>
      <c r="T67" s="458"/>
      <c r="W67" s="463"/>
    </row>
    <row r="68" spans="1:23">
      <c r="A68" s="460">
        <f t="shared" ref="A68:A70" si="105">A22</f>
        <v>43586</v>
      </c>
      <c r="B68" s="461">
        <v>1</v>
      </c>
      <c r="C68" s="469">
        <f>ROUND(C71*J$58,3)</f>
        <v>11.545</v>
      </c>
      <c r="D68" s="463">
        <f>D22</f>
        <v>8.5037728199999996E-2</v>
      </c>
      <c r="E68" s="464">
        <f t="shared" ref="E68:I70" si="106">ROUND(D68*$C68*1000,2)</f>
        <v>981.76</v>
      </c>
      <c r="F68" s="463">
        <f>F22</f>
        <v>8.5037728199999996E-2</v>
      </c>
      <c r="G68" s="464">
        <f t="shared" ref="G68:G70" si="107">ROUND(F68*$C68*1000,2)</f>
        <v>981.76</v>
      </c>
      <c r="H68" s="463">
        <f>H22</f>
        <v>8.5037728199999996E-2</v>
      </c>
      <c r="I68" s="464">
        <f t="shared" si="106"/>
        <v>981.76</v>
      </c>
      <c r="J68" s="458"/>
      <c r="K68" s="460">
        <f>A84</f>
        <v>43344</v>
      </c>
      <c r="L68" s="466" t="s">
        <v>252</v>
      </c>
      <c r="M68" s="482">
        <f>ROUND(M70*$T$57,3)</f>
        <v>-7.1929999999999996</v>
      </c>
      <c r="N68" s="622">
        <v>4.3560000000000001E-2</v>
      </c>
      <c r="O68" s="464">
        <f t="shared" ref="O68:S69" si="108">ROUND(N68*$M68*1000,2)</f>
        <v>-313.33</v>
      </c>
      <c r="P68" s="622">
        <v>4.3560000000000001E-2</v>
      </c>
      <c r="Q68" s="464">
        <f t="shared" ref="Q68:Q69" si="109">ROUND(P68*$M68*1000,2)</f>
        <v>-313.33</v>
      </c>
      <c r="R68" s="622">
        <v>4.3560000000000001E-2</v>
      </c>
      <c r="S68" s="464">
        <f t="shared" si="108"/>
        <v>-313.33</v>
      </c>
      <c r="T68" s="458"/>
      <c r="W68" s="485">
        <v>4.2415000000000001E-2</v>
      </c>
    </row>
    <row r="69" spans="1:23">
      <c r="A69" s="460">
        <f t="shared" si="105"/>
        <v>43586</v>
      </c>
      <c r="B69" s="461">
        <v>2</v>
      </c>
      <c r="C69" s="469">
        <f>ROUND(C71*J$59,3)</f>
        <v>8.4359999999999999</v>
      </c>
      <c r="D69" s="463">
        <f t="shared" ref="D69:F70" si="110">D23</f>
        <v>0.1109157261</v>
      </c>
      <c r="E69" s="464">
        <f t="shared" si="106"/>
        <v>935.69</v>
      </c>
      <c r="F69" s="463">
        <f t="shared" si="110"/>
        <v>0.1109157261</v>
      </c>
      <c r="G69" s="464">
        <f t="shared" si="107"/>
        <v>935.69</v>
      </c>
      <c r="H69" s="463">
        <f t="shared" ref="H69:H70" si="111">H23</f>
        <v>0.1109157261</v>
      </c>
      <c r="I69" s="464">
        <f t="shared" si="106"/>
        <v>935.69</v>
      </c>
      <c r="J69" s="458"/>
      <c r="K69" s="460">
        <f>K68</f>
        <v>43344</v>
      </c>
      <c r="L69" s="466" t="s">
        <v>253</v>
      </c>
      <c r="M69" s="482">
        <f>M70-M68</f>
        <v>-22.692485588379732</v>
      </c>
      <c r="N69" s="623">
        <v>-1.6334000000000001E-2</v>
      </c>
      <c r="O69" s="464">
        <f t="shared" si="108"/>
        <v>370.66</v>
      </c>
      <c r="P69" s="623">
        <v>-1.6334000000000001E-2</v>
      </c>
      <c r="Q69" s="464">
        <f t="shared" si="109"/>
        <v>370.66</v>
      </c>
      <c r="R69" s="623">
        <v>-1.6334000000000001E-2</v>
      </c>
      <c r="S69" s="464">
        <f t="shared" si="108"/>
        <v>370.66</v>
      </c>
      <c r="T69" s="458"/>
      <c r="W69" s="485">
        <v>-1.5904999999999999E-2</v>
      </c>
    </row>
    <row r="70" spans="1:23">
      <c r="A70" s="460">
        <f t="shared" si="105"/>
        <v>43586</v>
      </c>
      <c r="B70" s="461">
        <v>3</v>
      </c>
      <c r="C70" s="469">
        <f>C71-C68-C69</f>
        <v>3.5163636880247484</v>
      </c>
      <c r="D70" s="463">
        <f t="shared" si="110"/>
        <v>0.1388577372</v>
      </c>
      <c r="E70" s="464">
        <f t="shared" si="106"/>
        <v>488.27</v>
      </c>
      <c r="F70" s="463">
        <f t="shared" si="110"/>
        <v>0.1388577372</v>
      </c>
      <c r="G70" s="464">
        <f t="shared" si="107"/>
        <v>488.27</v>
      </c>
      <c r="H70" s="463">
        <f t="shared" si="111"/>
        <v>0.1388577372</v>
      </c>
      <c r="I70" s="464">
        <f t="shared" si="106"/>
        <v>488.27</v>
      </c>
      <c r="J70" s="458"/>
      <c r="K70" s="474"/>
      <c r="L70" s="475" t="s">
        <v>93</v>
      </c>
      <c r="M70" s="484">
        <f>C87</f>
        <v>-29.885485588379733</v>
      </c>
      <c r="N70" s="477"/>
      <c r="O70" s="478"/>
      <c r="P70" s="477"/>
      <c r="Q70" s="478"/>
      <c r="R70" s="477"/>
      <c r="S70" s="478"/>
      <c r="T70" s="458"/>
    </row>
    <row r="71" spans="1:23">
      <c r="A71" s="460"/>
      <c r="B71" s="461" t="s">
        <v>93</v>
      </c>
      <c r="C71" s="462">
        <f>TempMWH!D8</f>
        <v>23.497363688024748</v>
      </c>
      <c r="D71" s="470"/>
      <c r="E71" s="464"/>
      <c r="F71" s="470"/>
      <c r="G71" s="464"/>
      <c r="H71" s="470"/>
      <c r="I71" s="464"/>
      <c r="K71" s="449" t="s">
        <v>93</v>
      </c>
      <c r="L71" s="466" t="s">
        <v>252</v>
      </c>
      <c r="M71" s="479">
        <f>M56+M59+M62+M65+M68</f>
        <v>-13.265000000000001</v>
      </c>
      <c r="N71" s="463"/>
      <c r="O71" s="468">
        <f>O56+O59+O62+O65+O68</f>
        <v>-577.83000000000015</v>
      </c>
      <c r="P71" s="463"/>
      <c r="Q71" s="468">
        <f>Q56+Q59+Q62+Q65+Q68</f>
        <v>-577.83000000000015</v>
      </c>
      <c r="R71" s="463"/>
      <c r="S71" s="468">
        <f>S56+S59+S62+S65+S68</f>
        <v>-577.83000000000015</v>
      </c>
      <c r="T71" s="458"/>
    </row>
    <row r="72" spans="1:23">
      <c r="A72" s="460">
        <f t="shared" ref="A72:A74" si="112">A26</f>
        <v>43617</v>
      </c>
      <c r="B72" s="461">
        <v>1</v>
      </c>
      <c r="C72" s="469">
        <f>ROUND(C75*J$58,3)</f>
        <v>16.481999999999999</v>
      </c>
      <c r="D72" s="463">
        <f t="shared" ref="D72:F74" si="113">D26</f>
        <v>8.5037728199999996E-2</v>
      </c>
      <c r="E72" s="464">
        <f t="shared" ref="E72:I74" si="114">ROUND(D72*$C72*1000,2)</f>
        <v>1401.59</v>
      </c>
      <c r="F72" s="463">
        <f t="shared" si="113"/>
        <v>8.5037728199999996E-2</v>
      </c>
      <c r="G72" s="464">
        <f t="shared" ref="G72:G74" si="115">ROUND(F72*$C72*1000,2)</f>
        <v>1401.59</v>
      </c>
      <c r="H72" s="463">
        <f t="shared" ref="H72:H74" si="116">H26</f>
        <v>8.5037728199999996E-2</v>
      </c>
      <c r="I72" s="464">
        <f t="shared" si="114"/>
        <v>1401.59</v>
      </c>
      <c r="J72" s="458"/>
      <c r="K72" s="449"/>
      <c r="L72" s="466" t="s">
        <v>253</v>
      </c>
      <c r="M72" s="479">
        <f>M57+M60+M63+M66+M69</f>
        <v>-41.845217512726421</v>
      </c>
      <c r="N72" s="463"/>
      <c r="O72" s="468">
        <f>O57+O60+O63+O66+O69</f>
        <v>683.49</v>
      </c>
      <c r="P72" s="463"/>
      <c r="Q72" s="468">
        <f>Q57+Q60+Q63+Q66+Q69</f>
        <v>683.49</v>
      </c>
      <c r="R72" s="463"/>
      <c r="S72" s="468">
        <f>S57+S60+S63+S66+S69</f>
        <v>683.49</v>
      </c>
      <c r="T72" s="458"/>
    </row>
    <row r="73" spans="1:23">
      <c r="A73" s="460">
        <f t="shared" si="112"/>
        <v>43617</v>
      </c>
      <c r="B73" s="461">
        <v>2</v>
      </c>
      <c r="C73" s="469">
        <f>ROUND(C75*J$59,3)</f>
        <v>12.044</v>
      </c>
      <c r="D73" s="463">
        <f t="shared" si="113"/>
        <v>0.1109157261</v>
      </c>
      <c r="E73" s="464">
        <f t="shared" si="114"/>
        <v>1335.87</v>
      </c>
      <c r="F73" s="463">
        <f t="shared" si="113"/>
        <v>0.1109157261</v>
      </c>
      <c r="G73" s="464">
        <f t="shared" si="115"/>
        <v>1335.87</v>
      </c>
      <c r="H73" s="463">
        <f t="shared" si="116"/>
        <v>0.1109157261</v>
      </c>
      <c r="I73" s="464">
        <f t="shared" si="114"/>
        <v>1335.87</v>
      </c>
      <c r="J73" s="458"/>
    </row>
    <row r="74" spans="1:23">
      <c r="A74" s="460">
        <f t="shared" si="112"/>
        <v>43617</v>
      </c>
      <c r="B74" s="461">
        <v>3</v>
      </c>
      <c r="C74" s="469">
        <f>C75-C72-C73</f>
        <v>5.0213262346281873</v>
      </c>
      <c r="D74" s="463">
        <f t="shared" si="113"/>
        <v>0.1388577372</v>
      </c>
      <c r="E74" s="464">
        <f t="shared" si="114"/>
        <v>697.25</v>
      </c>
      <c r="F74" s="463">
        <f t="shared" si="113"/>
        <v>0.1388577372</v>
      </c>
      <c r="G74" s="464">
        <f t="shared" si="115"/>
        <v>697.25</v>
      </c>
      <c r="H74" s="463">
        <f t="shared" si="116"/>
        <v>0.1388577372</v>
      </c>
      <c r="I74" s="464">
        <f t="shared" si="114"/>
        <v>697.25</v>
      </c>
    </row>
    <row r="75" spans="1:23">
      <c r="A75" s="460"/>
      <c r="B75" s="461" t="s">
        <v>93</v>
      </c>
      <c r="C75" s="462">
        <f>TempMWH!D9</f>
        <v>33.547326234628187</v>
      </c>
      <c r="D75" s="463"/>
      <c r="E75" s="464"/>
      <c r="F75" s="463"/>
      <c r="G75" s="464"/>
      <c r="H75" s="463"/>
      <c r="I75" s="464"/>
      <c r="U75" s="468"/>
    </row>
    <row r="76" spans="1:23">
      <c r="A76" s="460">
        <f t="shared" ref="A76:A78" si="117">A30</f>
        <v>43282</v>
      </c>
      <c r="B76" s="461">
        <v>1</v>
      </c>
      <c r="C76" s="469">
        <f>ROUND(C79*J$58,3)</f>
        <v>-11.327</v>
      </c>
      <c r="D76" s="463">
        <f t="shared" ref="D76:F78" si="118">D30</f>
        <v>8.5037728199999996E-2</v>
      </c>
      <c r="E76" s="464">
        <f t="shared" ref="E76:I78" si="119">ROUND(D76*$C76*1000,2)</f>
        <v>-963.22</v>
      </c>
      <c r="F76" s="463">
        <f t="shared" si="118"/>
        <v>8.5037728199999996E-2</v>
      </c>
      <c r="G76" s="464">
        <f t="shared" ref="G76:G78" si="120">ROUND(F76*$C76*1000,2)</f>
        <v>-963.22</v>
      </c>
      <c r="H76" s="463">
        <f t="shared" ref="H76:H78" si="121">H30</f>
        <v>8.5037728199999996E-2</v>
      </c>
      <c r="I76" s="464">
        <f t="shared" si="119"/>
        <v>-963.22</v>
      </c>
      <c r="U76" s="468"/>
    </row>
    <row r="77" spans="1:23">
      <c r="A77" s="460">
        <f t="shared" si="117"/>
        <v>43282</v>
      </c>
      <c r="B77" s="461">
        <v>2</v>
      </c>
      <c r="C77" s="469">
        <f>ROUND(C79*J$59,3)</f>
        <v>-8.2769999999999992</v>
      </c>
      <c r="D77" s="463">
        <f t="shared" si="118"/>
        <v>0.1109157261</v>
      </c>
      <c r="E77" s="464">
        <f t="shared" si="119"/>
        <v>-918.05</v>
      </c>
      <c r="F77" s="463">
        <f t="shared" si="118"/>
        <v>0.1109157261</v>
      </c>
      <c r="G77" s="464">
        <f t="shared" si="120"/>
        <v>-918.05</v>
      </c>
      <c r="H77" s="463">
        <f t="shared" si="121"/>
        <v>0.1109157261</v>
      </c>
      <c r="I77" s="464">
        <f t="shared" si="119"/>
        <v>-918.05</v>
      </c>
      <c r="J77" s="458"/>
    </row>
    <row r="78" spans="1:23">
      <c r="A78" s="460">
        <f t="shared" si="117"/>
        <v>43282</v>
      </c>
      <c r="B78" s="461">
        <v>3</v>
      </c>
      <c r="C78" s="469">
        <f>C79-C76-C77</f>
        <v>-3.4498805121700151</v>
      </c>
      <c r="D78" s="463">
        <f t="shared" si="118"/>
        <v>0.1388577372</v>
      </c>
      <c r="E78" s="464">
        <f t="shared" si="119"/>
        <v>-479.04</v>
      </c>
      <c r="F78" s="463">
        <f t="shared" si="118"/>
        <v>0.1388577372</v>
      </c>
      <c r="G78" s="464">
        <f t="shared" si="120"/>
        <v>-479.04</v>
      </c>
      <c r="H78" s="463">
        <f t="shared" si="121"/>
        <v>0.1388577372</v>
      </c>
      <c r="I78" s="464">
        <f t="shared" si="119"/>
        <v>-479.04</v>
      </c>
      <c r="J78" s="458"/>
    </row>
    <row r="79" spans="1:23">
      <c r="A79" s="460"/>
      <c r="B79" s="461" t="s">
        <v>93</v>
      </c>
      <c r="C79" s="462">
        <f>TempMWH!D10</f>
        <v>-23.053880512170014</v>
      </c>
      <c r="D79" s="463"/>
      <c r="E79" s="464"/>
      <c r="F79" s="463"/>
      <c r="G79" s="464"/>
      <c r="H79" s="463"/>
      <c r="I79" s="464"/>
      <c r="J79" s="458"/>
      <c r="U79" s="449"/>
    </row>
    <row r="80" spans="1:23">
      <c r="A80" s="460">
        <f t="shared" ref="A80:A82" si="122">A34</f>
        <v>43313</v>
      </c>
      <c r="B80" s="461">
        <v>1</v>
      </c>
      <c r="C80" s="469">
        <f>ROUND(C83*J$58,3)</f>
        <v>-29.094000000000001</v>
      </c>
      <c r="D80" s="463">
        <f t="shared" ref="D80:F82" si="123">D34</f>
        <v>8.5037728199999996E-2</v>
      </c>
      <c r="E80" s="464">
        <f t="shared" ref="E80:I82" si="124">ROUND(D80*$C80*1000,2)</f>
        <v>-2474.09</v>
      </c>
      <c r="F80" s="463">
        <f t="shared" si="123"/>
        <v>8.5037728199999996E-2</v>
      </c>
      <c r="G80" s="464">
        <f t="shared" ref="G80:G82" si="125">ROUND(F80*$C80*1000,2)</f>
        <v>-2474.09</v>
      </c>
      <c r="H80" s="463">
        <f t="shared" ref="H80:H82" si="126">H34</f>
        <v>8.5037728199999996E-2</v>
      </c>
      <c r="I80" s="464">
        <f t="shared" si="124"/>
        <v>-2474.09</v>
      </c>
      <c r="J80" s="458"/>
    </row>
    <row r="81" spans="1:21">
      <c r="A81" s="460">
        <f t="shared" si="122"/>
        <v>43313</v>
      </c>
      <c r="B81" s="461">
        <v>2</v>
      </c>
      <c r="C81" s="469">
        <f>ROUND(C83*J$59,3)</f>
        <v>-21.26</v>
      </c>
      <c r="D81" s="463">
        <f t="shared" si="123"/>
        <v>0.1109157261</v>
      </c>
      <c r="E81" s="464">
        <f t="shared" si="124"/>
        <v>-2358.0700000000002</v>
      </c>
      <c r="F81" s="463">
        <f t="shared" si="123"/>
        <v>0.1109157261</v>
      </c>
      <c r="G81" s="464">
        <f t="shared" si="125"/>
        <v>-2358.0700000000002</v>
      </c>
      <c r="H81" s="463">
        <f t="shared" si="126"/>
        <v>0.1109157261</v>
      </c>
      <c r="I81" s="464">
        <f t="shared" si="124"/>
        <v>-2358.0700000000002</v>
      </c>
      <c r="J81" s="458"/>
      <c r="U81" s="449"/>
    </row>
    <row r="82" spans="1:21">
      <c r="A82" s="460">
        <f t="shared" si="122"/>
        <v>43313</v>
      </c>
      <c r="B82" s="461">
        <v>3</v>
      </c>
      <c r="C82" s="469">
        <f>C83-C80-C81</f>
        <v>-8.8615413348296066</v>
      </c>
      <c r="D82" s="463">
        <f t="shared" si="123"/>
        <v>0.1388577372</v>
      </c>
      <c r="E82" s="464">
        <f t="shared" si="124"/>
        <v>-1230.49</v>
      </c>
      <c r="F82" s="463">
        <f t="shared" si="123"/>
        <v>0.1388577372</v>
      </c>
      <c r="G82" s="464">
        <f t="shared" si="125"/>
        <v>-1230.49</v>
      </c>
      <c r="H82" s="463">
        <f t="shared" si="126"/>
        <v>0.1388577372</v>
      </c>
      <c r="I82" s="464">
        <f t="shared" si="124"/>
        <v>-1230.49</v>
      </c>
      <c r="J82" s="458"/>
      <c r="U82" s="449"/>
    </row>
    <row r="83" spans="1:21">
      <c r="A83" s="460"/>
      <c r="B83" s="461" t="s">
        <v>93</v>
      </c>
      <c r="C83" s="462">
        <f>TempMWH!D11</f>
        <v>-59.215541334829609</v>
      </c>
      <c r="D83" s="470"/>
      <c r="E83" s="464"/>
      <c r="F83" s="470"/>
      <c r="G83" s="464"/>
      <c r="H83" s="470"/>
      <c r="I83" s="464"/>
      <c r="J83" s="458"/>
    </row>
    <row r="84" spans="1:21">
      <c r="A84" s="460">
        <f t="shared" ref="A84:A86" si="127">A38</f>
        <v>43344</v>
      </c>
      <c r="B84" s="461">
        <v>1</v>
      </c>
      <c r="C84" s="469">
        <f>ROUND(C87*J$58,3)</f>
        <v>-14.683</v>
      </c>
      <c r="D84" s="463">
        <f t="shared" ref="D84:F86" si="128">D38</f>
        <v>8.5037728199999996E-2</v>
      </c>
      <c r="E84" s="464">
        <f t="shared" ref="E84:I86" si="129">ROUND(D84*$C84*1000,2)</f>
        <v>-1248.6099999999999</v>
      </c>
      <c r="F84" s="463">
        <f t="shared" si="128"/>
        <v>8.5037728199999996E-2</v>
      </c>
      <c r="G84" s="464">
        <f t="shared" ref="G84:G86" si="130">ROUND(F84*$C84*1000,2)</f>
        <v>-1248.6099999999999</v>
      </c>
      <c r="H84" s="463">
        <f t="shared" ref="H84:H86" si="131">H38</f>
        <v>8.5037728199999996E-2</v>
      </c>
      <c r="I84" s="464">
        <f t="shared" si="129"/>
        <v>-1248.6099999999999</v>
      </c>
      <c r="J84" s="458"/>
    </row>
    <row r="85" spans="1:21">
      <c r="A85" s="460">
        <f t="shared" si="127"/>
        <v>43344</v>
      </c>
      <c r="B85" s="461">
        <v>2</v>
      </c>
      <c r="C85" s="469">
        <f>ROUND(C87*J$59,3)</f>
        <v>-10.73</v>
      </c>
      <c r="D85" s="463">
        <f t="shared" si="128"/>
        <v>0.1109157261</v>
      </c>
      <c r="E85" s="464">
        <f t="shared" si="129"/>
        <v>-1190.1300000000001</v>
      </c>
      <c r="F85" s="463">
        <f t="shared" si="128"/>
        <v>0.1109157261</v>
      </c>
      <c r="G85" s="464">
        <f t="shared" si="130"/>
        <v>-1190.1300000000001</v>
      </c>
      <c r="H85" s="463">
        <f t="shared" si="131"/>
        <v>0.1109157261</v>
      </c>
      <c r="I85" s="464">
        <f t="shared" si="129"/>
        <v>-1190.1300000000001</v>
      </c>
      <c r="J85" s="458"/>
    </row>
    <row r="86" spans="1:21">
      <c r="A86" s="460">
        <f t="shared" si="127"/>
        <v>43344</v>
      </c>
      <c r="B86" s="461">
        <v>3</v>
      </c>
      <c r="C86" s="469">
        <f>C87-C84-C85</f>
        <v>-4.4724855883797332</v>
      </c>
      <c r="D86" s="463">
        <f t="shared" si="128"/>
        <v>0.1388577372</v>
      </c>
      <c r="E86" s="464">
        <f t="shared" si="129"/>
        <v>-621.04</v>
      </c>
      <c r="F86" s="463">
        <f t="shared" si="128"/>
        <v>0.1388577372</v>
      </c>
      <c r="G86" s="464">
        <f t="shared" si="130"/>
        <v>-621.04</v>
      </c>
      <c r="H86" s="463">
        <f t="shared" si="131"/>
        <v>0.1388577372</v>
      </c>
      <c r="I86" s="464">
        <f t="shared" si="129"/>
        <v>-621.04</v>
      </c>
      <c r="J86" s="458"/>
    </row>
    <row r="87" spans="1:21">
      <c r="A87" s="460"/>
      <c r="B87" s="461" t="s">
        <v>93</v>
      </c>
      <c r="C87" s="462">
        <f>TempMWH!D12</f>
        <v>-29.885485588379733</v>
      </c>
      <c r="D87" s="470"/>
      <c r="E87" s="464"/>
      <c r="F87" s="470"/>
      <c r="G87" s="464"/>
      <c r="H87" s="470"/>
      <c r="I87" s="464"/>
    </row>
    <row r="88" spans="1:21">
      <c r="A88" s="460">
        <f t="shared" ref="A88:A89" si="132">A42</f>
        <v>43374</v>
      </c>
      <c r="B88" s="461">
        <v>1</v>
      </c>
      <c r="C88" s="469">
        <f>ROUND(C90*J$62,3)</f>
        <v>-14.247999999999999</v>
      </c>
      <c r="D88" s="463">
        <f t="shared" ref="D88:F89" si="133">D42</f>
        <v>8.5037728199999996E-2</v>
      </c>
      <c r="E88" s="464">
        <f t="shared" ref="E88:I89" si="134">ROUND(D88*$C88*1000,2)</f>
        <v>-1211.6199999999999</v>
      </c>
      <c r="F88" s="463">
        <f t="shared" si="133"/>
        <v>8.5037728199999996E-2</v>
      </c>
      <c r="G88" s="464">
        <f t="shared" ref="G88:G89" si="135">ROUND(F88*$C88*1000,2)</f>
        <v>-1211.6199999999999</v>
      </c>
      <c r="H88" s="463">
        <f t="shared" ref="H88:H89" si="136">H42</f>
        <v>8.5037728199999996E-2</v>
      </c>
      <c r="I88" s="464">
        <f t="shared" si="134"/>
        <v>-1211.6199999999999</v>
      </c>
    </row>
    <row r="89" spans="1:21">
      <c r="A89" s="460">
        <f t="shared" si="132"/>
        <v>43374</v>
      </c>
      <c r="B89" s="461">
        <v>2</v>
      </c>
      <c r="C89" s="469">
        <f>C90-C88</f>
        <v>-11.908647842730742</v>
      </c>
      <c r="D89" s="463">
        <f t="shared" si="133"/>
        <v>0.1028854848</v>
      </c>
      <c r="E89" s="464">
        <f t="shared" si="134"/>
        <v>-1225.23</v>
      </c>
      <c r="F89" s="463">
        <f t="shared" si="133"/>
        <v>0.1028854848</v>
      </c>
      <c r="G89" s="464">
        <f t="shared" si="135"/>
        <v>-1225.23</v>
      </c>
      <c r="H89" s="463">
        <f t="shared" si="136"/>
        <v>0.1028854848</v>
      </c>
      <c r="I89" s="464">
        <f t="shared" si="134"/>
        <v>-1225.23</v>
      </c>
    </row>
    <row r="90" spans="1:21">
      <c r="A90" s="460"/>
      <c r="B90" s="461" t="s">
        <v>93</v>
      </c>
      <c r="C90" s="462">
        <f>TempMWH!D13</f>
        <v>-26.156647842730742</v>
      </c>
      <c r="D90" s="463"/>
      <c r="E90" s="464"/>
      <c r="F90" s="463"/>
      <c r="G90" s="464"/>
      <c r="H90" s="463"/>
      <c r="I90" s="464"/>
    </row>
    <row r="91" spans="1:21">
      <c r="A91" s="460">
        <f t="shared" ref="A91:A92" si="137">A45</f>
        <v>43405</v>
      </c>
      <c r="B91" s="461">
        <v>1</v>
      </c>
      <c r="C91" s="469">
        <f>ROUND(C93*J$62,3)</f>
        <v>1.5</v>
      </c>
      <c r="D91" s="463">
        <f t="shared" ref="D91:F92" si="138">D45</f>
        <v>8.5037728199999996E-2</v>
      </c>
      <c r="E91" s="464">
        <f t="shared" ref="E91:I92" si="139">ROUND(D91*$C91*1000,2)</f>
        <v>127.56</v>
      </c>
      <c r="F91" s="463">
        <f t="shared" si="138"/>
        <v>8.5037728199999996E-2</v>
      </c>
      <c r="G91" s="464">
        <f t="shared" ref="G91:G92" si="140">ROUND(F91*$C91*1000,2)</f>
        <v>127.56</v>
      </c>
      <c r="H91" s="463">
        <f t="shared" ref="H91:H92" si="141">H45</f>
        <v>8.5037728199999996E-2</v>
      </c>
      <c r="I91" s="464">
        <f t="shared" si="139"/>
        <v>127.56</v>
      </c>
      <c r="U91" s="449"/>
    </row>
    <row r="92" spans="1:21">
      <c r="A92" s="460">
        <f t="shared" si="137"/>
        <v>43405</v>
      </c>
      <c r="B92" s="461">
        <v>2</v>
      </c>
      <c r="C92" s="469">
        <f>C93-C91</f>
        <v>1.2538950203927892</v>
      </c>
      <c r="D92" s="463">
        <f t="shared" si="138"/>
        <v>0.1028854848</v>
      </c>
      <c r="E92" s="464">
        <f t="shared" si="139"/>
        <v>129.01</v>
      </c>
      <c r="F92" s="463">
        <f t="shared" si="138"/>
        <v>0.1028854848</v>
      </c>
      <c r="G92" s="464">
        <f t="shared" si="140"/>
        <v>129.01</v>
      </c>
      <c r="H92" s="463">
        <f t="shared" si="141"/>
        <v>0.1028854848</v>
      </c>
      <c r="I92" s="464">
        <f t="shared" si="139"/>
        <v>129.01</v>
      </c>
      <c r="J92" s="458"/>
      <c r="U92" s="448"/>
    </row>
    <row r="93" spans="1:21">
      <c r="A93" s="460"/>
      <c r="B93" s="461" t="s">
        <v>93</v>
      </c>
      <c r="C93" s="462">
        <f>TempMWH!D14</f>
        <v>2.7538950203927892</v>
      </c>
      <c r="D93" s="463"/>
      <c r="E93" s="464"/>
      <c r="F93" s="463"/>
      <c r="G93" s="464"/>
      <c r="H93" s="463"/>
      <c r="I93" s="464"/>
      <c r="J93" s="458"/>
      <c r="U93" s="449"/>
    </row>
    <row r="94" spans="1:21">
      <c r="A94" s="460">
        <f t="shared" ref="A94:A95" si="142">A48</f>
        <v>43435</v>
      </c>
      <c r="B94" s="461">
        <v>1</v>
      </c>
      <c r="C94" s="469">
        <f>ROUND(C96*J$62,3)</f>
        <v>12.465999999999999</v>
      </c>
      <c r="D94" s="463">
        <f t="shared" ref="D94:F95" si="143">D48</f>
        <v>8.5037728199999996E-2</v>
      </c>
      <c r="E94" s="464">
        <f t="shared" ref="E94:I95" si="144">ROUND(D94*$C94*1000,2)</f>
        <v>1060.08</v>
      </c>
      <c r="F94" s="463">
        <f t="shared" si="143"/>
        <v>8.5037728199999996E-2</v>
      </c>
      <c r="G94" s="464">
        <f t="shared" ref="G94:G95" si="145">ROUND(F94*$C94*1000,2)</f>
        <v>1060.08</v>
      </c>
      <c r="H94" s="463">
        <f t="shared" ref="H94:H95" si="146">H48</f>
        <v>8.5037728199999996E-2</v>
      </c>
      <c r="I94" s="464">
        <f t="shared" si="144"/>
        <v>1060.08</v>
      </c>
      <c r="J94" s="458"/>
      <c r="U94" s="449"/>
    </row>
    <row r="95" spans="1:21">
      <c r="A95" s="460">
        <f t="shared" si="142"/>
        <v>43435</v>
      </c>
      <c r="B95" s="461">
        <v>2</v>
      </c>
      <c r="C95" s="469">
        <f>C96-C94</f>
        <v>10.418559601918792</v>
      </c>
      <c r="D95" s="463">
        <f t="shared" si="143"/>
        <v>0.1028854848</v>
      </c>
      <c r="E95" s="464">
        <f t="shared" si="144"/>
        <v>1071.92</v>
      </c>
      <c r="F95" s="463">
        <f t="shared" si="143"/>
        <v>0.1028854848</v>
      </c>
      <c r="G95" s="464">
        <f t="shared" si="145"/>
        <v>1071.92</v>
      </c>
      <c r="H95" s="463">
        <f t="shared" si="146"/>
        <v>0.1028854848</v>
      </c>
      <c r="I95" s="464">
        <f t="shared" si="144"/>
        <v>1071.92</v>
      </c>
      <c r="J95" s="458"/>
      <c r="U95" s="449"/>
    </row>
    <row r="96" spans="1:21">
      <c r="A96" s="474"/>
      <c r="B96" s="475" t="s">
        <v>93</v>
      </c>
      <c r="C96" s="476">
        <f>TempMWH!D15</f>
        <v>22.884559601918792</v>
      </c>
      <c r="D96" s="477"/>
      <c r="E96" s="478"/>
      <c r="F96" s="477"/>
      <c r="G96" s="478"/>
      <c r="H96" s="477"/>
      <c r="I96" s="478"/>
      <c r="J96" s="458"/>
      <c r="U96" s="449"/>
    </row>
    <row r="97" spans="1:30">
      <c r="A97" s="449" t="s">
        <v>93</v>
      </c>
      <c r="B97" s="454"/>
      <c r="C97" s="479">
        <f>SUM(C58,C61,C64,C67,C71,C75,C79,C83,C87,C90,C93,C96)</f>
        <v>-51.581996362649605</v>
      </c>
      <c r="D97" s="463"/>
      <c r="E97" s="468">
        <f>SUM(E56:E96)</f>
        <v>-5313.63</v>
      </c>
      <c r="F97" s="463"/>
      <c r="G97" s="468">
        <f>SUM(G56:G96)</f>
        <v>-5313.63</v>
      </c>
      <c r="H97" s="463"/>
      <c r="I97" s="468">
        <f>SUM(I56:I96)</f>
        <v>-5313.63</v>
      </c>
      <c r="J97" s="458"/>
      <c r="U97" s="449"/>
    </row>
    <row r="98" spans="1:30">
      <c r="A98" s="449"/>
      <c r="B98" s="454"/>
      <c r="C98" s="449"/>
      <c r="D98" s="455"/>
      <c r="E98" s="455"/>
      <c r="F98" s="455"/>
      <c r="G98" s="455"/>
      <c r="H98" s="455"/>
      <c r="I98" s="455"/>
      <c r="J98" s="458"/>
      <c r="U98" s="449"/>
    </row>
    <row r="99" spans="1:30">
      <c r="A99" s="451" t="s">
        <v>793</v>
      </c>
      <c r="B99" s="448"/>
      <c r="C99" s="448"/>
      <c r="D99" s="448"/>
      <c r="E99" s="448"/>
      <c r="F99" s="448"/>
      <c r="G99" s="448"/>
      <c r="H99" s="448"/>
      <c r="I99" s="448"/>
      <c r="K99" s="451" t="s">
        <v>794</v>
      </c>
      <c r="L99" s="448"/>
      <c r="M99" s="448"/>
      <c r="N99" s="448"/>
      <c r="O99" s="448"/>
      <c r="P99" s="448"/>
      <c r="Q99" s="448"/>
      <c r="R99" s="448"/>
      <c r="S99" s="448"/>
      <c r="T99" s="579"/>
      <c r="U99" s="821"/>
      <c r="V99" s="822"/>
      <c r="W99" s="822"/>
      <c r="X99" s="822"/>
      <c r="Y99" s="822"/>
      <c r="Z99" s="822"/>
      <c r="AA99" s="822"/>
      <c r="AB99" s="822"/>
      <c r="AC99" s="822"/>
      <c r="AD99" s="823"/>
    </row>
    <row r="100" spans="1:30">
      <c r="A100" s="449"/>
      <c r="B100" s="449"/>
      <c r="C100" s="449"/>
      <c r="D100" s="455" t="s">
        <v>425</v>
      </c>
      <c r="E100" s="455" t="s">
        <v>425</v>
      </c>
      <c r="F100" s="455" t="s">
        <v>494</v>
      </c>
      <c r="G100" s="455" t="s">
        <v>494</v>
      </c>
      <c r="H100" s="455" t="s">
        <v>216</v>
      </c>
      <c r="I100" s="455" t="s">
        <v>216</v>
      </c>
      <c r="K100" s="449"/>
      <c r="L100" s="449"/>
      <c r="M100" s="449"/>
      <c r="N100" s="455" t="s">
        <v>425</v>
      </c>
      <c r="O100" s="455" t="s">
        <v>425</v>
      </c>
      <c r="P100" s="455" t="s">
        <v>494</v>
      </c>
      <c r="Q100" s="455" t="s">
        <v>494</v>
      </c>
      <c r="R100" s="455" t="s">
        <v>216</v>
      </c>
      <c r="S100" s="455" t="s">
        <v>216</v>
      </c>
      <c r="T100" s="579"/>
      <c r="U100" s="473"/>
      <c r="V100" s="473"/>
      <c r="W100" s="473"/>
      <c r="X100" s="824"/>
      <c r="Y100" s="824"/>
      <c r="Z100" s="824"/>
      <c r="AA100" s="824"/>
      <c r="AB100" s="824"/>
      <c r="AC100" s="824"/>
      <c r="AD100" s="823"/>
    </row>
    <row r="101" spans="1:30">
      <c r="A101" s="456" t="s">
        <v>110</v>
      </c>
      <c r="B101" s="456"/>
      <c r="C101" s="456" t="s">
        <v>109</v>
      </c>
      <c r="D101" s="456" t="s">
        <v>99</v>
      </c>
      <c r="E101" s="456" t="s">
        <v>496</v>
      </c>
      <c r="F101" s="456" t="s">
        <v>99</v>
      </c>
      <c r="G101" s="456" t="s">
        <v>496</v>
      </c>
      <c r="H101" s="456" t="s">
        <v>99</v>
      </c>
      <c r="I101" s="456" t="s">
        <v>496</v>
      </c>
      <c r="J101" s="458"/>
      <c r="K101" s="456" t="s">
        <v>110</v>
      </c>
      <c r="L101" s="456"/>
      <c r="M101" s="456" t="s">
        <v>109</v>
      </c>
      <c r="N101" s="456" t="s">
        <v>99</v>
      </c>
      <c r="O101" s="456" t="s">
        <v>496</v>
      </c>
      <c r="P101" s="456" t="s">
        <v>99</v>
      </c>
      <c r="Q101" s="456" t="s">
        <v>496</v>
      </c>
      <c r="R101" s="456" t="s">
        <v>99</v>
      </c>
      <c r="S101" s="456" t="s">
        <v>496</v>
      </c>
      <c r="T101" s="458"/>
      <c r="U101" s="824"/>
      <c r="V101" s="824"/>
      <c r="W101" s="824"/>
      <c r="X101" s="824"/>
      <c r="Y101" s="824"/>
      <c r="Z101" s="824"/>
      <c r="AA101" s="824"/>
      <c r="AB101" s="824"/>
      <c r="AC101" s="824"/>
      <c r="AD101" s="825"/>
    </row>
    <row r="102" spans="1:30">
      <c r="A102" s="618">
        <v>43466</v>
      </c>
      <c r="B102" s="466"/>
      <c r="C102" s="487">
        <f>TempMWH!F4</f>
        <v>140.85189258629885</v>
      </c>
      <c r="D102" s="624">
        <f>0.035143*(1+$Y$12)</f>
        <v>3.38743377E-2</v>
      </c>
      <c r="E102" s="468">
        <f>ROUND(D102*$C102*1000,2)</f>
        <v>4771.26</v>
      </c>
      <c r="F102" s="624">
        <f>D102</f>
        <v>3.38743377E-2</v>
      </c>
      <c r="G102" s="468">
        <f>ROUND(F102*$C102*1000,2)</f>
        <v>4771.26</v>
      </c>
      <c r="H102" s="624">
        <f>F102</f>
        <v>3.38743377E-2</v>
      </c>
      <c r="I102" s="468">
        <f>ROUND(H102*$C102*1000,2)</f>
        <v>4771.26</v>
      </c>
      <c r="K102" s="460">
        <f>A102</f>
        <v>43466</v>
      </c>
      <c r="L102" s="466"/>
      <c r="M102" s="487">
        <f>TempMWH!H4</f>
        <v>1084.8678201303978</v>
      </c>
      <c r="N102" s="552">
        <f>D102</f>
        <v>3.38743377E-2</v>
      </c>
      <c r="O102" s="468">
        <f t="shared" ref="O102:O113" si="147">ROUND(N102*$M102*1000,2)</f>
        <v>36749.18</v>
      </c>
      <c r="P102" s="552">
        <f>F102</f>
        <v>3.38743377E-2</v>
      </c>
      <c r="Q102" s="468">
        <f t="shared" ref="Q102:Q113" si="148">ROUND(P102*$M102*1000,2)</f>
        <v>36749.18</v>
      </c>
      <c r="R102" s="552">
        <f>H102</f>
        <v>3.38743377E-2</v>
      </c>
      <c r="S102" s="468">
        <f t="shared" ref="S102:S113" si="149">ROUND(R102*$M102*1000,2)</f>
        <v>36749.18</v>
      </c>
      <c r="T102" s="579"/>
      <c r="U102" s="460"/>
      <c r="V102" s="460"/>
      <c r="W102" s="462"/>
      <c r="X102" s="463"/>
      <c r="Y102" s="464"/>
      <c r="Z102" s="463"/>
      <c r="AA102" s="464"/>
      <c r="AB102" s="463"/>
      <c r="AC102" s="464"/>
      <c r="AD102" s="823"/>
    </row>
    <row r="103" spans="1:30">
      <c r="A103" s="618">
        <v>43497</v>
      </c>
      <c r="B103" s="466"/>
      <c r="C103" s="487">
        <f>TempMWH!F5</f>
        <v>-80.356468947801531</v>
      </c>
      <c r="D103" s="624">
        <f t="shared" ref="D103:D104" si="150">0.035143*(1+$Y$12)</f>
        <v>3.38743377E-2</v>
      </c>
      <c r="E103" s="468">
        <f t="shared" ref="E103:I113" si="151">ROUND(D103*$C103*1000,2)</f>
        <v>-2722.02</v>
      </c>
      <c r="F103" s="624">
        <f t="shared" ref="F103:F107" si="152">D103</f>
        <v>3.38743377E-2</v>
      </c>
      <c r="G103" s="468">
        <f t="shared" ref="G103:G113" si="153">ROUND(F103*$C103*1000,2)</f>
        <v>-2722.02</v>
      </c>
      <c r="H103" s="624">
        <f t="shared" ref="H103:H113" si="154">F103</f>
        <v>3.38743377E-2</v>
      </c>
      <c r="I103" s="468">
        <f t="shared" si="151"/>
        <v>-2722.02</v>
      </c>
      <c r="K103" s="460">
        <f t="shared" ref="K103:K113" si="155">A103</f>
        <v>43497</v>
      </c>
      <c r="L103" s="466"/>
      <c r="M103" s="487">
        <f>TempMWH!H5</f>
        <v>-582.10530238712397</v>
      </c>
      <c r="N103" s="445">
        <f t="shared" ref="N103:N113" si="156">D103</f>
        <v>3.38743377E-2</v>
      </c>
      <c r="O103" s="468">
        <f t="shared" si="147"/>
        <v>-19718.43</v>
      </c>
      <c r="P103" s="445">
        <f t="shared" ref="P103:P113" si="157">F103</f>
        <v>3.38743377E-2</v>
      </c>
      <c r="Q103" s="468">
        <f t="shared" si="148"/>
        <v>-19718.43</v>
      </c>
      <c r="R103" s="445">
        <f t="shared" ref="R103:R113" si="158">H103</f>
        <v>3.38743377E-2</v>
      </c>
      <c r="S103" s="468">
        <f t="shared" si="149"/>
        <v>-19718.43</v>
      </c>
      <c r="T103" s="579"/>
      <c r="U103" s="460"/>
      <c r="V103" s="460"/>
      <c r="W103" s="462"/>
      <c r="X103" s="826"/>
      <c r="Y103" s="464"/>
      <c r="Z103" s="826"/>
      <c r="AA103" s="464"/>
      <c r="AB103" s="826"/>
      <c r="AC103" s="464"/>
      <c r="AD103" s="823"/>
    </row>
    <row r="104" spans="1:30">
      <c r="A104" s="618">
        <v>43525</v>
      </c>
      <c r="B104" s="460"/>
      <c r="C104" s="487">
        <f>TempMWH!F6</f>
        <v>-153.30505099373079</v>
      </c>
      <c r="D104" s="624">
        <f t="shared" si="150"/>
        <v>3.38743377E-2</v>
      </c>
      <c r="E104" s="468">
        <f t="shared" si="151"/>
        <v>-5193.1099999999997</v>
      </c>
      <c r="F104" s="624">
        <f t="shared" si="152"/>
        <v>3.38743377E-2</v>
      </c>
      <c r="G104" s="468">
        <f t="shared" si="153"/>
        <v>-5193.1099999999997</v>
      </c>
      <c r="H104" s="624">
        <f t="shared" si="154"/>
        <v>3.38743377E-2</v>
      </c>
      <c r="I104" s="468">
        <f t="shared" si="151"/>
        <v>-5193.1099999999997</v>
      </c>
      <c r="J104" s="458"/>
      <c r="K104" s="460">
        <f t="shared" si="155"/>
        <v>43525</v>
      </c>
      <c r="L104" s="460"/>
      <c r="M104" s="487">
        <f>TempMWH!H6</f>
        <v>527.23376470698179</v>
      </c>
      <c r="N104" s="445">
        <f t="shared" si="156"/>
        <v>3.38743377E-2</v>
      </c>
      <c r="O104" s="468">
        <f t="shared" si="147"/>
        <v>17859.689999999999</v>
      </c>
      <c r="P104" s="445">
        <f t="shared" si="157"/>
        <v>3.38743377E-2</v>
      </c>
      <c r="Q104" s="468">
        <f t="shared" si="148"/>
        <v>17859.689999999999</v>
      </c>
      <c r="R104" s="445">
        <f t="shared" si="158"/>
        <v>3.38743377E-2</v>
      </c>
      <c r="S104" s="468">
        <f t="shared" si="149"/>
        <v>17859.689999999999</v>
      </c>
      <c r="T104" s="458"/>
      <c r="U104" s="460"/>
      <c r="V104" s="460"/>
      <c r="W104" s="462"/>
      <c r="X104" s="826"/>
      <c r="Y104" s="464"/>
      <c r="Z104" s="826"/>
      <c r="AA104" s="464"/>
      <c r="AB104" s="826"/>
      <c r="AC104" s="464"/>
      <c r="AD104" s="827"/>
    </row>
    <row r="105" spans="1:30">
      <c r="A105" s="618">
        <v>43556</v>
      </c>
      <c r="B105" s="466"/>
      <c r="C105" s="487">
        <f>TempMWH!F7</f>
        <v>213.12416975579873</v>
      </c>
      <c r="D105" s="624">
        <f>0.035143*(1+$Y$12)</f>
        <v>3.38743377E-2</v>
      </c>
      <c r="E105" s="468">
        <f t="shared" si="151"/>
        <v>7219.44</v>
      </c>
      <c r="F105" s="624">
        <f t="shared" si="152"/>
        <v>3.38743377E-2</v>
      </c>
      <c r="G105" s="468">
        <f t="shared" si="153"/>
        <v>7219.44</v>
      </c>
      <c r="H105" s="624">
        <f t="shared" si="154"/>
        <v>3.38743377E-2</v>
      </c>
      <c r="I105" s="468">
        <f t="shared" si="151"/>
        <v>7219.44</v>
      </c>
      <c r="J105" s="580"/>
      <c r="K105" s="460">
        <f t="shared" si="155"/>
        <v>43556</v>
      </c>
      <c r="L105" s="466"/>
      <c r="M105" s="487">
        <f>TempMWH!H7</f>
        <v>993.3633335351501</v>
      </c>
      <c r="N105" s="445">
        <f t="shared" si="156"/>
        <v>3.38743377E-2</v>
      </c>
      <c r="O105" s="468">
        <f t="shared" si="147"/>
        <v>33649.53</v>
      </c>
      <c r="P105" s="445">
        <f t="shared" si="157"/>
        <v>3.38743377E-2</v>
      </c>
      <c r="Q105" s="468">
        <f t="shared" si="148"/>
        <v>33649.53</v>
      </c>
      <c r="R105" s="445">
        <f t="shared" si="158"/>
        <v>3.38743377E-2</v>
      </c>
      <c r="S105" s="468">
        <f t="shared" si="149"/>
        <v>33649.53</v>
      </c>
      <c r="T105" s="580"/>
      <c r="U105" s="460"/>
      <c r="V105" s="460"/>
      <c r="W105" s="462"/>
      <c r="X105" s="826"/>
      <c r="Y105" s="464"/>
      <c r="Z105" s="826"/>
      <c r="AA105" s="464"/>
      <c r="AB105" s="826"/>
      <c r="AC105" s="464"/>
      <c r="AD105" s="828"/>
    </row>
    <row r="106" spans="1:30">
      <c r="A106" s="618">
        <v>43586</v>
      </c>
      <c r="B106" s="466"/>
      <c r="C106" s="487">
        <f>TempMWH!F8</f>
        <v>511.46908663287456</v>
      </c>
      <c r="D106" s="624">
        <f>0.038127*(1+$Y$12)</f>
        <v>3.6750615299999997E-2</v>
      </c>
      <c r="E106" s="468">
        <f t="shared" si="151"/>
        <v>18796.8</v>
      </c>
      <c r="F106" s="624">
        <f t="shared" si="152"/>
        <v>3.6750615299999997E-2</v>
      </c>
      <c r="G106" s="468">
        <f t="shared" si="153"/>
        <v>18796.8</v>
      </c>
      <c r="H106" s="624">
        <f t="shared" si="154"/>
        <v>3.6750615299999997E-2</v>
      </c>
      <c r="I106" s="468">
        <f t="shared" si="151"/>
        <v>18796.8</v>
      </c>
      <c r="K106" s="460">
        <f t="shared" si="155"/>
        <v>43586</v>
      </c>
      <c r="L106" s="466"/>
      <c r="M106" s="487">
        <f>TempMWH!H8</f>
        <v>8850.9090756595433</v>
      </c>
      <c r="N106" s="552">
        <f t="shared" si="156"/>
        <v>3.6750615299999997E-2</v>
      </c>
      <c r="O106" s="468">
        <f t="shared" si="147"/>
        <v>325276.34999999998</v>
      </c>
      <c r="P106" s="552">
        <f t="shared" si="157"/>
        <v>3.6750615299999997E-2</v>
      </c>
      <c r="Q106" s="468">
        <f t="shared" si="148"/>
        <v>325276.34999999998</v>
      </c>
      <c r="R106" s="445">
        <f t="shared" si="158"/>
        <v>3.6750615299999997E-2</v>
      </c>
      <c r="S106" s="468">
        <f t="shared" si="149"/>
        <v>325276.34999999998</v>
      </c>
      <c r="T106" s="579"/>
      <c r="U106" s="460"/>
      <c r="V106" s="460"/>
      <c r="W106" s="462"/>
      <c r="X106" s="463"/>
      <c r="Y106" s="464"/>
      <c r="Z106" s="463"/>
      <c r="AA106" s="464"/>
      <c r="AB106" s="463"/>
      <c r="AC106" s="464"/>
      <c r="AD106" s="823"/>
    </row>
    <row r="107" spans="1:30">
      <c r="A107" s="618">
        <v>43617</v>
      </c>
      <c r="B107" s="460"/>
      <c r="C107" s="487">
        <f>TempMWH!F9</f>
        <v>686.86048649891688</v>
      </c>
      <c r="D107" s="624">
        <f>0.038127*(1+$Y$12)</f>
        <v>3.6750615299999997E-2</v>
      </c>
      <c r="E107" s="468">
        <f t="shared" si="151"/>
        <v>25242.55</v>
      </c>
      <c r="F107" s="624">
        <f t="shared" si="152"/>
        <v>3.6750615299999997E-2</v>
      </c>
      <c r="G107" s="468">
        <f t="shared" si="153"/>
        <v>25242.55</v>
      </c>
      <c r="H107" s="624">
        <f t="shared" si="154"/>
        <v>3.6750615299999997E-2</v>
      </c>
      <c r="I107" s="468">
        <f t="shared" si="151"/>
        <v>25242.55</v>
      </c>
      <c r="K107" s="460">
        <f t="shared" si="155"/>
        <v>43617</v>
      </c>
      <c r="L107" s="460"/>
      <c r="M107" s="487">
        <f>TempMWH!H9</f>
        <v>6499.9178626834664</v>
      </c>
      <c r="N107" s="552">
        <f t="shared" si="156"/>
        <v>3.6750615299999997E-2</v>
      </c>
      <c r="O107" s="468">
        <f t="shared" si="147"/>
        <v>238875.98</v>
      </c>
      <c r="P107" s="552">
        <f t="shared" si="157"/>
        <v>3.6750615299999997E-2</v>
      </c>
      <c r="Q107" s="468">
        <f t="shared" si="148"/>
        <v>238875.98</v>
      </c>
      <c r="R107" s="445">
        <f t="shared" si="158"/>
        <v>3.6750615299999997E-2</v>
      </c>
      <c r="S107" s="468">
        <f t="shared" si="149"/>
        <v>238875.98</v>
      </c>
      <c r="T107" s="579"/>
      <c r="U107" s="460"/>
      <c r="V107" s="460"/>
      <c r="W107" s="462"/>
      <c r="X107" s="463"/>
      <c r="Y107" s="464"/>
      <c r="Z107" s="463"/>
      <c r="AA107" s="464"/>
      <c r="AB107" s="463"/>
      <c r="AC107" s="464"/>
      <c r="AD107" s="823"/>
    </row>
    <row r="108" spans="1:30">
      <c r="A108" s="618">
        <v>43282</v>
      </c>
      <c r="B108" s="466"/>
      <c r="C108" s="487">
        <f>TempMWH!F10</f>
        <v>-360.76873813010985</v>
      </c>
      <c r="D108" s="624">
        <f>0.038127*(1+$X$12)</f>
        <v>3.6750615299999997E-2</v>
      </c>
      <c r="E108" s="468">
        <f t="shared" si="151"/>
        <v>-13258.47</v>
      </c>
      <c r="F108" s="624">
        <f>F107</f>
        <v>3.6750615299999997E-2</v>
      </c>
      <c r="G108" s="468">
        <f t="shared" si="153"/>
        <v>-13258.47</v>
      </c>
      <c r="H108" s="624">
        <f t="shared" si="154"/>
        <v>3.6750615299999997E-2</v>
      </c>
      <c r="I108" s="468">
        <f t="shared" si="151"/>
        <v>-13258.47</v>
      </c>
      <c r="K108" s="460">
        <f t="shared" si="155"/>
        <v>43282</v>
      </c>
      <c r="L108" s="466"/>
      <c r="M108" s="487">
        <f>TempMWH!H10</f>
        <v>-5158.8222228315781</v>
      </c>
      <c r="N108" s="445">
        <f t="shared" si="156"/>
        <v>3.6750615299999997E-2</v>
      </c>
      <c r="O108" s="468">
        <f t="shared" si="147"/>
        <v>-189589.89</v>
      </c>
      <c r="P108" s="552">
        <f t="shared" si="157"/>
        <v>3.6750615299999997E-2</v>
      </c>
      <c r="Q108" s="468">
        <f t="shared" si="148"/>
        <v>-189589.89</v>
      </c>
      <c r="R108" s="445">
        <f t="shared" si="158"/>
        <v>3.6750615299999997E-2</v>
      </c>
      <c r="S108" s="468">
        <f t="shared" si="149"/>
        <v>-189589.89</v>
      </c>
      <c r="T108" s="579"/>
      <c r="U108" s="460"/>
      <c r="V108" s="460"/>
      <c r="W108" s="462"/>
      <c r="X108" s="826"/>
      <c r="Y108" s="464"/>
      <c r="Z108" s="826"/>
      <c r="AA108" s="464"/>
      <c r="AB108" s="826"/>
      <c r="AC108" s="464"/>
      <c r="AD108" s="823"/>
    </row>
    <row r="109" spans="1:30">
      <c r="A109" s="618">
        <v>43313</v>
      </c>
      <c r="B109" s="466"/>
      <c r="C109" s="487">
        <f>TempMWH!F11</f>
        <v>-823.6572168274314</v>
      </c>
      <c r="D109" s="624">
        <f t="shared" ref="D109:D110" si="159">0.038127*(1+$X$12)</f>
        <v>3.6750615299999997E-2</v>
      </c>
      <c r="E109" s="468">
        <f t="shared" si="151"/>
        <v>-30269.91</v>
      </c>
      <c r="F109" s="624">
        <f t="shared" ref="F109:F110" si="160">F108</f>
        <v>3.6750615299999997E-2</v>
      </c>
      <c r="G109" s="468">
        <f t="shared" si="153"/>
        <v>-30269.91</v>
      </c>
      <c r="H109" s="624">
        <f t="shared" si="154"/>
        <v>3.6750615299999997E-2</v>
      </c>
      <c r="I109" s="468">
        <f t="shared" si="151"/>
        <v>-30269.91</v>
      </c>
      <c r="K109" s="460">
        <f t="shared" si="155"/>
        <v>43313</v>
      </c>
      <c r="L109" s="466"/>
      <c r="M109" s="487">
        <f>TempMWH!H11</f>
        <v>-13449.252776702986</v>
      </c>
      <c r="N109" s="445">
        <f t="shared" si="156"/>
        <v>3.6750615299999997E-2</v>
      </c>
      <c r="O109" s="468">
        <f t="shared" si="147"/>
        <v>-494268.31</v>
      </c>
      <c r="P109" s="552">
        <f t="shared" si="157"/>
        <v>3.6750615299999997E-2</v>
      </c>
      <c r="Q109" s="468">
        <f t="shared" si="148"/>
        <v>-494268.31</v>
      </c>
      <c r="R109" s="445">
        <f t="shared" si="158"/>
        <v>3.6750615299999997E-2</v>
      </c>
      <c r="S109" s="468">
        <f t="shared" si="149"/>
        <v>-494268.31</v>
      </c>
      <c r="T109" s="579"/>
      <c r="U109" s="460"/>
      <c r="V109" s="460"/>
      <c r="W109" s="462"/>
      <c r="X109" s="826"/>
      <c r="Y109" s="464"/>
      <c r="Z109" s="826"/>
      <c r="AA109" s="464"/>
      <c r="AB109" s="826"/>
      <c r="AC109" s="464"/>
      <c r="AD109" s="823"/>
    </row>
    <row r="110" spans="1:30">
      <c r="A110" s="618">
        <v>43344</v>
      </c>
      <c r="B110" s="466"/>
      <c r="C110" s="487">
        <f>TempMWH!F12</f>
        <v>-437.45311502202492</v>
      </c>
      <c r="D110" s="624">
        <f t="shared" si="159"/>
        <v>3.6750615299999997E-2</v>
      </c>
      <c r="E110" s="468">
        <f t="shared" si="151"/>
        <v>-16076.67</v>
      </c>
      <c r="F110" s="624">
        <f t="shared" si="160"/>
        <v>3.6750615299999997E-2</v>
      </c>
      <c r="G110" s="468">
        <f t="shared" si="153"/>
        <v>-16076.67</v>
      </c>
      <c r="H110" s="624">
        <f t="shared" si="154"/>
        <v>3.6750615299999997E-2</v>
      </c>
      <c r="I110" s="468">
        <f t="shared" si="151"/>
        <v>-16076.67</v>
      </c>
      <c r="K110" s="460">
        <f t="shared" si="155"/>
        <v>43344</v>
      </c>
      <c r="L110" s="466"/>
      <c r="M110" s="487">
        <f>TempMWH!H12</f>
        <v>-4184.2753817027224</v>
      </c>
      <c r="N110" s="445">
        <f t="shared" si="156"/>
        <v>3.6750615299999997E-2</v>
      </c>
      <c r="O110" s="468">
        <f t="shared" si="147"/>
        <v>-153774.69</v>
      </c>
      <c r="P110" s="552">
        <f t="shared" si="157"/>
        <v>3.6750615299999997E-2</v>
      </c>
      <c r="Q110" s="468">
        <f t="shared" si="148"/>
        <v>-153774.69</v>
      </c>
      <c r="R110" s="445">
        <f t="shared" si="158"/>
        <v>3.6750615299999997E-2</v>
      </c>
      <c r="S110" s="468">
        <f t="shared" si="149"/>
        <v>-153774.69</v>
      </c>
      <c r="T110" s="579"/>
      <c r="U110" s="460"/>
      <c r="V110" s="460"/>
      <c r="W110" s="462"/>
      <c r="X110" s="826"/>
      <c r="Y110" s="464"/>
      <c r="Z110" s="826"/>
      <c r="AA110" s="464"/>
      <c r="AB110" s="826"/>
      <c r="AC110" s="464"/>
      <c r="AD110" s="823"/>
    </row>
    <row r="111" spans="1:30">
      <c r="A111" s="618">
        <v>43374</v>
      </c>
      <c r="B111" s="466"/>
      <c r="C111" s="487">
        <f>TempMWH!F13</f>
        <v>-595.03178974290063</v>
      </c>
      <c r="D111" s="624">
        <f>0.035143*(1+$X$12)</f>
        <v>3.38743377E-2</v>
      </c>
      <c r="E111" s="468">
        <f t="shared" si="151"/>
        <v>-20156.310000000001</v>
      </c>
      <c r="F111" s="625">
        <f>F102</f>
        <v>3.38743377E-2</v>
      </c>
      <c r="G111" s="468">
        <f t="shared" si="153"/>
        <v>-20156.310000000001</v>
      </c>
      <c r="H111" s="624">
        <f t="shared" si="154"/>
        <v>3.38743377E-2</v>
      </c>
      <c r="I111" s="468">
        <f t="shared" si="151"/>
        <v>-20156.310000000001</v>
      </c>
      <c r="K111" s="460">
        <f t="shared" si="155"/>
        <v>43374</v>
      </c>
      <c r="L111" s="466"/>
      <c r="M111" s="487">
        <f>TempMWH!H13</f>
        <v>2534.0376889368144</v>
      </c>
      <c r="N111" s="445">
        <f t="shared" si="156"/>
        <v>3.38743377E-2</v>
      </c>
      <c r="O111" s="468">
        <f t="shared" si="147"/>
        <v>85838.85</v>
      </c>
      <c r="P111" s="445">
        <f t="shared" si="157"/>
        <v>3.38743377E-2</v>
      </c>
      <c r="Q111" s="468">
        <f t="shared" si="148"/>
        <v>85838.85</v>
      </c>
      <c r="R111" s="445">
        <f t="shared" si="158"/>
        <v>3.38743377E-2</v>
      </c>
      <c r="S111" s="468">
        <f t="shared" si="149"/>
        <v>85838.85</v>
      </c>
      <c r="T111" s="579"/>
      <c r="U111" s="460"/>
      <c r="V111" s="460"/>
      <c r="W111" s="462"/>
      <c r="X111" s="826"/>
      <c r="Y111" s="464"/>
      <c r="Z111" s="826"/>
      <c r="AA111" s="464"/>
      <c r="AB111" s="826"/>
      <c r="AC111" s="464"/>
      <c r="AD111" s="823"/>
    </row>
    <row r="112" spans="1:30">
      <c r="A112" s="618">
        <v>43405</v>
      </c>
      <c r="B112" s="466"/>
      <c r="C112" s="487">
        <f>TempMWH!F14</f>
        <v>50.411575880535132</v>
      </c>
      <c r="D112" s="624">
        <f t="shared" ref="D112:D113" si="161">0.035143*(1+$X$12)</f>
        <v>3.38743377E-2</v>
      </c>
      <c r="E112" s="468">
        <f t="shared" si="151"/>
        <v>1707.66</v>
      </c>
      <c r="F112" s="625">
        <f t="shared" ref="F112:F113" si="162">F103</f>
        <v>3.38743377E-2</v>
      </c>
      <c r="G112" s="468">
        <f t="shared" si="153"/>
        <v>1707.66</v>
      </c>
      <c r="H112" s="624">
        <f t="shared" si="154"/>
        <v>3.38743377E-2</v>
      </c>
      <c r="I112" s="468">
        <f t="shared" si="151"/>
        <v>1707.66</v>
      </c>
      <c r="K112" s="460">
        <f t="shared" si="155"/>
        <v>43405</v>
      </c>
      <c r="L112" s="466"/>
      <c r="M112" s="487">
        <f>TempMWH!H14</f>
        <v>2679.1849206339525</v>
      </c>
      <c r="N112" s="445">
        <f t="shared" si="156"/>
        <v>3.38743377E-2</v>
      </c>
      <c r="O112" s="468">
        <f t="shared" si="147"/>
        <v>90755.61</v>
      </c>
      <c r="P112" s="445">
        <f t="shared" si="157"/>
        <v>3.38743377E-2</v>
      </c>
      <c r="Q112" s="468">
        <f t="shared" si="148"/>
        <v>90755.61</v>
      </c>
      <c r="R112" s="445">
        <f t="shared" si="158"/>
        <v>3.38743377E-2</v>
      </c>
      <c r="S112" s="468">
        <f t="shared" si="149"/>
        <v>90755.61</v>
      </c>
      <c r="T112" s="579"/>
      <c r="U112" s="460"/>
      <c r="V112" s="460"/>
      <c r="W112" s="462"/>
      <c r="X112" s="826"/>
      <c r="Y112" s="464"/>
      <c r="Z112" s="826"/>
      <c r="AA112" s="464"/>
      <c r="AB112" s="826"/>
      <c r="AC112" s="464"/>
      <c r="AD112" s="823"/>
    </row>
    <row r="113" spans="1:30">
      <c r="A113" s="619">
        <v>43435</v>
      </c>
      <c r="B113" s="474"/>
      <c r="C113" s="476">
        <f>TempMWH!F15</f>
        <v>481.71975961285602</v>
      </c>
      <c r="D113" s="624">
        <f t="shared" si="161"/>
        <v>3.38743377E-2</v>
      </c>
      <c r="E113" s="478">
        <f t="shared" si="151"/>
        <v>16317.94</v>
      </c>
      <c r="F113" s="625">
        <f t="shared" si="162"/>
        <v>3.38743377E-2</v>
      </c>
      <c r="G113" s="478">
        <f t="shared" si="153"/>
        <v>16317.94</v>
      </c>
      <c r="H113" s="624">
        <f t="shared" si="154"/>
        <v>3.38743377E-2</v>
      </c>
      <c r="I113" s="478">
        <f t="shared" si="151"/>
        <v>16317.94</v>
      </c>
      <c r="K113" s="474">
        <f t="shared" si="155"/>
        <v>43435</v>
      </c>
      <c r="L113" s="474"/>
      <c r="M113" s="476">
        <f>TempMWH!H15</f>
        <v>4111.545990755727</v>
      </c>
      <c r="N113" s="481">
        <f t="shared" si="156"/>
        <v>3.38743377E-2</v>
      </c>
      <c r="O113" s="478">
        <f t="shared" si="147"/>
        <v>139275.9</v>
      </c>
      <c r="P113" s="481">
        <f t="shared" si="157"/>
        <v>3.38743377E-2</v>
      </c>
      <c r="Q113" s="478">
        <f t="shared" si="148"/>
        <v>139275.9</v>
      </c>
      <c r="R113" s="445">
        <f t="shared" si="158"/>
        <v>3.38743377E-2</v>
      </c>
      <c r="S113" s="478">
        <f t="shared" si="149"/>
        <v>139275.9</v>
      </c>
      <c r="T113" s="579"/>
      <c r="U113" s="460"/>
      <c r="V113" s="460"/>
      <c r="W113" s="462"/>
      <c r="X113" s="826"/>
      <c r="Y113" s="464"/>
      <c r="Z113" s="826"/>
      <c r="AA113" s="464"/>
      <c r="AB113" s="826"/>
      <c r="AC113" s="464"/>
      <c r="AD113" s="823"/>
    </row>
    <row r="114" spans="1:30">
      <c r="A114" s="449" t="s">
        <v>93</v>
      </c>
      <c r="B114" s="449"/>
      <c r="C114" s="479">
        <f>SUM(C102:C113)</f>
        <v>-366.13540869671874</v>
      </c>
      <c r="D114" s="449"/>
      <c r="E114" s="468">
        <f>SUM(E102:E113)</f>
        <v>-13620.840000000002</v>
      </c>
      <c r="F114" s="449"/>
      <c r="G114" s="468">
        <f>SUM(G102:G113)</f>
        <v>-13620.840000000002</v>
      </c>
      <c r="H114" s="449"/>
      <c r="I114" s="468">
        <f>SUM(I102:I113)</f>
        <v>-13620.840000000002</v>
      </c>
      <c r="K114" s="449" t="s">
        <v>93</v>
      </c>
      <c r="L114" s="449"/>
      <c r="M114" s="479">
        <f>SUM(M102:M113)</f>
        <v>3906.6047734176213</v>
      </c>
      <c r="N114" s="449"/>
      <c r="O114" s="468">
        <f>SUM(O102:O113)</f>
        <v>110929.76999999992</v>
      </c>
      <c r="P114" s="449"/>
      <c r="Q114" s="468">
        <f>SUM(Q102:Q113)</f>
        <v>110929.76999999992</v>
      </c>
      <c r="R114" s="449"/>
      <c r="S114" s="468">
        <f>SUM(S102:S113)</f>
        <v>110929.76999999992</v>
      </c>
      <c r="T114" s="579"/>
      <c r="U114" s="473"/>
      <c r="V114" s="473"/>
      <c r="W114" s="829"/>
      <c r="X114" s="473"/>
      <c r="Y114" s="464"/>
      <c r="Z114" s="473"/>
      <c r="AA114" s="464"/>
      <c r="AB114" s="473"/>
      <c r="AC114" s="464"/>
      <c r="AD114" s="823"/>
    </row>
    <row r="115" spans="1:30">
      <c r="A115" s="449"/>
      <c r="B115" s="454"/>
      <c r="C115" s="479"/>
      <c r="D115" s="488"/>
      <c r="E115" s="468"/>
      <c r="F115" s="488"/>
      <c r="G115" s="468"/>
      <c r="H115" s="488"/>
      <c r="I115" s="468"/>
    </row>
    <row r="116" spans="1:30">
      <c r="A116" s="451" t="s">
        <v>792</v>
      </c>
      <c r="B116" s="448"/>
      <c r="C116" s="448"/>
      <c r="D116" s="448"/>
      <c r="E116" s="448"/>
      <c r="F116" s="448"/>
      <c r="G116" s="448"/>
      <c r="H116" s="448"/>
      <c r="I116" s="448"/>
      <c r="K116" s="821"/>
      <c r="L116" s="822"/>
      <c r="M116" s="822"/>
      <c r="N116" s="822"/>
      <c r="O116" s="822"/>
      <c r="P116" s="822"/>
      <c r="Q116" s="822"/>
      <c r="R116" s="822"/>
      <c r="S116" s="822"/>
      <c r="T116" s="579"/>
    </row>
    <row r="117" spans="1:30">
      <c r="A117" s="449"/>
      <c r="B117" s="449"/>
      <c r="C117" s="449"/>
      <c r="D117" s="455" t="s">
        <v>425</v>
      </c>
      <c r="E117" s="455" t="s">
        <v>425</v>
      </c>
      <c r="F117" s="455" t="s">
        <v>494</v>
      </c>
      <c r="G117" s="455" t="s">
        <v>494</v>
      </c>
      <c r="H117" s="455" t="s">
        <v>216</v>
      </c>
      <c r="I117" s="455" t="s">
        <v>216</v>
      </c>
      <c r="K117" s="473"/>
      <c r="L117" s="473"/>
      <c r="M117" s="473"/>
      <c r="N117" s="824"/>
      <c r="O117" s="824"/>
      <c r="P117" s="824"/>
      <c r="Q117" s="824"/>
      <c r="R117" s="824"/>
      <c r="S117" s="824"/>
      <c r="T117" s="579"/>
    </row>
    <row r="118" spans="1:30">
      <c r="A118" s="456" t="s">
        <v>110</v>
      </c>
      <c r="B118" s="456"/>
      <c r="C118" s="456" t="s">
        <v>109</v>
      </c>
      <c r="D118" s="456" t="s">
        <v>99</v>
      </c>
      <c r="E118" s="456" t="s">
        <v>496</v>
      </c>
      <c r="F118" s="456" t="s">
        <v>99</v>
      </c>
      <c r="G118" s="456" t="s">
        <v>496</v>
      </c>
      <c r="H118" s="456" t="s">
        <v>99</v>
      </c>
      <c r="I118" s="456" t="s">
        <v>496</v>
      </c>
      <c r="J118" s="458"/>
      <c r="K118" s="824"/>
      <c r="L118" s="824"/>
      <c r="M118" s="824"/>
      <c r="N118" s="824"/>
      <c r="O118" s="824"/>
      <c r="P118" s="824"/>
      <c r="Q118" s="824"/>
      <c r="R118" s="824"/>
      <c r="S118" s="824"/>
      <c r="T118" s="458"/>
    </row>
    <row r="119" spans="1:30">
      <c r="A119" s="460">
        <f>A102</f>
        <v>43466</v>
      </c>
      <c r="B119" s="466"/>
      <c r="C119" s="487">
        <f>TempMWH!J4</f>
        <v>0.63470858000982067</v>
      </c>
      <c r="D119" s="552">
        <f>D102</f>
        <v>3.38743377E-2</v>
      </c>
      <c r="E119" s="468">
        <f>ROUND(D119*$C119*1000,2)</f>
        <v>21.5</v>
      </c>
      <c r="F119" s="552">
        <f>F102</f>
        <v>3.38743377E-2</v>
      </c>
      <c r="G119" s="468">
        <f>ROUND(F119*$C119*1000,2)</f>
        <v>21.5</v>
      </c>
      <c r="H119" s="552">
        <f>H102</f>
        <v>3.38743377E-2</v>
      </c>
      <c r="I119" s="468">
        <f>ROUND(H119*$C119*1000,2)</f>
        <v>21.5</v>
      </c>
      <c r="K119" s="460"/>
      <c r="L119" s="460"/>
      <c r="M119" s="462"/>
      <c r="N119" s="463"/>
      <c r="O119" s="464"/>
      <c r="P119" s="463"/>
      <c r="Q119" s="464"/>
      <c r="R119" s="463"/>
      <c r="S119" s="464"/>
      <c r="T119" s="579"/>
    </row>
    <row r="120" spans="1:30">
      <c r="A120" s="460">
        <f t="shared" ref="A120:A130" si="163">A103</f>
        <v>43497</v>
      </c>
      <c r="B120" s="466"/>
      <c r="C120" s="487">
        <f>TempMWH!J5</f>
        <v>-0.37379103356824467</v>
      </c>
      <c r="D120" s="445">
        <f t="shared" ref="D120:D130" si="164">D103</f>
        <v>3.38743377E-2</v>
      </c>
      <c r="E120" s="468">
        <f t="shared" ref="E120:E130" si="165">ROUND(D120*$C120*1000,2)</f>
        <v>-12.66</v>
      </c>
      <c r="F120" s="445">
        <f t="shared" ref="F120:F130" si="166">F103</f>
        <v>3.38743377E-2</v>
      </c>
      <c r="G120" s="468">
        <f t="shared" ref="G120:G130" si="167">ROUND(F120*$C120*1000,2)</f>
        <v>-12.66</v>
      </c>
      <c r="H120" s="445">
        <f t="shared" ref="H120:H130" si="168">H103</f>
        <v>3.38743377E-2</v>
      </c>
      <c r="I120" s="468">
        <f t="shared" ref="I120:I130" si="169">ROUND(H120*$C120*1000,2)</f>
        <v>-12.66</v>
      </c>
      <c r="K120" s="460"/>
      <c r="L120" s="460"/>
      <c r="M120" s="462"/>
      <c r="N120" s="826"/>
      <c r="O120" s="464"/>
      <c r="P120" s="826"/>
      <c r="Q120" s="464"/>
      <c r="R120" s="826"/>
      <c r="S120" s="464"/>
      <c r="T120" s="579"/>
    </row>
    <row r="121" spans="1:30">
      <c r="A121" s="460">
        <f t="shared" si="163"/>
        <v>43525</v>
      </c>
      <c r="B121" s="460"/>
      <c r="C121" s="487">
        <f>TempMWH!J6</f>
        <v>0.39454723992114826</v>
      </c>
      <c r="D121" s="445">
        <f t="shared" si="164"/>
        <v>3.38743377E-2</v>
      </c>
      <c r="E121" s="468">
        <f t="shared" si="165"/>
        <v>13.37</v>
      </c>
      <c r="F121" s="445">
        <f t="shared" si="166"/>
        <v>3.38743377E-2</v>
      </c>
      <c r="G121" s="468">
        <f t="shared" si="167"/>
        <v>13.37</v>
      </c>
      <c r="H121" s="445">
        <f t="shared" si="168"/>
        <v>3.38743377E-2</v>
      </c>
      <c r="I121" s="468">
        <f t="shared" si="169"/>
        <v>13.37</v>
      </c>
      <c r="K121" s="460"/>
      <c r="L121" s="460"/>
      <c r="M121" s="462"/>
      <c r="N121" s="826"/>
      <c r="O121" s="464"/>
      <c r="P121" s="826"/>
      <c r="Q121" s="464"/>
      <c r="R121" s="826"/>
      <c r="S121" s="464"/>
      <c r="T121" s="579"/>
    </row>
    <row r="122" spans="1:30">
      <c r="A122" s="460">
        <f t="shared" si="163"/>
        <v>43556</v>
      </c>
      <c r="B122" s="466"/>
      <c r="C122" s="487">
        <f>TempMWH!J7</f>
        <v>0.70415760621078405</v>
      </c>
      <c r="D122" s="445">
        <f t="shared" si="164"/>
        <v>3.38743377E-2</v>
      </c>
      <c r="E122" s="468">
        <f t="shared" si="165"/>
        <v>23.85</v>
      </c>
      <c r="F122" s="445">
        <f t="shared" si="166"/>
        <v>3.38743377E-2</v>
      </c>
      <c r="G122" s="468">
        <f t="shared" si="167"/>
        <v>23.85</v>
      </c>
      <c r="H122" s="445">
        <f t="shared" si="168"/>
        <v>3.38743377E-2</v>
      </c>
      <c r="I122" s="468">
        <f t="shared" si="169"/>
        <v>23.85</v>
      </c>
      <c r="K122" s="460"/>
      <c r="L122" s="460"/>
      <c r="M122" s="462"/>
      <c r="N122" s="826"/>
      <c r="O122" s="464"/>
      <c r="P122" s="826"/>
      <c r="Q122" s="464"/>
      <c r="R122" s="826"/>
      <c r="S122" s="464"/>
    </row>
    <row r="123" spans="1:30">
      <c r="A123" s="460">
        <f t="shared" si="163"/>
        <v>43586</v>
      </c>
      <c r="B123" s="466"/>
      <c r="C123" s="487">
        <f>TempMWH!J8</f>
        <v>6.2515311471346031</v>
      </c>
      <c r="D123" s="552">
        <f t="shared" si="164"/>
        <v>3.6750615299999997E-2</v>
      </c>
      <c r="E123" s="468">
        <f t="shared" si="165"/>
        <v>229.75</v>
      </c>
      <c r="F123" s="552">
        <f t="shared" si="166"/>
        <v>3.6750615299999997E-2</v>
      </c>
      <c r="G123" s="468">
        <f t="shared" si="167"/>
        <v>229.75</v>
      </c>
      <c r="H123" s="445">
        <f t="shared" si="168"/>
        <v>3.6750615299999997E-2</v>
      </c>
      <c r="I123" s="468">
        <f t="shared" si="169"/>
        <v>229.75</v>
      </c>
      <c r="K123" s="460"/>
      <c r="L123" s="460"/>
      <c r="M123" s="462"/>
      <c r="N123" s="463"/>
      <c r="O123" s="464"/>
      <c r="P123" s="463"/>
      <c r="Q123" s="464"/>
      <c r="R123" s="463"/>
      <c r="S123" s="464"/>
    </row>
    <row r="124" spans="1:30">
      <c r="A124" s="460">
        <f t="shared" si="163"/>
        <v>43617</v>
      </c>
      <c r="B124" s="460"/>
      <c r="C124" s="462">
        <f>TempMWH!J9</f>
        <v>3.7358692118670698</v>
      </c>
      <c r="D124" s="552">
        <f t="shared" si="164"/>
        <v>3.6750615299999997E-2</v>
      </c>
      <c r="E124" s="468">
        <f t="shared" si="165"/>
        <v>137.30000000000001</v>
      </c>
      <c r="F124" s="552">
        <f t="shared" si="166"/>
        <v>3.6750615299999997E-2</v>
      </c>
      <c r="G124" s="468">
        <f t="shared" si="167"/>
        <v>137.30000000000001</v>
      </c>
      <c r="H124" s="445">
        <f t="shared" si="168"/>
        <v>3.6750615299999997E-2</v>
      </c>
      <c r="I124" s="468">
        <f t="shared" si="169"/>
        <v>137.30000000000001</v>
      </c>
      <c r="K124" s="460"/>
      <c r="L124" s="460"/>
      <c r="M124" s="462"/>
      <c r="N124" s="463"/>
      <c r="O124" s="464"/>
      <c r="P124" s="463"/>
      <c r="Q124" s="464"/>
      <c r="R124" s="463"/>
      <c r="S124" s="464"/>
    </row>
    <row r="125" spans="1:30">
      <c r="A125" s="460">
        <f t="shared" si="163"/>
        <v>43282</v>
      </c>
      <c r="B125" s="466"/>
      <c r="C125" s="487">
        <f>TempMWH!J10</f>
        <v>-3.1145285011681039</v>
      </c>
      <c r="D125" s="445">
        <f t="shared" si="164"/>
        <v>3.6750615299999997E-2</v>
      </c>
      <c r="E125" s="468">
        <f t="shared" si="165"/>
        <v>-114.46</v>
      </c>
      <c r="F125" s="552">
        <f t="shared" si="166"/>
        <v>3.6750615299999997E-2</v>
      </c>
      <c r="G125" s="468">
        <f t="shared" si="167"/>
        <v>-114.46</v>
      </c>
      <c r="H125" s="445">
        <f t="shared" si="168"/>
        <v>3.6750615299999997E-2</v>
      </c>
      <c r="I125" s="468">
        <f t="shared" si="169"/>
        <v>-114.46</v>
      </c>
      <c r="K125" s="460"/>
      <c r="L125" s="460"/>
      <c r="M125" s="462"/>
      <c r="N125" s="826"/>
      <c r="O125" s="464"/>
      <c r="P125" s="826"/>
      <c r="Q125" s="464"/>
      <c r="R125" s="826"/>
      <c r="S125" s="464"/>
    </row>
    <row r="126" spans="1:30">
      <c r="A126" s="460">
        <f t="shared" si="163"/>
        <v>43313</v>
      </c>
      <c r="B126" s="466"/>
      <c r="C126" s="487">
        <f>TempMWH!J11</f>
        <v>-7.1690921943430999</v>
      </c>
      <c r="D126" s="445">
        <f t="shared" si="164"/>
        <v>3.6750615299999997E-2</v>
      </c>
      <c r="E126" s="468">
        <f t="shared" si="165"/>
        <v>-263.47000000000003</v>
      </c>
      <c r="F126" s="552">
        <f t="shared" si="166"/>
        <v>3.6750615299999997E-2</v>
      </c>
      <c r="G126" s="468">
        <f t="shared" si="167"/>
        <v>-263.47000000000003</v>
      </c>
      <c r="H126" s="445">
        <f t="shared" si="168"/>
        <v>3.6750615299999997E-2</v>
      </c>
      <c r="I126" s="468">
        <f t="shared" si="169"/>
        <v>-263.47000000000003</v>
      </c>
      <c r="K126" s="460"/>
      <c r="L126" s="460"/>
      <c r="M126" s="462"/>
      <c r="N126" s="826"/>
      <c r="O126" s="464"/>
      <c r="P126" s="826"/>
      <c r="Q126" s="464"/>
      <c r="R126" s="826"/>
      <c r="S126" s="464"/>
    </row>
    <row r="127" spans="1:30">
      <c r="A127" s="460">
        <f t="shared" si="163"/>
        <v>43344</v>
      </c>
      <c r="B127" s="466"/>
      <c r="C127" s="487">
        <f>TempMWH!J12</f>
        <v>-2.4839257477482715</v>
      </c>
      <c r="D127" s="445">
        <f t="shared" si="164"/>
        <v>3.6750615299999997E-2</v>
      </c>
      <c r="E127" s="468">
        <f t="shared" si="165"/>
        <v>-91.29</v>
      </c>
      <c r="F127" s="552">
        <f t="shared" si="166"/>
        <v>3.6750615299999997E-2</v>
      </c>
      <c r="G127" s="468">
        <f t="shared" si="167"/>
        <v>-91.29</v>
      </c>
      <c r="H127" s="445">
        <f t="shared" si="168"/>
        <v>3.6750615299999997E-2</v>
      </c>
      <c r="I127" s="468">
        <f t="shared" si="169"/>
        <v>-91.29</v>
      </c>
      <c r="K127" s="460"/>
      <c r="L127" s="460"/>
      <c r="M127" s="462"/>
      <c r="N127" s="826"/>
      <c r="O127" s="464"/>
      <c r="P127" s="826"/>
      <c r="Q127" s="464"/>
      <c r="R127" s="826"/>
      <c r="S127" s="464"/>
    </row>
    <row r="128" spans="1:30">
      <c r="A128" s="460">
        <f t="shared" si="163"/>
        <v>43374</v>
      </c>
      <c r="B128" s="466"/>
      <c r="C128" s="487">
        <f>TempMWH!J13</f>
        <v>1.5926745125908657</v>
      </c>
      <c r="D128" s="445">
        <f t="shared" si="164"/>
        <v>3.38743377E-2</v>
      </c>
      <c r="E128" s="468">
        <f t="shared" si="165"/>
        <v>53.95</v>
      </c>
      <c r="F128" s="445">
        <f t="shared" si="166"/>
        <v>3.38743377E-2</v>
      </c>
      <c r="G128" s="468">
        <f t="shared" si="167"/>
        <v>53.95</v>
      </c>
      <c r="H128" s="445">
        <f t="shared" si="168"/>
        <v>3.38743377E-2</v>
      </c>
      <c r="I128" s="468">
        <f t="shared" si="169"/>
        <v>53.95</v>
      </c>
      <c r="K128" s="460"/>
      <c r="L128" s="460"/>
      <c r="M128" s="462"/>
      <c r="N128" s="826"/>
      <c r="O128" s="464"/>
      <c r="P128" s="826"/>
      <c r="Q128" s="464"/>
      <c r="R128" s="826"/>
      <c r="S128" s="464"/>
      <c r="T128" s="579"/>
    </row>
    <row r="129" spans="1:20">
      <c r="A129" s="460">
        <f t="shared" si="163"/>
        <v>43405</v>
      </c>
      <c r="B129" s="466"/>
      <c r="C129" s="487">
        <f>TempMWH!J14</f>
        <v>1.8553847515864212</v>
      </c>
      <c r="D129" s="445">
        <f t="shared" si="164"/>
        <v>3.38743377E-2</v>
      </c>
      <c r="E129" s="468">
        <f t="shared" si="165"/>
        <v>62.85</v>
      </c>
      <c r="F129" s="445">
        <f t="shared" si="166"/>
        <v>3.38743377E-2</v>
      </c>
      <c r="G129" s="468">
        <f t="shared" si="167"/>
        <v>62.85</v>
      </c>
      <c r="H129" s="445">
        <f t="shared" si="168"/>
        <v>3.38743377E-2</v>
      </c>
      <c r="I129" s="468">
        <f t="shared" si="169"/>
        <v>62.85</v>
      </c>
      <c r="K129" s="460"/>
      <c r="L129" s="460"/>
      <c r="M129" s="462"/>
      <c r="N129" s="826"/>
      <c r="O129" s="464"/>
      <c r="P129" s="826"/>
      <c r="Q129" s="464"/>
      <c r="R129" s="826"/>
      <c r="S129" s="464"/>
      <c r="T129" s="579"/>
    </row>
    <row r="130" spans="1:20">
      <c r="A130" s="474">
        <f t="shared" si="163"/>
        <v>43435</v>
      </c>
      <c r="B130" s="474"/>
      <c r="C130" s="476">
        <f>TempMWH!J15</f>
        <v>2.6601710999594683</v>
      </c>
      <c r="D130" s="481">
        <f t="shared" si="164"/>
        <v>3.38743377E-2</v>
      </c>
      <c r="E130" s="478">
        <f t="shared" si="165"/>
        <v>90.11</v>
      </c>
      <c r="F130" s="481">
        <f t="shared" si="166"/>
        <v>3.38743377E-2</v>
      </c>
      <c r="G130" s="478">
        <f t="shared" si="167"/>
        <v>90.11</v>
      </c>
      <c r="H130" s="445">
        <f t="shared" si="168"/>
        <v>3.38743377E-2</v>
      </c>
      <c r="I130" s="478">
        <f t="shared" si="169"/>
        <v>90.11</v>
      </c>
      <c r="K130" s="460"/>
      <c r="L130" s="460"/>
      <c r="M130" s="462"/>
      <c r="N130" s="826"/>
      <c r="O130" s="464"/>
      <c r="P130" s="826"/>
      <c r="Q130" s="464"/>
      <c r="R130" s="826"/>
      <c r="S130" s="464"/>
      <c r="T130" s="579"/>
    </row>
    <row r="131" spans="1:20">
      <c r="A131" s="449" t="s">
        <v>93</v>
      </c>
      <c r="B131" s="449"/>
      <c r="C131" s="479">
        <f>SUM(C119:C130)</f>
        <v>4.6877066724524612</v>
      </c>
      <c r="D131" s="449"/>
      <c r="E131" s="468">
        <f>SUM(E119:E130)</f>
        <v>150.80000000000001</v>
      </c>
      <c r="F131" s="449"/>
      <c r="G131" s="468">
        <f>SUM(G119:G130)</f>
        <v>150.80000000000001</v>
      </c>
      <c r="H131" s="449"/>
      <c r="I131" s="468">
        <f>SUM(I119:I130)</f>
        <v>150.80000000000001</v>
      </c>
      <c r="K131" s="473"/>
      <c r="L131" s="473"/>
      <c r="M131" s="829"/>
      <c r="N131" s="473"/>
      <c r="O131" s="464"/>
      <c r="P131" s="473"/>
      <c r="Q131" s="464"/>
      <c r="R131" s="473"/>
      <c r="S131" s="464"/>
      <c r="T131" s="579"/>
    </row>
    <row r="132" spans="1:20">
      <c r="A132" s="449"/>
      <c r="B132" s="454"/>
      <c r="C132" s="479"/>
      <c r="D132" s="488"/>
      <c r="E132" s="468"/>
      <c r="F132" s="488"/>
      <c r="G132" s="468"/>
      <c r="H132" s="488"/>
      <c r="I132" s="468"/>
    </row>
    <row r="133" spans="1:20">
      <c r="A133" s="449"/>
      <c r="B133" s="454"/>
      <c r="C133" s="449"/>
      <c r="D133" s="449"/>
      <c r="E133" s="449"/>
      <c r="F133" s="449"/>
      <c r="G133" s="449"/>
      <c r="H133" s="449"/>
      <c r="I133" s="449"/>
    </row>
    <row r="134" spans="1:20">
      <c r="A134" s="451" t="s">
        <v>795</v>
      </c>
      <c r="B134" s="448"/>
      <c r="C134" s="448"/>
      <c r="D134" s="448"/>
      <c r="E134" s="448"/>
      <c r="F134" s="448"/>
      <c r="G134" s="448"/>
      <c r="H134" s="448"/>
      <c r="I134" s="448"/>
      <c r="K134" s="821"/>
      <c r="L134" s="822"/>
      <c r="M134" s="822"/>
      <c r="N134" s="822"/>
      <c r="O134" s="822"/>
      <c r="P134" s="822"/>
      <c r="Q134" s="822"/>
      <c r="R134" s="822"/>
      <c r="S134" s="822"/>
      <c r="T134" s="830"/>
    </row>
    <row r="135" spans="1:20">
      <c r="A135" s="449"/>
      <c r="B135" s="449"/>
      <c r="C135" s="449"/>
      <c r="D135" s="455" t="s">
        <v>425</v>
      </c>
      <c r="E135" s="455" t="s">
        <v>425</v>
      </c>
      <c r="F135" s="455" t="s">
        <v>494</v>
      </c>
      <c r="G135" s="455" t="s">
        <v>494</v>
      </c>
      <c r="H135" s="455" t="s">
        <v>216</v>
      </c>
      <c r="I135" s="455" t="s">
        <v>216</v>
      </c>
      <c r="K135" s="473"/>
      <c r="L135" s="473"/>
      <c r="M135" s="473"/>
      <c r="N135" s="824"/>
      <c r="O135" s="824"/>
      <c r="P135" s="824"/>
      <c r="Q135" s="824"/>
      <c r="R135" s="824"/>
      <c r="S135" s="824"/>
      <c r="T135" s="830"/>
    </row>
    <row r="136" spans="1:20">
      <c r="A136" s="456" t="s">
        <v>110</v>
      </c>
      <c r="B136" s="456"/>
      <c r="C136" s="456" t="s">
        <v>109</v>
      </c>
      <c r="D136" s="456" t="s">
        <v>99</v>
      </c>
      <c r="E136" s="456" t="s">
        <v>496</v>
      </c>
      <c r="F136" s="456" t="s">
        <v>99</v>
      </c>
      <c r="G136" s="456" t="s">
        <v>496</v>
      </c>
      <c r="H136" s="456" t="s">
        <v>99</v>
      </c>
      <c r="I136" s="456" t="s">
        <v>496</v>
      </c>
      <c r="K136" s="824"/>
      <c r="L136" s="824"/>
      <c r="M136" s="824"/>
      <c r="N136" s="824"/>
      <c r="O136" s="824"/>
      <c r="P136" s="824"/>
      <c r="Q136" s="824"/>
      <c r="R136" s="824"/>
      <c r="S136" s="824"/>
      <c r="T136" s="830"/>
    </row>
    <row r="137" spans="1:20">
      <c r="A137" s="618">
        <v>43466</v>
      </c>
      <c r="B137" s="466" t="s">
        <v>252</v>
      </c>
      <c r="C137" s="479">
        <f>ROUND(C139*J$142,3)</f>
        <v>43.218000000000004</v>
      </c>
      <c r="D137" s="471">
        <f>0.099693*(1+$Y$13)</f>
        <v>9.4718319299999992E-2</v>
      </c>
      <c r="E137" s="464">
        <f>ROUND(D137*$C137*1000,2)</f>
        <v>4093.54</v>
      </c>
      <c r="F137" s="471">
        <f>D137</f>
        <v>9.4718319299999992E-2</v>
      </c>
      <c r="G137" s="464">
        <f>ROUND(F137*$C137*1000,2)</f>
        <v>4093.54</v>
      </c>
      <c r="H137" s="471">
        <f>F137</f>
        <v>9.4718319299999992E-2</v>
      </c>
      <c r="I137" s="464">
        <f>ROUND(H137*$C137*1000,2)</f>
        <v>4093.54</v>
      </c>
      <c r="J137" s="458"/>
      <c r="K137" s="460"/>
      <c r="L137" s="460"/>
      <c r="M137" s="829"/>
      <c r="N137" s="826"/>
      <c r="O137" s="464"/>
      <c r="P137" s="826"/>
      <c r="Q137" s="464"/>
      <c r="R137" s="826"/>
      <c r="S137" s="464"/>
      <c r="T137" s="827"/>
    </row>
    <row r="138" spans="1:20">
      <c r="A138" s="618">
        <v>43466</v>
      </c>
      <c r="B138" s="466" t="s">
        <v>253</v>
      </c>
      <c r="C138" s="479">
        <f>C139-C137</f>
        <v>34.829893000254458</v>
      </c>
      <c r="D138" s="471">
        <f>0.03006*(1+$Y$13)</f>
        <v>2.8560005999999999E-2</v>
      </c>
      <c r="E138" s="464">
        <f>ROUND(D138*$C138*1000,2)</f>
        <v>994.74</v>
      </c>
      <c r="F138" s="471">
        <f>D138</f>
        <v>2.8560005999999999E-2</v>
      </c>
      <c r="G138" s="464">
        <f>ROUND(F138*$C138*1000,2)</f>
        <v>994.74</v>
      </c>
      <c r="H138" s="471">
        <f>F138</f>
        <v>2.8560005999999999E-2</v>
      </c>
      <c r="I138" s="464">
        <f>ROUND(H138*$C138*1000,2)</f>
        <v>994.74</v>
      </c>
      <c r="J138" s="580"/>
      <c r="K138" s="460"/>
      <c r="L138" s="460"/>
      <c r="M138" s="829"/>
      <c r="N138" s="826"/>
      <c r="O138" s="464"/>
      <c r="P138" s="826"/>
      <c r="Q138" s="464"/>
      <c r="R138" s="826"/>
      <c r="S138" s="464"/>
      <c r="T138" s="831"/>
    </row>
    <row r="139" spans="1:20">
      <c r="A139" s="618"/>
      <c r="B139" s="466" t="s">
        <v>93</v>
      </c>
      <c r="C139" s="487">
        <f>TempMWH!I4</f>
        <v>78.047893000254462</v>
      </c>
      <c r="D139" s="471"/>
      <c r="E139" s="468"/>
      <c r="F139" s="471"/>
      <c r="G139" s="468"/>
      <c r="H139" s="471"/>
      <c r="I139" s="468"/>
      <c r="J139" s="579" t="s">
        <v>254</v>
      </c>
      <c r="K139" s="460"/>
      <c r="L139" s="460"/>
      <c r="M139" s="462"/>
      <c r="N139" s="826"/>
      <c r="O139" s="464"/>
      <c r="P139" s="826"/>
      <c r="Q139" s="464"/>
      <c r="R139" s="826"/>
      <c r="S139" s="464"/>
      <c r="T139" s="830"/>
    </row>
    <row r="140" spans="1:20">
      <c r="A140" s="618">
        <v>43497</v>
      </c>
      <c r="B140" s="466" t="s">
        <v>252</v>
      </c>
      <c r="C140" s="479">
        <f>ROUND(C142*J$142,3)</f>
        <v>-21.689</v>
      </c>
      <c r="D140" s="471">
        <f>$D$137</f>
        <v>9.4718319299999992E-2</v>
      </c>
      <c r="E140" s="464">
        <f t="shared" ref="E140:I141" si="170">ROUND(D140*$C140*1000,2)</f>
        <v>-2054.35</v>
      </c>
      <c r="F140" s="471">
        <f t="shared" ref="F140:F141" si="171">D140</f>
        <v>9.4718319299999992E-2</v>
      </c>
      <c r="G140" s="464">
        <f t="shared" ref="G140:G141" si="172">ROUND(F140*$C140*1000,2)</f>
        <v>-2054.35</v>
      </c>
      <c r="H140" s="471">
        <f t="shared" ref="H140:H141" si="173">F140</f>
        <v>9.4718319299999992E-2</v>
      </c>
      <c r="I140" s="464">
        <f t="shared" si="170"/>
        <v>-2054.35</v>
      </c>
      <c r="J140" s="579">
        <f>'6A'!N30</f>
        <v>0.55272104993933291</v>
      </c>
      <c r="K140" s="460"/>
      <c r="L140" s="460"/>
      <c r="M140" s="829"/>
      <c r="N140" s="826"/>
      <c r="O140" s="464"/>
      <c r="P140" s="826"/>
      <c r="Q140" s="464"/>
      <c r="R140" s="826"/>
      <c r="S140" s="464"/>
      <c r="T140" s="830"/>
    </row>
    <row r="141" spans="1:20">
      <c r="A141" s="618">
        <v>43497</v>
      </c>
      <c r="B141" s="466" t="s">
        <v>253</v>
      </c>
      <c r="C141" s="479">
        <f>C142-C140</f>
        <v>-17.479785359320999</v>
      </c>
      <c r="D141" s="471">
        <f>$D$138</f>
        <v>2.8560005999999999E-2</v>
      </c>
      <c r="E141" s="464">
        <f t="shared" si="170"/>
        <v>-499.22</v>
      </c>
      <c r="F141" s="471">
        <f t="shared" si="171"/>
        <v>2.8560005999999999E-2</v>
      </c>
      <c r="G141" s="464">
        <f t="shared" si="172"/>
        <v>-499.22</v>
      </c>
      <c r="H141" s="471">
        <f t="shared" si="173"/>
        <v>2.8560005999999999E-2</v>
      </c>
      <c r="I141" s="464">
        <f t="shared" si="170"/>
        <v>-499.22</v>
      </c>
      <c r="J141" s="579" t="s">
        <v>255</v>
      </c>
      <c r="K141" s="460"/>
      <c r="L141" s="460"/>
      <c r="M141" s="829"/>
      <c r="N141" s="826"/>
      <c r="O141" s="464"/>
      <c r="P141" s="826"/>
      <c r="Q141" s="464"/>
      <c r="R141" s="826"/>
      <c r="S141" s="464"/>
      <c r="T141" s="830"/>
    </row>
    <row r="142" spans="1:20">
      <c r="A142" s="618"/>
      <c r="B142" s="466" t="s">
        <v>93</v>
      </c>
      <c r="C142" s="487">
        <f>TempMWH!I5</f>
        <v>-39.168785359320999</v>
      </c>
      <c r="D142" s="471"/>
      <c r="E142" s="468"/>
      <c r="F142" s="471"/>
      <c r="G142" s="468"/>
      <c r="H142" s="471"/>
      <c r="I142" s="468"/>
      <c r="J142" s="579">
        <f>'6A'!P30</f>
        <v>0.55373351401327453</v>
      </c>
      <c r="K142" s="460"/>
      <c r="L142" s="460"/>
      <c r="M142" s="462"/>
      <c r="N142" s="826"/>
      <c r="O142" s="464"/>
      <c r="P142" s="826"/>
      <c r="Q142" s="464"/>
      <c r="R142" s="826"/>
      <c r="S142" s="464"/>
      <c r="T142" s="830"/>
    </row>
    <row r="143" spans="1:20">
      <c r="A143" s="618">
        <v>43525</v>
      </c>
      <c r="B143" s="466" t="s">
        <v>252</v>
      </c>
      <c r="C143" s="479">
        <f>ROUND(C145*J$142,3)</f>
        <v>19.239000000000001</v>
      </c>
      <c r="D143" s="471">
        <f>$D$137</f>
        <v>9.4718319299999992E-2</v>
      </c>
      <c r="E143" s="464">
        <f t="shared" ref="E143:I144" si="174">ROUND(D143*$C143*1000,2)</f>
        <v>1822.29</v>
      </c>
      <c r="F143" s="471">
        <f t="shared" ref="F143:F144" si="175">D143</f>
        <v>9.4718319299999992E-2</v>
      </c>
      <c r="G143" s="464">
        <f t="shared" ref="G143:G144" si="176">ROUND(F143*$C143*1000,2)</f>
        <v>1822.29</v>
      </c>
      <c r="H143" s="471">
        <f t="shared" ref="H143:H144" si="177">F143</f>
        <v>9.4718319299999992E-2</v>
      </c>
      <c r="I143" s="464">
        <f t="shared" si="174"/>
        <v>1822.29</v>
      </c>
      <c r="K143" s="460"/>
      <c r="L143" s="460"/>
      <c r="M143" s="829"/>
      <c r="N143" s="826"/>
      <c r="O143" s="464"/>
      <c r="P143" s="826"/>
      <c r="Q143" s="464"/>
      <c r="R143" s="826"/>
      <c r="S143" s="464"/>
      <c r="T143" s="830"/>
    </row>
    <row r="144" spans="1:20">
      <c r="A144" s="618">
        <v>43525</v>
      </c>
      <c r="B144" s="466" t="s">
        <v>253</v>
      </c>
      <c r="C144" s="479">
        <f>C145-C143</f>
        <v>15.504676479682903</v>
      </c>
      <c r="D144" s="471">
        <f>$D$138</f>
        <v>2.8560005999999999E-2</v>
      </c>
      <c r="E144" s="464">
        <f t="shared" si="174"/>
        <v>442.81</v>
      </c>
      <c r="F144" s="471">
        <f t="shared" si="175"/>
        <v>2.8560005999999999E-2</v>
      </c>
      <c r="G144" s="464">
        <f t="shared" si="176"/>
        <v>442.81</v>
      </c>
      <c r="H144" s="471">
        <f t="shared" si="177"/>
        <v>2.8560005999999999E-2</v>
      </c>
      <c r="I144" s="464">
        <f t="shared" si="174"/>
        <v>442.81</v>
      </c>
      <c r="K144" s="460"/>
      <c r="L144" s="460"/>
      <c r="M144" s="829"/>
      <c r="N144" s="826"/>
      <c r="O144" s="464"/>
      <c r="P144" s="826"/>
      <c r="Q144" s="464"/>
      <c r="R144" s="826"/>
      <c r="S144" s="464"/>
      <c r="T144" s="830"/>
    </row>
    <row r="145" spans="1:20">
      <c r="A145" s="618"/>
      <c r="B145" s="466" t="s">
        <v>93</v>
      </c>
      <c r="C145" s="487">
        <f>TempMWH!I6</f>
        <v>34.743676479682904</v>
      </c>
      <c r="D145" s="471"/>
      <c r="E145" s="468"/>
      <c r="F145" s="471"/>
      <c r="G145" s="468"/>
      <c r="H145" s="471"/>
      <c r="I145" s="468"/>
      <c r="K145" s="460"/>
      <c r="L145" s="460"/>
      <c r="M145" s="462"/>
      <c r="N145" s="826"/>
      <c r="O145" s="464"/>
      <c r="P145" s="826"/>
      <c r="Q145" s="464"/>
      <c r="R145" s="826"/>
      <c r="S145" s="464"/>
      <c r="T145" s="830"/>
    </row>
    <row r="146" spans="1:20">
      <c r="A146" s="618">
        <v>43556</v>
      </c>
      <c r="B146" s="466" t="s">
        <v>252</v>
      </c>
      <c r="C146" s="479">
        <f>ROUND(C148*J$142,3)</f>
        <v>30.69</v>
      </c>
      <c r="D146" s="471">
        <f>$D$137</f>
        <v>9.4718319299999992E-2</v>
      </c>
      <c r="E146" s="464">
        <f t="shared" ref="E146:I147" si="178">ROUND(D146*$C146*1000,2)</f>
        <v>2906.91</v>
      </c>
      <c r="F146" s="471">
        <f t="shared" ref="F146:F147" si="179">D146</f>
        <v>9.4718319299999992E-2</v>
      </c>
      <c r="G146" s="464">
        <f t="shared" ref="G146:G147" si="180">ROUND(F146*$C146*1000,2)</f>
        <v>2906.91</v>
      </c>
      <c r="H146" s="471">
        <f t="shared" ref="H146:H147" si="181">F146</f>
        <v>9.4718319299999992E-2</v>
      </c>
      <c r="I146" s="464">
        <f t="shared" si="178"/>
        <v>2906.91</v>
      </c>
      <c r="K146" s="460"/>
      <c r="L146" s="460"/>
      <c r="M146" s="829"/>
      <c r="N146" s="826"/>
      <c r="O146" s="464"/>
      <c r="P146" s="826"/>
      <c r="Q146" s="464"/>
      <c r="R146" s="826"/>
      <c r="S146" s="464"/>
      <c r="T146" s="830"/>
    </row>
    <row r="147" spans="1:20">
      <c r="A147" s="618">
        <v>43556</v>
      </c>
      <c r="B147" s="466" t="s">
        <v>253</v>
      </c>
      <c r="C147" s="479">
        <f>C148-C146</f>
        <v>24.732997981463999</v>
      </c>
      <c r="D147" s="471">
        <f>$D$138</f>
        <v>2.8560005999999999E-2</v>
      </c>
      <c r="E147" s="464">
        <f t="shared" si="178"/>
        <v>706.37</v>
      </c>
      <c r="F147" s="471">
        <f t="shared" si="179"/>
        <v>2.8560005999999999E-2</v>
      </c>
      <c r="G147" s="464">
        <f t="shared" si="180"/>
        <v>706.37</v>
      </c>
      <c r="H147" s="471">
        <f t="shared" si="181"/>
        <v>2.8560005999999999E-2</v>
      </c>
      <c r="I147" s="464">
        <f t="shared" si="178"/>
        <v>706.37</v>
      </c>
      <c r="K147" s="460"/>
      <c r="L147" s="460"/>
      <c r="M147" s="829"/>
      <c r="N147" s="826"/>
      <c r="O147" s="464"/>
      <c r="P147" s="826"/>
      <c r="Q147" s="464"/>
      <c r="R147" s="826"/>
      <c r="S147" s="464"/>
      <c r="T147" s="830"/>
    </row>
    <row r="148" spans="1:20">
      <c r="A148" s="618"/>
      <c r="B148" s="466" t="s">
        <v>93</v>
      </c>
      <c r="C148" s="487">
        <f>TempMWH!I7</f>
        <v>55.422997981464</v>
      </c>
      <c r="D148" s="471"/>
      <c r="E148" s="468"/>
      <c r="F148" s="471"/>
      <c r="G148" s="468"/>
      <c r="H148" s="471"/>
      <c r="I148" s="468"/>
      <c r="K148" s="460"/>
      <c r="L148" s="460"/>
      <c r="M148" s="462"/>
      <c r="N148" s="826"/>
      <c r="O148" s="464"/>
      <c r="P148" s="826"/>
      <c r="Q148" s="464"/>
      <c r="R148" s="826"/>
      <c r="S148" s="464"/>
      <c r="T148" s="830"/>
    </row>
    <row r="149" spans="1:20">
      <c r="A149" s="618">
        <v>43586</v>
      </c>
      <c r="B149" s="466" t="s">
        <v>252</v>
      </c>
      <c r="C149" s="479">
        <f>ROUND(C151*J$140,3)</f>
        <v>254.596</v>
      </c>
      <c r="D149" s="471">
        <f>0.119266*(1+$Y$13)</f>
        <v>0.1133146266</v>
      </c>
      <c r="E149" s="464">
        <f t="shared" ref="E149:I150" si="182">ROUND(D149*$C149*1000,2)</f>
        <v>28849.45</v>
      </c>
      <c r="F149" s="471">
        <f t="shared" ref="F149:F150" si="183">D149</f>
        <v>0.1133146266</v>
      </c>
      <c r="G149" s="464">
        <f t="shared" ref="G149:G150" si="184">ROUND(F149*$C149*1000,2)</f>
        <v>28849.45</v>
      </c>
      <c r="H149" s="471">
        <f t="shared" ref="H149:H150" si="185">F149</f>
        <v>0.1133146266</v>
      </c>
      <c r="I149" s="464">
        <f t="shared" si="182"/>
        <v>28849.45</v>
      </c>
      <c r="K149" s="460"/>
      <c r="L149" s="460"/>
      <c r="M149" s="829"/>
      <c r="N149" s="826"/>
      <c r="O149" s="464"/>
      <c r="P149" s="826"/>
      <c r="Q149" s="464"/>
      <c r="R149" s="826"/>
      <c r="S149" s="464"/>
      <c r="T149" s="830"/>
    </row>
    <row r="150" spans="1:20">
      <c r="A150" s="618">
        <v>43586</v>
      </c>
      <c r="B150" s="466" t="s">
        <v>253</v>
      </c>
      <c r="C150" s="479">
        <f>C151-C149</f>
        <v>206.02714005149875</v>
      </c>
      <c r="D150" s="471">
        <f>0.035908*(1+$Y$13)</f>
        <v>3.4116190800000001E-2</v>
      </c>
      <c r="E150" s="464">
        <f t="shared" si="182"/>
        <v>7028.86</v>
      </c>
      <c r="F150" s="471">
        <f t="shared" si="183"/>
        <v>3.4116190800000001E-2</v>
      </c>
      <c r="G150" s="464">
        <f t="shared" si="184"/>
        <v>7028.86</v>
      </c>
      <c r="H150" s="471">
        <f t="shared" si="185"/>
        <v>3.4116190800000001E-2</v>
      </c>
      <c r="I150" s="464">
        <f t="shared" si="182"/>
        <v>7028.86</v>
      </c>
      <c r="K150" s="460"/>
      <c r="L150" s="460"/>
      <c r="M150" s="829"/>
      <c r="N150" s="826"/>
      <c r="O150" s="464"/>
      <c r="P150" s="826"/>
      <c r="Q150" s="464"/>
      <c r="R150" s="826"/>
      <c r="S150" s="464"/>
      <c r="T150" s="830"/>
    </row>
    <row r="151" spans="1:20">
      <c r="A151" s="618"/>
      <c r="B151" s="466" t="s">
        <v>93</v>
      </c>
      <c r="C151" s="487">
        <f>TempMWH!I8</f>
        <v>460.62314005149875</v>
      </c>
      <c r="D151" s="471"/>
      <c r="E151" s="468"/>
      <c r="F151" s="471"/>
      <c r="G151" s="468"/>
      <c r="H151" s="471"/>
      <c r="I151" s="468"/>
      <c r="K151" s="460"/>
      <c r="L151" s="460"/>
      <c r="M151" s="462"/>
      <c r="N151" s="826"/>
      <c r="O151" s="464"/>
      <c r="P151" s="826"/>
      <c r="Q151" s="464"/>
      <c r="R151" s="826"/>
      <c r="S151" s="464"/>
      <c r="T151" s="830"/>
    </row>
    <row r="152" spans="1:20">
      <c r="A152" s="618">
        <v>43617</v>
      </c>
      <c r="B152" s="466" t="s">
        <v>252</v>
      </c>
      <c r="C152" s="479">
        <f>ROUND(C154*J$140,3)</f>
        <v>175.57599999999999</v>
      </c>
      <c r="D152" s="471">
        <f>D149</f>
        <v>0.1133146266</v>
      </c>
      <c r="E152" s="464">
        <f t="shared" ref="E152:I153" si="186">ROUND(D152*$C152*1000,2)</f>
        <v>19895.330000000002</v>
      </c>
      <c r="F152" s="471">
        <f t="shared" ref="F152:F153" si="187">D152</f>
        <v>0.1133146266</v>
      </c>
      <c r="G152" s="464">
        <f t="shared" ref="G152:G153" si="188">ROUND(F152*$C152*1000,2)</f>
        <v>19895.330000000002</v>
      </c>
      <c r="H152" s="471">
        <f t="shared" ref="H152:H153" si="189">F152</f>
        <v>0.1133146266</v>
      </c>
      <c r="I152" s="464">
        <f t="shared" si="186"/>
        <v>19895.330000000002</v>
      </c>
      <c r="K152" s="460"/>
      <c r="L152" s="460"/>
      <c r="M152" s="829"/>
      <c r="N152" s="826"/>
      <c r="O152" s="464"/>
      <c r="P152" s="826"/>
      <c r="Q152" s="464"/>
      <c r="R152" s="826"/>
      <c r="S152" s="464"/>
      <c r="T152" s="830"/>
    </row>
    <row r="153" spans="1:20">
      <c r="A153" s="618">
        <v>43617</v>
      </c>
      <c r="B153" s="466" t="s">
        <v>253</v>
      </c>
      <c r="C153" s="479">
        <f>C154-C152</f>
        <v>142.08136290849117</v>
      </c>
      <c r="D153" s="471">
        <f>D150</f>
        <v>3.4116190800000001E-2</v>
      </c>
      <c r="E153" s="464">
        <f t="shared" si="186"/>
        <v>4847.2700000000004</v>
      </c>
      <c r="F153" s="471">
        <f t="shared" si="187"/>
        <v>3.4116190800000001E-2</v>
      </c>
      <c r="G153" s="464">
        <f t="shared" si="188"/>
        <v>4847.2700000000004</v>
      </c>
      <c r="H153" s="471">
        <f t="shared" si="189"/>
        <v>3.4116190800000001E-2</v>
      </c>
      <c r="I153" s="464">
        <f t="shared" si="186"/>
        <v>4847.2700000000004</v>
      </c>
      <c r="K153" s="460"/>
      <c r="L153" s="460"/>
      <c r="M153" s="829"/>
      <c r="N153" s="826"/>
      <c r="O153" s="464"/>
      <c r="P153" s="826"/>
      <c r="Q153" s="464"/>
      <c r="R153" s="826"/>
      <c r="S153" s="464"/>
      <c r="T153" s="830"/>
    </row>
    <row r="154" spans="1:20">
      <c r="A154" s="618"/>
      <c r="B154" s="460" t="s">
        <v>93</v>
      </c>
      <c r="C154" s="462">
        <f>TempMWH!I9</f>
        <v>317.65736290849117</v>
      </c>
      <c r="D154" s="473"/>
      <c r="E154" s="464"/>
      <c r="F154" s="473"/>
      <c r="G154" s="464"/>
      <c r="H154" s="473"/>
      <c r="I154" s="464"/>
      <c r="K154" s="460"/>
      <c r="L154" s="460"/>
      <c r="M154" s="462"/>
      <c r="N154" s="473"/>
      <c r="O154" s="464"/>
      <c r="P154" s="473"/>
      <c r="Q154" s="464"/>
      <c r="R154" s="473"/>
      <c r="S154" s="464"/>
      <c r="T154" s="830"/>
    </row>
    <row r="155" spans="1:20">
      <c r="A155" s="618">
        <v>43282</v>
      </c>
      <c r="B155" s="466" t="s">
        <v>252</v>
      </c>
      <c r="C155" s="479">
        <f>ROUND(C157*J$140,3)</f>
        <v>-138.458</v>
      </c>
      <c r="D155" s="471">
        <f>0.119266*(1+$X$13)</f>
        <v>0.1133146266</v>
      </c>
      <c r="E155" s="464">
        <f t="shared" ref="E155:I156" si="190">ROUND(D155*$C155*1000,2)</f>
        <v>-15689.32</v>
      </c>
      <c r="F155" s="471">
        <f>F152</f>
        <v>0.1133146266</v>
      </c>
      <c r="G155" s="464">
        <f t="shared" ref="G155:G156" si="191">ROUND(F155*$C155*1000,2)</f>
        <v>-15689.32</v>
      </c>
      <c r="H155" s="471">
        <f t="shared" ref="H155:H156" si="192">F155</f>
        <v>0.1133146266</v>
      </c>
      <c r="I155" s="464">
        <f t="shared" si="190"/>
        <v>-15689.32</v>
      </c>
      <c r="K155" s="460"/>
      <c r="L155" s="460"/>
      <c r="M155" s="829"/>
      <c r="N155" s="826"/>
      <c r="O155" s="464"/>
      <c r="P155" s="826"/>
      <c r="Q155" s="464"/>
      <c r="R155" s="826"/>
      <c r="S155" s="464"/>
      <c r="T155" s="830"/>
    </row>
    <row r="156" spans="1:20">
      <c r="A156" s="618">
        <v>43282</v>
      </c>
      <c r="B156" s="466" t="s">
        <v>253</v>
      </c>
      <c r="C156" s="479">
        <f>C157-C155</f>
        <v>-112.04438538872731</v>
      </c>
      <c r="D156" s="471">
        <f>0.035908*(1+$X$13)</f>
        <v>3.4116190800000001E-2</v>
      </c>
      <c r="E156" s="464">
        <f t="shared" si="190"/>
        <v>-3822.53</v>
      </c>
      <c r="F156" s="471">
        <f>F153</f>
        <v>3.4116190800000001E-2</v>
      </c>
      <c r="G156" s="464">
        <f t="shared" si="191"/>
        <v>-3822.53</v>
      </c>
      <c r="H156" s="471">
        <f t="shared" si="192"/>
        <v>3.4116190800000001E-2</v>
      </c>
      <c r="I156" s="464">
        <f t="shared" si="190"/>
        <v>-3822.53</v>
      </c>
      <c r="K156" s="460"/>
      <c r="L156" s="460"/>
      <c r="M156" s="829"/>
      <c r="N156" s="826"/>
      <c r="O156" s="464"/>
      <c r="P156" s="826"/>
      <c r="Q156" s="464"/>
      <c r="R156" s="826"/>
      <c r="S156" s="464"/>
      <c r="T156" s="830"/>
    </row>
    <row r="157" spans="1:20">
      <c r="A157" s="618"/>
      <c r="B157" s="466" t="s">
        <v>93</v>
      </c>
      <c r="C157" s="487">
        <f>TempMWH!I10</f>
        <v>-250.5023853887273</v>
      </c>
      <c r="E157" s="468"/>
      <c r="G157" s="468"/>
      <c r="I157" s="468"/>
      <c r="K157" s="460"/>
      <c r="L157" s="460"/>
      <c r="M157" s="462"/>
      <c r="N157" s="826"/>
      <c r="O157" s="464"/>
      <c r="P157" s="826"/>
      <c r="Q157" s="464"/>
      <c r="R157" s="826"/>
      <c r="S157" s="464"/>
      <c r="T157" s="830"/>
    </row>
    <row r="158" spans="1:20">
      <c r="A158" s="618">
        <v>43313</v>
      </c>
      <c r="B158" s="466" t="s">
        <v>252</v>
      </c>
      <c r="C158" s="479">
        <f>ROUND(C160*J$140,3)</f>
        <v>-377.29199999999997</v>
      </c>
      <c r="D158" s="471">
        <f>$D$155</f>
        <v>0.1133146266</v>
      </c>
      <c r="E158" s="464">
        <f t="shared" ref="E158:I159" si="193">ROUND(D158*$C158*1000,2)</f>
        <v>-42752.7</v>
      </c>
      <c r="F158" s="471">
        <f>F155</f>
        <v>0.1133146266</v>
      </c>
      <c r="G158" s="464">
        <f t="shared" ref="G158:G159" si="194">ROUND(F158*$C158*1000,2)</f>
        <v>-42752.7</v>
      </c>
      <c r="H158" s="471">
        <f t="shared" ref="H158:H159" si="195">F158</f>
        <v>0.1133146266</v>
      </c>
      <c r="I158" s="464">
        <f t="shared" si="193"/>
        <v>-42752.7</v>
      </c>
      <c r="K158" s="460"/>
      <c r="L158" s="460"/>
      <c r="M158" s="829"/>
      <c r="N158" s="826"/>
      <c r="O158" s="464"/>
      <c r="P158" s="826"/>
      <c r="Q158" s="464"/>
      <c r="R158" s="826"/>
      <c r="S158" s="464"/>
      <c r="T158" s="830"/>
    </row>
    <row r="159" spans="1:20">
      <c r="A159" s="618">
        <v>43313</v>
      </c>
      <c r="B159" s="466" t="s">
        <v>253</v>
      </c>
      <c r="C159" s="479">
        <f>C160-C158</f>
        <v>-305.31567009058887</v>
      </c>
      <c r="D159" s="471">
        <f>$D$156</f>
        <v>3.4116190800000001E-2</v>
      </c>
      <c r="E159" s="464">
        <f t="shared" si="193"/>
        <v>-10416.209999999999</v>
      </c>
      <c r="F159" s="471">
        <f>F156</f>
        <v>3.4116190800000001E-2</v>
      </c>
      <c r="G159" s="464">
        <f t="shared" si="194"/>
        <v>-10416.209999999999</v>
      </c>
      <c r="H159" s="471">
        <f t="shared" si="195"/>
        <v>3.4116190800000001E-2</v>
      </c>
      <c r="I159" s="464">
        <f t="shared" si="193"/>
        <v>-10416.209999999999</v>
      </c>
      <c r="K159" s="460"/>
      <c r="L159" s="460"/>
      <c r="M159" s="829"/>
      <c r="N159" s="826"/>
      <c r="O159" s="464"/>
      <c r="P159" s="826"/>
      <c r="Q159" s="464"/>
      <c r="R159" s="826"/>
      <c r="S159" s="464"/>
      <c r="T159" s="830"/>
    </row>
    <row r="160" spans="1:20">
      <c r="A160" s="618"/>
      <c r="B160" s="466" t="s">
        <v>93</v>
      </c>
      <c r="C160" s="487">
        <f>TempMWH!I11</f>
        <v>-682.60767009058884</v>
      </c>
      <c r="E160" s="468"/>
      <c r="G160" s="468"/>
      <c r="I160" s="468"/>
      <c r="J160" s="458"/>
      <c r="K160" s="460"/>
      <c r="L160" s="460"/>
      <c r="M160" s="462"/>
      <c r="N160" s="826"/>
      <c r="O160" s="464"/>
      <c r="P160" s="826"/>
      <c r="Q160" s="464"/>
      <c r="R160" s="826"/>
      <c r="S160" s="464"/>
      <c r="T160" s="827"/>
    </row>
    <row r="161" spans="1:20">
      <c r="A161" s="618">
        <v>43344</v>
      </c>
      <c r="B161" s="466" t="s">
        <v>252</v>
      </c>
      <c r="C161" s="479">
        <f>ROUND(C163*J$140,3)</f>
        <v>-124.926</v>
      </c>
      <c r="D161" s="471">
        <f>$D$155</f>
        <v>0.1133146266</v>
      </c>
      <c r="E161" s="464">
        <f t="shared" ref="E161:I162" si="196">ROUND(D161*$C161*1000,2)</f>
        <v>-14155.94</v>
      </c>
      <c r="F161" s="471">
        <f>F158</f>
        <v>0.1133146266</v>
      </c>
      <c r="G161" s="464">
        <f t="shared" ref="G161:G162" si="197">ROUND(F161*$C161*1000,2)</f>
        <v>-14155.94</v>
      </c>
      <c r="H161" s="471">
        <f t="shared" ref="H161:H162" si="198">F161</f>
        <v>0.1133146266</v>
      </c>
      <c r="I161" s="464">
        <f t="shared" si="196"/>
        <v>-14155.94</v>
      </c>
      <c r="K161" s="460"/>
      <c r="L161" s="460"/>
      <c r="M161" s="829"/>
      <c r="N161" s="826"/>
      <c r="O161" s="464"/>
      <c r="P161" s="826"/>
      <c r="Q161" s="464"/>
      <c r="R161" s="826"/>
      <c r="S161" s="464"/>
      <c r="T161" s="830"/>
    </row>
    <row r="162" spans="1:20">
      <c r="A162" s="618">
        <v>43344</v>
      </c>
      <c r="B162" s="466" t="s">
        <v>253</v>
      </c>
      <c r="C162" s="479">
        <f>C163-C161</f>
        <v>-101.09487566674498</v>
      </c>
      <c r="D162" s="471">
        <f>$D$156</f>
        <v>3.4116190800000001E-2</v>
      </c>
      <c r="E162" s="464">
        <f t="shared" si="196"/>
        <v>-3448.97</v>
      </c>
      <c r="F162" s="471">
        <f>F159</f>
        <v>3.4116190800000001E-2</v>
      </c>
      <c r="G162" s="464">
        <f t="shared" si="197"/>
        <v>-3448.97</v>
      </c>
      <c r="H162" s="471">
        <f t="shared" si="198"/>
        <v>3.4116190800000001E-2</v>
      </c>
      <c r="I162" s="464">
        <f t="shared" si="196"/>
        <v>-3448.97</v>
      </c>
      <c r="K162" s="460"/>
      <c r="L162" s="460"/>
      <c r="M162" s="829"/>
      <c r="N162" s="826"/>
      <c r="O162" s="464"/>
      <c r="P162" s="826"/>
      <c r="Q162" s="464"/>
      <c r="R162" s="826"/>
      <c r="S162" s="464"/>
      <c r="T162" s="830"/>
    </row>
    <row r="163" spans="1:20">
      <c r="A163" s="618"/>
      <c r="B163" s="466" t="s">
        <v>93</v>
      </c>
      <c r="C163" s="462">
        <f>TempMWH!I12</f>
        <v>-226.02087566674498</v>
      </c>
      <c r="E163" s="468"/>
      <c r="G163" s="468"/>
      <c r="I163" s="468"/>
      <c r="K163" s="460"/>
      <c r="L163" s="460"/>
      <c r="M163" s="462"/>
      <c r="N163" s="826"/>
      <c r="O163" s="464"/>
      <c r="P163" s="826"/>
      <c r="Q163" s="464"/>
      <c r="R163" s="826"/>
      <c r="S163" s="464"/>
      <c r="T163" s="832"/>
    </row>
    <row r="164" spans="1:20">
      <c r="A164" s="618">
        <v>43374</v>
      </c>
      <c r="B164" s="466" t="s">
        <v>252</v>
      </c>
      <c r="C164" s="479">
        <f>ROUND(C166*J$142,3)</f>
        <v>70.546999999999997</v>
      </c>
      <c r="D164" s="471">
        <f>0.099693*(1+$X$13)</f>
        <v>9.4718319299999992E-2</v>
      </c>
      <c r="E164" s="464">
        <f t="shared" ref="E164:I165" si="199">ROUND(D164*$C164*1000,2)</f>
        <v>6682.09</v>
      </c>
      <c r="F164" s="471">
        <f>F137</f>
        <v>9.4718319299999992E-2</v>
      </c>
      <c r="G164" s="464">
        <f t="shared" ref="G164:G165" si="200">ROUND(F164*$C164*1000,2)</f>
        <v>6682.09</v>
      </c>
      <c r="H164" s="471">
        <f t="shared" ref="H164:H165" si="201">F164</f>
        <v>9.4718319299999992E-2</v>
      </c>
      <c r="I164" s="464">
        <f t="shared" si="199"/>
        <v>6682.09</v>
      </c>
      <c r="K164" s="460"/>
      <c r="L164" s="460"/>
      <c r="M164" s="829"/>
      <c r="N164" s="826"/>
      <c r="O164" s="464"/>
      <c r="P164" s="826"/>
      <c r="Q164" s="464"/>
      <c r="R164" s="826"/>
      <c r="S164" s="464"/>
      <c r="T164" s="832"/>
    </row>
    <row r="165" spans="1:20">
      <c r="A165" s="618">
        <v>43374</v>
      </c>
      <c r="B165" s="466" t="s">
        <v>253</v>
      </c>
      <c r="C165" s="479">
        <f>C166-C164</f>
        <v>56.854947601125843</v>
      </c>
      <c r="D165" s="625">
        <f>0.03006*(1+$X$13)</f>
        <v>2.8560005999999999E-2</v>
      </c>
      <c r="E165" s="464">
        <f t="shared" si="199"/>
        <v>1623.78</v>
      </c>
      <c r="F165" s="471">
        <f>F138</f>
        <v>2.8560005999999999E-2</v>
      </c>
      <c r="G165" s="464">
        <f t="shared" si="200"/>
        <v>1623.78</v>
      </c>
      <c r="H165" s="471">
        <f t="shared" si="201"/>
        <v>2.8560005999999999E-2</v>
      </c>
      <c r="I165" s="464">
        <f t="shared" si="199"/>
        <v>1623.78</v>
      </c>
      <c r="K165" s="460"/>
      <c r="L165" s="460"/>
      <c r="M165" s="829"/>
      <c r="N165" s="826"/>
      <c r="O165" s="464"/>
      <c r="P165" s="826"/>
      <c r="Q165" s="464"/>
      <c r="R165" s="826"/>
      <c r="S165" s="464"/>
      <c r="T165" s="832"/>
    </row>
    <row r="166" spans="1:20">
      <c r="A166" s="618"/>
      <c r="B166" s="466" t="s">
        <v>93</v>
      </c>
      <c r="C166" s="487">
        <f>TempMWH!I13</f>
        <v>127.40194760112584</v>
      </c>
      <c r="E166" s="468"/>
      <c r="G166" s="468"/>
      <c r="I166" s="468"/>
      <c r="K166" s="460"/>
      <c r="L166" s="460"/>
      <c r="M166" s="462"/>
      <c r="N166" s="826"/>
      <c r="O166" s="464"/>
      <c r="P166" s="826"/>
      <c r="Q166" s="464"/>
      <c r="R166" s="826"/>
      <c r="S166" s="464"/>
      <c r="T166" s="832"/>
    </row>
    <row r="167" spans="1:20">
      <c r="A167" s="618">
        <v>43405</v>
      </c>
      <c r="B167" s="466" t="s">
        <v>252</v>
      </c>
      <c r="C167" s="479">
        <f>ROUND(C169*J$142,3)</f>
        <v>89.376999999999995</v>
      </c>
      <c r="D167" s="471">
        <f>D164</f>
        <v>9.4718319299999992E-2</v>
      </c>
      <c r="E167" s="464">
        <f t="shared" ref="E167:I168" si="202">ROUND(D167*$C167*1000,2)</f>
        <v>8465.64</v>
      </c>
      <c r="F167" s="471">
        <f>F137</f>
        <v>9.4718319299999992E-2</v>
      </c>
      <c r="G167" s="464">
        <f t="shared" ref="G167:G168" si="203">ROUND(F167*$C167*1000,2)</f>
        <v>8465.64</v>
      </c>
      <c r="H167" s="471">
        <f t="shared" ref="H167:H168" si="204">F167</f>
        <v>9.4718319299999992E-2</v>
      </c>
      <c r="I167" s="464">
        <f t="shared" si="202"/>
        <v>8465.64</v>
      </c>
      <c r="K167" s="460"/>
      <c r="L167" s="460"/>
      <c r="M167" s="829"/>
      <c r="N167" s="826"/>
      <c r="O167" s="464"/>
      <c r="P167" s="826"/>
      <c r="Q167" s="464"/>
      <c r="R167" s="826"/>
      <c r="S167" s="464"/>
      <c r="T167" s="832"/>
    </row>
    <row r="168" spans="1:20">
      <c r="A168" s="618">
        <v>43405</v>
      </c>
      <c r="B168" s="466" t="s">
        <v>253</v>
      </c>
      <c r="C168" s="479">
        <f>C169-C167</f>
        <v>72.031312559735383</v>
      </c>
      <c r="D168" s="471">
        <f>D165</f>
        <v>2.8560005999999999E-2</v>
      </c>
      <c r="E168" s="464">
        <f t="shared" si="202"/>
        <v>2057.21</v>
      </c>
      <c r="F168" s="471">
        <f>F138</f>
        <v>2.8560005999999999E-2</v>
      </c>
      <c r="G168" s="464">
        <f t="shared" si="203"/>
        <v>2057.21</v>
      </c>
      <c r="H168" s="471">
        <f t="shared" si="204"/>
        <v>2.8560005999999999E-2</v>
      </c>
      <c r="I168" s="464">
        <f t="shared" si="202"/>
        <v>2057.21</v>
      </c>
      <c r="K168" s="460"/>
      <c r="L168" s="460"/>
      <c r="M168" s="829"/>
      <c r="N168" s="826"/>
      <c r="O168" s="464"/>
      <c r="P168" s="826"/>
      <c r="Q168" s="464"/>
      <c r="R168" s="826"/>
      <c r="S168" s="464"/>
      <c r="T168" s="832"/>
    </row>
    <row r="169" spans="1:20">
      <c r="A169" s="618"/>
      <c r="B169" s="466" t="s">
        <v>93</v>
      </c>
      <c r="C169" s="487">
        <f>TempMWH!I14</f>
        <v>161.40831255973538</v>
      </c>
      <c r="E169" s="468"/>
      <c r="G169" s="468"/>
      <c r="I169" s="468"/>
      <c r="K169" s="460"/>
      <c r="L169" s="460"/>
      <c r="M169" s="462"/>
      <c r="N169" s="826"/>
      <c r="O169" s="464"/>
      <c r="P169" s="826"/>
      <c r="Q169" s="464"/>
      <c r="R169" s="826"/>
      <c r="S169" s="464"/>
      <c r="T169" s="830"/>
    </row>
    <row r="170" spans="1:20">
      <c r="A170" s="618">
        <v>43435</v>
      </c>
      <c r="B170" s="466" t="s">
        <v>252</v>
      </c>
      <c r="C170" s="479">
        <f>ROUND(C172*J$142,3)</f>
        <v>150.06100000000001</v>
      </c>
      <c r="D170" s="471">
        <f>D164</f>
        <v>9.4718319299999992E-2</v>
      </c>
      <c r="E170" s="464">
        <f t="shared" ref="E170:I171" si="205">ROUND(D170*$C170*1000,2)</f>
        <v>14213.53</v>
      </c>
      <c r="F170" s="471">
        <f>F137</f>
        <v>9.4718319299999992E-2</v>
      </c>
      <c r="G170" s="464">
        <f t="shared" ref="G170:G171" si="206">ROUND(F170*$C170*1000,2)</f>
        <v>14213.53</v>
      </c>
      <c r="H170" s="471">
        <f t="shared" ref="H170:H171" si="207">F170</f>
        <v>9.4718319299999992E-2</v>
      </c>
      <c r="I170" s="464">
        <f t="shared" si="205"/>
        <v>14213.53</v>
      </c>
      <c r="K170" s="460"/>
      <c r="L170" s="460"/>
      <c r="M170" s="829"/>
      <c r="N170" s="826"/>
      <c r="O170" s="464"/>
      <c r="P170" s="826"/>
      <c r="Q170" s="464"/>
      <c r="R170" s="826"/>
      <c r="S170" s="464"/>
      <c r="T170" s="830"/>
    </row>
    <row r="171" spans="1:20">
      <c r="A171" s="618">
        <v>43435</v>
      </c>
      <c r="B171" s="460" t="s">
        <v>253</v>
      </c>
      <c r="C171" s="479">
        <f>C172-C170</f>
        <v>120.93747819820871</v>
      </c>
      <c r="D171" s="471">
        <f>D165</f>
        <v>2.8560005999999999E-2</v>
      </c>
      <c r="E171" s="464">
        <f t="shared" si="205"/>
        <v>3453.98</v>
      </c>
      <c r="F171" s="471">
        <f>F138</f>
        <v>2.8560005999999999E-2</v>
      </c>
      <c r="G171" s="464">
        <f t="shared" si="206"/>
        <v>3453.98</v>
      </c>
      <c r="H171" s="471">
        <f t="shared" si="207"/>
        <v>2.8560005999999999E-2</v>
      </c>
      <c r="I171" s="464">
        <f t="shared" si="205"/>
        <v>3453.98</v>
      </c>
      <c r="K171" s="460"/>
      <c r="L171" s="460"/>
      <c r="M171" s="829"/>
      <c r="N171" s="826"/>
      <c r="O171" s="464"/>
      <c r="P171" s="826"/>
      <c r="Q171" s="464"/>
      <c r="R171" s="826"/>
      <c r="S171" s="464"/>
      <c r="T171" s="830"/>
    </row>
    <row r="172" spans="1:20">
      <c r="A172" s="474"/>
      <c r="B172" s="474" t="s">
        <v>93</v>
      </c>
      <c r="C172" s="476">
        <f>TempMWH!I15</f>
        <v>270.99847819820872</v>
      </c>
      <c r="D172" s="481"/>
      <c r="E172" s="478"/>
      <c r="F172" s="481"/>
      <c r="G172" s="478"/>
      <c r="H172" s="481"/>
      <c r="I172" s="478"/>
      <c r="K172" s="460"/>
      <c r="L172" s="460"/>
      <c r="M172" s="462"/>
      <c r="N172" s="826"/>
      <c r="O172" s="464"/>
      <c r="P172" s="826"/>
      <c r="Q172" s="464"/>
      <c r="R172" s="826"/>
      <c r="S172" s="464"/>
      <c r="T172" s="830"/>
    </row>
    <row r="173" spans="1:20">
      <c r="A173" s="449" t="s">
        <v>93</v>
      </c>
      <c r="B173" s="449"/>
      <c r="C173" s="479">
        <f>SUM(C137:C138,C140:C141,C143:C144,C146:C147,C149:C150,C152:C153,C155:C156,C158:C159,C161:C162,C164:C165,C167:C168,C170:C171)</f>
        <v>308.00409227507924</v>
      </c>
      <c r="D173" s="449"/>
      <c r="E173" s="468">
        <f>SUM(E137:E138,E140:E141,E143:E144,E146:E147,E149:E150,E152:E153,E155:E156,E158:E159,E161:E162,E164:E165,E167:E168,E170:E171)</f>
        <v>15244.560000000001</v>
      </c>
      <c r="F173" s="449"/>
      <c r="G173" s="468">
        <f>SUM(G137:G138,G140:G141,G143:G144,G146:G147,G149:G150,G152:G153,G155:G156,G158:G159,G161:G162,G164:G165,G167:G168,G170:G171)</f>
        <v>15244.560000000001</v>
      </c>
      <c r="H173" s="449"/>
      <c r="I173" s="468">
        <f>SUM(I137:I138,I140:I141,I143:I144,I146:I147,I149:I150,I152:I153,I155:I156,I158:I159,I161:I162,I164:I165,I167:I168,I170:I171)</f>
        <v>15244.560000000001</v>
      </c>
      <c r="K173" s="473"/>
      <c r="L173" s="473"/>
      <c r="M173" s="829"/>
      <c r="N173" s="473"/>
      <c r="O173" s="464"/>
      <c r="P173" s="473"/>
      <c r="Q173" s="464"/>
      <c r="R173" s="473"/>
      <c r="S173" s="464"/>
      <c r="T173" s="830"/>
    </row>
    <row r="174" spans="1:20">
      <c r="A174" s="449"/>
      <c r="B174" s="454"/>
      <c r="C174" s="479"/>
      <c r="D174" s="488"/>
      <c r="E174" s="468"/>
      <c r="F174" s="488"/>
      <c r="G174" s="468"/>
      <c r="H174" s="488"/>
      <c r="I174" s="468"/>
      <c r="K174" s="826"/>
      <c r="L174" s="826"/>
      <c r="M174" s="833"/>
      <c r="N174" s="826"/>
      <c r="O174" s="826"/>
      <c r="P174" s="826"/>
      <c r="Q174" s="826"/>
      <c r="R174" s="826"/>
      <c r="S174" s="826"/>
      <c r="T174" s="832"/>
    </row>
    <row r="175" spans="1:20">
      <c r="A175" s="451" t="s">
        <v>898</v>
      </c>
      <c r="B175" s="448"/>
      <c r="C175" s="448"/>
      <c r="D175" s="448"/>
      <c r="E175" s="448"/>
      <c r="F175" s="448"/>
      <c r="G175" s="448"/>
      <c r="H175" s="448"/>
      <c r="I175" s="448"/>
      <c r="K175" s="821"/>
      <c r="L175" s="822"/>
      <c r="M175" s="822"/>
      <c r="N175" s="822"/>
      <c r="O175" s="822"/>
      <c r="P175" s="822"/>
      <c r="Q175" s="822"/>
      <c r="R175" s="822"/>
      <c r="S175" s="822"/>
      <c r="T175" s="830"/>
    </row>
    <row r="176" spans="1:20">
      <c r="A176" s="449"/>
      <c r="B176" s="449"/>
      <c r="C176" s="449"/>
      <c r="D176" s="455" t="s">
        <v>425</v>
      </c>
      <c r="E176" s="455" t="s">
        <v>425</v>
      </c>
      <c r="F176" s="455" t="s">
        <v>494</v>
      </c>
      <c r="G176" s="455" t="s">
        <v>494</v>
      </c>
      <c r="H176" s="455" t="s">
        <v>216</v>
      </c>
      <c r="I176" s="455" t="s">
        <v>216</v>
      </c>
      <c r="K176" s="473"/>
      <c r="L176" s="473"/>
      <c r="M176" s="473"/>
      <c r="N176" s="824"/>
      <c r="O176" s="824"/>
      <c r="P176" s="824"/>
      <c r="Q176" s="824"/>
      <c r="R176" s="824"/>
      <c r="S176" s="824"/>
      <c r="T176" s="830"/>
    </row>
    <row r="177" spans="1:20">
      <c r="A177" s="456" t="s">
        <v>110</v>
      </c>
      <c r="B177" s="456"/>
      <c r="C177" s="456" t="s">
        <v>109</v>
      </c>
      <c r="D177" s="456" t="s">
        <v>99</v>
      </c>
      <c r="E177" s="456" t="s">
        <v>496</v>
      </c>
      <c r="F177" s="456" t="s">
        <v>99</v>
      </c>
      <c r="G177" s="456" t="s">
        <v>496</v>
      </c>
      <c r="H177" s="456" t="s">
        <v>99</v>
      </c>
      <c r="I177" s="456" t="s">
        <v>496</v>
      </c>
      <c r="K177" s="824"/>
      <c r="L177" s="824"/>
      <c r="M177" s="824"/>
      <c r="N177" s="824"/>
      <c r="O177" s="824"/>
      <c r="P177" s="824"/>
      <c r="Q177" s="824"/>
      <c r="R177" s="824"/>
      <c r="S177" s="824"/>
      <c r="T177" s="830"/>
    </row>
    <row r="178" spans="1:20">
      <c r="A178" s="460">
        <f>A137</f>
        <v>43466</v>
      </c>
      <c r="B178" s="466" t="s">
        <v>252</v>
      </c>
      <c r="C178" s="479">
        <f>ROUND(C180*J$183,3)</f>
        <v>100.74</v>
      </c>
      <c r="D178" s="471">
        <f>0.039511*(1+$Y$15)</f>
        <v>3.8254550199999994E-2</v>
      </c>
      <c r="E178" s="464">
        <f>ROUND(D178*$C178*1000,2)</f>
        <v>3853.76</v>
      </c>
      <c r="F178" s="471">
        <f>D178</f>
        <v>3.8254550199999994E-2</v>
      </c>
      <c r="G178" s="464">
        <f>ROUND(F178*$C178*1000,2)</f>
        <v>3853.76</v>
      </c>
      <c r="H178" s="471">
        <f>F178</f>
        <v>3.8254550199999994E-2</v>
      </c>
      <c r="I178" s="464">
        <f>ROUND(H178*$C178*1000,2)</f>
        <v>3853.76</v>
      </c>
      <c r="J178" s="458"/>
      <c r="K178" s="460"/>
      <c r="L178" s="460"/>
      <c r="M178" s="829"/>
      <c r="N178" s="826"/>
      <c r="O178" s="464"/>
      <c r="P178" s="826"/>
      <c r="Q178" s="464"/>
      <c r="R178" s="826"/>
      <c r="S178" s="464"/>
      <c r="T178" s="827"/>
    </row>
    <row r="179" spans="1:20">
      <c r="A179" s="460">
        <f>A138</f>
        <v>43466</v>
      </c>
      <c r="B179" s="466" t="s">
        <v>253</v>
      </c>
      <c r="C179" s="479">
        <f>C180-C178</f>
        <v>105.479393728001</v>
      </c>
      <c r="D179" s="471">
        <f>0.034002*(1+$Y$15)</f>
        <v>3.2920736399999997E-2</v>
      </c>
      <c r="E179" s="464">
        <f>ROUND(D179*$C179*1000,2)</f>
        <v>3472.46</v>
      </c>
      <c r="F179" s="471">
        <f>D179</f>
        <v>3.2920736399999997E-2</v>
      </c>
      <c r="G179" s="464">
        <f>ROUND(F179*$C179*1000,2)</f>
        <v>3472.46</v>
      </c>
      <c r="H179" s="471">
        <f>F179</f>
        <v>3.2920736399999997E-2</v>
      </c>
      <c r="I179" s="464">
        <f>ROUND(H179*$C179*1000,2)</f>
        <v>3472.46</v>
      </c>
      <c r="J179" s="580"/>
      <c r="K179" s="460"/>
      <c r="L179" s="460"/>
      <c r="M179" s="829"/>
      <c r="N179" s="826"/>
      <c r="O179" s="464"/>
      <c r="P179" s="826"/>
      <c r="Q179" s="464"/>
      <c r="R179" s="826"/>
      <c r="S179" s="464"/>
      <c r="T179" s="831"/>
    </row>
    <row r="180" spans="1:20">
      <c r="A180" s="460"/>
      <c r="B180" s="466" t="s">
        <v>93</v>
      </c>
      <c r="C180" s="487">
        <f>TempMWH!K4</f>
        <v>206.21939372800099</v>
      </c>
      <c r="D180" s="471"/>
      <c r="E180" s="468"/>
      <c r="F180" s="471"/>
      <c r="G180" s="468"/>
      <c r="H180" s="471"/>
      <c r="I180" s="468"/>
      <c r="J180" s="579" t="s">
        <v>254</v>
      </c>
      <c r="K180" s="460"/>
      <c r="L180" s="460"/>
      <c r="M180" s="462"/>
      <c r="N180" s="826"/>
      <c r="O180" s="464"/>
      <c r="P180" s="826"/>
      <c r="Q180" s="464"/>
      <c r="R180" s="826"/>
      <c r="S180" s="464"/>
      <c r="T180" s="830"/>
    </row>
    <row r="181" spans="1:20">
      <c r="A181" s="460">
        <f t="shared" ref="A181:A182" si="208">A140</f>
        <v>43497</v>
      </c>
      <c r="B181" s="466" t="s">
        <v>252</v>
      </c>
      <c r="C181" s="479">
        <f>ROUND(C183*J$183,3)</f>
        <v>-56.290999999999997</v>
      </c>
      <c r="D181" s="471">
        <f>$D$178</f>
        <v>3.8254550199999994E-2</v>
      </c>
      <c r="E181" s="464">
        <f t="shared" ref="E181:G182" si="209">ROUND(D181*$C181*1000,2)</f>
        <v>-2153.39</v>
      </c>
      <c r="F181" s="471">
        <f t="shared" ref="F181:F182" si="210">D181</f>
        <v>3.8254550199999994E-2</v>
      </c>
      <c r="G181" s="464">
        <f t="shared" si="209"/>
        <v>-2153.39</v>
      </c>
      <c r="H181" s="471">
        <f t="shared" ref="H181:H182" si="211">F181</f>
        <v>3.8254550199999994E-2</v>
      </c>
      <c r="I181" s="464">
        <f t="shared" ref="I181:I182" si="212">ROUND(H181*$C181*1000,2)</f>
        <v>-2153.39</v>
      </c>
      <c r="J181" s="579">
        <f>'8'!N23</f>
        <v>0.26790584116164973</v>
      </c>
      <c r="K181" s="460"/>
      <c r="L181" s="460"/>
      <c r="M181" s="829"/>
      <c r="N181" s="826"/>
      <c r="O181" s="464"/>
      <c r="P181" s="826"/>
      <c r="Q181" s="464"/>
      <c r="R181" s="826"/>
      <c r="S181" s="464"/>
      <c r="T181" s="830"/>
    </row>
    <row r="182" spans="1:20">
      <c r="A182" s="460">
        <f t="shared" si="208"/>
        <v>43497</v>
      </c>
      <c r="B182" s="466" t="s">
        <v>253</v>
      </c>
      <c r="C182" s="479">
        <f>C183-C181</f>
        <v>-58.938913762896277</v>
      </c>
      <c r="D182" s="471">
        <f>$D$179</f>
        <v>3.2920736399999997E-2</v>
      </c>
      <c r="E182" s="464">
        <f t="shared" si="209"/>
        <v>-1940.31</v>
      </c>
      <c r="F182" s="471">
        <f t="shared" si="210"/>
        <v>3.2920736399999997E-2</v>
      </c>
      <c r="G182" s="464">
        <f t="shared" si="209"/>
        <v>-1940.31</v>
      </c>
      <c r="H182" s="471">
        <f t="shared" si="211"/>
        <v>3.2920736399999997E-2</v>
      </c>
      <c r="I182" s="464">
        <f t="shared" si="212"/>
        <v>-1940.31</v>
      </c>
      <c r="J182" s="579" t="s">
        <v>255</v>
      </c>
      <c r="K182" s="460"/>
      <c r="L182" s="460"/>
      <c r="M182" s="829"/>
      <c r="N182" s="826"/>
      <c r="O182" s="464"/>
      <c r="P182" s="826"/>
      <c r="Q182" s="464"/>
      <c r="R182" s="826"/>
      <c r="S182" s="464"/>
      <c r="T182" s="830"/>
    </row>
    <row r="183" spans="1:20">
      <c r="A183" s="460"/>
      <c r="B183" s="466" t="s">
        <v>93</v>
      </c>
      <c r="C183" s="487">
        <f>TempMWH!K5</f>
        <v>-115.22991376289627</v>
      </c>
      <c r="D183" s="471"/>
      <c r="E183" s="468"/>
      <c r="F183" s="471"/>
      <c r="G183" s="468"/>
      <c r="H183" s="471"/>
      <c r="I183" s="468"/>
      <c r="J183" s="579">
        <f>'8'!O23</f>
        <v>0.48850788696191166</v>
      </c>
      <c r="K183" s="460"/>
      <c r="L183" s="460"/>
      <c r="M183" s="462"/>
      <c r="N183" s="826"/>
      <c r="O183" s="464"/>
      <c r="P183" s="826"/>
      <c r="Q183" s="464"/>
      <c r="R183" s="826"/>
      <c r="S183" s="464"/>
      <c r="T183" s="830"/>
    </row>
    <row r="184" spans="1:20">
      <c r="A184" s="460">
        <f t="shared" ref="A184:A185" si="213">A143</f>
        <v>43525</v>
      </c>
      <c r="B184" s="466" t="s">
        <v>252</v>
      </c>
      <c r="C184" s="479">
        <f>ROUND(C186*J$183,3)</f>
        <v>50.88</v>
      </c>
      <c r="D184" s="471">
        <f>$D$178</f>
        <v>3.8254550199999994E-2</v>
      </c>
      <c r="E184" s="464">
        <f t="shared" ref="E184:G185" si="214">ROUND(D184*$C184*1000,2)</f>
        <v>1946.39</v>
      </c>
      <c r="F184" s="471">
        <f t="shared" ref="F184:F185" si="215">D184</f>
        <v>3.8254550199999994E-2</v>
      </c>
      <c r="G184" s="464">
        <f t="shared" si="214"/>
        <v>1946.39</v>
      </c>
      <c r="H184" s="471">
        <f t="shared" ref="H184:H185" si="216">F184</f>
        <v>3.8254550199999994E-2</v>
      </c>
      <c r="I184" s="464">
        <f t="shared" ref="I184:I185" si="217">ROUND(H184*$C184*1000,2)</f>
        <v>1946.39</v>
      </c>
      <c r="K184" s="460"/>
      <c r="L184" s="460"/>
      <c r="M184" s="829"/>
      <c r="N184" s="826"/>
      <c r="O184" s="464"/>
      <c r="P184" s="826"/>
      <c r="Q184" s="464"/>
      <c r="R184" s="826"/>
      <c r="S184" s="464"/>
      <c r="T184" s="830"/>
    </row>
    <row r="185" spans="1:20">
      <c r="A185" s="460">
        <f t="shared" si="213"/>
        <v>43525</v>
      </c>
      <c r="B185" s="466" t="s">
        <v>253</v>
      </c>
      <c r="C185" s="479">
        <f>C186-C184</f>
        <v>53.27438956624686</v>
      </c>
      <c r="D185" s="471">
        <f>$D$179</f>
        <v>3.2920736399999997E-2</v>
      </c>
      <c r="E185" s="464">
        <f t="shared" si="214"/>
        <v>1753.83</v>
      </c>
      <c r="F185" s="471">
        <f t="shared" si="215"/>
        <v>3.2920736399999997E-2</v>
      </c>
      <c r="G185" s="464">
        <f t="shared" si="214"/>
        <v>1753.83</v>
      </c>
      <c r="H185" s="471">
        <f t="shared" si="216"/>
        <v>3.2920736399999997E-2</v>
      </c>
      <c r="I185" s="464">
        <f t="shared" si="217"/>
        <v>1753.83</v>
      </c>
      <c r="K185" s="460"/>
      <c r="L185" s="460"/>
      <c r="M185" s="829"/>
      <c r="N185" s="826"/>
      <c r="O185" s="464"/>
      <c r="P185" s="826"/>
      <c r="Q185" s="464"/>
      <c r="R185" s="826"/>
      <c r="S185" s="464"/>
      <c r="T185" s="830"/>
    </row>
    <row r="186" spans="1:20">
      <c r="A186" s="460"/>
      <c r="B186" s="466" t="s">
        <v>93</v>
      </c>
      <c r="C186" s="487">
        <f>TempMWH!K6</f>
        <v>104.15438956624686</v>
      </c>
      <c r="D186" s="471"/>
      <c r="E186" s="468"/>
      <c r="F186" s="471"/>
      <c r="G186" s="468"/>
      <c r="H186" s="471"/>
      <c r="I186" s="468"/>
      <c r="K186" s="460"/>
      <c r="L186" s="460"/>
      <c r="M186" s="462"/>
      <c r="N186" s="826"/>
      <c r="O186" s="464"/>
      <c r="P186" s="826"/>
      <c r="Q186" s="464"/>
      <c r="R186" s="826"/>
      <c r="S186" s="464"/>
      <c r="T186" s="830"/>
    </row>
    <row r="187" spans="1:20">
      <c r="A187" s="460">
        <f t="shared" ref="A187:A188" si="218">A146</f>
        <v>43556</v>
      </c>
      <c r="B187" s="466" t="s">
        <v>252</v>
      </c>
      <c r="C187" s="479">
        <f>ROUND(C189*J$183,3)</f>
        <v>98.756</v>
      </c>
      <c r="D187" s="471">
        <f>$D$178</f>
        <v>3.8254550199999994E-2</v>
      </c>
      <c r="E187" s="464">
        <f t="shared" ref="E187:G188" si="219">ROUND(D187*$C187*1000,2)</f>
        <v>3777.87</v>
      </c>
      <c r="F187" s="471">
        <f t="shared" ref="F187:F188" si="220">D187</f>
        <v>3.8254550199999994E-2</v>
      </c>
      <c r="G187" s="464">
        <f t="shared" si="219"/>
        <v>3777.87</v>
      </c>
      <c r="H187" s="471">
        <f t="shared" ref="H187:H188" si="221">F187</f>
        <v>3.8254550199999994E-2</v>
      </c>
      <c r="I187" s="464">
        <f t="shared" ref="I187:I188" si="222">ROUND(H187*$C187*1000,2)</f>
        <v>3777.87</v>
      </c>
      <c r="K187" s="460"/>
      <c r="L187" s="460"/>
      <c r="M187" s="829"/>
      <c r="N187" s="826"/>
      <c r="O187" s="464"/>
      <c r="P187" s="826"/>
      <c r="Q187" s="464"/>
      <c r="R187" s="826"/>
      <c r="S187" s="464"/>
      <c r="T187" s="830"/>
    </row>
    <row r="188" spans="1:20">
      <c r="A188" s="460">
        <f t="shared" si="218"/>
        <v>43556</v>
      </c>
      <c r="B188" s="466" t="s">
        <v>253</v>
      </c>
      <c r="C188" s="479">
        <f>C189-C187</f>
        <v>103.40230702380285</v>
      </c>
      <c r="D188" s="471">
        <f>$D$179</f>
        <v>3.2920736399999997E-2</v>
      </c>
      <c r="E188" s="464">
        <f t="shared" si="219"/>
        <v>3404.08</v>
      </c>
      <c r="F188" s="471">
        <f t="shared" si="220"/>
        <v>3.2920736399999997E-2</v>
      </c>
      <c r="G188" s="464">
        <f t="shared" si="219"/>
        <v>3404.08</v>
      </c>
      <c r="H188" s="471">
        <f t="shared" si="221"/>
        <v>3.2920736399999997E-2</v>
      </c>
      <c r="I188" s="464">
        <f t="shared" si="222"/>
        <v>3404.08</v>
      </c>
      <c r="K188" s="460"/>
      <c r="L188" s="460"/>
      <c r="M188" s="829"/>
      <c r="N188" s="826"/>
      <c r="O188" s="464"/>
      <c r="P188" s="826"/>
      <c r="Q188" s="464"/>
      <c r="R188" s="826"/>
      <c r="S188" s="464"/>
      <c r="T188" s="830"/>
    </row>
    <row r="189" spans="1:20">
      <c r="A189" s="460"/>
      <c r="B189" s="466" t="s">
        <v>93</v>
      </c>
      <c r="C189" s="487">
        <f>TempMWH!K7</f>
        <v>202.15830702380285</v>
      </c>
      <c r="D189" s="471"/>
      <c r="E189" s="468"/>
      <c r="F189" s="471"/>
      <c r="G189" s="468"/>
      <c r="H189" s="471"/>
      <c r="I189" s="468"/>
      <c r="K189" s="460"/>
      <c r="L189" s="460"/>
      <c r="M189" s="462"/>
      <c r="N189" s="826"/>
      <c r="O189" s="464"/>
      <c r="P189" s="826"/>
      <c r="Q189" s="464"/>
      <c r="R189" s="826"/>
      <c r="S189" s="464"/>
      <c r="T189" s="830"/>
    </row>
    <row r="190" spans="1:20">
      <c r="A190" s="460">
        <f t="shared" ref="A190:A191" si="223">A149</f>
        <v>43586</v>
      </c>
      <c r="B190" s="466" t="s">
        <v>252</v>
      </c>
      <c r="C190" s="479">
        <f>ROUND(C192*J$181,3)</f>
        <v>464.73399999999998</v>
      </c>
      <c r="D190" s="471">
        <f>0.050474*(1+$Y$15)</f>
        <v>4.8868926799999997E-2</v>
      </c>
      <c r="E190" s="464">
        <f t="shared" ref="E190:G191" si="224">ROUND(D190*$C190*1000,2)</f>
        <v>22711.05</v>
      </c>
      <c r="F190" s="471">
        <f t="shared" ref="F190:F191" si="225">D190</f>
        <v>4.8868926799999997E-2</v>
      </c>
      <c r="G190" s="464">
        <f t="shared" si="224"/>
        <v>22711.05</v>
      </c>
      <c r="H190" s="471">
        <f t="shared" ref="H190:H191" si="226">F190</f>
        <v>4.8868926799999997E-2</v>
      </c>
      <c r="I190" s="464">
        <f t="shared" ref="I190:I191" si="227">ROUND(H190*$C190*1000,2)</f>
        <v>22711.05</v>
      </c>
      <c r="K190" s="460"/>
      <c r="L190" s="460"/>
      <c r="M190" s="829"/>
      <c r="N190" s="826"/>
      <c r="O190" s="464"/>
      <c r="P190" s="826"/>
      <c r="Q190" s="464"/>
      <c r="R190" s="826"/>
      <c r="S190" s="464"/>
      <c r="T190" s="830"/>
    </row>
    <row r="191" spans="1:20">
      <c r="A191" s="460">
        <f t="shared" si="223"/>
        <v>43586</v>
      </c>
      <c r="B191" s="466" t="s">
        <v>253</v>
      </c>
      <c r="C191" s="479">
        <f>C192-C190</f>
        <v>1269.957942171086</v>
      </c>
      <c r="D191" s="471">
        <f>0.034002*(1+$Y$15)</f>
        <v>3.2920736399999997E-2</v>
      </c>
      <c r="E191" s="464">
        <f t="shared" si="224"/>
        <v>41807.949999999997</v>
      </c>
      <c r="F191" s="471">
        <f t="shared" si="225"/>
        <v>3.2920736399999997E-2</v>
      </c>
      <c r="G191" s="464">
        <f t="shared" si="224"/>
        <v>41807.949999999997</v>
      </c>
      <c r="H191" s="471">
        <f t="shared" si="226"/>
        <v>3.2920736399999997E-2</v>
      </c>
      <c r="I191" s="464">
        <f t="shared" si="227"/>
        <v>41807.949999999997</v>
      </c>
      <c r="K191" s="460"/>
      <c r="L191" s="460"/>
      <c r="M191" s="829"/>
      <c r="N191" s="826"/>
      <c r="O191" s="464"/>
      <c r="P191" s="826"/>
      <c r="Q191" s="464"/>
      <c r="R191" s="826"/>
      <c r="S191" s="464"/>
      <c r="T191" s="830"/>
    </row>
    <row r="192" spans="1:20">
      <c r="A192" s="460"/>
      <c r="B192" s="466" t="s">
        <v>93</v>
      </c>
      <c r="C192" s="487">
        <f>TempMWH!K8</f>
        <v>1734.6919421710859</v>
      </c>
      <c r="D192" s="471"/>
      <c r="E192" s="468"/>
      <c r="F192" s="471"/>
      <c r="G192" s="468"/>
      <c r="H192" s="471"/>
      <c r="I192" s="468"/>
      <c r="K192" s="460"/>
      <c r="L192" s="460"/>
      <c r="M192" s="462"/>
      <c r="N192" s="826"/>
      <c r="O192" s="464"/>
      <c r="P192" s="826"/>
      <c r="Q192" s="464"/>
      <c r="R192" s="826"/>
      <c r="S192" s="464"/>
      <c r="T192" s="830"/>
    </row>
    <row r="193" spans="1:20">
      <c r="A193" s="460">
        <f t="shared" ref="A193:A194" si="228">A152</f>
        <v>43617</v>
      </c>
      <c r="B193" s="466" t="s">
        <v>252</v>
      </c>
      <c r="C193" s="479">
        <f>ROUND(C195*J$181,3)</f>
        <v>320.94299999999998</v>
      </c>
      <c r="D193" s="471">
        <f>D190</f>
        <v>4.8868926799999997E-2</v>
      </c>
      <c r="E193" s="464">
        <f t="shared" ref="E193:G194" si="229">ROUND(D193*$C193*1000,2)</f>
        <v>15684.14</v>
      </c>
      <c r="F193" s="471">
        <f t="shared" ref="F193:F194" si="230">D193</f>
        <v>4.8868926799999997E-2</v>
      </c>
      <c r="G193" s="464">
        <f t="shared" si="229"/>
        <v>15684.14</v>
      </c>
      <c r="H193" s="471">
        <f t="shared" ref="H193:H194" si="231">F193</f>
        <v>4.8868926799999997E-2</v>
      </c>
      <c r="I193" s="464">
        <f t="shared" ref="I193:I194" si="232">ROUND(H193*$C193*1000,2)</f>
        <v>15684.14</v>
      </c>
      <c r="K193" s="460"/>
      <c r="L193" s="460"/>
      <c r="M193" s="829"/>
      <c r="N193" s="826"/>
      <c r="O193" s="464"/>
      <c r="P193" s="826"/>
      <c r="Q193" s="464"/>
      <c r="R193" s="826"/>
      <c r="S193" s="464"/>
      <c r="T193" s="830"/>
    </row>
    <row r="194" spans="1:20">
      <c r="A194" s="460">
        <f t="shared" si="228"/>
        <v>43617</v>
      </c>
      <c r="B194" s="466" t="s">
        <v>253</v>
      </c>
      <c r="C194" s="479">
        <f>C195-C193</f>
        <v>877.0268457287832</v>
      </c>
      <c r="D194" s="471">
        <f>D191</f>
        <v>3.2920736399999997E-2</v>
      </c>
      <c r="E194" s="464">
        <f t="shared" si="229"/>
        <v>28872.37</v>
      </c>
      <c r="F194" s="471">
        <f t="shared" si="230"/>
        <v>3.2920736399999997E-2</v>
      </c>
      <c r="G194" s="464">
        <f t="shared" si="229"/>
        <v>28872.37</v>
      </c>
      <c r="H194" s="471">
        <f t="shared" si="231"/>
        <v>3.2920736399999997E-2</v>
      </c>
      <c r="I194" s="464">
        <f t="shared" si="232"/>
        <v>28872.37</v>
      </c>
      <c r="K194" s="460"/>
      <c r="L194" s="460"/>
      <c r="M194" s="829"/>
      <c r="N194" s="826"/>
      <c r="O194" s="464"/>
      <c r="P194" s="826"/>
      <c r="Q194" s="464"/>
      <c r="R194" s="826"/>
      <c r="S194" s="464"/>
      <c r="T194" s="830"/>
    </row>
    <row r="195" spans="1:20">
      <c r="A195" s="460"/>
      <c r="B195" s="460" t="s">
        <v>93</v>
      </c>
      <c r="C195" s="462">
        <f>TempMWH!K9</f>
        <v>1197.9698457287832</v>
      </c>
      <c r="D195" s="473"/>
      <c r="E195" s="464"/>
      <c r="F195" s="473"/>
      <c r="G195" s="464"/>
      <c r="H195" s="473"/>
      <c r="I195" s="464"/>
      <c r="K195" s="460"/>
      <c r="L195" s="460"/>
      <c r="M195" s="462"/>
      <c r="N195" s="473"/>
      <c r="O195" s="464"/>
      <c r="P195" s="473"/>
      <c r="Q195" s="464"/>
      <c r="R195" s="473"/>
      <c r="S195" s="464"/>
      <c r="T195" s="830"/>
    </row>
    <row r="196" spans="1:20">
      <c r="A196" s="460">
        <f t="shared" ref="A196:A197" si="233">A155</f>
        <v>43282</v>
      </c>
      <c r="B196" s="466" t="s">
        <v>252</v>
      </c>
      <c r="C196" s="479">
        <f>ROUND(C198*J$181,3)</f>
        <v>-267.85199999999998</v>
      </c>
      <c r="D196" s="471">
        <f>0.050474*(1+$X$15)</f>
        <v>4.8868926799999997E-2</v>
      </c>
      <c r="E196" s="464">
        <f t="shared" ref="E196:G197" si="234">ROUND(D196*$C196*1000,2)</f>
        <v>-13089.64</v>
      </c>
      <c r="F196" s="471">
        <f>F193</f>
        <v>4.8868926799999997E-2</v>
      </c>
      <c r="G196" s="464">
        <f t="shared" si="234"/>
        <v>-13089.64</v>
      </c>
      <c r="H196" s="471">
        <f t="shared" ref="H196:H200" si="235">F196</f>
        <v>4.8868926799999997E-2</v>
      </c>
      <c r="I196" s="464">
        <f t="shared" ref="I196:I197" si="236">ROUND(H196*$C196*1000,2)</f>
        <v>-13089.64</v>
      </c>
      <c r="K196" s="460"/>
      <c r="L196" s="460"/>
      <c r="M196" s="829"/>
      <c r="N196" s="826"/>
      <c r="O196" s="464"/>
      <c r="P196" s="826"/>
      <c r="Q196" s="464"/>
      <c r="R196" s="826"/>
      <c r="S196" s="464"/>
      <c r="T196" s="830"/>
    </row>
    <row r="197" spans="1:20">
      <c r="A197" s="460">
        <f t="shared" si="233"/>
        <v>43282</v>
      </c>
      <c r="B197" s="466" t="s">
        <v>253</v>
      </c>
      <c r="C197" s="479">
        <f>C198-C196</f>
        <v>-731.94838618975655</v>
      </c>
      <c r="D197" s="471">
        <f>0.034002*(1+$X$15)</f>
        <v>3.2920736399999997E-2</v>
      </c>
      <c r="E197" s="464">
        <f t="shared" si="234"/>
        <v>-24096.28</v>
      </c>
      <c r="F197" s="471">
        <f>F194</f>
        <v>3.2920736399999997E-2</v>
      </c>
      <c r="G197" s="464">
        <f t="shared" si="234"/>
        <v>-24096.28</v>
      </c>
      <c r="H197" s="471">
        <f t="shared" si="235"/>
        <v>3.2920736399999997E-2</v>
      </c>
      <c r="I197" s="464">
        <f t="shared" si="236"/>
        <v>-24096.28</v>
      </c>
      <c r="K197" s="460"/>
      <c r="L197" s="460"/>
      <c r="M197" s="829"/>
      <c r="N197" s="826"/>
      <c r="O197" s="464"/>
      <c r="P197" s="826"/>
      <c r="Q197" s="464"/>
      <c r="R197" s="826"/>
      <c r="S197" s="464"/>
      <c r="T197" s="830"/>
    </row>
    <row r="198" spans="1:20">
      <c r="A198" s="460"/>
      <c r="B198" s="466" t="s">
        <v>93</v>
      </c>
      <c r="C198" s="487">
        <f>TempMWH!K10</f>
        <v>-999.80038618975652</v>
      </c>
      <c r="E198" s="468"/>
      <c r="G198" s="468"/>
      <c r="H198" s="471"/>
      <c r="I198" s="468"/>
      <c r="K198" s="460"/>
      <c r="L198" s="460"/>
      <c r="M198" s="462"/>
      <c r="N198" s="826"/>
      <c r="O198" s="464"/>
      <c r="P198" s="826"/>
      <c r="Q198" s="464"/>
      <c r="R198" s="826"/>
      <c r="S198" s="464"/>
      <c r="T198" s="830"/>
    </row>
    <row r="199" spans="1:20">
      <c r="A199" s="460">
        <f t="shared" ref="A199:A200" si="237">A158</f>
        <v>43313</v>
      </c>
      <c r="B199" s="466" t="s">
        <v>252</v>
      </c>
      <c r="C199" s="479">
        <f>ROUND(C201*J$181,3)</f>
        <v>-624.52</v>
      </c>
      <c r="D199" s="471">
        <f>$D$196</f>
        <v>4.8868926799999997E-2</v>
      </c>
      <c r="E199" s="464">
        <f t="shared" ref="E199:G200" si="238">ROUND(D199*$C199*1000,2)</f>
        <v>-30519.62</v>
      </c>
      <c r="F199" s="471">
        <f>F196</f>
        <v>4.8868926799999997E-2</v>
      </c>
      <c r="G199" s="464">
        <f t="shared" si="238"/>
        <v>-30519.62</v>
      </c>
      <c r="H199" s="471">
        <f t="shared" si="235"/>
        <v>4.8868926799999997E-2</v>
      </c>
      <c r="I199" s="464">
        <f t="shared" ref="I199:I200" si="239">ROUND(H199*$C199*1000,2)</f>
        <v>-30519.62</v>
      </c>
      <c r="K199" s="460"/>
      <c r="L199" s="460"/>
      <c r="M199" s="829"/>
      <c r="N199" s="826"/>
      <c r="O199" s="464"/>
      <c r="P199" s="826"/>
      <c r="Q199" s="464"/>
      <c r="R199" s="826"/>
      <c r="S199" s="464"/>
      <c r="T199" s="830"/>
    </row>
    <row r="200" spans="1:20">
      <c r="A200" s="460">
        <f t="shared" si="237"/>
        <v>43313</v>
      </c>
      <c r="B200" s="466" t="s">
        <v>253</v>
      </c>
      <c r="C200" s="479">
        <f>C201-C199</f>
        <v>-1706.5981211881326</v>
      </c>
      <c r="D200" s="471">
        <f>$D$197</f>
        <v>3.2920736399999997E-2</v>
      </c>
      <c r="E200" s="464">
        <f t="shared" si="238"/>
        <v>-56182.47</v>
      </c>
      <c r="F200" s="471">
        <f>F197</f>
        <v>3.2920736399999997E-2</v>
      </c>
      <c r="G200" s="464">
        <f t="shared" si="238"/>
        <v>-56182.47</v>
      </c>
      <c r="H200" s="471">
        <f t="shared" si="235"/>
        <v>3.2920736399999997E-2</v>
      </c>
      <c r="I200" s="464">
        <f t="shared" si="239"/>
        <v>-56182.47</v>
      </c>
      <c r="K200" s="460"/>
      <c r="L200" s="460"/>
      <c r="M200" s="829"/>
      <c r="N200" s="826"/>
      <c r="O200" s="464"/>
      <c r="P200" s="826"/>
      <c r="Q200" s="464"/>
      <c r="R200" s="826"/>
      <c r="S200" s="464"/>
      <c r="T200" s="830"/>
    </row>
    <row r="201" spans="1:20">
      <c r="A201" s="460"/>
      <c r="B201" s="466" t="s">
        <v>93</v>
      </c>
      <c r="C201" s="487">
        <f>TempMWH!K11</f>
        <v>-2331.1181211881326</v>
      </c>
      <c r="E201" s="468"/>
      <c r="G201" s="468"/>
      <c r="I201" s="468"/>
      <c r="J201" s="458"/>
      <c r="K201" s="460"/>
      <c r="L201" s="460"/>
      <c r="M201" s="462"/>
      <c r="N201" s="826"/>
      <c r="O201" s="464"/>
      <c r="P201" s="826"/>
      <c r="Q201" s="464"/>
      <c r="R201" s="826"/>
      <c r="S201" s="464"/>
      <c r="T201" s="827"/>
    </row>
    <row r="202" spans="1:20">
      <c r="A202" s="460">
        <f t="shared" ref="A202:A203" si="240">A161</f>
        <v>43344</v>
      </c>
      <c r="B202" s="466" t="s">
        <v>252</v>
      </c>
      <c r="C202" s="479">
        <f>ROUND(C204*J$181,3)</f>
        <v>-207.73</v>
      </c>
      <c r="D202" s="471">
        <f>$D$196</f>
        <v>4.8868926799999997E-2</v>
      </c>
      <c r="E202" s="464">
        <f t="shared" ref="E202:G203" si="241">ROUND(D202*$C202*1000,2)</f>
        <v>-10151.540000000001</v>
      </c>
      <c r="F202" s="471">
        <f>F199</f>
        <v>4.8868926799999997E-2</v>
      </c>
      <c r="G202" s="464">
        <f t="shared" si="241"/>
        <v>-10151.540000000001</v>
      </c>
      <c r="H202" s="471">
        <f t="shared" ref="H202:H203" si="242">F202</f>
        <v>4.8868926799999997E-2</v>
      </c>
      <c r="I202" s="464">
        <f t="shared" ref="I202:I203" si="243">ROUND(H202*$C202*1000,2)</f>
        <v>-10151.540000000001</v>
      </c>
      <c r="K202" s="460"/>
      <c r="L202" s="460"/>
      <c r="M202" s="829"/>
      <c r="N202" s="826"/>
      <c r="O202" s="464"/>
      <c r="P202" s="826"/>
      <c r="Q202" s="464"/>
      <c r="R202" s="826"/>
      <c r="S202" s="464"/>
      <c r="T202" s="830"/>
    </row>
    <row r="203" spans="1:20">
      <c r="A203" s="460">
        <f t="shared" si="240"/>
        <v>43344</v>
      </c>
      <c r="B203" s="466" t="s">
        <v>253</v>
      </c>
      <c r="C203" s="479">
        <f>C204-C202</f>
        <v>-567.65330181889635</v>
      </c>
      <c r="D203" s="471">
        <f>$D$197</f>
        <v>3.2920736399999997E-2</v>
      </c>
      <c r="E203" s="464">
        <f t="shared" si="241"/>
        <v>-18687.560000000001</v>
      </c>
      <c r="F203" s="471">
        <f>F200</f>
        <v>3.2920736399999997E-2</v>
      </c>
      <c r="G203" s="464">
        <f t="shared" si="241"/>
        <v>-18687.560000000001</v>
      </c>
      <c r="H203" s="471">
        <f t="shared" si="242"/>
        <v>3.2920736399999997E-2</v>
      </c>
      <c r="I203" s="464">
        <f t="shared" si="243"/>
        <v>-18687.560000000001</v>
      </c>
      <c r="K203" s="460"/>
      <c r="L203" s="460"/>
      <c r="M203" s="829"/>
      <c r="N203" s="826"/>
      <c r="O203" s="464"/>
      <c r="P203" s="826"/>
      <c r="Q203" s="464"/>
      <c r="R203" s="826"/>
      <c r="S203" s="464"/>
      <c r="T203" s="830"/>
    </row>
    <row r="204" spans="1:20">
      <c r="A204" s="460"/>
      <c r="B204" s="466" t="s">
        <v>93</v>
      </c>
      <c r="C204" s="462">
        <f>TempMWH!K12</f>
        <v>-775.38330181889637</v>
      </c>
      <c r="E204" s="468"/>
      <c r="G204" s="468"/>
      <c r="I204" s="468"/>
      <c r="K204" s="460"/>
      <c r="L204" s="460"/>
      <c r="M204" s="462"/>
      <c r="N204" s="826"/>
      <c r="O204" s="464"/>
      <c r="P204" s="826"/>
      <c r="Q204" s="464"/>
      <c r="R204" s="826"/>
      <c r="S204" s="464"/>
      <c r="T204" s="832"/>
    </row>
    <row r="205" spans="1:20">
      <c r="A205" s="460">
        <f t="shared" ref="A205:A206" si="244">A164</f>
        <v>43374</v>
      </c>
      <c r="B205" s="466" t="s">
        <v>252</v>
      </c>
      <c r="C205" s="479">
        <f>ROUND(C207*J$183,3)</f>
        <v>234.59399999999999</v>
      </c>
      <c r="D205" s="471">
        <f>0.039511*(1+$X$15)</f>
        <v>3.8254550199999994E-2</v>
      </c>
      <c r="E205" s="464">
        <f t="shared" ref="E205:G206" si="245">ROUND(D205*$C205*1000,2)</f>
        <v>8974.2900000000009</v>
      </c>
      <c r="F205" s="471">
        <f>F178</f>
        <v>3.8254550199999994E-2</v>
      </c>
      <c r="G205" s="464">
        <f t="shared" si="245"/>
        <v>8974.2900000000009</v>
      </c>
      <c r="H205" s="471">
        <f t="shared" ref="H205:H206" si="246">F205</f>
        <v>3.8254550199999994E-2</v>
      </c>
      <c r="I205" s="464">
        <f t="shared" ref="I205:I206" si="247">ROUND(H205*$C205*1000,2)</f>
        <v>8974.2900000000009</v>
      </c>
      <c r="K205" s="460"/>
      <c r="L205" s="460"/>
      <c r="M205" s="829"/>
      <c r="N205" s="826"/>
      <c r="O205" s="464"/>
      <c r="P205" s="826"/>
      <c r="Q205" s="464"/>
      <c r="R205" s="826"/>
      <c r="S205" s="464"/>
      <c r="T205" s="832"/>
    </row>
    <row r="206" spans="1:20">
      <c r="A206" s="460">
        <f t="shared" si="244"/>
        <v>43374</v>
      </c>
      <c r="B206" s="466" t="s">
        <v>253</v>
      </c>
      <c r="C206" s="479">
        <f>C207-C205</f>
        <v>245.63120081178715</v>
      </c>
      <c r="D206" s="471">
        <f>0.034002*(1+$X$15)</f>
        <v>3.2920736399999997E-2</v>
      </c>
      <c r="E206" s="464">
        <f t="shared" si="245"/>
        <v>8086.36</v>
      </c>
      <c r="F206" s="471">
        <f>F179</f>
        <v>3.2920736399999997E-2</v>
      </c>
      <c r="G206" s="464">
        <f t="shared" si="245"/>
        <v>8086.36</v>
      </c>
      <c r="H206" s="471">
        <f t="shared" si="246"/>
        <v>3.2920736399999997E-2</v>
      </c>
      <c r="I206" s="464">
        <f t="shared" si="247"/>
        <v>8086.36</v>
      </c>
      <c r="K206" s="460"/>
      <c r="L206" s="460"/>
      <c r="M206" s="829"/>
      <c r="N206" s="826"/>
      <c r="O206" s="464"/>
      <c r="P206" s="826"/>
      <c r="Q206" s="464"/>
      <c r="R206" s="826"/>
      <c r="S206" s="464"/>
      <c r="T206" s="832"/>
    </row>
    <row r="207" spans="1:20">
      <c r="A207" s="460"/>
      <c r="B207" s="466" t="s">
        <v>93</v>
      </c>
      <c r="C207" s="487">
        <f>TempMWH!K13</f>
        <v>480.22520081178715</v>
      </c>
      <c r="E207" s="468"/>
      <c r="G207" s="468"/>
      <c r="I207" s="468"/>
      <c r="K207" s="460"/>
      <c r="L207" s="460"/>
      <c r="M207" s="462"/>
      <c r="N207" s="826"/>
      <c r="O207" s="464"/>
      <c r="P207" s="826"/>
      <c r="Q207" s="464"/>
      <c r="R207" s="826"/>
      <c r="S207" s="464"/>
      <c r="T207" s="832"/>
    </row>
    <row r="208" spans="1:20">
      <c r="A208" s="460">
        <f t="shared" ref="A208:A209" si="248">A167</f>
        <v>43405</v>
      </c>
      <c r="B208" s="466" t="s">
        <v>252</v>
      </c>
      <c r="C208" s="479">
        <f>ROUND(C210*J$183,3)</f>
        <v>257.97500000000002</v>
      </c>
      <c r="D208" s="471">
        <f>$D$205</f>
        <v>3.8254550199999994E-2</v>
      </c>
      <c r="E208" s="464">
        <f t="shared" ref="E208:G209" si="249">ROUND(D208*$C208*1000,2)</f>
        <v>9868.7199999999993</v>
      </c>
      <c r="F208" s="471">
        <f>F205</f>
        <v>3.8254550199999994E-2</v>
      </c>
      <c r="G208" s="464">
        <f t="shared" si="249"/>
        <v>9868.7199999999993</v>
      </c>
      <c r="H208" s="471">
        <f t="shared" ref="H208:H209" si="250">F208</f>
        <v>3.8254550199999994E-2</v>
      </c>
      <c r="I208" s="464">
        <f t="shared" ref="I208:I209" si="251">ROUND(H208*$C208*1000,2)</f>
        <v>9868.7199999999993</v>
      </c>
      <c r="K208" s="460"/>
      <c r="L208" s="460"/>
      <c r="M208" s="829"/>
      <c r="N208" s="826"/>
      <c r="O208" s="464"/>
      <c r="P208" s="826"/>
      <c r="Q208" s="464"/>
      <c r="R208" s="826"/>
      <c r="S208" s="464"/>
      <c r="T208" s="832"/>
    </row>
    <row r="209" spans="1:30">
      <c r="A209" s="460">
        <f t="shared" si="248"/>
        <v>43405</v>
      </c>
      <c r="B209" s="466" t="s">
        <v>253</v>
      </c>
      <c r="C209" s="479">
        <f>C210-C208</f>
        <v>270.11302135088329</v>
      </c>
      <c r="D209" s="471">
        <f>$D$206</f>
        <v>3.2920736399999997E-2</v>
      </c>
      <c r="E209" s="464">
        <f t="shared" si="249"/>
        <v>8892.32</v>
      </c>
      <c r="F209" s="471">
        <f>F206</f>
        <v>3.2920736399999997E-2</v>
      </c>
      <c r="G209" s="464">
        <f t="shared" si="249"/>
        <v>8892.32</v>
      </c>
      <c r="H209" s="471">
        <f t="shared" si="250"/>
        <v>3.2920736399999997E-2</v>
      </c>
      <c r="I209" s="464">
        <f t="shared" si="251"/>
        <v>8892.32</v>
      </c>
      <c r="K209" s="460"/>
      <c r="L209" s="460"/>
      <c r="M209" s="829"/>
      <c r="N209" s="826"/>
      <c r="O209" s="464"/>
      <c r="P209" s="826"/>
      <c r="Q209" s="464"/>
      <c r="R209" s="826"/>
      <c r="S209" s="464"/>
      <c r="T209" s="832"/>
    </row>
    <row r="210" spans="1:30">
      <c r="A210" s="460"/>
      <c r="B210" s="466" t="s">
        <v>93</v>
      </c>
      <c r="C210" s="487">
        <f>TempMWH!K14</f>
        <v>528.08802135088331</v>
      </c>
      <c r="E210" s="468"/>
      <c r="G210" s="468"/>
      <c r="I210" s="468"/>
      <c r="K210" s="460"/>
      <c r="L210" s="460"/>
      <c r="M210" s="462"/>
      <c r="N210" s="826"/>
      <c r="O210" s="464"/>
      <c r="P210" s="826"/>
      <c r="Q210" s="464"/>
      <c r="R210" s="826"/>
      <c r="S210" s="464"/>
      <c r="T210" s="830"/>
    </row>
    <row r="211" spans="1:30">
      <c r="A211" s="460">
        <f t="shared" ref="A211:A212" si="252">A170</f>
        <v>43435</v>
      </c>
      <c r="B211" s="466" t="s">
        <v>252</v>
      </c>
      <c r="C211" s="479">
        <f>ROUND(C213*J$183,3)</f>
        <v>403.92899999999997</v>
      </c>
      <c r="D211" s="471">
        <f>$D$205</f>
        <v>3.8254550199999994E-2</v>
      </c>
      <c r="E211" s="464">
        <f t="shared" ref="E211:G212" si="253">ROUND(D211*$C211*1000,2)</f>
        <v>15452.12</v>
      </c>
      <c r="F211" s="471">
        <f>F208</f>
        <v>3.8254550199999994E-2</v>
      </c>
      <c r="G211" s="464">
        <f t="shared" si="253"/>
        <v>15452.12</v>
      </c>
      <c r="H211" s="471">
        <f t="shared" ref="H211:H212" si="254">F211</f>
        <v>3.8254550199999994E-2</v>
      </c>
      <c r="I211" s="464">
        <f t="shared" ref="I211:I212" si="255">ROUND(H211*$C211*1000,2)</f>
        <v>15452.12</v>
      </c>
      <c r="K211" s="460"/>
      <c r="L211" s="460"/>
      <c r="M211" s="829"/>
      <c r="N211" s="826"/>
      <c r="O211" s="464"/>
      <c r="P211" s="826"/>
      <c r="Q211" s="464"/>
      <c r="R211" s="826"/>
      <c r="S211" s="464"/>
      <c r="T211" s="830"/>
    </row>
    <row r="212" spans="1:30">
      <c r="A212" s="460">
        <f t="shared" si="252"/>
        <v>43435</v>
      </c>
      <c r="B212" s="460" t="s">
        <v>253</v>
      </c>
      <c r="C212" s="479">
        <f>C213-C211</f>
        <v>422.93443588227831</v>
      </c>
      <c r="D212" s="471">
        <f>$D$206</f>
        <v>3.2920736399999997E-2</v>
      </c>
      <c r="E212" s="464">
        <f t="shared" si="253"/>
        <v>13923.31</v>
      </c>
      <c r="F212" s="471">
        <f>F209</f>
        <v>3.2920736399999997E-2</v>
      </c>
      <c r="G212" s="464">
        <f t="shared" si="253"/>
        <v>13923.31</v>
      </c>
      <c r="H212" s="471">
        <f t="shared" si="254"/>
        <v>3.2920736399999997E-2</v>
      </c>
      <c r="I212" s="464">
        <f t="shared" si="255"/>
        <v>13923.31</v>
      </c>
      <c r="K212" s="460"/>
      <c r="L212" s="460"/>
      <c r="M212" s="829"/>
      <c r="N212" s="826"/>
      <c r="O212" s="464"/>
      <c r="P212" s="826"/>
      <c r="Q212" s="464"/>
      <c r="R212" s="826"/>
      <c r="S212" s="464"/>
      <c r="T212" s="830"/>
    </row>
    <row r="213" spans="1:30">
      <c r="A213" s="474"/>
      <c r="B213" s="474" t="s">
        <v>93</v>
      </c>
      <c r="C213" s="476">
        <f>TempMWH!K15</f>
        <v>826.86343588227828</v>
      </c>
      <c r="D213" s="481"/>
      <c r="E213" s="478"/>
      <c r="F213" s="481"/>
      <c r="G213" s="478"/>
      <c r="H213" s="481"/>
      <c r="I213" s="478"/>
      <c r="K213" s="460"/>
      <c r="L213" s="460"/>
      <c r="M213" s="462"/>
      <c r="N213" s="826"/>
      <c r="O213" s="464"/>
      <c r="P213" s="826"/>
      <c r="Q213" s="464"/>
      <c r="R213" s="826"/>
      <c r="S213" s="464"/>
      <c r="T213" s="830"/>
    </row>
    <row r="214" spans="1:30">
      <c r="A214" s="449" t="s">
        <v>93</v>
      </c>
      <c r="B214" s="449"/>
      <c r="C214" s="479">
        <f>SUM(C178:C179,C181:C182,C184:C185,C187:C188,C190:C191,C193:C194,C196:C197,C199:C200,C202:C203,C205:C206,C208:C209,C211:C212)</f>
        <v>1058.8388133031867</v>
      </c>
      <c r="D214" s="449"/>
      <c r="E214" s="468">
        <f>SUM(E178:E179,E181:E182,E184:E185,E187:E188,E190:E191,E193:E194,E196:E197,E199:E200,E202:E203,E205:E206,E208:E209,E211:E212)</f>
        <v>35660.21</v>
      </c>
      <c r="F214" s="449"/>
      <c r="G214" s="468">
        <f>SUM(G178:G179,G181:G182,G184:G185,G187:G188,G190:G191,G193:G194,G196:G197,G199:G200,G202:G203,G205:G206,G208:G209,G211:G212)</f>
        <v>35660.21</v>
      </c>
      <c r="H214" s="449"/>
      <c r="I214" s="468">
        <f>SUM(I178:I179,I181:I182,I184:I185,I187:I188,I190:I191,I193:I194,I196:I197,I199:I200,I202:I203,I205:I206,I208:I209,I211:I212)</f>
        <v>35660.21</v>
      </c>
      <c r="K214" s="473"/>
      <c r="L214" s="473"/>
      <c r="M214" s="829"/>
      <c r="N214" s="473"/>
      <c r="O214" s="464"/>
      <c r="P214" s="473"/>
      <c r="Q214" s="464"/>
      <c r="R214" s="473"/>
      <c r="S214" s="464"/>
      <c r="T214" s="830"/>
    </row>
    <row r="215" spans="1:30">
      <c r="A215" s="449"/>
      <c r="B215" s="454"/>
      <c r="C215" s="479"/>
      <c r="D215" s="488"/>
      <c r="E215" s="468"/>
      <c r="F215" s="488"/>
      <c r="G215" s="468"/>
      <c r="H215" s="488"/>
      <c r="I215" s="468"/>
    </row>
    <row r="216" spans="1:30">
      <c r="A216" s="451" t="s">
        <v>899</v>
      </c>
      <c r="B216" s="448"/>
      <c r="C216" s="448"/>
      <c r="D216" s="448"/>
      <c r="E216" s="448"/>
      <c r="F216" s="448"/>
      <c r="G216" s="448"/>
      <c r="H216" s="448"/>
      <c r="I216" s="448"/>
      <c r="K216" s="451" t="s">
        <v>900</v>
      </c>
      <c r="L216" s="448"/>
      <c r="M216" s="448"/>
      <c r="N216" s="448"/>
      <c r="O216" s="448"/>
      <c r="P216" s="448"/>
      <c r="Q216" s="448"/>
      <c r="R216" s="448"/>
      <c r="S216" s="448"/>
      <c r="T216" s="579"/>
      <c r="U216" s="821"/>
      <c r="V216" s="822"/>
      <c r="W216" s="822"/>
      <c r="X216" s="822"/>
      <c r="Y216" s="822"/>
      <c r="Z216" s="822"/>
      <c r="AA216" s="822"/>
      <c r="AB216" s="822"/>
      <c r="AC216" s="822"/>
      <c r="AD216" s="823"/>
    </row>
    <row r="217" spans="1:30">
      <c r="A217" s="449"/>
      <c r="B217" s="449"/>
      <c r="C217" s="449"/>
      <c r="D217" s="455" t="s">
        <v>425</v>
      </c>
      <c r="E217" s="455" t="s">
        <v>425</v>
      </c>
      <c r="F217" s="455" t="s">
        <v>494</v>
      </c>
      <c r="G217" s="455" t="s">
        <v>494</v>
      </c>
      <c r="H217" s="455" t="s">
        <v>216</v>
      </c>
      <c r="I217" s="455" t="s">
        <v>216</v>
      </c>
      <c r="K217" s="449"/>
      <c r="L217" s="449"/>
      <c r="M217" s="449"/>
      <c r="N217" s="455" t="s">
        <v>425</v>
      </c>
      <c r="O217" s="455" t="s">
        <v>425</v>
      </c>
      <c r="P217" s="455" t="s">
        <v>494</v>
      </c>
      <c r="Q217" s="455" t="s">
        <v>494</v>
      </c>
      <c r="R217" s="455" t="s">
        <v>216</v>
      </c>
      <c r="S217" s="455" t="s">
        <v>216</v>
      </c>
      <c r="T217" s="579"/>
      <c r="U217" s="473"/>
      <c r="V217" s="473"/>
      <c r="W217" s="473"/>
      <c r="X217" s="824"/>
      <c r="Y217" s="824"/>
      <c r="Z217" s="824"/>
      <c r="AA217" s="824"/>
      <c r="AB217" s="824"/>
      <c r="AC217" s="824"/>
      <c r="AD217" s="823"/>
    </row>
    <row r="218" spans="1:30">
      <c r="A218" s="456" t="s">
        <v>110</v>
      </c>
      <c r="B218" s="456"/>
      <c r="C218" s="456" t="s">
        <v>109</v>
      </c>
      <c r="D218" s="456" t="s">
        <v>99</v>
      </c>
      <c r="E218" s="456" t="s">
        <v>496</v>
      </c>
      <c r="F218" s="456" t="s">
        <v>99</v>
      </c>
      <c r="G218" s="456" t="s">
        <v>496</v>
      </c>
      <c r="H218" s="456" t="s">
        <v>99</v>
      </c>
      <c r="I218" s="456" t="s">
        <v>496</v>
      </c>
      <c r="K218" s="456" t="s">
        <v>110</v>
      </c>
      <c r="L218" s="456"/>
      <c r="M218" s="456" t="s">
        <v>109</v>
      </c>
      <c r="N218" s="456" t="s">
        <v>99</v>
      </c>
      <c r="O218" s="456" t="s">
        <v>496</v>
      </c>
      <c r="P218" s="456" t="s">
        <v>99</v>
      </c>
      <c r="Q218" s="456" t="s">
        <v>496</v>
      </c>
      <c r="R218" s="456" t="s">
        <v>99</v>
      </c>
      <c r="S218" s="456" t="s">
        <v>496</v>
      </c>
      <c r="T218" s="579"/>
      <c r="U218" s="824"/>
      <c r="V218" s="824"/>
      <c r="W218" s="824"/>
      <c r="X218" s="824"/>
      <c r="Y218" s="824"/>
      <c r="Z218" s="824"/>
      <c r="AA218" s="824"/>
      <c r="AB218" s="824"/>
      <c r="AC218" s="824"/>
      <c r="AD218" s="823"/>
    </row>
    <row r="219" spans="1:30">
      <c r="A219" s="460">
        <f>A137</f>
        <v>43466</v>
      </c>
      <c r="B219" s="465">
        <v>1</v>
      </c>
      <c r="C219" s="479">
        <f>ROUND(C221*J$224,3)</f>
        <v>53.392000000000003</v>
      </c>
      <c r="D219" s="471">
        <f>0.108*(1+$Y$17)</f>
        <v>0.1044252</v>
      </c>
      <c r="E219" s="464">
        <f>ROUND(D219*$C219*1000,2)</f>
        <v>5575.47</v>
      </c>
      <c r="F219" s="625">
        <f>D219</f>
        <v>0.1044252</v>
      </c>
      <c r="G219" s="464">
        <f>ROUND(F219*$C219*1000,2)</f>
        <v>5575.47</v>
      </c>
      <c r="H219" s="625">
        <f>F219</f>
        <v>0.1044252</v>
      </c>
      <c r="I219" s="464">
        <f>ROUND(H219*$C219*1000,2)</f>
        <v>5575.47</v>
      </c>
      <c r="J219" s="458"/>
      <c r="K219" s="460">
        <f>A219</f>
        <v>43466</v>
      </c>
      <c r="L219" s="465">
        <v>1</v>
      </c>
      <c r="M219" s="479">
        <f>ROUND(M221*T$224,3)</f>
        <v>154.78200000000001</v>
      </c>
      <c r="N219" s="445">
        <f>D219</f>
        <v>0.1044252</v>
      </c>
      <c r="O219" s="464">
        <f>ROUND(N219*$M219*1000,2)</f>
        <v>16163.14</v>
      </c>
      <c r="P219" s="445">
        <f>F219</f>
        <v>0.1044252</v>
      </c>
      <c r="Q219" s="464">
        <f>ROUND(P219*$M219*1000,2)</f>
        <v>16163.14</v>
      </c>
      <c r="R219" s="445">
        <f>H219</f>
        <v>0.1044252</v>
      </c>
      <c r="S219" s="464">
        <f>ROUND(R219*$M219*1000,2)</f>
        <v>16163.14</v>
      </c>
      <c r="T219" s="458"/>
      <c r="U219" s="460"/>
      <c r="V219" s="834"/>
      <c r="W219" s="829"/>
      <c r="X219" s="826"/>
      <c r="Y219" s="464"/>
      <c r="Z219" s="826"/>
      <c r="AA219" s="464"/>
      <c r="AB219" s="826"/>
      <c r="AC219" s="464"/>
      <c r="AD219" s="823"/>
    </row>
    <row r="220" spans="1:30">
      <c r="A220" s="460">
        <f>A138</f>
        <v>43466</v>
      </c>
      <c r="B220" s="465">
        <v>2</v>
      </c>
      <c r="C220" s="479">
        <f>C221-C219</f>
        <v>36.207970608012069</v>
      </c>
      <c r="D220" s="471">
        <f>0.060567*(1+$Y$17)</f>
        <v>5.8562232300000003E-2</v>
      </c>
      <c r="E220" s="464">
        <f>ROUND(D220*$C220*1000,2)</f>
        <v>2120.42</v>
      </c>
      <c r="F220" s="625">
        <f>D220</f>
        <v>5.8562232300000003E-2</v>
      </c>
      <c r="G220" s="464">
        <f>ROUND(F220*$C220*1000,2)</f>
        <v>2120.42</v>
      </c>
      <c r="H220" s="625">
        <f>F220</f>
        <v>5.8562232300000003E-2</v>
      </c>
      <c r="I220" s="464">
        <f>ROUND(H220*$C220*1000,2)</f>
        <v>2120.42</v>
      </c>
      <c r="J220" s="580"/>
      <c r="K220" s="460">
        <f>A220</f>
        <v>43466</v>
      </c>
      <c r="L220" s="465">
        <v>2</v>
      </c>
      <c r="M220" s="479">
        <f>M221-M219</f>
        <v>127.00202016133679</v>
      </c>
      <c r="N220" s="445">
        <f>D220</f>
        <v>5.8562232300000003E-2</v>
      </c>
      <c r="O220" s="464">
        <f>ROUND(N220*$M220*1000,2)</f>
        <v>7437.52</v>
      </c>
      <c r="P220" s="445">
        <f>F220</f>
        <v>5.8562232300000003E-2</v>
      </c>
      <c r="Q220" s="464">
        <f>ROUND(P220*$M220*1000,2)</f>
        <v>7437.52</v>
      </c>
      <c r="R220" s="445">
        <f>H220</f>
        <v>5.8562232300000003E-2</v>
      </c>
      <c r="S220" s="464">
        <f>ROUND(R220*$M220*1000,2)</f>
        <v>7437.52</v>
      </c>
      <c r="T220" s="580"/>
      <c r="U220" s="460"/>
      <c r="V220" s="834"/>
      <c r="W220" s="829"/>
      <c r="X220" s="826"/>
      <c r="Y220" s="464"/>
      <c r="Z220" s="826"/>
      <c r="AA220" s="464"/>
      <c r="AB220" s="826"/>
      <c r="AC220" s="464"/>
      <c r="AD220" s="823"/>
    </row>
    <row r="221" spans="1:30">
      <c r="A221" s="460"/>
      <c r="B221" s="466" t="s">
        <v>93</v>
      </c>
      <c r="C221" s="487">
        <f>TempMWH!G4</f>
        <v>89.599970608012072</v>
      </c>
      <c r="D221" s="471"/>
      <c r="E221" s="468"/>
      <c r="F221" s="471"/>
      <c r="G221" s="468"/>
      <c r="H221" s="471"/>
      <c r="I221" s="468"/>
      <c r="J221" s="579" t="s">
        <v>21</v>
      </c>
      <c r="K221" s="460"/>
      <c r="L221" s="466" t="s">
        <v>93</v>
      </c>
      <c r="M221" s="487">
        <f>TempMWH!L4</f>
        <v>281.7840201613368</v>
      </c>
      <c r="O221" s="468"/>
      <c r="Q221" s="468"/>
      <c r="S221" s="468"/>
      <c r="T221" s="579" t="s">
        <v>21</v>
      </c>
      <c r="U221" s="460"/>
      <c r="V221" s="460"/>
      <c r="W221" s="462"/>
      <c r="X221" s="826"/>
      <c r="Y221" s="464"/>
      <c r="Z221" s="826"/>
      <c r="AA221" s="464"/>
      <c r="AB221" s="826"/>
      <c r="AC221" s="464"/>
      <c r="AD221" s="823"/>
    </row>
    <row r="222" spans="1:30">
      <c r="A222" s="460">
        <f t="shared" ref="A222:A223" si="256">A140</f>
        <v>43497</v>
      </c>
      <c r="B222" s="465">
        <v>1</v>
      </c>
      <c r="C222" s="479">
        <f>ROUND(C224*J$224,3)</f>
        <v>-42.889000000000003</v>
      </c>
      <c r="D222" s="471">
        <f>$D$219</f>
        <v>0.1044252</v>
      </c>
      <c r="E222" s="464">
        <f t="shared" ref="E222:I223" si="257">ROUND(D222*$C222*1000,2)</f>
        <v>-4478.6899999999996</v>
      </c>
      <c r="F222" s="625">
        <f t="shared" ref="F222:F223" si="258">D222</f>
        <v>0.1044252</v>
      </c>
      <c r="G222" s="464">
        <f t="shared" ref="G222:G223" si="259">ROUND(F222*$C222*1000,2)</f>
        <v>-4478.6899999999996</v>
      </c>
      <c r="H222" s="625">
        <f t="shared" ref="H222:H223" si="260">F222</f>
        <v>0.1044252</v>
      </c>
      <c r="I222" s="464">
        <f t="shared" si="257"/>
        <v>-4478.6899999999996</v>
      </c>
      <c r="J222" s="579">
        <f>'23'!N42</f>
        <v>0.5969164391369205</v>
      </c>
      <c r="K222" s="460">
        <f t="shared" ref="K222:K223" si="261">A222</f>
        <v>43497</v>
      </c>
      <c r="L222" s="465">
        <v>1</v>
      </c>
      <c r="M222" s="479">
        <f>ROUND(M224*T$224,3)</f>
        <v>-83.269000000000005</v>
      </c>
      <c r="N222" s="445">
        <f t="shared" ref="N222:N223" si="262">D222</f>
        <v>0.1044252</v>
      </c>
      <c r="O222" s="464">
        <f t="shared" ref="O222:O223" si="263">ROUND(N222*$M222*1000,2)</f>
        <v>-8695.3799999999992</v>
      </c>
      <c r="P222" s="445">
        <f t="shared" ref="P222:P223" si="264">F222</f>
        <v>0.1044252</v>
      </c>
      <c r="Q222" s="464">
        <f t="shared" ref="Q222:Q223" si="265">ROUND(P222*$M222*1000,2)</f>
        <v>-8695.3799999999992</v>
      </c>
      <c r="R222" s="445">
        <f t="shared" ref="R222:R223" si="266">H222</f>
        <v>0.1044252</v>
      </c>
      <c r="S222" s="464">
        <f t="shared" ref="S222:S223" si="267">ROUND(R222*$M222*1000,2)</f>
        <v>-8695.3799999999992</v>
      </c>
      <c r="T222" s="579">
        <f>'23'!N40</f>
        <v>0.50022203555214639</v>
      </c>
      <c r="U222" s="460"/>
      <c r="V222" s="834"/>
      <c r="W222" s="829"/>
      <c r="X222" s="826"/>
      <c r="Y222" s="464"/>
      <c r="Z222" s="826"/>
      <c r="AA222" s="464"/>
      <c r="AB222" s="826"/>
      <c r="AC222" s="464"/>
      <c r="AD222" s="823"/>
    </row>
    <row r="223" spans="1:30">
      <c r="A223" s="460">
        <f t="shared" si="256"/>
        <v>43497</v>
      </c>
      <c r="B223" s="465">
        <v>2</v>
      </c>
      <c r="C223" s="479">
        <f>C224-C222</f>
        <v>-29.085913311526973</v>
      </c>
      <c r="D223" s="471">
        <f>$D$220</f>
        <v>5.8562232300000003E-2</v>
      </c>
      <c r="E223" s="464">
        <f t="shared" si="257"/>
        <v>-1703.34</v>
      </c>
      <c r="F223" s="625">
        <f t="shared" si="258"/>
        <v>5.8562232300000003E-2</v>
      </c>
      <c r="G223" s="464">
        <f t="shared" si="259"/>
        <v>-1703.34</v>
      </c>
      <c r="H223" s="625">
        <f t="shared" si="260"/>
        <v>5.8562232300000003E-2</v>
      </c>
      <c r="I223" s="464">
        <f t="shared" si="257"/>
        <v>-1703.34</v>
      </c>
      <c r="J223" s="579" t="s">
        <v>22</v>
      </c>
      <c r="K223" s="460">
        <f t="shared" si="261"/>
        <v>43497</v>
      </c>
      <c r="L223" s="465">
        <v>2</v>
      </c>
      <c r="M223" s="479">
        <f>M224-M222</f>
        <v>-68.323380257090491</v>
      </c>
      <c r="N223" s="445">
        <f t="shared" si="262"/>
        <v>5.8562232300000003E-2</v>
      </c>
      <c r="O223" s="464">
        <f t="shared" si="263"/>
        <v>-4001.17</v>
      </c>
      <c r="P223" s="445">
        <f t="shared" si="264"/>
        <v>5.8562232300000003E-2</v>
      </c>
      <c r="Q223" s="464">
        <f t="shared" si="265"/>
        <v>-4001.17</v>
      </c>
      <c r="R223" s="445">
        <f t="shared" si="266"/>
        <v>5.8562232300000003E-2</v>
      </c>
      <c r="S223" s="464">
        <f t="shared" si="267"/>
        <v>-4001.17</v>
      </c>
      <c r="T223" s="579" t="s">
        <v>22</v>
      </c>
      <c r="U223" s="460"/>
      <c r="V223" s="834"/>
      <c r="W223" s="829"/>
      <c r="X223" s="826"/>
      <c r="Y223" s="464"/>
      <c r="Z223" s="826"/>
      <c r="AA223" s="464"/>
      <c r="AB223" s="826"/>
      <c r="AC223" s="464"/>
      <c r="AD223" s="823"/>
    </row>
    <row r="224" spans="1:30">
      <c r="A224" s="460"/>
      <c r="B224" s="466" t="s">
        <v>93</v>
      </c>
      <c r="C224" s="487">
        <f>TempMWH!G5</f>
        <v>-71.974913311526976</v>
      </c>
      <c r="D224" s="471"/>
      <c r="E224" s="468"/>
      <c r="F224" s="471"/>
      <c r="G224" s="468"/>
      <c r="H224" s="471"/>
      <c r="I224" s="468"/>
      <c r="J224" s="579">
        <f>'23'!Q42</f>
        <v>0.59588909775612475</v>
      </c>
      <c r="K224" s="460"/>
      <c r="L224" s="466" t="s">
        <v>93</v>
      </c>
      <c r="M224" s="487">
        <f>TempMWH!L5</f>
        <v>-151.5923802570905</v>
      </c>
      <c r="O224" s="468"/>
      <c r="Q224" s="468"/>
      <c r="S224" s="468"/>
      <c r="T224" s="579">
        <f>'23'!Q40</f>
        <v>0.549293682993238</v>
      </c>
      <c r="U224" s="460"/>
      <c r="V224" s="460"/>
      <c r="W224" s="462"/>
      <c r="X224" s="826"/>
      <c r="Y224" s="464"/>
      <c r="Z224" s="826"/>
      <c r="AA224" s="464"/>
      <c r="AB224" s="826"/>
      <c r="AC224" s="464"/>
      <c r="AD224" s="823"/>
    </row>
    <row r="225" spans="1:30">
      <c r="A225" s="460">
        <f t="shared" ref="A225:A226" si="268">A143</f>
        <v>43525</v>
      </c>
      <c r="B225" s="465">
        <v>1</v>
      </c>
      <c r="C225" s="479">
        <f>ROUND(C227*J$224,3)</f>
        <v>-79.834000000000003</v>
      </c>
      <c r="D225" s="471">
        <f>$D$219</f>
        <v>0.1044252</v>
      </c>
      <c r="E225" s="464">
        <f t="shared" ref="E225:I226" si="269">ROUND(D225*$C225*1000,2)</f>
        <v>-8336.68</v>
      </c>
      <c r="F225" s="625">
        <f t="shared" ref="F225:F226" si="270">D225</f>
        <v>0.1044252</v>
      </c>
      <c r="G225" s="464">
        <f t="shared" ref="G225:G226" si="271">ROUND(F225*$C225*1000,2)</f>
        <v>-8336.68</v>
      </c>
      <c r="H225" s="625">
        <f t="shared" ref="H225:H226" si="272">F225</f>
        <v>0.1044252</v>
      </c>
      <c r="I225" s="464">
        <f t="shared" si="269"/>
        <v>-8336.68</v>
      </c>
      <c r="K225" s="460">
        <f t="shared" ref="K225:K226" si="273">A225</f>
        <v>43525</v>
      </c>
      <c r="L225" s="465">
        <v>1</v>
      </c>
      <c r="M225" s="479">
        <f>ROUND(M227*T$224,3)</f>
        <v>73.105000000000004</v>
      </c>
      <c r="N225" s="445">
        <f t="shared" ref="N225:N226" si="274">D225</f>
        <v>0.1044252</v>
      </c>
      <c r="O225" s="464">
        <f t="shared" ref="O225:O226" si="275">ROUND(N225*$M225*1000,2)</f>
        <v>7634</v>
      </c>
      <c r="P225" s="445">
        <f t="shared" ref="P225:P226" si="276">F225</f>
        <v>0.1044252</v>
      </c>
      <c r="Q225" s="464">
        <f t="shared" ref="Q225:Q226" si="277">ROUND(P225*$M225*1000,2)</f>
        <v>7634</v>
      </c>
      <c r="R225" s="445">
        <f t="shared" ref="R225:R226" si="278">H225</f>
        <v>0.1044252</v>
      </c>
      <c r="S225" s="464">
        <f t="shared" ref="S225:S226" si="279">ROUND(R225*$M225*1000,2)</f>
        <v>7634</v>
      </c>
      <c r="T225" s="579"/>
      <c r="U225" s="460"/>
      <c r="V225" s="834"/>
      <c r="W225" s="829"/>
      <c r="X225" s="826"/>
      <c r="Y225" s="464"/>
      <c r="Z225" s="826"/>
      <c r="AA225" s="464"/>
      <c r="AB225" s="826"/>
      <c r="AC225" s="464"/>
      <c r="AD225" s="823"/>
    </row>
    <row r="226" spans="1:30">
      <c r="A226" s="460">
        <f t="shared" si="268"/>
        <v>43525</v>
      </c>
      <c r="B226" s="465">
        <v>2</v>
      </c>
      <c r="C226" s="479">
        <f>C227-C225</f>
        <v>-54.140870429797303</v>
      </c>
      <c r="D226" s="471">
        <f>$D$220</f>
        <v>5.8562232300000003E-2</v>
      </c>
      <c r="E226" s="464">
        <f t="shared" si="269"/>
        <v>-3170.61</v>
      </c>
      <c r="F226" s="625">
        <f t="shared" si="270"/>
        <v>5.8562232300000003E-2</v>
      </c>
      <c r="G226" s="464">
        <f t="shared" si="271"/>
        <v>-3170.61</v>
      </c>
      <c r="H226" s="625">
        <f t="shared" si="272"/>
        <v>5.8562232300000003E-2</v>
      </c>
      <c r="I226" s="464">
        <f t="shared" si="269"/>
        <v>-3170.61</v>
      </c>
      <c r="K226" s="460">
        <f t="shared" si="273"/>
        <v>43525</v>
      </c>
      <c r="L226" s="465">
        <v>2</v>
      </c>
      <c r="M226" s="479">
        <f>M227-M225</f>
        <v>59.983448807167221</v>
      </c>
      <c r="N226" s="445">
        <f t="shared" si="274"/>
        <v>5.8562232300000003E-2</v>
      </c>
      <c r="O226" s="464">
        <f t="shared" si="275"/>
        <v>3512.76</v>
      </c>
      <c r="P226" s="445">
        <f t="shared" si="276"/>
        <v>5.8562232300000003E-2</v>
      </c>
      <c r="Q226" s="464">
        <f t="shared" si="277"/>
        <v>3512.76</v>
      </c>
      <c r="R226" s="445">
        <f t="shared" si="278"/>
        <v>5.8562232300000003E-2</v>
      </c>
      <c r="S226" s="464">
        <f t="shared" si="279"/>
        <v>3512.76</v>
      </c>
      <c r="T226" s="579"/>
      <c r="U226" s="460"/>
      <c r="V226" s="834"/>
      <c r="W226" s="829"/>
      <c r="X226" s="826"/>
      <c r="Y226" s="464"/>
      <c r="Z226" s="826"/>
      <c r="AA226" s="464"/>
      <c r="AB226" s="826"/>
      <c r="AC226" s="464"/>
      <c r="AD226" s="823"/>
    </row>
    <row r="227" spans="1:30">
      <c r="A227" s="460"/>
      <c r="B227" s="466" t="s">
        <v>93</v>
      </c>
      <c r="C227" s="487">
        <f>TempMWH!G6</f>
        <v>-133.97487042979731</v>
      </c>
      <c r="D227" s="471"/>
      <c r="E227" s="468"/>
      <c r="F227" s="471"/>
      <c r="G227" s="468"/>
      <c r="H227" s="471"/>
      <c r="I227" s="468"/>
      <c r="K227" s="460"/>
      <c r="L227" s="466" t="s">
        <v>93</v>
      </c>
      <c r="M227" s="487">
        <f>TempMWH!L6</f>
        <v>133.08844880716723</v>
      </c>
      <c r="O227" s="468"/>
      <c r="Q227" s="468"/>
      <c r="S227" s="468"/>
      <c r="T227" s="579"/>
      <c r="U227" s="460"/>
      <c r="V227" s="460"/>
      <c r="W227" s="462"/>
      <c r="X227" s="826"/>
      <c r="Y227" s="464"/>
      <c r="Z227" s="826"/>
      <c r="AA227" s="464"/>
      <c r="AB227" s="826"/>
      <c r="AC227" s="464"/>
      <c r="AD227" s="823"/>
    </row>
    <row r="228" spans="1:30">
      <c r="A228" s="460">
        <f t="shared" ref="A228:A229" si="280">A146</f>
        <v>43556</v>
      </c>
      <c r="B228" s="465">
        <v>1</v>
      </c>
      <c r="C228" s="479">
        <f>ROUND(C230*J$224,3)</f>
        <v>108.137</v>
      </c>
      <c r="D228" s="471">
        <f>$D$219</f>
        <v>0.1044252</v>
      </c>
      <c r="E228" s="464">
        <f t="shared" ref="E228:I229" si="281">ROUND(D228*$C228*1000,2)</f>
        <v>11292.23</v>
      </c>
      <c r="F228" s="625">
        <f t="shared" ref="F228:F229" si="282">D228</f>
        <v>0.1044252</v>
      </c>
      <c r="G228" s="464">
        <f t="shared" ref="G228:G229" si="283">ROUND(F228*$C228*1000,2)</f>
        <v>11292.23</v>
      </c>
      <c r="H228" s="625">
        <f t="shared" ref="H228:H229" si="284">F228</f>
        <v>0.1044252</v>
      </c>
      <c r="I228" s="464">
        <f t="shared" si="281"/>
        <v>11292.23</v>
      </c>
      <c r="K228" s="460">
        <f t="shared" ref="K228:K229" si="285">A228</f>
        <v>43556</v>
      </c>
      <c r="L228" s="465">
        <v>1</v>
      </c>
      <c r="M228" s="479">
        <f>ROUND(M230*T$224,3)</f>
        <v>129.51599999999999</v>
      </c>
      <c r="N228" s="445">
        <f t="shared" ref="N228:N229" si="286">D228</f>
        <v>0.1044252</v>
      </c>
      <c r="O228" s="464">
        <f t="shared" ref="O228:O229" si="287">ROUND(N228*$M228*1000,2)</f>
        <v>13524.73</v>
      </c>
      <c r="P228" s="445">
        <f t="shared" ref="P228:P229" si="288">F228</f>
        <v>0.1044252</v>
      </c>
      <c r="Q228" s="464">
        <f t="shared" ref="Q228:Q229" si="289">ROUND(P228*$M228*1000,2)</f>
        <v>13524.73</v>
      </c>
      <c r="R228" s="445">
        <f t="shared" ref="R228:R229" si="290">H228</f>
        <v>0.1044252</v>
      </c>
      <c r="S228" s="464">
        <f t="shared" ref="S228:S229" si="291">ROUND(R228*$M228*1000,2)</f>
        <v>13524.73</v>
      </c>
      <c r="T228" s="579"/>
      <c r="U228" s="460"/>
      <c r="V228" s="834"/>
      <c r="W228" s="829"/>
      <c r="X228" s="826"/>
      <c r="Y228" s="464"/>
      <c r="Z228" s="826"/>
      <c r="AA228" s="464"/>
      <c r="AB228" s="826"/>
      <c r="AC228" s="464"/>
      <c r="AD228" s="823"/>
    </row>
    <row r="229" spans="1:30">
      <c r="A229" s="460">
        <f t="shared" si="280"/>
        <v>43556</v>
      </c>
      <c r="B229" s="465">
        <v>2</v>
      </c>
      <c r="C229" s="479">
        <f>C230-C228</f>
        <v>73.335308899277152</v>
      </c>
      <c r="D229" s="471">
        <f>$D$220</f>
        <v>5.8562232300000003E-2</v>
      </c>
      <c r="E229" s="464">
        <f t="shared" si="281"/>
        <v>4294.68</v>
      </c>
      <c r="F229" s="625">
        <f t="shared" si="282"/>
        <v>5.8562232300000003E-2</v>
      </c>
      <c r="G229" s="464">
        <f t="shared" si="283"/>
        <v>4294.68</v>
      </c>
      <c r="H229" s="625">
        <f t="shared" si="284"/>
        <v>5.8562232300000003E-2</v>
      </c>
      <c r="I229" s="464">
        <f t="shared" si="281"/>
        <v>4294.68</v>
      </c>
      <c r="K229" s="460">
        <f t="shared" si="285"/>
        <v>43556</v>
      </c>
      <c r="L229" s="465">
        <v>2</v>
      </c>
      <c r="M229" s="479">
        <f>M230-M228</f>
        <v>106.27075225337222</v>
      </c>
      <c r="N229" s="445">
        <f t="shared" si="286"/>
        <v>5.8562232300000003E-2</v>
      </c>
      <c r="O229" s="464">
        <f t="shared" si="287"/>
        <v>6223.45</v>
      </c>
      <c r="P229" s="445">
        <f t="shared" si="288"/>
        <v>5.8562232300000003E-2</v>
      </c>
      <c r="Q229" s="464">
        <f t="shared" si="289"/>
        <v>6223.45</v>
      </c>
      <c r="R229" s="445">
        <f t="shared" si="290"/>
        <v>5.8562232300000003E-2</v>
      </c>
      <c r="S229" s="464">
        <f t="shared" si="291"/>
        <v>6223.45</v>
      </c>
      <c r="T229" s="579"/>
      <c r="U229" s="460"/>
      <c r="V229" s="834"/>
      <c r="W229" s="829"/>
      <c r="X229" s="826"/>
      <c r="Y229" s="464"/>
      <c r="Z229" s="826"/>
      <c r="AA229" s="464"/>
      <c r="AB229" s="826"/>
      <c r="AC229" s="464"/>
      <c r="AD229" s="823"/>
    </row>
    <row r="230" spans="1:30">
      <c r="A230" s="460"/>
      <c r="B230" s="466" t="s">
        <v>93</v>
      </c>
      <c r="C230" s="487">
        <f>TempMWH!G7</f>
        <v>181.47230889927715</v>
      </c>
      <c r="D230" s="471"/>
      <c r="E230" s="468"/>
      <c r="F230" s="471"/>
      <c r="G230" s="468"/>
      <c r="H230" s="471"/>
      <c r="I230" s="468"/>
      <c r="K230" s="460"/>
      <c r="L230" s="466" t="s">
        <v>93</v>
      </c>
      <c r="M230" s="487">
        <f>TempMWH!L7</f>
        <v>235.78675225337221</v>
      </c>
      <c r="O230" s="468"/>
      <c r="Q230" s="468"/>
      <c r="S230" s="468"/>
      <c r="T230" s="579"/>
      <c r="U230" s="460"/>
      <c r="V230" s="460"/>
      <c r="W230" s="462"/>
      <c r="X230" s="826"/>
      <c r="Y230" s="464"/>
      <c r="Z230" s="826"/>
      <c r="AA230" s="464"/>
      <c r="AB230" s="826"/>
      <c r="AC230" s="464"/>
      <c r="AD230" s="823"/>
    </row>
    <row r="231" spans="1:30">
      <c r="A231" s="460">
        <f t="shared" ref="A231:A232" si="292">A149</f>
        <v>43586</v>
      </c>
      <c r="B231" s="465">
        <v>1</v>
      </c>
      <c r="C231" s="479">
        <f>ROUND(C233*J$222,3)</f>
        <v>220.21100000000001</v>
      </c>
      <c r="D231" s="625">
        <f>0.117336*(1+$Y$17)</f>
        <v>0.11345217839999999</v>
      </c>
      <c r="E231" s="464">
        <f t="shared" ref="E231:I232" si="293">ROUND(D231*$C231*1000,2)</f>
        <v>24983.42</v>
      </c>
      <c r="F231" s="625">
        <f t="shared" ref="F231:F232" si="294">D231</f>
        <v>0.11345217839999999</v>
      </c>
      <c r="G231" s="464">
        <f t="shared" ref="G231:G232" si="295">ROUND(F231*$C231*1000,2)</f>
        <v>24983.42</v>
      </c>
      <c r="H231" s="625">
        <f t="shared" ref="H231:H232" si="296">F231</f>
        <v>0.11345217839999999</v>
      </c>
      <c r="I231" s="464">
        <f t="shared" si="293"/>
        <v>24983.42</v>
      </c>
      <c r="K231" s="460">
        <f t="shared" ref="K231:K232" si="297">A231</f>
        <v>43586</v>
      </c>
      <c r="L231" s="465">
        <v>1</v>
      </c>
      <c r="M231" s="479">
        <f>ROUND(M233*T$222,3)</f>
        <v>1005.67</v>
      </c>
      <c r="N231" s="445">
        <f t="shared" ref="N231:N232" si="298">D231</f>
        <v>0.11345217839999999</v>
      </c>
      <c r="O231" s="464">
        <f t="shared" ref="O231:O232" si="299">ROUND(N231*$M231*1000,2)</f>
        <v>114095.45</v>
      </c>
      <c r="P231" s="445">
        <f t="shared" ref="P231:P232" si="300">F231</f>
        <v>0.11345217839999999</v>
      </c>
      <c r="Q231" s="464">
        <f t="shared" ref="Q231:Q232" si="301">ROUND(P231*$M231*1000,2)</f>
        <v>114095.45</v>
      </c>
      <c r="R231" s="445">
        <f t="shared" ref="R231:R232" si="302">H231</f>
        <v>0.11345217839999999</v>
      </c>
      <c r="S231" s="464">
        <f t="shared" ref="S231:S232" si="303">ROUND(R231*$M231*1000,2)</f>
        <v>114095.45</v>
      </c>
      <c r="T231" s="579"/>
      <c r="U231" s="460"/>
      <c r="V231" s="834"/>
      <c r="W231" s="829"/>
      <c r="X231" s="826"/>
      <c r="Y231" s="464"/>
      <c r="Z231" s="826"/>
      <c r="AA231" s="464"/>
      <c r="AB231" s="826"/>
      <c r="AC231" s="464"/>
      <c r="AD231" s="823"/>
    </row>
    <row r="232" spans="1:30">
      <c r="A232" s="460">
        <f t="shared" si="292"/>
        <v>43586</v>
      </c>
      <c r="B232" s="465">
        <v>2</v>
      </c>
      <c r="C232" s="479">
        <f>C233-C231</f>
        <v>148.70342806296173</v>
      </c>
      <c r="D232" s="471">
        <f>0.065783*(1+$Y$17)</f>
        <v>6.3605582699999996E-2</v>
      </c>
      <c r="E232" s="464">
        <f t="shared" si="293"/>
        <v>9458.3700000000008</v>
      </c>
      <c r="F232" s="625">
        <f t="shared" si="294"/>
        <v>6.3605582699999996E-2</v>
      </c>
      <c r="G232" s="464">
        <f t="shared" si="295"/>
        <v>9458.3700000000008</v>
      </c>
      <c r="H232" s="625">
        <f t="shared" si="296"/>
        <v>6.3605582699999996E-2</v>
      </c>
      <c r="I232" s="464">
        <f t="shared" si="293"/>
        <v>9458.3700000000008</v>
      </c>
      <c r="K232" s="460">
        <f t="shared" si="297"/>
        <v>43586</v>
      </c>
      <c r="L232" s="465">
        <v>2</v>
      </c>
      <c r="M232" s="479">
        <f>M233-M231</f>
        <v>1004.7781546707382</v>
      </c>
      <c r="N232" s="445">
        <f t="shared" si="298"/>
        <v>6.3605582699999996E-2</v>
      </c>
      <c r="O232" s="464">
        <f t="shared" si="299"/>
        <v>63909.5</v>
      </c>
      <c r="P232" s="445">
        <f t="shared" si="300"/>
        <v>6.3605582699999996E-2</v>
      </c>
      <c r="Q232" s="464">
        <f t="shared" si="301"/>
        <v>63909.5</v>
      </c>
      <c r="R232" s="445">
        <f t="shared" si="302"/>
        <v>6.3605582699999996E-2</v>
      </c>
      <c r="S232" s="464">
        <f t="shared" si="303"/>
        <v>63909.5</v>
      </c>
      <c r="T232" s="579"/>
      <c r="U232" s="460"/>
      <c r="V232" s="834"/>
      <c r="W232" s="829"/>
      <c r="X232" s="826"/>
      <c r="Y232" s="464"/>
      <c r="Z232" s="826"/>
      <c r="AA232" s="464"/>
      <c r="AB232" s="826"/>
      <c r="AC232" s="464"/>
      <c r="AD232" s="823"/>
    </row>
    <row r="233" spans="1:30">
      <c r="A233" s="460"/>
      <c r="B233" s="466" t="s">
        <v>93</v>
      </c>
      <c r="C233" s="487">
        <f>TempMWH!G8</f>
        <v>368.91442806296175</v>
      </c>
      <c r="D233" s="471"/>
      <c r="E233" s="468"/>
      <c r="F233" s="471"/>
      <c r="G233" s="468"/>
      <c r="H233" s="471"/>
      <c r="I233" s="468"/>
      <c r="K233" s="460"/>
      <c r="L233" s="466" t="s">
        <v>93</v>
      </c>
      <c r="M233" s="487">
        <f>TempMWH!L8</f>
        <v>2010.4481546707382</v>
      </c>
      <c r="O233" s="468"/>
      <c r="Q233" s="468"/>
      <c r="S233" s="468"/>
      <c r="T233" s="579"/>
      <c r="U233" s="460"/>
      <c r="V233" s="460"/>
      <c r="W233" s="462"/>
      <c r="X233" s="826"/>
      <c r="Y233" s="464"/>
      <c r="Z233" s="826"/>
      <c r="AA233" s="464"/>
      <c r="AB233" s="826"/>
      <c r="AC233" s="464"/>
      <c r="AD233" s="823"/>
    </row>
    <row r="234" spans="1:30">
      <c r="A234" s="460">
        <f t="shared" ref="A234:A235" si="304">A152</f>
        <v>43617</v>
      </c>
      <c r="B234" s="465">
        <v>1</v>
      </c>
      <c r="C234" s="479">
        <f>ROUND(C236*J$222,3)</f>
        <v>313.74900000000002</v>
      </c>
      <c r="D234" s="625">
        <f>D231</f>
        <v>0.11345217839999999</v>
      </c>
      <c r="E234" s="464">
        <f t="shared" ref="E234:I235" si="305">ROUND(D234*$C234*1000,2)</f>
        <v>35595.51</v>
      </c>
      <c r="F234" s="625">
        <f t="shared" ref="F234:F235" si="306">D234</f>
        <v>0.11345217839999999</v>
      </c>
      <c r="G234" s="464">
        <f t="shared" ref="G234:G235" si="307">ROUND(F234*$C234*1000,2)</f>
        <v>35595.51</v>
      </c>
      <c r="H234" s="625">
        <f t="shared" ref="H234:H235" si="308">F234</f>
        <v>0.11345217839999999</v>
      </c>
      <c r="I234" s="464">
        <f t="shared" si="305"/>
        <v>35595.51</v>
      </c>
      <c r="K234" s="460">
        <f t="shared" ref="K234:K235" si="309">A234</f>
        <v>43617</v>
      </c>
      <c r="L234" s="465">
        <v>1</v>
      </c>
      <c r="M234" s="479">
        <f>ROUND(M236*T$222,3)</f>
        <v>750.39200000000005</v>
      </c>
      <c r="N234" s="445">
        <f t="shared" ref="N234:N235" si="310">D234</f>
        <v>0.11345217839999999</v>
      </c>
      <c r="O234" s="464">
        <f t="shared" ref="O234:O235" si="311">ROUND(N234*$M234*1000,2)</f>
        <v>85133.61</v>
      </c>
      <c r="P234" s="445">
        <f t="shared" ref="P234:P235" si="312">F234</f>
        <v>0.11345217839999999</v>
      </c>
      <c r="Q234" s="464">
        <f t="shared" ref="Q234:Q235" si="313">ROUND(P234*$M234*1000,2)</f>
        <v>85133.61</v>
      </c>
      <c r="R234" s="445">
        <f t="shared" ref="R234:R235" si="314">H234</f>
        <v>0.11345217839999999</v>
      </c>
      <c r="S234" s="464">
        <f t="shared" ref="S234:S235" si="315">ROUND(R234*$M234*1000,2)</f>
        <v>85133.61</v>
      </c>
      <c r="T234" s="579"/>
      <c r="U234" s="460"/>
      <c r="V234" s="834"/>
      <c r="W234" s="829"/>
      <c r="X234" s="826"/>
      <c r="Y234" s="464"/>
      <c r="Z234" s="826"/>
      <c r="AA234" s="464"/>
      <c r="AB234" s="826"/>
      <c r="AC234" s="464"/>
      <c r="AD234" s="823"/>
    </row>
    <row r="235" spans="1:30">
      <c r="A235" s="460">
        <f t="shared" si="304"/>
        <v>43617</v>
      </c>
      <c r="B235" s="465">
        <v>2</v>
      </c>
      <c r="C235" s="479">
        <f>C236-C234</f>
        <v>211.86655266337561</v>
      </c>
      <c r="D235" s="471">
        <f>D232</f>
        <v>6.3605582699999996E-2</v>
      </c>
      <c r="E235" s="464">
        <f t="shared" si="305"/>
        <v>13475.9</v>
      </c>
      <c r="F235" s="625">
        <f t="shared" si="306"/>
        <v>6.3605582699999996E-2</v>
      </c>
      <c r="G235" s="464">
        <f t="shared" si="307"/>
        <v>13475.9</v>
      </c>
      <c r="H235" s="625">
        <f t="shared" si="308"/>
        <v>6.3605582699999996E-2</v>
      </c>
      <c r="I235" s="464">
        <f t="shared" si="305"/>
        <v>13475.9</v>
      </c>
      <c r="K235" s="460">
        <f t="shared" si="309"/>
        <v>43617</v>
      </c>
      <c r="L235" s="465">
        <v>2</v>
      </c>
      <c r="M235" s="479">
        <f>M236-M234</f>
        <v>749.72576666739269</v>
      </c>
      <c r="N235" s="445">
        <f t="shared" si="310"/>
        <v>6.3605582699999996E-2</v>
      </c>
      <c r="O235" s="464">
        <f t="shared" si="311"/>
        <v>47686.74</v>
      </c>
      <c r="P235" s="445">
        <f t="shared" si="312"/>
        <v>6.3605582699999996E-2</v>
      </c>
      <c r="Q235" s="464">
        <f t="shared" si="313"/>
        <v>47686.74</v>
      </c>
      <c r="R235" s="445">
        <f t="shared" si="314"/>
        <v>6.3605582699999996E-2</v>
      </c>
      <c r="S235" s="464">
        <f t="shared" si="315"/>
        <v>47686.74</v>
      </c>
      <c r="T235" s="579"/>
      <c r="U235" s="460"/>
      <c r="V235" s="834"/>
      <c r="W235" s="829"/>
      <c r="X235" s="826"/>
      <c r="Y235" s="464"/>
      <c r="Z235" s="826"/>
      <c r="AA235" s="464"/>
      <c r="AB235" s="826"/>
      <c r="AC235" s="464"/>
      <c r="AD235" s="823"/>
    </row>
    <row r="236" spans="1:30">
      <c r="A236" s="460"/>
      <c r="B236" s="460" t="s">
        <v>93</v>
      </c>
      <c r="C236" s="462">
        <f>TempMWH!G9</f>
        <v>525.61555266337564</v>
      </c>
      <c r="D236" s="473"/>
      <c r="E236" s="464"/>
      <c r="F236" s="473"/>
      <c r="G236" s="464"/>
      <c r="H236" s="473"/>
      <c r="I236" s="464"/>
      <c r="K236" s="460"/>
      <c r="L236" s="460" t="s">
        <v>93</v>
      </c>
      <c r="M236" s="462">
        <f>TempMWH!L9</f>
        <v>1500.1177666673927</v>
      </c>
      <c r="N236" s="473"/>
      <c r="O236" s="464"/>
      <c r="P236" s="473"/>
      <c r="Q236" s="464"/>
      <c r="R236" s="473"/>
      <c r="S236" s="464"/>
      <c r="T236" s="579"/>
      <c r="U236" s="460"/>
      <c r="V236" s="460"/>
      <c r="W236" s="462"/>
      <c r="X236" s="473"/>
      <c r="Y236" s="464"/>
      <c r="Z236" s="473"/>
      <c r="AA236" s="464"/>
      <c r="AB236" s="473"/>
      <c r="AC236" s="464"/>
      <c r="AD236" s="823"/>
    </row>
    <row r="237" spans="1:30">
      <c r="A237" s="460">
        <f t="shared" ref="A237:A238" si="316">A155</f>
        <v>43282</v>
      </c>
      <c r="B237" s="465">
        <v>1</v>
      </c>
      <c r="C237" s="479">
        <f>ROUND(C239*J$222,3)</f>
        <v>-160.417</v>
      </c>
      <c r="D237" s="625">
        <f>0.117336*(1+$X$17)</f>
        <v>0.11345217839999999</v>
      </c>
      <c r="E237" s="464">
        <f t="shared" ref="E237:I238" si="317">ROUND(D237*$C237*1000,2)</f>
        <v>-18199.66</v>
      </c>
      <c r="F237" s="625">
        <f>F234</f>
        <v>0.11345217839999999</v>
      </c>
      <c r="G237" s="464">
        <f t="shared" ref="G237:G238" si="318">ROUND(F237*$C237*1000,2)</f>
        <v>-18199.66</v>
      </c>
      <c r="H237" s="625">
        <f t="shared" ref="H237:H238" si="319">F237</f>
        <v>0.11345217839999999</v>
      </c>
      <c r="I237" s="464">
        <f t="shared" si="317"/>
        <v>-18199.66</v>
      </c>
      <c r="K237" s="460">
        <f t="shared" ref="K237:K238" si="320">A237</f>
        <v>43282</v>
      </c>
      <c r="L237" s="465">
        <v>1</v>
      </c>
      <c r="M237" s="479">
        <f>ROUND(M239*T$222,3)</f>
        <v>-625.42499999999995</v>
      </c>
      <c r="N237" s="445">
        <f t="shared" ref="N237:N238" si="321">D237</f>
        <v>0.11345217839999999</v>
      </c>
      <c r="O237" s="464">
        <f t="shared" ref="O237:O238" si="322">ROUND(N237*$M237*1000,2)</f>
        <v>-70955.83</v>
      </c>
      <c r="P237" s="445">
        <f t="shared" ref="P237:P238" si="323">F237</f>
        <v>0.11345217839999999</v>
      </c>
      <c r="Q237" s="464">
        <f t="shared" ref="Q237:Q238" si="324">ROUND(P237*$M237*1000,2)</f>
        <v>-70955.83</v>
      </c>
      <c r="R237" s="445">
        <f t="shared" ref="R237:R238" si="325">H237</f>
        <v>0.11345217839999999</v>
      </c>
      <c r="S237" s="464">
        <f t="shared" ref="S237:S238" si="326">ROUND(R237*$M237*1000,2)</f>
        <v>-70955.83</v>
      </c>
      <c r="T237" s="579"/>
      <c r="U237" s="460"/>
      <c r="V237" s="834"/>
      <c r="W237" s="829"/>
      <c r="X237" s="826"/>
      <c r="Y237" s="464"/>
      <c r="Z237" s="826"/>
      <c r="AA237" s="464"/>
      <c r="AB237" s="826"/>
      <c r="AC237" s="464"/>
      <c r="AD237" s="823"/>
    </row>
    <row r="238" spans="1:30">
      <c r="A238" s="460">
        <f t="shared" si="316"/>
        <v>43282</v>
      </c>
      <c r="B238" s="465">
        <v>2</v>
      </c>
      <c r="C238" s="479">
        <f>C239-C237</f>
        <v>-108.32556427490024</v>
      </c>
      <c r="D238" s="471">
        <f>0.065783*(1+$X$17)</f>
        <v>6.3605582699999996E-2</v>
      </c>
      <c r="E238" s="464">
        <f t="shared" si="317"/>
        <v>-6890.11</v>
      </c>
      <c r="F238" s="625">
        <f>F235</f>
        <v>6.3605582699999996E-2</v>
      </c>
      <c r="G238" s="464">
        <f t="shared" si="318"/>
        <v>-6890.11</v>
      </c>
      <c r="H238" s="625">
        <f t="shared" si="319"/>
        <v>6.3605582699999996E-2</v>
      </c>
      <c r="I238" s="464">
        <f t="shared" si="317"/>
        <v>-6890.11</v>
      </c>
      <c r="K238" s="460">
        <f t="shared" si="320"/>
        <v>43282</v>
      </c>
      <c r="L238" s="465">
        <v>2</v>
      </c>
      <c r="M238" s="479">
        <f>M239-M237</f>
        <v>-624.86934488876977</v>
      </c>
      <c r="N238" s="445">
        <f t="shared" si="321"/>
        <v>6.3605582699999996E-2</v>
      </c>
      <c r="O238" s="464">
        <f t="shared" si="322"/>
        <v>-39745.18</v>
      </c>
      <c r="P238" s="445">
        <f t="shared" si="323"/>
        <v>6.3605582699999996E-2</v>
      </c>
      <c r="Q238" s="464">
        <f t="shared" si="324"/>
        <v>-39745.18</v>
      </c>
      <c r="R238" s="445">
        <f t="shared" si="325"/>
        <v>6.3605582699999996E-2</v>
      </c>
      <c r="S238" s="464">
        <f t="shared" si="326"/>
        <v>-39745.18</v>
      </c>
      <c r="T238" s="579"/>
      <c r="U238" s="460"/>
      <c r="V238" s="834"/>
      <c r="W238" s="829"/>
      <c r="X238" s="826"/>
      <c r="Y238" s="464"/>
      <c r="Z238" s="826"/>
      <c r="AA238" s="464"/>
      <c r="AB238" s="826"/>
      <c r="AC238" s="464"/>
      <c r="AD238" s="823"/>
    </row>
    <row r="239" spans="1:30">
      <c r="A239" s="460"/>
      <c r="B239" s="466" t="s">
        <v>93</v>
      </c>
      <c r="C239" s="487">
        <f>TempMWH!G10</f>
        <v>-268.74256427490025</v>
      </c>
      <c r="E239" s="468"/>
      <c r="G239" s="468"/>
      <c r="I239" s="468"/>
      <c r="K239" s="460"/>
      <c r="L239" s="466" t="s">
        <v>93</v>
      </c>
      <c r="M239" s="487">
        <f>TempMWH!L10</f>
        <v>-1250.2943448887697</v>
      </c>
      <c r="O239" s="468"/>
      <c r="Q239" s="468"/>
      <c r="S239" s="468"/>
      <c r="T239" s="579"/>
      <c r="U239" s="460"/>
      <c r="V239" s="460"/>
      <c r="W239" s="462"/>
      <c r="X239" s="826"/>
      <c r="Y239" s="464"/>
      <c r="Z239" s="826"/>
      <c r="AA239" s="464"/>
      <c r="AB239" s="826"/>
      <c r="AC239" s="464"/>
      <c r="AD239" s="823"/>
    </row>
    <row r="240" spans="1:30">
      <c r="A240" s="460">
        <f t="shared" ref="A240:A241" si="327">A158</f>
        <v>43313</v>
      </c>
      <c r="B240" s="465">
        <v>1</v>
      </c>
      <c r="C240" s="479">
        <f>ROUND(C242*J$222,3)</f>
        <v>-362.28</v>
      </c>
      <c r="D240" s="625">
        <f>D237</f>
        <v>0.11345217839999999</v>
      </c>
      <c r="E240" s="464">
        <f t="shared" ref="E240:I241" si="328">ROUND(D240*$C240*1000,2)</f>
        <v>-41101.46</v>
      </c>
      <c r="F240" s="625">
        <f>F237</f>
        <v>0.11345217839999999</v>
      </c>
      <c r="G240" s="464">
        <f t="shared" ref="G240:G241" si="329">ROUND(F240*$C240*1000,2)</f>
        <v>-41101.46</v>
      </c>
      <c r="H240" s="625">
        <f t="shared" ref="H240:H241" si="330">F240</f>
        <v>0.11345217839999999</v>
      </c>
      <c r="I240" s="464">
        <f t="shared" si="328"/>
        <v>-41101.46</v>
      </c>
      <c r="K240" s="460">
        <f t="shared" ref="K240:K241" si="331">A240</f>
        <v>43313</v>
      </c>
      <c r="L240" s="465">
        <v>1</v>
      </c>
      <c r="M240" s="479">
        <f>ROUND(M242*T$222,3)</f>
        <v>-1667.5709999999999</v>
      </c>
      <c r="N240" s="445">
        <f t="shared" ref="N240:N241" si="332">D240</f>
        <v>0.11345217839999999</v>
      </c>
      <c r="O240" s="464">
        <f t="shared" ref="O240:O241" si="333">ROUND(N240*$M240*1000,2)</f>
        <v>-189189.56</v>
      </c>
      <c r="P240" s="445">
        <f t="shared" ref="P240:P241" si="334">F240</f>
        <v>0.11345217839999999</v>
      </c>
      <c r="Q240" s="464">
        <f t="shared" ref="Q240:Q241" si="335">ROUND(P240*$M240*1000,2)</f>
        <v>-189189.56</v>
      </c>
      <c r="R240" s="445">
        <f t="shared" ref="R240:R241" si="336">H240</f>
        <v>0.11345217839999999</v>
      </c>
      <c r="S240" s="464">
        <f t="shared" ref="S240:S241" si="337">ROUND(R240*$M240*1000,2)</f>
        <v>-189189.56</v>
      </c>
      <c r="T240" s="579"/>
      <c r="U240" s="460"/>
      <c r="V240" s="834"/>
      <c r="W240" s="829"/>
      <c r="X240" s="826"/>
      <c r="Y240" s="464"/>
      <c r="Z240" s="826"/>
      <c r="AA240" s="464"/>
      <c r="AB240" s="826"/>
      <c r="AC240" s="464"/>
      <c r="AD240" s="823"/>
    </row>
    <row r="241" spans="1:30">
      <c r="A241" s="460">
        <f t="shared" si="327"/>
        <v>43313</v>
      </c>
      <c r="B241" s="465">
        <v>2</v>
      </c>
      <c r="C241" s="479">
        <f>C242-C240</f>
        <v>-244.63949542031276</v>
      </c>
      <c r="D241" s="471">
        <f>D238</f>
        <v>6.3605582699999996E-2</v>
      </c>
      <c r="E241" s="464">
        <f t="shared" si="328"/>
        <v>-15560.44</v>
      </c>
      <c r="F241" s="625">
        <f>F238</f>
        <v>6.3605582699999996E-2</v>
      </c>
      <c r="G241" s="464">
        <f t="shared" si="329"/>
        <v>-15560.44</v>
      </c>
      <c r="H241" s="625">
        <f t="shared" si="330"/>
        <v>6.3605582699999996E-2</v>
      </c>
      <c r="I241" s="464">
        <f t="shared" si="328"/>
        <v>-15560.44</v>
      </c>
      <c r="K241" s="460">
        <f t="shared" si="331"/>
        <v>43313</v>
      </c>
      <c r="L241" s="465">
        <v>2</v>
      </c>
      <c r="M241" s="479">
        <f>M242-M240</f>
        <v>-1666.090362823948</v>
      </c>
      <c r="N241" s="445">
        <f t="shared" si="332"/>
        <v>6.3605582699999996E-2</v>
      </c>
      <c r="O241" s="464">
        <f t="shared" si="333"/>
        <v>-105972.65</v>
      </c>
      <c r="P241" s="445">
        <f t="shared" si="334"/>
        <v>6.3605582699999996E-2</v>
      </c>
      <c r="Q241" s="464">
        <f t="shared" si="335"/>
        <v>-105972.65</v>
      </c>
      <c r="R241" s="445">
        <f t="shared" si="336"/>
        <v>6.3605582699999996E-2</v>
      </c>
      <c r="S241" s="464">
        <f t="shared" si="337"/>
        <v>-105972.65</v>
      </c>
      <c r="T241" s="579"/>
      <c r="U241" s="460"/>
      <c r="V241" s="834"/>
      <c r="W241" s="829"/>
      <c r="X241" s="826"/>
      <c r="Y241" s="464"/>
      <c r="Z241" s="826"/>
      <c r="AA241" s="464"/>
      <c r="AB241" s="826"/>
      <c r="AC241" s="464"/>
      <c r="AD241" s="823"/>
    </row>
    <row r="242" spans="1:30">
      <c r="A242" s="460"/>
      <c r="B242" s="466" t="s">
        <v>93</v>
      </c>
      <c r="C242" s="487">
        <f>TempMWH!G11</f>
        <v>-606.91949542031273</v>
      </c>
      <c r="E242" s="468"/>
      <c r="G242" s="468"/>
      <c r="I242" s="468"/>
      <c r="K242" s="460"/>
      <c r="L242" s="466" t="s">
        <v>93</v>
      </c>
      <c r="M242" s="487">
        <f>TempMWH!L11</f>
        <v>-3333.6613628239479</v>
      </c>
      <c r="O242" s="468"/>
      <c r="Q242" s="468"/>
      <c r="S242" s="468"/>
      <c r="T242" s="579"/>
      <c r="U242" s="460"/>
      <c r="V242" s="460"/>
      <c r="W242" s="462"/>
      <c r="X242" s="826"/>
      <c r="Y242" s="464"/>
      <c r="Z242" s="826"/>
      <c r="AA242" s="464"/>
      <c r="AB242" s="826"/>
      <c r="AC242" s="464"/>
      <c r="AD242" s="823"/>
    </row>
    <row r="243" spans="1:30">
      <c r="A243" s="460">
        <f t="shared" ref="A243:A244" si="338">A161</f>
        <v>43344</v>
      </c>
      <c r="B243" s="465">
        <v>1</v>
      </c>
      <c r="C243" s="479">
        <f>ROUND(C245*J$222,3)</f>
        <v>-194.99100000000001</v>
      </c>
      <c r="D243" s="625">
        <f>D237</f>
        <v>0.11345217839999999</v>
      </c>
      <c r="E243" s="464">
        <f t="shared" ref="E243:I244" si="339">ROUND(D243*$C243*1000,2)</f>
        <v>-22122.15</v>
      </c>
      <c r="F243" s="625">
        <f>F240</f>
        <v>0.11345217839999999</v>
      </c>
      <c r="G243" s="464">
        <f t="shared" ref="G243:G244" si="340">ROUND(F243*$C243*1000,2)</f>
        <v>-22122.15</v>
      </c>
      <c r="H243" s="625">
        <f t="shared" ref="H243:H244" si="341">F243</f>
        <v>0.11345217839999999</v>
      </c>
      <c r="I243" s="464">
        <f t="shared" si="339"/>
        <v>-22122.15</v>
      </c>
      <c r="K243" s="460">
        <f t="shared" ref="K243:K244" si="342">A243</f>
        <v>43344</v>
      </c>
      <c r="L243" s="465">
        <v>1</v>
      </c>
      <c r="M243" s="479">
        <f>ROUND(M245*T$222,3)</f>
        <v>-503.31</v>
      </c>
      <c r="N243" s="445">
        <f t="shared" ref="N243:N244" si="343">D243</f>
        <v>0.11345217839999999</v>
      </c>
      <c r="O243" s="464">
        <f t="shared" ref="O243:O244" si="344">ROUND(N243*$M243*1000,2)</f>
        <v>-57101.62</v>
      </c>
      <c r="P243" s="445">
        <f t="shared" ref="P243:P244" si="345">F243</f>
        <v>0.11345217839999999</v>
      </c>
      <c r="Q243" s="464">
        <f t="shared" ref="Q243:Q244" si="346">ROUND(P243*$M243*1000,2)</f>
        <v>-57101.62</v>
      </c>
      <c r="R243" s="445">
        <f t="shared" ref="R243:R244" si="347">H243</f>
        <v>0.11345217839999999</v>
      </c>
      <c r="S243" s="464">
        <f t="shared" ref="S243:S244" si="348">ROUND(R243*$M243*1000,2)</f>
        <v>-57101.62</v>
      </c>
      <c r="T243" s="579"/>
      <c r="U243" s="460"/>
      <c r="V243" s="834"/>
      <c r="W243" s="829"/>
      <c r="X243" s="826"/>
      <c r="Y243" s="464"/>
      <c r="Z243" s="826"/>
      <c r="AA243" s="464"/>
      <c r="AB243" s="826"/>
      <c r="AC243" s="464"/>
      <c r="AD243" s="823"/>
    </row>
    <row r="244" spans="1:30">
      <c r="A244" s="460">
        <f t="shared" si="338"/>
        <v>43344</v>
      </c>
      <c r="B244" s="465">
        <v>2</v>
      </c>
      <c r="C244" s="479">
        <f>C245-C243</f>
        <v>-131.67263881009623</v>
      </c>
      <c r="D244" s="471">
        <f>D238</f>
        <v>6.3605582699999996E-2</v>
      </c>
      <c r="E244" s="464">
        <f t="shared" si="339"/>
        <v>-8375.11</v>
      </c>
      <c r="F244" s="625">
        <f>F241</f>
        <v>6.3605582699999996E-2</v>
      </c>
      <c r="G244" s="464">
        <f t="shared" si="340"/>
        <v>-8375.11</v>
      </c>
      <c r="H244" s="625">
        <f t="shared" si="341"/>
        <v>6.3605582699999996E-2</v>
      </c>
      <c r="I244" s="464">
        <f t="shared" si="339"/>
        <v>-8375.11</v>
      </c>
      <c r="J244" s="458"/>
      <c r="K244" s="460">
        <f t="shared" si="342"/>
        <v>43344</v>
      </c>
      <c r="L244" s="465">
        <v>2</v>
      </c>
      <c r="M244" s="479">
        <f>M245-M243</f>
        <v>-502.86354936388892</v>
      </c>
      <c r="N244" s="445">
        <f t="shared" si="343"/>
        <v>6.3605582699999996E-2</v>
      </c>
      <c r="O244" s="464">
        <f t="shared" si="344"/>
        <v>-31984.93</v>
      </c>
      <c r="P244" s="445">
        <f t="shared" si="345"/>
        <v>6.3605582699999996E-2</v>
      </c>
      <c r="Q244" s="464">
        <f t="shared" si="346"/>
        <v>-31984.93</v>
      </c>
      <c r="R244" s="445">
        <f t="shared" si="347"/>
        <v>6.3605582699999996E-2</v>
      </c>
      <c r="S244" s="464">
        <f t="shared" si="348"/>
        <v>-31984.93</v>
      </c>
      <c r="T244" s="579"/>
      <c r="U244" s="460"/>
      <c r="V244" s="834"/>
      <c r="W244" s="829"/>
      <c r="X244" s="826"/>
      <c r="Y244" s="464"/>
      <c r="Z244" s="826"/>
      <c r="AA244" s="464"/>
      <c r="AB244" s="826"/>
      <c r="AC244" s="464"/>
      <c r="AD244" s="823"/>
    </row>
    <row r="245" spans="1:30">
      <c r="A245" s="460"/>
      <c r="B245" s="466" t="s">
        <v>93</v>
      </c>
      <c r="C245" s="462">
        <f>TempMWH!G12</f>
        <v>-326.66363881009624</v>
      </c>
      <c r="E245" s="468"/>
      <c r="G245" s="468"/>
      <c r="I245" s="468"/>
      <c r="K245" s="460"/>
      <c r="L245" s="466" t="s">
        <v>93</v>
      </c>
      <c r="M245" s="462">
        <f>TempMWH!L12</f>
        <v>-1006.1735493638889</v>
      </c>
      <c r="O245" s="468"/>
      <c r="Q245" s="468"/>
      <c r="S245" s="468"/>
      <c r="T245" s="579"/>
      <c r="U245" s="460"/>
      <c r="V245" s="460"/>
      <c r="W245" s="462"/>
      <c r="X245" s="826"/>
      <c r="Y245" s="464"/>
      <c r="Z245" s="826"/>
      <c r="AA245" s="464"/>
      <c r="AB245" s="826"/>
      <c r="AC245" s="464"/>
      <c r="AD245" s="823"/>
    </row>
    <row r="246" spans="1:30">
      <c r="A246" s="460">
        <f t="shared" ref="A246:A247" si="349">A164</f>
        <v>43374</v>
      </c>
      <c r="B246" s="465">
        <v>1</v>
      </c>
      <c r="C246" s="479">
        <f>ROUND(C248*J$224,3)</f>
        <v>-204.77600000000001</v>
      </c>
      <c r="D246" s="625">
        <f>0.108*(1+$X$17)</f>
        <v>0.1044252</v>
      </c>
      <c r="E246" s="464">
        <f t="shared" ref="E246:I247" si="350">ROUND(D246*$C246*1000,2)</f>
        <v>-21383.77</v>
      </c>
      <c r="F246" s="625">
        <f>F219</f>
        <v>0.1044252</v>
      </c>
      <c r="G246" s="464">
        <f t="shared" ref="G246:G247" si="351">ROUND(F246*$C246*1000,2)</f>
        <v>-21383.77</v>
      </c>
      <c r="H246" s="625">
        <f t="shared" ref="H246:H247" si="352">F246</f>
        <v>0.1044252</v>
      </c>
      <c r="I246" s="464">
        <f t="shared" si="350"/>
        <v>-21383.77</v>
      </c>
      <c r="J246" s="458"/>
      <c r="K246" s="460">
        <f t="shared" ref="K246:K247" si="353">A246</f>
        <v>43374</v>
      </c>
      <c r="L246" s="465">
        <v>1</v>
      </c>
      <c r="M246" s="479">
        <f>ROUND(M248*T$224,3)</f>
        <v>318.56900000000002</v>
      </c>
      <c r="N246" s="445">
        <f t="shared" ref="N246:N247" si="354">D246</f>
        <v>0.1044252</v>
      </c>
      <c r="O246" s="464">
        <f t="shared" ref="O246:O247" si="355">ROUND(N246*$M246*1000,2)</f>
        <v>33266.629999999997</v>
      </c>
      <c r="P246" s="445">
        <f t="shared" ref="P246:P247" si="356">F246</f>
        <v>0.1044252</v>
      </c>
      <c r="Q246" s="464">
        <f t="shared" ref="Q246:Q247" si="357">ROUND(P246*$M246*1000,2)</f>
        <v>33266.629999999997</v>
      </c>
      <c r="R246" s="445">
        <f t="shared" ref="R246:R247" si="358">H246</f>
        <v>0.1044252</v>
      </c>
      <c r="S246" s="464">
        <f t="shared" ref="S246:S247" si="359">ROUND(R246*$M246*1000,2)</f>
        <v>33266.629999999997</v>
      </c>
      <c r="T246" s="458"/>
      <c r="U246" s="460"/>
      <c r="V246" s="834"/>
      <c r="W246" s="829"/>
      <c r="X246" s="826"/>
      <c r="Y246" s="464"/>
      <c r="Z246" s="826"/>
      <c r="AA246" s="464"/>
      <c r="AB246" s="826"/>
      <c r="AC246" s="464"/>
      <c r="AD246" s="825"/>
    </row>
    <row r="247" spans="1:30">
      <c r="A247" s="460">
        <f t="shared" si="349"/>
        <v>43374</v>
      </c>
      <c r="B247" s="465">
        <v>2</v>
      </c>
      <c r="C247" s="479">
        <f>C248-C246</f>
        <v>-138.87246685931427</v>
      </c>
      <c r="D247" s="471">
        <f>0.060567*(1+$X$17)</f>
        <v>5.8562232300000003E-2</v>
      </c>
      <c r="E247" s="464">
        <f t="shared" si="350"/>
        <v>-8132.68</v>
      </c>
      <c r="F247" s="625">
        <f>F220</f>
        <v>5.8562232300000003E-2</v>
      </c>
      <c r="G247" s="464">
        <f t="shared" si="351"/>
        <v>-8132.68</v>
      </c>
      <c r="H247" s="625">
        <f t="shared" si="352"/>
        <v>5.8562232300000003E-2</v>
      </c>
      <c r="I247" s="464">
        <f t="shared" si="350"/>
        <v>-8132.68</v>
      </c>
      <c r="J247" s="458"/>
      <c r="K247" s="460">
        <f t="shared" si="353"/>
        <v>43374</v>
      </c>
      <c r="L247" s="465">
        <v>2</v>
      </c>
      <c r="M247" s="479">
        <f>M248-M246</f>
        <v>261.3925340376814</v>
      </c>
      <c r="N247" s="445">
        <f t="shared" si="354"/>
        <v>5.8562232300000003E-2</v>
      </c>
      <c r="O247" s="464">
        <f t="shared" si="355"/>
        <v>15307.73</v>
      </c>
      <c r="P247" s="445">
        <f t="shared" si="356"/>
        <v>5.8562232300000003E-2</v>
      </c>
      <c r="Q247" s="464">
        <f t="shared" si="357"/>
        <v>15307.73</v>
      </c>
      <c r="R247" s="445">
        <f t="shared" si="358"/>
        <v>5.8562232300000003E-2</v>
      </c>
      <c r="S247" s="464">
        <f t="shared" si="359"/>
        <v>15307.73</v>
      </c>
      <c r="T247" s="458"/>
      <c r="U247" s="460"/>
      <c r="V247" s="834"/>
      <c r="W247" s="829"/>
      <c r="X247" s="826"/>
      <c r="Y247" s="464"/>
      <c r="Z247" s="826"/>
      <c r="AA247" s="464"/>
      <c r="AB247" s="826"/>
      <c r="AC247" s="464"/>
      <c r="AD247" s="825"/>
    </row>
    <row r="248" spans="1:30">
      <c r="A248" s="460"/>
      <c r="B248" s="466" t="s">
        <v>93</v>
      </c>
      <c r="C248" s="487">
        <f>TempMWH!G13</f>
        <v>-343.64846685931428</v>
      </c>
      <c r="E248" s="468"/>
      <c r="G248" s="468"/>
      <c r="I248" s="468"/>
      <c r="J248" s="458"/>
      <c r="K248" s="460"/>
      <c r="L248" s="466" t="s">
        <v>93</v>
      </c>
      <c r="M248" s="487">
        <f>TempMWH!L13</f>
        <v>579.96153403768142</v>
      </c>
      <c r="O248" s="468"/>
      <c r="Q248" s="468"/>
      <c r="S248" s="468"/>
      <c r="T248" s="458"/>
      <c r="U248" s="460"/>
      <c r="V248" s="460"/>
      <c r="W248" s="462"/>
      <c r="X248" s="826"/>
      <c r="Y248" s="464"/>
      <c r="Z248" s="826"/>
      <c r="AA248" s="464"/>
      <c r="AB248" s="826"/>
      <c r="AC248" s="464"/>
      <c r="AD248" s="825"/>
    </row>
    <row r="249" spans="1:30">
      <c r="A249" s="460">
        <f t="shared" ref="A249:A250" si="360">A167</f>
        <v>43405</v>
      </c>
      <c r="B249" s="465">
        <v>1</v>
      </c>
      <c r="C249" s="479">
        <f>ROUND(C251*J$224,3)</f>
        <v>22.698</v>
      </c>
      <c r="D249" s="625">
        <f>$D$246</f>
        <v>0.1044252</v>
      </c>
      <c r="E249" s="464">
        <f t="shared" ref="E249:I250" si="361">ROUND(D249*$C249*1000,2)</f>
        <v>2370.2399999999998</v>
      </c>
      <c r="F249" s="625">
        <f t="shared" ref="F249:F250" si="362">F222</f>
        <v>0.1044252</v>
      </c>
      <c r="G249" s="464">
        <f t="shared" ref="G249:G250" si="363">ROUND(F249*$C249*1000,2)</f>
        <v>2370.2399999999998</v>
      </c>
      <c r="H249" s="625">
        <f t="shared" ref="H249:H250" si="364">F249</f>
        <v>0.1044252</v>
      </c>
      <c r="I249" s="464">
        <f t="shared" si="361"/>
        <v>2370.2399999999998</v>
      </c>
      <c r="J249" s="458"/>
      <c r="K249" s="460">
        <f t="shared" ref="K249:K250" si="365">A249</f>
        <v>43405</v>
      </c>
      <c r="L249" s="465">
        <v>1</v>
      </c>
      <c r="M249" s="479">
        <f>ROUND(M251*T$224,3)</f>
        <v>355.85599999999999</v>
      </c>
      <c r="N249" s="445">
        <f t="shared" ref="N249:N250" si="366">D249</f>
        <v>0.1044252</v>
      </c>
      <c r="O249" s="464">
        <f t="shared" ref="O249:O250" si="367">ROUND(N249*$M249*1000,2)</f>
        <v>37160.33</v>
      </c>
      <c r="P249" s="445">
        <f t="shared" ref="P249:P250" si="368">F249</f>
        <v>0.1044252</v>
      </c>
      <c r="Q249" s="464">
        <f t="shared" ref="Q249:Q250" si="369">ROUND(P249*$M249*1000,2)</f>
        <v>37160.33</v>
      </c>
      <c r="R249" s="445">
        <f t="shared" ref="R249:R250" si="370">H249</f>
        <v>0.1044252</v>
      </c>
      <c r="S249" s="464">
        <f t="shared" ref="S249:S250" si="371">ROUND(R249*$M249*1000,2)</f>
        <v>37160.33</v>
      </c>
      <c r="T249" s="458"/>
      <c r="U249" s="460"/>
      <c r="V249" s="834"/>
      <c r="W249" s="829"/>
      <c r="X249" s="826"/>
      <c r="Y249" s="464"/>
      <c r="Z249" s="826"/>
      <c r="AA249" s="464"/>
      <c r="AB249" s="826"/>
      <c r="AC249" s="464"/>
      <c r="AD249" s="825"/>
    </row>
    <row r="250" spans="1:30">
      <c r="A250" s="460">
        <f t="shared" si="360"/>
        <v>43405</v>
      </c>
      <c r="B250" s="465">
        <v>2</v>
      </c>
      <c r="C250" s="479">
        <f>C251-C249</f>
        <v>15.392502429689578</v>
      </c>
      <c r="D250" s="471">
        <f>$D$247</f>
        <v>5.8562232300000003E-2</v>
      </c>
      <c r="E250" s="464">
        <f t="shared" si="361"/>
        <v>901.42</v>
      </c>
      <c r="F250" s="625">
        <f t="shared" si="362"/>
        <v>5.8562232300000003E-2</v>
      </c>
      <c r="G250" s="464">
        <f t="shared" si="363"/>
        <v>901.42</v>
      </c>
      <c r="H250" s="625">
        <f t="shared" si="364"/>
        <v>5.8562232300000003E-2</v>
      </c>
      <c r="I250" s="464">
        <f t="shared" si="361"/>
        <v>901.42</v>
      </c>
      <c r="J250" s="458"/>
      <c r="K250" s="460">
        <f t="shared" si="365"/>
        <v>43405</v>
      </c>
      <c r="L250" s="465">
        <v>2</v>
      </c>
      <c r="M250" s="479">
        <f>M251-M249</f>
        <v>291.98633820384282</v>
      </c>
      <c r="N250" s="445">
        <f t="shared" si="366"/>
        <v>5.8562232300000003E-2</v>
      </c>
      <c r="O250" s="464">
        <f t="shared" si="367"/>
        <v>17099.37</v>
      </c>
      <c r="P250" s="445">
        <f t="shared" si="368"/>
        <v>5.8562232300000003E-2</v>
      </c>
      <c r="Q250" s="464">
        <f t="shared" si="369"/>
        <v>17099.37</v>
      </c>
      <c r="R250" s="445">
        <f t="shared" si="370"/>
        <v>5.8562232300000003E-2</v>
      </c>
      <c r="S250" s="464">
        <f t="shared" si="371"/>
        <v>17099.37</v>
      </c>
      <c r="T250" s="458"/>
      <c r="U250" s="460"/>
      <c r="V250" s="834"/>
      <c r="W250" s="829"/>
      <c r="X250" s="826"/>
      <c r="Y250" s="464"/>
      <c r="Z250" s="826"/>
      <c r="AA250" s="464"/>
      <c r="AB250" s="826"/>
      <c r="AC250" s="464"/>
      <c r="AD250" s="825"/>
    </row>
    <row r="251" spans="1:30">
      <c r="A251" s="460"/>
      <c r="B251" s="466" t="s">
        <v>93</v>
      </c>
      <c r="C251" s="487">
        <f>TempMWH!G14</f>
        <v>38.090502429689579</v>
      </c>
      <c r="E251" s="468"/>
      <c r="G251" s="468"/>
      <c r="I251" s="468"/>
      <c r="K251" s="460"/>
      <c r="L251" s="466" t="s">
        <v>93</v>
      </c>
      <c r="M251" s="487">
        <f>TempMWH!L14</f>
        <v>647.84233820384281</v>
      </c>
      <c r="O251" s="468"/>
      <c r="Q251" s="468"/>
      <c r="S251" s="468"/>
      <c r="T251" s="579"/>
      <c r="U251" s="460"/>
      <c r="V251" s="460"/>
      <c r="W251" s="462"/>
      <c r="X251" s="826"/>
      <c r="Y251" s="464"/>
      <c r="Z251" s="826"/>
      <c r="AA251" s="464"/>
      <c r="AB251" s="826"/>
      <c r="AC251" s="464"/>
      <c r="AD251" s="823"/>
    </row>
    <row r="252" spans="1:30">
      <c r="A252" s="460">
        <f t="shared" ref="A252:A253" si="372">A170</f>
        <v>43435</v>
      </c>
      <c r="B252" s="465">
        <v>1</v>
      </c>
      <c r="C252" s="479">
        <f>ROUND(C254*J$224,3)</f>
        <v>192.5</v>
      </c>
      <c r="D252" s="625">
        <f>$D$246</f>
        <v>0.1044252</v>
      </c>
      <c r="E252" s="464">
        <f t="shared" ref="E252:I253" si="373">ROUND(D252*$C252*1000,2)</f>
        <v>20101.849999999999</v>
      </c>
      <c r="F252" s="625">
        <f t="shared" ref="F252:F253" si="374">F225</f>
        <v>0.1044252</v>
      </c>
      <c r="G252" s="464">
        <f t="shared" ref="G252:G253" si="375">ROUND(F252*$C252*1000,2)</f>
        <v>20101.849999999999</v>
      </c>
      <c r="H252" s="625">
        <f t="shared" ref="H252:H253" si="376">F252</f>
        <v>0.1044252</v>
      </c>
      <c r="I252" s="464">
        <f t="shared" si="373"/>
        <v>20101.849999999999</v>
      </c>
      <c r="J252" s="458"/>
      <c r="K252" s="460">
        <f t="shared" ref="K252:K253" si="377">A252</f>
        <v>43435</v>
      </c>
      <c r="L252" s="465">
        <v>1</v>
      </c>
      <c r="M252" s="479">
        <f>ROUND(M254*T$224,3)</f>
        <v>571.40099999999995</v>
      </c>
      <c r="N252" s="445">
        <f t="shared" ref="N252:N253" si="378">D252</f>
        <v>0.1044252</v>
      </c>
      <c r="O252" s="464">
        <f t="shared" ref="O252:O253" si="379">ROUND(N252*$M252*1000,2)</f>
        <v>59668.66</v>
      </c>
      <c r="P252" s="445">
        <f t="shared" ref="P252:P253" si="380">F252</f>
        <v>0.1044252</v>
      </c>
      <c r="Q252" s="464">
        <f t="shared" ref="Q252:Q253" si="381">ROUND(P252*$M252*1000,2)</f>
        <v>59668.66</v>
      </c>
      <c r="R252" s="445">
        <f t="shared" ref="R252:R253" si="382">H252</f>
        <v>0.1044252</v>
      </c>
      <c r="S252" s="464">
        <f t="shared" ref="S252:S253" si="383">ROUND(R252*$M252*1000,2)</f>
        <v>59668.66</v>
      </c>
      <c r="T252" s="458"/>
      <c r="U252" s="460"/>
      <c r="V252" s="834"/>
      <c r="W252" s="829"/>
      <c r="X252" s="826"/>
      <c r="Y252" s="464"/>
      <c r="Z252" s="826"/>
      <c r="AA252" s="464"/>
      <c r="AB252" s="826"/>
      <c r="AC252" s="464"/>
      <c r="AD252" s="825"/>
    </row>
    <row r="253" spans="1:30">
      <c r="A253" s="460">
        <f t="shared" si="372"/>
        <v>43435</v>
      </c>
      <c r="B253" s="465">
        <v>2</v>
      </c>
      <c r="C253" s="479">
        <f>C254-C252</f>
        <v>130.54608162780193</v>
      </c>
      <c r="D253" s="471">
        <f>$D$247</f>
        <v>5.8562232300000003E-2</v>
      </c>
      <c r="E253" s="464">
        <f t="shared" si="373"/>
        <v>7645.07</v>
      </c>
      <c r="F253" s="625">
        <f t="shared" si="374"/>
        <v>5.8562232300000003E-2</v>
      </c>
      <c r="G253" s="464">
        <f t="shared" si="375"/>
        <v>7645.07</v>
      </c>
      <c r="H253" s="625">
        <f t="shared" si="376"/>
        <v>5.8562232300000003E-2</v>
      </c>
      <c r="I253" s="464">
        <f t="shared" si="373"/>
        <v>7645.07</v>
      </c>
      <c r="J253" s="458"/>
      <c r="K253" s="460">
        <f t="shared" si="377"/>
        <v>43435</v>
      </c>
      <c r="L253" s="465">
        <v>2</v>
      </c>
      <c r="M253" s="479">
        <f>M254-M252</f>
        <v>468.84586476382708</v>
      </c>
      <c r="N253" s="445">
        <f t="shared" si="378"/>
        <v>5.8562232300000003E-2</v>
      </c>
      <c r="O253" s="464">
        <f t="shared" si="379"/>
        <v>27456.66</v>
      </c>
      <c r="P253" s="445">
        <f t="shared" si="380"/>
        <v>5.8562232300000003E-2</v>
      </c>
      <c r="Q253" s="464">
        <f t="shared" si="381"/>
        <v>27456.66</v>
      </c>
      <c r="R253" s="445">
        <f t="shared" si="382"/>
        <v>5.8562232300000003E-2</v>
      </c>
      <c r="S253" s="464">
        <f t="shared" si="383"/>
        <v>27456.66</v>
      </c>
      <c r="T253" s="458"/>
      <c r="U253" s="460"/>
      <c r="V253" s="834"/>
      <c r="W253" s="829"/>
      <c r="X253" s="826"/>
      <c r="Y253" s="464"/>
      <c r="Z253" s="826"/>
      <c r="AA253" s="464"/>
      <c r="AB253" s="826"/>
      <c r="AC253" s="464"/>
      <c r="AD253" s="825"/>
    </row>
    <row r="254" spans="1:30">
      <c r="A254" s="474"/>
      <c r="B254" s="474" t="s">
        <v>93</v>
      </c>
      <c r="C254" s="476">
        <f>TempMWH!G15</f>
        <v>323.04608162780193</v>
      </c>
      <c r="D254" s="481"/>
      <c r="E254" s="478"/>
      <c r="F254" s="481"/>
      <c r="G254" s="478"/>
      <c r="H254" s="481"/>
      <c r="I254" s="478"/>
      <c r="J254" s="458"/>
      <c r="K254" s="474"/>
      <c r="L254" s="474" t="s">
        <v>93</v>
      </c>
      <c r="M254" s="476">
        <f>TempMWH!L15</f>
        <v>1040.246864763827</v>
      </c>
      <c r="N254" s="481"/>
      <c r="O254" s="478"/>
      <c r="P254" s="481"/>
      <c r="Q254" s="478"/>
      <c r="R254" s="481"/>
      <c r="S254" s="478"/>
      <c r="T254" s="458"/>
      <c r="U254" s="460"/>
      <c r="V254" s="460"/>
      <c r="W254" s="462"/>
      <c r="X254" s="826"/>
      <c r="Y254" s="464"/>
      <c r="Z254" s="826"/>
      <c r="AA254" s="464"/>
      <c r="AB254" s="826"/>
      <c r="AC254" s="464"/>
      <c r="AD254" s="825"/>
    </row>
    <row r="255" spans="1:30">
      <c r="A255" s="449" t="s">
        <v>93</v>
      </c>
      <c r="B255" s="449"/>
      <c r="C255" s="479">
        <f>SUM(C219:C220,C222:C223,C225:C226,C228:C229,C231:C232,C234:C235,C237:C238,C240:C241,C243:C244,C246:C247,C249:C250,C252:C253)</f>
        <v>-225.18510481482969</v>
      </c>
      <c r="D255" s="449"/>
      <c r="E255" s="468">
        <f>SUM(E219:E220,E222:E223,E225:E226,E228:E229,E231:E232,E234:E235,E237:E238,E240:E241,E243:E244,E246:E247,E249:E250,E252:E253)</f>
        <v>-21640.120000000024</v>
      </c>
      <c r="F255" s="449"/>
      <c r="G255" s="468">
        <f>SUM(G219:G220,G222:G223,G225:G226,G228:G229,G231:G232,G234:G235,G237:G238,G240:G241,G243:G244,G246:G247,G249:G250,G252:G253)</f>
        <v>-21640.120000000024</v>
      </c>
      <c r="H255" s="449"/>
      <c r="I255" s="468">
        <f>SUM(I219:I220,I222:I223,I225:I226,I228:I229,I231:I232,I234:I235,I237:I238,I240:I241,I243:I244,I246:I247,I249:I250,I252:I253)</f>
        <v>-21640.120000000024</v>
      </c>
      <c r="J255" s="458"/>
      <c r="K255" s="449" t="s">
        <v>93</v>
      </c>
      <c r="L255" s="449"/>
      <c r="M255" s="479">
        <f>SUM(M219:M220,M222:M223,M225:M226,M228:M229,M231:M232,M234:M235,M237:M238,M240:M241,M243:M244,M246:M247,M249:M250,M252:M253)</f>
        <v>687.55424223166176</v>
      </c>
      <c r="N255" s="449"/>
      <c r="O255" s="468">
        <f>SUM(O219:O220,O222:O223,O225:O226,O228:O229,O231:O232,O234:O235,O237:O238,O240:O241,O243:O244,O246:O247,O249:O250,O252:O253)</f>
        <v>47633.959999999992</v>
      </c>
      <c r="P255" s="449"/>
      <c r="Q255" s="468">
        <f>SUM(Q219:Q220,Q222:Q223,Q225:Q226,Q228:Q229,Q231:Q232,Q234:Q235,Q237:Q238,Q240:Q241,Q243:Q244,Q246:Q247,Q249:Q250,Q252:Q253)</f>
        <v>47633.959999999992</v>
      </c>
      <c r="R255" s="449"/>
      <c r="S255" s="468">
        <f>SUM(S219:S220,S222:S223,S225:S226,S228:S229,S231:S232,S234:S235,S237:S238,S240:S241,S243:S244,S246:S247,S249:S250,S252:S253)</f>
        <v>47633.959999999992</v>
      </c>
      <c r="T255" s="458"/>
      <c r="U255" s="473"/>
      <c r="V255" s="473"/>
      <c r="W255" s="829"/>
      <c r="X255" s="473"/>
      <c r="Y255" s="464"/>
      <c r="Z255" s="473"/>
      <c r="AA255" s="464"/>
      <c r="AB255" s="473"/>
      <c r="AC255" s="464"/>
      <c r="AD255" s="825"/>
    </row>
    <row r="256" spans="1:30">
      <c r="A256" s="449"/>
      <c r="B256" s="449"/>
      <c r="C256" s="479"/>
      <c r="D256" s="449"/>
      <c r="E256" s="468"/>
      <c r="F256" s="449"/>
      <c r="G256" s="468"/>
      <c r="H256" s="449"/>
      <c r="I256" s="468"/>
      <c r="J256" s="458"/>
    </row>
    <row r="257" spans="1:20">
      <c r="A257" s="451" t="s">
        <v>693</v>
      </c>
      <c r="B257" s="448"/>
      <c r="C257" s="453"/>
      <c r="D257" s="448"/>
      <c r="E257" s="448"/>
      <c r="F257" s="448"/>
      <c r="G257" s="448"/>
      <c r="H257" s="448"/>
      <c r="I257" s="448"/>
      <c r="J257" s="455"/>
      <c r="K257" s="451" t="s">
        <v>695</v>
      </c>
      <c r="L257" s="448"/>
      <c r="M257" s="453"/>
      <c r="N257" s="448"/>
      <c r="O257" s="448"/>
      <c r="P257" s="448"/>
      <c r="Q257" s="448"/>
      <c r="R257" s="448"/>
      <c r="S257" s="448"/>
    </row>
    <row r="258" spans="1:20">
      <c r="A258" s="449"/>
      <c r="B258" s="449"/>
      <c r="C258" s="450"/>
      <c r="D258" s="455" t="s">
        <v>425</v>
      </c>
      <c r="E258" s="455" t="s">
        <v>425</v>
      </c>
      <c r="F258" s="455" t="s">
        <v>494</v>
      </c>
      <c r="G258" s="455" t="s">
        <v>494</v>
      </c>
      <c r="H258" s="455" t="s">
        <v>216</v>
      </c>
      <c r="I258" s="455" t="s">
        <v>216</v>
      </c>
      <c r="J258" s="455"/>
      <c r="K258" s="449"/>
      <c r="L258" s="449"/>
      <c r="M258" s="450"/>
      <c r="N258" s="455" t="s">
        <v>425</v>
      </c>
      <c r="O258" s="455" t="s">
        <v>425</v>
      </c>
      <c r="P258" s="455" t="s">
        <v>494</v>
      </c>
      <c r="Q258" s="455" t="s">
        <v>494</v>
      </c>
      <c r="R258" s="455" t="s">
        <v>216</v>
      </c>
      <c r="S258" s="455" t="s">
        <v>216</v>
      </c>
      <c r="T258" s="455"/>
    </row>
    <row r="259" spans="1:20">
      <c r="A259" s="456" t="s">
        <v>110</v>
      </c>
      <c r="B259" s="456"/>
      <c r="C259" s="459" t="s">
        <v>109</v>
      </c>
      <c r="D259" s="456" t="s">
        <v>99</v>
      </c>
      <c r="E259" s="456" t="s">
        <v>496</v>
      </c>
      <c r="F259" s="456" t="s">
        <v>99</v>
      </c>
      <c r="G259" s="456" t="s">
        <v>496</v>
      </c>
      <c r="H259" s="456" t="s">
        <v>99</v>
      </c>
      <c r="I259" s="456" t="s">
        <v>496</v>
      </c>
      <c r="J259" s="455" t="s">
        <v>251</v>
      </c>
      <c r="K259" s="456" t="s">
        <v>110</v>
      </c>
      <c r="L259" s="456"/>
      <c r="M259" s="459" t="s">
        <v>109</v>
      </c>
      <c r="N259" s="456" t="s">
        <v>99</v>
      </c>
      <c r="O259" s="456" t="s">
        <v>496</v>
      </c>
      <c r="P259" s="456" t="s">
        <v>99</v>
      </c>
      <c r="Q259" s="456" t="s">
        <v>496</v>
      </c>
      <c r="R259" s="456" t="s">
        <v>99</v>
      </c>
      <c r="S259" s="456" t="s">
        <v>496</v>
      </c>
      <c r="T259" s="455"/>
    </row>
    <row r="260" spans="1:20">
      <c r="A260" s="460">
        <f>A137</f>
        <v>43466</v>
      </c>
      <c r="B260" s="465">
        <v>1</v>
      </c>
      <c r="C260" s="450">
        <f>C262</f>
        <v>0</v>
      </c>
      <c r="D260" s="471">
        <f>0.049983*(1+$Y$16)</f>
        <v>4.7878715699999998E-2</v>
      </c>
      <c r="E260" s="464">
        <f>ROUND(D260*$C260*1000,2)</f>
        <v>0</v>
      </c>
      <c r="F260" s="471">
        <f>D260</f>
        <v>4.7878715699999998E-2</v>
      </c>
      <c r="G260" s="464">
        <f>ROUND(F260*$C260*1000,2)</f>
        <v>0</v>
      </c>
      <c r="H260" s="471">
        <f>F260</f>
        <v>4.7878715699999998E-2</v>
      </c>
      <c r="I260" s="464">
        <f>ROUND(H260*$C260*1000,2)</f>
        <v>0</v>
      </c>
      <c r="J260" s="455" t="s">
        <v>903</v>
      </c>
      <c r="K260" s="460">
        <f>A260</f>
        <v>43466</v>
      </c>
      <c r="L260" s="465">
        <v>1</v>
      </c>
      <c r="M260" s="450">
        <f>M262</f>
        <v>0</v>
      </c>
      <c r="N260" s="471">
        <f>D260</f>
        <v>4.7878715699999998E-2</v>
      </c>
      <c r="O260" s="464">
        <f>ROUND(N260*$M260*1000,2)</f>
        <v>0</v>
      </c>
      <c r="P260" s="471">
        <f>N260</f>
        <v>4.7878715699999998E-2</v>
      </c>
      <c r="Q260" s="464">
        <f>ROUND(P260*$M260*1000,2)</f>
        <v>0</v>
      </c>
      <c r="R260" s="471">
        <f>P260</f>
        <v>4.7878715699999998E-2</v>
      </c>
      <c r="S260" s="464">
        <f>ROUND(R260*$M260*1000,2)</f>
        <v>0</v>
      </c>
      <c r="T260" s="581" t="s">
        <v>696</v>
      </c>
    </row>
    <row r="261" spans="1:20">
      <c r="A261" s="460">
        <f>A138</f>
        <v>43466</v>
      </c>
      <c r="B261" s="465">
        <v>2</v>
      </c>
      <c r="C261" s="450">
        <f>C262-C260</f>
        <v>0</v>
      </c>
      <c r="D261" s="471">
        <f>0.049983*(1+$Y$16)</f>
        <v>4.7878715699999998E-2</v>
      </c>
      <c r="E261" s="464">
        <f>ROUND(D261*$C261*1000,2)</f>
        <v>0</v>
      </c>
      <c r="F261" s="471">
        <f>D261</f>
        <v>4.7878715699999998E-2</v>
      </c>
      <c r="G261" s="464">
        <f>ROUND(F261*$C261*1000,2)</f>
        <v>0</v>
      </c>
      <c r="H261" s="471">
        <f>F261</f>
        <v>4.7878715699999998E-2</v>
      </c>
      <c r="I261" s="464">
        <f>ROUND(H261*$C261*1000,2)</f>
        <v>0</v>
      </c>
      <c r="J261" s="458">
        <f>'10'!P31</f>
        <v>0.85444636821910169</v>
      </c>
      <c r="K261" s="460">
        <f>A261</f>
        <v>43466</v>
      </c>
      <c r="L261" s="465">
        <v>2</v>
      </c>
      <c r="M261" s="450">
        <f>M262-M260</f>
        <v>0</v>
      </c>
      <c r="N261" s="471">
        <f>D261</f>
        <v>4.7878715699999998E-2</v>
      </c>
      <c r="O261" s="464">
        <f>ROUND(N261*$M261*1000,2)</f>
        <v>0</v>
      </c>
      <c r="P261" s="471">
        <f>N261</f>
        <v>4.7878715699999998E-2</v>
      </c>
      <c r="Q261" s="464">
        <f>ROUND(P261*$M261*1000,2)</f>
        <v>0</v>
      </c>
      <c r="R261" s="471">
        <f>P261</f>
        <v>4.7878715699999998E-2</v>
      </c>
      <c r="S261" s="464">
        <f>ROUND(R261*$M261*1000,2)</f>
        <v>0</v>
      </c>
      <c r="T261" s="458">
        <f>'10'!R31</f>
        <v>0.24662119005188296</v>
      </c>
    </row>
    <row r="262" spans="1:20">
      <c r="A262" s="460"/>
      <c r="B262" s="466" t="s">
        <v>93</v>
      </c>
      <c r="C262" s="467">
        <f>TempMWH!M4*$J$261</f>
        <v>0</v>
      </c>
      <c r="D262" s="471"/>
      <c r="E262" s="468"/>
      <c r="F262" s="471"/>
      <c r="G262" s="468"/>
      <c r="H262" s="471"/>
      <c r="I262" s="468"/>
      <c r="J262" s="455" t="s">
        <v>694</v>
      </c>
      <c r="K262" s="460"/>
      <c r="L262" s="466" t="s">
        <v>93</v>
      </c>
      <c r="M262" s="467">
        <f>TempMWH!M4-TempRevMay!C262</f>
        <v>0</v>
      </c>
      <c r="N262" s="471"/>
      <c r="O262" s="468"/>
      <c r="P262" s="471"/>
      <c r="Q262" s="468"/>
      <c r="R262" s="471"/>
      <c r="S262" s="468"/>
      <c r="T262" s="455"/>
    </row>
    <row r="263" spans="1:20">
      <c r="A263" s="460">
        <f t="shared" ref="A263:A264" si="384">A140</f>
        <v>43497</v>
      </c>
      <c r="B263" s="465">
        <v>1</v>
      </c>
      <c r="C263" s="450">
        <f>C265</f>
        <v>0</v>
      </c>
      <c r="D263" s="471">
        <f>$D$260</f>
        <v>4.7878715699999998E-2</v>
      </c>
      <c r="E263" s="464">
        <f t="shared" ref="E263:I264" si="385">ROUND(D263*$C263*1000,2)</f>
        <v>0</v>
      </c>
      <c r="F263" s="471">
        <f t="shared" ref="F263:F264" si="386">D263</f>
        <v>4.7878715699999998E-2</v>
      </c>
      <c r="G263" s="464">
        <f t="shared" ref="G263:G264" si="387">ROUND(F263*$C263*1000,2)</f>
        <v>0</v>
      </c>
      <c r="H263" s="471">
        <f t="shared" ref="H263:H264" si="388">F263</f>
        <v>4.7878715699999998E-2</v>
      </c>
      <c r="I263" s="464">
        <f t="shared" si="385"/>
        <v>0</v>
      </c>
      <c r="J263" s="458">
        <f>'10'!T31</f>
        <v>0.62325205076073031</v>
      </c>
      <c r="K263" s="460">
        <f t="shared" ref="K263:K264" si="389">A263</f>
        <v>43497</v>
      </c>
      <c r="L263" s="465">
        <v>1</v>
      </c>
      <c r="M263" s="450">
        <f>M265</f>
        <v>0</v>
      </c>
      <c r="N263" s="471">
        <f t="shared" ref="N263:N264" si="390">D263</f>
        <v>4.7878715699999998E-2</v>
      </c>
      <c r="O263" s="464">
        <f>ROUND(N263*$M263*1000,2)</f>
        <v>0</v>
      </c>
      <c r="P263" s="471">
        <f t="shared" ref="P263:P264" si="391">N263</f>
        <v>4.7878715699999998E-2</v>
      </c>
      <c r="Q263" s="464">
        <f>ROUND(P263*$M263*1000,2)</f>
        <v>0</v>
      </c>
      <c r="R263" s="471">
        <f t="shared" ref="R263:R264" si="392">P263</f>
        <v>4.7878715699999998E-2</v>
      </c>
      <c r="S263" s="464">
        <f>ROUND(R263*$M263*1000,2)</f>
        <v>0</v>
      </c>
    </row>
    <row r="264" spans="1:20">
      <c r="A264" s="460">
        <f t="shared" si="384"/>
        <v>43497</v>
      </c>
      <c r="B264" s="465">
        <v>2</v>
      </c>
      <c r="C264" s="450">
        <f>C265-C263</f>
        <v>0</v>
      </c>
      <c r="D264" s="471">
        <f>$D$261</f>
        <v>4.7878715699999998E-2</v>
      </c>
      <c r="E264" s="464">
        <f t="shared" si="385"/>
        <v>0</v>
      </c>
      <c r="F264" s="471">
        <f t="shared" si="386"/>
        <v>4.7878715699999998E-2</v>
      </c>
      <c r="G264" s="464">
        <f t="shared" si="387"/>
        <v>0</v>
      </c>
      <c r="H264" s="471">
        <f t="shared" si="388"/>
        <v>4.7878715699999998E-2</v>
      </c>
      <c r="I264" s="464">
        <f t="shared" si="385"/>
        <v>0</v>
      </c>
      <c r="J264" s="455"/>
      <c r="K264" s="460">
        <f t="shared" si="389"/>
        <v>43497</v>
      </c>
      <c r="L264" s="465">
        <v>2</v>
      </c>
      <c r="M264" s="450">
        <f>M265-M263</f>
        <v>0</v>
      </c>
      <c r="N264" s="471">
        <f t="shared" si="390"/>
        <v>4.7878715699999998E-2</v>
      </c>
      <c r="O264" s="464">
        <f>ROUND(N264*$M264*1000,2)</f>
        <v>0</v>
      </c>
      <c r="P264" s="471">
        <f t="shared" si="391"/>
        <v>4.7878715699999998E-2</v>
      </c>
      <c r="Q264" s="464">
        <f>ROUND(P264*$M264*1000,2)</f>
        <v>0</v>
      </c>
      <c r="R264" s="471">
        <f t="shared" si="392"/>
        <v>4.7878715699999998E-2</v>
      </c>
      <c r="S264" s="464">
        <f>ROUND(R264*$M264*1000,2)</f>
        <v>0</v>
      </c>
      <c r="T264" s="455"/>
    </row>
    <row r="265" spans="1:20">
      <c r="A265" s="460"/>
      <c r="B265" s="466" t="s">
        <v>93</v>
      </c>
      <c r="C265" s="467">
        <f>TempMWH!M5*$J$261</f>
        <v>0</v>
      </c>
      <c r="D265" s="471"/>
      <c r="E265" s="468"/>
      <c r="F265" s="471"/>
      <c r="G265" s="468"/>
      <c r="H265" s="471"/>
      <c r="I265" s="468"/>
      <c r="J265" s="455"/>
      <c r="K265" s="460"/>
      <c r="L265" s="466" t="s">
        <v>93</v>
      </c>
      <c r="M265" s="467">
        <f>TempMWH!M5-TempRevMay!C265</f>
        <v>0</v>
      </c>
      <c r="N265" s="471"/>
      <c r="O265" s="468"/>
      <c r="P265" s="471"/>
      <c r="Q265" s="468"/>
      <c r="R265" s="471"/>
      <c r="S265" s="468"/>
      <c r="T265" s="455"/>
    </row>
    <row r="266" spans="1:20">
      <c r="A266" s="460">
        <f t="shared" ref="A266:A267" si="393">A143</f>
        <v>43525</v>
      </c>
      <c r="B266" s="465">
        <v>1</v>
      </c>
      <c r="C266" s="450">
        <f>C268</f>
        <v>0</v>
      </c>
      <c r="D266" s="471">
        <f>$D$260</f>
        <v>4.7878715699999998E-2</v>
      </c>
      <c r="E266" s="464">
        <f t="shared" ref="E266:I267" si="394">ROUND(D266*$C266*1000,2)</f>
        <v>0</v>
      </c>
      <c r="F266" s="471">
        <f t="shared" ref="F266:F267" si="395">D266</f>
        <v>4.7878715699999998E-2</v>
      </c>
      <c r="G266" s="464">
        <f t="shared" ref="G266:G267" si="396">ROUND(F266*$C266*1000,2)</f>
        <v>0</v>
      </c>
      <c r="H266" s="471">
        <f t="shared" ref="H266:H267" si="397">F266</f>
        <v>4.7878715699999998E-2</v>
      </c>
      <c r="I266" s="464">
        <f t="shared" si="394"/>
        <v>0</v>
      </c>
      <c r="J266" s="455"/>
      <c r="K266" s="460">
        <f t="shared" ref="K266:K267" si="398">A266</f>
        <v>43525</v>
      </c>
      <c r="L266" s="465">
        <v>1</v>
      </c>
      <c r="M266" s="450">
        <f>M268</f>
        <v>0</v>
      </c>
      <c r="N266" s="471">
        <f t="shared" ref="N266:N267" si="399">D266</f>
        <v>4.7878715699999998E-2</v>
      </c>
      <c r="O266" s="464">
        <f>ROUND(N266*$M266*1000,2)</f>
        <v>0</v>
      </c>
      <c r="P266" s="471">
        <f t="shared" ref="P266:P267" si="400">N266</f>
        <v>4.7878715699999998E-2</v>
      </c>
      <c r="Q266" s="464">
        <f>ROUND(P266*$M266*1000,2)</f>
        <v>0</v>
      </c>
      <c r="R266" s="471">
        <f t="shared" ref="R266:R267" si="401">P266</f>
        <v>4.7878715699999998E-2</v>
      </c>
      <c r="S266" s="464">
        <f>ROUND(R266*$M266*1000,2)</f>
        <v>0</v>
      </c>
    </row>
    <row r="267" spans="1:20">
      <c r="A267" s="460">
        <f t="shared" si="393"/>
        <v>43525</v>
      </c>
      <c r="B267" s="465">
        <v>2</v>
      </c>
      <c r="C267" s="450">
        <f>C268-C266</f>
        <v>0</v>
      </c>
      <c r="D267" s="471">
        <f>$D$261</f>
        <v>4.7878715699999998E-2</v>
      </c>
      <c r="E267" s="464">
        <f t="shared" si="394"/>
        <v>0</v>
      </c>
      <c r="F267" s="471">
        <f t="shared" si="395"/>
        <v>4.7878715699999998E-2</v>
      </c>
      <c r="G267" s="464">
        <f t="shared" si="396"/>
        <v>0</v>
      </c>
      <c r="H267" s="471">
        <f t="shared" si="397"/>
        <v>4.7878715699999998E-2</v>
      </c>
      <c r="I267" s="464">
        <f t="shared" si="394"/>
        <v>0</v>
      </c>
      <c r="J267" s="455"/>
      <c r="K267" s="460">
        <f t="shared" si="398"/>
        <v>43525</v>
      </c>
      <c r="L267" s="465">
        <v>2</v>
      </c>
      <c r="M267" s="450">
        <f>M268-M266</f>
        <v>0</v>
      </c>
      <c r="N267" s="471">
        <f t="shared" si="399"/>
        <v>4.7878715699999998E-2</v>
      </c>
      <c r="O267" s="464">
        <f>ROUND(N267*$M267*1000,2)</f>
        <v>0</v>
      </c>
      <c r="P267" s="471">
        <f t="shared" si="400"/>
        <v>4.7878715699999998E-2</v>
      </c>
      <c r="Q267" s="464">
        <f>ROUND(P267*$M267*1000,2)</f>
        <v>0</v>
      </c>
      <c r="R267" s="471">
        <f t="shared" si="401"/>
        <v>4.7878715699999998E-2</v>
      </c>
      <c r="S267" s="464">
        <f>ROUND(R267*$M267*1000,2)</f>
        <v>0</v>
      </c>
    </row>
    <row r="268" spans="1:20">
      <c r="A268" s="460"/>
      <c r="B268" s="466" t="s">
        <v>93</v>
      </c>
      <c r="C268" s="467">
        <f>TempMWH!M6*$J$261</f>
        <v>0</v>
      </c>
      <c r="D268" s="471"/>
      <c r="E268" s="468"/>
      <c r="F268" s="471"/>
      <c r="G268" s="468"/>
      <c r="H268" s="471"/>
      <c r="I268" s="468"/>
      <c r="J268" s="455"/>
      <c r="K268" s="460"/>
      <c r="L268" s="466" t="s">
        <v>93</v>
      </c>
      <c r="M268" s="467">
        <f>TempMWH!M6-TempRevMay!C268</f>
        <v>0</v>
      </c>
      <c r="N268" s="471"/>
      <c r="O268" s="468"/>
      <c r="P268" s="471"/>
      <c r="Q268" s="468"/>
      <c r="R268" s="471"/>
      <c r="S268" s="468"/>
    </row>
    <row r="269" spans="1:20">
      <c r="A269" s="460">
        <f t="shared" ref="A269:A270" si="402">A146</f>
        <v>43556</v>
      </c>
      <c r="B269" s="465">
        <v>1</v>
      </c>
      <c r="C269" s="450">
        <f>C271</f>
        <v>0</v>
      </c>
      <c r="D269" s="471">
        <f>$D$260</f>
        <v>4.7878715699999998E-2</v>
      </c>
      <c r="E269" s="464">
        <f t="shared" ref="E269:I270" si="403">ROUND(D269*$C269*1000,2)</f>
        <v>0</v>
      </c>
      <c r="F269" s="471">
        <f t="shared" ref="F269:F270" si="404">D269</f>
        <v>4.7878715699999998E-2</v>
      </c>
      <c r="G269" s="464">
        <f t="shared" ref="G269:G270" si="405">ROUND(F269*$C269*1000,2)</f>
        <v>0</v>
      </c>
      <c r="H269" s="471">
        <f t="shared" ref="H269:H270" si="406">F269</f>
        <v>4.7878715699999998E-2</v>
      </c>
      <c r="I269" s="464">
        <f t="shared" si="403"/>
        <v>0</v>
      </c>
      <c r="J269" s="455"/>
      <c r="K269" s="460">
        <f t="shared" ref="K269:K270" si="407">A269</f>
        <v>43556</v>
      </c>
      <c r="L269" s="465">
        <v>1</v>
      </c>
      <c r="M269" s="450">
        <f>M271</f>
        <v>0</v>
      </c>
      <c r="N269" s="471">
        <f t="shared" ref="N269:N270" si="408">D269</f>
        <v>4.7878715699999998E-2</v>
      </c>
      <c r="O269" s="464">
        <f>ROUND(N269*$M269*1000,2)</f>
        <v>0</v>
      </c>
      <c r="P269" s="471">
        <f t="shared" ref="P269:P270" si="409">N269</f>
        <v>4.7878715699999998E-2</v>
      </c>
      <c r="Q269" s="464">
        <f>ROUND(P269*$M269*1000,2)</f>
        <v>0</v>
      </c>
      <c r="R269" s="471">
        <f t="shared" ref="R269:R270" si="410">P269</f>
        <v>4.7878715699999998E-2</v>
      </c>
      <c r="S269" s="464">
        <f>ROUND(R269*$M269*1000,2)</f>
        <v>0</v>
      </c>
    </row>
    <row r="270" spans="1:20">
      <c r="A270" s="460">
        <f t="shared" si="402"/>
        <v>43556</v>
      </c>
      <c r="B270" s="465">
        <v>2</v>
      </c>
      <c r="C270" s="450">
        <f>C271-C269</f>
        <v>0</v>
      </c>
      <c r="D270" s="471">
        <f>$D$261</f>
        <v>4.7878715699999998E-2</v>
      </c>
      <c r="E270" s="464">
        <f t="shared" si="403"/>
        <v>0</v>
      </c>
      <c r="F270" s="471">
        <f t="shared" si="404"/>
        <v>4.7878715699999998E-2</v>
      </c>
      <c r="G270" s="464">
        <f t="shared" si="405"/>
        <v>0</v>
      </c>
      <c r="H270" s="471">
        <f t="shared" si="406"/>
        <v>4.7878715699999998E-2</v>
      </c>
      <c r="I270" s="464">
        <f t="shared" si="403"/>
        <v>0</v>
      </c>
      <c r="J270" s="455"/>
      <c r="K270" s="460">
        <f t="shared" si="407"/>
        <v>43556</v>
      </c>
      <c r="L270" s="465">
        <v>2</v>
      </c>
      <c r="M270" s="450">
        <f>M271-M269</f>
        <v>0</v>
      </c>
      <c r="N270" s="471">
        <f t="shared" si="408"/>
        <v>4.7878715699999998E-2</v>
      </c>
      <c r="O270" s="464">
        <f>ROUND(N270*$M270*1000,2)</f>
        <v>0</v>
      </c>
      <c r="P270" s="471">
        <f t="shared" si="409"/>
        <v>4.7878715699999998E-2</v>
      </c>
      <c r="Q270" s="464">
        <f>ROUND(P270*$M270*1000,2)</f>
        <v>0</v>
      </c>
      <c r="R270" s="471">
        <f t="shared" si="410"/>
        <v>4.7878715699999998E-2</v>
      </c>
      <c r="S270" s="464">
        <f>ROUND(R270*$M270*1000,2)</f>
        <v>0</v>
      </c>
    </row>
    <row r="271" spans="1:20">
      <c r="A271" s="460"/>
      <c r="B271" s="466" t="s">
        <v>93</v>
      </c>
      <c r="C271" s="467">
        <f>TempMWH!M7*$J$261</f>
        <v>0</v>
      </c>
      <c r="D271" s="471"/>
      <c r="E271" s="468"/>
      <c r="F271" s="471"/>
      <c r="G271" s="468"/>
      <c r="H271" s="471"/>
      <c r="I271" s="468"/>
      <c r="J271" s="455"/>
      <c r="K271" s="460"/>
      <c r="L271" s="466" t="s">
        <v>93</v>
      </c>
      <c r="M271" s="467">
        <f>TempMWH!M7-TempRevMay!C271</f>
        <v>0</v>
      </c>
      <c r="N271" s="471"/>
      <c r="O271" s="468"/>
      <c r="P271" s="471"/>
      <c r="Q271" s="468"/>
      <c r="R271" s="471"/>
      <c r="S271" s="468"/>
    </row>
    <row r="272" spans="1:20">
      <c r="A272" s="460">
        <f t="shared" ref="A272:A273" si="411">A149</f>
        <v>43586</v>
      </c>
      <c r="B272" s="465">
        <v>1</v>
      </c>
      <c r="C272" s="450">
        <f>C274</f>
        <v>731.46355203025666</v>
      </c>
      <c r="D272" s="471">
        <f>$D$260</f>
        <v>4.7878715699999998E-2</v>
      </c>
      <c r="E272" s="464">
        <f t="shared" ref="E272:I273" si="412">ROUND(D272*$C272*1000,2)</f>
        <v>35021.54</v>
      </c>
      <c r="F272" s="471">
        <f t="shared" ref="F272:F273" si="413">D272</f>
        <v>4.7878715699999998E-2</v>
      </c>
      <c r="G272" s="464">
        <f t="shared" ref="G272:G273" si="414">ROUND(F272*$C272*1000,2)</f>
        <v>35021.54</v>
      </c>
      <c r="H272" s="471">
        <f t="shared" ref="H272:H273" si="415">F272</f>
        <v>4.7878715699999998E-2</v>
      </c>
      <c r="I272" s="464">
        <f t="shared" si="412"/>
        <v>35021.54</v>
      </c>
      <c r="J272" s="455"/>
      <c r="K272" s="460">
        <f t="shared" ref="K272:K273" si="416">A272</f>
        <v>43586</v>
      </c>
      <c r="L272" s="465">
        <v>1</v>
      </c>
      <c r="M272" s="450">
        <f>M274</f>
        <v>124.60369716974333</v>
      </c>
      <c r="N272" s="471">
        <f t="shared" ref="N272:N273" si="417">D272</f>
        <v>4.7878715699999998E-2</v>
      </c>
      <c r="O272" s="464">
        <f>ROUND(N272*$M272*1000,2)</f>
        <v>5965.86</v>
      </c>
      <c r="P272" s="471">
        <f t="shared" ref="P272:P273" si="418">N272</f>
        <v>4.7878715699999998E-2</v>
      </c>
      <c r="Q272" s="464">
        <f>ROUND(P272*$M272*1000,2)</f>
        <v>5965.86</v>
      </c>
      <c r="R272" s="471">
        <f t="shared" ref="R272:R273" si="419">P272</f>
        <v>4.7878715699999998E-2</v>
      </c>
      <c r="S272" s="464">
        <f>ROUND(R272*$M272*1000,2)</f>
        <v>5965.86</v>
      </c>
    </row>
    <row r="273" spans="1:20">
      <c r="A273" s="460">
        <f t="shared" si="411"/>
        <v>43586</v>
      </c>
      <c r="B273" s="465">
        <v>2</v>
      </c>
      <c r="C273" s="450">
        <f>C274-C272</f>
        <v>0</v>
      </c>
      <c r="D273" s="471">
        <f>$D$261</f>
        <v>4.7878715699999998E-2</v>
      </c>
      <c r="E273" s="464">
        <f t="shared" si="412"/>
        <v>0</v>
      </c>
      <c r="F273" s="471">
        <f t="shared" si="413"/>
        <v>4.7878715699999998E-2</v>
      </c>
      <c r="G273" s="464">
        <f t="shared" si="414"/>
        <v>0</v>
      </c>
      <c r="H273" s="471">
        <f t="shared" si="415"/>
        <v>4.7878715699999998E-2</v>
      </c>
      <c r="I273" s="464">
        <f t="shared" si="412"/>
        <v>0</v>
      </c>
      <c r="J273" s="455"/>
      <c r="K273" s="460">
        <f t="shared" si="416"/>
        <v>43586</v>
      </c>
      <c r="L273" s="465">
        <v>2</v>
      </c>
      <c r="M273" s="450">
        <f>M274-M272</f>
        <v>0</v>
      </c>
      <c r="N273" s="471">
        <f t="shared" si="417"/>
        <v>4.7878715699999998E-2</v>
      </c>
      <c r="O273" s="464">
        <f>ROUND(N273*$M273*1000,2)</f>
        <v>0</v>
      </c>
      <c r="P273" s="471">
        <f t="shared" si="418"/>
        <v>4.7878715699999998E-2</v>
      </c>
      <c r="Q273" s="464">
        <f>ROUND(P273*$M273*1000,2)</f>
        <v>0</v>
      </c>
      <c r="R273" s="471">
        <f t="shared" si="419"/>
        <v>4.7878715699999998E-2</v>
      </c>
      <c r="S273" s="464">
        <f>ROUND(R273*$M273*1000,2)</f>
        <v>0</v>
      </c>
    </row>
    <row r="274" spans="1:20">
      <c r="A274" s="460"/>
      <c r="B274" s="466" t="s">
        <v>93</v>
      </c>
      <c r="C274" s="467">
        <f>TempMWH!M8*$J$261</f>
        <v>731.46355203025666</v>
      </c>
      <c r="D274" s="471"/>
      <c r="E274" s="468"/>
      <c r="F274" s="471"/>
      <c r="G274" s="468"/>
      <c r="H274" s="471"/>
      <c r="I274" s="468"/>
      <c r="J274" s="455"/>
      <c r="K274" s="460"/>
      <c r="L274" s="466" t="s">
        <v>93</v>
      </c>
      <c r="M274" s="467">
        <f>TempMWH!M8-TempRevMay!C274</f>
        <v>124.60369716974333</v>
      </c>
      <c r="N274" s="471"/>
      <c r="O274" s="468"/>
      <c r="P274" s="471"/>
      <c r="Q274" s="468"/>
      <c r="R274" s="471"/>
      <c r="S274" s="468"/>
    </row>
    <row r="275" spans="1:20">
      <c r="A275" s="460">
        <f t="shared" ref="A275:A276" si="420">A152</f>
        <v>43617</v>
      </c>
      <c r="B275" s="465">
        <v>1</v>
      </c>
      <c r="C275" s="450">
        <f>ROUND(C277*$J$263,3)</f>
        <v>929.87</v>
      </c>
      <c r="D275" s="471">
        <f>0.072971*(1+$Y$16)</f>
        <v>6.9898920899999994E-2</v>
      </c>
      <c r="E275" s="464">
        <f t="shared" ref="E275:I276" si="421">ROUND(D275*$C275*1000,2)</f>
        <v>64996.91</v>
      </c>
      <c r="F275" s="471">
        <f t="shared" ref="F275:F276" si="422">D275</f>
        <v>6.9898920899999994E-2</v>
      </c>
      <c r="G275" s="464">
        <f t="shared" ref="G275:G276" si="423">ROUND(F275*$C275*1000,2)</f>
        <v>64996.91</v>
      </c>
      <c r="H275" s="471">
        <f t="shared" ref="H275:H276" si="424">F275</f>
        <v>6.9898920899999994E-2</v>
      </c>
      <c r="I275" s="464">
        <f t="shared" si="421"/>
        <v>64996.91</v>
      </c>
      <c r="J275" s="455"/>
      <c r="K275" s="460">
        <f t="shared" ref="K275:K276" si="425">A275</f>
        <v>43617</v>
      </c>
      <c r="L275" s="465">
        <v>1</v>
      </c>
      <c r="M275" s="450">
        <f>ROUND(M277*$T$261,3)</f>
        <v>62.68</v>
      </c>
      <c r="N275" s="471">
        <f>0.144164*(1+$Y$16)</f>
        <v>0.13809469559999998</v>
      </c>
      <c r="O275" s="464">
        <f>ROUND(N275*$M275*1000,2)</f>
        <v>8655.7800000000007</v>
      </c>
      <c r="P275" s="471">
        <f t="shared" ref="P275:P276" si="426">N275</f>
        <v>0.13809469559999998</v>
      </c>
      <c r="Q275" s="464">
        <f>ROUND(P275*$M275*1000,2)</f>
        <v>8655.7800000000007</v>
      </c>
      <c r="R275" s="471">
        <f t="shared" ref="R275:R276" si="427">P275</f>
        <v>0.13809469559999998</v>
      </c>
      <c r="S275" s="464">
        <f>ROUND(R275*$M275*1000,2)</f>
        <v>8655.7800000000007</v>
      </c>
    </row>
    <row r="276" spans="1:20">
      <c r="A276" s="460">
        <f t="shared" si="420"/>
        <v>43617</v>
      </c>
      <c r="B276" s="465">
        <v>2</v>
      </c>
      <c r="C276" s="450">
        <f>C277-C275</f>
        <v>562.09400970216564</v>
      </c>
      <c r="D276" s="471">
        <f>0.053936*(1+$Y$16)</f>
        <v>5.1665294399999999E-2</v>
      </c>
      <c r="E276" s="464">
        <f t="shared" si="421"/>
        <v>29040.75</v>
      </c>
      <c r="F276" s="471">
        <f t="shared" si="422"/>
        <v>5.1665294399999999E-2</v>
      </c>
      <c r="G276" s="464">
        <f t="shared" si="423"/>
        <v>29040.75</v>
      </c>
      <c r="H276" s="471">
        <f t="shared" si="424"/>
        <v>5.1665294399999999E-2</v>
      </c>
      <c r="I276" s="464">
        <f t="shared" si="421"/>
        <v>29040.75</v>
      </c>
      <c r="J276" s="455"/>
      <c r="K276" s="460">
        <f t="shared" si="425"/>
        <v>43617</v>
      </c>
      <c r="L276" s="465">
        <v>2</v>
      </c>
      <c r="M276" s="450">
        <f>M277-M275</f>
        <v>191.47378679783452</v>
      </c>
      <c r="N276" s="471">
        <f>0.041542*(1+$Y$16)</f>
        <v>3.9793081800000005E-2</v>
      </c>
      <c r="O276" s="464">
        <f>ROUND(N276*$M276*1000,2)</f>
        <v>7619.33</v>
      </c>
      <c r="P276" s="471">
        <f t="shared" si="426"/>
        <v>3.9793081800000005E-2</v>
      </c>
      <c r="Q276" s="464">
        <f>ROUND(P276*$M276*1000,2)</f>
        <v>7619.33</v>
      </c>
      <c r="R276" s="471">
        <f t="shared" si="427"/>
        <v>3.9793081800000005E-2</v>
      </c>
      <c r="S276" s="464">
        <f>ROUND(R276*$M276*1000,2)</f>
        <v>7619.33</v>
      </c>
    </row>
    <row r="277" spans="1:20">
      <c r="A277" s="460"/>
      <c r="B277" s="460" t="s">
        <v>93</v>
      </c>
      <c r="C277" s="472">
        <f>TempMWH!M9*$J$261</f>
        <v>1491.9640097021656</v>
      </c>
      <c r="D277" s="473"/>
      <c r="E277" s="464"/>
      <c r="F277" s="473"/>
      <c r="G277" s="464"/>
      <c r="H277" s="473"/>
      <c r="I277" s="464"/>
      <c r="J277" s="455"/>
      <c r="K277" s="460"/>
      <c r="L277" s="460" t="s">
        <v>93</v>
      </c>
      <c r="M277" s="472">
        <f>TempMWH!M9-TempRevMay!C277</f>
        <v>254.15378679783453</v>
      </c>
      <c r="N277" s="473"/>
      <c r="O277" s="464"/>
      <c r="P277" s="473"/>
      <c r="Q277" s="464"/>
      <c r="R277" s="473"/>
      <c r="S277" s="464"/>
    </row>
    <row r="278" spans="1:20">
      <c r="A278" s="460">
        <f t="shared" ref="A278:A279" si="428">A155</f>
        <v>43282</v>
      </c>
      <c r="B278" s="465">
        <v>1</v>
      </c>
      <c r="C278" s="450">
        <f>ROUND(C280*$J$263,3)</f>
        <v>-894.25</v>
      </c>
      <c r="D278" s="471">
        <f>0.072971*(1+$X$16)</f>
        <v>6.9898920899999994E-2</v>
      </c>
      <c r="E278" s="464">
        <f t="shared" ref="E278:I279" si="429">ROUND(D278*$C278*1000,2)</f>
        <v>-62507.11</v>
      </c>
      <c r="F278" s="471">
        <f>F275</f>
        <v>6.9898920899999994E-2</v>
      </c>
      <c r="G278" s="464">
        <f t="shared" ref="G278:G279" si="430">ROUND(F278*$C278*1000,2)</f>
        <v>-62507.11</v>
      </c>
      <c r="H278" s="471">
        <f t="shared" ref="H278:H279" si="431">F278</f>
        <v>6.9898920899999994E-2</v>
      </c>
      <c r="I278" s="464">
        <f t="shared" si="429"/>
        <v>-62507.11</v>
      </c>
      <c r="J278" s="455"/>
      <c r="K278" s="460">
        <f t="shared" ref="K278:K279" si="432">A278</f>
        <v>43282</v>
      </c>
      <c r="L278" s="465">
        <v>1</v>
      </c>
      <c r="M278" s="450">
        <f>ROUND(M280*$T$261,3)</f>
        <v>-60.279000000000003</v>
      </c>
      <c r="N278" s="471">
        <f>0.144164*(1+$X$16)</f>
        <v>0.13809469559999998</v>
      </c>
      <c r="O278" s="464">
        <f>ROUND(N278*$M278*1000,2)</f>
        <v>-8324.2099999999991</v>
      </c>
      <c r="P278" s="471">
        <f>P275</f>
        <v>0.13809469559999998</v>
      </c>
      <c r="Q278" s="464">
        <f>ROUND(P278*$M278*1000,2)</f>
        <v>-8324.2099999999991</v>
      </c>
      <c r="R278" s="471">
        <f t="shared" ref="R278:R279" si="433">P278</f>
        <v>0.13809469559999998</v>
      </c>
      <c r="S278" s="464">
        <f>ROUND(R278*$M278*1000,2)</f>
        <v>-8324.2099999999991</v>
      </c>
    </row>
    <row r="279" spans="1:20">
      <c r="A279" s="460">
        <f t="shared" si="428"/>
        <v>43282</v>
      </c>
      <c r="B279" s="465">
        <v>2</v>
      </c>
      <c r="C279" s="450">
        <f>C280-C278</f>
        <v>-540.56198686681137</v>
      </c>
      <c r="D279" s="471">
        <f>0.053936*(1+$X$16)</f>
        <v>5.1665294399999999E-2</v>
      </c>
      <c r="E279" s="464">
        <f t="shared" si="429"/>
        <v>-27928.29</v>
      </c>
      <c r="F279" s="471">
        <f>F276</f>
        <v>5.1665294399999999E-2</v>
      </c>
      <c r="G279" s="464">
        <f t="shared" si="430"/>
        <v>-27928.29</v>
      </c>
      <c r="H279" s="471">
        <f t="shared" si="431"/>
        <v>5.1665294399999999E-2</v>
      </c>
      <c r="I279" s="464">
        <f t="shared" si="429"/>
        <v>-27928.29</v>
      </c>
      <c r="J279" s="455"/>
      <c r="K279" s="460">
        <f t="shared" si="432"/>
        <v>43282</v>
      </c>
      <c r="L279" s="465">
        <v>2</v>
      </c>
      <c r="M279" s="450">
        <f>M280-M278</f>
        <v>-184.13902713318862</v>
      </c>
      <c r="N279" s="471">
        <f>0.041542*(1+$X$16)</f>
        <v>3.9793081800000005E-2</v>
      </c>
      <c r="O279" s="464">
        <f>ROUND(N279*$M279*1000,2)</f>
        <v>-7327.46</v>
      </c>
      <c r="P279" s="471">
        <f>P276</f>
        <v>3.9793081800000005E-2</v>
      </c>
      <c r="Q279" s="464">
        <f>ROUND(P279*$M279*1000,2)</f>
        <v>-7327.46</v>
      </c>
      <c r="R279" s="471">
        <f t="shared" si="433"/>
        <v>3.9793081800000005E-2</v>
      </c>
      <c r="S279" s="464">
        <f>ROUND(R279*$M279*1000,2)</f>
        <v>-7327.46</v>
      </c>
    </row>
    <row r="280" spans="1:20">
      <c r="A280" s="460"/>
      <c r="B280" s="466" t="s">
        <v>93</v>
      </c>
      <c r="C280" s="467">
        <f>TempMWH!M10*$J$261</f>
        <v>-1434.8119868668114</v>
      </c>
      <c r="E280" s="468"/>
      <c r="G280" s="468"/>
      <c r="I280" s="468"/>
      <c r="J280" s="455"/>
      <c r="K280" s="460"/>
      <c r="L280" s="466" t="s">
        <v>93</v>
      </c>
      <c r="M280" s="467">
        <f>TempMWH!M10-TempRevMay!C280</f>
        <v>-244.41802713318862</v>
      </c>
      <c r="O280" s="468"/>
      <c r="Q280" s="468"/>
      <c r="S280" s="468"/>
    </row>
    <row r="281" spans="1:20">
      <c r="A281" s="460">
        <f t="shared" ref="A281:A282" si="434">A158</f>
        <v>43313</v>
      </c>
      <c r="B281" s="465">
        <v>1</v>
      </c>
      <c r="C281" s="450">
        <f>ROUND(C283*$J$263,3)</f>
        <v>-1845.796</v>
      </c>
      <c r="D281" s="471">
        <f>D278</f>
        <v>6.9898920899999994E-2</v>
      </c>
      <c r="E281" s="464">
        <f t="shared" ref="E281:I282" si="435">ROUND(D281*$C281*1000,2)</f>
        <v>-129019.15</v>
      </c>
      <c r="F281" s="471">
        <f>F278</f>
        <v>6.9898920899999994E-2</v>
      </c>
      <c r="G281" s="464">
        <f t="shared" ref="G281:G282" si="436">ROUND(F281*$C281*1000,2)</f>
        <v>-129019.15</v>
      </c>
      <c r="H281" s="471">
        <f t="shared" ref="H281:H282" si="437">F281</f>
        <v>6.9898920899999994E-2</v>
      </c>
      <c r="I281" s="464">
        <f t="shared" si="435"/>
        <v>-129019.15</v>
      </c>
      <c r="J281" s="455"/>
      <c r="K281" s="460">
        <f t="shared" ref="K281:K282" si="438">A281</f>
        <v>43313</v>
      </c>
      <c r="L281" s="465">
        <v>1</v>
      </c>
      <c r="M281" s="450">
        <f>ROUND(M283*$T$261,3)</f>
        <v>-124.42</v>
      </c>
      <c r="N281" s="471">
        <f>N278</f>
        <v>0.13809469559999998</v>
      </c>
      <c r="O281" s="464">
        <f>ROUND(N281*$M281*1000,2)</f>
        <v>-17181.740000000002</v>
      </c>
      <c r="P281" s="471">
        <f>P278</f>
        <v>0.13809469559999998</v>
      </c>
      <c r="Q281" s="464">
        <f>ROUND(P281*$M281*1000,2)</f>
        <v>-17181.740000000002</v>
      </c>
      <c r="R281" s="471">
        <f t="shared" ref="R281:R282" si="439">P281</f>
        <v>0.13809469559999998</v>
      </c>
      <c r="S281" s="464">
        <f>ROUND(R281*$M281*1000,2)</f>
        <v>-17181.740000000002</v>
      </c>
    </row>
    <row r="282" spans="1:20">
      <c r="A282" s="460">
        <f t="shared" si="434"/>
        <v>43313</v>
      </c>
      <c r="B282" s="465">
        <v>2</v>
      </c>
      <c r="C282" s="450">
        <f>C283-C281</f>
        <v>-1115.7595361103151</v>
      </c>
      <c r="D282" s="471">
        <f>D279</f>
        <v>5.1665294399999999E-2</v>
      </c>
      <c r="E282" s="464">
        <f t="shared" si="435"/>
        <v>-57646.04</v>
      </c>
      <c r="F282" s="471">
        <f>F279</f>
        <v>5.1665294399999999E-2</v>
      </c>
      <c r="G282" s="464">
        <f t="shared" si="436"/>
        <v>-57646.04</v>
      </c>
      <c r="H282" s="471">
        <f t="shared" si="437"/>
        <v>5.1665294399999999E-2</v>
      </c>
      <c r="I282" s="464">
        <f t="shared" si="435"/>
        <v>-57646.04</v>
      </c>
      <c r="J282" s="455"/>
      <c r="K282" s="460">
        <f t="shared" si="438"/>
        <v>43313</v>
      </c>
      <c r="L282" s="465">
        <v>2</v>
      </c>
      <c r="M282" s="450">
        <f>M283-M281</f>
        <v>-380.07645528968493</v>
      </c>
      <c r="N282" s="471">
        <f>N279</f>
        <v>3.9793081800000005E-2</v>
      </c>
      <c r="O282" s="464">
        <f>ROUND(N282*$M282*1000,2)</f>
        <v>-15124.41</v>
      </c>
      <c r="P282" s="471">
        <f>P279</f>
        <v>3.9793081800000005E-2</v>
      </c>
      <c r="Q282" s="464">
        <f>ROUND(P282*$M282*1000,2)</f>
        <v>-15124.41</v>
      </c>
      <c r="R282" s="471">
        <f t="shared" si="439"/>
        <v>3.9793081800000005E-2</v>
      </c>
      <c r="S282" s="464">
        <f>ROUND(R282*$M282*1000,2)</f>
        <v>-15124.41</v>
      </c>
    </row>
    <row r="283" spans="1:20">
      <c r="A283" s="460"/>
      <c r="B283" s="466" t="s">
        <v>93</v>
      </c>
      <c r="C283" s="467">
        <f>TempMWH!M11*$J$261</f>
        <v>-2961.5555361103152</v>
      </c>
      <c r="E283" s="468"/>
      <c r="G283" s="468"/>
      <c r="I283" s="468"/>
      <c r="J283" s="455"/>
      <c r="K283" s="460"/>
      <c r="L283" s="466" t="s">
        <v>93</v>
      </c>
      <c r="M283" s="467">
        <f>TempMWH!M11-TempRevMay!C283</f>
        <v>-504.49645528968495</v>
      </c>
      <c r="O283" s="468"/>
      <c r="Q283" s="468"/>
      <c r="S283" s="468"/>
    </row>
    <row r="284" spans="1:20">
      <c r="A284" s="460">
        <f t="shared" ref="A284:A285" si="440">A161</f>
        <v>43344</v>
      </c>
      <c r="B284" s="465">
        <v>1</v>
      </c>
      <c r="C284" s="450">
        <f>ROUND(C286*$J$263,3)</f>
        <v>-821.38300000000004</v>
      </c>
      <c r="D284" s="471">
        <f>D278</f>
        <v>6.9898920899999994E-2</v>
      </c>
      <c r="E284" s="464">
        <f t="shared" ref="E284:I285" si="441">ROUND(D284*$C284*1000,2)</f>
        <v>-57413.79</v>
      </c>
      <c r="F284" s="471">
        <f>F281</f>
        <v>6.9898920899999994E-2</v>
      </c>
      <c r="G284" s="464">
        <f t="shared" ref="G284:G285" si="442">ROUND(F284*$C284*1000,2)</f>
        <v>-57413.79</v>
      </c>
      <c r="H284" s="471">
        <f t="shared" ref="H284:H285" si="443">F284</f>
        <v>6.9898920899999994E-2</v>
      </c>
      <c r="I284" s="464">
        <f t="shared" si="441"/>
        <v>-57413.79</v>
      </c>
      <c r="J284" s="455"/>
      <c r="K284" s="460">
        <f t="shared" ref="K284:K285" si="444">A284</f>
        <v>43344</v>
      </c>
      <c r="L284" s="465">
        <v>1</v>
      </c>
      <c r="M284" s="450">
        <f>ROUND(M286*$T$261,3)</f>
        <v>-55.366999999999997</v>
      </c>
      <c r="N284" s="471">
        <f>N278</f>
        <v>0.13809469559999998</v>
      </c>
      <c r="O284" s="464">
        <f>ROUND(N284*$M284*1000,2)</f>
        <v>-7645.89</v>
      </c>
      <c r="P284" s="471">
        <f>P281</f>
        <v>0.13809469559999998</v>
      </c>
      <c r="Q284" s="464">
        <f>ROUND(P284*$M284*1000,2)</f>
        <v>-7645.89</v>
      </c>
      <c r="R284" s="471">
        <f t="shared" ref="R284:R285" si="445">P284</f>
        <v>0.13809469559999998</v>
      </c>
      <c r="S284" s="464">
        <f>ROUND(R284*$M284*1000,2)</f>
        <v>-7645.89</v>
      </c>
      <c r="T284" s="455"/>
    </row>
    <row r="285" spans="1:20">
      <c r="A285" s="460">
        <f t="shared" si="440"/>
        <v>43344</v>
      </c>
      <c r="B285" s="465">
        <v>2</v>
      </c>
      <c r="C285" s="450">
        <f>C286-C284</f>
        <v>-496.51568670695679</v>
      </c>
      <c r="D285" s="471">
        <f>D279</f>
        <v>5.1665294399999999E-2</v>
      </c>
      <c r="E285" s="464">
        <f t="shared" si="441"/>
        <v>-25652.63</v>
      </c>
      <c r="F285" s="471">
        <f>F282</f>
        <v>5.1665294399999999E-2</v>
      </c>
      <c r="G285" s="464">
        <f t="shared" si="442"/>
        <v>-25652.63</v>
      </c>
      <c r="H285" s="471">
        <f t="shared" si="443"/>
        <v>5.1665294399999999E-2</v>
      </c>
      <c r="I285" s="464">
        <f t="shared" si="441"/>
        <v>-25652.63</v>
      </c>
      <c r="J285" s="455"/>
      <c r="K285" s="460">
        <f t="shared" si="444"/>
        <v>43344</v>
      </c>
      <c r="L285" s="465">
        <v>2</v>
      </c>
      <c r="M285" s="450">
        <f>M286-M284</f>
        <v>-169.1350252930433</v>
      </c>
      <c r="N285" s="471">
        <f>N279</f>
        <v>3.9793081800000005E-2</v>
      </c>
      <c r="O285" s="464">
        <f>ROUND(N285*$M285*1000,2)</f>
        <v>-6730.4</v>
      </c>
      <c r="P285" s="471">
        <f>P282</f>
        <v>3.9793081800000005E-2</v>
      </c>
      <c r="Q285" s="464">
        <f>ROUND(P285*$M285*1000,2)</f>
        <v>-6730.4</v>
      </c>
      <c r="R285" s="471">
        <f t="shared" si="445"/>
        <v>3.9793081800000005E-2</v>
      </c>
      <c r="S285" s="464">
        <f>ROUND(R285*$M285*1000,2)</f>
        <v>-6730.4</v>
      </c>
      <c r="T285" s="455"/>
    </row>
    <row r="286" spans="1:20">
      <c r="A286" s="460"/>
      <c r="B286" s="466" t="s">
        <v>93</v>
      </c>
      <c r="C286" s="472">
        <f>TempMWH!M12*$J$261</f>
        <v>-1317.8986867069568</v>
      </c>
      <c r="E286" s="468"/>
      <c r="G286" s="468"/>
      <c r="I286" s="468"/>
      <c r="J286" s="455"/>
      <c r="K286" s="460"/>
      <c r="L286" s="466" t="s">
        <v>93</v>
      </c>
      <c r="M286" s="472">
        <f>TempMWH!M12-TempRevMay!C286</f>
        <v>-224.50202529304329</v>
      </c>
      <c r="O286" s="468"/>
      <c r="Q286" s="468"/>
      <c r="S286" s="468"/>
    </row>
    <row r="287" spans="1:20">
      <c r="A287" s="460">
        <f t="shared" ref="A287:A288" si="446">A164</f>
        <v>43374</v>
      </c>
      <c r="B287" s="465">
        <v>1</v>
      </c>
      <c r="C287" s="450">
        <f>C289</f>
        <v>1731.2657676886749</v>
      </c>
      <c r="D287" s="471">
        <f>0.049983*(1+$X$16)</f>
        <v>4.7878715699999998E-2</v>
      </c>
      <c r="E287" s="464">
        <f t="shared" ref="E287:I288" si="447">ROUND(D287*$C287*1000,2)</f>
        <v>82890.78</v>
      </c>
      <c r="F287" s="471">
        <f>F260</f>
        <v>4.7878715699999998E-2</v>
      </c>
      <c r="G287" s="464">
        <f t="shared" ref="G287:G288" si="448">ROUND(F287*$C287*1000,2)</f>
        <v>82890.78</v>
      </c>
      <c r="H287" s="471">
        <f t="shared" ref="H287:H288" si="449">F287</f>
        <v>4.7878715699999998E-2</v>
      </c>
      <c r="I287" s="464">
        <f t="shared" si="447"/>
        <v>82890.78</v>
      </c>
      <c r="J287" s="455"/>
      <c r="K287" s="460">
        <f t="shared" ref="K287:K288" si="450">A287</f>
        <v>43374</v>
      </c>
      <c r="L287" s="465">
        <v>1</v>
      </c>
      <c r="M287" s="450">
        <f>M289</f>
        <v>294.9184752113249</v>
      </c>
      <c r="N287" s="471">
        <f>D287</f>
        <v>4.7878715699999998E-2</v>
      </c>
      <c r="O287" s="464">
        <f>ROUND(N287*$M287*1000,2)</f>
        <v>14120.32</v>
      </c>
      <c r="P287" s="471">
        <f>P260</f>
        <v>4.7878715699999998E-2</v>
      </c>
      <c r="Q287" s="464">
        <f>ROUND(P287*$M287*1000,2)</f>
        <v>14120.32</v>
      </c>
      <c r="R287" s="471">
        <f t="shared" ref="R287:R288" si="451">P287</f>
        <v>4.7878715699999998E-2</v>
      </c>
      <c r="S287" s="464">
        <f>ROUND(R287*$M287*1000,2)</f>
        <v>14120.32</v>
      </c>
    </row>
    <row r="288" spans="1:20">
      <c r="A288" s="460">
        <f t="shared" si="446"/>
        <v>43374</v>
      </c>
      <c r="B288" s="465">
        <v>2</v>
      </c>
      <c r="C288" s="450">
        <f>C289-C287</f>
        <v>0</v>
      </c>
      <c r="D288" s="471">
        <f>0.049983*(1+$X$16)</f>
        <v>4.7878715699999998E-2</v>
      </c>
      <c r="E288" s="464">
        <f t="shared" si="447"/>
        <v>0</v>
      </c>
      <c r="F288" s="471">
        <f>F261</f>
        <v>4.7878715699999998E-2</v>
      </c>
      <c r="G288" s="464">
        <f t="shared" si="448"/>
        <v>0</v>
      </c>
      <c r="H288" s="471">
        <f t="shared" si="449"/>
        <v>4.7878715699999998E-2</v>
      </c>
      <c r="I288" s="464">
        <f t="shared" si="447"/>
        <v>0</v>
      </c>
      <c r="J288" s="581"/>
      <c r="K288" s="460">
        <f t="shared" si="450"/>
        <v>43374</v>
      </c>
      <c r="L288" s="465">
        <v>2</v>
      </c>
      <c r="M288" s="450">
        <f>M289-M287</f>
        <v>0</v>
      </c>
      <c r="N288" s="471">
        <f>D288</f>
        <v>4.7878715699999998E-2</v>
      </c>
      <c r="O288" s="464">
        <f>ROUND(N288*$M288*1000,2)</f>
        <v>0</v>
      </c>
      <c r="P288" s="471">
        <f>P261</f>
        <v>4.7878715699999998E-2</v>
      </c>
      <c r="Q288" s="464">
        <f>ROUND(P288*$M288*1000,2)</f>
        <v>0</v>
      </c>
      <c r="R288" s="471">
        <f t="shared" si="451"/>
        <v>4.7878715699999998E-2</v>
      </c>
      <c r="S288" s="464">
        <f>ROUND(R288*$M288*1000,2)</f>
        <v>0</v>
      </c>
      <c r="T288" s="455"/>
    </row>
    <row r="289" spans="1:20">
      <c r="A289" s="460"/>
      <c r="B289" s="466" t="s">
        <v>93</v>
      </c>
      <c r="C289" s="467">
        <f>TempMWH!M13*$J$261</f>
        <v>1731.2657676886749</v>
      </c>
      <c r="E289" s="468"/>
      <c r="G289" s="468"/>
      <c r="I289" s="468"/>
      <c r="J289" s="581"/>
      <c r="K289" s="460"/>
      <c r="L289" s="466" t="s">
        <v>93</v>
      </c>
      <c r="M289" s="467">
        <f>TempMWH!M13-TempRevMay!C289</f>
        <v>294.9184752113249</v>
      </c>
      <c r="O289" s="468"/>
      <c r="Q289" s="468"/>
      <c r="S289" s="468"/>
    </row>
    <row r="290" spans="1:20">
      <c r="A290" s="460">
        <f t="shared" ref="A290:A291" si="452">A167</f>
        <v>43405</v>
      </c>
      <c r="B290" s="465">
        <v>1</v>
      </c>
      <c r="C290" s="450">
        <f>C292</f>
        <v>0</v>
      </c>
      <c r="D290" s="471">
        <f>D287</f>
        <v>4.7878715699999998E-2</v>
      </c>
      <c r="E290" s="464">
        <f t="shared" ref="E290:I291" si="453">ROUND(D290*$C290*1000,2)</f>
        <v>0</v>
      </c>
      <c r="F290" s="471">
        <f t="shared" ref="F290:F291" si="454">F263</f>
        <v>4.7878715699999998E-2</v>
      </c>
      <c r="G290" s="464">
        <f t="shared" ref="G290:G291" si="455">ROUND(F290*$C290*1000,2)</f>
        <v>0</v>
      </c>
      <c r="H290" s="471">
        <f t="shared" ref="H290:H291" si="456">F290</f>
        <v>4.7878715699999998E-2</v>
      </c>
      <c r="I290" s="464">
        <f t="shared" si="453"/>
        <v>0</v>
      </c>
      <c r="J290" s="581"/>
      <c r="K290" s="460">
        <f t="shared" ref="K290:K291" si="457">A290</f>
        <v>43405</v>
      </c>
      <c r="L290" s="465">
        <v>1</v>
      </c>
      <c r="M290" s="450">
        <f>M292</f>
        <v>0</v>
      </c>
      <c r="N290" s="471">
        <f t="shared" ref="N290:N291" si="458">D290</f>
        <v>4.7878715699999998E-2</v>
      </c>
      <c r="O290" s="464">
        <f>ROUND(N290*$M290*1000,2)</f>
        <v>0</v>
      </c>
      <c r="P290" s="471">
        <f>P287</f>
        <v>4.7878715699999998E-2</v>
      </c>
      <c r="Q290" s="464">
        <f>ROUND(P290*$M290*1000,2)</f>
        <v>0</v>
      </c>
      <c r="R290" s="471">
        <f t="shared" ref="R290:R291" si="459">P290</f>
        <v>4.7878715699999998E-2</v>
      </c>
      <c r="S290" s="464">
        <f>ROUND(R290*$M290*1000,2)</f>
        <v>0</v>
      </c>
      <c r="T290" s="455"/>
    </row>
    <row r="291" spans="1:20">
      <c r="A291" s="460">
        <f t="shared" si="452"/>
        <v>43405</v>
      </c>
      <c r="B291" s="465">
        <v>2</v>
      </c>
      <c r="C291" s="450">
        <f>C292-C290</f>
        <v>0</v>
      </c>
      <c r="D291" s="471">
        <f>D288</f>
        <v>4.7878715699999998E-2</v>
      </c>
      <c r="E291" s="464">
        <f t="shared" si="453"/>
        <v>0</v>
      </c>
      <c r="F291" s="471">
        <f t="shared" si="454"/>
        <v>4.7878715699999998E-2</v>
      </c>
      <c r="G291" s="464">
        <f t="shared" si="455"/>
        <v>0</v>
      </c>
      <c r="H291" s="471">
        <f t="shared" si="456"/>
        <v>4.7878715699999998E-2</v>
      </c>
      <c r="I291" s="464">
        <f t="shared" si="453"/>
        <v>0</v>
      </c>
      <c r="J291" s="581"/>
      <c r="K291" s="460">
        <f t="shared" si="457"/>
        <v>43405</v>
      </c>
      <c r="L291" s="465">
        <v>2</v>
      </c>
      <c r="M291" s="450">
        <f>M292-M290</f>
        <v>0</v>
      </c>
      <c r="N291" s="471">
        <f t="shared" si="458"/>
        <v>4.7878715699999998E-2</v>
      </c>
      <c r="O291" s="464">
        <f>ROUND(N291*$M291*1000,2)</f>
        <v>0</v>
      </c>
      <c r="P291" s="471">
        <f>P288</f>
        <v>4.7878715699999998E-2</v>
      </c>
      <c r="Q291" s="464">
        <f>ROUND(P291*$M291*1000,2)</f>
        <v>0</v>
      </c>
      <c r="R291" s="471">
        <f t="shared" si="459"/>
        <v>4.7878715699999998E-2</v>
      </c>
      <c r="S291" s="464">
        <f>ROUND(R291*$M291*1000,2)</f>
        <v>0</v>
      </c>
      <c r="T291" s="455"/>
    </row>
    <row r="292" spans="1:20">
      <c r="A292" s="460"/>
      <c r="B292" s="466" t="s">
        <v>93</v>
      </c>
      <c r="C292" s="467">
        <f>TempMWH!M14*$J$261</f>
        <v>0</v>
      </c>
      <c r="E292" s="468"/>
      <c r="G292" s="468"/>
      <c r="I292" s="468"/>
      <c r="J292" s="581"/>
      <c r="K292" s="460"/>
      <c r="L292" s="466" t="s">
        <v>93</v>
      </c>
      <c r="M292" s="467">
        <f>TempMWH!M14-TempRevMay!C292</f>
        <v>0</v>
      </c>
      <c r="O292" s="468"/>
      <c r="Q292" s="468"/>
      <c r="S292" s="468"/>
    </row>
    <row r="293" spans="1:20">
      <c r="A293" s="460">
        <f t="shared" ref="A293:A294" si="460">A170</f>
        <v>43435</v>
      </c>
      <c r="B293" s="465">
        <v>1</v>
      </c>
      <c r="C293" s="450">
        <f>C295</f>
        <v>0</v>
      </c>
      <c r="D293" s="471">
        <f>D287</f>
        <v>4.7878715699999998E-2</v>
      </c>
      <c r="E293" s="464">
        <f t="shared" ref="E293:I294" si="461">ROUND(D293*$C293*1000,2)</f>
        <v>0</v>
      </c>
      <c r="F293" s="471">
        <f t="shared" ref="F293:F294" si="462">F266</f>
        <v>4.7878715699999998E-2</v>
      </c>
      <c r="G293" s="464">
        <f t="shared" ref="G293:G294" si="463">ROUND(F293*$C293*1000,2)</f>
        <v>0</v>
      </c>
      <c r="H293" s="471">
        <f t="shared" ref="H293:H294" si="464">F293</f>
        <v>4.7878715699999998E-2</v>
      </c>
      <c r="I293" s="464">
        <f t="shared" si="461"/>
        <v>0</v>
      </c>
      <c r="J293" s="581"/>
      <c r="K293" s="460">
        <f t="shared" ref="K293:K294" si="465">A293</f>
        <v>43435</v>
      </c>
      <c r="L293" s="465">
        <v>1</v>
      </c>
      <c r="M293" s="450">
        <f>M295</f>
        <v>0</v>
      </c>
      <c r="N293" s="471">
        <f t="shared" ref="N293:N294" si="466">D293</f>
        <v>4.7878715699999998E-2</v>
      </c>
      <c r="O293" s="464">
        <f>ROUND(N293*$M293*1000,2)</f>
        <v>0</v>
      </c>
      <c r="P293" s="471">
        <f>P290</f>
        <v>4.7878715699999998E-2</v>
      </c>
      <c r="Q293" s="464">
        <f>ROUND(P293*$M293*1000,2)</f>
        <v>0</v>
      </c>
      <c r="R293" s="471">
        <f t="shared" ref="R293:R294" si="467">P293</f>
        <v>4.7878715699999998E-2</v>
      </c>
      <c r="S293" s="464">
        <f>ROUND(R293*$M293*1000,2)</f>
        <v>0</v>
      </c>
    </row>
    <row r="294" spans="1:20">
      <c r="A294" s="460">
        <f t="shared" si="460"/>
        <v>43435</v>
      </c>
      <c r="B294" s="465">
        <v>2</v>
      </c>
      <c r="C294" s="450">
        <f>C295-C293</f>
        <v>0</v>
      </c>
      <c r="D294" s="471">
        <f>D288</f>
        <v>4.7878715699999998E-2</v>
      </c>
      <c r="E294" s="464">
        <f t="shared" si="461"/>
        <v>0</v>
      </c>
      <c r="F294" s="471">
        <f t="shared" si="462"/>
        <v>4.7878715699999998E-2</v>
      </c>
      <c r="G294" s="464">
        <f t="shared" si="463"/>
        <v>0</v>
      </c>
      <c r="H294" s="471">
        <f t="shared" si="464"/>
        <v>4.7878715699999998E-2</v>
      </c>
      <c r="I294" s="464">
        <f t="shared" si="461"/>
        <v>0</v>
      </c>
      <c r="J294" s="455"/>
      <c r="K294" s="460">
        <f t="shared" si="465"/>
        <v>43435</v>
      </c>
      <c r="L294" s="465">
        <v>2</v>
      </c>
      <c r="M294" s="450">
        <f>M295-M293</f>
        <v>0</v>
      </c>
      <c r="N294" s="471">
        <f t="shared" si="466"/>
        <v>4.7878715699999998E-2</v>
      </c>
      <c r="O294" s="464">
        <f>ROUND(N294*$M294*1000,2)</f>
        <v>0</v>
      </c>
      <c r="P294" s="471">
        <f>P291</f>
        <v>4.7878715699999998E-2</v>
      </c>
      <c r="Q294" s="464">
        <f>ROUND(P294*$M294*1000,2)</f>
        <v>0</v>
      </c>
      <c r="R294" s="471">
        <f t="shared" si="467"/>
        <v>4.7878715699999998E-2</v>
      </c>
      <c r="S294" s="464">
        <f>ROUND(R294*$M294*1000,2)</f>
        <v>0</v>
      </c>
    </row>
    <row r="295" spans="1:20">
      <c r="A295" s="474"/>
      <c r="B295" s="474" t="s">
        <v>93</v>
      </c>
      <c r="C295" s="480">
        <f>TempMWH!M15*$J$261</f>
        <v>0</v>
      </c>
      <c r="D295" s="481"/>
      <c r="E295" s="478"/>
      <c r="F295" s="481"/>
      <c r="G295" s="478"/>
      <c r="H295" s="481"/>
      <c r="I295" s="478"/>
      <c r="J295" s="455"/>
      <c r="K295" s="474"/>
      <c r="L295" s="474" t="s">
        <v>93</v>
      </c>
      <c r="M295" s="480">
        <f>TempMWH!M15-TempRevMay!C295</f>
        <v>0</v>
      </c>
      <c r="N295" s="481"/>
      <c r="O295" s="478"/>
      <c r="P295" s="481"/>
      <c r="Q295" s="478"/>
      <c r="R295" s="481"/>
      <c r="S295" s="478"/>
    </row>
    <row r="296" spans="1:20">
      <c r="A296" s="449" t="s">
        <v>93</v>
      </c>
      <c r="B296" s="449"/>
      <c r="C296" s="450">
        <f>SUM(C260:C261,C263:C264,C266:C267,C269:C270,C272:C273,C275:C276,C278:C279,C281:C282,C284:C285,C287:C288,C290:C291,C293:C294)</f>
        <v>-1759.5728802629858</v>
      </c>
      <c r="D296" s="449"/>
      <c r="E296" s="468">
        <f>SUM(E260:E261,E263:E264,E266:E267,E269:E270,E272:E273,E275:E276,E278:E279,E281:E282,E284:E285,E287:E288,E290:E291,E293:E294)</f>
        <v>-148217.03</v>
      </c>
      <c r="F296" s="449"/>
      <c r="G296" s="468">
        <f>SUM(G260:G261,G263:G264,G266:G267,G269:G270,G272:G273,G275:G276,G278:G279,G281:G282,G284:G285,G287:G288,G290:G291,G293:G294)</f>
        <v>-148217.03</v>
      </c>
      <c r="H296" s="449"/>
      <c r="I296" s="468">
        <f>SUM(I260:I261,I263:I264,I266:I267,I269:I270,I272:I273,I275:I276,I278:I279,I281:I282,I284:I285,I287:I288,I290:I291,I293:I294)</f>
        <v>-148217.03</v>
      </c>
      <c r="J296" s="581"/>
      <c r="K296" s="449" t="s">
        <v>93</v>
      </c>
      <c r="L296" s="449"/>
      <c r="M296" s="450">
        <f>SUM(M260:M261,M263:M264,M266:M267,M269:M270,M272:M273,M275:M276,M278:M279,M281:M282,M284:M285,M287:M288,M290:M291,M293:M294)</f>
        <v>-299.74054853701409</v>
      </c>
      <c r="N296" s="449"/>
      <c r="O296" s="468">
        <f>SUM(O260:O261,O263:O264,O266:O267,O269:O270,O272:O273,O275:O276,O278:O279,O281:O282,O284:O285,O287:O288,O290:O291,O293:O294)</f>
        <v>-25972.82</v>
      </c>
      <c r="P296" s="449"/>
      <c r="Q296" s="468">
        <f>SUM(Q260:Q261,Q263:Q264,Q266:Q267,Q269:Q270,Q272:Q273,Q275:Q276,Q278:Q279,Q281:Q282,Q284:Q285,Q287:Q288,Q290:Q291,Q293:Q294)</f>
        <v>-25972.82</v>
      </c>
      <c r="R296" s="449"/>
      <c r="S296" s="468">
        <f>SUM(S260:S261,S263:S264,S266:S267,S269:S270,S272:S273,S275:S276,S278:S279,S281:S282,S284:S285,S287:S288,S290:S291,S293:S294)</f>
        <v>-25972.82</v>
      </c>
    </row>
    <row r="297" spans="1:20">
      <c r="B297" s="445"/>
      <c r="C297" s="446"/>
      <c r="J297" s="581"/>
      <c r="K297" s="445" t="s">
        <v>697</v>
      </c>
      <c r="M297" s="446">
        <f>M296+C296</f>
        <v>-2059.3134288000001</v>
      </c>
      <c r="O297" s="468">
        <f>O296+E296</f>
        <v>-174189.85</v>
      </c>
      <c r="Q297" s="468">
        <f>Q296+G296</f>
        <v>-174189.85</v>
      </c>
      <c r="S297" s="468">
        <f>S296+I296</f>
        <v>-174189.85</v>
      </c>
    </row>
    <row r="298" spans="1:20">
      <c r="B298" s="445"/>
      <c r="J298" s="581"/>
    </row>
    <row r="299" spans="1:20">
      <c r="A299" s="449"/>
      <c r="B299" s="454"/>
      <c r="C299" s="450"/>
      <c r="D299" s="488"/>
      <c r="E299" s="468"/>
      <c r="F299" s="488"/>
      <c r="G299" s="468"/>
      <c r="H299" s="488"/>
      <c r="I299" s="468"/>
      <c r="J299" s="458"/>
    </row>
    <row r="300" spans="1:20">
      <c r="A300" s="489" t="s">
        <v>256</v>
      </c>
      <c r="B300" s="490"/>
      <c r="C300" s="491"/>
      <c r="D300" s="492"/>
      <c r="E300" s="493"/>
      <c r="F300" s="492"/>
      <c r="G300" s="493"/>
      <c r="H300" s="492"/>
      <c r="I300" s="493"/>
      <c r="J300" s="458"/>
      <c r="K300" s="489" t="s">
        <v>256</v>
      </c>
      <c r="L300" s="490"/>
      <c r="M300" s="491"/>
      <c r="N300" s="492"/>
      <c r="O300" s="493"/>
      <c r="P300" s="492"/>
      <c r="Q300" s="493"/>
      <c r="R300" s="492"/>
      <c r="S300" s="493"/>
    </row>
    <row r="301" spans="1:20">
      <c r="A301" s="494"/>
      <c r="B301" s="495"/>
      <c r="C301" s="496"/>
      <c r="D301" s="496"/>
      <c r="E301" s="497" t="s">
        <v>425</v>
      </c>
      <c r="F301" s="496"/>
      <c r="G301" s="497" t="s">
        <v>494</v>
      </c>
      <c r="H301" s="496"/>
      <c r="I301" s="497" t="s">
        <v>216</v>
      </c>
      <c r="J301" s="458"/>
      <c r="K301" s="494"/>
      <c r="L301" s="495"/>
      <c r="M301" s="496"/>
      <c r="N301" s="496"/>
      <c r="O301" s="497" t="s">
        <v>425</v>
      </c>
      <c r="P301" s="496"/>
      <c r="Q301" s="497" t="s">
        <v>494</v>
      </c>
      <c r="R301" s="496"/>
      <c r="S301" s="497" t="s">
        <v>216</v>
      </c>
    </row>
    <row r="302" spans="1:20">
      <c r="A302" s="498" t="s">
        <v>218</v>
      </c>
      <c r="B302" s="499"/>
      <c r="C302" s="500" t="s">
        <v>111</v>
      </c>
      <c r="D302" s="498"/>
      <c r="E302" s="500" t="s">
        <v>496</v>
      </c>
      <c r="F302" s="498"/>
      <c r="G302" s="500" t="s">
        <v>496</v>
      </c>
      <c r="H302" s="498"/>
      <c r="I302" s="500" t="s">
        <v>496</v>
      </c>
      <c r="J302" s="458"/>
      <c r="K302" s="498" t="s">
        <v>218</v>
      </c>
      <c r="L302" s="499"/>
      <c r="M302" s="500" t="s">
        <v>111</v>
      </c>
      <c r="N302" s="498"/>
      <c r="O302" s="500" t="s">
        <v>496</v>
      </c>
      <c r="P302" s="498"/>
      <c r="Q302" s="500" t="s">
        <v>496</v>
      </c>
      <c r="R302" s="498"/>
      <c r="S302" s="500" t="s">
        <v>496</v>
      </c>
    </row>
    <row r="303" spans="1:20">
      <c r="A303" s="496" t="s">
        <v>448</v>
      </c>
      <c r="B303" s="501" t="s">
        <v>784</v>
      </c>
      <c r="C303" s="479">
        <f>(C26+C30+C34+C38)*1000</f>
        <v>-34783783</v>
      </c>
      <c r="D303" s="479"/>
      <c r="E303" s="479">
        <f>(E22+E26+E30+E34+E38)</f>
        <v>-2145714.9800000004</v>
      </c>
      <c r="F303" s="479"/>
      <c r="G303" s="479">
        <f>(G22+G26+G30+G34+G38)</f>
        <v>-2145714.9800000004</v>
      </c>
      <c r="H303" s="479"/>
      <c r="I303" s="479">
        <f>(I22+I26+I30+I34+I38)</f>
        <v>-2145714.9800000004</v>
      </c>
      <c r="J303" s="458">
        <f>'123'!K30</f>
        <v>1.7661592408192667E-2</v>
      </c>
      <c r="K303" s="496" t="s">
        <v>978</v>
      </c>
      <c r="L303" s="501" t="s">
        <v>784</v>
      </c>
      <c r="M303" s="479">
        <f>C303*$J$303</f>
        <v>-614336.99776102114</v>
      </c>
      <c r="N303" s="479"/>
      <c r="O303" s="479">
        <f t="shared" ref="O303:O307" si="468">E303*$J$303</f>
        <v>-37896.743400913292</v>
      </c>
      <c r="P303" s="479"/>
      <c r="Q303" s="479">
        <f t="shared" ref="Q303:Q307" si="469">G303*$J$303</f>
        <v>-37896.743400913292</v>
      </c>
      <c r="R303" s="479"/>
      <c r="S303" s="479">
        <f t="shared" ref="S303:S307" si="470">I303*$J$303</f>
        <v>-37896.743400913292</v>
      </c>
    </row>
    <row r="304" spans="1:20">
      <c r="A304" s="449"/>
      <c r="B304" s="501" t="s">
        <v>785</v>
      </c>
      <c r="C304" s="479">
        <f>(C27+C31+C35+C39)*1000</f>
        <v>-27801712</v>
      </c>
      <c r="D304" s="479"/>
      <c r="E304" s="479">
        <f>(E23+E27+E31+E35+E39)</f>
        <v>-2236908.5499999998</v>
      </c>
      <c r="F304" s="479"/>
      <c r="G304" s="479">
        <f>(G23+G27+G31+G35+G39)</f>
        <v>-2236908.5499999998</v>
      </c>
      <c r="H304" s="479"/>
      <c r="I304" s="479">
        <f>(I23+I27+I31+I35+I39)</f>
        <v>-2236908.5499999998</v>
      </c>
      <c r="J304" s="458"/>
      <c r="K304" s="449"/>
      <c r="L304" s="501" t="s">
        <v>785</v>
      </c>
      <c r="M304" s="479">
        <f t="shared" ref="M304:M306" si="471">C304*$J$303</f>
        <v>-491022.50559395901</v>
      </c>
      <c r="N304" s="479"/>
      <c r="O304" s="479">
        <f t="shared" si="468"/>
        <v>-39507.367064501268</v>
      </c>
      <c r="P304" s="479"/>
      <c r="Q304" s="479">
        <f t="shared" si="469"/>
        <v>-39507.367064501268</v>
      </c>
      <c r="R304" s="479"/>
      <c r="S304" s="479">
        <f t="shared" si="470"/>
        <v>-39507.367064501268</v>
      </c>
    </row>
    <row r="305" spans="1:20">
      <c r="A305" s="449"/>
      <c r="B305" s="501" t="s">
        <v>786</v>
      </c>
      <c r="C305" s="479">
        <f>(C28+C32+C36+C40)*1000</f>
        <v>-14387912.051893331</v>
      </c>
      <c r="D305" s="479"/>
      <c r="E305" s="479">
        <f>(E24+E28+E32+E36+E40)</f>
        <v>-1449277.1099999999</v>
      </c>
      <c r="F305" s="479"/>
      <c r="G305" s="479">
        <f>(G24+G28+G32+G36+G40)</f>
        <v>-1449277.1099999999</v>
      </c>
      <c r="H305" s="479"/>
      <c r="I305" s="479">
        <f>(I24+I28+I32+I36+I40)</f>
        <v>-1449277.1099999999</v>
      </c>
      <c r="J305" s="458"/>
      <c r="K305" s="449"/>
      <c r="L305" s="501" t="s">
        <v>786</v>
      </c>
      <c r="M305" s="479">
        <f t="shared" si="471"/>
        <v>-254113.43826546305</v>
      </c>
      <c r="N305" s="479"/>
      <c r="O305" s="479">
        <f t="shared" si="468"/>
        <v>-25596.541603343408</v>
      </c>
      <c r="P305" s="479"/>
      <c r="Q305" s="479">
        <f t="shared" si="469"/>
        <v>-25596.541603343408</v>
      </c>
      <c r="R305" s="479"/>
      <c r="S305" s="479">
        <f t="shared" si="470"/>
        <v>-25596.541603343408</v>
      </c>
    </row>
    <row r="306" spans="1:20">
      <c r="A306" s="449"/>
      <c r="B306" s="501" t="s">
        <v>783</v>
      </c>
      <c r="C306" s="479">
        <f>(C10+C13+C16+C19+C22+C42+C45+C48)*1000</f>
        <v>11094136.000000002</v>
      </c>
      <c r="D306" s="479"/>
      <c r="E306" s="479">
        <f>E10+E13+E16+E19+E42+E45+E48</f>
        <v>131201.20999999996</v>
      </c>
      <c r="F306" s="479"/>
      <c r="G306" s="479">
        <f>G10+G13+G16+G19+G42+G45+G48</f>
        <v>131201.20999999996</v>
      </c>
      <c r="H306" s="479"/>
      <c r="I306" s="479">
        <f>I10+I13+I16+I19+I42+I45+I48</f>
        <v>131201.20999999996</v>
      </c>
      <c r="J306" s="458"/>
      <c r="K306" s="449"/>
      <c r="L306" s="501" t="s">
        <v>783</v>
      </c>
      <c r="M306" s="479">
        <f t="shared" si="471"/>
        <v>195940.10815305699</v>
      </c>
      <c r="N306" s="479"/>
      <c r="O306" s="479">
        <f t="shared" si="468"/>
        <v>2317.2222944816913</v>
      </c>
      <c r="P306" s="479"/>
      <c r="Q306" s="479">
        <f t="shared" si="469"/>
        <v>2317.2222944816913</v>
      </c>
      <c r="R306" s="479"/>
      <c r="S306" s="479">
        <f t="shared" si="470"/>
        <v>2317.2222944816913</v>
      </c>
    </row>
    <row r="307" spans="1:20">
      <c r="A307" s="449"/>
      <c r="B307" s="501" t="s">
        <v>782</v>
      </c>
      <c r="C307" s="479">
        <f>(C11+C14+C17+C20+C23+C24+C43+C46+C49)*1000</f>
        <v>12901093.480520798</v>
      </c>
      <c r="D307" s="479"/>
      <c r="E307" s="479">
        <f>E11+E14+E17+E20+E43+E46+E49</f>
        <v>135422.67999999982</v>
      </c>
      <c r="F307" s="479"/>
      <c r="G307" s="479">
        <f>G11+G14+G17+G20+G43+G46+G49</f>
        <v>135422.67999999982</v>
      </c>
      <c r="H307" s="479"/>
      <c r="I307" s="479">
        <f>I11+I14+I17+I20+I43+I46+I49</f>
        <v>135422.67999999982</v>
      </c>
      <c r="J307" s="458"/>
      <c r="K307" s="449"/>
      <c r="L307" s="501" t="s">
        <v>782</v>
      </c>
      <c r="M307" s="479">
        <f>C307*$J$303</f>
        <v>227853.85467295005</v>
      </c>
      <c r="N307" s="479"/>
      <c r="O307" s="479">
        <f t="shared" si="468"/>
        <v>2391.7801769851017</v>
      </c>
      <c r="P307" s="479"/>
      <c r="Q307" s="479">
        <f t="shared" si="469"/>
        <v>2391.7801769851017</v>
      </c>
      <c r="R307" s="479"/>
      <c r="S307" s="479">
        <f t="shared" si="470"/>
        <v>2391.7801769851017</v>
      </c>
    </row>
    <row r="308" spans="1:20" ht="16.5" thickBot="1">
      <c r="A308" s="449"/>
      <c r="B308" s="504" t="s">
        <v>93</v>
      </c>
      <c r="C308" s="505">
        <f>SUM(C303:C307)</f>
        <v>-52978177.571372524</v>
      </c>
      <c r="D308" s="505"/>
      <c r="E308" s="505">
        <f>SUM(E303:E307)</f>
        <v>-5565276.7500000009</v>
      </c>
      <c r="F308" s="505"/>
      <c r="G308" s="505">
        <f>SUM(G303:G307)</f>
        <v>-5565276.7500000009</v>
      </c>
      <c r="H308" s="505"/>
      <c r="I308" s="505">
        <f>SUM(I303:I307)</f>
        <v>-5565276.7500000009</v>
      </c>
      <c r="J308" s="458"/>
      <c r="K308" s="449"/>
      <c r="L308" s="504" t="s">
        <v>93</v>
      </c>
      <c r="M308" s="505">
        <f>SUM(M303:M307)</f>
        <v>-935678.9787944362</v>
      </c>
      <c r="N308" s="505"/>
      <c r="O308" s="505">
        <f>SUM(O303:O307)</f>
        <v>-98291.64959729118</v>
      </c>
      <c r="P308" s="505"/>
      <c r="Q308" s="505">
        <f>SUM(Q303:Q307)</f>
        <v>-98291.64959729118</v>
      </c>
      <c r="R308" s="505"/>
      <c r="S308" s="505">
        <f>SUM(S303:S307)</f>
        <v>-98291.64959729118</v>
      </c>
    </row>
    <row r="309" spans="1:20" ht="16.5" thickTop="1">
      <c r="A309" s="496" t="s">
        <v>449</v>
      </c>
      <c r="B309" s="501" t="s">
        <v>784</v>
      </c>
      <c r="C309" s="479">
        <f>(C72+C76+C80+C84)*1000</f>
        <v>-38622</v>
      </c>
      <c r="D309" s="479"/>
      <c r="E309" s="479">
        <f>(E68+E72+E76+E80+E84)</f>
        <v>-2302.5700000000002</v>
      </c>
      <c r="F309" s="479"/>
      <c r="G309" s="479">
        <f>(G68+G72+G76+G80+G84)</f>
        <v>-2302.5700000000002</v>
      </c>
      <c r="H309" s="479"/>
      <c r="I309" s="479">
        <f>(I68+I72+I76+I80+I84)</f>
        <v>-2302.5700000000002</v>
      </c>
      <c r="J309" s="458">
        <f>'123'!L30</f>
        <v>5.5323448686988757E-3</v>
      </c>
      <c r="K309" s="496" t="s">
        <v>1232</v>
      </c>
      <c r="L309" s="501" t="s">
        <v>784</v>
      </c>
      <c r="M309" s="479">
        <f>C303*$J$309</f>
        <v>-192435.88339398519</v>
      </c>
      <c r="N309" s="479"/>
      <c r="O309" s="479">
        <f>E303*$J$309</f>
        <v>-11870.835259293313</v>
      </c>
      <c r="P309" s="479"/>
      <c r="Q309" s="479">
        <f>G303*$J$309</f>
        <v>-11870.835259293313</v>
      </c>
      <c r="R309" s="479"/>
      <c r="S309" s="479">
        <f>I303*$J$309</f>
        <v>-11870.835259293313</v>
      </c>
    </row>
    <row r="310" spans="1:20">
      <c r="A310" s="449"/>
      <c r="B310" s="501" t="s">
        <v>785</v>
      </c>
      <c r="C310" s="479">
        <f>(C73+C77+C81+C85)*1000</f>
        <v>-28223.000000000004</v>
      </c>
      <c r="D310" s="479"/>
      <c r="E310" s="479">
        <f>(E69+E73+E77+E81+E85)</f>
        <v>-2194.6900000000005</v>
      </c>
      <c r="F310" s="479"/>
      <c r="G310" s="479">
        <f>(G69+G73+G77+G81+G85)</f>
        <v>-2194.6900000000005</v>
      </c>
      <c r="H310" s="479"/>
      <c r="I310" s="479">
        <f>(I69+I73+I77+I81+I85)</f>
        <v>-2194.6900000000005</v>
      </c>
      <c r="J310" s="458"/>
      <c r="K310" s="449"/>
      <c r="L310" s="501" t="s">
        <v>785</v>
      </c>
      <c r="M310" s="479">
        <f t="shared" ref="M310:M313" si="472">C304*$J$309</f>
        <v>-153808.65872424396</v>
      </c>
      <c r="N310" s="479"/>
      <c r="O310" s="479">
        <f t="shared" ref="O310:S313" si="473">E304*$J$309</f>
        <v>-12375.349538341141</v>
      </c>
      <c r="P310" s="479"/>
      <c r="Q310" s="479">
        <f t="shared" si="473"/>
        <v>-12375.349538341141</v>
      </c>
      <c r="R310" s="479"/>
      <c r="S310" s="479">
        <f t="shared" si="473"/>
        <v>-12375.349538341141</v>
      </c>
    </row>
    <row r="311" spans="1:20">
      <c r="A311" s="449"/>
      <c r="B311" s="501" t="s">
        <v>786</v>
      </c>
      <c r="C311" s="479">
        <f>(C74+C78+C82+C86)*1000</f>
        <v>-11762.581200751167</v>
      </c>
      <c r="D311" s="479"/>
      <c r="E311" s="479">
        <f>(E70+E74+E78+E82+E86)</f>
        <v>-1145.05</v>
      </c>
      <c r="F311" s="479"/>
      <c r="G311" s="479">
        <f>(G70+G74+G78+G82+G86)</f>
        <v>-1145.05</v>
      </c>
      <c r="H311" s="479"/>
      <c r="I311" s="479">
        <f>(I70+I74+I78+I82+I86)</f>
        <v>-1145.05</v>
      </c>
      <c r="J311" s="458"/>
      <c r="K311" s="449"/>
      <c r="L311" s="501" t="s">
        <v>786</v>
      </c>
      <c r="M311" s="479">
        <f t="shared" si="472"/>
        <v>-79598.891411582779</v>
      </c>
      <c r="N311" s="479"/>
      <c r="O311" s="479">
        <f t="shared" si="473"/>
        <v>-8017.9007828312351</v>
      </c>
      <c r="P311" s="479"/>
      <c r="Q311" s="479">
        <f t="shared" si="473"/>
        <v>-8017.9007828312351</v>
      </c>
      <c r="R311" s="479"/>
      <c r="S311" s="479">
        <f t="shared" si="473"/>
        <v>-8017.9007828312351</v>
      </c>
    </row>
    <row r="312" spans="1:20">
      <c r="A312" s="449"/>
      <c r="B312" s="501" t="s">
        <v>783</v>
      </c>
      <c r="C312" s="479">
        <f>(C56+C59+C62+C65+C68+C88+C91+C94)*1000</f>
        <v>13468</v>
      </c>
      <c r="D312" s="479"/>
      <c r="E312" s="479">
        <f>(E56+E59+E62+E65+E88+E91+E94)</f>
        <v>163.52999999999997</v>
      </c>
      <c r="F312" s="479"/>
      <c r="G312" s="479">
        <f>(G56+G59+G62+G65+G88+G91+G94)</f>
        <v>163.52999999999997</v>
      </c>
      <c r="H312" s="479"/>
      <c r="I312" s="479">
        <f>(I56+I59+I62+I65+I88+I91+I94)</f>
        <v>163.52999999999997</v>
      </c>
      <c r="J312" s="458"/>
      <c r="K312" s="449"/>
      <c r="L312" s="501" t="s">
        <v>783</v>
      </c>
      <c r="M312" s="479">
        <f t="shared" si="472"/>
        <v>61376.586372247482</v>
      </c>
      <c r="N312" s="479"/>
      <c r="O312" s="479">
        <f t="shared" si="473"/>
        <v>725.85034091058344</v>
      </c>
      <c r="P312" s="479"/>
      <c r="Q312" s="479">
        <f t="shared" si="473"/>
        <v>725.85034091058344</v>
      </c>
      <c r="R312" s="479"/>
      <c r="S312" s="479">
        <f t="shared" si="473"/>
        <v>725.85034091058344</v>
      </c>
      <c r="T312" s="445"/>
    </row>
    <row r="313" spans="1:20">
      <c r="A313" s="449"/>
      <c r="B313" s="501" t="s">
        <v>782</v>
      </c>
      <c r="C313" s="479">
        <f>(C57+C60+C63+C66+C69+C70+C89+C92+C95)*1000</f>
        <v>13557.584838101571</v>
      </c>
      <c r="D313" s="479"/>
      <c r="E313" s="479">
        <f>(E57+E60+E63+E66+E89+E92+E95)</f>
        <v>165.15000000000009</v>
      </c>
      <c r="F313" s="479"/>
      <c r="G313" s="479">
        <f>(G57+G60+G63+G66+G89+G92+G95)</f>
        <v>165.15000000000009</v>
      </c>
      <c r="H313" s="479"/>
      <c r="I313" s="479">
        <f>(I57+I60+I63+I66+I89+I92+I95)</f>
        <v>165.15000000000009</v>
      </c>
      <c r="J313" s="458"/>
      <c r="K313" s="449"/>
      <c r="L313" s="501" t="s">
        <v>782</v>
      </c>
      <c r="M313" s="479">
        <f t="shared" si="472"/>
        <v>71373.298317563749</v>
      </c>
      <c r="N313" s="479"/>
      <c r="O313" s="479">
        <f t="shared" si="473"/>
        <v>749.20496880344888</v>
      </c>
      <c r="P313" s="479"/>
      <c r="Q313" s="479">
        <f t="shared" si="473"/>
        <v>749.20496880344888</v>
      </c>
      <c r="R313" s="479"/>
      <c r="S313" s="479">
        <f t="shared" si="473"/>
        <v>749.20496880344888</v>
      </c>
      <c r="T313" s="445"/>
    </row>
    <row r="314" spans="1:20" ht="16.5" thickBot="1">
      <c r="A314" s="449"/>
      <c r="B314" s="504" t="s">
        <v>93</v>
      </c>
      <c r="C314" s="505">
        <f>SUM(C309:C313)</f>
        <v>-51581.996362649603</v>
      </c>
      <c r="D314" s="505"/>
      <c r="E314" s="505">
        <f>SUM(E309:E313)</f>
        <v>-5313.630000000001</v>
      </c>
      <c r="F314" s="505"/>
      <c r="G314" s="505">
        <f>SUM(G309:G313)</f>
        <v>-5313.630000000001</v>
      </c>
      <c r="H314" s="505"/>
      <c r="I314" s="505">
        <f>SUM(I309:I313)</f>
        <v>-5313.630000000001</v>
      </c>
      <c r="J314" s="458"/>
      <c r="K314" s="449"/>
      <c r="L314" s="504" t="s">
        <v>93</v>
      </c>
      <c r="M314" s="505">
        <f>SUM(M309:M313)</f>
        <v>-293093.54884000064</v>
      </c>
      <c r="N314" s="505"/>
      <c r="O314" s="505">
        <f>SUM(O309:O313)</f>
        <v>-30789.030270751657</v>
      </c>
      <c r="P314" s="505"/>
      <c r="Q314" s="505">
        <f>SUM(Q309:Q313)</f>
        <v>-30789.030270751657</v>
      </c>
      <c r="R314" s="505"/>
      <c r="S314" s="505">
        <f>SUM(S309:S313)</f>
        <v>-30789.030270751657</v>
      </c>
      <c r="T314" s="445"/>
    </row>
    <row r="315" spans="1:20" ht="16.5" thickTop="1">
      <c r="A315" s="449"/>
      <c r="B315" s="501" t="s">
        <v>499</v>
      </c>
      <c r="C315" s="479">
        <f>M71*1000</f>
        <v>-13265</v>
      </c>
      <c r="D315" s="479"/>
      <c r="E315" s="479">
        <f>O71</f>
        <v>-577.83000000000015</v>
      </c>
      <c r="F315" s="479"/>
      <c r="G315" s="479">
        <f>Q71</f>
        <v>-577.83000000000015</v>
      </c>
      <c r="H315" s="479"/>
      <c r="I315" s="479">
        <f>S71</f>
        <v>-577.83000000000015</v>
      </c>
      <c r="J315" s="458"/>
      <c r="K315" s="449"/>
      <c r="L315" s="501"/>
      <c r="M315" s="479"/>
      <c r="N315" s="479"/>
      <c r="O315" s="479"/>
      <c r="P315" s="479"/>
      <c r="Q315" s="479"/>
      <c r="R315" s="479"/>
      <c r="S315" s="479"/>
      <c r="T315" s="445"/>
    </row>
    <row r="316" spans="1:20">
      <c r="A316" s="449"/>
      <c r="B316" s="502" t="s">
        <v>500</v>
      </c>
      <c r="C316" s="503">
        <f>M72*1000</f>
        <v>-41845.21751272642</v>
      </c>
      <c r="D316" s="503"/>
      <c r="E316" s="503">
        <f>O72</f>
        <v>683.49</v>
      </c>
      <c r="F316" s="503"/>
      <c r="G316" s="503">
        <f>Q72</f>
        <v>683.49</v>
      </c>
      <c r="H316" s="503"/>
      <c r="I316" s="503">
        <f>S72</f>
        <v>683.49</v>
      </c>
      <c r="J316" s="458"/>
      <c r="K316" s="449"/>
      <c r="L316" s="502"/>
      <c r="M316" s="503"/>
      <c r="N316" s="503"/>
      <c r="O316" s="503"/>
      <c r="P316" s="503"/>
      <c r="Q316" s="503"/>
      <c r="R316" s="503"/>
      <c r="S316" s="503"/>
      <c r="T316" s="445"/>
    </row>
    <row r="317" spans="1:20" ht="16.5" thickBot="1">
      <c r="A317" s="449"/>
      <c r="B317" s="504" t="s">
        <v>93</v>
      </c>
      <c r="C317" s="505">
        <f>SUM(C309:C313)</f>
        <v>-51581.996362649603</v>
      </c>
      <c r="D317" s="505"/>
      <c r="E317" s="506">
        <f>SUM(E314:E316)</f>
        <v>-5207.9700000000012</v>
      </c>
      <c r="F317" s="505"/>
      <c r="G317" s="506">
        <f>SUM(G314:G316)</f>
        <v>-5207.9700000000012</v>
      </c>
      <c r="H317" s="505"/>
      <c r="I317" s="506">
        <f>SUM(I314:I316)</f>
        <v>-5207.9700000000012</v>
      </c>
      <c r="J317" s="458"/>
      <c r="K317" s="449"/>
      <c r="L317" s="504"/>
      <c r="M317" s="505"/>
      <c r="N317" s="505"/>
      <c r="O317" s="506"/>
      <c r="P317" s="505"/>
      <c r="Q317" s="506"/>
      <c r="R317" s="505"/>
      <c r="S317" s="506"/>
      <c r="T317" s="445"/>
    </row>
    <row r="318" spans="1:20" ht="16.5" thickTop="1">
      <c r="A318" s="496" t="s">
        <v>668</v>
      </c>
      <c r="B318" s="501" t="s">
        <v>784</v>
      </c>
      <c r="C318" s="479">
        <f>(M26+M30+M34+M38)*1000</f>
        <v>-776425</v>
      </c>
      <c r="D318" s="479"/>
      <c r="E318" s="479">
        <f>(O22+O26+O30+O34+O38)</f>
        <v>-38783.75</v>
      </c>
      <c r="F318" s="479"/>
      <c r="G318" s="479">
        <f>(Q22+Q26+Q30+Q34+Q38)</f>
        <v>-38783.75</v>
      </c>
      <c r="H318" s="479"/>
      <c r="I318" s="479">
        <f>(S22+S26+S30+S34+S38)</f>
        <v>-38783.75</v>
      </c>
      <c r="J318" s="458"/>
      <c r="K318" s="496"/>
      <c r="L318" s="501"/>
      <c r="M318" s="479"/>
      <c r="N318" s="479"/>
      <c r="O318" s="479"/>
      <c r="P318" s="479"/>
      <c r="Q318" s="479"/>
      <c r="R318" s="479"/>
      <c r="S318" s="479"/>
      <c r="T318" s="445"/>
    </row>
    <row r="319" spans="1:20">
      <c r="A319" s="449"/>
      <c r="B319" s="501" t="s">
        <v>785</v>
      </c>
      <c r="C319" s="479">
        <f>(M27+M31+M35+M39)*1000</f>
        <v>-470131</v>
      </c>
      <c r="D319" s="479"/>
      <c r="E319" s="479">
        <f>(O23+O27+O31+O35+O39)</f>
        <v>-30630.259999999995</v>
      </c>
      <c r="F319" s="479"/>
      <c r="G319" s="479">
        <f>(Q23+Q27+Q31+Q35+Q39)</f>
        <v>-30630.259999999995</v>
      </c>
      <c r="H319" s="479"/>
      <c r="I319" s="479">
        <f>(S23+S27+S31+S35+S39)</f>
        <v>-30630.259999999995</v>
      </c>
      <c r="J319" s="458"/>
      <c r="K319" s="449"/>
      <c r="L319" s="501"/>
      <c r="M319" s="479"/>
      <c r="N319" s="479"/>
      <c r="O319" s="479"/>
      <c r="P319" s="479"/>
      <c r="Q319" s="479"/>
      <c r="R319" s="479"/>
      <c r="S319" s="479"/>
      <c r="T319" s="445"/>
    </row>
    <row r="320" spans="1:20">
      <c r="A320" s="449"/>
      <c r="B320" s="501" t="s">
        <v>786</v>
      </c>
      <c r="C320" s="479">
        <f>(M28+M32+M36+M40)*1000</f>
        <v>-137847.29328334596</v>
      </c>
      <c r="D320" s="479"/>
      <c r="E320" s="479">
        <f>(O24+O28+O32+O36+O40)</f>
        <v>-11243.650000000001</v>
      </c>
      <c r="F320" s="479"/>
      <c r="G320" s="479">
        <f>(Q24+Q28+Q32+Q36+Q40)</f>
        <v>-11243.650000000001</v>
      </c>
      <c r="H320" s="479"/>
      <c r="I320" s="479">
        <f>(S24+S28+S32+S36+S40)</f>
        <v>-11243.650000000001</v>
      </c>
      <c r="J320" s="458"/>
      <c r="K320" s="449"/>
      <c r="L320" s="501"/>
      <c r="M320" s="479"/>
      <c r="N320" s="479"/>
      <c r="O320" s="479"/>
      <c r="P320" s="479"/>
      <c r="Q320" s="479"/>
      <c r="R320" s="479"/>
      <c r="S320" s="479"/>
      <c r="T320" s="445"/>
    </row>
    <row r="321" spans="1:29">
      <c r="A321" s="449"/>
      <c r="B321" s="501" t="s">
        <v>783</v>
      </c>
      <c r="C321" s="479">
        <f>(M10+M13+M16+M19+M22+M42+M45+M48)*1000</f>
        <v>380588</v>
      </c>
      <c r="D321" s="479"/>
      <c r="E321" s="479">
        <f>(O10+O13+O16+O19+O42+O45+O48)</f>
        <v>5122.68</v>
      </c>
      <c r="F321" s="479"/>
      <c r="G321" s="479">
        <f>(Q10+Q13+Q16+Q19+Q42+Q45+Q48)</f>
        <v>5122.68</v>
      </c>
      <c r="H321" s="479"/>
      <c r="I321" s="479">
        <f>(S10+S13+S16+S19+S42+S45+S48)</f>
        <v>5122.68</v>
      </c>
      <c r="J321" s="458"/>
      <c r="K321" s="449"/>
      <c r="L321" s="501"/>
      <c r="M321" s="479"/>
      <c r="N321" s="479"/>
      <c r="O321" s="479"/>
      <c r="P321" s="479"/>
      <c r="Q321" s="479"/>
      <c r="R321" s="479"/>
      <c r="S321" s="479"/>
      <c r="T321" s="445"/>
    </row>
    <row r="322" spans="1:29">
      <c r="A322" s="449"/>
      <c r="B322" s="501" t="s">
        <v>782</v>
      </c>
      <c r="C322" s="479">
        <f>(M11+M14+M17+M20+M23+M24+M43+M46+M49)*1000</f>
        <v>291894.1654300646</v>
      </c>
      <c r="D322" s="479"/>
      <c r="E322" s="479">
        <f>(O11+O14+O17+O20+O43+O46+O49)</f>
        <v>4223.0500000000011</v>
      </c>
      <c r="F322" s="479"/>
      <c r="G322" s="479">
        <f>(Q11+Q14+Q17+Q20+Q43+Q46+Q49)</f>
        <v>4223.0500000000011</v>
      </c>
      <c r="H322" s="479"/>
      <c r="I322" s="479">
        <f>(S11+S14+S17+S20+S43+S46+S49)</f>
        <v>4223.0500000000011</v>
      </c>
      <c r="J322" s="458"/>
      <c r="K322" s="449"/>
      <c r="L322" s="501"/>
      <c r="M322" s="479"/>
      <c r="N322" s="479"/>
      <c r="O322" s="479"/>
      <c r="P322" s="479"/>
      <c r="Q322" s="479"/>
      <c r="R322" s="479"/>
      <c r="S322" s="479"/>
      <c r="T322" s="445"/>
    </row>
    <row r="323" spans="1:29" ht="16.5" thickBot="1">
      <c r="A323" s="449"/>
      <c r="B323" s="504" t="s">
        <v>93</v>
      </c>
      <c r="C323" s="505">
        <f>SUM(C318:C322)</f>
        <v>-711921.12785328133</v>
      </c>
      <c r="D323" s="505"/>
      <c r="E323" s="505">
        <f>SUM(E318:E322)</f>
        <v>-71311.930000000008</v>
      </c>
      <c r="F323" s="505"/>
      <c r="G323" s="505">
        <f>SUM(G318:G322)</f>
        <v>-71311.930000000008</v>
      </c>
      <c r="H323" s="505"/>
      <c r="I323" s="505">
        <f>SUM(I318:I322)</f>
        <v>-71311.930000000008</v>
      </c>
      <c r="J323" s="458"/>
      <c r="K323" s="449"/>
      <c r="L323" s="504"/>
      <c r="M323" s="505"/>
      <c r="N323" s="505"/>
      <c r="O323" s="505"/>
      <c r="P323" s="505"/>
      <c r="Q323" s="505"/>
      <c r="R323" s="505"/>
      <c r="S323" s="505"/>
      <c r="T323" s="445"/>
    </row>
    <row r="324" spans="1:29" ht="16.5" thickTop="1">
      <c r="A324" s="496" t="s">
        <v>492</v>
      </c>
      <c r="B324" s="501" t="s">
        <v>202</v>
      </c>
      <c r="C324" s="479">
        <f>SUM(C107:C110)*1000</f>
        <v>-935018.58348064939</v>
      </c>
      <c r="D324" s="449"/>
      <c r="E324" s="479">
        <f>SUM(E106:E110)</f>
        <v>-15565.700000000003</v>
      </c>
      <c r="F324" s="449"/>
      <c r="G324" s="479">
        <f>SUM(G106:G110)</f>
        <v>-15565.700000000003</v>
      </c>
      <c r="H324" s="449"/>
      <c r="I324" s="479">
        <f>SUM(I106:I110)</f>
        <v>-15565.700000000003</v>
      </c>
      <c r="J324" s="458">
        <f>'6'!O42</f>
        <v>2.9009198989231925E-2</v>
      </c>
      <c r="K324" s="496" t="s">
        <v>1032</v>
      </c>
      <c r="L324" s="501" t="s">
        <v>202</v>
      </c>
      <c r="M324" s="479">
        <f>C324*$J$324</f>
        <v>-27124.140146819922</v>
      </c>
      <c r="N324" s="449"/>
      <c r="O324" s="479">
        <f t="shared" ref="O324:O325" si="474">E324*$J$324</f>
        <v>-451.54848870668746</v>
      </c>
      <c r="P324" s="449"/>
      <c r="Q324" s="479">
        <f t="shared" ref="Q324:Q325" si="475">G324*$J$324</f>
        <v>-451.54848870668746</v>
      </c>
      <c r="R324" s="449"/>
      <c r="S324" s="479">
        <f t="shared" ref="S324:S325" si="476">I324*$J$324</f>
        <v>-451.54848870668746</v>
      </c>
      <c r="T324" s="445"/>
      <c r="U324" s="489" t="s">
        <v>256</v>
      </c>
      <c r="V324" s="490"/>
      <c r="W324" s="491"/>
      <c r="X324" s="492"/>
      <c r="Y324" s="493"/>
      <c r="Z324" s="492"/>
      <c r="AA324" s="493"/>
      <c r="AB324" s="492"/>
      <c r="AC324" s="493"/>
    </row>
    <row r="325" spans="1:29">
      <c r="A325" s="496"/>
      <c r="B325" s="502" t="s">
        <v>787</v>
      </c>
      <c r="C325" s="503">
        <f>SUM(C102:C106,C111:C113)*1000</f>
        <v>568883.17478393042</v>
      </c>
      <c r="D325" s="507"/>
      <c r="E325" s="503">
        <f>SUM(E102:E105,E111:E113)</f>
        <v>1944.8599999999988</v>
      </c>
      <c r="F325" s="507"/>
      <c r="G325" s="503">
        <f>SUM(G102:G105,G111:G113)</f>
        <v>1944.8599999999988</v>
      </c>
      <c r="H325" s="507"/>
      <c r="I325" s="503">
        <f>SUM(I102:I105,I111:I113)</f>
        <v>1944.8599999999988</v>
      </c>
      <c r="J325" s="458"/>
      <c r="K325" s="496"/>
      <c r="L325" s="502" t="s">
        <v>787</v>
      </c>
      <c r="M325" s="503">
        <f>C325*$J$324</f>
        <v>16502.845218933042</v>
      </c>
      <c r="N325" s="507"/>
      <c r="O325" s="503">
        <f t="shared" si="474"/>
        <v>56.418830746197564</v>
      </c>
      <c r="P325" s="507"/>
      <c r="Q325" s="503">
        <f t="shared" si="475"/>
        <v>56.418830746197564</v>
      </c>
      <c r="R325" s="507"/>
      <c r="S325" s="503">
        <f t="shared" si="476"/>
        <v>56.418830746197564</v>
      </c>
      <c r="T325" s="445"/>
      <c r="U325" s="494"/>
      <c r="V325" s="495"/>
      <c r="W325" s="496"/>
      <c r="X325" s="496"/>
      <c r="Y325" s="497" t="s">
        <v>425</v>
      </c>
      <c r="Z325" s="496"/>
      <c r="AA325" s="497" t="s">
        <v>494</v>
      </c>
      <c r="AB325" s="496"/>
      <c r="AC325" s="497" t="s">
        <v>216</v>
      </c>
    </row>
    <row r="326" spans="1:29" ht="16.5" thickBot="1">
      <c r="A326" s="496"/>
      <c r="B326" s="504" t="s">
        <v>93</v>
      </c>
      <c r="C326" s="505">
        <f>SUM(C324:C325)</f>
        <v>-366135.40869671898</v>
      </c>
      <c r="D326" s="508"/>
      <c r="E326" s="505">
        <f>SUM(E324:E325)</f>
        <v>-13620.840000000004</v>
      </c>
      <c r="F326" s="508"/>
      <c r="G326" s="505">
        <f>SUM(G324:G325)</f>
        <v>-13620.840000000004</v>
      </c>
      <c r="H326" s="508"/>
      <c r="I326" s="505">
        <f>SUM(I324:I325)</f>
        <v>-13620.840000000004</v>
      </c>
      <c r="J326" s="458"/>
      <c r="K326" s="496"/>
      <c r="L326" s="504" t="s">
        <v>93</v>
      </c>
      <c r="M326" s="505">
        <f>SUM(M324:M325)</f>
        <v>-10621.29492788688</v>
      </c>
      <c r="N326" s="508"/>
      <c r="O326" s="505">
        <f>SUM(O324:O325)</f>
        <v>-395.12965796048991</v>
      </c>
      <c r="P326" s="508"/>
      <c r="Q326" s="505">
        <f>SUM(Q324:Q325)</f>
        <v>-395.12965796048991</v>
      </c>
      <c r="R326" s="508"/>
      <c r="S326" s="505">
        <f>SUM(S324:S325)</f>
        <v>-395.12965796048991</v>
      </c>
      <c r="T326" s="445"/>
      <c r="U326" s="498" t="s">
        <v>218</v>
      </c>
      <c r="V326" s="499"/>
      <c r="W326" s="500" t="s">
        <v>111</v>
      </c>
      <c r="X326" s="498"/>
      <c r="Y326" s="500" t="s">
        <v>496</v>
      </c>
      <c r="Z326" s="498"/>
      <c r="AA326" s="500" t="s">
        <v>496</v>
      </c>
      <c r="AB326" s="498"/>
      <c r="AC326" s="500" t="s">
        <v>496</v>
      </c>
    </row>
    <row r="327" spans="1:29" ht="16.5" thickTop="1">
      <c r="A327" s="496" t="s">
        <v>466</v>
      </c>
      <c r="B327" s="501" t="s">
        <v>784</v>
      </c>
      <c r="C327" s="479">
        <f>(C234+C237+C240+C243)*1000</f>
        <v>-403938.99999999994</v>
      </c>
      <c r="D327" s="488"/>
      <c r="E327" s="479">
        <f>(E231+E234+E237+E240+E243)</f>
        <v>-20844.339999999997</v>
      </c>
      <c r="F327" s="488"/>
      <c r="G327" s="479">
        <f>(G231+G234+G237+G240+G243)</f>
        <v>-20844.339999999997</v>
      </c>
      <c r="H327" s="488"/>
      <c r="I327" s="479">
        <f>(I231+I234+I237+I240+I243)</f>
        <v>-20844.339999999997</v>
      </c>
      <c r="J327" s="579">
        <f>'23'!L45</f>
        <v>1.2385279754661352E-2</v>
      </c>
      <c r="K327" s="496" t="s">
        <v>1011</v>
      </c>
      <c r="L327" s="501" t="s">
        <v>784</v>
      </c>
      <c r="M327" s="479">
        <f>C327*$J$327</f>
        <v>-5002.8975188181512</v>
      </c>
      <c r="N327" s="488"/>
      <c r="O327" s="479">
        <f t="shared" ref="O327:O330" si="477">E327*$J$327</f>
        <v>-258.16298220127777</v>
      </c>
      <c r="P327" s="488"/>
      <c r="Q327" s="479">
        <f t="shared" ref="Q327:Q330" si="478">G327*$J$327</f>
        <v>-258.16298220127777</v>
      </c>
      <c r="R327" s="488"/>
      <c r="S327" s="479">
        <f t="shared" ref="S327:S330" si="479">I327*$J$327</f>
        <v>-258.16298220127777</v>
      </c>
      <c r="T327" s="579">
        <f>'23'!M45</f>
        <v>1.3988466205566916E-3</v>
      </c>
      <c r="U327" s="496" t="s">
        <v>1233</v>
      </c>
      <c r="V327" s="501" t="s">
        <v>784</v>
      </c>
      <c r="W327" s="479">
        <f>C327*$T$327</f>
        <v>-565.0487050610493</v>
      </c>
      <c r="X327" s="488"/>
      <c r="Y327" s="479">
        <f>E327*$T$327</f>
        <v>-29.158034566734663</v>
      </c>
      <c r="Z327" s="488"/>
      <c r="AA327" s="479">
        <f>G327*$T$327</f>
        <v>-29.158034566734663</v>
      </c>
      <c r="AB327" s="488"/>
      <c r="AC327" s="479">
        <f>I327*$T$327</f>
        <v>-29.158034566734663</v>
      </c>
    </row>
    <row r="328" spans="1:29">
      <c r="A328" s="496"/>
      <c r="B328" s="501" t="s">
        <v>785</v>
      </c>
      <c r="C328" s="479">
        <f>(C235+C238+C241+C244)*1000</f>
        <v>-272771.14584193361</v>
      </c>
      <c r="D328" s="479"/>
      <c r="E328" s="479">
        <f>(E232+E235+E238+E241+E244)</f>
        <v>-7891.3900000000012</v>
      </c>
      <c r="F328" s="479"/>
      <c r="G328" s="479">
        <f>(G232+G235+G238+G241+G244)</f>
        <v>-7891.3900000000012</v>
      </c>
      <c r="H328" s="479"/>
      <c r="I328" s="479">
        <f>(I232+I235+I238+I241+I244)</f>
        <v>-7891.3900000000012</v>
      </c>
      <c r="K328" s="496"/>
      <c r="L328" s="501" t="s">
        <v>785</v>
      </c>
      <c r="M328" s="479">
        <f t="shared" ref="M328:M330" si="480">C328*$J$327</f>
        <v>-3378.3469502518792</v>
      </c>
      <c r="N328" s="479"/>
      <c r="O328" s="479">
        <f t="shared" si="477"/>
        <v>-97.737072803137053</v>
      </c>
      <c r="P328" s="479"/>
      <c r="Q328" s="479">
        <f t="shared" si="478"/>
        <v>-97.737072803137053</v>
      </c>
      <c r="R328" s="479"/>
      <c r="S328" s="479">
        <f t="shared" si="479"/>
        <v>-97.737072803137053</v>
      </c>
      <c r="T328" s="579"/>
      <c r="U328" s="496"/>
      <c r="V328" s="501" t="s">
        <v>785</v>
      </c>
      <c r="W328" s="479">
        <f t="shared" ref="W328:AC330" si="481">C328*$T$327</f>
        <v>-381.56499554636531</v>
      </c>
      <c r="X328" s="479"/>
      <c r="Y328" s="479">
        <f t="shared" si="481"/>
        <v>-11.038844232994872</v>
      </c>
      <c r="Z328" s="479"/>
      <c r="AA328" s="479">
        <f t="shared" si="481"/>
        <v>-11.038844232994872</v>
      </c>
      <c r="AB328" s="479"/>
      <c r="AC328" s="479">
        <f t="shared" si="481"/>
        <v>-11.038844232994872</v>
      </c>
    </row>
    <row r="329" spans="1:29">
      <c r="A329" s="496"/>
      <c r="B329" s="501" t="s">
        <v>783</v>
      </c>
      <c r="C329" s="479">
        <f>(C219+C222+C225+C228+C231+C246+C249+C252)*1000</f>
        <v>269438.99999999994</v>
      </c>
      <c r="D329" s="479"/>
      <c r="E329" s="479">
        <f>(E219+E222+E225+E228+E246+E249+E252)</f>
        <v>5140.649999999996</v>
      </c>
      <c r="F329" s="479"/>
      <c r="G329" s="479">
        <f>(G219+G222+G225+G228+G246+G249+G252)</f>
        <v>5140.649999999996</v>
      </c>
      <c r="H329" s="479"/>
      <c r="I329" s="479">
        <f>(I219+I222+I225+I228+I246+I249+I252)</f>
        <v>5140.649999999996</v>
      </c>
      <c r="K329" s="496"/>
      <c r="L329" s="501" t="s">
        <v>783</v>
      </c>
      <c r="M329" s="479">
        <f t="shared" si="480"/>
        <v>3337.077391816199</v>
      </c>
      <c r="N329" s="479"/>
      <c r="O329" s="479">
        <f t="shared" si="477"/>
        <v>63.668388370799825</v>
      </c>
      <c r="P329" s="479"/>
      <c r="Q329" s="479">
        <f t="shared" si="478"/>
        <v>63.668388370799825</v>
      </c>
      <c r="R329" s="479"/>
      <c r="S329" s="479">
        <f t="shared" si="479"/>
        <v>63.668388370799825</v>
      </c>
      <c r="T329" s="579"/>
      <c r="U329" s="496"/>
      <c r="V329" s="501" t="s">
        <v>783</v>
      </c>
      <c r="W329" s="479">
        <f t="shared" si="481"/>
        <v>376.90383459617436</v>
      </c>
      <c r="X329" s="479"/>
      <c r="Y329" s="479">
        <f t="shared" si="481"/>
        <v>7.1909808799647505</v>
      </c>
      <c r="Z329" s="479"/>
      <c r="AA329" s="479">
        <f t="shared" si="481"/>
        <v>7.1909808799647505</v>
      </c>
      <c r="AB329" s="479"/>
      <c r="AC329" s="479">
        <f t="shared" si="481"/>
        <v>7.1909808799647505</v>
      </c>
    </row>
    <row r="330" spans="1:29">
      <c r="A330" s="496"/>
      <c r="B330" s="502" t="s">
        <v>782</v>
      </c>
      <c r="C330" s="479">
        <f>(C220+C223+C226+C229+C232+C247+C250+C253)*1000</f>
        <v>182086.0410271039</v>
      </c>
      <c r="D330" s="503"/>
      <c r="E330" s="479">
        <f>(E220+E223+E226+E229+E247+E250+E253)</f>
        <v>1954.96</v>
      </c>
      <c r="F330" s="503"/>
      <c r="G330" s="479">
        <f>(G220+G223+G226+G229+G247+G250+G253)</f>
        <v>1954.96</v>
      </c>
      <c r="H330" s="503"/>
      <c r="I330" s="479">
        <f>(I220+I223+I226+I229+I247+I250+I253)</f>
        <v>1954.96</v>
      </c>
      <c r="K330" s="496"/>
      <c r="L330" s="502" t="s">
        <v>782</v>
      </c>
      <c r="M330" s="479">
        <f t="shared" si="480"/>
        <v>2255.1865575394263</v>
      </c>
      <c r="N330" s="503"/>
      <c r="O330" s="479">
        <f t="shared" si="477"/>
        <v>24.212726509172757</v>
      </c>
      <c r="P330" s="503"/>
      <c r="Q330" s="479">
        <f t="shared" si="478"/>
        <v>24.212726509172757</v>
      </c>
      <c r="R330" s="503"/>
      <c r="S330" s="479">
        <f t="shared" si="479"/>
        <v>24.212726509172757</v>
      </c>
      <c r="T330" s="579"/>
      <c r="U330" s="496"/>
      <c r="V330" s="502" t="s">
        <v>782</v>
      </c>
      <c r="W330" s="479">
        <f t="shared" si="481"/>
        <v>254.71044314131137</v>
      </c>
      <c r="X330" s="503"/>
      <c r="Y330" s="479">
        <f t="shared" si="481"/>
        <v>2.7346891893235097</v>
      </c>
      <c r="Z330" s="503"/>
      <c r="AA330" s="479">
        <f t="shared" si="481"/>
        <v>2.7346891893235097</v>
      </c>
      <c r="AB330" s="503"/>
      <c r="AC330" s="479">
        <f t="shared" si="481"/>
        <v>2.7346891893235097</v>
      </c>
    </row>
    <row r="331" spans="1:29" ht="16.5" thickBot="1">
      <c r="A331" s="496"/>
      <c r="B331" s="504" t="s">
        <v>93</v>
      </c>
      <c r="C331" s="505">
        <f>SUM(C327:C330)</f>
        <v>-225185.10481482971</v>
      </c>
      <c r="D331" s="505"/>
      <c r="E331" s="505">
        <f>SUM(E327:E330)</f>
        <v>-21640.120000000003</v>
      </c>
      <c r="F331" s="505"/>
      <c r="G331" s="505">
        <f>SUM(G327:G330)</f>
        <v>-21640.120000000003</v>
      </c>
      <c r="H331" s="505"/>
      <c r="I331" s="505">
        <f>SUM(I327:I330)</f>
        <v>-21640.120000000003</v>
      </c>
      <c r="K331" s="496"/>
      <c r="L331" s="504" t="s">
        <v>93</v>
      </c>
      <c r="M331" s="505">
        <f>SUM(M327:M330)</f>
        <v>-2788.9805197144046</v>
      </c>
      <c r="N331" s="505"/>
      <c r="O331" s="505">
        <f>SUM(O327:O330)</f>
        <v>-268.01894012444222</v>
      </c>
      <c r="P331" s="505"/>
      <c r="Q331" s="505">
        <f>SUM(Q327:Q330)</f>
        <v>-268.01894012444222</v>
      </c>
      <c r="R331" s="505"/>
      <c r="S331" s="505">
        <f>SUM(S327:S330)</f>
        <v>-268.01894012444222</v>
      </c>
      <c r="T331" s="579"/>
      <c r="U331" s="496"/>
      <c r="V331" s="504" t="s">
        <v>93</v>
      </c>
      <c r="W331" s="505">
        <f>SUM(W327:W330)</f>
        <v>-314.99942286992876</v>
      </c>
      <c r="X331" s="505"/>
      <c r="Y331" s="505">
        <f>SUM(Y327:Y330)</f>
        <v>-30.271208730441273</v>
      </c>
      <c r="Z331" s="505"/>
      <c r="AA331" s="505">
        <f>SUM(AA327:AA330)</f>
        <v>-30.271208730441273</v>
      </c>
      <c r="AB331" s="505"/>
      <c r="AC331" s="505">
        <f>SUM(AC327:AC330)</f>
        <v>-30.271208730441273</v>
      </c>
    </row>
    <row r="332" spans="1:29" ht="16.5" thickTop="1">
      <c r="A332" s="509" t="s">
        <v>501</v>
      </c>
      <c r="B332" s="510"/>
      <c r="C332" s="511">
        <f>C308+C317+C323+C326+C331</f>
        <v>-54333001.209100001</v>
      </c>
      <c r="D332" s="512"/>
      <c r="E332" s="511">
        <f>E308+E317+E323+E326+E331</f>
        <v>-5677057.6100000003</v>
      </c>
      <c r="F332" s="512"/>
      <c r="G332" s="511">
        <f>G308+G317+G323+G326+G331</f>
        <v>-5677057.6100000003</v>
      </c>
      <c r="H332" s="512"/>
      <c r="I332" s="511">
        <f>I308+I317+I323+I326+I331</f>
        <v>-5677057.6100000003</v>
      </c>
      <c r="J332" s="458"/>
      <c r="K332" s="509" t="s">
        <v>501</v>
      </c>
      <c r="L332" s="510"/>
      <c r="M332" s="511">
        <f>M308+M317+M323+M326+M331</f>
        <v>-949089.25424203754</v>
      </c>
      <c r="N332" s="512"/>
      <c r="O332" s="511">
        <f>O308+O317+O323+O326+O331</f>
        <v>-98954.798195376119</v>
      </c>
      <c r="P332" s="512"/>
      <c r="Q332" s="511">
        <f>Q308+Q317+Q323+Q326+Q331</f>
        <v>-98954.798195376119</v>
      </c>
      <c r="R332" s="512"/>
      <c r="S332" s="511">
        <f>S308+S317+S323+S326+S331</f>
        <v>-98954.798195376119</v>
      </c>
      <c r="T332" s="445"/>
    </row>
    <row r="333" spans="1:29">
      <c r="A333" s="496" t="s">
        <v>492</v>
      </c>
      <c r="B333" s="501" t="s">
        <v>202</v>
      </c>
      <c r="C333" s="479">
        <f>SUM(M107:M110)*1000</f>
        <v>-16292432.51855382</v>
      </c>
      <c r="D333" s="449"/>
      <c r="E333" s="479">
        <f>SUM(O106:O110)</f>
        <v>-273480.56000000006</v>
      </c>
      <c r="F333" s="449"/>
      <c r="G333" s="479">
        <f>SUM(Q106:Q110)</f>
        <v>-273480.56000000006</v>
      </c>
      <c r="H333" s="449"/>
      <c r="I333" s="479">
        <f>SUM(S106:S110)</f>
        <v>-273480.56000000006</v>
      </c>
      <c r="J333" s="458">
        <f>'6'!O43</f>
        <v>2.3801468279244307E-2</v>
      </c>
      <c r="K333" s="496" t="s">
        <v>1032</v>
      </c>
      <c r="L333" s="501" t="s">
        <v>202</v>
      </c>
      <c r="M333" s="479">
        <f>C333*$J$333</f>
        <v>-387783.81578208716</v>
      </c>
      <c r="N333" s="449"/>
      <c r="O333" s="479">
        <f t="shared" ref="O333:O334" si="482">E333*$J$333</f>
        <v>-6509.2388738299705</v>
      </c>
      <c r="P333" s="449"/>
      <c r="Q333" s="479">
        <f t="shared" ref="Q333:Q334" si="483">G333*$J$333</f>
        <v>-6509.2388738299705</v>
      </c>
      <c r="R333" s="449"/>
      <c r="S333" s="479">
        <f t="shared" ref="S333:S334" si="484">I333*$J$333</f>
        <v>-6509.2388738299705</v>
      </c>
      <c r="T333" s="458">
        <f>'6'!O46</f>
        <v>1.1631575696644638E-3</v>
      </c>
      <c r="U333" s="496" t="s">
        <v>1237</v>
      </c>
      <c r="V333" s="501" t="s">
        <v>202</v>
      </c>
      <c r="W333" s="479">
        <f>C333*$T$333</f>
        <v>-18950.666212203338</v>
      </c>
      <c r="X333" s="449"/>
      <c r="Y333" s="479">
        <f>E333*$T$333</f>
        <v>-318.10098352007662</v>
      </c>
      <c r="Z333" s="449"/>
      <c r="AA333" s="479">
        <f>G333*$T$333</f>
        <v>-318.10098352007662</v>
      </c>
      <c r="AB333" s="449"/>
      <c r="AC333" s="479">
        <f>I333*$T$333</f>
        <v>-318.10098352007662</v>
      </c>
    </row>
    <row r="334" spans="1:29">
      <c r="A334" s="496"/>
      <c r="B334" s="502" t="s">
        <v>787</v>
      </c>
      <c r="C334" s="503">
        <f>SUM(M102:M106,M111:M113)*1000</f>
        <v>20199037.291971441</v>
      </c>
      <c r="D334" s="507"/>
      <c r="E334" s="503">
        <f>SUM(O102:O105,O111:O113)</f>
        <v>384410.32999999996</v>
      </c>
      <c r="F334" s="507"/>
      <c r="G334" s="503">
        <f>SUM(Q102:Q105,Q111:Q113)</f>
        <v>384410.32999999996</v>
      </c>
      <c r="H334" s="507"/>
      <c r="I334" s="503">
        <f>SUM(S102:S105,S111:S113)</f>
        <v>384410.32999999996</v>
      </c>
      <c r="J334" s="458"/>
      <c r="K334" s="496"/>
      <c r="L334" s="502" t="s">
        <v>787</v>
      </c>
      <c r="M334" s="503">
        <f>C334*$J$333</f>
        <v>480766.74537613109</v>
      </c>
      <c r="N334" s="507"/>
      <c r="O334" s="503">
        <f t="shared" si="482"/>
        <v>9149.5302757088357</v>
      </c>
      <c r="P334" s="507"/>
      <c r="Q334" s="503">
        <f t="shared" si="483"/>
        <v>9149.5302757088357</v>
      </c>
      <c r="R334" s="507"/>
      <c r="S334" s="503">
        <f t="shared" si="484"/>
        <v>9149.5302757088357</v>
      </c>
      <c r="T334" s="458"/>
      <c r="U334" s="496"/>
      <c r="V334" s="502" t="s">
        <v>787</v>
      </c>
      <c r="W334" s="503">
        <f>C334*$T$333</f>
        <v>23494.663126091375</v>
      </c>
      <c r="X334" s="507"/>
      <c r="Y334" s="503">
        <f>E334*$T$333</f>
        <v>447.12978519671447</v>
      </c>
      <c r="Z334" s="507"/>
      <c r="AA334" s="503">
        <f>G334*$T$333</f>
        <v>447.12978519671447</v>
      </c>
      <c r="AB334" s="507"/>
      <c r="AC334" s="503">
        <f>I334*$T$333</f>
        <v>447.12978519671447</v>
      </c>
    </row>
    <row r="335" spans="1:29" ht="16.5" thickBot="1">
      <c r="A335" s="496"/>
      <c r="B335" s="504" t="s">
        <v>93</v>
      </c>
      <c r="C335" s="505">
        <f>SUM(C333:C334)</f>
        <v>3906604.7734176219</v>
      </c>
      <c r="D335" s="508"/>
      <c r="E335" s="505">
        <f>SUM(E333:E334)</f>
        <v>110929.7699999999</v>
      </c>
      <c r="F335" s="508"/>
      <c r="G335" s="505">
        <f>SUM(G333:G334)</f>
        <v>110929.7699999999</v>
      </c>
      <c r="H335" s="508"/>
      <c r="I335" s="505">
        <f>SUM(I333:I334)</f>
        <v>110929.7699999999</v>
      </c>
      <c r="J335" s="458"/>
      <c r="K335" s="496"/>
      <c r="L335" s="504" t="s">
        <v>93</v>
      </c>
      <c r="M335" s="505">
        <f>SUM(M333:M334)</f>
        <v>92982.929594043933</v>
      </c>
      <c r="N335" s="508"/>
      <c r="O335" s="505">
        <f>SUM(O333:O334)</f>
        <v>2640.2914018788651</v>
      </c>
      <c r="P335" s="508"/>
      <c r="Q335" s="505">
        <f>SUM(Q333:Q334)</f>
        <v>2640.2914018788651</v>
      </c>
      <c r="R335" s="508"/>
      <c r="S335" s="505">
        <f>SUM(S333:S334)</f>
        <v>2640.2914018788651</v>
      </c>
      <c r="T335" s="458"/>
      <c r="U335" s="496"/>
      <c r="V335" s="504" t="s">
        <v>93</v>
      </c>
      <c r="W335" s="505">
        <f>SUM(W333:W334)</f>
        <v>4543.9969138880369</v>
      </c>
      <c r="X335" s="508"/>
      <c r="Y335" s="505">
        <f>SUM(Y333:Y334)</f>
        <v>129.02880167663784</v>
      </c>
      <c r="Z335" s="508"/>
      <c r="AA335" s="505">
        <f>SUM(AA333:AA334)</f>
        <v>129.02880167663784</v>
      </c>
      <c r="AB335" s="508"/>
      <c r="AC335" s="505">
        <f>SUM(AC333:AC334)</f>
        <v>129.02880167663784</v>
      </c>
    </row>
    <row r="336" spans="1:29" ht="16.5" thickTop="1">
      <c r="A336" s="496" t="s">
        <v>69</v>
      </c>
      <c r="B336" s="501" t="s">
        <v>788</v>
      </c>
      <c r="C336" s="479">
        <f>(C152+C155+C158+C161)*1000</f>
        <v>-465099.99999999994</v>
      </c>
      <c r="E336" s="513">
        <f>(E149+E152+E155+E158+E161)</f>
        <v>-23853.18</v>
      </c>
      <c r="G336" s="513">
        <f>(G149+G152+G155+G158+G161)</f>
        <v>-23853.18</v>
      </c>
      <c r="I336" s="513">
        <f>(I149+I152+I155+I158+I161)</f>
        <v>-23853.18</v>
      </c>
      <c r="J336" s="458">
        <f>'6A'!M35</f>
        <v>3.5685728206895438E-2</v>
      </c>
      <c r="K336" s="496" t="s">
        <v>984</v>
      </c>
      <c r="L336" s="501" t="s">
        <v>788</v>
      </c>
      <c r="M336" s="479">
        <f>C336*$J$336</f>
        <v>-16597.432189027066</v>
      </c>
      <c r="O336" s="513">
        <f t="shared" ref="O336:O339" si="485">E336*$J$336</f>
        <v>-851.21809835015415</v>
      </c>
      <c r="Q336" s="513">
        <f t="shared" ref="Q336:Q339" si="486">G336*$J$336</f>
        <v>-851.21809835015415</v>
      </c>
      <c r="S336" s="513">
        <f t="shared" ref="S336:S339" si="487">I336*$J$336</f>
        <v>-851.21809835015415</v>
      </c>
      <c r="T336" s="458">
        <f>'6A'!M36</f>
        <v>1.0109877373952632E-3</v>
      </c>
      <c r="U336" s="496" t="s">
        <v>1550</v>
      </c>
      <c r="V336" s="501" t="s">
        <v>788</v>
      </c>
      <c r="W336" s="479">
        <f>C336*$T$336</f>
        <v>-470.21039666253688</v>
      </c>
      <c r="Y336" s="513">
        <f>E336*$T$336</f>
        <v>-24.115272477881945</v>
      </c>
      <c r="AA336" s="513">
        <f>G336*$T$336</f>
        <v>-24.115272477881945</v>
      </c>
      <c r="AC336" s="513">
        <f>I336*$T$336</f>
        <v>-24.115272477881945</v>
      </c>
    </row>
    <row r="337" spans="1:29">
      <c r="A337" s="496"/>
      <c r="B337" s="501" t="s">
        <v>789</v>
      </c>
      <c r="C337" s="479">
        <f>(C153+C156+C159+C162)*1000</f>
        <v>-376373.56823757</v>
      </c>
      <c r="D337" s="479"/>
      <c r="E337" s="513">
        <f>(E150+E153+E156+E159+E162)</f>
        <v>-5811.5799999999981</v>
      </c>
      <c r="F337" s="479"/>
      <c r="G337" s="513">
        <f>(G150+G153+G156+G159+G162)</f>
        <v>-5811.5799999999981</v>
      </c>
      <c r="H337" s="479"/>
      <c r="I337" s="513">
        <f>(I150+I153+I156+I159+I162)</f>
        <v>-5811.5799999999981</v>
      </c>
      <c r="J337" s="458"/>
      <c r="K337" s="496"/>
      <c r="L337" s="501" t="s">
        <v>789</v>
      </c>
      <c r="M337" s="479">
        <f t="shared" ref="M337:M339" si="488">C337*$J$336</f>
        <v>-13431.164860385337</v>
      </c>
      <c r="N337" s="479"/>
      <c r="O337" s="513">
        <f t="shared" si="485"/>
        <v>-207.39046433262934</v>
      </c>
      <c r="P337" s="479"/>
      <c r="Q337" s="513">
        <f t="shared" si="486"/>
        <v>-207.39046433262934</v>
      </c>
      <c r="R337" s="479"/>
      <c r="S337" s="513">
        <f t="shared" si="487"/>
        <v>-207.39046433262934</v>
      </c>
      <c r="T337" s="458"/>
      <c r="U337" s="496"/>
      <c r="V337" s="501" t="s">
        <v>789</v>
      </c>
      <c r="W337" s="479">
        <f t="shared" ref="W337:W339" si="489">C337*$T$336</f>
        <v>-380.50906216788258</v>
      </c>
      <c r="X337" s="479"/>
      <c r="Y337" s="513">
        <f t="shared" ref="Y337:AC339" si="490">E337*$T$336</f>
        <v>-5.8754361148915617</v>
      </c>
      <c r="Z337" s="479"/>
      <c r="AA337" s="513">
        <f t="shared" si="490"/>
        <v>-5.8754361148915617</v>
      </c>
      <c r="AB337" s="479"/>
      <c r="AC337" s="513">
        <f t="shared" si="490"/>
        <v>-5.8754361148915617</v>
      </c>
    </row>
    <row r="338" spans="1:29">
      <c r="A338" s="496"/>
      <c r="B338" s="501" t="s">
        <v>790</v>
      </c>
      <c r="C338" s="479">
        <f>(C137+C140+C143+C146+C149+C164+C167+C170)*1000</f>
        <v>636039</v>
      </c>
      <c r="D338" s="479"/>
      <c r="E338" s="468">
        <f>(E137+E140+E143+E146+E164+E167+E170)</f>
        <v>36129.65</v>
      </c>
      <c r="F338" s="479"/>
      <c r="G338" s="468">
        <f>(G137+G140+G143+G146+G164+G167+G170)</f>
        <v>36129.65</v>
      </c>
      <c r="H338" s="479"/>
      <c r="I338" s="468">
        <f>(I137+I140+I143+I146+I164+I167+I170)</f>
        <v>36129.65</v>
      </c>
      <c r="J338" s="458"/>
      <c r="K338" s="496"/>
      <c r="L338" s="501" t="s">
        <v>790</v>
      </c>
      <c r="M338" s="479">
        <f t="shared" si="488"/>
        <v>22697.514882985568</v>
      </c>
      <c r="N338" s="479"/>
      <c r="O338" s="468">
        <f t="shared" si="485"/>
        <v>1289.3128701102598</v>
      </c>
      <c r="P338" s="479"/>
      <c r="Q338" s="468">
        <f t="shared" si="486"/>
        <v>1289.3128701102598</v>
      </c>
      <c r="R338" s="479"/>
      <c r="S338" s="468">
        <f t="shared" si="487"/>
        <v>1289.3128701102598</v>
      </c>
      <c r="T338" s="458"/>
      <c r="U338" s="496"/>
      <c r="V338" s="501" t="s">
        <v>790</v>
      </c>
      <c r="W338" s="479">
        <f t="shared" si="489"/>
        <v>643.0276295051458</v>
      </c>
      <c r="X338" s="479"/>
      <c r="Y338" s="513">
        <f t="shared" si="490"/>
        <v>36.526633106382775</v>
      </c>
      <c r="Z338" s="479"/>
      <c r="AA338" s="513">
        <f t="shared" si="490"/>
        <v>36.526633106382775</v>
      </c>
      <c r="AB338" s="479"/>
      <c r="AC338" s="513">
        <f t="shared" si="490"/>
        <v>36.526633106382775</v>
      </c>
    </row>
    <row r="339" spans="1:29">
      <c r="A339" s="496"/>
      <c r="B339" s="502" t="s">
        <v>791</v>
      </c>
      <c r="C339" s="503">
        <f>(C138+C141+C144+C147+C150+C165+C168+C171)*1000</f>
        <v>513438.66051264899</v>
      </c>
      <c r="D339" s="503"/>
      <c r="E339" s="478">
        <f>(E138+E141+E144+E147+E165+E168+E171)</f>
        <v>8779.67</v>
      </c>
      <c r="F339" s="503"/>
      <c r="G339" s="478">
        <f>(G138+G141+G144+G147+G165+G168+G171)</f>
        <v>8779.67</v>
      </c>
      <c r="H339" s="503"/>
      <c r="I339" s="478">
        <f>(I138+I141+I144+I147+I165+I168+I171)</f>
        <v>8779.67</v>
      </c>
      <c r="K339" s="496"/>
      <c r="L339" s="502" t="s">
        <v>791</v>
      </c>
      <c r="M339" s="503">
        <f t="shared" si="488"/>
        <v>18322.43248996685</v>
      </c>
      <c r="N339" s="503"/>
      <c r="O339" s="478">
        <f t="shared" si="485"/>
        <v>313.30891736623369</v>
      </c>
      <c r="P339" s="503"/>
      <c r="Q339" s="478">
        <f t="shared" si="486"/>
        <v>313.30891736623369</v>
      </c>
      <c r="R339" s="503"/>
      <c r="S339" s="478">
        <f t="shared" si="487"/>
        <v>313.30891736623369</v>
      </c>
      <c r="T339" s="579"/>
      <c r="U339" s="496"/>
      <c r="V339" s="502" t="s">
        <v>791</v>
      </c>
      <c r="W339" s="479">
        <f t="shared" si="489"/>
        <v>519.08018968293766</v>
      </c>
      <c r="X339" s="503"/>
      <c r="Y339" s="513">
        <f t="shared" si="490"/>
        <v>8.87613870837707</v>
      </c>
      <c r="Z339" s="503"/>
      <c r="AA339" s="513">
        <f t="shared" si="490"/>
        <v>8.87613870837707</v>
      </c>
      <c r="AB339" s="503"/>
      <c r="AC339" s="513">
        <f t="shared" si="490"/>
        <v>8.87613870837707</v>
      </c>
    </row>
    <row r="340" spans="1:29" ht="16.5" thickBot="1">
      <c r="A340" s="496"/>
      <c r="B340" s="504" t="s">
        <v>93</v>
      </c>
      <c r="C340" s="505">
        <f>SUM(C336:C339)</f>
        <v>308004.09227507911</v>
      </c>
      <c r="D340" s="505"/>
      <c r="E340" s="506">
        <f>SUM(E336:E339)</f>
        <v>15244.560000000003</v>
      </c>
      <c r="F340" s="505"/>
      <c r="G340" s="506">
        <f>SUM(G336:G339)</f>
        <v>15244.560000000003</v>
      </c>
      <c r="H340" s="505"/>
      <c r="I340" s="506">
        <f>SUM(I336:I339)</f>
        <v>15244.560000000003</v>
      </c>
      <c r="K340" s="496"/>
      <c r="L340" s="504" t="s">
        <v>93</v>
      </c>
      <c r="M340" s="505">
        <f>SUM(M336:M339)</f>
        <v>10991.350323540013</v>
      </c>
      <c r="N340" s="505"/>
      <c r="O340" s="506">
        <f>SUM(O336:O339)</f>
        <v>544.01322479371004</v>
      </c>
      <c r="P340" s="505"/>
      <c r="Q340" s="506">
        <f>SUM(Q336:Q339)</f>
        <v>544.01322479371004</v>
      </c>
      <c r="R340" s="505"/>
      <c r="S340" s="506">
        <f>SUM(S336:S339)</f>
        <v>544.01322479371004</v>
      </c>
      <c r="T340" s="579"/>
      <c r="U340" s="496"/>
      <c r="V340" s="504" t="s">
        <v>93</v>
      </c>
      <c r="W340" s="505">
        <f>SUM(W336:W339)</f>
        <v>311.38836035766406</v>
      </c>
      <c r="X340" s="505"/>
      <c r="Y340" s="506">
        <f>SUM(Y336:Y339)</f>
        <v>15.412063221986337</v>
      </c>
      <c r="Z340" s="505"/>
      <c r="AA340" s="506">
        <f>SUM(AA336:AA339)</f>
        <v>15.412063221986337</v>
      </c>
      <c r="AB340" s="505"/>
      <c r="AC340" s="506">
        <f>SUM(AC336:AC339)</f>
        <v>15.412063221986337</v>
      </c>
    </row>
    <row r="341" spans="1:29" ht="16.5" thickTop="1">
      <c r="A341" s="496" t="s">
        <v>493</v>
      </c>
      <c r="B341" s="501" t="s">
        <v>202</v>
      </c>
      <c r="C341" s="479">
        <f>SUM(C124:C127)*1000</f>
        <v>-9031.6772313924066</v>
      </c>
      <c r="D341" s="449"/>
      <c r="E341" s="479">
        <f>SUM(E123:E127)</f>
        <v>-102.17</v>
      </c>
      <c r="F341" s="449"/>
      <c r="G341" s="479">
        <f>SUM(G123:G127)</f>
        <v>-102.17</v>
      </c>
      <c r="H341" s="449"/>
      <c r="I341" s="479">
        <f>SUM(I123:I127)</f>
        <v>-102.17</v>
      </c>
      <c r="K341" s="496"/>
      <c r="L341" s="501"/>
      <c r="M341" s="479"/>
      <c r="N341" s="449"/>
      <c r="O341" s="479"/>
      <c r="P341" s="449"/>
      <c r="Q341" s="479"/>
      <c r="R341" s="449"/>
      <c r="S341" s="479"/>
      <c r="T341" s="445"/>
    </row>
    <row r="342" spans="1:29">
      <c r="A342" s="496"/>
      <c r="B342" s="502" t="s">
        <v>787</v>
      </c>
      <c r="C342" s="503">
        <f>SUM(C119:C123,C128:C130)*1000</f>
        <v>13719.383903844866</v>
      </c>
      <c r="D342" s="507"/>
      <c r="E342" s="503">
        <f>SUM(E119:E122,E128:E130)</f>
        <v>252.97000000000003</v>
      </c>
      <c r="F342" s="507"/>
      <c r="G342" s="503">
        <f>SUM(G119:G122,G128:G130)</f>
        <v>252.97000000000003</v>
      </c>
      <c r="H342" s="507"/>
      <c r="I342" s="503">
        <f>SUM(I119:I122,I128:I130)</f>
        <v>252.97000000000003</v>
      </c>
      <c r="K342" s="496"/>
      <c r="L342" s="502"/>
      <c r="M342" s="503"/>
      <c r="N342" s="507"/>
      <c r="O342" s="503"/>
      <c r="P342" s="507"/>
      <c r="Q342" s="503"/>
      <c r="R342" s="507"/>
      <c r="S342" s="503"/>
      <c r="T342" s="445"/>
    </row>
    <row r="343" spans="1:29" ht="16.5" thickBot="1">
      <c r="A343" s="496"/>
      <c r="B343" s="504" t="s">
        <v>93</v>
      </c>
      <c r="C343" s="505">
        <f>SUM(C341:C342)</f>
        <v>4687.7066724524593</v>
      </c>
      <c r="D343" s="508"/>
      <c r="E343" s="505">
        <f>SUM(E341:E342)</f>
        <v>150.80000000000001</v>
      </c>
      <c r="F343" s="508"/>
      <c r="G343" s="505">
        <f>SUM(G341:G342)</f>
        <v>150.80000000000001</v>
      </c>
      <c r="H343" s="508"/>
      <c r="I343" s="505">
        <f>SUM(I341:I342)</f>
        <v>150.80000000000001</v>
      </c>
      <c r="K343" s="496"/>
      <c r="L343" s="504"/>
      <c r="M343" s="505"/>
      <c r="N343" s="508"/>
      <c r="O343" s="505"/>
      <c r="P343" s="508"/>
      <c r="Q343" s="505"/>
      <c r="R343" s="508"/>
      <c r="S343" s="505"/>
      <c r="T343" s="445"/>
    </row>
    <row r="344" spans="1:29" ht="16.5" thickTop="1">
      <c r="A344" s="496" t="s">
        <v>467</v>
      </c>
      <c r="B344" s="501" t="s">
        <v>788</v>
      </c>
      <c r="C344" s="479">
        <f>(C193+C196+C199+C202)*1000</f>
        <v>-779159</v>
      </c>
      <c r="D344" s="449"/>
      <c r="E344" s="468">
        <f>(E190+E193+E196+E199+E202)</f>
        <v>-15365.609999999997</v>
      </c>
      <c r="F344" s="449"/>
      <c r="G344" s="468">
        <f>(G190+G193+G196+G199+G202)</f>
        <v>-15365.609999999997</v>
      </c>
      <c r="H344" s="449"/>
      <c r="I344" s="468">
        <f>(I190+I193+I196+I199+I202)</f>
        <v>-15365.609999999997</v>
      </c>
      <c r="J344" s="579">
        <f>'8'!M28</f>
        <v>5.7863869800880853E-2</v>
      </c>
      <c r="K344" s="496" t="s">
        <v>1033</v>
      </c>
      <c r="L344" s="501" t="s">
        <v>788</v>
      </c>
      <c r="M344" s="479">
        <f>C344*$J$344</f>
        <v>-45085.154930184523</v>
      </c>
      <c r="N344" s="449"/>
      <c r="O344" s="468">
        <f t="shared" ref="O344:O346" si="491">E344*$J$344</f>
        <v>-889.11365645111266</v>
      </c>
      <c r="P344" s="449"/>
      <c r="Q344" s="468">
        <f t="shared" ref="Q344:Q346" si="492">G344*$J$344</f>
        <v>-889.11365645111266</v>
      </c>
      <c r="R344" s="449"/>
      <c r="S344" s="468">
        <f t="shared" ref="S344:S346" si="493">I344*$J$344</f>
        <v>-889.11365645111266</v>
      </c>
      <c r="T344" s="579">
        <f>'8'!M29</f>
        <v>1.6208487278274934E-3</v>
      </c>
      <c r="U344" s="496" t="s">
        <v>1033</v>
      </c>
      <c r="V344" s="501" t="s">
        <v>788</v>
      </c>
      <c r="W344" s="479">
        <f>M344*$T$344</f>
        <v>-73.076216012495024</v>
      </c>
      <c r="X344" s="449"/>
      <c r="Y344" s="468">
        <f>O344*$T$344</f>
        <v>-1.441118738952837</v>
      </c>
      <c r="Z344" s="449"/>
      <c r="AA344" s="468">
        <f>Q344*$T$344</f>
        <v>-1.441118738952837</v>
      </c>
      <c r="AB344" s="449"/>
      <c r="AC344" s="468">
        <f>S344*$T$344</f>
        <v>-1.441118738952837</v>
      </c>
    </row>
    <row r="345" spans="1:29">
      <c r="A345" s="496"/>
      <c r="B345" s="501" t="s">
        <v>790</v>
      </c>
      <c r="C345" s="479">
        <f>(C178+C181+C184+C187+C190+C205+C208+C211)*1000</f>
        <v>1555317</v>
      </c>
      <c r="D345" s="449"/>
      <c r="E345" s="468">
        <f>(E178+E181+E184+E187+E205+E208+E211)</f>
        <v>41719.760000000002</v>
      </c>
      <c r="F345" s="449"/>
      <c r="G345" s="468">
        <f>(G178+G181+G184+G187+G205+G208+G211)</f>
        <v>41719.760000000002</v>
      </c>
      <c r="H345" s="449"/>
      <c r="I345" s="468">
        <f>(I178+I181+I184+I187+I205+I208+I211)</f>
        <v>41719.760000000002</v>
      </c>
      <c r="K345" s="496"/>
      <c r="L345" s="501" t="s">
        <v>790</v>
      </c>
      <c r="M345" s="479">
        <f t="shared" ref="M345:M346" si="494">C345*$J$344</f>
        <v>89996.660387096606</v>
      </c>
      <c r="N345" s="449"/>
      <c r="O345" s="468">
        <f t="shared" si="491"/>
        <v>2414.0667607639971</v>
      </c>
      <c r="P345" s="449"/>
      <c r="Q345" s="468">
        <f t="shared" si="492"/>
        <v>2414.0667607639971</v>
      </c>
      <c r="R345" s="449"/>
      <c r="S345" s="468">
        <f t="shared" si="493"/>
        <v>2414.0667607639971</v>
      </c>
      <c r="T345" s="579"/>
      <c r="U345" s="496"/>
      <c r="V345" s="501" t="s">
        <v>790</v>
      </c>
      <c r="W345" s="479">
        <f t="shared" ref="W345:W346" si="495">M345*$T$344</f>
        <v>145.8709724971485</v>
      </c>
      <c r="X345" s="449"/>
      <c r="Y345" s="468">
        <f t="shared" ref="Y345:AC346" si="496">O345*$T$344</f>
        <v>3.9128370380749624</v>
      </c>
      <c r="Z345" s="449"/>
      <c r="AA345" s="468">
        <f t="shared" si="496"/>
        <v>3.9128370380749624</v>
      </c>
      <c r="AB345" s="449"/>
      <c r="AC345" s="468">
        <f t="shared" si="496"/>
        <v>3.9128370380749624</v>
      </c>
    </row>
    <row r="346" spans="1:29">
      <c r="A346" s="496"/>
      <c r="B346" s="502" t="s">
        <v>500</v>
      </c>
      <c r="C346" s="503">
        <f>(C179+C182+C185+C188+C191+C194+C197+C200+C203+C206+C209+C212)*1000</f>
        <v>282680.81330318697</v>
      </c>
      <c r="D346" s="507"/>
      <c r="E346" s="478">
        <f>(E179+E182+E185+E188+E191+E194+E197+E200+E203+E206+E209+E212)</f>
        <v>9306.0599999999886</v>
      </c>
      <c r="F346" s="507"/>
      <c r="G346" s="478">
        <f>(G179+G182+G185+G188+G191+G194+G197+G200+G203+G206+G209+G212)</f>
        <v>9306.0599999999886</v>
      </c>
      <c r="H346" s="507"/>
      <c r="I346" s="478">
        <f>(I179+I182+I185+I188+I191+I194+I197+I200+I203+I206+I209+I212)</f>
        <v>9306.0599999999886</v>
      </c>
      <c r="K346" s="496"/>
      <c r="L346" s="502" t="s">
        <v>500</v>
      </c>
      <c r="M346" s="503">
        <f t="shared" si="494"/>
        <v>16357.005776182719</v>
      </c>
      <c r="N346" s="507"/>
      <c r="O346" s="478">
        <f t="shared" si="491"/>
        <v>538.48464419918457</v>
      </c>
      <c r="P346" s="507"/>
      <c r="Q346" s="478">
        <f t="shared" si="492"/>
        <v>538.48464419918457</v>
      </c>
      <c r="R346" s="507"/>
      <c r="S346" s="478">
        <f t="shared" si="493"/>
        <v>538.48464419918457</v>
      </c>
      <c r="T346" s="579"/>
      <c r="U346" s="496"/>
      <c r="V346" s="502" t="s">
        <v>500</v>
      </c>
      <c r="W346" s="479">
        <f t="shared" si="495"/>
        <v>26.512232003392722</v>
      </c>
      <c r="X346" s="507"/>
      <c r="Y346" s="468">
        <f t="shared" si="496"/>
        <v>0.87280215050488874</v>
      </c>
      <c r="Z346" s="507"/>
      <c r="AA346" s="468">
        <f t="shared" si="496"/>
        <v>0.87280215050488874</v>
      </c>
      <c r="AB346" s="507"/>
      <c r="AC346" s="468">
        <f t="shared" si="496"/>
        <v>0.87280215050488874</v>
      </c>
    </row>
    <row r="347" spans="1:29" ht="16.5" thickBot="1">
      <c r="A347" s="496"/>
      <c r="B347" s="504" t="s">
        <v>93</v>
      </c>
      <c r="C347" s="505">
        <f>SUM(C344:C346)</f>
        <v>1058838.813303187</v>
      </c>
      <c r="D347" s="508"/>
      <c r="E347" s="506">
        <f>SUM(E344:E346)</f>
        <v>35660.209999999992</v>
      </c>
      <c r="F347" s="508"/>
      <c r="G347" s="506">
        <f>SUM(G344:G346)</f>
        <v>35660.209999999992</v>
      </c>
      <c r="H347" s="508"/>
      <c r="I347" s="506">
        <f>SUM(I344:I346)</f>
        <v>35660.209999999992</v>
      </c>
      <c r="K347" s="496"/>
      <c r="L347" s="504" t="s">
        <v>93</v>
      </c>
      <c r="M347" s="505">
        <f>SUM(M344:M346)</f>
        <v>61268.511233094803</v>
      </c>
      <c r="N347" s="508"/>
      <c r="O347" s="506">
        <f>SUM(O344:O346)</f>
        <v>2063.437748512069</v>
      </c>
      <c r="P347" s="508"/>
      <c r="Q347" s="506">
        <f>SUM(Q344:Q346)</f>
        <v>2063.437748512069</v>
      </c>
      <c r="R347" s="508"/>
      <c r="S347" s="506">
        <f>SUM(S344:S346)</f>
        <v>2063.437748512069</v>
      </c>
      <c r="T347" s="579"/>
      <c r="U347" s="496"/>
      <c r="V347" s="504" t="s">
        <v>93</v>
      </c>
      <c r="W347" s="505">
        <f>SUM(W344:W346)</f>
        <v>99.306988488046201</v>
      </c>
      <c r="X347" s="508"/>
      <c r="Y347" s="506">
        <f>SUM(Y344:Y346)</f>
        <v>3.344520449627014</v>
      </c>
      <c r="Z347" s="508"/>
      <c r="AA347" s="506">
        <f>SUM(AA344:AA346)</f>
        <v>3.344520449627014</v>
      </c>
      <c r="AB347" s="508"/>
      <c r="AC347" s="506">
        <f>SUM(AC344:AC346)</f>
        <v>3.344520449627014</v>
      </c>
    </row>
    <row r="348" spans="1:29" ht="16.5" thickTop="1">
      <c r="A348" s="496" t="s">
        <v>466</v>
      </c>
      <c r="B348" s="501" t="s">
        <v>784</v>
      </c>
      <c r="C348" s="479">
        <f>(M234+M237+M240+M243)*1000</f>
        <v>-2045913.9999999998</v>
      </c>
      <c r="D348" s="488"/>
      <c r="E348" s="479">
        <f>(O231+O234+O237+O240+O243)</f>
        <v>-118017.95000000001</v>
      </c>
      <c r="F348" s="488"/>
      <c r="G348" s="479">
        <f>(Q231+Q234+Q237+Q240+Q243)</f>
        <v>-118017.95000000001</v>
      </c>
      <c r="H348" s="488"/>
      <c r="I348" s="479">
        <f>(S231+S234+S237+S240+S243)</f>
        <v>-118017.95000000001</v>
      </c>
      <c r="J348" s="579">
        <f>'23'!L46</f>
        <v>7.7401319032258222E-3</v>
      </c>
      <c r="K348" s="496" t="s">
        <v>1011</v>
      </c>
      <c r="L348" s="501" t="s">
        <v>784</v>
      </c>
      <c r="M348" s="479">
        <f>C348*$J$348</f>
        <v>-15835.644222656352</v>
      </c>
      <c r="N348" s="488"/>
      <c r="O348" s="479">
        <f t="shared" ref="O348:O351" si="497">E348*$J$348</f>
        <v>-913.47449994831004</v>
      </c>
      <c r="P348" s="488"/>
      <c r="Q348" s="479">
        <f t="shared" ref="Q348:Q351" si="498">G348*$J$348</f>
        <v>-913.47449994831004</v>
      </c>
      <c r="R348" s="488"/>
      <c r="S348" s="479">
        <f t="shared" ref="S348:S351" si="499">I348*$J$348</f>
        <v>-913.47449994831004</v>
      </c>
      <c r="T348" s="579">
        <f>'23'!M46</f>
        <v>9.1469519196131087E-4</v>
      </c>
      <c r="U348" s="496" t="s">
        <v>1233</v>
      </c>
      <c r="V348" s="501" t="s">
        <v>784</v>
      </c>
      <c r="W348" s="479">
        <f>C348*$T$348</f>
        <v>-1871.3876989663331</v>
      </c>
      <c r="X348" s="488"/>
      <c r="Y348" s="479">
        <f t="shared" ref="Y348:AC351" si="500">E348*$T$348</f>
        <v>-107.9504514301304</v>
      </c>
      <c r="Z348" s="488">
        <f t="shared" si="500"/>
        <v>0</v>
      </c>
      <c r="AA348" s="479">
        <f t="shared" si="500"/>
        <v>-107.9504514301304</v>
      </c>
      <c r="AB348" s="488">
        <f t="shared" si="500"/>
        <v>0</v>
      </c>
      <c r="AC348" s="479">
        <f t="shared" si="500"/>
        <v>-107.9504514301304</v>
      </c>
    </row>
    <row r="349" spans="1:29">
      <c r="A349" s="496"/>
      <c r="B349" s="501" t="s">
        <v>785</v>
      </c>
      <c r="C349" s="479">
        <f>(M235+M238+M241+M244)*1000</f>
        <v>-2044097.490409214</v>
      </c>
      <c r="D349" s="479"/>
      <c r="E349" s="479">
        <f>(O232+O235+O238+O241+O244)</f>
        <v>-66106.51999999999</v>
      </c>
      <c r="F349" s="479"/>
      <c r="G349" s="479">
        <f>(Q232+Q235+Q238+Q241+Q244)</f>
        <v>-66106.51999999999</v>
      </c>
      <c r="H349" s="479"/>
      <c r="I349" s="479">
        <f>(S232+S235+S238+S241+S244)</f>
        <v>-66106.51999999999</v>
      </c>
      <c r="K349" s="496"/>
      <c r="L349" s="501" t="s">
        <v>785</v>
      </c>
      <c r="M349" s="479">
        <f t="shared" ref="M349:M351" si="501">C349*$J$348</f>
        <v>-15821.584198820197</v>
      </c>
      <c r="N349" s="479"/>
      <c r="O349" s="479">
        <f t="shared" si="497"/>
        <v>-511.67318446323577</v>
      </c>
      <c r="P349" s="479"/>
      <c r="Q349" s="479">
        <f t="shared" si="498"/>
        <v>-511.67318446323577</v>
      </c>
      <c r="R349" s="479"/>
      <c r="S349" s="479">
        <f t="shared" si="499"/>
        <v>-511.67318446323577</v>
      </c>
      <c r="T349" s="579"/>
      <c r="U349" s="496"/>
      <c r="V349" s="501" t="s">
        <v>785</v>
      </c>
      <c r="W349" s="479">
        <f t="shared" ref="W349:W351" si="502">C349*$T$348</f>
        <v>-1869.7261463774898</v>
      </c>
      <c r="X349" s="479"/>
      <c r="Y349" s="479">
        <f t="shared" si="500"/>
        <v>-60.467316001294229</v>
      </c>
      <c r="Z349" s="479">
        <f t="shared" si="500"/>
        <v>0</v>
      </c>
      <c r="AA349" s="479">
        <f t="shared" si="500"/>
        <v>-60.467316001294229</v>
      </c>
      <c r="AB349" s="479">
        <f t="shared" si="500"/>
        <v>0</v>
      </c>
      <c r="AC349" s="479">
        <f t="shared" si="500"/>
        <v>-60.467316001294229</v>
      </c>
    </row>
    <row r="350" spans="1:29">
      <c r="A350" s="496"/>
      <c r="B350" s="501" t="s">
        <v>783</v>
      </c>
      <c r="C350" s="479">
        <f>(M219+M222+M225+M228+M231+M246+M249+M252)*1000</f>
        <v>2525630</v>
      </c>
      <c r="D350" s="479"/>
      <c r="E350" s="479">
        <f>(O219+O222+O225+O228+O246+O249+O252)</f>
        <v>158722.10999999999</v>
      </c>
      <c r="F350" s="479"/>
      <c r="G350" s="479">
        <f>(Q219+Q222+Q225+Q228+Q246+Q249+Q252)</f>
        <v>158722.10999999999</v>
      </c>
      <c r="H350" s="479"/>
      <c r="I350" s="479">
        <f>(S219+S222+S225+S228+S246+S249+S252)</f>
        <v>158722.10999999999</v>
      </c>
      <c r="K350" s="496"/>
      <c r="L350" s="501" t="s">
        <v>783</v>
      </c>
      <c r="M350" s="479">
        <f t="shared" si="501"/>
        <v>19548.709338744233</v>
      </c>
      <c r="N350" s="479"/>
      <c r="O350" s="479">
        <f t="shared" si="497"/>
        <v>1228.5300673583181</v>
      </c>
      <c r="P350" s="479"/>
      <c r="Q350" s="479">
        <f t="shared" si="498"/>
        <v>1228.5300673583181</v>
      </c>
      <c r="R350" s="479"/>
      <c r="S350" s="479">
        <f t="shared" si="499"/>
        <v>1228.5300673583181</v>
      </c>
      <c r="T350" s="579"/>
      <c r="U350" s="496"/>
      <c r="V350" s="501" t="s">
        <v>783</v>
      </c>
      <c r="W350" s="479">
        <f t="shared" si="502"/>
        <v>2310.1816176732455</v>
      </c>
      <c r="X350" s="479"/>
      <c r="Y350" s="479">
        <f t="shared" si="500"/>
        <v>145.1823508749543</v>
      </c>
      <c r="Z350" s="479">
        <f t="shared" si="500"/>
        <v>0</v>
      </c>
      <c r="AA350" s="479">
        <f t="shared" si="500"/>
        <v>145.1823508749543</v>
      </c>
      <c r="AB350" s="479">
        <f t="shared" si="500"/>
        <v>0</v>
      </c>
      <c r="AC350" s="479">
        <f t="shared" si="500"/>
        <v>145.1823508749543</v>
      </c>
    </row>
    <row r="351" spans="1:29">
      <c r="A351" s="496"/>
      <c r="B351" s="502" t="s">
        <v>782</v>
      </c>
      <c r="C351" s="479">
        <f>(M220+M223+M226+M229+M232+M247+M250+M253)*1000</f>
        <v>2251935.7326408755</v>
      </c>
      <c r="D351" s="503"/>
      <c r="E351" s="479">
        <f>(O220+O223+O226+O229+O247+O250+O253)</f>
        <v>73036.320000000007</v>
      </c>
      <c r="F351" s="503"/>
      <c r="G351" s="479">
        <f>(Q220+Q223+Q226+Q229+Q247+Q250+Q253)</f>
        <v>73036.320000000007</v>
      </c>
      <c r="H351" s="503"/>
      <c r="I351" s="479">
        <f>(S220+S223+S226+S229+S247+S250+S253)</f>
        <v>73036.320000000007</v>
      </c>
      <c r="K351" s="496"/>
      <c r="L351" s="502" t="s">
        <v>782</v>
      </c>
      <c r="M351" s="479">
        <f t="shared" si="501"/>
        <v>17430.279608227855</v>
      </c>
      <c r="N351" s="503"/>
      <c r="O351" s="479">
        <f t="shared" si="497"/>
        <v>565.3107505262102</v>
      </c>
      <c r="P351" s="503"/>
      <c r="Q351" s="479">
        <f t="shared" si="498"/>
        <v>565.3107505262102</v>
      </c>
      <c r="R351" s="503"/>
      <c r="S351" s="479">
        <f t="shared" si="499"/>
        <v>565.3107505262102</v>
      </c>
      <c r="T351" s="579"/>
      <c r="U351" s="496"/>
      <c r="V351" s="502" t="s">
        <v>782</v>
      </c>
      <c r="W351" s="479">
        <f t="shared" si="502"/>
        <v>2059.834787252481</v>
      </c>
      <c r="X351" s="503"/>
      <c r="Y351" s="479">
        <f t="shared" si="500"/>
        <v>66.805970742547728</v>
      </c>
      <c r="Z351" s="503">
        <f t="shared" si="500"/>
        <v>0</v>
      </c>
      <c r="AA351" s="479">
        <f t="shared" si="500"/>
        <v>66.805970742547728</v>
      </c>
      <c r="AB351" s="503">
        <f t="shared" si="500"/>
        <v>0</v>
      </c>
      <c r="AC351" s="479">
        <f t="shared" si="500"/>
        <v>66.805970742547728</v>
      </c>
    </row>
    <row r="352" spans="1:29" ht="16.5" thickBot="1">
      <c r="A352" s="496"/>
      <c r="B352" s="504" t="s">
        <v>93</v>
      </c>
      <c r="C352" s="505">
        <f>SUM(C348:C351)</f>
        <v>687554.24223166145</v>
      </c>
      <c r="D352" s="505"/>
      <c r="E352" s="505">
        <f>SUM(E348:E351)</f>
        <v>47633.959999999992</v>
      </c>
      <c r="F352" s="505"/>
      <c r="G352" s="505">
        <f>SUM(G348:G351)</f>
        <v>47633.959999999992</v>
      </c>
      <c r="H352" s="505"/>
      <c r="I352" s="505">
        <f>SUM(I348:I351)</f>
        <v>47633.959999999992</v>
      </c>
      <c r="K352" s="496"/>
      <c r="L352" s="504" t="s">
        <v>93</v>
      </c>
      <c r="M352" s="505">
        <f>SUM(M348:M351)</f>
        <v>5321.7605254955379</v>
      </c>
      <c r="N352" s="505"/>
      <c r="O352" s="505">
        <f>SUM(O348:O351)</f>
        <v>368.69313347298237</v>
      </c>
      <c r="P352" s="505"/>
      <c r="Q352" s="505">
        <f>SUM(Q348:Q351)</f>
        <v>368.69313347298237</v>
      </c>
      <c r="R352" s="505"/>
      <c r="S352" s="505">
        <f>SUM(S348:S351)</f>
        <v>368.69313347298237</v>
      </c>
      <c r="T352" s="579"/>
      <c r="U352" s="496"/>
      <c r="V352" s="504" t="s">
        <v>93</v>
      </c>
      <c r="W352" s="505">
        <f>SUM(W348:W351)</f>
        <v>628.90255958190346</v>
      </c>
      <c r="X352" s="505"/>
      <c r="Y352" s="505">
        <f>SUM(Y348:Y351)</f>
        <v>43.570554186077388</v>
      </c>
      <c r="Z352" s="505"/>
      <c r="AA352" s="505">
        <f>SUM(AA348:AA351)</f>
        <v>43.570554186077388</v>
      </c>
      <c r="AB352" s="505"/>
      <c r="AC352" s="505">
        <f>SUM(AC348:AC351)</f>
        <v>43.570554186077388</v>
      </c>
    </row>
    <row r="353" spans="1:20" ht="16.5" thickTop="1">
      <c r="A353" s="514" t="s">
        <v>502</v>
      </c>
      <c r="B353" s="515"/>
      <c r="C353" s="516">
        <f>C352+C335+C340+C343+C347</f>
        <v>5965689.6279000025</v>
      </c>
      <c r="D353" s="517"/>
      <c r="E353" s="518">
        <f>E352+E335+E340+E343+E347</f>
        <v>209619.29999999987</v>
      </c>
      <c r="F353" s="517"/>
      <c r="G353" s="518">
        <f>G352+G335+G340+G343+G347</f>
        <v>209619.29999999987</v>
      </c>
      <c r="H353" s="517"/>
      <c r="I353" s="518">
        <f>I352+I335+I340+I343+I347</f>
        <v>209619.29999999987</v>
      </c>
      <c r="K353" s="514" t="s">
        <v>502</v>
      </c>
      <c r="L353" s="515"/>
      <c r="M353" s="516">
        <f>M352+M335+M340+M343+M347</f>
        <v>170564.55167617428</v>
      </c>
      <c r="N353" s="517"/>
      <c r="O353" s="518">
        <f>O352+O335+O340+O343+O347</f>
        <v>5616.435508657627</v>
      </c>
      <c r="P353" s="517"/>
      <c r="Q353" s="518">
        <f>Q352+Q335+Q340+Q343+Q347</f>
        <v>5616.435508657627</v>
      </c>
      <c r="R353" s="517"/>
      <c r="S353" s="518">
        <f>S352+S335+S340+S343+S347</f>
        <v>5616.435508657627</v>
      </c>
      <c r="T353" s="445"/>
    </row>
    <row r="354" spans="1:20">
      <c r="A354" s="494" t="s">
        <v>204</v>
      </c>
      <c r="B354" s="445" t="s">
        <v>694</v>
      </c>
      <c r="C354" s="572">
        <f>SUM(C275,C278,C281,C284)*1000</f>
        <v>-2631559</v>
      </c>
      <c r="E354" s="572">
        <f>SUM(E275,E278,E281,E284)</f>
        <v>-183943.13999999998</v>
      </c>
      <c r="G354" s="572">
        <f>SUM(G275,G278,G281,G284)</f>
        <v>-183943.13999999998</v>
      </c>
      <c r="I354" s="572">
        <f>SUM(I275,I278,I281,I284)</f>
        <v>-183943.13999999998</v>
      </c>
      <c r="J354" s="653">
        <f>'10'!P34</f>
        <v>3.9811101026889513E-2</v>
      </c>
      <c r="K354" s="494" t="s">
        <v>1034</v>
      </c>
      <c r="L354" s="445" t="s">
        <v>694</v>
      </c>
      <c r="M354" s="572">
        <f>C354*$J$354</f>
        <v>-104765.26120722033</v>
      </c>
      <c r="O354" s="572">
        <f t="shared" ref="O354:O358" si="503">E354*$J$354</f>
        <v>-7322.9789297432808</v>
      </c>
      <c r="Q354" s="572">
        <f t="shared" ref="Q354:Q358" si="504">G354*$J$354</f>
        <v>-7322.9789297432808</v>
      </c>
      <c r="S354" s="572">
        <f t="shared" ref="S354:S358" si="505">I354*$J$354</f>
        <v>-7322.9789297432808</v>
      </c>
      <c r="T354" s="445"/>
    </row>
    <row r="355" spans="1:20">
      <c r="B355" s="445" t="s">
        <v>765</v>
      </c>
      <c r="C355" s="572">
        <f>SUM(C276,C279,C282,C285)*1000</f>
        <v>-1590743.1999819179</v>
      </c>
      <c r="E355" s="572">
        <f>SUM(E276,E279,E282,E285)</f>
        <v>-82186.210000000006</v>
      </c>
      <c r="G355" s="572">
        <f>SUM(G276,G279,G282,G285)</f>
        <v>-82186.210000000006</v>
      </c>
      <c r="I355" s="572">
        <f>SUM(I276,I279,I282,I285)</f>
        <v>-82186.210000000006</v>
      </c>
      <c r="J355" s="581"/>
      <c r="L355" s="445" t="s">
        <v>765</v>
      </c>
      <c r="M355" s="572">
        <f t="shared" ref="M355:M358" si="506">C355*$J$354</f>
        <v>-63329.238242317639</v>
      </c>
      <c r="O355" s="572">
        <f t="shared" si="503"/>
        <v>-3271.9235093271573</v>
      </c>
      <c r="Q355" s="572">
        <f t="shared" si="504"/>
        <v>-3271.9235093271573</v>
      </c>
      <c r="S355" s="572">
        <f t="shared" si="505"/>
        <v>-3271.9235093271573</v>
      </c>
      <c r="T355" s="445"/>
    </row>
    <row r="356" spans="1:20">
      <c r="B356" s="445" t="s">
        <v>499</v>
      </c>
      <c r="C356" s="572">
        <f>SUM(M275,M278,M281,M284)*1000</f>
        <v>-177386</v>
      </c>
      <c r="E356" s="572">
        <f>SUM(O275,O278,O281,O284)</f>
        <v>-24496.059999999998</v>
      </c>
      <c r="G356" s="572">
        <f>SUM(Q275,Q278,Q281,Q284)</f>
        <v>-24496.059999999998</v>
      </c>
      <c r="I356" s="572">
        <f>SUM(S275,S278,S281,S284)</f>
        <v>-24496.059999999998</v>
      </c>
      <c r="J356" s="652"/>
      <c r="L356" s="445" t="s">
        <v>499</v>
      </c>
      <c r="M356" s="572"/>
      <c r="O356" s="572"/>
      <c r="Q356" s="572"/>
      <c r="S356" s="572"/>
      <c r="T356" s="445"/>
    </row>
    <row r="357" spans="1:20">
      <c r="B357" s="445" t="s">
        <v>500</v>
      </c>
      <c r="C357" s="572">
        <f>SUM(M276,M279,M282,M285)*1000</f>
        <v>-541876.7209180824</v>
      </c>
      <c r="E357" s="572">
        <f>SUM(O276,O279,O282,O285)</f>
        <v>-21562.940000000002</v>
      </c>
      <c r="G357" s="572">
        <f>SUM(Q276,Q279,Q282,Q285)</f>
        <v>-21562.940000000002</v>
      </c>
      <c r="I357" s="572">
        <f>SUM(S276,S279,S282,S285)</f>
        <v>-21562.940000000002</v>
      </c>
      <c r="J357" s="581"/>
      <c r="L357" s="445" t="s">
        <v>500</v>
      </c>
      <c r="M357" s="572"/>
      <c r="O357" s="572"/>
      <c r="Q357" s="572"/>
      <c r="S357" s="572"/>
      <c r="T357" s="445"/>
    </row>
    <row r="358" spans="1:20">
      <c r="B358" s="445" t="s">
        <v>766</v>
      </c>
      <c r="C358" s="572">
        <f>SUM(C262,C265,C268,C271,C274,C289,C292,C295)*1000</f>
        <v>2462729.3197189313</v>
      </c>
      <c r="E358" s="572">
        <f>SUM(E260:E273,E287:E294)</f>
        <v>117912.32000000001</v>
      </c>
      <c r="G358" s="572">
        <f>SUM(G260:G273,G287:G294)</f>
        <v>117912.32000000001</v>
      </c>
      <c r="I358" s="572">
        <f>SUM(I260:I273,I287:I294)</f>
        <v>117912.32000000001</v>
      </c>
      <c r="J358" s="581"/>
      <c r="L358" s="445" t="s">
        <v>766</v>
      </c>
      <c r="M358" s="572">
        <f t="shared" si="506"/>
        <v>98043.965749213254</v>
      </c>
      <c r="O358" s="572">
        <f t="shared" si="503"/>
        <v>4694.2192838349247</v>
      </c>
      <c r="Q358" s="572">
        <f t="shared" si="504"/>
        <v>4694.2192838349247</v>
      </c>
      <c r="S358" s="572">
        <f t="shared" si="505"/>
        <v>4694.2192838349247</v>
      </c>
      <c r="T358" s="445"/>
    </row>
    <row r="359" spans="1:20">
      <c r="B359" s="445" t="s">
        <v>767</v>
      </c>
      <c r="C359" s="572">
        <f>SUM(M262,M265,M268,M271,M274,M289,M292,M295)*1000</f>
        <v>419522.17238106823</v>
      </c>
      <c r="E359" s="572">
        <f>SUM(O260:O273,O287:O294)</f>
        <v>20086.18</v>
      </c>
      <c r="G359" s="572">
        <f>SUM(Q260:Q273,Q287:Q294)</f>
        <v>20086.18</v>
      </c>
      <c r="I359" s="572">
        <f>SUM(S260:S273,S287:S294)</f>
        <v>20086.18</v>
      </c>
      <c r="J359" s="581"/>
      <c r="L359" s="445" t="s">
        <v>767</v>
      </c>
      <c r="M359" s="572"/>
      <c r="O359" s="572"/>
      <c r="Q359" s="572"/>
      <c r="S359" s="572"/>
      <c r="T359" s="445"/>
    </row>
    <row r="360" spans="1:20">
      <c r="A360" s="550" t="s">
        <v>204</v>
      </c>
      <c r="B360" s="551"/>
      <c r="C360" s="573">
        <f>SUM(C354:C359)</f>
        <v>-2059313.4288000008</v>
      </c>
      <c r="D360" s="551"/>
      <c r="E360" s="573">
        <f>SUM(E354:E359)</f>
        <v>-174189.84999999998</v>
      </c>
      <c r="F360" s="551"/>
      <c r="G360" s="573">
        <f>SUM(G354:G359)</f>
        <v>-174189.84999999998</v>
      </c>
      <c r="H360" s="551"/>
      <c r="I360" s="573">
        <f>SUM(I354:I359)</f>
        <v>-174189.84999999998</v>
      </c>
      <c r="J360" s="581"/>
      <c r="K360" s="550" t="s">
        <v>204</v>
      </c>
      <c r="L360" s="551"/>
      <c r="M360" s="573">
        <f>SUM(M354:M359)</f>
        <v>-70050.533700324726</v>
      </c>
      <c r="N360" s="551"/>
      <c r="O360" s="573">
        <f>SUM(O354:O359)</f>
        <v>-5900.6831552355134</v>
      </c>
      <c r="P360" s="551"/>
      <c r="Q360" s="573">
        <f>SUM(Q354:Q359)</f>
        <v>-5900.6831552355134</v>
      </c>
      <c r="R360" s="551"/>
      <c r="S360" s="573">
        <f>SUM(S354:S359)</f>
        <v>-5900.6831552355134</v>
      </c>
      <c r="T360" s="445"/>
    </row>
    <row r="361" spans="1:20">
      <c r="B361" s="445"/>
      <c r="C361" s="446"/>
      <c r="J361" s="581"/>
      <c r="T361" s="445"/>
    </row>
    <row r="362" spans="1:20">
      <c r="A362" s="445" t="s">
        <v>93</v>
      </c>
      <c r="C362" s="450">
        <f>C332+C353+C360</f>
        <v>-50426625.009999998</v>
      </c>
      <c r="E362" s="450">
        <f>E332+E353+E360</f>
        <v>-5641628.1600000001</v>
      </c>
      <c r="G362" s="450">
        <f>G332+G353+G360</f>
        <v>-5641628.1600000001</v>
      </c>
      <c r="I362" s="450">
        <f>I332+I353+I360</f>
        <v>-5641628.1600000001</v>
      </c>
      <c r="L362" s="486"/>
      <c r="M362" s="450"/>
      <c r="O362" s="450"/>
      <c r="Q362" s="450"/>
      <c r="S362" s="450"/>
      <c r="T362" s="445"/>
    </row>
    <row r="363" spans="1:20">
      <c r="C363" s="445">
        <f>C362-(C51+M51+C97+C114+M114+W114+C131+M131+C173+M173+C214+M214+C255+M255+W255+C296+M296)*1000</f>
        <v>0</v>
      </c>
      <c r="E363" s="574">
        <f>E362-(E51+O51+E97+E114+O114+Y114+E131+O131+E173+O173+E214+O214+E255+O255+Y255+E296+O296+O71+O72)</f>
        <v>0</v>
      </c>
      <c r="G363" s="574">
        <f>G362-(G51+Q51+G97+G114+Q114+AA114+G131+Q131+G173+Q173+G214+Q214+G255+Q255+AA255+G296+Q296+Q71+Q72)</f>
        <v>0</v>
      </c>
      <c r="I363" s="574">
        <f>I362-(I51+S51+I97+I114+S114+AC114+I131+S131+I173+S173+I214+S214+I255+S255+AC255+I296+S296+S71+S72)</f>
        <v>0</v>
      </c>
      <c r="L363" s="486"/>
      <c r="M363" s="445"/>
      <c r="O363" s="574"/>
      <c r="Q363" s="574"/>
      <c r="S363" s="574"/>
      <c r="T363" s="445"/>
    </row>
  </sheetData>
  <printOptions horizontalCentered="1"/>
  <pageMargins left="0.5" right="0.5" top="0.5" bottom="0.45" header="0.25" footer="0.22"/>
  <pageSetup scale="27" fitToHeight="0" orientation="portrait" r:id="rId1"/>
  <headerFooter alignWithMargins="0">
    <oddFooter>Page &amp;P of 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P35"/>
  <sheetViews>
    <sheetView workbookViewId="0">
      <selection activeCell="C355" sqref="C355"/>
    </sheetView>
  </sheetViews>
  <sheetFormatPr defaultColWidth="8" defaultRowHeight="12.75"/>
  <cols>
    <col min="1" max="1" width="11.625" style="520" customWidth="1"/>
    <col min="2" max="2" width="8" style="520" customWidth="1"/>
    <col min="3" max="3" width="10.25" style="520" bestFit="1" customWidth="1"/>
    <col min="4" max="5" width="8.125" style="520" customWidth="1"/>
    <col min="6" max="6" width="10.25" style="520" customWidth="1"/>
    <col min="7" max="7" width="10.75" style="521" bestFit="1" customWidth="1"/>
    <col min="8" max="9" width="8.625" style="521" bestFit="1" customWidth="1"/>
    <col min="10" max="10" width="8.625" style="521" customWidth="1"/>
    <col min="11" max="11" width="9.25" style="521" customWidth="1"/>
    <col min="12" max="13" width="10" style="521" bestFit="1" customWidth="1"/>
    <col min="14" max="14" width="12.625" style="520" bestFit="1" customWidth="1"/>
    <col min="15" max="16384" width="8" style="520"/>
  </cols>
  <sheetData>
    <row r="1" spans="1:16" s="519" customFormat="1">
      <c r="A1" s="727" t="s">
        <v>1030</v>
      </c>
      <c r="B1" s="728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</row>
    <row r="2" spans="1:16">
      <c r="A2" s="1194"/>
      <c r="B2" s="1195"/>
      <c r="C2" s="1196" t="s">
        <v>698</v>
      </c>
      <c r="D2" s="1197"/>
      <c r="E2" s="1197"/>
      <c r="F2" s="1197"/>
      <c r="G2" s="1197"/>
      <c r="H2" s="1196" t="s">
        <v>699</v>
      </c>
      <c r="I2" s="1197"/>
      <c r="J2" s="1197"/>
      <c r="K2" s="1197"/>
      <c r="L2" s="1198"/>
      <c r="M2" s="1199" t="s">
        <v>700</v>
      </c>
      <c r="O2" s="575"/>
      <c r="P2" s="575"/>
    </row>
    <row r="3" spans="1:16">
      <c r="A3" s="730" t="s">
        <v>299</v>
      </c>
      <c r="B3" s="731" t="s">
        <v>110</v>
      </c>
      <c r="C3" s="730" t="s">
        <v>448</v>
      </c>
      <c r="D3" s="732" t="s">
        <v>449</v>
      </c>
      <c r="E3" s="732" t="s">
        <v>668</v>
      </c>
      <c r="F3" s="732" t="s">
        <v>492</v>
      </c>
      <c r="G3" s="732" t="s">
        <v>466</v>
      </c>
      <c r="H3" s="730" t="s">
        <v>492</v>
      </c>
      <c r="I3" s="732" t="s">
        <v>69</v>
      </c>
      <c r="J3" s="732" t="s">
        <v>493</v>
      </c>
      <c r="K3" s="732" t="s">
        <v>467</v>
      </c>
      <c r="L3" s="731" t="s">
        <v>466</v>
      </c>
      <c r="M3" s="733" t="s">
        <v>204</v>
      </c>
      <c r="O3" s="576"/>
      <c r="P3" s="576"/>
    </row>
    <row r="4" spans="1:16">
      <c r="A4" s="734">
        <v>2019</v>
      </c>
      <c r="B4" s="1200">
        <v>1</v>
      </c>
      <c r="C4" s="735">
        <v>5152.7843842707725</v>
      </c>
      <c r="D4" s="736">
        <v>4.8973128788294185</v>
      </c>
      <c r="E4" s="736">
        <v>122.37028545608716</v>
      </c>
      <c r="F4" s="736">
        <v>140.85189258629885</v>
      </c>
      <c r="G4" s="736">
        <v>89.599970608012072</v>
      </c>
      <c r="H4" s="735">
        <v>1084.8678201303978</v>
      </c>
      <c r="I4" s="736">
        <v>78.047893000254462</v>
      </c>
      <c r="J4" s="736">
        <v>0.63470858000982067</v>
      </c>
      <c r="K4" s="736">
        <v>206.21939372800099</v>
      </c>
      <c r="L4" s="737">
        <v>281.7840201613368</v>
      </c>
      <c r="M4" s="738">
        <v>0</v>
      </c>
      <c r="N4" s="522">
        <f t="shared" ref="N4:N15" si="0">SUM(C4:M4)</f>
        <v>7162.0576813999996</v>
      </c>
      <c r="O4" s="577"/>
      <c r="P4" s="577"/>
    </row>
    <row r="5" spans="1:16">
      <c r="A5" s="734">
        <v>2019</v>
      </c>
      <c r="B5" s="739">
        <v>2</v>
      </c>
      <c r="C5" s="735">
        <v>-3737.5994750459754</v>
      </c>
      <c r="D5" s="736">
        <v>-3.691859723299908</v>
      </c>
      <c r="E5" s="736">
        <v>-94.902431171395676</v>
      </c>
      <c r="F5" s="736">
        <v>-80.356468947801531</v>
      </c>
      <c r="G5" s="736">
        <v>-71.974913311526976</v>
      </c>
      <c r="H5" s="735">
        <v>-582.10530238712397</v>
      </c>
      <c r="I5" s="736">
        <v>-39.168785359320999</v>
      </c>
      <c r="J5" s="736">
        <v>-0.37379103356824467</v>
      </c>
      <c r="K5" s="736">
        <v>-115.22991376289627</v>
      </c>
      <c r="L5" s="737">
        <v>-151.5923802570905</v>
      </c>
      <c r="M5" s="738">
        <v>0</v>
      </c>
      <c r="N5" s="522">
        <f t="shared" si="0"/>
        <v>-4876.9953209999994</v>
      </c>
      <c r="O5" s="577"/>
      <c r="P5" s="577"/>
    </row>
    <row r="6" spans="1:16">
      <c r="A6" s="734">
        <v>2019</v>
      </c>
      <c r="B6" s="739">
        <v>3</v>
      </c>
      <c r="C6" s="735">
        <v>-7017.2492078927935</v>
      </c>
      <c r="D6" s="736">
        <v>-7.2610932077415971</v>
      </c>
      <c r="E6" s="736">
        <v>-185.34242247593662</v>
      </c>
      <c r="F6" s="736">
        <v>-153.30505099373079</v>
      </c>
      <c r="G6" s="736">
        <v>-133.97487042979731</v>
      </c>
      <c r="H6" s="735">
        <v>527.23376470698179</v>
      </c>
      <c r="I6" s="736">
        <v>34.743676479682904</v>
      </c>
      <c r="J6" s="736">
        <v>0.39454723992114826</v>
      </c>
      <c r="K6" s="736">
        <v>104.15438956624686</v>
      </c>
      <c r="L6" s="737">
        <v>133.08844880716723</v>
      </c>
      <c r="M6" s="738">
        <v>0</v>
      </c>
      <c r="N6" s="522">
        <f t="shared" si="0"/>
        <v>-6697.5178182</v>
      </c>
      <c r="O6" s="577"/>
      <c r="P6" s="577"/>
    </row>
    <row r="7" spans="1:16">
      <c r="A7" s="734">
        <v>2019</v>
      </c>
      <c r="B7" s="739">
        <v>4</v>
      </c>
      <c r="C7" s="735">
        <v>9538.9418718309753</v>
      </c>
      <c r="D7" s="736">
        <v>10.102054422708068</v>
      </c>
      <c r="E7" s="736">
        <v>255.46156709123926</v>
      </c>
      <c r="F7" s="736">
        <v>213.12416975579873</v>
      </c>
      <c r="G7" s="736">
        <v>181.47230889927715</v>
      </c>
      <c r="H7" s="735">
        <v>993.3633335351501</v>
      </c>
      <c r="I7" s="736">
        <v>55.422997981464</v>
      </c>
      <c r="J7" s="736">
        <v>0.70415760621078405</v>
      </c>
      <c r="K7" s="736">
        <v>202.15830702380285</v>
      </c>
      <c r="L7" s="737">
        <v>235.78675225337221</v>
      </c>
      <c r="M7" s="738">
        <v>0</v>
      </c>
      <c r="N7" s="522">
        <f t="shared" si="0"/>
        <v>11686.537520399999</v>
      </c>
      <c r="O7" s="577"/>
      <c r="P7" s="577"/>
    </row>
    <row r="8" spans="1:16">
      <c r="A8" s="734">
        <v>2019</v>
      </c>
      <c r="B8" s="739">
        <v>5</v>
      </c>
      <c r="C8" s="735">
        <v>21136.123800803489</v>
      </c>
      <c r="D8" s="736">
        <v>23.497363688024748</v>
      </c>
      <c r="E8" s="736">
        <v>571.19587181264762</v>
      </c>
      <c r="F8" s="736">
        <v>511.46908663287456</v>
      </c>
      <c r="G8" s="736">
        <v>368.91442806296175</v>
      </c>
      <c r="H8" s="735">
        <v>8850.9090756595433</v>
      </c>
      <c r="I8" s="736">
        <v>460.62314005149875</v>
      </c>
      <c r="J8" s="736">
        <v>6.2515311471346031</v>
      </c>
      <c r="K8" s="736">
        <v>1734.6919421710859</v>
      </c>
      <c r="L8" s="737">
        <v>2010.4481546707382</v>
      </c>
      <c r="M8" s="738">
        <v>856.06724919999999</v>
      </c>
      <c r="N8" s="522">
        <f t="shared" si="0"/>
        <v>36530.191643900005</v>
      </c>
      <c r="O8" s="577"/>
      <c r="P8" s="577"/>
    </row>
    <row r="9" spans="1:16">
      <c r="A9" s="1201">
        <v>2019</v>
      </c>
      <c r="B9" s="740">
        <v>6</v>
      </c>
      <c r="C9" s="741">
        <v>33092.029628854943</v>
      </c>
      <c r="D9" s="1202">
        <v>33.547326234628187</v>
      </c>
      <c r="E9" s="1202">
        <v>852.39165754813462</v>
      </c>
      <c r="F9" s="1202">
        <v>686.86048649891688</v>
      </c>
      <c r="G9" s="1202">
        <v>525.61555266337564</v>
      </c>
      <c r="H9" s="741">
        <v>6499.9178626834664</v>
      </c>
      <c r="I9" s="1202">
        <v>317.65736290849117</v>
      </c>
      <c r="J9" s="1202">
        <v>3.7358692118670698</v>
      </c>
      <c r="K9" s="1202">
        <v>1197.9698457287832</v>
      </c>
      <c r="L9" s="742">
        <v>1500.1177666673927</v>
      </c>
      <c r="M9" s="743">
        <v>1746.1177965000002</v>
      </c>
      <c r="N9" s="522">
        <f t="shared" si="0"/>
        <v>46455.961155499994</v>
      </c>
      <c r="O9" s="577"/>
      <c r="P9" s="577"/>
    </row>
    <row r="10" spans="1:16">
      <c r="A10" s="1203">
        <v>2019</v>
      </c>
      <c r="B10" s="1200">
        <v>7</v>
      </c>
      <c r="C10" s="735">
        <v>-22630.670019958125</v>
      </c>
      <c r="D10" s="736">
        <v>-23.053880512170014</v>
      </c>
      <c r="E10" s="736">
        <v>-521.56356232469659</v>
      </c>
      <c r="F10" s="736">
        <v>-360.76873813010985</v>
      </c>
      <c r="G10" s="736">
        <v>-268.74256427490025</v>
      </c>
      <c r="H10" s="735">
        <v>-5158.8222228315781</v>
      </c>
      <c r="I10" s="736">
        <v>-250.5023853887273</v>
      </c>
      <c r="J10" s="736">
        <v>-3.1145285011681039</v>
      </c>
      <c r="K10" s="736">
        <v>-999.80038618975652</v>
      </c>
      <c r="L10" s="737">
        <v>-1250.2943448887697</v>
      </c>
      <c r="M10" s="738">
        <v>-1679.230014</v>
      </c>
      <c r="N10" s="522">
        <f t="shared" si="0"/>
        <v>-33146.562647000006</v>
      </c>
      <c r="O10" s="577"/>
      <c r="P10" s="577"/>
    </row>
    <row r="11" spans="1:16">
      <c r="A11" s="744">
        <v>2019</v>
      </c>
      <c r="B11" s="739">
        <v>8</v>
      </c>
      <c r="C11" s="735">
        <v>-59089.134622580226</v>
      </c>
      <c r="D11" s="736">
        <v>-59.215541334829609</v>
      </c>
      <c r="E11" s="736">
        <v>-1192.995142437208</v>
      </c>
      <c r="F11" s="736">
        <v>-823.6572168274314</v>
      </c>
      <c r="G11" s="736">
        <v>-606.91949542031273</v>
      </c>
      <c r="H11" s="735">
        <v>-13449.252776702986</v>
      </c>
      <c r="I11" s="736">
        <v>-682.60767009058884</v>
      </c>
      <c r="J11" s="736">
        <v>-7.1690921943430999</v>
      </c>
      <c r="K11" s="736">
        <v>-2331.1181211881326</v>
      </c>
      <c r="L11" s="737">
        <v>-3333.6613628239479</v>
      </c>
      <c r="M11" s="738">
        <v>-3466.0519914000001</v>
      </c>
      <c r="N11" s="522">
        <f t="shared" si="0"/>
        <v>-85041.783032999985</v>
      </c>
      <c r="O11" s="577"/>
      <c r="P11" s="577"/>
    </row>
    <row r="12" spans="1:16">
      <c r="A12" s="744">
        <v>2019</v>
      </c>
      <c r="B12" s="739">
        <v>9</v>
      </c>
      <c r="C12" s="735">
        <v>-28345.632038209922</v>
      </c>
      <c r="D12" s="736">
        <v>-29.885485588379733</v>
      </c>
      <c r="E12" s="736">
        <v>-522.23624606957605</v>
      </c>
      <c r="F12" s="736">
        <v>-437.45311502202492</v>
      </c>
      <c r="G12" s="736">
        <v>-326.66363881009624</v>
      </c>
      <c r="H12" s="735">
        <v>-4184.2753817027224</v>
      </c>
      <c r="I12" s="736">
        <v>-226.02087566674498</v>
      </c>
      <c r="J12" s="736">
        <v>-2.4839257477482715</v>
      </c>
      <c r="K12" s="736">
        <v>-775.38330181889637</v>
      </c>
      <c r="L12" s="737">
        <v>-1006.1735493638889</v>
      </c>
      <c r="M12" s="738">
        <v>-1542.4007120000001</v>
      </c>
      <c r="N12" s="522">
        <f t="shared" si="0"/>
        <v>-37398.608270000004</v>
      </c>
      <c r="O12" s="577"/>
      <c r="P12" s="577"/>
    </row>
    <row r="13" spans="1:16">
      <c r="A13" s="744">
        <v>2019</v>
      </c>
      <c r="B13" s="739">
        <v>10</v>
      </c>
      <c r="C13" s="735">
        <v>-21714.561748680477</v>
      </c>
      <c r="D13" s="736">
        <v>-26.156647842730742</v>
      </c>
      <c r="E13" s="736">
        <v>-449.16359037457698</v>
      </c>
      <c r="F13" s="736">
        <v>-595.03178974290063</v>
      </c>
      <c r="G13" s="736">
        <v>-343.64846685931428</v>
      </c>
      <c r="H13" s="735">
        <v>2534.0376889368144</v>
      </c>
      <c r="I13" s="736">
        <v>127.40194760112584</v>
      </c>
      <c r="J13" s="736">
        <v>1.5926745125908657</v>
      </c>
      <c r="K13" s="736">
        <v>480.22520081178715</v>
      </c>
      <c r="L13" s="737">
        <v>579.96153403768142</v>
      </c>
      <c r="M13" s="738">
        <v>2026.1842428999998</v>
      </c>
      <c r="N13" s="522">
        <f t="shared" si="0"/>
        <v>-17379.1589547</v>
      </c>
      <c r="O13" s="577"/>
      <c r="P13" s="577"/>
    </row>
    <row r="14" spans="1:16">
      <c r="A14" s="744">
        <v>2019</v>
      </c>
      <c r="B14" s="739">
        <v>11</v>
      </c>
      <c r="C14" s="735">
        <v>2214.2082404551065</v>
      </c>
      <c r="D14" s="736">
        <v>2.7538950203927892</v>
      </c>
      <c r="E14" s="736">
        <v>49.045827414276069</v>
      </c>
      <c r="F14" s="736">
        <v>50.411575880535132</v>
      </c>
      <c r="G14" s="736">
        <v>38.090502429689579</v>
      </c>
      <c r="H14" s="735">
        <v>2679.1849206339525</v>
      </c>
      <c r="I14" s="736">
        <v>161.40831255973538</v>
      </c>
      <c r="J14" s="736">
        <v>1.8553847515864212</v>
      </c>
      <c r="K14" s="736">
        <v>528.08802135088331</v>
      </c>
      <c r="L14" s="737">
        <v>647.84233820384281</v>
      </c>
      <c r="M14" s="738">
        <v>0</v>
      </c>
      <c r="N14" s="522">
        <f t="shared" si="0"/>
        <v>6372.8890187000015</v>
      </c>
      <c r="O14" s="577"/>
      <c r="P14" s="577"/>
    </row>
    <row r="15" spans="1:16">
      <c r="A15" s="745">
        <v>2019</v>
      </c>
      <c r="B15" s="740">
        <v>12</v>
      </c>
      <c r="C15" s="741">
        <v>18422.581614779701</v>
      </c>
      <c r="D15" s="1202">
        <v>22.884559601918792</v>
      </c>
      <c r="E15" s="1202">
        <v>403.81705767772377</v>
      </c>
      <c r="F15" s="1202">
        <v>481.71975961285602</v>
      </c>
      <c r="G15" s="1202">
        <v>323.04608162780193</v>
      </c>
      <c r="H15" s="741">
        <v>4111.545990755727</v>
      </c>
      <c r="I15" s="1202">
        <v>270.99847819820872</v>
      </c>
      <c r="J15" s="1202">
        <v>2.6601710999594683</v>
      </c>
      <c r="K15" s="1202">
        <v>826.86343588227828</v>
      </c>
      <c r="L15" s="742">
        <v>1040.246864763827</v>
      </c>
      <c r="M15" s="743">
        <v>0</v>
      </c>
      <c r="N15" s="522">
        <f t="shared" si="0"/>
        <v>25906.364014000006</v>
      </c>
      <c r="O15" s="577"/>
      <c r="P15" s="577"/>
    </row>
    <row r="16" spans="1:16">
      <c r="C16" s="522"/>
      <c r="N16" s="937">
        <f>SUM(N4:N15)</f>
        <v>-50426.625009999989</v>
      </c>
    </row>
    <row r="17" spans="1:13">
      <c r="C17" s="522"/>
      <c r="D17" s="522"/>
      <c r="E17" s="522"/>
      <c r="F17" s="522"/>
      <c r="G17" s="522"/>
      <c r="H17" s="522"/>
      <c r="I17" s="522"/>
      <c r="J17" s="522"/>
      <c r="K17" s="522"/>
      <c r="L17" s="522"/>
      <c r="M17" s="522"/>
    </row>
    <row r="18" spans="1:13">
      <c r="A18" s="655"/>
      <c r="C18" s="522"/>
      <c r="D18" s="522"/>
      <c r="E18" s="522"/>
      <c r="F18" s="522"/>
      <c r="G18" s="522"/>
      <c r="H18" s="522"/>
      <c r="I18" s="522"/>
      <c r="J18" s="522"/>
      <c r="K18" s="522"/>
      <c r="L18" s="522"/>
      <c r="M18" s="522"/>
    </row>
    <row r="19" spans="1:13">
      <c r="A19" s="727" t="s">
        <v>1030</v>
      </c>
      <c r="B19" s="728"/>
      <c r="C19" s="729"/>
      <c r="D19" s="729"/>
      <c r="E19" s="729"/>
      <c r="F19" s="729"/>
      <c r="G19" s="729"/>
      <c r="H19" s="729"/>
      <c r="I19" s="729"/>
      <c r="J19" s="729"/>
      <c r="K19" s="729"/>
      <c r="L19" s="729"/>
      <c r="M19" s="729"/>
    </row>
    <row r="20" spans="1:13">
      <c r="A20" s="1194"/>
      <c r="B20" s="1195"/>
      <c r="C20" s="1196" t="s">
        <v>698</v>
      </c>
      <c r="D20" s="1197"/>
      <c r="E20" s="1197"/>
      <c r="F20" s="1197"/>
      <c r="G20" s="1197"/>
      <c r="H20" s="1196" t="s">
        <v>699</v>
      </c>
      <c r="I20" s="1197"/>
      <c r="J20" s="1197"/>
      <c r="K20" s="1197"/>
      <c r="L20" s="1198"/>
      <c r="M20" s="1199" t="s">
        <v>700</v>
      </c>
    </row>
    <row r="21" spans="1:13">
      <c r="A21" s="730" t="s">
        <v>299</v>
      </c>
      <c r="B21" s="731" t="s">
        <v>110</v>
      </c>
      <c r="C21" s="730" t="s">
        <v>448</v>
      </c>
      <c r="D21" s="732" t="s">
        <v>449</v>
      </c>
      <c r="E21" s="732" t="s">
        <v>668</v>
      </c>
      <c r="F21" s="732" t="s">
        <v>492</v>
      </c>
      <c r="G21" s="732" t="s">
        <v>466</v>
      </c>
      <c r="H21" s="730" t="s">
        <v>492</v>
      </c>
      <c r="I21" s="732" t="s">
        <v>69</v>
      </c>
      <c r="J21" s="732" t="s">
        <v>493</v>
      </c>
      <c r="K21" s="732" t="s">
        <v>467</v>
      </c>
      <c r="L21" s="731" t="s">
        <v>466</v>
      </c>
      <c r="M21" s="733" t="s">
        <v>204</v>
      </c>
    </row>
    <row r="22" spans="1:13">
      <c r="A22" s="734">
        <v>2019</v>
      </c>
      <c r="B22" s="1200">
        <v>1</v>
      </c>
      <c r="C22" s="735">
        <v>5152.7843842707725</v>
      </c>
      <c r="D22" s="736">
        <v>4.8973128788294185</v>
      </c>
      <c r="E22" s="736">
        <v>122.37028545608716</v>
      </c>
      <c r="F22" s="736">
        <v>140.85189258629885</v>
      </c>
      <c r="G22" s="736">
        <v>89.599970608012072</v>
      </c>
      <c r="H22" s="735">
        <v>1084.8678201303978</v>
      </c>
      <c r="I22" s="736">
        <v>78.047893000254462</v>
      </c>
      <c r="J22" s="736">
        <v>0.63470858000982067</v>
      </c>
      <c r="K22" s="736">
        <v>206.21939372800099</v>
      </c>
      <c r="L22" s="737">
        <v>281.7840201613368</v>
      </c>
      <c r="M22" s="738">
        <v>0</v>
      </c>
    </row>
    <row r="23" spans="1:13">
      <c r="A23" s="734">
        <v>2019</v>
      </c>
      <c r="B23" s="739">
        <v>2</v>
      </c>
      <c r="C23" s="735">
        <v>-3737.5994750459754</v>
      </c>
      <c r="D23" s="736">
        <v>-3.691859723299908</v>
      </c>
      <c r="E23" s="736">
        <v>-94.902431171395676</v>
      </c>
      <c r="F23" s="736">
        <v>-80.356468947801531</v>
      </c>
      <c r="G23" s="736">
        <v>-71.974913311526976</v>
      </c>
      <c r="H23" s="735">
        <v>-582.10530238712397</v>
      </c>
      <c r="I23" s="736">
        <v>-39.168785359320999</v>
      </c>
      <c r="J23" s="736">
        <v>-0.37379103356824467</v>
      </c>
      <c r="K23" s="736">
        <v>-115.22991376289627</v>
      </c>
      <c r="L23" s="737">
        <v>-151.5923802570905</v>
      </c>
      <c r="M23" s="738">
        <v>0</v>
      </c>
    </row>
    <row r="24" spans="1:13">
      <c r="A24" s="734">
        <v>2019</v>
      </c>
      <c r="B24" s="739">
        <v>3</v>
      </c>
      <c r="C24" s="735">
        <v>-7017.2492078927935</v>
      </c>
      <c r="D24" s="736">
        <v>-7.2610932077415971</v>
      </c>
      <c r="E24" s="736">
        <v>-185.34242247593662</v>
      </c>
      <c r="F24" s="736">
        <v>-153.30505099373079</v>
      </c>
      <c r="G24" s="736">
        <v>-133.97487042979731</v>
      </c>
      <c r="H24" s="735">
        <v>527.23376470698179</v>
      </c>
      <c r="I24" s="736">
        <v>34.743676479682904</v>
      </c>
      <c r="J24" s="736">
        <v>0.39454723992114826</v>
      </c>
      <c r="K24" s="736">
        <v>104.15438956624686</v>
      </c>
      <c r="L24" s="737">
        <v>133.08844880716723</v>
      </c>
      <c r="M24" s="738">
        <v>0</v>
      </c>
    </row>
    <row r="25" spans="1:13">
      <c r="A25" s="734">
        <v>2019</v>
      </c>
      <c r="B25" s="739">
        <v>4</v>
      </c>
      <c r="C25" s="735">
        <v>9538.9418718309753</v>
      </c>
      <c r="D25" s="736">
        <v>10.102054422708068</v>
      </c>
      <c r="E25" s="736">
        <v>255.46156709123926</v>
      </c>
      <c r="F25" s="736">
        <v>213.12416975579873</v>
      </c>
      <c r="G25" s="736">
        <v>181.47230889927715</v>
      </c>
      <c r="H25" s="735">
        <v>993.3633335351501</v>
      </c>
      <c r="I25" s="736">
        <v>55.422997981464</v>
      </c>
      <c r="J25" s="736">
        <v>0.70415760621078405</v>
      </c>
      <c r="K25" s="736">
        <v>202.15830702380285</v>
      </c>
      <c r="L25" s="737">
        <v>235.78675225337221</v>
      </c>
      <c r="M25" s="738">
        <v>0</v>
      </c>
    </row>
    <row r="26" spans="1:13">
      <c r="A26" s="734">
        <v>2019</v>
      </c>
      <c r="B26" s="739">
        <v>5</v>
      </c>
      <c r="C26" s="735">
        <v>21136.123800803489</v>
      </c>
      <c r="D26" s="736">
        <v>23.497363688024748</v>
      </c>
      <c r="E26" s="736">
        <v>571.19587181264762</v>
      </c>
      <c r="F26" s="736">
        <v>511.46908663287456</v>
      </c>
      <c r="G26" s="736">
        <v>368.91442806296175</v>
      </c>
      <c r="H26" s="735">
        <v>8850.9090756595433</v>
      </c>
      <c r="I26" s="736">
        <v>460.62314005149875</v>
      </c>
      <c r="J26" s="736">
        <v>6.2515311471346031</v>
      </c>
      <c r="K26" s="736">
        <v>1734.6919421710859</v>
      </c>
      <c r="L26" s="737">
        <v>2010.4481546707382</v>
      </c>
      <c r="M26" s="738">
        <v>856.06724919999999</v>
      </c>
    </row>
    <row r="27" spans="1:13">
      <c r="A27" s="1201">
        <v>2019</v>
      </c>
      <c r="B27" s="740">
        <v>6</v>
      </c>
      <c r="C27" s="741">
        <v>33092.029628854943</v>
      </c>
      <c r="D27" s="1202">
        <v>33.547326234628187</v>
      </c>
      <c r="E27" s="1202">
        <v>852.39165754813462</v>
      </c>
      <c r="F27" s="1202">
        <v>686.86048649891688</v>
      </c>
      <c r="G27" s="1202">
        <v>525.61555266337564</v>
      </c>
      <c r="H27" s="741">
        <v>6499.9178626834664</v>
      </c>
      <c r="I27" s="1202">
        <v>317.65736290849117</v>
      </c>
      <c r="J27" s="1202">
        <v>3.7358692118670698</v>
      </c>
      <c r="K27" s="1202">
        <v>1197.9698457287832</v>
      </c>
      <c r="L27" s="742">
        <v>1500.1177666673927</v>
      </c>
      <c r="M27" s="743">
        <v>1746.1177965000002</v>
      </c>
    </row>
    <row r="28" spans="1:13">
      <c r="A28" s="1203">
        <v>2019</v>
      </c>
      <c r="B28" s="1200">
        <v>7</v>
      </c>
      <c r="C28" s="735">
        <v>-22630.670019958125</v>
      </c>
      <c r="D28" s="736">
        <v>-23.053880512170014</v>
      </c>
      <c r="E28" s="736">
        <v>-521.56356232469659</v>
      </c>
      <c r="F28" s="736">
        <v>-360.76873813010985</v>
      </c>
      <c r="G28" s="736">
        <v>-268.74256427490025</v>
      </c>
      <c r="H28" s="735">
        <v>-5158.8222228315781</v>
      </c>
      <c r="I28" s="736">
        <v>-250.5023853887273</v>
      </c>
      <c r="J28" s="736">
        <v>-3.1145285011681039</v>
      </c>
      <c r="K28" s="736">
        <v>-999.80038618975652</v>
      </c>
      <c r="L28" s="737">
        <v>-1250.2943448887697</v>
      </c>
      <c r="M28" s="738">
        <v>-1679.230014</v>
      </c>
    </row>
    <row r="29" spans="1:13">
      <c r="A29" s="744">
        <v>2019</v>
      </c>
      <c r="B29" s="739">
        <v>8</v>
      </c>
      <c r="C29" s="735">
        <v>-59089.134622580226</v>
      </c>
      <c r="D29" s="736">
        <v>-59.215541334829609</v>
      </c>
      <c r="E29" s="736">
        <v>-1192.995142437208</v>
      </c>
      <c r="F29" s="736">
        <v>-823.6572168274314</v>
      </c>
      <c r="G29" s="736">
        <v>-606.91949542031273</v>
      </c>
      <c r="H29" s="735">
        <v>-13449.252776702986</v>
      </c>
      <c r="I29" s="736">
        <v>-682.60767009058884</v>
      </c>
      <c r="J29" s="736">
        <v>-7.1690921943430999</v>
      </c>
      <c r="K29" s="736">
        <v>-2331.1181211881326</v>
      </c>
      <c r="L29" s="737">
        <v>-3333.6613628239479</v>
      </c>
      <c r="M29" s="738">
        <v>-3466.0519914000001</v>
      </c>
    </row>
    <row r="30" spans="1:13">
      <c r="A30" s="744">
        <v>2019</v>
      </c>
      <c r="B30" s="739">
        <v>9</v>
      </c>
      <c r="C30" s="735">
        <v>-28345.632038209922</v>
      </c>
      <c r="D30" s="736">
        <v>-29.885485588379733</v>
      </c>
      <c r="E30" s="736">
        <v>-522.23624606957605</v>
      </c>
      <c r="F30" s="736">
        <v>-437.45311502202492</v>
      </c>
      <c r="G30" s="736">
        <v>-326.66363881009624</v>
      </c>
      <c r="H30" s="735">
        <v>-4184.2753817027224</v>
      </c>
      <c r="I30" s="736">
        <v>-226.02087566674498</v>
      </c>
      <c r="J30" s="736">
        <v>-2.4839257477482715</v>
      </c>
      <c r="K30" s="736">
        <v>-775.38330181889637</v>
      </c>
      <c r="L30" s="737">
        <v>-1006.1735493638889</v>
      </c>
      <c r="M30" s="738">
        <v>-1542.4007120000001</v>
      </c>
    </row>
    <row r="31" spans="1:13">
      <c r="A31" s="744">
        <v>2019</v>
      </c>
      <c r="B31" s="739">
        <v>10</v>
      </c>
      <c r="C31" s="735">
        <v>-21714.561748680477</v>
      </c>
      <c r="D31" s="736">
        <v>-26.156647842730742</v>
      </c>
      <c r="E31" s="736">
        <v>-449.16359037457698</v>
      </c>
      <c r="F31" s="736">
        <v>-595.03178974290063</v>
      </c>
      <c r="G31" s="736">
        <v>-343.64846685931428</v>
      </c>
      <c r="H31" s="735">
        <v>2534.0376889368144</v>
      </c>
      <c r="I31" s="736">
        <v>127.40194760112584</v>
      </c>
      <c r="J31" s="736">
        <v>1.5926745125908657</v>
      </c>
      <c r="K31" s="736">
        <v>480.22520081178715</v>
      </c>
      <c r="L31" s="737">
        <v>579.96153403768142</v>
      </c>
      <c r="M31" s="738">
        <v>2026.1842428999998</v>
      </c>
    </row>
    <row r="32" spans="1:13">
      <c r="A32" s="744">
        <v>2019</v>
      </c>
      <c r="B32" s="739">
        <v>11</v>
      </c>
      <c r="C32" s="735">
        <v>2214.2082404551065</v>
      </c>
      <c r="D32" s="736">
        <v>2.7538950203927892</v>
      </c>
      <c r="E32" s="736">
        <v>49.045827414276069</v>
      </c>
      <c r="F32" s="736">
        <v>50.411575880535132</v>
      </c>
      <c r="G32" s="736">
        <v>38.090502429689579</v>
      </c>
      <c r="H32" s="735">
        <v>2679.1849206339525</v>
      </c>
      <c r="I32" s="736">
        <v>161.40831255973538</v>
      </c>
      <c r="J32" s="736">
        <v>1.8553847515864212</v>
      </c>
      <c r="K32" s="736">
        <v>528.08802135088331</v>
      </c>
      <c r="L32" s="737">
        <v>647.84233820384281</v>
      </c>
      <c r="M32" s="738">
        <v>0</v>
      </c>
    </row>
    <row r="33" spans="1:14">
      <c r="A33" s="745">
        <v>2019</v>
      </c>
      <c r="B33" s="740">
        <v>12</v>
      </c>
      <c r="C33" s="741">
        <v>18422.581614779701</v>
      </c>
      <c r="D33" s="1202">
        <v>22.884559601918792</v>
      </c>
      <c r="E33" s="1202">
        <v>403.81705767772377</v>
      </c>
      <c r="F33" s="1202">
        <v>481.71975961285602</v>
      </c>
      <c r="G33" s="1202">
        <v>323.04608162780193</v>
      </c>
      <c r="H33" s="741">
        <v>4111.545990755727</v>
      </c>
      <c r="I33" s="1202">
        <v>270.99847819820872</v>
      </c>
      <c r="J33" s="1202">
        <v>2.6601710999594683</v>
      </c>
      <c r="K33" s="1202">
        <v>826.86343588227828</v>
      </c>
      <c r="L33" s="742">
        <v>1040.246864763827</v>
      </c>
      <c r="M33" s="743">
        <v>0</v>
      </c>
    </row>
    <row r="34" spans="1:14">
      <c r="C34" s="522">
        <f>SUM(C22:C33)</f>
        <v>-52978.177571372522</v>
      </c>
      <c r="D34" s="522">
        <f t="shared" ref="D34:M34" si="1">SUM(D22:D33)</f>
        <v>-51.581996362649605</v>
      </c>
      <c r="E34" s="522">
        <f t="shared" si="1"/>
        <v>-711.9211278532814</v>
      </c>
      <c r="F34" s="522">
        <f t="shared" si="1"/>
        <v>-366.13540869671874</v>
      </c>
      <c r="G34" s="522">
        <f t="shared" si="1"/>
        <v>-225.18510481482969</v>
      </c>
      <c r="H34" s="522">
        <f t="shared" si="1"/>
        <v>3906.6047734176213</v>
      </c>
      <c r="I34" s="522">
        <f t="shared" si="1"/>
        <v>308.00409227507913</v>
      </c>
      <c r="J34" s="522">
        <f t="shared" si="1"/>
        <v>4.6877066724524612</v>
      </c>
      <c r="K34" s="522">
        <f t="shared" si="1"/>
        <v>1058.8388133031867</v>
      </c>
      <c r="L34" s="522">
        <f t="shared" si="1"/>
        <v>687.55424223166096</v>
      </c>
      <c r="M34" s="939">
        <f t="shared" si="1"/>
        <v>-2059.3134288000006</v>
      </c>
      <c r="N34" s="522">
        <f>SUM(C34:M34)</f>
        <v>-50426.625010000003</v>
      </c>
    </row>
    <row r="35" spans="1:14">
      <c r="G35" s="938">
        <f>SUM(C34:G34)</f>
        <v>-54333.001209100003</v>
      </c>
      <c r="L35" s="938">
        <f>SUM(H34:L34)</f>
        <v>5965.6896279000011</v>
      </c>
    </row>
  </sheetData>
  <pageMargins left="0.75" right="0.75" top="1" bottom="1" header="0.5" footer="0.5"/>
  <pageSetup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rgb="FF0066FF"/>
    <pageSetUpPr fitToPage="1"/>
  </sheetPr>
  <dimension ref="A1:AD363"/>
  <sheetViews>
    <sheetView topLeftCell="A7" zoomScale="80" zoomScaleNormal="80" workbookViewId="0">
      <pane xSplit="3" ySplit="3" topLeftCell="D339" activePane="bottomRight" state="frozen"/>
      <selection activeCell="C355" sqref="C355"/>
      <selection pane="topRight" activeCell="C355" sqref="C355"/>
      <selection pane="bottomLeft" activeCell="C355" sqref="C355"/>
      <selection pane="bottomRight" activeCell="C355" sqref="C355"/>
    </sheetView>
  </sheetViews>
  <sheetFormatPr defaultColWidth="9.625" defaultRowHeight="15.75"/>
  <cols>
    <col min="1" max="1" width="13.125" style="445" customWidth="1"/>
    <col min="2" max="2" width="7.75" style="486" bestFit="1" customWidth="1"/>
    <col min="3" max="3" width="14.125" style="445" bestFit="1" customWidth="1"/>
    <col min="4" max="4" width="9.75" style="445" bestFit="1" customWidth="1"/>
    <col min="5" max="5" width="13.125" style="445" bestFit="1" customWidth="1"/>
    <col min="6" max="6" width="9.75" style="445" bestFit="1" customWidth="1"/>
    <col min="7" max="7" width="13.125" style="445" bestFit="1" customWidth="1"/>
    <col min="8" max="8" width="9.75" style="445" bestFit="1" customWidth="1"/>
    <col min="9" max="9" width="13.125" style="445" bestFit="1" customWidth="1"/>
    <col min="10" max="10" width="12.25" style="579" bestFit="1" customWidth="1"/>
    <col min="11" max="11" width="11" style="445" customWidth="1"/>
    <col min="12" max="12" width="8.625" style="445" bestFit="1" customWidth="1"/>
    <col min="13" max="13" width="12.625" style="446" bestFit="1" customWidth="1"/>
    <col min="14" max="14" width="10.125" style="445" bestFit="1" customWidth="1"/>
    <col min="15" max="15" width="12.125" style="445" bestFit="1" customWidth="1"/>
    <col min="16" max="16" width="10.125" style="445" bestFit="1" customWidth="1"/>
    <col min="17" max="17" width="12.125" style="445" bestFit="1" customWidth="1"/>
    <col min="18" max="18" width="10.125" style="445" bestFit="1" customWidth="1"/>
    <col min="19" max="19" width="12.125" style="445" bestFit="1" customWidth="1"/>
    <col min="20" max="20" width="12.125" style="581" bestFit="1" customWidth="1"/>
    <col min="21" max="21" width="13.125" style="445" customWidth="1"/>
    <col min="22" max="22" width="5.625" style="445" bestFit="1" customWidth="1"/>
    <col min="23" max="24" width="9.625" style="445"/>
    <col min="25" max="25" width="12.125" style="445" bestFit="1" customWidth="1"/>
    <col min="26" max="26" width="9.625" style="445"/>
    <col min="27" max="27" width="12.125" style="445" bestFit="1" customWidth="1"/>
    <col min="28" max="28" width="9.625" style="445"/>
    <col min="29" max="29" width="12.125" style="445" bestFit="1" customWidth="1"/>
    <col min="30" max="16384" width="9.625" style="445"/>
  </cols>
  <sheetData>
    <row r="1" spans="1:25" ht="18.75">
      <c r="A1" s="442" t="s">
        <v>547</v>
      </c>
      <c r="B1" s="443"/>
      <c r="C1" s="444"/>
      <c r="D1" s="444"/>
      <c r="E1" s="444"/>
      <c r="F1" s="444"/>
      <c r="G1" s="444"/>
      <c r="H1" s="444"/>
      <c r="I1" s="444"/>
    </row>
    <row r="2" spans="1:25" ht="18.75">
      <c r="A2" s="442" t="s">
        <v>83</v>
      </c>
      <c r="B2" s="443"/>
      <c r="C2" s="444"/>
      <c r="D2" s="444"/>
      <c r="E2" s="444"/>
      <c r="F2" s="444"/>
      <c r="G2" s="444"/>
      <c r="H2" s="444"/>
      <c r="I2" s="444"/>
    </row>
    <row r="3" spans="1:25" ht="18.75">
      <c r="A3" s="442" t="s">
        <v>148</v>
      </c>
      <c r="B3" s="447"/>
      <c r="C3" s="448"/>
      <c r="D3" s="448"/>
      <c r="E3" s="448"/>
      <c r="F3" s="448"/>
      <c r="G3" s="448"/>
      <c r="H3" s="448"/>
      <c r="I3" s="448"/>
      <c r="J3" s="458"/>
      <c r="K3" s="449"/>
      <c r="L3" s="449"/>
      <c r="M3" s="450"/>
      <c r="N3" s="449"/>
      <c r="P3" s="449"/>
      <c r="R3" s="449"/>
    </row>
    <row r="4" spans="1:25" ht="18.75">
      <c r="A4" s="442"/>
      <c r="B4" s="447"/>
      <c r="C4" s="448"/>
      <c r="D4" s="448"/>
      <c r="E4" s="448"/>
      <c r="F4" s="448"/>
      <c r="G4" s="448"/>
      <c r="H4" s="448"/>
      <c r="I4" s="448"/>
      <c r="J4" s="458"/>
      <c r="K4" s="449"/>
      <c r="L4" s="449"/>
      <c r="M4" s="450"/>
      <c r="N4" s="449"/>
      <c r="P4" s="449"/>
      <c r="R4" s="449"/>
    </row>
    <row r="7" spans="1:25">
      <c r="A7" s="451" t="s">
        <v>121</v>
      </c>
      <c r="B7" s="452"/>
      <c r="C7" s="448"/>
      <c r="D7" s="448"/>
      <c r="E7" s="448"/>
      <c r="F7" s="448"/>
      <c r="G7" s="448"/>
      <c r="H7" s="448"/>
      <c r="I7" s="448"/>
      <c r="J7" s="458"/>
      <c r="K7" s="451" t="s">
        <v>452</v>
      </c>
      <c r="L7" s="452"/>
      <c r="M7" s="448"/>
      <c r="N7" s="448"/>
      <c r="O7" s="448"/>
      <c r="P7" s="448"/>
      <c r="Q7" s="448"/>
      <c r="R7" s="448"/>
      <c r="S7" s="448"/>
      <c r="T7" s="458"/>
      <c r="U7" s="448"/>
      <c r="W7" s="947"/>
      <c r="X7" s="948" t="s">
        <v>1309</v>
      </c>
      <c r="Y7" s="949"/>
    </row>
    <row r="8" spans="1:25">
      <c r="A8" s="449"/>
      <c r="B8" s="454"/>
      <c r="C8" s="449"/>
      <c r="D8" s="455" t="s">
        <v>425</v>
      </c>
      <c r="E8" s="455" t="s">
        <v>425</v>
      </c>
      <c r="F8" s="455" t="s">
        <v>494</v>
      </c>
      <c r="G8" s="455" t="s">
        <v>494</v>
      </c>
      <c r="H8" s="455" t="s">
        <v>216</v>
      </c>
      <c r="I8" s="455" t="s">
        <v>216</v>
      </c>
      <c r="J8" s="458"/>
      <c r="K8" s="449"/>
      <c r="L8" s="454"/>
      <c r="M8" s="449"/>
      <c r="N8" s="455" t="s">
        <v>425</v>
      </c>
      <c r="O8" s="455" t="s">
        <v>425</v>
      </c>
      <c r="P8" s="455" t="s">
        <v>494</v>
      </c>
      <c r="Q8" s="455" t="s">
        <v>494</v>
      </c>
      <c r="R8" s="455" t="s">
        <v>216</v>
      </c>
      <c r="S8" s="455" t="s">
        <v>216</v>
      </c>
      <c r="T8" s="458"/>
      <c r="U8" s="449"/>
      <c r="W8" s="950"/>
      <c r="X8" s="951">
        <v>2019</v>
      </c>
      <c r="Y8" s="949">
        <v>2019</v>
      </c>
    </row>
    <row r="9" spans="1:25">
      <c r="A9" s="456" t="s">
        <v>110</v>
      </c>
      <c r="B9" s="457" t="s">
        <v>571</v>
      </c>
      <c r="C9" s="456" t="s">
        <v>109</v>
      </c>
      <c r="D9" s="456" t="s">
        <v>99</v>
      </c>
      <c r="E9" s="456" t="s">
        <v>496</v>
      </c>
      <c r="F9" s="456" t="s">
        <v>99</v>
      </c>
      <c r="G9" s="456" t="s">
        <v>496</v>
      </c>
      <c r="H9" s="456" t="s">
        <v>99</v>
      </c>
      <c r="I9" s="456" t="s">
        <v>496</v>
      </c>
      <c r="J9" s="458" t="s">
        <v>251</v>
      </c>
      <c r="K9" s="456" t="s">
        <v>110</v>
      </c>
      <c r="L9" s="457" t="s">
        <v>571</v>
      </c>
      <c r="M9" s="456" t="s">
        <v>109</v>
      </c>
      <c r="N9" s="456" t="s">
        <v>99</v>
      </c>
      <c r="O9" s="456" t="s">
        <v>496</v>
      </c>
      <c r="P9" s="456" t="s">
        <v>99</v>
      </c>
      <c r="Q9" s="456" t="s">
        <v>496</v>
      </c>
      <c r="R9" s="456" t="s">
        <v>99</v>
      </c>
      <c r="S9" s="456" t="s">
        <v>496</v>
      </c>
      <c r="T9" s="458"/>
      <c r="U9" s="449"/>
      <c r="W9" s="941" t="s">
        <v>448</v>
      </c>
      <c r="X9" s="940">
        <v>-3.9100000000000003E-2</v>
      </c>
      <c r="Y9" s="942">
        <v>-3.9100000000000003E-2</v>
      </c>
    </row>
    <row r="10" spans="1:25">
      <c r="A10" s="618">
        <v>43466</v>
      </c>
      <c r="B10" s="461">
        <v>1</v>
      </c>
      <c r="C10" s="469">
        <f>ROUND(C12*J10,3)</f>
        <v>2780.5970000000002</v>
      </c>
      <c r="D10" s="952">
        <f>0.088498*(1+$Y$9)</f>
        <v>8.5037728199999996E-2</v>
      </c>
      <c r="E10" s="464">
        <f>ROUND(D10*$C10*1000,2)</f>
        <v>236455.65</v>
      </c>
      <c r="F10" s="620">
        <f>D10</f>
        <v>8.5037728199999996E-2</v>
      </c>
      <c r="G10" s="464">
        <f>ROUND(F10*$C10*1000,2)</f>
        <v>236455.65</v>
      </c>
      <c r="H10" s="620">
        <f>F10</f>
        <v>8.5037728199999996E-2</v>
      </c>
      <c r="I10" s="464">
        <f>ROUND(H10*$C10*1000,2)</f>
        <v>236455.65</v>
      </c>
      <c r="J10" s="641">
        <f>'123'!M24</f>
        <v>0.53962992681653466</v>
      </c>
      <c r="K10" s="460">
        <f>A10</f>
        <v>43466</v>
      </c>
      <c r="L10" s="461">
        <v>1</v>
      </c>
      <c r="M10" s="469">
        <f>ROUND(M12*T$16,3)</f>
        <v>72.778999999999996</v>
      </c>
      <c r="N10" s="463">
        <f>D10</f>
        <v>8.5037728199999996E-2</v>
      </c>
      <c r="O10" s="464">
        <f>ROUND(N10*$M10*1000,2)</f>
        <v>6188.96</v>
      </c>
      <c r="P10" s="463">
        <f>F10</f>
        <v>8.5037728199999996E-2</v>
      </c>
      <c r="Q10" s="464">
        <f>ROUND(P10*$M10*1000,2)</f>
        <v>6188.96</v>
      </c>
      <c r="R10" s="463">
        <f>H10</f>
        <v>8.5037728199999996E-2</v>
      </c>
      <c r="S10" s="464">
        <f>ROUND(R10*$M10*1000,2)</f>
        <v>6188.96</v>
      </c>
      <c r="T10" s="580"/>
      <c r="U10" s="449"/>
      <c r="W10" s="941" t="s">
        <v>449</v>
      </c>
      <c r="X10" s="940">
        <v>-3.9100000000000003E-2</v>
      </c>
      <c r="Y10" s="942">
        <v>-3.9100000000000003E-2</v>
      </c>
    </row>
    <row r="11" spans="1:25">
      <c r="A11" s="618">
        <v>43466</v>
      </c>
      <c r="B11" s="461">
        <v>2</v>
      </c>
      <c r="C11" s="469">
        <f>C12-C10</f>
        <v>2372.1873842707723</v>
      </c>
      <c r="D11" s="952">
        <f>0.107072*(1+$Y$9)</f>
        <v>0.1028854848</v>
      </c>
      <c r="E11" s="464">
        <f>ROUND(D11*$C11*1000,2)</f>
        <v>244063.65</v>
      </c>
      <c r="F11" s="620">
        <f>D11</f>
        <v>0.1028854848</v>
      </c>
      <c r="G11" s="464">
        <f>ROUND(F11*$C11*1000,2)</f>
        <v>244063.65</v>
      </c>
      <c r="H11" s="620">
        <f>F11</f>
        <v>0.1028854848</v>
      </c>
      <c r="I11" s="464">
        <f>ROUND(H11*$C11*1000,2)</f>
        <v>244063.65</v>
      </c>
      <c r="J11" s="458"/>
      <c r="K11" s="460">
        <f>A11</f>
        <v>43466</v>
      </c>
      <c r="L11" s="461">
        <v>2</v>
      </c>
      <c r="M11" s="469">
        <f>M12-M10</f>
        <v>49.591285456087164</v>
      </c>
      <c r="N11" s="463">
        <f>D11</f>
        <v>0.1028854848</v>
      </c>
      <c r="O11" s="464">
        <f>ROUND(N11*$M11*1000,2)</f>
        <v>5102.22</v>
      </c>
      <c r="P11" s="463">
        <f>F11</f>
        <v>0.1028854848</v>
      </c>
      <c r="Q11" s="464">
        <f>ROUND(P11*$M11*1000,2)</f>
        <v>5102.22</v>
      </c>
      <c r="R11" s="463">
        <f>H11</f>
        <v>0.1028854848</v>
      </c>
      <c r="S11" s="464">
        <f>ROUND(R11*$M11*1000,2)</f>
        <v>5102.22</v>
      </c>
      <c r="T11" s="458" t="s">
        <v>780</v>
      </c>
      <c r="U11" s="449"/>
      <c r="W11" s="943" t="s">
        <v>668</v>
      </c>
      <c r="X11" s="940">
        <v>-3.9100000000000003E-2</v>
      </c>
      <c r="Y11" s="942">
        <v>-3.9100000000000003E-2</v>
      </c>
    </row>
    <row r="12" spans="1:25">
      <c r="A12" s="618"/>
      <c r="B12" s="461" t="s">
        <v>93</v>
      </c>
      <c r="C12" s="462">
        <f>TempMWH!C4</f>
        <v>5152.7843842707725</v>
      </c>
      <c r="D12" s="746"/>
      <c r="E12" s="464"/>
      <c r="F12" s="746"/>
      <c r="G12" s="464"/>
      <c r="H12" s="746"/>
      <c r="I12" s="464"/>
      <c r="J12" s="458"/>
      <c r="K12" s="460"/>
      <c r="L12" s="461" t="s">
        <v>93</v>
      </c>
      <c r="M12" s="462">
        <f>TempMWH!E4</f>
        <v>122.37028545608716</v>
      </c>
      <c r="N12" s="463"/>
      <c r="O12" s="464"/>
      <c r="P12" s="463"/>
      <c r="Q12" s="464"/>
      <c r="R12" s="463"/>
      <c r="S12" s="464"/>
      <c r="T12" s="458">
        <f>'123'!P26</f>
        <v>0.56083733205302377</v>
      </c>
      <c r="U12" s="449"/>
      <c r="W12" s="943" t="s">
        <v>492</v>
      </c>
      <c r="X12" s="940">
        <v>-3.61E-2</v>
      </c>
      <c r="Y12" s="942">
        <v>-3.61E-2</v>
      </c>
    </row>
    <row r="13" spans="1:25">
      <c r="A13" s="618">
        <v>43497</v>
      </c>
      <c r="B13" s="461">
        <v>1</v>
      </c>
      <c r="C13" s="469">
        <f>ROUND(C15*J13,3)</f>
        <v>-2016.921</v>
      </c>
      <c r="D13" s="620">
        <f>$D$10</f>
        <v>8.5037728199999996E-2</v>
      </c>
      <c r="E13" s="464">
        <f t="shared" ref="E13:I14" si="0">ROUND(D13*$C13*1000,2)</f>
        <v>-171514.38</v>
      </c>
      <c r="F13" s="620">
        <f t="shared" ref="F13:F14" si="1">D13</f>
        <v>8.5037728199999996E-2</v>
      </c>
      <c r="G13" s="464">
        <f t="shared" ref="G13:G14" si="2">ROUND(F13*$C13*1000,2)</f>
        <v>-171514.38</v>
      </c>
      <c r="H13" s="620">
        <f t="shared" ref="H13:H14" si="3">F13</f>
        <v>8.5037728199999996E-2</v>
      </c>
      <c r="I13" s="464">
        <f t="shared" si="0"/>
        <v>-171514.38</v>
      </c>
      <c r="J13" s="458">
        <f>$J$10</f>
        <v>0.53962992681653466</v>
      </c>
      <c r="K13" s="460">
        <f t="shared" ref="K13:K14" si="4">A13</f>
        <v>43497</v>
      </c>
      <c r="L13" s="461">
        <v>1</v>
      </c>
      <c r="M13" s="469">
        <f>ROUND(M15*T$16,3)</f>
        <v>-56.442999999999998</v>
      </c>
      <c r="N13" s="463">
        <f t="shared" ref="N13:R14" si="5">D13</f>
        <v>8.5037728199999996E-2</v>
      </c>
      <c r="O13" s="464">
        <f t="shared" ref="O13:S14" si="6">ROUND(N13*$M13*1000,2)</f>
        <v>-4799.78</v>
      </c>
      <c r="P13" s="463">
        <f t="shared" si="5"/>
        <v>8.5037728199999996E-2</v>
      </c>
      <c r="Q13" s="464">
        <f t="shared" ref="Q13:Q14" si="7">ROUND(P13*$M13*1000,2)</f>
        <v>-4799.78</v>
      </c>
      <c r="R13" s="463">
        <f t="shared" si="5"/>
        <v>8.5037728199999996E-2</v>
      </c>
      <c r="S13" s="464">
        <f t="shared" si="6"/>
        <v>-4799.78</v>
      </c>
      <c r="T13" s="458">
        <f>'123'!Q26</f>
        <v>0.33959126596303585</v>
      </c>
      <c r="U13" s="449"/>
      <c r="W13" s="943" t="s">
        <v>69</v>
      </c>
      <c r="X13" s="940">
        <v>-4.99E-2</v>
      </c>
      <c r="Y13" s="942">
        <v>-4.99E-2</v>
      </c>
    </row>
    <row r="14" spans="1:25">
      <c r="A14" s="618">
        <v>43497</v>
      </c>
      <c r="B14" s="461">
        <v>2</v>
      </c>
      <c r="C14" s="469">
        <f>C15-C13</f>
        <v>-1720.6784750459753</v>
      </c>
      <c r="D14" s="620">
        <f>$D$11</f>
        <v>0.1028854848</v>
      </c>
      <c r="E14" s="464">
        <f t="shared" si="0"/>
        <v>-177032.84</v>
      </c>
      <c r="F14" s="620">
        <f t="shared" si="1"/>
        <v>0.1028854848</v>
      </c>
      <c r="G14" s="464">
        <f t="shared" si="2"/>
        <v>-177032.84</v>
      </c>
      <c r="H14" s="620">
        <f t="shared" si="3"/>
        <v>0.1028854848</v>
      </c>
      <c r="I14" s="464">
        <f t="shared" si="0"/>
        <v>-177032.84</v>
      </c>
      <c r="J14" s="458"/>
      <c r="K14" s="460">
        <f t="shared" si="4"/>
        <v>43497</v>
      </c>
      <c r="L14" s="461">
        <v>2</v>
      </c>
      <c r="M14" s="469">
        <f>M15-M13</f>
        <v>-38.459431171395678</v>
      </c>
      <c r="N14" s="463">
        <f t="shared" si="5"/>
        <v>0.1028854848</v>
      </c>
      <c r="O14" s="464">
        <f t="shared" si="6"/>
        <v>-3956.92</v>
      </c>
      <c r="P14" s="463">
        <f t="shared" si="5"/>
        <v>0.1028854848</v>
      </c>
      <c r="Q14" s="464">
        <f t="shared" si="7"/>
        <v>-3956.92</v>
      </c>
      <c r="R14" s="463">
        <f t="shared" si="5"/>
        <v>0.1028854848</v>
      </c>
      <c r="S14" s="464">
        <f t="shared" si="6"/>
        <v>-3956.92</v>
      </c>
      <c r="T14" s="458"/>
      <c r="U14" s="449"/>
      <c r="W14" s="943" t="s">
        <v>493</v>
      </c>
      <c r="X14" s="940">
        <v>-3.61E-2</v>
      </c>
      <c r="Y14" s="942">
        <v>-3.61E-2</v>
      </c>
    </row>
    <row r="15" spans="1:25">
      <c r="A15" s="618"/>
      <c r="B15" s="461" t="s">
        <v>93</v>
      </c>
      <c r="C15" s="462">
        <f>TempMWH!C5</f>
        <v>-3737.5994750459754</v>
      </c>
      <c r="D15" s="746"/>
      <c r="E15" s="464"/>
      <c r="F15" s="746"/>
      <c r="G15" s="464"/>
      <c r="H15" s="746"/>
      <c r="I15" s="464"/>
      <c r="J15" s="458"/>
      <c r="K15" s="460"/>
      <c r="L15" s="461" t="s">
        <v>93</v>
      </c>
      <c r="M15" s="462">
        <f>TempMWH!E5</f>
        <v>-94.902431171395676</v>
      </c>
      <c r="N15" s="463"/>
      <c r="O15" s="464"/>
      <c r="P15" s="463"/>
      <c r="Q15" s="464"/>
      <c r="R15" s="463"/>
      <c r="S15" s="464"/>
      <c r="T15" s="458" t="s">
        <v>781</v>
      </c>
      <c r="U15" s="449"/>
      <c r="W15" s="943" t="s">
        <v>467</v>
      </c>
      <c r="X15" s="940">
        <v>-3.1800000000000002E-2</v>
      </c>
      <c r="Y15" s="942">
        <v>-3.1800000000000002E-2</v>
      </c>
    </row>
    <row r="16" spans="1:25">
      <c r="A16" s="618">
        <v>43525</v>
      </c>
      <c r="B16" s="461">
        <v>1</v>
      </c>
      <c r="C16" s="469">
        <f>ROUND(C18*J16,3)</f>
        <v>-3786.7179999999998</v>
      </c>
      <c r="D16" s="620">
        <f>$D$10</f>
        <v>8.5037728199999996E-2</v>
      </c>
      <c r="E16" s="464">
        <f t="shared" ref="E16:I17" si="8">ROUND(D16*$C16*1000,2)</f>
        <v>-322013.90000000002</v>
      </c>
      <c r="F16" s="620">
        <f t="shared" ref="F16:F17" si="9">D16</f>
        <v>8.5037728199999996E-2</v>
      </c>
      <c r="G16" s="464">
        <f t="shared" ref="G16:G17" si="10">ROUND(F16*$C16*1000,2)</f>
        <v>-322013.90000000002</v>
      </c>
      <c r="H16" s="620">
        <f t="shared" ref="H16:H17" si="11">F16</f>
        <v>8.5037728199999996E-2</v>
      </c>
      <c r="I16" s="464">
        <f t="shared" si="8"/>
        <v>-322013.90000000002</v>
      </c>
      <c r="J16" s="458">
        <f>$J$10</f>
        <v>0.53962992681653466</v>
      </c>
      <c r="K16" s="460">
        <f t="shared" ref="K16:K17" si="12">A16</f>
        <v>43525</v>
      </c>
      <c r="L16" s="461">
        <v>1</v>
      </c>
      <c r="M16" s="469">
        <f>ROUND(M18*T$16,3)</f>
        <v>-110.23099999999999</v>
      </c>
      <c r="N16" s="463">
        <f t="shared" ref="N16:R17" si="13">D16</f>
        <v>8.5037728199999996E-2</v>
      </c>
      <c r="O16" s="464">
        <f t="shared" ref="O16:S17" si="14">ROUND(N16*$M16*1000,2)</f>
        <v>-9373.7900000000009</v>
      </c>
      <c r="P16" s="463">
        <f t="shared" si="13"/>
        <v>8.5037728199999996E-2</v>
      </c>
      <c r="Q16" s="464">
        <f t="shared" ref="Q16:Q17" si="15">ROUND(P16*$M16*1000,2)</f>
        <v>-9373.7900000000009</v>
      </c>
      <c r="R16" s="463">
        <f t="shared" si="13"/>
        <v>8.5037728199999996E-2</v>
      </c>
      <c r="S16" s="464">
        <f t="shared" si="14"/>
        <v>-9373.7900000000009</v>
      </c>
      <c r="T16" s="458">
        <f>'123'!M26</f>
        <v>0.59474411699163676</v>
      </c>
      <c r="U16" s="449"/>
      <c r="W16" s="943" t="s">
        <v>204</v>
      </c>
      <c r="X16" s="940">
        <v>-4.2099999999999999E-2</v>
      </c>
      <c r="Y16" s="942">
        <v>-4.2099999999999999E-2</v>
      </c>
    </row>
    <row r="17" spans="1:25">
      <c r="A17" s="618">
        <v>43525</v>
      </c>
      <c r="B17" s="461">
        <v>2</v>
      </c>
      <c r="C17" s="469">
        <f>C18-C16</f>
        <v>-3230.5312078927936</v>
      </c>
      <c r="D17" s="620">
        <f>$D$11</f>
        <v>0.1028854848</v>
      </c>
      <c r="E17" s="464">
        <f t="shared" si="8"/>
        <v>-332374.77</v>
      </c>
      <c r="F17" s="620">
        <f t="shared" si="9"/>
        <v>0.1028854848</v>
      </c>
      <c r="G17" s="464">
        <f t="shared" si="10"/>
        <v>-332374.77</v>
      </c>
      <c r="H17" s="620">
        <f t="shared" si="11"/>
        <v>0.1028854848</v>
      </c>
      <c r="I17" s="464">
        <f t="shared" si="8"/>
        <v>-332374.77</v>
      </c>
      <c r="J17" s="458"/>
      <c r="K17" s="460">
        <f t="shared" si="12"/>
        <v>43525</v>
      </c>
      <c r="L17" s="461">
        <v>2</v>
      </c>
      <c r="M17" s="469">
        <f>M18-M16</f>
        <v>-75.111422475936621</v>
      </c>
      <c r="N17" s="463">
        <f t="shared" si="13"/>
        <v>0.1028854848</v>
      </c>
      <c r="O17" s="464">
        <f t="shared" si="14"/>
        <v>-7727.88</v>
      </c>
      <c r="P17" s="463">
        <f t="shared" si="13"/>
        <v>0.1028854848</v>
      </c>
      <c r="Q17" s="464">
        <f t="shared" si="15"/>
        <v>-7727.88</v>
      </c>
      <c r="R17" s="463">
        <f t="shared" si="13"/>
        <v>0.1028854848</v>
      </c>
      <c r="S17" s="464">
        <f t="shared" si="14"/>
        <v>-7727.88</v>
      </c>
      <c r="T17" s="458"/>
      <c r="U17" s="449"/>
      <c r="W17" s="944" t="s">
        <v>466</v>
      </c>
      <c r="X17" s="945">
        <v>-3.3099999999999997E-2</v>
      </c>
      <c r="Y17" s="946">
        <v>-3.3099999999999997E-2</v>
      </c>
    </row>
    <row r="18" spans="1:25">
      <c r="A18" s="618"/>
      <c r="B18" s="461" t="s">
        <v>93</v>
      </c>
      <c r="C18" s="462">
        <f>TempMWH!C6</f>
        <v>-7017.2492078927935</v>
      </c>
      <c r="D18" s="620"/>
      <c r="E18" s="464"/>
      <c r="F18" s="620"/>
      <c r="G18" s="464"/>
      <c r="H18" s="620"/>
      <c r="I18" s="464"/>
      <c r="J18" s="458"/>
      <c r="K18" s="460"/>
      <c r="L18" s="461" t="s">
        <v>93</v>
      </c>
      <c r="M18" s="462">
        <f>TempMWH!E6</f>
        <v>-185.34242247593662</v>
      </c>
      <c r="N18" s="463"/>
      <c r="O18" s="464"/>
      <c r="P18" s="463"/>
      <c r="Q18" s="464"/>
      <c r="R18" s="463"/>
      <c r="S18" s="464"/>
      <c r="T18" s="458"/>
      <c r="U18" s="449"/>
    </row>
    <row r="19" spans="1:25">
      <c r="A19" s="618">
        <v>43556</v>
      </c>
      <c r="B19" s="461">
        <v>1</v>
      </c>
      <c r="C19" s="469">
        <f>ROUND(C21*J19,3)</f>
        <v>5147.4989999999998</v>
      </c>
      <c r="D19" s="620">
        <f>$D$10</f>
        <v>8.5037728199999996E-2</v>
      </c>
      <c r="E19" s="464">
        <f t="shared" ref="E19:I20" si="16">ROUND(D19*$C19*1000,2)</f>
        <v>437731.62</v>
      </c>
      <c r="F19" s="620">
        <f t="shared" ref="F19:F20" si="17">D19</f>
        <v>8.5037728199999996E-2</v>
      </c>
      <c r="G19" s="464">
        <f t="shared" ref="G19:G20" si="18">ROUND(F19*$C19*1000,2)</f>
        <v>437731.62</v>
      </c>
      <c r="H19" s="620">
        <f t="shared" ref="H19:H20" si="19">F19</f>
        <v>8.5037728199999996E-2</v>
      </c>
      <c r="I19" s="464">
        <f t="shared" si="16"/>
        <v>437731.62</v>
      </c>
      <c r="J19" s="458">
        <f>$J$10</f>
        <v>0.53962992681653466</v>
      </c>
      <c r="K19" s="460">
        <f t="shared" ref="K19:K20" si="20">A19</f>
        <v>43556</v>
      </c>
      <c r="L19" s="461">
        <v>1</v>
      </c>
      <c r="M19" s="469">
        <f>ROUND(M21*T$16,3)</f>
        <v>151.934</v>
      </c>
      <c r="N19" s="463">
        <f t="shared" ref="N19:R20" si="21">D19</f>
        <v>8.5037728199999996E-2</v>
      </c>
      <c r="O19" s="464">
        <f t="shared" ref="O19:S20" si="22">ROUND(N19*$M19*1000,2)</f>
        <v>12920.12</v>
      </c>
      <c r="P19" s="463">
        <f t="shared" si="21"/>
        <v>8.5037728199999996E-2</v>
      </c>
      <c r="Q19" s="464">
        <f t="shared" ref="Q19:Q20" si="23">ROUND(P19*$M19*1000,2)</f>
        <v>12920.12</v>
      </c>
      <c r="R19" s="463">
        <f t="shared" si="21"/>
        <v>8.5037728199999996E-2</v>
      </c>
      <c r="S19" s="464">
        <f t="shared" si="22"/>
        <v>12920.12</v>
      </c>
      <c r="T19" s="458"/>
      <c r="U19" s="449"/>
      <c r="W19" s="463"/>
    </row>
    <row r="20" spans="1:25">
      <c r="A20" s="618">
        <v>43556</v>
      </c>
      <c r="B20" s="461">
        <v>2</v>
      </c>
      <c r="C20" s="469">
        <f>C21-C19</f>
        <v>4391.4428718309755</v>
      </c>
      <c r="D20" s="620">
        <f>$D$11</f>
        <v>0.1028854848</v>
      </c>
      <c r="E20" s="464">
        <f t="shared" si="16"/>
        <v>451815.73</v>
      </c>
      <c r="F20" s="620">
        <f t="shared" si="17"/>
        <v>0.1028854848</v>
      </c>
      <c r="G20" s="464">
        <f t="shared" si="18"/>
        <v>451815.73</v>
      </c>
      <c r="H20" s="620">
        <f t="shared" si="19"/>
        <v>0.1028854848</v>
      </c>
      <c r="I20" s="464">
        <f t="shared" si="16"/>
        <v>451815.73</v>
      </c>
      <c r="J20" s="458"/>
      <c r="K20" s="460">
        <f t="shared" si="20"/>
        <v>43556</v>
      </c>
      <c r="L20" s="461">
        <v>2</v>
      </c>
      <c r="M20" s="469">
        <f>M21-M19</f>
        <v>103.52756709123926</v>
      </c>
      <c r="N20" s="463">
        <f t="shared" si="21"/>
        <v>0.1028854848</v>
      </c>
      <c r="O20" s="464">
        <f t="shared" si="22"/>
        <v>10651.48</v>
      </c>
      <c r="P20" s="463">
        <f t="shared" si="21"/>
        <v>0.1028854848</v>
      </c>
      <c r="Q20" s="464">
        <f t="shared" si="23"/>
        <v>10651.48</v>
      </c>
      <c r="R20" s="463">
        <f t="shared" si="21"/>
        <v>0.1028854848</v>
      </c>
      <c r="S20" s="464">
        <f t="shared" si="22"/>
        <v>10651.48</v>
      </c>
      <c r="T20" s="458"/>
      <c r="U20" s="449"/>
      <c r="W20" s="463"/>
    </row>
    <row r="21" spans="1:25">
      <c r="A21" s="618"/>
      <c r="B21" s="461" t="s">
        <v>93</v>
      </c>
      <c r="C21" s="462">
        <f>TempMWH!C7</f>
        <v>9538.9418718309753</v>
      </c>
      <c r="D21" s="620"/>
      <c r="E21" s="464"/>
      <c r="F21" s="620"/>
      <c r="G21" s="464"/>
      <c r="H21" s="620"/>
      <c r="I21" s="464"/>
      <c r="J21" s="458"/>
      <c r="K21" s="460"/>
      <c r="L21" s="461" t="s">
        <v>93</v>
      </c>
      <c r="M21" s="462">
        <f>TempMWH!E7</f>
        <v>255.46156709123926</v>
      </c>
      <c r="N21" s="463"/>
      <c r="O21" s="464"/>
      <c r="P21" s="463"/>
      <c r="Q21" s="464"/>
      <c r="R21" s="463"/>
      <c r="S21" s="464"/>
      <c r="T21" s="458"/>
      <c r="U21" s="449"/>
      <c r="W21" s="463"/>
    </row>
    <row r="22" spans="1:25">
      <c r="A22" s="618">
        <v>43586</v>
      </c>
      <c r="B22" s="461">
        <v>1</v>
      </c>
      <c r="C22" s="469">
        <f>ROUND(C25*J22,3)</f>
        <v>9551.277</v>
      </c>
      <c r="D22" s="952">
        <f>0.088498*(1+$Y$9)</f>
        <v>8.5037728199999996E-2</v>
      </c>
      <c r="E22" s="464">
        <f t="shared" ref="E22:I24" si="24">ROUND(D22*$C22*1000,2)</f>
        <v>812218.9</v>
      </c>
      <c r="F22" s="620">
        <f t="shared" ref="F22:F24" si="25">D22</f>
        <v>8.5037728199999996E-2</v>
      </c>
      <c r="G22" s="464">
        <f t="shared" ref="G22:G24" si="26">ROUND(F22*$C22*1000,2)</f>
        <v>812218.9</v>
      </c>
      <c r="H22" s="620">
        <f t="shared" ref="H22:H24" si="27">F22</f>
        <v>8.5037728199999996E-2</v>
      </c>
      <c r="I22" s="464">
        <f t="shared" si="24"/>
        <v>812218.9</v>
      </c>
      <c r="J22" s="641">
        <f>'123'!P24</f>
        <v>0.45189349904050696</v>
      </c>
      <c r="K22" s="460">
        <f t="shared" ref="K22:K24" si="28">A22</f>
        <v>43586</v>
      </c>
      <c r="L22" s="461">
        <v>1</v>
      </c>
      <c r="M22" s="469">
        <f>ROUND(M25*T$12,3)</f>
        <v>320.34800000000001</v>
      </c>
      <c r="N22" s="463">
        <f t="shared" ref="N22:R24" si="29">D22</f>
        <v>8.5037728199999996E-2</v>
      </c>
      <c r="O22" s="464">
        <f t="shared" ref="O22:S24" si="30">ROUND(N22*$M22*1000,2)</f>
        <v>27241.67</v>
      </c>
      <c r="P22" s="463">
        <f t="shared" si="29"/>
        <v>8.5037728199999996E-2</v>
      </c>
      <c r="Q22" s="464">
        <f t="shared" ref="Q22:Q24" si="31">ROUND(P22*$M22*1000,2)</f>
        <v>27241.67</v>
      </c>
      <c r="R22" s="463">
        <f t="shared" si="29"/>
        <v>8.5037728199999996E-2</v>
      </c>
      <c r="S22" s="464">
        <f t="shared" si="30"/>
        <v>27241.67</v>
      </c>
      <c r="T22" s="458"/>
      <c r="U22" s="449"/>
      <c r="W22" s="463"/>
    </row>
    <row r="23" spans="1:25">
      <c r="A23" s="618">
        <v>43586</v>
      </c>
      <c r="B23" s="461">
        <v>2</v>
      </c>
      <c r="C23" s="469">
        <f>ROUND(C25*J23,3)</f>
        <v>7634.0709999999999</v>
      </c>
      <c r="D23" s="952">
        <f>0.115429*(1+$Y$9)</f>
        <v>0.1109157261</v>
      </c>
      <c r="E23" s="464">
        <f t="shared" si="24"/>
        <v>846738.53</v>
      </c>
      <c r="F23" s="620">
        <f t="shared" si="25"/>
        <v>0.1109157261</v>
      </c>
      <c r="G23" s="464">
        <f t="shared" si="26"/>
        <v>846738.53</v>
      </c>
      <c r="H23" s="620">
        <f t="shared" si="27"/>
        <v>0.1109157261</v>
      </c>
      <c r="I23" s="464">
        <f t="shared" si="24"/>
        <v>846738.53</v>
      </c>
      <c r="J23" s="641">
        <f>'123'!Q24</f>
        <v>0.36118592986837977</v>
      </c>
      <c r="K23" s="460">
        <f t="shared" si="28"/>
        <v>43586</v>
      </c>
      <c r="L23" s="461">
        <v>2</v>
      </c>
      <c r="M23" s="469">
        <f>ROUND(M25*T$13,3)</f>
        <v>193.97300000000001</v>
      </c>
      <c r="N23" s="463">
        <f t="shared" si="29"/>
        <v>0.1109157261</v>
      </c>
      <c r="O23" s="464">
        <f t="shared" si="30"/>
        <v>21514.66</v>
      </c>
      <c r="P23" s="463">
        <f t="shared" si="29"/>
        <v>0.1109157261</v>
      </c>
      <c r="Q23" s="464">
        <f t="shared" si="31"/>
        <v>21514.66</v>
      </c>
      <c r="R23" s="463">
        <f t="shared" si="29"/>
        <v>0.1109157261</v>
      </c>
      <c r="S23" s="464">
        <f t="shared" si="30"/>
        <v>21514.66</v>
      </c>
      <c r="T23" s="458"/>
      <c r="U23" s="449"/>
      <c r="W23" s="463"/>
    </row>
    <row r="24" spans="1:25">
      <c r="A24" s="618">
        <v>43586</v>
      </c>
      <c r="B24" s="461">
        <v>3</v>
      </c>
      <c r="C24" s="469">
        <f>C25-C22-C23</f>
        <v>3950.7758008034889</v>
      </c>
      <c r="D24" s="952">
        <f>0.144508*(1+$Y$9)</f>
        <v>0.1388577372</v>
      </c>
      <c r="E24" s="464">
        <f t="shared" si="24"/>
        <v>548595.79</v>
      </c>
      <c r="F24" s="620">
        <f t="shared" si="25"/>
        <v>0.1388577372</v>
      </c>
      <c r="G24" s="464">
        <f t="shared" si="26"/>
        <v>548595.79</v>
      </c>
      <c r="H24" s="620">
        <f t="shared" si="27"/>
        <v>0.1388577372</v>
      </c>
      <c r="I24" s="464">
        <f t="shared" si="24"/>
        <v>548595.79</v>
      </c>
      <c r="J24" s="458"/>
      <c r="K24" s="460">
        <f t="shared" si="28"/>
        <v>43586</v>
      </c>
      <c r="L24" s="461">
        <v>3</v>
      </c>
      <c r="M24" s="469">
        <f>M25-M22-M23</f>
        <v>56.874871812647598</v>
      </c>
      <c r="N24" s="463">
        <f t="shared" si="29"/>
        <v>0.1388577372</v>
      </c>
      <c r="O24" s="464">
        <f t="shared" si="30"/>
        <v>7897.52</v>
      </c>
      <c r="P24" s="463">
        <f t="shared" si="29"/>
        <v>0.1388577372</v>
      </c>
      <c r="Q24" s="464">
        <f t="shared" si="31"/>
        <v>7897.52</v>
      </c>
      <c r="R24" s="463">
        <f t="shared" si="29"/>
        <v>0.1388577372</v>
      </c>
      <c r="S24" s="464">
        <f t="shared" si="30"/>
        <v>7897.52</v>
      </c>
      <c r="T24" s="458"/>
      <c r="U24" s="449"/>
      <c r="W24" s="463"/>
    </row>
    <row r="25" spans="1:25">
      <c r="A25" s="618"/>
      <c r="B25" s="461" t="s">
        <v>93</v>
      </c>
      <c r="C25" s="462">
        <f>TempMWH!C8</f>
        <v>21136.123800803489</v>
      </c>
      <c r="D25" s="621"/>
      <c r="E25" s="464"/>
      <c r="F25" s="621"/>
      <c r="G25" s="464"/>
      <c r="H25" s="621"/>
      <c r="I25" s="464"/>
      <c r="K25" s="460"/>
      <c r="L25" s="461" t="s">
        <v>93</v>
      </c>
      <c r="M25" s="462">
        <f>TempMWH!E8</f>
        <v>571.19587181264762</v>
      </c>
      <c r="N25" s="470"/>
      <c r="O25" s="464"/>
      <c r="P25" s="470"/>
      <c r="Q25" s="464"/>
      <c r="R25" s="470"/>
      <c r="S25" s="464"/>
      <c r="T25" s="579"/>
      <c r="U25" s="449"/>
      <c r="W25" s="470"/>
    </row>
    <row r="26" spans="1:25">
      <c r="A26" s="618">
        <v>43617</v>
      </c>
      <c r="B26" s="461">
        <v>1</v>
      </c>
      <c r="C26" s="469">
        <f>ROUND(C29*J26,3)</f>
        <v>14954.073</v>
      </c>
      <c r="D26" s="620">
        <f>D22</f>
        <v>8.5037728199999996E-2</v>
      </c>
      <c r="E26" s="464">
        <f t="shared" ref="E26:I28" si="32">ROUND(D26*$C26*1000,2)</f>
        <v>1271660.3999999999</v>
      </c>
      <c r="F26" s="620">
        <f t="shared" ref="F26:F28" si="33">D26</f>
        <v>8.5037728199999996E-2</v>
      </c>
      <c r="G26" s="464">
        <f t="shared" ref="G26:G28" si="34">ROUND(F26*$C26*1000,2)</f>
        <v>1271660.3999999999</v>
      </c>
      <c r="H26" s="620">
        <f t="shared" ref="H26:H28" si="35">F26</f>
        <v>8.5037728199999996E-2</v>
      </c>
      <c r="I26" s="464">
        <f t="shared" si="32"/>
        <v>1271660.3999999999</v>
      </c>
      <c r="J26" s="458">
        <f>$J$22</f>
        <v>0.45189349904050696</v>
      </c>
      <c r="K26" s="460">
        <f t="shared" ref="K26:K28" si="36">A26</f>
        <v>43617</v>
      </c>
      <c r="L26" s="461">
        <v>1</v>
      </c>
      <c r="M26" s="469">
        <f>ROUND(M29*T$12,3)</f>
        <v>478.053</v>
      </c>
      <c r="N26" s="463">
        <f t="shared" ref="N26:R28" si="37">D26</f>
        <v>8.5037728199999996E-2</v>
      </c>
      <c r="O26" s="464">
        <f t="shared" ref="O26:S28" si="38">ROUND(N26*$M26*1000,2)</f>
        <v>40652.54</v>
      </c>
      <c r="P26" s="463">
        <f t="shared" si="37"/>
        <v>8.5037728199999996E-2</v>
      </c>
      <c r="Q26" s="464">
        <f t="shared" ref="Q26:Q28" si="39">ROUND(P26*$M26*1000,2)</f>
        <v>40652.54</v>
      </c>
      <c r="R26" s="463">
        <f t="shared" si="37"/>
        <v>8.5037728199999996E-2</v>
      </c>
      <c r="S26" s="464">
        <f t="shared" si="38"/>
        <v>40652.54</v>
      </c>
      <c r="T26" s="458"/>
      <c r="U26" s="449"/>
      <c r="W26" s="463"/>
    </row>
    <row r="27" spans="1:25">
      <c r="A27" s="618">
        <v>43617</v>
      </c>
      <c r="B27" s="461">
        <v>2</v>
      </c>
      <c r="C27" s="469">
        <f>ROUND(C29*J27,3)</f>
        <v>11952.375</v>
      </c>
      <c r="D27" s="620">
        <f t="shared" ref="D27:D28" si="40">D23</f>
        <v>0.1109157261</v>
      </c>
      <c r="E27" s="464">
        <f t="shared" si="32"/>
        <v>1325706.3500000001</v>
      </c>
      <c r="F27" s="620">
        <f t="shared" si="33"/>
        <v>0.1109157261</v>
      </c>
      <c r="G27" s="464">
        <f t="shared" si="34"/>
        <v>1325706.3500000001</v>
      </c>
      <c r="H27" s="620">
        <f t="shared" si="35"/>
        <v>0.1109157261</v>
      </c>
      <c r="I27" s="464">
        <f t="shared" si="32"/>
        <v>1325706.3500000001</v>
      </c>
      <c r="J27" s="458">
        <f>$J$23</f>
        <v>0.36118592986837977</v>
      </c>
      <c r="K27" s="460">
        <f t="shared" si="36"/>
        <v>43617</v>
      </c>
      <c r="L27" s="461">
        <v>2</v>
      </c>
      <c r="M27" s="469">
        <f>ROUND(M29*T$13,3)</f>
        <v>289.46499999999997</v>
      </c>
      <c r="N27" s="463">
        <f t="shared" si="37"/>
        <v>0.1109157261</v>
      </c>
      <c r="O27" s="464">
        <f t="shared" si="38"/>
        <v>32106.22</v>
      </c>
      <c r="P27" s="463">
        <f t="shared" si="37"/>
        <v>0.1109157261</v>
      </c>
      <c r="Q27" s="464">
        <f t="shared" si="39"/>
        <v>32106.22</v>
      </c>
      <c r="R27" s="463">
        <f t="shared" si="37"/>
        <v>0.1109157261</v>
      </c>
      <c r="S27" s="464">
        <f t="shared" si="38"/>
        <v>32106.22</v>
      </c>
      <c r="T27" s="458"/>
      <c r="U27" s="449"/>
      <c r="W27" s="463"/>
    </row>
    <row r="28" spans="1:25">
      <c r="A28" s="618">
        <v>43617</v>
      </c>
      <c r="B28" s="461">
        <v>3</v>
      </c>
      <c r="C28" s="469">
        <f>C29-C26-C27</f>
        <v>6185.5816288549431</v>
      </c>
      <c r="D28" s="620">
        <f t="shared" si="40"/>
        <v>0.1388577372</v>
      </c>
      <c r="E28" s="464">
        <f t="shared" si="32"/>
        <v>858915.87</v>
      </c>
      <c r="F28" s="620">
        <f t="shared" si="33"/>
        <v>0.1388577372</v>
      </c>
      <c r="G28" s="464">
        <f t="shared" si="34"/>
        <v>858915.87</v>
      </c>
      <c r="H28" s="620">
        <f t="shared" si="35"/>
        <v>0.1388577372</v>
      </c>
      <c r="I28" s="464">
        <f t="shared" si="32"/>
        <v>858915.87</v>
      </c>
      <c r="K28" s="460">
        <f t="shared" si="36"/>
        <v>43617</v>
      </c>
      <c r="L28" s="461">
        <v>3</v>
      </c>
      <c r="M28" s="469">
        <f>M29-M26-M27</f>
        <v>84.873657548134645</v>
      </c>
      <c r="N28" s="463">
        <f t="shared" si="37"/>
        <v>0.1388577372</v>
      </c>
      <c r="O28" s="464">
        <f t="shared" si="38"/>
        <v>11785.36</v>
      </c>
      <c r="P28" s="463">
        <f t="shared" si="37"/>
        <v>0.1388577372</v>
      </c>
      <c r="Q28" s="464">
        <f t="shared" si="39"/>
        <v>11785.36</v>
      </c>
      <c r="R28" s="463">
        <f t="shared" si="37"/>
        <v>0.1388577372</v>
      </c>
      <c r="S28" s="464">
        <f t="shared" si="38"/>
        <v>11785.36</v>
      </c>
      <c r="T28" s="579"/>
      <c r="U28" s="449"/>
      <c r="W28" s="463"/>
    </row>
    <row r="29" spans="1:25">
      <c r="A29" s="618"/>
      <c r="B29" s="461" t="s">
        <v>93</v>
      </c>
      <c r="C29" s="462">
        <f>TempMWH!C9</f>
        <v>33092.029628854943</v>
      </c>
      <c r="D29" s="620"/>
      <c r="E29" s="464"/>
      <c r="F29" s="620"/>
      <c r="G29" s="464"/>
      <c r="H29" s="620"/>
      <c r="I29" s="464"/>
      <c r="K29" s="460"/>
      <c r="L29" s="461" t="s">
        <v>93</v>
      </c>
      <c r="M29" s="462">
        <f>TempMWH!E9</f>
        <v>852.39165754813462</v>
      </c>
      <c r="N29" s="463"/>
      <c r="O29" s="464"/>
      <c r="P29" s="463"/>
      <c r="Q29" s="464"/>
      <c r="R29" s="463"/>
      <c r="S29" s="464"/>
      <c r="T29" s="579"/>
      <c r="U29" s="449"/>
      <c r="W29" s="463"/>
    </row>
    <row r="30" spans="1:25">
      <c r="A30" s="618">
        <v>43647</v>
      </c>
      <c r="B30" s="461">
        <v>1</v>
      </c>
      <c r="C30" s="469">
        <f>ROUND(C33*J30,3)</f>
        <v>-10226.653</v>
      </c>
      <c r="D30" s="952">
        <f>0.088498*(1+$X$9)</f>
        <v>8.5037728199999996E-2</v>
      </c>
      <c r="E30" s="464">
        <f t="shared" ref="E30:I32" si="41">ROUND(D30*$C30*1000,2)</f>
        <v>-869651.34</v>
      </c>
      <c r="F30" s="620">
        <f>F22</f>
        <v>8.5037728199999996E-2</v>
      </c>
      <c r="G30" s="464">
        <f t="shared" ref="G30:G32" si="42">ROUND(F30*$C30*1000,2)</f>
        <v>-869651.34</v>
      </c>
      <c r="H30" s="620">
        <f t="shared" ref="H30:H32" si="43">F30</f>
        <v>8.5037728199999996E-2</v>
      </c>
      <c r="I30" s="464">
        <f t="shared" si="41"/>
        <v>-869651.34</v>
      </c>
      <c r="J30" s="458">
        <f>$J$22</f>
        <v>0.45189349904050696</v>
      </c>
      <c r="K30" s="460">
        <f t="shared" ref="K30:K32" si="44">A30</f>
        <v>43647</v>
      </c>
      <c r="L30" s="461">
        <v>1</v>
      </c>
      <c r="M30" s="469">
        <f>ROUND(M33*T$12,3)</f>
        <v>-292.512</v>
      </c>
      <c r="N30" s="463">
        <f t="shared" ref="N30:R32" si="45">D30</f>
        <v>8.5037728199999996E-2</v>
      </c>
      <c r="O30" s="464">
        <f t="shared" ref="O30:S32" si="46">ROUND(N30*$M30*1000,2)</f>
        <v>-24874.560000000001</v>
      </c>
      <c r="P30" s="463">
        <f t="shared" si="45"/>
        <v>8.5037728199999996E-2</v>
      </c>
      <c r="Q30" s="464">
        <f t="shared" ref="Q30:Q32" si="47">ROUND(P30*$M30*1000,2)</f>
        <v>-24874.560000000001</v>
      </c>
      <c r="R30" s="463">
        <f t="shared" si="45"/>
        <v>8.5037728199999996E-2</v>
      </c>
      <c r="S30" s="464">
        <f t="shared" si="46"/>
        <v>-24874.560000000001</v>
      </c>
      <c r="T30" s="579"/>
      <c r="U30" s="449"/>
      <c r="W30" s="463"/>
    </row>
    <row r="31" spans="1:25">
      <c r="A31" s="618">
        <v>43647</v>
      </c>
      <c r="B31" s="461">
        <v>2</v>
      </c>
      <c r="C31" s="469">
        <f>ROUND(C33*J31,3)</f>
        <v>-8173.88</v>
      </c>
      <c r="D31" s="952">
        <f>0.115429*(1+$X$9)</f>
        <v>0.1109157261</v>
      </c>
      <c r="E31" s="464">
        <f t="shared" si="41"/>
        <v>-906611.84</v>
      </c>
      <c r="F31" s="620">
        <f t="shared" ref="F31:F32" si="48">F23</f>
        <v>0.1109157261</v>
      </c>
      <c r="G31" s="464">
        <f t="shared" si="42"/>
        <v>-906611.84</v>
      </c>
      <c r="H31" s="620">
        <f t="shared" si="43"/>
        <v>0.1109157261</v>
      </c>
      <c r="I31" s="464">
        <f t="shared" si="41"/>
        <v>-906611.84</v>
      </c>
      <c r="J31" s="458">
        <f>$J$23</f>
        <v>0.36118592986837977</v>
      </c>
      <c r="K31" s="460">
        <f t="shared" si="44"/>
        <v>43647</v>
      </c>
      <c r="L31" s="461">
        <v>2</v>
      </c>
      <c r="M31" s="469">
        <f>ROUND(M33*T$13,3)</f>
        <v>-177.11799999999999</v>
      </c>
      <c r="N31" s="463">
        <f t="shared" si="45"/>
        <v>0.1109157261</v>
      </c>
      <c r="O31" s="464">
        <f t="shared" si="46"/>
        <v>-19645.169999999998</v>
      </c>
      <c r="P31" s="463">
        <f t="shared" si="45"/>
        <v>0.1109157261</v>
      </c>
      <c r="Q31" s="464">
        <f t="shared" si="47"/>
        <v>-19645.169999999998</v>
      </c>
      <c r="R31" s="463">
        <f t="shared" si="45"/>
        <v>0.1109157261</v>
      </c>
      <c r="S31" s="464">
        <f t="shared" si="46"/>
        <v>-19645.169999999998</v>
      </c>
      <c r="T31" s="458"/>
      <c r="U31" s="449"/>
      <c r="W31" s="463"/>
    </row>
    <row r="32" spans="1:25">
      <c r="A32" s="618">
        <v>43647</v>
      </c>
      <c r="B32" s="461">
        <v>3</v>
      </c>
      <c r="C32" s="469">
        <f>C33-C30-C31</f>
        <v>-4230.1370199581243</v>
      </c>
      <c r="D32" s="952">
        <f>0.144508*(1+$X$9)</f>
        <v>0.1388577372</v>
      </c>
      <c r="E32" s="464">
        <f t="shared" si="41"/>
        <v>-587387.25</v>
      </c>
      <c r="F32" s="620">
        <f t="shared" si="48"/>
        <v>0.1388577372</v>
      </c>
      <c r="G32" s="464">
        <f t="shared" si="42"/>
        <v>-587387.25</v>
      </c>
      <c r="H32" s="620">
        <f t="shared" si="43"/>
        <v>0.1388577372</v>
      </c>
      <c r="I32" s="464">
        <f t="shared" si="41"/>
        <v>-587387.25</v>
      </c>
      <c r="J32" s="458"/>
      <c r="K32" s="460">
        <f t="shared" si="44"/>
        <v>43647</v>
      </c>
      <c r="L32" s="461">
        <v>3</v>
      </c>
      <c r="M32" s="469">
        <f>M33-M30-M31</f>
        <v>-51.933562324696595</v>
      </c>
      <c r="N32" s="463">
        <f t="shared" si="45"/>
        <v>0.1388577372</v>
      </c>
      <c r="O32" s="464">
        <f t="shared" si="46"/>
        <v>-7211.38</v>
      </c>
      <c r="P32" s="463">
        <f t="shared" si="45"/>
        <v>0.1388577372</v>
      </c>
      <c r="Q32" s="464">
        <f t="shared" si="47"/>
        <v>-7211.38</v>
      </c>
      <c r="R32" s="463">
        <f t="shared" si="45"/>
        <v>0.1388577372</v>
      </c>
      <c r="S32" s="464">
        <f t="shared" si="46"/>
        <v>-7211.38</v>
      </c>
      <c r="T32" s="458"/>
      <c r="U32" s="449"/>
      <c r="W32" s="463"/>
    </row>
    <row r="33" spans="1:23">
      <c r="A33" s="618"/>
      <c r="B33" s="461" t="s">
        <v>93</v>
      </c>
      <c r="C33" s="462">
        <f>TempMWH!C10</f>
        <v>-22630.670019958125</v>
      </c>
      <c r="D33" s="746"/>
      <c r="E33" s="464"/>
      <c r="F33" s="746"/>
      <c r="G33" s="464"/>
      <c r="H33" s="746"/>
      <c r="I33" s="464"/>
      <c r="J33" s="458"/>
      <c r="K33" s="460"/>
      <c r="L33" s="461" t="s">
        <v>93</v>
      </c>
      <c r="M33" s="462">
        <f>TempMWH!E10</f>
        <v>-521.56356232469659</v>
      </c>
      <c r="N33" s="463"/>
      <c r="O33" s="464"/>
      <c r="P33" s="463"/>
      <c r="Q33" s="464"/>
      <c r="R33" s="463"/>
      <c r="S33" s="464"/>
      <c r="T33" s="458"/>
      <c r="U33" s="449"/>
      <c r="W33" s="463"/>
    </row>
    <row r="34" spans="1:23">
      <c r="A34" s="618">
        <v>43678</v>
      </c>
      <c r="B34" s="461">
        <v>1</v>
      </c>
      <c r="C34" s="469">
        <f>ROUND(C37*J34,3)</f>
        <v>-26701.995999999999</v>
      </c>
      <c r="D34" s="620">
        <f>$D$30</f>
        <v>8.5037728199999996E-2</v>
      </c>
      <c r="E34" s="464">
        <f t="shared" ref="E34:I36" si="49">ROUND(D34*$C34*1000,2)</f>
        <v>-2270677.08</v>
      </c>
      <c r="F34" s="620">
        <f>F22</f>
        <v>8.5037728199999996E-2</v>
      </c>
      <c r="G34" s="464">
        <f t="shared" ref="G34:G36" si="50">ROUND(F34*$C34*1000,2)</f>
        <v>-2270677.08</v>
      </c>
      <c r="H34" s="620">
        <f t="shared" ref="H34:H36" si="51">F34</f>
        <v>8.5037728199999996E-2</v>
      </c>
      <c r="I34" s="464">
        <f t="shared" si="49"/>
        <v>-2270677.08</v>
      </c>
      <c r="J34" s="458">
        <f>$J$22</f>
        <v>0.45189349904050696</v>
      </c>
      <c r="K34" s="460">
        <f t="shared" ref="K34:K36" si="52">A34</f>
        <v>43678</v>
      </c>
      <c r="L34" s="461">
        <v>1</v>
      </c>
      <c r="M34" s="469">
        <f>ROUND(M37*T$12,3)</f>
        <v>-669.07600000000002</v>
      </c>
      <c r="N34" s="463">
        <f t="shared" ref="N34:R36" si="53">D34</f>
        <v>8.5037728199999996E-2</v>
      </c>
      <c r="O34" s="464">
        <f t="shared" ref="O34:S36" si="54">ROUND(N34*$M34*1000,2)</f>
        <v>-56896.7</v>
      </c>
      <c r="P34" s="463">
        <f t="shared" si="53"/>
        <v>8.5037728199999996E-2</v>
      </c>
      <c r="Q34" s="464">
        <f t="shared" ref="Q34:Q36" si="55">ROUND(P34*$M34*1000,2)</f>
        <v>-56896.7</v>
      </c>
      <c r="R34" s="463">
        <f t="shared" si="53"/>
        <v>8.5037728199999996E-2</v>
      </c>
      <c r="S34" s="464">
        <f t="shared" si="54"/>
        <v>-56896.7</v>
      </c>
      <c r="T34" s="458"/>
      <c r="U34" s="449"/>
      <c r="W34" s="463"/>
    </row>
    <row r="35" spans="1:23">
      <c r="A35" s="618">
        <v>43678</v>
      </c>
      <c r="B35" s="461">
        <v>2</v>
      </c>
      <c r="C35" s="469">
        <f>ROUND(C37*J35,3)</f>
        <v>-21342.164000000001</v>
      </c>
      <c r="D35" s="620">
        <f>$D$31</f>
        <v>0.1109157261</v>
      </c>
      <c r="E35" s="464">
        <f t="shared" si="49"/>
        <v>-2367181.62</v>
      </c>
      <c r="F35" s="620">
        <f t="shared" ref="F35:F36" si="56">F23</f>
        <v>0.1109157261</v>
      </c>
      <c r="G35" s="464">
        <f t="shared" si="50"/>
        <v>-2367181.62</v>
      </c>
      <c r="H35" s="620">
        <f t="shared" si="51"/>
        <v>0.1109157261</v>
      </c>
      <c r="I35" s="464">
        <f t="shared" si="49"/>
        <v>-2367181.62</v>
      </c>
      <c r="J35" s="458">
        <f>$J$23</f>
        <v>0.36118592986837977</v>
      </c>
      <c r="K35" s="460">
        <f t="shared" si="52"/>
        <v>43678</v>
      </c>
      <c r="L35" s="461">
        <v>2</v>
      </c>
      <c r="M35" s="469">
        <f>ROUND(M37*T$13,3)</f>
        <v>-405.13099999999997</v>
      </c>
      <c r="N35" s="463">
        <f t="shared" si="53"/>
        <v>0.1109157261</v>
      </c>
      <c r="O35" s="464">
        <f t="shared" si="54"/>
        <v>-44935.4</v>
      </c>
      <c r="P35" s="463">
        <f t="shared" si="53"/>
        <v>0.1109157261</v>
      </c>
      <c r="Q35" s="464">
        <f t="shared" si="55"/>
        <v>-44935.4</v>
      </c>
      <c r="R35" s="463">
        <f t="shared" si="53"/>
        <v>0.1109157261</v>
      </c>
      <c r="S35" s="464">
        <f t="shared" si="54"/>
        <v>-44935.4</v>
      </c>
      <c r="T35" s="458"/>
      <c r="U35" s="449"/>
      <c r="W35" s="463"/>
    </row>
    <row r="36" spans="1:23">
      <c r="A36" s="618">
        <v>43678</v>
      </c>
      <c r="B36" s="461">
        <v>3</v>
      </c>
      <c r="C36" s="469">
        <f>C37-C34-C35</f>
        <v>-11044.974622580226</v>
      </c>
      <c r="D36" s="620">
        <f>$D$32</f>
        <v>0.1388577372</v>
      </c>
      <c r="E36" s="464">
        <f t="shared" si="49"/>
        <v>-1533680.18</v>
      </c>
      <c r="F36" s="620">
        <f t="shared" si="56"/>
        <v>0.1388577372</v>
      </c>
      <c r="G36" s="464">
        <f t="shared" si="50"/>
        <v>-1533680.18</v>
      </c>
      <c r="H36" s="620">
        <f t="shared" si="51"/>
        <v>0.1388577372</v>
      </c>
      <c r="I36" s="464">
        <f t="shared" si="49"/>
        <v>-1533680.18</v>
      </c>
      <c r="J36" s="458"/>
      <c r="K36" s="460">
        <f t="shared" si="52"/>
        <v>43678</v>
      </c>
      <c r="L36" s="461">
        <v>3</v>
      </c>
      <c r="M36" s="469">
        <f>M37-M34-M35</f>
        <v>-118.78814243720797</v>
      </c>
      <c r="N36" s="463">
        <f t="shared" si="53"/>
        <v>0.1388577372</v>
      </c>
      <c r="O36" s="464">
        <f t="shared" si="54"/>
        <v>-16494.650000000001</v>
      </c>
      <c r="P36" s="463">
        <f t="shared" si="53"/>
        <v>0.1388577372</v>
      </c>
      <c r="Q36" s="464">
        <f t="shared" si="55"/>
        <v>-16494.650000000001</v>
      </c>
      <c r="R36" s="463">
        <f t="shared" si="53"/>
        <v>0.1388577372</v>
      </c>
      <c r="S36" s="464">
        <f t="shared" si="54"/>
        <v>-16494.650000000001</v>
      </c>
      <c r="T36" s="458"/>
      <c r="U36" s="449"/>
      <c r="W36" s="463"/>
    </row>
    <row r="37" spans="1:23">
      <c r="A37" s="618"/>
      <c r="B37" s="461" t="s">
        <v>93</v>
      </c>
      <c r="C37" s="462">
        <f>TempMWH!C11</f>
        <v>-59089.134622580226</v>
      </c>
      <c r="D37" s="747"/>
      <c r="E37" s="464"/>
      <c r="F37" s="747"/>
      <c r="G37" s="464"/>
      <c r="H37" s="747"/>
      <c r="I37" s="464"/>
      <c r="J37" s="458"/>
      <c r="K37" s="460"/>
      <c r="L37" s="461" t="s">
        <v>93</v>
      </c>
      <c r="M37" s="462">
        <f>TempMWH!E11</f>
        <v>-1192.995142437208</v>
      </c>
      <c r="N37" s="470"/>
      <c r="O37" s="464"/>
      <c r="P37" s="470"/>
      <c r="Q37" s="464"/>
      <c r="R37" s="470"/>
      <c r="S37" s="464"/>
      <c r="T37" s="458"/>
      <c r="U37" s="468"/>
      <c r="W37" s="470"/>
    </row>
    <row r="38" spans="1:23">
      <c r="A38" s="618">
        <v>43709</v>
      </c>
      <c r="B38" s="461">
        <v>1</v>
      </c>
      <c r="C38" s="469">
        <f>ROUND(C41*J38,3)</f>
        <v>-12809.207</v>
      </c>
      <c r="D38" s="620">
        <f>$D$30</f>
        <v>8.5037728199999996E-2</v>
      </c>
      <c r="E38" s="464">
        <f t="shared" ref="E38:I40" si="57">ROUND(D38*$C38*1000,2)</f>
        <v>-1089265.8600000001</v>
      </c>
      <c r="F38" s="620">
        <f>F22</f>
        <v>8.5037728199999996E-2</v>
      </c>
      <c r="G38" s="464">
        <f t="shared" ref="G38:G40" si="58">ROUND(F38*$C38*1000,2)</f>
        <v>-1089265.8600000001</v>
      </c>
      <c r="H38" s="620">
        <f t="shared" ref="H38:H40" si="59">F38</f>
        <v>8.5037728199999996E-2</v>
      </c>
      <c r="I38" s="464">
        <f t="shared" si="57"/>
        <v>-1089265.8600000001</v>
      </c>
      <c r="J38" s="458">
        <f>$J$22</f>
        <v>0.45189349904050696</v>
      </c>
      <c r="K38" s="460">
        <f t="shared" ref="K38:K40" si="60">A38</f>
        <v>43709</v>
      </c>
      <c r="L38" s="461">
        <v>1</v>
      </c>
      <c r="M38" s="469">
        <f>ROUND(M41*T$12,3)</f>
        <v>-292.89</v>
      </c>
      <c r="N38" s="463">
        <f t="shared" ref="N38:R40" si="61">D38</f>
        <v>8.5037728199999996E-2</v>
      </c>
      <c r="O38" s="464">
        <f t="shared" ref="O38:S40" si="62">ROUND(N38*$M38*1000,2)</f>
        <v>-24906.7</v>
      </c>
      <c r="P38" s="463">
        <f t="shared" si="61"/>
        <v>8.5037728199999996E-2</v>
      </c>
      <c r="Q38" s="464">
        <f t="shared" ref="Q38:Q40" si="63">ROUND(P38*$M38*1000,2)</f>
        <v>-24906.7</v>
      </c>
      <c r="R38" s="463">
        <f t="shared" si="61"/>
        <v>8.5037728199999996E-2</v>
      </c>
      <c r="S38" s="464">
        <f t="shared" si="62"/>
        <v>-24906.7</v>
      </c>
      <c r="T38" s="458"/>
      <c r="W38" s="463"/>
    </row>
    <row r="39" spans="1:23">
      <c r="A39" s="618">
        <v>43709</v>
      </c>
      <c r="B39" s="461">
        <v>2</v>
      </c>
      <c r="C39" s="469">
        <f>ROUND(C41*J39,3)</f>
        <v>-10238.043</v>
      </c>
      <c r="D39" s="620">
        <f>$D$31</f>
        <v>0.1109157261</v>
      </c>
      <c r="E39" s="464">
        <f t="shared" si="57"/>
        <v>-1135559.97</v>
      </c>
      <c r="F39" s="620">
        <f t="shared" ref="F39:F40" si="64">F23</f>
        <v>0.1109157261</v>
      </c>
      <c r="G39" s="464">
        <f t="shared" si="58"/>
        <v>-1135559.97</v>
      </c>
      <c r="H39" s="620">
        <f t="shared" si="59"/>
        <v>0.1109157261</v>
      </c>
      <c r="I39" s="464">
        <f t="shared" si="57"/>
        <v>-1135559.97</v>
      </c>
      <c r="J39" s="458">
        <f>$J$23</f>
        <v>0.36118592986837977</v>
      </c>
      <c r="K39" s="460">
        <f t="shared" si="60"/>
        <v>43709</v>
      </c>
      <c r="L39" s="461">
        <v>2</v>
      </c>
      <c r="M39" s="469">
        <f>ROUND(M41*T$13,3)</f>
        <v>-177.34700000000001</v>
      </c>
      <c r="N39" s="463">
        <f t="shared" si="61"/>
        <v>0.1109157261</v>
      </c>
      <c r="O39" s="464">
        <f t="shared" si="62"/>
        <v>-19670.57</v>
      </c>
      <c r="P39" s="463">
        <f t="shared" si="61"/>
        <v>0.1109157261</v>
      </c>
      <c r="Q39" s="464">
        <f t="shared" si="63"/>
        <v>-19670.57</v>
      </c>
      <c r="R39" s="463">
        <f t="shared" si="61"/>
        <v>0.1109157261</v>
      </c>
      <c r="S39" s="464">
        <f t="shared" si="62"/>
        <v>-19670.57</v>
      </c>
      <c r="T39" s="458"/>
      <c r="W39" s="463"/>
    </row>
    <row r="40" spans="1:23">
      <c r="A40" s="618">
        <v>43709</v>
      </c>
      <c r="B40" s="461">
        <v>3</v>
      </c>
      <c r="C40" s="469">
        <f>C41-C38-C39</f>
        <v>-5298.382038209922</v>
      </c>
      <c r="D40" s="620">
        <f>$D$32</f>
        <v>0.1388577372</v>
      </c>
      <c r="E40" s="464">
        <f t="shared" si="57"/>
        <v>-735721.34</v>
      </c>
      <c r="F40" s="620">
        <f t="shared" si="64"/>
        <v>0.1388577372</v>
      </c>
      <c r="G40" s="464">
        <f t="shared" si="58"/>
        <v>-735721.34</v>
      </c>
      <c r="H40" s="620">
        <f t="shared" si="59"/>
        <v>0.1388577372</v>
      </c>
      <c r="I40" s="464">
        <f t="shared" si="57"/>
        <v>-735721.34</v>
      </c>
      <c r="J40" s="458"/>
      <c r="K40" s="460">
        <f t="shared" si="60"/>
        <v>43709</v>
      </c>
      <c r="L40" s="461">
        <v>3</v>
      </c>
      <c r="M40" s="469">
        <f>M41-M38-M39</f>
        <v>-51.99924606957606</v>
      </c>
      <c r="N40" s="463">
        <f t="shared" si="61"/>
        <v>0.1388577372</v>
      </c>
      <c r="O40" s="464">
        <f t="shared" si="62"/>
        <v>-7220.5</v>
      </c>
      <c r="P40" s="463">
        <f t="shared" si="61"/>
        <v>0.1388577372</v>
      </c>
      <c r="Q40" s="464">
        <f t="shared" si="63"/>
        <v>-7220.5</v>
      </c>
      <c r="R40" s="463">
        <f t="shared" si="61"/>
        <v>0.1388577372</v>
      </c>
      <c r="S40" s="464">
        <f t="shared" si="62"/>
        <v>-7220.5</v>
      </c>
      <c r="T40" s="458"/>
      <c r="W40" s="463"/>
    </row>
    <row r="41" spans="1:23">
      <c r="A41" s="618"/>
      <c r="B41" s="461" t="s">
        <v>93</v>
      </c>
      <c r="C41" s="462">
        <f>TempMWH!C12</f>
        <v>-28345.632038209922</v>
      </c>
      <c r="D41" s="747"/>
      <c r="E41" s="464"/>
      <c r="F41" s="747"/>
      <c r="G41" s="464"/>
      <c r="H41" s="747"/>
      <c r="I41" s="464"/>
      <c r="K41" s="460"/>
      <c r="L41" s="461" t="s">
        <v>93</v>
      </c>
      <c r="M41" s="462">
        <f>TempMWH!E12</f>
        <v>-522.23624606957605</v>
      </c>
      <c r="N41" s="470"/>
      <c r="O41" s="464"/>
      <c r="P41" s="470"/>
      <c r="Q41" s="464"/>
      <c r="R41" s="470"/>
      <c r="S41" s="464"/>
      <c r="T41" s="579"/>
      <c r="W41" s="470"/>
    </row>
    <row r="42" spans="1:23">
      <c r="A42" s="618">
        <v>43739</v>
      </c>
      <c r="B42" s="461">
        <v>1</v>
      </c>
      <c r="C42" s="469">
        <f>ROUND(C44*J42,3)</f>
        <v>-11717.826999999999</v>
      </c>
      <c r="D42" s="952">
        <f>0.088498*(1+$X$9)</f>
        <v>8.5037728199999996E-2</v>
      </c>
      <c r="E42" s="464">
        <f t="shared" ref="E42:I43" si="65">ROUND(D42*$C42*1000,2)</f>
        <v>-996457.39</v>
      </c>
      <c r="F42" s="620">
        <f>F10</f>
        <v>8.5037728199999996E-2</v>
      </c>
      <c r="G42" s="464">
        <f t="shared" ref="G42:G43" si="66">ROUND(F42*$C42*1000,2)</f>
        <v>-996457.39</v>
      </c>
      <c r="H42" s="620">
        <f t="shared" ref="H42:H43" si="67">F42</f>
        <v>8.5037728199999996E-2</v>
      </c>
      <c r="I42" s="464">
        <f t="shared" si="65"/>
        <v>-996457.39</v>
      </c>
      <c r="J42" s="458">
        <f>$J$10</f>
        <v>0.53962992681653466</v>
      </c>
      <c r="K42" s="460">
        <f t="shared" ref="K42:K43" si="68">A42</f>
        <v>43739</v>
      </c>
      <c r="L42" s="461">
        <v>1</v>
      </c>
      <c r="M42" s="469">
        <f>ROUND(M44*T$16,3)</f>
        <v>-267.137</v>
      </c>
      <c r="N42" s="463">
        <f t="shared" ref="N42:R43" si="69">D42</f>
        <v>8.5037728199999996E-2</v>
      </c>
      <c r="O42" s="464">
        <f t="shared" ref="O42:S43" si="70">ROUND(N42*$M42*1000,2)</f>
        <v>-22716.720000000001</v>
      </c>
      <c r="P42" s="463">
        <f t="shared" si="69"/>
        <v>8.5037728199999996E-2</v>
      </c>
      <c r="Q42" s="464">
        <f t="shared" ref="Q42:Q43" si="71">ROUND(P42*$M42*1000,2)</f>
        <v>-22716.720000000001</v>
      </c>
      <c r="R42" s="463">
        <f t="shared" si="69"/>
        <v>8.5037728199999996E-2</v>
      </c>
      <c r="S42" s="464">
        <f t="shared" si="70"/>
        <v>-22716.720000000001</v>
      </c>
      <c r="T42" s="579"/>
      <c r="W42" s="463"/>
    </row>
    <row r="43" spans="1:23">
      <c r="A43" s="618">
        <v>43739</v>
      </c>
      <c r="B43" s="461">
        <v>2</v>
      </c>
      <c r="C43" s="469">
        <f>C44-C42</f>
        <v>-9996.7347486804774</v>
      </c>
      <c r="D43" s="952">
        <f>0.107072*(1+$X$9)</f>
        <v>0.1028854848</v>
      </c>
      <c r="E43" s="464">
        <f t="shared" si="65"/>
        <v>-1028518.9</v>
      </c>
      <c r="F43" s="620">
        <f>F11</f>
        <v>0.1028854848</v>
      </c>
      <c r="G43" s="464">
        <f t="shared" si="66"/>
        <v>-1028518.9</v>
      </c>
      <c r="H43" s="620">
        <f t="shared" si="67"/>
        <v>0.1028854848</v>
      </c>
      <c r="I43" s="464">
        <f t="shared" si="65"/>
        <v>-1028518.9</v>
      </c>
      <c r="K43" s="460">
        <f t="shared" si="68"/>
        <v>43739</v>
      </c>
      <c r="L43" s="461">
        <v>2</v>
      </c>
      <c r="M43" s="469">
        <f>M44-M42</f>
        <v>-182.02659037457698</v>
      </c>
      <c r="N43" s="463">
        <f t="shared" si="69"/>
        <v>0.1028854848</v>
      </c>
      <c r="O43" s="464">
        <f t="shared" si="70"/>
        <v>-18727.89</v>
      </c>
      <c r="P43" s="463">
        <f t="shared" si="69"/>
        <v>0.1028854848</v>
      </c>
      <c r="Q43" s="464">
        <f t="shared" si="71"/>
        <v>-18727.89</v>
      </c>
      <c r="R43" s="463">
        <f t="shared" si="69"/>
        <v>0.1028854848</v>
      </c>
      <c r="S43" s="464">
        <f t="shared" si="70"/>
        <v>-18727.89</v>
      </c>
      <c r="T43" s="579"/>
      <c r="W43" s="463"/>
    </row>
    <row r="44" spans="1:23">
      <c r="A44" s="618"/>
      <c r="B44" s="461" t="s">
        <v>93</v>
      </c>
      <c r="C44" s="462">
        <f>TempMWH!C13</f>
        <v>-21714.561748680477</v>
      </c>
      <c r="D44" s="746"/>
      <c r="E44" s="464"/>
      <c r="F44" s="746"/>
      <c r="G44" s="464"/>
      <c r="H44" s="746"/>
      <c r="I44" s="464"/>
      <c r="K44" s="460"/>
      <c r="L44" s="461" t="s">
        <v>93</v>
      </c>
      <c r="M44" s="462">
        <f>TempMWH!E13</f>
        <v>-449.16359037457698</v>
      </c>
      <c r="N44" s="463"/>
      <c r="O44" s="464"/>
      <c r="P44" s="463"/>
      <c r="Q44" s="464"/>
      <c r="R44" s="463"/>
      <c r="S44" s="464"/>
      <c r="T44" s="579"/>
      <c r="U44" s="468"/>
      <c r="W44" s="463"/>
    </row>
    <row r="45" spans="1:23">
      <c r="A45" s="618">
        <v>43770</v>
      </c>
      <c r="B45" s="461">
        <v>1</v>
      </c>
      <c r="C45" s="469">
        <f>ROUND(C47*J45,3)</f>
        <v>1194.8530000000001</v>
      </c>
      <c r="D45" s="620">
        <f>$D$42</f>
        <v>8.5037728199999996E-2</v>
      </c>
      <c r="E45" s="464">
        <f t="shared" ref="E45:I46" si="72">ROUND(D45*$C45*1000,2)</f>
        <v>101607.58</v>
      </c>
      <c r="F45" s="620">
        <f>F10</f>
        <v>8.5037728199999996E-2</v>
      </c>
      <c r="G45" s="464">
        <f t="shared" ref="G45:G46" si="73">ROUND(F45*$C45*1000,2)</f>
        <v>101607.58</v>
      </c>
      <c r="H45" s="620">
        <f t="shared" ref="H45:H49" si="74">F45</f>
        <v>8.5037728199999996E-2</v>
      </c>
      <c r="I45" s="464">
        <f t="shared" si="72"/>
        <v>101607.58</v>
      </c>
      <c r="J45" s="458">
        <f>$J$10</f>
        <v>0.53962992681653466</v>
      </c>
      <c r="K45" s="460">
        <f t="shared" ref="K45:K46" si="75">A45</f>
        <v>43770</v>
      </c>
      <c r="L45" s="461">
        <v>1</v>
      </c>
      <c r="M45" s="469">
        <f>ROUND(M47*T$16,3)</f>
        <v>29.17</v>
      </c>
      <c r="N45" s="463">
        <f t="shared" ref="N45:R46" si="76">D45</f>
        <v>8.5037728199999996E-2</v>
      </c>
      <c r="O45" s="464">
        <f t="shared" ref="O45:S46" si="77">ROUND(N45*$M45*1000,2)</f>
        <v>2480.5500000000002</v>
      </c>
      <c r="P45" s="463">
        <f t="shared" si="76"/>
        <v>8.5037728199999996E-2</v>
      </c>
      <c r="Q45" s="464">
        <f t="shared" ref="Q45:Q46" si="78">ROUND(P45*$M45*1000,2)</f>
        <v>2480.5500000000002</v>
      </c>
      <c r="R45" s="463">
        <f t="shared" si="76"/>
        <v>8.5037728199999996E-2</v>
      </c>
      <c r="S45" s="464">
        <f t="shared" si="77"/>
        <v>2480.5500000000002</v>
      </c>
      <c r="T45" s="579"/>
      <c r="U45" s="468"/>
      <c r="W45" s="463"/>
    </row>
    <row r="46" spans="1:23">
      <c r="A46" s="618">
        <v>43770</v>
      </c>
      <c r="B46" s="461">
        <v>2</v>
      </c>
      <c r="C46" s="469">
        <f>C47-C45</f>
        <v>1019.3552404551065</v>
      </c>
      <c r="D46" s="620">
        <f>$D$43</f>
        <v>0.1028854848</v>
      </c>
      <c r="E46" s="464">
        <f t="shared" si="72"/>
        <v>104876.86</v>
      </c>
      <c r="F46" s="620">
        <f>F11</f>
        <v>0.1028854848</v>
      </c>
      <c r="G46" s="464">
        <f t="shared" si="73"/>
        <v>104876.86</v>
      </c>
      <c r="H46" s="620">
        <f t="shared" si="74"/>
        <v>0.1028854848</v>
      </c>
      <c r="I46" s="464">
        <f t="shared" si="72"/>
        <v>104876.86</v>
      </c>
      <c r="J46" s="458"/>
      <c r="K46" s="460">
        <f t="shared" si="75"/>
        <v>43770</v>
      </c>
      <c r="L46" s="461">
        <v>2</v>
      </c>
      <c r="M46" s="469">
        <f>M47-M45</f>
        <v>19.875827414276067</v>
      </c>
      <c r="N46" s="463">
        <f t="shared" si="76"/>
        <v>0.1028854848</v>
      </c>
      <c r="O46" s="464">
        <f t="shared" si="77"/>
        <v>2044.93</v>
      </c>
      <c r="P46" s="463">
        <f t="shared" si="76"/>
        <v>0.1028854848</v>
      </c>
      <c r="Q46" s="464">
        <f t="shared" si="78"/>
        <v>2044.93</v>
      </c>
      <c r="R46" s="463">
        <f t="shared" si="76"/>
        <v>0.1028854848</v>
      </c>
      <c r="S46" s="464">
        <f t="shared" si="77"/>
        <v>2044.93</v>
      </c>
      <c r="T46" s="458"/>
      <c r="W46" s="463"/>
    </row>
    <row r="47" spans="1:23">
      <c r="A47" s="618"/>
      <c r="B47" s="461" t="s">
        <v>93</v>
      </c>
      <c r="C47" s="462">
        <f>TempMWH!C14</f>
        <v>2214.2082404551065</v>
      </c>
      <c r="D47" s="746"/>
      <c r="E47" s="464"/>
      <c r="F47" s="746"/>
      <c r="G47" s="464"/>
      <c r="H47" s="620"/>
      <c r="I47" s="464"/>
      <c r="J47" s="458"/>
      <c r="K47" s="460"/>
      <c r="L47" s="461" t="s">
        <v>93</v>
      </c>
      <c r="M47" s="462">
        <f>TempMWH!E14</f>
        <v>49.045827414276069</v>
      </c>
      <c r="N47" s="463"/>
      <c r="O47" s="464"/>
      <c r="P47" s="463"/>
      <c r="Q47" s="464"/>
      <c r="R47" s="463"/>
      <c r="S47" s="464"/>
      <c r="T47" s="458"/>
      <c r="W47" s="463"/>
    </row>
    <row r="48" spans="1:23">
      <c r="A48" s="618">
        <v>43800</v>
      </c>
      <c r="B48" s="461">
        <v>1</v>
      </c>
      <c r="C48" s="469">
        <f>ROUND(C50*J48,3)</f>
        <v>9941.3760000000002</v>
      </c>
      <c r="D48" s="620">
        <f>$D$42</f>
        <v>8.5037728199999996E-2</v>
      </c>
      <c r="E48" s="464">
        <f t="shared" ref="E48:I49" si="79">ROUND(D48*$C48*1000,2)</f>
        <v>845392.03</v>
      </c>
      <c r="F48" s="620">
        <f>F10</f>
        <v>8.5037728199999996E-2</v>
      </c>
      <c r="G48" s="464">
        <f t="shared" ref="G48:G49" si="80">ROUND(F48*$C48*1000,2)</f>
        <v>845392.03</v>
      </c>
      <c r="H48" s="620">
        <f t="shared" si="74"/>
        <v>8.5037728199999996E-2</v>
      </c>
      <c r="I48" s="464">
        <f t="shared" si="79"/>
        <v>845392.03</v>
      </c>
      <c r="J48" s="458">
        <f>$J$10</f>
        <v>0.53962992681653466</v>
      </c>
      <c r="K48" s="460">
        <f t="shared" ref="K48:K49" si="81">A48</f>
        <v>43800</v>
      </c>
      <c r="L48" s="461">
        <v>1</v>
      </c>
      <c r="M48" s="469">
        <f>ROUND(M50*T$16,3)</f>
        <v>240.16800000000001</v>
      </c>
      <c r="N48" s="463">
        <f t="shared" ref="N48:R49" si="82">D48</f>
        <v>8.5037728199999996E-2</v>
      </c>
      <c r="O48" s="464">
        <f t="shared" ref="O48:S49" si="83">ROUND(N48*$M48*1000,2)</f>
        <v>20423.34</v>
      </c>
      <c r="P48" s="463">
        <f t="shared" si="82"/>
        <v>8.5037728199999996E-2</v>
      </c>
      <c r="Q48" s="464">
        <f t="shared" ref="Q48:Q49" si="84">ROUND(P48*$M48*1000,2)</f>
        <v>20423.34</v>
      </c>
      <c r="R48" s="463">
        <f t="shared" si="82"/>
        <v>8.5037728199999996E-2</v>
      </c>
      <c r="S48" s="464">
        <f t="shared" si="83"/>
        <v>20423.34</v>
      </c>
      <c r="T48" s="458"/>
      <c r="W48" s="463"/>
    </row>
    <row r="49" spans="1:23">
      <c r="A49" s="618">
        <v>43800</v>
      </c>
      <c r="B49" s="461">
        <v>2</v>
      </c>
      <c r="C49" s="469">
        <f>C50-C48</f>
        <v>8481.2056147797011</v>
      </c>
      <c r="D49" s="620">
        <f>$D$43</f>
        <v>0.1028854848</v>
      </c>
      <c r="E49" s="464">
        <f t="shared" si="79"/>
        <v>872592.95</v>
      </c>
      <c r="F49" s="620">
        <f>F11</f>
        <v>0.1028854848</v>
      </c>
      <c r="G49" s="464">
        <f t="shared" si="80"/>
        <v>872592.95</v>
      </c>
      <c r="H49" s="620">
        <f t="shared" si="74"/>
        <v>0.1028854848</v>
      </c>
      <c r="I49" s="464">
        <f t="shared" si="79"/>
        <v>872592.95</v>
      </c>
      <c r="J49" s="458"/>
      <c r="K49" s="460">
        <f t="shared" si="81"/>
        <v>43800</v>
      </c>
      <c r="L49" s="461">
        <v>2</v>
      </c>
      <c r="M49" s="469">
        <f>M50-M48</f>
        <v>163.64905767772376</v>
      </c>
      <c r="N49" s="463">
        <f t="shared" si="82"/>
        <v>0.1028854848</v>
      </c>
      <c r="O49" s="464">
        <f t="shared" si="83"/>
        <v>16837.11</v>
      </c>
      <c r="P49" s="463">
        <f t="shared" si="82"/>
        <v>0.1028854848</v>
      </c>
      <c r="Q49" s="464">
        <f t="shared" si="84"/>
        <v>16837.11</v>
      </c>
      <c r="R49" s="463">
        <f t="shared" si="82"/>
        <v>0.1028854848</v>
      </c>
      <c r="S49" s="464">
        <f t="shared" si="83"/>
        <v>16837.11</v>
      </c>
      <c r="T49" s="458"/>
      <c r="U49" s="449"/>
      <c r="W49" s="463"/>
    </row>
    <row r="50" spans="1:23">
      <c r="A50" s="474"/>
      <c r="B50" s="475" t="s">
        <v>93</v>
      </c>
      <c r="C50" s="476">
        <f>TempMWH!C15</f>
        <v>18422.581614779701</v>
      </c>
      <c r="D50" s="477"/>
      <c r="E50" s="478"/>
      <c r="F50" s="477"/>
      <c r="G50" s="478"/>
      <c r="H50" s="477"/>
      <c r="I50" s="478"/>
      <c r="J50" s="458"/>
      <c r="K50" s="474"/>
      <c r="L50" s="475" t="s">
        <v>93</v>
      </c>
      <c r="M50" s="476">
        <f>TempMWH!E15</f>
        <v>403.81705767772377</v>
      </c>
      <c r="N50" s="477"/>
      <c r="O50" s="478"/>
      <c r="P50" s="477"/>
      <c r="Q50" s="478"/>
      <c r="R50" s="477"/>
      <c r="S50" s="478"/>
      <c r="T50" s="458"/>
      <c r="U50" s="449"/>
    </row>
    <row r="51" spans="1:23">
      <c r="A51" s="449" t="s">
        <v>93</v>
      </c>
      <c r="B51" s="454"/>
      <c r="C51" s="479">
        <f>SUM(C12,C15,C18,C21,C25,C29,C33,C37,C41,C44,C47,C50)</f>
        <v>-52978.177571372522</v>
      </c>
      <c r="D51" s="463"/>
      <c r="E51" s="468">
        <f>SUM(E10:E50)</f>
        <v>-5565276.7499999981</v>
      </c>
      <c r="F51" s="463"/>
      <c r="G51" s="468">
        <f>SUM(G10:G50)</f>
        <v>-5565276.7499999981</v>
      </c>
      <c r="H51" s="463"/>
      <c r="I51" s="468">
        <f>SUM(I10:I50)</f>
        <v>-5565276.7499999981</v>
      </c>
      <c r="J51" s="458"/>
      <c r="K51" s="449" t="s">
        <v>93</v>
      </c>
      <c r="L51" s="454"/>
      <c r="M51" s="479">
        <f>SUM(M12,M15,M18,M21,M25,M29,M33,M37,M41,M44,M47,M50)</f>
        <v>-711.9211278532814</v>
      </c>
      <c r="N51" s="463"/>
      <c r="O51" s="468">
        <f>SUM(O10:O50)</f>
        <v>-71311.930000000008</v>
      </c>
      <c r="P51" s="463"/>
      <c r="Q51" s="468">
        <f>SUM(Q10:Q50)</f>
        <v>-71311.930000000008</v>
      </c>
      <c r="R51" s="463"/>
      <c r="S51" s="468">
        <f>SUM(S10:S50)</f>
        <v>-71311.930000000008</v>
      </c>
      <c r="T51" s="458"/>
    </row>
    <row r="52" spans="1:23">
      <c r="B52" s="461"/>
      <c r="J52" s="458"/>
      <c r="U52" s="449"/>
    </row>
    <row r="53" spans="1:23">
      <c r="A53" s="451" t="s">
        <v>190</v>
      </c>
      <c r="B53" s="452"/>
      <c r="C53" s="448"/>
      <c r="D53" s="448"/>
      <c r="E53" s="448"/>
      <c r="F53" s="448"/>
      <c r="G53" s="448"/>
      <c r="H53" s="448"/>
      <c r="I53" s="448"/>
      <c r="J53" s="458"/>
      <c r="K53" s="451" t="s">
        <v>193</v>
      </c>
      <c r="L53" s="452"/>
      <c r="M53" s="448"/>
      <c r="N53" s="448"/>
      <c r="O53" s="448"/>
      <c r="P53" s="448"/>
      <c r="Q53" s="448"/>
      <c r="R53" s="448"/>
      <c r="S53" s="448"/>
      <c r="T53" s="579"/>
      <c r="U53" s="449"/>
    </row>
    <row r="54" spans="1:23">
      <c r="A54" s="449"/>
      <c r="B54" s="454"/>
      <c r="C54" s="449"/>
      <c r="D54" s="455" t="s">
        <v>425</v>
      </c>
      <c r="E54" s="455" t="s">
        <v>425</v>
      </c>
      <c r="F54" s="455" t="s">
        <v>494</v>
      </c>
      <c r="G54" s="455" t="s">
        <v>494</v>
      </c>
      <c r="H54" s="455" t="s">
        <v>216</v>
      </c>
      <c r="I54" s="455" t="s">
        <v>216</v>
      </c>
      <c r="J54" s="458"/>
      <c r="K54" s="449"/>
      <c r="L54" s="454"/>
      <c r="M54" s="449"/>
      <c r="N54" s="455" t="s">
        <v>425</v>
      </c>
      <c r="O54" s="455" t="s">
        <v>425</v>
      </c>
      <c r="P54" s="455" t="s">
        <v>494</v>
      </c>
      <c r="Q54" s="455" t="s">
        <v>494</v>
      </c>
      <c r="R54" s="455" t="s">
        <v>216</v>
      </c>
      <c r="S54" s="455" t="s">
        <v>216</v>
      </c>
      <c r="T54" s="579"/>
    </row>
    <row r="55" spans="1:23">
      <c r="A55" s="456" t="s">
        <v>110</v>
      </c>
      <c r="B55" s="457" t="s">
        <v>571</v>
      </c>
      <c r="C55" s="456" t="s">
        <v>109</v>
      </c>
      <c r="D55" s="456" t="s">
        <v>99</v>
      </c>
      <c r="E55" s="456" t="s">
        <v>496</v>
      </c>
      <c r="F55" s="456" t="s">
        <v>99</v>
      </c>
      <c r="G55" s="456" t="s">
        <v>496</v>
      </c>
      <c r="H55" s="456" t="s">
        <v>99</v>
      </c>
      <c r="I55" s="456" t="s">
        <v>496</v>
      </c>
      <c r="J55" s="458"/>
      <c r="K55" s="456" t="s">
        <v>110</v>
      </c>
      <c r="L55" s="457" t="s">
        <v>571</v>
      </c>
      <c r="M55" s="456" t="s">
        <v>109</v>
      </c>
      <c r="N55" s="456" t="s">
        <v>99</v>
      </c>
      <c r="O55" s="456" t="s">
        <v>496</v>
      </c>
      <c r="P55" s="456" t="s">
        <v>99</v>
      </c>
      <c r="Q55" s="456" t="s">
        <v>496</v>
      </c>
      <c r="R55" s="456" t="s">
        <v>99</v>
      </c>
      <c r="S55" s="456" t="s">
        <v>496</v>
      </c>
      <c r="T55" s="458"/>
      <c r="U55" s="449"/>
    </row>
    <row r="56" spans="1:23">
      <c r="A56" s="460">
        <f>A10</f>
        <v>43466</v>
      </c>
      <c r="B56" s="461">
        <v>1</v>
      </c>
      <c r="C56" s="469">
        <f>ROUND(C58*J$62,3)</f>
        <v>2.6680000000000001</v>
      </c>
      <c r="D56" s="463">
        <f>D10</f>
        <v>8.5037728199999996E-2</v>
      </c>
      <c r="E56" s="464">
        <f>ROUND(D56*$C56*1000,2)</f>
        <v>226.88</v>
      </c>
      <c r="F56" s="463">
        <f>F10</f>
        <v>8.5037728199999996E-2</v>
      </c>
      <c r="G56" s="464">
        <f>ROUND(F56*$C56*1000,2)</f>
        <v>226.88</v>
      </c>
      <c r="H56" s="463">
        <f>H10</f>
        <v>8.5037728199999996E-2</v>
      </c>
      <c r="I56" s="464">
        <f>ROUND(H56*$C56*1000,2)</f>
        <v>226.88</v>
      </c>
      <c r="J56" s="580"/>
      <c r="K56" s="460">
        <f>A68</f>
        <v>43586</v>
      </c>
      <c r="L56" s="466" t="s">
        <v>252</v>
      </c>
      <c r="M56" s="482">
        <f>ROUND(M58*$T$57,3)</f>
        <v>5.6550000000000002</v>
      </c>
      <c r="N56" s="622">
        <v>4.3560000000000001E-2</v>
      </c>
      <c r="O56" s="464">
        <f>ROUND(N56*$M56*1000,2)</f>
        <v>246.33</v>
      </c>
      <c r="P56" s="622">
        <v>4.3560000000000001E-2</v>
      </c>
      <c r="Q56" s="464">
        <f>ROUND(P56*$M56*1000,2)</f>
        <v>246.33</v>
      </c>
      <c r="R56" s="622">
        <v>4.3560000000000001E-2</v>
      </c>
      <c r="S56" s="464">
        <f>ROUND(R56*$M56*1000,2)</f>
        <v>246.33</v>
      </c>
      <c r="T56" s="458" t="s">
        <v>251</v>
      </c>
      <c r="U56" s="449"/>
      <c r="W56" s="485">
        <v>4.2415000000000001E-2</v>
      </c>
    </row>
    <row r="57" spans="1:23">
      <c r="A57" s="460">
        <f>A11</f>
        <v>43466</v>
      </c>
      <c r="B57" s="461">
        <v>2</v>
      </c>
      <c r="C57" s="469">
        <f>C58-C56</f>
        <v>2.2293128788294183</v>
      </c>
      <c r="D57" s="463">
        <f>D11</f>
        <v>0.1028854848</v>
      </c>
      <c r="E57" s="464">
        <f>ROUND(D57*$C57*1000,2)</f>
        <v>229.36</v>
      </c>
      <c r="F57" s="463">
        <f>F11</f>
        <v>0.1028854848</v>
      </c>
      <c r="G57" s="464">
        <f>ROUND(F57*$C57*1000,2)</f>
        <v>229.36</v>
      </c>
      <c r="H57" s="463">
        <f>H11</f>
        <v>0.1028854848</v>
      </c>
      <c r="I57" s="464">
        <f>ROUND(H57*$C57*1000,2)</f>
        <v>229.36</v>
      </c>
      <c r="J57" s="458" t="s">
        <v>780</v>
      </c>
      <c r="K57" s="460">
        <f>K56</f>
        <v>43586</v>
      </c>
      <c r="L57" s="466" t="s">
        <v>253</v>
      </c>
      <c r="M57" s="482">
        <f>M58-M56</f>
        <v>17.842363688024747</v>
      </c>
      <c r="N57" s="623">
        <v>-1.6334000000000001E-2</v>
      </c>
      <c r="O57" s="464">
        <f>ROUND(N57*$M57*1000,2)</f>
        <v>-291.44</v>
      </c>
      <c r="P57" s="623">
        <v>-1.6334000000000001E-2</v>
      </c>
      <c r="Q57" s="464">
        <f>ROUND(P57*$M57*1000,2)</f>
        <v>-291.44</v>
      </c>
      <c r="R57" s="623">
        <v>-1.6334000000000001E-2</v>
      </c>
      <c r="S57" s="464">
        <f>ROUND(R57*$M57*1000,2)</f>
        <v>-291.44</v>
      </c>
      <c r="T57" s="458">
        <f>'123'!S25</f>
        <v>0.24067780197099656</v>
      </c>
      <c r="W57" s="485">
        <v>-1.5904999999999999E-2</v>
      </c>
    </row>
    <row r="58" spans="1:23">
      <c r="A58" s="460"/>
      <c r="B58" s="461" t="s">
        <v>93</v>
      </c>
      <c r="C58" s="462">
        <f>TempMWH!D4</f>
        <v>4.8973128788294185</v>
      </c>
      <c r="D58" s="463"/>
      <c r="E58" s="464"/>
      <c r="F58" s="463"/>
      <c r="G58" s="464"/>
      <c r="H58" s="463"/>
      <c r="I58" s="464"/>
      <c r="J58" s="458">
        <f>'123'!P25</f>
        <v>0.4913204820147784</v>
      </c>
      <c r="K58" s="460"/>
      <c r="L58" s="461" t="s">
        <v>93</v>
      </c>
      <c r="M58" s="483">
        <f>C71</f>
        <v>23.497363688024748</v>
      </c>
      <c r="N58" s="463"/>
      <c r="O58" s="464"/>
      <c r="P58" s="463"/>
      <c r="Q58" s="464"/>
      <c r="R58" s="463"/>
      <c r="S58" s="464"/>
      <c r="T58" s="458"/>
      <c r="W58" s="463"/>
    </row>
    <row r="59" spans="1:23">
      <c r="A59" s="460">
        <f t="shared" ref="A59:A60" si="85">A13</f>
        <v>43497</v>
      </c>
      <c r="B59" s="461">
        <v>1</v>
      </c>
      <c r="C59" s="469">
        <f>ROUND(C61*J$62,3)</f>
        <v>-2.0110000000000001</v>
      </c>
      <c r="D59" s="463">
        <f t="shared" ref="D59:F60" si="86">D13</f>
        <v>8.5037728199999996E-2</v>
      </c>
      <c r="E59" s="464">
        <f t="shared" ref="E59:I60" si="87">ROUND(D59*$C59*1000,2)</f>
        <v>-171.01</v>
      </c>
      <c r="F59" s="463">
        <f t="shared" si="86"/>
        <v>8.5037728199999996E-2</v>
      </c>
      <c r="G59" s="464">
        <f t="shared" ref="G59:G60" si="88">ROUND(F59*$C59*1000,2)</f>
        <v>-171.01</v>
      </c>
      <c r="H59" s="463">
        <f t="shared" ref="H59" si="89">H13</f>
        <v>8.5037728199999996E-2</v>
      </c>
      <c r="I59" s="464">
        <f t="shared" si="87"/>
        <v>-171.01</v>
      </c>
      <c r="J59" s="458">
        <f>'123'!Q25</f>
        <v>0.35902946649563694</v>
      </c>
      <c r="K59" s="460">
        <f>A72</f>
        <v>43617</v>
      </c>
      <c r="L59" s="466" t="s">
        <v>252</v>
      </c>
      <c r="M59" s="482">
        <f>ROUND(M61*$T$57,3)</f>
        <v>8.0739999999999998</v>
      </c>
      <c r="N59" s="622">
        <v>4.3560000000000001E-2</v>
      </c>
      <c r="O59" s="464">
        <f t="shared" ref="O59:S60" si="90">ROUND(N59*$M59*1000,2)</f>
        <v>351.7</v>
      </c>
      <c r="P59" s="622">
        <v>4.3560000000000001E-2</v>
      </c>
      <c r="Q59" s="464">
        <f t="shared" ref="Q59:Q60" si="91">ROUND(P59*$M59*1000,2)</f>
        <v>351.7</v>
      </c>
      <c r="R59" s="622">
        <v>4.3560000000000001E-2</v>
      </c>
      <c r="S59" s="464">
        <f t="shared" si="90"/>
        <v>351.7</v>
      </c>
      <c r="T59" s="579"/>
      <c r="W59" s="485">
        <v>4.2415000000000001E-2</v>
      </c>
    </row>
    <row r="60" spans="1:23">
      <c r="A60" s="460">
        <f t="shared" si="85"/>
        <v>43497</v>
      </c>
      <c r="B60" s="461">
        <v>2</v>
      </c>
      <c r="C60" s="469">
        <f>C61-C59</f>
        <v>-1.6808597232999078</v>
      </c>
      <c r="D60" s="463">
        <f t="shared" si="86"/>
        <v>0.1028854848</v>
      </c>
      <c r="E60" s="464">
        <f t="shared" si="87"/>
        <v>-172.94</v>
      </c>
      <c r="F60" s="463">
        <f t="shared" si="86"/>
        <v>0.1028854848</v>
      </c>
      <c r="G60" s="464">
        <f t="shared" si="88"/>
        <v>-172.94</v>
      </c>
      <c r="H60" s="463">
        <f t="shared" ref="H60" si="92">H14</f>
        <v>0.1028854848</v>
      </c>
      <c r="I60" s="464">
        <f t="shared" si="87"/>
        <v>-172.94</v>
      </c>
      <c r="J60" s="458"/>
      <c r="K60" s="460">
        <f>K59</f>
        <v>43617</v>
      </c>
      <c r="L60" s="466" t="s">
        <v>253</v>
      </c>
      <c r="M60" s="482">
        <f>M61-M59</f>
        <v>25.473326234628189</v>
      </c>
      <c r="N60" s="623">
        <v>-1.6334000000000001E-2</v>
      </c>
      <c r="O60" s="464">
        <f t="shared" si="90"/>
        <v>-416.08</v>
      </c>
      <c r="P60" s="623">
        <v>-1.6334000000000001E-2</v>
      </c>
      <c r="Q60" s="464">
        <f t="shared" si="91"/>
        <v>-416.08</v>
      </c>
      <c r="R60" s="623">
        <v>-1.6334000000000001E-2</v>
      </c>
      <c r="S60" s="464">
        <f t="shared" si="90"/>
        <v>-416.08</v>
      </c>
      <c r="T60" s="458"/>
      <c r="W60" s="485">
        <v>-1.5904999999999999E-2</v>
      </c>
    </row>
    <row r="61" spans="1:23">
      <c r="A61" s="460"/>
      <c r="B61" s="461" t="s">
        <v>93</v>
      </c>
      <c r="C61" s="462">
        <f>TempMWH!D5</f>
        <v>-3.691859723299908</v>
      </c>
      <c r="D61" s="463"/>
      <c r="E61" s="464"/>
      <c r="F61" s="463"/>
      <c r="G61" s="464"/>
      <c r="H61" s="463"/>
      <c r="I61" s="464"/>
      <c r="J61" s="458" t="s">
        <v>781</v>
      </c>
      <c r="K61" s="460"/>
      <c r="L61" s="461" t="s">
        <v>93</v>
      </c>
      <c r="M61" s="483">
        <f>C75</f>
        <v>33.547326234628187</v>
      </c>
      <c r="N61" s="463"/>
      <c r="O61" s="464"/>
      <c r="P61" s="463"/>
      <c r="Q61" s="464"/>
      <c r="R61" s="463"/>
      <c r="S61" s="464"/>
      <c r="T61" s="458"/>
      <c r="W61" s="463"/>
    </row>
    <row r="62" spans="1:23">
      <c r="A62" s="460">
        <f t="shared" ref="A62:A63" si="93">A16</f>
        <v>43525</v>
      </c>
      <c r="B62" s="461">
        <v>1</v>
      </c>
      <c r="C62" s="469">
        <f>ROUND(C64*J$62,3)</f>
        <v>-3.9550000000000001</v>
      </c>
      <c r="D62" s="463">
        <f t="shared" ref="D62:F63" si="94">D16</f>
        <v>8.5037728199999996E-2</v>
      </c>
      <c r="E62" s="464">
        <f t="shared" ref="E62:I63" si="95">ROUND(D62*$C62*1000,2)</f>
        <v>-336.32</v>
      </c>
      <c r="F62" s="463">
        <f t="shared" si="94"/>
        <v>8.5037728199999996E-2</v>
      </c>
      <c r="G62" s="464">
        <f t="shared" ref="G62:G63" si="96">ROUND(F62*$C62*1000,2)</f>
        <v>-336.32</v>
      </c>
      <c r="H62" s="463">
        <f t="shared" ref="H62" si="97">H16</f>
        <v>8.5037728199999996E-2</v>
      </c>
      <c r="I62" s="464">
        <f t="shared" si="95"/>
        <v>-336.32</v>
      </c>
      <c r="J62" s="458">
        <f>'123'!M25</f>
        <v>0.5447236139697742</v>
      </c>
      <c r="K62" s="460">
        <f>A76</f>
        <v>43647</v>
      </c>
      <c r="L62" s="466" t="s">
        <v>252</v>
      </c>
      <c r="M62" s="482">
        <f>ROUND(M64*$T$57,3)</f>
        <v>-5.5490000000000004</v>
      </c>
      <c r="N62" s="622">
        <v>4.3560000000000001E-2</v>
      </c>
      <c r="O62" s="464">
        <f t="shared" ref="O62:S63" si="98">ROUND(N62*$M62*1000,2)</f>
        <v>-241.71</v>
      </c>
      <c r="P62" s="622">
        <v>4.3560000000000001E-2</v>
      </c>
      <c r="Q62" s="464">
        <f t="shared" ref="Q62:Q63" si="99">ROUND(P62*$M62*1000,2)</f>
        <v>-241.71</v>
      </c>
      <c r="R62" s="622">
        <v>4.3560000000000001E-2</v>
      </c>
      <c r="S62" s="464">
        <f t="shared" si="98"/>
        <v>-241.71</v>
      </c>
      <c r="T62" s="458"/>
      <c r="W62" s="485">
        <v>4.2415000000000001E-2</v>
      </c>
    </row>
    <row r="63" spans="1:23">
      <c r="A63" s="460">
        <f t="shared" si="93"/>
        <v>43525</v>
      </c>
      <c r="B63" s="461">
        <v>2</v>
      </c>
      <c r="C63" s="469">
        <f>C64-C62</f>
        <v>-3.306093207741597</v>
      </c>
      <c r="D63" s="463">
        <f t="shared" si="94"/>
        <v>0.1028854848</v>
      </c>
      <c r="E63" s="464">
        <f t="shared" si="95"/>
        <v>-340.15</v>
      </c>
      <c r="F63" s="463">
        <f t="shared" si="94"/>
        <v>0.1028854848</v>
      </c>
      <c r="G63" s="464">
        <f t="shared" si="96"/>
        <v>-340.15</v>
      </c>
      <c r="H63" s="463">
        <f t="shared" ref="H63" si="100">H17</f>
        <v>0.1028854848</v>
      </c>
      <c r="I63" s="464">
        <f t="shared" si="95"/>
        <v>-340.15</v>
      </c>
      <c r="J63" s="458"/>
      <c r="K63" s="460">
        <f>K62</f>
        <v>43647</v>
      </c>
      <c r="L63" s="466" t="s">
        <v>253</v>
      </c>
      <c r="M63" s="482">
        <f>M64-M62</f>
        <v>-17.504880512170015</v>
      </c>
      <c r="N63" s="623">
        <v>-1.6334000000000001E-2</v>
      </c>
      <c r="O63" s="464">
        <f t="shared" si="98"/>
        <v>285.92</v>
      </c>
      <c r="P63" s="623">
        <v>-1.6334000000000001E-2</v>
      </c>
      <c r="Q63" s="464">
        <f t="shared" si="99"/>
        <v>285.92</v>
      </c>
      <c r="R63" s="623">
        <v>-1.6334000000000001E-2</v>
      </c>
      <c r="S63" s="464">
        <f t="shared" si="98"/>
        <v>285.92</v>
      </c>
      <c r="T63" s="580"/>
      <c r="W63" s="485">
        <v>-1.5904999999999999E-2</v>
      </c>
    </row>
    <row r="64" spans="1:23">
      <c r="A64" s="460"/>
      <c r="B64" s="461" t="s">
        <v>93</v>
      </c>
      <c r="C64" s="462">
        <f>TempMWH!D6</f>
        <v>-7.2610932077415971</v>
      </c>
      <c r="D64" s="463"/>
      <c r="E64" s="464"/>
      <c r="F64" s="463"/>
      <c r="G64" s="464"/>
      <c r="H64" s="463"/>
      <c r="I64" s="464"/>
      <c r="J64" s="458"/>
      <c r="K64" s="460"/>
      <c r="L64" s="461" t="s">
        <v>93</v>
      </c>
      <c r="M64" s="483">
        <f>C79</f>
        <v>-23.053880512170014</v>
      </c>
      <c r="N64" s="463"/>
      <c r="O64" s="464"/>
      <c r="P64" s="463"/>
      <c r="Q64" s="464"/>
      <c r="R64" s="463"/>
      <c r="S64" s="464"/>
      <c r="T64" s="458"/>
      <c r="W64" s="463"/>
    </row>
    <row r="65" spans="1:23">
      <c r="A65" s="460">
        <f>A19</f>
        <v>43556</v>
      </c>
      <c r="B65" s="461">
        <v>1</v>
      </c>
      <c r="C65" s="469">
        <f>ROUND(C67*J$62,3)</f>
        <v>5.5030000000000001</v>
      </c>
      <c r="D65" s="463">
        <f t="shared" ref="D65:F66" si="101">D19</f>
        <v>8.5037728199999996E-2</v>
      </c>
      <c r="E65" s="464">
        <f t="shared" ref="E65:I66" si="102">ROUND(D65*$C65*1000,2)</f>
        <v>467.96</v>
      </c>
      <c r="F65" s="463">
        <f t="shared" si="101"/>
        <v>8.5037728199999996E-2</v>
      </c>
      <c r="G65" s="464">
        <f t="shared" ref="G65:G66" si="103">ROUND(F65*$C65*1000,2)</f>
        <v>467.96</v>
      </c>
      <c r="H65" s="463">
        <f t="shared" ref="H65" si="104">H19</f>
        <v>8.5037728199999996E-2</v>
      </c>
      <c r="I65" s="464">
        <f t="shared" si="102"/>
        <v>467.96</v>
      </c>
      <c r="J65" s="458"/>
      <c r="K65" s="460">
        <f>A80</f>
        <v>43678</v>
      </c>
      <c r="L65" s="466" t="s">
        <v>252</v>
      </c>
      <c r="M65" s="482">
        <f>ROUND(M67*$T$57,3)</f>
        <v>-14.252000000000001</v>
      </c>
      <c r="N65" s="622">
        <v>4.3560000000000001E-2</v>
      </c>
      <c r="O65" s="464">
        <f t="shared" ref="O65:S66" si="105">ROUND(N65*$M65*1000,2)</f>
        <v>-620.82000000000005</v>
      </c>
      <c r="P65" s="622">
        <v>4.3560000000000001E-2</v>
      </c>
      <c r="Q65" s="464">
        <f t="shared" ref="Q65:Q66" si="106">ROUND(P65*$M65*1000,2)</f>
        <v>-620.82000000000005</v>
      </c>
      <c r="R65" s="622">
        <v>4.3560000000000001E-2</v>
      </c>
      <c r="S65" s="464">
        <f t="shared" si="105"/>
        <v>-620.82000000000005</v>
      </c>
      <c r="T65" s="458"/>
      <c r="W65" s="485">
        <v>4.2415000000000001E-2</v>
      </c>
    </row>
    <row r="66" spans="1:23">
      <c r="A66" s="460">
        <f>A20</f>
        <v>43556</v>
      </c>
      <c r="B66" s="461">
        <v>2</v>
      </c>
      <c r="C66" s="469">
        <f>C67-C65</f>
        <v>4.5990544227080683</v>
      </c>
      <c r="D66" s="463">
        <f t="shared" si="101"/>
        <v>0.1028854848</v>
      </c>
      <c r="E66" s="464">
        <f t="shared" si="102"/>
        <v>473.18</v>
      </c>
      <c r="F66" s="463">
        <f t="shared" si="101"/>
        <v>0.1028854848</v>
      </c>
      <c r="G66" s="464">
        <f t="shared" si="103"/>
        <v>473.18</v>
      </c>
      <c r="H66" s="463">
        <f t="shared" ref="H66" si="107">H20</f>
        <v>0.1028854848</v>
      </c>
      <c r="I66" s="464">
        <f t="shared" si="102"/>
        <v>473.18</v>
      </c>
      <c r="J66" s="458"/>
      <c r="K66" s="460">
        <f>K65</f>
        <v>43678</v>
      </c>
      <c r="L66" s="466" t="s">
        <v>253</v>
      </c>
      <c r="M66" s="482">
        <f>M67-M65</f>
        <v>-44.963541334829607</v>
      </c>
      <c r="N66" s="623">
        <v>-1.6334000000000001E-2</v>
      </c>
      <c r="O66" s="464">
        <f t="shared" si="105"/>
        <v>734.43</v>
      </c>
      <c r="P66" s="623">
        <v>-1.6334000000000001E-2</v>
      </c>
      <c r="Q66" s="464">
        <f t="shared" si="106"/>
        <v>734.43</v>
      </c>
      <c r="R66" s="623">
        <v>-1.6334000000000001E-2</v>
      </c>
      <c r="S66" s="464">
        <f t="shared" si="105"/>
        <v>734.43</v>
      </c>
      <c r="T66" s="458"/>
      <c r="W66" s="485">
        <v>-1.5904999999999999E-2</v>
      </c>
    </row>
    <row r="67" spans="1:23">
      <c r="A67" s="460"/>
      <c r="B67" s="461" t="s">
        <v>93</v>
      </c>
      <c r="C67" s="462">
        <f>TempMWH!D7</f>
        <v>10.102054422708068</v>
      </c>
      <c r="D67" s="463"/>
      <c r="E67" s="464"/>
      <c r="F67" s="463"/>
      <c r="G67" s="464"/>
      <c r="H67" s="463"/>
      <c r="I67" s="464"/>
      <c r="J67" s="458"/>
      <c r="K67" s="460"/>
      <c r="L67" s="461" t="s">
        <v>93</v>
      </c>
      <c r="M67" s="483">
        <f>C83</f>
        <v>-59.215541334829609</v>
      </c>
      <c r="N67" s="463"/>
      <c r="O67" s="464"/>
      <c r="P67" s="463"/>
      <c r="Q67" s="464"/>
      <c r="R67" s="463"/>
      <c r="S67" s="464"/>
      <c r="T67" s="458"/>
      <c r="W67" s="463"/>
    </row>
    <row r="68" spans="1:23">
      <c r="A68" s="460">
        <f t="shared" ref="A68:A70" si="108">A22</f>
        <v>43586</v>
      </c>
      <c r="B68" s="461">
        <v>1</v>
      </c>
      <c r="C68" s="469">
        <f>ROUND(C71*J$58,3)</f>
        <v>11.545</v>
      </c>
      <c r="D68" s="463">
        <f>D22</f>
        <v>8.5037728199999996E-2</v>
      </c>
      <c r="E68" s="464">
        <f t="shared" ref="E68:I70" si="109">ROUND(D68*$C68*1000,2)</f>
        <v>981.76</v>
      </c>
      <c r="F68" s="463">
        <f>F22</f>
        <v>8.5037728199999996E-2</v>
      </c>
      <c r="G68" s="464">
        <f t="shared" ref="G68:G70" si="110">ROUND(F68*$C68*1000,2)</f>
        <v>981.76</v>
      </c>
      <c r="H68" s="463">
        <f>H22</f>
        <v>8.5037728199999996E-2</v>
      </c>
      <c r="I68" s="464">
        <f t="shared" si="109"/>
        <v>981.76</v>
      </c>
      <c r="J68" s="458"/>
      <c r="K68" s="460">
        <f>A84</f>
        <v>43709</v>
      </c>
      <c r="L68" s="466" t="s">
        <v>252</v>
      </c>
      <c r="M68" s="482">
        <f>ROUND(M70*$T$57,3)</f>
        <v>-7.1929999999999996</v>
      </c>
      <c r="N68" s="622">
        <v>4.3560000000000001E-2</v>
      </c>
      <c r="O68" s="464">
        <f t="shared" ref="O68:S69" si="111">ROUND(N68*$M68*1000,2)</f>
        <v>-313.33</v>
      </c>
      <c r="P68" s="622">
        <v>4.3560000000000001E-2</v>
      </c>
      <c r="Q68" s="464">
        <f t="shared" ref="Q68:Q69" si="112">ROUND(P68*$M68*1000,2)</f>
        <v>-313.33</v>
      </c>
      <c r="R68" s="622">
        <v>4.3560000000000001E-2</v>
      </c>
      <c r="S68" s="464">
        <f t="shared" si="111"/>
        <v>-313.33</v>
      </c>
      <c r="T68" s="458"/>
      <c r="W68" s="485">
        <v>4.2415000000000001E-2</v>
      </c>
    </row>
    <row r="69" spans="1:23">
      <c r="A69" s="460">
        <f t="shared" si="108"/>
        <v>43586</v>
      </c>
      <c r="B69" s="461">
        <v>2</v>
      </c>
      <c r="C69" s="469">
        <f>ROUND(C71*J$59,3)</f>
        <v>8.4359999999999999</v>
      </c>
      <c r="D69" s="463">
        <f t="shared" ref="D69:F70" si="113">D23</f>
        <v>0.1109157261</v>
      </c>
      <c r="E69" s="464">
        <f t="shared" si="109"/>
        <v>935.69</v>
      </c>
      <c r="F69" s="463">
        <f t="shared" si="113"/>
        <v>0.1109157261</v>
      </c>
      <c r="G69" s="464">
        <f t="shared" si="110"/>
        <v>935.69</v>
      </c>
      <c r="H69" s="463">
        <f t="shared" ref="H69" si="114">H23</f>
        <v>0.1109157261</v>
      </c>
      <c r="I69" s="464">
        <f t="shared" si="109"/>
        <v>935.69</v>
      </c>
      <c r="J69" s="458"/>
      <c r="K69" s="460">
        <f>K68</f>
        <v>43709</v>
      </c>
      <c r="L69" s="466" t="s">
        <v>253</v>
      </c>
      <c r="M69" s="482">
        <f>M70-M68</f>
        <v>-22.692485588379732</v>
      </c>
      <c r="N69" s="623">
        <v>-1.6334000000000001E-2</v>
      </c>
      <c r="O69" s="464">
        <f t="shared" si="111"/>
        <v>370.66</v>
      </c>
      <c r="P69" s="623">
        <v>-1.6334000000000001E-2</v>
      </c>
      <c r="Q69" s="464">
        <f t="shared" si="112"/>
        <v>370.66</v>
      </c>
      <c r="R69" s="623">
        <v>-1.6334000000000001E-2</v>
      </c>
      <c r="S69" s="464">
        <f t="shared" si="111"/>
        <v>370.66</v>
      </c>
      <c r="T69" s="458"/>
      <c r="W69" s="485">
        <v>-1.5904999999999999E-2</v>
      </c>
    </row>
    <row r="70" spans="1:23">
      <c r="A70" s="460">
        <f t="shared" si="108"/>
        <v>43586</v>
      </c>
      <c r="B70" s="461">
        <v>3</v>
      </c>
      <c r="C70" s="469">
        <f>C71-C68-C69</f>
        <v>3.5163636880247484</v>
      </c>
      <c r="D70" s="463">
        <f t="shared" si="113"/>
        <v>0.1388577372</v>
      </c>
      <c r="E70" s="464">
        <f t="shared" si="109"/>
        <v>488.27</v>
      </c>
      <c r="F70" s="463">
        <f t="shared" si="113"/>
        <v>0.1388577372</v>
      </c>
      <c r="G70" s="464">
        <f t="shared" si="110"/>
        <v>488.27</v>
      </c>
      <c r="H70" s="463">
        <f t="shared" ref="H70" si="115">H24</f>
        <v>0.1388577372</v>
      </c>
      <c r="I70" s="464">
        <f t="shared" si="109"/>
        <v>488.27</v>
      </c>
      <c r="J70" s="458"/>
      <c r="K70" s="474"/>
      <c r="L70" s="475" t="s">
        <v>93</v>
      </c>
      <c r="M70" s="484">
        <f>C87</f>
        <v>-29.885485588379733</v>
      </c>
      <c r="N70" s="477"/>
      <c r="O70" s="478"/>
      <c r="P70" s="477"/>
      <c r="Q70" s="478"/>
      <c r="R70" s="477"/>
      <c r="S70" s="478"/>
      <c r="T70" s="458"/>
    </row>
    <row r="71" spans="1:23">
      <c r="A71" s="460"/>
      <c r="B71" s="461" t="s">
        <v>93</v>
      </c>
      <c r="C71" s="462">
        <f>TempMWH!D8</f>
        <v>23.497363688024748</v>
      </c>
      <c r="D71" s="470"/>
      <c r="E71" s="464"/>
      <c r="F71" s="470"/>
      <c r="G71" s="464"/>
      <c r="H71" s="470"/>
      <c r="I71" s="464"/>
      <c r="K71" s="449" t="s">
        <v>93</v>
      </c>
      <c r="L71" s="466" t="s">
        <v>252</v>
      </c>
      <c r="M71" s="479">
        <f>M56+M59+M62+M65+M68</f>
        <v>-13.265000000000001</v>
      </c>
      <c r="N71" s="463"/>
      <c r="O71" s="468">
        <f>O56+O59+O62+O65+O68</f>
        <v>-577.83000000000015</v>
      </c>
      <c r="P71" s="463"/>
      <c r="Q71" s="468">
        <f>Q56+Q59+Q62+Q65+Q68</f>
        <v>-577.83000000000015</v>
      </c>
      <c r="R71" s="463"/>
      <c r="S71" s="468">
        <f>S56+S59+S62+S65+S68</f>
        <v>-577.83000000000015</v>
      </c>
      <c r="T71" s="458"/>
    </row>
    <row r="72" spans="1:23">
      <c r="A72" s="460">
        <f t="shared" ref="A72:A74" si="116">A26</f>
        <v>43617</v>
      </c>
      <c r="B72" s="461">
        <v>1</v>
      </c>
      <c r="C72" s="469">
        <f>ROUND(C75*J$58,3)</f>
        <v>16.481999999999999</v>
      </c>
      <c r="D72" s="463">
        <f t="shared" ref="D72:F74" si="117">D26</f>
        <v>8.5037728199999996E-2</v>
      </c>
      <c r="E72" s="464">
        <f t="shared" ref="E72:I74" si="118">ROUND(D72*$C72*1000,2)</f>
        <v>1401.59</v>
      </c>
      <c r="F72" s="463">
        <f t="shared" si="117"/>
        <v>8.5037728199999996E-2</v>
      </c>
      <c r="G72" s="464">
        <f t="shared" ref="G72:G74" si="119">ROUND(F72*$C72*1000,2)</f>
        <v>1401.59</v>
      </c>
      <c r="H72" s="463">
        <f t="shared" ref="H72" si="120">H26</f>
        <v>8.5037728199999996E-2</v>
      </c>
      <c r="I72" s="464">
        <f t="shared" si="118"/>
        <v>1401.59</v>
      </c>
      <c r="J72" s="458"/>
      <c r="K72" s="449"/>
      <c r="L72" s="466" t="s">
        <v>253</v>
      </c>
      <c r="M72" s="479">
        <f>M57+M60+M63+M66+M69</f>
        <v>-41.845217512726421</v>
      </c>
      <c r="N72" s="463"/>
      <c r="O72" s="468">
        <f>O57+O60+O63+O66+O69</f>
        <v>683.49</v>
      </c>
      <c r="P72" s="463"/>
      <c r="Q72" s="468">
        <f>Q57+Q60+Q63+Q66+Q69</f>
        <v>683.49</v>
      </c>
      <c r="R72" s="463"/>
      <c r="S72" s="468">
        <f>S57+S60+S63+S66+S69</f>
        <v>683.49</v>
      </c>
      <c r="T72" s="458"/>
    </row>
    <row r="73" spans="1:23">
      <c r="A73" s="460">
        <f t="shared" si="116"/>
        <v>43617</v>
      </c>
      <c r="B73" s="461">
        <v>2</v>
      </c>
      <c r="C73" s="469">
        <f>ROUND(C75*J$59,3)</f>
        <v>12.044</v>
      </c>
      <c r="D73" s="463">
        <f t="shared" si="117"/>
        <v>0.1109157261</v>
      </c>
      <c r="E73" s="464">
        <f t="shared" si="118"/>
        <v>1335.87</v>
      </c>
      <c r="F73" s="463">
        <f t="shared" si="117"/>
        <v>0.1109157261</v>
      </c>
      <c r="G73" s="464">
        <f t="shared" si="119"/>
        <v>1335.87</v>
      </c>
      <c r="H73" s="463">
        <f t="shared" ref="H73" si="121">H27</f>
        <v>0.1109157261</v>
      </c>
      <c r="I73" s="464">
        <f t="shared" si="118"/>
        <v>1335.87</v>
      </c>
      <c r="J73" s="458"/>
    </row>
    <row r="74" spans="1:23">
      <c r="A74" s="460">
        <f t="shared" si="116"/>
        <v>43617</v>
      </c>
      <c r="B74" s="461">
        <v>3</v>
      </c>
      <c r="C74" s="469">
        <f>C75-C72-C73</f>
        <v>5.0213262346281873</v>
      </c>
      <c r="D74" s="463">
        <f t="shared" si="117"/>
        <v>0.1388577372</v>
      </c>
      <c r="E74" s="464">
        <f t="shared" si="118"/>
        <v>697.25</v>
      </c>
      <c r="F74" s="463">
        <f t="shared" si="117"/>
        <v>0.1388577372</v>
      </c>
      <c r="G74" s="464">
        <f t="shared" si="119"/>
        <v>697.25</v>
      </c>
      <c r="H74" s="463">
        <f t="shared" ref="H74" si="122">H28</f>
        <v>0.1388577372</v>
      </c>
      <c r="I74" s="464">
        <f t="shared" si="118"/>
        <v>697.25</v>
      </c>
    </row>
    <row r="75" spans="1:23">
      <c r="A75" s="460"/>
      <c r="B75" s="461" t="s">
        <v>93</v>
      </c>
      <c r="C75" s="462">
        <f>TempMWH!D9</f>
        <v>33.547326234628187</v>
      </c>
      <c r="D75" s="463"/>
      <c r="E75" s="464"/>
      <c r="F75" s="463"/>
      <c r="G75" s="464"/>
      <c r="H75" s="463"/>
      <c r="I75" s="464"/>
      <c r="U75" s="468"/>
    </row>
    <row r="76" spans="1:23">
      <c r="A76" s="460">
        <f t="shared" ref="A76:A78" si="123">A30</f>
        <v>43647</v>
      </c>
      <c r="B76" s="461">
        <v>1</v>
      </c>
      <c r="C76" s="469">
        <f>ROUND(C79*J$58,3)</f>
        <v>-11.327</v>
      </c>
      <c r="D76" s="463">
        <f t="shared" ref="D76:F78" si="124">D30</f>
        <v>8.5037728199999996E-2</v>
      </c>
      <c r="E76" s="464">
        <f t="shared" ref="E76:I78" si="125">ROUND(D76*$C76*1000,2)</f>
        <v>-963.22</v>
      </c>
      <c r="F76" s="463">
        <f t="shared" si="124"/>
        <v>8.5037728199999996E-2</v>
      </c>
      <c r="G76" s="464">
        <f t="shared" ref="G76:G78" si="126">ROUND(F76*$C76*1000,2)</f>
        <v>-963.22</v>
      </c>
      <c r="H76" s="463">
        <f t="shared" ref="H76" si="127">H30</f>
        <v>8.5037728199999996E-2</v>
      </c>
      <c r="I76" s="464">
        <f t="shared" si="125"/>
        <v>-963.22</v>
      </c>
      <c r="U76" s="468"/>
    </row>
    <row r="77" spans="1:23">
      <c r="A77" s="460">
        <f t="shared" si="123"/>
        <v>43647</v>
      </c>
      <c r="B77" s="461">
        <v>2</v>
      </c>
      <c r="C77" s="469">
        <f>ROUND(C79*J$59,3)</f>
        <v>-8.2769999999999992</v>
      </c>
      <c r="D77" s="463">
        <f t="shared" si="124"/>
        <v>0.1109157261</v>
      </c>
      <c r="E77" s="464">
        <f t="shared" si="125"/>
        <v>-918.05</v>
      </c>
      <c r="F77" s="463">
        <f t="shared" si="124"/>
        <v>0.1109157261</v>
      </c>
      <c r="G77" s="464">
        <f t="shared" si="126"/>
        <v>-918.05</v>
      </c>
      <c r="H77" s="463">
        <f t="shared" ref="H77" si="128">H31</f>
        <v>0.1109157261</v>
      </c>
      <c r="I77" s="464">
        <f t="shared" si="125"/>
        <v>-918.05</v>
      </c>
      <c r="J77" s="458"/>
    </row>
    <row r="78" spans="1:23">
      <c r="A78" s="460">
        <f t="shared" si="123"/>
        <v>43647</v>
      </c>
      <c r="B78" s="461">
        <v>3</v>
      </c>
      <c r="C78" s="469">
        <f>C79-C76-C77</f>
        <v>-3.4498805121700151</v>
      </c>
      <c r="D78" s="463">
        <f t="shared" si="124"/>
        <v>0.1388577372</v>
      </c>
      <c r="E78" s="464">
        <f t="shared" si="125"/>
        <v>-479.04</v>
      </c>
      <c r="F78" s="463">
        <f t="shared" si="124"/>
        <v>0.1388577372</v>
      </c>
      <c r="G78" s="464">
        <f t="shared" si="126"/>
        <v>-479.04</v>
      </c>
      <c r="H78" s="463">
        <f t="shared" ref="H78" si="129">H32</f>
        <v>0.1388577372</v>
      </c>
      <c r="I78" s="464">
        <f t="shared" si="125"/>
        <v>-479.04</v>
      </c>
      <c r="J78" s="458"/>
    </row>
    <row r="79" spans="1:23">
      <c r="A79" s="460"/>
      <c r="B79" s="461" t="s">
        <v>93</v>
      </c>
      <c r="C79" s="462">
        <f>TempMWH!D10</f>
        <v>-23.053880512170014</v>
      </c>
      <c r="D79" s="463"/>
      <c r="E79" s="464"/>
      <c r="F79" s="463"/>
      <c r="G79" s="464"/>
      <c r="H79" s="463"/>
      <c r="I79" s="464"/>
      <c r="J79" s="458"/>
      <c r="U79" s="449"/>
    </row>
    <row r="80" spans="1:23">
      <c r="A80" s="460">
        <f t="shared" ref="A80:A82" si="130">A34</f>
        <v>43678</v>
      </c>
      <c r="B80" s="461">
        <v>1</v>
      </c>
      <c r="C80" s="469">
        <f>ROUND(C83*J$58,3)</f>
        <v>-29.094000000000001</v>
      </c>
      <c r="D80" s="463">
        <f t="shared" ref="D80:F82" si="131">D34</f>
        <v>8.5037728199999996E-2</v>
      </c>
      <c r="E80" s="464">
        <f t="shared" ref="E80:I82" si="132">ROUND(D80*$C80*1000,2)</f>
        <v>-2474.09</v>
      </c>
      <c r="F80" s="463">
        <f t="shared" si="131"/>
        <v>8.5037728199999996E-2</v>
      </c>
      <c r="G80" s="464">
        <f t="shared" ref="G80:G82" si="133">ROUND(F80*$C80*1000,2)</f>
        <v>-2474.09</v>
      </c>
      <c r="H80" s="463">
        <f t="shared" ref="H80" si="134">H34</f>
        <v>8.5037728199999996E-2</v>
      </c>
      <c r="I80" s="464">
        <f t="shared" si="132"/>
        <v>-2474.09</v>
      </c>
      <c r="J80" s="458"/>
    </row>
    <row r="81" spans="1:21">
      <c r="A81" s="460">
        <f t="shared" si="130"/>
        <v>43678</v>
      </c>
      <c r="B81" s="461">
        <v>2</v>
      </c>
      <c r="C81" s="469">
        <f>ROUND(C83*J$59,3)</f>
        <v>-21.26</v>
      </c>
      <c r="D81" s="463">
        <f t="shared" si="131"/>
        <v>0.1109157261</v>
      </c>
      <c r="E81" s="464">
        <f t="shared" si="132"/>
        <v>-2358.0700000000002</v>
      </c>
      <c r="F81" s="463">
        <f t="shared" si="131"/>
        <v>0.1109157261</v>
      </c>
      <c r="G81" s="464">
        <f t="shared" si="133"/>
        <v>-2358.0700000000002</v>
      </c>
      <c r="H81" s="463">
        <f t="shared" ref="H81" si="135">H35</f>
        <v>0.1109157261</v>
      </c>
      <c r="I81" s="464">
        <f t="shared" si="132"/>
        <v>-2358.0700000000002</v>
      </c>
      <c r="J81" s="458"/>
      <c r="U81" s="449"/>
    </row>
    <row r="82" spans="1:21">
      <c r="A82" s="460">
        <f t="shared" si="130"/>
        <v>43678</v>
      </c>
      <c r="B82" s="461">
        <v>3</v>
      </c>
      <c r="C82" s="469">
        <f>C83-C80-C81</f>
        <v>-8.8615413348296066</v>
      </c>
      <c r="D82" s="463">
        <f t="shared" si="131"/>
        <v>0.1388577372</v>
      </c>
      <c r="E82" s="464">
        <f t="shared" si="132"/>
        <v>-1230.49</v>
      </c>
      <c r="F82" s="463">
        <f t="shared" si="131"/>
        <v>0.1388577372</v>
      </c>
      <c r="G82" s="464">
        <f t="shared" si="133"/>
        <v>-1230.49</v>
      </c>
      <c r="H82" s="463">
        <f t="shared" ref="H82" si="136">H36</f>
        <v>0.1388577372</v>
      </c>
      <c r="I82" s="464">
        <f t="shared" si="132"/>
        <v>-1230.49</v>
      </c>
      <c r="J82" s="458"/>
      <c r="U82" s="449"/>
    </row>
    <row r="83" spans="1:21">
      <c r="A83" s="460"/>
      <c r="B83" s="461" t="s">
        <v>93</v>
      </c>
      <c r="C83" s="462">
        <f>TempMWH!D11</f>
        <v>-59.215541334829609</v>
      </c>
      <c r="D83" s="470"/>
      <c r="E83" s="464"/>
      <c r="F83" s="470"/>
      <c r="G83" s="464"/>
      <c r="H83" s="470"/>
      <c r="I83" s="464"/>
      <c r="J83" s="458"/>
    </row>
    <row r="84" spans="1:21">
      <c r="A84" s="460">
        <f t="shared" ref="A84:A86" si="137">A38</f>
        <v>43709</v>
      </c>
      <c r="B84" s="461">
        <v>1</v>
      </c>
      <c r="C84" s="469">
        <f>ROUND(C87*J$58,3)</f>
        <v>-14.683</v>
      </c>
      <c r="D84" s="463">
        <f t="shared" ref="D84:F86" si="138">D38</f>
        <v>8.5037728199999996E-2</v>
      </c>
      <c r="E84" s="464">
        <f t="shared" ref="E84:I86" si="139">ROUND(D84*$C84*1000,2)</f>
        <v>-1248.6099999999999</v>
      </c>
      <c r="F84" s="463">
        <f t="shared" si="138"/>
        <v>8.5037728199999996E-2</v>
      </c>
      <c r="G84" s="464">
        <f t="shared" ref="G84:G86" si="140">ROUND(F84*$C84*1000,2)</f>
        <v>-1248.6099999999999</v>
      </c>
      <c r="H84" s="463">
        <f t="shared" ref="H84" si="141">H38</f>
        <v>8.5037728199999996E-2</v>
      </c>
      <c r="I84" s="464">
        <f t="shared" si="139"/>
        <v>-1248.6099999999999</v>
      </c>
      <c r="J84" s="458"/>
    </row>
    <row r="85" spans="1:21">
      <c r="A85" s="460">
        <f t="shared" si="137"/>
        <v>43709</v>
      </c>
      <c r="B85" s="461">
        <v>2</v>
      </c>
      <c r="C85" s="469">
        <f>ROUND(C87*J$59,3)</f>
        <v>-10.73</v>
      </c>
      <c r="D85" s="463">
        <f t="shared" si="138"/>
        <v>0.1109157261</v>
      </c>
      <c r="E85" s="464">
        <f t="shared" si="139"/>
        <v>-1190.1300000000001</v>
      </c>
      <c r="F85" s="463">
        <f t="shared" si="138"/>
        <v>0.1109157261</v>
      </c>
      <c r="G85" s="464">
        <f t="shared" si="140"/>
        <v>-1190.1300000000001</v>
      </c>
      <c r="H85" s="463">
        <f t="shared" ref="H85" si="142">H39</f>
        <v>0.1109157261</v>
      </c>
      <c r="I85" s="464">
        <f t="shared" si="139"/>
        <v>-1190.1300000000001</v>
      </c>
      <c r="J85" s="458"/>
    </row>
    <row r="86" spans="1:21">
      <c r="A86" s="460">
        <f t="shared" si="137"/>
        <v>43709</v>
      </c>
      <c r="B86" s="461">
        <v>3</v>
      </c>
      <c r="C86" s="469">
        <f>C87-C84-C85</f>
        <v>-4.4724855883797332</v>
      </c>
      <c r="D86" s="463">
        <f t="shared" si="138"/>
        <v>0.1388577372</v>
      </c>
      <c r="E86" s="464">
        <f t="shared" si="139"/>
        <v>-621.04</v>
      </c>
      <c r="F86" s="463">
        <f t="shared" si="138"/>
        <v>0.1388577372</v>
      </c>
      <c r="G86" s="464">
        <f t="shared" si="140"/>
        <v>-621.04</v>
      </c>
      <c r="H86" s="463">
        <f t="shared" ref="H86" si="143">H40</f>
        <v>0.1388577372</v>
      </c>
      <c r="I86" s="464">
        <f t="shared" si="139"/>
        <v>-621.04</v>
      </c>
      <c r="J86" s="458"/>
    </row>
    <row r="87" spans="1:21">
      <c r="A87" s="460"/>
      <c r="B87" s="461" t="s">
        <v>93</v>
      </c>
      <c r="C87" s="462">
        <f>TempMWH!D12</f>
        <v>-29.885485588379733</v>
      </c>
      <c r="D87" s="470"/>
      <c r="E87" s="464"/>
      <c r="F87" s="470"/>
      <c r="G87" s="464"/>
      <c r="H87" s="470"/>
      <c r="I87" s="464"/>
    </row>
    <row r="88" spans="1:21">
      <c r="A88" s="460">
        <f t="shared" ref="A88:A89" si="144">A42</f>
        <v>43739</v>
      </c>
      <c r="B88" s="461">
        <v>1</v>
      </c>
      <c r="C88" s="469">
        <f>ROUND(C90*J$62,3)</f>
        <v>-14.247999999999999</v>
      </c>
      <c r="D88" s="463">
        <f t="shared" ref="D88:F89" si="145">D42</f>
        <v>8.5037728199999996E-2</v>
      </c>
      <c r="E88" s="464">
        <f t="shared" ref="E88:I89" si="146">ROUND(D88*$C88*1000,2)</f>
        <v>-1211.6199999999999</v>
      </c>
      <c r="F88" s="463">
        <f t="shared" si="145"/>
        <v>8.5037728199999996E-2</v>
      </c>
      <c r="G88" s="464">
        <f t="shared" ref="G88:G89" si="147">ROUND(F88*$C88*1000,2)</f>
        <v>-1211.6199999999999</v>
      </c>
      <c r="H88" s="463">
        <f t="shared" ref="H88" si="148">H42</f>
        <v>8.5037728199999996E-2</v>
      </c>
      <c r="I88" s="464">
        <f t="shared" si="146"/>
        <v>-1211.6199999999999</v>
      </c>
    </row>
    <row r="89" spans="1:21">
      <c r="A89" s="460">
        <f t="shared" si="144"/>
        <v>43739</v>
      </c>
      <c r="B89" s="461">
        <v>2</v>
      </c>
      <c r="C89" s="469">
        <f>C90-C88</f>
        <v>-11.908647842730742</v>
      </c>
      <c r="D89" s="463">
        <f t="shared" si="145"/>
        <v>0.1028854848</v>
      </c>
      <c r="E89" s="464">
        <f t="shared" si="146"/>
        <v>-1225.23</v>
      </c>
      <c r="F89" s="463">
        <f t="shared" si="145"/>
        <v>0.1028854848</v>
      </c>
      <c r="G89" s="464">
        <f t="shared" si="147"/>
        <v>-1225.23</v>
      </c>
      <c r="H89" s="463">
        <f t="shared" ref="H89" si="149">H43</f>
        <v>0.1028854848</v>
      </c>
      <c r="I89" s="464">
        <f t="shared" si="146"/>
        <v>-1225.23</v>
      </c>
    </row>
    <row r="90" spans="1:21">
      <c r="A90" s="460"/>
      <c r="B90" s="461" t="s">
        <v>93</v>
      </c>
      <c r="C90" s="462">
        <f>TempMWH!D13</f>
        <v>-26.156647842730742</v>
      </c>
      <c r="D90" s="463"/>
      <c r="E90" s="464"/>
      <c r="F90" s="463"/>
      <c r="G90" s="464"/>
      <c r="H90" s="463"/>
      <c r="I90" s="464"/>
    </row>
    <row r="91" spans="1:21">
      <c r="A91" s="460">
        <f t="shared" ref="A91:A92" si="150">A45</f>
        <v>43770</v>
      </c>
      <c r="B91" s="461">
        <v>1</v>
      </c>
      <c r="C91" s="469">
        <f>ROUND(C93*J$62,3)</f>
        <v>1.5</v>
      </c>
      <c r="D91" s="463">
        <f t="shared" ref="D91:F92" si="151">D45</f>
        <v>8.5037728199999996E-2</v>
      </c>
      <c r="E91" s="464">
        <f t="shared" ref="E91:I92" si="152">ROUND(D91*$C91*1000,2)</f>
        <v>127.56</v>
      </c>
      <c r="F91" s="463">
        <f t="shared" si="151"/>
        <v>8.5037728199999996E-2</v>
      </c>
      <c r="G91" s="464">
        <f t="shared" ref="G91:G92" si="153">ROUND(F91*$C91*1000,2)</f>
        <v>127.56</v>
      </c>
      <c r="H91" s="463">
        <f t="shared" ref="H91" si="154">H45</f>
        <v>8.5037728199999996E-2</v>
      </c>
      <c r="I91" s="464">
        <f t="shared" si="152"/>
        <v>127.56</v>
      </c>
      <c r="U91" s="449"/>
    </row>
    <row r="92" spans="1:21">
      <c r="A92" s="460">
        <f t="shared" si="150"/>
        <v>43770</v>
      </c>
      <c r="B92" s="461">
        <v>2</v>
      </c>
      <c r="C92" s="469">
        <f>C93-C91</f>
        <v>1.2538950203927892</v>
      </c>
      <c r="D92" s="463">
        <f t="shared" si="151"/>
        <v>0.1028854848</v>
      </c>
      <c r="E92" s="464">
        <f t="shared" si="152"/>
        <v>129.01</v>
      </c>
      <c r="F92" s="463">
        <f t="shared" si="151"/>
        <v>0.1028854848</v>
      </c>
      <c r="G92" s="464">
        <f t="shared" si="153"/>
        <v>129.01</v>
      </c>
      <c r="H92" s="463">
        <f t="shared" ref="H92" si="155">H46</f>
        <v>0.1028854848</v>
      </c>
      <c r="I92" s="464">
        <f t="shared" si="152"/>
        <v>129.01</v>
      </c>
      <c r="J92" s="458"/>
      <c r="U92" s="448"/>
    </row>
    <row r="93" spans="1:21">
      <c r="A93" s="460"/>
      <c r="B93" s="461" t="s">
        <v>93</v>
      </c>
      <c r="C93" s="462">
        <f>TempMWH!D14</f>
        <v>2.7538950203927892</v>
      </c>
      <c r="D93" s="463"/>
      <c r="E93" s="464"/>
      <c r="F93" s="463"/>
      <c r="G93" s="464"/>
      <c r="H93" s="463"/>
      <c r="I93" s="464"/>
      <c r="J93" s="458"/>
      <c r="U93" s="449"/>
    </row>
    <row r="94" spans="1:21">
      <c r="A94" s="460">
        <f t="shared" ref="A94:A95" si="156">A48</f>
        <v>43800</v>
      </c>
      <c r="B94" s="461">
        <v>1</v>
      </c>
      <c r="C94" s="469">
        <f>ROUND(C96*J$62,3)</f>
        <v>12.465999999999999</v>
      </c>
      <c r="D94" s="463">
        <f t="shared" ref="D94:F95" si="157">D48</f>
        <v>8.5037728199999996E-2</v>
      </c>
      <c r="E94" s="464">
        <f t="shared" ref="E94:I95" si="158">ROUND(D94*$C94*1000,2)</f>
        <v>1060.08</v>
      </c>
      <c r="F94" s="463">
        <f t="shared" si="157"/>
        <v>8.5037728199999996E-2</v>
      </c>
      <c r="G94" s="464">
        <f t="shared" ref="G94:G95" si="159">ROUND(F94*$C94*1000,2)</f>
        <v>1060.08</v>
      </c>
      <c r="H94" s="463">
        <f t="shared" ref="H94" si="160">H48</f>
        <v>8.5037728199999996E-2</v>
      </c>
      <c r="I94" s="464">
        <f t="shared" si="158"/>
        <v>1060.08</v>
      </c>
      <c r="J94" s="458"/>
      <c r="U94" s="449"/>
    </row>
    <row r="95" spans="1:21">
      <c r="A95" s="460">
        <f t="shared" si="156"/>
        <v>43800</v>
      </c>
      <c r="B95" s="461">
        <v>2</v>
      </c>
      <c r="C95" s="469">
        <f>C96-C94</f>
        <v>10.418559601918792</v>
      </c>
      <c r="D95" s="463">
        <f t="shared" si="157"/>
        <v>0.1028854848</v>
      </c>
      <c r="E95" s="464">
        <f t="shared" si="158"/>
        <v>1071.92</v>
      </c>
      <c r="F95" s="463">
        <f t="shared" si="157"/>
        <v>0.1028854848</v>
      </c>
      <c r="G95" s="464">
        <f t="shared" si="159"/>
        <v>1071.92</v>
      </c>
      <c r="H95" s="463">
        <f t="shared" ref="H95" si="161">H49</f>
        <v>0.1028854848</v>
      </c>
      <c r="I95" s="464">
        <f t="shared" si="158"/>
        <v>1071.92</v>
      </c>
      <c r="J95" s="458"/>
      <c r="U95" s="449"/>
    </row>
    <row r="96" spans="1:21">
      <c r="A96" s="474"/>
      <c r="B96" s="475" t="s">
        <v>93</v>
      </c>
      <c r="C96" s="476">
        <f>TempMWH!D15</f>
        <v>22.884559601918792</v>
      </c>
      <c r="D96" s="477"/>
      <c r="E96" s="478"/>
      <c r="F96" s="477"/>
      <c r="G96" s="478"/>
      <c r="H96" s="477"/>
      <c r="I96" s="478"/>
      <c r="J96" s="458"/>
      <c r="U96" s="449"/>
    </row>
    <row r="97" spans="1:30">
      <c r="A97" s="449" t="s">
        <v>93</v>
      </c>
      <c r="B97" s="454"/>
      <c r="C97" s="479">
        <f>SUM(C58,C61,C64,C67,C71,C75,C79,C83,C87,C90,C93,C96)</f>
        <v>-51.581996362649605</v>
      </c>
      <c r="D97" s="463"/>
      <c r="E97" s="468">
        <f>SUM(E56:E96)</f>
        <v>-5313.63</v>
      </c>
      <c r="F97" s="463"/>
      <c r="G97" s="468">
        <f>SUM(G56:G96)</f>
        <v>-5313.63</v>
      </c>
      <c r="H97" s="463"/>
      <c r="I97" s="468">
        <f>SUM(I56:I96)</f>
        <v>-5313.63</v>
      </c>
      <c r="J97" s="458"/>
      <c r="U97" s="449"/>
    </row>
    <row r="98" spans="1:30">
      <c r="A98" s="449"/>
      <c r="B98" s="454"/>
      <c r="C98" s="449"/>
      <c r="D98" s="455"/>
      <c r="E98" s="455"/>
      <c r="F98" s="455"/>
      <c r="G98" s="455"/>
      <c r="H98" s="455"/>
      <c r="I98" s="455"/>
      <c r="J98" s="458"/>
      <c r="U98" s="449"/>
    </row>
    <row r="99" spans="1:30">
      <c r="A99" s="451" t="s">
        <v>793</v>
      </c>
      <c r="B99" s="448"/>
      <c r="C99" s="448"/>
      <c r="D99" s="448"/>
      <c r="E99" s="448"/>
      <c r="F99" s="448"/>
      <c r="G99" s="448"/>
      <c r="H99" s="448"/>
      <c r="I99" s="448"/>
      <c r="K99" s="451" t="s">
        <v>794</v>
      </c>
      <c r="L99" s="448"/>
      <c r="M99" s="448"/>
      <c r="N99" s="448"/>
      <c r="O99" s="448"/>
      <c r="P99" s="448"/>
      <c r="Q99" s="448"/>
      <c r="R99" s="448"/>
      <c r="S99" s="448"/>
      <c r="T99" s="579"/>
      <c r="U99" s="821"/>
      <c r="V99" s="822"/>
      <c r="W99" s="822"/>
      <c r="X99" s="822"/>
      <c r="Y99" s="822"/>
      <c r="Z99" s="822"/>
      <c r="AA99" s="822"/>
      <c r="AB99" s="822"/>
      <c r="AC99" s="822"/>
      <c r="AD99" s="823"/>
    </row>
    <row r="100" spans="1:30">
      <c r="A100" s="449"/>
      <c r="B100" s="449"/>
      <c r="C100" s="449"/>
      <c r="D100" s="455" t="s">
        <v>425</v>
      </c>
      <c r="E100" s="455" t="s">
        <v>425</v>
      </c>
      <c r="F100" s="455" t="s">
        <v>494</v>
      </c>
      <c r="G100" s="455" t="s">
        <v>494</v>
      </c>
      <c r="H100" s="455" t="s">
        <v>216</v>
      </c>
      <c r="I100" s="455" t="s">
        <v>216</v>
      </c>
      <c r="K100" s="449"/>
      <c r="L100" s="449"/>
      <c r="M100" s="449"/>
      <c r="N100" s="455" t="s">
        <v>425</v>
      </c>
      <c r="O100" s="455" t="s">
        <v>425</v>
      </c>
      <c r="P100" s="455" t="s">
        <v>494</v>
      </c>
      <c r="Q100" s="455" t="s">
        <v>494</v>
      </c>
      <c r="R100" s="455" t="s">
        <v>216</v>
      </c>
      <c r="S100" s="455" t="s">
        <v>216</v>
      </c>
      <c r="T100" s="579"/>
      <c r="U100" s="473"/>
      <c r="V100" s="473"/>
      <c r="W100" s="473"/>
      <c r="X100" s="824"/>
      <c r="Y100" s="824"/>
      <c r="Z100" s="824"/>
      <c r="AA100" s="824"/>
      <c r="AB100" s="824"/>
      <c r="AC100" s="824"/>
      <c r="AD100" s="823"/>
    </row>
    <row r="101" spans="1:30">
      <c r="A101" s="456" t="s">
        <v>110</v>
      </c>
      <c r="B101" s="456"/>
      <c r="C101" s="456" t="s">
        <v>109</v>
      </c>
      <c r="D101" s="456" t="s">
        <v>99</v>
      </c>
      <c r="E101" s="456" t="s">
        <v>496</v>
      </c>
      <c r="F101" s="456" t="s">
        <v>99</v>
      </c>
      <c r="G101" s="456" t="s">
        <v>496</v>
      </c>
      <c r="H101" s="456" t="s">
        <v>99</v>
      </c>
      <c r="I101" s="456" t="s">
        <v>496</v>
      </c>
      <c r="J101" s="458"/>
      <c r="K101" s="456" t="s">
        <v>110</v>
      </c>
      <c r="L101" s="456"/>
      <c r="M101" s="456" t="s">
        <v>109</v>
      </c>
      <c r="N101" s="456" t="s">
        <v>99</v>
      </c>
      <c r="O101" s="456" t="s">
        <v>496</v>
      </c>
      <c r="P101" s="456" t="s">
        <v>99</v>
      </c>
      <c r="Q101" s="456" t="s">
        <v>496</v>
      </c>
      <c r="R101" s="456" t="s">
        <v>99</v>
      </c>
      <c r="S101" s="456" t="s">
        <v>496</v>
      </c>
      <c r="T101" s="458"/>
      <c r="U101" s="824"/>
      <c r="V101" s="824"/>
      <c r="W101" s="824"/>
      <c r="X101" s="824"/>
      <c r="Y101" s="824"/>
      <c r="Z101" s="824"/>
      <c r="AA101" s="824"/>
      <c r="AB101" s="824"/>
      <c r="AC101" s="824"/>
      <c r="AD101" s="825"/>
    </row>
    <row r="102" spans="1:30">
      <c r="A102" s="618">
        <v>43466</v>
      </c>
      <c r="B102" s="466"/>
      <c r="C102" s="487">
        <f>TempMWH!F4</f>
        <v>140.85189258629885</v>
      </c>
      <c r="D102" s="624">
        <f>0.035143*(1+$Y$12)</f>
        <v>3.38743377E-2</v>
      </c>
      <c r="E102" s="468">
        <f>ROUND(D102*$C102*1000,2)</f>
        <v>4771.26</v>
      </c>
      <c r="F102" s="624">
        <f>D102</f>
        <v>3.38743377E-2</v>
      </c>
      <c r="G102" s="468">
        <f>ROUND(F102*$C102*1000,2)</f>
        <v>4771.26</v>
      </c>
      <c r="H102" s="624">
        <f>F102</f>
        <v>3.38743377E-2</v>
      </c>
      <c r="I102" s="468">
        <f>ROUND(H102*$C102*1000,2)</f>
        <v>4771.26</v>
      </c>
      <c r="K102" s="460">
        <f>A102</f>
        <v>43466</v>
      </c>
      <c r="L102" s="466"/>
      <c r="M102" s="487">
        <f>TempMWH!H4</f>
        <v>1084.8678201303978</v>
      </c>
      <c r="N102" s="552">
        <f>D102</f>
        <v>3.38743377E-2</v>
      </c>
      <c r="O102" s="468">
        <f t="shared" ref="O102:O113" si="162">ROUND(N102*$M102*1000,2)</f>
        <v>36749.18</v>
      </c>
      <c r="P102" s="552">
        <f>F102</f>
        <v>3.38743377E-2</v>
      </c>
      <c r="Q102" s="468">
        <f t="shared" ref="Q102:Q113" si="163">ROUND(P102*$M102*1000,2)</f>
        <v>36749.18</v>
      </c>
      <c r="R102" s="552">
        <f>H102</f>
        <v>3.38743377E-2</v>
      </c>
      <c r="S102" s="468">
        <f t="shared" ref="S102:S113" si="164">ROUND(R102*$M102*1000,2)</f>
        <v>36749.18</v>
      </c>
      <c r="T102" s="579"/>
      <c r="U102" s="460"/>
      <c r="V102" s="460"/>
      <c r="W102" s="462"/>
      <c r="X102" s="463"/>
      <c r="Y102" s="464"/>
      <c r="Z102" s="463"/>
      <c r="AA102" s="464"/>
      <c r="AB102" s="463"/>
      <c r="AC102" s="464"/>
      <c r="AD102" s="823"/>
    </row>
    <row r="103" spans="1:30">
      <c r="A103" s="618">
        <v>43497</v>
      </c>
      <c r="B103" s="466"/>
      <c r="C103" s="487">
        <f>TempMWH!F5</f>
        <v>-80.356468947801531</v>
      </c>
      <c r="D103" s="624">
        <f t="shared" ref="D103:D104" si="165">0.035143*(1+$Y$12)</f>
        <v>3.38743377E-2</v>
      </c>
      <c r="E103" s="468">
        <f t="shared" ref="E103:I113" si="166">ROUND(D103*$C103*1000,2)</f>
        <v>-2722.02</v>
      </c>
      <c r="F103" s="624">
        <f t="shared" ref="F103:F107" si="167">D103</f>
        <v>3.38743377E-2</v>
      </c>
      <c r="G103" s="468">
        <f t="shared" ref="G103:G113" si="168">ROUND(F103*$C103*1000,2)</f>
        <v>-2722.02</v>
      </c>
      <c r="H103" s="624">
        <f t="shared" ref="H103:H113" si="169">F103</f>
        <v>3.38743377E-2</v>
      </c>
      <c r="I103" s="468">
        <f t="shared" si="166"/>
        <v>-2722.02</v>
      </c>
      <c r="K103" s="460">
        <f t="shared" ref="K103:K113" si="170">A103</f>
        <v>43497</v>
      </c>
      <c r="L103" s="466"/>
      <c r="M103" s="487">
        <f>TempMWH!H5</f>
        <v>-582.10530238712397</v>
      </c>
      <c r="N103" s="445">
        <f t="shared" ref="N103:N113" si="171">D103</f>
        <v>3.38743377E-2</v>
      </c>
      <c r="O103" s="468">
        <f t="shared" si="162"/>
        <v>-19718.43</v>
      </c>
      <c r="P103" s="445">
        <f t="shared" ref="P103:P113" si="172">F103</f>
        <v>3.38743377E-2</v>
      </c>
      <c r="Q103" s="468">
        <f t="shared" si="163"/>
        <v>-19718.43</v>
      </c>
      <c r="R103" s="445">
        <f t="shared" ref="R103:R113" si="173">H103</f>
        <v>3.38743377E-2</v>
      </c>
      <c r="S103" s="468">
        <f t="shared" si="164"/>
        <v>-19718.43</v>
      </c>
      <c r="T103" s="579"/>
      <c r="U103" s="460"/>
      <c r="V103" s="460"/>
      <c r="W103" s="462"/>
      <c r="X103" s="826"/>
      <c r="Y103" s="464"/>
      <c r="Z103" s="826"/>
      <c r="AA103" s="464"/>
      <c r="AB103" s="826"/>
      <c r="AC103" s="464"/>
      <c r="AD103" s="823"/>
    </row>
    <row r="104" spans="1:30">
      <c r="A104" s="618">
        <v>43525</v>
      </c>
      <c r="B104" s="460"/>
      <c r="C104" s="487">
        <f>TempMWH!F6</f>
        <v>-153.30505099373079</v>
      </c>
      <c r="D104" s="624">
        <f t="shared" si="165"/>
        <v>3.38743377E-2</v>
      </c>
      <c r="E104" s="468">
        <f t="shared" si="166"/>
        <v>-5193.1099999999997</v>
      </c>
      <c r="F104" s="624">
        <f t="shared" si="167"/>
        <v>3.38743377E-2</v>
      </c>
      <c r="G104" s="468">
        <f t="shared" si="168"/>
        <v>-5193.1099999999997</v>
      </c>
      <c r="H104" s="624">
        <f t="shared" si="169"/>
        <v>3.38743377E-2</v>
      </c>
      <c r="I104" s="468">
        <f t="shared" si="166"/>
        <v>-5193.1099999999997</v>
      </c>
      <c r="J104" s="458"/>
      <c r="K104" s="460">
        <f t="shared" si="170"/>
        <v>43525</v>
      </c>
      <c r="L104" s="460"/>
      <c r="M104" s="487">
        <f>TempMWH!H6</f>
        <v>527.23376470698179</v>
      </c>
      <c r="N104" s="445">
        <f t="shared" si="171"/>
        <v>3.38743377E-2</v>
      </c>
      <c r="O104" s="468">
        <f t="shared" si="162"/>
        <v>17859.689999999999</v>
      </c>
      <c r="P104" s="445">
        <f t="shared" si="172"/>
        <v>3.38743377E-2</v>
      </c>
      <c r="Q104" s="468">
        <f t="shared" si="163"/>
        <v>17859.689999999999</v>
      </c>
      <c r="R104" s="445">
        <f t="shared" si="173"/>
        <v>3.38743377E-2</v>
      </c>
      <c r="S104" s="468">
        <f t="shared" si="164"/>
        <v>17859.689999999999</v>
      </c>
      <c r="T104" s="458"/>
      <c r="U104" s="460"/>
      <c r="V104" s="460"/>
      <c r="W104" s="462"/>
      <c r="X104" s="826"/>
      <c r="Y104" s="464"/>
      <c r="Z104" s="826"/>
      <c r="AA104" s="464"/>
      <c r="AB104" s="826"/>
      <c r="AC104" s="464"/>
      <c r="AD104" s="827"/>
    </row>
    <row r="105" spans="1:30">
      <c r="A105" s="618">
        <v>43556</v>
      </c>
      <c r="B105" s="466"/>
      <c r="C105" s="487">
        <f>TempMWH!F7</f>
        <v>213.12416975579873</v>
      </c>
      <c r="D105" s="624">
        <f>0.035143*(1+$Y$12)</f>
        <v>3.38743377E-2</v>
      </c>
      <c r="E105" s="468">
        <f t="shared" si="166"/>
        <v>7219.44</v>
      </c>
      <c r="F105" s="624">
        <f t="shared" si="167"/>
        <v>3.38743377E-2</v>
      </c>
      <c r="G105" s="468">
        <f t="shared" si="168"/>
        <v>7219.44</v>
      </c>
      <c r="H105" s="624">
        <f t="shared" si="169"/>
        <v>3.38743377E-2</v>
      </c>
      <c r="I105" s="468">
        <f t="shared" si="166"/>
        <v>7219.44</v>
      </c>
      <c r="J105" s="580"/>
      <c r="K105" s="460">
        <f t="shared" si="170"/>
        <v>43556</v>
      </c>
      <c r="L105" s="466"/>
      <c r="M105" s="487">
        <f>TempMWH!H7</f>
        <v>993.3633335351501</v>
      </c>
      <c r="N105" s="445">
        <f t="shared" si="171"/>
        <v>3.38743377E-2</v>
      </c>
      <c r="O105" s="468">
        <f t="shared" si="162"/>
        <v>33649.53</v>
      </c>
      <c r="P105" s="445">
        <f t="shared" si="172"/>
        <v>3.38743377E-2</v>
      </c>
      <c r="Q105" s="468">
        <f t="shared" si="163"/>
        <v>33649.53</v>
      </c>
      <c r="R105" s="445">
        <f t="shared" si="173"/>
        <v>3.38743377E-2</v>
      </c>
      <c r="S105" s="468">
        <f t="shared" si="164"/>
        <v>33649.53</v>
      </c>
      <c r="T105" s="580"/>
      <c r="U105" s="460"/>
      <c r="V105" s="460"/>
      <c r="W105" s="462"/>
      <c r="X105" s="826"/>
      <c r="Y105" s="464"/>
      <c r="Z105" s="826"/>
      <c r="AA105" s="464"/>
      <c r="AB105" s="826"/>
      <c r="AC105" s="464"/>
      <c r="AD105" s="828"/>
    </row>
    <row r="106" spans="1:30">
      <c r="A106" s="618">
        <v>43586</v>
      </c>
      <c r="B106" s="466"/>
      <c r="C106" s="487">
        <f>TempMWH!F8</f>
        <v>511.46908663287456</v>
      </c>
      <c r="D106" s="624">
        <f>0.038127*(1+$Y$12)</f>
        <v>3.6750615299999997E-2</v>
      </c>
      <c r="E106" s="468">
        <f t="shared" si="166"/>
        <v>18796.8</v>
      </c>
      <c r="F106" s="624">
        <f t="shared" si="167"/>
        <v>3.6750615299999997E-2</v>
      </c>
      <c r="G106" s="468">
        <f t="shared" si="168"/>
        <v>18796.8</v>
      </c>
      <c r="H106" s="624">
        <f t="shared" si="169"/>
        <v>3.6750615299999997E-2</v>
      </c>
      <c r="I106" s="468">
        <f t="shared" si="166"/>
        <v>18796.8</v>
      </c>
      <c r="K106" s="460">
        <f t="shared" si="170"/>
        <v>43586</v>
      </c>
      <c r="L106" s="466"/>
      <c r="M106" s="487">
        <f>TempMWH!H8</f>
        <v>8850.9090756595433</v>
      </c>
      <c r="N106" s="552">
        <f t="shared" si="171"/>
        <v>3.6750615299999997E-2</v>
      </c>
      <c r="O106" s="468">
        <f t="shared" si="162"/>
        <v>325276.34999999998</v>
      </c>
      <c r="P106" s="552">
        <f t="shared" si="172"/>
        <v>3.6750615299999997E-2</v>
      </c>
      <c r="Q106" s="468">
        <f t="shared" si="163"/>
        <v>325276.34999999998</v>
      </c>
      <c r="R106" s="445">
        <f t="shared" si="173"/>
        <v>3.6750615299999997E-2</v>
      </c>
      <c r="S106" s="468">
        <f t="shared" si="164"/>
        <v>325276.34999999998</v>
      </c>
      <c r="T106" s="579"/>
      <c r="U106" s="460"/>
      <c r="V106" s="460"/>
      <c r="W106" s="462"/>
      <c r="X106" s="463"/>
      <c r="Y106" s="464"/>
      <c r="Z106" s="463"/>
      <c r="AA106" s="464"/>
      <c r="AB106" s="463"/>
      <c r="AC106" s="464"/>
      <c r="AD106" s="823"/>
    </row>
    <row r="107" spans="1:30">
      <c r="A107" s="618">
        <v>43617</v>
      </c>
      <c r="B107" s="460"/>
      <c r="C107" s="487">
        <f>TempMWH!F9</f>
        <v>686.86048649891688</v>
      </c>
      <c r="D107" s="624">
        <f>0.038127*(1+$Y$12)</f>
        <v>3.6750615299999997E-2</v>
      </c>
      <c r="E107" s="468">
        <f t="shared" si="166"/>
        <v>25242.55</v>
      </c>
      <c r="F107" s="624">
        <f t="shared" si="167"/>
        <v>3.6750615299999997E-2</v>
      </c>
      <c r="G107" s="468">
        <f t="shared" si="168"/>
        <v>25242.55</v>
      </c>
      <c r="H107" s="624">
        <f t="shared" si="169"/>
        <v>3.6750615299999997E-2</v>
      </c>
      <c r="I107" s="468">
        <f t="shared" si="166"/>
        <v>25242.55</v>
      </c>
      <c r="K107" s="460">
        <f t="shared" si="170"/>
        <v>43617</v>
      </c>
      <c r="L107" s="460"/>
      <c r="M107" s="487">
        <f>TempMWH!H9</f>
        <v>6499.9178626834664</v>
      </c>
      <c r="N107" s="552">
        <f t="shared" si="171"/>
        <v>3.6750615299999997E-2</v>
      </c>
      <c r="O107" s="468">
        <f t="shared" si="162"/>
        <v>238875.98</v>
      </c>
      <c r="P107" s="552">
        <f t="shared" si="172"/>
        <v>3.6750615299999997E-2</v>
      </c>
      <c r="Q107" s="468">
        <f t="shared" si="163"/>
        <v>238875.98</v>
      </c>
      <c r="R107" s="445">
        <f t="shared" si="173"/>
        <v>3.6750615299999997E-2</v>
      </c>
      <c r="S107" s="468">
        <f t="shared" si="164"/>
        <v>238875.98</v>
      </c>
      <c r="T107" s="579"/>
      <c r="U107" s="460"/>
      <c r="V107" s="460"/>
      <c r="W107" s="462"/>
      <c r="X107" s="463"/>
      <c r="Y107" s="464"/>
      <c r="Z107" s="463"/>
      <c r="AA107" s="464"/>
      <c r="AB107" s="463"/>
      <c r="AC107" s="464"/>
      <c r="AD107" s="823"/>
    </row>
    <row r="108" spans="1:30">
      <c r="A108" s="618">
        <v>43647</v>
      </c>
      <c r="B108" s="466"/>
      <c r="C108" s="487">
        <f>TempMWH!F10</f>
        <v>-360.76873813010985</v>
      </c>
      <c r="D108" s="624">
        <f>0.038127*(1+$X$12)</f>
        <v>3.6750615299999997E-2</v>
      </c>
      <c r="E108" s="468">
        <f t="shared" si="166"/>
        <v>-13258.47</v>
      </c>
      <c r="F108" s="624">
        <f>F107</f>
        <v>3.6750615299999997E-2</v>
      </c>
      <c r="G108" s="468">
        <f t="shared" si="168"/>
        <v>-13258.47</v>
      </c>
      <c r="H108" s="624">
        <f t="shared" si="169"/>
        <v>3.6750615299999997E-2</v>
      </c>
      <c r="I108" s="468">
        <f t="shared" si="166"/>
        <v>-13258.47</v>
      </c>
      <c r="K108" s="460">
        <f t="shared" si="170"/>
        <v>43647</v>
      </c>
      <c r="L108" s="466"/>
      <c r="M108" s="487">
        <f>TempMWH!H10</f>
        <v>-5158.8222228315781</v>
      </c>
      <c r="N108" s="445">
        <f t="shared" si="171"/>
        <v>3.6750615299999997E-2</v>
      </c>
      <c r="O108" s="468">
        <f t="shared" si="162"/>
        <v>-189589.89</v>
      </c>
      <c r="P108" s="552">
        <f t="shared" si="172"/>
        <v>3.6750615299999997E-2</v>
      </c>
      <c r="Q108" s="468">
        <f t="shared" si="163"/>
        <v>-189589.89</v>
      </c>
      <c r="R108" s="445">
        <f t="shared" si="173"/>
        <v>3.6750615299999997E-2</v>
      </c>
      <c r="S108" s="468">
        <f t="shared" si="164"/>
        <v>-189589.89</v>
      </c>
      <c r="T108" s="579"/>
      <c r="U108" s="460"/>
      <c r="V108" s="460"/>
      <c r="W108" s="462"/>
      <c r="X108" s="826"/>
      <c r="Y108" s="464"/>
      <c r="Z108" s="826"/>
      <c r="AA108" s="464"/>
      <c r="AB108" s="826"/>
      <c r="AC108" s="464"/>
      <c r="AD108" s="823"/>
    </row>
    <row r="109" spans="1:30">
      <c r="A109" s="618">
        <v>43678</v>
      </c>
      <c r="B109" s="466"/>
      <c r="C109" s="487">
        <f>TempMWH!F11</f>
        <v>-823.6572168274314</v>
      </c>
      <c r="D109" s="624">
        <f t="shared" ref="D109:D110" si="174">0.038127*(1+$X$12)</f>
        <v>3.6750615299999997E-2</v>
      </c>
      <c r="E109" s="468">
        <f t="shared" si="166"/>
        <v>-30269.91</v>
      </c>
      <c r="F109" s="624">
        <f t="shared" ref="F109:F110" si="175">F108</f>
        <v>3.6750615299999997E-2</v>
      </c>
      <c r="G109" s="468">
        <f t="shared" si="168"/>
        <v>-30269.91</v>
      </c>
      <c r="H109" s="624">
        <f t="shared" si="169"/>
        <v>3.6750615299999997E-2</v>
      </c>
      <c r="I109" s="468">
        <f t="shared" si="166"/>
        <v>-30269.91</v>
      </c>
      <c r="K109" s="460">
        <f t="shared" si="170"/>
        <v>43678</v>
      </c>
      <c r="L109" s="466"/>
      <c r="M109" s="487">
        <f>TempMWH!H11</f>
        <v>-13449.252776702986</v>
      </c>
      <c r="N109" s="445">
        <f t="shared" si="171"/>
        <v>3.6750615299999997E-2</v>
      </c>
      <c r="O109" s="468">
        <f t="shared" si="162"/>
        <v>-494268.31</v>
      </c>
      <c r="P109" s="552">
        <f t="shared" si="172"/>
        <v>3.6750615299999997E-2</v>
      </c>
      <c r="Q109" s="468">
        <f t="shared" si="163"/>
        <v>-494268.31</v>
      </c>
      <c r="R109" s="445">
        <f t="shared" si="173"/>
        <v>3.6750615299999997E-2</v>
      </c>
      <c r="S109" s="468">
        <f t="shared" si="164"/>
        <v>-494268.31</v>
      </c>
      <c r="T109" s="579"/>
      <c r="U109" s="460"/>
      <c r="V109" s="460"/>
      <c r="W109" s="462"/>
      <c r="X109" s="826"/>
      <c r="Y109" s="464"/>
      <c r="Z109" s="826"/>
      <c r="AA109" s="464"/>
      <c r="AB109" s="826"/>
      <c r="AC109" s="464"/>
      <c r="AD109" s="823"/>
    </row>
    <row r="110" spans="1:30">
      <c r="A110" s="618">
        <v>43709</v>
      </c>
      <c r="B110" s="466"/>
      <c r="C110" s="487">
        <f>TempMWH!F12</f>
        <v>-437.45311502202492</v>
      </c>
      <c r="D110" s="624">
        <f t="shared" si="174"/>
        <v>3.6750615299999997E-2</v>
      </c>
      <c r="E110" s="468">
        <f t="shared" si="166"/>
        <v>-16076.67</v>
      </c>
      <c r="F110" s="624">
        <f t="shared" si="175"/>
        <v>3.6750615299999997E-2</v>
      </c>
      <c r="G110" s="468">
        <f t="shared" si="168"/>
        <v>-16076.67</v>
      </c>
      <c r="H110" s="624">
        <f t="shared" si="169"/>
        <v>3.6750615299999997E-2</v>
      </c>
      <c r="I110" s="468">
        <f t="shared" si="166"/>
        <v>-16076.67</v>
      </c>
      <c r="K110" s="460">
        <f t="shared" si="170"/>
        <v>43709</v>
      </c>
      <c r="L110" s="466"/>
      <c r="M110" s="487">
        <f>TempMWH!H12</f>
        <v>-4184.2753817027224</v>
      </c>
      <c r="N110" s="445">
        <f t="shared" si="171"/>
        <v>3.6750615299999997E-2</v>
      </c>
      <c r="O110" s="468">
        <f t="shared" si="162"/>
        <v>-153774.69</v>
      </c>
      <c r="P110" s="552">
        <f t="shared" si="172"/>
        <v>3.6750615299999997E-2</v>
      </c>
      <c r="Q110" s="468">
        <f t="shared" si="163"/>
        <v>-153774.69</v>
      </c>
      <c r="R110" s="445">
        <f t="shared" si="173"/>
        <v>3.6750615299999997E-2</v>
      </c>
      <c r="S110" s="468">
        <f t="shared" si="164"/>
        <v>-153774.69</v>
      </c>
      <c r="T110" s="579"/>
      <c r="U110" s="460"/>
      <c r="V110" s="460"/>
      <c r="W110" s="462"/>
      <c r="X110" s="826"/>
      <c r="Y110" s="464"/>
      <c r="Z110" s="826"/>
      <c r="AA110" s="464"/>
      <c r="AB110" s="826"/>
      <c r="AC110" s="464"/>
      <c r="AD110" s="823"/>
    </row>
    <row r="111" spans="1:30">
      <c r="A111" s="618">
        <v>43739</v>
      </c>
      <c r="B111" s="466"/>
      <c r="C111" s="487">
        <f>TempMWH!F13</f>
        <v>-595.03178974290063</v>
      </c>
      <c r="D111" s="624">
        <f>0.035143*(1+$X$12)</f>
        <v>3.38743377E-2</v>
      </c>
      <c r="E111" s="468">
        <f t="shared" si="166"/>
        <v>-20156.310000000001</v>
      </c>
      <c r="F111" s="625">
        <f>F102</f>
        <v>3.38743377E-2</v>
      </c>
      <c r="G111" s="468">
        <f t="shared" si="168"/>
        <v>-20156.310000000001</v>
      </c>
      <c r="H111" s="624">
        <f t="shared" si="169"/>
        <v>3.38743377E-2</v>
      </c>
      <c r="I111" s="468">
        <f t="shared" si="166"/>
        <v>-20156.310000000001</v>
      </c>
      <c r="K111" s="460">
        <f t="shared" si="170"/>
        <v>43739</v>
      </c>
      <c r="L111" s="466"/>
      <c r="M111" s="487">
        <f>TempMWH!H13</f>
        <v>2534.0376889368144</v>
      </c>
      <c r="N111" s="445">
        <f t="shared" si="171"/>
        <v>3.38743377E-2</v>
      </c>
      <c r="O111" s="468">
        <f t="shared" si="162"/>
        <v>85838.85</v>
      </c>
      <c r="P111" s="445">
        <f t="shared" si="172"/>
        <v>3.38743377E-2</v>
      </c>
      <c r="Q111" s="468">
        <f t="shared" si="163"/>
        <v>85838.85</v>
      </c>
      <c r="R111" s="445">
        <f t="shared" si="173"/>
        <v>3.38743377E-2</v>
      </c>
      <c r="S111" s="468">
        <f t="shared" si="164"/>
        <v>85838.85</v>
      </c>
      <c r="T111" s="579"/>
      <c r="U111" s="460"/>
      <c r="V111" s="460"/>
      <c r="W111" s="462"/>
      <c r="X111" s="826"/>
      <c r="Y111" s="464"/>
      <c r="Z111" s="826"/>
      <c r="AA111" s="464"/>
      <c r="AB111" s="826"/>
      <c r="AC111" s="464"/>
      <c r="AD111" s="823"/>
    </row>
    <row r="112" spans="1:30">
      <c r="A112" s="618">
        <v>43770</v>
      </c>
      <c r="B112" s="466"/>
      <c r="C112" s="487">
        <f>TempMWH!F14</f>
        <v>50.411575880535132</v>
      </c>
      <c r="D112" s="624">
        <f t="shared" ref="D112:D113" si="176">0.035143*(1+$X$12)</f>
        <v>3.38743377E-2</v>
      </c>
      <c r="E112" s="468">
        <f t="shared" si="166"/>
        <v>1707.66</v>
      </c>
      <c r="F112" s="625">
        <f t="shared" ref="F112:F113" si="177">F103</f>
        <v>3.38743377E-2</v>
      </c>
      <c r="G112" s="468">
        <f t="shared" si="168"/>
        <v>1707.66</v>
      </c>
      <c r="H112" s="624">
        <f t="shared" si="169"/>
        <v>3.38743377E-2</v>
      </c>
      <c r="I112" s="468">
        <f t="shared" si="166"/>
        <v>1707.66</v>
      </c>
      <c r="K112" s="460">
        <f t="shared" si="170"/>
        <v>43770</v>
      </c>
      <c r="L112" s="466"/>
      <c r="M112" s="487">
        <f>TempMWH!H14</f>
        <v>2679.1849206339525</v>
      </c>
      <c r="N112" s="445">
        <f t="shared" si="171"/>
        <v>3.38743377E-2</v>
      </c>
      <c r="O112" s="468">
        <f t="shared" si="162"/>
        <v>90755.61</v>
      </c>
      <c r="P112" s="445">
        <f t="shared" si="172"/>
        <v>3.38743377E-2</v>
      </c>
      <c r="Q112" s="468">
        <f t="shared" si="163"/>
        <v>90755.61</v>
      </c>
      <c r="R112" s="445">
        <f t="shared" si="173"/>
        <v>3.38743377E-2</v>
      </c>
      <c r="S112" s="468">
        <f t="shared" si="164"/>
        <v>90755.61</v>
      </c>
      <c r="T112" s="579"/>
      <c r="U112" s="460"/>
      <c r="V112" s="460"/>
      <c r="W112" s="462"/>
      <c r="X112" s="826"/>
      <c r="Y112" s="464"/>
      <c r="Z112" s="826"/>
      <c r="AA112" s="464"/>
      <c r="AB112" s="826"/>
      <c r="AC112" s="464"/>
      <c r="AD112" s="823"/>
    </row>
    <row r="113" spans="1:30">
      <c r="A113" s="619">
        <v>43800</v>
      </c>
      <c r="B113" s="474"/>
      <c r="C113" s="476">
        <f>TempMWH!F15</f>
        <v>481.71975961285602</v>
      </c>
      <c r="D113" s="624">
        <f t="shared" si="176"/>
        <v>3.38743377E-2</v>
      </c>
      <c r="E113" s="478">
        <f t="shared" si="166"/>
        <v>16317.94</v>
      </c>
      <c r="F113" s="625">
        <f t="shared" si="177"/>
        <v>3.38743377E-2</v>
      </c>
      <c r="G113" s="478">
        <f t="shared" si="168"/>
        <v>16317.94</v>
      </c>
      <c r="H113" s="624">
        <f t="shared" si="169"/>
        <v>3.38743377E-2</v>
      </c>
      <c r="I113" s="478">
        <f t="shared" si="166"/>
        <v>16317.94</v>
      </c>
      <c r="K113" s="474">
        <f t="shared" si="170"/>
        <v>43800</v>
      </c>
      <c r="L113" s="474"/>
      <c r="M113" s="476">
        <f>TempMWH!H15</f>
        <v>4111.545990755727</v>
      </c>
      <c r="N113" s="481">
        <f t="shared" si="171"/>
        <v>3.38743377E-2</v>
      </c>
      <c r="O113" s="478">
        <f t="shared" si="162"/>
        <v>139275.9</v>
      </c>
      <c r="P113" s="481">
        <f t="shared" si="172"/>
        <v>3.38743377E-2</v>
      </c>
      <c r="Q113" s="478">
        <f t="shared" si="163"/>
        <v>139275.9</v>
      </c>
      <c r="R113" s="445">
        <f t="shared" si="173"/>
        <v>3.38743377E-2</v>
      </c>
      <c r="S113" s="478">
        <f t="shared" si="164"/>
        <v>139275.9</v>
      </c>
      <c r="T113" s="579"/>
      <c r="U113" s="460"/>
      <c r="V113" s="460"/>
      <c r="W113" s="462"/>
      <c r="X113" s="826"/>
      <c r="Y113" s="464"/>
      <c r="Z113" s="826"/>
      <c r="AA113" s="464"/>
      <c r="AB113" s="826"/>
      <c r="AC113" s="464"/>
      <c r="AD113" s="823"/>
    </row>
    <row r="114" spans="1:30">
      <c r="A114" s="449" t="s">
        <v>93</v>
      </c>
      <c r="B114" s="449"/>
      <c r="C114" s="479">
        <f>SUM(C102:C113)</f>
        <v>-366.13540869671874</v>
      </c>
      <c r="D114" s="449"/>
      <c r="E114" s="468">
        <f>SUM(E102:E113)</f>
        <v>-13620.840000000002</v>
      </c>
      <c r="F114" s="449"/>
      <c r="G114" s="468">
        <f>SUM(G102:G113)</f>
        <v>-13620.840000000002</v>
      </c>
      <c r="H114" s="449"/>
      <c r="I114" s="468">
        <f>SUM(I102:I113)</f>
        <v>-13620.840000000002</v>
      </c>
      <c r="K114" s="449" t="s">
        <v>93</v>
      </c>
      <c r="L114" s="449"/>
      <c r="M114" s="479">
        <f>SUM(M102:M113)</f>
        <v>3906.6047734176213</v>
      </c>
      <c r="N114" s="449"/>
      <c r="O114" s="468">
        <f>SUM(O102:O113)</f>
        <v>110929.76999999992</v>
      </c>
      <c r="P114" s="449"/>
      <c r="Q114" s="468">
        <f>SUM(Q102:Q113)</f>
        <v>110929.76999999992</v>
      </c>
      <c r="R114" s="449"/>
      <c r="S114" s="468">
        <f>SUM(S102:S113)</f>
        <v>110929.76999999992</v>
      </c>
      <c r="T114" s="579"/>
      <c r="U114" s="473"/>
      <c r="V114" s="473"/>
      <c r="W114" s="829"/>
      <c r="X114" s="473"/>
      <c r="Y114" s="464"/>
      <c r="Z114" s="473"/>
      <c r="AA114" s="464"/>
      <c r="AB114" s="473"/>
      <c r="AC114" s="464"/>
      <c r="AD114" s="823"/>
    </row>
    <row r="115" spans="1:30">
      <c r="A115" s="449"/>
      <c r="B115" s="454"/>
      <c r="C115" s="479"/>
      <c r="D115" s="488"/>
      <c r="E115" s="468"/>
      <c r="F115" s="488"/>
      <c r="G115" s="468"/>
      <c r="H115" s="488"/>
      <c r="I115" s="468"/>
    </row>
    <row r="116" spans="1:30">
      <c r="A116" s="451" t="s">
        <v>792</v>
      </c>
      <c r="B116" s="448"/>
      <c r="C116" s="448"/>
      <c r="D116" s="448"/>
      <c r="E116" s="448"/>
      <c r="F116" s="448"/>
      <c r="G116" s="448"/>
      <c r="H116" s="448"/>
      <c r="I116" s="448"/>
      <c r="K116" s="821"/>
      <c r="L116" s="822"/>
      <c r="M116" s="822"/>
      <c r="N116" s="822"/>
      <c r="O116" s="822"/>
      <c r="P116" s="822"/>
      <c r="Q116" s="822"/>
      <c r="R116" s="822"/>
      <c r="S116" s="822"/>
      <c r="T116" s="579"/>
    </row>
    <row r="117" spans="1:30">
      <c r="A117" s="449"/>
      <c r="B117" s="449"/>
      <c r="C117" s="449"/>
      <c r="D117" s="455" t="s">
        <v>425</v>
      </c>
      <c r="E117" s="455" t="s">
        <v>425</v>
      </c>
      <c r="F117" s="455" t="s">
        <v>494</v>
      </c>
      <c r="G117" s="455" t="s">
        <v>494</v>
      </c>
      <c r="H117" s="455" t="s">
        <v>216</v>
      </c>
      <c r="I117" s="455" t="s">
        <v>216</v>
      </c>
      <c r="K117" s="473"/>
      <c r="L117" s="473"/>
      <c r="M117" s="473"/>
      <c r="N117" s="824"/>
      <c r="O117" s="824"/>
      <c r="P117" s="824"/>
      <c r="Q117" s="824"/>
      <c r="R117" s="824"/>
      <c r="S117" s="824"/>
      <c r="T117" s="579"/>
    </row>
    <row r="118" spans="1:30">
      <c r="A118" s="456" t="s">
        <v>110</v>
      </c>
      <c r="B118" s="456"/>
      <c r="C118" s="456" t="s">
        <v>109</v>
      </c>
      <c r="D118" s="456" t="s">
        <v>99</v>
      </c>
      <c r="E118" s="456" t="s">
        <v>496</v>
      </c>
      <c r="F118" s="456" t="s">
        <v>99</v>
      </c>
      <c r="G118" s="456" t="s">
        <v>496</v>
      </c>
      <c r="H118" s="456" t="s">
        <v>99</v>
      </c>
      <c r="I118" s="456" t="s">
        <v>496</v>
      </c>
      <c r="J118" s="458"/>
      <c r="K118" s="824"/>
      <c r="L118" s="824"/>
      <c r="M118" s="824"/>
      <c r="N118" s="824"/>
      <c r="O118" s="824"/>
      <c r="P118" s="824"/>
      <c r="Q118" s="824"/>
      <c r="R118" s="824"/>
      <c r="S118" s="824"/>
      <c r="T118" s="458"/>
    </row>
    <row r="119" spans="1:30">
      <c r="A119" s="460">
        <f>A102</f>
        <v>43466</v>
      </c>
      <c r="B119" s="466"/>
      <c r="C119" s="487">
        <f>TempMWH!J4</f>
        <v>0.63470858000982067</v>
      </c>
      <c r="D119" s="552">
        <f>D102</f>
        <v>3.38743377E-2</v>
      </c>
      <c r="E119" s="468">
        <f>ROUND(D119*$C119*1000,2)</f>
        <v>21.5</v>
      </c>
      <c r="F119" s="552">
        <f>F102</f>
        <v>3.38743377E-2</v>
      </c>
      <c r="G119" s="468">
        <f>ROUND(F119*$C119*1000,2)</f>
        <v>21.5</v>
      </c>
      <c r="H119" s="552">
        <f>H102</f>
        <v>3.38743377E-2</v>
      </c>
      <c r="I119" s="468">
        <f>ROUND(H119*$C119*1000,2)</f>
        <v>21.5</v>
      </c>
      <c r="K119" s="460"/>
      <c r="L119" s="460"/>
      <c r="M119" s="462"/>
      <c r="N119" s="463"/>
      <c r="O119" s="464"/>
      <c r="P119" s="463"/>
      <c r="Q119" s="464"/>
      <c r="R119" s="463"/>
      <c r="S119" s="464"/>
      <c r="T119" s="579"/>
    </row>
    <row r="120" spans="1:30">
      <c r="A120" s="460">
        <f t="shared" ref="A120:A130" si="178">A103</f>
        <v>43497</v>
      </c>
      <c r="B120" s="466"/>
      <c r="C120" s="487">
        <f>TempMWH!J5</f>
        <v>-0.37379103356824467</v>
      </c>
      <c r="D120" s="445">
        <f t="shared" ref="D120:D130" si="179">D103</f>
        <v>3.38743377E-2</v>
      </c>
      <c r="E120" s="468">
        <f t="shared" ref="E120" si="180">ROUND(D120*$C120*1000,2)</f>
        <v>-12.66</v>
      </c>
      <c r="F120" s="445">
        <f t="shared" ref="F120:F130" si="181">F103</f>
        <v>3.38743377E-2</v>
      </c>
      <c r="G120" s="468">
        <f t="shared" ref="G120:G130" si="182">ROUND(F120*$C120*1000,2)</f>
        <v>-12.66</v>
      </c>
      <c r="H120" s="445">
        <f t="shared" ref="H120:H130" si="183">H103</f>
        <v>3.38743377E-2</v>
      </c>
      <c r="I120" s="468">
        <f t="shared" ref="I120" si="184">ROUND(H120*$C120*1000,2)</f>
        <v>-12.66</v>
      </c>
      <c r="K120" s="460"/>
      <c r="L120" s="460"/>
      <c r="M120" s="462"/>
      <c r="N120" s="826"/>
      <c r="O120" s="464"/>
      <c r="P120" s="826"/>
      <c r="Q120" s="464"/>
      <c r="R120" s="826"/>
      <c r="S120" s="464"/>
      <c r="T120" s="579"/>
    </row>
    <row r="121" spans="1:30">
      <c r="A121" s="460">
        <f t="shared" si="178"/>
        <v>43525</v>
      </c>
      <c r="B121" s="460"/>
      <c r="C121" s="487">
        <f>TempMWH!J6</f>
        <v>0.39454723992114826</v>
      </c>
      <c r="D121" s="445">
        <f t="shared" si="179"/>
        <v>3.38743377E-2</v>
      </c>
      <c r="E121" s="468">
        <f t="shared" ref="E121" si="185">ROUND(D121*$C121*1000,2)</f>
        <v>13.37</v>
      </c>
      <c r="F121" s="445">
        <f t="shared" si="181"/>
        <v>3.38743377E-2</v>
      </c>
      <c r="G121" s="468">
        <f t="shared" si="182"/>
        <v>13.37</v>
      </c>
      <c r="H121" s="445">
        <f t="shared" si="183"/>
        <v>3.38743377E-2</v>
      </c>
      <c r="I121" s="468">
        <f t="shared" ref="I121" si="186">ROUND(H121*$C121*1000,2)</f>
        <v>13.37</v>
      </c>
      <c r="K121" s="460"/>
      <c r="L121" s="460"/>
      <c r="M121" s="462"/>
      <c r="N121" s="826"/>
      <c r="O121" s="464"/>
      <c r="P121" s="826"/>
      <c r="Q121" s="464"/>
      <c r="R121" s="826"/>
      <c r="S121" s="464"/>
      <c r="T121" s="579"/>
    </row>
    <row r="122" spans="1:30">
      <c r="A122" s="460">
        <f t="shared" si="178"/>
        <v>43556</v>
      </c>
      <c r="B122" s="466"/>
      <c r="C122" s="487">
        <f>TempMWH!J7</f>
        <v>0.70415760621078405</v>
      </c>
      <c r="D122" s="445">
        <f t="shared" si="179"/>
        <v>3.38743377E-2</v>
      </c>
      <c r="E122" s="468">
        <f t="shared" ref="E122" si="187">ROUND(D122*$C122*1000,2)</f>
        <v>23.85</v>
      </c>
      <c r="F122" s="445">
        <f t="shared" si="181"/>
        <v>3.38743377E-2</v>
      </c>
      <c r="G122" s="468">
        <f t="shared" si="182"/>
        <v>23.85</v>
      </c>
      <c r="H122" s="445">
        <f t="shared" si="183"/>
        <v>3.38743377E-2</v>
      </c>
      <c r="I122" s="468">
        <f t="shared" ref="I122" si="188">ROUND(H122*$C122*1000,2)</f>
        <v>23.85</v>
      </c>
      <c r="K122" s="460"/>
      <c r="L122" s="460"/>
      <c r="M122" s="462"/>
      <c r="N122" s="826"/>
      <c r="O122" s="464"/>
      <c r="P122" s="826"/>
      <c r="Q122" s="464"/>
      <c r="R122" s="826"/>
      <c r="S122" s="464"/>
    </row>
    <row r="123" spans="1:30">
      <c r="A123" s="460">
        <f t="shared" si="178"/>
        <v>43586</v>
      </c>
      <c r="B123" s="466"/>
      <c r="C123" s="487">
        <f>TempMWH!J8</f>
        <v>6.2515311471346031</v>
      </c>
      <c r="D123" s="552">
        <f t="shared" si="179"/>
        <v>3.6750615299999997E-2</v>
      </c>
      <c r="E123" s="468">
        <f t="shared" ref="E123" si="189">ROUND(D123*$C123*1000,2)</f>
        <v>229.75</v>
      </c>
      <c r="F123" s="552">
        <f t="shared" si="181"/>
        <v>3.6750615299999997E-2</v>
      </c>
      <c r="G123" s="468">
        <f t="shared" si="182"/>
        <v>229.75</v>
      </c>
      <c r="H123" s="445">
        <f t="shared" si="183"/>
        <v>3.6750615299999997E-2</v>
      </c>
      <c r="I123" s="468">
        <f t="shared" ref="I123" si="190">ROUND(H123*$C123*1000,2)</f>
        <v>229.75</v>
      </c>
      <c r="K123" s="460"/>
      <c r="L123" s="460"/>
      <c r="M123" s="462"/>
      <c r="N123" s="463"/>
      <c r="O123" s="464"/>
      <c r="P123" s="463"/>
      <c r="Q123" s="464"/>
      <c r="R123" s="463"/>
      <c r="S123" s="464"/>
    </row>
    <row r="124" spans="1:30">
      <c r="A124" s="460">
        <f t="shared" si="178"/>
        <v>43617</v>
      </c>
      <c r="B124" s="460"/>
      <c r="C124" s="462">
        <f>TempMWH!J9</f>
        <v>3.7358692118670698</v>
      </c>
      <c r="D124" s="552">
        <f t="shared" si="179"/>
        <v>3.6750615299999997E-2</v>
      </c>
      <c r="E124" s="468">
        <f t="shared" ref="E124" si="191">ROUND(D124*$C124*1000,2)</f>
        <v>137.30000000000001</v>
      </c>
      <c r="F124" s="552">
        <f t="shared" si="181"/>
        <v>3.6750615299999997E-2</v>
      </c>
      <c r="G124" s="468">
        <f t="shared" si="182"/>
        <v>137.30000000000001</v>
      </c>
      <c r="H124" s="445">
        <f t="shared" si="183"/>
        <v>3.6750615299999997E-2</v>
      </c>
      <c r="I124" s="468">
        <f t="shared" ref="I124" si="192">ROUND(H124*$C124*1000,2)</f>
        <v>137.30000000000001</v>
      </c>
      <c r="K124" s="460"/>
      <c r="L124" s="460"/>
      <c r="M124" s="462"/>
      <c r="N124" s="463"/>
      <c r="O124" s="464"/>
      <c r="P124" s="463"/>
      <c r="Q124" s="464"/>
      <c r="R124" s="463"/>
      <c r="S124" s="464"/>
    </row>
    <row r="125" spans="1:30">
      <c r="A125" s="460">
        <f t="shared" si="178"/>
        <v>43647</v>
      </c>
      <c r="B125" s="466"/>
      <c r="C125" s="487">
        <f>TempMWH!J10</f>
        <v>-3.1145285011681039</v>
      </c>
      <c r="D125" s="445">
        <f t="shared" si="179"/>
        <v>3.6750615299999997E-2</v>
      </c>
      <c r="E125" s="468">
        <f t="shared" ref="E125" si="193">ROUND(D125*$C125*1000,2)</f>
        <v>-114.46</v>
      </c>
      <c r="F125" s="552">
        <f t="shared" si="181"/>
        <v>3.6750615299999997E-2</v>
      </c>
      <c r="G125" s="468">
        <f t="shared" si="182"/>
        <v>-114.46</v>
      </c>
      <c r="H125" s="445">
        <f t="shared" si="183"/>
        <v>3.6750615299999997E-2</v>
      </c>
      <c r="I125" s="468">
        <f t="shared" ref="I125" si="194">ROUND(H125*$C125*1000,2)</f>
        <v>-114.46</v>
      </c>
      <c r="K125" s="460"/>
      <c r="L125" s="460"/>
      <c r="M125" s="462"/>
      <c r="N125" s="826"/>
      <c r="O125" s="464"/>
      <c r="P125" s="826"/>
      <c r="Q125" s="464"/>
      <c r="R125" s="826"/>
      <c r="S125" s="464"/>
    </row>
    <row r="126" spans="1:30">
      <c r="A126" s="460">
        <f t="shared" si="178"/>
        <v>43678</v>
      </c>
      <c r="B126" s="466"/>
      <c r="C126" s="487">
        <f>TempMWH!J11</f>
        <v>-7.1690921943430999</v>
      </c>
      <c r="D126" s="445">
        <f t="shared" si="179"/>
        <v>3.6750615299999997E-2</v>
      </c>
      <c r="E126" s="468">
        <f t="shared" ref="E126" si="195">ROUND(D126*$C126*1000,2)</f>
        <v>-263.47000000000003</v>
      </c>
      <c r="F126" s="552">
        <f t="shared" si="181"/>
        <v>3.6750615299999997E-2</v>
      </c>
      <c r="G126" s="468">
        <f t="shared" si="182"/>
        <v>-263.47000000000003</v>
      </c>
      <c r="H126" s="445">
        <f t="shared" si="183"/>
        <v>3.6750615299999997E-2</v>
      </c>
      <c r="I126" s="468">
        <f t="shared" ref="I126" si="196">ROUND(H126*$C126*1000,2)</f>
        <v>-263.47000000000003</v>
      </c>
      <c r="K126" s="460"/>
      <c r="L126" s="460"/>
      <c r="M126" s="462"/>
      <c r="N126" s="826"/>
      <c r="O126" s="464"/>
      <c r="P126" s="826"/>
      <c r="Q126" s="464"/>
      <c r="R126" s="826"/>
      <c r="S126" s="464"/>
    </row>
    <row r="127" spans="1:30">
      <c r="A127" s="460">
        <f t="shared" si="178"/>
        <v>43709</v>
      </c>
      <c r="B127" s="466"/>
      <c r="C127" s="487">
        <f>TempMWH!J12</f>
        <v>-2.4839257477482715</v>
      </c>
      <c r="D127" s="445">
        <f t="shared" si="179"/>
        <v>3.6750615299999997E-2</v>
      </c>
      <c r="E127" s="468">
        <f t="shared" ref="E127" si="197">ROUND(D127*$C127*1000,2)</f>
        <v>-91.29</v>
      </c>
      <c r="F127" s="552">
        <f t="shared" si="181"/>
        <v>3.6750615299999997E-2</v>
      </c>
      <c r="G127" s="468">
        <f t="shared" si="182"/>
        <v>-91.29</v>
      </c>
      <c r="H127" s="445">
        <f t="shared" si="183"/>
        <v>3.6750615299999997E-2</v>
      </c>
      <c r="I127" s="468">
        <f t="shared" ref="I127" si="198">ROUND(H127*$C127*1000,2)</f>
        <v>-91.29</v>
      </c>
      <c r="K127" s="460"/>
      <c r="L127" s="460"/>
      <c r="M127" s="462"/>
      <c r="N127" s="826"/>
      <c r="O127" s="464"/>
      <c r="P127" s="826"/>
      <c r="Q127" s="464"/>
      <c r="R127" s="826"/>
      <c r="S127" s="464"/>
    </row>
    <row r="128" spans="1:30">
      <c r="A128" s="460">
        <f t="shared" si="178"/>
        <v>43739</v>
      </c>
      <c r="B128" s="466"/>
      <c r="C128" s="487">
        <f>TempMWH!J13</f>
        <v>1.5926745125908657</v>
      </c>
      <c r="D128" s="445">
        <f t="shared" si="179"/>
        <v>3.38743377E-2</v>
      </c>
      <c r="E128" s="468">
        <f t="shared" ref="E128" si="199">ROUND(D128*$C128*1000,2)</f>
        <v>53.95</v>
      </c>
      <c r="F128" s="445">
        <f t="shared" si="181"/>
        <v>3.38743377E-2</v>
      </c>
      <c r="G128" s="468">
        <f t="shared" si="182"/>
        <v>53.95</v>
      </c>
      <c r="H128" s="445">
        <f t="shared" si="183"/>
        <v>3.38743377E-2</v>
      </c>
      <c r="I128" s="468">
        <f t="shared" ref="I128" si="200">ROUND(H128*$C128*1000,2)</f>
        <v>53.95</v>
      </c>
      <c r="K128" s="460"/>
      <c r="L128" s="460"/>
      <c r="M128" s="462"/>
      <c r="N128" s="826"/>
      <c r="O128" s="464"/>
      <c r="P128" s="826"/>
      <c r="Q128" s="464"/>
      <c r="R128" s="826"/>
      <c r="S128" s="464"/>
      <c r="T128" s="579"/>
    </row>
    <row r="129" spans="1:20">
      <c r="A129" s="460">
        <f t="shared" si="178"/>
        <v>43770</v>
      </c>
      <c r="B129" s="466"/>
      <c r="C129" s="487">
        <f>TempMWH!J14</f>
        <v>1.8553847515864212</v>
      </c>
      <c r="D129" s="445">
        <f t="shared" si="179"/>
        <v>3.38743377E-2</v>
      </c>
      <c r="E129" s="468">
        <f t="shared" ref="E129" si="201">ROUND(D129*$C129*1000,2)</f>
        <v>62.85</v>
      </c>
      <c r="F129" s="445">
        <f t="shared" si="181"/>
        <v>3.38743377E-2</v>
      </c>
      <c r="G129" s="468">
        <f t="shared" si="182"/>
        <v>62.85</v>
      </c>
      <c r="H129" s="445">
        <f t="shared" si="183"/>
        <v>3.38743377E-2</v>
      </c>
      <c r="I129" s="468">
        <f t="shared" ref="I129" si="202">ROUND(H129*$C129*1000,2)</f>
        <v>62.85</v>
      </c>
      <c r="K129" s="460"/>
      <c r="L129" s="460"/>
      <c r="M129" s="462"/>
      <c r="N129" s="826"/>
      <c r="O129" s="464"/>
      <c r="P129" s="826"/>
      <c r="Q129" s="464"/>
      <c r="R129" s="826"/>
      <c r="S129" s="464"/>
      <c r="T129" s="579"/>
    </row>
    <row r="130" spans="1:20">
      <c r="A130" s="474">
        <f t="shared" si="178"/>
        <v>43800</v>
      </c>
      <c r="B130" s="474"/>
      <c r="C130" s="476">
        <f>TempMWH!J15</f>
        <v>2.6601710999594683</v>
      </c>
      <c r="D130" s="481">
        <f t="shared" si="179"/>
        <v>3.38743377E-2</v>
      </c>
      <c r="E130" s="478">
        <f t="shared" ref="E130" si="203">ROUND(D130*$C130*1000,2)</f>
        <v>90.11</v>
      </c>
      <c r="F130" s="481">
        <f t="shared" si="181"/>
        <v>3.38743377E-2</v>
      </c>
      <c r="G130" s="478">
        <f t="shared" si="182"/>
        <v>90.11</v>
      </c>
      <c r="H130" s="445">
        <f t="shared" si="183"/>
        <v>3.38743377E-2</v>
      </c>
      <c r="I130" s="478">
        <f t="shared" ref="I130" si="204">ROUND(H130*$C130*1000,2)</f>
        <v>90.11</v>
      </c>
      <c r="K130" s="460"/>
      <c r="L130" s="460"/>
      <c r="M130" s="462"/>
      <c r="N130" s="826"/>
      <c r="O130" s="464"/>
      <c r="P130" s="826"/>
      <c r="Q130" s="464"/>
      <c r="R130" s="826"/>
      <c r="S130" s="464"/>
      <c r="T130" s="579"/>
    </row>
    <row r="131" spans="1:20">
      <c r="A131" s="449" t="s">
        <v>93</v>
      </c>
      <c r="B131" s="449"/>
      <c r="C131" s="479">
        <f>SUM(C119:C130)</f>
        <v>4.6877066724524612</v>
      </c>
      <c r="D131" s="449"/>
      <c r="E131" s="468">
        <f>SUM(E119:E130)</f>
        <v>150.80000000000001</v>
      </c>
      <c r="F131" s="449"/>
      <c r="G131" s="468">
        <f>SUM(G119:G130)</f>
        <v>150.80000000000001</v>
      </c>
      <c r="H131" s="449"/>
      <c r="I131" s="468">
        <f>SUM(I119:I130)</f>
        <v>150.80000000000001</v>
      </c>
      <c r="K131" s="473"/>
      <c r="L131" s="473"/>
      <c r="M131" s="829"/>
      <c r="N131" s="473"/>
      <c r="O131" s="464"/>
      <c r="P131" s="473"/>
      <c r="Q131" s="464"/>
      <c r="R131" s="473"/>
      <c r="S131" s="464"/>
      <c r="T131" s="579"/>
    </row>
    <row r="132" spans="1:20">
      <c r="A132" s="449"/>
      <c r="B132" s="454"/>
      <c r="C132" s="479"/>
      <c r="D132" s="488"/>
      <c r="E132" s="468"/>
      <c r="F132" s="488"/>
      <c r="G132" s="468"/>
      <c r="H132" s="488"/>
      <c r="I132" s="468"/>
    </row>
    <row r="133" spans="1:20">
      <c r="A133" s="449"/>
      <c r="B133" s="454"/>
      <c r="C133" s="449"/>
      <c r="D133" s="449"/>
      <c r="E133" s="449"/>
      <c r="F133" s="449"/>
      <c r="G133" s="449"/>
      <c r="H133" s="449"/>
      <c r="I133" s="449"/>
    </row>
    <row r="134" spans="1:20">
      <c r="A134" s="451" t="s">
        <v>795</v>
      </c>
      <c r="B134" s="448"/>
      <c r="C134" s="448"/>
      <c r="D134" s="448"/>
      <c r="E134" s="448"/>
      <c r="F134" s="448"/>
      <c r="G134" s="448"/>
      <c r="H134" s="448"/>
      <c r="I134" s="448"/>
      <c r="K134" s="821"/>
      <c r="L134" s="822"/>
      <c r="M134" s="822"/>
      <c r="N134" s="822"/>
      <c r="O134" s="822"/>
      <c r="P134" s="822"/>
      <c r="Q134" s="822"/>
      <c r="R134" s="822"/>
      <c r="S134" s="822"/>
      <c r="T134" s="830"/>
    </row>
    <row r="135" spans="1:20">
      <c r="A135" s="449"/>
      <c r="B135" s="449"/>
      <c r="C135" s="449"/>
      <c r="D135" s="455" t="s">
        <v>425</v>
      </c>
      <c r="E135" s="455" t="s">
        <v>425</v>
      </c>
      <c r="F135" s="455" t="s">
        <v>494</v>
      </c>
      <c r="G135" s="455" t="s">
        <v>494</v>
      </c>
      <c r="H135" s="455" t="s">
        <v>216</v>
      </c>
      <c r="I135" s="455" t="s">
        <v>216</v>
      </c>
      <c r="K135" s="473"/>
      <c r="L135" s="473"/>
      <c r="M135" s="473"/>
      <c r="N135" s="824"/>
      <c r="O135" s="824"/>
      <c r="P135" s="824"/>
      <c r="Q135" s="824"/>
      <c r="R135" s="824"/>
      <c r="S135" s="824"/>
      <c r="T135" s="830"/>
    </row>
    <row r="136" spans="1:20">
      <c r="A136" s="456" t="s">
        <v>110</v>
      </c>
      <c r="B136" s="456"/>
      <c r="C136" s="456" t="s">
        <v>109</v>
      </c>
      <c r="D136" s="456" t="s">
        <v>99</v>
      </c>
      <c r="E136" s="456" t="s">
        <v>496</v>
      </c>
      <c r="F136" s="456" t="s">
        <v>99</v>
      </c>
      <c r="G136" s="456" t="s">
        <v>496</v>
      </c>
      <c r="H136" s="456" t="s">
        <v>99</v>
      </c>
      <c r="I136" s="456" t="s">
        <v>496</v>
      </c>
      <c r="K136" s="824"/>
      <c r="L136" s="824"/>
      <c r="M136" s="824"/>
      <c r="N136" s="824"/>
      <c r="O136" s="824"/>
      <c r="P136" s="824"/>
      <c r="Q136" s="824"/>
      <c r="R136" s="824"/>
      <c r="S136" s="824"/>
      <c r="T136" s="830"/>
    </row>
    <row r="137" spans="1:20">
      <c r="A137" s="618">
        <v>43466</v>
      </c>
      <c r="B137" s="466" t="s">
        <v>252</v>
      </c>
      <c r="C137" s="479">
        <f>ROUND(C139*J$142,3)</f>
        <v>43.218000000000004</v>
      </c>
      <c r="D137" s="471">
        <f>0.099693*(1+$Y$13)</f>
        <v>9.4718319299999992E-2</v>
      </c>
      <c r="E137" s="464">
        <f>ROUND(D137*$C137*1000,2)</f>
        <v>4093.54</v>
      </c>
      <c r="F137" s="471">
        <f>D137</f>
        <v>9.4718319299999992E-2</v>
      </c>
      <c r="G137" s="464">
        <f>ROUND(F137*$C137*1000,2)</f>
        <v>4093.54</v>
      </c>
      <c r="H137" s="471">
        <f>F137</f>
        <v>9.4718319299999992E-2</v>
      </c>
      <c r="I137" s="464">
        <f>ROUND(H137*$C137*1000,2)</f>
        <v>4093.54</v>
      </c>
      <c r="J137" s="458"/>
      <c r="K137" s="460"/>
      <c r="L137" s="460"/>
      <c r="M137" s="829"/>
      <c r="N137" s="826"/>
      <c r="O137" s="464"/>
      <c r="P137" s="826"/>
      <c r="Q137" s="464"/>
      <c r="R137" s="826"/>
      <c r="S137" s="464"/>
      <c r="T137" s="827"/>
    </row>
    <row r="138" spans="1:20">
      <c r="A138" s="618">
        <v>43466</v>
      </c>
      <c r="B138" s="466" t="s">
        <v>253</v>
      </c>
      <c r="C138" s="479">
        <f>C139-C137</f>
        <v>34.829893000254458</v>
      </c>
      <c r="D138" s="471">
        <f>0.03006*(1+$Y$13)</f>
        <v>2.8560005999999999E-2</v>
      </c>
      <c r="E138" s="464">
        <f>ROUND(D138*$C138*1000,2)</f>
        <v>994.74</v>
      </c>
      <c r="F138" s="471">
        <f>D138</f>
        <v>2.8560005999999999E-2</v>
      </c>
      <c r="G138" s="464">
        <f>ROUND(F138*$C138*1000,2)</f>
        <v>994.74</v>
      </c>
      <c r="H138" s="471">
        <f>F138</f>
        <v>2.8560005999999999E-2</v>
      </c>
      <c r="I138" s="464">
        <f>ROUND(H138*$C138*1000,2)</f>
        <v>994.74</v>
      </c>
      <c r="J138" s="580"/>
      <c r="K138" s="460"/>
      <c r="L138" s="460"/>
      <c r="M138" s="829"/>
      <c r="N138" s="826"/>
      <c r="O138" s="464"/>
      <c r="P138" s="826"/>
      <c r="Q138" s="464"/>
      <c r="R138" s="826"/>
      <c r="S138" s="464"/>
      <c r="T138" s="831"/>
    </row>
    <row r="139" spans="1:20">
      <c r="A139" s="618"/>
      <c r="B139" s="466" t="s">
        <v>93</v>
      </c>
      <c r="C139" s="487">
        <f>TempMWH!I4</f>
        <v>78.047893000254462</v>
      </c>
      <c r="D139" s="471"/>
      <c r="E139" s="468"/>
      <c r="F139" s="471"/>
      <c r="G139" s="468"/>
      <c r="H139" s="471"/>
      <c r="I139" s="468"/>
      <c r="J139" s="579" t="s">
        <v>254</v>
      </c>
      <c r="K139" s="460"/>
      <c r="L139" s="460"/>
      <c r="M139" s="462"/>
      <c r="N139" s="826"/>
      <c r="O139" s="464"/>
      <c r="P139" s="826"/>
      <c r="Q139" s="464"/>
      <c r="R139" s="826"/>
      <c r="S139" s="464"/>
      <c r="T139" s="830"/>
    </row>
    <row r="140" spans="1:20">
      <c r="A140" s="618">
        <v>43497</v>
      </c>
      <c r="B140" s="466" t="s">
        <v>252</v>
      </c>
      <c r="C140" s="479">
        <f>ROUND(C142*J$142,3)</f>
        <v>-21.689</v>
      </c>
      <c r="D140" s="471">
        <f>$D$137</f>
        <v>9.4718319299999992E-2</v>
      </c>
      <c r="E140" s="464">
        <f t="shared" ref="E140:I141" si="205">ROUND(D140*$C140*1000,2)</f>
        <v>-2054.35</v>
      </c>
      <c r="F140" s="471">
        <f t="shared" ref="F140:F141" si="206">D140</f>
        <v>9.4718319299999992E-2</v>
      </c>
      <c r="G140" s="464">
        <f t="shared" ref="G140:G141" si="207">ROUND(F140*$C140*1000,2)</f>
        <v>-2054.35</v>
      </c>
      <c r="H140" s="471">
        <f t="shared" ref="H140:H141" si="208">F140</f>
        <v>9.4718319299999992E-2</v>
      </c>
      <c r="I140" s="464">
        <f t="shared" si="205"/>
        <v>-2054.35</v>
      </c>
      <c r="J140" s="579">
        <f>'6A'!N30</f>
        <v>0.55272104993933291</v>
      </c>
      <c r="K140" s="460"/>
      <c r="L140" s="460"/>
      <c r="M140" s="829"/>
      <c r="N140" s="826"/>
      <c r="O140" s="464"/>
      <c r="P140" s="826"/>
      <c r="Q140" s="464"/>
      <c r="R140" s="826"/>
      <c r="S140" s="464"/>
      <c r="T140" s="830"/>
    </row>
    <row r="141" spans="1:20">
      <c r="A141" s="618">
        <v>43497</v>
      </c>
      <c r="B141" s="466" t="s">
        <v>253</v>
      </c>
      <c r="C141" s="479">
        <f>C142-C140</f>
        <v>-17.479785359320999</v>
      </c>
      <c r="D141" s="471">
        <f>$D$138</f>
        <v>2.8560005999999999E-2</v>
      </c>
      <c r="E141" s="464">
        <f t="shared" si="205"/>
        <v>-499.22</v>
      </c>
      <c r="F141" s="471">
        <f t="shared" si="206"/>
        <v>2.8560005999999999E-2</v>
      </c>
      <c r="G141" s="464">
        <f t="shared" si="207"/>
        <v>-499.22</v>
      </c>
      <c r="H141" s="471">
        <f t="shared" si="208"/>
        <v>2.8560005999999999E-2</v>
      </c>
      <c r="I141" s="464">
        <f t="shared" si="205"/>
        <v>-499.22</v>
      </c>
      <c r="J141" s="579" t="s">
        <v>255</v>
      </c>
      <c r="K141" s="460"/>
      <c r="L141" s="460"/>
      <c r="M141" s="829"/>
      <c r="N141" s="826"/>
      <c r="O141" s="464"/>
      <c r="P141" s="826"/>
      <c r="Q141" s="464"/>
      <c r="R141" s="826"/>
      <c r="S141" s="464"/>
      <c r="T141" s="830"/>
    </row>
    <row r="142" spans="1:20">
      <c r="A142" s="618"/>
      <c r="B142" s="466" t="s">
        <v>93</v>
      </c>
      <c r="C142" s="487">
        <f>TempMWH!I5</f>
        <v>-39.168785359320999</v>
      </c>
      <c r="D142" s="471"/>
      <c r="E142" s="468"/>
      <c r="F142" s="471"/>
      <c r="G142" s="468"/>
      <c r="H142" s="471"/>
      <c r="I142" s="468"/>
      <c r="J142" s="579">
        <f>'6A'!P30</f>
        <v>0.55373351401327453</v>
      </c>
      <c r="K142" s="460"/>
      <c r="L142" s="460"/>
      <c r="M142" s="462"/>
      <c r="N142" s="826"/>
      <c r="O142" s="464"/>
      <c r="P142" s="826"/>
      <c r="Q142" s="464"/>
      <c r="R142" s="826"/>
      <c r="S142" s="464"/>
      <c r="T142" s="830"/>
    </row>
    <row r="143" spans="1:20">
      <c r="A143" s="618">
        <v>43525</v>
      </c>
      <c r="B143" s="466" t="s">
        <v>252</v>
      </c>
      <c r="C143" s="479">
        <f>ROUND(C145*J$142,3)</f>
        <v>19.239000000000001</v>
      </c>
      <c r="D143" s="471">
        <f>$D$137</f>
        <v>9.4718319299999992E-2</v>
      </c>
      <c r="E143" s="464">
        <f t="shared" ref="E143:I144" si="209">ROUND(D143*$C143*1000,2)</f>
        <v>1822.29</v>
      </c>
      <c r="F143" s="471">
        <f t="shared" ref="F143:F144" si="210">D143</f>
        <v>9.4718319299999992E-2</v>
      </c>
      <c r="G143" s="464">
        <f t="shared" ref="G143:G144" si="211">ROUND(F143*$C143*1000,2)</f>
        <v>1822.29</v>
      </c>
      <c r="H143" s="471">
        <f t="shared" ref="H143:H144" si="212">F143</f>
        <v>9.4718319299999992E-2</v>
      </c>
      <c r="I143" s="464">
        <f t="shared" si="209"/>
        <v>1822.29</v>
      </c>
      <c r="K143" s="460"/>
      <c r="L143" s="460"/>
      <c r="M143" s="829"/>
      <c r="N143" s="826"/>
      <c r="O143" s="464"/>
      <c r="P143" s="826"/>
      <c r="Q143" s="464"/>
      <c r="R143" s="826"/>
      <c r="S143" s="464"/>
      <c r="T143" s="830"/>
    </row>
    <row r="144" spans="1:20">
      <c r="A144" s="618">
        <v>43525</v>
      </c>
      <c r="B144" s="466" t="s">
        <v>253</v>
      </c>
      <c r="C144" s="479">
        <f>C145-C143</f>
        <v>15.504676479682903</v>
      </c>
      <c r="D144" s="471">
        <f>$D$138</f>
        <v>2.8560005999999999E-2</v>
      </c>
      <c r="E144" s="464">
        <f t="shared" si="209"/>
        <v>442.81</v>
      </c>
      <c r="F144" s="471">
        <f t="shared" si="210"/>
        <v>2.8560005999999999E-2</v>
      </c>
      <c r="G144" s="464">
        <f t="shared" si="211"/>
        <v>442.81</v>
      </c>
      <c r="H144" s="471">
        <f t="shared" si="212"/>
        <v>2.8560005999999999E-2</v>
      </c>
      <c r="I144" s="464">
        <f t="shared" si="209"/>
        <v>442.81</v>
      </c>
      <c r="K144" s="460"/>
      <c r="L144" s="460"/>
      <c r="M144" s="829"/>
      <c r="N144" s="826"/>
      <c r="O144" s="464"/>
      <c r="P144" s="826"/>
      <c r="Q144" s="464"/>
      <c r="R144" s="826"/>
      <c r="S144" s="464"/>
      <c r="T144" s="830"/>
    </row>
    <row r="145" spans="1:20">
      <c r="A145" s="618"/>
      <c r="B145" s="466" t="s">
        <v>93</v>
      </c>
      <c r="C145" s="487">
        <f>TempMWH!I6</f>
        <v>34.743676479682904</v>
      </c>
      <c r="D145" s="471"/>
      <c r="E145" s="468"/>
      <c r="F145" s="471"/>
      <c r="G145" s="468"/>
      <c r="H145" s="471"/>
      <c r="I145" s="468"/>
      <c r="K145" s="460"/>
      <c r="L145" s="460"/>
      <c r="M145" s="462"/>
      <c r="N145" s="826"/>
      <c r="O145" s="464"/>
      <c r="P145" s="826"/>
      <c r="Q145" s="464"/>
      <c r="R145" s="826"/>
      <c r="S145" s="464"/>
      <c r="T145" s="830"/>
    </row>
    <row r="146" spans="1:20">
      <c r="A146" s="618">
        <v>43556</v>
      </c>
      <c r="B146" s="466" t="s">
        <v>252</v>
      </c>
      <c r="C146" s="479">
        <f>ROUND(C148*J$142,3)</f>
        <v>30.69</v>
      </c>
      <c r="D146" s="471">
        <f>$D$137</f>
        <v>9.4718319299999992E-2</v>
      </c>
      <c r="E146" s="464">
        <f t="shared" ref="E146:I147" si="213">ROUND(D146*$C146*1000,2)</f>
        <v>2906.91</v>
      </c>
      <c r="F146" s="471">
        <f t="shared" ref="F146:F147" si="214">D146</f>
        <v>9.4718319299999992E-2</v>
      </c>
      <c r="G146" s="464">
        <f t="shared" ref="G146:G147" si="215">ROUND(F146*$C146*1000,2)</f>
        <v>2906.91</v>
      </c>
      <c r="H146" s="471">
        <f t="shared" ref="H146:H147" si="216">F146</f>
        <v>9.4718319299999992E-2</v>
      </c>
      <c r="I146" s="464">
        <f t="shared" si="213"/>
        <v>2906.91</v>
      </c>
      <c r="K146" s="460"/>
      <c r="L146" s="460"/>
      <c r="M146" s="829"/>
      <c r="N146" s="826"/>
      <c r="O146" s="464"/>
      <c r="P146" s="826"/>
      <c r="Q146" s="464"/>
      <c r="R146" s="826"/>
      <c r="S146" s="464"/>
      <c r="T146" s="830"/>
    </row>
    <row r="147" spans="1:20">
      <c r="A147" s="618">
        <v>43556</v>
      </c>
      <c r="B147" s="466" t="s">
        <v>253</v>
      </c>
      <c r="C147" s="479">
        <f>C148-C146</f>
        <v>24.732997981463999</v>
      </c>
      <c r="D147" s="471">
        <f>$D$138</f>
        <v>2.8560005999999999E-2</v>
      </c>
      <c r="E147" s="464">
        <f t="shared" si="213"/>
        <v>706.37</v>
      </c>
      <c r="F147" s="471">
        <f t="shared" si="214"/>
        <v>2.8560005999999999E-2</v>
      </c>
      <c r="G147" s="464">
        <f t="shared" si="215"/>
        <v>706.37</v>
      </c>
      <c r="H147" s="471">
        <f t="shared" si="216"/>
        <v>2.8560005999999999E-2</v>
      </c>
      <c r="I147" s="464">
        <f t="shared" si="213"/>
        <v>706.37</v>
      </c>
      <c r="K147" s="460"/>
      <c r="L147" s="460"/>
      <c r="M147" s="829"/>
      <c r="N147" s="826"/>
      <c r="O147" s="464"/>
      <c r="P147" s="826"/>
      <c r="Q147" s="464"/>
      <c r="R147" s="826"/>
      <c r="S147" s="464"/>
      <c r="T147" s="830"/>
    </row>
    <row r="148" spans="1:20">
      <c r="A148" s="618"/>
      <c r="B148" s="466" t="s">
        <v>93</v>
      </c>
      <c r="C148" s="487">
        <f>TempMWH!I7</f>
        <v>55.422997981464</v>
      </c>
      <c r="D148" s="471"/>
      <c r="E148" s="468"/>
      <c r="F148" s="471"/>
      <c r="G148" s="468"/>
      <c r="H148" s="471"/>
      <c r="I148" s="468"/>
      <c r="K148" s="460"/>
      <c r="L148" s="460"/>
      <c r="M148" s="462"/>
      <c r="N148" s="826"/>
      <c r="O148" s="464"/>
      <c r="P148" s="826"/>
      <c r="Q148" s="464"/>
      <c r="R148" s="826"/>
      <c r="S148" s="464"/>
      <c r="T148" s="830"/>
    </row>
    <row r="149" spans="1:20">
      <c r="A149" s="618">
        <v>43586</v>
      </c>
      <c r="B149" s="466" t="s">
        <v>252</v>
      </c>
      <c r="C149" s="479">
        <f>ROUND(C151*J$140,3)</f>
        <v>254.596</v>
      </c>
      <c r="D149" s="471">
        <f>0.119266*(1+$Y$13)</f>
        <v>0.1133146266</v>
      </c>
      <c r="E149" s="464">
        <f t="shared" ref="E149:I150" si="217">ROUND(D149*$C149*1000,2)</f>
        <v>28849.45</v>
      </c>
      <c r="F149" s="471">
        <f t="shared" ref="F149:F150" si="218">D149</f>
        <v>0.1133146266</v>
      </c>
      <c r="G149" s="464">
        <f t="shared" ref="G149:G150" si="219">ROUND(F149*$C149*1000,2)</f>
        <v>28849.45</v>
      </c>
      <c r="H149" s="471">
        <f t="shared" ref="H149:H150" si="220">F149</f>
        <v>0.1133146266</v>
      </c>
      <c r="I149" s="464">
        <f t="shared" si="217"/>
        <v>28849.45</v>
      </c>
      <c r="K149" s="460"/>
      <c r="L149" s="460"/>
      <c r="M149" s="829"/>
      <c r="N149" s="826"/>
      <c r="O149" s="464"/>
      <c r="P149" s="826"/>
      <c r="Q149" s="464"/>
      <c r="R149" s="826"/>
      <c r="S149" s="464"/>
      <c r="T149" s="830"/>
    </row>
    <row r="150" spans="1:20">
      <c r="A150" s="618">
        <v>43586</v>
      </c>
      <c r="B150" s="466" t="s">
        <v>253</v>
      </c>
      <c r="C150" s="479">
        <f>C151-C149</f>
        <v>206.02714005149875</v>
      </c>
      <c r="D150" s="471">
        <f>0.035908*(1+$Y$13)</f>
        <v>3.4116190800000001E-2</v>
      </c>
      <c r="E150" s="464">
        <f t="shared" si="217"/>
        <v>7028.86</v>
      </c>
      <c r="F150" s="471">
        <f t="shared" si="218"/>
        <v>3.4116190800000001E-2</v>
      </c>
      <c r="G150" s="464">
        <f t="shared" si="219"/>
        <v>7028.86</v>
      </c>
      <c r="H150" s="471">
        <f t="shared" si="220"/>
        <v>3.4116190800000001E-2</v>
      </c>
      <c r="I150" s="464">
        <f t="shared" si="217"/>
        <v>7028.86</v>
      </c>
      <c r="K150" s="460"/>
      <c r="L150" s="460"/>
      <c r="M150" s="829"/>
      <c r="N150" s="826"/>
      <c r="O150" s="464"/>
      <c r="P150" s="826"/>
      <c r="Q150" s="464"/>
      <c r="R150" s="826"/>
      <c r="S150" s="464"/>
      <c r="T150" s="830"/>
    </row>
    <row r="151" spans="1:20">
      <c r="A151" s="618"/>
      <c r="B151" s="466" t="s">
        <v>93</v>
      </c>
      <c r="C151" s="487">
        <f>TempMWH!I8</f>
        <v>460.62314005149875</v>
      </c>
      <c r="D151" s="471"/>
      <c r="E151" s="468"/>
      <c r="F151" s="471"/>
      <c r="G151" s="468"/>
      <c r="H151" s="471"/>
      <c r="I151" s="468"/>
      <c r="K151" s="460"/>
      <c r="L151" s="460"/>
      <c r="M151" s="462"/>
      <c r="N151" s="826"/>
      <c r="O151" s="464"/>
      <c r="P151" s="826"/>
      <c r="Q151" s="464"/>
      <c r="R151" s="826"/>
      <c r="S151" s="464"/>
      <c r="T151" s="830"/>
    </row>
    <row r="152" spans="1:20">
      <c r="A152" s="618">
        <v>43617</v>
      </c>
      <c r="B152" s="466" t="s">
        <v>252</v>
      </c>
      <c r="C152" s="479">
        <f>ROUND(C154*J$140,3)</f>
        <v>175.57599999999999</v>
      </c>
      <c r="D152" s="471">
        <f>D149</f>
        <v>0.1133146266</v>
      </c>
      <c r="E152" s="464">
        <f t="shared" ref="E152:I153" si="221">ROUND(D152*$C152*1000,2)</f>
        <v>19895.330000000002</v>
      </c>
      <c r="F152" s="471">
        <f t="shared" ref="F152:F153" si="222">D152</f>
        <v>0.1133146266</v>
      </c>
      <c r="G152" s="464">
        <f t="shared" ref="G152:G153" si="223">ROUND(F152*$C152*1000,2)</f>
        <v>19895.330000000002</v>
      </c>
      <c r="H152" s="471">
        <f t="shared" ref="H152:H153" si="224">F152</f>
        <v>0.1133146266</v>
      </c>
      <c r="I152" s="464">
        <f t="shared" si="221"/>
        <v>19895.330000000002</v>
      </c>
      <c r="K152" s="460"/>
      <c r="L152" s="460"/>
      <c r="M152" s="829"/>
      <c r="N152" s="826"/>
      <c r="O152" s="464"/>
      <c r="P152" s="826"/>
      <c r="Q152" s="464"/>
      <c r="R152" s="826"/>
      <c r="S152" s="464"/>
      <c r="T152" s="830"/>
    </row>
    <row r="153" spans="1:20">
      <c r="A153" s="618">
        <v>43617</v>
      </c>
      <c r="B153" s="466" t="s">
        <v>253</v>
      </c>
      <c r="C153" s="479">
        <f>C154-C152</f>
        <v>142.08136290849117</v>
      </c>
      <c r="D153" s="471">
        <f>D150</f>
        <v>3.4116190800000001E-2</v>
      </c>
      <c r="E153" s="464">
        <f t="shared" si="221"/>
        <v>4847.2700000000004</v>
      </c>
      <c r="F153" s="471">
        <f t="shared" si="222"/>
        <v>3.4116190800000001E-2</v>
      </c>
      <c r="G153" s="464">
        <f t="shared" si="223"/>
        <v>4847.2700000000004</v>
      </c>
      <c r="H153" s="471">
        <f t="shared" si="224"/>
        <v>3.4116190800000001E-2</v>
      </c>
      <c r="I153" s="464">
        <f t="shared" si="221"/>
        <v>4847.2700000000004</v>
      </c>
      <c r="K153" s="460"/>
      <c r="L153" s="460"/>
      <c r="M153" s="829"/>
      <c r="N153" s="826"/>
      <c r="O153" s="464"/>
      <c r="P153" s="826"/>
      <c r="Q153" s="464"/>
      <c r="R153" s="826"/>
      <c r="S153" s="464"/>
      <c r="T153" s="830"/>
    </row>
    <row r="154" spans="1:20">
      <c r="A154" s="618"/>
      <c r="B154" s="460" t="s">
        <v>93</v>
      </c>
      <c r="C154" s="462">
        <f>TempMWH!I9</f>
        <v>317.65736290849117</v>
      </c>
      <c r="D154" s="473"/>
      <c r="E154" s="464"/>
      <c r="F154" s="473"/>
      <c r="G154" s="464"/>
      <c r="H154" s="473"/>
      <c r="I154" s="464"/>
      <c r="K154" s="460"/>
      <c r="L154" s="460"/>
      <c r="M154" s="462"/>
      <c r="N154" s="473"/>
      <c r="O154" s="464"/>
      <c r="P154" s="473"/>
      <c r="Q154" s="464"/>
      <c r="R154" s="473"/>
      <c r="S154" s="464"/>
      <c r="T154" s="830"/>
    </row>
    <row r="155" spans="1:20">
      <c r="A155" s="618">
        <v>43647</v>
      </c>
      <c r="B155" s="466" t="s">
        <v>252</v>
      </c>
      <c r="C155" s="479">
        <f>ROUND(C157*J$140,3)</f>
        <v>-138.458</v>
      </c>
      <c r="D155" s="471">
        <f>0.119266*(1+$X$13)</f>
        <v>0.1133146266</v>
      </c>
      <c r="E155" s="464">
        <f t="shared" ref="E155:I156" si="225">ROUND(D155*$C155*1000,2)</f>
        <v>-15689.32</v>
      </c>
      <c r="F155" s="471">
        <f>F152</f>
        <v>0.1133146266</v>
      </c>
      <c r="G155" s="464">
        <f t="shared" ref="G155:G156" si="226">ROUND(F155*$C155*1000,2)</f>
        <v>-15689.32</v>
      </c>
      <c r="H155" s="471">
        <f t="shared" ref="H155:H156" si="227">F155</f>
        <v>0.1133146266</v>
      </c>
      <c r="I155" s="464">
        <f t="shared" si="225"/>
        <v>-15689.32</v>
      </c>
      <c r="K155" s="460"/>
      <c r="L155" s="460"/>
      <c r="M155" s="829"/>
      <c r="N155" s="826"/>
      <c r="O155" s="464"/>
      <c r="P155" s="826"/>
      <c r="Q155" s="464"/>
      <c r="R155" s="826"/>
      <c r="S155" s="464"/>
      <c r="T155" s="830"/>
    </row>
    <row r="156" spans="1:20">
      <c r="A156" s="618">
        <v>43647</v>
      </c>
      <c r="B156" s="466" t="s">
        <v>253</v>
      </c>
      <c r="C156" s="479">
        <f>C157-C155</f>
        <v>-112.04438538872731</v>
      </c>
      <c r="D156" s="471">
        <f>0.035908*(1+$X$13)</f>
        <v>3.4116190800000001E-2</v>
      </c>
      <c r="E156" s="464">
        <f t="shared" si="225"/>
        <v>-3822.53</v>
      </c>
      <c r="F156" s="471">
        <f>F153</f>
        <v>3.4116190800000001E-2</v>
      </c>
      <c r="G156" s="464">
        <f t="shared" si="226"/>
        <v>-3822.53</v>
      </c>
      <c r="H156" s="471">
        <f t="shared" si="227"/>
        <v>3.4116190800000001E-2</v>
      </c>
      <c r="I156" s="464">
        <f t="shared" si="225"/>
        <v>-3822.53</v>
      </c>
      <c r="K156" s="460"/>
      <c r="L156" s="460"/>
      <c r="M156" s="829"/>
      <c r="N156" s="826"/>
      <c r="O156" s="464"/>
      <c r="P156" s="826"/>
      <c r="Q156" s="464"/>
      <c r="R156" s="826"/>
      <c r="S156" s="464"/>
      <c r="T156" s="830"/>
    </row>
    <row r="157" spans="1:20">
      <c r="A157" s="618"/>
      <c r="B157" s="466" t="s">
        <v>93</v>
      </c>
      <c r="C157" s="487">
        <f>TempMWH!I10</f>
        <v>-250.5023853887273</v>
      </c>
      <c r="E157" s="468"/>
      <c r="G157" s="468"/>
      <c r="I157" s="468"/>
      <c r="K157" s="460"/>
      <c r="L157" s="460"/>
      <c r="M157" s="462"/>
      <c r="N157" s="826"/>
      <c r="O157" s="464"/>
      <c r="P157" s="826"/>
      <c r="Q157" s="464"/>
      <c r="R157" s="826"/>
      <c r="S157" s="464"/>
      <c r="T157" s="830"/>
    </row>
    <row r="158" spans="1:20">
      <c r="A158" s="618">
        <v>43678</v>
      </c>
      <c r="B158" s="466" t="s">
        <v>252</v>
      </c>
      <c r="C158" s="479">
        <f>ROUND(C160*J$140,3)</f>
        <v>-377.29199999999997</v>
      </c>
      <c r="D158" s="471">
        <f>$D$155</f>
        <v>0.1133146266</v>
      </c>
      <c r="E158" s="464">
        <f t="shared" ref="E158:I159" si="228">ROUND(D158*$C158*1000,2)</f>
        <v>-42752.7</v>
      </c>
      <c r="F158" s="471">
        <f>F155</f>
        <v>0.1133146266</v>
      </c>
      <c r="G158" s="464">
        <f t="shared" ref="G158:G159" si="229">ROUND(F158*$C158*1000,2)</f>
        <v>-42752.7</v>
      </c>
      <c r="H158" s="471">
        <f t="shared" ref="H158:H159" si="230">F158</f>
        <v>0.1133146266</v>
      </c>
      <c r="I158" s="464">
        <f t="shared" si="228"/>
        <v>-42752.7</v>
      </c>
      <c r="K158" s="460"/>
      <c r="L158" s="460"/>
      <c r="M158" s="829"/>
      <c r="N158" s="826"/>
      <c r="O158" s="464"/>
      <c r="P158" s="826"/>
      <c r="Q158" s="464"/>
      <c r="R158" s="826"/>
      <c r="S158" s="464"/>
      <c r="T158" s="830"/>
    </row>
    <row r="159" spans="1:20">
      <c r="A159" s="618">
        <v>43678</v>
      </c>
      <c r="B159" s="466" t="s">
        <v>253</v>
      </c>
      <c r="C159" s="479">
        <f>C160-C158</f>
        <v>-305.31567009058887</v>
      </c>
      <c r="D159" s="471">
        <f>$D$156</f>
        <v>3.4116190800000001E-2</v>
      </c>
      <c r="E159" s="464">
        <f t="shared" si="228"/>
        <v>-10416.209999999999</v>
      </c>
      <c r="F159" s="471">
        <f>F156</f>
        <v>3.4116190800000001E-2</v>
      </c>
      <c r="G159" s="464">
        <f t="shared" si="229"/>
        <v>-10416.209999999999</v>
      </c>
      <c r="H159" s="471">
        <f t="shared" si="230"/>
        <v>3.4116190800000001E-2</v>
      </c>
      <c r="I159" s="464">
        <f t="shared" si="228"/>
        <v>-10416.209999999999</v>
      </c>
      <c r="K159" s="460"/>
      <c r="L159" s="460"/>
      <c r="M159" s="829"/>
      <c r="N159" s="826"/>
      <c r="O159" s="464"/>
      <c r="P159" s="826"/>
      <c r="Q159" s="464"/>
      <c r="R159" s="826"/>
      <c r="S159" s="464"/>
      <c r="T159" s="830"/>
    </row>
    <row r="160" spans="1:20">
      <c r="A160" s="618"/>
      <c r="B160" s="466" t="s">
        <v>93</v>
      </c>
      <c r="C160" s="487">
        <f>TempMWH!I11</f>
        <v>-682.60767009058884</v>
      </c>
      <c r="E160" s="468"/>
      <c r="G160" s="468"/>
      <c r="I160" s="468"/>
      <c r="J160" s="458"/>
      <c r="K160" s="460"/>
      <c r="L160" s="460"/>
      <c r="M160" s="462"/>
      <c r="N160" s="826"/>
      <c r="O160" s="464"/>
      <c r="P160" s="826"/>
      <c r="Q160" s="464"/>
      <c r="R160" s="826"/>
      <c r="S160" s="464"/>
      <c r="T160" s="827"/>
    </row>
    <row r="161" spans="1:20">
      <c r="A161" s="618">
        <v>43709</v>
      </c>
      <c r="B161" s="466" t="s">
        <v>252</v>
      </c>
      <c r="C161" s="479">
        <f>ROUND(C163*J$140,3)</f>
        <v>-124.926</v>
      </c>
      <c r="D161" s="471">
        <f>$D$155</f>
        <v>0.1133146266</v>
      </c>
      <c r="E161" s="464">
        <f t="shared" ref="E161:I162" si="231">ROUND(D161*$C161*1000,2)</f>
        <v>-14155.94</v>
      </c>
      <c r="F161" s="471">
        <f>F158</f>
        <v>0.1133146266</v>
      </c>
      <c r="G161" s="464">
        <f t="shared" ref="G161:G162" si="232">ROUND(F161*$C161*1000,2)</f>
        <v>-14155.94</v>
      </c>
      <c r="H161" s="471">
        <f t="shared" ref="H161:H162" si="233">F161</f>
        <v>0.1133146266</v>
      </c>
      <c r="I161" s="464">
        <f t="shared" si="231"/>
        <v>-14155.94</v>
      </c>
      <c r="K161" s="460"/>
      <c r="L161" s="460"/>
      <c r="M161" s="829"/>
      <c r="N161" s="826"/>
      <c r="O161" s="464"/>
      <c r="P161" s="826"/>
      <c r="Q161" s="464"/>
      <c r="R161" s="826"/>
      <c r="S161" s="464"/>
      <c r="T161" s="830"/>
    </row>
    <row r="162" spans="1:20">
      <c r="A162" s="618">
        <v>43709</v>
      </c>
      <c r="B162" s="466" t="s">
        <v>253</v>
      </c>
      <c r="C162" s="479">
        <f>C163-C161</f>
        <v>-101.09487566674498</v>
      </c>
      <c r="D162" s="471">
        <f>$D$156</f>
        <v>3.4116190800000001E-2</v>
      </c>
      <c r="E162" s="464">
        <f t="shared" si="231"/>
        <v>-3448.97</v>
      </c>
      <c r="F162" s="471">
        <f>F159</f>
        <v>3.4116190800000001E-2</v>
      </c>
      <c r="G162" s="464">
        <f t="shared" si="232"/>
        <v>-3448.97</v>
      </c>
      <c r="H162" s="471">
        <f t="shared" si="233"/>
        <v>3.4116190800000001E-2</v>
      </c>
      <c r="I162" s="464">
        <f t="shared" si="231"/>
        <v>-3448.97</v>
      </c>
      <c r="K162" s="460"/>
      <c r="L162" s="460"/>
      <c r="M162" s="829"/>
      <c r="N162" s="826"/>
      <c r="O162" s="464"/>
      <c r="P162" s="826"/>
      <c r="Q162" s="464"/>
      <c r="R162" s="826"/>
      <c r="S162" s="464"/>
      <c r="T162" s="830"/>
    </row>
    <row r="163" spans="1:20">
      <c r="A163" s="618"/>
      <c r="B163" s="466" t="s">
        <v>93</v>
      </c>
      <c r="C163" s="462">
        <f>TempMWH!I12</f>
        <v>-226.02087566674498</v>
      </c>
      <c r="E163" s="468"/>
      <c r="G163" s="468"/>
      <c r="I163" s="468"/>
      <c r="K163" s="460"/>
      <c r="L163" s="460"/>
      <c r="M163" s="462"/>
      <c r="N163" s="826"/>
      <c r="O163" s="464"/>
      <c r="P163" s="826"/>
      <c r="Q163" s="464"/>
      <c r="R163" s="826"/>
      <c r="S163" s="464"/>
      <c r="T163" s="832"/>
    </row>
    <row r="164" spans="1:20">
      <c r="A164" s="618">
        <v>43739</v>
      </c>
      <c r="B164" s="466" t="s">
        <v>252</v>
      </c>
      <c r="C164" s="479">
        <f>ROUND(C166*J$142,3)</f>
        <v>70.546999999999997</v>
      </c>
      <c r="D164" s="471">
        <f>0.099693*(1+$X$13)</f>
        <v>9.4718319299999992E-2</v>
      </c>
      <c r="E164" s="464">
        <f t="shared" ref="E164:I165" si="234">ROUND(D164*$C164*1000,2)</f>
        <v>6682.09</v>
      </c>
      <c r="F164" s="471">
        <f>F137</f>
        <v>9.4718319299999992E-2</v>
      </c>
      <c r="G164" s="464">
        <f t="shared" ref="G164:G165" si="235">ROUND(F164*$C164*1000,2)</f>
        <v>6682.09</v>
      </c>
      <c r="H164" s="471">
        <f t="shared" ref="H164:H165" si="236">F164</f>
        <v>9.4718319299999992E-2</v>
      </c>
      <c r="I164" s="464">
        <f t="shared" si="234"/>
        <v>6682.09</v>
      </c>
      <c r="K164" s="460"/>
      <c r="L164" s="460"/>
      <c r="M164" s="829"/>
      <c r="N164" s="826"/>
      <c r="O164" s="464"/>
      <c r="P164" s="826"/>
      <c r="Q164" s="464"/>
      <c r="R164" s="826"/>
      <c r="S164" s="464"/>
      <c r="T164" s="832"/>
    </row>
    <row r="165" spans="1:20">
      <c r="A165" s="618">
        <v>43739</v>
      </c>
      <c r="B165" s="466" t="s">
        <v>253</v>
      </c>
      <c r="C165" s="479">
        <f>C166-C164</f>
        <v>56.854947601125843</v>
      </c>
      <c r="D165" s="625">
        <f>0.03006*(1+$X$13)</f>
        <v>2.8560005999999999E-2</v>
      </c>
      <c r="E165" s="464">
        <f t="shared" si="234"/>
        <v>1623.78</v>
      </c>
      <c r="F165" s="471">
        <f>F138</f>
        <v>2.8560005999999999E-2</v>
      </c>
      <c r="G165" s="464">
        <f t="shared" si="235"/>
        <v>1623.78</v>
      </c>
      <c r="H165" s="471">
        <f t="shared" si="236"/>
        <v>2.8560005999999999E-2</v>
      </c>
      <c r="I165" s="464">
        <f t="shared" si="234"/>
        <v>1623.78</v>
      </c>
      <c r="K165" s="460"/>
      <c r="L165" s="460"/>
      <c r="M165" s="829"/>
      <c r="N165" s="826"/>
      <c r="O165" s="464"/>
      <c r="P165" s="826"/>
      <c r="Q165" s="464"/>
      <c r="R165" s="826"/>
      <c r="S165" s="464"/>
      <c r="T165" s="832"/>
    </row>
    <row r="166" spans="1:20">
      <c r="A166" s="618"/>
      <c r="B166" s="466" t="s">
        <v>93</v>
      </c>
      <c r="C166" s="487">
        <f>TempMWH!I13</f>
        <v>127.40194760112584</v>
      </c>
      <c r="E166" s="468"/>
      <c r="G166" s="468"/>
      <c r="I166" s="468"/>
      <c r="K166" s="460"/>
      <c r="L166" s="460"/>
      <c r="M166" s="462"/>
      <c r="N166" s="826"/>
      <c r="O166" s="464"/>
      <c r="P166" s="826"/>
      <c r="Q166" s="464"/>
      <c r="R166" s="826"/>
      <c r="S166" s="464"/>
      <c r="T166" s="832"/>
    </row>
    <row r="167" spans="1:20">
      <c r="A167" s="618">
        <v>43770</v>
      </c>
      <c r="B167" s="466" t="s">
        <v>252</v>
      </c>
      <c r="C167" s="479">
        <f>ROUND(C169*J$142,3)</f>
        <v>89.376999999999995</v>
      </c>
      <c r="D167" s="471">
        <f>D164</f>
        <v>9.4718319299999992E-2</v>
      </c>
      <c r="E167" s="464">
        <f t="shared" ref="E167:I168" si="237">ROUND(D167*$C167*1000,2)</f>
        <v>8465.64</v>
      </c>
      <c r="F167" s="471">
        <f>F137</f>
        <v>9.4718319299999992E-2</v>
      </c>
      <c r="G167" s="464">
        <f t="shared" ref="G167:G168" si="238">ROUND(F167*$C167*1000,2)</f>
        <v>8465.64</v>
      </c>
      <c r="H167" s="471">
        <f t="shared" ref="H167:H168" si="239">F167</f>
        <v>9.4718319299999992E-2</v>
      </c>
      <c r="I167" s="464">
        <f t="shared" si="237"/>
        <v>8465.64</v>
      </c>
      <c r="K167" s="460"/>
      <c r="L167" s="460"/>
      <c r="M167" s="829"/>
      <c r="N167" s="826"/>
      <c r="O167" s="464"/>
      <c r="P167" s="826"/>
      <c r="Q167" s="464"/>
      <c r="R167" s="826"/>
      <c r="S167" s="464"/>
      <c r="T167" s="832"/>
    </row>
    <row r="168" spans="1:20">
      <c r="A168" s="618">
        <v>43770</v>
      </c>
      <c r="B168" s="466" t="s">
        <v>253</v>
      </c>
      <c r="C168" s="479">
        <f>C169-C167</f>
        <v>72.031312559735383</v>
      </c>
      <c r="D168" s="471">
        <f>D165</f>
        <v>2.8560005999999999E-2</v>
      </c>
      <c r="E168" s="464">
        <f t="shared" si="237"/>
        <v>2057.21</v>
      </c>
      <c r="F168" s="471">
        <f>F138</f>
        <v>2.8560005999999999E-2</v>
      </c>
      <c r="G168" s="464">
        <f t="shared" si="238"/>
        <v>2057.21</v>
      </c>
      <c r="H168" s="471">
        <f t="shared" si="239"/>
        <v>2.8560005999999999E-2</v>
      </c>
      <c r="I168" s="464">
        <f t="shared" si="237"/>
        <v>2057.21</v>
      </c>
      <c r="K168" s="460"/>
      <c r="L168" s="460"/>
      <c r="M168" s="829"/>
      <c r="N168" s="826"/>
      <c r="O168" s="464"/>
      <c r="P168" s="826"/>
      <c r="Q168" s="464"/>
      <c r="R168" s="826"/>
      <c r="S168" s="464"/>
      <c r="T168" s="832"/>
    </row>
    <row r="169" spans="1:20">
      <c r="A169" s="618"/>
      <c r="B169" s="466" t="s">
        <v>93</v>
      </c>
      <c r="C169" s="487">
        <f>TempMWH!I14</f>
        <v>161.40831255973538</v>
      </c>
      <c r="E169" s="468"/>
      <c r="G169" s="468"/>
      <c r="I169" s="468"/>
      <c r="K169" s="460"/>
      <c r="L169" s="460"/>
      <c r="M169" s="462"/>
      <c r="N169" s="826"/>
      <c r="O169" s="464"/>
      <c r="P169" s="826"/>
      <c r="Q169" s="464"/>
      <c r="R169" s="826"/>
      <c r="S169" s="464"/>
      <c r="T169" s="830"/>
    </row>
    <row r="170" spans="1:20">
      <c r="A170" s="618">
        <v>43800</v>
      </c>
      <c r="B170" s="466" t="s">
        <v>252</v>
      </c>
      <c r="C170" s="479">
        <f>ROUND(C172*J$142,3)</f>
        <v>150.06100000000001</v>
      </c>
      <c r="D170" s="471">
        <f>D164</f>
        <v>9.4718319299999992E-2</v>
      </c>
      <c r="E170" s="464">
        <f t="shared" ref="E170:I171" si="240">ROUND(D170*$C170*1000,2)</f>
        <v>14213.53</v>
      </c>
      <c r="F170" s="471">
        <f>F137</f>
        <v>9.4718319299999992E-2</v>
      </c>
      <c r="G170" s="464">
        <f t="shared" ref="G170:G171" si="241">ROUND(F170*$C170*1000,2)</f>
        <v>14213.53</v>
      </c>
      <c r="H170" s="471">
        <f t="shared" ref="H170:H171" si="242">F170</f>
        <v>9.4718319299999992E-2</v>
      </c>
      <c r="I170" s="464">
        <f t="shared" si="240"/>
        <v>14213.53</v>
      </c>
      <c r="K170" s="460"/>
      <c r="L170" s="460"/>
      <c r="M170" s="829"/>
      <c r="N170" s="826"/>
      <c r="O170" s="464"/>
      <c r="P170" s="826"/>
      <c r="Q170" s="464"/>
      <c r="R170" s="826"/>
      <c r="S170" s="464"/>
      <c r="T170" s="830"/>
    </row>
    <row r="171" spans="1:20">
      <c r="A171" s="618">
        <v>43800</v>
      </c>
      <c r="B171" s="460" t="s">
        <v>253</v>
      </c>
      <c r="C171" s="479">
        <f>C172-C170</f>
        <v>120.93747819820871</v>
      </c>
      <c r="D171" s="471">
        <f>D165</f>
        <v>2.8560005999999999E-2</v>
      </c>
      <c r="E171" s="464">
        <f t="shared" si="240"/>
        <v>3453.98</v>
      </c>
      <c r="F171" s="471">
        <f>F138</f>
        <v>2.8560005999999999E-2</v>
      </c>
      <c r="G171" s="464">
        <f t="shared" si="241"/>
        <v>3453.98</v>
      </c>
      <c r="H171" s="471">
        <f t="shared" si="242"/>
        <v>2.8560005999999999E-2</v>
      </c>
      <c r="I171" s="464">
        <f t="shared" si="240"/>
        <v>3453.98</v>
      </c>
      <c r="K171" s="460"/>
      <c r="L171" s="460"/>
      <c r="M171" s="829"/>
      <c r="N171" s="826"/>
      <c r="O171" s="464"/>
      <c r="P171" s="826"/>
      <c r="Q171" s="464"/>
      <c r="R171" s="826"/>
      <c r="S171" s="464"/>
      <c r="T171" s="830"/>
    </row>
    <row r="172" spans="1:20">
      <c r="A172" s="474"/>
      <c r="B172" s="474" t="s">
        <v>93</v>
      </c>
      <c r="C172" s="476">
        <f>TempMWH!I15</f>
        <v>270.99847819820872</v>
      </c>
      <c r="D172" s="481"/>
      <c r="E172" s="478"/>
      <c r="F172" s="481"/>
      <c r="G172" s="478"/>
      <c r="H172" s="481"/>
      <c r="I172" s="478"/>
      <c r="K172" s="460"/>
      <c r="L172" s="460"/>
      <c r="M172" s="462"/>
      <c r="N172" s="826"/>
      <c r="O172" s="464"/>
      <c r="P172" s="826"/>
      <c r="Q172" s="464"/>
      <c r="R172" s="826"/>
      <c r="S172" s="464"/>
      <c r="T172" s="830"/>
    </row>
    <row r="173" spans="1:20">
      <c r="A173" s="449" t="s">
        <v>93</v>
      </c>
      <c r="B173" s="449"/>
      <c r="C173" s="479">
        <f>SUM(C137:C138,C140:C141,C143:C144,C146:C147,C149:C150,C152:C153,C155:C156,C158:C159,C161:C162,C164:C165,C167:C168,C170:C171)</f>
        <v>308.00409227507924</v>
      </c>
      <c r="D173" s="449"/>
      <c r="E173" s="468">
        <f>SUM(E137:E138,E140:E141,E143:E144,E146:E147,E149:E150,E152:E153,E155:E156,E158:E159,E161:E162,E164:E165,E167:E168,E170:E171)</f>
        <v>15244.560000000001</v>
      </c>
      <c r="F173" s="449"/>
      <c r="G173" s="468">
        <f>SUM(G137:G138,G140:G141,G143:G144,G146:G147,G149:G150,G152:G153,G155:G156,G158:G159,G161:G162,G164:G165,G167:G168,G170:G171)</f>
        <v>15244.560000000001</v>
      </c>
      <c r="H173" s="449"/>
      <c r="I173" s="468">
        <f>SUM(I137:I138,I140:I141,I143:I144,I146:I147,I149:I150,I152:I153,I155:I156,I158:I159,I161:I162,I164:I165,I167:I168,I170:I171)</f>
        <v>15244.560000000001</v>
      </c>
      <c r="K173" s="473"/>
      <c r="L173" s="473"/>
      <c r="M173" s="829"/>
      <c r="N173" s="473"/>
      <c r="O173" s="464"/>
      <c r="P173" s="473"/>
      <c r="Q173" s="464"/>
      <c r="R173" s="473"/>
      <c r="S173" s="464"/>
      <c r="T173" s="830"/>
    </row>
    <row r="174" spans="1:20">
      <c r="A174" s="449"/>
      <c r="B174" s="454"/>
      <c r="C174" s="479"/>
      <c r="D174" s="488"/>
      <c r="E174" s="468"/>
      <c r="F174" s="488"/>
      <c r="G174" s="468"/>
      <c r="H174" s="488"/>
      <c r="I174" s="468"/>
      <c r="K174" s="826"/>
      <c r="L174" s="826"/>
      <c r="M174" s="833"/>
      <c r="N174" s="826"/>
      <c r="O174" s="826"/>
      <c r="P174" s="826"/>
      <c r="Q174" s="826"/>
      <c r="R174" s="826"/>
      <c r="S174" s="826"/>
      <c r="T174" s="832"/>
    </row>
    <row r="175" spans="1:20">
      <c r="A175" s="451" t="s">
        <v>898</v>
      </c>
      <c r="B175" s="448"/>
      <c r="C175" s="448"/>
      <c r="D175" s="448"/>
      <c r="E175" s="448"/>
      <c r="F175" s="448"/>
      <c r="G175" s="448"/>
      <c r="H175" s="448"/>
      <c r="I175" s="448"/>
      <c r="K175" s="821"/>
      <c r="L175" s="822"/>
      <c r="M175" s="822"/>
      <c r="N175" s="822"/>
      <c r="O175" s="822"/>
      <c r="P175" s="822"/>
      <c r="Q175" s="822"/>
      <c r="R175" s="822"/>
      <c r="S175" s="822"/>
      <c r="T175" s="830"/>
    </row>
    <row r="176" spans="1:20">
      <c r="A176" s="449"/>
      <c r="B176" s="449"/>
      <c r="C176" s="449"/>
      <c r="D176" s="455" t="s">
        <v>425</v>
      </c>
      <c r="E176" s="455" t="s">
        <v>425</v>
      </c>
      <c r="F176" s="455" t="s">
        <v>494</v>
      </c>
      <c r="G176" s="455" t="s">
        <v>494</v>
      </c>
      <c r="H176" s="455" t="s">
        <v>216</v>
      </c>
      <c r="I176" s="455" t="s">
        <v>216</v>
      </c>
      <c r="K176" s="473"/>
      <c r="L176" s="473"/>
      <c r="M176" s="473"/>
      <c r="N176" s="824"/>
      <c r="O176" s="824"/>
      <c r="P176" s="824"/>
      <c r="Q176" s="824"/>
      <c r="R176" s="824"/>
      <c r="S176" s="824"/>
      <c r="T176" s="830"/>
    </row>
    <row r="177" spans="1:20">
      <c r="A177" s="456" t="s">
        <v>110</v>
      </c>
      <c r="B177" s="456"/>
      <c r="C177" s="456" t="s">
        <v>109</v>
      </c>
      <c r="D177" s="456" t="s">
        <v>99</v>
      </c>
      <c r="E177" s="456" t="s">
        <v>496</v>
      </c>
      <c r="F177" s="456" t="s">
        <v>99</v>
      </c>
      <c r="G177" s="456" t="s">
        <v>496</v>
      </c>
      <c r="H177" s="456" t="s">
        <v>99</v>
      </c>
      <c r="I177" s="456" t="s">
        <v>496</v>
      </c>
      <c r="K177" s="824"/>
      <c r="L177" s="824"/>
      <c r="M177" s="824"/>
      <c r="N177" s="824"/>
      <c r="O177" s="824"/>
      <c r="P177" s="824"/>
      <c r="Q177" s="824"/>
      <c r="R177" s="824"/>
      <c r="S177" s="824"/>
      <c r="T177" s="830"/>
    </row>
    <row r="178" spans="1:20">
      <c r="A178" s="460">
        <f>A137</f>
        <v>43466</v>
      </c>
      <c r="B178" s="466" t="s">
        <v>252</v>
      </c>
      <c r="C178" s="479">
        <f>ROUND(C180*J$183,3)</f>
        <v>100.74</v>
      </c>
      <c r="D178" s="471">
        <f>0.039511*(1+$Y$15)</f>
        <v>3.8254550199999994E-2</v>
      </c>
      <c r="E178" s="464">
        <f>ROUND(D178*$C178*1000,2)</f>
        <v>3853.76</v>
      </c>
      <c r="F178" s="471">
        <f>D178</f>
        <v>3.8254550199999994E-2</v>
      </c>
      <c r="G178" s="464">
        <f>ROUND(F178*$C178*1000,2)</f>
        <v>3853.76</v>
      </c>
      <c r="H178" s="471">
        <f>F178</f>
        <v>3.8254550199999994E-2</v>
      </c>
      <c r="I178" s="464">
        <f>ROUND(H178*$C178*1000,2)</f>
        <v>3853.76</v>
      </c>
      <c r="J178" s="458"/>
      <c r="K178" s="460"/>
      <c r="L178" s="460"/>
      <c r="M178" s="829"/>
      <c r="N178" s="826"/>
      <c r="O178" s="464"/>
      <c r="P178" s="826"/>
      <c r="Q178" s="464"/>
      <c r="R178" s="826"/>
      <c r="S178" s="464"/>
      <c r="T178" s="827"/>
    </row>
    <row r="179" spans="1:20">
      <c r="A179" s="460">
        <f>A138</f>
        <v>43466</v>
      </c>
      <c r="B179" s="466" t="s">
        <v>253</v>
      </c>
      <c r="C179" s="479">
        <f>C180-C178</f>
        <v>105.479393728001</v>
      </c>
      <c r="D179" s="471">
        <f>0.034002*(1+$Y$15)</f>
        <v>3.2920736399999997E-2</v>
      </c>
      <c r="E179" s="464">
        <f>ROUND(D179*$C179*1000,2)</f>
        <v>3472.46</v>
      </c>
      <c r="F179" s="471">
        <f>D179</f>
        <v>3.2920736399999997E-2</v>
      </c>
      <c r="G179" s="464">
        <f>ROUND(F179*$C179*1000,2)</f>
        <v>3472.46</v>
      </c>
      <c r="H179" s="471">
        <f>F179</f>
        <v>3.2920736399999997E-2</v>
      </c>
      <c r="I179" s="464">
        <f>ROUND(H179*$C179*1000,2)</f>
        <v>3472.46</v>
      </c>
      <c r="J179" s="580"/>
      <c r="K179" s="460"/>
      <c r="L179" s="460"/>
      <c r="M179" s="829"/>
      <c r="N179" s="826"/>
      <c r="O179" s="464"/>
      <c r="P179" s="826"/>
      <c r="Q179" s="464"/>
      <c r="R179" s="826"/>
      <c r="S179" s="464"/>
      <c r="T179" s="831"/>
    </row>
    <row r="180" spans="1:20">
      <c r="A180" s="460"/>
      <c r="B180" s="466" t="s">
        <v>93</v>
      </c>
      <c r="C180" s="487">
        <f>TempMWH!K4</f>
        <v>206.21939372800099</v>
      </c>
      <c r="D180" s="471"/>
      <c r="E180" s="468"/>
      <c r="F180" s="471"/>
      <c r="G180" s="468"/>
      <c r="H180" s="471"/>
      <c r="I180" s="468"/>
      <c r="J180" s="579" t="s">
        <v>254</v>
      </c>
      <c r="K180" s="460"/>
      <c r="L180" s="460"/>
      <c r="M180" s="462"/>
      <c r="N180" s="826"/>
      <c r="O180" s="464"/>
      <c r="P180" s="826"/>
      <c r="Q180" s="464"/>
      <c r="R180" s="826"/>
      <c r="S180" s="464"/>
      <c r="T180" s="830"/>
    </row>
    <row r="181" spans="1:20">
      <c r="A181" s="460">
        <f t="shared" ref="A181:A182" si="243">A140</f>
        <v>43497</v>
      </c>
      <c r="B181" s="466" t="s">
        <v>252</v>
      </c>
      <c r="C181" s="479">
        <f>ROUND(C183*J$183,3)</f>
        <v>-56.290999999999997</v>
      </c>
      <c r="D181" s="471">
        <f>$D$178</f>
        <v>3.8254550199999994E-2</v>
      </c>
      <c r="E181" s="464">
        <f t="shared" ref="E181:G182" si="244">ROUND(D181*$C181*1000,2)</f>
        <v>-2153.39</v>
      </c>
      <c r="F181" s="471">
        <f t="shared" ref="F181:F182" si="245">D181</f>
        <v>3.8254550199999994E-2</v>
      </c>
      <c r="G181" s="464">
        <f t="shared" si="244"/>
        <v>-2153.39</v>
      </c>
      <c r="H181" s="471">
        <f t="shared" ref="H181:H182" si="246">F181</f>
        <v>3.8254550199999994E-2</v>
      </c>
      <c r="I181" s="464">
        <f t="shared" ref="I181" si="247">ROUND(H181*$C181*1000,2)</f>
        <v>-2153.39</v>
      </c>
      <c r="J181" s="579">
        <f>'8'!N23</f>
        <v>0.26790584116164973</v>
      </c>
      <c r="K181" s="460"/>
      <c r="L181" s="460"/>
      <c r="M181" s="829"/>
      <c r="N181" s="826"/>
      <c r="O181" s="464"/>
      <c r="P181" s="826"/>
      <c r="Q181" s="464"/>
      <c r="R181" s="826"/>
      <c r="S181" s="464"/>
      <c r="T181" s="830"/>
    </row>
    <row r="182" spans="1:20">
      <c r="A182" s="460">
        <f t="shared" si="243"/>
        <v>43497</v>
      </c>
      <c r="B182" s="466" t="s">
        <v>253</v>
      </c>
      <c r="C182" s="479">
        <f>C183-C181</f>
        <v>-58.938913762896277</v>
      </c>
      <c r="D182" s="471">
        <f>$D$179</f>
        <v>3.2920736399999997E-2</v>
      </c>
      <c r="E182" s="464">
        <f t="shared" si="244"/>
        <v>-1940.31</v>
      </c>
      <c r="F182" s="471">
        <f t="shared" si="245"/>
        <v>3.2920736399999997E-2</v>
      </c>
      <c r="G182" s="464">
        <f t="shared" si="244"/>
        <v>-1940.31</v>
      </c>
      <c r="H182" s="471">
        <f t="shared" si="246"/>
        <v>3.2920736399999997E-2</v>
      </c>
      <c r="I182" s="464">
        <f t="shared" ref="I182" si="248">ROUND(H182*$C182*1000,2)</f>
        <v>-1940.31</v>
      </c>
      <c r="J182" s="579" t="s">
        <v>255</v>
      </c>
      <c r="K182" s="460"/>
      <c r="L182" s="460"/>
      <c r="M182" s="829"/>
      <c r="N182" s="826"/>
      <c r="O182" s="464"/>
      <c r="P182" s="826"/>
      <c r="Q182" s="464"/>
      <c r="R182" s="826"/>
      <c r="S182" s="464"/>
      <c r="T182" s="830"/>
    </row>
    <row r="183" spans="1:20">
      <c r="A183" s="460"/>
      <c r="B183" s="466" t="s">
        <v>93</v>
      </c>
      <c r="C183" s="487">
        <f>TempMWH!K5</f>
        <v>-115.22991376289627</v>
      </c>
      <c r="D183" s="471"/>
      <c r="E183" s="468"/>
      <c r="F183" s="471"/>
      <c r="G183" s="468"/>
      <c r="H183" s="471"/>
      <c r="I183" s="468"/>
      <c r="J183" s="579">
        <f>'8'!O23</f>
        <v>0.48850788696191166</v>
      </c>
      <c r="K183" s="460"/>
      <c r="L183" s="460"/>
      <c r="M183" s="462"/>
      <c r="N183" s="826"/>
      <c r="O183" s="464"/>
      <c r="P183" s="826"/>
      <c r="Q183" s="464"/>
      <c r="R183" s="826"/>
      <c r="S183" s="464"/>
      <c r="T183" s="830"/>
    </row>
    <row r="184" spans="1:20">
      <c r="A184" s="460">
        <f t="shared" ref="A184:A185" si="249">A143</f>
        <v>43525</v>
      </c>
      <c r="B184" s="466" t="s">
        <v>252</v>
      </c>
      <c r="C184" s="479">
        <f>ROUND(C186*J$183,3)</f>
        <v>50.88</v>
      </c>
      <c r="D184" s="471">
        <f>$D$178</f>
        <v>3.8254550199999994E-2</v>
      </c>
      <c r="E184" s="464">
        <f t="shared" ref="E184:G185" si="250">ROUND(D184*$C184*1000,2)</f>
        <v>1946.39</v>
      </c>
      <c r="F184" s="471">
        <f t="shared" ref="F184:F185" si="251">D184</f>
        <v>3.8254550199999994E-2</v>
      </c>
      <c r="G184" s="464">
        <f t="shared" si="250"/>
        <v>1946.39</v>
      </c>
      <c r="H184" s="471">
        <f t="shared" ref="H184:H185" si="252">F184</f>
        <v>3.8254550199999994E-2</v>
      </c>
      <c r="I184" s="464">
        <f t="shared" ref="I184" si="253">ROUND(H184*$C184*1000,2)</f>
        <v>1946.39</v>
      </c>
      <c r="K184" s="460"/>
      <c r="L184" s="460"/>
      <c r="M184" s="829"/>
      <c r="N184" s="826"/>
      <c r="O184" s="464"/>
      <c r="P184" s="826"/>
      <c r="Q184" s="464"/>
      <c r="R184" s="826"/>
      <c r="S184" s="464"/>
      <c r="T184" s="830"/>
    </row>
    <row r="185" spans="1:20">
      <c r="A185" s="460">
        <f t="shared" si="249"/>
        <v>43525</v>
      </c>
      <c r="B185" s="466" t="s">
        <v>253</v>
      </c>
      <c r="C185" s="479">
        <f>C186-C184</f>
        <v>53.27438956624686</v>
      </c>
      <c r="D185" s="471">
        <f>$D$179</f>
        <v>3.2920736399999997E-2</v>
      </c>
      <c r="E185" s="464">
        <f t="shared" si="250"/>
        <v>1753.83</v>
      </c>
      <c r="F185" s="471">
        <f t="shared" si="251"/>
        <v>3.2920736399999997E-2</v>
      </c>
      <c r="G185" s="464">
        <f t="shared" si="250"/>
        <v>1753.83</v>
      </c>
      <c r="H185" s="471">
        <f t="shared" si="252"/>
        <v>3.2920736399999997E-2</v>
      </c>
      <c r="I185" s="464">
        <f t="shared" ref="I185" si="254">ROUND(H185*$C185*1000,2)</f>
        <v>1753.83</v>
      </c>
      <c r="K185" s="460"/>
      <c r="L185" s="460"/>
      <c r="M185" s="829"/>
      <c r="N185" s="826"/>
      <c r="O185" s="464"/>
      <c r="P185" s="826"/>
      <c r="Q185" s="464"/>
      <c r="R185" s="826"/>
      <c r="S185" s="464"/>
      <c r="T185" s="830"/>
    </row>
    <row r="186" spans="1:20">
      <c r="A186" s="460"/>
      <c r="B186" s="466" t="s">
        <v>93</v>
      </c>
      <c r="C186" s="487">
        <f>TempMWH!K6</f>
        <v>104.15438956624686</v>
      </c>
      <c r="D186" s="471"/>
      <c r="E186" s="468"/>
      <c r="F186" s="471"/>
      <c r="G186" s="468"/>
      <c r="H186" s="471"/>
      <c r="I186" s="468"/>
      <c r="K186" s="460"/>
      <c r="L186" s="460"/>
      <c r="M186" s="462"/>
      <c r="N186" s="826"/>
      <c r="O186" s="464"/>
      <c r="P186" s="826"/>
      <c r="Q186" s="464"/>
      <c r="R186" s="826"/>
      <c r="S186" s="464"/>
      <c r="T186" s="830"/>
    </row>
    <row r="187" spans="1:20">
      <c r="A187" s="460">
        <f t="shared" ref="A187:A188" si="255">A146</f>
        <v>43556</v>
      </c>
      <c r="B187" s="466" t="s">
        <v>252</v>
      </c>
      <c r="C187" s="479">
        <f>ROUND(C189*J$183,3)</f>
        <v>98.756</v>
      </c>
      <c r="D187" s="471">
        <f>$D$178</f>
        <v>3.8254550199999994E-2</v>
      </c>
      <c r="E187" s="464">
        <f t="shared" ref="E187:G188" si="256">ROUND(D187*$C187*1000,2)</f>
        <v>3777.87</v>
      </c>
      <c r="F187" s="471">
        <f t="shared" ref="F187:F188" si="257">D187</f>
        <v>3.8254550199999994E-2</v>
      </c>
      <c r="G187" s="464">
        <f t="shared" si="256"/>
        <v>3777.87</v>
      </c>
      <c r="H187" s="471">
        <f t="shared" ref="H187:H188" si="258">F187</f>
        <v>3.8254550199999994E-2</v>
      </c>
      <c r="I187" s="464">
        <f t="shared" ref="I187" si="259">ROUND(H187*$C187*1000,2)</f>
        <v>3777.87</v>
      </c>
      <c r="K187" s="460"/>
      <c r="L187" s="460"/>
      <c r="M187" s="829"/>
      <c r="N187" s="826"/>
      <c r="O187" s="464"/>
      <c r="P187" s="826"/>
      <c r="Q187" s="464"/>
      <c r="R187" s="826"/>
      <c r="S187" s="464"/>
      <c r="T187" s="830"/>
    </row>
    <row r="188" spans="1:20">
      <c r="A188" s="460">
        <f t="shared" si="255"/>
        <v>43556</v>
      </c>
      <c r="B188" s="466" t="s">
        <v>253</v>
      </c>
      <c r="C188" s="479">
        <f>C189-C187</f>
        <v>103.40230702380285</v>
      </c>
      <c r="D188" s="471">
        <f>$D$179</f>
        <v>3.2920736399999997E-2</v>
      </c>
      <c r="E188" s="464">
        <f t="shared" si="256"/>
        <v>3404.08</v>
      </c>
      <c r="F188" s="471">
        <f t="shared" si="257"/>
        <v>3.2920736399999997E-2</v>
      </c>
      <c r="G188" s="464">
        <f t="shared" si="256"/>
        <v>3404.08</v>
      </c>
      <c r="H188" s="471">
        <f t="shared" si="258"/>
        <v>3.2920736399999997E-2</v>
      </c>
      <c r="I188" s="464">
        <f t="shared" ref="I188" si="260">ROUND(H188*$C188*1000,2)</f>
        <v>3404.08</v>
      </c>
      <c r="K188" s="460"/>
      <c r="L188" s="460"/>
      <c r="M188" s="829"/>
      <c r="N188" s="826"/>
      <c r="O188" s="464"/>
      <c r="P188" s="826"/>
      <c r="Q188" s="464"/>
      <c r="R188" s="826"/>
      <c r="S188" s="464"/>
      <c r="T188" s="830"/>
    </row>
    <row r="189" spans="1:20">
      <c r="A189" s="460"/>
      <c r="B189" s="466" t="s">
        <v>93</v>
      </c>
      <c r="C189" s="487">
        <f>TempMWH!K7</f>
        <v>202.15830702380285</v>
      </c>
      <c r="D189" s="471"/>
      <c r="E189" s="468"/>
      <c r="F189" s="471"/>
      <c r="G189" s="468"/>
      <c r="H189" s="471"/>
      <c r="I189" s="468"/>
      <c r="K189" s="460"/>
      <c r="L189" s="460"/>
      <c r="M189" s="462"/>
      <c r="N189" s="826"/>
      <c r="O189" s="464"/>
      <c r="P189" s="826"/>
      <c r="Q189" s="464"/>
      <c r="R189" s="826"/>
      <c r="S189" s="464"/>
      <c r="T189" s="830"/>
    </row>
    <row r="190" spans="1:20">
      <c r="A190" s="460">
        <f t="shared" ref="A190:A191" si="261">A149</f>
        <v>43586</v>
      </c>
      <c r="B190" s="466" t="s">
        <v>252</v>
      </c>
      <c r="C190" s="479">
        <f>ROUND(C192*J$181,3)</f>
        <v>464.73399999999998</v>
      </c>
      <c r="D190" s="471">
        <f>0.050474*(1+$Y$15)</f>
        <v>4.8868926799999997E-2</v>
      </c>
      <c r="E190" s="464">
        <f t="shared" ref="E190:G191" si="262">ROUND(D190*$C190*1000,2)</f>
        <v>22711.05</v>
      </c>
      <c r="F190" s="471">
        <f t="shared" ref="F190:F191" si="263">D190</f>
        <v>4.8868926799999997E-2</v>
      </c>
      <c r="G190" s="464">
        <f t="shared" si="262"/>
        <v>22711.05</v>
      </c>
      <c r="H190" s="471">
        <f t="shared" ref="H190:H191" si="264">F190</f>
        <v>4.8868926799999997E-2</v>
      </c>
      <c r="I190" s="464">
        <f t="shared" ref="I190" si="265">ROUND(H190*$C190*1000,2)</f>
        <v>22711.05</v>
      </c>
      <c r="K190" s="460"/>
      <c r="L190" s="460"/>
      <c r="M190" s="829"/>
      <c r="N190" s="826"/>
      <c r="O190" s="464"/>
      <c r="P190" s="826"/>
      <c r="Q190" s="464"/>
      <c r="R190" s="826"/>
      <c r="S190" s="464"/>
      <c r="T190" s="830"/>
    </row>
    <row r="191" spans="1:20">
      <c r="A191" s="460">
        <f t="shared" si="261"/>
        <v>43586</v>
      </c>
      <c r="B191" s="466" t="s">
        <v>253</v>
      </c>
      <c r="C191" s="479">
        <f>C192-C190</f>
        <v>1269.957942171086</v>
      </c>
      <c r="D191" s="471">
        <f>0.034002*(1+$Y$15)</f>
        <v>3.2920736399999997E-2</v>
      </c>
      <c r="E191" s="464">
        <f t="shared" si="262"/>
        <v>41807.949999999997</v>
      </c>
      <c r="F191" s="471">
        <f t="shared" si="263"/>
        <v>3.2920736399999997E-2</v>
      </c>
      <c r="G191" s="464">
        <f t="shared" si="262"/>
        <v>41807.949999999997</v>
      </c>
      <c r="H191" s="471">
        <f t="shared" si="264"/>
        <v>3.2920736399999997E-2</v>
      </c>
      <c r="I191" s="464">
        <f t="shared" ref="I191" si="266">ROUND(H191*$C191*1000,2)</f>
        <v>41807.949999999997</v>
      </c>
      <c r="K191" s="460"/>
      <c r="L191" s="460"/>
      <c r="M191" s="829"/>
      <c r="N191" s="826"/>
      <c r="O191" s="464"/>
      <c r="P191" s="826"/>
      <c r="Q191" s="464"/>
      <c r="R191" s="826"/>
      <c r="S191" s="464"/>
      <c r="T191" s="830"/>
    </row>
    <row r="192" spans="1:20">
      <c r="A192" s="460"/>
      <c r="B192" s="466" t="s">
        <v>93</v>
      </c>
      <c r="C192" s="487">
        <f>TempMWH!K8</f>
        <v>1734.6919421710859</v>
      </c>
      <c r="D192" s="471"/>
      <c r="E192" s="468"/>
      <c r="F192" s="471"/>
      <c r="G192" s="468"/>
      <c r="H192" s="471"/>
      <c r="I192" s="468"/>
      <c r="K192" s="460"/>
      <c r="L192" s="460"/>
      <c r="M192" s="462"/>
      <c r="N192" s="826"/>
      <c r="O192" s="464"/>
      <c r="P192" s="826"/>
      <c r="Q192" s="464"/>
      <c r="R192" s="826"/>
      <c r="S192" s="464"/>
      <c r="T192" s="830"/>
    </row>
    <row r="193" spans="1:20">
      <c r="A193" s="460">
        <f t="shared" ref="A193:A194" si="267">A152</f>
        <v>43617</v>
      </c>
      <c r="B193" s="466" t="s">
        <v>252</v>
      </c>
      <c r="C193" s="479">
        <f>ROUND(C195*J$181,3)</f>
        <v>320.94299999999998</v>
      </c>
      <c r="D193" s="471">
        <f>D190</f>
        <v>4.8868926799999997E-2</v>
      </c>
      <c r="E193" s="464">
        <f t="shared" ref="E193:G194" si="268">ROUND(D193*$C193*1000,2)</f>
        <v>15684.14</v>
      </c>
      <c r="F193" s="471">
        <f t="shared" ref="F193:F194" si="269">D193</f>
        <v>4.8868926799999997E-2</v>
      </c>
      <c r="G193" s="464">
        <f t="shared" si="268"/>
        <v>15684.14</v>
      </c>
      <c r="H193" s="471">
        <f t="shared" ref="H193:H194" si="270">F193</f>
        <v>4.8868926799999997E-2</v>
      </c>
      <c r="I193" s="464">
        <f t="shared" ref="I193" si="271">ROUND(H193*$C193*1000,2)</f>
        <v>15684.14</v>
      </c>
      <c r="K193" s="460"/>
      <c r="L193" s="460"/>
      <c r="M193" s="829"/>
      <c r="N193" s="826"/>
      <c r="O193" s="464"/>
      <c r="P193" s="826"/>
      <c r="Q193" s="464"/>
      <c r="R193" s="826"/>
      <c r="S193" s="464"/>
      <c r="T193" s="830"/>
    </row>
    <row r="194" spans="1:20">
      <c r="A194" s="460">
        <f t="shared" si="267"/>
        <v>43617</v>
      </c>
      <c r="B194" s="466" t="s">
        <v>253</v>
      </c>
      <c r="C194" s="479">
        <f>C195-C193</f>
        <v>877.0268457287832</v>
      </c>
      <c r="D194" s="471">
        <f>D191</f>
        <v>3.2920736399999997E-2</v>
      </c>
      <c r="E194" s="464">
        <f t="shared" si="268"/>
        <v>28872.37</v>
      </c>
      <c r="F194" s="471">
        <f t="shared" si="269"/>
        <v>3.2920736399999997E-2</v>
      </c>
      <c r="G194" s="464">
        <f t="shared" si="268"/>
        <v>28872.37</v>
      </c>
      <c r="H194" s="471">
        <f t="shared" si="270"/>
        <v>3.2920736399999997E-2</v>
      </c>
      <c r="I194" s="464">
        <f t="shared" ref="I194" si="272">ROUND(H194*$C194*1000,2)</f>
        <v>28872.37</v>
      </c>
      <c r="K194" s="460"/>
      <c r="L194" s="460"/>
      <c r="M194" s="829"/>
      <c r="N194" s="826"/>
      <c r="O194" s="464"/>
      <c r="P194" s="826"/>
      <c r="Q194" s="464"/>
      <c r="R194" s="826"/>
      <c r="S194" s="464"/>
      <c r="T194" s="830"/>
    </row>
    <row r="195" spans="1:20">
      <c r="A195" s="460"/>
      <c r="B195" s="460" t="s">
        <v>93</v>
      </c>
      <c r="C195" s="462">
        <f>TempMWH!K9</f>
        <v>1197.9698457287832</v>
      </c>
      <c r="D195" s="473"/>
      <c r="E195" s="464"/>
      <c r="F195" s="473"/>
      <c r="G195" s="464"/>
      <c r="H195" s="473"/>
      <c r="I195" s="464"/>
      <c r="K195" s="460"/>
      <c r="L195" s="460"/>
      <c r="M195" s="462"/>
      <c r="N195" s="473"/>
      <c r="O195" s="464"/>
      <c r="P195" s="473"/>
      <c r="Q195" s="464"/>
      <c r="R195" s="473"/>
      <c r="S195" s="464"/>
      <c r="T195" s="830"/>
    </row>
    <row r="196" spans="1:20">
      <c r="A196" s="460">
        <f t="shared" ref="A196:A197" si="273">A155</f>
        <v>43647</v>
      </c>
      <c r="B196" s="466" t="s">
        <v>252</v>
      </c>
      <c r="C196" s="479">
        <f>ROUND(C198*J$181,3)</f>
        <v>-267.85199999999998</v>
      </c>
      <c r="D196" s="471">
        <f>0.050474*(1+$X$15)</f>
        <v>4.8868926799999997E-2</v>
      </c>
      <c r="E196" s="464">
        <f t="shared" ref="E196:G197" si="274">ROUND(D196*$C196*1000,2)</f>
        <v>-13089.64</v>
      </c>
      <c r="F196" s="471">
        <f>F193</f>
        <v>4.8868926799999997E-2</v>
      </c>
      <c r="G196" s="464">
        <f t="shared" si="274"/>
        <v>-13089.64</v>
      </c>
      <c r="H196" s="471">
        <f t="shared" ref="H196:H200" si="275">F196</f>
        <v>4.8868926799999997E-2</v>
      </c>
      <c r="I196" s="464">
        <f t="shared" ref="I196" si="276">ROUND(H196*$C196*1000,2)</f>
        <v>-13089.64</v>
      </c>
      <c r="K196" s="460"/>
      <c r="L196" s="460"/>
      <c r="M196" s="829"/>
      <c r="N196" s="826"/>
      <c r="O196" s="464"/>
      <c r="P196" s="826"/>
      <c r="Q196" s="464"/>
      <c r="R196" s="826"/>
      <c r="S196" s="464"/>
      <c r="T196" s="830"/>
    </row>
    <row r="197" spans="1:20">
      <c r="A197" s="460">
        <f t="shared" si="273"/>
        <v>43647</v>
      </c>
      <c r="B197" s="466" t="s">
        <v>253</v>
      </c>
      <c r="C197" s="479">
        <f>C198-C196</f>
        <v>-731.94838618975655</v>
      </c>
      <c r="D197" s="471">
        <f>0.034002*(1+$X$15)</f>
        <v>3.2920736399999997E-2</v>
      </c>
      <c r="E197" s="464">
        <f t="shared" si="274"/>
        <v>-24096.28</v>
      </c>
      <c r="F197" s="471">
        <f>F194</f>
        <v>3.2920736399999997E-2</v>
      </c>
      <c r="G197" s="464">
        <f t="shared" si="274"/>
        <v>-24096.28</v>
      </c>
      <c r="H197" s="471">
        <f t="shared" si="275"/>
        <v>3.2920736399999997E-2</v>
      </c>
      <c r="I197" s="464">
        <f t="shared" ref="I197" si="277">ROUND(H197*$C197*1000,2)</f>
        <v>-24096.28</v>
      </c>
      <c r="K197" s="460"/>
      <c r="L197" s="460"/>
      <c r="M197" s="829"/>
      <c r="N197" s="826"/>
      <c r="O197" s="464"/>
      <c r="P197" s="826"/>
      <c r="Q197" s="464"/>
      <c r="R197" s="826"/>
      <c r="S197" s="464"/>
      <c r="T197" s="830"/>
    </row>
    <row r="198" spans="1:20">
      <c r="A198" s="460"/>
      <c r="B198" s="466" t="s">
        <v>93</v>
      </c>
      <c r="C198" s="487">
        <f>TempMWH!K10</f>
        <v>-999.80038618975652</v>
      </c>
      <c r="E198" s="468"/>
      <c r="G198" s="468"/>
      <c r="H198" s="471"/>
      <c r="I198" s="468"/>
      <c r="K198" s="460"/>
      <c r="L198" s="460"/>
      <c r="M198" s="462"/>
      <c r="N198" s="826"/>
      <c r="O198" s="464"/>
      <c r="P198" s="826"/>
      <c r="Q198" s="464"/>
      <c r="R198" s="826"/>
      <c r="S198" s="464"/>
      <c r="T198" s="830"/>
    </row>
    <row r="199" spans="1:20">
      <c r="A199" s="460">
        <f t="shared" ref="A199:A200" si="278">A158</f>
        <v>43678</v>
      </c>
      <c r="B199" s="466" t="s">
        <v>252</v>
      </c>
      <c r="C199" s="479">
        <f>ROUND(C201*J$181,3)</f>
        <v>-624.52</v>
      </c>
      <c r="D199" s="471">
        <f>$D$196</f>
        <v>4.8868926799999997E-2</v>
      </c>
      <c r="E199" s="464">
        <f t="shared" ref="E199:G200" si="279">ROUND(D199*$C199*1000,2)</f>
        <v>-30519.62</v>
      </c>
      <c r="F199" s="471">
        <f>F196</f>
        <v>4.8868926799999997E-2</v>
      </c>
      <c r="G199" s="464">
        <f t="shared" si="279"/>
        <v>-30519.62</v>
      </c>
      <c r="H199" s="471">
        <f t="shared" si="275"/>
        <v>4.8868926799999997E-2</v>
      </c>
      <c r="I199" s="464">
        <f t="shared" ref="I199" si="280">ROUND(H199*$C199*1000,2)</f>
        <v>-30519.62</v>
      </c>
      <c r="K199" s="460"/>
      <c r="L199" s="460"/>
      <c r="M199" s="829"/>
      <c r="N199" s="826"/>
      <c r="O199" s="464"/>
      <c r="P199" s="826"/>
      <c r="Q199" s="464"/>
      <c r="R199" s="826"/>
      <c r="S199" s="464"/>
      <c r="T199" s="830"/>
    </row>
    <row r="200" spans="1:20">
      <c r="A200" s="460">
        <f t="shared" si="278"/>
        <v>43678</v>
      </c>
      <c r="B200" s="466" t="s">
        <v>253</v>
      </c>
      <c r="C200" s="479">
        <f>C201-C199</f>
        <v>-1706.5981211881326</v>
      </c>
      <c r="D200" s="471">
        <f>$D$197</f>
        <v>3.2920736399999997E-2</v>
      </c>
      <c r="E200" s="464">
        <f t="shared" si="279"/>
        <v>-56182.47</v>
      </c>
      <c r="F200" s="471">
        <f>F197</f>
        <v>3.2920736399999997E-2</v>
      </c>
      <c r="G200" s="464">
        <f t="shared" si="279"/>
        <v>-56182.47</v>
      </c>
      <c r="H200" s="471">
        <f t="shared" si="275"/>
        <v>3.2920736399999997E-2</v>
      </c>
      <c r="I200" s="464">
        <f t="shared" ref="I200" si="281">ROUND(H200*$C200*1000,2)</f>
        <v>-56182.47</v>
      </c>
      <c r="K200" s="460"/>
      <c r="L200" s="460"/>
      <c r="M200" s="829"/>
      <c r="N200" s="826"/>
      <c r="O200" s="464"/>
      <c r="P200" s="826"/>
      <c r="Q200" s="464"/>
      <c r="R200" s="826"/>
      <c r="S200" s="464"/>
      <c r="T200" s="830"/>
    </row>
    <row r="201" spans="1:20">
      <c r="A201" s="460"/>
      <c r="B201" s="466" t="s">
        <v>93</v>
      </c>
      <c r="C201" s="487">
        <f>TempMWH!K11</f>
        <v>-2331.1181211881326</v>
      </c>
      <c r="E201" s="468"/>
      <c r="G201" s="468"/>
      <c r="I201" s="468"/>
      <c r="J201" s="458"/>
      <c r="K201" s="460"/>
      <c r="L201" s="460"/>
      <c r="M201" s="462"/>
      <c r="N201" s="826"/>
      <c r="O201" s="464"/>
      <c r="P201" s="826"/>
      <c r="Q201" s="464"/>
      <c r="R201" s="826"/>
      <c r="S201" s="464"/>
      <c r="T201" s="827"/>
    </row>
    <row r="202" spans="1:20">
      <c r="A202" s="460">
        <f t="shared" ref="A202:A203" si="282">A161</f>
        <v>43709</v>
      </c>
      <c r="B202" s="466" t="s">
        <v>252</v>
      </c>
      <c r="C202" s="479">
        <f>ROUND(C204*J$181,3)</f>
        <v>-207.73</v>
      </c>
      <c r="D202" s="471">
        <f>$D$196</f>
        <v>4.8868926799999997E-2</v>
      </c>
      <c r="E202" s="464">
        <f t="shared" ref="E202:G203" si="283">ROUND(D202*$C202*1000,2)</f>
        <v>-10151.540000000001</v>
      </c>
      <c r="F202" s="471">
        <f>F199</f>
        <v>4.8868926799999997E-2</v>
      </c>
      <c r="G202" s="464">
        <f t="shared" si="283"/>
        <v>-10151.540000000001</v>
      </c>
      <c r="H202" s="471">
        <f t="shared" ref="H202:H203" si="284">F202</f>
        <v>4.8868926799999997E-2</v>
      </c>
      <c r="I202" s="464">
        <f t="shared" ref="I202" si="285">ROUND(H202*$C202*1000,2)</f>
        <v>-10151.540000000001</v>
      </c>
      <c r="K202" s="460"/>
      <c r="L202" s="460"/>
      <c r="M202" s="829"/>
      <c r="N202" s="826"/>
      <c r="O202" s="464"/>
      <c r="P202" s="826"/>
      <c r="Q202" s="464"/>
      <c r="R202" s="826"/>
      <c r="S202" s="464"/>
      <c r="T202" s="830"/>
    </row>
    <row r="203" spans="1:20">
      <c r="A203" s="460">
        <f t="shared" si="282"/>
        <v>43709</v>
      </c>
      <c r="B203" s="466" t="s">
        <v>253</v>
      </c>
      <c r="C203" s="479">
        <f>C204-C202</f>
        <v>-567.65330181889635</v>
      </c>
      <c r="D203" s="471">
        <f>$D$197</f>
        <v>3.2920736399999997E-2</v>
      </c>
      <c r="E203" s="464">
        <f t="shared" si="283"/>
        <v>-18687.560000000001</v>
      </c>
      <c r="F203" s="471">
        <f>F200</f>
        <v>3.2920736399999997E-2</v>
      </c>
      <c r="G203" s="464">
        <f t="shared" si="283"/>
        <v>-18687.560000000001</v>
      </c>
      <c r="H203" s="471">
        <f t="shared" si="284"/>
        <v>3.2920736399999997E-2</v>
      </c>
      <c r="I203" s="464">
        <f t="shared" ref="I203" si="286">ROUND(H203*$C203*1000,2)</f>
        <v>-18687.560000000001</v>
      </c>
      <c r="K203" s="460"/>
      <c r="L203" s="460"/>
      <c r="M203" s="829"/>
      <c r="N203" s="826"/>
      <c r="O203" s="464"/>
      <c r="P203" s="826"/>
      <c r="Q203" s="464"/>
      <c r="R203" s="826"/>
      <c r="S203" s="464"/>
      <c r="T203" s="830"/>
    </row>
    <row r="204" spans="1:20">
      <c r="A204" s="460"/>
      <c r="B204" s="466" t="s">
        <v>93</v>
      </c>
      <c r="C204" s="462">
        <f>TempMWH!K12</f>
        <v>-775.38330181889637</v>
      </c>
      <c r="E204" s="468"/>
      <c r="G204" s="468"/>
      <c r="I204" s="468"/>
      <c r="K204" s="460"/>
      <c r="L204" s="460"/>
      <c r="M204" s="462"/>
      <c r="N204" s="826"/>
      <c r="O204" s="464"/>
      <c r="P204" s="826"/>
      <c r="Q204" s="464"/>
      <c r="R204" s="826"/>
      <c r="S204" s="464"/>
      <c r="T204" s="832"/>
    </row>
    <row r="205" spans="1:20">
      <c r="A205" s="460">
        <f t="shared" ref="A205:A206" si="287">A164</f>
        <v>43739</v>
      </c>
      <c r="B205" s="466" t="s">
        <v>252</v>
      </c>
      <c r="C205" s="479">
        <f>ROUND(C207*J$183,3)</f>
        <v>234.59399999999999</v>
      </c>
      <c r="D205" s="471">
        <f>0.039511*(1+$X$15)</f>
        <v>3.8254550199999994E-2</v>
      </c>
      <c r="E205" s="464">
        <f t="shared" ref="E205:G206" si="288">ROUND(D205*$C205*1000,2)</f>
        <v>8974.2900000000009</v>
      </c>
      <c r="F205" s="471">
        <f>F178</f>
        <v>3.8254550199999994E-2</v>
      </c>
      <c r="G205" s="464">
        <f t="shared" si="288"/>
        <v>8974.2900000000009</v>
      </c>
      <c r="H205" s="471">
        <f t="shared" ref="H205:H206" si="289">F205</f>
        <v>3.8254550199999994E-2</v>
      </c>
      <c r="I205" s="464">
        <f t="shared" ref="I205" si="290">ROUND(H205*$C205*1000,2)</f>
        <v>8974.2900000000009</v>
      </c>
      <c r="K205" s="460"/>
      <c r="L205" s="460"/>
      <c r="M205" s="829"/>
      <c r="N205" s="826"/>
      <c r="O205" s="464"/>
      <c r="P205" s="826"/>
      <c r="Q205" s="464"/>
      <c r="R205" s="826"/>
      <c r="S205" s="464"/>
      <c r="T205" s="832"/>
    </row>
    <row r="206" spans="1:20">
      <c r="A206" s="460">
        <f t="shared" si="287"/>
        <v>43739</v>
      </c>
      <c r="B206" s="466" t="s">
        <v>253</v>
      </c>
      <c r="C206" s="479">
        <f>C207-C205</f>
        <v>245.63120081178715</v>
      </c>
      <c r="D206" s="471">
        <f>0.034002*(1+$X$15)</f>
        <v>3.2920736399999997E-2</v>
      </c>
      <c r="E206" s="464">
        <f t="shared" si="288"/>
        <v>8086.36</v>
      </c>
      <c r="F206" s="471">
        <f>F179</f>
        <v>3.2920736399999997E-2</v>
      </c>
      <c r="G206" s="464">
        <f t="shared" si="288"/>
        <v>8086.36</v>
      </c>
      <c r="H206" s="471">
        <f t="shared" si="289"/>
        <v>3.2920736399999997E-2</v>
      </c>
      <c r="I206" s="464">
        <f t="shared" ref="I206" si="291">ROUND(H206*$C206*1000,2)</f>
        <v>8086.36</v>
      </c>
      <c r="K206" s="460"/>
      <c r="L206" s="460"/>
      <c r="M206" s="829"/>
      <c r="N206" s="826"/>
      <c r="O206" s="464"/>
      <c r="P206" s="826"/>
      <c r="Q206" s="464"/>
      <c r="R206" s="826"/>
      <c r="S206" s="464"/>
      <c r="T206" s="832"/>
    </row>
    <row r="207" spans="1:20">
      <c r="A207" s="460"/>
      <c r="B207" s="466" t="s">
        <v>93</v>
      </c>
      <c r="C207" s="487">
        <f>TempMWH!K13</f>
        <v>480.22520081178715</v>
      </c>
      <c r="E207" s="468"/>
      <c r="G207" s="468"/>
      <c r="I207" s="468"/>
      <c r="K207" s="460"/>
      <c r="L207" s="460"/>
      <c r="M207" s="462"/>
      <c r="N207" s="826"/>
      <c r="O207" s="464"/>
      <c r="P207" s="826"/>
      <c r="Q207" s="464"/>
      <c r="R207" s="826"/>
      <c r="S207" s="464"/>
      <c r="T207" s="832"/>
    </row>
    <row r="208" spans="1:20">
      <c r="A208" s="460">
        <f t="shared" ref="A208:A209" si="292">A167</f>
        <v>43770</v>
      </c>
      <c r="B208" s="466" t="s">
        <v>252</v>
      </c>
      <c r="C208" s="479">
        <f>ROUND(C210*J$183,3)</f>
        <v>257.97500000000002</v>
      </c>
      <c r="D208" s="471">
        <f>$D$205</f>
        <v>3.8254550199999994E-2</v>
      </c>
      <c r="E208" s="464">
        <f t="shared" ref="E208:G209" si="293">ROUND(D208*$C208*1000,2)</f>
        <v>9868.7199999999993</v>
      </c>
      <c r="F208" s="471">
        <f>F205</f>
        <v>3.8254550199999994E-2</v>
      </c>
      <c r="G208" s="464">
        <f t="shared" si="293"/>
        <v>9868.7199999999993</v>
      </c>
      <c r="H208" s="471">
        <f t="shared" ref="H208:H209" si="294">F208</f>
        <v>3.8254550199999994E-2</v>
      </c>
      <c r="I208" s="464">
        <f t="shared" ref="I208" si="295">ROUND(H208*$C208*1000,2)</f>
        <v>9868.7199999999993</v>
      </c>
      <c r="K208" s="460"/>
      <c r="L208" s="460"/>
      <c r="M208" s="829"/>
      <c r="N208" s="826"/>
      <c r="O208" s="464"/>
      <c r="P208" s="826"/>
      <c r="Q208" s="464"/>
      <c r="R208" s="826"/>
      <c r="S208" s="464"/>
      <c r="T208" s="832"/>
    </row>
    <row r="209" spans="1:30">
      <c r="A209" s="460">
        <f t="shared" si="292"/>
        <v>43770</v>
      </c>
      <c r="B209" s="466" t="s">
        <v>253</v>
      </c>
      <c r="C209" s="479">
        <f>C210-C208</f>
        <v>270.11302135088329</v>
      </c>
      <c r="D209" s="471">
        <f>$D$206</f>
        <v>3.2920736399999997E-2</v>
      </c>
      <c r="E209" s="464">
        <f t="shared" si="293"/>
        <v>8892.32</v>
      </c>
      <c r="F209" s="471">
        <f>F206</f>
        <v>3.2920736399999997E-2</v>
      </c>
      <c r="G209" s="464">
        <f t="shared" si="293"/>
        <v>8892.32</v>
      </c>
      <c r="H209" s="471">
        <f t="shared" si="294"/>
        <v>3.2920736399999997E-2</v>
      </c>
      <c r="I209" s="464">
        <f t="shared" ref="I209" si="296">ROUND(H209*$C209*1000,2)</f>
        <v>8892.32</v>
      </c>
      <c r="K209" s="460"/>
      <c r="L209" s="460"/>
      <c r="M209" s="829"/>
      <c r="N209" s="826"/>
      <c r="O209" s="464"/>
      <c r="P209" s="826"/>
      <c r="Q209" s="464"/>
      <c r="R209" s="826"/>
      <c r="S209" s="464"/>
      <c r="T209" s="832"/>
    </row>
    <row r="210" spans="1:30">
      <c r="A210" s="460"/>
      <c r="B210" s="466" t="s">
        <v>93</v>
      </c>
      <c r="C210" s="487">
        <f>TempMWH!K14</f>
        <v>528.08802135088331</v>
      </c>
      <c r="E210" s="468"/>
      <c r="G210" s="468"/>
      <c r="I210" s="468"/>
      <c r="K210" s="460"/>
      <c r="L210" s="460"/>
      <c r="M210" s="462"/>
      <c r="N210" s="826"/>
      <c r="O210" s="464"/>
      <c r="P210" s="826"/>
      <c r="Q210" s="464"/>
      <c r="R210" s="826"/>
      <c r="S210" s="464"/>
      <c r="T210" s="830"/>
    </row>
    <row r="211" spans="1:30">
      <c r="A211" s="460">
        <f t="shared" ref="A211:A212" si="297">A170</f>
        <v>43800</v>
      </c>
      <c r="B211" s="466" t="s">
        <v>252</v>
      </c>
      <c r="C211" s="479">
        <f>ROUND(C213*J$183,3)</f>
        <v>403.92899999999997</v>
      </c>
      <c r="D211" s="471">
        <f>$D$205</f>
        <v>3.8254550199999994E-2</v>
      </c>
      <c r="E211" s="464">
        <f t="shared" ref="E211:G212" si="298">ROUND(D211*$C211*1000,2)</f>
        <v>15452.12</v>
      </c>
      <c r="F211" s="471">
        <f>F208</f>
        <v>3.8254550199999994E-2</v>
      </c>
      <c r="G211" s="464">
        <f t="shared" si="298"/>
        <v>15452.12</v>
      </c>
      <c r="H211" s="471">
        <f t="shared" ref="H211:H212" si="299">F211</f>
        <v>3.8254550199999994E-2</v>
      </c>
      <c r="I211" s="464">
        <f t="shared" ref="I211" si="300">ROUND(H211*$C211*1000,2)</f>
        <v>15452.12</v>
      </c>
      <c r="K211" s="460"/>
      <c r="L211" s="460"/>
      <c r="M211" s="829"/>
      <c r="N211" s="826"/>
      <c r="O211" s="464"/>
      <c r="P211" s="826"/>
      <c r="Q211" s="464"/>
      <c r="R211" s="826"/>
      <c r="S211" s="464"/>
      <c r="T211" s="830"/>
    </row>
    <row r="212" spans="1:30">
      <c r="A212" s="460">
        <f t="shared" si="297"/>
        <v>43800</v>
      </c>
      <c r="B212" s="460" t="s">
        <v>253</v>
      </c>
      <c r="C212" s="479">
        <f>C213-C211</f>
        <v>422.93443588227831</v>
      </c>
      <c r="D212" s="471">
        <f>$D$206</f>
        <v>3.2920736399999997E-2</v>
      </c>
      <c r="E212" s="464">
        <f t="shared" si="298"/>
        <v>13923.31</v>
      </c>
      <c r="F212" s="471">
        <f>F209</f>
        <v>3.2920736399999997E-2</v>
      </c>
      <c r="G212" s="464">
        <f t="shared" si="298"/>
        <v>13923.31</v>
      </c>
      <c r="H212" s="471">
        <f t="shared" si="299"/>
        <v>3.2920736399999997E-2</v>
      </c>
      <c r="I212" s="464">
        <f t="shared" ref="I212" si="301">ROUND(H212*$C212*1000,2)</f>
        <v>13923.31</v>
      </c>
      <c r="K212" s="460"/>
      <c r="L212" s="460"/>
      <c r="M212" s="829"/>
      <c r="N212" s="826"/>
      <c r="O212" s="464"/>
      <c r="P212" s="826"/>
      <c r="Q212" s="464"/>
      <c r="R212" s="826"/>
      <c r="S212" s="464"/>
      <c r="T212" s="830"/>
    </row>
    <row r="213" spans="1:30">
      <c r="A213" s="474"/>
      <c r="B213" s="474" t="s">
        <v>93</v>
      </c>
      <c r="C213" s="476">
        <f>TempMWH!K15</f>
        <v>826.86343588227828</v>
      </c>
      <c r="D213" s="481"/>
      <c r="E213" s="478"/>
      <c r="F213" s="481"/>
      <c r="G213" s="478"/>
      <c r="H213" s="481"/>
      <c r="I213" s="478"/>
      <c r="K213" s="460"/>
      <c r="L213" s="460"/>
      <c r="M213" s="462"/>
      <c r="N213" s="826"/>
      <c r="O213" s="464"/>
      <c r="P213" s="826"/>
      <c r="Q213" s="464"/>
      <c r="R213" s="826"/>
      <c r="S213" s="464"/>
      <c r="T213" s="830"/>
    </row>
    <row r="214" spans="1:30">
      <c r="A214" s="449" t="s">
        <v>93</v>
      </c>
      <c r="B214" s="449"/>
      <c r="C214" s="479">
        <f>SUM(C178:C179,C181:C182,C184:C185,C187:C188,C190:C191,C193:C194,C196:C197,C199:C200,C202:C203,C205:C206,C208:C209,C211:C212)</f>
        <v>1058.8388133031867</v>
      </c>
      <c r="D214" s="449"/>
      <c r="E214" s="468">
        <f>SUM(E178:E179,E181:E182,E184:E185,E187:E188,E190:E191,E193:E194,E196:E197,E199:E200,E202:E203,E205:E206,E208:E209,E211:E212)</f>
        <v>35660.21</v>
      </c>
      <c r="F214" s="449"/>
      <c r="G214" s="468">
        <f>SUM(G178:G179,G181:G182,G184:G185,G187:G188,G190:G191,G193:G194,G196:G197,G199:G200,G202:G203,G205:G206,G208:G209,G211:G212)</f>
        <v>35660.21</v>
      </c>
      <c r="H214" s="449"/>
      <c r="I214" s="468">
        <f>SUM(I178:I179,I181:I182,I184:I185,I187:I188,I190:I191,I193:I194,I196:I197,I199:I200,I202:I203,I205:I206,I208:I209,I211:I212)</f>
        <v>35660.21</v>
      </c>
      <c r="K214" s="473"/>
      <c r="L214" s="473"/>
      <c r="M214" s="829"/>
      <c r="N214" s="473"/>
      <c r="O214" s="464"/>
      <c r="P214" s="473"/>
      <c r="Q214" s="464"/>
      <c r="R214" s="473"/>
      <c r="S214" s="464"/>
      <c r="T214" s="830"/>
    </row>
    <row r="215" spans="1:30">
      <c r="A215" s="449"/>
      <c r="B215" s="454"/>
      <c r="C215" s="479"/>
      <c r="D215" s="488"/>
      <c r="E215" s="468"/>
      <c r="F215" s="488"/>
      <c r="G215" s="468"/>
      <c r="H215" s="488"/>
      <c r="I215" s="468"/>
    </row>
    <row r="216" spans="1:30">
      <c r="A216" s="451" t="s">
        <v>899</v>
      </c>
      <c r="B216" s="448"/>
      <c r="C216" s="448"/>
      <c r="D216" s="448"/>
      <c r="E216" s="448"/>
      <c r="F216" s="448"/>
      <c r="G216" s="448"/>
      <c r="H216" s="448"/>
      <c r="I216" s="448"/>
      <c r="K216" s="451" t="s">
        <v>900</v>
      </c>
      <c r="L216" s="448"/>
      <c r="M216" s="448"/>
      <c r="N216" s="448"/>
      <c r="O216" s="448"/>
      <c r="P216" s="448"/>
      <c r="Q216" s="448"/>
      <c r="R216" s="448"/>
      <c r="S216" s="448"/>
      <c r="T216" s="579"/>
      <c r="U216" s="821"/>
      <c r="V216" s="822"/>
      <c r="W216" s="822"/>
      <c r="X216" s="822"/>
      <c r="Y216" s="822"/>
      <c r="Z216" s="822"/>
      <c r="AA216" s="822"/>
      <c r="AB216" s="822"/>
      <c r="AC216" s="822"/>
      <c r="AD216" s="823"/>
    </row>
    <row r="217" spans="1:30">
      <c r="A217" s="449"/>
      <c r="B217" s="449"/>
      <c r="C217" s="449"/>
      <c r="D217" s="455" t="s">
        <v>425</v>
      </c>
      <c r="E217" s="455" t="s">
        <v>425</v>
      </c>
      <c r="F217" s="455" t="s">
        <v>494</v>
      </c>
      <c r="G217" s="455" t="s">
        <v>494</v>
      </c>
      <c r="H217" s="455" t="s">
        <v>216</v>
      </c>
      <c r="I217" s="455" t="s">
        <v>216</v>
      </c>
      <c r="K217" s="449"/>
      <c r="L217" s="449"/>
      <c r="M217" s="449"/>
      <c r="N217" s="455" t="s">
        <v>425</v>
      </c>
      <c r="O217" s="455" t="s">
        <v>425</v>
      </c>
      <c r="P217" s="455" t="s">
        <v>494</v>
      </c>
      <c r="Q217" s="455" t="s">
        <v>494</v>
      </c>
      <c r="R217" s="455" t="s">
        <v>216</v>
      </c>
      <c r="S217" s="455" t="s">
        <v>216</v>
      </c>
      <c r="T217" s="579"/>
      <c r="U217" s="473"/>
      <c r="V217" s="473"/>
      <c r="W217" s="473"/>
      <c r="X217" s="824"/>
      <c r="Y217" s="824"/>
      <c r="Z217" s="824"/>
      <c r="AA217" s="824"/>
      <c r="AB217" s="824"/>
      <c r="AC217" s="824"/>
      <c r="AD217" s="823"/>
    </row>
    <row r="218" spans="1:30">
      <c r="A218" s="456" t="s">
        <v>110</v>
      </c>
      <c r="B218" s="456"/>
      <c r="C218" s="456" t="s">
        <v>109</v>
      </c>
      <c r="D218" s="456" t="s">
        <v>99</v>
      </c>
      <c r="E218" s="456" t="s">
        <v>496</v>
      </c>
      <c r="F218" s="456" t="s">
        <v>99</v>
      </c>
      <c r="G218" s="456" t="s">
        <v>496</v>
      </c>
      <c r="H218" s="456" t="s">
        <v>99</v>
      </c>
      <c r="I218" s="456" t="s">
        <v>496</v>
      </c>
      <c r="K218" s="456" t="s">
        <v>110</v>
      </c>
      <c r="L218" s="456"/>
      <c r="M218" s="456" t="s">
        <v>109</v>
      </c>
      <c r="N218" s="456" t="s">
        <v>99</v>
      </c>
      <c r="O218" s="456" t="s">
        <v>496</v>
      </c>
      <c r="P218" s="456" t="s">
        <v>99</v>
      </c>
      <c r="Q218" s="456" t="s">
        <v>496</v>
      </c>
      <c r="R218" s="456" t="s">
        <v>99</v>
      </c>
      <c r="S218" s="456" t="s">
        <v>496</v>
      </c>
      <c r="T218" s="579"/>
      <c r="U218" s="824"/>
      <c r="V218" s="824"/>
      <c r="W218" s="824"/>
      <c r="X218" s="824"/>
      <c r="Y218" s="824"/>
      <c r="Z218" s="824"/>
      <c r="AA218" s="824"/>
      <c r="AB218" s="824"/>
      <c r="AC218" s="824"/>
      <c r="AD218" s="823"/>
    </row>
    <row r="219" spans="1:30">
      <c r="A219" s="460">
        <f>A137</f>
        <v>43466</v>
      </c>
      <c r="B219" s="465">
        <v>1</v>
      </c>
      <c r="C219" s="479">
        <f>ROUND(C221*J$224,3)</f>
        <v>53.392000000000003</v>
      </c>
      <c r="D219" s="471">
        <f>0.108*(1+$Y$17)</f>
        <v>0.1044252</v>
      </c>
      <c r="E219" s="464">
        <f>ROUND(D219*$C219*1000,2)</f>
        <v>5575.47</v>
      </c>
      <c r="F219" s="625">
        <f>D219</f>
        <v>0.1044252</v>
      </c>
      <c r="G219" s="464">
        <f>ROUND(F219*$C219*1000,2)</f>
        <v>5575.47</v>
      </c>
      <c r="H219" s="625">
        <f>F219</f>
        <v>0.1044252</v>
      </c>
      <c r="I219" s="464">
        <f>ROUND(H219*$C219*1000,2)</f>
        <v>5575.47</v>
      </c>
      <c r="J219" s="458"/>
      <c r="K219" s="460">
        <f>A219</f>
        <v>43466</v>
      </c>
      <c r="L219" s="465">
        <v>1</v>
      </c>
      <c r="M219" s="479">
        <f>ROUND(M221*T$224,3)</f>
        <v>154.78200000000001</v>
      </c>
      <c r="N219" s="445">
        <f>D219</f>
        <v>0.1044252</v>
      </c>
      <c r="O219" s="464">
        <f>ROUND(N219*$M219*1000,2)</f>
        <v>16163.14</v>
      </c>
      <c r="P219" s="445">
        <f>F219</f>
        <v>0.1044252</v>
      </c>
      <c r="Q219" s="464">
        <f>ROUND(P219*$M219*1000,2)</f>
        <v>16163.14</v>
      </c>
      <c r="R219" s="445">
        <f>H219</f>
        <v>0.1044252</v>
      </c>
      <c r="S219" s="464">
        <f>ROUND(R219*$M219*1000,2)</f>
        <v>16163.14</v>
      </c>
      <c r="T219" s="458"/>
      <c r="U219" s="460"/>
      <c r="V219" s="834"/>
      <c r="W219" s="829"/>
      <c r="X219" s="826"/>
      <c r="Y219" s="464"/>
      <c r="Z219" s="826"/>
      <c r="AA219" s="464"/>
      <c r="AB219" s="826"/>
      <c r="AC219" s="464"/>
      <c r="AD219" s="823"/>
    </row>
    <row r="220" spans="1:30">
      <c r="A220" s="460">
        <f>A138</f>
        <v>43466</v>
      </c>
      <c r="B220" s="465">
        <v>2</v>
      </c>
      <c r="C220" s="479">
        <f>C221-C219</f>
        <v>36.207970608012069</v>
      </c>
      <c r="D220" s="471">
        <f>0.060567*(1+$Y$17)</f>
        <v>5.8562232300000003E-2</v>
      </c>
      <c r="E220" s="464">
        <f>ROUND(D220*$C220*1000,2)</f>
        <v>2120.42</v>
      </c>
      <c r="F220" s="625">
        <f>D220</f>
        <v>5.8562232300000003E-2</v>
      </c>
      <c r="G220" s="464">
        <f>ROUND(F220*$C220*1000,2)</f>
        <v>2120.42</v>
      </c>
      <c r="H220" s="625">
        <f>F220</f>
        <v>5.8562232300000003E-2</v>
      </c>
      <c r="I220" s="464">
        <f>ROUND(H220*$C220*1000,2)</f>
        <v>2120.42</v>
      </c>
      <c r="J220" s="580"/>
      <c r="K220" s="460">
        <f>A220</f>
        <v>43466</v>
      </c>
      <c r="L220" s="465">
        <v>2</v>
      </c>
      <c r="M220" s="479">
        <f>M221-M219</f>
        <v>127.00202016133679</v>
      </c>
      <c r="N220" s="445">
        <f>D220</f>
        <v>5.8562232300000003E-2</v>
      </c>
      <c r="O220" s="464">
        <f>ROUND(N220*$M220*1000,2)</f>
        <v>7437.52</v>
      </c>
      <c r="P220" s="445">
        <f>F220</f>
        <v>5.8562232300000003E-2</v>
      </c>
      <c r="Q220" s="464">
        <f>ROUND(P220*$M220*1000,2)</f>
        <v>7437.52</v>
      </c>
      <c r="R220" s="445">
        <f>H220</f>
        <v>5.8562232300000003E-2</v>
      </c>
      <c r="S220" s="464">
        <f>ROUND(R220*$M220*1000,2)</f>
        <v>7437.52</v>
      </c>
      <c r="T220" s="580"/>
      <c r="U220" s="460"/>
      <c r="V220" s="834"/>
      <c r="W220" s="829"/>
      <c r="X220" s="826"/>
      <c r="Y220" s="464"/>
      <c r="Z220" s="826"/>
      <c r="AA220" s="464"/>
      <c r="AB220" s="826"/>
      <c r="AC220" s="464"/>
      <c r="AD220" s="823"/>
    </row>
    <row r="221" spans="1:30">
      <c r="A221" s="460"/>
      <c r="B221" s="466" t="s">
        <v>93</v>
      </c>
      <c r="C221" s="487">
        <f>TempMWH!G4</f>
        <v>89.599970608012072</v>
      </c>
      <c r="D221" s="471"/>
      <c r="E221" s="468"/>
      <c r="F221" s="471"/>
      <c r="G221" s="468"/>
      <c r="H221" s="471"/>
      <c r="I221" s="468"/>
      <c r="J221" s="579" t="s">
        <v>21</v>
      </c>
      <c r="K221" s="460"/>
      <c r="L221" s="466" t="s">
        <v>93</v>
      </c>
      <c r="M221" s="487">
        <f>TempMWH!L4</f>
        <v>281.7840201613368</v>
      </c>
      <c r="O221" s="468"/>
      <c r="Q221" s="468"/>
      <c r="S221" s="468"/>
      <c r="T221" s="579" t="s">
        <v>21</v>
      </c>
      <c r="U221" s="460"/>
      <c r="V221" s="460"/>
      <c r="W221" s="462"/>
      <c r="X221" s="826"/>
      <c r="Y221" s="464"/>
      <c r="Z221" s="826"/>
      <c r="AA221" s="464"/>
      <c r="AB221" s="826"/>
      <c r="AC221" s="464"/>
      <c r="AD221" s="823"/>
    </row>
    <row r="222" spans="1:30">
      <c r="A222" s="460">
        <f t="shared" ref="A222:A223" si="302">A140</f>
        <v>43497</v>
      </c>
      <c r="B222" s="465">
        <v>1</v>
      </c>
      <c r="C222" s="479">
        <f>ROUND(C224*J$224,3)</f>
        <v>-42.889000000000003</v>
      </c>
      <c r="D222" s="471">
        <f>$D$219</f>
        <v>0.1044252</v>
      </c>
      <c r="E222" s="464">
        <f t="shared" ref="E222:I223" si="303">ROUND(D222*$C222*1000,2)</f>
        <v>-4478.6899999999996</v>
      </c>
      <c r="F222" s="625">
        <f t="shared" ref="F222:F223" si="304">D222</f>
        <v>0.1044252</v>
      </c>
      <c r="G222" s="464">
        <f t="shared" ref="G222:G223" si="305">ROUND(F222*$C222*1000,2)</f>
        <v>-4478.6899999999996</v>
      </c>
      <c r="H222" s="625">
        <f t="shared" ref="H222:H223" si="306">F222</f>
        <v>0.1044252</v>
      </c>
      <c r="I222" s="464">
        <f t="shared" si="303"/>
        <v>-4478.6899999999996</v>
      </c>
      <c r="J222" s="579">
        <f>'23'!N42</f>
        <v>0.5969164391369205</v>
      </c>
      <c r="K222" s="460">
        <f t="shared" ref="K222:K223" si="307">A222</f>
        <v>43497</v>
      </c>
      <c r="L222" s="465">
        <v>1</v>
      </c>
      <c r="M222" s="479">
        <f>ROUND(M224*T$224,3)</f>
        <v>-83.269000000000005</v>
      </c>
      <c r="N222" s="445">
        <f t="shared" ref="N222:N223" si="308">D222</f>
        <v>0.1044252</v>
      </c>
      <c r="O222" s="464">
        <f t="shared" ref="O222:O223" si="309">ROUND(N222*$M222*1000,2)</f>
        <v>-8695.3799999999992</v>
      </c>
      <c r="P222" s="445">
        <f t="shared" ref="P222:P223" si="310">F222</f>
        <v>0.1044252</v>
      </c>
      <c r="Q222" s="464">
        <f t="shared" ref="Q222:Q223" si="311">ROUND(P222*$M222*1000,2)</f>
        <v>-8695.3799999999992</v>
      </c>
      <c r="R222" s="445">
        <f t="shared" ref="R222:R223" si="312">H222</f>
        <v>0.1044252</v>
      </c>
      <c r="S222" s="464">
        <f t="shared" ref="S222:S223" si="313">ROUND(R222*$M222*1000,2)</f>
        <v>-8695.3799999999992</v>
      </c>
      <c r="T222" s="579">
        <f>'23'!N40</f>
        <v>0.50022203555214639</v>
      </c>
      <c r="U222" s="460"/>
      <c r="V222" s="834"/>
      <c r="W222" s="829"/>
      <c r="X222" s="826"/>
      <c r="Y222" s="464"/>
      <c r="Z222" s="826"/>
      <c r="AA222" s="464"/>
      <c r="AB222" s="826"/>
      <c r="AC222" s="464"/>
      <c r="AD222" s="823"/>
    </row>
    <row r="223" spans="1:30">
      <c r="A223" s="460">
        <f t="shared" si="302"/>
        <v>43497</v>
      </c>
      <c r="B223" s="465">
        <v>2</v>
      </c>
      <c r="C223" s="479">
        <f>C224-C222</f>
        <v>-29.085913311526973</v>
      </c>
      <c r="D223" s="471">
        <f>$D$220</f>
        <v>5.8562232300000003E-2</v>
      </c>
      <c r="E223" s="464">
        <f t="shared" si="303"/>
        <v>-1703.34</v>
      </c>
      <c r="F223" s="625">
        <f t="shared" si="304"/>
        <v>5.8562232300000003E-2</v>
      </c>
      <c r="G223" s="464">
        <f t="shared" si="305"/>
        <v>-1703.34</v>
      </c>
      <c r="H223" s="625">
        <f t="shared" si="306"/>
        <v>5.8562232300000003E-2</v>
      </c>
      <c r="I223" s="464">
        <f t="shared" si="303"/>
        <v>-1703.34</v>
      </c>
      <c r="J223" s="579" t="s">
        <v>22</v>
      </c>
      <c r="K223" s="460">
        <f t="shared" si="307"/>
        <v>43497</v>
      </c>
      <c r="L223" s="465">
        <v>2</v>
      </c>
      <c r="M223" s="479">
        <f>M224-M222</f>
        <v>-68.323380257090491</v>
      </c>
      <c r="N223" s="445">
        <f t="shared" si="308"/>
        <v>5.8562232300000003E-2</v>
      </c>
      <c r="O223" s="464">
        <f t="shared" si="309"/>
        <v>-4001.17</v>
      </c>
      <c r="P223" s="445">
        <f t="shared" si="310"/>
        <v>5.8562232300000003E-2</v>
      </c>
      <c r="Q223" s="464">
        <f t="shared" si="311"/>
        <v>-4001.17</v>
      </c>
      <c r="R223" s="445">
        <f t="shared" si="312"/>
        <v>5.8562232300000003E-2</v>
      </c>
      <c r="S223" s="464">
        <f t="shared" si="313"/>
        <v>-4001.17</v>
      </c>
      <c r="T223" s="579" t="s">
        <v>22</v>
      </c>
      <c r="U223" s="460"/>
      <c r="V223" s="834"/>
      <c r="W223" s="829"/>
      <c r="X223" s="826"/>
      <c r="Y223" s="464"/>
      <c r="Z223" s="826"/>
      <c r="AA223" s="464"/>
      <c r="AB223" s="826"/>
      <c r="AC223" s="464"/>
      <c r="AD223" s="823"/>
    </row>
    <row r="224" spans="1:30">
      <c r="A224" s="460"/>
      <c r="B224" s="466" t="s">
        <v>93</v>
      </c>
      <c r="C224" s="487">
        <f>TempMWH!G5</f>
        <v>-71.974913311526976</v>
      </c>
      <c r="D224" s="471"/>
      <c r="E224" s="468"/>
      <c r="F224" s="471"/>
      <c r="G224" s="468"/>
      <c r="H224" s="471"/>
      <c r="I224" s="468"/>
      <c r="J224" s="579">
        <f>'23'!Q42</f>
        <v>0.59588909775612475</v>
      </c>
      <c r="K224" s="460"/>
      <c r="L224" s="466" t="s">
        <v>93</v>
      </c>
      <c r="M224" s="487">
        <f>TempMWH!L5</f>
        <v>-151.5923802570905</v>
      </c>
      <c r="O224" s="468"/>
      <c r="Q224" s="468"/>
      <c r="S224" s="468"/>
      <c r="T224" s="579">
        <f>'23'!Q40</f>
        <v>0.549293682993238</v>
      </c>
      <c r="U224" s="460"/>
      <c r="V224" s="460"/>
      <c r="W224" s="462"/>
      <c r="X224" s="826"/>
      <c r="Y224" s="464"/>
      <c r="Z224" s="826"/>
      <c r="AA224" s="464"/>
      <c r="AB224" s="826"/>
      <c r="AC224" s="464"/>
      <c r="AD224" s="823"/>
    </row>
    <row r="225" spans="1:30">
      <c r="A225" s="460">
        <f t="shared" ref="A225:A226" si="314">A143</f>
        <v>43525</v>
      </c>
      <c r="B225" s="465">
        <v>1</v>
      </c>
      <c r="C225" s="479">
        <f>ROUND(C227*J$224,3)</f>
        <v>-79.834000000000003</v>
      </c>
      <c r="D225" s="471">
        <f>$D$219</f>
        <v>0.1044252</v>
      </c>
      <c r="E225" s="464">
        <f t="shared" ref="E225:I226" si="315">ROUND(D225*$C225*1000,2)</f>
        <v>-8336.68</v>
      </c>
      <c r="F225" s="625">
        <f t="shared" ref="F225:F226" si="316">D225</f>
        <v>0.1044252</v>
      </c>
      <c r="G225" s="464">
        <f t="shared" ref="G225:G226" si="317">ROUND(F225*$C225*1000,2)</f>
        <v>-8336.68</v>
      </c>
      <c r="H225" s="625">
        <f t="shared" ref="H225:H226" si="318">F225</f>
        <v>0.1044252</v>
      </c>
      <c r="I225" s="464">
        <f t="shared" si="315"/>
        <v>-8336.68</v>
      </c>
      <c r="K225" s="460">
        <f t="shared" ref="K225:K226" si="319">A225</f>
        <v>43525</v>
      </c>
      <c r="L225" s="465">
        <v>1</v>
      </c>
      <c r="M225" s="479">
        <f>ROUND(M227*T$224,3)</f>
        <v>73.105000000000004</v>
      </c>
      <c r="N225" s="445">
        <f t="shared" ref="N225:N226" si="320">D225</f>
        <v>0.1044252</v>
      </c>
      <c r="O225" s="464">
        <f t="shared" ref="O225:O226" si="321">ROUND(N225*$M225*1000,2)</f>
        <v>7634</v>
      </c>
      <c r="P225" s="445">
        <f t="shared" ref="P225:P226" si="322">F225</f>
        <v>0.1044252</v>
      </c>
      <c r="Q225" s="464">
        <f t="shared" ref="Q225:Q226" si="323">ROUND(P225*$M225*1000,2)</f>
        <v>7634</v>
      </c>
      <c r="R225" s="445">
        <f t="shared" ref="R225:R226" si="324">H225</f>
        <v>0.1044252</v>
      </c>
      <c r="S225" s="464">
        <f t="shared" ref="S225:S226" si="325">ROUND(R225*$M225*1000,2)</f>
        <v>7634</v>
      </c>
      <c r="T225" s="579"/>
      <c r="U225" s="460"/>
      <c r="V225" s="834"/>
      <c r="W225" s="829"/>
      <c r="X225" s="826"/>
      <c r="Y225" s="464"/>
      <c r="Z225" s="826"/>
      <c r="AA225" s="464"/>
      <c r="AB225" s="826"/>
      <c r="AC225" s="464"/>
      <c r="AD225" s="823"/>
    </row>
    <row r="226" spans="1:30">
      <c r="A226" s="460">
        <f t="shared" si="314"/>
        <v>43525</v>
      </c>
      <c r="B226" s="465">
        <v>2</v>
      </c>
      <c r="C226" s="479">
        <f>C227-C225</f>
        <v>-54.140870429797303</v>
      </c>
      <c r="D226" s="471">
        <f>$D$220</f>
        <v>5.8562232300000003E-2</v>
      </c>
      <c r="E226" s="464">
        <f t="shared" si="315"/>
        <v>-3170.61</v>
      </c>
      <c r="F226" s="625">
        <f t="shared" si="316"/>
        <v>5.8562232300000003E-2</v>
      </c>
      <c r="G226" s="464">
        <f t="shared" si="317"/>
        <v>-3170.61</v>
      </c>
      <c r="H226" s="625">
        <f t="shared" si="318"/>
        <v>5.8562232300000003E-2</v>
      </c>
      <c r="I226" s="464">
        <f t="shared" si="315"/>
        <v>-3170.61</v>
      </c>
      <c r="K226" s="460">
        <f t="shared" si="319"/>
        <v>43525</v>
      </c>
      <c r="L226" s="465">
        <v>2</v>
      </c>
      <c r="M226" s="479">
        <f>M227-M225</f>
        <v>59.983448807167221</v>
      </c>
      <c r="N226" s="445">
        <f t="shared" si="320"/>
        <v>5.8562232300000003E-2</v>
      </c>
      <c r="O226" s="464">
        <f t="shared" si="321"/>
        <v>3512.76</v>
      </c>
      <c r="P226" s="445">
        <f t="shared" si="322"/>
        <v>5.8562232300000003E-2</v>
      </c>
      <c r="Q226" s="464">
        <f t="shared" si="323"/>
        <v>3512.76</v>
      </c>
      <c r="R226" s="445">
        <f t="shared" si="324"/>
        <v>5.8562232300000003E-2</v>
      </c>
      <c r="S226" s="464">
        <f t="shared" si="325"/>
        <v>3512.76</v>
      </c>
      <c r="T226" s="579"/>
      <c r="U226" s="460"/>
      <c r="V226" s="834"/>
      <c r="W226" s="829"/>
      <c r="X226" s="826"/>
      <c r="Y226" s="464"/>
      <c r="Z226" s="826"/>
      <c r="AA226" s="464"/>
      <c r="AB226" s="826"/>
      <c r="AC226" s="464"/>
      <c r="AD226" s="823"/>
    </row>
    <row r="227" spans="1:30">
      <c r="A227" s="460"/>
      <c r="B227" s="466" t="s">
        <v>93</v>
      </c>
      <c r="C227" s="487">
        <f>TempMWH!G6</f>
        <v>-133.97487042979731</v>
      </c>
      <c r="D227" s="471"/>
      <c r="E227" s="468"/>
      <c r="F227" s="471"/>
      <c r="G227" s="468"/>
      <c r="H227" s="471"/>
      <c r="I227" s="468"/>
      <c r="K227" s="460"/>
      <c r="L227" s="466" t="s">
        <v>93</v>
      </c>
      <c r="M227" s="487">
        <f>TempMWH!L6</f>
        <v>133.08844880716723</v>
      </c>
      <c r="O227" s="468"/>
      <c r="Q227" s="468"/>
      <c r="S227" s="468"/>
      <c r="T227" s="579"/>
      <c r="U227" s="460"/>
      <c r="V227" s="460"/>
      <c r="W227" s="462"/>
      <c r="X227" s="826"/>
      <c r="Y227" s="464"/>
      <c r="Z227" s="826"/>
      <c r="AA227" s="464"/>
      <c r="AB227" s="826"/>
      <c r="AC227" s="464"/>
      <c r="AD227" s="823"/>
    </row>
    <row r="228" spans="1:30">
      <c r="A228" s="460">
        <f t="shared" ref="A228:A229" si="326">A146</f>
        <v>43556</v>
      </c>
      <c r="B228" s="465">
        <v>1</v>
      </c>
      <c r="C228" s="479">
        <f>ROUND(C230*J$224,3)</f>
        <v>108.137</v>
      </c>
      <c r="D228" s="471">
        <f>$D$219</f>
        <v>0.1044252</v>
      </c>
      <c r="E228" s="464">
        <f t="shared" ref="E228:I229" si="327">ROUND(D228*$C228*1000,2)</f>
        <v>11292.23</v>
      </c>
      <c r="F228" s="625">
        <f t="shared" ref="F228:F229" si="328">D228</f>
        <v>0.1044252</v>
      </c>
      <c r="G228" s="464">
        <f t="shared" ref="G228:G229" si="329">ROUND(F228*$C228*1000,2)</f>
        <v>11292.23</v>
      </c>
      <c r="H228" s="625">
        <f t="shared" ref="H228:H229" si="330">F228</f>
        <v>0.1044252</v>
      </c>
      <c r="I228" s="464">
        <f t="shared" si="327"/>
        <v>11292.23</v>
      </c>
      <c r="K228" s="460">
        <f t="shared" ref="K228:K229" si="331">A228</f>
        <v>43556</v>
      </c>
      <c r="L228" s="465">
        <v>1</v>
      </c>
      <c r="M228" s="479">
        <f>ROUND(M230*T$224,3)</f>
        <v>129.51599999999999</v>
      </c>
      <c r="N228" s="445">
        <f t="shared" ref="N228:N229" si="332">D228</f>
        <v>0.1044252</v>
      </c>
      <c r="O228" s="464">
        <f t="shared" ref="O228:O229" si="333">ROUND(N228*$M228*1000,2)</f>
        <v>13524.73</v>
      </c>
      <c r="P228" s="445">
        <f t="shared" ref="P228:P229" si="334">F228</f>
        <v>0.1044252</v>
      </c>
      <c r="Q228" s="464">
        <f t="shared" ref="Q228:Q229" si="335">ROUND(P228*$M228*1000,2)</f>
        <v>13524.73</v>
      </c>
      <c r="R228" s="445">
        <f t="shared" ref="R228:R229" si="336">H228</f>
        <v>0.1044252</v>
      </c>
      <c r="S228" s="464">
        <f t="shared" ref="S228:S229" si="337">ROUND(R228*$M228*1000,2)</f>
        <v>13524.73</v>
      </c>
      <c r="T228" s="579"/>
      <c r="U228" s="460"/>
      <c r="V228" s="834"/>
      <c r="W228" s="829"/>
      <c r="X228" s="826"/>
      <c r="Y228" s="464"/>
      <c r="Z228" s="826"/>
      <c r="AA228" s="464"/>
      <c r="AB228" s="826"/>
      <c r="AC228" s="464"/>
      <c r="AD228" s="823"/>
    </row>
    <row r="229" spans="1:30">
      <c r="A229" s="460">
        <f t="shared" si="326"/>
        <v>43556</v>
      </c>
      <c r="B229" s="465">
        <v>2</v>
      </c>
      <c r="C229" s="479">
        <f>C230-C228</f>
        <v>73.335308899277152</v>
      </c>
      <c r="D229" s="471">
        <f>$D$220</f>
        <v>5.8562232300000003E-2</v>
      </c>
      <c r="E229" s="464">
        <f t="shared" si="327"/>
        <v>4294.68</v>
      </c>
      <c r="F229" s="625">
        <f t="shared" si="328"/>
        <v>5.8562232300000003E-2</v>
      </c>
      <c r="G229" s="464">
        <f t="shared" si="329"/>
        <v>4294.68</v>
      </c>
      <c r="H229" s="625">
        <f t="shared" si="330"/>
        <v>5.8562232300000003E-2</v>
      </c>
      <c r="I229" s="464">
        <f t="shared" si="327"/>
        <v>4294.68</v>
      </c>
      <c r="K229" s="460">
        <f t="shared" si="331"/>
        <v>43556</v>
      </c>
      <c r="L229" s="465">
        <v>2</v>
      </c>
      <c r="M229" s="479">
        <f>M230-M228</f>
        <v>106.27075225337222</v>
      </c>
      <c r="N229" s="445">
        <f t="shared" si="332"/>
        <v>5.8562232300000003E-2</v>
      </c>
      <c r="O229" s="464">
        <f t="shared" si="333"/>
        <v>6223.45</v>
      </c>
      <c r="P229" s="445">
        <f t="shared" si="334"/>
        <v>5.8562232300000003E-2</v>
      </c>
      <c r="Q229" s="464">
        <f t="shared" si="335"/>
        <v>6223.45</v>
      </c>
      <c r="R229" s="445">
        <f t="shared" si="336"/>
        <v>5.8562232300000003E-2</v>
      </c>
      <c r="S229" s="464">
        <f t="shared" si="337"/>
        <v>6223.45</v>
      </c>
      <c r="T229" s="579"/>
      <c r="U229" s="460"/>
      <c r="V229" s="834"/>
      <c r="W229" s="829"/>
      <c r="X229" s="826"/>
      <c r="Y229" s="464"/>
      <c r="Z229" s="826"/>
      <c r="AA229" s="464"/>
      <c r="AB229" s="826"/>
      <c r="AC229" s="464"/>
      <c r="AD229" s="823"/>
    </row>
    <row r="230" spans="1:30">
      <c r="A230" s="460"/>
      <c r="B230" s="466" t="s">
        <v>93</v>
      </c>
      <c r="C230" s="487">
        <f>TempMWH!G7</f>
        <v>181.47230889927715</v>
      </c>
      <c r="D230" s="471"/>
      <c r="E230" s="468"/>
      <c r="F230" s="471"/>
      <c r="G230" s="468"/>
      <c r="H230" s="471"/>
      <c r="I230" s="468"/>
      <c r="K230" s="460"/>
      <c r="L230" s="466" t="s">
        <v>93</v>
      </c>
      <c r="M230" s="487">
        <f>TempMWH!L7</f>
        <v>235.78675225337221</v>
      </c>
      <c r="O230" s="468"/>
      <c r="Q230" s="468"/>
      <c r="S230" s="468"/>
      <c r="T230" s="579"/>
      <c r="U230" s="460"/>
      <c r="V230" s="460"/>
      <c r="W230" s="462"/>
      <c r="X230" s="826"/>
      <c r="Y230" s="464"/>
      <c r="Z230" s="826"/>
      <c r="AA230" s="464"/>
      <c r="AB230" s="826"/>
      <c r="AC230" s="464"/>
      <c r="AD230" s="823"/>
    </row>
    <row r="231" spans="1:30">
      <c r="A231" s="460">
        <f t="shared" ref="A231:A232" si="338">A149</f>
        <v>43586</v>
      </c>
      <c r="B231" s="465">
        <v>1</v>
      </c>
      <c r="C231" s="479">
        <f>ROUND(C233*J$222,3)</f>
        <v>220.21100000000001</v>
      </c>
      <c r="D231" s="625">
        <f>0.117336*(1+$Y$17)</f>
        <v>0.11345217839999999</v>
      </c>
      <c r="E231" s="464">
        <f t="shared" ref="E231:I232" si="339">ROUND(D231*$C231*1000,2)</f>
        <v>24983.42</v>
      </c>
      <c r="F231" s="625">
        <f t="shared" ref="F231:F232" si="340">D231</f>
        <v>0.11345217839999999</v>
      </c>
      <c r="G231" s="464">
        <f t="shared" ref="G231:G232" si="341">ROUND(F231*$C231*1000,2)</f>
        <v>24983.42</v>
      </c>
      <c r="H231" s="625">
        <f t="shared" ref="H231:H232" si="342">F231</f>
        <v>0.11345217839999999</v>
      </c>
      <c r="I231" s="464">
        <f t="shared" si="339"/>
        <v>24983.42</v>
      </c>
      <c r="K231" s="460">
        <f t="shared" ref="K231:K232" si="343">A231</f>
        <v>43586</v>
      </c>
      <c r="L231" s="465">
        <v>1</v>
      </c>
      <c r="M231" s="479">
        <f>ROUND(M233*T$222,3)</f>
        <v>1005.67</v>
      </c>
      <c r="N231" s="445">
        <f t="shared" ref="N231:N232" si="344">D231</f>
        <v>0.11345217839999999</v>
      </c>
      <c r="O231" s="464">
        <f t="shared" ref="O231:O232" si="345">ROUND(N231*$M231*1000,2)</f>
        <v>114095.45</v>
      </c>
      <c r="P231" s="445">
        <f t="shared" ref="P231:P232" si="346">F231</f>
        <v>0.11345217839999999</v>
      </c>
      <c r="Q231" s="464">
        <f t="shared" ref="Q231:Q232" si="347">ROUND(P231*$M231*1000,2)</f>
        <v>114095.45</v>
      </c>
      <c r="R231" s="445">
        <f t="shared" ref="R231:R232" si="348">H231</f>
        <v>0.11345217839999999</v>
      </c>
      <c r="S231" s="464">
        <f t="shared" ref="S231:S232" si="349">ROUND(R231*$M231*1000,2)</f>
        <v>114095.45</v>
      </c>
      <c r="T231" s="579"/>
      <c r="U231" s="460"/>
      <c r="V231" s="834"/>
      <c r="W231" s="829"/>
      <c r="X231" s="826"/>
      <c r="Y231" s="464"/>
      <c r="Z231" s="826"/>
      <c r="AA231" s="464"/>
      <c r="AB231" s="826"/>
      <c r="AC231" s="464"/>
      <c r="AD231" s="823"/>
    </row>
    <row r="232" spans="1:30">
      <c r="A232" s="460">
        <f t="shared" si="338"/>
        <v>43586</v>
      </c>
      <c r="B232" s="465">
        <v>2</v>
      </c>
      <c r="C232" s="479">
        <f>C233-C231</f>
        <v>148.70342806296173</v>
      </c>
      <c r="D232" s="471">
        <f>0.065783*(1+$Y$17)</f>
        <v>6.3605582699999996E-2</v>
      </c>
      <c r="E232" s="464">
        <f t="shared" si="339"/>
        <v>9458.3700000000008</v>
      </c>
      <c r="F232" s="625">
        <f t="shared" si="340"/>
        <v>6.3605582699999996E-2</v>
      </c>
      <c r="G232" s="464">
        <f t="shared" si="341"/>
        <v>9458.3700000000008</v>
      </c>
      <c r="H232" s="625">
        <f t="shared" si="342"/>
        <v>6.3605582699999996E-2</v>
      </c>
      <c r="I232" s="464">
        <f t="shared" si="339"/>
        <v>9458.3700000000008</v>
      </c>
      <c r="K232" s="460">
        <f t="shared" si="343"/>
        <v>43586</v>
      </c>
      <c r="L232" s="465">
        <v>2</v>
      </c>
      <c r="M232" s="479">
        <f>M233-M231</f>
        <v>1004.7781546707382</v>
      </c>
      <c r="N232" s="445">
        <f t="shared" si="344"/>
        <v>6.3605582699999996E-2</v>
      </c>
      <c r="O232" s="464">
        <f t="shared" si="345"/>
        <v>63909.5</v>
      </c>
      <c r="P232" s="445">
        <f t="shared" si="346"/>
        <v>6.3605582699999996E-2</v>
      </c>
      <c r="Q232" s="464">
        <f t="shared" si="347"/>
        <v>63909.5</v>
      </c>
      <c r="R232" s="445">
        <f t="shared" si="348"/>
        <v>6.3605582699999996E-2</v>
      </c>
      <c r="S232" s="464">
        <f t="shared" si="349"/>
        <v>63909.5</v>
      </c>
      <c r="T232" s="579"/>
      <c r="U232" s="460"/>
      <c r="V232" s="834"/>
      <c r="W232" s="829"/>
      <c r="X232" s="826"/>
      <c r="Y232" s="464"/>
      <c r="Z232" s="826"/>
      <c r="AA232" s="464"/>
      <c r="AB232" s="826"/>
      <c r="AC232" s="464"/>
      <c r="AD232" s="823"/>
    </row>
    <row r="233" spans="1:30">
      <c r="A233" s="460"/>
      <c r="B233" s="466" t="s">
        <v>93</v>
      </c>
      <c r="C233" s="487">
        <f>TempMWH!G8</f>
        <v>368.91442806296175</v>
      </c>
      <c r="D233" s="471"/>
      <c r="E233" s="468"/>
      <c r="F233" s="471"/>
      <c r="G233" s="468"/>
      <c r="H233" s="471"/>
      <c r="I233" s="468"/>
      <c r="K233" s="460"/>
      <c r="L233" s="466" t="s">
        <v>93</v>
      </c>
      <c r="M233" s="487">
        <f>TempMWH!L8</f>
        <v>2010.4481546707382</v>
      </c>
      <c r="O233" s="468"/>
      <c r="Q233" s="468"/>
      <c r="S233" s="468"/>
      <c r="T233" s="579"/>
      <c r="U233" s="460"/>
      <c r="V233" s="460"/>
      <c r="W233" s="462"/>
      <c r="X233" s="826"/>
      <c r="Y233" s="464"/>
      <c r="Z233" s="826"/>
      <c r="AA233" s="464"/>
      <c r="AB233" s="826"/>
      <c r="AC233" s="464"/>
      <c r="AD233" s="823"/>
    </row>
    <row r="234" spans="1:30">
      <c r="A234" s="460">
        <f t="shared" ref="A234:A235" si="350">A152</f>
        <v>43617</v>
      </c>
      <c r="B234" s="465">
        <v>1</v>
      </c>
      <c r="C234" s="479">
        <f>ROUND(C236*J$222,3)</f>
        <v>313.74900000000002</v>
      </c>
      <c r="D234" s="625">
        <f>D231</f>
        <v>0.11345217839999999</v>
      </c>
      <c r="E234" s="464">
        <f t="shared" ref="E234:I235" si="351">ROUND(D234*$C234*1000,2)</f>
        <v>35595.51</v>
      </c>
      <c r="F234" s="625">
        <f t="shared" ref="F234:F235" si="352">D234</f>
        <v>0.11345217839999999</v>
      </c>
      <c r="G234" s="464">
        <f t="shared" ref="G234:G235" si="353">ROUND(F234*$C234*1000,2)</f>
        <v>35595.51</v>
      </c>
      <c r="H234" s="625">
        <f t="shared" ref="H234:H235" si="354">F234</f>
        <v>0.11345217839999999</v>
      </c>
      <c r="I234" s="464">
        <f t="shared" si="351"/>
        <v>35595.51</v>
      </c>
      <c r="K234" s="460">
        <f t="shared" ref="K234:K235" si="355">A234</f>
        <v>43617</v>
      </c>
      <c r="L234" s="465">
        <v>1</v>
      </c>
      <c r="M234" s="479">
        <f>ROUND(M236*T$222,3)</f>
        <v>750.39200000000005</v>
      </c>
      <c r="N234" s="445">
        <f t="shared" ref="N234:N235" si="356">D234</f>
        <v>0.11345217839999999</v>
      </c>
      <c r="O234" s="464">
        <f t="shared" ref="O234:O235" si="357">ROUND(N234*$M234*1000,2)</f>
        <v>85133.61</v>
      </c>
      <c r="P234" s="445">
        <f t="shared" ref="P234:P235" si="358">F234</f>
        <v>0.11345217839999999</v>
      </c>
      <c r="Q234" s="464">
        <f t="shared" ref="Q234:Q235" si="359">ROUND(P234*$M234*1000,2)</f>
        <v>85133.61</v>
      </c>
      <c r="R234" s="445">
        <f t="shared" ref="R234:R235" si="360">H234</f>
        <v>0.11345217839999999</v>
      </c>
      <c r="S234" s="464">
        <f t="shared" ref="S234:S235" si="361">ROUND(R234*$M234*1000,2)</f>
        <v>85133.61</v>
      </c>
      <c r="T234" s="579"/>
      <c r="U234" s="460"/>
      <c r="V234" s="834"/>
      <c r="W234" s="829"/>
      <c r="X234" s="826"/>
      <c r="Y234" s="464"/>
      <c r="Z234" s="826"/>
      <c r="AA234" s="464"/>
      <c r="AB234" s="826"/>
      <c r="AC234" s="464"/>
      <c r="AD234" s="823"/>
    </row>
    <row r="235" spans="1:30">
      <c r="A235" s="460">
        <f t="shared" si="350"/>
        <v>43617</v>
      </c>
      <c r="B235" s="465">
        <v>2</v>
      </c>
      <c r="C235" s="479">
        <f>C236-C234</f>
        <v>211.86655266337561</v>
      </c>
      <c r="D235" s="471">
        <f>D232</f>
        <v>6.3605582699999996E-2</v>
      </c>
      <c r="E235" s="464">
        <f t="shared" si="351"/>
        <v>13475.9</v>
      </c>
      <c r="F235" s="625">
        <f t="shared" si="352"/>
        <v>6.3605582699999996E-2</v>
      </c>
      <c r="G235" s="464">
        <f t="shared" si="353"/>
        <v>13475.9</v>
      </c>
      <c r="H235" s="625">
        <f t="shared" si="354"/>
        <v>6.3605582699999996E-2</v>
      </c>
      <c r="I235" s="464">
        <f t="shared" si="351"/>
        <v>13475.9</v>
      </c>
      <c r="K235" s="460">
        <f t="shared" si="355"/>
        <v>43617</v>
      </c>
      <c r="L235" s="465">
        <v>2</v>
      </c>
      <c r="M235" s="479">
        <f>M236-M234</f>
        <v>749.72576666739269</v>
      </c>
      <c r="N235" s="445">
        <f t="shared" si="356"/>
        <v>6.3605582699999996E-2</v>
      </c>
      <c r="O235" s="464">
        <f t="shared" si="357"/>
        <v>47686.74</v>
      </c>
      <c r="P235" s="445">
        <f t="shared" si="358"/>
        <v>6.3605582699999996E-2</v>
      </c>
      <c r="Q235" s="464">
        <f t="shared" si="359"/>
        <v>47686.74</v>
      </c>
      <c r="R235" s="445">
        <f t="shared" si="360"/>
        <v>6.3605582699999996E-2</v>
      </c>
      <c r="S235" s="464">
        <f t="shared" si="361"/>
        <v>47686.74</v>
      </c>
      <c r="T235" s="579"/>
      <c r="U235" s="460"/>
      <c r="V235" s="834"/>
      <c r="W235" s="829"/>
      <c r="X235" s="826"/>
      <c r="Y235" s="464"/>
      <c r="Z235" s="826"/>
      <c r="AA235" s="464"/>
      <c r="AB235" s="826"/>
      <c r="AC235" s="464"/>
      <c r="AD235" s="823"/>
    </row>
    <row r="236" spans="1:30">
      <c r="A236" s="460"/>
      <c r="B236" s="460" t="s">
        <v>93</v>
      </c>
      <c r="C236" s="462">
        <f>TempMWH!G9</f>
        <v>525.61555266337564</v>
      </c>
      <c r="D236" s="473"/>
      <c r="E236" s="464"/>
      <c r="F236" s="473"/>
      <c r="G236" s="464"/>
      <c r="H236" s="473"/>
      <c r="I236" s="464"/>
      <c r="K236" s="460"/>
      <c r="L236" s="460" t="s">
        <v>93</v>
      </c>
      <c r="M236" s="462">
        <f>TempMWH!L9</f>
        <v>1500.1177666673927</v>
      </c>
      <c r="N236" s="473"/>
      <c r="O236" s="464"/>
      <c r="P236" s="473"/>
      <c r="Q236" s="464"/>
      <c r="R236" s="473"/>
      <c r="S236" s="464"/>
      <c r="T236" s="579"/>
      <c r="U236" s="460"/>
      <c r="V236" s="460"/>
      <c r="W236" s="462"/>
      <c r="X236" s="473"/>
      <c r="Y236" s="464"/>
      <c r="Z236" s="473"/>
      <c r="AA236" s="464"/>
      <c r="AB236" s="473"/>
      <c r="AC236" s="464"/>
      <c r="AD236" s="823"/>
    </row>
    <row r="237" spans="1:30">
      <c r="A237" s="460">
        <f t="shared" ref="A237:A238" si="362">A155</f>
        <v>43647</v>
      </c>
      <c r="B237" s="465">
        <v>1</v>
      </c>
      <c r="C237" s="479">
        <f>ROUND(C239*J$222,3)</f>
        <v>-160.417</v>
      </c>
      <c r="D237" s="625">
        <f>0.117336*(1+$X$17)</f>
        <v>0.11345217839999999</v>
      </c>
      <c r="E237" s="464">
        <f t="shared" ref="E237:I238" si="363">ROUND(D237*$C237*1000,2)</f>
        <v>-18199.66</v>
      </c>
      <c r="F237" s="625">
        <f>F234</f>
        <v>0.11345217839999999</v>
      </c>
      <c r="G237" s="464">
        <f t="shared" ref="G237:G238" si="364">ROUND(F237*$C237*1000,2)</f>
        <v>-18199.66</v>
      </c>
      <c r="H237" s="625">
        <f t="shared" ref="H237:H238" si="365">F237</f>
        <v>0.11345217839999999</v>
      </c>
      <c r="I237" s="464">
        <f t="shared" si="363"/>
        <v>-18199.66</v>
      </c>
      <c r="K237" s="460">
        <f t="shared" ref="K237:K238" si="366">A237</f>
        <v>43647</v>
      </c>
      <c r="L237" s="465">
        <v>1</v>
      </c>
      <c r="M237" s="479">
        <f>ROUND(M239*T$222,3)</f>
        <v>-625.42499999999995</v>
      </c>
      <c r="N237" s="445">
        <f t="shared" ref="N237:N238" si="367">D237</f>
        <v>0.11345217839999999</v>
      </c>
      <c r="O237" s="464">
        <f t="shared" ref="O237:O238" si="368">ROUND(N237*$M237*1000,2)</f>
        <v>-70955.83</v>
      </c>
      <c r="P237" s="445">
        <f t="shared" ref="P237:P238" si="369">F237</f>
        <v>0.11345217839999999</v>
      </c>
      <c r="Q237" s="464">
        <f t="shared" ref="Q237:Q238" si="370">ROUND(P237*$M237*1000,2)</f>
        <v>-70955.83</v>
      </c>
      <c r="R237" s="445">
        <f t="shared" ref="R237:R238" si="371">H237</f>
        <v>0.11345217839999999</v>
      </c>
      <c r="S237" s="464">
        <f t="shared" ref="S237:S238" si="372">ROUND(R237*$M237*1000,2)</f>
        <v>-70955.83</v>
      </c>
      <c r="T237" s="579"/>
      <c r="U237" s="460"/>
      <c r="V237" s="834"/>
      <c r="W237" s="829"/>
      <c r="X237" s="826"/>
      <c r="Y237" s="464"/>
      <c r="Z237" s="826"/>
      <c r="AA237" s="464"/>
      <c r="AB237" s="826"/>
      <c r="AC237" s="464"/>
      <c r="AD237" s="823"/>
    </row>
    <row r="238" spans="1:30">
      <c r="A238" s="460">
        <f t="shared" si="362"/>
        <v>43647</v>
      </c>
      <c r="B238" s="465">
        <v>2</v>
      </c>
      <c r="C238" s="479">
        <f>C239-C237</f>
        <v>-108.32556427490024</v>
      </c>
      <c r="D238" s="471">
        <f>0.065783*(1+$X$17)</f>
        <v>6.3605582699999996E-2</v>
      </c>
      <c r="E238" s="464">
        <f t="shared" si="363"/>
        <v>-6890.11</v>
      </c>
      <c r="F238" s="625">
        <f>F235</f>
        <v>6.3605582699999996E-2</v>
      </c>
      <c r="G238" s="464">
        <f t="shared" si="364"/>
        <v>-6890.11</v>
      </c>
      <c r="H238" s="625">
        <f t="shared" si="365"/>
        <v>6.3605582699999996E-2</v>
      </c>
      <c r="I238" s="464">
        <f t="shared" si="363"/>
        <v>-6890.11</v>
      </c>
      <c r="K238" s="460">
        <f t="shared" si="366"/>
        <v>43647</v>
      </c>
      <c r="L238" s="465">
        <v>2</v>
      </c>
      <c r="M238" s="479">
        <f>M239-M237</f>
        <v>-624.86934488876977</v>
      </c>
      <c r="N238" s="445">
        <f t="shared" si="367"/>
        <v>6.3605582699999996E-2</v>
      </c>
      <c r="O238" s="464">
        <f t="shared" si="368"/>
        <v>-39745.18</v>
      </c>
      <c r="P238" s="445">
        <f t="shared" si="369"/>
        <v>6.3605582699999996E-2</v>
      </c>
      <c r="Q238" s="464">
        <f t="shared" si="370"/>
        <v>-39745.18</v>
      </c>
      <c r="R238" s="445">
        <f t="shared" si="371"/>
        <v>6.3605582699999996E-2</v>
      </c>
      <c r="S238" s="464">
        <f t="shared" si="372"/>
        <v>-39745.18</v>
      </c>
      <c r="T238" s="579"/>
      <c r="U238" s="460"/>
      <c r="V238" s="834"/>
      <c r="W238" s="829"/>
      <c r="X238" s="826"/>
      <c r="Y238" s="464"/>
      <c r="Z238" s="826"/>
      <c r="AA238" s="464"/>
      <c r="AB238" s="826"/>
      <c r="AC238" s="464"/>
      <c r="AD238" s="823"/>
    </row>
    <row r="239" spans="1:30">
      <c r="A239" s="460"/>
      <c r="B239" s="466" t="s">
        <v>93</v>
      </c>
      <c r="C239" s="487">
        <f>TempMWH!G10</f>
        <v>-268.74256427490025</v>
      </c>
      <c r="E239" s="468"/>
      <c r="G239" s="468"/>
      <c r="I239" s="468"/>
      <c r="K239" s="460"/>
      <c r="L239" s="466" t="s">
        <v>93</v>
      </c>
      <c r="M239" s="487">
        <f>TempMWH!L10</f>
        <v>-1250.2943448887697</v>
      </c>
      <c r="O239" s="468"/>
      <c r="Q239" s="468"/>
      <c r="S239" s="468"/>
      <c r="T239" s="579"/>
      <c r="U239" s="460"/>
      <c r="V239" s="460"/>
      <c r="W239" s="462"/>
      <c r="X239" s="826"/>
      <c r="Y239" s="464"/>
      <c r="Z239" s="826"/>
      <c r="AA239" s="464"/>
      <c r="AB239" s="826"/>
      <c r="AC239" s="464"/>
      <c r="AD239" s="823"/>
    </row>
    <row r="240" spans="1:30">
      <c r="A240" s="460">
        <f t="shared" ref="A240:A241" si="373">A158</f>
        <v>43678</v>
      </c>
      <c r="B240" s="465">
        <v>1</v>
      </c>
      <c r="C240" s="479">
        <f>ROUND(C242*J$222,3)</f>
        <v>-362.28</v>
      </c>
      <c r="D240" s="625">
        <f>D237</f>
        <v>0.11345217839999999</v>
      </c>
      <c r="E240" s="464">
        <f t="shared" ref="E240:I241" si="374">ROUND(D240*$C240*1000,2)</f>
        <v>-41101.46</v>
      </c>
      <c r="F240" s="625">
        <f>F237</f>
        <v>0.11345217839999999</v>
      </c>
      <c r="G240" s="464">
        <f t="shared" ref="G240:G241" si="375">ROUND(F240*$C240*1000,2)</f>
        <v>-41101.46</v>
      </c>
      <c r="H240" s="625">
        <f t="shared" ref="H240:H241" si="376">F240</f>
        <v>0.11345217839999999</v>
      </c>
      <c r="I240" s="464">
        <f t="shared" si="374"/>
        <v>-41101.46</v>
      </c>
      <c r="K240" s="460">
        <f t="shared" ref="K240:K241" si="377">A240</f>
        <v>43678</v>
      </c>
      <c r="L240" s="465">
        <v>1</v>
      </c>
      <c r="M240" s="479">
        <f>ROUND(M242*T$222,3)</f>
        <v>-1667.5709999999999</v>
      </c>
      <c r="N240" s="445">
        <f t="shared" ref="N240:N241" si="378">D240</f>
        <v>0.11345217839999999</v>
      </c>
      <c r="O240" s="464">
        <f t="shared" ref="O240:O241" si="379">ROUND(N240*$M240*1000,2)</f>
        <v>-189189.56</v>
      </c>
      <c r="P240" s="445">
        <f t="shared" ref="P240:P241" si="380">F240</f>
        <v>0.11345217839999999</v>
      </c>
      <c r="Q240" s="464">
        <f t="shared" ref="Q240:Q241" si="381">ROUND(P240*$M240*1000,2)</f>
        <v>-189189.56</v>
      </c>
      <c r="R240" s="445">
        <f t="shared" ref="R240:R241" si="382">H240</f>
        <v>0.11345217839999999</v>
      </c>
      <c r="S240" s="464">
        <f t="shared" ref="S240:S241" si="383">ROUND(R240*$M240*1000,2)</f>
        <v>-189189.56</v>
      </c>
      <c r="T240" s="579"/>
      <c r="U240" s="460"/>
      <c r="V240" s="834"/>
      <c r="W240" s="829"/>
      <c r="X240" s="826"/>
      <c r="Y240" s="464"/>
      <c r="Z240" s="826"/>
      <c r="AA240" s="464"/>
      <c r="AB240" s="826"/>
      <c r="AC240" s="464"/>
      <c r="AD240" s="823"/>
    </row>
    <row r="241" spans="1:30">
      <c r="A241" s="460">
        <f t="shared" si="373"/>
        <v>43678</v>
      </c>
      <c r="B241" s="465">
        <v>2</v>
      </c>
      <c r="C241" s="479">
        <f>C242-C240</f>
        <v>-244.63949542031276</v>
      </c>
      <c r="D241" s="471">
        <f>D238</f>
        <v>6.3605582699999996E-2</v>
      </c>
      <c r="E241" s="464">
        <f t="shared" si="374"/>
        <v>-15560.44</v>
      </c>
      <c r="F241" s="625">
        <f>F238</f>
        <v>6.3605582699999996E-2</v>
      </c>
      <c r="G241" s="464">
        <f t="shared" si="375"/>
        <v>-15560.44</v>
      </c>
      <c r="H241" s="625">
        <f t="shared" si="376"/>
        <v>6.3605582699999996E-2</v>
      </c>
      <c r="I241" s="464">
        <f t="shared" si="374"/>
        <v>-15560.44</v>
      </c>
      <c r="K241" s="460">
        <f t="shared" si="377"/>
        <v>43678</v>
      </c>
      <c r="L241" s="465">
        <v>2</v>
      </c>
      <c r="M241" s="479">
        <f>M242-M240</f>
        <v>-1666.090362823948</v>
      </c>
      <c r="N241" s="445">
        <f t="shared" si="378"/>
        <v>6.3605582699999996E-2</v>
      </c>
      <c r="O241" s="464">
        <f t="shared" si="379"/>
        <v>-105972.65</v>
      </c>
      <c r="P241" s="445">
        <f t="shared" si="380"/>
        <v>6.3605582699999996E-2</v>
      </c>
      <c r="Q241" s="464">
        <f t="shared" si="381"/>
        <v>-105972.65</v>
      </c>
      <c r="R241" s="445">
        <f t="shared" si="382"/>
        <v>6.3605582699999996E-2</v>
      </c>
      <c r="S241" s="464">
        <f t="shared" si="383"/>
        <v>-105972.65</v>
      </c>
      <c r="T241" s="579"/>
      <c r="U241" s="460"/>
      <c r="V241" s="834"/>
      <c r="W241" s="829"/>
      <c r="X241" s="826"/>
      <c r="Y241" s="464"/>
      <c r="Z241" s="826"/>
      <c r="AA241" s="464"/>
      <c r="AB241" s="826"/>
      <c r="AC241" s="464"/>
      <c r="AD241" s="823"/>
    </row>
    <row r="242" spans="1:30">
      <c r="A242" s="460"/>
      <c r="B242" s="466" t="s">
        <v>93</v>
      </c>
      <c r="C242" s="487">
        <f>TempMWH!G11</f>
        <v>-606.91949542031273</v>
      </c>
      <c r="E242" s="468"/>
      <c r="G242" s="468"/>
      <c r="I242" s="468"/>
      <c r="K242" s="460"/>
      <c r="L242" s="466" t="s">
        <v>93</v>
      </c>
      <c r="M242" s="487">
        <f>TempMWH!L11</f>
        <v>-3333.6613628239479</v>
      </c>
      <c r="O242" s="468"/>
      <c r="Q242" s="468"/>
      <c r="S242" s="468"/>
      <c r="T242" s="579"/>
      <c r="U242" s="460"/>
      <c r="V242" s="460"/>
      <c r="W242" s="462"/>
      <c r="X242" s="826"/>
      <c r="Y242" s="464"/>
      <c r="Z242" s="826"/>
      <c r="AA242" s="464"/>
      <c r="AB242" s="826"/>
      <c r="AC242" s="464"/>
      <c r="AD242" s="823"/>
    </row>
    <row r="243" spans="1:30">
      <c r="A243" s="460">
        <f t="shared" ref="A243:A244" si="384">A161</f>
        <v>43709</v>
      </c>
      <c r="B243" s="465">
        <v>1</v>
      </c>
      <c r="C243" s="479">
        <f>ROUND(C245*J$222,3)</f>
        <v>-194.99100000000001</v>
      </c>
      <c r="D243" s="625">
        <f>D237</f>
        <v>0.11345217839999999</v>
      </c>
      <c r="E243" s="464">
        <f t="shared" ref="E243:I244" si="385">ROUND(D243*$C243*1000,2)</f>
        <v>-22122.15</v>
      </c>
      <c r="F243" s="625">
        <f>F240</f>
        <v>0.11345217839999999</v>
      </c>
      <c r="G243" s="464">
        <f t="shared" ref="G243:G244" si="386">ROUND(F243*$C243*1000,2)</f>
        <v>-22122.15</v>
      </c>
      <c r="H243" s="625">
        <f t="shared" ref="H243:H244" si="387">F243</f>
        <v>0.11345217839999999</v>
      </c>
      <c r="I243" s="464">
        <f t="shared" si="385"/>
        <v>-22122.15</v>
      </c>
      <c r="K243" s="460">
        <f t="shared" ref="K243:K244" si="388">A243</f>
        <v>43709</v>
      </c>
      <c r="L243" s="465">
        <v>1</v>
      </c>
      <c r="M243" s="479">
        <f>ROUND(M245*T$222,3)</f>
        <v>-503.31</v>
      </c>
      <c r="N243" s="445">
        <f t="shared" ref="N243:N244" si="389">D243</f>
        <v>0.11345217839999999</v>
      </c>
      <c r="O243" s="464">
        <f t="shared" ref="O243:O244" si="390">ROUND(N243*$M243*1000,2)</f>
        <v>-57101.62</v>
      </c>
      <c r="P243" s="445">
        <f t="shared" ref="P243:P244" si="391">F243</f>
        <v>0.11345217839999999</v>
      </c>
      <c r="Q243" s="464">
        <f t="shared" ref="Q243:Q244" si="392">ROUND(P243*$M243*1000,2)</f>
        <v>-57101.62</v>
      </c>
      <c r="R243" s="445">
        <f t="shared" ref="R243:R244" si="393">H243</f>
        <v>0.11345217839999999</v>
      </c>
      <c r="S243" s="464">
        <f t="shared" ref="S243:S244" si="394">ROUND(R243*$M243*1000,2)</f>
        <v>-57101.62</v>
      </c>
      <c r="T243" s="579"/>
      <c r="U243" s="460"/>
      <c r="V243" s="834"/>
      <c r="W243" s="829"/>
      <c r="X243" s="826"/>
      <c r="Y243" s="464"/>
      <c r="Z243" s="826"/>
      <c r="AA243" s="464"/>
      <c r="AB243" s="826"/>
      <c r="AC243" s="464"/>
      <c r="AD243" s="823"/>
    </row>
    <row r="244" spans="1:30">
      <c r="A244" s="460">
        <f t="shared" si="384"/>
        <v>43709</v>
      </c>
      <c r="B244" s="465">
        <v>2</v>
      </c>
      <c r="C244" s="479">
        <f>C245-C243</f>
        <v>-131.67263881009623</v>
      </c>
      <c r="D244" s="471">
        <f>D238</f>
        <v>6.3605582699999996E-2</v>
      </c>
      <c r="E244" s="464">
        <f t="shared" si="385"/>
        <v>-8375.11</v>
      </c>
      <c r="F244" s="625">
        <f>F241</f>
        <v>6.3605582699999996E-2</v>
      </c>
      <c r="G244" s="464">
        <f t="shared" si="386"/>
        <v>-8375.11</v>
      </c>
      <c r="H244" s="625">
        <f t="shared" si="387"/>
        <v>6.3605582699999996E-2</v>
      </c>
      <c r="I244" s="464">
        <f t="shared" si="385"/>
        <v>-8375.11</v>
      </c>
      <c r="J244" s="458"/>
      <c r="K244" s="460">
        <f t="shared" si="388"/>
        <v>43709</v>
      </c>
      <c r="L244" s="465">
        <v>2</v>
      </c>
      <c r="M244" s="479">
        <f>M245-M243</f>
        <v>-502.86354936388892</v>
      </c>
      <c r="N244" s="445">
        <f t="shared" si="389"/>
        <v>6.3605582699999996E-2</v>
      </c>
      <c r="O244" s="464">
        <f t="shared" si="390"/>
        <v>-31984.93</v>
      </c>
      <c r="P244" s="445">
        <f t="shared" si="391"/>
        <v>6.3605582699999996E-2</v>
      </c>
      <c r="Q244" s="464">
        <f t="shared" si="392"/>
        <v>-31984.93</v>
      </c>
      <c r="R244" s="445">
        <f t="shared" si="393"/>
        <v>6.3605582699999996E-2</v>
      </c>
      <c r="S244" s="464">
        <f t="shared" si="394"/>
        <v>-31984.93</v>
      </c>
      <c r="T244" s="579"/>
      <c r="U244" s="460"/>
      <c r="V244" s="834"/>
      <c r="W244" s="829"/>
      <c r="X244" s="826"/>
      <c r="Y244" s="464"/>
      <c r="Z244" s="826"/>
      <c r="AA244" s="464"/>
      <c r="AB244" s="826"/>
      <c r="AC244" s="464"/>
      <c r="AD244" s="823"/>
    </row>
    <row r="245" spans="1:30">
      <c r="A245" s="460"/>
      <c r="B245" s="466" t="s">
        <v>93</v>
      </c>
      <c r="C245" s="462">
        <f>TempMWH!G12</f>
        <v>-326.66363881009624</v>
      </c>
      <c r="E245" s="468"/>
      <c r="G245" s="468"/>
      <c r="I245" s="468"/>
      <c r="K245" s="460"/>
      <c r="L245" s="466" t="s">
        <v>93</v>
      </c>
      <c r="M245" s="462">
        <f>TempMWH!L12</f>
        <v>-1006.1735493638889</v>
      </c>
      <c r="O245" s="468"/>
      <c r="Q245" s="468"/>
      <c r="S245" s="468"/>
      <c r="T245" s="579"/>
      <c r="U245" s="460"/>
      <c r="V245" s="460"/>
      <c r="W245" s="462"/>
      <c r="X245" s="826"/>
      <c r="Y245" s="464"/>
      <c r="Z245" s="826"/>
      <c r="AA245" s="464"/>
      <c r="AB245" s="826"/>
      <c r="AC245" s="464"/>
      <c r="AD245" s="823"/>
    </row>
    <row r="246" spans="1:30">
      <c r="A246" s="460">
        <f t="shared" ref="A246:A247" si="395">A164</f>
        <v>43739</v>
      </c>
      <c r="B246" s="465">
        <v>1</v>
      </c>
      <c r="C246" s="479">
        <f>ROUND(C248*J$224,3)</f>
        <v>-204.77600000000001</v>
      </c>
      <c r="D246" s="625">
        <f>0.108*(1+$X$17)</f>
        <v>0.1044252</v>
      </c>
      <c r="E246" s="464">
        <f t="shared" ref="E246:I247" si="396">ROUND(D246*$C246*1000,2)</f>
        <v>-21383.77</v>
      </c>
      <c r="F246" s="625">
        <f>F219</f>
        <v>0.1044252</v>
      </c>
      <c r="G246" s="464">
        <f t="shared" ref="G246:G247" si="397">ROUND(F246*$C246*1000,2)</f>
        <v>-21383.77</v>
      </c>
      <c r="H246" s="625">
        <f t="shared" ref="H246:H247" si="398">F246</f>
        <v>0.1044252</v>
      </c>
      <c r="I246" s="464">
        <f t="shared" si="396"/>
        <v>-21383.77</v>
      </c>
      <c r="J246" s="458"/>
      <c r="K246" s="460">
        <f t="shared" ref="K246:K247" si="399">A246</f>
        <v>43739</v>
      </c>
      <c r="L246" s="465">
        <v>1</v>
      </c>
      <c r="M246" s="479">
        <f>ROUND(M248*T$224,3)</f>
        <v>318.56900000000002</v>
      </c>
      <c r="N246" s="445">
        <f t="shared" ref="N246:N247" si="400">D246</f>
        <v>0.1044252</v>
      </c>
      <c r="O246" s="464">
        <f t="shared" ref="O246:O247" si="401">ROUND(N246*$M246*1000,2)</f>
        <v>33266.629999999997</v>
      </c>
      <c r="P246" s="445">
        <f t="shared" ref="P246:P247" si="402">F246</f>
        <v>0.1044252</v>
      </c>
      <c r="Q246" s="464">
        <f t="shared" ref="Q246:Q247" si="403">ROUND(P246*$M246*1000,2)</f>
        <v>33266.629999999997</v>
      </c>
      <c r="R246" s="445">
        <f t="shared" ref="R246:R247" si="404">H246</f>
        <v>0.1044252</v>
      </c>
      <c r="S246" s="464">
        <f t="shared" ref="S246:S247" si="405">ROUND(R246*$M246*1000,2)</f>
        <v>33266.629999999997</v>
      </c>
      <c r="T246" s="458"/>
      <c r="U246" s="460"/>
      <c r="V246" s="834"/>
      <c r="W246" s="829"/>
      <c r="X246" s="826"/>
      <c r="Y246" s="464"/>
      <c r="Z246" s="826"/>
      <c r="AA246" s="464"/>
      <c r="AB246" s="826"/>
      <c r="AC246" s="464"/>
      <c r="AD246" s="825"/>
    </row>
    <row r="247" spans="1:30">
      <c r="A247" s="460">
        <f t="shared" si="395"/>
        <v>43739</v>
      </c>
      <c r="B247" s="465">
        <v>2</v>
      </c>
      <c r="C247" s="479">
        <f>C248-C246</f>
        <v>-138.87246685931427</v>
      </c>
      <c r="D247" s="471">
        <f>0.060567*(1+$X$17)</f>
        <v>5.8562232300000003E-2</v>
      </c>
      <c r="E247" s="464">
        <f t="shared" si="396"/>
        <v>-8132.68</v>
      </c>
      <c r="F247" s="625">
        <f>F220</f>
        <v>5.8562232300000003E-2</v>
      </c>
      <c r="G247" s="464">
        <f t="shared" si="397"/>
        <v>-8132.68</v>
      </c>
      <c r="H247" s="625">
        <f t="shared" si="398"/>
        <v>5.8562232300000003E-2</v>
      </c>
      <c r="I247" s="464">
        <f t="shared" si="396"/>
        <v>-8132.68</v>
      </c>
      <c r="J247" s="458"/>
      <c r="K247" s="460">
        <f t="shared" si="399"/>
        <v>43739</v>
      </c>
      <c r="L247" s="465">
        <v>2</v>
      </c>
      <c r="M247" s="479">
        <f>M248-M246</f>
        <v>261.3925340376814</v>
      </c>
      <c r="N247" s="445">
        <f t="shared" si="400"/>
        <v>5.8562232300000003E-2</v>
      </c>
      <c r="O247" s="464">
        <f t="shared" si="401"/>
        <v>15307.73</v>
      </c>
      <c r="P247" s="445">
        <f t="shared" si="402"/>
        <v>5.8562232300000003E-2</v>
      </c>
      <c r="Q247" s="464">
        <f t="shared" si="403"/>
        <v>15307.73</v>
      </c>
      <c r="R247" s="445">
        <f t="shared" si="404"/>
        <v>5.8562232300000003E-2</v>
      </c>
      <c r="S247" s="464">
        <f t="shared" si="405"/>
        <v>15307.73</v>
      </c>
      <c r="T247" s="458"/>
      <c r="U247" s="460"/>
      <c r="V247" s="834"/>
      <c r="W247" s="829"/>
      <c r="X247" s="826"/>
      <c r="Y247" s="464"/>
      <c r="Z247" s="826"/>
      <c r="AA247" s="464"/>
      <c r="AB247" s="826"/>
      <c r="AC247" s="464"/>
      <c r="AD247" s="825"/>
    </row>
    <row r="248" spans="1:30">
      <c r="A248" s="460"/>
      <c r="B248" s="466" t="s">
        <v>93</v>
      </c>
      <c r="C248" s="487">
        <f>TempMWH!G13</f>
        <v>-343.64846685931428</v>
      </c>
      <c r="E248" s="468"/>
      <c r="G248" s="468"/>
      <c r="I248" s="468"/>
      <c r="J248" s="458"/>
      <c r="K248" s="460"/>
      <c r="L248" s="466" t="s">
        <v>93</v>
      </c>
      <c r="M248" s="487">
        <f>TempMWH!L13</f>
        <v>579.96153403768142</v>
      </c>
      <c r="O248" s="468"/>
      <c r="Q248" s="468"/>
      <c r="S248" s="468"/>
      <c r="T248" s="458"/>
      <c r="U248" s="460"/>
      <c r="V248" s="460"/>
      <c r="W248" s="462"/>
      <c r="X248" s="826"/>
      <c r="Y248" s="464"/>
      <c r="Z248" s="826"/>
      <c r="AA248" s="464"/>
      <c r="AB248" s="826"/>
      <c r="AC248" s="464"/>
      <c r="AD248" s="825"/>
    </row>
    <row r="249" spans="1:30">
      <c r="A249" s="460">
        <f t="shared" ref="A249:A250" si="406">A167</f>
        <v>43770</v>
      </c>
      <c r="B249" s="465">
        <v>1</v>
      </c>
      <c r="C249" s="479">
        <f>ROUND(C251*J$224,3)</f>
        <v>22.698</v>
      </c>
      <c r="D249" s="625">
        <f>$D$246</f>
        <v>0.1044252</v>
      </c>
      <c r="E249" s="464">
        <f t="shared" ref="E249:I250" si="407">ROUND(D249*$C249*1000,2)</f>
        <v>2370.2399999999998</v>
      </c>
      <c r="F249" s="625">
        <f t="shared" ref="F249:F250" si="408">F222</f>
        <v>0.1044252</v>
      </c>
      <c r="G249" s="464">
        <f t="shared" ref="G249:G250" si="409">ROUND(F249*$C249*1000,2)</f>
        <v>2370.2399999999998</v>
      </c>
      <c r="H249" s="625">
        <f t="shared" ref="H249:H250" si="410">F249</f>
        <v>0.1044252</v>
      </c>
      <c r="I249" s="464">
        <f t="shared" si="407"/>
        <v>2370.2399999999998</v>
      </c>
      <c r="J249" s="458"/>
      <c r="K249" s="460">
        <f t="shared" ref="K249:K250" si="411">A249</f>
        <v>43770</v>
      </c>
      <c r="L249" s="465">
        <v>1</v>
      </c>
      <c r="M249" s="479">
        <f>ROUND(M251*T$224,3)</f>
        <v>355.85599999999999</v>
      </c>
      <c r="N249" s="445">
        <f t="shared" ref="N249:N250" si="412">D249</f>
        <v>0.1044252</v>
      </c>
      <c r="O249" s="464">
        <f t="shared" ref="O249:O250" si="413">ROUND(N249*$M249*1000,2)</f>
        <v>37160.33</v>
      </c>
      <c r="P249" s="445">
        <f t="shared" ref="P249:P250" si="414">F249</f>
        <v>0.1044252</v>
      </c>
      <c r="Q249" s="464">
        <f t="shared" ref="Q249:Q250" si="415">ROUND(P249*$M249*1000,2)</f>
        <v>37160.33</v>
      </c>
      <c r="R249" s="445">
        <f t="shared" ref="R249:R250" si="416">H249</f>
        <v>0.1044252</v>
      </c>
      <c r="S249" s="464">
        <f t="shared" ref="S249:S250" si="417">ROUND(R249*$M249*1000,2)</f>
        <v>37160.33</v>
      </c>
      <c r="T249" s="458"/>
      <c r="U249" s="460"/>
      <c r="V249" s="834"/>
      <c r="W249" s="829"/>
      <c r="X249" s="826"/>
      <c r="Y249" s="464"/>
      <c r="Z249" s="826"/>
      <c r="AA249" s="464"/>
      <c r="AB249" s="826"/>
      <c r="AC249" s="464"/>
      <c r="AD249" s="825"/>
    </row>
    <row r="250" spans="1:30">
      <c r="A250" s="460">
        <f t="shared" si="406"/>
        <v>43770</v>
      </c>
      <c r="B250" s="465">
        <v>2</v>
      </c>
      <c r="C250" s="479">
        <f>C251-C249</f>
        <v>15.392502429689578</v>
      </c>
      <c r="D250" s="471">
        <f>$D$247</f>
        <v>5.8562232300000003E-2</v>
      </c>
      <c r="E250" s="464">
        <f t="shared" si="407"/>
        <v>901.42</v>
      </c>
      <c r="F250" s="625">
        <f t="shared" si="408"/>
        <v>5.8562232300000003E-2</v>
      </c>
      <c r="G250" s="464">
        <f t="shared" si="409"/>
        <v>901.42</v>
      </c>
      <c r="H250" s="625">
        <f t="shared" si="410"/>
        <v>5.8562232300000003E-2</v>
      </c>
      <c r="I250" s="464">
        <f t="shared" si="407"/>
        <v>901.42</v>
      </c>
      <c r="J250" s="458"/>
      <c r="K250" s="460">
        <f t="shared" si="411"/>
        <v>43770</v>
      </c>
      <c r="L250" s="465">
        <v>2</v>
      </c>
      <c r="M250" s="479">
        <f>M251-M249</f>
        <v>291.98633820384282</v>
      </c>
      <c r="N250" s="445">
        <f t="shared" si="412"/>
        <v>5.8562232300000003E-2</v>
      </c>
      <c r="O250" s="464">
        <f t="shared" si="413"/>
        <v>17099.37</v>
      </c>
      <c r="P250" s="445">
        <f t="shared" si="414"/>
        <v>5.8562232300000003E-2</v>
      </c>
      <c r="Q250" s="464">
        <f t="shared" si="415"/>
        <v>17099.37</v>
      </c>
      <c r="R250" s="445">
        <f t="shared" si="416"/>
        <v>5.8562232300000003E-2</v>
      </c>
      <c r="S250" s="464">
        <f t="shared" si="417"/>
        <v>17099.37</v>
      </c>
      <c r="T250" s="458"/>
      <c r="U250" s="460"/>
      <c r="V250" s="834"/>
      <c r="W250" s="829"/>
      <c r="X250" s="826"/>
      <c r="Y250" s="464"/>
      <c r="Z250" s="826"/>
      <c r="AA250" s="464"/>
      <c r="AB250" s="826"/>
      <c r="AC250" s="464"/>
      <c r="AD250" s="825"/>
    </row>
    <row r="251" spans="1:30">
      <c r="A251" s="460"/>
      <c r="B251" s="466" t="s">
        <v>93</v>
      </c>
      <c r="C251" s="487">
        <f>TempMWH!G14</f>
        <v>38.090502429689579</v>
      </c>
      <c r="E251" s="468"/>
      <c r="G251" s="468"/>
      <c r="I251" s="468"/>
      <c r="K251" s="460"/>
      <c r="L251" s="466" t="s">
        <v>93</v>
      </c>
      <c r="M251" s="487">
        <f>TempMWH!L14</f>
        <v>647.84233820384281</v>
      </c>
      <c r="O251" s="468"/>
      <c r="Q251" s="468"/>
      <c r="S251" s="468"/>
      <c r="T251" s="579"/>
      <c r="U251" s="460"/>
      <c r="V251" s="460"/>
      <c r="W251" s="462"/>
      <c r="X251" s="826"/>
      <c r="Y251" s="464"/>
      <c r="Z251" s="826"/>
      <c r="AA251" s="464"/>
      <c r="AB251" s="826"/>
      <c r="AC251" s="464"/>
      <c r="AD251" s="823"/>
    </row>
    <row r="252" spans="1:30">
      <c r="A252" s="460">
        <f t="shared" ref="A252:A253" si="418">A170</f>
        <v>43800</v>
      </c>
      <c r="B252" s="465">
        <v>1</v>
      </c>
      <c r="C252" s="479">
        <f>ROUND(C254*J$224,3)</f>
        <v>192.5</v>
      </c>
      <c r="D252" s="625">
        <f>$D$246</f>
        <v>0.1044252</v>
      </c>
      <c r="E252" s="464">
        <f t="shared" ref="E252:I253" si="419">ROUND(D252*$C252*1000,2)</f>
        <v>20101.849999999999</v>
      </c>
      <c r="F252" s="625">
        <f t="shared" ref="F252:F253" si="420">F225</f>
        <v>0.1044252</v>
      </c>
      <c r="G252" s="464">
        <f t="shared" ref="G252:G253" si="421">ROUND(F252*$C252*1000,2)</f>
        <v>20101.849999999999</v>
      </c>
      <c r="H252" s="625">
        <f t="shared" ref="H252:H253" si="422">F252</f>
        <v>0.1044252</v>
      </c>
      <c r="I252" s="464">
        <f t="shared" si="419"/>
        <v>20101.849999999999</v>
      </c>
      <c r="J252" s="458"/>
      <c r="K252" s="460">
        <f t="shared" ref="K252:K253" si="423">A252</f>
        <v>43800</v>
      </c>
      <c r="L252" s="465">
        <v>1</v>
      </c>
      <c r="M252" s="479">
        <f>ROUND(M254*T$224,3)</f>
        <v>571.40099999999995</v>
      </c>
      <c r="N252" s="445">
        <f t="shared" ref="N252:N253" si="424">D252</f>
        <v>0.1044252</v>
      </c>
      <c r="O252" s="464">
        <f t="shared" ref="O252:O253" si="425">ROUND(N252*$M252*1000,2)</f>
        <v>59668.66</v>
      </c>
      <c r="P252" s="445">
        <f t="shared" ref="P252:P253" si="426">F252</f>
        <v>0.1044252</v>
      </c>
      <c r="Q252" s="464">
        <f t="shared" ref="Q252:Q253" si="427">ROUND(P252*$M252*1000,2)</f>
        <v>59668.66</v>
      </c>
      <c r="R252" s="445">
        <f t="shared" ref="R252:R253" si="428">H252</f>
        <v>0.1044252</v>
      </c>
      <c r="S252" s="464">
        <f t="shared" ref="S252:S253" si="429">ROUND(R252*$M252*1000,2)</f>
        <v>59668.66</v>
      </c>
      <c r="T252" s="458"/>
      <c r="U252" s="460"/>
      <c r="V252" s="834"/>
      <c r="W252" s="829"/>
      <c r="X252" s="826"/>
      <c r="Y252" s="464"/>
      <c r="Z252" s="826"/>
      <c r="AA252" s="464"/>
      <c r="AB252" s="826"/>
      <c r="AC252" s="464"/>
      <c r="AD252" s="825"/>
    </row>
    <row r="253" spans="1:30">
      <c r="A253" s="460">
        <f t="shared" si="418"/>
        <v>43800</v>
      </c>
      <c r="B253" s="465">
        <v>2</v>
      </c>
      <c r="C253" s="479">
        <f>C254-C252</f>
        <v>130.54608162780193</v>
      </c>
      <c r="D253" s="471">
        <f>$D$247</f>
        <v>5.8562232300000003E-2</v>
      </c>
      <c r="E253" s="464">
        <f t="shared" si="419"/>
        <v>7645.07</v>
      </c>
      <c r="F253" s="625">
        <f t="shared" si="420"/>
        <v>5.8562232300000003E-2</v>
      </c>
      <c r="G253" s="464">
        <f t="shared" si="421"/>
        <v>7645.07</v>
      </c>
      <c r="H253" s="625">
        <f t="shared" si="422"/>
        <v>5.8562232300000003E-2</v>
      </c>
      <c r="I253" s="464">
        <f t="shared" si="419"/>
        <v>7645.07</v>
      </c>
      <c r="J253" s="458"/>
      <c r="K253" s="460">
        <f t="shared" si="423"/>
        <v>43800</v>
      </c>
      <c r="L253" s="465">
        <v>2</v>
      </c>
      <c r="M253" s="479">
        <f>M254-M252</f>
        <v>468.84586476382708</v>
      </c>
      <c r="N253" s="445">
        <f t="shared" si="424"/>
        <v>5.8562232300000003E-2</v>
      </c>
      <c r="O253" s="464">
        <f t="shared" si="425"/>
        <v>27456.66</v>
      </c>
      <c r="P253" s="445">
        <f t="shared" si="426"/>
        <v>5.8562232300000003E-2</v>
      </c>
      <c r="Q253" s="464">
        <f t="shared" si="427"/>
        <v>27456.66</v>
      </c>
      <c r="R253" s="445">
        <f t="shared" si="428"/>
        <v>5.8562232300000003E-2</v>
      </c>
      <c r="S253" s="464">
        <f t="shared" si="429"/>
        <v>27456.66</v>
      </c>
      <c r="T253" s="458"/>
      <c r="U253" s="460"/>
      <c r="V253" s="834"/>
      <c r="W253" s="829"/>
      <c r="X253" s="826"/>
      <c r="Y253" s="464"/>
      <c r="Z253" s="826"/>
      <c r="AA253" s="464"/>
      <c r="AB253" s="826"/>
      <c r="AC253" s="464"/>
      <c r="AD253" s="825"/>
    </row>
    <row r="254" spans="1:30">
      <c r="A254" s="474"/>
      <c r="B254" s="474" t="s">
        <v>93</v>
      </c>
      <c r="C254" s="476">
        <f>TempMWH!G15</f>
        <v>323.04608162780193</v>
      </c>
      <c r="D254" s="481"/>
      <c r="E254" s="478"/>
      <c r="F254" s="481"/>
      <c r="G254" s="478"/>
      <c r="H254" s="481"/>
      <c r="I254" s="478"/>
      <c r="J254" s="458"/>
      <c r="K254" s="474"/>
      <c r="L254" s="474" t="s">
        <v>93</v>
      </c>
      <c r="M254" s="476">
        <f>TempMWH!L15</f>
        <v>1040.246864763827</v>
      </c>
      <c r="N254" s="481"/>
      <c r="O254" s="478"/>
      <c r="P254" s="481"/>
      <c r="Q254" s="478"/>
      <c r="R254" s="481"/>
      <c r="S254" s="478"/>
      <c r="T254" s="458"/>
      <c r="U254" s="460"/>
      <c r="V254" s="460"/>
      <c r="W254" s="462"/>
      <c r="X254" s="826"/>
      <c r="Y254" s="464"/>
      <c r="Z254" s="826"/>
      <c r="AA254" s="464"/>
      <c r="AB254" s="826"/>
      <c r="AC254" s="464"/>
      <c r="AD254" s="825"/>
    </row>
    <row r="255" spans="1:30">
      <c r="A255" s="449" t="s">
        <v>93</v>
      </c>
      <c r="B255" s="449"/>
      <c r="C255" s="479">
        <f>SUM(C219:C220,C222:C223,C225:C226,C228:C229,C231:C232,C234:C235,C237:C238,C240:C241,C243:C244,C246:C247,C249:C250,C252:C253)</f>
        <v>-225.18510481482969</v>
      </c>
      <c r="D255" s="449"/>
      <c r="E255" s="468">
        <f>SUM(E219:E220,E222:E223,E225:E226,E228:E229,E231:E232,E234:E235,E237:E238,E240:E241,E243:E244,E246:E247,E249:E250,E252:E253)</f>
        <v>-21640.120000000024</v>
      </c>
      <c r="F255" s="449"/>
      <c r="G255" s="468">
        <f>SUM(G219:G220,G222:G223,G225:G226,G228:G229,G231:G232,G234:G235,G237:G238,G240:G241,G243:G244,G246:G247,G249:G250,G252:G253)</f>
        <v>-21640.120000000024</v>
      </c>
      <c r="H255" s="449"/>
      <c r="I255" s="468">
        <f>SUM(I219:I220,I222:I223,I225:I226,I228:I229,I231:I232,I234:I235,I237:I238,I240:I241,I243:I244,I246:I247,I249:I250,I252:I253)</f>
        <v>-21640.120000000024</v>
      </c>
      <c r="J255" s="458"/>
      <c r="K255" s="449" t="s">
        <v>93</v>
      </c>
      <c r="L255" s="449"/>
      <c r="M255" s="479">
        <f>SUM(M219:M220,M222:M223,M225:M226,M228:M229,M231:M232,M234:M235,M237:M238,M240:M241,M243:M244,M246:M247,M249:M250,M252:M253)</f>
        <v>687.55424223166176</v>
      </c>
      <c r="N255" s="449"/>
      <c r="O255" s="468">
        <f>SUM(O219:O220,O222:O223,O225:O226,O228:O229,O231:O232,O234:O235,O237:O238,O240:O241,O243:O244,O246:O247,O249:O250,O252:O253)</f>
        <v>47633.959999999992</v>
      </c>
      <c r="P255" s="449"/>
      <c r="Q255" s="468">
        <f>SUM(Q219:Q220,Q222:Q223,Q225:Q226,Q228:Q229,Q231:Q232,Q234:Q235,Q237:Q238,Q240:Q241,Q243:Q244,Q246:Q247,Q249:Q250,Q252:Q253)</f>
        <v>47633.959999999992</v>
      </c>
      <c r="R255" s="449"/>
      <c r="S255" s="468">
        <f>SUM(S219:S220,S222:S223,S225:S226,S228:S229,S231:S232,S234:S235,S237:S238,S240:S241,S243:S244,S246:S247,S249:S250,S252:S253)</f>
        <v>47633.959999999992</v>
      </c>
      <c r="T255" s="458"/>
      <c r="U255" s="473"/>
      <c r="V255" s="473"/>
      <c r="W255" s="829"/>
      <c r="X255" s="473"/>
      <c r="Y255" s="464"/>
      <c r="Z255" s="473"/>
      <c r="AA255" s="464"/>
      <c r="AB255" s="473"/>
      <c r="AC255" s="464"/>
      <c r="AD255" s="825"/>
    </row>
    <row r="256" spans="1:30">
      <c r="A256" s="449"/>
      <c r="B256" s="449"/>
      <c r="C256" s="479"/>
      <c r="D256" s="449"/>
      <c r="E256" s="468"/>
      <c r="F256" s="449"/>
      <c r="G256" s="468"/>
      <c r="H256" s="449"/>
      <c r="I256" s="468"/>
      <c r="J256" s="458"/>
    </row>
    <row r="257" spans="1:20">
      <c r="A257" s="451" t="s">
        <v>693</v>
      </c>
      <c r="B257" s="448"/>
      <c r="C257" s="453"/>
      <c r="D257" s="448"/>
      <c r="E257" s="448"/>
      <c r="F257" s="448"/>
      <c r="G257" s="448"/>
      <c r="H257" s="448"/>
      <c r="I257" s="448"/>
      <c r="J257" s="455"/>
      <c r="K257" s="451" t="s">
        <v>695</v>
      </c>
      <c r="L257" s="448"/>
      <c r="M257" s="453"/>
      <c r="N257" s="448"/>
      <c r="O257" s="448"/>
      <c r="P257" s="448"/>
      <c r="Q257" s="448"/>
      <c r="R257" s="448"/>
      <c r="S257" s="448"/>
    </row>
    <row r="258" spans="1:20">
      <c r="A258" s="449"/>
      <c r="B258" s="449"/>
      <c r="C258" s="450"/>
      <c r="D258" s="455" t="s">
        <v>425</v>
      </c>
      <c r="E258" s="455" t="s">
        <v>425</v>
      </c>
      <c r="F258" s="455" t="s">
        <v>494</v>
      </c>
      <c r="G258" s="455" t="s">
        <v>494</v>
      </c>
      <c r="H258" s="455" t="s">
        <v>216</v>
      </c>
      <c r="I258" s="455" t="s">
        <v>216</v>
      </c>
      <c r="J258" s="455"/>
      <c r="K258" s="449"/>
      <c r="L258" s="449"/>
      <c r="M258" s="450"/>
      <c r="N258" s="455" t="s">
        <v>425</v>
      </c>
      <c r="O258" s="455" t="s">
        <v>425</v>
      </c>
      <c r="P258" s="455" t="s">
        <v>494</v>
      </c>
      <c r="Q258" s="455" t="s">
        <v>494</v>
      </c>
      <c r="R258" s="455" t="s">
        <v>216</v>
      </c>
      <c r="S258" s="455" t="s">
        <v>216</v>
      </c>
      <c r="T258" s="455"/>
    </row>
    <row r="259" spans="1:20">
      <c r="A259" s="456" t="s">
        <v>110</v>
      </c>
      <c r="B259" s="456"/>
      <c r="C259" s="459" t="s">
        <v>109</v>
      </c>
      <c r="D259" s="456" t="s">
        <v>99</v>
      </c>
      <c r="E259" s="456" t="s">
        <v>496</v>
      </c>
      <c r="F259" s="456" t="s">
        <v>99</v>
      </c>
      <c r="G259" s="456" t="s">
        <v>496</v>
      </c>
      <c r="H259" s="456" t="s">
        <v>99</v>
      </c>
      <c r="I259" s="456" t="s">
        <v>496</v>
      </c>
      <c r="J259" s="455" t="s">
        <v>251</v>
      </c>
      <c r="K259" s="456" t="s">
        <v>110</v>
      </c>
      <c r="L259" s="456"/>
      <c r="M259" s="459" t="s">
        <v>109</v>
      </c>
      <c r="N259" s="456" t="s">
        <v>99</v>
      </c>
      <c r="O259" s="456" t="s">
        <v>496</v>
      </c>
      <c r="P259" s="456" t="s">
        <v>99</v>
      </c>
      <c r="Q259" s="456" t="s">
        <v>496</v>
      </c>
      <c r="R259" s="456" t="s">
        <v>99</v>
      </c>
      <c r="S259" s="456" t="s">
        <v>496</v>
      </c>
      <c r="T259" s="455"/>
    </row>
    <row r="260" spans="1:20">
      <c r="A260" s="460">
        <f>A137</f>
        <v>43466</v>
      </c>
      <c r="B260" s="465">
        <v>1</v>
      </c>
      <c r="C260" s="450">
        <f>C262</f>
        <v>0</v>
      </c>
      <c r="D260" s="471">
        <f>0.049983*(1+$Y$16)</f>
        <v>4.7878715699999998E-2</v>
      </c>
      <c r="E260" s="464">
        <f>ROUND(D260*$C260*1000,2)</f>
        <v>0</v>
      </c>
      <c r="F260" s="471">
        <f>D260</f>
        <v>4.7878715699999998E-2</v>
      </c>
      <c r="G260" s="464">
        <f>ROUND(F260*$C260*1000,2)</f>
        <v>0</v>
      </c>
      <c r="H260" s="471">
        <f>F260</f>
        <v>4.7878715699999998E-2</v>
      </c>
      <c r="I260" s="464">
        <f>ROUND(H260*$C260*1000,2)</f>
        <v>0</v>
      </c>
      <c r="J260" s="455" t="s">
        <v>903</v>
      </c>
      <c r="K260" s="460">
        <f>A260</f>
        <v>43466</v>
      </c>
      <c r="L260" s="465">
        <v>1</v>
      </c>
      <c r="M260" s="450">
        <f>M262</f>
        <v>0</v>
      </c>
      <c r="N260" s="471">
        <f>D260</f>
        <v>4.7878715699999998E-2</v>
      </c>
      <c r="O260" s="464">
        <f>ROUND(N260*$M260*1000,2)</f>
        <v>0</v>
      </c>
      <c r="P260" s="471">
        <f>N260</f>
        <v>4.7878715699999998E-2</v>
      </c>
      <c r="Q260" s="464">
        <f>ROUND(P260*$M260*1000,2)</f>
        <v>0</v>
      </c>
      <c r="R260" s="471">
        <f>P260</f>
        <v>4.7878715699999998E-2</v>
      </c>
      <c r="S260" s="464">
        <f>ROUND(R260*$M260*1000,2)</f>
        <v>0</v>
      </c>
      <c r="T260" s="581" t="s">
        <v>696</v>
      </c>
    </row>
    <row r="261" spans="1:20">
      <c r="A261" s="460">
        <f>A138</f>
        <v>43466</v>
      </c>
      <c r="B261" s="465">
        <v>2</v>
      </c>
      <c r="C261" s="450">
        <f>C262-C260</f>
        <v>0</v>
      </c>
      <c r="D261" s="471">
        <f>0.049983*(1+$Y$16)</f>
        <v>4.7878715699999998E-2</v>
      </c>
      <c r="E261" s="464">
        <f>ROUND(D261*$C261*1000,2)</f>
        <v>0</v>
      </c>
      <c r="F261" s="471">
        <f>D261</f>
        <v>4.7878715699999998E-2</v>
      </c>
      <c r="G261" s="464">
        <f>ROUND(F261*$C261*1000,2)</f>
        <v>0</v>
      </c>
      <c r="H261" s="471">
        <f>F261</f>
        <v>4.7878715699999998E-2</v>
      </c>
      <c r="I261" s="464">
        <f>ROUND(H261*$C261*1000,2)</f>
        <v>0</v>
      </c>
      <c r="J261" s="458">
        <f>'10'!P31</f>
        <v>0.85444636821910169</v>
      </c>
      <c r="K261" s="460">
        <f>A261</f>
        <v>43466</v>
      </c>
      <c r="L261" s="465">
        <v>2</v>
      </c>
      <c r="M261" s="450">
        <f>M262-M260</f>
        <v>0</v>
      </c>
      <c r="N261" s="471">
        <f>D261</f>
        <v>4.7878715699999998E-2</v>
      </c>
      <c r="O261" s="464">
        <f>ROUND(N261*$M261*1000,2)</f>
        <v>0</v>
      </c>
      <c r="P261" s="471">
        <f>N261</f>
        <v>4.7878715699999998E-2</v>
      </c>
      <c r="Q261" s="464">
        <f>ROUND(P261*$M261*1000,2)</f>
        <v>0</v>
      </c>
      <c r="R261" s="471">
        <f>P261</f>
        <v>4.7878715699999998E-2</v>
      </c>
      <c r="S261" s="464">
        <f>ROUND(R261*$M261*1000,2)</f>
        <v>0</v>
      </c>
      <c r="T261" s="458">
        <f>'10'!R31</f>
        <v>0.24662119005188296</v>
      </c>
    </row>
    <row r="262" spans="1:20">
      <c r="A262" s="460"/>
      <c r="B262" s="466" t="s">
        <v>93</v>
      </c>
      <c r="C262" s="467">
        <f>TempMWH!M4*$J$261</f>
        <v>0</v>
      </c>
      <c r="D262" s="471"/>
      <c r="E262" s="468"/>
      <c r="F262" s="471"/>
      <c r="G262" s="468"/>
      <c r="H262" s="471"/>
      <c r="I262" s="468"/>
      <c r="J262" s="455" t="s">
        <v>694</v>
      </c>
      <c r="K262" s="460"/>
      <c r="L262" s="466" t="s">
        <v>93</v>
      </c>
      <c r="M262" s="467">
        <f>TempMWH!M4-TempRev!C262</f>
        <v>0</v>
      </c>
      <c r="N262" s="471"/>
      <c r="O262" s="468"/>
      <c r="P262" s="471"/>
      <c r="Q262" s="468"/>
      <c r="R262" s="471"/>
      <c r="S262" s="468"/>
      <c r="T262" s="455"/>
    </row>
    <row r="263" spans="1:20">
      <c r="A263" s="460">
        <f t="shared" ref="A263:A264" si="430">A140</f>
        <v>43497</v>
      </c>
      <c r="B263" s="465">
        <v>1</v>
      </c>
      <c r="C263" s="450">
        <f>C265</f>
        <v>0</v>
      </c>
      <c r="D263" s="471">
        <f>$D$260</f>
        <v>4.7878715699999998E-2</v>
      </c>
      <c r="E263" s="464">
        <f t="shared" ref="E263:I264" si="431">ROUND(D263*$C263*1000,2)</f>
        <v>0</v>
      </c>
      <c r="F263" s="471">
        <f t="shared" ref="F263:F264" si="432">D263</f>
        <v>4.7878715699999998E-2</v>
      </c>
      <c r="G263" s="464">
        <f t="shared" ref="G263:G264" si="433">ROUND(F263*$C263*1000,2)</f>
        <v>0</v>
      </c>
      <c r="H263" s="471">
        <f t="shared" ref="H263:H264" si="434">F263</f>
        <v>4.7878715699999998E-2</v>
      </c>
      <c r="I263" s="464">
        <f t="shared" si="431"/>
        <v>0</v>
      </c>
      <c r="J263" s="458">
        <f>'10'!T31</f>
        <v>0.62325205076073031</v>
      </c>
      <c r="K263" s="460">
        <f t="shared" ref="K263:K264" si="435">A263</f>
        <v>43497</v>
      </c>
      <c r="L263" s="465">
        <v>1</v>
      </c>
      <c r="M263" s="450">
        <f>M265</f>
        <v>0</v>
      </c>
      <c r="N263" s="471">
        <f t="shared" ref="N263:N264" si="436">D263</f>
        <v>4.7878715699999998E-2</v>
      </c>
      <c r="O263" s="464">
        <f>ROUND(N263*$M263*1000,2)</f>
        <v>0</v>
      </c>
      <c r="P263" s="471">
        <f t="shared" ref="P263:P264" si="437">N263</f>
        <v>4.7878715699999998E-2</v>
      </c>
      <c r="Q263" s="464">
        <f>ROUND(P263*$M263*1000,2)</f>
        <v>0</v>
      </c>
      <c r="R263" s="471">
        <f t="shared" ref="R263:R264" si="438">P263</f>
        <v>4.7878715699999998E-2</v>
      </c>
      <c r="S263" s="464">
        <f>ROUND(R263*$M263*1000,2)</f>
        <v>0</v>
      </c>
    </row>
    <row r="264" spans="1:20">
      <c r="A264" s="460">
        <f t="shared" si="430"/>
        <v>43497</v>
      </c>
      <c r="B264" s="465">
        <v>2</v>
      </c>
      <c r="C264" s="450">
        <f>C265-C263</f>
        <v>0</v>
      </c>
      <c r="D264" s="471">
        <f>$D$261</f>
        <v>4.7878715699999998E-2</v>
      </c>
      <c r="E264" s="464">
        <f t="shared" si="431"/>
        <v>0</v>
      </c>
      <c r="F264" s="471">
        <f t="shared" si="432"/>
        <v>4.7878715699999998E-2</v>
      </c>
      <c r="G264" s="464">
        <f t="shared" si="433"/>
        <v>0</v>
      </c>
      <c r="H264" s="471">
        <f t="shared" si="434"/>
        <v>4.7878715699999998E-2</v>
      </c>
      <c r="I264" s="464">
        <f t="shared" si="431"/>
        <v>0</v>
      </c>
      <c r="J264" s="455"/>
      <c r="K264" s="460">
        <f t="shared" si="435"/>
        <v>43497</v>
      </c>
      <c r="L264" s="465">
        <v>2</v>
      </c>
      <c r="M264" s="450">
        <f>M265-M263</f>
        <v>0</v>
      </c>
      <c r="N264" s="471">
        <f t="shared" si="436"/>
        <v>4.7878715699999998E-2</v>
      </c>
      <c r="O264" s="464">
        <f>ROUND(N264*$M264*1000,2)</f>
        <v>0</v>
      </c>
      <c r="P264" s="471">
        <f t="shared" si="437"/>
        <v>4.7878715699999998E-2</v>
      </c>
      <c r="Q264" s="464">
        <f>ROUND(P264*$M264*1000,2)</f>
        <v>0</v>
      </c>
      <c r="R264" s="471">
        <f t="shared" si="438"/>
        <v>4.7878715699999998E-2</v>
      </c>
      <c r="S264" s="464">
        <f>ROUND(R264*$M264*1000,2)</f>
        <v>0</v>
      </c>
      <c r="T264" s="455"/>
    </row>
    <row r="265" spans="1:20">
      <c r="A265" s="460"/>
      <c r="B265" s="466" t="s">
        <v>93</v>
      </c>
      <c r="C265" s="467">
        <f>TempMWH!M5*$J$261</f>
        <v>0</v>
      </c>
      <c r="D265" s="471"/>
      <c r="E265" s="468"/>
      <c r="F265" s="471"/>
      <c r="G265" s="468"/>
      <c r="H265" s="471"/>
      <c r="I265" s="468"/>
      <c r="J265" s="455"/>
      <c r="K265" s="460"/>
      <c r="L265" s="466" t="s">
        <v>93</v>
      </c>
      <c r="M265" s="467">
        <f>TempMWH!M5-TempRev!C265</f>
        <v>0</v>
      </c>
      <c r="N265" s="471"/>
      <c r="O265" s="468"/>
      <c r="P265" s="471"/>
      <c r="Q265" s="468"/>
      <c r="R265" s="471"/>
      <c r="S265" s="468"/>
      <c r="T265" s="455"/>
    </row>
    <row r="266" spans="1:20">
      <c r="A266" s="460">
        <f t="shared" ref="A266:A267" si="439">A143</f>
        <v>43525</v>
      </c>
      <c r="B266" s="465">
        <v>1</v>
      </c>
      <c r="C266" s="450">
        <f>C268</f>
        <v>0</v>
      </c>
      <c r="D266" s="471">
        <f>$D$260</f>
        <v>4.7878715699999998E-2</v>
      </c>
      <c r="E266" s="464">
        <f t="shared" ref="E266:I267" si="440">ROUND(D266*$C266*1000,2)</f>
        <v>0</v>
      </c>
      <c r="F266" s="471">
        <f t="shared" ref="F266:F267" si="441">D266</f>
        <v>4.7878715699999998E-2</v>
      </c>
      <c r="G266" s="464">
        <f t="shared" ref="G266:G267" si="442">ROUND(F266*$C266*1000,2)</f>
        <v>0</v>
      </c>
      <c r="H266" s="471">
        <f t="shared" ref="H266:H267" si="443">F266</f>
        <v>4.7878715699999998E-2</v>
      </c>
      <c r="I266" s="464">
        <f t="shared" si="440"/>
        <v>0</v>
      </c>
      <c r="J266" s="455"/>
      <c r="K266" s="460">
        <f t="shared" ref="K266:K267" si="444">A266</f>
        <v>43525</v>
      </c>
      <c r="L266" s="465">
        <v>1</v>
      </c>
      <c r="M266" s="450">
        <f>M268</f>
        <v>0</v>
      </c>
      <c r="N266" s="471">
        <f t="shared" ref="N266:N267" si="445">D266</f>
        <v>4.7878715699999998E-2</v>
      </c>
      <c r="O266" s="464">
        <f>ROUND(N266*$M266*1000,2)</f>
        <v>0</v>
      </c>
      <c r="P266" s="471">
        <f t="shared" ref="P266:P267" si="446">N266</f>
        <v>4.7878715699999998E-2</v>
      </c>
      <c r="Q266" s="464">
        <f>ROUND(P266*$M266*1000,2)</f>
        <v>0</v>
      </c>
      <c r="R266" s="471">
        <f t="shared" ref="R266:R267" si="447">P266</f>
        <v>4.7878715699999998E-2</v>
      </c>
      <c r="S266" s="464">
        <f>ROUND(R266*$M266*1000,2)</f>
        <v>0</v>
      </c>
    </row>
    <row r="267" spans="1:20">
      <c r="A267" s="460">
        <f t="shared" si="439"/>
        <v>43525</v>
      </c>
      <c r="B267" s="465">
        <v>2</v>
      </c>
      <c r="C267" s="450">
        <f>C268-C266</f>
        <v>0</v>
      </c>
      <c r="D267" s="471">
        <f>$D$261</f>
        <v>4.7878715699999998E-2</v>
      </c>
      <c r="E267" s="464">
        <f t="shared" si="440"/>
        <v>0</v>
      </c>
      <c r="F267" s="471">
        <f t="shared" si="441"/>
        <v>4.7878715699999998E-2</v>
      </c>
      <c r="G267" s="464">
        <f t="shared" si="442"/>
        <v>0</v>
      </c>
      <c r="H267" s="471">
        <f t="shared" si="443"/>
        <v>4.7878715699999998E-2</v>
      </c>
      <c r="I267" s="464">
        <f t="shared" si="440"/>
        <v>0</v>
      </c>
      <c r="J267" s="455"/>
      <c r="K267" s="460">
        <f t="shared" si="444"/>
        <v>43525</v>
      </c>
      <c r="L267" s="465">
        <v>2</v>
      </c>
      <c r="M267" s="450">
        <f>M268-M266</f>
        <v>0</v>
      </c>
      <c r="N267" s="471">
        <f t="shared" si="445"/>
        <v>4.7878715699999998E-2</v>
      </c>
      <c r="O267" s="464">
        <f>ROUND(N267*$M267*1000,2)</f>
        <v>0</v>
      </c>
      <c r="P267" s="471">
        <f t="shared" si="446"/>
        <v>4.7878715699999998E-2</v>
      </c>
      <c r="Q267" s="464">
        <f>ROUND(P267*$M267*1000,2)</f>
        <v>0</v>
      </c>
      <c r="R267" s="471">
        <f t="shared" si="447"/>
        <v>4.7878715699999998E-2</v>
      </c>
      <c r="S267" s="464">
        <f>ROUND(R267*$M267*1000,2)</f>
        <v>0</v>
      </c>
    </row>
    <row r="268" spans="1:20">
      <c r="A268" s="460"/>
      <c r="B268" s="466" t="s">
        <v>93</v>
      </c>
      <c r="C268" s="467">
        <f>TempMWH!M6*$J$261</f>
        <v>0</v>
      </c>
      <c r="D268" s="471"/>
      <c r="E268" s="468"/>
      <c r="F268" s="471"/>
      <c r="G268" s="468"/>
      <c r="H268" s="471"/>
      <c r="I268" s="468"/>
      <c r="J268" s="455"/>
      <c r="K268" s="460"/>
      <c r="L268" s="466" t="s">
        <v>93</v>
      </c>
      <c r="M268" s="467">
        <f>TempMWH!M6-TempRev!C268</f>
        <v>0</v>
      </c>
      <c r="N268" s="471"/>
      <c r="O268" s="468"/>
      <c r="P268" s="471"/>
      <c r="Q268" s="468"/>
      <c r="R268" s="471"/>
      <c r="S268" s="468"/>
    </row>
    <row r="269" spans="1:20">
      <c r="A269" s="460">
        <f t="shared" ref="A269:A270" si="448">A146</f>
        <v>43556</v>
      </c>
      <c r="B269" s="465">
        <v>1</v>
      </c>
      <c r="C269" s="450">
        <f>C271</f>
        <v>0</v>
      </c>
      <c r="D269" s="471">
        <f>$D$260</f>
        <v>4.7878715699999998E-2</v>
      </c>
      <c r="E269" s="464">
        <f t="shared" ref="E269:I270" si="449">ROUND(D269*$C269*1000,2)</f>
        <v>0</v>
      </c>
      <c r="F269" s="471">
        <f t="shared" ref="F269:F270" si="450">D269</f>
        <v>4.7878715699999998E-2</v>
      </c>
      <c r="G269" s="464">
        <f t="shared" ref="G269:G270" si="451">ROUND(F269*$C269*1000,2)</f>
        <v>0</v>
      </c>
      <c r="H269" s="471">
        <f t="shared" ref="H269:H270" si="452">F269</f>
        <v>4.7878715699999998E-2</v>
      </c>
      <c r="I269" s="464">
        <f t="shared" si="449"/>
        <v>0</v>
      </c>
      <c r="J269" s="455"/>
      <c r="K269" s="460">
        <f t="shared" ref="K269:K270" si="453">A269</f>
        <v>43556</v>
      </c>
      <c r="L269" s="465">
        <v>1</v>
      </c>
      <c r="M269" s="450">
        <f>M271</f>
        <v>0</v>
      </c>
      <c r="N269" s="471">
        <f t="shared" ref="N269:N270" si="454">D269</f>
        <v>4.7878715699999998E-2</v>
      </c>
      <c r="O269" s="464">
        <f>ROUND(N269*$M269*1000,2)</f>
        <v>0</v>
      </c>
      <c r="P269" s="471">
        <f t="shared" ref="P269:P270" si="455">N269</f>
        <v>4.7878715699999998E-2</v>
      </c>
      <c r="Q269" s="464">
        <f>ROUND(P269*$M269*1000,2)</f>
        <v>0</v>
      </c>
      <c r="R269" s="471">
        <f t="shared" ref="R269:R270" si="456">P269</f>
        <v>4.7878715699999998E-2</v>
      </c>
      <c r="S269" s="464">
        <f>ROUND(R269*$M269*1000,2)</f>
        <v>0</v>
      </c>
    </row>
    <row r="270" spans="1:20">
      <c r="A270" s="460">
        <f t="shared" si="448"/>
        <v>43556</v>
      </c>
      <c r="B270" s="465">
        <v>2</v>
      </c>
      <c r="C270" s="450">
        <f>C271-C269</f>
        <v>0</v>
      </c>
      <c r="D270" s="471">
        <f>$D$261</f>
        <v>4.7878715699999998E-2</v>
      </c>
      <c r="E270" s="464">
        <f t="shared" si="449"/>
        <v>0</v>
      </c>
      <c r="F270" s="471">
        <f t="shared" si="450"/>
        <v>4.7878715699999998E-2</v>
      </c>
      <c r="G270" s="464">
        <f t="shared" si="451"/>
        <v>0</v>
      </c>
      <c r="H270" s="471">
        <f t="shared" si="452"/>
        <v>4.7878715699999998E-2</v>
      </c>
      <c r="I270" s="464">
        <f t="shared" si="449"/>
        <v>0</v>
      </c>
      <c r="J270" s="455"/>
      <c r="K270" s="460">
        <f t="shared" si="453"/>
        <v>43556</v>
      </c>
      <c r="L270" s="465">
        <v>2</v>
      </c>
      <c r="M270" s="450">
        <f>M271-M269</f>
        <v>0</v>
      </c>
      <c r="N270" s="471">
        <f t="shared" si="454"/>
        <v>4.7878715699999998E-2</v>
      </c>
      <c r="O270" s="464">
        <f>ROUND(N270*$M270*1000,2)</f>
        <v>0</v>
      </c>
      <c r="P270" s="471">
        <f t="shared" si="455"/>
        <v>4.7878715699999998E-2</v>
      </c>
      <c r="Q270" s="464">
        <f>ROUND(P270*$M270*1000,2)</f>
        <v>0</v>
      </c>
      <c r="R270" s="471">
        <f t="shared" si="456"/>
        <v>4.7878715699999998E-2</v>
      </c>
      <c r="S270" s="464">
        <f>ROUND(R270*$M270*1000,2)</f>
        <v>0</v>
      </c>
    </row>
    <row r="271" spans="1:20">
      <c r="A271" s="460"/>
      <c r="B271" s="466" t="s">
        <v>93</v>
      </c>
      <c r="C271" s="467">
        <f>TempMWH!M7*$J$261</f>
        <v>0</v>
      </c>
      <c r="D271" s="471"/>
      <c r="E271" s="468"/>
      <c r="F271" s="471"/>
      <c r="G271" s="468"/>
      <c r="H271" s="471"/>
      <c r="I271" s="468"/>
      <c r="J271" s="455"/>
      <c r="K271" s="460"/>
      <c r="L271" s="466" t="s">
        <v>93</v>
      </c>
      <c r="M271" s="467">
        <f>TempMWH!M7-TempRev!C271</f>
        <v>0</v>
      </c>
      <c r="N271" s="471"/>
      <c r="O271" s="468"/>
      <c r="P271" s="471"/>
      <c r="Q271" s="468"/>
      <c r="R271" s="471"/>
      <c r="S271" s="468"/>
    </row>
    <row r="272" spans="1:20">
      <c r="A272" s="460">
        <f t="shared" ref="A272:A273" si="457">A149</f>
        <v>43586</v>
      </c>
      <c r="B272" s="465">
        <v>1</v>
      </c>
      <c r="C272" s="450">
        <f>C274</f>
        <v>731.46355203025666</v>
      </c>
      <c r="D272" s="471">
        <f>$D$260</f>
        <v>4.7878715699999998E-2</v>
      </c>
      <c r="E272" s="464">
        <f t="shared" ref="E272:I273" si="458">ROUND(D272*$C272*1000,2)</f>
        <v>35021.54</v>
      </c>
      <c r="F272" s="471">
        <f t="shared" ref="F272:F273" si="459">D272</f>
        <v>4.7878715699999998E-2</v>
      </c>
      <c r="G272" s="464">
        <f t="shared" ref="G272:G273" si="460">ROUND(F272*$C272*1000,2)</f>
        <v>35021.54</v>
      </c>
      <c r="H272" s="471">
        <f t="shared" ref="H272:H273" si="461">F272</f>
        <v>4.7878715699999998E-2</v>
      </c>
      <c r="I272" s="464">
        <f t="shared" si="458"/>
        <v>35021.54</v>
      </c>
      <c r="J272" s="455"/>
      <c r="K272" s="460">
        <f t="shared" ref="K272:K273" si="462">A272</f>
        <v>43586</v>
      </c>
      <c r="L272" s="465">
        <v>1</v>
      </c>
      <c r="M272" s="450">
        <f>M274</f>
        <v>124.60369716974333</v>
      </c>
      <c r="N272" s="471">
        <f t="shared" ref="N272:N273" si="463">D272</f>
        <v>4.7878715699999998E-2</v>
      </c>
      <c r="O272" s="464">
        <f>ROUND(N272*$M272*1000,2)</f>
        <v>5965.86</v>
      </c>
      <c r="P272" s="471">
        <f t="shared" ref="P272:P273" si="464">N272</f>
        <v>4.7878715699999998E-2</v>
      </c>
      <c r="Q272" s="464">
        <f>ROUND(P272*$M272*1000,2)</f>
        <v>5965.86</v>
      </c>
      <c r="R272" s="471">
        <f t="shared" ref="R272:R273" si="465">P272</f>
        <v>4.7878715699999998E-2</v>
      </c>
      <c r="S272" s="464">
        <f>ROUND(R272*$M272*1000,2)</f>
        <v>5965.86</v>
      </c>
    </row>
    <row r="273" spans="1:20">
      <c r="A273" s="460">
        <f t="shared" si="457"/>
        <v>43586</v>
      </c>
      <c r="B273" s="465">
        <v>2</v>
      </c>
      <c r="C273" s="450">
        <f>C274-C272</f>
        <v>0</v>
      </c>
      <c r="D273" s="471">
        <f>$D$261</f>
        <v>4.7878715699999998E-2</v>
      </c>
      <c r="E273" s="464">
        <f t="shared" si="458"/>
        <v>0</v>
      </c>
      <c r="F273" s="471">
        <f t="shared" si="459"/>
        <v>4.7878715699999998E-2</v>
      </c>
      <c r="G273" s="464">
        <f t="shared" si="460"/>
        <v>0</v>
      </c>
      <c r="H273" s="471">
        <f t="shared" si="461"/>
        <v>4.7878715699999998E-2</v>
      </c>
      <c r="I273" s="464">
        <f t="shared" si="458"/>
        <v>0</v>
      </c>
      <c r="J273" s="455"/>
      <c r="K273" s="460">
        <f t="shared" si="462"/>
        <v>43586</v>
      </c>
      <c r="L273" s="465">
        <v>2</v>
      </c>
      <c r="M273" s="450">
        <f>M274-M272</f>
        <v>0</v>
      </c>
      <c r="N273" s="471">
        <f t="shared" si="463"/>
        <v>4.7878715699999998E-2</v>
      </c>
      <c r="O273" s="464">
        <f>ROUND(N273*$M273*1000,2)</f>
        <v>0</v>
      </c>
      <c r="P273" s="471">
        <f t="shared" si="464"/>
        <v>4.7878715699999998E-2</v>
      </c>
      <c r="Q273" s="464">
        <f>ROUND(P273*$M273*1000,2)</f>
        <v>0</v>
      </c>
      <c r="R273" s="471">
        <f t="shared" si="465"/>
        <v>4.7878715699999998E-2</v>
      </c>
      <c r="S273" s="464">
        <f>ROUND(R273*$M273*1000,2)</f>
        <v>0</v>
      </c>
    </row>
    <row r="274" spans="1:20">
      <c r="A274" s="460"/>
      <c r="B274" s="466" t="s">
        <v>93</v>
      </c>
      <c r="C274" s="467">
        <f>TempMWH!M8*$J$261</f>
        <v>731.46355203025666</v>
      </c>
      <c r="D274" s="471"/>
      <c r="E274" s="468"/>
      <c r="F274" s="471"/>
      <c r="G274" s="468"/>
      <c r="H274" s="471"/>
      <c r="I274" s="468"/>
      <c r="J274" s="455"/>
      <c r="K274" s="460"/>
      <c r="L274" s="466" t="s">
        <v>93</v>
      </c>
      <c r="M274" s="467">
        <f>TempMWH!M8-TempRev!C274</f>
        <v>124.60369716974333</v>
      </c>
      <c r="N274" s="471"/>
      <c r="O274" s="468"/>
      <c r="P274" s="471"/>
      <c r="Q274" s="468"/>
      <c r="R274" s="471"/>
      <c r="S274" s="468"/>
    </row>
    <row r="275" spans="1:20">
      <c r="A275" s="460">
        <f t="shared" ref="A275:A276" si="466">A152</f>
        <v>43617</v>
      </c>
      <c r="B275" s="465">
        <v>1</v>
      </c>
      <c r="C275" s="450">
        <f>ROUND(C277*$J$263,3)</f>
        <v>929.87</v>
      </c>
      <c r="D275" s="471">
        <f>0.072971*(1+$Y$16)</f>
        <v>6.9898920899999994E-2</v>
      </c>
      <c r="E275" s="464">
        <f t="shared" ref="E275:I276" si="467">ROUND(D275*$C275*1000,2)</f>
        <v>64996.91</v>
      </c>
      <c r="F275" s="471">
        <f t="shared" ref="F275:F276" si="468">D275</f>
        <v>6.9898920899999994E-2</v>
      </c>
      <c r="G275" s="464">
        <f t="shared" ref="G275:G276" si="469">ROUND(F275*$C275*1000,2)</f>
        <v>64996.91</v>
      </c>
      <c r="H275" s="471">
        <f t="shared" ref="H275:H276" si="470">F275</f>
        <v>6.9898920899999994E-2</v>
      </c>
      <c r="I275" s="464">
        <f t="shared" si="467"/>
        <v>64996.91</v>
      </c>
      <c r="J275" s="455"/>
      <c r="K275" s="460">
        <f t="shared" ref="K275:K276" si="471">A275</f>
        <v>43617</v>
      </c>
      <c r="L275" s="465">
        <v>1</v>
      </c>
      <c r="M275" s="450">
        <f>ROUND(M277*$T$261,3)</f>
        <v>62.68</v>
      </c>
      <c r="N275" s="471">
        <f>0.144164*(1+$Y$16)</f>
        <v>0.13809469559999998</v>
      </c>
      <c r="O275" s="464">
        <f>ROUND(N275*$M275*1000,2)</f>
        <v>8655.7800000000007</v>
      </c>
      <c r="P275" s="471">
        <f t="shared" ref="P275:P276" si="472">N275</f>
        <v>0.13809469559999998</v>
      </c>
      <c r="Q275" s="464">
        <f>ROUND(P275*$M275*1000,2)</f>
        <v>8655.7800000000007</v>
      </c>
      <c r="R275" s="471">
        <f t="shared" ref="R275:R276" si="473">P275</f>
        <v>0.13809469559999998</v>
      </c>
      <c r="S275" s="464">
        <f>ROUND(R275*$M275*1000,2)</f>
        <v>8655.7800000000007</v>
      </c>
    </row>
    <row r="276" spans="1:20">
      <c r="A276" s="460">
        <f t="shared" si="466"/>
        <v>43617</v>
      </c>
      <c r="B276" s="465">
        <v>2</v>
      </c>
      <c r="C276" s="450">
        <f>C277-C275</f>
        <v>562.09400970216564</v>
      </c>
      <c r="D276" s="471">
        <f>0.053936*(1+$Y$16)</f>
        <v>5.1665294399999999E-2</v>
      </c>
      <c r="E276" s="464">
        <f t="shared" si="467"/>
        <v>29040.75</v>
      </c>
      <c r="F276" s="471">
        <f t="shared" si="468"/>
        <v>5.1665294399999999E-2</v>
      </c>
      <c r="G276" s="464">
        <f t="shared" si="469"/>
        <v>29040.75</v>
      </c>
      <c r="H276" s="471">
        <f t="shared" si="470"/>
        <v>5.1665294399999999E-2</v>
      </c>
      <c r="I276" s="464">
        <f t="shared" si="467"/>
        <v>29040.75</v>
      </c>
      <c r="J276" s="455"/>
      <c r="K276" s="460">
        <f t="shared" si="471"/>
        <v>43617</v>
      </c>
      <c r="L276" s="465">
        <v>2</v>
      </c>
      <c r="M276" s="450">
        <f>M277-M275</f>
        <v>191.47378679783452</v>
      </c>
      <c r="N276" s="471">
        <f>0.041542*(1+$Y$16)</f>
        <v>3.9793081800000005E-2</v>
      </c>
      <c r="O276" s="464">
        <f>ROUND(N276*$M276*1000,2)</f>
        <v>7619.33</v>
      </c>
      <c r="P276" s="471">
        <f t="shared" si="472"/>
        <v>3.9793081800000005E-2</v>
      </c>
      <c r="Q276" s="464">
        <f>ROUND(P276*$M276*1000,2)</f>
        <v>7619.33</v>
      </c>
      <c r="R276" s="471">
        <f t="shared" si="473"/>
        <v>3.9793081800000005E-2</v>
      </c>
      <c r="S276" s="464">
        <f>ROUND(R276*$M276*1000,2)</f>
        <v>7619.33</v>
      </c>
    </row>
    <row r="277" spans="1:20">
      <c r="A277" s="460"/>
      <c r="B277" s="460" t="s">
        <v>93</v>
      </c>
      <c r="C277" s="472">
        <f>TempMWH!M9*$J$261</f>
        <v>1491.9640097021656</v>
      </c>
      <c r="D277" s="473"/>
      <c r="E277" s="464"/>
      <c r="F277" s="473"/>
      <c r="G277" s="464"/>
      <c r="H277" s="473"/>
      <c r="I277" s="464"/>
      <c r="J277" s="455"/>
      <c r="K277" s="460"/>
      <c r="L277" s="460" t="s">
        <v>93</v>
      </c>
      <c r="M277" s="472">
        <f>TempMWH!M9-TempRev!C277</f>
        <v>254.15378679783453</v>
      </c>
      <c r="N277" s="473"/>
      <c r="O277" s="464"/>
      <c r="P277" s="473"/>
      <c r="Q277" s="464"/>
      <c r="R277" s="473"/>
      <c r="S277" s="464"/>
    </row>
    <row r="278" spans="1:20">
      <c r="A278" s="460">
        <f t="shared" ref="A278:A279" si="474">A155</f>
        <v>43647</v>
      </c>
      <c r="B278" s="465">
        <v>1</v>
      </c>
      <c r="C278" s="450">
        <f>ROUND(C280*$J$263,3)</f>
        <v>-894.25</v>
      </c>
      <c r="D278" s="471">
        <f>0.072971*(1+$X$16)</f>
        <v>6.9898920899999994E-2</v>
      </c>
      <c r="E278" s="464">
        <f t="shared" ref="E278:I279" si="475">ROUND(D278*$C278*1000,2)</f>
        <v>-62507.11</v>
      </c>
      <c r="F278" s="471">
        <f>F275</f>
        <v>6.9898920899999994E-2</v>
      </c>
      <c r="G278" s="464">
        <f t="shared" ref="G278:G279" si="476">ROUND(F278*$C278*1000,2)</f>
        <v>-62507.11</v>
      </c>
      <c r="H278" s="471">
        <f t="shared" ref="H278:H279" si="477">F278</f>
        <v>6.9898920899999994E-2</v>
      </c>
      <c r="I278" s="464">
        <f t="shared" si="475"/>
        <v>-62507.11</v>
      </c>
      <c r="J278" s="455"/>
      <c r="K278" s="460">
        <f t="shared" ref="K278:K279" si="478">A278</f>
        <v>43647</v>
      </c>
      <c r="L278" s="465">
        <v>1</v>
      </c>
      <c r="M278" s="450">
        <f>ROUND(M280*$T$261,3)</f>
        <v>-60.279000000000003</v>
      </c>
      <c r="N278" s="471">
        <f>0.144164*(1+$X$16)</f>
        <v>0.13809469559999998</v>
      </c>
      <c r="O278" s="464">
        <f>ROUND(N278*$M278*1000,2)</f>
        <v>-8324.2099999999991</v>
      </c>
      <c r="P278" s="471">
        <f>P275</f>
        <v>0.13809469559999998</v>
      </c>
      <c r="Q278" s="464">
        <f>ROUND(P278*$M278*1000,2)</f>
        <v>-8324.2099999999991</v>
      </c>
      <c r="R278" s="471">
        <f t="shared" ref="R278:R279" si="479">P278</f>
        <v>0.13809469559999998</v>
      </c>
      <c r="S278" s="464">
        <f>ROUND(R278*$M278*1000,2)</f>
        <v>-8324.2099999999991</v>
      </c>
    </row>
    <row r="279" spans="1:20">
      <c r="A279" s="460">
        <f t="shared" si="474"/>
        <v>43647</v>
      </c>
      <c r="B279" s="465">
        <v>2</v>
      </c>
      <c r="C279" s="450">
        <f>C280-C278</f>
        <v>-540.56198686681137</v>
      </c>
      <c r="D279" s="471">
        <f>0.053936*(1+$X$16)</f>
        <v>5.1665294399999999E-2</v>
      </c>
      <c r="E279" s="464">
        <f t="shared" si="475"/>
        <v>-27928.29</v>
      </c>
      <c r="F279" s="471">
        <f>F276</f>
        <v>5.1665294399999999E-2</v>
      </c>
      <c r="G279" s="464">
        <f t="shared" si="476"/>
        <v>-27928.29</v>
      </c>
      <c r="H279" s="471">
        <f t="shared" si="477"/>
        <v>5.1665294399999999E-2</v>
      </c>
      <c r="I279" s="464">
        <f t="shared" si="475"/>
        <v>-27928.29</v>
      </c>
      <c r="J279" s="455"/>
      <c r="K279" s="460">
        <f t="shared" si="478"/>
        <v>43647</v>
      </c>
      <c r="L279" s="465">
        <v>2</v>
      </c>
      <c r="M279" s="450">
        <f>M280-M278</f>
        <v>-184.13902713318862</v>
      </c>
      <c r="N279" s="471">
        <f>0.041542*(1+$X$16)</f>
        <v>3.9793081800000005E-2</v>
      </c>
      <c r="O279" s="464">
        <f>ROUND(N279*$M279*1000,2)</f>
        <v>-7327.46</v>
      </c>
      <c r="P279" s="471">
        <f>P276</f>
        <v>3.9793081800000005E-2</v>
      </c>
      <c r="Q279" s="464">
        <f>ROUND(P279*$M279*1000,2)</f>
        <v>-7327.46</v>
      </c>
      <c r="R279" s="471">
        <f t="shared" si="479"/>
        <v>3.9793081800000005E-2</v>
      </c>
      <c r="S279" s="464">
        <f>ROUND(R279*$M279*1000,2)</f>
        <v>-7327.46</v>
      </c>
    </row>
    <row r="280" spans="1:20">
      <c r="A280" s="460"/>
      <c r="B280" s="466" t="s">
        <v>93</v>
      </c>
      <c r="C280" s="467">
        <f>TempMWH!M10*$J$261</f>
        <v>-1434.8119868668114</v>
      </c>
      <c r="E280" s="468"/>
      <c r="G280" s="468"/>
      <c r="I280" s="468"/>
      <c r="J280" s="455"/>
      <c r="K280" s="460"/>
      <c r="L280" s="466" t="s">
        <v>93</v>
      </c>
      <c r="M280" s="467">
        <f>TempMWH!M10-TempRev!C280</f>
        <v>-244.41802713318862</v>
      </c>
      <c r="O280" s="468"/>
      <c r="Q280" s="468"/>
      <c r="S280" s="468"/>
    </row>
    <row r="281" spans="1:20">
      <c r="A281" s="460">
        <f t="shared" ref="A281:A282" si="480">A158</f>
        <v>43678</v>
      </c>
      <c r="B281" s="465">
        <v>1</v>
      </c>
      <c r="C281" s="450">
        <f>ROUND(C283*$J$263,3)</f>
        <v>-1845.796</v>
      </c>
      <c r="D281" s="471">
        <f>D278</f>
        <v>6.9898920899999994E-2</v>
      </c>
      <c r="E281" s="464">
        <f t="shared" ref="E281:I282" si="481">ROUND(D281*$C281*1000,2)</f>
        <v>-129019.15</v>
      </c>
      <c r="F281" s="471">
        <f>F278</f>
        <v>6.9898920899999994E-2</v>
      </c>
      <c r="G281" s="464">
        <f t="shared" ref="G281:G282" si="482">ROUND(F281*$C281*1000,2)</f>
        <v>-129019.15</v>
      </c>
      <c r="H281" s="471">
        <f t="shared" ref="H281:H282" si="483">F281</f>
        <v>6.9898920899999994E-2</v>
      </c>
      <c r="I281" s="464">
        <f t="shared" si="481"/>
        <v>-129019.15</v>
      </c>
      <c r="J281" s="455"/>
      <c r="K281" s="460">
        <f t="shared" ref="K281:K282" si="484">A281</f>
        <v>43678</v>
      </c>
      <c r="L281" s="465">
        <v>1</v>
      </c>
      <c r="M281" s="450">
        <f>ROUND(M283*$T$261,3)</f>
        <v>-124.42</v>
      </c>
      <c r="N281" s="471">
        <f>N278</f>
        <v>0.13809469559999998</v>
      </c>
      <c r="O281" s="464">
        <f>ROUND(N281*$M281*1000,2)</f>
        <v>-17181.740000000002</v>
      </c>
      <c r="P281" s="471">
        <f>P278</f>
        <v>0.13809469559999998</v>
      </c>
      <c r="Q281" s="464">
        <f>ROUND(P281*$M281*1000,2)</f>
        <v>-17181.740000000002</v>
      </c>
      <c r="R281" s="471">
        <f t="shared" ref="R281:R282" si="485">P281</f>
        <v>0.13809469559999998</v>
      </c>
      <c r="S281" s="464">
        <f>ROUND(R281*$M281*1000,2)</f>
        <v>-17181.740000000002</v>
      </c>
    </row>
    <row r="282" spans="1:20">
      <c r="A282" s="460">
        <f t="shared" si="480"/>
        <v>43678</v>
      </c>
      <c r="B282" s="465">
        <v>2</v>
      </c>
      <c r="C282" s="450">
        <f>C283-C281</f>
        <v>-1115.7595361103151</v>
      </c>
      <c r="D282" s="471">
        <f>D279</f>
        <v>5.1665294399999999E-2</v>
      </c>
      <c r="E282" s="464">
        <f t="shared" si="481"/>
        <v>-57646.04</v>
      </c>
      <c r="F282" s="471">
        <f>F279</f>
        <v>5.1665294399999999E-2</v>
      </c>
      <c r="G282" s="464">
        <f t="shared" si="482"/>
        <v>-57646.04</v>
      </c>
      <c r="H282" s="471">
        <f t="shared" si="483"/>
        <v>5.1665294399999999E-2</v>
      </c>
      <c r="I282" s="464">
        <f t="shared" si="481"/>
        <v>-57646.04</v>
      </c>
      <c r="J282" s="455"/>
      <c r="K282" s="460">
        <f t="shared" si="484"/>
        <v>43678</v>
      </c>
      <c r="L282" s="465">
        <v>2</v>
      </c>
      <c r="M282" s="450">
        <f>M283-M281</f>
        <v>-380.07645528968493</v>
      </c>
      <c r="N282" s="471">
        <f>N279</f>
        <v>3.9793081800000005E-2</v>
      </c>
      <c r="O282" s="464">
        <f>ROUND(N282*$M282*1000,2)</f>
        <v>-15124.41</v>
      </c>
      <c r="P282" s="471">
        <f>P279</f>
        <v>3.9793081800000005E-2</v>
      </c>
      <c r="Q282" s="464">
        <f>ROUND(P282*$M282*1000,2)</f>
        <v>-15124.41</v>
      </c>
      <c r="R282" s="471">
        <f t="shared" si="485"/>
        <v>3.9793081800000005E-2</v>
      </c>
      <c r="S282" s="464">
        <f>ROUND(R282*$M282*1000,2)</f>
        <v>-15124.41</v>
      </c>
    </row>
    <row r="283" spans="1:20">
      <c r="A283" s="460"/>
      <c r="B283" s="466" t="s">
        <v>93</v>
      </c>
      <c r="C283" s="467">
        <f>TempMWH!M11*$J$261</f>
        <v>-2961.5555361103152</v>
      </c>
      <c r="E283" s="468"/>
      <c r="G283" s="468"/>
      <c r="I283" s="468"/>
      <c r="J283" s="455"/>
      <c r="K283" s="460"/>
      <c r="L283" s="466" t="s">
        <v>93</v>
      </c>
      <c r="M283" s="467">
        <f>TempMWH!M11-TempRev!C283</f>
        <v>-504.49645528968495</v>
      </c>
      <c r="O283" s="468"/>
      <c r="Q283" s="468"/>
      <c r="S283" s="468"/>
    </row>
    <row r="284" spans="1:20">
      <c r="A284" s="460">
        <f t="shared" ref="A284:A285" si="486">A161</f>
        <v>43709</v>
      </c>
      <c r="B284" s="465">
        <v>1</v>
      </c>
      <c r="C284" s="450">
        <f>ROUND(C286*$J$263,3)</f>
        <v>-821.38300000000004</v>
      </c>
      <c r="D284" s="471">
        <f>D278</f>
        <v>6.9898920899999994E-2</v>
      </c>
      <c r="E284" s="464">
        <f t="shared" ref="E284:I285" si="487">ROUND(D284*$C284*1000,2)</f>
        <v>-57413.79</v>
      </c>
      <c r="F284" s="471">
        <f>F281</f>
        <v>6.9898920899999994E-2</v>
      </c>
      <c r="G284" s="464">
        <f t="shared" ref="G284:G285" si="488">ROUND(F284*$C284*1000,2)</f>
        <v>-57413.79</v>
      </c>
      <c r="H284" s="471">
        <f t="shared" ref="H284:H285" si="489">F284</f>
        <v>6.9898920899999994E-2</v>
      </c>
      <c r="I284" s="464">
        <f t="shared" si="487"/>
        <v>-57413.79</v>
      </c>
      <c r="J284" s="455"/>
      <c r="K284" s="460">
        <f t="shared" ref="K284:K285" si="490">A284</f>
        <v>43709</v>
      </c>
      <c r="L284" s="465">
        <v>1</v>
      </c>
      <c r="M284" s="450">
        <f>ROUND(M286*$T$261,3)</f>
        <v>-55.366999999999997</v>
      </c>
      <c r="N284" s="471">
        <f>N278</f>
        <v>0.13809469559999998</v>
      </c>
      <c r="O284" s="464">
        <f>ROUND(N284*$M284*1000,2)</f>
        <v>-7645.89</v>
      </c>
      <c r="P284" s="471">
        <f>P281</f>
        <v>0.13809469559999998</v>
      </c>
      <c r="Q284" s="464">
        <f>ROUND(P284*$M284*1000,2)</f>
        <v>-7645.89</v>
      </c>
      <c r="R284" s="471">
        <f t="shared" ref="R284:R285" si="491">P284</f>
        <v>0.13809469559999998</v>
      </c>
      <c r="S284" s="464">
        <f>ROUND(R284*$M284*1000,2)</f>
        <v>-7645.89</v>
      </c>
      <c r="T284" s="455"/>
    </row>
    <row r="285" spans="1:20">
      <c r="A285" s="460">
        <f t="shared" si="486"/>
        <v>43709</v>
      </c>
      <c r="B285" s="465">
        <v>2</v>
      </c>
      <c r="C285" s="450">
        <f>C286-C284</f>
        <v>-496.51568670695679</v>
      </c>
      <c r="D285" s="471">
        <f>D279</f>
        <v>5.1665294399999999E-2</v>
      </c>
      <c r="E285" s="464">
        <f t="shared" si="487"/>
        <v>-25652.63</v>
      </c>
      <c r="F285" s="471">
        <f>F282</f>
        <v>5.1665294399999999E-2</v>
      </c>
      <c r="G285" s="464">
        <f t="shared" si="488"/>
        <v>-25652.63</v>
      </c>
      <c r="H285" s="471">
        <f t="shared" si="489"/>
        <v>5.1665294399999999E-2</v>
      </c>
      <c r="I285" s="464">
        <f t="shared" si="487"/>
        <v>-25652.63</v>
      </c>
      <c r="J285" s="455"/>
      <c r="K285" s="460">
        <f t="shared" si="490"/>
        <v>43709</v>
      </c>
      <c r="L285" s="465">
        <v>2</v>
      </c>
      <c r="M285" s="450">
        <f>M286-M284</f>
        <v>-169.1350252930433</v>
      </c>
      <c r="N285" s="471">
        <f>N279</f>
        <v>3.9793081800000005E-2</v>
      </c>
      <c r="O285" s="464">
        <f>ROUND(N285*$M285*1000,2)</f>
        <v>-6730.4</v>
      </c>
      <c r="P285" s="471">
        <f>P282</f>
        <v>3.9793081800000005E-2</v>
      </c>
      <c r="Q285" s="464">
        <f>ROUND(P285*$M285*1000,2)</f>
        <v>-6730.4</v>
      </c>
      <c r="R285" s="471">
        <f t="shared" si="491"/>
        <v>3.9793081800000005E-2</v>
      </c>
      <c r="S285" s="464">
        <f>ROUND(R285*$M285*1000,2)</f>
        <v>-6730.4</v>
      </c>
      <c r="T285" s="455"/>
    </row>
    <row r="286" spans="1:20">
      <c r="A286" s="460"/>
      <c r="B286" s="466" t="s">
        <v>93</v>
      </c>
      <c r="C286" s="472">
        <f>TempMWH!M12*$J$261</f>
        <v>-1317.8986867069568</v>
      </c>
      <c r="E286" s="468"/>
      <c r="G286" s="468"/>
      <c r="I286" s="468"/>
      <c r="J286" s="455"/>
      <c r="K286" s="460"/>
      <c r="L286" s="466" t="s">
        <v>93</v>
      </c>
      <c r="M286" s="472">
        <f>TempMWH!M12-TempRev!C286</f>
        <v>-224.50202529304329</v>
      </c>
      <c r="O286" s="468"/>
      <c r="Q286" s="468"/>
      <c r="S286" s="468"/>
    </row>
    <row r="287" spans="1:20">
      <c r="A287" s="460">
        <f t="shared" ref="A287:A288" si="492">A164</f>
        <v>43739</v>
      </c>
      <c r="B287" s="465">
        <v>1</v>
      </c>
      <c r="C287" s="450">
        <f>C289</f>
        <v>1731.2657676886749</v>
      </c>
      <c r="D287" s="471">
        <f>0.049983*(1+$X$16)</f>
        <v>4.7878715699999998E-2</v>
      </c>
      <c r="E287" s="464">
        <f t="shared" ref="E287:I288" si="493">ROUND(D287*$C287*1000,2)</f>
        <v>82890.78</v>
      </c>
      <c r="F287" s="471">
        <f>F260</f>
        <v>4.7878715699999998E-2</v>
      </c>
      <c r="G287" s="464">
        <f t="shared" ref="G287:G288" si="494">ROUND(F287*$C287*1000,2)</f>
        <v>82890.78</v>
      </c>
      <c r="H287" s="471">
        <f t="shared" ref="H287:H288" si="495">F287</f>
        <v>4.7878715699999998E-2</v>
      </c>
      <c r="I287" s="464">
        <f t="shared" si="493"/>
        <v>82890.78</v>
      </c>
      <c r="J287" s="455"/>
      <c r="K287" s="460">
        <f t="shared" ref="K287:K288" si="496">A287</f>
        <v>43739</v>
      </c>
      <c r="L287" s="465">
        <v>1</v>
      </c>
      <c r="M287" s="450">
        <f>M289</f>
        <v>294.9184752113249</v>
      </c>
      <c r="N287" s="471">
        <f>D287</f>
        <v>4.7878715699999998E-2</v>
      </c>
      <c r="O287" s="464">
        <f>ROUND(N287*$M287*1000,2)</f>
        <v>14120.32</v>
      </c>
      <c r="P287" s="471">
        <f>P260</f>
        <v>4.7878715699999998E-2</v>
      </c>
      <c r="Q287" s="464">
        <f>ROUND(P287*$M287*1000,2)</f>
        <v>14120.32</v>
      </c>
      <c r="R287" s="471">
        <f t="shared" ref="R287:R288" si="497">P287</f>
        <v>4.7878715699999998E-2</v>
      </c>
      <c r="S287" s="464">
        <f>ROUND(R287*$M287*1000,2)</f>
        <v>14120.32</v>
      </c>
    </row>
    <row r="288" spans="1:20">
      <c r="A288" s="460">
        <f t="shared" si="492"/>
        <v>43739</v>
      </c>
      <c r="B288" s="465">
        <v>2</v>
      </c>
      <c r="C288" s="450">
        <f>C289-C287</f>
        <v>0</v>
      </c>
      <c r="D288" s="471">
        <f>0.049983*(1+$X$16)</f>
        <v>4.7878715699999998E-2</v>
      </c>
      <c r="E288" s="464">
        <f t="shared" si="493"/>
        <v>0</v>
      </c>
      <c r="F288" s="471">
        <f>F261</f>
        <v>4.7878715699999998E-2</v>
      </c>
      <c r="G288" s="464">
        <f t="shared" si="494"/>
        <v>0</v>
      </c>
      <c r="H288" s="471">
        <f t="shared" si="495"/>
        <v>4.7878715699999998E-2</v>
      </c>
      <c r="I288" s="464">
        <f t="shared" si="493"/>
        <v>0</v>
      </c>
      <c r="J288" s="581"/>
      <c r="K288" s="460">
        <f t="shared" si="496"/>
        <v>43739</v>
      </c>
      <c r="L288" s="465">
        <v>2</v>
      </c>
      <c r="M288" s="450">
        <f>M289-M287</f>
        <v>0</v>
      </c>
      <c r="N288" s="471">
        <f>D288</f>
        <v>4.7878715699999998E-2</v>
      </c>
      <c r="O288" s="464">
        <f>ROUND(N288*$M288*1000,2)</f>
        <v>0</v>
      </c>
      <c r="P288" s="471">
        <f>P261</f>
        <v>4.7878715699999998E-2</v>
      </c>
      <c r="Q288" s="464">
        <f>ROUND(P288*$M288*1000,2)</f>
        <v>0</v>
      </c>
      <c r="R288" s="471">
        <f t="shared" si="497"/>
        <v>4.7878715699999998E-2</v>
      </c>
      <c r="S288" s="464">
        <f>ROUND(R288*$M288*1000,2)</f>
        <v>0</v>
      </c>
      <c r="T288" s="455"/>
    </row>
    <row r="289" spans="1:20">
      <c r="A289" s="460"/>
      <c r="B289" s="466" t="s">
        <v>93</v>
      </c>
      <c r="C289" s="467">
        <f>TempMWH!M13*$J$261</f>
        <v>1731.2657676886749</v>
      </c>
      <c r="E289" s="468"/>
      <c r="G289" s="468"/>
      <c r="I289" s="468"/>
      <c r="J289" s="581"/>
      <c r="K289" s="460"/>
      <c r="L289" s="466" t="s">
        <v>93</v>
      </c>
      <c r="M289" s="467">
        <f>TempMWH!M13-TempRev!C289</f>
        <v>294.9184752113249</v>
      </c>
      <c r="O289" s="468"/>
      <c r="Q289" s="468"/>
      <c r="S289" s="468"/>
    </row>
    <row r="290" spans="1:20">
      <c r="A290" s="460">
        <f t="shared" ref="A290:A291" si="498">A167</f>
        <v>43770</v>
      </c>
      <c r="B290" s="465">
        <v>1</v>
      </c>
      <c r="C290" s="450">
        <f>C292</f>
        <v>0</v>
      </c>
      <c r="D290" s="471">
        <f>D287</f>
        <v>4.7878715699999998E-2</v>
      </c>
      <c r="E290" s="464">
        <f t="shared" ref="E290:I291" si="499">ROUND(D290*$C290*1000,2)</f>
        <v>0</v>
      </c>
      <c r="F290" s="471">
        <f t="shared" ref="F290:F291" si="500">F263</f>
        <v>4.7878715699999998E-2</v>
      </c>
      <c r="G290" s="464">
        <f t="shared" ref="G290:G291" si="501">ROUND(F290*$C290*1000,2)</f>
        <v>0</v>
      </c>
      <c r="H290" s="471">
        <f t="shared" ref="H290:H291" si="502">F290</f>
        <v>4.7878715699999998E-2</v>
      </c>
      <c r="I290" s="464">
        <f t="shared" si="499"/>
        <v>0</v>
      </c>
      <c r="J290" s="581"/>
      <c r="K290" s="460">
        <f t="shared" ref="K290:K291" si="503">A290</f>
        <v>43770</v>
      </c>
      <c r="L290" s="465">
        <v>1</v>
      </c>
      <c r="M290" s="450">
        <f>M292</f>
        <v>0</v>
      </c>
      <c r="N290" s="471">
        <f t="shared" ref="N290:N291" si="504">D290</f>
        <v>4.7878715699999998E-2</v>
      </c>
      <c r="O290" s="464">
        <f>ROUND(N290*$M290*1000,2)</f>
        <v>0</v>
      </c>
      <c r="P290" s="471">
        <f>P287</f>
        <v>4.7878715699999998E-2</v>
      </c>
      <c r="Q290" s="464">
        <f>ROUND(P290*$M290*1000,2)</f>
        <v>0</v>
      </c>
      <c r="R290" s="471">
        <f t="shared" ref="R290:R291" si="505">P290</f>
        <v>4.7878715699999998E-2</v>
      </c>
      <c r="S290" s="464">
        <f>ROUND(R290*$M290*1000,2)</f>
        <v>0</v>
      </c>
      <c r="T290" s="455"/>
    </row>
    <row r="291" spans="1:20">
      <c r="A291" s="460">
        <f t="shared" si="498"/>
        <v>43770</v>
      </c>
      <c r="B291" s="465">
        <v>2</v>
      </c>
      <c r="C291" s="450">
        <f>C292-C290</f>
        <v>0</v>
      </c>
      <c r="D291" s="471">
        <f>D288</f>
        <v>4.7878715699999998E-2</v>
      </c>
      <c r="E291" s="464">
        <f t="shared" si="499"/>
        <v>0</v>
      </c>
      <c r="F291" s="471">
        <f t="shared" si="500"/>
        <v>4.7878715699999998E-2</v>
      </c>
      <c r="G291" s="464">
        <f t="shared" si="501"/>
        <v>0</v>
      </c>
      <c r="H291" s="471">
        <f t="shared" si="502"/>
        <v>4.7878715699999998E-2</v>
      </c>
      <c r="I291" s="464">
        <f t="shared" si="499"/>
        <v>0</v>
      </c>
      <c r="J291" s="581"/>
      <c r="K291" s="460">
        <f t="shared" si="503"/>
        <v>43770</v>
      </c>
      <c r="L291" s="465">
        <v>2</v>
      </c>
      <c r="M291" s="450">
        <f>M292-M290</f>
        <v>0</v>
      </c>
      <c r="N291" s="471">
        <f t="shared" si="504"/>
        <v>4.7878715699999998E-2</v>
      </c>
      <c r="O291" s="464">
        <f>ROUND(N291*$M291*1000,2)</f>
        <v>0</v>
      </c>
      <c r="P291" s="471">
        <f>P288</f>
        <v>4.7878715699999998E-2</v>
      </c>
      <c r="Q291" s="464">
        <f>ROUND(P291*$M291*1000,2)</f>
        <v>0</v>
      </c>
      <c r="R291" s="471">
        <f t="shared" si="505"/>
        <v>4.7878715699999998E-2</v>
      </c>
      <c r="S291" s="464">
        <f>ROUND(R291*$M291*1000,2)</f>
        <v>0</v>
      </c>
      <c r="T291" s="455"/>
    </row>
    <row r="292" spans="1:20">
      <c r="A292" s="460"/>
      <c r="B292" s="466" t="s">
        <v>93</v>
      </c>
      <c r="C292" s="467">
        <f>TempMWH!M14*$J$261</f>
        <v>0</v>
      </c>
      <c r="E292" s="468"/>
      <c r="G292" s="468"/>
      <c r="I292" s="468"/>
      <c r="J292" s="581"/>
      <c r="K292" s="460"/>
      <c r="L292" s="466" t="s">
        <v>93</v>
      </c>
      <c r="M292" s="467">
        <f>TempMWH!M14-TempRev!C292</f>
        <v>0</v>
      </c>
      <c r="O292" s="468"/>
      <c r="Q292" s="468"/>
      <c r="S292" s="468"/>
    </row>
    <row r="293" spans="1:20">
      <c r="A293" s="460">
        <f t="shared" ref="A293:A294" si="506">A170</f>
        <v>43800</v>
      </c>
      <c r="B293" s="465">
        <v>1</v>
      </c>
      <c r="C293" s="450">
        <f>C295</f>
        <v>0</v>
      </c>
      <c r="D293" s="471">
        <f>D287</f>
        <v>4.7878715699999998E-2</v>
      </c>
      <c r="E293" s="464">
        <f t="shared" ref="E293:I294" si="507">ROUND(D293*$C293*1000,2)</f>
        <v>0</v>
      </c>
      <c r="F293" s="471">
        <f t="shared" ref="F293:F294" si="508">F266</f>
        <v>4.7878715699999998E-2</v>
      </c>
      <c r="G293" s="464">
        <f t="shared" ref="G293:G294" si="509">ROUND(F293*$C293*1000,2)</f>
        <v>0</v>
      </c>
      <c r="H293" s="471">
        <f t="shared" ref="H293:H294" si="510">F293</f>
        <v>4.7878715699999998E-2</v>
      </c>
      <c r="I293" s="464">
        <f t="shared" si="507"/>
        <v>0</v>
      </c>
      <c r="J293" s="581"/>
      <c r="K293" s="460">
        <f t="shared" ref="K293:K294" si="511">A293</f>
        <v>43800</v>
      </c>
      <c r="L293" s="465">
        <v>1</v>
      </c>
      <c r="M293" s="450">
        <f>M295</f>
        <v>0</v>
      </c>
      <c r="N293" s="471">
        <f t="shared" ref="N293:N294" si="512">D293</f>
        <v>4.7878715699999998E-2</v>
      </c>
      <c r="O293" s="464">
        <f>ROUND(N293*$M293*1000,2)</f>
        <v>0</v>
      </c>
      <c r="P293" s="471">
        <f>P290</f>
        <v>4.7878715699999998E-2</v>
      </c>
      <c r="Q293" s="464">
        <f>ROUND(P293*$M293*1000,2)</f>
        <v>0</v>
      </c>
      <c r="R293" s="471">
        <f t="shared" ref="R293:R294" si="513">P293</f>
        <v>4.7878715699999998E-2</v>
      </c>
      <c r="S293" s="464">
        <f>ROUND(R293*$M293*1000,2)</f>
        <v>0</v>
      </c>
    </row>
    <row r="294" spans="1:20">
      <c r="A294" s="460">
        <f t="shared" si="506"/>
        <v>43800</v>
      </c>
      <c r="B294" s="465">
        <v>2</v>
      </c>
      <c r="C294" s="450">
        <f>C295-C293</f>
        <v>0</v>
      </c>
      <c r="D294" s="471">
        <f>D288</f>
        <v>4.7878715699999998E-2</v>
      </c>
      <c r="E294" s="464">
        <f t="shared" si="507"/>
        <v>0</v>
      </c>
      <c r="F294" s="471">
        <f t="shared" si="508"/>
        <v>4.7878715699999998E-2</v>
      </c>
      <c r="G294" s="464">
        <f t="shared" si="509"/>
        <v>0</v>
      </c>
      <c r="H294" s="471">
        <f t="shared" si="510"/>
        <v>4.7878715699999998E-2</v>
      </c>
      <c r="I294" s="464">
        <f t="shared" si="507"/>
        <v>0</v>
      </c>
      <c r="J294" s="455"/>
      <c r="K294" s="460">
        <f t="shared" si="511"/>
        <v>43800</v>
      </c>
      <c r="L294" s="465">
        <v>2</v>
      </c>
      <c r="M294" s="450">
        <f>M295-M293</f>
        <v>0</v>
      </c>
      <c r="N294" s="471">
        <f t="shared" si="512"/>
        <v>4.7878715699999998E-2</v>
      </c>
      <c r="O294" s="464">
        <f>ROUND(N294*$M294*1000,2)</f>
        <v>0</v>
      </c>
      <c r="P294" s="471">
        <f>P291</f>
        <v>4.7878715699999998E-2</v>
      </c>
      <c r="Q294" s="464">
        <f>ROUND(P294*$M294*1000,2)</f>
        <v>0</v>
      </c>
      <c r="R294" s="471">
        <f t="shared" si="513"/>
        <v>4.7878715699999998E-2</v>
      </c>
      <c r="S294" s="464">
        <f>ROUND(R294*$M294*1000,2)</f>
        <v>0</v>
      </c>
    </row>
    <row r="295" spans="1:20">
      <c r="A295" s="474"/>
      <c r="B295" s="474" t="s">
        <v>93</v>
      </c>
      <c r="C295" s="480">
        <f>TempMWH!M15*$J$261</f>
        <v>0</v>
      </c>
      <c r="D295" s="481"/>
      <c r="E295" s="478"/>
      <c r="F295" s="481"/>
      <c r="G295" s="478"/>
      <c r="H295" s="481"/>
      <c r="I295" s="478"/>
      <c r="J295" s="455"/>
      <c r="K295" s="474"/>
      <c r="L295" s="474" t="s">
        <v>93</v>
      </c>
      <c r="M295" s="480">
        <f>TempMWH!M15-TempRev!C295</f>
        <v>0</v>
      </c>
      <c r="N295" s="481"/>
      <c r="O295" s="478"/>
      <c r="P295" s="481"/>
      <c r="Q295" s="478"/>
      <c r="R295" s="481"/>
      <c r="S295" s="478"/>
    </row>
    <row r="296" spans="1:20">
      <c r="A296" s="449" t="s">
        <v>93</v>
      </c>
      <c r="B296" s="449"/>
      <c r="C296" s="450">
        <f>SUM(C260:C261,C263:C264,C266:C267,C269:C270,C272:C273,C275:C276,C278:C279,C281:C282,C284:C285,C287:C288,C290:C291,C293:C294)</f>
        <v>-1759.5728802629858</v>
      </c>
      <c r="D296" s="449"/>
      <c r="E296" s="468">
        <f>SUM(E260:E261,E263:E264,E266:E267,E269:E270,E272:E273,E275:E276,E278:E279,E281:E282,E284:E285,E287:E288,E290:E291,E293:E294)</f>
        <v>-148217.03</v>
      </c>
      <c r="F296" s="449"/>
      <c r="G296" s="468">
        <f>SUM(G260:G261,G263:G264,G266:G267,G269:G270,G272:G273,G275:G276,G278:G279,G281:G282,G284:G285,G287:G288,G290:G291,G293:G294)</f>
        <v>-148217.03</v>
      </c>
      <c r="H296" s="449"/>
      <c r="I296" s="468">
        <f>SUM(I260:I261,I263:I264,I266:I267,I269:I270,I272:I273,I275:I276,I278:I279,I281:I282,I284:I285,I287:I288,I290:I291,I293:I294)</f>
        <v>-148217.03</v>
      </c>
      <c r="J296" s="581"/>
      <c r="K296" s="449" t="s">
        <v>93</v>
      </c>
      <c r="L296" s="449"/>
      <c r="M296" s="450">
        <f>SUM(M260:M261,M263:M264,M266:M267,M269:M270,M272:M273,M275:M276,M278:M279,M281:M282,M284:M285,M287:M288,M290:M291,M293:M294)</f>
        <v>-299.74054853701409</v>
      </c>
      <c r="N296" s="449"/>
      <c r="O296" s="468">
        <f>SUM(O260:O261,O263:O264,O266:O267,O269:O270,O272:O273,O275:O276,O278:O279,O281:O282,O284:O285,O287:O288,O290:O291,O293:O294)</f>
        <v>-25972.82</v>
      </c>
      <c r="P296" s="449"/>
      <c r="Q296" s="468">
        <f>SUM(Q260:Q261,Q263:Q264,Q266:Q267,Q269:Q270,Q272:Q273,Q275:Q276,Q278:Q279,Q281:Q282,Q284:Q285,Q287:Q288,Q290:Q291,Q293:Q294)</f>
        <v>-25972.82</v>
      </c>
      <c r="R296" s="449"/>
      <c r="S296" s="468">
        <f>SUM(S260:S261,S263:S264,S266:S267,S269:S270,S272:S273,S275:S276,S278:S279,S281:S282,S284:S285,S287:S288,S290:S291,S293:S294)</f>
        <v>-25972.82</v>
      </c>
    </row>
    <row r="297" spans="1:20">
      <c r="B297" s="445"/>
      <c r="C297" s="446"/>
      <c r="J297" s="581"/>
      <c r="K297" s="445" t="s">
        <v>697</v>
      </c>
      <c r="M297" s="446">
        <f>M296+C296</f>
        <v>-2059.3134288000001</v>
      </c>
      <c r="O297" s="468">
        <f>O296+E296</f>
        <v>-174189.85</v>
      </c>
      <c r="Q297" s="468">
        <f>Q296+G296</f>
        <v>-174189.85</v>
      </c>
      <c r="S297" s="468">
        <f>S296+I296</f>
        <v>-174189.85</v>
      </c>
    </row>
    <row r="298" spans="1:20">
      <c r="B298" s="445"/>
      <c r="J298" s="581"/>
    </row>
    <row r="299" spans="1:20">
      <c r="A299" s="449"/>
      <c r="B299" s="454"/>
      <c r="C299" s="450"/>
      <c r="D299" s="488"/>
      <c r="E299" s="468"/>
      <c r="F299" s="488"/>
      <c r="G299" s="468"/>
      <c r="H299" s="488"/>
      <c r="I299" s="468"/>
      <c r="J299" s="458"/>
    </row>
    <row r="300" spans="1:20">
      <c r="A300" s="489" t="s">
        <v>256</v>
      </c>
      <c r="B300" s="490"/>
      <c r="C300" s="491"/>
      <c r="D300" s="492"/>
      <c r="E300" s="493"/>
      <c r="F300" s="492"/>
      <c r="G300" s="493"/>
      <c r="H300" s="492"/>
      <c r="I300" s="493"/>
      <c r="J300" s="458"/>
      <c r="K300" s="489" t="s">
        <v>256</v>
      </c>
      <c r="L300" s="490"/>
      <c r="M300" s="491"/>
      <c r="N300" s="492"/>
      <c r="O300" s="493"/>
      <c r="P300" s="492"/>
      <c r="Q300" s="493"/>
      <c r="R300" s="492"/>
      <c r="S300" s="493"/>
    </row>
    <row r="301" spans="1:20">
      <c r="A301" s="494"/>
      <c r="B301" s="495"/>
      <c r="C301" s="496"/>
      <c r="D301" s="496"/>
      <c r="E301" s="497" t="s">
        <v>425</v>
      </c>
      <c r="F301" s="496"/>
      <c r="G301" s="497" t="s">
        <v>494</v>
      </c>
      <c r="H301" s="496"/>
      <c r="I301" s="497" t="s">
        <v>216</v>
      </c>
      <c r="J301" s="458"/>
      <c r="K301" s="494"/>
      <c r="L301" s="495"/>
      <c r="M301" s="496"/>
      <c r="N301" s="496"/>
      <c r="O301" s="497" t="s">
        <v>425</v>
      </c>
      <c r="P301" s="496"/>
      <c r="Q301" s="497" t="s">
        <v>494</v>
      </c>
      <c r="R301" s="496"/>
      <c r="S301" s="497" t="s">
        <v>216</v>
      </c>
    </row>
    <row r="302" spans="1:20">
      <c r="A302" s="498" t="s">
        <v>218</v>
      </c>
      <c r="B302" s="499"/>
      <c r="C302" s="500" t="s">
        <v>111</v>
      </c>
      <c r="D302" s="498"/>
      <c r="E302" s="500" t="s">
        <v>496</v>
      </c>
      <c r="F302" s="498"/>
      <c r="G302" s="500" t="s">
        <v>496</v>
      </c>
      <c r="H302" s="498"/>
      <c r="I302" s="500" t="s">
        <v>496</v>
      </c>
      <c r="J302" s="458"/>
      <c r="K302" s="498" t="s">
        <v>218</v>
      </c>
      <c r="L302" s="499"/>
      <c r="M302" s="500" t="s">
        <v>111</v>
      </c>
      <c r="N302" s="498"/>
      <c r="O302" s="500" t="s">
        <v>496</v>
      </c>
      <c r="P302" s="498"/>
      <c r="Q302" s="500" t="s">
        <v>496</v>
      </c>
      <c r="R302" s="498"/>
      <c r="S302" s="500" t="s">
        <v>496</v>
      </c>
    </row>
    <row r="303" spans="1:20">
      <c r="A303" s="496" t="s">
        <v>448</v>
      </c>
      <c r="B303" s="501" t="s">
        <v>784</v>
      </c>
      <c r="C303" s="479">
        <f>(C22+C26+C30+C34+C38)*1000</f>
        <v>-25232506</v>
      </c>
      <c r="D303" s="479"/>
      <c r="E303" s="479">
        <f>(E22+E26+E30+E34+E38)</f>
        <v>-2145714.9800000004</v>
      </c>
      <c r="F303" s="479"/>
      <c r="G303" s="479">
        <f>(G22+G26+G30+G34+G38)</f>
        <v>-2145714.9800000004</v>
      </c>
      <c r="H303" s="479"/>
      <c r="I303" s="479">
        <f>(I22+I26+I30+I34+I38)</f>
        <v>-2145714.9800000004</v>
      </c>
      <c r="J303" s="458">
        <f>'123'!K30</f>
        <v>1.7661592408192667E-2</v>
      </c>
      <c r="K303" s="496" t="s">
        <v>978</v>
      </c>
      <c r="L303" s="501" t="s">
        <v>784</v>
      </c>
      <c r="M303" s="479">
        <f>C303*$J$303</f>
        <v>-445646.23640927591</v>
      </c>
      <c r="N303" s="479"/>
      <c r="O303" s="479">
        <f t="shared" ref="O303:O307" si="514">E303*$J$303</f>
        <v>-37896.743400913292</v>
      </c>
      <c r="P303" s="479"/>
      <c r="Q303" s="479">
        <f t="shared" ref="Q303:Q307" si="515">G303*$J$303</f>
        <v>-37896.743400913292</v>
      </c>
      <c r="R303" s="479"/>
      <c r="S303" s="479">
        <f t="shared" ref="S303:S307" si="516">I303*$J$303</f>
        <v>-37896.743400913292</v>
      </c>
    </row>
    <row r="304" spans="1:20">
      <c r="A304" s="449"/>
      <c r="B304" s="501" t="s">
        <v>785</v>
      </c>
      <c r="C304" s="479">
        <f>(C23+C27+C31+C35+C39)*1000</f>
        <v>-20167641.000000004</v>
      </c>
      <c r="D304" s="479"/>
      <c r="E304" s="479">
        <f>(E23+E27+E31+E35+E39)</f>
        <v>-2236908.5499999998</v>
      </c>
      <c r="F304" s="479"/>
      <c r="G304" s="479">
        <f>(G23+G27+G31+G35+G39)</f>
        <v>-2236908.5499999998</v>
      </c>
      <c r="H304" s="479"/>
      <c r="I304" s="479">
        <f>(I23+I27+I31+I35+I39)</f>
        <v>-2236908.5499999998</v>
      </c>
      <c r="J304" s="458"/>
      <c r="K304" s="449"/>
      <c r="L304" s="501" t="s">
        <v>785</v>
      </c>
      <c r="M304" s="479">
        <f t="shared" ref="M304:M306" si="517">C304*$J$303</f>
        <v>-356192.65517675522</v>
      </c>
      <c r="N304" s="479"/>
      <c r="O304" s="479">
        <f t="shared" si="514"/>
        <v>-39507.367064501268</v>
      </c>
      <c r="P304" s="479"/>
      <c r="Q304" s="479">
        <f t="shared" si="515"/>
        <v>-39507.367064501268</v>
      </c>
      <c r="R304" s="479"/>
      <c r="S304" s="479">
        <f t="shared" si="516"/>
        <v>-39507.367064501268</v>
      </c>
    </row>
    <row r="305" spans="1:20">
      <c r="A305" s="449"/>
      <c r="B305" s="501" t="s">
        <v>786</v>
      </c>
      <c r="C305" s="479">
        <f>(C24+C28+C32+C36+C40)*1000</f>
        <v>-10437136.251089839</v>
      </c>
      <c r="D305" s="479"/>
      <c r="E305" s="479">
        <f>(E24+E28+E32+E36+E40)</f>
        <v>-1449277.1099999999</v>
      </c>
      <c r="F305" s="479"/>
      <c r="G305" s="479">
        <f>(G24+G28+G32+G36+G40)</f>
        <v>-1449277.1099999999</v>
      </c>
      <c r="H305" s="479"/>
      <c r="I305" s="479">
        <f>(I24+I28+I32+I36+I40)</f>
        <v>-1449277.1099999999</v>
      </c>
      <c r="J305" s="458"/>
      <c r="K305" s="449"/>
      <c r="L305" s="501" t="s">
        <v>786</v>
      </c>
      <c r="M305" s="479">
        <f t="shared" si="517"/>
        <v>-184336.44637552078</v>
      </c>
      <c r="N305" s="479"/>
      <c r="O305" s="479">
        <f t="shared" si="514"/>
        <v>-25596.541603343408</v>
      </c>
      <c r="P305" s="479"/>
      <c r="Q305" s="479">
        <f t="shared" si="515"/>
        <v>-25596.541603343408</v>
      </c>
      <c r="R305" s="479"/>
      <c r="S305" s="479">
        <f t="shared" si="516"/>
        <v>-25596.541603343408</v>
      </c>
    </row>
    <row r="306" spans="1:20">
      <c r="A306" s="449"/>
      <c r="B306" s="501" t="s">
        <v>783</v>
      </c>
      <c r="C306" s="479">
        <f>(C10+C13+C16+C19+C42+C45+C48)*1000</f>
        <v>1542859.0000000005</v>
      </c>
      <c r="D306" s="479"/>
      <c r="E306" s="479">
        <f>E10+E13+E16+E19+E42+E45+E48</f>
        <v>131201.20999999996</v>
      </c>
      <c r="F306" s="479"/>
      <c r="G306" s="479">
        <f>G10+G13+G16+G19+G42+G45+G48</f>
        <v>131201.20999999996</v>
      </c>
      <c r="H306" s="479"/>
      <c r="I306" s="479">
        <f>I10+I13+I16+I19+I42+I45+I48</f>
        <v>131201.20999999996</v>
      </c>
      <c r="J306" s="458"/>
      <c r="K306" s="449"/>
      <c r="L306" s="501" t="s">
        <v>783</v>
      </c>
      <c r="M306" s="479">
        <f t="shared" si="517"/>
        <v>27249.346801311738</v>
      </c>
      <c r="N306" s="479"/>
      <c r="O306" s="479">
        <f t="shared" si="514"/>
        <v>2317.2222944816913</v>
      </c>
      <c r="P306" s="479"/>
      <c r="Q306" s="479">
        <f t="shared" si="515"/>
        <v>2317.2222944816913</v>
      </c>
      <c r="R306" s="479"/>
      <c r="S306" s="479">
        <f t="shared" si="516"/>
        <v>2317.2222944816913</v>
      </c>
    </row>
    <row r="307" spans="1:20">
      <c r="A307" s="449"/>
      <c r="B307" s="501" t="s">
        <v>782</v>
      </c>
      <c r="C307" s="479">
        <f>(C11+C14+C17+C20+C43+C46+C49)*1000</f>
        <v>1316246.6797173093</v>
      </c>
      <c r="D307" s="479"/>
      <c r="E307" s="479">
        <f>E11+E14+E17+E20+E43+E46+E49</f>
        <v>135422.67999999982</v>
      </c>
      <c r="F307" s="479"/>
      <c r="G307" s="479">
        <f>G11+G14+G17+G20+G43+G46+G49</f>
        <v>135422.67999999982</v>
      </c>
      <c r="H307" s="479"/>
      <c r="I307" s="479">
        <f>I11+I14+I17+I20+I43+I46+I49</f>
        <v>135422.67999999982</v>
      </c>
      <c r="J307" s="458"/>
      <c r="K307" s="449"/>
      <c r="L307" s="501" t="s">
        <v>782</v>
      </c>
      <c r="M307" s="479">
        <f>C307*$J$303</f>
        <v>23247.012365804036</v>
      </c>
      <c r="N307" s="479"/>
      <c r="O307" s="479">
        <f t="shared" si="514"/>
        <v>2391.7801769851017</v>
      </c>
      <c r="P307" s="479"/>
      <c r="Q307" s="479">
        <f t="shared" si="515"/>
        <v>2391.7801769851017</v>
      </c>
      <c r="R307" s="479"/>
      <c r="S307" s="479">
        <f t="shared" si="516"/>
        <v>2391.7801769851017</v>
      </c>
    </row>
    <row r="308" spans="1:20" ht="16.5" thickBot="1">
      <c r="A308" s="449"/>
      <c r="B308" s="504" t="s">
        <v>93</v>
      </c>
      <c r="C308" s="505">
        <f>SUM(C303:C307)</f>
        <v>-52978177.571372531</v>
      </c>
      <c r="D308" s="505"/>
      <c r="E308" s="505">
        <f>SUM(E303:E307)</f>
        <v>-5565276.7500000009</v>
      </c>
      <c r="F308" s="505"/>
      <c r="G308" s="505">
        <f>SUM(G303:G307)</f>
        <v>-5565276.7500000009</v>
      </c>
      <c r="H308" s="505"/>
      <c r="I308" s="505">
        <f>SUM(I303:I307)</f>
        <v>-5565276.7500000009</v>
      </c>
      <c r="J308" s="458"/>
      <c r="K308" s="449"/>
      <c r="L308" s="504" t="s">
        <v>93</v>
      </c>
      <c r="M308" s="505">
        <f>SUM(M303:M307)</f>
        <v>-935678.97879443609</v>
      </c>
      <c r="N308" s="505"/>
      <c r="O308" s="505">
        <f>SUM(O303:O307)</f>
        <v>-98291.64959729118</v>
      </c>
      <c r="P308" s="505"/>
      <c r="Q308" s="505">
        <f>SUM(Q303:Q307)</f>
        <v>-98291.64959729118</v>
      </c>
      <c r="R308" s="505"/>
      <c r="S308" s="505">
        <f>SUM(S303:S307)</f>
        <v>-98291.64959729118</v>
      </c>
    </row>
    <row r="309" spans="1:20" ht="16.5" thickTop="1">
      <c r="A309" s="496" t="s">
        <v>449</v>
      </c>
      <c r="B309" s="501" t="s">
        <v>784</v>
      </c>
      <c r="C309" s="479">
        <f>(C68+C72+C76+C80+C84)*1000</f>
        <v>-27077</v>
      </c>
      <c r="D309" s="479"/>
      <c r="E309" s="479">
        <f>(E68+E72+E76+E80+E84)</f>
        <v>-2302.5700000000002</v>
      </c>
      <c r="F309" s="479"/>
      <c r="G309" s="479">
        <f>(G68+G72+G76+G80+G84)</f>
        <v>-2302.5700000000002</v>
      </c>
      <c r="H309" s="479"/>
      <c r="I309" s="479">
        <f>(I68+I72+I76+I80+I84)</f>
        <v>-2302.5700000000002</v>
      </c>
      <c r="J309" s="458">
        <f>'123'!L30</f>
        <v>5.5323448686988757E-3</v>
      </c>
      <c r="K309" s="496" t="s">
        <v>1232</v>
      </c>
      <c r="L309" s="501" t="s">
        <v>784</v>
      </c>
      <c r="M309" s="479">
        <f>C303*$J$309</f>
        <v>-139594.92509351359</v>
      </c>
      <c r="N309" s="479"/>
      <c r="O309" s="479">
        <f>E303*$J$309</f>
        <v>-11870.835259293313</v>
      </c>
      <c r="P309" s="479"/>
      <c r="Q309" s="479">
        <f>G303*$J$309</f>
        <v>-11870.835259293313</v>
      </c>
      <c r="R309" s="479"/>
      <c r="S309" s="479">
        <f>I303*$J$309</f>
        <v>-11870.835259293313</v>
      </c>
    </row>
    <row r="310" spans="1:20">
      <c r="A310" s="449"/>
      <c r="B310" s="501" t="s">
        <v>785</v>
      </c>
      <c r="C310" s="479">
        <f>(C69+C73+C77+C81+C85)*1000</f>
        <v>-19787</v>
      </c>
      <c r="D310" s="479"/>
      <c r="E310" s="479">
        <f>(E69+E73+E77+E81+E85)</f>
        <v>-2194.6900000000005</v>
      </c>
      <c r="F310" s="479"/>
      <c r="G310" s="479">
        <f>(G69+G73+G77+G81+G85)</f>
        <v>-2194.6900000000005</v>
      </c>
      <c r="H310" s="479"/>
      <c r="I310" s="479">
        <f>(I69+I73+I77+I81+I85)</f>
        <v>-2194.6900000000005</v>
      </c>
      <c r="J310" s="458"/>
      <c r="K310" s="449"/>
      <c r="L310" s="501" t="s">
        <v>785</v>
      </c>
      <c r="M310" s="479">
        <f t="shared" ref="M310:M313" si="518">C304*$J$309</f>
        <v>-111574.34520011109</v>
      </c>
      <c r="N310" s="479"/>
      <c r="O310" s="479">
        <f t="shared" ref="O310:S313" si="519">E304*$J$309</f>
        <v>-12375.349538341141</v>
      </c>
      <c r="P310" s="479"/>
      <c r="Q310" s="479">
        <f t="shared" si="519"/>
        <v>-12375.349538341141</v>
      </c>
      <c r="R310" s="479"/>
      <c r="S310" s="479">
        <f t="shared" si="519"/>
        <v>-12375.349538341141</v>
      </c>
    </row>
    <row r="311" spans="1:20">
      <c r="A311" s="449"/>
      <c r="B311" s="501" t="s">
        <v>786</v>
      </c>
      <c r="C311" s="479">
        <f>(C70+C74+C78+C82+C86)*1000</f>
        <v>-8246.21751272642</v>
      </c>
      <c r="D311" s="479"/>
      <c r="E311" s="479">
        <f>(E70+E74+E78+E82+E86)</f>
        <v>-1145.05</v>
      </c>
      <c r="F311" s="479"/>
      <c r="G311" s="479">
        <f>(G70+G74+G78+G82+G86)</f>
        <v>-1145.05</v>
      </c>
      <c r="H311" s="479"/>
      <c r="I311" s="479">
        <f>(I70+I74+I78+I82+I86)</f>
        <v>-1145.05</v>
      </c>
      <c r="J311" s="458"/>
      <c r="K311" s="449"/>
      <c r="L311" s="501" t="s">
        <v>786</v>
      </c>
      <c r="M311" s="479">
        <f t="shared" si="518"/>
        <v>-57741.837182627889</v>
      </c>
      <c r="N311" s="479"/>
      <c r="O311" s="479">
        <f t="shared" si="519"/>
        <v>-8017.9007828312351</v>
      </c>
      <c r="P311" s="479"/>
      <c r="Q311" s="479">
        <f t="shared" si="519"/>
        <v>-8017.9007828312351</v>
      </c>
      <c r="R311" s="479"/>
      <c r="S311" s="479">
        <f t="shared" si="519"/>
        <v>-8017.9007828312351</v>
      </c>
    </row>
    <row r="312" spans="1:20">
      <c r="A312" s="449"/>
      <c r="B312" s="501" t="s">
        <v>783</v>
      </c>
      <c r="C312" s="479">
        <f>(C56+C59+C62+C65+C88+C91+C94)*1000</f>
        <v>1923</v>
      </c>
      <c r="D312" s="479"/>
      <c r="E312" s="479">
        <f>(E56+E59+E62+E65+E88+E91+E94)</f>
        <v>163.52999999999997</v>
      </c>
      <c r="F312" s="479"/>
      <c r="G312" s="479">
        <f>(G56+G59+G62+G65+G88+G91+G94)</f>
        <v>163.52999999999997</v>
      </c>
      <c r="H312" s="479"/>
      <c r="I312" s="479">
        <f>(I56+I59+I62+I65+I88+I91+I94)</f>
        <v>163.52999999999997</v>
      </c>
      <c r="J312" s="458"/>
      <c r="K312" s="449"/>
      <c r="L312" s="501" t="s">
        <v>783</v>
      </c>
      <c r="M312" s="479">
        <f t="shared" si="518"/>
        <v>8535.6280717758818</v>
      </c>
      <c r="N312" s="479"/>
      <c r="O312" s="479">
        <f t="shared" si="519"/>
        <v>725.85034091058344</v>
      </c>
      <c r="P312" s="479"/>
      <c r="Q312" s="479">
        <f t="shared" si="519"/>
        <v>725.85034091058344</v>
      </c>
      <c r="R312" s="479"/>
      <c r="S312" s="479">
        <f t="shared" si="519"/>
        <v>725.85034091058344</v>
      </c>
      <c r="T312" s="445"/>
    </row>
    <row r="313" spans="1:20">
      <c r="A313" s="449"/>
      <c r="B313" s="501" t="s">
        <v>782</v>
      </c>
      <c r="C313" s="479">
        <f>(C57+C60+C63+C66+C89+C92+C95)*1000</f>
        <v>1605.2211500768205</v>
      </c>
      <c r="D313" s="479"/>
      <c r="E313" s="479">
        <f>(E57+E60+E63+E66+E89+E92+E95)</f>
        <v>165.15000000000009</v>
      </c>
      <c r="F313" s="479"/>
      <c r="G313" s="479">
        <f>(G57+G60+G63+G66+G89+G92+G95)</f>
        <v>165.15000000000009</v>
      </c>
      <c r="H313" s="479"/>
      <c r="I313" s="479">
        <f>(I57+I60+I63+I66+I89+I92+I95)</f>
        <v>165.15000000000009</v>
      </c>
      <c r="J313" s="458"/>
      <c r="K313" s="449"/>
      <c r="L313" s="501" t="s">
        <v>782</v>
      </c>
      <c r="M313" s="479">
        <f t="shared" si="518"/>
        <v>7281.9305644759888</v>
      </c>
      <c r="N313" s="479"/>
      <c r="O313" s="479">
        <f t="shared" si="519"/>
        <v>749.20496880344888</v>
      </c>
      <c r="P313" s="479"/>
      <c r="Q313" s="479">
        <f t="shared" si="519"/>
        <v>749.20496880344888</v>
      </c>
      <c r="R313" s="479"/>
      <c r="S313" s="479">
        <f t="shared" si="519"/>
        <v>749.20496880344888</v>
      </c>
      <c r="T313" s="445"/>
    </row>
    <row r="314" spans="1:20" ht="16.5" thickBot="1">
      <c r="A314" s="449"/>
      <c r="B314" s="504" t="s">
        <v>93</v>
      </c>
      <c r="C314" s="505">
        <f>SUM(C309:C313)</f>
        <v>-51581.996362649603</v>
      </c>
      <c r="D314" s="505"/>
      <c r="E314" s="505">
        <f>SUM(E309:E313)</f>
        <v>-5313.630000000001</v>
      </c>
      <c r="F314" s="505"/>
      <c r="G314" s="505">
        <f>SUM(G309:G313)</f>
        <v>-5313.630000000001</v>
      </c>
      <c r="H314" s="505"/>
      <c r="I314" s="505">
        <f>SUM(I309:I313)</f>
        <v>-5313.630000000001</v>
      </c>
      <c r="J314" s="458"/>
      <c r="K314" s="449"/>
      <c r="L314" s="504" t="s">
        <v>93</v>
      </c>
      <c r="M314" s="505">
        <f>SUM(M309:M313)</f>
        <v>-293093.54884000064</v>
      </c>
      <c r="N314" s="505"/>
      <c r="O314" s="505">
        <f>SUM(O309:O313)</f>
        <v>-30789.030270751657</v>
      </c>
      <c r="P314" s="505"/>
      <c r="Q314" s="505">
        <f>SUM(Q309:Q313)</f>
        <v>-30789.030270751657</v>
      </c>
      <c r="R314" s="505"/>
      <c r="S314" s="505">
        <f>SUM(S309:S313)</f>
        <v>-30789.030270751657</v>
      </c>
      <c r="T314" s="445"/>
    </row>
    <row r="315" spans="1:20" ht="16.5" thickTop="1">
      <c r="A315" s="449"/>
      <c r="B315" s="501" t="s">
        <v>499</v>
      </c>
      <c r="C315" s="479">
        <f>M71*1000</f>
        <v>-13265</v>
      </c>
      <c r="D315" s="479"/>
      <c r="E315" s="479">
        <f>O71</f>
        <v>-577.83000000000015</v>
      </c>
      <c r="F315" s="479"/>
      <c r="G315" s="479">
        <f>Q71</f>
        <v>-577.83000000000015</v>
      </c>
      <c r="H315" s="479"/>
      <c r="I315" s="479">
        <f>S71</f>
        <v>-577.83000000000015</v>
      </c>
      <c r="J315" s="458"/>
      <c r="K315" s="449"/>
      <c r="L315" s="501"/>
      <c r="M315" s="479"/>
      <c r="N315" s="479"/>
      <c r="O315" s="479"/>
      <c r="P315" s="479"/>
      <c r="Q315" s="479"/>
      <c r="R315" s="479"/>
      <c r="S315" s="479"/>
      <c r="T315" s="445"/>
    </row>
    <row r="316" spans="1:20">
      <c r="A316" s="449"/>
      <c r="B316" s="502" t="s">
        <v>500</v>
      </c>
      <c r="C316" s="503">
        <f>M72*1000</f>
        <v>-41845.21751272642</v>
      </c>
      <c r="D316" s="503"/>
      <c r="E316" s="503">
        <f>O72</f>
        <v>683.49</v>
      </c>
      <c r="F316" s="503"/>
      <c r="G316" s="503">
        <f>Q72</f>
        <v>683.49</v>
      </c>
      <c r="H316" s="503"/>
      <c r="I316" s="503">
        <f>S72</f>
        <v>683.49</v>
      </c>
      <c r="J316" s="458"/>
      <c r="K316" s="449"/>
      <c r="L316" s="502"/>
      <c r="M316" s="503"/>
      <c r="N316" s="503"/>
      <c r="O316" s="503"/>
      <c r="P316" s="503"/>
      <c r="Q316" s="503"/>
      <c r="R316" s="503"/>
      <c r="S316" s="503"/>
      <c r="T316" s="445"/>
    </row>
    <row r="317" spans="1:20" ht="16.5" thickBot="1">
      <c r="A317" s="449"/>
      <c r="B317" s="504" t="s">
        <v>93</v>
      </c>
      <c r="C317" s="505">
        <f>SUM(C309:C313)</f>
        <v>-51581.996362649603</v>
      </c>
      <c r="D317" s="505"/>
      <c r="E317" s="506">
        <f>SUM(E314:E316)</f>
        <v>-5207.9700000000012</v>
      </c>
      <c r="F317" s="505"/>
      <c r="G317" s="506">
        <f>SUM(G314:G316)</f>
        <v>-5207.9700000000012</v>
      </c>
      <c r="H317" s="505"/>
      <c r="I317" s="506">
        <f>SUM(I314:I316)</f>
        <v>-5207.9700000000012</v>
      </c>
      <c r="J317" s="458"/>
      <c r="K317" s="449"/>
      <c r="L317" s="504"/>
      <c r="M317" s="505"/>
      <c r="N317" s="505"/>
      <c r="O317" s="506"/>
      <c r="P317" s="505"/>
      <c r="Q317" s="506"/>
      <c r="R317" s="505"/>
      <c r="S317" s="506"/>
      <c r="T317" s="445"/>
    </row>
    <row r="318" spans="1:20" ht="16.5" thickTop="1">
      <c r="A318" s="496" t="s">
        <v>668</v>
      </c>
      <c r="B318" s="501" t="s">
        <v>784</v>
      </c>
      <c r="C318" s="479">
        <f>(M22+M26+M30+M34+M38)*1000</f>
        <v>-456076.99999999994</v>
      </c>
      <c r="D318" s="479"/>
      <c r="E318" s="479">
        <f>(O22+O26+O30+O34+O38)</f>
        <v>-38783.75</v>
      </c>
      <c r="F318" s="479"/>
      <c r="G318" s="479">
        <f>(Q22+Q26+Q30+Q34+Q38)</f>
        <v>-38783.75</v>
      </c>
      <c r="H318" s="479"/>
      <c r="I318" s="479">
        <f>(S22+S26+S30+S34+S38)</f>
        <v>-38783.75</v>
      </c>
      <c r="J318" s="458"/>
      <c r="K318" s="496"/>
      <c r="L318" s="501"/>
      <c r="M318" s="479"/>
      <c r="N318" s="479"/>
      <c r="O318" s="479"/>
      <c r="P318" s="479"/>
      <c r="Q318" s="479"/>
      <c r="R318" s="479"/>
      <c r="S318" s="479"/>
      <c r="T318" s="445"/>
    </row>
    <row r="319" spans="1:20">
      <c r="A319" s="449"/>
      <c r="B319" s="501" t="s">
        <v>785</v>
      </c>
      <c r="C319" s="479">
        <f>(M23+M27+M31+M35+M39)*1000</f>
        <v>-276158</v>
      </c>
      <c r="D319" s="479"/>
      <c r="E319" s="479">
        <f>(O23+O27+O31+O35+O39)</f>
        <v>-30630.259999999995</v>
      </c>
      <c r="F319" s="479"/>
      <c r="G319" s="479">
        <f>(Q23+Q27+Q31+Q35+Q39)</f>
        <v>-30630.259999999995</v>
      </c>
      <c r="H319" s="479"/>
      <c r="I319" s="479">
        <f>(S23+S27+S31+S35+S39)</f>
        <v>-30630.259999999995</v>
      </c>
      <c r="J319" s="458"/>
      <c r="K319" s="449"/>
      <c r="L319" s="501"/>
      <c r="M319" s="479"/>
      <c r="N319" s="479"/>
      <c r="O319" s="479"/>
      <c r="P319" s="479"/>
      <c r="Q319" s="479"/>
      <c r="R319" s="479"/>
      <c r="S319" s="479"/>
      <c r="T319" s="445"/>
    </row>
    <row r="320" spans="1:20">
      <c r="A320" s="449"/>
      <c r="B320" s="501" t="s">
        <v>786</v>
      </c>
      <c r="C320" s="479">
        <f>(M24+M28+M32+M36+M40)*1000</f>
        <v>-80972.421470698377</v>
      </c>
      <c r="D320" s="479"/>
      <c r="E320" s="479">
        <f>(O24+O28+O32+O36+O40)</f>
        <v>-11243.650000000001</v>
      </c>
      <c r="F320" s="479"/>
      <c r="G320" s="479">
        <f>(Q24+Q28+Q32+Q36+Q40)</f>
        <v>-11243.650000000001</v>
      </c>
      <c r="H320" s="479"/>
      <c r="I320" s="479">
        <f>(S24+S28+S32+S36+S40)</f>
        <v>-11243.650000000001</v>
      </c>
      <c r="J320" s="458"/>
      <c r="K320" s="449"/>
      <c r="L320" s="501"/>
      <c r="M320" s="479"/>
      <c r="N320" s="479"/>
      <c r="O320" s="479"/>
      <c r="P320" s="479"/>
      <c r="Q320" s="479"/>
      <c r="R320" s="479"/>
      <c r="S320" s="479"/>
      <c r="T320" s="445"/>
    </row>
    <row r="321" spans="1:29">
      <c r="A321" s="449"/>
      <c r="B321" s="501" t="s">
        <v>783</v>
      </c>
      <c r="C321" s="479">
        <f>(M10+M13+M16+M19+M42+M45+M48)*1000</f>
        <v>60240.000000000007</v>
      </c>
      <c r="D321" s="479"/>
      <c r="E321" s="479">
        <f>(O10+O13+O16+O19+O42+O45+O48)</f>
        <v>5122.68</v>
      </c>
      <c r="F321" s="479"/>
      <c r="G321" s="479">
        <f>(Q10+Q13+Q16+Q19+Q42+Q45+Q48)</f>
        <v>5122.68</v>
      </c>
      <c r="H321" s="479"/>
      <c r="I321" s="479">
        <f>(S10+S13+S16+S19+S42+S45+S48)</f>
        <v>5122.68</v>
      </c>
      <c r="J321" s="458"/>
      <c r="K321" s="449"/>
      <c r="L321" s="501"/>
      <c r="M321" s="479"/>
      <c r="N321" s="479"/>
      <c r="O321" s="479"/>
      <c r="P321" s="479"/>
      <c r="Q321" s="479"/>
      <c r="R321" s="479"/>
      <c r="S321" s="479"/>
      <c r="T321" s="445"/>
    </row>
    <row r="322" spans="1:29">
      <c r="A322" s="449"/>
      <c r="B322" s="501" t="s">
        <v>782</v>
      </c>
      <c r="C322" s="479">
        <f>(M11+M14+M17+M20+M43+M46+M49)*1000</f>
        <v>41046.293617416981</v>
      </c>
      <c r="D322" s="479"/>
      <c r="E322" s="479">
        <f>(O11+O14+O17+O20+O43+O46+O49)</f>
        <v>4223.0500000000011</v>
      </c>
      <c r="F322" s="479"/>
      <c r="G322" s="479">
        <f>(Q11+Q14+Q17+Q20+Q43+Q46+Q49)</f>
        <v>4223.0500000000011</v>
      </c>
      <c r="H322" s="479"/>
      <c r="I322" s="479">
        <f>(S11+S14+S17+S20+S43+S46+S49)</f>
        <v>4223.0500000000011</v>
      </c>
      <c r="J322" s="458"/>
      <c r="K322" s="449"/>
      <c r="L322" s="501"/>
      <c r="M322" s="479"/>
      <c r="N322" s="479"/>
      <c r="O322" s="479"/>
      <c r="P322" s="479"/>
      <c r="Q322" s="479"/>
      <c r="R322" s="479"/>
      <c r="S322" s="479"/>
      <c r="T322" s="445"/>
    </row>
    <row r="323" spans="1:29" ht="16.5" thickBot="1">
      <c r="A323" s="449"/>
      <c r="B323" s="504" t="s">
        <v>93</v>
      </c>
      <c r="C323" s="505">
        <f>SUM(C318:C322)</f>
        <v>-711921.12785328145</v>
      </c>
      <c r="D323" s="505"/>
      <c r="E323" s="505">
        <f>SUM(E318:E322)</f>
        <v>-71311.930000000008</v>
      </c>
      <c r="F323" s="505"/>
      <c r="G323" s="505">
        <f>SUM(G318:G322)</f>
        <v>-71311.930000000008</v>
      </c>
      <c r="H323" s="505"/>
      <c r="I323" s="505">
        <f>SUM(I318:I322)</f>
        <v>-71311.930000000008</v>
      </c>
      <c r="J323" s="458"/>
      <c r="K323" s="449"/>
      <c r="L323" s="504"/>
      <c r="M323" s="505"/>
      <c r="N323" s="505"/>
      <c r="O323" s="505"/>
      <c r="P323" s="505"/>
      <c r="Q323" s="505"/>
      <c r="R323" s="505"/>
      <c r="S323" s="505"/>
      <c r="T323" s="445"/>
    </row>
    <row r="324" spans="1:29" ht="16.5" thickTop="1">
      <c r="A324" s="496" t="s">
        <v>492</v>
      </c>
      <c r="B324" s="501" t="s">
        <v>202</v>
      </c>
      <c r="C324" s="479">
        <f>SUM(C106:C110)*1000</f>
        <v>-423549.49684777466</v>
      </c>
      <c r="D324" s="449"/>
      <c r="E324" s="479">
        <f>SUM(E106:E110)</f>
        <v>-15565.700000000003</v>
      </c>
      <c r="F324" s="449"/>
      <c r="G324" s="479">
        <f>SUM(G106:G110)</f>
        <v>-15565.700000000003</v>
      </c>
      <c r="H324" s="449"/>
      <c r="I324" s="479">
        <f>SUM(I106:I110)</f>
        <v>-15565.700000000003</v>
      </c>
      <c r="J324" s="458">
        <f>'6'!O42</f>
        <v>2.9009198989231925E-2</v>
      </c>
      <c r="K324" s="496" t="s">
        <v>1032</v>
      </c>
      <c r="L324" s="501" t="s">
        <v>202</v>
      </c>
      <c r="M324" s="479">
        <f>C324*$J$324</f>
        <v>-12286.831635846156</v>
      </c>
      <c r="N324" s="449"/>
      <c r="O324" s="479">
        <f t="shared" ref="O324:O325" si="520">E324*$J$324</f>
        <v>-451.54848870668746</v>
      </c>
      <c r="P324" s="449"/>
      <c r="Q324" s="479">
        <f t="shared" ref="Q324:Q325" si="521">G324*$J$324</f>
        <v>-451.54848870668746</v>
      </c>
      <c r="R324" s="449"/>
      <c r="S324" s="479">
        <f t="shared" ref="S324:S325" si="522">I324*$J$324</f>
        <v>-451.54848870668746</v>
      </c>
      <c r="T324" s="445"/>
      <c r="U324" s="489" t="s">
        <v>256</v>
      </c>
      <c r="V324" s="490"/>
      <c r="W324" s="491"/>
      <c r="X324" s="492"/>
      <c r="Y324" s="493"/>
      <c r="Z324" s="492"/>
      <c r="AA324" s="493"/>
      <c r="AB324" s="492"/>
      <c r="AC324" s="493"/>
    </row>
    <row r="325" spans="1:29">
      <c r="A325" s="496"/>
      <c r="B325" s="502" t="s">
        <v>787</v>
      </c>
      <c r="C325" s="503">
        <f>SUM(C102:C105,C111:C113)*1000</f>
        <v>57414.088151055752</v>
      </c>
      <c r="D325" s="507"/>
      <c r="E325" s="503">
        <f>SUM(E102:E105,E111:E113)</f>
        <v>1944.8599999999988</v>
      </c>
      <c r="F325" s="507"/>
      <c r="G325" s="503">
        <f>SUM(G102:G105,G111:G113)</f>
        <v>1944.8599999999988</v>
      </c>
      <c r="H325" s="507"/>
      <c r="I325" s="503">
        <f>SUM(I102:I105,I111:I113)</f>
        <v>1944.8599999999988</v>
      </c>
      <c r="J325" s="458"/>
      <c r="K325" s="496"/>
      <c r="L325" s="502" t="s">
        <v>787</v>
      </c>
      <c r="M325" s="503">
        <f>C325*$J$324</f>
        <v>1665.5367079592793</v>
      </c>
      <c r="N325" s="507"/>
      <c r="O325" s="503">
        <f t="shared" si="520"/>
        <v>56.418830746197564</v>
      </c>
      <c r="P325" s="507"/>
      <c r="Q325" s="503">
        <f t="shared" si="521"/>
        <v>56.418830746197564</v>
      </c>
      <c r="R325" s="507"/>
      <c r="S325" s="503">
        <f t="shared" si="522"/>
        <v>56.418830746197564</v>
      </c>
      <c r="T325" s="445"/>
      <c r="U325" s="494"/>
      <c r="V325" s="495"/>
      <c r="W325" s="496"/>
      <c r="X325" s="496"/>
      <c r="Y325" s="497" t="s">
        <v>425</v>
      </c>
      <c r="Z325" s="496"/>
      <c r="AA325" s="497" t="s">
        <v>494</v>
      </c>
      <c r="AB325" s="496"/>
      <c r="AC325" s="497" t="s">
        <v>216</v>
      </c>
    </row>
    <row r="326" spans="1:29" ht="16.5" thickBot="1">
      <c r="A326" s="496"/>
      <c r="B326" s="504" t="s">
        <v>93</v>
      </c>
      <c r="C326" s="505">
        <f>SUM(C324:C325)</f>
        <v>-366135.40869671892</v>
      </c>
      <c r="D326" s="508"/>
      <c r="E326" s="505">
        <f>SUM(E324:E325)</f>
        <v>-13620.840000000004</v>
      </c>
      <c r="F326" s="508"/>
      <c r="G326" s="505">
        <f>SUM(G324:G325)</f>
        <v>-13620.840000000004</v>
      </c>
      <c r="H326" s="508"/>
      <c r="I326" s="505">
        <f>SUM(I324:I325)</f>
        <v>-13620.840000000004</v>
      </c>
      <c r="J326" s="458"/>
      <c r="K326" s="496"/>
      <c r="L326" s="504" t="s">
        <v>93</v>
      </c>
      <c r="M326" s="505">
        <f>SUM(M324:M325)</f>
        <v>-10621.294927886876</v>
      </c>
      <c r="N326" s="508"/>
      <c r="O326" s="505">
        <f>SUM(O324:O325)</f>
        <v>-395.12965796048991</v>
      </c>
      <c r="P326" s="508"/>
      <c r="Q326" s="505">
        <f>SUM(Q324:Q325)</f>
        <v>-395.12965796048991</v>
      </c>
      <c r="R326" s="508"/>
      <c r="S326" s="505">
        <f>SUM(S324:S325)</f>
        <v>-395.12965796048991</v>
      </c>
      <c r="T326" s="445"/>
      <c r="U326" s="498" t="s">
        <v>218</v>
      </c>
      <c r="V326" s="499"/>
      <c r="W326" s="500" t="s">
        <v>111</v>
      </c>
      <c r="X326" s="498"/>
      <c r="Y326" s="500" t="s">
        <v>496</v>
      </c>
      <c r="Z326" s="498"/>
      <c r="AA326" s="500" t="s">
        <v>496</v>
      </c>
      <c r="AB326" s="498"/>
      <c r="AC326" s="500" t="s">
        <v>496</v>
      </c>
    </row>
    <row r="327" spans="1:29" ht="16.5" thickTop="1">
      <c r="A327" s="496" t="s">
        <v>466</v>
      </c>
      <c r="B327" s="501" t="s">
        <v>784</v>
      </c>
      <c r="C327" s="479">
        <f>(C231+C234+C237+C240+C243)*1000</f>
        <v>-183727.99999999997</v>
      </c>
      <c r="D327" s="488"/>
      <c r="E327" s="479">
        <f>(E231+E234+E237+E240+E243)</f>
        <v>-20844.339999999997</v>
      </c>
      <c r="F327" s="488"/>
      <c r="G327" s="479">
        <f>(G231+G234+G237+G240+G243)</f>
        <v>-20844.339999999997</v>
      </c>
      <c r="H327" s="488"/>
      <c r="I327" s="479">
        <f>(I231+I234+I237+I240+I243)</f>
        <v>-20844.339999999997</v>
      </c>
      <c r="J327" s="579">
        <f>'23'!L45</f>
        <v>1.2385279754661352E-2</v>
      </c>
      <c r="K327" s="496" t="s">
        <v>1011</v>
      </c>
      <c r="L327" s="501" t="s">
        <v>784</v>
      </c>
      <c r="M327" s="479">
        <f>C327*$J$327</f>
        <v>-2275.5226787644206</v>
      </c>
      <c r="N327" s="488"/>
      <c r="O327" s="479">
        <f t="shared" ref="O327:O330" si="523">E327*$J$327</f>
        <v>-258.16298220127777</v>
      </c>
      <c r="P327" s="488"/>
      <c r="Q327" s="479">
        <f t="shared" ref="Q327:Q330" si="524">G327*$J$327</f>
        <v>-258.16298220127777</v>
      </c>
      <c r="R327" s="488"/>
      <c r="S327" s="479">
        <f t="shared" ref="S327:S330" si="525">I327*$J$327</f>
        <v>-258.16298220127777</v>
      </c>
      <c r="T327" s="579">
        <f>'23'!M45</f>
        <v>1.3988466205566916E-3</v>
      </c>
      <c r="U327" s="496" t="s">
        <v>1233</v>
      </c>
      <c r="V327" s="501" t="s">
        <v>784</v>
      </c>
      <c r="W327" s="479">
        <f>C327*$T$327</f>
        <v>-257.0072919016398</v>
      </c>
      <c r="X327" s="488"/>
      <c r="Y327" s="479">
        <f>E327*$T$327</f>
        <v>-29.158034566734663</v>
      </c>
      <c r="Z327" s="488"/>
      <c r="AA327" s="479">
        <f>G327*$T$327</f>
        <v>-29.158034566734663</v>
      </c>
      <c r="AB327" s="488"/>
      <c r="AC327" s="479">
        <f>I327*$T$327</f>
        <v>-29.158034566734663</v>
      </c>
    </row>
    <row r="328" spans="1:29">
      <c r="A328" s="496"/>
      <c r="B328" s="501" t="s">
        <v>785</v>
      </c>
      <c r="C328" s="479">
        <f>(C232+C235+C238+C241+C244)*1000</f>
        <v>-124067.71777897188</v>
      </c>
      <c r="D328" s="479"/>
      <c r="E328" s="479">
        <f>(E232+E235+E238+E241+E244)</f>
        <v>-7891.3900000000012</v>
      </c>
      <c r="F328" s="479"/>
      <c r="G328" s="479">
        <f>(G232+G235+G238+G241+G244)</f>
        <v>-7891.3900000000012</v>
      </c>
      <c r="H328" s="479"/>
      <c r="I328" s="479">
        <f>(I232+I235+I238+I241+I244)</f>
        <v>-7891.3900000000012</v>
      </c>
      <c r="K328" s="496"/>
      <c r="L328" s="501" t="s">
        <v>785</v>
      </c>
      <c r="M328" s="479">
        <f t="shared" ref="M328:M330" si="526">C328*$J$327</f>
        <v>-1536.6133932149387</v>
      </c>
      <c r="N328" s="479"/>
      <c r="O328" s="479">
        <f t="shared" si="523"/>
        <v>-97.737072803137053</v>
      </c>
      <c r="P328" s="479"/>
      <c r="Q328" s="479">
        <f t="shared" si="524"/>
        <v>-97.737072803137053</v>
      </c>
      <c r="R328" s="479"/>
      <c r="S328" s="479">
        <f t="shared" si="525"/>
        <v>-97.737072803137053</v>
      </c>
      <c r="T328" s="579"/>
      <c r="U328" s="496"/>
      <c r="V328" s="501" t="s">
        <v>785</v>
      </c>
      <c r="W328" s="479">
        <f t="shared" ref="W328:AC330" si="527">C328*$T$327</f>
        <v>-173.55170773529619</v>
      </c>
      <c r="X328" s="479"/>
      <c r="Y328" s="479">
        <f t="shared" si="527"/>
        <v>-11.038844232994872</v>
      </c>
      <c r="Z328" s="479"/>
      <c r="AA328" s="479">
        <f t="shared" si="527"/>
        <v>-11.038844232994872</v>
      </c>
      <c r="AB328" s="479"/>
      <c r="AC328" s="479">
        <f t="shared" si="527"/>
        <v>-11.038844232994872</v>
      </c>
    </row>
    <row r="329" spans="1:29">
      <c r="A329" s="496"/>
      <c r="B329" s="501" t="s">
        <v>783</v>
      </c>
      <c r="C329" s="479">
        <f>(C219+C222+C225+C228+C246+C249+C252)*1000</f>
        <v>49227.999999999978</v>
      </c>
      <c r="D329" s="479"/>
      <c r="E329" s="479">
        <f>(E219+E222+E225+E228+E246+E249+E252)</f>
        <v>5140.649999999996</v>
      </c>
      <c r="F329" s="479"/>
      <c r="G329" s="479">
        <f>(G219+G222+G225+G228+G246+G249+G252)</f>
        <v>5140.649999999996</v>
      </c>
      <c r="H329" s="479"/>
      <c r="I329" s="479">
        <f>(I219+I222+I225+I228+I246+I249+I252)</f>
        <v>5140.649999999996</v>
      </c>
      <c r="K329" s="496"/>
      <c r="L329" s="501" t="s">
        <v>783</v>
      </c>
      <c r="M329" s="479">
        <f t="shared" si="526"/>
        <v>609.70255176246872</v>
      </c>
      <c r="N329" s="479"/>
      <c r="O329" s="479">
        <f t="shared" si="523"/>
        <v>63.668388370799825</v>
      </c>
      <c r="P329" s="479"/>
      <c r="Q329" s="479">
        <f t="shared" si="524"/>
        <v>63.668388370799825</v>
      </c>
      <c r="R329" s="479"/>
      <c r="S329" s="479">
        <f t="shared" si="525"/>
        <v>63.668388370799825</v>
      </c>
      <c r="T329" s="579"/>
      <c r="U329" s="496"/>
      <c r="V329" s="501" t="s">
        <v>783</v>
      </c>
      <c r="W329" s="479">
        <f t="shared" si="527"/>
        <v>68.862421436764777</v>
      </c>
      <c r="X329" s="479"/>
      <c r="Y329" s="479">
        <f t="shared" si="527"/>
        <v>7.1909808799647505</v>
      </c>
      <c r="Z329" s="479"/>
      <c r="AA329" s="479">
        <f t="shared" si="527"/>
        <v>7.1909808799647505</v>
      </c>
      <c r="AB329" s="479"/>
      <c r="AC329" s="479">
        <f t="shared" si="527"/>
        <v>7.1909808799647505</v>
      </c>
    </row>
    <row r="330" spans="1:29">
      <c r="A330" s="496"/>
      <c r="B330" s="502" t="s">
        <v>782</v>
      </c>
      <c r="C330" s="479">
        <f>(C220+C223+C226+C229+C247+C250+C253)*1000</f>
        <v>33382.612964142172</v>
      </c>
      <c r="D330" s="503"/>
      <c r="E330" s="479">
        <f>(E220+E223+E226+E229+E247+E250+E253)</f>
        <v>1954.96</v>
      </c>
      <c r="F330" s="503"/>
      <c r="G330" s="479">
        <f>(G220+G223+G226+G229+G247+G250+G253)</f>
        <v>1954.96</v>
      </c>
      <c r="H330" s="503"/>
      <c r="I330" s="479">
        <f>(I220+I223+I226+I229+I247+I250+I253)</f>
        <v>1954.96</v>
      </c>
      <c r="K330" s="496"/>
      <c r="L330" s="502" t="s">
        <v>782</v>
      </c>
      <c r="M330" s="479">
        <f t="shared" si="526"/>
        <v>413.45300050248562</v>
      </c>
      <c r="N330" s="503"/>
      <c r="O330" s="479">
        <f t="shared" si="523"/>
        <v>24.212726509172757</v>
      </c>
      <c r="P330" s="503"/>
      <c r="Q330" s="479">
        <f t="shared" si="524"/>
        <v>24.212726509172757</v>
      </c>
      <c r="R330" s="503"/>
      <c r="S330" s="479">
        <f t="shared" si="525"/>
        <v>24.212726509172757</v>
      </c>
      <c r="T330" s="579"/>
      <c r="U330" s="496"/>
      <c r="V330" s="502" t="s">
        <v>782</v>
      </c>
      <c r="W330" s="479">
        <f t="shared" si="527"/>
        <v>46.697155330242275</v>
      </c>
      <c r="X330" s="503"/>
      <c r="Y330" s="479">
        <f t="shared" si="527"/>
        <v>2.7346891893235097</v>
      </c>
      <c r="Z330" s="503"/>
      <c r="AA330" s="479">
        <f t="shared" si="527"/>
        <v>2.7346891893235097</v>
      </c>
      <c r="AB330" s="503"/>
      <c r="AC330" s="479">
        <f t="shared" si="527"/>
        <v>2.7346891893235097</v>
      </c>
    </row>
    <row r="331" spans="1:29" ht="16.5" thickBot="1">
      <c r="A331" s="496"/>
      <c r="B331" s="504" t="s">
        <v>93</v>
      </c>
      <c r="C331" s="505">
        <f>SUM(C327:C330)</f>
        <v>-225185.10481482974</v>
      </c>
      <c r="D331" s="505"/>
      <c r="E331" s="505">
        <f>SUM(E327:E330)</f>
        <v>-21640.120000000003</v>
      </c>
      <c r="F331" s="505"/>
      <c r="G331" s="505">
        <f>SUM(G327:G330)</f>
        <v>-21640.120000000003</v>
      </c>
      <c r="H331" s="505"/>
      <c r="I331" s="505">
        <f>SUM(I327:I330)</f>
        <v>-21640.120000000003</v>
      </c>
      <c r="K331" s="496"/>
      <c r="L331" s="504" t="s">
        <v>93</v>
      </c>
      <c r="M331" s="505">
        <f>SUM(M327:M330)</f>
        <v>-2788.9805197144046</v>
      </c>
      <c r="N331" s="505"/>
      <c r="O331" s="505">
        <f>SUM(O327:O330)</f>
        <v>-268.01894012444222</v>
      </c>
      <c r="P331" s="505"/>
      <c r="Q331" s="505">
        <f>SUM(Q327:Q330)</f>
        <v>-268.01894012444222</v>
      </c>
      <c r="R331" s="505"/>
      <c r="S331" s="505">
        <f>SUM(S327:S330)</f>
        <v>-268.01894012444222</v>
      </c>
      <c r="T331" s="579"/>
      <c r="U331" s="496"/>
      <c r="V331" s="504" t="s">
        <v>93</v>
      </c>
      <c r="W331" s="505">
        <f>SUM(W327:W330)</f>
        <v>-314.99942286992894</v>
      </c>
      <c r="X331" s="505"/>
      <c r="Y331" s="505">
        <f>SUM(Y327:Y330)</f>
        <v>-30.271208730441273</v>
      </c>
      <c r="Z331" s="505"/>
      <c r="AA331" s="505">
        <f>SUM(AA327:AA330)</f>
        <v>-30.271208730441273</v>
      </c>
      <c r="AB331" s="505"/>
      <c r="AC331" s="505">
        <f>SUM(AC327:AC330)</f>
        <v>-30.271208730441273</v>
      </c>
    </row>
    <row r="332" spans="1:29" ht="16.5" thickTop="1">
      <c r="A332" s="509" t="s">
        <v>501</v>
      </c>
      <c r="B332" s="510"/>
      <c r="C332" s="511">
        <f>C308+C317+C323+C326+C331</f>
        <v>-54333001.209100008</v>
      </c>
      <c r="D332" s="512"/>
      <c r="E332" s="511">
        <f>E308+E317+E323+E326+E331</f>
        <v>-5677057.6100000003</v>
      </c>
      <c r="F332" s="512"/>
      <c r="G332" s="511">
        <f>G308+G317+G323+G326+G331</f>
        <v>-5677057.6100000003</v>
      </c>
      <c r="H332" s="512"/>
      <c r="I332" s="511">
        <f>I308+I317+I323+I326+I331</f>
        <v>-5677057.6100000003</v>
      </c>
      <c r="J332" s="458"/>
      <c r="K332" s="509" t="s">
        <v>501</v>
      </c>
      <c r="L332" s="510"/>
      <c r="M332" s="511">
        <f>M308+M317+M323+M326+M331</f>
        <v>-949089.25424203742</v>
      </c>
      <c r="N332" s="512"/>
      <c r="O332" s="511">
        <f>O308+O317+O323+O326+O331</f>
        <v>-98954.798195376119</v>
      </c>
      <c r="P332" s="512"/>
      <c r="Q332" s="511">
        <f>Q308+Q317+Q323+Q326+Q331</f>
        <v>-98954.798195376119</v>
      </c>
      <c r="R332" s="512"/>
      <c r="S332" s="511">
        <f>S308+S317+S323+S326+S331</f>
        <v>-98954.798195376119</v>
      </c>
      <c r="T332" s="445"/>
    </row>
    <row r="333" spans="1:29">
      <c r="A333" s="496" t="s">
        <v>492</v>
      </c>
      <c r="B333" s="501" t="s">
        <v>202</v>
      </c>
      <c r="C333" s="479">
        <f>SUM(M106:M110)*1000</f>
        <v>-7441523.4428942781</v>
      </c>
      <c r="D333" s="449"/>
      <c r="E333" s="479">
        <f>SUM(O106:O110)</f>
        <v>-273480.56000000006</v>
      </c>
      <c r="F333" s="449"/>
      <c r="G333" s="479">
        <f>SUM(Q106:Q110)</f>
        <v>-273480.56000000006</v>
      </c>
      <c r="H333" s="449"/>
      <c r="I333" s="479">
        <f>SUM(S106:S110)</f>
        <v>-273480.56000000006</v>
      </c>
      <c r="J333" s="458">
        <f>'6'!O43</f>
        <v>2.3801468279244307E-2</v>
      </c>
      <c r="K333" s="496" t="s">
        <v>1032</v>
      </c>
      <c r="L333" s="501" t="s">
        <v>202</v>
      </c>
      <c r="M333" s="479">
        <f>C333*$J$333</f>
        <v>-177119.18417530105</v>
      </c>
      <c r="N333" s="449"/>
      <c r="O333" s="479">
        <f t="shared" ref="O333:O334" si="528">E333*$J$333</f>
        <v>-6509.2388738299705</v>
      </c>
      <c r="P333" s="449"/>
      <c r="Q333" s="479">
        <f t="shared" ref="Q333:Q334" si="529">G333*$J$333</f>
        <v>-6509.2388738299705</v>
      </c>
      <c r="R333" s="449"/>
      <c r="S333" s="479">
        <f t="shared" ref="S333:S334" si="530">I333*$J$333</f>
        <v>-6509.2388738299705</v>
      </c>
      <c r="T333" s="458">
        <f>'6'!O46</f>
        <v>1.1631575696644638E-3</v>
      </c>
      <c r="U333" s="496" t="s">
        <v>1237</v>
      </c>
      <c r="V333" s="501" t="s">
        <v>202</v>
      </c>
      <c r="W333" s="479">
        <f>C333*$T$333</f>
        <v>-8655.6643224380423</v>
      </c>
      <c r="X333" s="449"/>
      <c r="Y333" s="479">
        <f>E333*$T$333</f>
        <v>-318.10098352007662</v>
      </c>
      <c r="Z333" s="449"/>
      <c r="AA333" s="479">
        <f>G333*$T$333</f>
        <v>-318.10098352007662</v>
      </c>
      <c r="AB333" s="449"/>
      <c r="AC333" s="479">
        <f>I333*$T$333</f>
        <v>-318.10098352007662</v>
      </c>
    </row>
    <row r="334" spans="1:29">
      <c r="A334" s="496"/>
      <c r="B334" s="502" t="s">
        <v>787</v>
      </c>
      <c r="C334" s="503">
        <f>SUM(M102:M105,M111:M113)*1000</f>
        <v>11348128.2163119</v>
      </c>
      <c r="D334" s="507"/>
      <c r="E334" s="503">
        <f>SUM(O102:O105,O111:O113)</f>
        <v>384410.32999999996</v>
      </c>
      <c r="F334" s="507"/>
      <c r="G334" s="503">
        <f>SUM(Q102:Q105,Q111:Q113)</f>
        <v>384410.32999999996</v>
      </c>
      <c r="H334" s="507"/>
      <c r="I334" s="503">
        <f>SUM(S102:S105,S111:S113)</f>
        <v>384410.32999999996</v>
      </c>
      <c r="J334" s="458"/>
      <c r="K334" s="496"/>
      <c r="L334" s="502" t="s">
        <v>787</v>
      </c>
      <c r="M334" s="503">
        <f>C334*$J$333</f>
        <v>270102.11376934499</v>
      </c>
      <c r="N334" s="507"/>
      <c r="O334" s="503">
        <f t="shared" si="528"/>
        <v>9149.5302757088357</v>
      </c>
      <c r="P334" s="507"/>
      <c r="Q334" s="503">
        <f t="shared" si="529"/>
        <v>9149.5302757088357</v>
      </c>
      <c r="R334" s="507"/>
      <c r="S334" s="503">
        <f t="shared" si="530"/>
        <v>9149.5302757088357</v>
      </c>
      <c r="T334" s="458"/>
      <c r="U334" s="496"/>
      <c r="V334" s="502" t="s">
        <v>787</v>
      </c>
      <c r="W334" s="503">
        <f>C334*$T$333</f>
        <v>13199.661236326076</v>
      </c>
      <c r="X334" s="507"/>
      <c r="Y334" s="503">
        <f>E334*$T$333</f>
        <v>447.12978519671447</v>
      </c>
      <c r="Z334" s="507"/>
      <c r="AA334" s="503">
        <f>G334*$T$333</f>
        <v>447.12978519671447</v>
      </c>
      <c r="AB334" s="507"/>
      <c r="AC334" s="503">
        <f>I334*$T$333</f>
        <v>447.12978519671447</v>
      </c>
    </row>
    <row r="335" spans="1:29" ht="16.5" thickBot="1">
      <c r="A335" s="496"/>
      <c r="B335" s="504" t="s">
        <v>93</v>
      </c>
      <c r="C335" s="505">
        <f>SUM(C333:C334)</f>
        <v>3906604.7734176219</v>
      </c>
      <c r="D335" s="508"/>
      <c r="E335" s="505">
        <f>SUM(E333:E334)</f>
        <v>110929.7699999999</v>
      </c>
      <c r="F335" s="508"/>
      <c r="G335" s="505">
        <f>SUM(G333:G334)</f>
        <v>110929.7699999999</v>
      </c>
      <c r="H335" s="508"/>
      <c r="I335" s="505">
        <f>SUM(I333:I334)</f>
        <v>110929.7699999999</v>
      </c>
      <c r="J335" s="458"/>
      <c r="K335" s="496"/>
      <c r="L335" s="504" t="s">
        <v>93</v>
      </c>
      <c r="M335" s="505">
        <f>SUM(M333:M334)</f>
        <v>92982.929594043933</v>
      </c>
      <c r="N335" s="508"/>
      <c r="O335" s="505">
        <f>SUM(O333:O334)</f>
        <v>2640.2914018788651</v>
      </c>
      <c r="P335" s="508"/>
      <c r="Q335" s="505">
        <f>SUM(Q333:Q334)</f>
        <v>2640.2914018788651</v>
      </c>
      <c r="R335" s="508"/>
      <c r="S335" s="505">
        <f>SUM(S333:S334)</f>
        <v>2640.2914018788651</v>
      </c>
      <c r="T335" s="458"/>
      <c r="U335" s="496"/>
      <c r="V335" s="504" t="s">
        <v>93</v>
      </c>
      <c r="W335" s="505">
        <f>SUM(W333:W334)</f>
        <v>4543.9969138880333</v>
      </c>
      <c r="X335" s="508"/>
      <c r="Y335" s="505">
        <f>SUM(Y333:Y334)</f>
        <v>129.02880167663784</v>
      </c>
      <c r="Z335" s="508"/>
      <c r="AA335" s="505">
        <f>SUM(AA333:AA334)</f>
        <v>129.02880167663784</v>
      </c>
      <c r="AB335" s="508"/>
      <c r="AC335" s="505">
        <f>SUM(AC333:AC334)</f>
        <v>129.02880167663784</v>
      </c>
    </row>
    <row r="336" spans="1:29" ht="16.5" thickTop="1">
      <c r="A336" s="496" t="s">
        <v>69</v>
      </c>
      <c r="B336" s="501" t="s">
        <v>788</v>
      </c>
      <c r="C336" s="479">
        <f>(C149+C152+C155+C158+C161)*1000</f>
        <v>-210503.99999999991</v>
      </c>
      <c r="E336" s="513">
        <f>(E149+E152+E155+E158+E161)</f>
        <v>-23853.18</v>
      </c>
      <c r="G336" s="513">
        <f>(G149+G152+G155+G158+G161)</f>
        <v>-23853.18</v>
      </c>
      <c r="I336" s="513">
        <f>(I149+I152+I155+I158+I161)</f>
        <v>-23853.18</v>
      </c>
      <c r="J336" s="458">
        <f>'6A'!M35</f>
        <v>3.5685728206895438E-2</v>
      </c>
      <c r="K336" s="496" t="s">
        <v>984</v>
      </c>
      <c r="L336" s="501" t="s">
        <v>788</v>
      </c>
      <c r="M336" s="479">
        <f>C336*$J$336</f>
        <v>-7511.988530464314</v>
      </c>
      <c r="O336" s="513">
        <f t="shared" ref="O336:O339" si="531">E336*$J$336</f>
        <v>-851.21809835015415</v>
      </c>
      <c r="Q336" s="513">
        <f t="shared" ref="Q336:Q339" si="532">G336*$J$336</f>
        <v>-851.21809835015415</v>
      </c>
      <c r="S336" s="513">
        <f t="shared" ref="S336:S339" si="533">I336*$J$336</f>
        <v>-851.21809835015415</v>
      </c>
      <c r="T336" s="458">
        <f>'6A'!M36</f>
        <v>1.0109877373952632E-3</v>
      </c>
      <c r="U336" s="496" t="s">
        <v>984</v>
      </c>
      <c r="V336" s="501" t="s">
        <v>788</v>
      </c>
      <c r="W336" s="479">
        <f>C336*$T$336</f>
        <v>-212.81696267265241</v>
      </c>
      <c r="Y336" s="513">
        <f>E336*$T$336</f>
        <v>-24.115272477881945</v>
      </c>
      <c r="AA336" s="513">
        <f>G336*$T$336</f>
        <v>-24.115272477881945</v>
      </c>
      <c r="AC336" s="513">
        <f>I336*$T$336</f>
        <v>-24.115272477881945</v>
      </c>
    </row>
    <row r="337" spans="1:29">
      <c r="A337" s="496"/>
      <c r="B337" s="501" t="s">
        <v>789</v>
      </c>
      <c r="C337" s="479">
        <f>(C150+C153+C156+C159+C162)*1000</f>
        <v>-170346.42818607125</v>
      </c>
      <c r="D337" s="479"/>
      <c r="E337" s="513">
        <f>(E150+E153+E156+E159+E162)</f>
        <v>-5811.5799999999981</v>
      </c>
      <c r="F337" s="479"/>
      <c r="G337" s="513">
        <f>(G150+G153+G156+G159+G162)</f>
        <v>-5811.5799999999981</v>
      </c>
      <c r="H337" s="479"/>
      <c r="I337" s="513">
        <f>(I150+I153+I156+I159+I162)</f>
        <v>-5811.5799999999981</v>
      </c>
      <c r="J337" s="458"/>
      <c r="K337" s="496"/>
      <c r="L337" s="501" t="s">
        <v>789</v>
      </c>
      <c r="M337" s="479">
        <f t="shared" ref="M337:M339" si="534">C337*$J$336</f>
        <v>-6078.9363372635707</v>
      </c>
      <c r="N337" s="479"/>
      <c r="O337" s="513">
        <f t="shared" si="531"/>
        <v>-207.39046433262934</v>
      </c>
      <c r="P337" s="479"/>
      <c r="Q337" s="513">
        <f t="shared" si="532"/>
        <v>-207.39046433262934</v>
      </c>
      <c r="R337" s="479"/>
      <c r="S337" s="513">
        <f t="shared" si="533"/>
        <v>-207.39046433262934</v>
      </c>
      <c r="T337" s="458"/>
      <c r="U337" s="496"/>
      <c r="V337" s="501" t="s">
        <v>789</v>
      </c>
      <c r="W337" s="479">
        <f t="shared" ref="W337:W339" si="535">C337*$T$336</f>
        <v>-172.21815000520087</v>
      </c>
      <c r="X337" s="479"/>
      <c r="Y337" s="513">
        <f t="shared" ref="Y337:AC339" si="536">E337*$T$336</f>
        <v>-5.8754361148915617</v>
      </c>
      <c r="Z337" s="479"/>
      <c r="AA337" s="513">
        <f t="shared" si="536"/>
        <v>-5.8754361148915617</v>
      </c>
      <c r="AB337" s="479"/>
      <c r="AC337" s="513">
        <f t="shared" si="536"/>
        <v>-5.8754361148915617</v>
      </c>
    </row>
    <row r="338" spans="1:29">
      <c r="A338" s="496"/>
      <c r="B338" s="501" t="s">
        <v>790</v>
      </c>
      <c r="C338" s="479">
        <f>(C137+C140+C143+C146+C164+C167+C170)*1000</f>
        <v>381443</v>
      </c>
      <c r="D338" s="479"/>
      <c r="E338" s="468">
        <f>(E137+E140+E143+E146+E164+E167+E170)</f>
        <v>36129.65</v>
      </c>
      <c r="F338" s="479"/>
      <c r="G338" s="468">
        <f>(G137+G140+G143+G146+G164+G167+G170)</f>
        <v>36129.65</v>
      </c>
      <c r="H338" s="479"/>
      <c r="I338" s="468">
        <f>(I137+I140+I143+I146+I164+I167+I170)</f>
        <v>36129.65</v>
      </c>
      <c r="J338" s="458"/>
      <c r="K338" s="496"/>
      <c r="L338" s="501" t="s">
        <v>790</v>
      </c>
      <c r="M338" s="479">
        <f t="shared" si="534"/>
        <v>13612.071224422816</v>
      </c>
      <c r="N338" s="479"/>
      <c r="O338" s="468">
        <f t="shared" si="531"/>
        <v>1289.3128701102598</v>
      </c>
      <c r="P338" s="479"/>
      <c r="Q338" s="468">
        <f t="shared" si="532"/>
        <v>1289.3128701102598</v>
      </c>
      <c r="R338" s="479"/>
      <c r="S338" s="468">
        <f t="shared" si="533"/>
        <v>1289.3128701102598</v>
      </c>
      <c r="T338" s="458"/>
      <c r="U338" s="496"/>
      <c r="V338" s="501" t="s">
        <v>790</v>
      </c>
      <c r="W338" s="479">
        <f t="shared" si="535"/>
        <v>385.63419551526141</v>
      </c>
      <c r="X338" s="479"/>
      <c r="Y338" s="513">
        <f t="shared" si="536"/>
        <v>36.526633106382775</v>
      </c>
      <c r="Z338" s="479"/>
      <c r="AA338" s="513">
        <f t="shared" si="536"/>
        <v>36.526633106382775</v>
      </c>
      <c r="AB338" s="479"/>
      <c r="AC338" s="513">
        <f t="shared" si="536"/>
        <v>36.526633106382775</v>
      </c>
    </row>
    <row r="339" spans="1:29">
      <c r="A339" s="496"/>
      <c r="B339" s="502" t="s">
        <v>791</v>
      </c>
      <c r="C339" s="503">
        <f>(C138+C141+C144+C147+C165+C168+C171)*1000</f>
        <v>307411.52046115033</v>
      </c>
      <c r="D339" s="503"/>
      <c r="E339" s="478">
        <f>(E138+E141+E144+E147+E165+E168+E171)</f>
        <v>8779.67</v>
      </c>
      <c r="F339" s="503"/>
      <c r="G339" s="478">
        <f>(G138+G141+G144+G147+G165+G168+G171)</f>
        <v>8779.67</v>
      </c>
      <c r="H339" s="503"/>
      <c r="I339" s="478">
        <f>(I138+I141+I144+I147+I165+I168+I171)</f>
        <v>8779.67</v>
      </c>
      <c r="K339" s="496"/>
      <c r="L339" s="502" t="s">
        <v>791</v>
      </c>
      <c r="M339" s="503">
        <f t="shared" si="534"/>
        <v>10970.203966845087</v>
      </c>
      <c r="N339" s="503"/>
      <c r="O339" s="478">
        <f t="shared" si="531"/>
        <v>313.30891736623369</v>
      </c>
      <c r="P339" s="503"/>
      <c r="Q339" s="478">
        <f t="shared" si="532"/>
        <v>313.30891736623369</v>
      </c>
      <c r="R339" s="503"/>
      <c r="S339" s="478">
        <f t="shared" si="533"/>
        <v>313.30891736623369</v>
      </c>
      <c r="T339" s="579"/>
      <c r="U339" s="496"/>
      <c r="V339" s="502" t="s">
        <v>791</v>
      </c>
      <c r="W339" s="479">
        <f t="shared" si="535"/>
        <v>310.78927752025601</v>
      </c>
      <c r="X339" s="503"/>
      <c r="Y339" s="513">
        <f t="shared" si="536"/>
        <v>8.87613870837707</v>
      </c>
      <c r="Z339" s="503"/>
      <c r="AA339" s="513">
        <f t="shared" si="536"/>
        <v>8.87613870837707</v>
      </c>
      <c r="AB339" s="503"/>
      <c r="AC339" s="513">
        <f t="shared" si="536"/>
        <v>8.87613870837707</v>
      </c>
    </row>
    <row r="340" spans="1:29" ht="16.5" thickBot="1">
      <c r="A340" s="496"/>
      <c r="B340" s="504" t="s">
        <v>93</v>
      </c>
      <c r="C340" s="505">
        <f>SUM(C336:C339)</f>
        <v>308004.09227507917</v>
      </c>
      <c r="D340" s="505"/>
      <c r="E340" s="506">
        <f>SUM(E336:E339)</f>
        <v>15244.560000000003</v>
      </c>
      <c r="F340" s="505"/>
      <c r="G340" s="506">
        <f>SUM(G336:G339)</f>
        <v>15244.560000000003</v>
      </c>
      <c r="H340" s="505"/>
      <c r="I340" s="506">
        <f>SUM(I336:I339)</f>
        <v>15244.560000000003</v>
      </c>
      <c r="K340" s="496"/>
      <c r="L340" s="504" t="s">
        <v>93</v>
      </c>
      <c r="M340" s="505">
        <f>SUM(M336:M339)</f>
        <v>10991.350323540019</v>
      </c>
      <c r="N340" s="505"/>
      <c r="O340" s="506">
        <f>SUM(O336:O339)</f>
        <v>544.01322479371004</v>
      </c>
      <c r="P340" s="505"/>
      <c r="Q340" s="506">
        <f>SUM(Q336:Q339)</f>
        <v>544.01322479371004</v>
      </c>
      <c r="R340" s="505"/>
      <c r="S340" s="506">
        <f>SUM(S336:S339)</f>
        <v>544.01322479371004</v>
      </c>
      <c r="T340" s="579"/>
      <c r="U340" s="496"/>
      <c r="V340" s="504" t="s">
        <v>93</v>
      </c>
      <c r="W340" s="505">
        <f>SUM(W336:W339)</f>
        <v>311.38836035766417</v>
      </c>
      <c r="X340" s="505"/>
      <c r="Y340" s="506">
        <f>SUM(Y336:Y339)</f>
        <v>15.412063221986337</v>
      </c>
      <c r="Z340" s="505"/>
      <c r="AA340" s="506">
        <f>SUM(AA336:AA339)</f>
        <v>15.412063221986337</v>
      </c>
      <c r="AB340" s="505"/>
      <c r="AC340" s="506">
        <f>SUM(AC336:AC339)</f>
        <v>15.412063221986337</v>
      </c>
    </row>
    <row r="341" spans="1:29" ht="16.5" thickTop="1">
      <c r="A341" s="496" t="s">
        <v>493</v>
      </c>
      <c r="B341" s="501" t="s">
        <v>202</v>
      </c>
      <c r="C341" s="479">
        <f>SUM(C123:C127)*1000</f>
        <v>-2780.1460842578035</v>
      </c>
      <c r="D341" s="449"/>
      <c r="E341" s="479">
        <f>SUM(E123:E127)</f>
        <v>-102.17</v>
      </c>
      <c r="F341" s="449"/>
      <c r="G341" s="479">
        <f>SUM(G123:G127)</f>
        <v>-102.17</v>
      </c>
      <c r="H341" s="449"/>
      <c r="I341" s="479">
        <f>SUM(I123:I127)</f>
        <v>-102.17</v>
      </c>
      <c r="K341" s="496"/>
      <c r="L341" s="501"/>
      <c r="M341" s="479"/>
      <c r="N341" s="449"/>
      <c r="O341" s="479"/>
      <c r="P341" s="449"/>
      <c r="Q341" s="479"/>
      <c r="R341" s="449"/>
      <c r="S341" s="479"/>
      <c r="T341" s="445"/>
    </row>
    <row r="342" spans="1:29">
      <c r="A342" s="496"/>
      <c r="B342" s="502" t="s">
        <v>787</v>
      </c>
      <c r="C342" s="503">
        <f>SUM(C119:C122,C128:C130)*1000</f>
        <v>7467.8527567102637</v>
      </c>
      <c r="D342" s="507"/>
      <c r="E342" s="503">
        <f>SUM(E119:E122,E128:E130)</f>
        <v>252.97000000000003</v>
      </c>
      <c r="F342" s="507"/>
      <c r="G342" s="503">
        <f>SUM(G119:G122,G128:G130)</f>
        <v>252.97000000000003</v>
      </c>
      <c r="H342" s="507"/>
      <c r="I342" s="503">
        <f>SUM(I119:I122,I128:I130)</f>
        <v>252.97000000000003</v>
      </c>
      <c r="K342" s="496"/>
      <c r="L342" s="502"/>
      <c r="M342" s="503"/>
      <c r="N342" s="507"/>
      <c r="O342" s="503"/>
      <c r="P342" s="507"/>
      <c r="Q342" s="503"/>
      <c r="R342" s="507"/>
      <c r="S342" s="503"/>
      <c r="T342" s="445"/>
    </row>
    <row r="343" spans="1:29" ht="16.5" thickBot="1">
      <c r="A343" s="496"/>
      <c r="B343" s="504" t="s">
        <v>93</v>
      </c>
      <c r="C343" s="505">
        <f>SUM(C341:C342)</f>
        <v>4687.7066724524602</v>
      </c>
      <c r="D343" s="508"/>
      <c r="E343" s="505">
        <f>SUM(E341:E342)</f>
        <v>150.80000000000001</v>
      </c>
      <c r="F343" s="508"/>
      <c r="G343" s="505">
        <f>SUM(G341:G342)</f>
        <v>150.80000000000001</v>
      </c>
      <c r="H343" s="508"/>
      <c r="I343" s="505">
        <f>SUM(I341:I342)</f>
        <v>150.80000000000001</v>
      </c>
      <c r="K343" s="496"/>
      <c r="L343" s="504"/>
      <c r="M343" s="505"/>
      <c r="N343" s="508"/>
      <c r="O343" s="505"/>
      <c r="P343" s="508"/>
      <c r="Q343" s="505"/>
      <c r="R343" s="508"/>
      <c r="S343" s="505"/>
      <c r="T343" s="445"/>
    </row>
    <row r="344" spans="1:29" ht="16.5" thickTop="1">
      <c r="A344" s="496" t="s">
        <v>467</v>
      </c>
      <c r="B344" s="501" t="s">
        <v>788</v>
      </c>
      <c r="C344" s="479">
        <f>(C190+C193+C196+C199+C202)*1000</f>
        <v>-314425.00000000006</v>
      </c>
      <c r="D344" s="449"/>
      <c r="E344" s="468">
        <f>(E190+E193+E196+E199+E202)</f>
        <v>-15365.609999999997</v>
      </c>
      <c r="F344" s="449"/>
      <c r="G344" s="468">
        <f>(G190+G193+G196+G199+G202)</f>
        <v>-15365.609999999997</v>
      </c>
      <c r="H344" s="449"/>
      <c r="I344" s="468">
        <f>(I190+I193+I196+I199+I202)</f>
        <v>-15365.609999999997</v>
      </c>
      <c r="J344" s="579">
        <f>'8'!M28</f>
        <v>5.7863869800880853E-2</v>
      </c>
      <c r="K344" s="496" t="s">
        <v>1033</v>
      </c>
      <c r="L344" s="501" t="s">
        <v>788</v>
      </c>
      <c r="M344" s="479">
        <f>C344*$J$344</f>
        <v>-18193.847262141964</v>
      </c>
      <c r="N344" s="449"/>
      <c r="O344" s="468">
        <f t="shared" ref="O344:O346" si="537">E344*$J$344</f>
        <v>-889.11365645111266</v>
      </c>
      <c r="P344" s="449"/>
      <c r="Q344" s="468">
        <f t="shared" ref="Q344:Q346" si="538">G344*$J$344</f>
        <v>-889.11365645111266</v>
      </c>
      <c r="R344" s="449"/>
      <c r="S344" s="468">
        <f t="shared" ref="S344:S346" si="539">I344*$J$344</f>
        <v>-889.11365645111266</v>
      </c>
      <c r="T344" s="579">
        <f>'8'!M29</f>
        <v>1.6208487278274934E-3</v>
      </c>
      <c r="U344" s="496" t="s">
        <v>1561</v>
      </c>
      <c r="V344" s="501" t="s">
        <v>788</v>
      </c>
      <c r="W344" s="479">
        <f>M344*$T$344</f>
        <v>-29.489474189130526</v>
      </c>
      <c r="X344" s="449"/>
      <c r="Y344" s="468">
        <f>E344*$T$344</f>
        <v>-24.905329420793407</v>
      </c>
      <c r="Z344" s="449"/>
      <c r="AA344" s="468">
        <f>G344*$T$344</f>
        <v>-24.905329420793407</v>
      </c>
      <c r="AB344" s="449"/>
      <c r="AC344" s="468">
        <f>I344*$T$344</f>
        <v>-24.905329420793407</v>
      </c>
    </row>
    <row r="345" spans="1:29">
      <c r="A345" s="496"/>
      <c r="B345" s="501" t="s">
        <v>790</v>
      </c>
      <c r="C345" s="479">
        <f>(C178+C181+C184+C187+C205+C208+C211)*1000</f>
        <v>1090583</v>
      </c>
      <c r="D345" s="449"/>
      <c r="E345" s="468">
        <f>(E178+E181+E184+E187+E205+E208+E211)</f>
        <v>41719.760000000002</v>
      </c>
      <c r="F345" s="449"/>
      <c r="G345" s="468">
        <f>(G178+G181+G184+G187+G205+G208+G211)</f>
        <v>41719.760000000002</v>
      </c>
      <c r="H345" s="449"/>
      <c r="I345" s="468">
        <f>(I178+I181+I184+I187+I205+I208+I211)</f>
        <v>41719.760000000002</v>
      </c>
      <c r="K345" s="496"/>
      <c r="L345" s="501" t="s">
        <v>790</v>
      </c>
      <c r="M345" s="479">
        <f t="shared" ref="M345:M346" si="540">C345*$J$344</f>
        <v>63105.352719054041</v>
      </c>
      <c r="N345" s="449"/>
      <c r="O345" s="468">
        <f t="shared" si="537"/>
        <v>2414.0667607639971</v>
      </c>
      <c r="P345" s="449"/>
      <c r="Q345" s="468">
        <f t="shared" si="538"/>
        <v>2414.0667607639971</v>
      </c>
      <c r="R345" s="449"/>
      <c r="S345" s="468">
        <f t="shared" si="539"/>
        <v>2414.0667607639971</v>
      </c>
      <c r="T345" s="579"/>
      <c r="U345" s="496"/>
      <c r="V345" s="501" t="s">
        <v>790</v>
      </c>
      <c r="W345" s="479">
        <f t="shared" ref="W345:W346" si="541">M345*$T$344</f>
        <v>102.28423067378399</v>
      </c>
      <c r="X345" s="449"/>
      <c r="Y345" s="468">
        <f t="shared" ref="Y345:AC346" si="542">E345*$T$344</f>
        <v>67.621419921268355</v>
      </c>
      <c r="Z345" s="449"/>
      <c r="AA345" s="468">
        <f t="shared" si="542"/>
        <v>67.621419921268355</v>
      </c>
      <c r="AB345" s="449"/>
      <c r="AC345" s="468">
        <f t="shared" si="542"/>
        <v>67.621419921268355</v>
      </c>
    </row>
    <row r="346" spans="1:29">
      <c r="A346" s="496"/>
      <c r="B346" s="502" t="s">
        <v>500</v>
      </c>
      <c r="C346" s="503">
        <f>(C179+C182+C185+C188+C191+C194+C197+C200+C203+C206+C209+C212)*1000</f>
        <v>282680.81330318697</v>
      </c>
      <c r="D346" s="507"/>
      <c r="E346" s="478">
        <f>(E179+E182+E185+E188+E191+E194+E197+E200+E203+E206+E209+E212)</f>
        <v>9306.0599999999886</v>
      </c>
      <c r="F346" s="507"/>
      <c r="G346" s="478">
        <f>(G179+G182+G185+G188+G191+G194+G197+G200+G203+G206+G209+G212)</f>
        <v>9306.0599999999886</v>
      </c>
      <c r="H346" s="507"/>
      <c r="I346" s="478">
        <f>(I179+I182+I185+I188+I191+I194+I197+I200+I203+I206+I209+I212)</f>
        <v>9306.0599999999886</v>
      </c>
      <c r="K346" s="496"/>
      <c r="L346" s="502" t="s">
        <v>500</v>
      </c>
      <c r="M346" s="503">
        <f t="shared" si="540"/>
        <v>16357.005776182719</v>
      </c>
      <c r="N346" s="507"/>
      <c r="O346" s="478">
        <f t="shared" si="537"/>
        <v>538.48464419918457</v>
      </c>
      <c r="P346" s="507"/>
      <c r="Q346" s="478">
        <f t="shared" si="538"/>
        <v>538.48464419918457</v>
      </c>
      <c r="R346" s="507"/>
      <c r="S346" s="478">
        <f t="shared" si="539"/>
        <v>538.48464419918457</v>
      </c>
      <c r="T346" s="579"/>
      <c r="U346" s="496"/>
      <c r="V346" s="502" t="s">
        <v>500</v>
      </c>
      <c r="W346" s="479">
        <f t="shared" si="541"/>
        <v>26.512232003392722</v>
      </c>
      <c r="X346" s="507"/>
      <c r="Y346" s="468">
        <f t="shared" si="542"/>
        <v>15.083715512086306</v>
      </c>
      <c r="Z346" s="507"/>
      <c r="AA346" s="468">
        <f t="shared" si="542"/>
        <v>15.083715512086306</v>
      </c>
      <c r="AB346" s="507"/>
      <c r="AC346" s="468">
        <f t="shared" si="542"/>
        <v>15.083715512086306</v>
      </c>
    </row>
    <row r="347" spans="1:29" ht="16.5" thickBot="1">
      <c r="A347" s="496"/>
      <c r="B347" s="504" t="s">
        <v>93</v>
      </c>
      <c r="C347" s="505">
        <f>SUM(C344:C346)</f>
        <v>1058838.813303187</v>
      </c>
      <c r="D347" s="508"/>
      <c r="E347" s="506">
        <f>SUM(E344:E346)</f>
        <v>35660.209999999992</v>
      </c>
      <c r="F347" s="508"/>
      <c r="G347" s="506">
        <f>SUM(G344:G346)</f>
        <v>35660.209999999992</v>
      </c>
      <c r="H347" s="508"/>
      <c r="I347" s="506">
        <f>SUM(I344:I346)</f>
        <v>35660.209999999992</v>
      </c>
      <c r="K347" s="496"/>
      <c r="L347" s="504" t="s">
        <v>93</v>
      </c>
      <c r="M347" s="505">
        <f>SUM(M344:M346)</f>
        <v>61268.511233094796</v>
      </c>
      <c r="N347" s="508"/>
      <c r="O347" s="506">
        <f>SUM(O344:O346)</f>
        <v>2063.437748512069</v>
      </c>
      <c r="P347" s="508"/>
      <c r="Q347" s="506">
        <f>SUM(Q344:Q346)</f>
        <v>2063.437748512069</v>
      </c>
      <c r="R347" s="508"/>
      <c r="S347" s="506">
        <f>SUM(S344:S346)</f>
        <v>2063.437748512069</v>
      </c>
      <c r="T347" s="579"/>
      <c r="U347" s="496"/>
      <c r="V347" s="504" t="s">
        <v>93</v>
      </c>
      <c r="W347" s="505">
        <f>SUM(W344:W346)</f>
        <v>99.306988488046201</v>
      </c>
      <c r="X347" s="508"/>
      <c r="Y347" s="506">
        <f>SUM(Y344:Y346)</f>
        <v>57.799806012561255</v>
      </c>
      <c r="Z347" s="508"/>
      <c r="AA347" s="506">
        <f>SUM(AA344:AA346)</f>
        <v>57.799806012561255</v>
      </c>
      <c r="AB347" s="508"/>
      <c r="AC347" s="506">
        <f>SUM(AC344:AC346)</f>
        <v>57.799806012561255</v>
      </c>
    </row>
    <row r="348" spans="1:29" ht="16.5" thickTop="1">
      <c r="A348" s="496" t="s">
        <v>466</v>
      </c>
      <c r="B348" s="501" t="s">
        <v>784</v>
      </c>
      <c r="C348" s="479">
        <f>(M231+M234+M237+M240+M243)*1000</f>
        <v>-1040243.9999999999</v>
      </c>
      <c r="D348" s="488"/>
      <c r="E348" s="479">
        <f>(O231+O234+O237+O240+O243)</f>
        <v>-118017.95000000001</v>
      </c>
      <c r="F348" s="488"/>
      <c r="G348" s="479">
        <f>(Q231+Q234+Q237+Q240+Q243)</f>
        <v>-118017.95000000001</v>
      </c>
      <c r="H348" s="488"/>
      <c r="I348" s="479">
        <f>(S231+S234+S237+S240+S243)</f>
        <v>-118017.95000000001</v>
      </c>
      <c r="J348" s="579">
        <f>'23'!L46</f>
        <v>7.7401319032258222E-3</v>
      </c>
      <c r="K348" s="496" t="s">
        <v>1011</v>
      </c>
      <c r="L348" s="501" t="s">
        <v>784</v>
      </c>
      <c r="M348" s="479">
        <f>C348*$J$348</f>
        <v>-8051.6257715392412</v>
      </c>
      <c r="N348" s="488"/>
      <c r="O348" s="479">
        <f t="shared" ref="O348:O351" si="543">E348*$J$348</f>
        <v>-913.47449994831004</v>
      </c>
      <c r="P348" s="488"/>
      <c r="Q348" s="479">
        <f t="shared" ref="Q348:Q351" si="544">G348*$J$348</f>
        <v>-913.47449994831004</v>
      </c>
      <c r="R348" s="488"/>
      <c r="S348" s="479">
        <f t="shared" ref="S348:S351" si="545">I348*$J$348</f>
        <v>-913.47449994831004</v>
      </c>
      <c r="T348" s="579">
        <f>'23'!M46</f>
        <v>9.1469519196131087E-4</v>
      </c>
      <c r="U348" s="496" t="s">
        <v>1233</v>
      </c>
      <c r="V348" s="501" t="s">
        <v>784</v>
      </c>
      <c r="W348" s="479">
        <f>C348*$T$348</f>
        <v>-951.50618526660173</v>
      </c>
      <c r="X348" s="488"/>
      <c r="Y348" s="479">
        <f t="shared" ref="Y348:Y351" si="546">E348*$T$348</f>
        <v>-107.9504514301304</v>
      </c>
      <c r="Z348" s="488">
        <f t="shared" ref="Z348:Z351" si="547">F348*$T$348</f>
        <v>0</v>
      </c>
      <c r="AA348" s="479">
        <f t="shared" ref="AA348:AA351" si="548">G348*$T$348</f>
        <v>-107.9504514301304</v>
      </c>
      <c r="AB348" s="488">
        <f t="shared" ref="AB348:AB351" si="549">H348*$T$348</f>
        <v>0</v>
      </c>
      <c r="AC348" s="479">
        <f t="shared" ref="AC348:AC351" si="550">I348*$T$348</f>
        <v>-107.9504514301304</v>
      </c>
    </row>
    <row r="349" spans="1:29">
      <c r="A349" s="496"/>
      <c r="B349" s="501" t="s">
        <v>785</v>
      </c>
      <c r="C349" s="479">
        <f>(M232+M235+M238+M241+M244)*1000</f>
        <v>-1039319.3357384758</v>
      </c>
      <c r="D349" s="479"/>
      <c r="E349" s="479">
        <f>(O232+O235+O238+O241+O244)</f>
        <v>-66106.51999999999</v>
      </c>
      <c r="F349" s="479"/>
      <c r="G349" s="479">
        <f>(Q232+Q235+Q238+Q241+Q244)</f>
        <v>-66106.51999999999</v>
      </c>
      <c r="H349" s="479"/>
      <c r="I349" s="479">
        <f>(S232+S235+S238+S241+S244)</f>
        <v>-66106.51999999999</v>
      </c>
      <c r="K349" s="496"/>
      <c r="L349" s="501" t="s">
        <v>785</v>
      </c>
      <c r="M349" s="479">
        <f t="shared" ref="M349:M351" si="551">C349*$J$348</f>
        <v>-8044.4687481888459</v>
      </c>
      <c r="N349" s="479"/>
      <c r="O349" s="479">
        <f t="shared" si="543"/>
        <v>-511.67318446323577</v>
      </c>
      <c r="P349" s="479"/>
      <c r="Q349" s="479">
        <f t="shared" si="544"/>
        <v>-511.67318446323577</v>
      </c>
      <c r="R349" s="479"/>
      <c r="S349" s="479">
        <f t="shared" si="545"/>
        <v>-511.67318446323577</v>
      </c>
      <c r="T349" s="579"/>
      <c r="U349" s="496"/>
      <c r="V349" s="501" t="s">
        <v>785</v>
      </c>
      <c r="W349" s="479">
        <f t="shared" ref="W349:W351" si="552">C349*$T$348</f>
        <v>-950.66039931240721</v>
      </c>
      <c r="X349" s="479"/>
      <c r="Y349" s="479">
        <f t="shared" si="546"/>
        <v>-60.467316001294229</v>
      </c>
      <c r="Z349" s="479">
        <f t="shared" si="547"/>
        <v>0</v>
      </c>
      <c r="AA349" s="479">
        <f t="shared" si="548"/>
        <v>-60.467316001294229</v>
      </c>
      <c r="AB349" s="479">
        <f t="shared" si="549"/>
        <v>0</v>
      </c>
      <c r="AC349" s="479">
        <f t="shared" si="550"/>
        <v>-60.467316001294229</v>
      </c>
    </row>
    <row r="350" spans="1:29">
      <c r="A350" s="496"/>
      <c r="B350" s="501" t="s">
        <v>783</v>
      </c>
      <c r="C350" s="479">
        <f>(M219+M222+M225+M228+M246+M249+M252)*1000</f>
        <v>1519960</v>
      </c>
      <c r="D350" s="479"/>
      <c r="E350" s="479">
        <f>(O219+O222+O225+O228+O246+O249+O252)</f>
        <v>158722.10999999999</v>
      </c>
      <c r="F350" s="479"/>
      <c r="G350" s="479">
        <f>(Q219+Q222+Q225+Q228+Q246+Q249+Q252)</f>
        <v>158722.10999999999</v>
      </c>
      <c r="H350" s="479"/>
      <c r="I350" s="479">
        <f>(S219+S222+S225+S228+S246+S249+S252)</f>
        <v>158722.10999999999</v>
      </c>
      <c r="K350" s="496"/>
      <c r="L350" s="501" t="s">
        <v>783</v>
      </c>
      <c r="M350" s="479">
        <f t="shared" si="551"/>
        <v>11764.690887627121</v>
      </c>
      <c r="N350" s="479"/>
      <c r="O350" s="479">
        <f t="shared" si="543"/>
        <v>1228.5300673583181</v>
      </c>
      <c r="P350" s="479"/>
      <c r="Q350" s="479">
        <f t="shared" si="544"/>
        <v>1228.5300673583181</v>
      </c>
      <c r="R350" s="479"/>
      <c r="S350" s="479">
        <f t="shared" si="545"/>
        <v>1228.5300673583181</v>
      </c>
      <c r="T350" s="579"/>
      <c r="U350" s="496"/>
      <c r="V350" s="501" t="s">
        <v>783</v>
      </c>
      <c r="W350" s="479">
        <f t="shared" si="552"/>
        <v>1390.3001039735141</v>
      </c>
      <c r="X350" s="479"/>
      <c r="Y350" s="479">
        <f t="shared" si="546"/>
        <v>145.1823508749543</v>
      </c>
      <c r="Z350" s="479">
        <f t="shared" si="547"/>
        <v>0</v>
      </c>
      <c r="AA350" s="479">
        <f t="shared" si="548"/>
        <v>145.1823508749543</v>
      </c>
      <c r="AB350" s="479">
        <f t="shared" si="549"/>
        <v>0</v>
      </c>
      <c r="AC350" s="479">
        <f t="shared" si="550"/>
        <v>145.1823508749543</v>
      </c>
    </row>
    <row r="351" spans="1:29">
      <c r="A351" s="496"/>
      <c r="B351" s="502" t="s">
        <v>782</v>
      </c>
      <c r="C351" s="479">
        <f>(M220+M223+M226+M229+M247+M250+M253)*1000</f>
        <v>1247157.5779701371</v>
      </c>
      <c r="D351" s="503"/>
      <c r="E351" s="479">
        <f>(O220+O223+O226+O229+O247+O250+O253)</f>
        <v>73036.320000000007</v>
      </c>
      <c r="F351" s="503"/>
      <c r="G351" s="479">
        <f>(Q220+Q223+Q226+Q229+Q247+Q250+Q253)</f>
        <v>73036.320000000007</v>
      </c>
      <c r="H351" s="503"/>
      <c r="I351" s="479">
        <f>(S220+S223+S226+S229+S247+S250+S253)</f>
        <v>73036.320000000007</v>
      </c>
      <c r="K351" s="496"/>
      <c r="L351" s="502" t="s">
        <v>782</v>
      </c>
      <c r="M351" s="479">
        <f t="shared" si="551"/>
        <v>9653.1641575965041</v>
      </c>
      <c r="N351" s="503"/>
      <c r="O351" s="479">
        <f t="shared" si="543"/>
        <v>565.3107505262102</v>
      </c>
      <c r="P351" s="503"/>
      <c r="Q351" s="479">
        <f t="shared" si="544"/>
        <v>565.3107505262102</v>
      </c>
      <c r="R351" s="503"/>
      <c r="S351" s="479">
        <f t="shared" si="545"/>
        <v>565.3107505262102</v>
      </c>
      <c r="T351" s="579"/>
      <c r="U351" s="496"/>
      <c r="V351" s="502" t="s">
        <v>782</v>
      </c>
      <c r="W351" s="479">
        <f t="shared" si="552"/>
        <v>1140.7690401873981</v>
      </c>
      <c r="X351" s="503"/>
      <c r="Y351" s="479">
        <f t="shared" si="546"/>
        <v>66.805970742547728</v>
      </c>
      <c r="Z351" s="503">
        <f t="shared" si="547"/>
        <v>0</v>
      </c>
      <c r="AA351" s="479">
        <f t="shared" si="548"/>
        <v>66.805970742547728</v>
      </c>
      <c r="AB351" s="503">
        <f t="shared" si="549"/>
        <v>0</v>
      </c>
      <c r="AC351" s="479">
        <f t="shared" si="550"/>
        <v>66.805970742547728</v>
      </c>
    </row>
    <row r="352" spans="1:29" ht="16.5" thickBot="1">
      <c r="A352" s="496"/>
      <c r="B352" s="504" t="s">
        <v>93</v>
      </c>
      <c r="C352" s="505">
        <f>SUM(C348:C351)</f>
        <v>687554.24223166145</v>
      </c>
      <c r="D352" s="505"/>
      <c r="E352" s="505">
        <f>SUM(E348:E351)</f>
        <v>47633.959999999992</v>
      </c>
      <c r="F352" s="505"/>
      <c r="G352" s="505">
        <f>SUM(G348:G351)</f>
        <v>47633.959999999992</v>
      </c>
      <c r="H352" s="505"/>
      <c r="I352" s="505">
        <f>SUM(I348:I351)</f>
        <v>47633.959999999992</v>
      </c>
      <c r="K352" s="496"/>
      <c r="L352" s="504" t="s">
        <v>93</v>
      </c>
      <c r="M352" s="505">
        <f>SUM(M348:M351)</f>
        <v>5321.7605254955379</v>
      </c>
      <c r="N352" s="505"/>
      <c r="O352" s="505">
        <f>SUM(O348:O351)</f>
        <v>368.69313347298237</v>
      </c>
      <c r="P352" s="505"/>
      <c r="Q352" s="505">
        <f>SUM(Q348:Q351)</f>
        <v>368.69313347298237</v>
      </c>
      <c r="R352" s="505"/>
      <c r="S352" s="505">
        <f>SUM(S348:S351)</f>
        <v>368.69313347298237</v>
      </c>
      <c r="T352" s="579"/>
      <c r="U352" s="496"/>
      <c r="V352" s="504" t="s">
        <v>93</v>
      </c>
      <c r="W352" s="505">
        <f>SUM(W348:W351)</f>
        <v>628.90255958190323</v>
      </c>
      <c r="X352" s="505"/>
      <c r="Y352" s="505">
        <f>SUM(Y348:Y351)</f>
        <v>43.570554186077388</v>
      </c>
      <c r="Z352" s="505"/>
      <c r="AA352" s="505">
        <f>SUM(AA348:AA351)</f>
        <v>43.570554186077388</v>
      </c>
      <c r="AB352" s="505"/>
      <c r="AC352" s="505">
        <f>SUM(AC348:AC351)</f>
        <v>43.570554186077388</v>
      </c>
    </row>
    <row r="353" spans="1:20" ht="16.5" thickTop="1">
      <c r="A353" s="514" t="s">
        <v>502</v>
      </c>
      <c r="B353" s="515"/>
      <c r="C353" s="516">
        <f>C352+C335+C340+C343+C347</f>
        <v>5965689.6279000025</v>
      </c>
      <c r="D353" s="517"/>
      <c r="E353" s="518">
        <f>E352+E335+E340+E343+E347</f>
        <v>209619.29999999987</v>
      </c>
      <c r="F353" s="517"/>
      <c r="G353" s="518">
        <f>G352+G335+G340+G343+G347</f>
        <v>209619.29999999987</v>
      </c>
      <c r="H353" s="517"/>
      <c r="I353" s="518">
        <f>I352+I335+I340+I343+I347</f>
        <v>209619.29999999987</v>
      </c>
      <c r="K353" s="514" t="s">
        <v>502</v>
      </c>
      <c r="L353" s="515"/>
      <c r="M353" s="516">
        <f>M352+M335+M340+M343+M347</f>
        <v>170564.55167617428</v>
      </c>
      <c r="N353" s="517"/>
      <c r="O353" s="518">
        <f>O352+O335+O340+O343+O347</f>
        <v>5616.435508657627</v>
      </c>
      <c r="P353" s="517"/>
      <c r="Q353" s="518">
        <f>Q352+Q335+Q340+Q343+Q347</f>
        <v>5616.435508657627</v>
      </c>
      <c r="R353" s="517"/>
      <c r="S353" s="518">
        <f>S352+S335+S340+S343+S347</f>
        <v>5616.435508657627</v>
      </c>
      <c r="T353" s="445"/>
    </row>
    <row r="354" spans="1:20">
      <c r="A354" s="494" t="s">
        <v>204</v>
      </c>
      <c r="B354" s="445" t="s">
        <v>694</v>
      </c>
      <c r="C354" s="572">
        <f>SUM(C275,C278,C281,C284)*1000</f>
        <v>-2631559</v>
      </c>
      <c r="E354" s="572">
        <f>SUM(E275,E278,E281,E284)</f>
        <v>-183943.13999999998</v>
      </c>
      <c r="G354" s="572">
        <f>SUM(G275,G278,G281,G284)</f>
        <v>-183943.13999999998</v>
      </c>
      <c r="I354" s="572">
        <f>SUM(I275,I278,I281,I284)</f>
        <v>-183943.13999999998</v>
      </c>
      <c r="J354" s="653">
        <f>'10'!P34</f>
        <v>3.9811101026889513E-2</v>
      </c>
      <c r="K354" s="494" t="s">
        <v>1034</v>
      </c>
      <c r="L354" s="445" t="s">
        <v>694</v>
      </c>
      <c r="M354" s="572">
        <f>C354*$J$354</f>
        <v>-104765.26120722033</v>
      </c>
      <c r="O354" s="572">
        <f t="shared" ref="O354:O358" si="553">E354*$J$354</f>
        <v>-7322.9789297432808</v>
      </c>
      <c r="Q354" s="572">
        <f t="shared" ref="Q354:Q358" si="554">G354*$J$354</f>
        <v>-7322.9789297432808</v>
      </c>
      <c r="S354" s="572">
        <f t="shared" ref="S354:S358" si="555">I354*$J$354</f>
        <v>-7322.9789297432808</v>
      </c>
      <c r="T354" s="445"/>
    </row>
    <row r="355" spans="1:20">
      <c r="B355" s="445" t="s">
        <v>765</v>
      </c>
      <c r="C355" s="572">
        <f>SUM(C276,C279,C282,C285)*1000</f>
        <v>-1590743.1999819179</v>
      </c>
      <c r="E355" s="572">
        <f>SUM(E276,E279,E282,E285)</f>
        <v>-82186.210000000006</v>
      </c>
      <c r="G355" s="572">
        <f>SUM(G276,G279,G282,G285)</f>
        <v>-82186.210000000006</v>
      </c>
      <c r="I355" s="572">
        <f>SUM(I276,I279,I282,I285)</f>
        <v>-82186.210000000006</v>
      </c>
      <c r="J355" s="581"/>
      <c r="L355" s="445" t="s">
        <v>765</v>
      </c>
      <c r="M355" s="572">
        <f t="shared" ref="M355:M358" si="556">C355*$J$354</f>
        <v>-63329.238242317639</v>
      </c>
      <c r="O355" s="572">
        <f t="shared" si="553"/>
        <v>-3271.9235093271573</v>
      </c>
      <c r="Q355" s="572">
        <f t="shared" si="554"/>
        <v>-3271.9235093271573</v>
      </c>
      <c r="S355" s="572">
        <f t="shared" si="555"/>
        <v>-3271.9235093271573</v>
      </c>
      <c r="T355" s="445"/>
    </row>
    <row r="356" spans="1:20">
      <c r="B356" s="445" t="s">
        <v>499</v>
      </c>
      <c r="C356" s="572">
        <f>SUM(M275,M278,M281,M284)*1000</f>
        <v>-177386</v>
      </c>
      <c r="E356" s="572">
        <f>SUM(O275,O278,O281,O284)</f>
        <v>-24496.059999999998</v>
      </c>
      <c r="G356" s="572">
        <f>SUM(Q275,Q278,Q281,Q284)</f>
        <v>-24496.059999999998</v>
      </c>
      <c r="I356" s="572">
        <f>SUM(S275,S278,S281,S284)</f>
        <v>-24496.059999999998</v>
      </c>
      <c r="J356" s="652"/>
      <c r="L356" s="445" t="s">
        <v>499</v>
      </c>
      <c r="M356" s="572"/>
      <c r="O356" s="572"/>
      <c r="Q356" s="572"/>
      <c r="S356" s="572"/>
      <c r="T356" s="445"/>
    </row>
    <row r="357" spans="1:20">
      <c r="B357" s="445" t="s">
        <v>500</v>
      </c>
      <c r="C357" s="572">
        <f>SUM(M276,M279,M282,M285)*1000</f>
        <v>-541876.7209180824</v>
      </c>
      <c r="E357" s="572">
        <f>SUM(O276,O279,O282,O285)</f>
        <v>-21562.940000000002</v>
      </c>
      <c r="G357" s="572">
        <f>SUM(Q276,Q279,Q282,Q285)</f>
        <v>-21562.940000000002</v>
      </c>
      <c r="I357" s="572">
        <f>SUM(S276,S279,S282,S285)</f>
        <v>-21562.940000000002</v>
      </c>
      <c r="J357" s="581"/>
      <c r="L357" s="445" t="s">
        <v>500</v>
      </c>
      <c r="M357" s="572"/>
      <c r="O357" s="572"/>
      <c r="Q357" s="572"/>
      <c r="S357" s="572"/>
      <c r="T357" s="445"/>
    </row>
    <row r="358" spans="1:20">
      <c r="B358" s="445" t="s">
        <v>766</v>
      </c>
      <c r="C358" s="572">
        <f>SUM(C262,C265,C268,C271,C274,C289,C292,C295)*1000</f>
        <v>2462729.3197189313</v>
      </c>
      <c r="E358" s="572">
        <f>SUM(E260:E273,E287:E294)</f>
        <v>117912.32000000001</v>
      </c>
      <c r="G358" s="572">
        <f>SUM(G260:G273,G287:G294)</f>
        <v>117912.32000000001</v>
      </c>
      <c r="I358" s="572">
        <f>SUM(I260:I273,I287:I294)</f>
        <v>117912.32000000001</v>
      </c>
      <c r="J358" s="581"/>
      <c r="L358" s="445" t="s">
        <v>766</v>
      </c>
      <c r="M358" s="572">
        <f t="shared" si="556"/>
        <v>98043.965749213254</v>
      </c>
      <c r="O358" s="572">
        <f t="shared" si="553"/>
        <v>4694.2192838349247</v>
      </c>
      <c r="Q358" s="572">
        <f t="shared" si="554"/>
        <v>4694.2192838349247</v>
      </c>
      <c r="S358" s="572">
        <f t="shared" si="555"/>
        <v>4694.2192838349247</v>
      </c>
      <c r="T358" s="445"/>
    </row>
    <row r="359" spans="1:20">
      <c r="B359" s="445" t="s">
        <v>767</v>
      </c>
      <c r="C359" s="572">
        <f>SUM(M262,M265,M268,M271,M274,M289,M292,M295)*1000</f>
        <v>419522.17238106823</v>
      </c>
      <c r="E359" s="572">
        <f>SUM(O260:O273,O287:O294)</f>
        <v>20086.18</v>
      </c>
      <c r="G359" s="572">
        <f>SUM(Q260:Q273,Q287:Q294)</f>
        <v>20086.18</v>
      </c>
      <c r="I359" s="572">
        <f>SUM(S260:S273,S287:S294)</f>
        <v>20086.18</v>
      </c>
      <c r="J359" s="581"/>
      <c r="L359" s="445" t="s">
        <v>767</v>
      </c>
      <c r="M359" s="572"/>
      <c r="O359" s="572"/>
      <c r="Q359" s="572"/>
      <c r="S359" s="572"/>
      <c r="T359" s="445"/>
    </row>
    <row r="360" spans="1:20">
      <c r="A360" s="550" t="s">
        <v>204</v>
      </c>
      <c r="B360" s="551"/>
      <c r="C360" s="573">
        <f>SUM(C354:C359)</f>
        <v>-2059313.4288000008</v>
      </c>
      <c r="D360" s="551"/>
      <c r="E360" s="573">
        <f>SUM(E354:E359)</f>
        <v>-174189.84999999998</v>
      </c>
      <c r="F360" s="551"/>
      <c r="G360" s="573">
        <f>SUM(G354:G359)</f>
        <v>-174189.84999999998</v>
      </c>
      <c r="H360" s="551"/>
      <c r="I360" s="573">
        <f>SUM(I354:I359)</f>
        <v>-174189.84999999998</v>
      </c>
      <c r="J360" s="581"/>
      <c r="K360" s="550" t="s">
        <v>204</v>
      </c>
      <c r="L360" s="551"/>
      <c r="M360" s="573">
        <f>SUM(M354:M359)</f>
        <v>-70050.533700324726</v>
      </c>
      <c r="N360" s="551"/>
      <c r="O360" s="573">
        <f>SUM(O354:O359)</f>
        <v>-5900.6831552355134</v>
      </c>
      <c r="P360" s="551"/>
      <c r="Q360" s="573">
        <f>SUM(Q354:Q359)</f>
        <v>-5900.6831552355134</v>
      </c>
      <c r="R360" s="551"/>
      <c r="S360" s="573">
        <f>SUM(S354:S359)</f>
        <v>-5900.6831552355134</v>
      </c>
      <c r="T360" s="445"/>
    </row>
    <row r="361" spans="1:20">
      <c r="B361" s="445"/>
      <c r="C361" s="446"/>
      <c r="J361" s="581"/>
      <c r="T361" s="445"/>
    </row>
    <row r="362" spans="1:20">
      <c r="A362" s="445" t="s">
        <v>93</v>
      </c>
      <c r="C362" s="450">
        <f>C332+C353+C360</f>
        <v>-50426625.010000005</v>
      </c>
      <c r="E362" s="450">
        <f>E332+E353+E360</f>
        <v>-5641628.1600000001</v>
      </c>
      <c r="G362" s="450">
        <f>G332+G353+G360</f>
        <v>-5641628.1600000001</v>
      </c>
      <c r="I362" s="450">
        <f>I332+I353+I360</f>
        <v>-5641628.1600000001</v>
      </c>
      <c r="L362" s="486"/>
      <c r="M362" s="450"/>
      <c r="O362" s="450"/>
      <c r="Q362" s="450"/>
      <c r="S362" s="450"/>
      <c r="T362" s="445"/>
    </row>
    <row r="363" spans="1:20">
      <c r="C363" s="445">
        <f>C362-(C51+M51+C97+C114+M114+W114+C131+M131+C173+M173+C214+M214+C255+M255+W255+C296+M296)*1000</f>
        <v>0</v>
      </c>
      <c r="E363" s="574">
        <f>E362-(E51+O51+E97+E114+O114+Y114+E131+O131+E173+O173+E214+O214+E255+O255+Y255+E296+O296+O71+O72)</f>
        <v>0</v>
      </c>
      <c r="G363" s="574">
        <f>G362-(G51+Q51+G97+G114+Q114+AA114+G131+Q131+G173+Q173+G214+Q214+G255+Q255+AA255+G296+Q296+Q71+Q72)</f>
        <v>0</v>
      </c>
      <c r="I363" s="574">
        <f>I362-(I51+S51+I97+I114+S114+AC114+I131+S131+I173+S173+I214+S214+I255+S255+AC255+I296+S296+S71+S72)</f>
        <v>0</v>
      </c>
      <c r="L363" s="486"/>
      <c r="M363" s="445"/>
      <c r="O363" s="574"/>
      <c r="Q363" s="574"/>
      <c r="S363" s="574"/>
      <c r="T363" s="445"/>
    </row>
  </sheetData>
  <printOptions horizontalCentered="1"/>
  <pageMargins left="0.5" right="0.5" top="0.5" bottom="0.45" header="0.25" footer="0.22"/>
  <pageSetup scale="27" fitToHeight="0" orientation="portrait" r:id="rId1"/>
  <headerFooter alignWithMargins="0">
    <oddFooter>Page &amp;P of 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AX75"/>
  <sheetViews>
    <sheetView workbookViewId="0">
      <pane xSplit="1" ySplit="1" topLeftCell="AG2" activePane="bottomRight" state="frozen"/>
      <selection activeCell="W28" sqref="W28"/>
      <selection pane="topRight" activeCell="W28" sqref="W28"/>
      <selection pane="bottomLeft" activeCell="W28" sqref="W28"/>
      <selection pane="bottomRight" activeCell="AN1" sqref="AN1"/>
    </sheetView>
  </sheetViews>
  <sheetFormatPr defaultColWidth="8" defaultRowHeight="12.75"/>
  <cols>
    <col min="1" max="1" width="15.625" style="122" customWidth="1"/>
    <col min="2" max="2" width="11.75" style="122" bestFit="1" customWidth="1"/>
    <col min="3" max="3" width="10.25" style="122" bestFit="1" customWidth="1"/>
    <col min="4" max="4" width="11.125" style="122" customWidth="1"/>
    <col min="5" max="5" width="12.125" style="122" customWidth="1"/>
    <col min="6" max="7" width="10.125" style="122" bestFit="1" customWidth="1"/>
    <col min="8" max="8" width="6.75" style="122" bestFit="1" customWidth="1"/>
    <col min="9" max="9" width="9.25" style="122" bestFit="1" customWidth="1"/>
    <col min="10" max="10" width="11.125" style="122" customWidth="1"/>
    <col min="11" max="12" width="11.75" style="122" bestFit="1" customWidth="1"/>
    <col min="13" max="14" width="11.75" style="122" customWidth="1"/>
    <col min="15" max="17" width="11.75" style="122" bestFit="1" customWidth="1"/>
    <col min="18" max="18" width="10.25" style="122" bestFit="1" customWidth="1"/>
    <col min="19" max="19" width="12.125" style="122" customWidth="1"/>
    <col min="20" max="20" width="9.25" style="122" bestFit="1" customWidth="1"/>
    <col min="21" max="21" width="12" style="122" bestFit="1" customWidth="1"/>
    <col min="22" max="22" width="12" style="122" customWidth="1"/>
    <col min="23" max="23" width="12.625" style="122" bestFit="1" customWidth="1"/>
    <col min="24" max="25" width="11.125" style="122" bestFit="1" customWidth="1"/>
    <col min="26" max="26" width="11.75" style="122" bestFit="1" customWidth="1"/>
    <col min="27" max="27" width="11.125" style="122" bestFit="1" customWidth="1"/>
    <col min="28" max="28" width="11.75" style="122" bestFit="1" customWidth="1"/>
    <col min="29" max="30" width="9.625" style="122" bestFit="1" customWidth="1"/>
    <col min="31" max="31" width="8" style="122"/>
    <col min="32" max="32" width="9.125" style="122" bestFit="1" customWidth="1"/>
    <col min="33" max="39" width="8" style="122"/>
    <col min="40" max="40" width="10.25" style="122" bestFit="1" customWidth="1"/>
    <col min="41" max="44" width="8" style="122"/>
    <col min="45" max="45" width="5.625" style="122" customWidth="1"/>
    <col min="46" max="47" width="8" style="122"/>
    <col min="48" max="48" width="8" style="129"/>
    <col min="49" max="16384" width="8" style="122"/>
  </cols>
  <sheetData>
    <row r="1" spans="1:50" ht="25.5">
      <c r="A1" s="876" t="s">
        <v>1284</v>
      </c>
      <c r="B1" s="876" t="s">
        <v>125</v>
      </c>
      <c r="C1" s="876" t="s">
        <v>126</v>
      </c>
      <c r="D1" s="876" t="s">
        <v>127</v>
      </c>
      <c r="E1" s="876" t="s">
        <v>128</v>
      </c>
      <c r="F1" s="876" t="s">
        <v>72</v>
      </c>
      <c r="G1" s="876" t="s">
        <v>688</v>
      </c>
      <c r="H1" s="876" t="s">
        <v>689</v>
      </c>
      <c r="I1" s="876" t="s">
        <v>686</v>
      </c>
      <c r="J1" s="876" t="s">
        <v>687</v>
      </c>
      <c r="K1" s="876" t="s">
        <v>70</v>
      </c>
      <c r="L1" s="876" t="s">
        <v>626</v>
      </c>
      <c r="M1" s="876" t="s">
        <v>640</v>
      </c>
      <c r="N1" s="876" t="s">
        <v>641</v>
      </c>
      <c r="O1" s="876" t="s">
        <v>622</v>
      </c>
      <c r="P1" s="876" t="s">
        <v>623</v>
      </c>
      <c r="Q1" s="876" t="s">
        <v>624</v>
      </c>
      <c r="R1" s="876" t="s">
        <v>625</v>
      </c>
      <c r="S1" s="876" t="s">
        <v>650</v>
      </c>
      <c r="T1" s="876" t="s">
        <v>649</v>
      </c>
      <c r="U1" s="876" t="s">
        <v>619</v>
      </c>
      <c r="V1" s="876" t="s">
        <v>796</v>
      </c>
      <c r="W1" s="876" t="s">
        <v>71</v>
      </c>
      <c r="X1" s="876" t="s">
        <v>1152</v>
      </c>
      <c r="Y1" s="876" t="s">
        <v>1153</v>
      </c>
      <c r="Z1" s="876" t="s">
        <v>1154</v>
      </c>
      <c r="AA1" s="876" t="s">
        <v>1155</v>
      </c>
      <c r="AB1" s="876" t="s">
        <v>1156</v>
      </c>
      <c r="AC1" s="876" t="s">
        <v>1225</v>
      </c>
      <c r="AD1" s="876" t="s">
        <v>1256</v>
      </c>
      <c r="AE1" s="876" t="s">
        <v>627</v>
      </c>
      <c r="AF1" s="876" t="s">
        <v>1222</v>
      </c>
      <c r="AG1" s="876" t="s">
        <v>1261</v>
      </c>
      <c r="AH1" s="876" t="s">
        <v>1262</v>
      </c>
      <c r="AI1" s="876" t="s">
        <v>1285</v>
      </c>
      <c r="AJ1" s="876" t="s">
        <v>1263</v>
      </c>
      <c r="AK1" s="876" t="s">
        <v>1264</v>
      </c>
      <c r="AL1" s="876" t="s">
        <v>1299</v>
      </c>
      <c r="AM1" s="876" t="s">
        <v>1300</v>
      </c>
      <c r="AN1" s="1164" t="s">
        <v>1545</v>
      </c>
      <c r="AO1" s="1164" t="s">
        <v>1546</v>
      </c>
      <c r="AP1" s="1164" t="s">
        <v>1547</v>
      </c>
      <c r="AQ1" s="1164" t="s">
        <v>1548</v>
      </c>
      <c r="AR1" s="1164" t="s">
        <v>1549</v>
      </c>
      <c r="AS1" s="875"/>
      <c r="AT1" s="122" t="s">
        <v>192</v>
      </c>
      <c r="AX1" s="122" t="s">
        <v>1315</v>
      </c>
    </row>
    <row r="2" spans="1:50">
      <c r="A2" s="374" t="s">
        <v>1286</v>
      </c>
      <c r="B2" s="373">
        <f t="shared" ref="B2:K13" si="0">SUMIF($A$33:$A$75,$A2,B$33:B$75)</f>
        <v>209295</v>
      </c>
      <c r="C2" s="373">
        <f t="shared" si="0"/>
        <v>23240.800000000003</v>
      </c>
      <c r="D2" s="373">
        <f t="shared" si="0"/>
        <v>2464</v>
      </c>
      <c r="E2" s="373">
        <f t="shared" si="0"/>
        <v>255.58</v>
      </c>
      <c r="F2" s="373">
        <f t="shared" si="0"/>
        <v>301.59999999999968</v>
      </c>
      <c r="G2" s="373">
        <f t="shared" si="0"/>
        <v>301.59999999999968</v>
      </c>
      <c r="H2" s="373">
        <f t="shared" si="0"/>
        <v>0</v>
      </c>
      <c r="I2" s="373">
        <f t="shared" si="0"/>
        <v>40.192500000000003</v>
      </c>
      <c r="J2" s="373">
        <f t="shared" si="0"/>
        <v>0</v>
      </c>
      <c r="K2" s="373">
        <f t="shared" si="0"/>
        <v>211759</v>
      </c>
      <c r="L2" s="373">
        <f t="shared" ref="L2:U13" si="1">SUMIF($A$33:$A$75,$A2,L$33:L$75)</f>
        <v>117047</v>
      </c>
      <c r="M2" s="373">
        <f t="shared" si="1"/>
        <v>54755</v>
      </c>
      <c r="N2" s="373">
        <f t="shared" si="1"/>
        <v>62292</v>
      </c>
      <c r="O2" s="373">
        <f t="shared" si="1"/>
        <v>94712</v>
      </c>
      <c r="P2" s="373">
        <f t="shared" si="1"/>
        <v>46026</v>
      </c>
      <c r="Q2" s="373">
        <f t="shared" si="1"/>
        <v>34864</v>
      </c>
      <c r="R2" s="373">
        <f t="shared" si="1"/>
        <v>13822</v>
      </c>
      <c r="S2" s="373">
        <f t="shared" si="1"/>
        <v>0</v>
      </c>
      <c r="T2" s="373">
        <f t="shared" si="1"/>
        <v>0</v>
      </c>
      <c r="U2" s="373">
        <f t="shared" si="1"/>
        <v>24348.882194000002</v>
      </c>
      <c r="V2" s="373">
        <f t="shared" ref="V2:AE13" si="2">SUMIF($A$33:$A$75,$A2,V$33:V$75)</f>
        <v>24348.882194000002</v>
      </c>
      <c r="W2" s="373">
        <f t="shared" si="2"/>
        <v>24349.11</v>
      </c>
      <c r="X2" s="373">
        <f t="shared" si="2"/>
        <v>0</v>
      </c>
      <c r="Y2" s="373">
        <f t="shared" si="2"/>
        <v>0</v>
      </c>
      <c r="Z2" s="373">
        <f t="shared" si="2"/>
        <v>0</v>
      </c>
      <c r="AA2" s="373">
        <f t="shared" si="2"/>
        <v>0</v>
      </c>
      <c r="AB2" s="373">
        <f t="shared" si="2"/>
        <v>0</v>
      </c>
      <c r="AC2" s="373">
        <f t="shared" si="2"/>
        <v>-852.73</v>
      </c>
      <c r="AD2" s="373">
        <f t="shared" si="2"/>
        <v>-843.38</v>
      </c>
      <c r="AE2" s="373">
        <f t="shared" si="2"/>
        <v>303.69499999999999</v>
      </c>
      <c r="AF2" s="373">
        <f t="shared" ref="AF2:AR13" si="3">SUMIF($A$33:$A$75,$A2,AF$33:AF$75)</f>
        <v>0</v>
      </c>
      <c r="AG2" s="373">
        <f t="shared" si="3"/>
        <v>0</v>
      </c>
      <c r="AH2" s="373">
        <f t="shared" si="3"/>
        <v>0</v>
      </c>
      <c r="AI2" s="373">
        <f t="shared" si="3"/>
        <v>0</v>
      </c>
      <c r="AJ2" s="373">
        <f t="shared" si="3"/>
        <v>0</v>
      </c>
      <c r="AK2" s="373">
        <f t="shared" si="3"/>
        <v>0</v>
      </c>
      <c r="AL2" s="373">
        <f t="shared" si="3"/>
        <v>0</v>
      </c>
      <c r="AM2" s="373">
        <f t="shared" si="3"/>
        <v>0</v>
      </c>
      <c r="AN2" s="373">
        <f t="shared" si="3"/>
        <v>112.23333333333329</v>
      </c>
      <c r="AO2" s="373">
        <f t="shared" si="3"/>
        <v>0</v>
      </c>
      <c r="AP2" s="373">
        <f t="shared" si="3"/>
        <v>10.9175</v>
      </c>
      <c r="AQ2" s="373">
        <f t="shared" si="3"/>
        <v>0</v>
      </c>
      <c r="AR2" s="373">
        <f t="shared" si="3"/>
        <v>0</v>
      </c>
      <c r="AS2" s="524"/>
      <c r="AT2" s="860">
        <v>136</v>
      </c>
      <c r="AU2" s="226">
        <f>U2-W2</f>
        <v>-0.22780599999896367</v>
      </c>
      <c r="AV2" s="129">
        <f>AU2/W2</f>
        <v>-9.355824504425979E-6</v>
      </c>
      <c r="AW2" s="226">
        <f t="shared" ref="AW2" si="4">AD2-AC2</f>
        <v>9.3500000000000227</v>
      </c>
      <c r="AX2" s="226">
        <f>K2-M2-N2-P2-Q2-R2-Y2-Z2-AA2-AB2-AG2-AH2-AI2-AJ2-AK2-X2</f>
        <v>0</v>
      </c>
    </row>
    <row r="3" spans="1:50">
      <c r="A3" s="374" t="s">
        <v>1273</v>
      </c>
      <c r="B3" s="373">
        <f t="shared" si="0"/>
        <v>36355672</v>
      </c>
      <c r="C3" s="373">
        <f t="shared" si="0"/>
        <v>3917955.11</v>
      </c>
      <c r="D3" s="373">
        <f t="shared" si="0"/>
        <v>188120</v>
      </c>
      <c r="E3" s="373">
        <f t="shared" si="0"/>
        <v>19589.21</v>
      </c>
      <c r="F3" s="373">
        <f t="shared" si="0"/>
        <v>55945.899999999907</v>
      </c>
      <c r="G3" s="373">
        <f t="shared" si="0"/>
        <v>55945.899999999907</v>
      </c>
      <c r="H3" s="373">
        <f t="shared" si="0"/>
        <v>0</v>
      </c>
      <c r="I3" s="373">
        <f t="shared" si="0"/>
        <v>13079.356249999979</v>
      </c>
      <c r="J3" s="373">
        <f t="shared" si="0"/>
        <v>0</v>
      </c>
      <c r="K3" s="373">
        <f t="shared" si="0"/>
        <v>36543792</v>
      </c>
      <c r="L3" s="373">
        <f t="shared" si="1"/>
        <v>20339391</v>
      </c>
      <c r="M3" s="373">
        <f t="shared" si="1"/>
        <v>11401568</v>
      </c>
      <c r="N3" s="373">
        <f t="shared" si="1"/>
        <v>8937823</v>
      </c>
      <c r="O3" s="373">
        <f t="shared" si="1"/>
        <v>16204401</v>
      </c>
      <c r="P3" s="373">
        <f t="shared" si="1"/>
        <v>8966677</v>
      </c>
      <c r="Q3" s="373">
        <f t="shared" si="1"/>
        <v>5622297</v>
      </c>
      <c r="R3" s="373">
        <f t="shared" si="1"/>
        <v>1615427</v>
      </c>
      <c r="S3" s="373">
        <f t="shared" si="1"/>
        <v>0</v>
      </c>
      <c r="T3" s="373">
        <f t="shared" si="1"/>
        <v>0</v>
      </c>
      <c r="U3" s="373">
        <f t="shared" si="1"/>
        <v>4082268.0255949898</v>
      </c>
      <c r="V3" s="373">
        <f t="shared" si="2"/>
        <v>4082268.0255949898</v>
      </c>
      <c r="W3" s="373">
        <f t="shared" si="2"/>
        <v>4082306.17</v>
      </c>
      <c r="X3" s="373">
        <f t="shared" si="2"/>
        <v>0</v>
      </c>
      <c r="Y3" s="373">
        <f t="shared" si="2"/>
        <v>0</v>
      </c>
      <c r="Z3" s="373">
        <f t="shared" si="2"/>
        <v>0</v>
      </c>
      <c r="AA3" s="373">
        <f t="shared" si="2"/>
        <v>0</v>
      </c>
      <c r="AB3" s="373">
        <f t="shared" si="2"/>
        <v>0</v>
      </c>
      <c r="AC3" s="373">
        <f t="shared" si="2"/>
        <v>-144761.85</v>
      </c>
      <c r="AD3" s="373">
        <f t="shared" si="2"/>
        <v>-144283.38999999998</v>
      </c>
      <c r="AE3" s="373">
        <f t="shared" si="2"/>
        <v>0</v>
      </c>
      <c r="AF3" s="373">
        <f t="shared" si="3"/>
        <v>0</v>
      </c>
      <c r="AG3" s="373">
        <f t="shared" si="3"/>
        <v>0</v>
      </c>
      <c r="AH3" s="373">
        <f t="shared" si="3"/>
        <v>0</v>
      </c>
      <c r="AI3" s="373">
        <f t="shared" si="3"/>
        <v>0</v>
      </c>
      <c r="AJ3" s="373">
        <f t="shared" si="3"/>
        <v>0</v>
      </c>
      <c r="AK3" s="373">
        <f t="shared" si="3"/>
        <v>0</v>
      </c>
      <c r="AL3" s="373">
        <f t="shared" si="3"/>
        <v>0</v>
      </c>
      <c r="AM3" s="373">
        <f t="shared" si="3"/>
        <v>0</v>
      </c>
      <c r="AN3" s="373">
        <f t="shared" si="3"/>
        <v>578.6</v>
      </c>
      <c r="AO3" s="373">
        <f t="shared" si="3"/>
        <v>0</v>
      </c>
      <c r="AP3" s="373">
        <f t="shared" si="3"/>
        <v>84.472499999999997</v>
      </c>
      <c r="AQ3" s="373">
        <f t="shared" si="3"/>
        <v>0</v>
      </c>
      <c r="AR3" s="373">
        <f t="shared" si="3"/>
        <v>0</v>
      </c>
      <c r="AS3" s="524"/>
      <c r="AT3" s="860">
        <v>136</v>
      </c>
      <c r="AU3" s="226">
        <f t="shared" ref="AU3:AU65" si="5">U3-W3</f>
        <v>-38.144405010156333</v>
      </c>
      <c r="AV3" s="129">
        <f t="shared" ref="AV3:AV65" si="6">AU3/W3</f>
        <v>-9.3438373854639943E-6</v>
      </c>
      <c r="AW3" s="226">
        <f t="shared" ref="AW3:AW65" si="7">AD3-AC3</f>
        <v>478.46000000002095</v>
      </c>
      <c r="AX3" s="226">
        <f t="shared" ref="AX3:AX65" si="8">K3-M3-N3-P3-Q3-R3-Y3-Z3-AA3-AB3-AG3-AH3-AI3-AJ3-AK3-X3</f>
        <v>0</v>
      </c>
    </row>
    <row r="4" spans="1:50">
      <c r="A4" s="374" t="s">
        <v>1274</v>
      </c>
      <c r="B4" s="373">
        <f t="shared" si="0"/>
        <v>21200</v>
      </c>
      <c r="C4" s="373">
        <f t="shared" si="0"/>
        <v>2232.36</v>
      </c>
      <c r="D4" s="373">
        <f t="shared" si="0"/>
        <v>0</v>
      </c>
      <c r="E4" s="373">
        <f t="shared" si="0"/>
        <v>0</v>
      </c>
      <c r="F4" s="373">
        <f t="shared" si="0"/>
        <v>42.3</v>
      </c>
      <c r="G4" s="373">
        <f t="shared" si="0"/>
        <v>42.3</v>
      </c>
      <c r="H4" s="373">
        <f t="shared" si="0"/>
        <v>0</v>
      </c>
      <c r="I4" s="373">
        <f t="shared" si="0"/>
        <v>9.3587500000000006</v>
      </c>
      <c r="J4" s="373">
        <f t="shared" si="0"/>
        <v>0</v>
      </c>
      <c r="K4" s="373">
        <f t="shared" si="0"/>
        <v>21200</v>
      </c>
      <c r="L4" s="373">
        <f t="shared" si="1"/>
        <v>11819</v>
      </c>
      <c r="M4" s="373">
        <f t="shared" si="1"/>
        <v>7564</v>
      </c>
      <c r="N4" s="373">
        <f t="shared" si="1"/>
        <v>4255</v>
      </c>
      <c r="O4" s="373">
        <f t="shared" si="1"/>
        <v>9381</v>
      </c>
      <c r="P4" s="373">
        <f t="shared" si="1"/>
        <v>5864</v>
      </c>
      <c r="Q4" s="373">
        <f t="shared" si="1"/>
        <v>3149</v>
      </c>
      <c r="R4" s="373">
        <f t="shared" si="1"/>
        <v>368</v>
      </c>
      <c r="S4" s="373">
        <f t="shared" si="1"/>
        <v>1261</v>
      </c>
      <c r="T4" s="373">
        <f t="shared" si="1"/>
        <v>8120</v>
      </c>
      <c r="U4" s="373">
        <f t="shared" si="1"/>
        <v>2311.5744490000002</v>
      </c>
      <c r="V4" s="373">
        <f t="shared" si="2"/>
        <v>2311.5744490000002</v>
      </c>
      <c r="W4" s="373">
        <f t="shared" si="2"/>
        <v>2311.67</v>
      </c>
      <c r="X4" s="373">
        <f t="shared" si="2"/>
        <v>0</v>
      </c>
      <c r="Y4" s="373">
        <f t="shared" si="2"/>
        <v>0</v>
      </c>
      <c r="Z4" s="373">
        <f t="shared" si="2"/>
        <v>0</v>
      </c>
      <c r="AA4" s="373">
        <f t="shared" si="2"/>
        <v>0</v>
      </c>
      <c r="AB4" s="373">
        <f t="shared" si="2"/>
        <v>0</v>
      </c>
      <c r="AC4" s="373">
        <f t="shared" si="2"/>
        <v>-79.31</v>
      </c>
      <c r="AD4" s="373">
        <f t="shared" si="2"/>
        <v>-79.31</v>
      </c>
      <c r="AE4" s="373">
        <f t="shared" si="2"/>
        <v>0</v>
      </c>
      <c r="AF4" s="373">
        <f t="shared" si="3"/>
        <v>0</v>
      </c>
      <c r="AG4" s="373">
        <f t="shared" si="3"/>
        <v>0</v>
      </c>
      <c r="AH4" s="373">
        <f t="shared" si="3"/>
        <v>0</v>
      </c>
      <c r="AI4" s="373">
        <f t="shared" si="3"/>
        <v>0</v>
      </c>
      <c r="AJ4" s="373">
        <f t="shared" si="3"/>
        <v>0</v>
      </c>
      <c r="AK4" s="373">
        <f t="shared" si="3"/>
        <v>0</v>
      </c>
      <c r="AL4" s="373">
        <f t="shared" si="3"/>
        <v>0</v>
      </c>
      <c r="AM4" s="373">
        <f t="shared" si="3"/>
        <v>0</v>
      </c>
      <c r="AN4" s="373">
        <f t="shared" si="3"/>
        <v>0</v>
      </c>
      <c r="AO4" s="373">
        <f t="shared" si="3"/>
        <v>0</v>
      </c>
      <c r="AP4" s="373">
        <f t="shared" si="3"/>
        <v>0</v>
      </c>
      <c r="AQ4" s="373">
        <f t="shared" si="3"/>
        <v>0</v>
      </c>
      <c r="AR4" s="373">
        <f t="shared" si="3"/>
        <v>0</v>
      </c>
      <c r="AS4" s="524"/>
      <c r="AT4" s="860">
        <v>136</v>
      </c>
      <c r="AU4" s="226">
        <f t="shared" si="5"/>
        <v>-9.5550999999886699E-2</v>
      </c>
      <c r="AV4" s="129">
        <f t="shared" si="6"/>
        <v>-4.13341869730051E-5</v>
      </c>
      <c r="AW4" s="226">
        <f t="shared" si="7"/>
        <v>0</v>
      </c>
      <c r="AX4" s="226">
        <f t="shared" si="8"/>
        <v>0</v>
      </c>
    </row>
    <row r="5" spans="1:50">
      <c r="A5" s="374" t="s">
        <v>1275</v>
      </c>
      <c r="B5" s="373">
        <f t="shared" si="0"/>
        <v>257058</v>
      </c>
      <c r="C5" s="373">
        <f t="shared" si="0"/>
        <v>27466.11</v>
      </c>
      <c r="D5" s="373">
        <f t="shared" si="0"/>
        <v>-79</v>
      </c>
      <c r="E5" s="373">
        <f t="shared" si="0"/>
        <v>-8.39</v>
      </c>
      <c r="F5" s="373">
        <f t="shared" si="0"/>
        <v>404.26666666666699</v>
      </c>
      <c r="G5" s="373">
        <f t="shared" si="0"/>
        <v>404.26666666666699</v>
      </c>
      <c r="H5" s="373">
        <f t="shared" si="0"/>
        <v>0</v>
      </c>
      <c r="I5" s="373">
        <f t="shared" si="0"/>
        <v>72.897500000000008</v>
      </c>
      <c r="J5" s="373">
        <f t="shared" si="0"/>
        <v>0</v>
      </c>
      <c r="K5" s="373">
        <f t="shared" si="0"/>
        <v>256979</v>
      </c>
      <c r="L5" s="373">
        <f t="shared" si="1"/>
        <v>150822</v>
      </c>
      <c r="M5" s="373">
        <f t="shared" si="1"/>
        <v>84214</v>
      </c>
      <c r="N5" s="373">
        <f t="shared" si="1"/>
        <v>66608</v>
      </c>
      <c r="O5" s="373">
        <f t="shared" si="1"/>
        <v>106157</v>
      </c>
      <c r="P5" s="373">
        <f t="shared" si="1"/>
        <v>61849</v>
      </c>
      <c r="Q5" s="373">
        <f t="shared" si="1"/>
        <v>34212</v>
      </c>
      <c r="R5" s="373">
        <f t="shared" si="1"/>
        <v>10096</v>
      </c>
      <c r="S5" s="373">
        <f t="shared" si="1"/>
        <v>0</v>
      </c>
      <c r="T5" s="373">
        <f t="shared" si="1"/>
        <v>0</v>
      </c>
      <c r="U5" s="373">
        <f t="shared" si="1"/>
        <v>28474.924866000001</v>
      </c>
      <c r="V5" s="373">
        <f t="shared" si="2"/>
        <v>28474.924866000001</v>
      </c>
      <c r="W5" s="373">
        <f t="shared" si="2"/>
        <v>28475.239999999998</v>
      </c>
      <c r="X5" s="373">
        <f t="shared" si="2"/>
        <v>0</v>
      </c>
      <c r="Y5" s="373">
        <f t="shared" si="2"/>
        <v>0</v>
      </c>
      <c r="Z5" s="373">
        <f t="shared" si="2"/>
        <v>0</v>
      </c>
      <c r="AA5" s="373">
        <f t="shared" si="2"/>
        <v>0</v>
      </c>
      <c r="AB5" s="373">
        <f t="shared" si="2"/>
        <v>0</v>
      </c>
      <c r="AC5" s="373">
        <f t="shared" si="2"/>
        <v>-1017.52</v>
      </c>
      <c r="AD5" s="373">
        <f t="shared" si="2"/>
        <v>-1019.03</v>
      </c>
      <c r="AE5" s="373">
        <f t="shared" si="2"/>
        <v>0</v>
      </c>
      <c r="AF5" s="373">
        <f t="shared" si="3"/>
        <v>0</v>
      </c>
      <c r="AG5" s="373">
        <f t="shared" si="3"/>
        <v>0</v>
      </c>
      <c r="AH5" s="373">
        <f t="shared" si="3"/>
        <v>0</v>
      </c>
      <c r="AI5" s="373">
        <f t="shared" si="3"/>
        <v>0</v>
      </c>
      <c r="AJ5" s="373">
        <f t="shared" si="3"/>
        <v>0</v>
      </c>
      <c r="AK5" s="373">
        <f t="shared" si="3"/>
        <v>0</v>
      </c>
      <c r="AL5" s="373">
        <f t="shared" si="3"/>
        <v>0</v>
      </c>
      <c r="AM5" s="373">
        <f t="shared" si="3"/>
        <v>0</v>
      </c>
      <c r="AN5" s="373">
        <f t="shared" si="3"/>
        <v>0</v>
      </c>
      <c r="AO5" s="373">
        <f t="shared" si="3"/>
        <v>0</v>
      </c>
      <c r="AP5" s="373">
        <f t="shared" si="3"/>
        <v>0</v>
      </c>
      <c r="AQ5" s="373">
        <f t="shared" si="3"/>
        <v>0</v>
      </c>
      <c r="AR5" s="373">
        <f t="shared" si="3"/>
        <v>0</v>
      </c>
      <c r="AS5" s="524"/>
      <c r="AT5" s="860">
        <v>136</v>
      </c>
      <c r="AU5" s="226">
        <f t="shared" si="5"/>
        <v>-0.31513399999676039</v>
      </c>
      <c r="AV5" s="129">
        <f t="shared" si="6"/>
        <v>-1.1066947986979579E-5</v>
      </c>
      <c r="AW5" s="226">
        <f t="shared" si="7"/>
        <v>-1.5099999999999909</v>
      </c>
      <c r="AX5" s="226">
        <f t="shared" si="8"/>
        <v>0</v>
      </c>
    </row>
    <row r="6" spans="1:50">
      <c r="A6" s="374" t="s">
        <v>1276</v>
      </c>
      <c r="B6" s="373">
        <f t="shared" si="0"/>
        <v>117500286</v>
      </c>
      <c r="C6" s="373">
        <f t="shared" si="0"/>
        <v>13822582.52</v>
      </c>
      <c r="D6" s="373">
        <f t="shared" si="0"/>
        <v>-373711</v>
      </c>
      <c r="E6" s="373">
        <f t="shared" si="0"/>
        <v>-37761.950000000004</v>
      </c>
      <c r="F6" s="373">
        <f t="shared" si="0"/>
        <v>356361.6</v>
      </c>
      <c r="G6" s="373">
        <f t="shared" si="0"/>
        <v>356037.6</v>
      </c>
      <c r="H6" s="373">
        <f t="shared" si="0"/>
        <v>324</v>
      </c>
      <c r="I6" s="373">
        <f t="shared" si="0"/>
        <v>41677.815000000002</v>
      </c>
      <c r="J6" s="373">
        <f t="shared" si="0"/>
        <v>9.7675000000000001</v>
      </c>
      <c r="K6" s="373">
        <f t="shared" si="0"/>
        <v>117126575</v>
      </c>
      <c r="L6" s="373">
        <f t="shared" si="1"/>
        <v>79798640</v>
      </c>
      <c r="M6" s="373">
        <f t="shared" si="1"/>
        <v>40313560</v>
      </c>
      <c r="N6" s="373">
        <f t="shared" si="1"/>
        <v>39485080</v>
      </c>
      <c r="O6" s="373">
        <f t="shared" si="1"/>
        <v>37327935</v>
      </c>
      <c r="P6" s="373">
        <f t="shared" si="1"/>
        <v>18762993</v>
      </c>
      <c r="Q6" s="373">
        <f t="shared" si="1"/>
        <v>11966355</v>
      </c>
      <c r="R6" s="373">
        <f t="shared" si="1"/>
        <v>6598587</v>
      </c>
      <c r="S6" s="373">
        <f t="shared" si="1"/>
        <v>5872</v>
      </c>
      <c r="T6" s="373">
        <f t="shared" si="1"/>
        <v>40803</v>
      </c>
      <c r="U6" s="373">
        <f t="shared" si="1"/>
        <v>14264261.982762963</v>
      </c>
      <c r="V6" s="373">
        <f t="shared" si="2"/>
        <v>14264261.982762963</v>
      </c>
      <c r="W6" s="373">
        <f t="shared" si="2"/>
        <v>14264353.59</v>
      </c>
      <c r="X6" s="373">
        <f t="shared" si="2"/>
        <v>0</v>
      </c>
      <c r="Y6" s="373">
        <f t="shared" si="2"/>
        <v>0</v>
      </c>
      <c r="Z6" s="373">
        <f t="shared" si="2"/>
        <v>0</v>
      </c>
      <c r="AA6" s="373">
        <f t="shared" si="2"/>
        <v>0</v>
      </c>
      <c r="AB6" s="373">
        <f t="shared" si="2"/>
        <v>0</v>
      </c>
      <c r="AC6" s="373">
        <f t="shared" si="2"/>
        <v>-479533.01999999996</v>
      </c>
      <c r="AD6" s="373">
        <f t="shared" si="2"/>
        <v>-482289.94</v>
      </c>
      <c r="AE6" s="373">
        <f t="shared" si="2"/>
        <v>0</v>
      </c>
      <c r="AF6" s="373">
        <f t="shared" si="3"/>
        <v>0</v>
      </c>
      <c r="AG6" s="373">
        <f t="shared" si="3"/>
        <v>0</v>
      </c>
      <c r="AH6" s="373">
        <f t="shared" si="3"/>
        <v>0</v>
      </c>
      <c r="AI6" s="373">
        <f t="shared" si="3"/>
        <v>0</v>
      </c>
      <c r="AJ6" s="373">
        <f t="shared" si="3"/>
        <v>0</v>
      </c>
      <c r="AK6" s="373">
        <f t="shared" si="3"/>
        <v>0</v>
      </c>
      <c r="AL6" s="373">
        <f t="shared" si="3"/>
        <v>0</v>
      </c>
      <c r="AM6" s="373">
        <f t="shared" si="3"/>
        <v>12</v>
      </c>
      <c r="AN6" s="373">
        <f t="shared" si="3"/>
        <v>9494.9333333333198</v>
      </c>
      <c r="AO6" s="373">
        <f t="shared" si="3"/>
        <v>228</v>
      </c>
      <c r="AP6" s="373">
        <f t="shared" si="3"/>
        <v>654.94749999999999</v>
      </c>
      <c r="AQ6" s="373">
        <f t="shared" si="3"/>
        <v>2.5</v>
      </c>
      <c r="AR6" s="373">
        <f t="shared" si="3"/>
        <v>0</v>
      </c>
      <c r="AS6" s="524"/>
      <c r="AT6" s="860">
        <v>135</v>
      </c>
      <c r="AU6" s="226">
        <f t="shared" si="5"/>
        <v>-91.607237037271261</v>
      </c>
      <c r="AV6" s="129">
        <f t="shared" si="6"/>
        <v>-6.4221092431060007E-6</v>
      </c>
      <c r="AW6" s="226">
        <f t="shared" si="7"/>
        <v>-2756.9200000000419</v>
      </c>
      <c r="AX6" s="226">
        <f t="shared" si="8"/>
        <v>0</v>
      </c>
    </row>
    <row r="7" spans="1:50">
      <c r="A7" s="374" t="s">
        <v>1277</v>
      </c>
      <c r="B7" s="373">
        <f t="shared" si="0"/>
        <v>1102484</v>
      </c>
      <c r="C7" s="373">
        <f t="shared" si="0"/>
        <v>119194.35</v>
      </c>
      <c r="D7" s="373">
        <f t="shared" si="0"/>
        <v>-1678</v>
      </c>
      <c r="E7" s="373">
        <f t="shared" si="0"/>
        <v>-161.88</v>
      </c>
      <c r="F7" s="373">
        <f t="shared" si="0"/>
        <v>2313.0666666666666</v>
      </c>
      <c r="G7" s="373">
        <f t="shared" si="0"/>
        <v>2313.0666666666666</v>
      </c>
      <c r="H7" s="373">
        <f t="shared" si="0"/>
        <v>0</v>
      </c>
      <c r="I7" s="373">
        <f t="shared" si="0"/>
        <v>115.58250000000001</v>
      </c>
      <c r="J7" s="373">
        <f t="shared" si="0"/>
        <v>0</v>
      </c>
      <c r="K7" s="373">
        <f t="shared" si="0"/>
        <v>1100806</v>
      </c>
      <c r="L7" s="373">
        <f t="shared" si="1"/>
        <v>747801</v>
      </c>
      <c r="M7" s="373">
        <f t="shared" si="1"/>
        <v>382050</v>
      </c>
      <c r="N7" s="373">
        <f t="shared" si="1"/>
        <v>365751</v>
      </c>
      <c r="O7" s="373">
        <f t="shared" si="1"/>
        <v>353005</v>
      </c>
      <c r="P7" s="373">
        <f t="shared" si="1"/>
        <v>222233</v>
      </c>
      <c r="Q7" s="373">
        <f t="shared" si="1"/>
        <v>101691</v>
      </c>
      <c r="R7" s="373">
        <f t="shared" si="1"/>
        <v>29081</v>
      </c>
      <c r="S7" s="373">
        <f t="shared" si="1"/>
        <v>0</v>
      </c>
      <c r="T7" s="373">
        <f t="shared" si="1"/>
        <v>0</v>
      </c>
      <c r="U7" s="373">
        <f t="shared" si="1"/>
        <v>123383.11559299999</v>
      </c>
      <c r="V7" s="373">
        <f t="shared" si="2"/>
        <v>123383.11559299999</v>
      </c>
      <c r="W7" s="373">
        <f t="shared" si="2"/>
        <v>123384.01</v>
      </c>
      <c r="X7" s="373">
        <f t="shared" si="2"/>
        <v>0</v>
      </c>
      <c r="Y7" s="373">
        <f t="shared" si="2"/>
        <v>0</v>
      </c>
      <c r="Z7" s="373">
        <f t="shared" si="2"/>
        <v>0</v>
      </c>
      <c r="AA7" s="373">
        <f t="shared" si="2"/>
        <v>0</v>
      </c>
      <c r="AB7" s="373">
        <f t="shared" si="2"/>
        <v>0</v>
      </c>
      <c r="AC7" s="373">
        <f t="shared" si="2"/>
        <v>-4351.54</v>
      </c>
      <c r="AD7" s="373">
        <f t="shared" si="2"/>
        <v>-4361.26</v>
      </c>
      <c r="AE7" s="373">
        <f t="shared" si="2"/>
        <v>0</v>
      </c>
      <c r="AF7" s="373">
        <f t="shared" si="3"/>
        <v>0</v>
      </c>
      <c r="AG7" s="373">
        <f t="shared" si="3"/>
        <v>0</v>
      </c>
      <c r="AH7" s="373">
        <f t="shared" si="3"/>
        <v>0</v>
      </c>
      <c r="AI7" s="373">
        <f t="shared" si="3"/>
        <v>0</v>
      </c>
      <c r="AJ7" s="373">
        <f t="shared" si="3"/>
        <v>0</v>
      </c>
      <c r="AK7" s="373">
        <f t="shared" si="3"/>
        <v>0</v>
      </c>
      <c r="AL7" s="373">
        <f t="shared" si="3"/>
        <v>0</v>
      </c>
      <c r="AM7" s="373">
        <f t="shared" si="3"/>
        <v>0</v>
      </c>
      <c r="AN7" s="373">
        <f t="shared" si="3"/>
        <v>1131.9666666666669</v>
      </c>
      <c r="AO7" s="373">
        <f t="shared" si="3"/>
        <v>0</v>
      </c>
      <c r="AP7" s="373">
        <f t="shared" si="3"/>
        <v>6.8162500000000001</v>
      </c>
      <c r="AQ7" s="373">
        <f t="shared" si="3"/>
        <v>0</v>
      </c>
      <c r="AR7" s="373">
        <f t="shared" si="3"/>
        <v>0</v>
      </c>
      <c r="AS7" s="524"/>
      <c r="AT7" s="860">
        <v>135</v>
      </c>
      <c r="AU7" s="226">
        <f t="shared" si="5"/>
        <v>-0.89440699999977369</v>
      </c>
      <c r="AV7" s="129">
        <f t="shared" si="6"/>
        <v>-7.2489701056058537E-6</v>
      </c>
      <c r="AW7" s="226">
        <f t="shared" si="7"/>
        <v>-9.7200000000002547</v>
      </c>
      <c r="AX7" s="226">
        <f t="shared" si="8"/>
        <v>0</v>
      </c>
    </row>
    <row r="8" spans="1:50">
      <c r="A8" s="374" t="s">
        <v>1278</v>
      </c>
      <c r="B8" s="373">
        <f t="shared" si="0"/>
        <v>6510269932</v>
      </c>
      <c r="C8" s="373">
        <f t="shared" si="0"/>
        <v>696006019.02999997</v>
      </c>
      <c r="D8" s="373">
        <f t="shared" si="0"/>
        <v>73644</v>
      </c>
      <c r="E8" s="373">
        <f t="shared" si="0"/>
        <v>8658.24</v>
      </c>
      <c r="F8" s="373">
        <f t="shared" si="0"/>
        <v>9183046.5000016987</v>
      </c>
      <c r="G8" s="373">
        <f t="shared" si="0"/>
        <v>9167739.0666683689</v>
      </c>
      <c r="H8" s="373">
        <f t="shared" si="0"/>
        <v>15307.433333333331</v>
      </c>
      <c r="I8" s="373">
        <f t="shared" si="0"/>
        <v>17038.335000000538</v>
      </c>
      <c r="J8" s="373">
        <f t="shared" si="0"/>
        <v>28.496875000000003</v>
      </c>
      <c r="K8" s="373">
        <f t="shared" si="0"/>
        <v>6510343576</v>
      </c>
      <c r="L8" s="373">
        <f t="shared" si="1"/>
        <v>3461464265</v>
      </c>
      <c r="M8" s="373">
        <f t="shared" si="1"/>
        <v>1867909708</v>
      </c>
      <c r="N8" s="373">
        <f t="shared" si="1"/>
        <v>1593554557</v>
      </c>
      <c r="O8" s="373">
        <f t="shared" si="1"/>
        <v>3048879311</v>
      </c>
      <c r="P8" s="373">
        <f t="shared" si="1"/>
        <v>1377768740</v>
      </c>
      <c r="Q8" s="373">
        <f t="shared" si="1"/>
        <v>1101212309</v>
      </c>
      <c r="R8" s="373">
        <f t="shared" si="1"/>
        <v>569898262</v>
      </c>
      <c r="S8" s="373">
        <f t="shared" si="1"/>
        <v>0</v>
      </c>
      <c r="T8" s="373">
        <f t="shared" si="1"/>
        <v>0</v>
      </c>
      <c r="U8" s="373">
        <f t="shared" si="1"/>
        <v>722660338.34903097</v>
      </c>
      <c r="V8" s="373">
        <f t="shared" si="2"/>
        <v>722660338.34903097</v>
      </c>
      <c r="W8" s="373">
        <f t="shared" si="2"/>
        <v>722665912.90999997</v>
      </c>
      <c r="X8" s="373">
        <f t="shared" si="2"/>
        <v>0</v>
      </c>
      <c r="Y8" s="373">
        <f t="shared" si="2"/>
        <v>0</v>
      </c>
      <c r="Z8" s="373">
        <f t="shared" si="2"/>
        <v>0</v>
      </c>
      <c r="AA8" s="373">
        <f t="shared" si="2"/>
        <v>0</v>
      </c>
      <c r="AB8" s="373">
        <f t="shared" si="2"/>
        <v>0</v>
      </c>
      <c r="AC8" s="373">
        <f t="shared" si="2"/>
        <v>-26651235.640000001</v>
      </c>
      <c r="AD8" s="373">
        <f t="shared" si="2"/>
        <v>-26653227.050000001</v>
      </c>
      <c r="AE8" s="373">
        <f t="shared" si="2"/>
        <v>0</v>
      </c>
      <c r="AF8" s="373">
        <f t="shared" si="3"/>
        <v>0</v>
      </c>
      <c r="AG8" s="373">
        <f t="shared" si="3"/>
        <v>0</v>
      </c>
      <c r="AH8" s="373">
        <f t="shared" si="3"/>
        <v>0</v>
      </c>
      <c r="AI8" s="373">
        <f t="shared" si="3"/>
        <v>0</v>
      </c>
      <c r="AJ8" s="373">
        <f t="shared" si="3"/>
        <v>0</v>
      </c>
      <c r="AK8" s="373">
        <f t="shared" si="3"/>
        <v>0</v>
      </c>
      <c r="AL8" s="373">
        <f t="shared" si="3"/>
        <v>4.2413541666666674</v>
      </c>
      <c r="AM8" s="373">
        <f t="shared" si="3"/>
        <v>237.56681818181821</v>
      </c>
      <c r="AN8" s="373">
        <f t="shared" si="3"/>
        <v>2153546.133333195</v>
      </c>
      <c r="AO8" s="373">
        <f t="shared" si="3"/>
        <v>12029.033333333331</v>
      </c>
      <c r="AP8" s="373">
        <f t="shared" si="3"/>
        <v>5133.0524999999698</v>
      </c>
      <c r="AQ8" s="373">
        <f t="shared" si="3"/>
        <v>21.559374999999999</v>
      </c>
      <c r="AR8" s="373">
        <f t="shared" si="3"/>
        <v>0</v>
      </c>
      <c r="AS8" s="524"/>
      <c r="AT8" s="860">
        <v>1</v>
      </c>
      <c r="AU8" s="226">
        <f t="shared" si="5"/>
        <v>-5574.5609689950943</v>
      </c>
      <c r="AV8" s="129">
        <f t="shared" si="6"/>
        <v>-7.7138839253503633E-6</v>
      </c>
      <c r="AW8" s="226">
        <f t="shared" si="7"/>
        <v>-1991.410000000149</v>
      </c>
      <c r="AX8" s="226">
        <f t="shared" si="8"/>
        <v>0</v>
      </c>
    </row>
    <row r="9" spans="1:50">
      <c r="A9" s="374" t="s">
        <v>1279</v>
      </c>
      <c r="B9" s="373">
        <f t="shared" si="0"/>
        <v>3071092</v>
      </c>
      <c r="C9" s="373">
        <f t="shared" si="0"/>
        <v>323349.52</v>
      </c>
      <c r="D9" s="373">
        <f t="shared" si="0"/>
        <v>19969</v>
      </c>
      <c r="E9" s="373">
        <f t="shared" si="0"/>
        <v>2188.5</v>
      </c>
      <c r="F9" s="373">
        <f t="shared" si="0"/>
        <v>4580.7333333333299</v>
      </c>
      <c r="G9" s="373">
        <f t="shared" si="0"/>
        <v>4568.7333333333299</v>
      </c>
      <c r="H9" s="373">
        <f t="shared" si="0"/>
        <v>12</v>
      </c>
      <c r="I9" s="373">
        <f t="shared" si="0"/>
        <v>9.9312500000000004</v>
      </c>
      <c r="J9" s="373">
        <f t="shared" si="0"/>
        <v>0</v>
      </c>
      <c r="K9" s="373">
        <f t="shared" si="0"/>
        <v>3091061</v>
      </c>
      <c r="L9" s="373">
        <f t="shared" si="1"/>
        <v>1707286</v>
      </c>
      <c r="M9" s="373">
        <f t="shared" si="1"/>
        <v>929999</v>
      </c>
      <c r="N9" s="373">
        <f t="shared" si="1"/>
        <v>777287</v>
      </c>
      <c r="O9" s="373">
        <f t="shared" si="1"/>
        <v>1383775</v>
      </c>
      <c r="P9" s="373">
        <f t="shared" si="1"/>
        <v>679877</v>
      </c>
      <c r="Q9" s="373">
        <f t="shared" si="1"/>
        <v>496816</v>
      </c>
      <c r="R9" s="373">
        <f t="shared" si="1"/>
        <v>207082</v>
      </c>
      <c r="S9" s="373">
        <f t="shared" si="1"/>
        <v>333042</v>
      </c>
      <c r="T9" s="373">
        <f t="shared" si="1"/>
        <v>1050725</v>
      </c>
      <c r="U9" s="373">
        <f t="shared" si="1"/>
        <v>337949.07700200001</v>
      </c>
      <c r="V9" s="373">
        <f t="shared" si="2"/>
        <v>337949.07700200001</v>
      </c>
      <c r="W9" s="373">
        <f t="shared" si="2"/>
        <v>337950.95</v>
      </c>
      <c r="X9" s="373">
        <f t="shared" si="2"/>
        <v>0</v>
      </c>
      <c r="Y9" s="373">
        <f t="shared" si="2"/>
        <v>0</v>
      </c>
      <c r="Z9" s="373">
        <f t="shared" si="2"/>
        <v>0</v>
      </c>
      <c r="AA9" s="373">
        <f t="shared" si="2"/>
        <v>0</v>
      </c>
      <c r="AB9" s="373">
        <f t="shared" si="2"/>
        <v>0</v>
      </c>
      <c r="AC9" s="373">
        <f t="shared" si="2"/>
        <v>-12412.929999999998</v>
      </c>
      <c r="AD9" s="373">
        <f t="shared" si="2"/>
        <v>-12284.61</v>
      </c>
      <c r="AE9" s="373">
        <f t="shared" si="2"/>
        <v>0</v>
      </c>
      <c r="AF9" s="373">
        <f t="shared" si="3"/>
        <v>0</v>
      </c>
      <c r="AG9" s="373">
        <f t="shared" si="3"/>
        <v>0</v>
      </c>
      <c r="AH9" s="373">
        <f t="shared" si="3"/>
        <v>0</v>
      </c>
      <c r="AI9" s="373">
        <f t="shared" si="3"/>
        <v>0</v>
      </c>
      <c r="AJ9" s="373">
        <f t="shared" si="3"/>
        <v>0</v>
      </c>
      <c r="AK9" s="373">
        <f t="shared" si="3"/>
        <v>0</v>
      </c>
      <c r="AL9" s="373">
        <f t="shared" si="3"/>
        <v>0</v>
      </c>
      <c r="AM9" s="373">
        <f t="shared" si="3"/>
        <v>0</v>
      </c>
      <c r="AN9" s="373">
        <f t="shared" si="3"/>
        <v>1018.9333333333341</v>
      </c>
      <c r="AO9" s="373">
        <f t="shared" si="3"/>
        <v>0</v>
      </c>
      <c r="AP9" s="373">
        <f t="shared" si="3"/>
        <v>4.4237500000000001</v>
      </c>
      <c r="AQ9" s="373">
        <f t="shared" si="3"/>
        <v>0</v>
      </c>
      <c r="AR9" s="373">
        <f t="shared" si="3"/>
        <v>0</v>
      </c>
      <c r="AS9" s="524"/>
      <c r="AT9" s="860">
        <v>2</v>
      </c>
      <c r="AU9" s="226">
        <f t="shared" si="5"/>
        <v>-1.8729980000061914</v>
      </c>
      <c r="AV9" s="129">
        <f t="shared" si="6"/>
        <v>-5.5422184787650143E-6</v>
      </c>
      <c r="AW9" s="226">
        <f t="shared" si="7"/>
        <v>128.31999999999789</v>
      </c>
      <c r="AX9" s="226">
        <f t="shared" si="8"/>
        <v>0</v>
      </c>
    </row>
    <row r="10" spans="1:50">
      <c r="A10" s="374" t="s">
        <v>1280</v>
      </c>
      <c r="B10" s="373">
        <f t="shared" si="0"/>
        <v>152215587</v>
      </c>
      <c r="C10" s="373">
        <f t="shared" si="0"/>
        <v>16015215.359999999</v>
      </c>
      <c r="D10" s="373">
        <f t="shared" si="0"/>
        <v>22231</v>
      </c>
      <c r="E10" s="373">
        <f t="shared" si="0"/>
        <v>2259.8799999999997</v>
      </c>
      <c r="F10" s="373">
        <f t="shared" si="0"/>
        <v>253379.69999999952</v>
      </c>
      <c r="G10" s="373">
        <f t="shared" si="0"/>
        <v>253179.46666666621</v>
      </c>
      <c r="H10" s="373">
        <f t="shared" si="0"/>
        <v>200.23333333333329</v>
      </c>
      <c r="I10" s="373">
        <f t="shared" si="0"/>
        <v>51.887500000000003</v>
      </c>
      <c r="J10" s="373">
        <f t="shared" si="0"/>
        <v>0</v>
      </c>
      <c r="K10" s="373">
        <f t="shared" si="0"/>
        <v>152237818</v>
      </c>
      <c r="L10" s="373">
        <f t="shared" si="1"/>
        <v>85503958</v>
      </c>
      <c r="M10" s="373">
        <f t="shared" si="1"/>
        <v>50852976</v>
      </c>
      <c r="N10" s="373">
        <f t="shared" si="1"/>
        <v>34650982</v>
      </c>
      <c r="O10" s="373">
        <f t="shared" si="1"/>
        <v>66733860</v>
      </c>
      <c r="P10" s="373">
        <f t="shared" si="1"/>
        <v>37426840</v>
      </c>
      <c r="Q10" s="373">
        <f t="shared" si="1"/>
        <v>22662236</v>
      </c>
      <c r="R10" s="373">
        <f t="shared" si="1"/>
        <v>6644784</v>
      </c>
      <c r="S10" s="373">
        <f t="shared" si="1"/>
        <v>7500</v>
      </c>
      <c r="T10" s="373">
        <f t="shared" si="1"/>
        <v>23518</v>
      </c>
      <c r="U10" s="373">
        <f t="shared" si="1"/>
        <v>16620678.043575499</v>
      </c>
      <c r="V10" s="373">
        <f t="shared" si="2"/>
        <v>16620678.043575499</v>
      </c>
      <c r="W10" s="373">
        <f t="shared" si="2"/>
        <v>16620800.870000001</v>
      </c>
      <c r="X10" s="373">
        <f t="shared" si="2"/>
        <v>0</v>
      </c>
      <c r="Y10" s="373">
        <f t="shared" si="2"/>
        <v>0</v>
      </c>
      <c r="Z10" s="373">
        <f t="shared" si="2"/>
        <v>0</v>
      </c>
      <c r="AA10" s="373">
        <f t="shared" si="2"/>
        <v>0</v>
      </c>
      <c r="AB10" s="373">
        <f t="shared" si="2"/>
        <v>0</v>
      </c>
      <c r="AC10" s="373">
        <f t="shared" si="2"/>
        <v>-603325.63</v>
      </c>
      <c r="AD10" s="373">
        <f t="shared" si="2"/>
        <v>-603273.56000000006</v>
      </c>
      <c r="AE10" s="373">
        <f t="shared" si="2"/>
        <v>0</v>
      </c>
      <c r="AF10" s="373">
        <f t="shared" si="3"/>
        <v>0</v>
      </c>
      <c r="AG10" s="373">
        <f t="shared" si="3"/>
        <v>0</v>
      </c>
      <c r="AH10" s="373">
        <f t="shared" si="3"/>
        <v>0</v>
      </c>
      <c r="AI10" s="373">
        <f t="shared" si="3"/>
        <v>0</v>
      </c>
      <c r="AJ10" s="373">
        <f t="shared" si="3"/>
        <v>0</v>
      </c>
      <c r="AK10" s="373">
        <f t="shared" si="3"/>
        <v>0</v>
      </c>
      <c r="AL10" s="373">
        <f t="shared" si="3"/>
        <v>0</v>
      </c>
      <c r="AM10" s="373">
        <f t="shared" si="3"/>
        <v>0</v>
      </c>
      <c r="AN10" s="373">
        <f t="shared" si="3"/>
        <v>120524.50000000009</v>
      </c>
      <c r="AO10" s="373">
        <f t="shared" si="3"/>
        <v>168.4</v>
      </c>
      <c r="AP10" s="373">
        <f t="shared" si="3"/>
        <v>20.868749999999999</v>
      </c>
      <c r="AQ10" s="373">
        <f t="shared" si="3"/>
        <v>0</v>
      </c>
      <c r="AR10" s="373">
        <f t="shared" si="3"/>
        <v>0</v>
      </c>
      <c r="AS10" s="524"/>
      <c r="AT10" s="860">
        <v>3</v>
      </c>
      <c r="AU10" s="226">
        <f t="shared" si="5"/>
        <v>-122.8264245018363</v>
      </c>
      <c r="AV10" s="129">
        <f t="shared" si="6"/>
        <v>-7.3899221501133536E-6</v>
      </c>
      <c r="AW10" s="226">
        <f t="shared" si="7"/>
        <v>52.069999999948777</v>
      </c>
      <c r="AX10" s="226">
        <f t="shared" si="8"/>
        <v>0</v>
      </c>
    </row>
    <row r="11" spans="1:50">
      <c r="A11" s="374" t="s">
        <v>1281</v>
      </c>
      <c r="B11" s="373">
        <f t="shared" si="0"/>
        <v>4043371</v>
      </c>
      <c r="C11" s="373">
        <f t="shared" si="0"/>
        <v>342250.07</v>
      </c>
      <c r="D11" s="373">
        <f t="shared" si="0"/>
        <v>-2050</v>
      </c>
      <c r="E11" s="373">
        <f t="shared" si="0"/>
        <v>-5.2800000000000011</v>
      </c>
      <c r="F11" s="373">
        <f t="shared" si="0"/>
        <v>3278.9666666666699</v>
      </c>
      <c r="G11" s="373">
        <f t="shared" si="0"/>
        <v>3278.9666666666699</v>
      </c>
      <c r="H11" s="373">
        <f t="shared" si="0"/>
        <v>0</v>
      </c>
      <c r="I11" s="373">
        <f t="shared" si="0"/>
        <v>0.1</v>
      </c>
      <c r="J11" s="373">
        <f t="shared" si="0"/>
        <v>0</v>
      </c>
      <c r="K11" s="373">
        <f t="shared" si="0"/>
        <v>4041321</v>
      </c>
      <c r="L11" s="373">
        <f t="shared" si="1"/>
        <v>0</v>
      </c>
      <c r="M11" s="373">
        <f t="shared" si="1"/>
        <v>0</v>
      </c>
      <c r="N11" s="373">
        <f t="shared" si="1"/>
        <v>0</v>
      </c>
      <c r="O11" s="373">
        <f t="shared" si="1"/>
        <v>0</v>
      </c>
      <c r="P11" s="373">
        <f t="shared" si="1"/>
        <v>0</v>
      </c>
      <c r="Q11" s="373">
        <f t="shared" si="1"/>
        <v>0</v>
      </c>
      <c r="R11" s="373">
        <f t="shared" si="1"/>
        <v>0</v>
      </c>
      <c r="S11" s="373">
        <f t="shared" si="1"/>
        <v>0</v>
      </c>
      <c r="T11" s="373">
        <f t="shared" si="1"/>
        <v>0</v>
      </c>
      <c r="U11" s="373">
        <f t="shared" si="1"/>
        <v>355605.60667899996</v>
      </c>
      <c r="V11" s="373">
        <f t="shared" si="2"/>
        <v>355605.60667899996</v>
      </c>
      <c r="W11" s="373">
        <f t="shared" si="2"/>
        <v>355605.61</v>
      </c>
      <c r="X11" s="373">
        <f t="shared" si="2"/>
        <v>0</v>
      </c>
      <c r="Y11" s="373">
        <f t="shared" si="2"/>
        <v>228976</v>
      </c>
      <c r="Z11" s="373">
        <f t="shared" si="2"/>
        <v>1067463</v>
      </c>
      <c r="AA11" s="373">
        <f t="shared" si="2"/>
        <v>384603</v>
      </c>
      <c r="AB11" s="373">
        <f t="shared" si="2"/>
        <v>2360279</v>
      </c>
      <c r="AC11" s="373">
        <f t="shared" si="2"/>
        <v>-13360.82</v>
      </c>
      <c r="AD11" s="373">
        <f t="shared" si="2"/>
        <v>-13360.599999999999</v>
      </c>
      <c r="AE11" s="373">
        <f t="shared" si="2"/>
        <v>0</v>
      </c>
      <c r="AF11" s="373">
        <f t="shared" si="3"/>
        <v>0</v>
      </c>
      <c r="AG11" s="373">
        <f t="shared" si="3"/>
        <v>0</v>
      </c>
      <c r="AH11" s="373">
        <f t="shared" si="3"/>
        <v>0</v>
      </c>
      <c r="AI11" s="373">
        <f t="shared" si="3"/>
        <v>0</v>
      </c>
      <c r="AJ11" s="373">
        <f t="shared" si="3"/>
        <v>0</v>
      </c>
      <c r="AK11" s="373">
        <f t="shared" si="3"/>
        <v>0</v>
      </c>
      <c r="AL11" s="373">
        <f t="shared" si="3"/>
        <v>0</v>
      </c>
      <c r="AM11" s="373">
        <f t="shared" si="3"/>
        <v>0</v>
      </c>
      <c r="AN11" s="373">
        <f t="shared" si="3"/>
        <v>201.06666666666672</v>
      </c>
      <c r="AO11" s="373">
        <f t="shared" si="3"/>
        <v>0</v>
      </c>
      <c r="AP11" s="373">
        <f t="shared" si="3"/>
        <v>0</v>
      </c>
      <c r="AQ11" s="373">
        <f t="shared" si="3"/>
        <v>0</v>
      </c>
      <c r="AR11" s="373">
        <f t="shared" si="3"/>
        <v>0</v>
      </c>
      <c r="AS11" s="524"/>
      <c r="AT11" s="860" t="s">
        <v>1118</v>
      </c>
      <c r="AU11" s="226">
        <f t="shared" si="5"/>
        <v>-3.3210000256076455E-3</v>
      </c>
      <c r="AV11" s="129">
        <f t="shared" si="6"/>
        <v>-9.338997845415446E-9</v>
      </c>
      <c r="AW11" s="226">
        <f t="shared" si="7"/>
        <v>0.22000000000116415</v>
      </c>
      <c r="AX11" s="226">
        <f t="shared" si="8"/>
        <v>0</v>
      </c>
    </row>
    <row r="12" spans="1:50">
      <c r="A12" s="374" t="s">
        <v>1282</v>
      </c>
      <c r="B12" s="373">
        <f t="shared" si="0"/>
        <v>50364074</v>
      </c>
      <c r="C12" s="373">
        <f t="shared" si="0"/>
        <v>3213365.16</v>
      </c>
      <c r="D12" s="373">
        <f t="shared" si="0"/>
        <v>-5613715</v>
      </c>
      <c r="E12" s="373">
        <f t="shared" si="0"/>
        <v>7723.5999999999995</v>
      </c>
      <c r="F12" s="373">
        <f t="shared" si="0"/>
        <v>30552.63333333327</v>
      </c>
      <c r="G12" s="373">
        <f t="shared" si="0"/>
        <v>30537.733333333268</v>
      </c>
      <c r="H12" s="373">
        <f t="shared" si="0"/>
        <v>14.9</v>
      </c>
      <c r="I12" s="373">
        <f t="shared" si="0"/>
        <v>2.7237499999999999</v>
      </c>
      <c r="J12" s="373">
        <f t="shared" si="0"/>
        <v>0</v>
      </c>
      <c r="K12" s="373">
        <f t="shared" si="0"/>
        <v>28433895</v>
      </c>
      <c r="L12" s="373">
        <f t="shared" si="1"/>
        <v>0</v>
      </c>
      <c r="M12" s="373">
        <f t="shared" si="1"/>
        <v>0</v>
      </c>
      <c r="N12" s="373">
        <f t="shared" si="1"/>
        <v>0</v>
      </c>
      <c r="O12" s="373">
        <f t="shared" si="1"/>
        <v>0</v>
      </c>
      <c r="P12" s="373">
        <f t="shared" si="1"/>
        <v>0</v>
      </c>
      <c r="Q12" s="373">
        <f t="shared" si="1"/>
        <v>0</v>
      </c>
      <c r="R12" s="373">
        <f t="shared" si="1"/>
        <v>0</v>
      </c>
      <c r="S12" s="373">
        <f t="shared" si="1"/>
        <v>0</v>
      </c>
      <c r="T12" s="373">
        <f t="shared" si="1"/>
        <v>0</v>
      </c>
      <c r="U12" s="373">
        <f t="shared" si="1"/>
        <v>3347472.5289329556</v>
      </c>
      <c r="V12" s="373">
        <f t="shared" si="2"/>
        <v>3347472.5289329556</v>
      </c>
      <c r="W12" s="373">
        <f t="shared" si="2"/>
        <v>3347495.48</v>
      </c>
      <c r="X12" s="373">
        <f t="shared" si="2"/>
        <v>16316464</v>
      </c>
      <c r="Y12" s="373">
        <f t="shared" si="2"/>
        <v>0</v>
      </c>
      <c r="Z12" s="373">
        <f t="shared" si="2"/>
        <v>0</v>
      </c>
      <c r="AA12" s="373">
        <f t="shared" si="2"/>
        <v>0</v>
      </c>
      <c r="AB12" s="373">
        <f t="shared" si="2"/>
        <v>0</v>
      </c>
      <c r="AC12" s="373">
        <f t="shared" si="2"/>
        <v>-126406.72000000002</v>
      </c>
      <c r="AD12" s="373">
        <f t="shared" si="2"/>
        <v>-126119.4</v>
      </c>
      <c r="AE12" s="373">
        <f t="shared" si="2"/>
        <v>0</v>
      </c>
      <c r="AF12" s="373">
        <f t="shared" si="3"/>
        <v>12442651</v>
      </c>
      <c r="AG12" s="373">
        <f t="shared" si="3"/>
        <v>3153882</v>
      </c>
      <c r="AH12" s="373">
        <f t="shared" si="3"/>
        <v>2031579</v>
      </c>
      <c r="AI12" s="373">
        <f t="shared" si="3"/>
        <v>837642</v>
      </c>
      <c r="AJ12" s="373">
        <f t="shared" si="3"/>
        <v>3650177</v>
      </c>
      <c r="AK12" s="373">
        <f t="shared" si="3"/>
        <v>2769371</v>
      </c>
      <c r="AL12" s="373">
        <f t="shared" si="3"/>
        <v>0</v>
      </c>
      <c r="AM12" s="373">
        <f t="shared" si="3"/>
        <v>12</v>
      </c>
      <c r="AN12" s="373">
        <f t="shared" si="3"/>
        <v>4179.7333333333299</v>
      </c>
      <c r="AO12" s="373">
        <f t="shared" si="3"/>
        <v>14.9</v>
      </c>
      <c r="AP12" s="373">
        <f t="shared" si="3"/>
        <v>0.50750000000000006</v>
      </c>
      <c r="AQ12" s="373">
        <f t="shared" si="3"/>
        <v>0</v>
      </c>
      <c r="AR12" s="373">
        <f t="shared" si="3"/>
        <v>0</v>
      </c>
      <c r="AS12" s="524"/>
      <c r="AT12" s="860">
        <v>1</v>
      </c>
      <c r="AU12" s="226">
        <f t="shared" si="5"/>
        <v>-22.951067044399679</v>
      </c>
      <c r="AV12" s="129">
        <f t="shared" si="6"/>
        <v>-6.8561906002632387E-6</v>
      </c>
      <c r="AW12" s="226">
        <f t="shared" si="7"/>
        <v>287.32000000002154</v>
      </c>
      <c r="AX12" s="226">
        <f t="shared" si="8"/>
        <v>-325220</v>
      </c>
    </row>
    <row r="13" spans="1:50">
      <c r="A13" s="374" t="s">
        <v>1283</v>
      </c>
      <c r="B13" s="373">
        <f t="shared" si="0"/>
        <v>386399</v>
      </c>
      <c r="C13" s="373">
        <f t="shared" si="0"/>
        <v>25159.53</v>
      </c>
      <c r="D13" s="373">
        <f t="shared" si="0"/>
        <v>-44544</v>
      </c>
      <c r="E13" s="373">
        <f t="shared" si="0"/>
        <v>0</v>
      </c>
      <c r="F13" s="373">
        <f t="shared" si="0"/>
        <v>294.96666666666698</v>
      </c>
      <c r="G13" s="373">
        <f t="shared" si="0"/>
        <v>294.96666666666698</v>
      </c>
      <c r="H13" s="373">
        <f t="shared" si="0"/>
        <v>0</v>
      </c>
      <c r="I13" s="373">
        <f t="shared" si="0"/>
        <v>0.17499999999999999</v>
      </c>
      <c r="J13" s="373">
        <f t="shared" si="0"/>
        <v>0</v>
      </c>
      <c r="K13" s="373">
        <f t="shared" si="0"/>
        <v>218776</v>
      </c>
      <c r="L13" s="373">
        <f t="shared" si="1"/>
        <v>0</v>
      </c>
      <c r="M13" s="373">
        <f t="shared" si="1"/>
        <v>0</v>
      </c>
      <c r="N13" s="373">
        <f t="shared" si="1"/>
        <v>0</v>
      </c>
      <c r="O13" s="373">
        <f t="shared" si="1"/>
        <v>0</v>
      </c>
      <c r="P13" s="373">
        <f t="shared" si="1"/>
        <v>0</v>
      </c>
      <c r="Q13" s="373">
        <f t="shared" si="1"/>
        <v>0</v>
      </c>
      <c r="R13" s="373">
        <f t="shared" si="1"/>
        <v>0</v>
      </c>
      <c r="S13" s="373">
        <f t="shared" si="1"/>
        <v>0</v>
      </c>
      <c r="T13" s="373">
        <f t="shared" si="1"/>
        <v>0</v>
      </c>
      <c r="U13" s="373">
        <f t="shared" si="1"/>
        <v>26129.008394999997</v>
      </c>
      <c r="V13" s="373">
        <f t="shared" si="2"/>
        <v>26129.008394999997</v>
      </c>
      <c r="W13" s="373">
        <f t="shared" si="2"/>
        <v>26129.040000000001</v>
      </c>
      <c r="X13" s="373">
        <f t="shared" si="2"/>
        <v>123079</v>
      </c>
      <c r="Y13" s="373">
        <f t="shared" si="2"/>
        <v>0</v>
      </c>
      <c r="Z13" s="373">
        <f t="shared" si="2"/>
        <v>0</v>
      </c>
      <c r="AA13" s="373">
        <f t="shared" si="2"/>
        <v>0</v>
      </c>
      <c r="AB13" s="373">
        <f t="shared" si="2"/>
        <v>0</v>
      </c>
      <c r="AC13" s="373">
        <f t="shared" si="2"/>
        <v>-969.51</v>
      </c>
      <c r="AD13" s="373">
        <f t="shared" si="2"/>
        <v>-969.51</v>
      </c>
      <c r="AE13" s="373">
        <f t="shared" si="2"/>
        <v>0</v>
      </c>
      <c r="AF13" s="373">
        <f t="shared" si="3"/>
        <v>100056</v>
      </c>
      <c r="AG13" s="373">
        <f t="shared" si="3"/>
        <v>26430</v>
      </c>
      <c r="AH13" s="373">
        <f t="shared" si="3"/>
        <v>17502</v>
      </c>
      <c r="AI13" s="373">
        <f t="shared" si="3"/>
        <v>5900</v>
      </c>
      <c r="AJ13" s="373">
        <f t="shared" si="3"/>
        <v>34237</v>
      </c>
      <c r="AK13" s="373">
        <f t="shared" si="3"/>
        <v>15987</v>
      </c>
      <c r="AL13" s="373">
        <f t="shared" si="3"/>
        <v>0</v>
      </c>
      <c r="AM13" s="373">
        <f t="shared" si="3"/>
        <v>0</v>
      </c>
      <c r="AN13" s="373">
        <f t="shared" si="3"/>
        <v>76.033333333333303</v>
      </c>
      <c r="AO13" s="373">
        <f t="shared" si="3"/>
        <v>0</v>
      </c>
      <c r="AP13" s="373">
        <f t="shared" si="3"/>
        <v>0</v>
      </c>
      <c r="AQ13" s="373">
        <f t="shared" si="3"/>
        <v>0</v>
      </c>
      <c r="AR13" s="373">
        <f t="shared" si="3"/>
        <v>0</v>
      </c>
      <c r="AS13" s="524"/>
      <c r="AT13" s="860">
        <v>3</v>
      </c>
      <c r="AU13" s="226">
        <f t="shared" si="5"/>
        <v>-3.1605000003764872E-2</v>
      </c>
      <c r="AV13" s="129">
        <f t="shared" si="6"/>
        <v>-1.2095737158259495E-6</v>
      </c>
      <c r="AW13" s="226">
        <f t="shared" si="7"/>
        <v>0</v>
      </c>
      <c r="AX13" s="226">
        <f t="shared" si="8"/>
        <v>-4359</v>
      </c>
    </row>
    <row r="14" spans="1:50">
      <c r="AU14" s="226"/>
      <c r="AW14" s="226"/>
      <c r="AX14" s="226"/>
    </row>
    <row r="15" spans="1:50">
      <c r="A15" s="126">
        <v>1</v>
      </c>
      <c r="B15" s="338">
        <f t="shared" ref="B15:K20" si="9">SUMIF($AT$2:$AT$13,$A15,B$2:B$13)</f>
        <v>6560634006</v>
      </c>
      <c r="C15" s="338">
        <f t="shared" si="9"/>
        <v>699219384.18999994</v>
      </c>
      <c r="D15" s="338">
        <f t="shared" si="9"/>
        <v>-5540071</v>
      </c>
      <c r="E15" s="338">
        <f t="shared" si="9"/>
        <v>16381.84</v>
      </c>
      <c r="F15" s="338">
        <f t="shared" si="9"/>
        <v>9213599.1333350316</v>
      </c>
      <c r="G15" s="338">
        <f t="shared" si="9"/>
        <v>9198276.8000017013</v>
      </c>
      <c r="H15" s="338">
        <f t="shared" si="9"/>
        <v>15322.33333333333</v>
      </c>
      <c r="I15" s="338">
        <f t="shared" si="9"/>
        <v>17041.058750000539</v>
      </c>
      <c r="J15" s="338">
        <f t="shared" si="9"/>
        <v>28.496875000000003</v>
      </c>
      <c r="K15" s="338">
        <f t="shared" si="9"/>
        <v>6538777471</v>
      </c>
      <c r="L15" s="338">
        <f t="shared" ref="L15:U20" si="10">SUMIF($AT$2:$AT$13,$A15,L$2:L$13)</f>
        <v>3461464265</v>
      </c>
      <c r="M15" s="338">
        <f t="shared" si="10"/>
        <v>1867909708</v>
      </c>
      <c r="N15" s="338">
        <f t="shared" si="10"/>
        <v>1593554557</v>
      </c>
      <c r="O15" s="338">
        <f t="shared" si="10"/>
        <v>3048879311</v>
      </c>
      <c r="P15" s="338">
        <f t="shared" si="10"/>
        <v>1377768740</v>
      </c>
      <c r="Q15" s="338">
        <f t="shared" si="10"/>
        <v>1101212309</v>
      </c>
      <c r="R15" s="338">
        <f t="shared" si="10"/>
        <v>569898262</v>
      </c>
      <c r="S15" s="338">
        <f t="shared" si="10"/>
        <v>0</v>
      </c>
      <c r="T15" s="338">
        <f t="shared" si="10"/>
        <v>0</v>
      </c>
      <c r="U15" s="338">
        <f t="shared" si="10"/>
        <v>726007810.8779639</v>
      </c>
      <c r="V15" s="338">
        <f t="shared" ref="V15:AE20" si="11">SUMIF($AT$2:$AT$13,$A15,V$2:V$13)</f>
        <v>726007810.8779639</v>
      </c>
      <c r="W15" s="338">
        <f t="shared" si="11"/>
        <v>726013408.38999999</v>
      </c>
      <c r="X15" s="338">
        <f t="shared" si="11"/>
        <v>16316464</v>
      </c>
      <c r="Y15" s="338">
        <f t="shared" si="11"/>
        <v>0</v>
      </c>
      <c r="Z15" s="338">
        <f t="shared" si="11"/>
        <v>0</v>
      </c>
      <c r="AA15" s="338">
        <f t="shared" si="11"/>
        <v>0</v>
      </c>
      <c r="AB15" s="338">
        <f t="shared" si="11"/>
        <v>0</v>
      </c>
      <c r="AC15" s="338">
        <f t="shared" si="11"/>
        <v>-26777642.359999999</v>
      </c>
      <c r="AD15" s="338">
        <f t="shared" si="11"/>
        <v>-26779346.449999999</v>
      </c>
      <c r="AE15" s="338">
        <f t="shared" si="11"/>
        <v>0</v>
      </c>
      <c r="AF15" s="338">
        <f t="shared" ref="AF15:AM20" si="12">SUMIF($AT$2:$AT$13,$A15,AF$2:AF$13)</f>
        <v>12442651</v>
      </c>
      <c r="AG15" s="338">
        <f t="shared" si="12"/>
        <v>3153882</v>
      </c>
      <c r="AH15" s="338">
        <f t="shared" si="12"/>
        <v>2031579</v>
      </c>
      <c r="AI15" s="338">
        <f t="shared" si="12"/>
        <v>837642</v>
      </c>
      <c r="AJ15" s="338">
        <f t="shared" si="12"/>
        <v>3650177</v>
      </c>
      <c r="AK15" s="338">
        <f t="shared" si="12"/>
        <v>2769371</v>
      </c>
      <c r="AL15" s="338">
        <f t="shared" si="12"/>
        <v>4.2413541666666674</v>
      </c>
      <c r="AM15" s="338">
        <f t="shared" si="12"/>
        <v>249.56681818181821</v>
      </c>
      <c r="AN15" s="338">
        <f t="shared" ref="AN15:AR20" si="13">SUMIF($AT$2:$AT$13,$A15,AN$2:AN$13)</f>
        <v>2157725.8666665284</v>
      </c>
      <c r="AO15" s="338">
        <f t="shared" si="13"/>
        <v>12043.933333333331</v>
      </c>
      <c r="AP15" s="338">
        <f t="shared" si="13"/>
        <v>5133.5599999999695</v>
      </c>
      <c r="AQ15" s="338">
        <f t="shared" si="13"/>
        <v>21.559374999999999</v>
      </c>
      <c r="AR15" s="338">
        <f t="shared" si="13"/>
        <v>0</v>
      </c>
      <c r="AS15" s="338"/>
      <c r="AU15" s="226">
        <f t="shared" si="5"/>
        <v>-5597.5120360851288</v>
      </c>
      <c r="AV15" s="129">
        <f t="shared" si="6"/>
        <v>-7.7099292814689398E-6</v>
      </c>
      <c r="AW15" s="226">
        <f t="shared" si="7"/>
        <v>-1704.089999999851</v>
      </c>
      <c r="AX15" s="226">
        <f t="shared" si="8"/>
        <v>-325220</v>
      </c>
    </row>
    <row r="16" spans="1:50">
      <c r="A16" s="126">
        <v>2</v>
      </c>
      <c r="B16" s="338">
        <f t="shared" si="9"/>
        <v>3071092</v>
      </c>
      <c r="C16" s="338">
        <f t="shared" si="9"/>
        <v>323349.52</v>
      </c>
      <c r="D16" s="338">
        <f t="shared" si="9"/>
        <v>19969</v>
      </c>
      <c r="E16" s="338">
        <f t="shared" si="9"/>
        <v>2188.5</v>
      </c>
      <c r="F16" s="338">
        <f t="shared" si="9"/>
        <v>4580.7333333333299</v>
      </c>
      <c r="G16" s="338">
        <f t="shared" si="9"/>
        <v>4568.7333333333299</v>
      </c>
      <c r="H16" s="338">
        <f t="shared" si="9"/>
        <v>12</v>
      </c>
      <c r="I16" s="338">
        <f t="shared" si="9"/>
        <v>9.9312500000000004</v>
      </c>
      <c r="J16" s="338">
        <f t="shared" si="9"/>
        <v>0</v>
      </c>
      <c r="K16" s="338">
        <f t="shared" si="9"/>
        <v>3091061</v>
      </c>
      <c r="L16" s="338">
        <f t="shared" si="10"/>
        <v>1707286</v>
      </c>
      <c r="M16" s="338">
        <f t="shared" si="10"/>
        <v>929999</v>
      </c>
      <c r="N16" s="338">
        <f t="shared" si="10"/>
        <v>777287</v>
      </c>
      <c r="O16" s="338">
        <f t="shared" si="10"/>
        <v>1383775</v>
      </c>
      <c r="P16" s="338">
        <f t="shared" si="10"/>
        <v>679877</v>
      </c>
      <c r="Q16" s="338">
        <f t="shared" si="10"/>
        <v>496816</v>
      </c>
      <c r="R16" s="338">
        <f t="shared" si="10"/>
        <v>207082</v>
      </c>
      <c r="S16" s="338">
        <f t="shared" si="10"/>
        <v>333042</v>
      </c>
      <c r="T16" s="338">
        <f t="shared" si="10"/>
        <v>1050725</v>
      </c>
      <c r="U16" s="338">
        <f t="shared" si="10"/>
        <v>337949.07700200001</v>
      </c>
      <c r="V16" s="338">
        <f t="shared" si="11"/>
        <v>337949.07700200001</v>
      </c>
      <c r="W16" s="338">
        <f t="shared" si="11"/>
        <v>337950.95</v>
      </c>
      <c r="X16" s="338">
        <f t="shared" si="11"/>
        <v>0</v>
      </c>
      <c r="Y16" s="338">
        <f t="shared" si="11"/>
        <v>0</v>
      </c>
      <c r="Z16" s="338">
        <f t="shared" si="11"/>
        <v>0</v>
      </c>
      <c r="AA16" s="338">
        <f t="shared" si="11"/>
        <v>0</v>
      </c>
      <c r="AB16" s="338">
        <f t="shared" si="11"/>
        <v>0</v>
      </c>
      <c r="AC16" s="338">
        <f t="shared" si="11"/>
        <v>-12412.929999999998</v>
      </c>
      <c r="AD16" s="338">
        <f t="shared" si="11"/>
        <v>-12284.61</v>
      </c>
      <c r="AE16" s="338">
        <f t="shared" si="11"/>
        <v>0</v>
      </c>
      <c r="AF16" s="338">
        <f t="shared" si="12"/>
        <v>0</v>
      </c>
      <c r="AG16" s="338">
        <f t="shared" si="12"/>
        <v>0</v>
      </c>
      <c r="AH16" s="338">
        <f t="shared" si="12"/>
        <v>0</v>
      </c>
      <c r="AI16" s="338">
        <f t="shared" si="12"/>
        <v>0</v>
      </c>
      <c r="AJ16" s="338">
        <f t="shared" si="12"/>
        <v>0</v>
      </c>
      <c r="AK16" s="338">
        <f t="shared" si="12"/>
        <v>0</v>
      </c>
      <c r="AL16" s="338">
        <f t="shared" si="12"/>
        <v>0</v>
      </c>
      <c r="AM16" s="338">
        <f t="shared" si="12"/>
        <v>0</v>
      </c>
      <c r="AN16" s="338">
        <f t="shared" si="13"/>
        <v>1018.9333333333341</v>
      </c>
      <c r="AO16" s="338">
        <f t="shared" si="13"/>
        <v>0</v>
      </c>
      <c r="AP16" s="338">
        <f t="shared" si="13"/>
        <v>4.4237500000000001</v>
      </c>
      <c r="AQ16" s="338">
        <f t="shared" si="13"/>
        <v>0</v>
      </c>
      <c r="AR16" s="338">
        <f t="shared" si="13"/>
        <v>0</v>
      </c>
      <c r="AS16" s="338"/>
      <c r="AU16" s="226">
        <f t="shared" si="5"/>
        <v>-1.8729980000061914</v>
      </c>
      <c r="AV16" s="129">
        <f t="shared" si="6"/>
        <v>-5.5422184787650143E-6</v>
      </c>
      <c r="AW16" s="226">
        <f t="shared" si="7"/>
        <v>128.31999999999789</v>
      </c>
      <c r="AX16" s="226">
        <f t="shared" si="8"/>
        <v>0</v>
      </c>
    </row>
    <row r="17" spans="1:50">
      <c r="A17" s="126" t="s">
        <v>1118</v>
      </c>
      <c r="B17" s="338">
        <f t="shared" si="9"/>
        <v>4043371</v>
      </c>
      <c r="C17" s="338">
        <f t="shared" si="9"/>
        <v>342250.07</v>
      </c>
      <c r="D17" s="338">
        <f t="shared" si="9"/>
        <v>-2050</v>
      </c>
      <c r="E17" s="338">
        <f t="shared" si="9"/>
        <v>-5.2800000000000011</v>
      </c>
      <c r="F17" s="338">
        <f t="shared" si="9"/>
        <v>3278.9666666666699</v>
      </c>
      <c r="G17" s="338">
        <f t="shared" si="9"/>
        <v>3278.9666666666699</v>
      </c>
      <c r="H17" s="338">
        <f t="shared" si="9"/>
        <v>0</v>
      </c>
      <c r="I17" s="338">
        <f t="shared" si="9"/>
        <v>0.1</v>
      </c>
      <c r="J17" s="338">
        <f t="shared" si="9"/>
        <v>0</v>
      </c>
      <c r="K17" s="338">
        <f t="shared" si="9"/>
        <v>4041321</v>
      </c>
      <c r="L17" s="338">
        <f t="shared" si="10"/>
        <v>0</v>
      </c>
      <c r="M17" s="338">
        <f t="shared" si="10"/>
        <v>0</v>
      </c>
      <c r="N17" s="338">
        <f t="shared" si="10"/>
        <v>0</v>
      </c>
      <c r="O17" s="338">
        <f t="shared" si="10"/>
        <v>0</v>
      </c>
      <c r="P17" s="338">
        <f t="shared" si="10"/>
        <v>0</v>
      </c>
      <c r="Q17" s="338">
        <f t="shared" si="10"/>
        <v>0</v>
      </c>
      <c r="R17" s="338">
        <f t="shared" si="10"/>
        <v>0</v>
      </c>
      <c r="S17" s="338">
        <f t="shared" si="10"/>
        <v>0</v>
      </c>
      <c r="T17" s="338">
        <f t="shared" si="10"/>
        <v>0</v>
      </c>
      <c r="U17" s="338">
        <f t="shared" si="10"/>
        <v>355605.60667899996</v>
      </c>
      <c r="V17" s="338">
        <f t="shared" si="11"/>
        <v>355605.60667899996</v>
      </c>
      <c r="W17" s="338">
        <f t="shared" si="11"/>
        <v>355605.61</v>
      </c>
      <c r="X17" s="338">
        <f t="shared" si="11"/>
        <v>0</v>
      </c>
      <c r="Y17" s="338">
        <f t="shared" si="11"/>
        <v>228976</v>
      </c>
      <c r="Z17" s="338">
        <f t="shared" si="11"/>
        <v>1067463</v>
      </c>
      <c r="AA17" s="338">
        <f t="shared" si="11"/>
        <v>384603</v>
      </c>
      <c r="AB17" s="338">
        <f t="shared" si="11"/>
        <v>2360279</v>
      </c>
      <c r="AC17" s="338">
        <f t="shared" si="11"/>
        <v>-13360.82</v>
      </c>
      <c r="AD17" s="338">
        <f t="shared" si="11"/>
        <v>-13360.599999999999</v>
      </c>
      <c r="AE17" s="338">
        <f t="shared" si="11"/>
        <v>0</v>
      </c>
      <c r="AF17" s="338">
        <f t="shared" si="12"/>
        <v>0</v>
      </c>
      <c r="AG17" s="338">
        <f t="shared" si="12"/>
        <v>0</v>
      </c>
      <c r="AH17" s="338">
        <f t="shared" si="12"/>
        <v>0</v>
      </c>
      <c r="AI17" s="338">
        <f t="shared" si="12"/>
        <v>0</v>
      </c>
      <c r="AJ17" s="338">
        <f t="shared" si="12"/>
        <v>0</v>
      </c>
      <c r="AK17" s="338">
        <f t="shared" si="12"/>
        <v>0</v>
      </c>
      <c r="AL17" s="338">
        <f t="shared" si="12"/>
        <v>0</v>
      </c>
      <c r="AM17" s="338">
        <f t="shared" si="12"/>
        <v>0</v>
      </c>
      <c r="AN17" s="338">
        <f t="shared" si="13"/>
        <v>201.06666666666672</v>
      </c>
      <c r="AO17" s="338">
        <f t="shared" si="13"/>
        <v>0</v>
      </c>
      <c r="AP17" s="338">
        <f t="shared" si="13"/>
        <v>0</v>
      </c>
      <c r="AQ17" s="338">
        <f t="shared" si="13"/>
        <v>0</v>
      </c>
      <c r="AR17" s="338">
        <f t="shared" si="13"/>
        <v>0</v>
      </c>
      <c r="AS17" s="338"/>
      <c r="AU17" s="226">
        <f t="shared" si="5"/>
        <v>-3.3210000256076455E-3</v>
      </c>
      <c r="AV17" s="129">
        <f t="shared" si="6"/>
        <v>-9.338997845415446E-9</v>
      </c>
      <c r="AW17" s="226">
        <f t="shared" si="7"/>
        <v>0.22000000000116415</v>
      </c>
      <c r="AX17" s="226">
        <f t="shared" si="8"/>
        <v>0</v>
      </c>
    </row>
    <row r="18" spans="1:50">
      <c r="A18" s="126">
        <v>3</v>
      </c>
      <c r="B18" s="338">
        <f t="shared" si="9"/>
        <v>152601986</v>
      </c>
      <c r="C18" s="338">
        <f t="shared" si="9"/>
        <v>16040374.889999999</v>
      </c>
      <c r="D18" s="338">
        <f t="shared" si="9"/>
        <v>-22313</v>
      </c>
      <c r="E18" s="338">
        <f t="shared" si="9"/>
        <v>2259.8799999999997</v>
      </c>
      <c r="F18" s="338">
        <f t="shared" si="9"/>
        <v>253674.66666666619</v>
      </c>
      <c r="G18" s="338">
        <f t="shared" si="9"/>
        <v>253474.43333333288</v>
      </c>
      <c r="H18" s="338">
        <f t="shared" si="9"/>
        <v>200.23333333333329</v>
      </c>
      <c r="I18" s="338">
        <f t="shared" si="9"/>
        <v>52.0625</v>
      </c>
      <c r="J18" s="338">
        <f t="shared" si="9"/>
        <v>0</v>
      </c>
      <c r="K18" s="338">
        <f t="shared" si="9"/>
        <v>152456594</v>
      </c>
      <c r="L18" s="338">
        <f t="shared" si="10"/>
        <v>85503958</v>
      </c>
      <c r="M18" s="338">
        <f t="shared" si="10"/>
        <v>50852976</v>
      </c>
      <c r="N18" s="338">
        <f t="shared" si="10"/>
        <v>34650982</v>
      </c>
      <c r="O18" s="338">
        <f t="shared" si="10"/>
        <v>66733860</v>
      </c>
      <c r="P18" s="338">
        <f t="shared" si="10"/>
        <v>37426840</v>
      </c>
      <c r="Q18" s="338">
        <f t="shared" si="10"/>
        <v>22662236</v>
      </c>
      <c r="R18" s="338">
        <f t="shared" si="10"/>
        <v>6644784</v>
      </c>
      <c r="S18" s="338">
        <f t="shared" si="10"/>
        <v>7500</v>
      </c>
      <c r="T18" s="338">
        <f t="shared" si="10"/>
        <v>23518</v>
      </c>
      <c r="U18" s="338">
        <f t="shared" si="10"/>
        <v>16646807.051970499</v>
      </c>
      <c r="V18" s="338">
        <f t="shared" si="11"/>
        <v>16646807.051970499</v>
      </c>
      <c r="W18" s="338">
        <f t="shared" si="11"/>
        <v>16646929.91</v>
      </c>
      <c r="X18" s="338">
        <f t="shared" si="11"/>
        <v>123079</v>
      </c>
      <c r="Y18" s="338">
        <f t="shared" si="11"/>
        <v>0</v>
      </c>
      <c r="Z18" s="338">
        <f t="shared" si="11"/>
        <v>0</v>
      </c>
      <c r="AA18" s="338">
        <f t="shared" si="11"/>
        <v>0</v>
      </c>
      <c r="AB18" s="338">
        <f t="shared" si="11"/>
        <v>0</v>
      </c>
      <c r="AC18" s="338">
        <f t="shared" si="11"/>
        <v>-604295.14</v>
      </c>
      <c r="AD18" s="338">
        <f t="shared" si="11"/>
        <v>-604243.07000000007</v>
      </c>
      <c r="AE18" s="338">
        <f t="shared" si="11"/>
        <v>0</v>
      </c>
      <c r="AF18" s="338">
        <f t="shared" si="12"/>
        <v>100056</v>
      </c>
      <c r="AG18" s="338">
        <f t="shared" si="12"/>
        <v>26430</v>
      </c>
      <c r="AH18" s="338">
        <f t="shared" si="12"/>
        <v>17502</v>
      </c>
      <c r="AI18" s="338">
        <f t="shared" si="12"/>
        <v>5900</v>
      </c>
      <c r="AJ18" s="338">
        <f t="shared" si="12"/>
        <v>34237</v>
      </c>
      <c r="AK18" s="338">
        <f t="shared" si="12"/>
        <v>15987</v>
      </c>
      <c r="AL18" s="338">
        <f t="shared" si="12"/>
        <v>0</v>
      </c>
      <c r="AM18" s="338">
        <f t="shared" si="12"/>
        <v>0</v>
      </c>
      <c r="AN18" s="338">
        <f t="shared" si="13"/>
        <v>120600.53333333343</v>
      </c>
      <c r="AO18" s="338">
        <f t="shared" si="13"/>
        <v>168.4</v>
      </c>
      <c r="AP18" s="338">
        <f t="shared" si="13"/>
        <v>20.868749999999999</v>
      </c>
      <c r="AQ18" s="338">
        <f t="shared" si="13"/>
        <v>0</v>
      </c>
      <c r="AR18" s="338">
        <f t="shared" si="13"/>
        <v>0</v>
      </c>
      <c r="AS18" s="338"/>
      <c r="AU18" s="226">
        <f t="shared" si="5"/>
        <v>-122.85802950151265</v>
      </c>
      <c r="AV18" s="129">
        <f t="shared" si="6"/>
        <v>-7.3802214682066053E-6</v>
      </c>
      <c r="AW18" s="226">
        <f t="shared" si="7"/>
        <v>52.069999999948777</v>
      </c>
      <c r="AX18" s="226">
        <f t="shared" si="8"/>
        <v>-4359</v>
      </c>
    </row>
    <row r="19" spans="1:50">
      <c r="A19" s="126">
        <v>135</v>
      </c>
      <c r="B19" s="338">
        <f t="shared" si="9"/>
        <v>118602770</v>
      </c>
      <c r="C19" s="338">
        <f t="shared" si="9"/>
        <v>13941776.869999999</v>
      </c>
      <c r="D19" s="338">
        <f t="shared" si="9"/>
        <v>-375389</v>
      </c>
      <c r="E19" s="338">
        <f t="shared" si="9"/>
        <v>-37923.83</v>
      </c>
      <c r="F19" s="338">
        <f t="shared" si="9"/>
        <v>358674.66666666663</v>
      </c>
      <c r="G19" s="338">
        <f t="shared" si="9"/>
        <v>358350.66666666663</v>
      </c>
      <c r="H19" s="338">
        <f t="shared" si="9"/>
        <v>324</v>
      </c>
      <c r="I19" s="338">
        <f t="shared" si="9"/>
        <v>41793.397499999999</v>
      </c>
      <c r="J19" s="338">
        <f t="shared" si="9"/>
        <v>9.7675000000000001</v>
      </c>
      <c r="K19" s="338">
        <f t="shared" si="9"/>
        <v>118227381</v>
      </c>
      <c r="L19" s="338">
        <f t="shared" si="10"/>
        <v>80546441</v>
      </c>
      <c r="M19" s="338">
        <f t="shared" si="10"/>
        <v>40695610</v>
      </c>
      <c r="N19" s="338">
        <f t="shared" si="10"/>
        <v>39850831</v>
      </c>
      <c r="O19" s="338">
        <f t="shared" si="10"/>
        <v>37680940</v>
      </c>
      <c r="P19" s="338">
        <f t="shared" si="10"/>
        <v>18985226</v>
      </c>
      <c r="Q19" s="338">
        <f t="shared" si="10"/>
        <v>12068046</v>
      </c>
      <c r="R19" s="338">
        <f t="shared" si="10"/>
        <v>6627668</v>
      </c>
      <c r="S19" s="338">
        <f t="shared" si="10"/>
        <v>5872</v>
      </c>
      <c r="T19" s="338">
        <f t="shared" si="10"/>
        <v>40803</v>
      </c>
      <c r="U19" s="338">
        <f t="shared" si="10"/>
        <v>14387645.098355962</v>
      </c>
      <c r="V19" s="338">
        <f t="shared" si="11"/>
        <v>14387645.098355962</v>
      </c>
      <c r="W19" s="338">
        <f t="shared" si="11"/>
        <v>14387737.6</v>
      </c>
      <c r="X19" s="338">
        <f t="shared" si="11"/>
        <v>0</v>
      </c>
      <c r="Y19" s="338">
        <f t="shared" si="11"/>
        <v>0</v>
      </c>
      <c r="Z19" s="338">
        <f t="shared" si="11"/>
        <v>0</v>
      </c>
      <c r="AA19" s="338">
        <f t="shared" si="11"/>
        <v>0</v>
      </c>
      <c r="AB19" s="338">
        <f t="shared" si="11"/>
        <v>0</v>
      </c>
      <c r="AC19" s="338">
        <f t="shared" si="11"/>
        <v>-483884.55999999994</v>
      </c>
      <c r="AD19" s="338">
        <f t="shared" si="11"/>
        <v>-486651.2</v>
      </c>
      <c r="AE19" s="338">
        <f t="shared" si="11"/>
        <v>0</v>
      </c>
      <c r="AF19" s="338">
        <f t="shared" si="12"/>
        <v>0</v>
      </c>
      <c r="AG19" s="338">
        <f t="shared" si="12"/>
        <v>0</v>
      </c>
      <c r="AH19" s="338">
        <f t="shared" si="12"/>
        <v>0</v>
      </c>
      <c r="AI19" s="338">
        <f t="shared" si="12"/>
        <v>0</v>
      </c>
      <c r="AJ19" s="338">
        <f t="shared" si="12"/>
        <v>0</v>
      </c>
      <c r="AK19" s="338">
        <f t="shared" si="12"/>
        <v>0</v>
      </c>
      <c r="AL19" s="338">
        <f t="shared" si="12"/>
        <v>0</v>
      </c>
      <c r="AM19" s="338">
        <f t="shared" si="12"/>
        <v>12</v>
      </c>
      <c r="AN19" s="338">
        <f t="shared" si="13"/>
        <v>10626.899999999987</v>
      </c>
      <c r="AO19" s="338">
        <f t="shared" si="13"/>
        <v>228</v>
      </c>
      <c r="AP19" s="338">
        <f t="shared" si="13"/>
        <v>661.76374999999996</v>
      </c>
      <c r="AQ19" s="338">
        <f t="shared" si="13"/>
        <v>2.5</v>
      </c>
      <c r="AR19" s="338">
        <f t="shared" si="13"/>
        <v>0</v>
      </c>
      <c r="AS19" s="338"/>
      <c r="AU19" s="226">
        <f t="shared" si="5"/>
        <v>-92.501644037663937</v>
      </c>
      <c r="AV19" s="129">
        <f t="shared" si="6"/>
        <v>-6.4292001014575033E-6</v>
      </c>
      <c r="AW19" s="226">
        <f t="shared" si="7"/>
        <v>-2766.6400000000722</v>
      </c>
      <c r="AX19" s="226">
        <f t="shared" si="8"/>
        <v>0</v>
      </c>
    </row>
    <row r="20" spans="1:50">
      <c r="A20" s="126">
        <v>136</v>
      </c>
      <c r="B20" s="338">
        <f t="shared" si="9"/>
        <v>36843225</v>
      </c>
      <c r="C20" s="338">
        <f t="shared" si="9"/>
        <v>3970894.3799999994</v>
      </c>
      <c r="D20" s="338">
        <f t="shared" si="9"/>
        <v>190505</v>
      </c>
      <c r="E20" s="338">
        <f t="shared" si="9"/>
        <v>19836.400000000001</v>
      </c>
      <c r="F20" s="338">
        <f t="shared" si="9"/>
        <v>56694.066666666578</v>
      </c>
      <c r="G20" s="338">
        <f t="shared" si="9"/>
        <v>56694.066666666578</v>
      </c>
      <c r="H20" s="338">
        <f t="shared" si="9"/>
        <v>0</v>
      </c>
      <c r="I20" s="338">
        <f t="shared" si="9"/>
        <v>13201.804999999977</v>
      </c>
      <c r="J20" s="338">
        <f t="shared" si="9"/>
        <v>0</v>
      </c>
      <c r="K20" s="338">
        <f t="shared" si="9"/>
        <v>37033730</v>
      </c>
      <c r="L20" s="338">
        <f t="shared" si="10"/>
        <v>20619079</v>
      </c>
      <c r="M20" s="338">
        <f t="shared" si="10"/>
        <v>11548101</v>
      </c>
      <c r="N20" s="338">
        <f t="shared" si="10"/>
        <v>9070978</v>
      </c>
      <c r="O20" s="338">
        <f t="shared" si="10"/>
        <v>16414651</v>
      </c>
      <c r="P20" s="338">
        <f t="shared" si="10"/>
        <v>9080416</v>
      </c>
      <c r="Q20" s="338">
        <f t="shared" si="10"/>
        <v>5694522</v>
      </c>
      <c r="R20" s="338">
        <f t="shared" si="10"/>
        <v>1639713</v>
      </c>
      <c r="S20" s="338">
        <f t="shared" si="10"/>
        <v>1261</v>
      </c>
      <c r="T20" s="338">
        <f t="shared" si="10"/>
        <v>8120</v>
      </c>
      <c r="U20" s="338">
        <f t="shared" si="10"/>
        <v>4137403.4071039897</v>
      </c>
      <c r="V20" s="338">
        <f t="shared" si="11"/>
        <v>4137403.4071039897</v>
      </c>
      <c r="W20" s="338">
        <f t="shared" si="11"/>
        <v>4137442.19</v>
      </c>
      <c r="X20" s="338">
        <f t="shared" si="11"/>
        <v>0</v>
      </c>
      <c r="Y20" s="338">
        <f t="shared" si="11"/>
        <v>0</v>
      </c>
      <c r="Z20" s="338">
        <f t="shared" si="11"/>
        <v>0</v>
      </c>
      <c r="AA20" s="338">
        <f t="shared" si="11"/>
        <v>0</v>
      </c>
      <c r="AB20" s="338">
        <f t="shared" si="11"/>
        <v>0</v>
      </c>
      <c r="AC20" s="338">
        <f t="shared" si="11"/>
        <v>-146711.41</v>
      </c>
      <c r="AD20" s="338">
        <f t="shared" si="11"/>
        <v>-146225.10999999999</v>
      </c>
      <c r="AE20" s="338">
        <f t="shared" si="11"/>
        <v>303.69499999999999</v>
      </c>
      <c r="AF20" s="338">
        <f t="shared" si="12"/>
        <v>0</v>
      </c>
      <c r="AG20" s="338">
        <f t="shared" si="12"/>
        <v>0</v>
      </c>
      <c r="AH20" s="338">
        <f t="shared" si="12"/>
        <v>0</v>
      </c>
      <c r="AI20" s="338">
        <f t="shared" si="12"/>
        <v>0</v>
      </c>
      <c r="AJ20" s="338">
        <f t="shared" si="12"/>
        <v>0</v>
      </c>
      <c r="AK20" s="338">
        <f t="shared" si="12"/>
        <v>0</v>
      </c>
      <c r="AL20" s="338">
        <f t="shared" si="12"/>
        <v>0</v>
      </c>
      <c r="AM20" s="338">
        <f t="shared" si="12"/>
        <v>0</v>
      </c>
      <c r="AN20" s="338">
        <f t="shared" si="13"/>
        <v>690.83333333333326</v>
      </c>
      <c r="AO20" s="338">
        <f t="shared" si="13"/>
        <v>0</v>
      </c>
      <c r="AP20" s="338">
        <f t="shared" si="13"/>
        <v>95.39</v>
      </c>
      <c r="AQ20" s="338">
        <f t="shared" si="13"/>
        <v>0</v>
      </c>
      <c r="AR20" s="338">
        <f t="shared" si="13"/>
        <v>0</v>
      </c>
      <c r="AS20" s="338"/>
      <c r="AU20" s="226">
        <f t="shared" si="5"/>
        <v>-38.78289601020515</v>
      </c>
      <c r="AV20" s="129">
        <f t="shared" si="6"/>
        <v>-9.3736405801491445E-6</v>
      </c>
      <c r="AW20" s="226">
        <f t="shared" si="7"/>
        <v>486.30000000001746</v>
      </c>
      <c r="AX20" s="226">
        <f t="shared" si="8"/>
        <v>0</v>
      </c>
    </row>
    <row r="21" spans="1:50">
      <c r="A21" s="122" t="s">
        <v>93</v>
      </c>
      <c r="B21" s="338">
        <f>SUM(B15:B20)</f>
        <v>6875796450</v>
      </c>
      <c r="C21" s="338">
        <f t="shared" ref="C21:AK21" si="14">SUM(C15:C20)</f>
        <v>733838029.91999996</v>
      </c>
      <c r="D21" s="338">
        <f t="shared" si="14"/>
        <v>-5729349</v>
      </c>
      <c r="E21" s="338">
        <f t="shared" si="14"/>
        <v>2737.510000000002</v>
      </c>
      <c r="F21" s="338">
        <f t="shared" si="14"/>
        <v>9890502.2333350293</v>
      </c>
      <c r="G21" s="338">
        <f t="shared" si="14"/>
        <v>9874643.6666683666</v>
      </c>
      <c r="H21" s="338">
        <f t="shared" si="14"/>
        <v>15858.566666666664</v>
      </c>
      <c r="I21" s="338">
        <f t="shared" si="14"/>
        <v>72098.35500000052</v>
      </c>
      <c r="J21" s="338">
        <f t="shared" si="14"/>
        <v>38.264375000000001</v>
      </c>
      <c r="K21" s="338">
        <f t="shared" si="14"/>
        <v>6853627558</v>
      </c>
      <c r="L21" s="338">
        <f t="shared" si="14"/>
        <v>3649841029</v>
      </c>
      <c r="M21" s="338">
        <f t="shared" si="14"/>
        <v>1971936394</v>
      </c>
      <c r="N21" s="338">
        <f t="shared" si="14"/>
        <v>1677904635</v>
      </c>
      <c r="O21" s="338">
        <f t="shared" si="14"/>
        <v>3171092537</v>
      </c>
      <c r="P21" s="338">
        <f t="shared" si="14"/>
        <v>1443941099</v>
      </c>
      <c r="Q21" s="338">
        <f t="shared" si="14"/>
        <v>1142133929</v>
      </c>
      <c r="R21" s="338">
        <f t="shared" si="14"/>
        <v>585017509</v>
      </c>
      <c r="S21" s="338">
        <f t="shared" si="14"/>
        <v>347675</v>
      </c>
      <c r="T21" s="338">
        <f t="shared" si="14"/>
        <v>1123166</v>
      </c>
      <c r="U21" s="338">
        <f t="shared" si="14"/>
        <v>761873221.11907542</v>
      </c>
      <c r="V21" s="338">
        <f t="shared" si="14"/>
        <v>761873221.11907542</v>
      </c>
      <c r="W21" s="338">
        <f t="shared" si="14"/>
        <v>761879074.6500001</v>
      </c>
      <c r="X21" s="338">
        <f t="shared" si="14"/>
        <v>16439543</v>
      </c>
      <c r="Y21" s="338">
        <f t="shared" si="14"/>
        <v>228976</v>
      </c>
      <c r="Z21" s="338">
        <f t="shared" si="14"/>
        <v>1067463</v>
      </c>
      <c r="AA21" s="338">
        <f t="shared" si="14"/>
        <v>384603</v>
      </c>
      <c r="AB21" s="338">
        <f t="shared" si="14"/>
        <v>2360279</v>
      </c>
      <c r="AC21" s="338">
        <f t="shared" si="14"/>
        <v>-28038307.219999999</v>
      </c>
      <c r="AD21" s="338">
        <f t="shared" si="14"/>
        <v>-28042111.039999999</v>
      </c>
      <c r="AE21" s="338">
        <f t="shared" si="14"/>
        <v>303.69499999999999</v>
      </c>
      <c r="AF21" s="338">
        <f t="shared" si="14"/>
        <v>12542707</v>
      </c>
      <c r="AG21" s="338">
        <f t="shared" si="14"/>
        <v>3180312</v>
      </c>
      <c r="AH21" s="338">
        <f t="shared" si="14"/>
        <v>2049081</v>
      </c>
      <c r="AI21" s="338">
        <f t="shared" si="14"/>
        <v>843542</v>
      </c>
      <c r="AJ21" s="338">
        <f t="shared" si="14"/>
        <v>3684414</v>
      </c>
      <c r="AK21" s="338">
        <f t="shared" si="14"/>
        <v>2785358</v>
      </c>
      <c r="AL21" s="338">
        <f t="shared" ref="AL21:AM21" si="15">SUM(AL15:AL20)</f>
        <v>4.2413541666666674</v>
      </c>
      <c r="AM21" s="338">
        <f t="shared" si="15"/>
        <v>261.56681818181823</v>
      </c>
      <c r="AN21" s="338">
        <f t="shared" ref="AN21:AR21" si="16">SUM(AN15:AN20)</f>
        <v>2290864.133333195</v>
      </c>
      <c r="AO21" s="338">
        <f t="shared" si="16"/>
        <v>12440.33333333333</v>
      </c>
      <c r="AP21" s="338">
        <f t="shared" si="16"/>
        <v>5916.0062499999694</v>
      </c>
      <c r="AQ21" s="338">
        <f t="shared" si="16"/>
        <v>24.059374999999999</v>
      </c>
      <c r="AR21" s="338">
        <f t="shared" si="16"/>
        <v>0</v>
      </c>
      <c r="AS21" s="338"/>
      <c r="AU21" s="226">
        <f t="shared" si="5"/>
        <v>-5853.5309246778488</v>
      </c>
      <c r="AV21" s="129">
        <f t="shared" si="6"/>
        <v>-7.6830183679305074E-6</v>
      </c>
      <c r="AW21" s="226">
        <f t="shared" si="7"/>
        <v>-3803.820000000298</v>
      </c>
      <c r="AX21" s="226">
        <f t="shared" si="8"/>
        <v>-329579</v>
      </c>
    </row>
    <row r="22" spans="1:50">
      <c r="AN22" s="578">
        <f>AN21/G21</f>
        <v>0.23199461273381988</v>
      </c>
      <c r="AO22" s="578">
        <f>AO21/H21</f>
        <v>0.78445508946794262</v>
      </c>
      <c r="AP22" s="578">
        <f t="shared" ref="AP22" si="17">AP21/I21</f>
        <v>8.2054663383095583E-2</v>
      </c>
      <c r="AQ22" s="578">
        <f>AQ21/J21</f>
        <v>0.62876696666285548</v>
      </c>
      <c r="AR22" s="578">
        <f>AR21/AL21</f>
        <v>0</v>
      </c>
      <c r="AU22" s="226"/>
      <c r="AW22" s="226"/>
      <c r="AX22" s="226"/>
    </row>
    <row r="23" spans="1:50">
      <c r="A23" s="122" t="s">
        <v>1181</v>
      </c>
      <c r="D23" s="152"/>
      <c r="E23" s="668" t="s">
        <v>776</v>
      </c>
      <c r="F23" s="669"/>
      <c r="G23" s="669"/>
      <c r="H23" s="670"/>
      <c r="I23" s="670"/>
      <c r="J23" s="670"/>
      <c r="K23" s="671"/>
      <c r="M23" s="668" t="s">
        <v>1048</v>
      </c>
      <c r="N23" s="672"/>
      <c r="O23" s="672"/>
      <c r="P23" s="672"/>
      <c r="Q23" s="673"/>
      <c r="AU23" s="226"/>
      <c r="AW23" s="226"/>
      <c r="AX23" s="226"/>
    </row>
    <row r="24" spans="1:50">
      <c r="A24" s="122">
        <v>1</v>
      </c>
      <c r="B24" s="811">
        <f>'305'!H171</f>
        <v>152215576</v>
      </c>
      <c r="C24" s="811">
        <f>'305'!G171</f>
        <v>16009140.449999999</v>
      </c>
      <c r="D24" s="152"/>
      <c r="E24" s="639" t="s">
        <v>971</v>
      </c>
      <c r="F24" s="635">
        <f>F2/($F$2+$F$6+$F$11)</f>
        <v>8.3791238685103505E-4</v>
      </c>
      <c r="G24" s="628"/>
      <c r="H24" s="628"/>
      <c r="I24" s="628"/>
      <c r="J24" s="628" t="s">
        <v>971</v>
      </c>
      <c r="K24" s="635">
        <f>K2/($K$2+$K$6+$K$11)</f>
        <v>1.7446004439541371E-3</v>
      </c>
      <c r="M24" s="627">
        <f>M15/L15</f>
        <v>0.53962992681653466</v>
      </c>
      <c r="N24" s="628"/>
      <c r="O24" s="628" t="s">
        <v>448</v>
      </c>
      <c r="P24" s="629">
        <f>P15/O15</f>
        <v>0.45189349904050696</v>
      </c>
      <c r="Q24" s="630">
        <f>Q15/O15</f>
        <v>0.36118592986837977</v>
      </c>
      <c r="S24" s="674" t="s">
        <v>1031</v>
      </c>
      <c r="T24" s="659" t="s">
        <v>418</v>
      </c>
      <c r="U24" s="675">
        <f>(TempRev!I308+TempRev!I317+TempRev!I323)*(1-TempRev!Y9)</f>
        <v>-5862390.8990150001</v>
      </c>
      <c r="V24" s="548"/>
      <c r="W24" s="248"/>
      <c r="X24" s="152"/>
      <c r="Y24" s="896"/>
      <c r="Z24" s="897"/>
      <c r="AA24" s="898"/>
      <c r="AB24" s="152"/>
      <c r="AU24" s="226"/>
      <c r="AW24" s="226"/>
      <c r="AX24" s="226"/>
    </row>
    <row r="25" spans="1:50">
      <c r="A25" s="122">
        <v>3</v>
      </c>
      <c r="B25" s="811">
        <f>'305'!H172</f>
        <v>4043370</v>
      </c>
      <c r="C25" s="811">
        <f>'305'!G172</f>
        <v>342218.06</v>
      </c>
      <c r="D25" s="628"/>
      <c r="E25" s="639" t="s">
        <v>972</v>
      </c>
      <c r="F25" s="635">
        <f>F6/($F$2+$F$6+$F$11)</f>
        <v>0.99005238341529866</v>
      </c>
      <c r="G25" s="628"/>
      <c r="H25" s="628"/>
      <c r="I25" s="628"/>
      <c r="J25" s="628" t="s">
        <v>972</v>
      </c>
      <c r="K25" s="635">
        <f>K6/($K$2+$K$6+$K$11)</f>
        <v>0.96496051994875087</v>
      </c>
      <c r="M25" s="627">
        <f>M16/L16</f>
        <v>0.5447236139697742</v>
      </c>
      <c r="N25" s="628"/>
      <c r="O25" s="628" t="s">
        <v>449</v>
      </c>
      <c r="P25" s="629">
        <f>P16/O16</f>
        <v>0.4913204820147784</v>
      </c>
      <c r="Q25" s="630">
        <f>Q16/O16</f>
        <v>0.35902946649563694</v>
      </c>
      <c r="S25" s="631">
        <f>S16/(S16+T16)</f>
        <v>0.24067780197099656</v>
      </c>
      <c r="T25" s="661" t="s">
        <v>136</v>
      </c>
      <c r="U25" s="676">
        <f>'Blocking-Step2'!H42+'Blocking-Step2'!H79+'Blocking-Step2'!H108+'Blocking-Step2'!H145+'Blocking-Step2'!H182+'Blocking-Step2'!H219</f>
        <v>4514495</v>
      </c>
      <c r="V25" s="894" t="s">
        <v>1241</v>
      </c>
      <c r="W25" s="896"/>
      <c r="X25" s="152"/>
      <c r="Y25" s="896"/>
      <c r="Z25" s="152"/>
      <c r="AA25" s="896"/>
      <c r="AB25" s="152"/>
      <c r="AU25" s="226"/>
      <c r="AW25" s="226"/>
      <c r="AX25" s="226"/>
    </row>
    <row r="26" spans="1:50">
      <c r="A26" s="899" t="s">
        <v>1296</v>
      </c>
      <c r="B26" s="811">
        <f>B24-B12</f>
        <v>101851502</v>
      </c>
      <c r="C26" s="811">
        <f>C24-C12</f>
        <v>12795775.289999999</v>
      </c>
      <c r="D26" s="628"/>
      <c r="E26" s="639" t="s">
        <v>973</v>
      </c>
      <c r="F26" s="635">
        <f>F11/($F$2+$F$6+$F$11)</f>
        <v>9.1097041978503122E-3</v>
      </c>
      <c r="G26" s="628"/>
      <c r="H26" s="628"/>
      <c r="I26" s="628"/>
      <c r="J26" s="628" t="s">
        <v>973</v>
      </c>
      <c r="K26" s="635">
        <f>K11/($K$2+$K$6+$K$11)</f>
        <v>3.3294879607294978E-2</v>
      </c>
      <c r="M26" s="627">
        <f>M18/L18</f>
        <v>0.59474411699163676</v>
      </c>
      <c r="N26" s="628"/>
      <c r="O26" s="628" t="s">
        <v>668</v>
      </c>
      <c r="P26" s="629">
        <f>P18/O18</f>
        <v>0.56083733205302377</v>
      </c>
      <c r="Q26" s="630">
        <f>Q18/O18</f>
        <v>0.33959126596303585</v>
      </c>
      <c r="T26" s="661" t="s">
        <v>411</v>
      </c>
      <c r="U26" s="676">
        <f>'Blocking-Step2'!H45+'Blocking-Step2'!H82+'Blocking-Step2'!H111+'Blocking-Step2'!H148+'Blocking-Step2'!H185+'Blocking-Step2'!H222</f>
        <v>733303424.79260015</v>
      </c>
      <c r="V26" s="548">
        <f>'Blocking-Step2'!H43+'Blocking-Step2'!H80+'Blocking-Step2'!H109+'Blocking-Step2'!H146+'Blocking-Step2'!H183+'Blocking-Step2'!H220</f>
        <v>-27212920.207400005</v>
      </c>
      <c r="W26" s="896"/>
      <c r="X26" s="896"/>
      <c r="Y26" s="896"/>
      <c r="Z26" s="896"/>
      <c r="AA26" s="896"/>
      <c r="AB26" s="896"/>
      <c r="AU26" s="226"/>
      <c r="AW26" s="226"/>
      <c r="AX26" s="226"/>
    </row>
    <row r="27" spans="1:50">
      <c r="A27" s="899" t="s">
        <v>1296</v>
      </c>
      <c r="B27" s="811">
        <f>B25-B13</f>
        <v>3656971</v>
      </c>
      <c r="C27" s="811">
        <f>C25-C13</f>
        <v>317058.53000000003</v>
      </c>
      <c r="D27" s="628"/>
      <c r="E27" s="640" t="s">
        <v>93</v>
      </c>
      <c r="F27" s="637">
        <f>SUM(F24:F26)</f>
        <v>1</v>
      </c>
      <c r="G27" s="632"/>
      <c r="H27" s="632"/>
      <c r="I27" s="632"/>
      <c r="J27" s="632" t="s">
        <v>93</v>
      </c>
      <c r="K27" s="637">
        <f>SUM(K24:K26)</f>
        <v>1</v>
      </c>
      <c r="M27" s="627">
        <f>M19/L19</f>
        <v>0.50524404920634547</v>
      </c>
      <c r="N27" s="628"/>
      <c r="O27" s="628" t="s">
        <v>978</v>
      </c>
      <c r="P27" s="629">
        <f>P19/O19</f>
        <v>0.50384162390853304</v>
      </c>
      <c r="Q27" s="630">
        <f>Q19/O19</f>
        <v>0.32026923956780273</v>
      </c>
      <c r="T27" s="663" t="s">
        <v>498</v>
      </c>
      <c r="U27" s="677">
        <f>U26-U21-U24-U25-V26</f>
        <v>-8980.2200602553785</v>
      </c>
      <c r="V27" s="548"/>
      <c r="W27" s="854"/>
      <c r="X27" s="152"/>
      <c r="Y27" s="854"/>
      <c r="Z27" s="152"/>
      <c r="AA27" s="854"/>
      <c r="AB27" s="152"/>
      <c r="AU27" s="226"/>
      <c r="AW27" s="226"/>
      <c r="AX27" s="226"/>
    </row>
    <row r="28" spans="1:50">
      <c r="M28" s="627">
        <f>M20/L20</f>
        <v>0.56006871111944423</v>
      </c>
      <c r="N28" s="628"/>
      <c r="O28" s="628" t="s">
        <v>1232</v>
      </c>
      <c r="P28" s="629">
        <f>P20/O20</f>
        <v>0.55318970838917014</v>
      </c>
      <c r="Q28" s="630">
        <f>Q20/O20</f>
        <v>0.34691703162010573</v>
      </c>
      <c r="AU28" s="226"/>
      <c r="AW28" s="226"/>
      <c r="AX28" s="226"/>
    </row>
    <row r="29" spans="1:50">
      <c r="E29" s="547" t="s">
        <v>777</v>
      </c>
      <c r="F29" s="602">
        <f>(F10+F12)/(F10+F12+F13)</f>
        <v>0.99896221556948728</v>
      </c>
      <c r="I29" s="648"/>
      <c r="J29" s="665" t="s">
        <v>777</v>
      </c>
      <c r="K29" s="602">
        <f>(K10+K12)/(K10+K12+K13)</f>
        <v>0.99879056106703323</v>
      </c>
      <c r="L29" s="126" t="s">
        <v>1302</v>
      </c>
      <c r="M29" s="631">
        <f>M21/L21</f>
        <v>0.54028007749704099</v>
      </c>
      <c r="N29" s="632"/>
      <c r="O29" s="632" t="s">
        <v>93</v>
      </c>
      <c r="P29" s="633">
        <f>P21/O21</f>
        <v>0.45534498982676647</v>
      </c>
      <c r="Q29" s="634">
        <f>Q21/O21</f>
        <v>0.36017048246738059</v>
      </c>
      <c r="S29" s="338"/>
      <c r="AU29" s="226"/>
      <c r="AW29" s="226"/>
      <c r="AX29" s="226"/>
    </row>
    <row r="30" spans="1:50">
      <c r="I30" s="666"/>
      <c r="J30" s="667" t="s">
        <v>1035</v>
      </c>
      <c r="K30" s="638">
        <f>K19/(K19+K15+K20)</f>
        <v>1.7661592408192667E-2</v>
      </c>
      <c r="L30" s="638">
        <f>K20/(K19+K15+K20)</f>
        <v>5.5323448686988757E-3</v>
      </c>
      <c r="M30" s="578"/>
      <c r="S30" s="338"/>
      <c r="AU30" s="226"/>
      <c r="AW30" s="226"/>
      <c r="AX30" s="226"/>
    </row>
    <row r="31" spans="1:50" ht="25.5">
      <c r="A31" s="878" t="s">
        <v>1287</v>
      </c>
      <c r="N31" s="578"/>
      <c r="T31" s="338"/>
      <c r="AU31" s="226"/>
      <c r="AW31" s="226"/>
      <c r="AX31" s="226"/>
    </row>
    <row r="32" spans="1:50" s="803" customFormat="1">
      <c r="A32" s="1164" t="s">
        <v>1284</v>
      </c>
      <c r="B32" s="1164" t="s">
        <v>125</v>
      </c>
      <c r="C32" s="1164" t="s">
        <v>126</v>
      </c>
      <c r="D32" s="1164" t="s">
        <v>127</v>
      </c>
      <c r="E32" s="1164" t="s">
        <v>128</v>
      </c>
      <c r="F32" s="1164" t="s">
        <v>72</v>
      </c>
      <c r="G32" s="1164" t="s">
        <v>688</v>
      </c>
      <c r="H32" s="1164" t="s">
        <v>689</v>
      </c>
      <c r="I32" s="1164" t="s">
        <v>686</v>
      </c>
      <c r="J32" s="1164" t="s">
        <v>687</v>
      </c>
      <c r="K32" s="1164" t="s">
        <v>70</v>
      </c>
      <c r="L32" s="1164" t="s">
        <v>626</v>
      </c>
      <c r="M32" s="1164" t="s">
        <v>640</v>
      </c>
      <c r="N32" s="1164" t="s">
        <v>641</v>
      </c>
      <c r="O32" s="1164" t="s">
        <v>622</v>
      </c>
      <c r="P32" s="1164" t="s">
        <v>623</v>
      </c>
      <c r="Q32" s="1164" t="s">
        <v>624</v>
      </c>
      <c r="R32" s="1164" t="s">
        <v>625</v>
      </c>
      <c r="S32" s="1164" t="s">
        <v>650</v>
      </c>
      <c r="T32" s="1164" t="s">
        <v>649</v>
      </c>
      <c r="U32" s="1164" t="s">
        <v>619</v>
      </c>
      <c r="V32" s="1164" t="s">
        <v>796</v>
      </c>
      <c r="W32" s="1164" t="s">
        <v>71</v>
      </c>
      <c r="X32" s="1164" t="s">
        <v>1152</v>
      </c>
      <c r="Y32" s="1164" t="s">
        <v>1153</v>
      </c>
      <c r="Z32" s="1164" t="s">
        <v>1154</v>
      </c>
      <c r="AA32" s="1164" t="s">
        <v>1155</v>
      </c>
      <c r="AB32" s="1164" t="s">
        <v>1156</v>
      </c>
      <c r="AC32" s="1164" t="s">
        <v>1225</v>
      </c>
      <c r="AD32" s="1164" t="s">
        <v>1256</v>
      </c>
      <c r="AE32" s="1164" t="s">
        <v>627</v>
      </c>
      <c r="AF32" s="1164" t="s">
        <v>1222</v>
      </c>
      <c r="AG32" s="1164" t="s">
        <v>1261</v>
      </c>
      <c r="AH32" s="1164" t="s">
        <v>1262</v>
      </c>
      <c r="AI32" s="1164" t="s">
        <v>1285</v>
      </c>
      <c r="AJ32" s="1164" t="s">
        <v>1263</v>
      </c>
      <c r="AK32" s="1164" t="s">
        <v>1264</v>
      </c>
      <c r="AL32" s="1164" t="s">
        <v>1299</v>
      </c>
      <c r="AM32" s="1164" t="s">
        <v>1300</v>
      </c>
      <c r="AN32" s="1164" t="s">
        <v>1545</v>
      </c>
      <c r="AO32" s="1164" t="s">
        <v>1546</v>
      </c>
      <c r="AP32" s="1164" t="s">
        <v>1547</v>
      </c>
      <c r="AQ32" s="1164" t="s">
        <v>1548</v>
      </c>
      <c r="AR32" s="1164" t="s">
        <v>1549</v>
      </c>
      <c r="AS32" s="875"/>
      <c r="AU32" s="226"/>
      <c r="AV32" s="129"/>
      <c r="AW32" s="226"/>
      <c r="AX32" s="226"/>
    </row>
    <row r="33" spans="1:50" s="803" customFormat="1">
      <c r="A33" s="1160" t="s">
        <v>1286</v>
      </c>
      <c r="B33" s="1161">
        <v>7796</v>
      </c>
      <c r="C33" s="1161">
        <v>873.35</v>
      </c>
      <c r="D33" s="1161">
        <v>0</v>
      </c>
      <c r="E33" s="1161">
        <v>0</v>
      </c>
      <c r="F33" s="1161">
        <v>10</v>
      </c>
      <c r="G33" s="1161">
        <v>10</v>
      </c>
      <c r="H33" s="1161">
        <v>0</v>
      </c>
      <c r="I33" s="1161">
        <v>4.1100000000000003</v>
      </c>
      <c r="J33" s="1161">
        <v>0</v>
      </c>
      <c r="K33" s="1161">
        <v>7796</v>
      </c>
      <c r="L33" s="1161">
        <v>2898</v>
      </c>
      <c r="M33" s="1161">
        <v>1831</v>
      </c>
      <c r="N33" s="1161">
        <v>1067</v>
      </c>
      <c r="O33" s="1161">
        <v>4898</v>
      </c>
      <c r="P33" s="1161">
        <v>2134</v>
      </c>
      <c r="Q33" s="1161">
        <v>2515</v>
      </c>
      <c r="R33" s="1161">
        <v>249</v>
      </c>
      <c r="S33" s="1161">
        <v>0</v>
      </c>
      <c r="T33" s="1161">
        <v>0</v>
      </c>
      <c r="U33" s="1161">
        <v>904.30682100000001</v>
      </c>
      <c r="V33" s="1161">
        <v>904.30682100000001</v>
      </c>
      <c r="W33" s="1161">
        <v>904.31</v>
      </c>
      <c r="X33" s="1161">
        <v>0</v>
      </c>
      <c r="Y33" s="1161">
        <v>0</v>
      </c>
      <c r="Z33" s="1161">
        <v>0</v>
      </c>
      <c r="AA33" s="1161">
        <v>0</v>
      </c>
      <c r="AB33" s="1161">
        <v>0</v>
      </c>
      <c r="AC33" s="1161">
        <v>-30.96</v>
      </c>
      <c r="AD33" s="1161">
        <v>-30.96</v>
      </c>
      <c r="AE33" s="1161">
        <v>10</v>
      </c>
      <c r="AF33" s="1161">
        <v>0</v>
      </c>
      <c r="AG33" s="1161">
        <v>0</v>
      </c>
      <c r="AH33" s="1161">
        <v>0</v>
      </c>
      <c r="AI33" s="1161">
        <v>0</v>
      </c>
      <c r="AJ33" s="1161">
        <v>0</v>
      </c>
      <c r="AK33" s="1161">
        <v>0</v>
      </c>
      <c r="AL33" s="1161">
        <v>0</v>
      </c>
      <c r="AM33" s="1161">
        <v>0</v>
      </c>
      <c r="AN33" s="1161">
        <v>0</v>
      </c>
      <c r="AO33" s="1161">
        <v>0</v>
      </c>
      <c r="AP33" s="1161">
        <v>0</v>
      </c>
      <c r="AQ33" s="1161">
        <v>0</v>
      </c>
      <c r="AR33" s="1161">
        <v>0</v>
      </c>
      <c r="AS33" s="524"/>
      <c r="AU33" s="226">
        <f t="shared" si="5"/>
        <v>-3.1789999999318752E-3</v>
      </c>
      <c r="AV33" s="129">
        <f t="shared" si="6"/>
        <v>-3.5153874223793561E-6</v>
      </c>
      <c r="AW33" s="226">
        <f t="shared" si="7"/>
        <v>0</v>
      </c>
      <c r="AX33" s="226">
        <f t="shared" si="8"/>
        <v>0</v>
      </c>
    </row>
    <row r="34" spans="1:50" s="803" customFormat="1">
      <c r="A34" s="1160" t="s">
        <v>1273</v>
      </c>
      <c r="B34" s="1161">
        <v>10914074</v>
      </c>
      <c r="C34" s="1161">
        <v>1175378.1299999999</v>
      </c>
      <c r="D34" s="1161">
        <v>50298</v>
      </c>
      <c r="E34" s="1161">
        <v>5191.21</v>
      </c>
      <c r="F34" s="1161">
        <v>16879.833333333299</v>
      </c>
      <c r="G34" s="1161">
        <v>16879.833333333299</v>
      </c>
      <c r="H34" s="1161">
        <v>0</v>
      </c>
      <c r="I34" s="1161">
        <v>3883.0725000000002</v>
      </c>
      <c r="J34" s="1161">
        <v>0</v>
      </c>
      <c r="K34" s="1161">
        <v>10964372</v>
      </c>
      <c r="L34" s="1161">
        <v>6087514</v>
      </c>
      <c r="M34" s="1161">
        <v>3413720</v>
      </c>
      <c r="N34" s="1161">
        <v>2673794</v>
      </c>
      <c r="O34" s="1161">
        <v>4876858</v>
      </c>
      <c r="P34" s="1161">
        <v>2717992</v>
      </c>
      <c r="Q34" s="1161">
        <v>1695195</v>
      </c>
      <c r="R34" s="1161">
        <v>463671</v>
      </c>
      <c r="S34" s="1161">
        <v>0</v>
      </c>
      <c r="T34" s="1161">
        <v>0</v>
      </c>
      <c r="U34" s="1161">
        <v>1223955.1322669899</v>
      </c>
      <c r="V34" s="1161">
        <v>1223955.1322669899</v>
      </c>
      <c r="W34" s="1161">
        <v>1223966.69</v>
      </c>
      <c r="X34" s="1161">
        <v>0</v>
      </c>
      <c r="Y34" s="1161">
        <v>0</v>
      </c>
      <c r="Z34" s="1161">
        <v>0</v>
      </c>
      <c r="AA34" s="1161">
        <v>0</v>
      </c>
      <c r="AB34" s="1161">
        <v>0</v>
      </c>
      <c r="AC34" s="1161">
        <v>-43397.35</v>
      </c>
      <c r="AD34" s="1161">
        <v>-43244.639999999999</v>
      </c>
      <c r="AE34" s="1161">
        <v>0</v>
      </c>
      <c r="AF34" s="1161">
        <v>0</v>
      </c>
      <c r="AG34" s="1161">
        <v>0</v>
      </c>
      <c r="AH34" s="1161">
        <v>0</v>
      </c>
      <c r="AI34" s="1161">
        <v>0</v>
      </c>
      <c r="AJ34" s="1161">
        <v>0</v>
      </c>
      <c r="AK34" s="1161">
        <v>0</v>
      </c>
      <c r="AL34" s="1161">
        <v>0</v>
      </c>
      <c r="AM34" s="1161">
        <v>0</v>
      </c>
      <c r="AN34" s="1161">
        <v>210.73333333333301</v>
      </c>
      <c r="AO34" s="1161">
        <v>0</v>
      </c>
      <c r="AP34" s="1161">
        <v>29.412500000000001</v>
      </c>
      <c r="AQ34" s="1161">
        <v>0</v>
      </c>
      <c r="AR34" s="1161">
        <v>0</v>
      </c>
      <c r="AS34" s="524"/>
      <c r="AU34" s="226">
        <f t="shared" si="5"/>
        <v>-11.557733010035008</v>
      </c>
      <c r="AV34" s="129">
        <f t="shared" si="6"/>
        <v>-9.4428493066547492E-6</v>
      </c>
      <c r="AW34" s="226">
        <f t="shared" si="7"/>
        <v>152.70999999999913</v>
      </c>
      <c r="AX34" s="226">
        <f t="shared" si="8"/>
        <v>0</v>
      </c>
    </row>
    <row r="35" spans="1:50" s="803" customFormat="1">
      <c r="A35" s="1160" t="s">
        <v>1274</v>
      </c>
      <c r="B35" s="1161">
        <v>2285</v>
      </c>
      <c r="C35" s="1161">
        <v>241.76</v>
      </c>
      <c r="D35" s="1161">
        <v>0</v>
      </c>
      <c r="E35" s="1161">
        <v>0</v>
      </c>
      <c r="F35" s="1161">
        <v>4.8666666666666698</v>
      </c>
      <c r="G35" s="1161">
        <v>4.8666666666666698</v>
      </c>
      <c r="H35" s="1161">
        <v>0</v>
      </c>
      <c r="I35" s="1161">
        <v>0.34499999999999997</v>
      </c>
      <c r="J35" s="1161">
        <v>0</v>
      </c>
      <c r="K35" s="1161">
        <v>2285</v>
      </c>
      <c r="L35" s="1161">
        <v>1059</v>
      </c>
      <c r="M35" s="1161">
        <v>742</v>
      </c>
      <c r="N35" s="1161">
        <v>317</v>
      </c>
      <c r="O35" s="1161">
        <v>1226</v>
      </c>
      <c r="P35" s="1161">
        <v>946</v>
      </c>
      <c r="Q35" s="1161">
        <v>280</v>
      </c>
      <c r="R35" s="1161">
        <v>0</v>
      </c>
      <c r="S35" s="1161">
        <v>379</v>
      </c>
      <c r="T35" s="1161">
        <v>847</v>
      </c>
      <c r="U35" s="1161">
        <v>250.28091000000001</v>
      </c>
      <c r="V35" s="1161">
        <v>250.28091000000001</v>
      </c>
      <c r="W35" s="1161">
        <v>250.29</v>
      </c>
      <c r="X35" s="1161">
        <v>0</v>
      </c>
      <c r="Y35" s="1161">
        <v>0</v>
      </c>
      <c r="Z35" s="1161">
        <v>0</v>
      </c>
      <c r="AA35" s="1161">
        <v>0</v>
      </c>
      <c r="AB35" s="1161">
        <v>0</v>
      </c>
      <c r="AC35" s="1161">
        <v>-8.5299999999999994</v>
      </c>
      <c r="AD35" s="1161">
        <v>-8.5299999999999994</v>
      </c>
      <c r="AE35" s="1161">
        <v>0</v>
      </c>
      <c r="AF35" s="1161">
        <v>0</v>
      </c>
      <c r="AG35" s="1161">
        <v>0</v>
      </c>
      <c r="AH35" s="1161">
        <v>0</v>
      </c>
      <c r="AI35" s="1161">
        <v>0</v>
      </c>
      <c r="AJ35" s="1161">
        <v>0</v>
      </c>
      <c r="AK35" s="1161">
        <v>0</v>
      </c>
      <c r="AL35" s="1161">
        <v>0</v>
      </c>
      <c r="AM35" s="1161">
        <v>0</v>
      </c>
      <c r="AN35" s="1161">
        <v>0</v>
      </c>
      <c r="AO35" s="1161">
        <v>0</v>
      </c>
      <c r="AP35" s="1161">
        <v>0</v>
      </c>
      <c r="AQ35" s="1161">
        <v>0</v>
      </c>
      <c r="AR35" s="1161">
        <v>0</v>
      </c>
      <c r="AS35" s="524"/>
      <c r="AU35" s="226">
        <f t="shared" si="5"/>
        <v>-9.0899999999862757E-3</v>
      </c>
      <c r="AV35" s="129">
        <f t="shared" si="6"/>
        <v>-3.631787126927275E-5</v>
      </c>
      <c r="AW35" s="226">
        <f t="shared" si="7"/>
        <v>0</v>
      </c>
      <c r="AX35" s="226">
        <f t="shared" si="8"/>
        <v>0</v>
      </c>
    </row>
    <row r="36" spans="1:50" s="803" customFormat="1">
      <c r="A36" s="1160" t="s">
        <v>1275</v>
      </c>
      <c r="B36" s="1161">
        <v>41185</v>
      </c>
      <c r="C36" s="1161">
        <v>4419.1899999999996</v>
      </c>
      <c r="D36" s="1161">
        <v>-79</v>
      </c>
      <c r="E36" s="1161">
        <v>-8.39</v>
      </c>
      <c r="F36" s="1161">
        <v>73.7</v>
      </c>
      <c r="G36" s="1161">
        <v>73.7</v>
      </c>
      <c r="H36" s="1161">
        <v>0</v>
      </c>
      <c r="I36" s="1161">
        <v>19</v>
      </c>
      <c r="J36" s="1161">
        <v>0</v>
      </c>
      <c r="K36" s="1161">
        <v>41106</v>
      </c>
      <c r="L36" s="1161">
        <v>23699</v>
      </c>
      <c r="M36" s="1161">
        <v>15109</v>
      </c>
      <c r="N36" s="1161">
        <v>8590</v>
      </c>
      <c r="O36" s="1161">
        <v>17407</v>
      </c>
      <c r="P36" s="1161">
        <v>11314</v>
      </c>
      <c r="Q36" s="1161">
        <v>5680</v>
      </c>
      <c r="R36" s="1161">
        <v>413</v>
      </c>
      <c r="S36" s="1161">
        <v>0</v>
      </c>
      <c r="T36" s="1161">
        <v>0</v>
      </c>
      <c r="U36" s="1161">
        <v>4567.6496580000003</v>
      </c>
      <c r="V36" s="1161">
        <v>4567.6496580000003</v>
      </c>
      <c r="W36" s="1161">
        <v>4567.7299999999996</v>
      </c>
      <c r="X36" s="1161">
        <v>0</v>
      </c>
      <c r="Y36" s="1161">
        <v>0</v>
      </c>
      <c r="Z36" s="1161">
        <v>0</v>
      </c>
      <c r="AA36" s="1161">
        <v>0</v>
      </c>
      <c r="AB36" s="1161">
        <v>0</v>
      </c>
      <c r="AC36" s="1161">
        <v>-156.93</v>
      </c>
      <c r="AD36" s="1161">
        <v>-158.44</v>
      </c>
      <c r="AE36" s="1161">
        <v>0</v>
      </c>
      <c r="AF36" s="1161">
        <v>0</v>
      </c>
      <c r="AG36" s="1161">
        <v>0</v>
      </c>
      <c r="AH36" s="1161">
        <v>0</v>
      </c>
      <c r="AI36" s="1161">
        <v>0</v>
      </c>
      <c r="AJ36" s="1161">
        <v>0</v>
      </c>
      <c r="AK36" s="1161">
        <v>0</v>
      </c>
      <c r="AL36" s="1161">
        <v>0</v>
      </c>
      <c r="AM36" s="1161">
        <v>0</v>
      </c>
      <c r="AN36" s="1161">
        <v>0</v>
      </c>
      <c r="AO36" s="1161">
        <v>0</v>
      </c>
      <c r="AP36" s="1161">
        <v>0</v>
      </c>
      <c r="AQ36" s="1161">
        <v>0</v>
      </c>
      <c r="AR36" s="1161">
        <v>0</v>
      </c>
      <c r="AS36" s="524"/>
      <c r="AU36" s="226">
        <f t="shared" si="5"/>
        <v>-8.0341999999291147E-2</v>
      </c>
      <c r="AV36" s="129">
        <f t="shared" si="6"/>
        <v>-1.7589043135056396E-5</v>
      </c>
      <c r="AW36" s="226">
        <f t="shared" si="7"/>
        <v>-1.5099999999999909</v>
      </c>
      <c r="AX36" s="226">
        <f t="shared" si="8"/>
        <v>0</v>
      </c>
    </row>
    <row r="37" spans="1:50" s="803" customFormat="1">
      <c r="A37" s="1160" t="s">
        <v>1276</v>
      </c>
      <c r="B37" s="1161">
        <v>36206452</v>
      </c>
      <c r="C37" s="1161">
        <v>4249548.43</v>
      </c>
      <c r="D37" s="1161">
        <v>-126109</v>
      </c>
      <c r="E37" s="1161">
        <v>-12723.01</v>
      </c>
      <c r="F37" s="1161">
        <v>108697.53333333301</v>
      </c>
      <c r="G37" s="1161">
        <v>108637.53333333301</v>
      </c>
      <c r="H37" s="1161">
        <v>60</v>
      </c>
      <c r="I37" s="1161">
        <v>12564.25375</v>
      </c>
      <c r="J37" s="1161">
        <v>3.2787500000000001</v>
      </c>
      <c r="K37" s="1161">
        <v>36080343</v>
      </c>
      <c r="L37" s="1161">
        <v>24636140</v>
      </c>
      <c r="M37" s="1161">
        <v>12480540</v>
      </c>
      <c r="N37" s="1161">
        <v>12155600</v>
      </c>
      <c r="O37" s="1161">
        <v>11444203</v>
      </c>
      <c r="P37" s="1161">
        <v>5741166</v>
      </c>
      <c r="Q37" s="1161">
        <v>3685901</v>
      </c>
      <c r="R37" s="1161">
        <v>2017136</v>
      </c>
      <c r="S37" s="1161">
        <v>1009</v>
      </c>
      <c r="T37" s="1161">
        <v>5460</v>
      </c>
      <c r="U37" s="1161">
        <v>4384391.5548050404</v>
      </c>
      <c r="V37" s="1161">
        <v>4384391.5548050404</v>
      </c>
      <c r="W37" s="1161">
        <v>4384420.01</v>
      </c>
      <c r="X37" s="1161">
        <v>0</v>
      </c>
      <c r="Y37" s="1161">
        <v>0</v>
      </c>
      <c r="Z37" s="1161">
        <v>0</v>
      </c>
      <c r="AA37" s="1161">
        <v>0</v>
      </c>
      <c r="AB37" s="1161">
        <v>0</v>
      </c>
      <c r="AC37" s="1161">
        <v>-147594.59</v>
      </c>
      <c r="AD37" s="1161">
        <v>-148504.68</v>
      </c>
      <c r="AE37" s="1161">
        <v>0</v>
      </c>
      <c r="AF37" s="1161">
        <v>0</v>
      </c>
      <c r="AG37" s="1161">
        <v>0</v>
      </c>
      <c r="AH37" s="1161">
        <v>0</v>
      </c>
      <c r="AI37" s="1161">
        <v>0</v>
      </c>
      <c r="AJ37" s="1161">
        <v>0</v>
      </c>
      <c r="AK37" s="1161">
        <v>0</v>
      </c>
      <c r="AL37" s="1161">
        <v>0</v>
      </c>
      <c r="AM37" s="1161">
        <v>12</v>
      </c>
      <c r="AN37" s="1161">
        <v>3272.5333333333301</v>
      </c>
      <c r="AO37" s="1161">
        <v>12</v>
      </c>
      <c r="AP37" s="1161">
        <v>248.47624999999999</v>
      </c>
      <c r="AQ37" s="1161">
        <v>0</v>
      </c>
      <c r="AR37" s="1161">
        <v>0</v>
      </c>
      <c r="AS37" s="524"/>
      <c r="AU37" s="226">
        <f t="shared" si="5"/>
        <v>-28.455194959416986</v>
      </c>
      <c r="AV37" s="129">
        <f t="shared" si="6"/>
        <v>-6.4900704983820621E-6</v>
      </c>
      <c r="AW37" s="226">
        <f t="shared" si="7"/>
        <v>-910.08999999999651</v>
      </c>
      <c r="AX37" s="226">
        <f t="shared" si="8"/>
        <v>0</v>
      </c>
    </row>
    <row r="38" spans="1:50" s="803" customFormat="1">
      <c r="A38" s="1160" t="s">
        <v>1277</v>
      </c>
      <c r="B38" s="1161">
        <v>313027</v>
      </c>
      <c r="C38" s="1161">
        <v>33748.07</v>
      </c>
      <c r="D38" s="1161">
        <v>-1142</v>
      </c>
      <c r="E38" s="1161">
        <v>-107.22</v>
      </c>
      <c r="F38" s="1161">
        <v>735.63333333333298</v>
      </c>
      <c r="G38" s="1161">
        <v>735.63333333333298</v>
      </c>
      <c r="H38" s="1161">
        <v>0</v>
      </c>
      <c r="I38" s="1161">
        <v>37.075000000000003</v>
      </c>
      <c r="J38" s="1161">
        <v>0</v>
      </c>
      <c r="K38" s="1161">
        <v>311885</v>
      </c>
      <c r="L38" s="1161">
        <v>215959</v>
      </c>
      <c r="M38" s="1161">
        <v>121521</v>
      </c>
      <c r="N38" s="1161">
        <v>94438</v>
      </c>
      <c r="O38" s="1161">
        <v>95926</v>
      </c>
      <c r="P38" s="1161">
        <v>69074</v>
      </c>
      <c r="Q38" s="1161">
        <v>24598</v>
      </c>
      <c r="R38" s="1161">
        <v>2254</v>
      </c>
      <c r="S38" s="1161">
        <v>0</v>
      </c>
      <c r="T38" s="1161">
        <v>0</v>
      </c>
      <c r="U38" s="1161">
        <v>34854.385419999999</v>
      </c>
      <c r="V38" s="1161">
        <v>34854.385419999999</v>
      </c>
      <c r="W38" s="1161">
        <v>34854.639999999999</v>
      </c>
      <c r="X38" s="1161">
        <v>0</v>
      </c>
      <c r="Y38" s="1161">
        <v>0</v>
      </c>
      <c r="Z38" s="1161">
        <v>0</v>
      </c>
      <c r="AA38" s="1161">
        <v>0</v>
      </c>
      <c r="AB38" s="1161">
        <v>0</v>
      </c>
      <c r="AC38" s="1161">
        <v>-1213.79</v>
      </c>
      <c r="AD38" s="1161">
        <v>-1220.21</v>
      </c>
      <c r="AE38" s="1161">
        <v>0</v>
      </c>
      <c r="AF38" s="1161">
        <v>0</v>
      </c>
      <c r="AG38" s="1161">
        <v>0</v>
      </c>
      <c r="AH38" s="1161">
        <v>0</v>
      </c>
      <c r="AI38" s="1161">
        <v>0</v>
      </c>
      <c r="AJ38" s="1161">
        <v>0</v>
      </c>
      <c r="AK38" s="1161">
        <v>0</v>
      </c>
      <c r="AL38" s="1161">
        <v>0</v>
      </c>
      <c r="AM38" s="1161">
        <v>0</v>
      </c>
      <c r="AN38" s="1161">
        <v>378.26666666666699</v>
      </c>
      <c r="AO38" s="1161">
        <v>0</v>
      </c>
      <c r="AP38" s="1161">
        <v>2.0874999999999999</v>
      </c>
      <c r="AQ38" s="1161">
        <v>0</v>
      </c>
      <c r="AR38" s="1161">
        <v>0</v>
      </c>
      <c r="AS38" s="524"/>
      <c r="AU38" s="226">
        <f t="shared" si="5"/>
        <v>-0.25458000000071479</v>
      </c>
      <c r="AV38" s="129">
        <f t="shared" si="6"/>
        <v>-7.304049044853563E-6</v>
      </c>
      <c r="AW38" s="226">
        <f t="shared" si="7"/>
        <v>-6.4200000000000728</v>
      </c>
      <c r="AX38" s="226">
        <f t="shared" si="8"/>
        <v>0</v>
      </c>
    </row>
    <row r="39" spans="1:50" s="803" customFormat="1">
      <c r="A39" s="1160" t="s">
        <v>1278</v>
      </c>
      <c r="B39" s="1161">
        <v>2017305180</v>
      </c>
      <c r="C39" s="1161">
        <v>215658889.91999999</v>
      </c>
      <c r="D39" s="1161">
        <v>-8696</v>
      </c>
      <c r="E39" s="1161">
        <v>-469.31</v>
      </c>
      <c r="F39" s="1161">
        <v>2890992.5333333998</v>
      </c>
      <c r="G39" s="1161">
        <v>2883906.1000000699</v>
      </c>
      <c r="H39" s="1161">
        <v>7086.4333333333298</v>
      </c>
      <c r="I39" s="1161">
        <v>5063.2637500001101</v>
      </c>
      <c r="J39" s="1161">
        <v>8.1337499999999991</v>
      </c>
      <c r="K39" s="1161">
        <v>2017296484</v>
      </c>
      <c r="L39" s="1161">
        <v>1068483250</v>
      </c>
      <c r="M39" s="1161">
        <v>586205918</v>
      </c>
      <c r="N39" s="1161">
        <v>482277332</v>
      </c>
      <c r="O39" s="1161">
        <v>948813234</v>
      </c>
      <c r="P39" s="1161">
        <v>432163698</v>
      </c>
      <c r="Q39" s="1161">
        <v>342272514</v>
      </c>
      <c r="R39" s="1161">
        <v>174377022</v>
      </c>
      <c r="S39" s="1161">
        <v>0</v>
      </c>
      <c r="T39" s="1161">
        <v>0</v>
      </c>
      <c r="U39" s="1161">
        <v>223899938.42241499</v>
      </c>
      <c r="V39" s="1161">
        <v>223899938.42241499</v>
      </c>
      <c r="W39" s="1161">
        <v>223901697.74000001</v>
      </c>
      <c r="X39" s="1161">
        <v>0</v>
      </c>
      <c r="Y39" s="1161">
        <v>0</v>
      </c>
      <c r="Z39" s="1161">
        <v>0</v>
      </c>
      <c r="AA39" s="1161">
        <v>0</v>
      </c>
      <c r="AB39" s="1161">
        <v>0</v>
      </c>
      <c r="AC39" s="1161">
        <v>-8243277.1299999999</v>
      </c>
      <c r="AD39" s="1161">
        <v>-8244069.6699999999</v>
      </c>
      <c r="AE39" s="1161">
        <v>0</v>
      </c>
      <c r="AF39" s="1161">
        <v>0</v>
      </c>
      <c r="AG39" s="1161">
        <v>0</v>
      </c>
      <c r="AH39" s="1161">
        <v>0</v>
      </c>
      <c r="AI39" s="1161">
        <v>0</v>
      </c>
      <c r="AJ39" s="1161">
        <v>0</v>
      </c>
      <c r="AK39" s="1161">
        <v>0</v>
      </c>
      <c r="AL39" s="1161">
        <v>2.5252083333333299</v>
      </c>
      <c r="AM39" s="1161">
        <v>66.566818181818206</v>
      </c>
      <c r="AN39" s="1161">
        <v>699686.899999958</v>
      </c>
      <c r="AO39" s="1161">
        <v>6162</v>
      </c>
      <c r="AP39" s="1161">
        <v>1657.50874999998</v>
      </c>
      <c r="AQ39" s="1161">
        <v>5.0281250000000002</v>
      </c>
      <c r="AR39" s="1161">
        <v>0</v>
      </c>
      <c r="AS39" s="524"/>
      <c r="AU39" s="226">
        <f t="shared" si="5"/>
        <v>-1759.3175850212574</v>
      </c>
      <c r="AV39" s="129">
        <f t="shared" si="6"/>
        <v>-7.8575446402564527E-6</v>
      </c>
      <c r="AW39" s="226">
        <f t="shared" si="7"/>
        <v>-792.54000000003725</v>
      </c>
      <c r="AX39" s="226">
        <f t="shared" si="8"/>
        <v>0</v>
      </c>
    </row>
    <row r="40" spans="1:50" s="803" customFormat="1">
      <c r="A40" s="1160" t="s">
        <v>1279</v>
      </c>
      <c r="B40" s="1161">
        <v>1002328</v>
      </c>
      <c r="C40" s="1161">
        <v>105492.66</v>
      </c>
      <c r="D40" s="1161">
        <v>-809</v>
      </c>
      <c r="E40" s="1161">
        <v>-77.73</v>
      </c>
      <c r="F40" s="1161">
        <v>1496.4</v>
      </c>
      <c r="G40" s="1161">
        <v>1484.4</v>
      </c>
      <c r="H40" s="1161">
        <v>12</v>
      </c>
      <c r="I40" s="1161">
        <v>0.97375</v>
      </c>
      <c r="J40" s="1161">
        <v>0</v>
      </c>
      <c r="K40" s="1161">
        <v>1001519</v>
      </c>
      <c r="L40" s="1161">
        <v>567224</v>
      </c>
      <c r="M40" s="1161">
        <v>304239</v>
      </c>
      <c r="N40" s="1161">
        <v>262985</v>
      </c>
      <c r="O40" s="1161">
        <v>434295</v>
      </c>
      <c r="P40" s="1161">
        <v>217133</v>
      </c>
      <c r="Q40" s="1161">
        <v>150327</v>
      </c>
      <c r="R40" s="1161">
        <v>66835</v>
      </c>
      <c r="S40" s="1161">
        <v>102774</v>
      </c>
      <c r="T40" s="1161">
        <v>331521</v>
      </c>
      <c r="U40" s="1161">
        <v>109428.958065</v>
      </c>
      <c r="V40" s="1161">
        <v>109428.958065</v>
      </c>
      <c r="W40" s="1161">
        <v>109429.34</v>
      </c>
      <c r="X40" s="1161">
        <v>0</v>
      </c>
      <c r="Y40" s="1161">
        <v>0</v>
      </c>
      <c r="Z40" s="1161">
        <v>0</v>
      </c>
      <c r="AA40" s="1161">
        <v>0</v>
      </c>
      <c r="AB40" s="1161">
        <v>0</v>
      </c>
      <c r="AC40" s="1161">
        <v>-4014.41</v>
      </c>
      <c r="AD40" s="1161">
        <v>-4022.39</v>
      </c>
      <c r="AE40" s="1161">
        <v>0</v>
      </c>
      <c r="AF40" s="1161">
        <v>0</v>
      </c>
      <c r="AG40" s="1161">
        <v>0</v>
      </c>
      <c r="AH40" s="1161">
        <v>0</v>
      </c>
      <c r="AI40" s="1161">
        <v>0</v>
      </c>
      <c r="AJ40" s="1161">
        <v>0</v>
      </c>
      <c r="AK40" s="1161">
        <v>0</v>
      </c>
      <c r="AL40" s="1161">
        <v>0</v>
      </c>
      <c r="AM40" s="1161">
        <v>0</v>
      </c>
      <c r="AN40" s="1161">
        <v>340.86666666666702</v>
      </c>
      <c r="AO40" s="1161">
        <v>0</v>
      </c>
      <c r="AP40" s="1161">
        <v>0</v>
      </c>
      <c r="AQ40" s="1161">
        <v>0</v>
      </c>
      <c r="AR40" s="1161">
        <v>0</v>
      </c>
      <c r="AS40" s="524"/>
      <c r="AU40" s="226">
        <f t="shared" si="5"/>
        <v>-0.38193499999761116</v>
      </c>
      <c r="AV40" s="129">
        <f t="shared" si="6"/>
        <v>-3.4902431102811289E-6</v>
      </c>
      <c r="AW40" s="226">
        <f t="shared" si="7"/>
        <v>-7.9800000000000182</v>
      </c>
      <c r="AX40" s="226">
        <f t="shared" si="8"/>
        <v>0</v>
      </c>
    </row>
    <row r="41" spans="1:50" s="803" customFormat="1">
      <c r="A41" s="1160" t="s">
        <v>1280</v>
      </c>
      <c r="B41" s="1161">
        <v>48337838</v>
      </c>
      <c r="C41" s="1161">
        <v>5087031.8099999996</v>
      </c>
      <c r="D41" s="1161">
        <v>27700</v>
      </c>
      <c r="E41" s="1161">
        <v>3175.59</v>
      </c>
      <c r="F41" s="1161">
        <v>81451.766666666401</v>
      </c>
      <c r="G41" s="1161">
        <v>81361.266666666401</v>
      </c>
      <c r="H41" s="1161">
        <v>90.5</v>
      </c>
      <c r="I41" s="1161">
        <v>17.28125</v>
      </c>
      <c r="J41" s="1161">
        <v>0</v>
      </c>
      <c r="K41" s="1161">
        <v>48365538</v>
      </c>
      <c r="L41" s="1161">
        <v>27132247</v>
      </c>
      <c r="M41" s="1161">
        <v>16204967</v>
      </c>
      <c r="N41" s="1161">
        <v>10927280</v>
      </c>
      <c r="O41" s="1161">
        <v>21233291</v>
      </c>
      <c r="P41" s="1161">
        <v>12002480</v>
      </c>
      <c r="Q41" s="1161">
        <v>7151021</v>
      </c>
      <c r="R41" s="1161">
        <v>2079790</v>
      </c>
      <c r="S41" s="1161">
        <v>3395</v>
      </c>
      <c r="T41" s="1161">
        <v>8616</v>
      </c>
      <c r="U41" s="1161">
        <v>5281688.8675508099</v>
      </c>
      <c r="V41" s="1161">
        <v>5281688.8675508099</v>
      </c>
      <c r="W41" s="1161">
        <v>5281728.5</v>
      </c>
      <c r="X41" s="1161">
        <v>0</v>
      </c>
      <c r="Y41" s="1161">
        <v>0</v>
      </c>
      <c r="Z41" s="1161">
        <v>0</v>
      </c>
      <c r="AA41" s="1161">
        <v>0</v>
      </c>
      <c r="AB41" s="1161">
        <v>0</v>
      </c>
      <c r="AC41" s="1161">
        <v>-191521.1</v>
      </c>
      <c r="AD41" s="1161">
        <v>-191457.6</v>
      </c>
      <c r="AE41" s="1161">
        <v>0</v>
      </c>
      <c r="AF41" s="1161">
        <v>0</v>
      </c>
      <c r="AG41" s="1161">
        <v>0</v>
      </c>
      <c r="AH41" s="1161">
        <v>0</v>
      </c>
      <c r="AI41" s="1161">
        <v>0</v>
      </c>
      <c r="AJ41" s="1161">
        <v>0</v>
      </c>
      <c r="AK41" s="1161">
        <v>0</v>
      </c>
      <c r="AL41" s="1161">
        <v>0</v>
      </c>
      <c r="AM41" s="1161">
        <v>0</v>
      </c>
      <c r="AN41" s="1161">
        <v>41075.533333333398</v>
      </c>
      <c r="AO41" s="1161">
        <v>70.6666666666667</v>
      </c>
      <c r="AP41" s="1161">
        <v>8.6649999999999991</v>
      </c>
      <c r="AQ41" s="1161">
        <v>0</v>
      </c>
      <c r="AR41" s="1161">
        <v>0</v>
      </c>
      <c r="AS41" s="524"/>
      <c r="AU41" s="226">
        <f t="shared" si="5"/>
        <v>-39.63244919013232</v>
      </c>
      <c r="AV41" s="129">
        <f t="shared" si="6"/>
        <v>-7.5036892165381697E-6</v>
      </c>
      <c r="AW41" s="226">
        <f t="shared" si="7"/>
        <v>63.5</v>
      </c>
      <c r="AX41" s="226">
        <f t="shared" si="8"/>
        <v>0</v>
      </c>
    </row>
    <row r="42" spans="1:50" s="803" customFormat="1">
      <c r="A42" s="1160" t="s">
        <v>1281</v>
      </c>
      <c r="B42" s="1161">
        <v>1242968</v>
      </c>
      <c r="C42" s="1161">
        <v>106591.58</v>
      </c>
      <c r="D42" s="1161">
        <v>-956</v>
      </c>
      <c r="E42" s="1161">
        <v>111.02</v>
      </c>
      <c r="F42" s="1161">
        <v>1077.2666666666701</v>
      </c>
      <c r="G42" s="1161">
        <v>1077.2666666666701</v>
      </c>
      <c r="H42" s="1161">
        <v>0</v>
      </c>
      <c r="I42" s="1161">
        <v>0</v>
      </c>
      <c r="J42" s="1161">
        <v>0</v>
      </c>
      <c r="K42" s="1161">
        <v>1242012</v>
      </c>
      <c r="L42" s="1161">
        <v>0</v>
      </c>
      <c r="M42" s="1161">
        <v>0</v>
      </c>
      <c r="N42" s="1161">
        <v>0</v>
      </c>
      <c r="O42" s="1161">
        <v>0</v>
      </c>
      <c r="P42" s="1161">
        <v>0</v>
      </c>
      <c r="Q42" s="1161">
        <v>0</v>
      </c>
      <c r="R42" s="1161">
        <v>0</v>
      </c>
      <c r="S42" s="1161">
        <v>0</v>
      </c>
      <c r="T42" s="1161">
        <v>0</v>
      </c>
      <c r="U42" s="1161">
        <v>110856.08199799999</v>
      </c>
      <c r="V42" s="1161">
        <v>110856.08199799999</v>
      </c>
      <c r="W42" s="1161">
        <v>110855.89</v>
      </c>
      <c r="X42" s="1161">
        <v>0</v>
      </c>
      <c r="Y42" s="1161">
        <v>70967</v>
      </c>
      <c r="Z42" s="1161">
        <v>338176</v>
      </c>
      <c r="AA42" s="1161">
        <v>120447</v>
      </c>
      <c r="AB42" s="1161">
        <v>712422</v>
      </c>
      <c r="AC42" s="1161">
        <v>-4153.29</v>
      </c>
      <c r="AD42" s="1161">
        <v>-4148.08</v>
      </c>
      <c r="AE42" s="1161">
        <v>0</v>
      </c>
      <c r="AF42" s="1161">
        <v>0</v>
      </c>
      <c r="AG42" s="1161">
        <v>0</v>
      </c>
      <c r="AH42" s="1161">
        <v>0</v>
      </c>
      <c r="AI42" s="1161">
        <v>0</v>
      </c>
      <c r="AJ42" s="1161">
        <v>0</v>
      </c>
      <c r="AK42" s="1161">
        <v>0</v>
      </c>
      <c r="AL42" s="1161">
        <v>0</v>
      </c>
      <c r="AM42" s="1161">
        <v>0</v>
      </c>
      <c r="AN42" s="1161">
        <v>89.866666666666703</v>
      </c>
      <c r="AO42" s="1161">
        <v>0</v>
      </c>
      <c r="AP42" s="1161">
        <v>0</v>
      </c>
      <c r="AQ42" s="1161">
        <v>0</v>
      </c>
      <c r="AR42" s="1161">
        <v>0</v>
      </c>
      <c r="AS42" s="524"/>
      <c r="AU42" s="226">
        <f t="shared" si="5"/>
        <v>0.19199799999478273</v>
      </c>
      <c r="AV42" s="129">
        <f t="shared" si="6"/>
        <v>1.731960295432049E-6</v>
      </c>
      <c r="AW42" s="226">
        <f t="shared" si="7"/>
        <v>5.2100000000000364</v>
      </c>
      <c r="AX42" s="226">
        <f t="shared" si="8"/>
        <v>0</v>
      </c>
    </row>
    <row r="43" spans="1:50" s="803" customFormat="1">
      <c r="A43" s="1160" t="s">
        <v>1282</v>
      </c>
      <c r="B43" s="1161">
        <v>17282750</v>
      </c>
      <c r="C43" s="1161">
        <v>1110123.42</v>
      </c>
      <c r="D43" s="1161">
        <v>-1838655</v>
      </c>
      <c r="E43" s="1161">
        <v>7768.99</v>
      </c>
      <c r="F43" s="1161">
        <v>11163.733333333301</v>
      </c>
      <c r="G43" s="1161">
        <v>11163.733333333301</v>
      </c>
      <c r="H43" s="1161">
        <v>0</v>
      </c>
      <c r="I43" s="1161">
        <v>0.14124999999999999</v>
      </c>
      <c r="J43" s="1161">
        <v>0</v>
      </c>
      <c r="K43" s="1161">
        <v>9849227</v>
      </c>
      <c r="L43" s="1161">
        <v>0</v>
      </c>
      <c r="M43" s="1161">
        <v>0</v>
      </c>
      <c r="N43" s="1161">
        <v>0</v>
      </c>
      <c r="O43" s="1161">
        <v>0</v>
      </c>
      <c r="P43" s="1161">
        <v>0</v>
      </c>
      <c r="Q43" s="1161">
        <v>0</v>
      </c>
      <c r="R43" s="1161">
        <v>0</v>
      </c>
      <c r="S43" s="1161">
        <v>0</v>
      </c>
      <c r="T43" s="1161">
        <v>0</v>
      </c>
      <c r="U43" s="1161">
        <v>1161549.9522029799</v>
      </c>
      <c r="V43" s="1161">
        <v>1161549.9522029799</v>
      </c>
      <c r="W43" s="1161">
        <v>1161556.82</v>
      </c>
      <c r="X43" s="1161">
        <v>5594868</v>
      </c>
      <c r="Y43" s="1161">
        <v>0</v>
      </c>
      <c r="Z43" s="1161">
        <v>0</v>
      </c>
      <c r="AA43" s="1161">
        <v>0</v>
      </c>
      <c r="AB43" s="1161">
        <v>0</v>
      </c>
      <c r="AC43" s="1161">
        <v>-43664.41</v>
      </c>
      <c r="AD43" s="1161">
        <v>-43375.82</v>
      </c>
      <c r="AE43" s="1161">
        <v>0</v>
      </c>
      <c r="AF43" s="1161">
        <v>4373319</v>
      </c>
      <c r="AG43" s="1161">
        <v>1101986</v>
      </c>
      <c r="AH43" s="1161">
        <v>704061</v>
      </c>
      <c r="AI43" s="1161">
        <v>284606</v>
      </c>
      <c r="AJ43" s="1161">
        <v>1335837</v>
      </c>
      <c r="AK43" s="1161">
        <v>946829</v>
      </c>
      <c r="AL43" s="1161">
        <v>0</v>
      </c>
      <c r="AM43" s="1161">
        <v>12</v>
      </c>
      <c r="AN43" s="1161">
        <v>2163.7333333333299</v>
      </c>
      <c r="AO43" s="1161">
        <v>0</v>
      </c>
      <c r="AP43" s="1161">
        <v>2.5000000000000001E-2</v>
      </c>
      <c r="AQ43" s="1161">
        <v>0</v>
      </c>
      <c r="AR43" s="1161">
        <v>0</v>
      </c>
      <c r="AS43" s="524"/>
      <c r="AU43" s="226">
        <f t="shared" si="5"/>
        <v>-6.8677970201242715</v>
      </c>
      <c r="AV43" s="129">
        <f t="shared" si="6"/>
        <v>-5.9125794811520894E-6</v>
      </c>
      <c r="AW43" s="226">
        <f t="shared" si="7"/>
        <v>288.59000000000378</v>
      </c>
      <c r="AX43" s="226">
        <f t="shared" si="8"/>
        <v>-118960</v>
      </c>
    </row>
    <row r="44" spans="1:50" s="803" customFormat="1">
      <c r="A44" s="1160" t="s">
        <v>1283</v>
      </c>
      <c r="B44" s="1161">
        <v>115927</v>
      </c>
      <c r="C44" s="1161">
        <v>7755.03</v>
      </c>
      <c r="D44" s="1161">
        <v>-13900</v>
      </c>
      <c r="E44" s="1161">
        <v>0</v>
      </c>
      <c r="F44" s="1161">
        <v>104.26666666666701</v>
      </c>
      <c r="G44" s="1161">
        <v>104.26666666666701</v>
      </c>
      <c r="H44" s="1161">
        <v>0</v>
      </c>
      <c r="I44" s="1161">
        <v>0</v>
      </c>
      <c r="J44" s="1161">
        <v>0</v>
      </c>
      <c r="K44" s="1161">
        <v>65441</v>
      </c>
      <c r="L44" s="1161">
        <v>0</v>
      </c>
      <c r="M44" s="1161">
        <v>0</v>
      </c>
      <c r="N44" s="1161">
        <v>0</v>
      </c>
      <c r="O44" s="1161">
        <v>0</v>
      </c>
      <c r="P44" s="1161">
        <v>0</v>
      </c>
      <c r="Q44" s="1161">
        <v>0</v>
      </c>
      <c r="R44" s="1161">
        <v>0</v>
      </c>
      <c r="S44" s="1161">
        <v>0</v>
      </c>
      <c r="T44" s="1161">
        <v>0</v>
      </c>
      <c r="U44" s="1161">
        <v>8051.3532029999997</v>
      </c>
      <c r="V44" s="1161">
        <v>8051.3532029999997</v>
      </c>
      <c r="W44" s="1161">
        <v>8051.46</v>
      </c>
      <c r="X44" s="1161">
        <v>36586</v>
      </c>
      <c r="Y44" s="1161">
        <v>0</v>
      </c>
      <c r="Z44" s="1161">
        <v>0</v>
      </c>
      <c r="AA44" s="1161">
        <v>0</v>
      </c>
      <c r="AB44" s="1161">
        <v>0</v>
      </c>
      <c r="AC44" s="1161">
        <v>-296.43</v>
      </c>
      <c r="AD44" s="1161">
        <v>-296.43</v>
      </c>
      <c r="AE44" s="1161">
        <v>0</v>
      </c>
      <c r="AF44" s="1161">
        <v>31765</v>
      </c>
      <c r="AG44" s="1161">
        <v>9405</v>
      </c>
      <c r="AH44" s="1161">
        <v>5155</v>
      </c>
      <c r="AI44" s="1161">
        <v>2615</v>
      </c>
      <c r="AJ44" s="1161">
        <v>12030</v>
      </c>
      <c r="AK44" s="1161">
        <v>2560</v>
      </c>
      <c r="AL44" s="1161">
        <v>0</v>
      </c>
      <c r="AM44" s="1161">
        <v>0</v>
      </c>
      <c r="AN44" s="1161">
        <v>17.033333333333299</v>
      </c>
      <c r="AO44" s="1161">
        <v>0</v>
      </c>
      <c r="AP44" s="1161">
        <v>0</v>
      </c>
      <c r="AQ44" s="1161">
        <v>0</v>
      </c>
      <c r="AR44" s="1161">
        <v>0</v>
      </c>
      <c r="AS44" s="524"/>
      <c r="AU44" s="226">
        <f t="shared" si="5"/>
        <v>-0.10679700000036974</v>
      </c>
      <c r="AV44" s="129">
        <f t="shared" si="6"/>
        <v>-1.3264302375018908E-5</v>
      </c>
      <c r="AW44" s="226">
        <f t="shared" si="7"/>
        <v>0</v>
      </c>
      <c r="AX44" s="226">
        <f t="shared" si="8"/>
        <v>-2910</v>
      </c>
    </row>
    <row r="45" spans="1:50">
      <c r="A45" s="374"/>
      <c r="B45" s="373"/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895"/>
      <c r="AM45" s="895"/>
      <c r="AN45" s="895"/>
      <c r="AO45" s="895"/>
      <c r="AP45" s="895"/>
      <c r="AQ45" s="895"/>
      <c r="AR45" s="895"/>
      <c r="AS45" s="524"/>
      <c r="AU45" s="226">
        <f t="shared" si="5"/>
        <v>0</v>
      </c>
      <c r="AV45" s="129" t="e">
        <f t="shared" si="6"/>
        <v>#DIV/0!</v>
      </c>
      <c r="AW45" s="226">
        <f t="shared" si="7"/>
        <v>0</v>
      </c>
      <c r="AX45" s="226">
        <f t="shared" si="8"/>
        <v>0</v>
      </c>
    </row>
    <row r="46" spans="1:50" ht="38.25">
      <c r="A46" s="878" t="s">
        <v>1288</v>
      </c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  <c r="Z46" s="373"/>
      <c r="AA46" s="373"/>
      <c r="AB46" s="373"/>
      <c r="AC46" s="373"/>
      <c r="AD46" s="373"/>
      <c r="AE46" s="373"/>
      <c r="AF46" s="373"/>
      <c r="AG46" s="373"/>
      <c r="AH46" s="373"/>
      <c r="AI46" s="373"/>
      <c r="AJ46" s="373"/>
      <c r="AK46" s="373"/>
      <c r="AL46" s="895"/>
      <c r="AM46" s="895"/>
      <c r="AN46" s="895"/>
      <c r="AO46" s="895"/>
      <c r="AP46" s="895"/>
      <c r="AQ46" s="895"/>
      <c r="AR46" s="895"/>
      <c r="AS46" s="524"/>
      <c r="AU46" s="226"/>
      <c r="AW46" s="226"/>
      <c r="AX46" s="226"/>
    </row>
    <row r="47" spans="1:50">
      <c r="A47" s="1164" t="s">
        <v>1284</v>
      </c>
      <c r="B47" s="1164" t="s">
        <v>125</v>
      </c>
      <c r="C47" s="1164" t="s">
        <v>126</v>
      </c>
      <c r="D47" s="1164" t="s">
        <v>127</v>
      </c>
      <c r="E47" s="1164" t="s">
        <v>128</v>
      </c>
      <c r="F47" s="1164" t="s">
        <v>72</v>
      </c>
      <c r="G47" s="1164" t="s">
        <v>688</v>
      </c>
      <c r="H47" s="1164" t="s">
        <v>689</v>
      </c>
      <c r="I47" s="1164" t="s">
        <v>686</v>
      </c>
      <c r="J47" s="1164" t="s">
        <v>687</v>
      </c>
      <c r="K47" s="1164" t="s">
        <v>70</v>
      </c>
      <c r="L47" s="1164" t="s">
        <v>626</v>
      </c>
      <c r="M47" s="1164" t="s">
        <v>640</v>
      </c>
      <c r="N47" s="1164" t="s">
        <v>641</v>
      </c>
      <c r="O47" s="1164" t="s">
        <v>622</v>
      </c>
      <c r="P47" s="1164" t="s">
        <v>623</v>
      </c>
      <c r="Q47" s="1164" t="s">
        <v>624</v>
      </c>
      <c r="R47" s="1164" t="s">
        <v>625</v>
      </c>
      <c r="S47" s="1164" t="s">
        <v>650</v>
      </c>
      <c r="T47" s="1164" t="s">
        <v>649</v>
      </c>
      <c r="U47" s="1164" t="s">
        <v>619</v>
      </c>
      <c r="V47" s="1164" t="s">
        <v>796</v>
      </c>
      <c r="W47" s="1164" t="s">
        <v>71</v>
      </c>
      <c r="X47" s="1164" t="s">
        <v>1152</v>
      </c>
      <c r="Y47" s="1164" t="s">
        <v>1153</v>
      </c>
      <c r="Z47" s="1164" t="s">
        <v>1154</v>
      </c>
      <c r="AA47" s="1164" t="s">
        <v>1155</v>
      </c>
      <c r="AB47" s="1164" t="s">
        <v>1156</v>
      </c>
      <c r="AC47" s="1164" t="s">
        <v>1225</v>
      </c>
      <c r="AD47" s="1164" t="s">
        <v>1256</v>
      </c>
      <c r="AE47" s="1164" t="s">
        <v>627</v>
      </c>
      <c r="AF47" s="1164" t="s">
        <v>1222</v>
      </c>
      <c r="AG47" s="1164" t="s">
        <v>1261</v>
      </c>
      <c r="AH47" s="1164" t="s">
        <v>1262</v>
      </c>
      <c r="AI47" s="1164" t="s">
        <v>1285</v>
      </c>
      <c r="AJ47" s="1164" t="s">
        <v>1263</v>
      </c>
      <c r="AK47" s="1164" t="s">
        <v>1264</v>
      </c>
      <c r="AL47" s="1164" t="s">
        <v>1299</v>
      </c>
      <c r="AM47" s="1164" t="s">
        <v>1300</v>
      </c>
      <c r="AN47" s="1164" t="s">
        <v>1545</v>
      </c>
      <c r="AO47" s="1164" t="s">
        <v>1546</v>
      </c>
      <c r="AP47" s="1164" t="s">
        <v>1547</v>
      </c>
      <c r="AQ47" s="1164" t="s">
        <v>1548</v>
      </c>
      <c r="AR47" s="1164" t="s">
        <v>1549</v>
      </c>
      <c r="AS47" s="875"/>
      <c r="AU47" s="226"/>
      <c r="AW47" s="226"/>
      <c r="AX47" s="226"/>
    </row>
    <row r="48" spans="1:50">
      <c r="A48" s="1160" t="s">
        <v>1286</v>
      </c>
      <c r="B48" s="1161">
        <v>35530</v>
      </c>
      <c r="C48" s="1161">
        <v>4045.34</v>
      </c>
      <c r="D48" s="1161">
        <v>0</v>
      </c>
      <c r="E48" s="1161">
        <v>0</v>
      </c>
      <c r="F48" s="1161">
        <v>71.1666666666667</v>
      </c>
      <c r="G48" s="1161">
        <v>71.1666666666667</v>
      </c>
      <c r="H48" s="1161">
        <v>0</v>
      </c>
      <c r="I48" s="1161">
        <v>11.3925</v>
      </c>
      <c r="J48" s="1161">
        <v>0</v>
      </c>
      <c r="K48" s="1161">
        <v>35530</v>
      </c>
      <c r="L48" s="1161">
        <v>19646</v>
      </c>
      <c r="M48" s="1161">
        <v>10073</v>
      </c>
      <c r="N48" s="1161">
        <v>9573</v>
      </c>
      <c r="O48" s="1161">
        <v>15884</v>
      </c>
      <c r="P48" s="1161">
        <v>9571</v>
      </c>
      <c r="Q48" s="1161">
        <v>5180</v>
      </c>
      <c r="R48" s="1161">
        <v>1133</v>
      </c>
      <c r="S48" s="1161">
        <v>0</v>
      </c>
      <c r="T48" s="1161">
        <v>0</v>
      </c>
      <c r="U48" s="1161">
        <v>4185.2447519999996</v>
      </c>
      <c r="V48" s="1161">
        <v>4185.2447519999996</v>
      </c>
      <c r="W48" s="1161">
        <v>4185.33</v>
      </c>
      <c r="X48" s="1161">
        <v>0</v>
      </c>
      <c r="Y48" s="1161">
        <v>0</v>
      </c>
      <c r="Z48" s="1161">
        <v>0</v>
      </c>
      <c r="AA48" s="1161">
        <v>0</v>
      </c>
      <c r="AB48" s="1161">
        <v>0</v>
      </c>
      <c r="AC48" s="1161">
        <v>-139.99</v>
      </c>
      <c r="AD48" s="1161">
        <v>-139.99</v>
      </c>
      <c r="AE48" s="1161">
        <v>71</v>
      </c>
      <c r="AF48" s="1161">
        <v>0</v>
      </c>
      <c r="AG48" s="1161">
        <v>0</v>
      </c>
      <c r="AH48" s="1161">
        <v>0</v>
      </c>
      <c r="AI48" s="1161">
        <v>0</v>
      </c>
      <c r="AJ48" s="1161">
        <v>0</v>
      </c>
      <c r="AK48" s="1161">
        <v>0</v>
      </c>
      <c r="AL48" s="1161">
        <v>0</v>
      </c>
      <c r="AM48" s="1161">
        <v>0</v>
      </c>
      <c r="AN48" s="1161">
        <v>27.233333333333299</v>
      </c>
      <c r="AO48" s="1161">
        <v>0</v>
      </c>
      <c r="AP48" s="1161">
        <v>3.9649999999999999</v>
      </c>
      <c r="AQ48" s="1161">
        <v>0</v>
      </c>
      <c r="AR48" s="1161">
        <v>0</v>
      </c>
      <c r="AS48" s="524"/>
      <c r="AU48" s="226">
        <f t="shared" si="5"/>
        <v>-8.5248000000319735E-2</v>
      </c>
      <c r="AV48" s="129">
        <f t="shared" si="6"/>
        <v>-2.0368286371760349E-5</v>
      </c>
      <c r="AW48" s="226">
        <f t="shared" si="7"/>
        <v>0</v>
      </c>
      <c r="AX48" s="226">
        <f t="shared" si="8"/>
        <v>0</v>
      </c>
    </row>
    <row r="49" spans="1:50">
      <c r="A49" s="1160" t="s">
        <v>1273</v>
      </c>
      <c r="B49" s="1161">
        <v>13415401</v>
      </c>
      <c r="C49" s="1161">
        <v>1445683.04</v>
      </c>
      <c r="D49" s="1161">
        <v>131224</v>
      </c>
      <c r="E49" s="1161">
        <v>13647.58</v>
      </c>
      <c r="F49" s="1161">
        <v>20506.433333333302</v>
      </c>
      <c r="G49" s="1161">
        <v>20506.433333333302</v>
      </c>
      <c r="H49" s="1161">
        <v>0</v>
      </c>
      <c r="I49" s="1161">
        <v>4886.1587499999896</v>
      </c>
      <c r="J49" s="1161">
        <v>0</v>
      </c>
      <c r="K49" s="1161">
        <v>13546625</v>
      </c>
      <c r="L49" s="1161">
        <v>7624901</v>
      </c>
      <c r="M49" s="1161">
        <v>4215903</v>
      </c>
      <c r="N49" s="1161">
        <v>3408998</v>
      </c>
      <c r="O49" s="1161">
        <v>5921724</v>
      </c>
      <c r="P49" s="1161">
        <v>3274726</v>
      </c>
      <c r="Q49" s="1161">
        <v>2047001</v>
      </c>
      <c r="R49" s="1161">
        <v>599997</v>
      </c>
      <c r="S49" s="1161">
        <v>0</v>
      </c>
      <c r="T49" s="1161">
        <v>0</v>
      </c>
      <c r="U49" s="1161">
        <v>1513029.4340029999</v>
      </c>
      <c r="V49" s="1161">
        <v>1513029.4340029999</v>
      </c>
      <c r="W49" s="1161">
        <v>1513043.3</v>
      </c>
      <c r="X49" s="1161">
        <v>0</v>
      </c>
      <c r="Y49" s="1161">
        <v>0</v>
      </c>
      <c r="Z49" s="1161">
        <v>0</v>
      </c>
      <c r="AA49" s="1161">
        <v>0</v>
      </c>
      <c r="AB49" s="1161">
        <v>0</v>
      </c>
      <c r="AC49" s="1161">
        <v>-53712.68</v>
      </c>
      <c r="AD49" s="1161">
        <v>-53315.29</v>
      </c>
      <c r="AE49" s="1161">
        <v>0</v>
      </c>
      <c r="AF49" s="1161">
        <v>0</v>
      </c>
      <c r="AG49" s="1161">
        <v>0</v>
      </c>
      <c r="AH49" s="1161">
        <v>0</v>
      </c>
      <c r="AI49" s="1161">
        <v>0</v>
      </c>
      <c r="AJ49" s="1161">
        <v>0</v>
      </c>
      <c r="AK49" s="1161">
        <v>0</v>
      </c>
      <c r="AL49" s="1161">
        <v>0</v>
      </c>
      <c r="AM49" s="1161">
        <v>0</v>
      </c>
      <c r="AN49" s="1161">
        <v>186.86666666666699</v>
      </c>
      <c r="AO49" s="1161">
        <v>0</v>
      </c>
      <c r="AP49" s="1161">
        <v>26.083749999999998</v>
      </c>
      <c r="AQ49" s="1161">
        <v>0</v>
      </c>
      <c r="AR49" s="1161">
        <v>0</v>
      </c>
      <c r="AS49" s="524"/>
      <c r="AU49" s="226">
        <f t="shared" si="5"/>
        <v>-13.865997000131756</v>
      </c>
      <c r="AV49" s="129">
        <f t="shared" si="6"/>
        <v>-9.1643094418591696E-6</v>
      </c>
      <c r="AW49" s="226">
        <f t="shared" si="7"/>
        <v>397.38999999999942</v>
      </c>
      <c r="AX49" s="226">
        <f t="shared" si="8"/>
        <v>0</v>
      </c>
    </row>
    <row r="50" spans="1:50">
      <c r="A50" s="1160" t="s">
        <v>1274</v>
      </c>
      <c r="B50" s="1161">
        <v>982</v>
      </c>
      <c r="C50" s="1161">
        <v>91.67</v>
      </c>
      <c r="D50" s="1161">
        <v>0</v>
      </c>
      <c r="E50" s="1161">
        <v>0</v>
      </c>
      <c r="F50" s="1161">
        <v>1.43333333333333</v>
      </c>
      <c r="G50" s="1161">
        <v>1.43333333333333</v>
      </c>
      <c r="H50" s="1161">
        <v>0</v>
      </c>
      <c r="I50" s="1161">
        <v>0.43375000000000002</v>
      </c>
      <c r="J50" s="1161">
        <v>0</v>
      </c>
      <c r="K50" s="1161">
        <v>982</v>
      </c>
      <c r="L50" s="1161">
        <v>0</v>
      </c>
      <c r="M50" s="1161">
        <v>0</v>
      </c>
      <c r="N50" s="1161">
        <v>0</v>
      </c>
      <c r="O50" s="1161">
        <v>982</v>
      </c>
      <c r="P50" s="1161">
        <v>573</v>
      </c>
      <c r="Q50" s="1161">
        <v>409</v>
      </c>
      <c r="R50" s="1161">
        <v>0</v>
      </c>
      <c r="S50" s="1161">
        <v>16</v>
      </c>
      <c r="T50" s="1161">
        <v>966</v>
      </c>
      <c r="U50" s="1161">
        <v>94.908130999999997</v>
      </c>
      <c r="V50" s="1161">
        <v>94.908130999999997</v>
      </c>
      <c r="W50" s="1161">
        <v>94.91</v>
      </c>
      <c r="X50" s="1161">
        <v>0</v>
      </c>
      <c r="Y50" s="1161">
        <v>0</v>
      </c>
      <c r="Z50" s="1161">
        <v>0</v>
      </c>
      <c r="AA50" s="1161">
        <v>0</v>
      </c>
      <c r="AB50" s="1161">
        <v>0</v>
      </c>
      <c r="AC50" s="1161">
        <v>-3.24</v>
      </c>
      <c r="AD50" s="1161">
        <v>-3.24</v>
      </c>
      <c r="AE50" s="1161">
        <v>0</v>
      </c>
      <c r="AF50" s="1161">
        <v>0</v>
      </c>
      <c r="AG50" s="1161">
        <v>0</v>
      </c>
      <c r="AH50" s="1161">
        <v>0</v>
      </c>
      <c r="AI50" s="1161">
        <v>0</v>
      </c>
      <c r="AJ50" s="1161">
        <v>0</v>
      </c>
      <c r="AK50" s="1161">
        <v>0</v>
      </c>
      <c r="AL50" s="1161">
        <v>0</v>
      </c>
      <c r="AM50" s="1161">
        <v>0</v>
      </c>
      <c r="AN50" s="1161">
        <v>0</v>
      </c>
      <c r="AO50" s="1161">
        <v>0</v>
      </c>
      <c r="AP50" s="1161">
        <v>0</v>
      </c>
      <c r="AQ50" s="1161">
        <v>0</v>
      </c>
      <c r="AR50" s="1161">
        <v>0</v>
      </c>
      <c r="AS50" s="524"/>
      <c r="AU50" s="226">
        <f t="shared" si="5"/>
        <v>-1.8689999999992324E-3</v>
      </c>
      <c r="AV50" s="129">
        <f t="shared" si="6"/>
        <v>-1.9692340111676666E-5</v>
      </c>
      <c r="AW50" s="226">
        <f t="shared" si="7"/>
        <v>0</v>
      </c>
      <c r="AX50" s="226">
        <f t="shared" si="8"/>
        <v>0</v>
      </c>
    </row>
    <row r="51" spans="1:50">
      <c r="A51" s="1160" t="s">
        <v>1275</v>
      </c>
      <c r="B51" s="1161">
        <v>112512</v>
      </c>
      <c r="C51" s="1161">
        <v>11972.81</v>
      </c>
      <c r="D51" s="1161">
        <v>0</v>
      </c>
      <c r="E51" s="1161">
        <v>0</v>
      </c>
      <c r="F51" s="1161">
        <v>165.8</v>
      </c>
      <c r="G51" s="1161">
        <v>165.8</v>
      </c>
      <c r="H51" s="1161">
        <v>0</v>
      </c>
      <c r="I51" s="1161">
        <v>28.162500000000001</v>
      </c>
      <c r="J51" s="1161">
        <v>0</v>
      </c>
      <c r="K51" s="1161">
        <v>112512</v>
      </c>
      <c r="L51" s="1161">
        <v>68330</v>
      </c>
      <c r="M51" s="1161">
        <v>34225</v>
      </c>
      <c r="N51" s="1161">
        <v>34105</v>
      </c>
      <c r="O51" s="1161">
        <v>44182</v>
      </c>
      <c r="P51" s="1161">
        <v>25683</v>
      </c>
      <c r="Q51" s="1161">
        <v>14630</v>
      </c>
      <c r="R51" s="1161">
        <v>3869</v>
      </c>
      <c r="S51" s="1161">
        <v>0</v>
      </c>
      <c r="T51" s="1161">
        <v>0</v>
      </c>
      <c r="U51" s="1161">
        <v>12421.356465999999</v>
      </c>
      <c r="V51" s="1161">
        <v>12421.356465999999</v>
      </c>
      <c r="W51" s="1161">
        <v>12421.45</v>
      </c>
      <c r="X51" s="1161">
        <v>0</v>
      </c>
      <c r="Y51" s="1161">
        <v>0</v>
      </c>
      <c r="Z51" s="1161">
        <v>0</v>
      </c>
      <c r="AA51" s="1161">
        <v>0</v>
      </c>
      <c r="AB51" s="1161">
        <v>0</v>
      </c>
      <c r="AC51" s="1161">
        <v>-448.64</v>
      </c>
      <c r="AD51" s="1161">
        <v>-448.64</v>
      </c>
      <c r="AE51" s="1161">
        <v>0</v>
      </c>
      <c r="AF51" s="1161">
        <v>0</v>
      </c>
      <c r="AG51" s="1161">
        <v>0</v>
      </c>
      <c r="AH51" s="1161">
        <v>0</v>
      </c>
      <c r="AI51" s="1161">
        <v>0</v>
      </c>
      <c r="AJ51" s="1161">
        <v>0</v>
      </c>
      <c r="AK51" s="1161">
        <v>0</v>
      </c>
      <c r="AL51" s="1161">
        <v>0</v>
      </c>
      <c r="AM51" s="1161">
        <v>0</v>
      </c>
      <c r="AN51" s="1161">
        <v>0</v>
      </c>
      <c r="AO51" s="1161">
        <v>0</v>
      </c>
      <c r="AP51" s="1161">
        <v>0</v>
      </c>
      <c r="AQ51" s="1161">
        <v>0</v>
      </c>
      <c r="AR51" s="1161">
        <v>0</v>
      </c>
      <c r="AS51" s="524"/>
      <c r="AU51" s="226">
        <f t="shared" si="5"/>
        <v>-9.3534000001454842E-2</v>
      </c>
      <c r="AV51" s="129">
        <f t="shared" si="6"/>
        <v>-7.5300387637075249E-6</v>
      </c>
      <c r="AW51" s="226">
        <f t="shared" si="7"/>
        <v>0</v>
      </c>
      <c r="AX51" s="226">
        <f t="shared" si="8"/>
        <v>0</v>
      </c>
    </row>
    <row r="52" spans="1:50">
      <c r="A52" s="1160" t="s">
        <v>1276</v>
      </c>
      <c r="B52" s="1161">
        <v>45813410</v>
      </c>
      <c r="C52" s="1161">
        <v>5406160.6500000004</v>
      </c>
      <c r="D52" s="1161">
        <v>-183064</v>
      </c>
      <c r="E52" s="1161">
        <v>-18615.72</v>
      </c>
      <c r="F52" s="1161">
        <v>140395.33333333299</v>
      </c>
      <c r="G52" s="1161">
        <v>140347.33333333299</v>
      </c>
      <c r="H52" s="1161">
        <v>48</v>
      </c>
      <c r="I52" s="1161">
        <v>16947.16375</v>
      </c>
      <c r="J52" s="1161">
        <v>3.75</v>
      </c>
      <c r="K52" s="1161">
        <v>45630346</v>
      </c>
      <c r="L52" s="1161">
        <v>31589808</v>
      </c>
      <c r="M52" s="1161">
        <v>15599966</v>
      </c>
      <c r="N52" s="1161">
        <v>15989842</v>
      </c>
      <c r="O52" s="1161">
        <v>14040538</v>
      </c>
      <c r="P52" s="1161">
        <v>7041940</v>
      </c>
      <c r="Q52" s="1161">
        <v>4491115</v>
      </c>
      <c r="R52" s="1161">
        <v>2507483</v>
      </c>
      <c r="S52" s="1161">
        <v>2446</v>
      </c>
      <c r="T52" s="1161">
        <v>19257</v>
      </c>
      <c r="U52" s="1161">
        <v>5574673.3404329</v>
      </c>
      <c r="V52" s="1161">
        <v>5574673.3404329</v>
      </c>
      <c r="W52" s="1161">
        <v>5574708.9299999997</v>
      </c>
      <c r="X52" s="1161">
        <v>0</v>
      </c>
      <c r="Y52" s="1161">
        <v>0</v>
      </c>
      <c r="Z52" s="1161">
        <v>0</v>
      </c>
      <c r="AA52" s="1161">
        <v>0</v>
      </c>
      <c r="AB52" s="1161">
        <v>0</v>
      </c>
      <c r="AC52" s="1161">
        <v>-187164</v>
      </c>
      <c r="AD52" s="1161">
        <v>-188449.56</v>
      </c>
      <c r="AE52" s="1161">
        <v>0</v>
      </c>
      <c r="AF52" s="1161">
        <v>0</v>
      </c>
      <c r="AG52" s="1161">
        <v>0</v>
      </c>
      <c r="AH52" s="1161">
        <v>0</v>
      </c>
      <c r="AI52" s="1161">
        <v>0</v>
      </c>
      <c r="AJ52" s="1161">
        <v>0</v>
      </c>
      <c r="AK52" s="1161">
        <v>0</v>
      </c>
      <c r="AL52" s="1161">
        <v>0</v>
      </c>
      <c r="AM52" s="1161">
        <v>0</v>
      </c>
      <c r="AN52" s="1161">
        <v>2894.0333333333301</v>
      </c>
      <c r="AO52" s="1161">
        <v>12</v>
      </c>
      <c r="AP52" s="1161">
        <v>206.54</v>
      </c>
      <c r="AQ52" s="1161">
        <v>2.5</v>
      </c>
      <c r="AR52" s="1161">
        <v>0</v>
      </c>
      <c r="AS52" s="524"/>
      <c r="AU52" s="226">
        <f t="shared" si="5"/>
        <v>-35.589567099697888</v>
      </c>
      <c r="AV52" s="129">
        <f t="shared" si="6"/>
        <v>-6.3841121656010643E-6</v>
      </c>
      <c r="AW52" s="226">
        <f t="shared" si="7"/>
        <v>-1285.5599999999977</v>
      </c>
      <c r="AX52" s="226">
        <f t="shared" si="8"/>
        <v>0</v>
      </c>
    </row>
    <row r="53" spans="1:50">
      <c r="A53" s="1160" t="s">
        <v>1277</v>
      </c>
      <c r="B53" s="1161">
        <v>300352</v>
      </c>
      <c r="C53" s="1161">
        <v>32443.85</v>
      </c>
      <c r="D53" s="1161">
        <v>307</v>
      </c>
      <c r="E53" s="1161">
        <v>26.57</v>
      </c>
      <c r="F53" s="1161">
        <v>666.06666666666695</v>
      </c>
      <c r="G53" s="1161">
        <v>666.06666666666695</v>
      </c>
      <c r="H53" s="1161">
        <v>0</v>
      </c>
      <c r="I53" s="1161">
        <v>31.763750000000002</v>
      </c>
      <c r="J53" s="1161">
        <v>0</v>
      </c>
      <c r="K53" s="1161">
        <v>300659</v>
      </c>
      <c r="L53" s="1161">
        <v>205558</v>
      </c>
      <c r="M53" s="1161">
        <v>110723</v>
      </c>
      <c r="N53" s="1161">
        <v>94835</v>
      </c>
      <c r="O53" s="1161">
        <v>95101</v>
      </c>
      <c r="P53" s="1161">
        <v>62966</v>
      </c>
      <c r="Q53" s="1161">
        <v>26604</v>
      </c>
      <c r="R53" s="1161">
        <v>5531</v>
      </c>
      <c r="S53" s="1161">
        <v>0</v>
      </c>
      <c r="T53" s="1161">
        <v>0</v>
      </c>
      <c r="U53" s="1161">
        <v>33645.959106000002</v>
      </c>
      <c r="V53" s="1161">
        <v>33645.959106000002</v>
      </c>
      <c r="W53" s="1161">
        <v>33646.230000000003</v>
      </c>
      <c r="X53" s="1161">
        <v>0</v>
      </c>
      <c r="Y53" s="1161">
        <v>0</v>
      </c>
      <c r="Z53" s="1161">
        <v>0</v>
      </c>
      <c r="AA53" s="1161">
        <v>0</v>
      </c>
      <c r="AB53" s="1161">
        <v>0</v>
      </c>
      <c r="AC53" s="1161">
        <v>-1175.81</v>
      </c>
      <c r="AD53" s="1161">
        <v>-1174.23</v>
      </c>
      <c r="AE53" s="1161">
        <v>0</v>
      </c>
      <c r="AF53" s="1161">
        <v>0</v>
      </c>
      <c r="AG53" s="1161">
        <v>0</v>
      </c>
      <c r="AH53" s="1161">
        <v>0</v>
      </c>
      <c r="AI53" s="1161">
        <v>0</v>
      </c>
      <c r="AJ53" s="1161">
        <v>0</v>
      </c>
      <c r="AK53" s="1161">
        <v>0</v>
      </c>
      <c r="AL53" s="1161">
        <v>0</v>
      </c>
      <c r="AM53" s="1161">
        <v>0</v>
      </c>
      <c r="AN53" s="1161">
        <v>335.36666666666702</v>
      </c>
      <c r="AO53" s="1161">
        <v>0</v>
      </c>
      <c r="AP53" s="1161">
        <v>1.54125</v>
      </c>
      <c r="AQ53" s="1161">
        <v>0</v>
      </c>
      <c r="AR53" s="1161">
        <v>0</v>
      </c>
      <c r="AS53" s="524"/>
      <c r="AU53" s="226">
        <f t="shared" si="5"/>
        <v>-0.27089400000113528</v>
      </c>
      <c r="AV53" s="129">
        <f t="shared" si="6"/>
        <v>-8.0512437797974771E-6</v>
      </c>
      <c r="AW53" s="226">
        <f t="shared" si="7"/>
        <v>1.5799999999999272</v>
      </c>
      <c r="AX53" s="226">
        <f t="shared" si="8"/>
        <v>0</v>
      </c>
    </row>
    <row r="54" spans="1:50">
      <c r="A54" s="1160" t="s">
        <v>1278</v>
      </c>
      <c r="B54" s="1161">
        <v>2518097029</v>
      </c>
      <c r="C54" s="1161">
        <v>269261742.64999998</v>
      </c>
      <c r="D54" s="1161">
        <v>-35374</v>
      </c>
      <c r="E54" s="1161">
        <v>-1558.34</v>
      </c>
      <c r="F54" s="1161">
        <v>3445005.9000012102</v>
      </c>
      <c r="G54" s="1161">
        <v>3440537.1000012099</v>
      </c>
      <c r="H54" s="1161">
        <v>4468.8</v>
      </c>
      <c r="I54" s="1161">
        <v>6482.28500000026</v>
      </c>
      <c r="J54" s="1161">
        <v>3.8256250000000001</v>
      </c>
      <c r="K54" s="1161">
        <v>2518061655</v>
      </c>
      <c r="L54" s="1161">
        <v>1345208666</v>
      </c>
      <c r="M54" s="1161">
        <v>709055019</v>
      </c>
      <c r="N54" s="1161">
        <v>636153647</v>
      </c>
      <c r="O54" s="1161">
        <v>1172852989</v>
      </c>
      <c r="P54" s="1161">
        <v>520238788</v>
      </c>
      <c r="Q54" s="1161">
        <v>425236310</v>
      </c>
      <c r="R54" s="1161">
        <v>227377891</v>
      </c>
      <c r="S54" s="1161">
        <v>0</v>
      </c>
      <c r="T54" s="1161">
        <v>0</v>
      </c>
      <c r="U54" s="1161">
        <v>279598239.18313599</v>
      </c>
      <c r="V54" s="1161">
        <v>279598239.18313599</v>
      </c>
      <c r="W54" s="1161">
        <v>279600399.81999999</v>
      </c>
      <c r="X54" s="1161">
        <v>0</v>
      </c>
      <c r="Y54" s="1161">
        <v>0</v>
      </c>
      <c r="Z54" s="1161">
        <v>0</v>
      </c>
      <c r="AA54" s="1161">
        <v>0</v>
      </c>
      <c r="AB54" s="1161">
        <v>0</v>
      </c>
      <c r="AC54" s="1161">
        <v>-10340215.51</v>
      </c>
      <c r="AD54" s="1161">
        <v>-10341094.65</v>
      </c>
      <c r="AE54" s="1161">
        <v>0</v>
      </c>
      <c r="AF54" s="1161">
        <v>0</v>
      </c>
      <c r="AG54" s="1161">
        <v>0</v>
      </c>
      <c r="AH54" s="1161">
        <v>0</v>
      </c>
      <c r="AI54" s="1161">
        <v>0</v>
      </c>
      <c r="AJ54" s="1161">
        <v>0</v>
      </c>
      <c r="AK54" s="1161">
        <v>0</v>
      </c>
      <c r="AL54" s="1161">
        <v>1.11010416666667</v>
      </c>
      <c r="AM54" s="1161">
        <v>116</v>
      </c>
      <c r="AN54" s="1161">
        <v>687139.53333328199</v>
      </c>
      <c r="AO54" s="1161">
        <v>2867.4666666666699</v>
      </c>
      <c r="AP54" s="1161">
        <v>1518.7175</v>
      </c>
      <c r="AQ54" s="1161">
        <v>0.58937499999999998</v>
      </c>
      <c r="AR54" s="1161">
        <v>0</v>
      </c>
      <c r="AS54" s="524"/>
      <c r="AU54" s="226">
        <f t="shared" si="5"/>
        <v>-2160.6368640065193</v>
      </c>
      <c r="AV54" s="129">
        <f t="shared" si="6"/>
        <v>-7.7275886064450742E-6</v>
      </c>
      <c r="AW54" s="226">
        <f t="shared" si="7"/>
        <v>-879.14000000059605</v>
      </c>
      <c r="AX54" s="226">
        <f t="shared" si="8"/>
        <v>0</v>
      </c>
    </row>
    <row r="55" spans="1:50">
      <c r="A55" s="1160" t="s">
        <v>1279</v>
      </c>
      <c r="B55" s="1161">
        <v>1084025</v>
      </c>
      <c r="C55" s="1161">
        <v>114043.89</v>
      </c>
      <c r="D55" s="1161">
        <v>0</v>
      </c>
      <c r="E55" s="1161">
        <v>-0.15</v>
      </c>
      <c r="F55" s="1161">
        <v>1605</v>
      </c>
      <c r="G55" s="1161">
        <v>1605</v>
      </c>
      <c r="H55" s="1161">
        <v>0</v>
      </c>
      <c r="I55" s="1161">
        <v>2.9587500000000002</v>
      </c>
      <c r="J55" s="1161">
        <v>0</v>
      </c>
      <c r="K55" s="1161">
        <v>1084025</v>
      </c>
      <c r="L55" s="1161">
        <v>596015</v>
      </c>
      <c r="M55" s="1161">
        <v>331487</v>
      </c>
      <c r="N55" s="1161">
        <v>264528</v>
      </c>
      <c r="O55" s="1161">
        <v>488010</v>
      </c>
      <c r="P55" s="1161">
        <v>238665</v>
      </c>
      <c r="Q55" s="1161">
        <v>176495</v>
      </c>
      <c r="R55" s="1161">
        <v>72850</v>
      </c>
      <c r="S55" s="1161">
        <v>117449</v>
      </c>
      <c r="T55" s="1161">
        <v>370552</v>
      </c>
      <c r="U55" s="1161">
        <v>118398.05493899999</v>
      </c>
      <c r="V55" s="1161">
        <v>118398.05493899999</v>
      </c>
      <c r="W55" s="1161">
        <v>118398.79</v>
      </c>
      <c r="X55" s="1161">
        <v>0</v>
      </c>
      <c r="Y55" s="1161">
        <v>0</v>
      </c>
      <c r="Z55" s="1161">
        <v>0</v>
      </c>
      <c r="AA55" s="1161">
        <v>0</v>
      </c>
      <c r="AB55" s="1161">
        <v>0</v>
      </c>
      <c r="AC55" s="1161">
        <v>-4355.05</v>
      </c>
      <c r="AD55" s="1161">
        <v>-4355.09</v>
      </c>
      <c r="AE55" s="1161">
        <v>0</v>
      </c>
      <c r="AF55" s="1161">
        <v>0</v>
      </c>
      <c r="AG55" s="1161">
        <v>0</v>
      </c>
      <c r="AH55" s="1161">
        <v>0</v>
      </c>
      <c r="AI55" s="1161">
        <v>0</v>
      </c>
      <c r="AJ55" s="1161">
        <v>0</v>
      </c>
      <c r="AK55" s="1161">
        <v>0</v>
      </c>
      <c r="AL55" s="1161">
        <v>0</v>
      </c>
      <c r="AM55" s="1161">
        <v>0</v>
      </c>
      <c r="AN55" s="1161">
        <v>311.7</v>
      </c>
      <c r="AO55" s="1161">
        <v>0</v>
      </c>
      <c r="AP55" s="1161">
        <v>8.7500000000000008E-3</v>
      </c>
      <c r="AQ55" s="1161">
        <v>0</v>
      </c>
      <c r="AR55" s="1161">
        <v>0</v>
      </c>
      <c r="AS55" s="524"/>
      <c r="AU55" s="226">
        <f t="shared" si="5"/>
        <v>-0.73506099999940488</v>
      </c>
      <c r="AV55" s="129">
        <f t="shared" si="6"/>
        <v>-6.2083489197770092E-6</v>
      </c>
      <c r="AW55" s="226">
        <f t="shared" si="7"/>
        <v>-3.999999999996362E-2</v>
      </c>
      <c r="AX55" s="226">
        <f t="shared" si="8"/>
        <v>0</v>
      </c>
    </row>
    <row r="56" spans="1:50">
      <c r="A56" s="1160" t="s">
        <v>1280</v>
      </c>
      <c r="B56" s="1161">
        <v>51098978</v>
      </c>
      <c r="C56" s="1161">
        <v>5376401.6200000001</v>
      </c>
      <c r="D56" s="1161">
        <v>22760</v>
      </c>
      <c r="E56" s="1161">
        <v>2432.4</v>
      </c>
      <c r="F56" s="1161">
        <v>85474.266666666503</v>
      </c>
      <c r="G56" s="1161">
        <v>85414.066666666506</v>
      </c>
      <c r="H56" s="1161">
        <v>60.2</v>
      </c>
      <c r="I56" s="1161">
        <v>16.24625</v>
      </c>
      <c r="J56" s="1161">
        <v>0</v>
      </c>
      <c r="K56" s="1161">
        <v>51121738</v>
      </c>
      <c r="L56" s="1161">
        <v>28812705</v>
      </c>
      <c r="M56" s="1161">
        <v>17153076</v>
      </c>
      <c r="N56" s="1161">
        <v>11659629</v>
      </c>
      <c r="O56" s="1161">
        <v>22309033</v>
      </c>
      <c r="P56" s="1161">
        <v>12574842</v>
      </c>
      <c r="Q56" s="1161">
        <v>7494011</v>
      </c>
      <c r="R56" s="1161">
        <v>2240180</v>
      </c>
      <c r="S56" s="1161">
        <v>2589</v>
      </c>
      <c r="T56" s="1161">
        <v>10102</v>
      </c>
      <c r="U56" s="1161">
        <v>5581315.7513828501</v>
      </c>
      <c r="V56" s="1161">
        <v>5581315.7513828501</v>
      </c>
      <c r="W56" s="1161">
        <v>5581355.9800000004</v>
      </c>
      <c r="X56" s="1161">
        <v>0</v>
      </c>
      <c r="Y56" s="1161">
        <v>0</v>
      </c>
      <c r="Z56" s="1161">
        <v>0</v>
      </c>
      <c r="AA56" s="1161">
        <v>0</v>
      </c>
      <c r="AB56" s="1161">
        <v>0</v>
      </c>
      <c r="AC56" s="1161">
        <v>-202521.96</v>
      </c>
      <c r="AD56" s="1161">
        <v>-202477.51</v>
      </c>
      <c r="AE56" s="1161">
        <v>0</v>
      </c>
      <c r="AF56" s="1161">
        <v>0</v>
      </c>
      <c r="AG56" s="1161">
        <v>0</v>
      </c>
      <c r="AH56" s="1161">
        <v>0</v>
      </c>
      <c r="AI56" s="1161">
        <v>0</v>
      </c>
      <c r="AJ56" s="1161">
        <v>0</v>
      </c>
      <c r="AK56" s="1161">
        <v>0</v>
      </c>
      <c r="AL56" s="1161">
        <v>0</v>
      </c>
      <c r="AM56" s="1161">
        <v>0</v>
      </c>
      <c r="AN56" s="1161">
        <v>38478.866666666698</v>
      </c>
      <c r="AO56" s="1161">
        <v>60.2</v>
      </c>
      <c r="AP56" s="1161">
        <v>5.3550000000000004</v>
      </c>
      <c r="AQ56" s="1161">
        <v>0</v>
      </c>
      <c r="AR56" s="1161">
        <v>0</v>
      </c>
      <c r="AS56" s="524"/>
      <c r="AU56" s="226">
        <f t="shared" si="5"/>
        <v>-40.228617150336504</v>
      </c>
      <c r="AV56" s="129">
        <f t="shared" si="6"/>
        <v>-7.2076780793932624E-6</v>
      </c>
      <c r="AW56" s="226">
        <f t="shared" si="7"/>
        <v>44.449999999982538</v>
      </c>
      <c r="AX56" s="226">
        <f t="shared" si="8"/>
        <v>0</v>
      </c>
    </row>
    <row r="57" spans="1:50">
      <c r="A57" s="1160" t="s">
        <v>1281</v>
      </c>
      <c r="B57" s="1161">
        <v>1495764</v>
      </c>
      <c r="C57" s="1161">
        <v>126614.41</v>
      </c>
      <c r="D57" s="1161">
        <v>1240</v>
      </c>
      <c r="E57" s="1161">
        <v>100.93</v>
      </c>
      <c r="F57" s="1161">
        <v>1133.7</v>
      </c>
      <c r="G57" s="1161">
        <v>1133.7</v>
      </c>
      <c r="H57" s="1161">
        <v>0</v>
      </c>
      <c r="I57" s="1161">
        <v>0.1</v>
      </c>
      <c r="J57" s="1161">
        <v>0</v>
      </c>
      <c r="K57" s="1161">
        <v>1497004</v>
      </c>
      <c r="L57" s="1161">
        <v>0</v>
      </c>
      <c r="M57" s="1161">
        <v>0</v>
      </c>
      <c r="N57" s="1161">
        <v>0</v>
      </c>
      <c r="O57" s="1161">
        <v>0</v>
      </c>
      <c r="P57" s="1161">
        <v>0</v>
      </c>
      <c r="Q57" s="1161">
        <v>0</v>
      </c>
      <c r="R57" s="1161">
        <v>0</v>
      </c>
      <c r="S57" s="1161">
        <v>0</v>
      </c>
      <c r="T57" s="1161">
        <v>0</v>
      </c>
      <c r="U57" s="1161">
        <v>131686.52023600001</v>
      </c>
      <c r="V57" s="1161">
        <v>131686.52023600001</v>
      </c>
      <c r="W57" s="1161">
        <v>131686.73000000001</v>
      </c>
      <c r="X57" s="1161">
        <v>0</v>
      </c>
      <c r="Y57" s="1161">
        <v>86990</v>
      </c>
      <c r="Z57" s="1161">
        <v>409873</v>
      </c>
      <c r="AA57" s="1161">
        <v>141003</v>
      </c>
      <c r="AB57" s="1161">
        <v>859138</v>
      </c>
      <c r="AC57" s="1161">
        <v>-4971.3900000000003</v>
      </c>
      <c r="AD57" s="1161">
        <v>-4967.54</v>
      </c>
      <c r="AE57" s="1161">
        <v>0</v>
      </c>
      <c r="AF57" s="1161">
        <v>0</v>
      </c>
      <c r="AG57" s="1161">
        <v>0</v>
      </c>
      <c r="AH57" s="1161">
        <v>0</v>
      </c>
      <c r="AI57" s="1161">
        <v>0</v>
      </c>
      <c r="AJ57" s="1161">
        <v>0</v>
      </c>
      <c r="AK57" s="1161">
        <v>0</v>
      </c>
      <c r="AL57" s="1161">
        <v>0</v>
      </c>
      <c r="AM57" s="1161">
        <v>0</v>
      </c>
      <c r="AN57" s="1161">
        <v>65.433333333333294</v>
      </c>
      <c r="AO57" s="1161">
        <v>0</v>
      </c>
      <c r="AP57" s="1161">
        <v>0</v>
      </c>
      <c r="AQ57" s="1161">
        <v>0</v>
      </c>
      <c r="AR57" s="1161">
        <v>0</v>
      </c>
      <c r="AS57" s="524"/>
      <c r="AU57" s="226">
        <f t="shared" si="5"/>
        <v>-0.20976399999926798</v>
      </c>
      <c r="AV57" s="129">
        <f t="shared" si="6"/>
        <v>-1.5929015778527417E-6</v>
      </c>
      <c r="AW57" s="226">
        <f t="shared" si="7"/>
        <v>3.8500000000003638</v>
      </c>
      <c r="AX57" s="226">
        <f t="shared" si="8"/>
        <v>0</v>
      </c>
    </row>
    <row r="58" spans="1:50">
      <c r="A58" s="1160" t="s">
        <v>1282</v>
      </c>
      <c r="B58" s="1161">
        <v>19270812</v>
      </c>
      <c r="C58" s="1161">
        <v>1228018.8700000001</v>
      </c>
      <c r="D58" s="1161">
        <v>-2139736</v>
      </c>
      <c r="E58" s="1161">
        <v>77.42</v>
      </c>
      <c r="F58" s="1161">
        <v>11221.4333333333</v>
      </c>
      <c r="G58" s="1161">
        <v>11209.4333333333</v>
      </c>
      <c r="H58" s="1161">
        <v>12</v>
      </c>
      <c r="I58" s="1161">
        <v>1.2</v>
      </c>
      <c r="J58" s="1161">
        <v>0</v>
      </c>
      <c r="K58" s="1161">
        <v>10842730</v>
      </c>
      <c r="L58" s="1161">
        <v>0</v>
      </c>
      <c r="M58" s="1161">
        <v>0</v>
      </c>
      <c r="N58" s="1161">
        <v>0</v>
      </c>
      <c r="O58" s="1161">
        <v>0</v>
      </c>
      <c r="P58" s="1161">
        <v>0</v>
      </c>
      <c r="Q58" s="1161">
        <v>0</v>
      </c>
      <c r="R58" s="1161">
        <v>0</v>
      </c>
      <c r="S58" s="1161">
        <v>0</v>
      </c>
      <c r="T58" s="1161">
        <v>0</v>
      </c>
      <c r="U58" s="1161">
        <v>1276412.9132159899</v>
      </c>
      <c r="V58" s="1161">
        <v>1276412.9132159899</v>
      </c>
      <c r="W58" s="1161">
        <v>1276421.02</v>
      </c>
      <c r="X58" s="1161">
        <v>6288346</v>
      </c>
      <c r="Y58" s="1161">
        <v>0</v>
      </c>
      <c r="Z58" s="1161">
        <v>0</v>
      </c>
      <c r="AA58" s="1161">
        <v>0</v>
      </c>
      <c r="AB58" s="1161">
        <v>0</v>
      </c>
      <c r="AC58" s="1161">
        <v>-48324.73</v>
      </c>
      <c r="AD58" s="1161">
        <v>-48321.3</v>
      </c>
      <c r="AE58" s="1161">
        <v>0</v>
      </c>
      <c r="AF58" s="1161">
        <v>4685202</v>
      </c>
      <c r="AG58" s="1161">
        <v>1184420</v>
      </c>
      <c r="AH58" s="1161">
        <v>771606</v>
      </c>
      <c r="AI58" s="1161">
        <v>319445</v>
      </c>
      <c r="AJ58" s="1161">
        <v>1346122</v>
      </c>
      <c r="AK58" s="1161">
        <v>1063609</v>
      </c>
      <c r="AL58" s="1161">
        <v>0</v>
      </c>
      <c r="AM58" s="1161">
        <v>0</v>
      </c>
      <c r="AN58" s="1161">
        <v>1015.46666666667</v>
      </c>
      <c r="AO58" s="1161">
        <v>12</v>
      </c>
      <c r="AP58" s="1161">
        <v>0.35749999999999998</v>
      </c>
      <c r="AQ58" s="1161">
        <v>0</v>
      </c>
      <c r="AR58" s="1161">
        <v>0</v>
      </c>
      <c r="AS58" s="524"/>
      <c r="AU58" s="226">
        <f t="shared" si="5"/>
        <v>-8.1067840100731701</v>
      </c>
      <c r="AV58" s="129">
        <f t="shared" si="6"/>
        <v>-6.3511834128782756E-6</v>
      </c>
      <c r="AW58" s="226">
        <f t="shared" si="7"/>
        <v>3.430000000000291</v>
      </c>
      <c r="AX58" s="226">
        <f t="shared" si="8"/>
        <v>-130818</v>
      </c>
    </row>
    <row r="59" spans="1:50">
      <c r="A59" s="1160" t="s">
        <v>1283</v>
      </c>
      <c r="B59" s="1161">
        <v>107453</v>
      </c>
      <c r="C59" s="1161">
        <v>6585.04</v>
      </c>
      <c r="D59" s="1161">
        <v>-13170</v>
      </c>
      <c r="E59" s="1161">
        <v>0</v>
      </c>
      <c r="F59" s="1161">
        <v>90</v>
      </c>
      <c r="G59" s="1161">
        <v>90</v>
      </c>
      <c r="H59" s="1161">
        <v>0</v>
      </c>
      <c r="I59" s="1161">
        <v>0</v>
      </c>
      <c r="J59" s="1161">
        <v>0</v>
      </c>
      <c r="K59" s="1161">
        <v>55790</v>
      </c>
      <c r="L59" s="1161">
        <v>0</v>
      </c>
      <c r="M59" s="1161">
        <v>0</v>
      </c>
      <c r="N59" s="1161">
        <v>0</v>
      </c>
      <c r="O59" s="1161">
        <v>0</v>
      </c>
      <c r="P59" s="1161">
        <v>0</v>
      </c>
      <c r="Q59" s="1161">
        <v>0</v>
      </c>
      <c r="R59" s="1161">
        <v>0</v>
      </c>
      <c r="S59" s="1161">
        <v>0</v>
      </c>
      <c r="T59" s="1161">
        <v>0</v>
      </c>
      <c r="U59" s="1161">
        <v>6836.7704059999996</v>
      </c>
      <c r="V59" s="1161">
        <v>6836.7704059999996</v>
      </c>
      <c r="W59" s="1161">
        <v>6836.73</v>
      </c>
      <c r="X59" s="1161">
        <v>38493</v>
      </c>
      <c r="Y59" s="1161">
        <v>0</v>
      </c>
      <c r="Z59" s="1161">
        <v>0</v>
      </c>
      <c r="AA59" s="1161">
        <v>0</v>
      </c>
      <c r="AB59" s="1161">
        <v>0</v>
      </c>
      <c r="AC59" s="1161">
        <v>-251.69</v>
      </c>
      <c r="AD59" s="1161">
        <v>-251.69</v>
      </c>
      <c r="AE59" s="1161">
        <v>0</v>
      </c>
      <c r="AF59" s="1161">
        <v>18203</v>
      </c>
      <c r="AG59" s="1161">
        <v>5077</v>
      </c>
      <c r="AH59" s="1161">
        <v>2021</v>
      </c>
      <c r="AI59" s="1161">
        <v>1456</v>
      </c>
      <c r="AJ59" s="1161">
        <v>7231</v>
      </c>
      <c r="AK59" s="1161">
        <v>2418</v>
      </c>
      <c r="AL59" s="1161">
        <v>0</v>
      </c>
      <c r="AM59" s="1161">
        <v>0</v>
      </c>
      <c r="AN59" s="1161">
        <v>47</v>
      </c>
      <c r="AO59" s="1161">
        <v>0</v>
      </c>
      <c r="AP59" s="1161">
        <v>0</v>
      </c>
      <c r="AQ59" s="1161">
        <v>0</v>
      </c>
      <c r="AR59" s="1161">
        <v>0</v>
      </c>
      <c r="AS59" s="524"/>
      <c r="AU59" s="226">
        <f t="shared" si="5"/>
        <v>4.0406000000075437E-2</v>
      </c>
      <c r="AV59" s="129">
        <f t="shared" si="6"/>
        <v>5.9101354009995184E-6</v>
      </c>
      <c r="AW59" s="226">
        <f t="shared" si="7"/>
        <v>0</v>
      </c>
      <c r="AX59" s="226">
        <f t="shared" si="8"/>
        <v>-906</v>
      </c>
    </row>
    <row r="60" spans="1:50">
      <c r="A60" s="374"/>
      <c r="B60" s="373"/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373"/>
      <c r="S60" s="373"/>
      <c r="T60" s="373"/>
      <c r="U60" s="373"/>
      <c r="V60" s="373"/>
      <c r="W60" s="373"/>
      <c r="X60" s="373"/>
      <c r="Y60" s="373"/>
      <c r="Z60" s="373"/>
      <c r="AA60" s="373"/>
      <c r="AB60" s="373"/>
      <c r="AC60" s="373"/>
      <c r="AD60" s="373"/>
      <c r="AE60" s="373"/>
      <c r="AF60" s="373"/>
      <c r="AG60" s="373"/>
      <c r="AH60" s="373"/>
      <c r="AI60" s="373"/>
      <c r="AJ60" s="373"/>
      <c r="AK60" s="373"/>
      <c r="AL60" s="553"/>
      <c r="AM60" s="553"/>
      <c r="AN60" s="895"/>
      <c r="AO60" s="895"/>
      <c r="AP60" s="895"/>
      <c r="AQ60" s="895"/>
      <c r="AR60" s="895"/>
      <c r="AS60" s="524"/>
      <c r="AU60" s="226"/>
      <c r="AW60" s="226"/>
      <c r="AX60" s="226"/>
    </row>
    <row r="61" spans="1:50" ht="25.5">
      <c r="A61" s="878" t="s">
        <v>1289</v>
      </c>
      <c r="AL61" s="338"/>
      <c r="AM61" s="338"/>
      <c r="AN61" s="338"/>
      <c r="AO61" s="338"/>
      <c r="AP61" s="338"/>
      <c r="AQ61" s="338"/>
      <c r="AR61" s="338"/>
      <c r="AU61" s="226"/>
      <c r="AW61" s="226"/>
      <c r="AX61" s="226"/>
    </row>
    <row r="62" spans="1:50">
      <c r="A62" s="1164" t="s">
        <v>1284</v>
      </c>
      <c r="B62" s="1164" t="s">
        <v>125</v>
      </c>
      <c r="C62" s="1164" t="s">
        <v>126</v>
      </c>
      <c r="D62" s="1164" t="s">
        <v>127</v>
      </c>
      <c r="E62" s="1164" t="s">
        <v>128</v>
      </c>
      <c r="F62" s="1164" t="s">
        <v>72</v>
      </c>
      <c r="G62" s="1164" t="s">
        <v>688</v>
      </c>
      <c r="H62" s="1164" t="s">
        <v>689</v>
      </c>
      <c r="I62" s="1164" t="s">
        <v>686</v>
      </c>
      <c r="J62" s="1164" t="s">
        <v>687</v>
      </c>
      <c r="K62" s="1164" t="s">
        <v>70</v>
      </c>
      <c r="L62" s="1164" t="s">
        <v>626</v>
      </c>
      <c r="M62" s="1164" t="s">
        <v>640</v>
      </c>
      <c r="N62" s="1164" t="s">
        <v>641</v>
      </c>
      <c r="O62" s="1164" t="s">
        <v>622</v>
      </c>
      <c r="P62" s="1164" t="s">
        <v>623</v>
      </c>
      <c r="Q62" s="1164" t="s">
        <v>624</v>
      </c>
      <c r="R62" s="1164" t="s">
        <v>625</v>
      </c>
      <c r="S62" s="1164" t="s">
        <v>650</v>
      </c>
      <c r="T62" s="1164" t="s">
        <v>649</v>
      </c>
      <c r="U62" s="1164" t="s">
        <v>619</v>
      </c>
      <c r="V62" s="1164" t="s">
        <v>796</v>
      </c>
      <c r="W62" s="1164" t="s">
        <v>71</v>
      </c>
      <c r="X62" s="1164" t="s">
        <v>1152</v>
      </c>
      <c r="Y62" s="1164" t="s">
        <v>1153</v>
      </c>
      <c r="Z62" s="1164" t="s">
        <v>1154</v>
      </c>
      <c r="AA62" s="1164" t="s">
        <v>1155</v>
      </c>
      <c r="AB62" s="1164" t="s">
        <v>1156</v>
      </c>
      <c r="AC62" s="1164" t="s">
        <v>1225</v>
      </c>
      <c r="AD62" s="1164" t="s">
        <v>1256</v>
      </c>
      <c r="AE62" s="1164" t="s">
        <v>627</v>
      </c>
      <c r="AF62" s="1164" t="s">
        <v>1222</v>
      </c>
      <c r="AG62" s="1164" t="s">
        <v>1261</v>
      </c>
      <c r="AH62" s="1164" t="s">
        <v>1262</v>
      </c>
      <c r="AI62" s="1164" t="s">
        <v>1285</v>
      </c>
      <c r="AJ62" s="1164" t="s">
        <v>1263</v>
      </c>
      <c r="AK62" s="1164" t="s">
        <v>1264</v>
      </c>
      <c r="AL62" s="1164" t="s">
        <v>1299</v>
      </c>
      <c r="AM62" s="1164" t="s">
        <v>1300</v>
      </c>
      <c r="AN62" s="1164" t="s">
        <v>1545</v>
      </c>
      <c r="AO62" s="1164" t="s">
        <v>1546</v>
      </c>
      <c r="AP62" s="1164" t="s">
        <v>1547</v>
      </c>
      <c r="AQ62" s="1164" t="s">
        <v>1548</v>
      </c>
      <c r="AR62" s="1164" t="s">
        <v>1549</v>
      </c>
      <c r="AS62" s="875"/>
      <c r="AU62" s="226"/>
      <c r="AW62" s="226"/>
      <c r="AX62" s="226"/>
    </row>
    <row r="63" spans="1:50">
      <c r="A63" s="1160" t="s">
        <v>1286</v>
      </c>
      <c r="B63" s="1161">
        <v>165969</v>
      </c>
      <c r="C63" s="1161">
        <v>18322.11</v>
      </c>
      <c r="D63" s="1161">
        <v>2464</v>
      </c>
      <c r="E63" s="1161">
        <v>255.58</v>
      </c>
      <c r="F63" s="1161">
        <v>220.433333333333</v>
      </c>
      <c r="G63" s="1161">
        <v>220.433333333333</v>
      </c>
      <c r="H63" s="1161">
        <v>0</v>
      </c>
      <c r="I63" s="1161">
        <v>24.69</v>
      </c>
      <c r="J63" s="1161">
        <v>0</v>
      </c>
      <c r="K63" s="1161">
        <v>168433</v>
      </c>
      <c r="L63" s="1161">
        <v>94503</v>
      </c>
      <c r="M63" s="1161">
        <v>42851</v>
      </c>
      <c r="N63" s="1161">
        <v>51652</v>
      </c>
      <c r="O63" s="1161">
        <v>73930</v>
      </c>
      <c r="P63" s="1161">
        <v>34321</v>
      </c>
      <c r="Q63" s="1161">
        <v>27169</v>
      </c>
      <c r="R63" s="1161">
        <v>12440</v>
      </c>
      <c r="S63" s="1161">
        <v>0</v>
      </c>
      <c r="T63" s="1161">
        <v>0</v>
      </c>
      <c r="U63" s="1161">
        <v>19259.330621000001</v>
      </c>
      <c r="V63" s="1161">
        <v>19259.330621000001</v>
      </c>
      <c r="W63" s="1161">
        <v>19259.47</v>
      </c>
      <c r="X63" s="1161">
        <v>0</v>
      </c>
      <c r="Y63" s="1161">
        <v>0</v>
      </c>
      <c r="Z63" s="1161">
        <v>0</v>
      </c>
      <c r="AA63" s="1161">
        <v>0</v>
      </c>
      <c r="AB63" s="1161">
        <v>0</v>
      </c>
      <c r="AC63" s="1161">
        <v>-681.78</v>
      </c>
      <c r="AD63" s="1161">
        <v>-672.43</v>
      </c>
      <c r="AE63" s="1161">
        <v>222.69499999999999</v>
      </c>
      <c r="AF63" s="1161">
        <v>0</v>
      </c>
      <c r="AG63" s="1161">
        <v>0</v>
      </c>
      <c r="AH63" s="1161">
        <v>0</v>
      </c>
      <c r="AI63" s="1161">
        <v>0</v>
      </c>
      <c r="AJ63" s="1161">
        <v>0</v>
      </c>
      <c r="AK63" s="1161">
        <v>0</v>
      </c>
      <c r="AL63" s="1161">
        <v>0</v>
      </c>
      <c r="AM63" s="1161">
        <v>0</v>
      </c>
      <c r="AN63" s="1161">
        <v>85</v>
      </c>
      <c r="AO63" s="1161">
        <v>0</v>
      </c>
      <c r="AP63" s="1161">
        <v>6.9524999999999997</v>
      </c>
      <c r="AQ63" s="1161">
        <v>0</v>
      </c>
      <c r="AR63" s="1161">
        <v>0</v>
      </c>
      <c r="AS63" s="524"/>
      <c r="AU63" s="226">
        <f t="shared" si="5"/>
        <v>-0.13937900000018999</v>
      </c>
      <c r="AV63" s="129">
        <f t="shared" si="6"/>
        <v>-7.2369073500044383E-6</v>
      </c>
      <c r="AW63" s="226">
        <f t="shared" si="7"/>
        <v>9.3500000000000227</v>
      </c>
      <c r="AX63" s="226">
        <f t="shared" si="8"/>
        <v>0</v>
      </c>
    </row>
    <row r="64" spans="1:50">
      <c r="A64" s="1160" t="s">
        <v>1273</v>
      </c>
      <c r="B64" s="1161">
        <v>12026197</v>
      </c>
      <c r="C64" s="1161">
        <v>1296893.94</v>
      </c>
      <c r="D64" s="1161">
        <v>6598</v>
      </c>
      <c r="E64" s="1161">
        <v>750.42</v>
      </c>
      <c r="F64" s="1161">
        <v>18559.633333333299</v>
      </c>
      <c r="G64" s="1161">
        <v>18559.633333333299</v>
      </c>
      <c r="H64" s="1161">
        <v>0</v>
      </c>
      <c r="I64" s="1161">
        <v>4310.12499999999</v>
      </c>
      <c r="J64" s="1161">
        <v>0</v>
      </c>
      <c r="K64" s="1161">
        <v>12032795</v>
      </c>
      <c r="L64" s="1161">
        <v>6626976</v>
      </c>
      <c r="M64" s="1161">
        <v>3771945</v>
      </c>
      <c r="N64" s="1161">
        <v>2855031</v>
      </c>
      <c r="O64" s="1161">
        <v>5405819</v>
      </c>
      <c r="P64" s="1161">
        <v>2973959</v>
      </c>
      <c r="Q64" s="1161">
        <v>1880101</v>
      </c>
      <c r="R64" s="1161">
        <v>551759</v>
      </c>
      <c r="S64" s="1161">
        <v>0</v>
      </c>
      <c r="T64" s="1161">
        <v>0</v>
      </c>
      <c r="U64" s="1161">
        <v>1345283.4593249999</v>
      </c>
      <c r="V64" s="1161">
        <v>1345283.4593249999</v>
      </c>
      <c r="W64" s="1161">
        <v>1345296.18</v>
      </c>
      <c r="X64" s="1161">
        <v>0</v>
      </c>
      <c r="Y64" s="1161">
        <v>0</v>
      </c>
      <c r="Z64" s="1161">
        <v>0</v>
      </c>
      <c r="AA64" s="1161">
        <v>0</v>
      </c>
      <c r="AB64" s="1161">
        <v>0</v>
      </c>
      <c r="AC64" s="1161">
        <v>-47651.82</v>
      </c>
      <c r="AD64" s="1161">
        <v>-47723.46</v>
      </c>
      <c r="AE64" s="1161">
        <v>0</v>
      </c>
      <c r="AF64" s="1161">
        <v>0</v>
      </c>
      <c r="AG64" s="1161">
        <v>0</v>
      </c>
      <c r="AH64" s="1161">
        <v>0</v>
      </c>
      <c r="AI64" s="1161">
        <v>0</v>
      </c>
      <c r="AJ64" s="1161">
        <v>0</v>
      </c>
      <c r="AK64" s="1161">
        <v>0</v>
      </c>
      <c r="AL64" s="1161">
        <v>0</v>
      </c>
      <c r="AM64" s="1161">
        <v>0</v>
      </c>
      <c r="AN64" s="1161">
        <v>181</v>
      </c>
      <c r="AO64" s="1161">
        <v>0</v>
      </c>
      <c r="AP64" s="1161">
        <v>28.97625</v>
      </c>
      <c r="AQ64" s="1161">
        <v>0</v>
      </c>
      <c r="AR64" s="1161">
        <v>0</v>
      </c>
      <c r="AS64" s="524"/>
      <c r="AU64" s="226">
        <f t="shared" si="5"/>
        <v>-12.720674999989569</v>
      </c>
      <c r="AV64" s="129">
        <f t="shared" si="6"/>
        <v>-9.4556687137768947E-6</v>
      </c>
      <c r="AW64" s="226">
        <f t="shared" si="7"/>
        <v>-71.639999999999418</v>
      </c>
      <c r="AX64" s="226">
        <f t="shared" si="8"/>
        <v>0</v>
      </c>
    </row>
    <row r="65" spans="1:50">
      <c r="A65" s="1160" t="s">
        <v>1274</v>
      </c>
      <c r="B65" s="1161">
        <v>17933</v>
      </c>
      <c r="C65" s="1161">
        <v>1898.93</v>
      </c>
      <c r="D65" s="1161">
        <v>0</v>
      </c>
      <c r="E65" s="1161">
        <v>0</v>
      </c>
      <c r="F65" s="1161">
        <v>36</v>
      </c>
      <c r="G65" s="1161">
        <v>36</v>
      </c>
      <c r="H65" s="1161">
        <v>0</v>
      </c>
      <c r="I65" s="1161">
        <v>8.58</v>
      </c>
      <c r="J65" s="1161">
        <v>0</v>
      </c>
      <c r="K65" s="1161">
        <v>17933</v>
      </c>
      <c r="L65" s="1161">
        <v>10760</v>
      </c>
      <c r="M65" s="1161">
        <v>6822</v>
      </c>
      <c r="N65" s="1161">
        <v>3938</v>
      </c>
      <c r="O65" s="1161">
        <v>7173</v>
      </c>
      <c r="P65" s="1161">
        <v>4345</v>
      </c>
      <c r="Q65" s="1161">
        <v>2460</v>
      </c>
      <c r="R65" s="1161">
        <v>368</v>
      </c>
      <c r="S65" s="1161">
        <v>866</v>
      </c>
      <c r="T65" s="1161">
        <v>6307</v>
      </c>
      <c r="U65" s="1161">
        <v>1966.3854080000001</v>
      </c>
      <c r="V65" s="1161">
        <v>1966.3854080000001</v>
      </c>
      <c r="W65" s="1161">
        <v>1966.47</v>
      </c>
      <c r="X65" s="1161">
        <v>0</v>
      </c>
      <c r="Y65" s="1161">
        <v>0</v>
      </c>
      <c r="Z65" s="1161">
        <v>0</v>
      </c>
      <c r="AA65" s="1161">
        <v>0</v>
      </c>
      <c r="AB65" s="1161">
        <v>0</v>
      </c>
      <c r="AC65" s="1161">
        <v>-67.540000000000006</v>
      </c>
      <c r="AD65" s="1161">
        <v>-67.540000000000006</v>
      </c>
      <c r="AE65" s="1161">
        <v>0</v>
      </c>
      <c r="AF65" s="1161">
        <v>0</v>
      </c>
      <c r="AG65" s="1161">
        <v>0</v>
      </c>
      <c r="AH65" s="1161">
        <v>0</v>
      </c>
      <c r="AI65" s="1161">
        <v>0</v>
      </c>
      <c r="AJ65" s="1161">
        <v>0</v>
      </c>
      <c r="AK65" s="1161">
        <v>0</v>
      </c>
      <c r="AL65" s="1161">
        <v>0</v>
      </c>
      <c r="AM65" s="1161">
        <v>0</v>
      </c>
      <c r="AN65" s="1161">
        <v>0</v>
      </c>
      <c r="AO65" s="1161">
        <v>0</v>
      </c>
      <c r="AP65" s="1161">
        <v>0</v>
      </c>
      <c r="AQ65" s="1161">
        <v>0</v>
      </c>
      <c r="AR65" s="1161">
        <v>0</v>
      </c>
      <c r="AS65" s="524"/>
      <c r="AU65" s="226">
        <f t="shared" si="5"/>
        <v>-8.4591999999929612E-2</v>
      </c>
      <c r="AV65" s="129">
        <f t="shared" si="6"/>
        <v>-4.3017183074203832E-5</v>
      </c>
      <c r="AW65" s="226">
        <f t="shared" si="7"/>
        <v>0</v>
      </c>
      <c r="AX65" s="226">
        <f t="shared" si="8"/>
        <v>0</v>
      </c>
    </row>
    <row r="66" spans="1:50">
      <c r="A66" s="1160" t="s">
        <v>1275</v>
      </c>
      <c r="B66" s="1161">
        <v>103361</v>
      </c>
      <c r="C66" s="1161">
        <v>11074.11</v>
      </c>
      <c r="D66" s="1161">
        <v>0</v>
      </c>
      <c r="E66" s="1161">
        <v>0</v>
      </c>
      <c r="F66" s="1161">
        <v>164.76666666666699</v>
      </c>
      <c r="G66" s="1161">
        <v>164.76666666666699</v>
      </c>
      <c r="H66" s="1161">
        <v>0</v>
      </c>
      <c r="I66" s="1161">
        <v>25.734999999999999</v>
      </c>
      <c r="J66" s="1161">
        <v>0</v>
      </c>
      <c r="K66" s="1161">
        <v>103361</v>
      </c>
      <c r="L66" s="1161">
        <v>58793</v>
      </c>
      <c r="M66" s="1161">
        <v>34880</v>
      </c>
      <c r="N66" s="1161">
        <v>23913</v>
      </c>
      <c r="O66" s="1161">
        <v>44568</v>
      </c>
      <c r="P66" s="1161">
        <v>24852</v>
      </c>
      <c r="Q66" s="1161">
        <v>13902</v>
      </c>
      <c r="R66" s="1161">
        <v>5814</v>
      </c>
      <c r="S66" s="1161">
        <v>0</v>
      </c>
      <c r="T66" s="1161">
        <v>0</v>
      </c>
      <c r="U66" s="1161">
        <v>11485.918742</v>
      </c>
      <c r="V66" s="1161">
        <v>11485.918742</v>
      </c>
      <c r="W66" s="1161">
        <v>11486.06</v>
      </c>
      <c r="X66" s="1161">
        <v>0</v>
      </c>
      <c r="Y66" s="1161">
        <v>0</v>
      </c>
      <c r="Z66" s="1161">
        <v>0</v>
      </c>
      <c r="AA66" s="1161">
        <v>0</v>
      </c>
      <c r="AB66" s="1161">
        <v>0</v>
      </c>
      <c r="AC66" s="1161">
        <v>-411.95</v>
      </c>
      <c r="AD66" s="1161">
        <v>-411.95</v>
      </c>
      <c r="AE66" s="1161">
        <v>0</v>
      </c>
      <c r="AF66" s="1161">
        <v>0</v>
      </c>
      <c r="AG66" s="1161">
        <v>0</v>
      </c>
      <c r="AH66" s="1161">
        <v>0</v>
      </c>
      <c r="AI66" s="1161">
        <v>0</v>
      </c>
      <c r="AJ66" s="1161">
        <v>0</v>
      </c>
      <c r="AK66" s="1161">
        <v>0</v>
      </c>
      <c r="AL66" s="1161">
        <v>0</v>
      </c>
      <c r="AM66" s="1161">
        <v>0</v>
      </c>
      <c r="AN66" s="1161">
        <v>0</v>
      </c>
      <c r="AO66" s="1161">
        <v>0</v>
      </c>
      <c r="AP66" s="1161">
        <v>0</v>
      </c>
      <c r="AQ66" s="1161">
        <v>0</v>
      </c>
      <c r="AR66" s="1161">
        <v>0</v>
      </c>
      <c r="AS66" s="524"/>
      <c r="AU66" s="226">
        <f t="shared" ref="AU66:AU74" si="18">U66-W66</f>
        <v>-0.14125799999965238</v>
      </c>
      <c r="AV66" s="129">
        <f t="shared" ref="AV66:AV74" si="19">AU66/W66</f>
        <v>-1.2298211919461712E-5</v>
      </c>
      <c r="AW66" s="226">
        <f t="shared" ref="AW66:AW74" si="20">AD66-AC66</f>
        <v>0</v>
      </c>
      <c r="AX66" s="226">
        <f t="shared" ref="AX66:AX74" si="21">K66-M66-N66-P66-Q66-R66-Y66-Z66-AA66-AB66-AG66-AH66-AI66-AJ66-AK66-X66</f>
        <v>0</v>
      </c>
    </row>
    <row r="67" spans="1:50">
      <c r="A67" s="1160" t="s">
        <v>1276</v>
      </c>
      <c r="B67" s="1161">
        <v>35480424</v>
      </c>
      <c r="C67" s="1161">
        <v>4166873.44</v>
      </c>
      <c r="D67" s="1161">
        <v>-64538</v>
      </c>
      <c r="E67" s="1161">
        <v>-6423.22</v>
      </c>
      <c r="F67" s="1161">
        <v>107268.73333333401</v>
      </c>
      <c r="G67" s="1161">
        <v>107052.73333333401</v>
      </c>
      <c r="H67" s="1161">
        <v>216</v>
      </c>
      <c r="I67" s="1161">
        <v>12166.397499999999</v>
      </c>
      <c r="J67" s="1161">
        <v>2.73875</v>
      </c>
      <c r="K67" s="1161">
        <v>35415886</v>
      </c>
      <c r="L67" s="1161">
        <v>23572692</v>
      </c>
      <c r="M67" s="1161">
        <v>12233054</v>
      </c>
      <c r="N67" s="1161">
        <v>11339638</v>
      </c>
      <c r="O67" s="1161">
        <v>11843194</v>
      </c>
      <c r="P67" s="1161">
        <v>5979887</v>
      </c>
      <c r="Q67" s="1161">
        <v>3789339</v>
      </c>
      <c r="R67" s="1161">
        <v>2073968</v>
      </c>
      <c r="S67" s="1161">
        <v>2417</v>
      </c>
      <c r="T67" s="1161">
        <v>16086</v>
      </c>
      <c r="U67" s="1161">
        <v>4305197.0875250204</v>
      </c>
      <c r="V67" s="1161">
        <v>4305197.0875250204</v>
      </c>
      <c r="W67" s="1161">
        <v>4305224.6500000004</v>
      </c>
      <c r="X67" s="1161">
        <v>0</v>
      </c>
      <c r="Y67" s="1161">
        <v>0</v>
      </c>
      <c r="Z67" s="1161">
        <v>0</v>
      </c>
      <c r="AA67" s="1161">
        <v>0</v>
      </c>
      <c r="AB67" s="1161">
        <v>0</v>
      </c>
      <c r="AC67" s="1161">
        <v>-144774.43</v>
      </c>
      <c r="AD67" s="1161">
        <v>-145335.70000000001</v>
      </c>
      <c r="AE67" s="1161">
        <v>0</v>
      </c>
      <c r="AF67" s="1161">
        <v>0</v>
      </c>
      <c r="AG67" s="1161">
        <v>0</v>
      </c>
      <c r="AH67" s="1161">
        <v>0</v>
      </c>
      <c r="AI67" s="1161">
        <v>0</v>
      </c>
      <c r="AJ67" s="1161">
        <v>0</v>
      </c>
      <c r="AK67" s="1161">
        <v>0</v>
      </c>
      <c r="AL67" s="1161">
        <v>0</v>
      </c>
      <c r="AM67" s="1161">
        <v>0</v>
      </c>
      <c r="AN67" s="1161">
        <v>3328.36666666666</v>
      </c>
      <c r="AO67" s="1161">
        <v>204</v>
      </c>
      <c r="AP67" s="1161">
        <v>199.93125000000001</v>
      </c>
      <c r="AQ67" s="1161">
        <v>0</v>
      </c>
      <c r="AR67" s="1161">
        <v>0</v>
      </c>
      <c r="AS67" s="524"/>
      <c r="AU67" s="226">
        <f t="shared" si="18"/>
        <v>-27.562474980019033</v>
      </c>
      <c r="AV67" s="129">
        <f t="shared" si="19"/>
        <v>-6.402099128559768E-6</v>
      </c>
      <c r="AW67" s="226">
        <f t="shared" si="20"/>
        <v>-561.27000000001863</v>
      </c>
      <c r="AX67" s="226">
        <f t="shared" si="21"/>
        <v>0</v>
      </c>
    </row>
    <row r="68" spans="1:50">
      <c r="A68" s="1160" t="s">
        <v>1277</v>
      </c>
      <c r="B68" s="1161">
        <v>489105</v>
      </c>
      <c r="C68" s="1161">
        <v>53002.43</v>
      </c>
      <c r="D68" s="1161">
        <v>-843</v>
      </c>
      <c r="E68" s="1161">
        <v>-81.23</v>
      </c>
      <c r="F68" s="1161">
        <v>911.36666666666702</v>
      </c>
      <c r="G68" s="1161">
        <v>911.36666666666702</v>
      </c>
      <c r="H68" s="1161">
        <v>0</v>
      </c>
      <c r="I68" s="1161">
        <v>46.743749999999999</v>
      </c>
      <c r="J68" s="1161">
        <v>0</v>
      </c>
      <c r="K68" s="1161">
        <v>488262</v>
      </c>
      <c r="L68" s="1161">
        <v>326284</v>
      </c>
      <c r="M68" s="1161">
        <v>149806</v>
      </c>
      <c r="N68" s="1161">
        <v>176478</v>
      </c>
      <c r="O68" s="1161">
        <v>161978</v>
      </c>
      <c r="P68" s="1161">
        <v>90193</v>
      </c>
      <c r="Q68" s="1161">
        <v>50489</v>
      </c>
      <c r="R68" s="1161">
        <v>21296</v>
      </c>
      <c r="S68" s="1161">
        <v>0</v>
      </c>
      <c r="T68" s="1161">
        <v>0</v>
      </c>
      <c r="U68" s="1161">
        <v>54882.771067000001</v>
      </c>
      <c r="V68" s="1161">
        <v>54882.771067000001</v>
      </c>
      <c r="W68" s="1161">
        <v>54883.14</v>
      </c>
      <c r="X68" s="1161">
        <v>0</v>
      </c>
      <c r="Y68" s="1161">
        <v>0</v>
      </c>
      <c r="Z68" s="1161">
        <v>0</v>
      </c>
      <c r="AA68" s="1161">
        <v>0</v>
      </c>
      <c r="AB68" s="1161">
        <v>0</v>
      </c>
      <c r="AC68" s="1161">
        <v>-1961.94</v>
      </c>
      <c r="AD68" s="1161">
        <v>-1966.82</v>
      </c>
      <c r="AE68" s="1161">
        <v>0</v>
      </c>
      <c r="AF68" s="1161">
        <v>0</v>
      </c>
      <c r="AG68" s="1161">
        <v>0</v>
      </c>
      <c r="AH68" s="1161">
        <v>0</v>
      </c>
      <c r="AI68" s="1161">
        <v>0</v>
      </c>
      <c r="AJ68" s="1161">
        <v>0</v>
      </c>
      <c r="AK68" s="1161">
        <v>0</v>
      </c>
      <c r="AL68" s="1161">
        <v>0</v>
      </c>
      <c r="AM68" s="1161">
        <v>0</v>
      </c>
      <c r="AN68" s="1161">
        <v>418.33333333333297</v>
      </c>
      <c r="AO68" s="1161">
        <v>0</v>
      </c>
      <c r="AP68" s="1161">
        <v>3.1875</v>
      </c>
      <c r="AQ68" s="1161">
        <v>0</v>
      </c>
      <c r="AR68" s="1161">
        <v>0</v>
      </c>
      <c r="AS68" s="524"/>
      <c r="AU68" s="226">
        <f t="shared" si="18"/>
        <v>-0.36893299999792362</v>
      </c>
      <c r="AV68" s="129">
        <f t="shared" si="19"/>
        <v>-6.7221554743027387E-6</v>
      </c>
      <c r="AW68" s="226">
        <f t="shared" si="20"/>
        <v>-4.8799999999998818</v>
      </c>
      <c r="AX68" s="226">
        <f t="shared" si="21"/>
        <v>0</v>
      </c>
    </row>
    <row r="69" spans="1:50">
      <c r="A69" s="1160" t="s">
        <v>1278</v>
      </c>
      <c r="B69" s="1161">
        <v>1974867723</v>
      </c>
      <c r="C69" s="1161">
        <v>211085386.46000001</v>
      </c>
      <c r="D69" s="1161">
        <v>117714</v>
      </c>
      <c r="E69" s="1161">
        <v>10685.89</v>
      </c>
      <c r="F69" s="1161">
        <v>2847048.0666670902</v>
      </c>
      <c r="G69" s="1161">
        <v>2843295.86666709</v>
      </c>
      <c r="H69" s="1161">
        <v>3752.2</v>
      </c>
      <c r="I69" s="1161">
        <v>5492.7862500001702</v>
      </c>
      <c r="J69" s="1161">
        <v>16.537500000000001</v>
      </c>
      <c r="K69" s="1161">
        <v>1974985437</v>
      </c>
      <c r="L69" s="1161">
        <v>1047772349</v>
      </c>
      <c r="M69" s="1161">
        <v>572648771</v>
      </c>
      <c r="N69" s="1161">
        <v>475123578</v>
      </c>
      <c r="O69" s="1161">
        <v>927213088</v>
      </c>
      <c r="P69" s="1161">
        <v>425366254</v>
      </c>
      <c r="Q69" s="1161">
        <v>333703485</v>
      </c>
      <c r="R69" s="1161">
        <v>168143349</v>
      </c>
      <c r="S69" s="1161">
        <v>0</v>
      </c>
      <c r="T69" s="1161">
        <v>0</v>
      </c>
      <c r="U69" s="1161">
        <v>219162160.74348</v>
      </c>
      <c r="V69" s="1161">
        <v>219162160.74348</v>
      </c>
      <c r="W69" s="1161">
        <v>219163815.34999999</v>
      </c>
      <c r="X69" s="1161">
        <v>0</v>
      </c>
      <c r="Y69" s="1161">
        <v>0</v>
      </c>
      <c r="Z69" s="1161">
        <v>0</v>
      </c>
      <c r="AA69" s="1161">
        <v>0</v>
      </c>
      <c r="AB69" s="1161">
        <v>0</v>
      </c>
      <c r="AC69" s="1161">
        <v>-8067743</v>
      </c>
      <c r="AD69" s="1161">
        <v>-8068062.7300000004</v>
      </c>
      <c r="AE69" s="1161">
        <v>0</v>
      </c>
      <c r="AF69" s="1161">
        <v>0</v>
      </c>
      <c r="AG69" s="1161">
        <v>0</v>
      </c>
      <c r="AH69" s="1161">
        <v>0</v>
      </c>
      <c r="AI69" s="1161">
        <v>0</v>
      </c>
      <c r="AJ69" s="1161">
        <v>0</v>
      </c>
      <c r="AK69" s="1161">
        <v>0</v>
      </c>
      <c r="AL69" s="1161">
        <v>0.60604166666666703</v>
      </c>
      <c r="AM69" s="1161">
        <v>55</v>
      </c>
      <c r="AN69" s="1161">
        <v>766719.69999995502</v>
      </c>
      <c r="AO69" s="1161">
        <v>2999.5666666666598</v>
      </c>
      <c r="AP69" s="1161">
        <v>1956.8262499999901</v>
      </c>
      <c r="AQ69" s="1161">
        <v>15.941875</v>
      </c>
      <c r="AR69" s="1161">
        <v>0</v>
      </c>
      <c r="AS69" s="524"/>
      <c r="AU69" s="226">
        <f t="shared" si="18"/>
        <v>-1654.6065199971199</v>
      </c>
      <c r="AV69" s="129">
        <f t="shared" si="19"/>
        <v>-7.5496336717571199E-6</v>
      </c>
      <c r="AW69" s="226">
        <f t="shared" si="20"/>
        <v>-319.73000000044703</v>
      </c>
      <c r="AX69" s="226">
        <f t="shared" si="21"/>
        <v>0</v>
      </c>
    </row>
    <row r="70" spans="1:50">
      <c r="A70" s="1160" t="s">
        <v>1279</v>
      </c>
      <c r="B70" s="1161">
        <v>984739</v>
      </c>
      <c r="C70" s="1161">
        <v>103812.97</v>
      </c>
      <c r="D70" s="1161">
        <v>20778</v>
      </c>
      <c r="E70" s="1161">
        <v>2266.38</v>
      </c>
      <c r="F70" s="1161">
        <v>1479.3333333333301</v>
      </c>
      <c r="G70" s="1161">
        <v>1479.3333333333301</v>
      </c>
      <c r="H70" s="1161">
        <v>0</v>
      </c>
      <c r="I70" s="1161">
        <v>5.9987500000000002</v>
      </c>
      <c r="J70" s="1161">
        <v>0</v>
      </c>
      <c r="K70" s="1161">
        <v>1005517</v>
      </c>
      <c r="L70" s="1161">
        <v>544047</v>
      </c>
      <c r="M70" s="1161">
        <v>294273</v>
      </c>
      <c r="N70" s="1161">
        <v>249774</v>
      </c>
      <c r="O70" s="1161">
        <v>461470</v>
      </c>
      <c r="P70" s="1161">
        <v>224079</v>
      </c>
      <c r="Q70" s="1161">
        <v>169994</v>
      </c>
      <c r="R70" s="1161">
        <v>67397</v>
      </c>
      <c r="S70" s="1161">
        <v>112819</v>
      </c>
      <c r="T70" s="1161">
        <v>348652</v>
      </c>
      <c r="U70" s="1161">
        <v>110122.063998</v>
      </c>
      <c r="V70" s="1161">
        <v>110122.063998</v>
      </c>
      <c r="W70" s="1161">
        <v>110122.82</v>
      </c>
      <c r="X70" s="1161">
        <v>0</v>
      </c>
      <c r="Y70" s="1161">
        <v>0</v>
      </c>
      <c r="Z70" s="1161">
        <v>0</v>
      </c>
      <c r="AA70" s="1161">
        <v>0</v>
      </c>
      <c r="AB70" s="1161">
        <v>0</v>
      </c>
      <c r="AC70" s="1161">
        <v>-4043.47</v>
      </c>
      <c r="AD70" s="1161">
        <v>-3907.13</v>
      </c>
      <c r="AE70" s="1161">
        <v>0</v>
      </c>
      <c r="AF70" s="1161">
        <v>0</v>
      </c>
      <c r="AG70" s="1161">
        <v>0</v>
      </c>
      <c r="AH70" s="1161">
        <v>0</v>
      </c>
      <c r="AI70" s="1161">
        <v>0</v>
      </c>
      <c r="AJ70" s="1161">
        <v>0</v>
      </c>
      <c r="AK70" s="1161">
        <v>0</v>
      </c>
      <c r="AL70" s="1161">
        <v>0</v>
      </c>
      <c r="AM70" s="1161">
        <v>0</v>
      </c>
      <c r="AN70" s="1161">
        <v>366.36666666666702</v>
      </c>
      <c r="AO70" s="1161">
        <v>0</v>
      </c>
      <c r="AP70" s="1161">
        <v>4.415</v>
      </c>
      <c r="AQ70" s="1161">
        <v>0</v>
      </c>
      <c r="AR70" s="1161">
        <v>0</v>
      </c>
      <c r="AS70" s="524"/>
      <c r="AU70" s="226">
        <f t="shared" si="18"/>
        <v>-0.75600200000917539</v>
      </c>
      <c r="AV70" s="129">
        <f t="shared" si="19"/>
        <v>-6.865080280446644E-6</v>
      </c>
      <c r="AW70" s="226">
        <f t="shared" si="20"/>
        <v>136.33999999999969</v>
      </c>
      <c r="AX70" s="226">
        <f t="shared" si="21"/>
        <v>0</v>
      </c>
    </row>
    <row r="71" spans="1:50">
      <c r="A71" s="1160" t="s">
        <v>1280</v>
      </c>
      <c r="B71" s="1161">
        <v>52778771</v>
      </c>
      <c r="C71" s="1161">
        <v>5551781.9299999997</v>
      </c>
      <c r="D71" s="1161">
        <v>-28229</v>
      </c>
      <c r="E71" s="1161">
        <v>-3348.11</v>
      </c>
      <c r="F71" s="1161">
        <v>86453.666666666599</v>
      </c>
      <c r="G71" s="1161">
        <v>86404.133333333302</v>
      </c>
      <c r="H71" s="1161">
        <v>49.533333333333303</v>
      </c>
      <c r="I71" s="1161">
        <v>18.36</v>
      </c>
      <c r="J71" s="1161">
        <v>0</v>
      </c>
      <c r="K71" s="1161">
        <v>52750542</v>
      </c>
      <c r="L71" s="1161">
        <v>29559006</v>
      </c>
      <c r="M71" s="1161">
        <v>17494933</v>
      </c>
      <c r="N71" s="1161">
        <v>12064073</v>
      </c>
      <c r="O71" s="1161">
        <v>23191536</v>
      </c>
      <c r="P71" s="1161">
        <v>12849518</v>
      </c>
      <c r="Q71" s="1161">
        <v>8017204</v>
      </c>
      <c r="R71" s="1161">
        <v>2324814</v>
      </c>
      <c r="S71" s="1161">
        <v>1516</v>
      </c>
      <c r="T71" s="1161">
        <v>4800</v>
      </c>
      <c r="U71" s="1161">
        <v>5757673.4246418402</v>
      </c>
      <c r="V71" s="1161">
        <v>5757673.4246418402</v>
      </c>
      <c r="W71" s="1161">
        <v>5757716.3899999997</v>
      </c>
      <c r="X71" s="1161">
        <v>0</v>
      </c>
      <c r="Y71" s="1161">
        <v>0</v>
      </c>
      <c r="Z71" s="1161">
        <v>0</v>
      </c>
      <c r="AA71" s="1161">
        <v>0</v>
      </c>
      <c r="AB71" s="1161">
        <v>0</v>
      </c>
      <c r="AC71" s="1161">
        <v>-209282.57</v>
      </c>
      <c r="AD71" s="1161">
        <v>-209338.45</v>
      </c>
      <c r="AE71" s="1161">
        <v>0</v>
      </c>
      <c r="AF71" s="1161">
        <v>0</v>
      </c>
      <c r="AG71" s="1161">
        <v>0</v>
      </c>
      <c r="AH71" s="1161">
        <v>0</v>
      </c>
      <c r="AI71" s="1161">
        <v>0</v>
      </c>
      <c r="AJ71" s="1161">
        <v>0</v>
      </c>
      <c r="AK71" s="1161">
        <v>0</v>
      </c>
      <c r="AL71" s="1161">
        <v>0</v>
      </c>
      <c r="AM71" s="1161">
        <v>0</v>
      </c>
      <c r="AN71" s="1161">
        <v>40970.1</v>
      </c>
      <c r="AO71" s="1161">
        <v>37.533333333333303</v>
      </c>
      <c r="AP71" s="1161">
        <v>6.8487499999999999</v>
      </c>
      <c r="AQ71" s="1161">
        <v>0</v>
      </c>
      <c r="AR71" s="1161">
        <v>0</v>
      </c>
      <c r="AS71" s="524"/>
      <c r="AU71" s="226">
        <f t="shared" si="18"/>
        <v>-42.965358159504831</v>
      </c>
      <c r="AV71" s="129">
        <f t="shared" si="19"/>
        <v>-7.4622220424276284E-6</v>
      </c>
      <c r="AW71" s="226">
        <f t="shared" si="20"/>
        <v>-55.880000000004657</v>
      </c>
      <c r="AX71" s="226">
        <f t="shared" si="21"/>
        <v>0</v>
      </c>
    </row>
    <row r="72" spans="1:50">
      <c r="A72" s="1160" t="s">
        <v>1281</v>
      </c>
      <c r="B72" s="1161">
        <v>1304639</v>
      </c>
      <c r="C72" s="1161">
        <v>109044.08</v>
      </c>
      <c r="D72" s="1161">
        <v>-2334</v>
      </c>
      <c r="E72" s="1161">
        <v>-217.23</v>
      </c>
      <c r="F72" s="1161">
        <v>1068</v>
      </c>
      <c r="G72" s="1161">
        <v>1068</v>
      </c>
      <c r="H72" s="1161">
        <v>0</v>
      </c>
      <c r="I72" s="1161">
        <v>0</v>
      </c>
      <c r="J72" s="1161">
        <v>0</v>
      </c>
      <c r="K72" s="1161">
        <v>1302305</v>
      </c>
      <c r="L72" s="1161">
        <v>0</v>
      </c>
      <c r="M72" s="1161">
        <v>0</v>
      </c>
      <c r="N72" s="1161">
        <v>0</v>
      </c>
      <c r="O72" s="1161">
        <v>0</v>
      </c>
      <c r="P72" s="1161">
        <v>0</v>
      </c>
      <c r="Q72" s="1161">
        <v>0</v>
      </c>
      <c r="R72" s="1161">
        <v>0</v>
      </c>
      <c r="S72" s="1161">
        <v>0</v>
      </c>
      <c r="T72" s="1161">
        <v>0</v>
      </c>
      <c r="U72" s="1161">
        <v>113063.004445</v>
      </c>
      <c r="V72" s="1161">
        <v>113063.004445</v>
      </c>
      <c r="W72" s="1161">
        <v>113062.99</v>
      </c>
      <c r="X72" s="1161">
        <v>0</v>
      </c>
      <c r="Y72" s="1161">
        <v>71019</v>
      </c>
      <c r="Z72" s="1161">
        <v>319414</v>
      </c>
      <c r="AA72" s="1161">
        <v>123153</v>
      </c>
      <c r="AB72" s="1161">
        <v>788719</v>
      </c>
      <c r="AC72" s="1161">
        <v>-4236.1400000000003</v>
      </c>
      <c r="AD72" s="1161">
        <v>-4244.9799999999996</v>
      </c>
      <c r="AE72" s="1161">
        <v>0</v>
      </c>
      <c r="AF72" s="1161">
        <v>0</v>
      </c>
      <c r="AG72" s="1161">
        <v>0</v>
      </c>
      <c r="AH72" s="1161">
        <v>0</v>
      </c>
      <c r="AI72" s="1161">
        <v>0</v>
      </c>
      <c r="AJ72" s="1161">
        <v>0</v>
      </c>
      <c r="AK72" s="1161">
        <v>0</v>
      </c>
      <c r="AL72" s="1161">
        <v>0</v>
      </c>
      <c r="AM72" s="1161">
        <v>0</v>
      </c>
      <c r="AN72" s="1161">
        <v>45.766666666666701</v>
      </c>
      <c r="AO72" s="1161">
        <v>0</v>
      </c>
      <c r="AP72" s="1161">
        <v>0</v>
      </c>
      <c r="AQ72" s="1161">
        <v>0</v>
      </c>
      <c r="AR72" s="1161">
        <v>0</v>
      </c>
      <c r="AS72" s="524"/>
      <c r="AU72" s="226">
        <f t="shared" si="18"/>
        <v>1.4444999993429519E-2</v>
      </c>
      <c r="AV72" s="129">
        <f t="shared" si="19"/>
        <v>1.2776064027167086E-7</v>
      </c>
      <c r="AW72" s="226">
        <f t="shared" si="20"/>
        <v>-8.839999999999236</v>
      </c>
      <c r="AX72" s="226">
        <f t="shared" si="21"/>
        <v>0</v>
      </c>
    </row>
    <row r="73" spans="1:50">
      <c r="A73" s="1160" t="s">
        <v>1282</v>
      </c>
      <c r="B73" s="1161">
        <v>13810512</v>
      </c>
      <c r="C73" s="1161">
        <v>875222.87</v>
      </c>
      <c r="D73" s="1161">
        <v>-1635324</v>
      </c>
      <c r="E73" s="1161">
        <v>-122.81</v>
      </c>
      <c r="F73" s="1161">
        <v>8167.4666666666699</v>
      </c>
      <c r="G73" s="1161">
        <v>8164.5666666666702</v>
      </c>
      <c r="H73" s="1161">
        <v>2.9</v>
      </c>
      <c r="I73" s="1161">
        <v>1.3825000000000001</v>
      </c>
      <c r="J73" s="1161">
        <v>0</v>
      </c>
      <c r="K73" s="1161">
        <v>7741938</v>
      </c>
      <c r="L73" s="1161">
        <v>0</v>
      </c>
      <c r="M73" s="1161">
        <v>0</v>
      </c>
      <c r="N73" s="1161">
        <v>0</v>
      </c>
      <c r="O73" s="1161">
        <v>0</v>
      </c>
      <c r="P73" s="1161">
        <v>0</v>
      </c>
      <c r="Q73" s="1161">
        <v>0</v>
      </c>
      <c r="R73" s="1161">
        <v>0</v>
      </c>
      <c r="S73" s="1161">
        <v>0</v>
      </c>
      <c r="T73" s="1161">
        <v>0</v>
      </c>
      <c r="U73" s="1161">
        <v>909509.66351398604</v>
      </c>
      <c r="V73" s="1161">
        <v>909509.66351398604</v>
      </c>
      <c r="W73" s="1161">
        <v>909517.64</v>
      </c>
      <c r="X73" s="1161">
        <v>4433250</v>
      </c>
      <c r="Y73" s="1161">
        <v>0</v>
      </c>
      <c r="Z73" s="1161">
        <v>0</v>
      </c>
      <c r="AA73" s="1161">
        <v>0</v>
      </c>
      <c r="AB73" s="1161">
        <v>0</v>
      </c>
      <c r="AC73" s="1161">
        <v>-34417.58</v>
      </c>
      <c r="AD73" s="1161">
        <v>-34422.28</v>
      </c>
      <c r="AE73" s="1161">
        <v>0</v>
      </c>
      <c r="AF73" s="1161">
        <v>3384130</v>
      </c>
      <c r="AG73" s="1161">
        <v>867476</v>
      </c>
      <c r="AH73" s="1161">
        <v>555912</v>
      </c>
      <c r="AI73" s="1161">
        <v>233591</v>
      </c>
      <c r="AJ73" s="1161">
        <v>968218</v>
      </c>
      <c r="AK73" s="1161">
        <v>758933</v>
      </c>
      <c r="AL73" s="1161">
        <v>0</v>
      </c>
      <c r="AM73" s="1161">
        <v>0</v>
      </c>
      <c r="AN73" s="1161">
        <v>1000.53333333333</v>
      </c>
      <c r="AO73" s="1161">
        <v>2.9</v>
      </c>
      <c r="AP73" s="1161">
        <v>0.125</v>
      </c>
      <c r="AQ73" s="1161">
        <v>0</v>
      </c>
      <c r="AR73" s="1161">
        <v>0</v>
      </c>
      <c r="AS73" s="524"/>
      <c r="AU73" s="226">
        <f t="shared" si="18"/>
        <v>-7.9764860139694065</v>
      </c>
      <c r="AV73" s="129">
        <f t="shared" si="19"/>
        <v>-8.7700179338681178E-6</v>
      </c>
      <c r="AW73" s="226">
        <f t="shared" si="20"/>
        <v>-4.6999999999970896</v>
      </c>
      <c r="AX73" s="226">
        <f t="shared" si="21"/>
        <v>-75442</v>
      </c>
    </row>
    <row r="74" spans="1:50">
      <c r="A74" s="1160" t="s">
        <v>1283</v>
      </c>
      <c r="B74" s="1161">
        <v>163019</v>
      </c>
      <c r="C74" s="1161">
        <v>10819.46</v>
      </c>
      <c r="D74" s="1161">
        <v>-17474</v>
      </c>
      <c r="E74" s="1161">
        <v>0</v>
      </c>
      <c r="F74" s="1161">
        <v>100.7</v>
      </c>
      <c r="G74" s="1161">
        <v>100.7</v>
      </c>
      <c r="H74" s="1161">
        <v>0</v>
      </c>
      <c r="I74" s="1161">
        <v>0.17499999999999999</v>
      </c>
      <c r="J74" s="1161">
        <v>0</v>
      </c>
      <c r="K74" s="1161">
        <v>97545</v>
      </c>
      <c r="L74" s="1161">
        <v>0</v>
      </c>
      <c r="M74" s="1161">
        <v>0</v>
      </c>
      <c r="N74" s="1161">
        <v>0</v>
      </c>
      <c r="O74" s="1161">
        <v>0</v>
      </c>
      <c r="P74" s="1161">
        <v>0</v>
      </c>
      <c r="Q74" s="1161">
        <v>0</v>
      </c>
      <c r="R74" s="1161">
        <v>0</v>
      </c>
      <c r="S74" s="1161">
        <v>0</v>
      </c>
      <c r="T74" s="1161">
        <v>0</v>
      </c>
      <c r="U74" s="1161">
        <v>11240.884786000001</v>
      </c>
      <c r="V74" s="1161">
        <v>11240.884786000001</v>
      </c>
      <c r="W74" s="1161">
        <v>11240.85</v>
      </c>
      <c r="X74" s="1161">
        <v>48000</v>
      </c>
      <c r="Y74" s="1161">
        <v>0</v>
      </c>
      <c r="Z74" s="1161">
        <v>0</v>
      </c>
      <c r="AA74" s="1161">
        <v>0</v>
      </c>
      <c r="AB74" s="1161">
        <v>0</v>
      </c>
      <c r="AC74" s="1161">
        <v>-421.39</v>
      </c>
      <c r="AD74" s="1161">
        <v>-421.39</v>
      </c>
      <c r="AE74" s="1161">
        <v>0</v>
      </c>
      <c r="AF74" s="1161">
        <v>50088</v>
      </c>
      <c r="AG74" s="1161">
        <v>11948</v>
      </c>
      <c r="AH74" s="1161">
        <v>10326</v>
      </c>
      <c r="AI74" s="1161">
        <v>1829</v>
      </c>
      <c r="AJ74" s="1161">
        <v>14976</v>
      </c>
      <c r="AK74" s="1161">
        <v>11009</v>
      </c>
      <c r="AL74" s="1161">
        <v>0</v>
      </c>
      <c r="AM74" s="1161">
        <v>0</v>
      </c>
      <c r="AN74" s="1161">
        <v>12</v>
      </c>
      <c r="AO74" s="1161">
        <v>0</v>
      </c>
      <c r="AP74" s="1161">
        <v>0</v>
      </c>
      <c r="AQ74" s="1161">
        <v>0</v>
      </c>
      <c r="AR74" s="1161">
        <v>0</v>
      </c>
      <c r="AS74" s="524"/>
      <c r="AU74" s="226">
        <f t="shared" si="18"/>
        <v>3.4786000000167405E-2</v>
      </c>
      <c r="AV74" s="129">
        <f t="shared" si="19"/>
        <v>3.0946058349828887E-6</v>
      </c>
      <c r="AW74" s="226">
        <f t="shared" si="20"/>
        <v>0</v>
      </c>
      <c r="AX74" s="226">
        <f t="shared" si="21"/>
        <v>-543</v>
      </c>
    </row>
    <row r="75" spans="1:50">
      <c r="A75" s="374"/>
      <c r="B75" s="373"/>
      <c r="C75" s="373"/>
      <c r="D75" s="373"/>
      <c r="E75" s="373"/>
      <c r="F75" s="373"/>
      <c r="G75" s="373"/>
      <c r="H75" s="373"/>
      <c r="I75" s="373"/>
      <c r="J75" s="373"/>
      <c r="K75" s="373"/>
      <c r="L75" s="373"/>
      <c r="M75" s="373"/>
      <c r="N75" s="373"/>
      <c r="O75" s="373"/>
      <c r="P75" s="373"/>
      <c r="Q75" s="373"/>
      <c r="R75" s="373"/>
      <c r="S75" s="373"/>
      <c r="T75" s="373"/>
      <c r="U75" s="373"/>
      <c r="V75" s="373"/>
      <c r="W75" s="373"/>
      <c r="X75" s="373"/>
      <c r="Y75" s="373"/>
      <c r="Z75" s="373"/>
      <c r="AA75" s="373"/>
      <c r="AB75" s="373"/>
      <c r="AC75" s="373"/>
      <c r="AD75" s="373"/>
      <c r="AE75" s="373"/>
      <c r="AF75" s="373"/>
      <c r="AG75" s="373"/>
      <c r="AH75" s="373"/>
      <c r="AI75" s="373"/>
      <c r="AJ75" s="373"/>
      <c r="AK75" s="373"/>
      <c r="AL75" s="553"/>
      <c r="AM75" s="553"/>
      <c r="AN75" s="895"/>
      <c r="AO75" s="895"/>
      <c r="AP75" s="895"/>
      <c r="AQ75" s="895"/>
      <c r="AR75" s="895"/>
      <c r="AS75" s="524"/>
      <c r="AU75" s="226"/>
      <c r="AW75" s="226"/>
      <c r="AX75" s="226"/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Schedule 2 Billing Determinants
12 Months Ending September 2005&amp;R&amp;"Arial"&amp;8Date: 12/8/2005</oddHeader>
    <oddFooter>&amp;L&amp;C&amp;"Arial"&amp;10Page &amp;P&amp;R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125"/>
  <sheetViews>
    <sheetView workbookViewId="0">
      <pane xSplit="1" ySplit="1" topLeftCell="B2" activePane="bottomRight" state="frozen"/>
      <selection activeCell="W28" sqref="W28"/>
      <selection pane="topRight" activeCell="W28" sqref="W28"/>
      <selection pane="bottomLeft" activeCell="W28" sqref="W28"/>
      <selection pane="bottomRight" activeCell="G22" sqref="G22"/>
    </sheetView>
  </sheetViews>
  <sheetFormatPr defaultColWidth="8" defaultRowHeight="12.75"/>
  <cols>
    <col min="1" max="1" width="15.625" style="122" customWidth="1"/>
    <col min="2" max="3" width="11.75" style="122" bestFit="1" customWidth="1"/>
    <col min="4" max="5" width="11.75" style="122" customWidth="1"/>
    <col min="6" max="8" width="11.75" style="122" bestFit="1" customWidth="1"/>
    <col min="9" max="9" width="10.25" style="122" bestFit="1" customWidth="1"/>
    <col min="10" max="10" width="12.125" style="122" customWidth="1"/>
    <col min="11" max="11" width="9.25" style="122" bestFit="1" customWidth="1"/>
    <col min="12" max="12" width="11.125" style="122" bestFit="1" customWidth="1"/>
    <col min="13" max="13" width="11.75" style="122" bestFit="1" customWidth="1"/>
    <col min="14" max="14" width="11.125" style="122" bestFit="1" customWidth="1"/>
    <col min="15" max="15" width="11.75" style="122" bestFit="1" customWidth="1"/>
    <col min="16" max="16" width="9.125" style="122" bestFit="1" customWidth="1"/>
    <col min="17" max="21" width="8" style="122"/>
    <col min="22" max="22" width="5.625" style="122" customWidth="1"/>
    <col min="23" max="23" width="8" style="122"/>
    <col min="24" max="26" width="10.25" style="122" bestFit="1" customWidth="1"/>
    <col min="27" max="28" width="11.125" style="122" bestFit="1" customWidth="1"/>
    <col min="29" max="29" width="10.25" style="122" bestFit="1" customWidth="1"/>
    <col min="30" max="30" width="11.125" style="122" bestFit="1" customWidth="1"/>
    <col min="31" max="32" width="10.25" style="122" bestFit="1" customWidth="1"/>
    <col min="33" max="33" width="10.625" style="122" bestFit="1" customWidth="1"/>
    <col min="34" max="34" width="11.625" style="122" bestFit="1" customWidth="1"/>
    <col min="35" max="35" width="10.625" style="122" bestFit="1" customWidth="1"/>
    <col min="36" max="36" width="11.625" style="122" bestFit="1" customWidth="1"/>
    <col min="37" max="37" width="5.625" style="122" bestFit="1" customWidth="1"/>
    <col min="38" max="40" width="8.25" style="122" bestFit="1" customWidth="1"/>
    <col min="41" max="42" width="8.75" style="122" bestFit="1" customWidth="1"/>
    <col min="43" max="16384" width="8" style="122"/>
  </cols>
  <sheetData>
    <row r="1" spans="1:23" ht="25.5">
      <c r="A1" s="876" t="s">
        <v>1284</v>
      </c>
      <c r="B1" s="876" t="s">
        <v>70</v>
      </c>
      <c r="C1" s="876" t="s">
        <v>626</v>
      </c>
      <c r="D1" s="876" t="s">
        <v>640</v>
      </c>
      <c r="E1" s="876" t="s">
        <v>641</v>
      </c>
      <c r="F1" s="1176" t="s">
        <v>622</v>
      </c>
      <c r="G1" s="1176" t="s">
        <v>623</v>
      </c>
      <c r="H1" s="1176" t="s">
        <v>624</v>
      </c>
      <c r="I1" s="1176" t="s">
        <v>625</v>
      </c>
      <c r="J1" s="1176" t="s">
        <v>650</v>
      </c>
      <c r="K1" s="1176" t="s">
        <v>649</v>
      </c>
      <c r="L1" s="876" t="s">
        <v>1153</v>
      </c>
      <c r="M1" s="876" t="s">
        <v>1154</v>
      </c>
      <c r="N1" s="876" t="s">
        <v>1155</v>
      </c>
      <c r="O1" s="876" t="s">
        <v>1156</v>
      </c>
      <c r="P1" s="876" t="s">
        <v>1222</v>
      </c>
      <c r="Q1" s="1166" t="s">
        <v>1261</v>
      </c>
      <c r="R1" s="1166" t="s">
        <v>1262</v>
      </c>
      <c r="S1" s="1166" t="s">
        <v>1285</v>
      </c>
      <c r="T1" s="876" t="s">
        <v>1263</v>
      </c>
      <c r="U1" s="876" t="s">
        <v>1264</v>
      </c>
      <c r="V1" s="875"/>
      <c r="W1" s="122" t="s">
        <v>192</v>
      </c>
    </row>
    <row r="2" spans="1:23">
      <c r="A2" s="374" t="s">
        <v>1286</v>
      </c>
      <c r="B2" s="373"/>
      <c r="C2" s="373">
        <f>SUMIF($A$25:$A$48,$A2,X$25:X$48)</f>
        <v>12487.014669926652</v>
      </c>
      <c r="D2" s="373">
        <f t="shared" ref="D2:O13" si="0">SUMIF($A$25:$A$48,$A2,Y$25:Y$48)</f>
        <v>6773.5799469587655</v>
      </c>
      <c r="E2" s="373">
        <f t="shared" si="0"/>
        <v>5713.4347229678842</v>
      </c>
      <c r="F2" s="373">
        <f t="shared" si="0"/>
        <v>-12487.014669926652</v>
      </c>
      <c r="G2" s="373">
        <f t="shared" si="0"/>
        <v>-7381.0699419463244</v>
      </c>
      <c r="H2" s="373">
        <f t="shared" si="0"/>
        <v>-4447.567785531759</v>
      </c>
      <c r="I2" s="373">
        <f t="shared" si="0"/>
        <v>-658.37694244856675</v>
      </c>
      <c r="J2" s="373">
        <f t="shared" si="0"/>
        <v>0</v>
      </c>
      <c r="K2" s="373">
        <f t="shared" si="0"/>
        <v>0</v>
      </c>
      <c r="L2" s="373">
        <f t="shared" si="0"/>
        <v>0</v>
      </c>
      <c r="M2" s="373">
        <f t="shared" si="0"/>
        <v>0</v>
      </c>
      <c r="N2" s="373">
        <f t="shared" si="0"/>
        <v>0</v>
      </c>
      <c r="O2" s="373">
        <f t="shared" si="0"/>
        <v>0</v>
      </c>
      <c r="P2" s="373">
        <f t="shared" ref="P2:P13" si="1">SUMIF($A$25:$A$48,$A2,AK$25:AK$48)</f>
        <v>0</v>
      </c>
      <c r="Q2" s="373">
        <f t="shared" ref="Q2:Q13" si="2">SUMIF($A$25:$A$48,$A2,AL$25:AL$48)</f>
        <v>0</v>
      </c>
      <c r="R2" s="373">
        <f t="shared" ref="R2:R13" si="3">SUMIF($A$25:$A$48,$A2,AM$25:AM$48)</f>
        <v>0</v>
      </c>
      <c r="S2" s="373">
        <f t="shared" ref="S2:S13" si="4">SUMIF($A$25:$A$48,$A2,AN$25:AN$48)</f>
        <v>0</v>
      </c>
      <c r="T2" s="373">
        <f>SUMIF($A$25:$A$48,$A2,AO$25:AO$48)</f>
        <v>0</v>
      </c>
      <c r="U2" s="373">
        <f t="shared" ref="U2:U13" si="5">SUMIF($A$25:$A$48,$A2,AP$25:AP$48)</f>
        <v>0</v>
      </c>
      <c r="V2" s="524"/>
      <c r="W2" s="860">
        <v>136</v>
      </c>
    </row>
    <row r="3" spans="1:23">
      <c r="A3" s="374" t="s">
        <v>1273</v>
      </c>
      <c r="B3" s="373"/>
      <c r="C3" s="373">
        <f t="shared" ref="C3:C13" si="6">SUMIF($A$25:$A$48,$A3,X$25:X$48)</f>
        <v>1807592.2560513054</v>
      </c>
      <c r="D3" s="373">
        <f t="shared" si="0"/>
        <v>1312406.0244275192</v>
      </c>
      <c r="E3" s="373">
        <f t="shared" si="0"/>
        <v>495186.23162378615</v>
      </c>
      <c r="F3" s="373">
        <f t="shared" si="0"/>
        <v>-1807592.2560513054</v>
      </c>
      <c r="G3" s="373">
        <f t="shared" si="0"/>
        <v>-1380113.6213745326</v>
      </c>
      <c r="H3" s="373">
        <f t="shared" si="0"/>
        <v>-338829.7026190738</v>
      </c>
      <c r="I3" s="373">
        <f t="shared" si="0"/>
        <v>-88648.932057699072</v>
      </c>
      <c r="J3" s="373">
        <f t="shared" si="0"/>
        <v>0</v>
      </c>
      <c r="K3" s="373">
        <f t="shared" si="0"/>
        <v>0</v>
      </c>
      <c r="L3" s="373">
        <f t="shared" si="0"/>
        <v>0</v>
      </c>
      <c r="M3" s="373">
        <f t="shared" si="0"/>
        <v>0</v>
      </c>
      <c r="N3" s="373">
        <f t="shared" si="0"/>
        <v>0</v>
      </c>
      <c r="O3" s="373">
        <f t="shared" si="0"/>
        <v>0</v>
      </c>
      <c r="P3" s="373">
        <f t="shared" si="1"/>
        <v>0</v>
      </c>
      <c r="Q3" s="373">
        <f t="shared" si="2"/>
        <v>0</v>
      </c>
      <c r="R3" s="373">
        <f t="shared" si="3"/>
        <v>0</v>
      </c>
      <c r="S3" s="373">
        <f t="shared" si="4"/>
        <v>0</v>
      </c>
      <c r="T3" s="373">
        <f t="shared" ref="T3:T13" si="7">SUMIF($A$25:$A$48,$A3,AO$25:AO$48)</f>
        <v>0</v>
      </c>
      <c r="U3" s="373">
        <f t="shared" si="5"/>
        <v>0</v>
      </c>
      <c r="V3" s="524"/>
      <c r="W3" s="860">
        <v>136</v>
      </c>
    </row>
    <row r="4" spans="1:23">
      <c r="A4" s="374" t="s">
        <v>1274</v>
      </c>
      <c r="B4" s="373"/>
      <c r="C4" s="373">
        <f t="shared" si="6"/>
        <v>1296.4178272980503</v>
      </c>
      <c r="D4" s="373">
        <f t="shared" si="0"/>
        <v>1014.2773084094938</v>
      </c>
      <c r="E4" s="373">
        <f t="shared" si="0"/>
        <v>282.14051888855641</v>
      </c>
      <c r="F4" s="373">
        <f t="shared" si="0"/>
        <v>-1296.4178272980503</v>
      </c>
      <c r="G4" s="373">
        <f t="shared" si="0"/>
        <v>-898.77706514360625</v>
      </c>
      <c r="H4" s="373">
        <f t="shared" si="0"/>
        <v>-397.64076215444396</v>
      </c>
      <c r="I4" s="373">
        <f t="shared" si="0"/>
        <v>0</v>
      </c>
      <c r="J4" s="373">
        <f t="shared" si="0"/>
        <v>-159.98607242339833</v>
      </c>
      <c r="K4" s="373">
        <f t="shared" si="0"/>
        <v>-1278.1587743732591</v>
      </c>
      <c r="L4" s="373">
        <f t="shared" si="0"/>
        <v>0</v>
      </c>
      <c r="M4" s="373">
        <f t="shared" si="0"/>
        <v>0</v>
      </c>
      <c r="N4" s="373">
        <f t="shared" si="0"/>
        <v>0</v>
      </c>
      <c r="O4" s="373">
        <f t="shared" si="0"/>
        <v>0</v>
      </c>
      <c r="P4" s="373">
        <f t="shared" si="1"/>
        <v>0</v>
      </c>
      <c r="Q4" s="373">
        <f t="shared" si="2"/>
        <v>0</v>
      </c>
      <c r="R4" s="373">
        <f t="shared" si="3"/>
        <v>0</v>
      </c>
      <c r="S4" s="373">
        <f t="shared" si="4"/>
        <v>0</v>
      </c>
      <c r="T4" s="373">
        <f t="shared" si="7"/>
        <v>0</v>
      </c>
      <c r="U4" s="373">
        <f t="shared" si="5"/>
        <v>0</v>
      </c>
      <c r="V4" s="524"/>
      <c r="W4" s="860">
        <v>136</v>
      </c>
    </row>
    <row r="5" spans="1:23">
      <c r="A5" s="374" t="s">
        <v>1275</v>
      </c>
      <c r="B5" s="373"/>
      <c r="C5" s="373">
        <f t="shared" si="6"/>
        <v>13530.799769850404</v>
      </c>
      <c r="D5" s="373">
        <f t="shared" si="0"/>
        <v>10220.095553214382</v>
      </c>
      <c r="E5" s="373">
        <f t="shared" si="0"/>
        <v>3310.7042166360206</v>
      </c>
      <c r="F5" s="373">
        <f t="shared" si="0"/>
        <v>-13530.799769850404</v>
      </c>
      <c r="G5" s="373">
        <f t="shared" si="0"/>
        <v>-10443.10272934675</v>
      </c>
      <c r="H5" s="373">
        <f t="shared" si="0"/>
        <v>-3009.029599981267</v>
      </c>
      <c r="I5" s="373">
        <f t="shared" si="0"/>
        <v>-78.667440522385732</v>
      </c>
      <c r="J5" s="373">
        <f t="shared" si="0"/>
        <v>0</v>
      </c>
      <c r="K5" s="373">
        <f t="shared" si="0"/>
        <v>0</v>
      </c>
      <c r="L5" s="373">
        <f t="shared" si="0"/>
        <v>0</v>
      </c>
      <c r="M5" s="373">
        <f t="shared" si="0"/>
        <v>0</v>
      </c>
      <c r="N5" s="373">
        <f t="shared" si="0"/>
        <v>0</v>
      </c>
      <c r="O5" s="373">
        <f t="shared" si="0"/>
        <v>0</v>
      </c>
      <c r="P5" s="373">
        <f t="shared" si="1"/>
        <v>0</v>
      </c>
      <c r="Q5" s="373">
        <f t="shared" si="2"/>
        <v>0</v>
      </c>
      <c r="R5" s="373">
        <f t="shared" si="3"/>
        <v>0</v>
      </c>
      <c r="S5" s="373">
        <f t="shared" si="4"/>
        <v>0</v>
      </c>
      <c r="T5" s="373">
        <f t="shared" si="7"/>
        <v>0</v>
      </c>
      <c r="U5" s="373">
        <f t="shared" si="5"/>
        <v>0</v>
      </c>
      <c r="V5" s="524"/>
      <c r="W5" s="860">
        <v>136</v>
      </c>
    </row>
    <row r="6" spans="1:23">
      <c r="A6" s="374" t="s">
        <v>1276</v>
      </c>
      <c r="B6" s="373"/>
      <c r="C6" s="373">
        <f t="shared" si="6"/>
        <v>3090967.3950715181</v>
      </c>
      <c r="D6" s="373">
        <f t="shared" si="0"/>
        <v>2023034.6898346425</v>
      </c>
      <c r="E6" s="373">
        <f t="shared" si="0"/>
        <v>1067932.7052368757</v>
      </c>
      <c r="F6" s="373">
        <f t="shared" si="0"/>
        <v>-3090967.3950715181</v>
      </c>
      <c r="G6" s="373">
        <f t="shared" si="0"/>
        <v>-1891236.6525806948</v>
      </c>
      <c r="H6" s="373">
        <f t="shared" si="0"/>
        <v>-753328.50603356329</v>
      </c>
      <c r="I6" s="373">
        <f t="shared" si="0"/>
        <v>-446402.23645726003</v>
      </c>
      <c r="J6" s="373">
        <f t="shared" si="0"/>
        <v>-565.9850285590494</v>
      </c>
      <c r="K6" s="373">
        <f t="shared" si="0"/>
        <v>-7521.9070331826224</v>
      </c>
      <c r="L6" s="373">
        <f t="shared" si="0"/>
        <v>0</v>
      </c>
      <c r="M6" s="373">
        <f t="shared" si="0"/>
        <v>0</v>
      </c>
      <c r="N6" s="373">
        <f t="shared" si="0"/>
        <v>0</v>
      </c>
      <c r="O6" s="373">
        <f t="shared" si="0"/>
        <v>0</v>
      </c>
      <c r="P6" s="373">
        <f t="shared" si="1"/>
        <v>0</v>
      </c>
      <c r="Q6" s="373">
        <f t="shared" si="2"/>
        <v>0</v>
      </c>
      <c r="R6" s="373">
        <f t="shared" si="3"/>
        <v>0</v>
      </c>
      <c r="S6" s="373">
        <f t="shared" si="4"/>
        <v>0</v>
      </c>
      <c r="T6" s="373">
        <f t="shared" si="7"/>
        <v>0</v>
      </c>
      <c r="U6" s="373">
        <f t="shared" si="5"/>
        <v>0</v>
      </c>
      <c r="V6" s="524"/>
      <c r="W6" s="860">
        <v>135</v>
      </c>
    </row>
    <row r="7" spans="1:23">
      <c r="A7" s="374" t="s">
        <v>1277</v>
      </c>
      <c r="B7" s="373"/>
      <c r="C7" s="373">
        <f t="shared" si="6"/>
        <v>53257.014298142749</v>
      </c>
      <c r="D7" s="373">
        <f t="shared" si="0"/>
        <v>39666.945297750135</v>
      </c>
      <c r="E7" s="373">
        <f t="shared" si="0"/>
        <v>13590.069000392614</v>
      </c>
      <c r="F7" s="373">
        <f t="shared" si="0"/>
        <v>-53257.014298142749</v>
      </c>
      <c r="G7" s="373">
        <f t="shared" si="0"/>
        <v>-39936.258988293783</v>
      </c>
      <c r="H7" s="373">
        <f t="shared" si="0"/>
        <v>-11276.609727353598</v>
      </c>
      <c r="I7" s="373">
        <f t="shared" si="0"/>
        <v>-2044.1455824953719</v>
      </c>
      <c r="J7" s="373">
        <f t="shared" si="0"/>
        <v>0</v>
      </c>
      <c r="K7" s="373">
        <f t="shared" si="0"/>
        <v>0</v>
      </c>
      <c r="L7" s="373">
        <f t="shared" si="0"/>
        <v>0</v>
      </c>
      <c r="M7" s="373">
        <f t="shared" si="0"/>
        <v>0</v>
      </c>
      <c r="N7" s="373">
        <f t="shared" si="0"/>
        <v>0</v>
      </c>
      <c r="O7" s="373">
        <f t="shared" si="0"/>
        <v>0</v>
      </c>
      <c r="P7" s="373">
        <f t="shared" si="1"/>
        <v>0</v>
      </c>
      <c r="Q7" s="373">
        <f t="shared" si="2"/>
        <v>0</v>
      </c>
      <c r="R7" s="373">
        <f t="shared" si="3"/>
        <v>0</v>
      </c>
      <c r="S7" s="373">
        <f t="shared" si="4"/>
        <v>0</v>
      </c>
      <c r="T7" s="373">
        <f t="shared" si="7"/>
        <v>0</v>
      </c>
      <c r="U7" s="373">
        <f t="shared" si="5"/>
        <v>0</v>
      </c>
      <c r="V7" s="524"/>
      <c r="W7" s="860">
        <v>135</v>
      </c>
    </row>
    <row r="8" spans="1:23">
      <c r="A8" s="374" t="s">
        <v>1278</v>
      </c>
      <c r="B8" s="373"/>
      <c r="C8" s="373">
        <f t="shared" si="6"/>
        <v>418605277.5573864</v>
      </c>
      <c r="D8" s="373">
        <f t="shared" si="0"/>
        <v>272211771.41069049</v>
      </c>
      <c r="E8" s="373">
        <f t="shared" si="0"/>
        <v>146393506.14669591</v>
      </c>
      <c r="F8" s="373">
        <f t="shared" si="0"/>
        <v>-418605277.5573864</v>
      </c>
      <c r="G8" s="373">
        <f t="shared" si="0"/>
        <v>-269317043.02225828</v>
      </c>
      <c r="H8" s="373">
        <f t="shared" si="0"/>
        <v>-118842687.83401309</v>
      </c>
      <c r="I8" s="373">
        <f t="shared" si="0"/>
        <v>-30445546.701115057</v>
      </c>
      <c r="J8" s="373">
        <f t="shared" si="0"/>
        <v>0</v>
      </c>
      <c r="K8" s="373">
        <f t="shared" si="0"/>
        <v>0</v>
      </c>
      <c r="L8" s="373">
        <f t="shared" si="0"/>
        <v>0</v>
      </c>
      <c r="M8" s="373">
        <f t="shared" si="0"/>
        <v>0</v>
      </c>
      <c r="N8" s="373">
        <f t="shared" si="0"/>
        <v>0</v>
      </c>
      <c r="O8" s="373">
        <f t="shared" si="0"/>
        <v>0</v>
      </c>
      <c r="P8" s="373">
        <f t="shared" si="1"/>
        <v>0</v>
      </c>
      <c r="Q8" s="373">
        <f t="shared" si="2"/>
        <v>0</v>
      </c>
      <c r="R8" s="373">
        <f t="shared" si="3"/>
        <v>0</v>
      </c>
      <c r="S8" s="373">
        <f t="shared" si="4"/>
        <v>0</v>
      </c>
      <c r="T8" s="373">
        <f t="shared" si="7"/>
        <v>0</v>
      </c>
      <c r="U8" s="373">
        <f t="shared" si="5"/>
        <v>0</v>
      </c>
      <c r="V8" s="524"/>
      <c r="W8" s="860">
        <v>1</v>
      </c>
    </row>
    <row r="9" spans="1:23">
      <c r="A9" s="374" t="s">
        <v>1279</v>
      </c>
      <c r="B9" s="373"/>
      <c r="C9" s="373">
        <f t="shared" si="6"/>
        <v>194282.05947471241</v>
      </c>
      <c r="D9" s="373">
        <f t="shared" si="0"/>
        <v>128841.81895682955</v>
      </c>
      <c r="E9" s="373">
        <f t="shared" si="0"/>
        <v>65440.240517882849</v>
      </c>
      <c r="F9" s="373">
        <f t="shared" si="0"/>
        <v>-194282.05947471241</v>
      </c>
      <c r="G9" s="373">
        <f t="shared" si="0"/>
        <v>-135758.42645754985</v>
      </c>
      <c r="H9" s="373">
        <f t="shared" si="0"/>
        <v>-53287.227170372294</v>
      </c>
      <c r="I9" s="373">
        <f t="shared" si="0"/>
        <v>-5236.4058467902323</v>
      </c>
      <c r="J9" s="373">
        <f t="shared" si="0"/>
        <v>-56580.938137616671</v>
      </c>
      <c r="K9" s="373">
        <f t="shared" si="0"/>
        <v>-167720.20668547862</v>
      </c>
      <c r="L9" s="373">
        <f t="shared" si="0"/>
        <v>0</v>
      </c>
      <c r="M9" s="373">
        <f t="shared" si="0"/>
        <v>0</v>
      </c>
      <c r="N9" s="373">
        <f t="shared" si="0"/>
        <v>0</v>
      </c>
      <c r="O9" s="373">
        <f t="shared" si="0"/>
        <v>0</v>
      </c>
      <c r="P9" s="373">
        <f t="shared" si="1"/>
        <v>0</v>
      </c>
      <c r="Q9" s="373">
        <f t="shared" si="2"/>
        <v>0</v>
      </c>
      <c r="R9" s="373">
        <f t="shared" si="3"/>
        <v>0</v>
      </c>
      <c r="S9" s="373">
        <f t="shared" si="4"/>
        <v>0</v>
      </c>
      <c r="T9" s="373">
        <f t="shared" si="7"/>
        <v>0</v>
      </c>
      <c r="U9" s="373">
        <f t="shared" si="5"/>
        <v>0</v>
      </c>
      <c r="V9" s="524"/>
      <c r="W9" s="860">
        <v>2</v>
      </c>
    </row>
    <row r="10" spans="1:23">
      <c r="A10" s="374" t="s">
        <v>1280</v>
      </c>
      <c r="B10" s="373"/>
      <c r="C10" s="373">
        <f t="shared" si="6"/>
        <v>11084488.06559176</v>
      </c>
      <c r="D10" s="373">
        <f t="shared" si="0"/>
        <v>7909204.4192286581</v>
      </c>
      <c r="E10" s="373">
        <f t="shared" si="0"/>
        <v>3175283.6463631005</v>
      </c>
      <c r="F10" s="373">
        <f t="shared" si="0"/>
        <v>-11084488.06559176</v>
      </c>
      <c r="G10" s="373">
        <f t="shared" si="0"/>
        <v>-7909895.6366827898</v>
      </c>
      <c r="H10" s="373">
        <f t="shared" si="0"/>
        <v>-2841321.1982880505</v>
      </c>
      <c r="I10" s="373">
        <f t="shared" si="0"/>
        <v>-333271.23062091903</v>
      </c>
      <c r="J10" s="373">
        <f t="shared" si="0"/>
        <v>-1662.9476385135906</v>
      </c>
      <c r="K10" s="373">
        <f t="shared" si="0"/>
        <v>-6476.0617413363598</v>
      </c>
      <c r="L10" s="373">
        <f t="shared" si="0"/>
        <v>0</v>
      </c>
      <c r="M10" s="373">
        <f t="shared" si="0"/>
        <v>0</v>
      </c>
      <c r="N10" s="373">
        <f t="shared" si="0"/>
        <v>0</v>
      </c>
      <c r="O10" s="373">
        <f t="shared" si="0"/>
        <v>0</v>
      </c>
      <c r="P10" s="373">
        <f t="shared" si="1"/>
        <v>0</v>
      </c>
      <c r="Q10" s="373">
        <f t="shared" si="2"/>
        <v>0</v>
      </c>
      <c r="R10" s="373">
        <f t="shared" si="3"/>
        <v>0</v>
      </c>
      <c r="S10" s="373">
        <f t="shared" si="4"/>
        <v>0</v>
      </c>
      <c r="T10" s="373">
        <f t="shared" si="7"/>
        <v>0</v>
      </c>
      <c r="U10" s="373">
        <f t="shared" si="5"/>
        <v>0</v>
      </c>
      <c r="V10" s="524"/>
      <c r="W10" s="860">
        <v>3</v>
      </c>
    </row>
    <row r="11" spans="1:23">
      <c r="A11" s="374" t="s">
        <v>1281</v>
      </c>
      <c r="B11" s="373"/>
      <c r="C11" s="373">
        <f t="shared" si="6"/>
        <v>0</v>
      </c>
      <c r="D11" s="373">
        <f t="shared" si="0"/>
        <v>0</v>
      </c>
      <c r="E11" s="373">
        <f t="shared" si="0"/>
        <v>0</v>
      </c>
      <c r="F11" s="373">
        <f t="shared" si="0"/>
        <v>0</v>
      </c>
      <c r="G11" s="373">
        <f t="shared" si="0"/>
        <v>0</v>
      </c>
      <c r="H11" s="373">
        <f t="shared" si="0"/>
        <v>0</v>
      </c>
      <c r="I11" s="373">
        <f t="shared" si="0"/>
        <v>0</v>
      </c>
      <c r="J11" s="373">
        <f t="shared" si="0"/>
        <v>0</v>
      </c>
      <c r="K11" s="373">
        <f t="shared" si="0"/>
        <v>0</v>
      </c>
      <c r="L11" s="373">
        <f t="shared" si="0"/>
        <v>0</v>
      </c>
      <c r="M11" s="373">
        <f t="shared" si="0"/>
        <v>0</v>
      </c>
      <c r="N11" s="373">
        <f t="shared" si="0"/>
        <v>0</v>
      </c>
      <c r="O11" s="373">
        <f t="shared" si="0"/>
        <v>0</v>
      </c>
      <c r="P11" s="373">
        <f t="shared" si="1"/>
        <v>0</v>
      </c>
      <c r="Q11" s="373">
        <f t="shared" si="2"/>
        <v>0</v>
      </c>
      <c r="R11" s="373">
        <f t="shared" si="3"/>
        <v>0</v>
      </c>
      <c r="S11" s="373">
        <f t="shared" si="4"/>
        <v>0</v>
      </c>
      <c r="T11" s="373">
        <f t="shared" si="7"/>
        <v>0</v>
      </c>
      <c r="U11" s="373">
        <f t="shared" si="5"/>
        <v>0</v>
      </c>
      <c r="V11" s="524"/>
      <c r="W11" s="860" t="s">
        <v>1118</v>
      </c>
    </row>
    <row r="12" spans="1:23">
      <c r="A12" s="374" t="s">
        <v>1282</v>
      </c>
      <c r="B12" s="373"/>
      <c r="C12" s="373">
        <f t="shared" si="6"/>
        <v>0</v>
      </c>
      <c r="D12" s="373">
        <f t="shared" si="0"/>
        <v>0</v>
      </c>
      <c r="E12" s="373">
        <f t="shared" si="0"/>
        <v>0</v>
      </c>
      <c r="F12" s="373">
        <f t="shared" si="0"/>
        <v>0</v>
      </c>
      <c r="G12" s="373">
        <f t="shared" si="0"/>
        <v>0</v>
      </c>
      <c r="H12" s="373">
        <f t="shared" si="0"/>
        <v>0</v>
      </c>
      <c r="I12" s="373">
        <f t="shared" si="0"/>
        <v>0</v>
      </c>
      <c r="J12" s="373">
        <f t="shared" si="0"/>
        <v>0</v>
      </c>
      <c r="K12" s="373">
        <f t="shared" si="0"/>
        <v>0</v>
      </c>
      <c r="L12" s="373">
        <f t="shared" si="0"/>
        <v>0</v>
      </c>
      <c r="M12" s="373">
        <f t="shared" si="0"/>
        <v>0</v>
      </c>
      <c r="N12" s="373">
        <f t="shared" si="0"/>
        <v>0</v>
      </c>
      <c r="O12" s="373">
        <f t="shared" si="0"/>
        <v>0</v>
      </c>
      <c r="P12" s="373">
        <f t="shared" si="1"/>
        <v>0</v>
      </c>
      <c r="Q12" s="373">
        <f t="shared" si="2"/>
        <v>-417670.94974032958</v>
      </c>
      <c r="R12" s="373">
        <f t="shared" si="3"/>
        <v>-95983.174640331796</v>
      </c>
      <c r="S12" s="373">
        <f t="shared" si="4"/>
        <v>-40167.336866874568</v>
      </c>
      <c r="T12" s="373">
        <f t="shared" si="7"/>
        <v>409341.70475126599</v>
      </c>
      <c r="U12" s="373">
        <f t="shared" si="5"/>
        <v>144479.75649626995</v>
      </c>
      <c r="V12" s="524"/>
      <c r="W12" s="860">
        <v>1</v>
      </c>
    </row>
    <row r="13" spans="1:23">
      <c r="A13" s="374" t="s">
        <v>1283</v>
      </c>
      <c r="B13" s="373"/>
      <c r="C13" s="373">
        <f t="shared" si="6"/>
        <v>0</v>
      </c>
      <c r="D13" s="373">
        <f t="shared" si="0"/>
        <v>0</v>
      </c>
      <c r="E13" s="373">
        <f t="shared" si="0"/>
        <v>0</v>
      </c>
      <c r="F13" s="373">
        <f t="shared" si="0"/>
        <v>0</v>
      </c>
      <c r="G13" s="373">
        <f t="shared" si="0"/>
        <v>0</v>
      </c>
      <c r="H13" s="373">
        <f t="shared" si="0"/>
        <v>0</v>
      </c>
      <c r="I13" s="373">
        <f t="shared" si="0"/>
        <v>0</v>
      </c>
      <c r="J13" s="373">
        <f t="shared" si="0"/>
        <v>0</v>
      </c>
      <c r="K13" s="373">
        <f t="shared" si="0"/>
        <v>0</v>
      </c>
      <c r="L13" s="373">
        <f t="shared" si="0"/>
        <v>0</v>
      </c>
      <c r="M13" s="373">
        <f t="shared" si="0"/>
        <v>0</v>
      </c>
      <c r="N13" s="373">
        <f t="shared" si="0"/>
        <v>0</v>
      </c>
      <c r="O13" s="373">
        <f t="shared" si="0"/>
        <v>0</v>
      </c>
      <c r="P13" s="373">
        <f t="shared" si="1"/>
        <v>0</v>
      </c>
      <c r="Q13" s="373">
        <f t="shared" si="2"/>
        <v>-3931.9434834897761</v>
      </c>
      <c r="R13" s="373">
        <f t="shared" si="3"/>
        <v>-1061.7617420573436</v>
      </c>
      <c r="S13" s="373">
        <f t="shared" si="4"/>
        <v>0</v>
      </c>
      <c r="T13" s="373">
        <f t="shared" si="7"/>
        <v>3882.0554372323959</v>
      </c>
      <c r="U13" s="373">
        <f t="shared" si="5"/>
        <v>1111.6497883147231</v>
      </c>
      <c r="V13" s="524"/>
      <c r="W13" s="860">
        <v>3</v>
      </c>
    </row>
    <row r="15" spans="1:23">
      <c r="A15" s="126">
        <v>1</v>
      </c>
      <c r="B15" s="338">
        <f t="shared" ref="B15:K20" si="8">SUMIF($W$2:$W$13,$A15,B$2:B$13)</f>
        <v>0</v>
      </c>
      <c r="C15" s="338">
        <f t="shared" si="8"/>
        <v>418605277.5573864</v>
      </c>
      <c r="D15" s="338">
        <f t="shared" si="8"/>
        <v>272211771.41069049</v>
      </c>
      <c r="E15" s="338">
        <f t="shared" si="8"/>
        <v>146393506.14669591</v>
      </c>
      <c r="F15" s="338">
        <f t="shared" si="8"/>
        <v>-418605277.5573864</v>
      </c>
      <c r="G15" s="338">
        <f t="shared" si="8"/>
        <v>-269317043.02225828</v>
      </c>
      <c r="H15" s="338">
        <f t="shared" si="8"/>
        <v>-118842687.83401309</v>
      </c>
      <c r="I15" s="338">
        <f t="shared" si="8"/>
        <v>-30445546.701115057</v>
      </c>
      <c r="J15" s="338">
        <f t="shared" si="8"/>
        <v>0</v>
      </c>
      <c r="K15" s="338">
        <f t="shared" si="8"/>
        <v>0</v>
      </c>
      <c r="L15" s="338">
        <f t="shared" ref="L15:U20" si="9">SUMIF($W$2:$W$13,$A15,L$2:L$13)</f>
        <v>0</v>
      </c>
      <c r="M15" s="338">
        <f t="shared" si="9"/>
        <v>0</v>
      </c>
      <c r="N15" s="338">
        <f t="shared" si="9"/>
        <v>0</v>
      </c>
      <c r="O15" s="338">
        <f t="shared" si="9"/>
        <v>0</v>
      </c>
      <c r="P15" s="338">
        <f t="shared" si="9"/>
        <v>0</v>
      </c>
      <c r="Q15" s="338">
        <f t="shared" si="9"/>
        <v>-417670.94974032958</v>
      </c>
      <c r="R15" s="338">
        <f t="shared" si="9"/>
        <v>-95983.174640331796</v>
      </c>
      <c r="S15" s="338">
        <f t="shared" si="9"/>
        <v>-40167.336866874568</v>
      </c>
      <c r="T15" s="338">
        <f t="shared" si="9"/>
        <v>409341.70475126599</v>
      </c>
      <c r="U15" s="338">
        <f t="shared" si="9"/>
        <v>144479.75649626995</v>
      </c>
      <c r="V15" s="338"/>
    </row>
    <row r="16" spans="1:23">
      <c r="A16" s="126">
        <v>2</v>
      </c>
      <c r="B16" s="338">
        <f t="shared" si="8"/>
        <v>0</v>
      </c>
      <c r="C16" s="338">
        <f t="shared" si="8"/>
        <v>194282.05947471241</v>
      </c>
      <c r="D16" s="338">
        <f t="shared" si="8"/>
        <v>128841.81895682955</v>
      </c>
      <c r="E16" s="338">
        <f t="shared" si="8"/>
        <v>65440.240517882849</v>
      </c>
      <c r="F16" s="338">
        <f t="shared" si="8"/>
        <v>-194282.05947471241</v>
      </c>
      <c r="G16" s="338">
        <f t="shared" si="8"/>
        <v>-135758.42645754985</v>
      </c>
      <c r="H16" s="338">
        <f t="shared" si="8"/>
        <v>-53287.227170372294</v>
      </c>
      <c r="I16" s="338">
        <f t="shared" si="8"/>
        <v>-5236.4058467902323</v>
      </c>
      <c r="J16" s="338">
        <f t="shared" si="8"/>
        <v>-56580.938137616671</v>
      </c>
      <c r="K16" s="338">
        <f t="shared" si="8"/>
        <v>-167720.20668547862</v>
      </c>
      <c r="L16" s="338">
        <f t="shared" si="9"/>
        <v>0</v>
      </c>
      <c r="M16" s="338">
        <f t="shared" si="9"/>
        <v>0</v>
      </c>
      <c r="N16" s="338">
        <f t="shared" si="9"/>
        <v>0</v>
      </c>
      <c r="O16" s="338">
        <f t="shared" si="9"/>
        <v>0</v>
      </c>
      <c r="P16" s="338">
        <f t="shared" si="9"/>
        <v>0</v>
      </c>
      <c r="Q16" s="338">
        <f t="shared" si="9"/>
        <v>0</v>
      </c>
      <c r="R16" s="338">
        <f t="shared" si="9"/>
        <v>0</v>
      </c>
      <c r="S16" s="338">
        <f t="shared" si="9"/>
        <v>0</v>
      </c>
      <c r="T16" s="338">
        <f t="shared" si="9"/>
        <v>0</v>
      </c>
      <c r="U16" s="338">
        <f t="shared" si="9"/>
        <v>0</v>
      </c>
      <c r="V16" s="338"/>
    </row>
    <row r="17" spans="1:42">
      <c r="A17" s="126" t="s">
        <v>1118</v>
      </c>
      <c r="B17" s="338">
        <f t="shared" si="8"/>
        <v>0</v>
      </c>
      <c r="C17" s="338">
        <f t="shared" si="8"/>
        <v>0</v>
      </c>
      <c r="D17" s="338">
        <f t="shared" si="8"/>
        <v>0</v>
      </c>
      <c r="E17" s="338">
        <f t="shared" si="8"/>
        <v>0</v>
      </c>
      <c r="F17" s="338">
        <f t="shared" si="8"/>
        <v>0</v>
      </c>
      <c r="G17" s="338">
        <f t="shared" si="8"/>
        <v>0</v>
      </c>
      <c r="H17" s="338">
        <f t="shared" si="8"/>
        <v>0</v>
      </c>
      <c r="I17" s="338">
        <f t="shared" si="8"/>
        <v>0</v>
      </c>
      <c r="J17" s="338">
        <f t="shared" si="8"/>
        <v>0</v>
      </c>
      <c r="K17" s="338">
        <f t="shared" si="8"/>
        <v>0</v>
      </c>
      <c r="L17" s="338">
        <f t="shared" si="9"/>
        <v>0</v>
      </c>
      <c r="M17" s="338">
        <f t="shared" si="9"/>
        <v>0</v>
      </c>
      <c r="N17" s="338">
        <f t="shared" si="9"/>
        <v>0</v>
      </c>
      <c r="O17" s="338">
        <f t="shared" si="9"/>
        <v>0</v>
      </c>
      <c r="P17" s="338">
        <f t="shared" si="9"/>
        <v>0</v>
      </c>
      <c r="Q17" s="338">
        <f t="shared" si="9"/>
        <v>0</v>
      </c>
      <c r="R17" s="338">
        <f t="shared" si="9"/>
        <v>0</v>
      </c>
      <c r="S17" s="338">
        <f t="shared" si="9"/>
        <v>0</v>
      </c>
      <c r="T17" s="338">
        <f t="shared" si="9"/>
        <v>0</v>
      </c>
      <c r="U17" s="338">
        <f t="shared" si="9"/>
        <v>0</v>
      </c>
      <c r="V17" s="338"/>
    </row>
    <row r="18" spans="1:42">
      <c r="A18" s="126">
        <v>3</v>
      </c>
      <c r="B18" s="338">
        <f t="shared" si="8"/>
        <v>0</v>
      </c>
      <c r="C18" s="338">
        <f t="shared" si="8"/>
        <v>11084488.06559176</v>
      </c>
      <c r="D18" s="338">
        <f t="shared" si="8"/>
        <v>7909204.4192286581</v>
      </c>
      <c r="E18" s="338">
        <f t="shared" si="8"/>
        <v>3175283.6463631005</v>
      </c>
      <c r="F18" s="338">
        <f t="shared" si="8"/>
        <v>-11084488.06559176</v>
      </c>
      <c r="G18" s="338">
        <f t="shared" si="8"/>
        <v>-7909895.6366827898</v>
      </c>
      <c r="H18" s="338">
        <f t="shared" si="8"/>
        <v>-2841321.1982880505</v>
      </c>
      <c r="I18" s="338">
        <f t="shared" si="8"/>
        <v>-333271.23062091903</v>
      </c>
      <c r="J18" s="338">
        <f t="shared" si="8"/>
        <v>-1662.9476385135906</v>
      </c>
      <c r="K18" s="338">
        <f t="shared" si="8"/>
        <v>-6476.0617413363598</v>
      </c>
      <c r="L18" s="338">
        <f t="shared" si="9"/>
        <v>0</v>
      </c>
      <c r="M18" s="338">
        <f t="shared" si="9"/>
        <v>0</v>
      </c>
      <c r="N18" s="338">
        <f t="shared" si="9"/>
        <v>0</v>
      </c>
      <c r="O18" s="338">
        <f t="shared" si="9"/>
        <v>0</v>
      </c>
      <c r="P18" s="338">
        <f t="shared" si="9"/>
        <v>0</v>
      </c>
      <c r="Q18" s="338">
        <f t="shared" si="9"/>
        <v>-3931.9434834897761</v>
      </c>
      <c r="R18" s="338">
        <f t="shared" si="9"/>
        <v>-1061.7617420573436</v>
      </c>
      <c r="S18" s="338">
        <f t="shared" si="9"/>
        <v>0</v>
      </c>
      <c r="T18" s="338">
        <f t="shared" si="9"/>
        <v>3882.0554372323959</v>
      </c>
      <c r="U18" s="338">
        <f t="shared" si="9"/>
        <v>1111.6497883147231</v>
      </c>
      <c r="V18" s="338"/>
    </row>
    <row r="19" spans="1:42">
      <c r="A19" s="126">
        <v>135</v>
      </c>
      <c r="B19" s="338">
        <f t="shared" si="8"/>
        <v>0</v>
      </c>
      <c r="C19" s="338">
        <f t="shared" si="8"/>
        <v>3144224.409369661</v>
      </c>
      <c r="D19" s="338">
        <f t="shared" si="8"/>
        <v>2062701.6351323926</v>
      </c>
      <c r="E19" s="338">
        <f t="shared" si="8"/>
        <v>1081522.7742372684</v>
      </c>
      <c r="F19" s="338">
        <f t="shared" si="8"/>
        <v>-3144224.409369661</v>
      </c>
      <c r="G19" s="338">
        <f t="shared" si="8"/>
        <v>-1931172.9115689886</v>
      </c>
      <c r="H19" s="338">
        <f t="shared" si="8"/>
        <v>-764605.11576091684</v>
      </c>
      <c r="I19" s="338">
        <f t="shared" si="8"/>
        <v>-448446.38203975541</v>
      </c>
      <c r="J19" s="338">
        <f t="shared" si="8"/>
        <v>-565.9850285590494</v>
      </c>
      <c r="K19" s="338">
        <f t="shared" si="8"/>
        <v>-7521.9070331826224</v>
      </c>
      <c r="L19" s="338">
        <f t="shared" si="9"/>
        <v>0</v>
      </c>
      <c r="M19" s="338">
        <f t="shared" si="9"/>
        <v>0</v>
      </c>
      <c r="N19" s="338">
        <f t="shared" si="9"/>
        <v>0</v>
      </c>
      <c r="O19" s="338">
        <f t="shared" si="9"/>
        <v>0</v>
      </c>
      <c r="P19" s="338">
        <f t="shared" si="9"/>
        <v>0</v>
      </c>
      <c r="Q19" s="338">
        <f t="shared" si="9"/>
        <v>0</v>
      </c>
      <c r="R19" s="338">
        <f t="shared" si="9"/>
        <v>0</v>
      </c>
      <c r="S19" s="338">
        <f t="shared" si="9"/>
        <v>0</v>
      </c>
      <c r="T19" s="338">
        <f t="shared" si="9"/>
        <v>0</v>
      </c>
      <c r="U19" s="338">
        <f t="shared" si="9"/>
        <v>0</v>
      </c>
      <c r="V19" s="338"/>
    </row>
    <row r="20" spans="1:42">
      <c r="A20" s="126">
        <v>136</v>
      </c>
      <c r="B20" s="338">
        <f t="shared" si="8"/>
        <v>0</v>
      </c>
      <c r="C20" s="338">
        <f t="shared" si="8"/>
        <v>1834906.4883183807</v>
      </c>
      <c r="D20" s="338">
        <f t="shared" si="8"/>
        <v>1330413.9772361019</v>
      </c>
      <c r="E20" s="338">
        <f t="shared" si="8"/>
        <v>504492.51108227862</v>
      </c>
      <c r="F20" s="338">
        <f t="shared" si="8"/>
        <v>-1834906.4883183807</v>
      </c>
      <c r="G20" s="338">
        <f t="shared" si="8"/>
        <v>-1398836.5711109694</v>
      </c>
      <c r="H20" s="338">
        <f t="shared" si="8"/>
        <v>-346683.94076674123</v>
      </c>
      <c r="I20" s="338">
        <f t="shared" si="8"/>
        <v>-89385.976440670027</v>
      </c>
      <c r="J20" s="338">
        <f t="shared" si="8"/>
        <v>-159.98607242339833</v>
      </c>
      <c r="K20" s="338">
        <f t="shared" si="8"/>
        <v>-1278.1587743732591</v>
      </c>
      <c r="L20" s="338">
        <f t="shared" si="9"/>
        <v>0</v>
      </c>
      <c r="M20" s="338">
        <f t="shared" si="9"/>
        <v>0</v>
      </c>
      <c r="N20" s="338">
        <f t="shared" si="9"/>
        <v>0</v>
      </c>
      <c r="O20" s="338">
        <f t="shared" si="9"/>
        <v>0</v>
      </c>
      <c r="P20" s="338">
        <f t="shared" si="9"/>
        <v>0</v>
      </c>
      <c r="Q20" s="338">
        <f t="shared" si="9"/>
        <v>0</v>
      </c>
      <c r="R20" s="338">
        <f t="shared" si="9"/>
        <v>0</v>
      </c>
      <c r="S20" s="338">
        <f t="shared" si="9"/>
        <v>0</v>
      </c>
      <c r="T20" s="338">
        <f t="shared" si="9"/>
        <v>0</v>
      </c>
      <c r="U20" s="338">
        <f t="shared" si="9"/>
        <v>0</v>
      </c>
      <c r="V20" s="338"/>
    </row>
    <row r="21" spans="1:42">
      <c r="A21" s="122" t="s">
        <v>93</v>
      </c>
      <c r="B21" s="338">
        <f t="shared" ref="B21:U21" si="10">SUM(B15:B20)</f>
        <v>0</v>
      </c>
      <c r="C21" s="338">
        <f t="shared" si="10"/>
        <v>434863178.58014089</v>
      </c>
      <c r="D21" s="338">
        <f t="shared" si="10"/>
        <v>283642933.26124448</v>
      </c>
      <c r="E21" s="338">
        <f t="shared" si="10"/>
        <v>151220245.31889647</v>
      </c>
      <c r="F21" s="338">
        <f t="shared" si="10"/>
        <v>-434863178.58014089</v>
      </c>
      <c r="G21" s="338">
        <f t="shared" si="10"/>
        <v>-280692706.56807858</v>
      </c>
      <c r="H21" s="338">
        <f t="shared" si="10"/>
        <v>-122848585.31599918</v>
      </c>
      <c r="I21" s="338">
        <f t="shared" si="10"/>
        <v>-31321886.696063194</v>
      </c>
      <c r="J21" s="338">
        <f t="shared" si="10"/>
        <v>-58969.85687711271</v>
      </c>
      <c r="K21" s="338">
        <f t="shared" si="10"/>
        <v>-182996.33423437088</v>
      </c>
      <c r="L21" s="338">
        <f t="shared" si="10"/>
        <v>0</v>
      </c>
      <c r="M21" s="338">
        <f t="shared" si="10"/>
        <v>0</v>
      </c>
      <c r="N21" s="338">
        <f t="shared" si="10"/>
        <v>0</v>
      </c>
      <c r="O21" s="338">
        <f t="shared" si="10"/>
        <v>0</v>
      </c>
      <c r="P21" s="338">
        <f t="shared" si="10"/>
        <v>0</v>
      </c>
      <c r="Q21" s="338">
        <f t="shared" si="10"/>
        <v>-421602.89322381938</v>
      </c>
      <c r="R21" s="338">
        <f t="shared" si="10"/>
        <v>-97044.936382389133</v>
      </c>
      <c r="S21" s="338">
        <f t="shared" si="10"/>
        <v>-40167.336866874568</v>
      </c>
      <c r="T21" s="338">
        <f t="shared" si="10"/>
        <v>413223.76018849836</v>
      </c>
      <c r="U21" s="338">
        <f t="shared" si="10"/>
        <v>145591.40628458466</v>
      </c>
      <c r="V21" s="338"/>
    </row>
    <row r="23" spans="1:42">
      <c r="A23" s="878" t="s">
        <v>1500</v>
      </c>
    </row>
    <row r="24" spans="1:42">
      <c r="A24" s="1164" t="s">
        <v>1284</v>
      </c>
      <c r="B24" s="1164" t="s">
        <v>70</v>
      </c>
      <c r="C24" s="1164" t="s">
        <v>626</v>
      </c>
      <c r="D24" s="1164" t="s">
        <v>640</v>
      </c>
      <c r="E24" s="1164" t="s">
        <v>641</v>
      </c>
      <c r="F24" s="1164" t="s">
        <v>622</v>
      </c>
      <c r="G24" s="1164" t="s">
        <v>623</v>
      </c>
      <c r="H24" s="1164" t="s">
        <v>624</v>
      </c>
      <c r="I24" s="1164" t="s">
        <v>625</v>
      </c>
      <c r="J24" s="1164" t="s">
        <v>650</v>
      </c>
      <c r="K24" s="1164" t="s">
        <v>649</v>
      </c>
      <c r="L24" s="1164" t="s">
        <v>1153</v>
      </c>
      <c r="M24" s="1164" t="s">
        <v>1154</v>
      </c>
      <c r="N24" s="1164" t="s">
        <v>1155</v>
      </c>
      <c r="O24" s="1164" t="s">
        <v>1156</v>
      </c>
      <c r="P24" s="1164" t="s">
        <v>1222</v>
      </c>
      <c r="Q24" s="1164" t="s">
        <v>1261</v>
      </c>
      <c r="R24" s="1164" t="s">
        <v>1262</v>
      </c>
      <c r="S24" s="1164" t="s">
        <v>1285</v>
      </c>
      <c r="T24" s="1164" t="s">
        <v>1263</v>
      </c>
      <c r="U24" s="1164" t="s">
        <v>1264</v>
      </c>
      <c r="V24" s="1164" t="s">
        <v>1479</v>
      </c>
      <c r="W24" s="1164" t="s">
        <v>70</v>
      </c>
      <c r="X24" s="1164" t="s">
        <v>626</v>
      </c>
      <c r="Y24" s="1164" t="s">
        <v>640</v>
      </c>
      <c r="Z24" s="1164" t="s">
        <v>641</v>
      </c>
      <c r="AA24" s="1164" t="s">
        <v>622</v>
      </c>
      <c r="AB24" s="1177" t="s">
        <v>623</v>
      </c>
      <c r="AC24" s="1177" t="s">
        <v>624</v>
      </c>
      <c r="AD24" s="1164" t="s">
        <v>625</v>
      </c>
      <c r="AE24" s="1164" t="s">
        <v>650</v>
      </c>
      <c r="AF24" s="1164" t="s">
        <v>649</v>
      </c>
      <c r="AG24" s="1164" t="s">
        <v>1153</v>
      </c>
      <c r="AH24" s="1164" t="s">
        <v>1154</v>
      </c>
      <c r="AI24" s="1164" t="s">
        <v>1155</v>
      </c>
      <c r="AJ24" s="1164" t="s">
        <v>1156</v>
      </c>
      <c r="AK24" s="1164" t="s">
        <v>1222</v>
      </c>
      <c r="AL24" s="1164" t="s">
        <v>1261</v>
      </c>
      <c r="AM24" s="1164" t="s">
        <v>1262</v>
      </c>
      <c r="AN24" s="1164" t="s">
        <v>1285</v>
      </c>
      <c r="AO24" s="1164" t="s">
        <v>1263</v>
      </c>
      <c r="AP24" s="1164" t="s">
        <v>1264</v>
      </c>
    </row>
    <row r="25" spans="1:42" s="1170" customFormat="1">
      <c r="A25" s="1167" t="s">
        <v>1286</v>
      </c>
      <c r="B25" s="1168">
        <f t="shared" ref="B25:K34" si="11">SUMIFS(B$52:B$125,$A$52:$A$125,$A25,$V$52:$V$125,$V25)</f>
        <v>11043</v>
      </c>
      <c r="C25" s="1168">
        <f t="shared" si="11"/>
        <v>4841</v>
      </c>
      <c r="D25" s="1168">
        <f t="shared" si="11"/>
        <v>2626</v>
      </c>
      <c r="E25" s="1168">
        <f t="shared" si="11"/>
        <v>2215</v>
      </c>
      <c r="F25" s="1168">
        <f t="shared" si="11"/>
        <v>6202</v>
      </c>
      <c r="G25" s="1168">
        <f t="shared" si="11"/>
        <v>3666</v>
      </c>
      <c r="H25" s="1168">
        <f t="shared" si="11"/>
        <v>2209</v>
      </c>
      <c r="I25" s="1168">
        <f t="shared" si="11"/>
        <v>327</v>
      </c>
      <c r="J25" s="1168">
        <f t="shared" si="11"/>
        <v>0</v>
      </c>
      <c r="K25" s="1168">
        <f t="shared" si="11"/>
        <v>0</v>
      </c>
      <c r="L25" s="1168">
        <f t="shared" ref="L25:U34" si="12">SUMIFS(L$52:L$125,$A$52:$A$125,$A25,$V$52:$V$125,$V25)</f>
        <v>0</v>
      </c>
      <c r="M25" s="1168">
        <f t="shared" si="12"/>
        <v>0</v>
      </c>
      <c r="N25" s="1168">
        <f t="shared" si="12"/>
        <v>0</v>
      </c>
      <c r="O25" s="1168">
        <f t="shared" si="12"/>
        <v>0</v>
      </c>
      <c r="P25" s="1168">
        <f t="shared" si="12"/>
        <v>0</v>
      </c>
      <c r="Q25" s="1168">
        <f t="shared" si="12"/>
        <v>0</v>
      </c>
      <c r="R25" s="1168">
        <f t="shared" si="12"/>
        <v>0</v>
      </c>
      <c r="S25" s="1168">
        <f t="shared" si="12"/>
        <v>0</v>
      </c>
      <c r="T25" s="1168">
        <f t="shared" si="12"/>
        <v>0</v>
      </c>
      <c r="U25" s="1168">
        <f t="shared" si="12"/>
        <v>0</v>
      </c>
      <c r="V25" s="1169" t="s">
        <v>1485</v>
      </c>
      <c r="X25" s="1175">
        <f>F25</f>
        <v>6202</v>
      </c>
      <c r="Y25" s="1175">
        <f>IF(C25=0,0,X25*D25/C25)</f>
        <v>3364.2743234868831</v>
      </c>
      <c r="Z25" s="1175">
        <f>X25-Y25</f>
        <v>2837.7256765131169</v>
      </c>
      <c r="AA25" s="1175">
        <f>-F25</f>
        <v>-6202</v>
      </c>
      <c r="AB25" s="1175">
        <f t="shared" ref="AB25:AD25" si="13">-G25</f>
        <v>-3666</v>
      </c>
      <c r="AC25" s="1175">
        <f t="shared" si="13"/>
        <v>-2209</v>
      </c>
      <c r="AD25" s="1175">
        <f t="shared" si="13"/>
        <v>-327</v>
      </c>
      <c r="AE25" s="1175">
        <f>-J25</f>
        <v>0</v>
      </c>
      <c r="AF25" s="1175">
        <f>-K25</f>
        <v>0</v>
      </c>
      <c r="AG25" s="1175"/>
      <c r="AH25" s="1175"/>
      <c r="AI25" s="1175"/>
      <c r="AJ25" s="1175"/>
      <c r="AL25" s="1174">
        <f>-Q25</f>
        <v>0</v>
      </c>
      <c r="AM25" s="1174">
        <f t="shared" ref="AM25:AN25" si="14">-R25</f>
        <v>0</v>
      </c>
      <c r="AN25" s="1174">
        <f t="shared" si="14"/>
        <v>0</v>
      </c>
      <c r="AO25" s="1174">
        <f>IF((T25+U25)=0,0,-SUM(AL25:AN25)*T25/(T25+U25))</f>
        <v>0</v>
      </c>
      <c r="AP25" s="1174">
        <f>-SUM(AL25:AN25)-AO25</f>
        <v>0</v>
      </c>
    </row>
    <row r="26" spans="1:42" s="1170" customFormat="1">
      <c r="A26" s="1167" t="s">
        <v>1273</v>
      </c>
      <c r="B26" s="1168">
        <f t="shared" si="11"/>
        <v>1659394</v>
      </c>
      <c r="C26" s="1168">
        <f t="shared" si="11"/>
        <v>922646</v>
      </c>
      <c r="D26" s="1168">
        <f t="shared" si="11"/>
        <v>669889</v>
      </c>
      <c r="E26" s="1168">
        <f t="shared" si="11"/>
        <v>252757</v>
      </c>
      <c r="F26" s="1168">
        <f t="shared" si="11"/>
        <v>736748</v>
      </c>
      <c r="G26" s="1168">
        <f t="shared" si="11"/>
        <v>562514</v>
      </c>
      <c r="H26" s="1168">
        <f t="shared" si="11"/>
        <v>138102</v>
      </c>
      <c r="I26" s="1168">
        <f t="shared" si="11"/>
        <v>36132</v>
      </c>
      <c r="J26" s="1168">
        <f t="shared" si="11"/>
        <v>0</v>
      </c>
      <c r="K26" s="1168">
        <f t="shared" si="11"/>
        <v>0</v>
      </c>
      <c r="L26" s="1168">
        <f t="shared" si="12"/>
        <v>0</v>
      </c>
      <c r="M26" s="1168">
        <f t="shared" si="12"/>
        <v>0</v>
      </c>
      <c r="N26" s="1168">
        <f t="shared" si="12"/>
        <v>0</v>
      </c>
      <c r="O26" s="1168">
        <f t="shared" si="12"/>
        <v>0</v>
      </c>
      <c r="P26" s="1168">
        <f t="shared" si="12"/>
        <v>0</v>
      </c>
      <c r="Q26" s="1168">
        <f t="shared" si="12"/>
        <v>0</v>
      </c>
      <c r="R26" s="1168">
        <f t="shared" si="12"/>
        <v>0</v>
      </c>
      <c r="S26" s="1168">
        <f t="shared" si="12"/>
        <v>0</v>
      </c>
      <c r="T26" s="1168">
        <f t="shared" si="12"/>
        <v>0</v>
      </c>
      <c r="U26" s="1168">
        <f t="shared" si="12"/>
        <v>0</v>
      </c>
      <c r="V26" s="1169" t="s">
        <v>1485</v>
      </c>
      <c r="X26" s="1175">
        <f t="shared" ref="X26:X36" si="15">F26</f>
        <v>736748</v>
      </c>
      <c r="Y26" s="1175">
        <f t="shared" ref="Y26:Y36" si="16">IF(C26=0,0,X26*D26/C26)</f>
        <v>534917.37998322211</v>
      </c>
      <c r="Z26" s="1175">
        <f t="shared" ref="Z26:Z36" si="17">X26-Y26</f>
        <v>201830.62001677789</v>
      </c>
      <c r="AA26" s="1175">
        <f t="shared" ref="AA26:AA36" si="18">-F26</f>
        <v>-736748</v>
      </c>
      <c r="AB26" s="1175">
        <f t="shared" ref="AB26:AB36" si="19">-G26</f>
        <v>-562514</v>
      </c>
      <c r="AC26" s="1175">
        <f t="shared" ref="AC26:AC36" si="20">-H26</f>
        <v>-138102</v>
      </c>
      <c r="AD26" s="1175">
        <f t="shared" ref="AD26:AD36" si="21">-I26</f>
        <v>-36132</v>
      </c>
      <c r="AE26" s="1175">
        <f t="shared" ref="AE26:AE36" si="22">-J26</f>
        <v>0</v>
      </c>
      <c r="AF26" s="1175">
        <f t="shared" ref="AF26:AF36" si="23">-K26</f>
        <v>0</v>
      </c>
      <c r="AG26" s="1175"/>
      <c r="AH26" s="1175"/>
      <c r="AI26" s="1175"/>
      <c r="AJ26" s="1175"/>
      <c r="AL26" s="1174">
        <f t="shared" ref="AL26:AL36" si="24">-Q26</f>
        <v>0</v>
      </c>
      <c r="AM26" s="1174">
        <f t="shared" ref="AM26:AM36" si="25">-R26</f>
        <v>0</v>
      </c>
      <c r="AN26" s="1174">
        <f t="shared" ref="AN26:AN36" si="26">-S26</f>
        <v>0</v>
      </c>
      <c r="AO26" s="1174">
        <f t="shared" ref="AO26:AO36" si="27">IF((T26+U26)=0,0,-SUM(AL26:AN26)*T26/(T26+U26))</f>
        <v>0</v>
      </c>
      <c r="AP26" s="1174">
        <f t="shared" ref="AP26:AP36" si="28">-SUM(AL26:AN26)-AO26</f>
        <v>0</v>
      </c>
    </row>
    <row r="27" spans="1:42" s="1170" customFormat="1">
      <c r="A27" s="1167" t="s">
        <v>1274</v>
      </c>
      <c r="B27" s="1168">
        <f t="shared" si="11"/>
        <v>1077</v>
      </c>
      <c r="C27" s="1168">
        <f t="shared" si="11"/>
        <v>363</v>
      </c>
      <c r="D27" s="1168">
        <f t="shared" si="11"/>
        <v>284</v>
      </c>
      <c r="E27" s="1168">
        <f t="shared" si="11"/>
        <v>79</v>
      </c>
      <c r="F27" s="1168">
        <f t="shared" si="11"/>
        <v>714</v>
      </c>
      <c r="G27" s="1168">
        <f t="shared" si="11"/>
        <v>495</v>
      </c>
      <c r="H27" s="1168">
        <f t="shared" si="11"/>
        <v>219</v>
      </c>
      <c r="I27" s="1168">
        <f t="shared" si="11"/>
        <v>0</v>
      </c>
      <c r="J27" s="1168">
        <f t="shared" si="11"/>
        <v>45</v>
      </c>
      <c r="K27" s="1168">
        <f t="shared" si="11"/>
        <v>669</v>
      </c>
      <c r="L27" s="1168">
        <f t="shared" si="12"/>
        <v>0</v>
      </c>
      <c r="M27" s="1168">
        <f t="shared" si="12"/>
        <v>0</v>
      </c>
      <c r="N27" s="1168">
        <f t="shared" si="12"/>
        <v>0</v>
      </c>
      <c r="O27" s="1168">
        <f t="shared" si="12"/>
        <v>0</v>
      </c>
      <c r="P27" s="1168">
        <f t="shared" si="12"/>
        <v>0</v>
      </c>
      <c r="Q27" s="1168">
        <f t="shared" si="12"/>
        <v>0</v>
      </c>
      <c r="R27" s="1168">
        <f t="shared" si="12"/>
        <v>0</v>
      </c>
      <c r="S27" s="1168">
        <f t="shared" si="12"/>
        <v>0</v>
      </c>
      <c r="T27" s="1168">
        <f t="shared" si="12"/>
        <v>0</v>
      </c>
      <c r="U27" s="1168">
        <f t="shared" si="12"/>
        <v>0</v>
      </c>
      <c r="V27" s="1169" t="s">
        <v>1485</v>
      </c>
      <c r="X27" s="1175">
        <f t="shared" si="15"/>
        <v>714</v>
      </c>
      <c r="Y27" s="1175">
        <f t="shared" si="16"/>
        <v>558.61157024793386</v>
      </c>
      <c r="Z27" s="1175">
        <f t="shared" si="17"/>
        <v>155.38842975206614</v>
      </c>
      <c r="AA27" s="1175">
        <f t="shared" si="18"/>
        <v>-714</v>
      </c>
      <c r="AB27" s="1175">
        <f t="shared" si="19"/>
        <v>-495</v>
      </c>
      <c r="AC27" s="1175">
        <f t="shared" si="20"/>
        <v>-219</v>
      </c>
      <c r="AD27" s="1175">
        <f t="shared" si="21"/>
        <v>0</v>
      </c>
      <c r="AE27" s="1175">
        <f t="shared" si="22"/>
        <v>-45</v>
      </c>
      <c r="AF27" s="1175">
        <f t="shared" si="23"/>
        <v>-669</v>
      </c>
      <c r="AG27" s="1175"/>
      <c r="AH27" s="1175"/>
      <c r="AI27" s="1175"/>
      <c r="AJ27" s="1175"/>
      <c r="AL27" s="1174">
        <f t="shared" si="24"/>
        <v>0</v>
      </c>
      <c r="AM27" s="1174">
        <f t="shared" si="25"/>
        <v>0</v>
      </c>
      <c r="AN27" s="1174">
        <f t="shared" si="26"/>
        <v>0</v>
      </c>
      <c r="AO27" s="1174">
        <f t="shared" si="27"/>
        <v>0</v>
      </c>
      <c r="AP27" s="1174">
        <f t="shared" si="28"/>
        <v>0</v>
      </c>
    </row>
    <row r="28" spans="1:42" s="1170" customFormat="1">
      <c r="A28" s="1167" t="s">
        <v>1275</v>
      </c>
      <c r="B28" s="1168">
        <f t="shared" si="11"/>
        <v>13035</v>
      </c>
      <c r="C28" s="1168">
        <f t="shared" si="11"/>
        <v>6155</v>
      </c>
      <c r="D28" s="1168">
        <f t="shared" si="11"/>
        <v>4649</v>
      </c>
      <c r="E28" s="1168">
        <f t="shared" si="11"/>
        <v>1506</v>
      </c>
      <c r="F28" s="1168">
        <f t="shared" si="11"/>
        <v>6880</v>
      </c>
      <c r="G28" s="1168">
        <f t="shared" si="11"/>
        <v>5310</v>
      </c>
      <c r="H28" s="1168">
        <f t="shared" si="11"/>
        <v>1530</v>
      </c>
      <c r="I28" s="1168">
        <f t="shared" si="11"/>
        <v>40</v>
      </c>
      <c r="J28" s="1168">
        <f t="shared" si="11"/>
        <v>0</v>
      </c>
      <c r="K28" s="1168">
        <f t="shared" si="11"/>
        <v>0</v>
      </c>
      <c r="L28" s="1168">
        <f t="shared" si="12"/>
        <v>0</v>
      </c>
      <c r="M28" s="1168">
        <f t="shared" si="12"/>
        <v>0</v>
      </c>
      <c r="N28" s="1168">
        <f t="shared" si="12"/>
        <v>0</v>
      </c>
      <c r="O28" s="1168">
        <f t="shared" si="12"/>
        <v>0</v>
      </c>
      <c r="P28" s="1168">
        <f t="shared" si="12"/>
        <v>0</v>
      </c>
      <c r="Q28" s="1168">
        <f t="shared" si="12"/>
        <v>0</v>
      </c>
      <c r="R28" s="1168">
        <f t="shared" si="12"/>
        <v>0</v>
      </c>
      <c r="S28" s="1168">
        <f t="shared" si="12"/>
        <v>0</v>
      </c>
      <c r="T28" s="1168">
        <f t="shared" si="12"/>
        <v>0</v>
      </c>
      <c r="U28" s="1168">
        <f t="shared" si="12"/>
        <v>0</v>
      </c>
      <c r="V28" s="1169" t="s">
        <v>1485</v>
      </c>
      <c r="X28" s="1175">
        <f t="shared" si="15"/>
        <v>6880</v>
      </c>
      <c r="Y28" s="1175">
        <f t="shared" si="16"/>
        <v>5196.6076360682373</v>
      </c>
      <c r="Z28" s="1175">
        <f t="shared" si="17"/>
        <v>1683.3923639317627</v>
      </c>
      <c r="AA28" s="1175">
        <f t="shared" si="18"/>
        <v>-6880</v>
      </c>
      <c r="AB28" s="1175">
        <f t="shared" si="19"/>
        <v>-5310</v>
      </c>
      <c r="AC28" s="1175">
        <f t="shared" si="20"/>
        <v>-1530</v>
      </c>
      <c r="AD28" s="1175">
        <f t="shared" si="21"/>
        <v>-40</v>
      </c>
      <c r="AE28" s="1175">
        <f t="shared" si="22"/>
        <v>0</v>
      </c>
      <c r="AF28" s="1175">
        <f t="shared" si="23"/>
        <v>0</v>
      </c>
      <c r="AG28" s="1175"/>
      <c r="AH28" s="1175"/>
      <c r="AI28" s="1175"/>
      <c r="AJ28" s="1175"/>
      <c r="AL28" s="1174">
        <f t="shared" si="24"/>
        <v>0</v>
      </c>
      <c r="AM28" s="1174">
        <f t="shared" si="25"/>
        <v>0</v>
      </c>
      <c r="AN28" s="1174">
        <f t="shared" si="26"/>
        <v>0</v>
      </c>
      <c r="AO28" s="1174">
        <f t="shared" si="27"/>
        <v>0</v>
      </c>
      <c r="AP28" s="1174">
        <f t="shared" si="28"/>
        <v>0</v>
      </c>
    </row>
    <row r="29" spans="1:42" s="1170" customFormat="1">
      <c r="A29" s="1167" t="s">
        <v>1276</v>
      </c>
      <c r="B29" s="1168">
        <f t="shared" si="11"/>
        <v>2963509</v>
      </c>
      <c r="C29" s="1168">
        <f t="shared" si="11"/>
        <v>1612180</v>
      </c>
      <c r="D29" s="1168">
        <f t="shared" si="11"/>
        <v>1055170</v>
      </c>
      <c r="E29" s="1168">
        <f t="shared" si="11"/>
        <v>557010</v>
      </c>
      <c r="F29" s="1168">
        <f t="shared" si="11"/>
        <v>1351329</v>
      </c>
      <c r="G29" s="1168">
        <f t="shared" si="11"/>
        <v>826823</v>
      </c>
      <c r="H29" s="1168">
        <f t="shared" si="11"/>
        <v>329345</v>
      </c>
      <c r="I29" s="1168">
        <f t="shared" si="11"/>
        <v>195161</v>
      </c>
      <c r="J29" s="1168">
        <f t="shared" si="11"/>
        <v>94</v>
      </c>
      <c r="K29" s="1168">
        <f t="shared" si="11"/>
        <v>2338</v>
      </c>
      <c r="L29" s="1168">
        <f t="shared" si="12"/>
        <v>0</v>
      </c>
      <c r="M29" s="1168">
        <f t="shared" si="12"/>
        <v>0</v>
      </c>
      <c r="N29" s="1168">
        <f t="shared" si="12"/>
        <v>0</v>
      </c>
      <c r="O29" s="1168">
        <f t="shared" si="12"/>
        <v>0</v>
      </c>
      <c r="P29" s="1168">
        <f t="shared" si="12"/>
        <v>0</v>
      </c>
      <c r="Q29" s="1168">
        <f t="shared" si="12"/>
        <v>0</v>
      </c>
      <c r="R29" s="1168">
        <f t="shared" si="12"/>
        <v>0</v>
      </c>
      <c r="S29" s="1168">
        <f t="shared" si="12"/>
        <v>0</v>
      </c>
      <c r="T29" s="1168">
        <f t="shared" si="12"/>
        <v>0</v>
      </c>
      <c r="U29" s="1168">
        <f t="shared" si="12"/>
        <v>0</v>
      </c>
      <c r="V29" s="1169" t="s">
        <v>1485</v>
      </c>
      <c r="X29" s="1175">
        <f t="shared" si="15"/>
        <v>1351329</v>
      </c>
      <c r="Y29" s="1175">
        <f t="shared" si="16"/>
        <v>884443.31335830991</v>
      </c>
      <c r="Z29" s="1175">
        <f t="shared" si="17"/>
        <v>466885.68664169009</v>
      </c>
      <c r="AA29" s="1175">
        <f t="shared" si="18"/>
        <v>-1351329</v>
      </c>
      <c r="AB29" s="1175">
        <f t="shared" si="19"/>
        <v>-826823</v>
      </c>
      <c r="AC29" s="1175">
        <f t="shared" si="20"/>
        <v>-329345</v>
      </c>
      <c r="AD29" s="1175">
        <f t="shared" si="21"/>
        <v>-195161</v>
      </c>
      <c r="AE29" s="1175">
        <f t="shared" si="22"/>
        <v>-94</v>
      </c>
      <c r="AF29" s="1175">
        <f t="shared" si="23"/>
        <v>-2338</v>
      </c>
      <c r="AG29" s="1175"/>
      <c r="AH29" s="1175"/>
      <c r="AI29" s="1175"/>
      <c r="AJ29" s="1175"/>
      <c r="AL29" s="1174">
        <f t="shared" si="24"/>
        <v>0</v>
      </c>
      <c r="AM29" s="1174">
        <f t="shared" si="25"/>
        <v>0</v>
      </c>
      <c r="AN29" s="1174">
        <f t="shared" si="26"/>
        <v>0</v>
      </c>
      <c r="AO29" s="1174">
        <f t="shared" si="27"/>
        <v>0</v>
      </c>
      <c r="AP29" s="1174">
        <f t="shared" si="28"/>
        <v>0</v>
      </c>
    </row>
    <row r="30" spans="1:42" s="1170" customFormat="1">
      <c r="A30" s="1167" t="s">
        <v>1277</v>
      </c>
      <c r="B30" s="1168">
        <f t="shared" si="11"/>
        <v>52874</v>
      </c>
      <c r="C30" s="1168">
        <f t="shared" si="11"/>
        <v>22157</v>
      </c>
      <c r="D30" s="1168">
        <f t="shared" si="11"/>
        <v>16503</v>
      </c>
      <c r="E30" s="1168">
        <f t="shared" si="11"/>
        <v>5654</v>
      </c>
      <c r="F30" s="1168">
        <f t="shared" si="11"/>
        <v>30717</v>
      </c>
      <c r="G30" s="1168">
        <f t="shared" si="11"/>
        <v>23034</v>
      </c>
      <c r="H30" s="1168">
        <f t="shared" si="11"/>
        <v>6504</v>
      </c>
      <c r="I30" s="1168">
        <f t="shared" si="11"/>
        <v>1179</v>
      </c>
      <c r="J30" s="1168">
        <f t="shared" si="11"/>
        <v>0</v>
      </c>
      <c r="K30" s="1168">
        <f t="shared" si="11"/>
        <v>0</v>
      </c>
      <c r="L30" s="1168">
        <f t="shared" si="12"/>
        <v>0</v>
      </c>
      <c r="M30" s="1168">
        <f t="shared" si="12"/>
        <v>0</v>
      </c>
      <c r="N30" s="1168">
        <f t="shared" si="12"/>
        <v>0</v>
      </c>
      <c r="O30" s="1168">
        <f t="shared" si="12"/>
        <v>0</v>
      </c>
      <c r="P30" s="1168">
        <f t="shared" si="12"/>
        <v>0</v>
      </c>
      <c r="Q30" s="1168">
        <f t="shared" si="12"/>
        <v>0</v>
      </c>
      <c r="R30" s="1168">
        <f t="shared" si="12"/>
        <v>0</v>
      </c>
      <c r="S30" s="1168">
        <f t="shared" si="12"/>
        <v>0</v>
      </c>
      <c r="T30" s="1168">
        <f t="shared" si="12"/>
        <v>0</v>
      </c>
      <c r="U30" s="1168">
        <f t="shared" si="12"/>
        <v>0</v>
      </c>
      <c r="V30" s="1169" t="s">
        <v>1485</v>
      </c>
      <c r="X30" s="1175">
        <f t="shared" si="15"/>
        <v>30717</v>
      </c>
      <c r="Y30" s="1175">
        <f t="shared" si="16"/>
        <v>22878.66818612628</v>
      </c>
      <c r="Z30" s="1175">
        <f t="shared" si="17"/>
        <v>7838.3318138737195</v>
      </c>
      <c r="AA30" s="1175">
        <f t="shared" si="18"/>
        <v>-30717</v>
      </c>
      <c r="AB30" s="1175">
        <f t="shared" si="19"/>
        <v>-23034</v>
      </c>
      <c r="AC30" s="1175">
        <f t="shared" si="20"/>
        <v>-6504</v>
      </c>
      <c r="AD30" s="1175">
        <f t="shared" si="21"/>
        <v>-1179</v>
      </c>
      <c r="AE30" s="1175">
        <f t="shared" si="22"/>
        <v>0</v>
      </c>
      <c r="AF30" s="1175">
        <f t="shared" si="23"/>
        <v>0</v>
      </c>
      <c r="AG30" s="1175"/>
      <c r="AH30" s="1175"/>
      <c r="AI30" s="1175"/>
      <c r="AJ30" s="1175"/>
      <c r="AL30" s="1174">
        <f t="shared" si="24"/>
        <v>0</v>
      </c>
      <c r="AM30" s="1174">
        <f t="shared" si="25"/>
        <v>0</v>
      </c>
      <c r="AN30" s="1174">
        <f t="shared" si="26"/>
        <v>0</v>
      </c>
      <c r="AO30" s="1174">
        <f t="shared" si="27"/>
        <v>0</v>
      </c>
      <c r="AP30" s="1174">
        <f t="shared" si="28"/>
        <v>0</v>
      </c>
    </row>
    <row r="31" spans="1:42" s="1170" customFormat="1">
      <c r="A31" s="1167" t="s">
        <v>1278</v>
      </c>
      <c r="B31" s="1168">
        <f t="shared" si="11"/>
        <v>390758814</v>
      </c>
      <c r="C31" s="1168">
        <f t="shared" si="11"/>
        <v>199680355</v>
      </c>
      <c r="D31" s="1168">
        <f t="shared" si="11"/>
        <v>129848681</v>
      </c>
      <c r="E31" s="1168">
        <f t="shared" si="11"/>
        <v>69831674</v>
      </c>
      <c r="F31" s="1168">
        <f t="shared" si="11"/>
        <v>191078459</v>
      </c>
      <c r="G31" s="1168">
        <f t="shared" si="11"/>
        <v>122933676</v>
      </c>
      <c r="H31" s="1168">
        <f t="shared" si="11"/>
        <v>54247471</v>
      </c>
      <c r="I31" s="1168">
        <f t="shared" si="11"/>
        <v>13897312</v>
      </c>
      <c r="J31" s="1168">
        <f t="shared" si="11"/>
        <v>0</v>
      </c>
      <c r="K31" s="1168">
        <f t="shared" si="11"/>
        <v>0</v>
      </c>
      <c r="L31" s="1168">
        <f t="shared" si="12"/>
        <v>0</v>
      </c>
      <c r="M31" s="1168">
        <f t="shared" si="12"/>
        <v>0</v>
      </c>
      <c r="N31" s="1168">
        <f t="shared" si="12"/>
        <v>0</v>
      </c>
      <c r="O31" s="1168">
        <f t="shared" si="12"/>
        <v>0</v>
      </c>
      <c r="P31" s="1168">
        <f t="shared" si="12"/>
        <v>0</v>
      </c>
      <c r="Q31" s="1168">
        <f t="shared" si="12"/>
        <v>0</v>
      </c>
      <c r="R31" s="1168">
        <f t="shared" si="12"/>
        <v>0</v>
      </c>
      <c r="S31" s="1168">
        <f t="shared" si="12"/>
        <v>0</v>
      </c>
      <c r="T31" s="1168">
        <f t="shared" si="12"/>
        <v>0</v>
      </c>
      <c r="U31" s="1168">
        <f t="shared" si="12"/>
        <v>0</v>
      </c>
      <c r="V31" s="1169" t="s">
        <v>1485</v>
      </c>
      <c r="X31" s="1175">
        <f t="shared" si="15"/>
        <v>191078459</v>
      </c>
      <c r="Y31" s="1175">
        <f t="shared" si="16"/>
        <v>124255016.81756616</v>
      </c>
      <c r="Z31" s="1175">
        <f t="shared" si="17"/>
        <v>66823442.182433844</v>
      </c>
      <c r="AA31" s="1175">
        <f t="shared" si="18"/>
        <v>-191078459</v>
      </c>
      <c r="AB31" s="1175">
        <f t="shared" si="19"/>
        <v>-122933676</v>
      </c>
      <c r="AC31" s="1175">
        <f t="shared" si="20"/>
        <v>-54247471</v>
      </c>
      <c r="AD31" s="1175">
        <f t="shared" si="21"/>
        <v>-13897312</v>
      </c>
      <c r="AE31" s="1175">
        <f t="shared" si="22"/>
        <v>0</v>
      </c>
      <c r="AF31" s="1175">
        <f t="shared" si="23"/>
        <v>0</v>
      </c>
      <c r="AG31" s="1175"/>
      <c r="AH31" s="1175"/>
      <c r="AI31" s="1175"/>
      <c r="AJ31" s="1175"/>
      <c r="AL31" s="1174">
        <f t="shared" si="24"/>
        <v>0</v>
      </c>
      <c r="AM31" s="1174">
        <f t="shared" si="25"/>
        <v>0</v>
      </c>
      <c r="AN31" s="1174">
        <f t="shared" si="26"/>
        <v>0</v>
      </c>
      <c r="AO31" s="1174">
        <f t="shared" si="27"/>
        <v>0</v>
      </c>
      <c r="AP31" s="1174">
        <f t="shared" si="28"/>
        <v>0</v>
      </c>
    </row>
    <row r="32" spans="1:42" s="1170" customFormat="1">
      <c r="A32" s="1167" t="s">
        <v>1279</v>
      </c>
      <c r="B32" s="1168">
        <f t="shared" si="11"/>
        <v>184280</v>
      </c>
      <c r="C32" s="1168">
        <f t="shared" si="11"/>
        <v>95680</v>
      </c>
      <c r="D32" s="1168">
        <f t="shared" si="11"/>
        <v>63452</v>
      </c>
      <c r="E32" s="1168">
        <f t="shared" si="11"/>
        <v>32228</v>
      </c>
      <c r="F32" s="1168">
        <f t="shared" si="11"/>
        <v>88600</v>
      </c>
      <c r="G32" s="1168">
        <f t="shared" si="11"/>
        <v>61911</v>
      </c>
      <c r="H32" s="1168">
        <f t="shared" si="11"/>
        <v>24301</v>
      </c>
      <c r="I32" s="1168">
        <f t="shared" si="11"/>
        <v>2388</v>
      </c>
      <c r="J32" s="1168">
        <f t="shared" si="11"/>
        <v>12159</v>
      </c>
      <c r="K32" s="1168">
        <f t="shared" si="11"/>
        <v>76433</v>
      </c>
      <c r="L32" s="1168">
        <f t="shared" si="12"/>
        <v>0</v>
      </c>
      <c r="M32" s="1168">
        <f t="shared" si="12"/>
        <v>0</v>
      </c>
      <c r="N32" s="1168">
        <f t="shared" si="12"/>
        <v>0</v>
      </c>
      <c r="O32" s="1168">
        <f t="shared" si="12"/>
        <v>0</v>
      </c>
      <c r="P32" s="1168">
        <f t="shared" si="12"/>
        <v>0</v>
      </c>
      <c r="Q32" s="1168">
        <f t="shared" si="12"/>
        <v>0</v>
      </c>
      <c r="R32" s="1168">
        <f t="shared" si="12"/>
        <v>0</v>
      </c>
      <c r="S32" s="1168">
        <f t="shared" si="12"/>
        <v>0</v>
      </c>
      <c r="T32" s="1168">
        <f t="shared" si="12"/>
        <v>0</v>
      </c>
      <c r="U32" s="1168">
        <f t="shared" si="12"/>
        <v>0</v>
      </c>
      <c r="V32" s="1169" t="s">
        <v>1485</v>
      </c>
      <c r="X32" s="1175">
        <f t="shared" si="15"/>
        <v>88600</v>
      </c>
      <c r="Y32" s="1175">
        <f t="shared" si="16"/>
        <v>58756.764214046823</v>
      </c>
      <c r="Z32" s="1175">
        <f t="shared" si="17"/>
        <v>29843.235785953177</v>
      </c>
      <c r="AA32" s="1175">
        <f t="shared" si="18"/>
        <v>-88600</v>
      </c>
      <c r="AB32" s="1175">
        <f t="shared" si="19"/>
        <v>-61911</v>
      </c>
      <c r="AC32" s="1175">
        <f t="shared" si="20"/>
        <v>-24301</v>
      </c>
      <c r="AD32" s="1175">
        <f t="shared" si="21"/>
        <v>-2388</v>
      </c>
      <c r="AE32" s="1175">
        <f t="shared" si="22"/>
        <v>-12159</v>
      </c>
      <c r="AF32" s="1175">
        <f t="shared" si="23"/>
        <v>-76433</v>
      </c>
      <c r="AG32" s="1175"/>
      <c r="AH32" s="1175"/>
      <c r="AI32" s="1175"/>
      <c r="AJ32" s="1175"/>
      <c r="AL32" s="1174">
        <f t="shared" si="24"/>
        <v>0</v>
      </c>
      <c r="AM32" s="1174">
        <f t="shared" si="25"/>
        <v>0</v>
      </c>
      <c r="AN32" s="1174">
        <f t="shared" si="26"/>
        <v>0</v>
      </c>
      <c r="AO32" s="1174">
        <f t="shared" si="27"/>
        <v>0</v>
      </c>
      <c r="AP32" s="1174">
        <f t="shared" si="28"/>
        <v>0</v>
      </c>
    </row>
    <row r="33" spans="1:46" s="1170" customFormat="1">
      <c r="A33" s="1167" t="s">
        <v>1280</v>
      </c>
      <c r="B33" s="1168">
        <f t="shared" si="11"/>
        <v>10596758</v>
      </c>
      <c r="C33" s="1168">
        <f t="shared" si="11"/>
        <v>5343960</v>
      </c>
      <c r="D33" s="1168">
        <f t="shared" si="11"/>
        <v>3813119</v>
      </c>
      <c r="E33" s="1168">
        <f t="shared" si="11"/>
        <v>1530841</v>
      </c>
      <c r="F33" s="1168">
        <f t="shared" si="11"/>
        <v>5252798</v>
      </c>
      <c r="G33" s="1168">
        <f t="shared" si="11"/>
        <v>3748399</v>
      </c>
      <c r="H33" s="1168">
        <f t="shared" si="11"/>
        <v>1346466</v>
      </c>
      <c r="I33" s="1168">
        <f t="shared" si="11"/>
        <v>157933</v>
      </c>
      <c r="J33" s="1168">
        <f t="shared" si="11"/>
        <v>462</v>
      </c>
      <c r="K33" s="1168">
        <f t="shared" si="11"/>
        <v>2500</v>
      </c>
      <c r="L33" s="1168">
        <f t="shared" si="12"/>
        <v>0</v>
      </c>
      <c r="M33" s="1168">
        <f t="shared" si="12"/>
        <v>0</v>
      </c>
      <c r="N33" s="1168">
        <f t="shared" si="12"/>
        <v>0</v>
      </c>
      <c r="O33" s="1168">
        <f t="shared" si="12"/>
        <v>0</v>
      </c>
      <c r="P33" s="1168">
        <f t="shared" si="12"/>
        <v>0</v>
      </c>
      <c r="Q33" s="1168">
        <f t="shared" si="12"/>
        <v>0</v>
      </c>
      <c r="R33" s="1168">
        <f t="shared" si="12"/>
        <v>0</v>
      </c>
      <c r="S33" s="1168">
        <f t="shared" si="12"/>
        <v>0</v>
      </c>
      <c r="T33" s="1168">
        <f t="shared" si="12"/>
        <v>0</v>
      </c>
      <c r="U33" s="1168">
        <f t="shared" si="12"/>
        <v>0</v>
      </c>
      <c r="V33" s="1169" t="s">
        <v>1485</v>
      </c>
      <c r="X33" s="1175">
        <f t="shared" si="15"/>
        <v>5252798</v>
      </c>
      <c r="Y33" s="1175">
        <f t="shared" si="16"/>
        <v>3748071.440834512</v>
      </c>
      <c r="Z33" s="1175">
        <f t="shared" si="17"/>
        <v>1504726.559165488</v>
      </c>
      <c r="AA33" s="1175">
        <f t="shared" si="18"/>
        <v>-5252798</v>
      </c>
      <c r="AB33" s="1175">
        <f t="shared" si="19"/>
        <v>-3748399</v>
      </c>
      <c r="AC33" s="1175">
        <f t="shared" si="20"/>
        <v>-1346466</v>
      </c>
      <c r="AD33" s="1175">
        <f t="shared" si="21"/>
        <v>-157933</v>
      </c>
      <c r="AE33" s="1175">
        <f t="shared" si="22"/>
        <v>-462</v>
      </c>
      <c r="AF33" s="1175">
        <f t="shared" si="23"/>
        <v>-2500</v>
      </c>
      <c r="AG33" s="1175"/>
      <c r="AH33" s="1175"/>
      <c r="AI33" s="1175"/>
      <c r="AJ33" s="1175"/>
      <c r="AL33" s="1174">
        <f t="shared" si="24"/>
        <v>0</v>
      </c>
      <c r="AM33" s="1174">
        <f t="shared" si="25"/>
        <v>0</v>
      </c>
      <c r="AN33" s="1174">
        <f t="shared" si="26"/>
        <v>0</v>
      </c>
      <c r="AO33" s="1174">
        <f t="shared" si="27"/>
        <v>0</v>
      </c>
      <c r="AP33" s="1174">
        <f t="shared" si="28"/>
        <v>0</v>
      </c>
    </row>
    <row r="34" spans="1:46" s="1170" customFormat="1">
      <c r="A34" s="1167" t="s">
        <v>1281</v>
      </c>
      <c r="B34" s="1168">
        <f t="shared" si="11"/>
        <v>253487</v>
      </c>
      <c r="C34" s="1168">
        <f t="shared" si="11"/>
        <v>0</v>
      </c>
      <c r="D34" s="1168">
        <f t="shared" si="11"/>
        <v>0</v>
      </c>
      <c r="E34" s="1168">
        <f t="shared" si="11"/>
        <v>0</v>
      </c>
      <c r="F34" s="1168">
        <f t="shared" si="11"/>
        <v>0</v>
      </c>
      <c r="G34" s="1168">
        <f t="shared" si="11"/>
        <v>0</v>
      </c>
      <c r="H34" s="1168">
        <f t="shared" si="11"/>
        <v>0</v>
      </c>
      <c r="I34" s="1168">
        <f t="shared" si="11"/>
        <v>0</v>
      </c>
      <c r="J34" s="1168">
        <f t="shared" si="11"/>
        <v>0</v>
      </c>
      <c r="K34" s="1168">
        <f t="shared" si="11"/>
        <v>0</v>
      </c>
      <c r="L34" s="1168">
        <f t="shared" si="12"/>
        <v>12691</v>
      </c>
      <c r="M34" s="1168">
        <f t="shared" si="12"/>
        <v>67682</v>
      </c>
      <c r="N34" s="1168">
        <f t="shared" si="12"/>
        <v>22671</v>
      </c>
      <c r="O34" s="1168">
        <f t="shared" si="12"/>
        <v>150443</v>
      </c>
      <c r="P34" s="1168">
        <f t="shared" si="12"/>
        <v>0</v>
      </c>
      <c r="Q34" s="1168">
        <f t="shared" si="12"/>
        <v>0</v>
      </c>
      <c r="R34" s="1168">
        <f t="shared" si="12"/>
        <v>0</v>
      </c>
      <c r="S34" s="1168">
        <f t="shared" si="12"/>
        <v>0</v>
      </c>
      <c r="T34" s="1168">
        <f t="shared" si="12"/>
        <v>0</v>
      </c>
      <c r="U34" s="1168">
        <f t="shared" si="12"/>
        <v>0</v>
      </c>
      <c r="V34" s="1169" t="s">
        <v>1485</v>
      </c>
      <c r="X34" s="1175">
        <f t="shared" si="15"/>
        <v>0</v>
      </c>
      <c r="Y34" s="1175">
        <f t="shared" si="16"/>
        <v>0</v>
      </c>
      <c r="Z34" s="1175">
        <f t="shared" si="17"/>
        <v>0</v>
      </c>
      <c r="AA34" s="1175">
        <f t="shared" si="18"/>
        <v>0</v>
      </c>
      <c r="AB34" s="1175">
        <f t="shared" si="19"/>
        <v>0</v>
      </c>
      <c r="AC34" s="1175">
        <f t="shared" si="20"/>
        <v>0</v>
      </c>
      <c r="AD34" s="1175">
        <f t="shared" si="21"/>
        <v>0</v>
      </c>
      <c r="AE34" s="1175">
        <f t="shared" si="22"/>
        <v>0</v>
      </c>
      <c r="AF34" s="1175">
        <f t="shared" si="23"/>
        <v>0</v>
      </c>
      <c r="AG34" s="1175"/>
      <c r="AH34" s="1175"/>
      <c r="AI34" s="1175"/>
      <c r="AJ34" s="1175"/>
      <c r="AL34" s="1174">
        <f t="shared" si="24"/>
        <v>0</v>
      </c>
      <c r="AM34" s="1174">
        <f t="shared" si="25"/>
        <v>0</v>
      </c>
      <c r="AN34" s="1174">
        <f t="shared" si="26"/>
        <v>0</v>
      </c>
      <c r="AO34" s="1174">
        <f t="shared" si="27"/>
        <v>0</v>
      </c>
      <c r="AP34" s="1174">
        <f t="shared" si="28"/>
        <v>0</v>
      </c>
      <c r="AR34" s="1178">
        <f>L34/(L34+M34)</f>
        <v>0.15790128525748698</v>
      </c>
      <c r="AS34" s="1178"/>
      <c r="AT34" s="1178">
        <f>N34/(N34+O34)</f>
        <v>0.13095994546945944</v>
      </c>
    </row>
    <row r="35" spans="1:46" s="1170" customFormat="1">
      <c r="A35" s="1167" t="s">
        <v>1282</v>
      </c>
      <c r="B35" s="1168">
        <f t="shared" ref="B35:K48" si="29">SUMIFS(B$52:B$125,$A$52:$A$125,$A35,$V$52:$V$125,$V35)</f>
        <v>1742766</v>
      </c>
      <c r="C35" s="1168">
        <f t="shared" si="29"/>
        <v>0</v>
      </c>
      <c r="D35" s="1168">
        <f t="shared" si="29"/>
        <v>0</v>
      </c>
      <c r="E35" s="1168">
        <f t="shared" si="29"/>
        <v>0</v>
      </c>
      <c r="F35" s="1168">
        <f t="shared" si="29"/>
        <v>0</v>
      </c>
      <c r="G35" s="1168">
        <f t="shared" si="29"/>
        <v>0</v>
      </c>
      <c r="H35" s="1168">
        <f t="shared" si="29"/>
        <v>0</v>
      </c>
      <c r="I35" s="1168">
        <f t="shared" si="29"/>
        <v>0</v>
      </c>
      <c r="J35" s="1168">
        <f t="shared" si="29"/>
        <v>0</v>
      </c>
      <c r="K35" s="1168">
        <f t="shared" si="29"/>
        <v>0</v>
      </c>
      <c r="L35" s="1168">
        <f t="shared" ref="L35:U48" si="30">SUMIFS(L$52:L$125,$A$52:$A$125,$A35,$V$52:$V$125,$V35)</f>
        <v>0</v>
      </c>
      <c r="M35" s="1168">
        <f t="shared" si="30"/>
        <v>0</v>
      </c>
      <c r="N35" s="1168">
        <f t="shared" si="30"/>
        <v>0</v>
      </c>
      <c r="O35" s="1168">
        <f t="shared" si="30"/>
        <v>0</v>
      </c>
      <c r="P35" s="1168">
        <f t="shared" si="30"/>
        <v>485982</v>
      </c>
      <c r="Q35" s="1168">
        <f t="shared" si="30"/>
        <v>180670</v>
      </c>
      <c r="R35" s="1168">
        <f t="shared" si="30"/>
        <v>41519</v>
      </c>
      <c r="S35" s="1168">
        <f t="shared" si="30"/>
        <v>17375</v>
      </c>
      <c r="T35" s="1168">
        <f t="shared" si="30"/>
        <v>182133</v>
      </c>
      <c r="U35" s="1168">
        <f t="shared" si="30"/>
        <v>64285</v>
      </c>
      <c r="V35" s="1169" t="s">
        <v>1485</v>
      </c>
      <c r="X35" s="1175">
        <f t="shared" si="15"/>
        <v>0</v>
      </c>
      <c r="Y35" s="1175">
        <f t="shared" si="16"/>
        <v>0</v>
      </c>
      <c r="Z35" s="1175">
        <f t="shared" si="17"/>
        <v>0</v>
      </c>
      <c r="AA35" s="1175">
        <f t="shared" si="18"/>
        <v>0</v>
      </c>
      <c r="AB35" s="1175">
        <f t="shared" si="19"/>
        <v>0</v>
      </c>
      <c r="AC35" s="1175">
        <f t="shared" si="20"/>
        <v>0</v>
      </c>
      <c r="AD35" s="1175">
        <f t="shared" si="21"/>
        <v>0</v>
      </c>
      <c r="AE35" s="1175">
        <f t="shared" si="22"/>
        <v>0</v>
      </c>
      <c r="AF35" s="1175">
        <f t="shared" si="23"/>
        <v>0</v>
      </c>
      <c r="AG35" s="1175"/>
      <c r="AH35" s="1175"/>
      <c r="AI35" s="1175"/>
      <c r="AJ35" s="1175"/>
      <c r="AL35" s="1174">
        <f t="shared" si="24"/>
        <v>-180670</v>
      </c>
      <c r="AM35" s="1174">
        <f t="shared" si="25"/>
        <v>-41519</v>
      </c>
      <c r="AN35" s="1174">
        <f t="shared" si="26"/>
        <v>-17375</v>
      </c>
      <c r="AO35" s="1174">
        <f t="shared" si="27"/>
        <v>177067.05683838032</v>
      </c>
      <c r="AP35" s="1174">
        <f t="shared" si="28"/>
        <v>62496.943161619682</v>
      </c>
      <c r="AR35" s="1179"/>
      <c r="AS35" s="1179"/>
      <c r="AT35" s="1179"/>
    </row>
    <row r="36" spans="1:46" s="1170" customFormat="1">
      <c r="A36" s="1167" t="s">
        <v>1283</v>
      </c>
      <c r="B36" s="1168">
        <f t="shared" si="29"/>
        <v>14322</v>
      </c>
      <c r="C36" s="1168">
        <f t="shared" si="29"/>
        <v>0</v>
      </c>
      <c r="D36" s="1168">
        <f t="shared" si="29"/>
        <v>0</v>
      </c>
      <c r="E36" s="1168">
        <f t="shared" si="29"/>
        <v>0</v>
      </c>
      <c r="F36" s="1168">
        <f t="shared" si="29"/>
        <v>0</v>
      </c>
      <c r="G36" s="1168">
        <f t="shared" si="29"/>
        <v>0</v>
      </c>
      <c r="H36" s="1168">
        <f t="shared" si="29"/>
        <v>0</v>
      </c>
      <c r="I36" s="1168">
        <f t="shared" si="29"/>
        <v>0</v>
      </c>
      <c r="J36" s="1168">
        <f t="shared" si="29"/>
        <v>0</v>
      </c>
      <c r="K36" s="1168">
        <f t="shared" si="29"/>
        <v>0</v>
      </c>
      <c r="L36" s="1168">
        <f t="shared" si="30"/>
        <v>0</v>
      </c>
      <c r="M36" s="1168">
        <f t="shared" si="30"/>
        <v>0</v>
      </c>
      <c r="N36" s="1168">
        <f t="shared" si="30"/>
        <v>0</v>
      </c>
      <c r="O36" s="1168">
        <f t="shared" si="30"/>
        <v>0</v>
      </c>
      <c r="P36" s="1168">
        <f t="shared" si="30"/>
        <v>4478</v>
      </c>
      <c r="Q36" s="1168">
        <f t="shared" si="30"/>
        <v>1722</v>
      </c>
      <c r="R36" s="1168">
        <f t="shared" si="30"/>
        <v>465</v>
      </c>
      <c r="S36" s="1168">
        <f t="shared" si="30"/>
        <v>0</v>
      </c>
      <c r="T36" s="1168">
        <f t="shared" si="30"/>
        <v>1781</v>
      </c>
      <c r="U36" s="1168">
        <f t="shared" si="30"/>
        <v>510</v>
      </c>
      <c r="V36" s="1169" t="s">
        <v>1485</v>
      </c>
      <c r="X36" s="1175">
        <f t="shared" si="15"/>
        <v>0</v>
      </c>
      <c r="Y36" s="1175">
        <f t="shared" si="16"/>
        <v>0</v>
      </c>
      <c r="Z36" s="1175">
        <f t="shared" si="17"/>
        <v>0</v>
      </c>
      <c r="AA36" s="1175">
        <f t="shared" si="18"/>
        <v>0</v>
      </c>
      <c r="AB36" s="1175">
        <f t="shared" si="19"/>
        <v>0</v>
      </c>
      <c r="AC36" s="1175">
        <f t="shared" si="20"/>
        <v>0</v>
      </c>
      <c r="AD36" s="1175">
        <f t="shared" si="21"/>
        <v>0</v>
      </c>
      <c r="AE36" s="1175">
        <f t="shared" si="22"/>
        <v>0</v>
      </c>
      <c r="AF36" s="1175">
        <f t="shared" si="23"/>
        <v>0</v>
      </c>
      <c r="AG36" s="1175"/>
      <c r="AH36" s="1175"/>
      <c r="AI36" s="1175"/>
      <c r="AJ36" s="1175"/>
      <c r="AL36" s="1174">
        <f t="shared" si="24"/>
        <v>-1722</v>
      </c>
      <c r="AM36" s="1174">
        <f t="shared" si="25"/>
        <v>-465</v>
      </c>
      <c r="AN36" s="1174">
        <f t="shared" si="26"/>
        <v>0</v>
      </c>
      <c r="AO36" s="1174">
        <f t="shared" si="27"/>
        <v>1700.1514622435618</v>
      </c>
      <c r="AP36" s="1174">
        <f t="shared" si="28"/>
        <v>486.84853775643819</v>
      </c>
      <c r="AR36" s="1179"/>
      <c r="AS36" s="1179"/>
      <c r="AT36" s="1179"/>
    </row>
    <row r="37" spans="1:46">
      <c r="A37" s="1160" t="s">
        <v>1286</v>
      </c>
      <c r="B37" s="1161">
        <f t="shared" si="29"/>
        <v>14337</v>
      </c>
      <c r="C37" s="1161">
        <f t="shared" si="29"/>
        <v>0</v>
      </c>
      <c r="D37" s="1161">
        <f t="shared" si="29"/>
        <v>0</v>
      </c>
      <c r="E37" s="1161">
        <f t="shared" si="29"/>
        <v>0</v>
      </c>
      <c r="F37" s="1161">
        <f t="shared" si="29"/>
        <v>14337</v>
      </c>
      <c r="G37" s="1161">
        <f t="shared" si="29"/>
        <v>7815</v>
      </c>
      <c r="H37" s="1161">
        <f t="shared" si="29"/>
        <v>5139</v>
      </c>
      <c r="I37" s="1161">
        <f t="shared" si="29"/>
        <v>1383</v>
      </c>
      <c r="J37" s="1161">
        <f t="shared" si="29"/>
        <v>0</v>
      </c>
      <c r="K37" s="1161">
        <f t="shared" si="29"/>
        <v>0</v>
      </c>
      <c r="L37" s="1161">
        <f t="shared" si="30"/>
        <v>0</v>
      </c>
      <c r="M37" s="1161">
        <f t="shared" si="30"/>
        <v>0</v>
      </c>
      <c r="N37" s="1161">
        <f t="shared" si="30"/>
        <v>0</v>
      </c>
      <c r="O37" s="1161">
        <f t="shared" si="30"/>
        <v>0</v>
      </c>
      <c r="P37" s="1161">
        <f t="shared" si="30"/>
        <v>0</v>
      </c>
      <c r="Q37" s="1161">
        <f t="shared" si="30"/>
        <v>0</v>
      </c>
      <c r="R37" s="1161">
        <f t="shared" si="30"/>
        <v>0</v>
      </c>
      <c r="S37" s="1161">
        <f t="shared" si="30"/>
        <v>0</v>
      </c>
      <c r="T37" s="1161">
        <f t="shared" si="30"/>
        <v>0</v>
      </c>
      <c r="U37" s="1161">
        <f t="shared" si="30"/>
        <v>0</v>
      </c>
      <c r="V37" s="1156" t="s">
        <v>1486</v>
      </c>
      <c r="X37" s="811">
        <f>C25/B25*(B37-C37)</f>
        <v>6285.0146699266506</v>
      </c>
      <c r="Y37" s="811">
        <f>IF(C25=0,0,X37*D25/C25)</f>
        <v>3409.3056234718829</v>
      </c>
      <c r="Z37" s="811">
        <f>X37-Y37</f>
        <v>2875.7090464547678</v>
      </c>
      <c r="AA37" s="811">
        <f>-X37</f>
        <v>-6285.0146699266506</v>
      </c>
      <c r="AB37" s="811">
        <f>IF(F25=0,0,AA37*G25/F25)</f>
        <v>-3715.0699419463244</v>
      </c>
      <c r="AC37" s="811">
        <f>IF(F25=0,0,AA37*H25/F25)</f>
        <v>-2238.5677855317595</v>
      </c>
      <c r="AD37" s="811">
        <f>AA37-AB37-AC37</f>
        <v>-331.37694244856675</v>
      </c>
      <c r="AE37" s="811">
        <f>J25/$B25*J37-J37</f>
        <v>0</v>
      </c>
      <c r="AF37" s="811">
        <f t="shared" ref="AF37" si="31">K25/$B25*K37-K37</f>
        <v>0</v>
      </c>
      <c r="AG37" s="811"/>
      <c r="AH37" s="811"/>
      <c r="AI37" s="811"/>
      <c r="AJ37" s="811"/>
      <c r="AL37" s="811">
        <f>IF(SUM(Q25:S25)=0,0,-SUM(AO37:AP37)*Q25/SUM(Q25:S25))</f>
        <v>0</v>
      </c>
      <c r="AM37" s="811">
        <f>IF(SUM(Q25:S25)=0,0,-SUM(AO37:AP37)*R25/SUM(Q25:S25))</f>
        <v>0</v>
      </c>
      <c r="AN37" s="811">
        <f>-SUM(AO37:AP37)-AL37-AM37</f>
        <v>0</v>
      </c>
      <c r="AO37" s="811">
        <f>IF($P25=0,0,$P37*T25/$P25)</f>
        <v>0</v>
      </c>
      <c r="AP37" s="811">
        <f>IF($P25=0,0,$P37*U25/$P25)</f>
        <v>0</v>
      </c>
      <c r="AR37" s="1178"/>
      <c r="AS37" s="1178"/>
      <c r="AT37" s="1178"/>
    </row>
    <row r="38" spans="1:46">
      <c r="A38" s="1160" t="s">
        <v>1273</v>
      </c>
      <c r="B38" s="1161">
        <f t="shared" si="29"/>
        <v>1926613</v>
      </c>
      <c r="C38" s="1161">
        <f t="shared" si="29"/>
        <v>682</v>
      </c>
      <c r="D38" s="1161">
        <f t="shared" si="29"/>
        <v>504</v>
      </c>
      <c r="E38" s="1161">
        <f t="shared" si="29"/>
        <v>178</v>
      </c>
      <c r="F38" s="1161">
        <f t="shared" si="29"/>
        <v>1925931</v>
      </c>
      <c r="G38" s="1161">
        <f t="shared" si="29"/>
        <v>1412061</v>
      </c>
      <c r="H38" s="1161">
        <f t="shared" si="29"/>
        <v>421107</v>
      </c>
      <c r="I38" s="1161">
        <f t="shared" si="29"/>
        <v>92763</v>
      </c>
      <c r="J38" s="1161">
        <f t="shared" si="29"/>
        <v>0</v>
      </c>
      <c r="K38" s="1161">
        <f t="shared" si="29"/>
        <v>0</v>
      </c>
      <c r="L38" s="1161">
        <f t="shared" si="30"/>
        <v>0</v>
      </c>
      <c r="M38" s="1161">
        <f t="shared" si="30"/>
        <v>0</v>
      </c>
      <c r="N38" s="1161">
        <f t="shared" si="30"/>
        <v>0</v>
      </c>
      <c r="O38" s="1161">
        <f t="shared" si="30"/>
        <v>0</v>
      </c>
      <c r="P38" s="1161">
        <f t="shared" si="30"/>
        <v>0</v>
      </c>
      <c r="Q38" s="1161">
        <f t="shared" si="30"/>
        <v>0</v>
      </c>
      <c r="R38" s="1161">
        <f t="shared" si="30"/>
        <v>0</v>
      </c>
      <c r="S38" s="1161">
        <f t="shared" si="30"/>
        <v>0</v>
      </c>
      <c r="T38" s="1161">
        <f t="shared" si="30"/>
        <v>0</v>
      </c>
      <c r="U38" s="1161">
        <f t="shared" si="30"/>
        <v>0</v>
      </c>
      <c r="V38" s="1156" t="s">
        <v>1486</v>
      </c>
      <c r="X38" s="811">
        <f t="shared" ref="X38:X48" si="32">C26/B26*(B38-C38)</f>
        <v>1070844.2560513054</v>
      </c>
      <c r="Y38" s="811">
        <f t="shared" ref="Y38:Y48" si="33">IF(C26=0,0,X38*D26/C26)</f>
        <v>777488.64444429718</v>
      </c>
      <c r="Z38" s="811">
        <f t="shared" ref="Z38:Z48" si="34">X38-Y38</f>
        <v>293355.61160700826</v>
      </c>
      <c r="AA38" s="811">
        <f t="shared" ref="AA38:AA48" si="35">-X38</f>
        <v>-1070844.2560513054</v>
      </c>
      <c r="AB38" s="811">
        <f t="shared" ref="AB38:AB48" si="36">IF(F26=0,0,AA38*G26/F26)</f>
        <v>-817599.62137453258</v>
      </c>
      <c r="AC38" s="811">
        <f t="shared" ref="AC38:AC48" si="37">IF(F26=0,0,AA38*H26/F26)</f>
        <v>-200727.7026190738</v>
      </c>
      <c r="AD38" s="811">
        <f t="shared" ref="AD38:AD48" si="38">AA38-AB38-AC38</f>
        <v>-52516.932057699072</v>
      </c>
      <c r="AE38" s="811">
        <f t="shared" ref="AE38:AE48" si="39">J26/$B26*J38-J38</f>
        <v>0</v>
      </c>
      <c r="AF38" s="811">
        <f t="shared" ref="AF38:AF48" si="40">K26/$B26*K38-K38</f>
        <v>0</v>
      </c>
      <c r="AG38" s="811"/>
      <c r="AH38" s="811"/>
      <c r="AI38" s="811"/>
      <c r="AJ38" s="811"/>
      <c r="AL38" s="811">
        <f t="shared" ref="AL38:AL48" si="41">IF(SUM(Q26:S26)=0,0,-SUM(AO38:AP38)*Q26/SUM(Q26:S26))</f>
        <v>0</v>
      </c>
      <c r="AM38" s="811">
        <f t="shared" ref="AM38:AM48" si="42">IF(SUM(Q26:S26)=0,0,-SUM(AO38:AP38)*R26/SUM(Q26:S26))</f>
        <v>0</v>
      </c>
      <c r="AN38" s="811">
        <f t="shared" ref="AN38:AN48" si="43">-SUM(AO38:AP38)-AL38-AM38</f>
        <v>0</v>
      </c>
      <c r="AO38" s="811">
        <f t="shared" ref="AO38:AP38" si="44">IF($P26=0,0,$P38*T26/$P26)</f>
        <v>0</v>
      </c>
      <c r="AP38" s="811">
        <f t="shared" si="44"/>
        <v>0</v>
      </c>
      <c r="AR38" s="1178"/>
      <c r="AS38" s="1178"/>
      <c r="AT38" s="1178"/>
    </row>
    <row r="39" spans="1:46">
      <c r="A39" s="1160" t="s">
        <v>1274</v>
      </c>
      <c r="B39" s="1161">
        <f t="shared" si="29"/>
        <v>1728</v>
      </c>
      <c r="C39" s="1161">
        <f t="shared" si="29"/>
        <v>0</v>
      </c>
      <c r="D39" s="1161">
        <f t="shared" si="29"/>
        <v>0</v>
      </c>
      <c r="E39" s="1161">
        <f t="shared" si="29"/>
        <v>0</v>
      </c>
      <c r="F39" s="1161">
        <f t="shared" si="29"/>
        <v>1728</v>
      </c>
      <c r="G39" s="1161">
        <f t="shared" si="29"/>
        <v>1090</v>
      </c>
      <c r="H39" s="1161">
        <f t="shared" si="29"/>
        <v>638</v>
      </c>
      <c r="I39" s="1161">
        <f t="shared" si="29"/>
        <v>0</v>
      </c>
      <c r="J39" s="1161">
        <f t="shared" si="29"/>
        <v>120</v>
      </c>
      <c r="K39" s="1161">
        <f t="shared" si="29"/>
        <v>1608</v>
      </c>
      <c r="L39" s="1161">
        <f t="shared" si="30"/>
        <v>0</v>
      </c>
      <c r="M39" s="1161">
        <f t="shared" si="30"/>
        <v>0</v>
      </c>
      <c r="N39" s="1161">
        <f t="shared" si="30"/>
        <v>0</v>
      </c>
      <c r="O39" s="1161">
        <f t="shared" si="30"/>
        <v>0</v>
      </c>
      <c r="P39" s="1161">
        <f t="shared" si="30"/>
        <v>0</v>
      </c>
      <c r="Q39" s="1161">
        <f t="shared" si="30"/>
        <v>0</v>
      </c>
      <c r="R39" s="1161">
        <f t="shared" si="30"/>
        <v>0</v>
      </c>
      <c r="S39" s="1161">
        <f t="shared" si="30"/>
        <v>0</v>
      </c>
      <c r="T39" s="1161">
        <f t="shared" si="30"/>
        <v>0</v>
      </c>
      <c r="U39" s="1161">
        <f t="shared" si="30"/>
        <v>0</v>
      </c>
      <c r="V39" s="1156" t="s">
        <v>1486</v>
      </c>
      <c r="X39" s="811">
        <f t="shared" si="32"/>
        <v>582.41782729805016</v>
      </c>
      <c r="Y39" s="811">
        <f t="shared" si="33"/>
        <v>455.66573816155989</v>
      </c>
      <c r="Z39" s="811">
        <f t="shared" si="34"/>
        <v>126.75208913649027</v>
      </c>
      <c r="AA39" s="811">
        <f t="shared" si="35"/>
        <v>-582.41782729805016</v>
      </c>
      <c r="AB39" s="811">
        <f t="shared" si="36"/>
        <v>-403.77706514360619</v>
      </c>
      <c r="AC39" s="811">
        <f t="shared" si="37"/>
        <v>-178.64076215444396</v>
      </c>
      <c r="AD39" s="811">
        <f t="shared" si="38"/>
        <v>0</v>
      </c>
      <c r="AE39" s="811">
        <f t="shared" si="39"/>
        <v>-114.98607242339833</v>
      </c>
      <c r="AF39" s="811">
        <f t="shared" si="40"/>
        <v>-609.15877437325912</v>
      </c>
      <c r="AG39" s="811"/>
      <c r="AH39" s="811"/>
      <c r="AI39" s="811"/>
      <c r="AJ39" s="811"/>
      <c r="AL39" s="811">
        <f t="shared" si="41"/>
        <v>0</v>
      </c>
      <c r="AM39" s="811">
        <f t="shared" si="42"/>
        <v>0</v>
      </c>
      <c r="AN39" s="811">
        <f t="shared" si="43"/>
        <v>0</v>
      </c>
      <c r="AO39" s="811">
        <f t="shared" ref="AO39:AP39" si="45">IF($P27=0,0,$P39*T27/$P27)</f>
        <v>0</v>
      </c>
      <c r="AP39" s="811">
        <f t="shared" si="45"/>
        <v>0</v>
      </c>
      <c r="AR39" s="1178"/>
      <c r="AS39" s="1178"/>
      <c r="AT39" s="1178"/>
    </row>
    <row r="40" spans="1:46">
      <c r="A40" s="1160" t="s">
        <v>1275</v>
      </c>
      <c r="B40" s="1161">
        <f t="shared" si="29"/>
        <v>14085</v>
      </c>
      <c r="C40" s="1161">
        <f t="shared" si="29"/>
        <v>0</v>
      </c>
      <c r="D40" s="1161">
        <f t="shared" si="29"/>
        <v>0</v>
      </c>
      <c r="E40" s="1161">
        <f t="shared" si="29"/>
        <v>0</v>
      </c>
      <c r="F40" s="1161">
        <f t="shared" si="29"/>
        <v>14085</v>
      </c>
      <c r="G40" s="1161">
        <f t="shared" si="29"/>
        <v>10825</v>
      </c>
      <c r="H40" s="1161">
        <f t="shared" si="29"/>
        <v>2790</v>
      </c>
      <c r="I40" s="1161">
        <f t="shared" si="29"/>
        <v>470</v>
      </c>
      <c r="J40" s="1161">
        <f t="shared" si="29"/>
        <v>0</v>
      </c>
      <c r="K40" s="1161">
        <f t="shared" si="29"/>
        <v>0</v>
      </c>
      <c r="L40" s="1161">
        <f t="shared" si="30"/>
        <v>0</v>
      </c>
      <c r="M40" s="1161">
        <f t="shared" si="30"/>
        <v>0</v>
      </c>
      <c r="N40" s="1161">
        <f t="shared" si="30"/>
        <v>0</v>
      </c>
      <c r="O40" s="1161">
        <f t="shared" si="30"/>
        <v>0</v>
      </c>
      <c r="P40" s="1161">
        <f t="shared" si="30"/>
        <v>0</v>
      </c>
      <c r="Q40" s="1161">
        <f t="shared" si="30"/>
        <v>0</v>
      </c>
      <c r="R40" s="1161">
        <f t="shared" si="30"/>
        <v>0</v>
      </c>
      <c r="S40" s="1161">
        <f t="shared" si="30"/>
        <v>0</v>
      </c>
      <c r="T40" s="1161">
        <f t="shared" si="30"/>
        <v>0</v>
      </c>
      <c r="U40" s="1161">
        <f t="shared" si="30"/>
        <v>0</v>
      </c>
      <c r="V40" s="1156" t="s">
        <v>1486</v>
      </c>
      <c r="X40" s="811">
        <f t="shared" si="32"/>
        <v>6650.7997698504032</v>
      </c>
      <c r="Y40" s="811">
        <f t="shared" si="33"/>
        <v>5023.4879171461453</v>
      </c>
      <c r="Z40" s="811">
        <f t="shared" si="34"/>
        <v>1627.3118527042579</v>
      </c>
      <c r="AA40" s="811">
        <f t="shared" si="35"/>
        <v>-6650.7997698504032</v>
      </c>
      <c r="AB40" s="811">
        <f t="shared" si="36"/>
        <v>-5133.1027293467505</v>
      </c>
      <c r="AC40" s="811">
        <f t="shared" si="37"/>
        <v>-1479.029599981267</v>
      </c>
      <c r="AD40" s="811">
        <f t="shared" si="38"/>
        <v>-38.667440522385732</v>
      </c>
      <c r="AE40" s="811">
        <f t="shared" si="39"/>
        <v>0</v>
      </c>
      <c r="AF40" s="811">
        <f t="shared" si="40"/>
        <v>0</v>
      </c>
      <c r="AG40" s="811"/>
      <c r="AH40" s="811"/>
      <c r="AI40" s="811"/>
      <c r="AJ40" s="811"/>
      <c r="AL40" s="811">
        <f t="shared" si="41"/>
        <v>0</v>
      </c>
      <c r="AM40" s="811">
        <f t="shared" si="42"/>
        <v>0</v>
      </c>
      <c r="AN40" s="811">
        <f t="shared" si="43"/>
        <v>0</v>
      </c>
      <c r="AO40" s="811">
        <f t="shared" ref="AO40:AP40" si="46">IF($P28=0,0,$P40*T28/$P28)</f>
        <v>0</v>
      </c>
      <c r="AP40" s="811">
        <f t="shared" si="46"/>
        <v>0</v>
      </c>
      <c r="AR40" s="1178"/>
      <c r="AS40" s="1178"/>
      <c r="AT40" s="1178"/>
    </row>
    <row r="41" spans="1:46">
      <c r="A41" s="1160" t="s">
        <v>1276</v>
      </c>
      <c r="B41" s="1161">
        <f t="shared" si="29"/>
        <v>3197803</v>
      </c>
      <c r="C41" s="1161">
        <f t="shared" si="29"/>
        <v>0</v>
      </c>
      <c r="D41" s="1161">
        <f t="shared" si="29"/>
        <v>0</v>
      </c>
      <c r="E41" s="1161">
        <f t="shared" si="29"/>
        <v>0</v>
      </c>
      <c r="F41" s="1161">
        <f t="shared" si="29"/>
        <v>3197803</v>
      </c>
      <c r="G41" s="1161">
        <f t="shared" si="29"/>
        <v>1910925</v>
      </c>
      <c r="H41" s="1161">
        <f t="shared" si="29"/>
        <v>810934</v>
      </c>
      <c r="I41" s="1161">
        <f t="shared" si="29"/>
        <v>475944</v>
      </c>
      <c r="J41" s="1161">
        <f t="shared" si="29"/>
        <v>472</v>
      </c>
      <c r="K41" s="1161">
        <f t="shared" si="29"/>
        <v>5188</v>
      </c>
      <c r="L41" s="1161">
        <f t="shared" si="30"/>
        <v>0</v>
      </c>
      <c r="M41" s="1161">
        <f t="shared" si="30"/>
        <v>0</v>
      </c>
      <c r="N41" s="1161">
        <f t="shared" si="30"/>
        <v>0</v>
      </c>
      <c r="O41" s="1161">
        <f t="shared" si="30"/>
        <v>0</v>
      </c>
      <c r="P41" s="1161">
        <f t="shared" si="30"/>
        <v>0</v>
      </c>
      <c r="Q41" s="1161">
        <f t="shared" si="30"/>
        <v>0</v>
      </c>
      <c r="R41" s="1161">
        <f t="shared" si="30"/>
        <v>0</v>
      </c>
      <c r="S41" s="1161">
        <f t="shared" si="30"/>
        <v>0</v>
      </c>
      <c r="T41" s="1161">
        <f t="shared" si="30"/>
        <v>0</v>
      </c>
      <c r="U41" s="1161">
        <f t="shared" si="30"/>
        <v>0</v>
      </c>
      <c r="V41" s="1156" t="s">
        <v>1486</v>
      </c>
      <c r="X41" s="811">
        <f t="shared" si="32"/>
        <v>1739638.3950715181</v>
      </c>
      <c r="Y41" s="811">
        <f t="shared" si="33"/>
        <v>1138591.3764763325</v>
      </c>
      <c r="Z41" s="811">
        <f t="shared" si="34"/>
        <v>601047.0185951856</v>
      </c>
      <c r="AA41" s="811">
        <f t="shared" si="35"/>
        <v>-1739638.3950715181</v>
      </c>
      <c r="AB41" s="811">
        <f t="shared" si="36"/>
        <v>-1064413.6525806948</v>
      </c>
      <c r="AC41" s="811">
        <f t="shared" si="37"/>
        <v>-423983.50603356335</v>
      </c>
      <c r="AD41" s="811">
        <f t="shared" si="38"/>
        <v>-251241.23645726003</v>
      </c>
      <c r="AE41" s="811">
        <f t="shared" si="39"/>
        <v>-471.9850285590494</v>
      </c>
      <c r="AF41" s="811">
        <f t="shared" si="40"/>
        <v>-5183.9070331826224</v>
      </c>
      <c r="AG41" s="811"/>
      <c r="AH41" s="811"/>
      <c r="AI41" s="811"/>
      <c r="AJ41" s="811"/>
      <c r="AL41" s="811">
        <f t="shared" si="41"/>
        <v>0</v>
      </c>
      <c r="AM41" s="811">
        <f t="shared" si="42"/>
        <v>0</v>
      </c>
      <c r="AN41" s="811">
        <f t="shared" si="43"/>
        <v>0</v>
      </c>
      <c r="AO41" s="811">
        <f t="shared" ref="AO41:AP41" si="47">IF($P29=0,0,$P41*T29/$P29)</f>
        <v>0</v>
      </c>
      <c r="AP41" s="811">
        <f t="shared" si="47"/>
        <v>0</v>
      </c>
      <c r="AR41" s="1178"/>
      <c r="AS41" s="1178"/>
      <c r="AT41" s="1178"/>
    </row>
    <row r="42" spans="1:46">
      <c r="A42" s="1160" t="s">
        <v>1277</v>
      </c>
      <c r="B42" s="1161">
        <f t="shared" si="29"/>
        <v>53788</v>
      </c>
      <c r="C42" s="1161">
        <f t="shared" si="29"/>
        <v>0</v>
      </c>
      <c r="D42" s="1161">
        <f t="shared" si="29"/>
        <v>0</v>
      </c>
      <c r="E42" s="1161">
        <f t="shared" si="29"/>
        <v>0</v>
      </c>
      <c r="F42" s="1161">
        <f t="shared" si="29"/>
        <v>53788</v>
      </c>
      <c r="G42" s="1161">
        <f t="shared" si="29"/>
        <v>39616</v>
      </c>
      <c r="H42" s="1161">
        <f t="shared" si="29"/>
        <v>12039</v>
      </c>
      <c r="I42" s="1161">
        <f t="shared" si="29"/>
        <v>2133</v>
      </c>
      <c r="J42" s="1161">
        <f t="shared" si="29"/>
        <v>0</v>
      </c>
      <c r="K42" s="1161">
        <f t="shared" si="29"/>
        <v>0</v>
      </c>
      <c r="L42" s="1161">
        <f t="shared" si="30"/>
        <v>0</v>
      </c>
      <c r="M42" s="1161">
        <f t="shared" si="30"/>
        <v>0</v>
      </c>
      <c r="N42" s="1161">
        <f t="shared" si="30"/>
        <v>0</v>
      </c>
      <c r="O42" s="1161">
        <f t="shared" si="30"/>
        <v>0</v>
      </c>
      <c r="P42" s="1161">
        <f t="shared" si="30"/>
        <v>0</v>
      </c>
      <c r="Q42" s="1161">
        <f t="shared" si="30"/>
        <v>0</v>
      </c>
      <c r="R42" s="1161">
        <f t="shared" si="30"/>
        <v>0</v>
      </c>
      <c r="S42" s="1161">
        <f t="shared" si="30"/>
        <v>0</v>
      </c>
      <c r="T42" s="1161">
        <f t="shared" si="30"/>
        <v>0</v>
      </c>
      <c r="U42" s="1161">
        <f t="shared" si="30"/>
        <v>0</v>
      </c>
      <c r="V42" s="1156" t="s">
        <v>1486</v>
      </c>
      <c r="X42" s="811">
        <f t="shared" si="32"/>
        <v>22540.014298142753</v>
      </c>
      <c r="Y42" s="811">
        <f t="shared" si="33"/>
        <v>16788.277111623858</v>
      </c>
      <c r="Z42" s="811">
        <f t="shared" si="34"/>
        <v>5751.7371865188943</v>
      </c>
      <c r="AA42" s="811">
        <f t="shared" si="35"/>
        <v>-22540.014298142753</v>
      </c>
      <c r="AB42" s="811">
        <f t="shared" si="36"/>
        <v>-16902.258988293783</v>
      </c>
      <c r="AC42" s="811">
        <f t="shared" si="37"/>
        <v>-4772.6097273535979</v>
      </c>
      <c r="AD42" s="811">
        <f t="shared" si="38"/>
        <v>-865.14558249537185</v>
      </c>
      <c r="AE42" s="811">
        <f t="shared" si="39"/>
        <v>0</v>
      </c>
      <c r="AF42" s="811">
        <f t="shared" si="40"/>
        <v>0</v>
      </c>
      <c r="AG42" s="811"/>
      <c r="AH42" s="811"/>
      <c r="AI42" s="811"/>
      <c r="AJ42" s="811"/>
      <c r="AL42" s="811">
        <f t="shared" si="41"/>
        <v>0</v>
      </c>
      <c r="AM42" s="811">
        <f t="shared" si="42"/>
        <v>0</v>
      </c>
      <c r="AN42" s="811">
        <f t="shared" si="43"/>
        <v>0</v>
      </c>
      <c r="AO42" s="811">
        <f t="shared" ref="AO42:AP42" si="48">IF($P30=0,0,$P42*T30/$P30)</f>
        <v>0</v>
      </c>
      <c r="AP42" s="811">
        <f t="shared" si="48"/>
        <v>0</v>
      </c>
      <c r="AR42" s="1178"/>
      <c r="AS42" s="1178"/>
      <c r="AT42" s="1178"/>
    </row>
    <row r="43" spans="1:46">
      <c r="A43" s="1160" t="s">
        <v>1278</v>
      </c>
      <c r="B43" s="1161">
        <f t="shared" si="29"/>
        <v>445265851</v>
      </c>
      <c r="C43" s="1161">
        <f t="shared" si="29"/>
        <v>13689</v>
      </c>
      <c r="D43" s="1161">
        <f t="shared" si="29"/>
        <v>11085</v>
      </c>
      <c r="E43" s="1161">
        <f t="shared" si="29"/>
        <v>2604</v>
      </c>
      <c r="F43" s="1161">
        <f t="shared" si="29"/>
        <v>445252162</v>
      </c>
      <c r="G43" s="1161">
        <f t="shared" si="29"/>
        <v>262282217</v>
      </c>
      <c r="H43" s="1161">
        <f t="shared" si="29"/>
        <v>144062536</v>
      </c>
      <c r="I43" s="1161">
        <f t="shared" si="29"/>
        <v>38907409</v>
      </c>
      <c r="J43" s="1161">
        <f t="shared" si="29"/>
        <v>0</v>
      </c>
      <c r="K43" s="1161">
        <f t="shared" si="29"/>
        <v>0</v>
      </c>
      <c r="L43" s="1161">
        <f t="shared" si="30"/>
        <v>0</v>
      </c>
      <c r="M43" s="1161">
        <f t="shared" si="30"/>
        <v>0</v>
      </c>
      <c r="N43" s="1161">
        <f t="shared" si="30"/>
        <v>0</v>
      </c>
      <c r="O43" s="1161">
        <f t="shared" si="30"/>
        <v>0</v>
      </c>
      <c r="P43" s="1161">
        <f t="shared" si="30"/>
        <v>0</v>
      </c>
      <c r="Q43" s="1161">
        <f t="shared" si="30"/>
        <v>0</v>
      </c>
      <c r="R43" s="1161">
        <f t="shared" si="30"/>
        <v>0</v>
      </c>
      <c r="S43" s="1161">
        <f t="shared" si="30"/>
        <v>0</v>
      </c>
      <c r="T43" s="1161">
        <f t="shared" si="30"/>
        <v>0</v>
      </c>
      <c r="U43" s="1161">
        <f t="shared" si="30"/>
        <v>0</v>
      </c>
      <c r="V43" s="1156" t="s">
        <v>1486</v>
      </c>
      <c r="X43" s="811">
        <f t="shared" si="32"/>
        <v>227526818.5573864</v>
      </c>
      <c r="Y43" s="811">
        <f t="shared" si="33"/>
        <v>147956754.59312433</v>
      </c>
      <c r="Z43" s="811">
        <f t="shared" si="34"/>
        <v>79570063.964262068</v>
      </c>
      <c r="AA43" s="811">
        <f t="shared" si="35"/>
        <v>-227526818.5573864</v>
      </c>
      <c r="AB43" s="811">
        <f t="shared" si="36"/>
        <v>-146383367.02225825</v>
      </c>
      <c r="AC43" s="811">
        <f t="shared" si="37"/>
        <v>-64595216.83401309</v>
      </c>
      <c r="AD43" s="811">
        <f t="shared" si="38"/>
        <v>-16548234.701115057</v>
      </c>
      <c r="AE43" s="811">
        <f t="shared" si="39"/>
        <v>0</v>
      </c>
      <c r="AF43" s="811">
        <f t="shared" si="40"/>
        <v>0</v>
      </c>
      <c r="AG43" s="811"/>
      <c r="AH43" s="811"/>
      <c r="AI43" s="811"/>
      <c r="AJ43" s="811"/>
      <c r="AL43" s="811">
        <f t="shared" si="41"/>
        <v>0</v>
      </c>
      <c r="AM43" s="811">
        <f t="shared" si="42"/>
        <v>0</v>
      </c>
      <c r="AN43" s="811">
        <f t="shared" si="43"/>
        <v>0</v>
      </c>
      <c r="AO43" s="811">
        <f t="shared" ref="AO43:AP43" si="49">IF($P31=0,0,$P43*T31/$P31)</f>
        <v>0</v>
      </c>
      <c r="AP43" s="811">
        <f t="shared" si="49"/>
        <v>0</v>
      </c>
      <c r="AR43" s="1178"/>
      <c r="AS43" s="1178"/>
      <c r="AT43" s="1178"/>
    </row>
    <row r="44" spans="1:46">
      <c r="A44" s="1160" t="s">
        <v>1279</v>
      </c>
      <c r="B44" s="1161">
        <f t="shared" si="29"/>
        <v>203544</v>
      </c>
      <c r="C44" s="1161">
        <f t="shared" si="29"/>
        <v>0</v>
      </c>
      <c r="D44" s="1161">
        <f t="shared" si="29"/>
        <v>0</v>
      </c>
      <c r="E44" s="1161">
        <f t="shared" si="29"/>
        <v>0</v>
      </c>
      <c r="F44" s="1161">
        <f t="shared" si="29"/>
        <v>203544</v>
      </c>
      <c r="G44" s="1161">
        <f t="shared" si="29"/>
        <v>128075</v>
      </c>
      <c r="H44" s="1161">
        <f t="shared" si="29"/>
        <v>63552</v>
      </c>
      <c r="I44" s="1161">
        <f t="shared" si="29"/>
        <v>11917</v>
      </c>
      <c r="J44" s="1161">
        <f t="shared" si="29"/>
        <v>47560</v>
      </c>
      <c r="K44" s="1161">
        <f t="shared" si="29"/>
        <v>155984</v>
      </c>
      <c r="L44" s="1161">
        <f t="shared" si="30"/>
        <v>0</v>
      </c>
      <c r="M44" s="1161">
        <f t="shared" si="30"/>
        <v>0</v>
      </c>
      <c r="N44" s="1161">
        <f t="shared" si="30"/>
        <v>0</v>
      </c>
      <c r="O44" s="1161">
        <f t="shared" si="30"/>
        <v>0</v>
      </c>
      <c r="P44" s="1161">
        <f t="shared" si="30"/>
        <v>0</v>
      </c>
      <c r="Q44" s="1161">
        <f t="shared" si="30"/>
        <v>0</v>
      </c>
      <c r="R44" s="1161">
        <f t="shared" si="30"/>
        <v>0</v>
      </c>
      <c r="S44" s="1161">
        <f t="shared" si="30"/>
        <v>0</v>
      </c>
      <c r="T44" s="1161">
        <f t="shared" si="30"/>
        <v>0</v>
      </c>
      <c r="U44" s="1161">
        <f t="shared" si="30"/>
        <v>0</v>
      </c>
      <c r="V44" s="1156" t="s">
        <v>1486</v>
      </c>
      <c r="X44" s="811">
        <f t="shared" si="32"/>
        <v>105682.0594747124</v>
      </c>
      <c r="Y44" s="811">
        <f t="shared" si="33"/>
        <v>70085.054742782726</v>
      </c>
      <c r="Z44" s="811">
        <f t="shared" si="34"/>
        <v>35597.004731929672</v>
      </c>
      <c r="AA44" s="811">
        <f t="shared" si="35"/>
        <v>-105682.0594747124</v>
      </c>
      <c r="AB44" s="811">
        <f t="shared" si="36"/>
        <v>-73847.426457549867</v>
      </c>
      <c r="AC44" s="811">
        <f t="shared" si="37"/>
        <v>-28986.227170372298</v>
      </c>
      <c r="AD44" s="811">
        <f t="shared" si="38"/>
        <v>-2848.4058467902323</v>
      </c>
      <c r="AE44" s="811">
        <f t="shared" si="39"/>
        <v>-44421.938137616671</v>
      </c>
      <c r="AF44" s="811">
        <f t="shared" si="40"/>
        <v>-91287.206685478624</v>
      </c>
      <c r="AG44" s="811"/>
      <c r="AH44" s="811"/>
      <c r="AI44" s="811"/>
      <c r="AJ44" s="811"/>
      <c r="AL44" s="811">
        <f t="shared" si="41"/>
        <v>0</v>
      </c>
      <c r="AM44" s="811">
        <f t="shared" si="42"/>
        <v>0</v>
      </c>
      <c r="AN44" s="811">
        <f t="shared" si="43"/>
        <v>0</v>
      </c>
      <c r="AO44" s="811">
        <f t="shared" ref="AO44:AP44" si="50">IF($P32=0,0,$P44*T32/$P32)</f>
        <v>0</v>
      </c>
      <c r="AP44" s="811">
        <f t="shared" si="50"/>
        <v>0</v>
      </c>
      <c r="AR44" s="1178"/>
      <c r="AS44" s="1178"/>
      <c r="AT44" s="1178"/>
    </row>
    <row r="45" spans="1:46">
      <c r="A45" s="1160" t="s">
        <v>1280</v>
      </c>
      <c r="B45" s="1161">
        <f t="shared" si="29"/>
        <v>11564036</v>
      </c>
      <c r="C45" s="1161">
        <f t="shared" si="29"/>
        <v>138</v>
      </c>
      <c r="D45" s="1161">
        <f t="shared" si="29"/>
        <v>131</v>
      </c>
      <c r="E45" s="1161">
        <f t="shared" si="29"/>
        <v>7</v>
      </c>
      <c r="F45" s="1161">
        <f t="shared" si="29"/>
        <v>11563898</v>
      </c>
      <c r="G45" s="1161">
        <f t="shared" si="29"/>
        <v>7753442</v>
      </c>
      <c r="H45" s="1161">
        <f t="shared" si="29"/>
        <v>3362922</v>
      </c>
      <c r="I45" s="1161">
        <f t="shared" si="29"/>
        <v>447534</v>
      </c>
      <c r="J45" s="1161">
        <f t="shared" si="29"/>
        <v>1201</v>
      </c>
      <c r="K45" s="1161">
        <f t="shared" si="29"/>
        <v>3977</v>
      </c>
      <c r="L45" s="1161">
        <f t="shared" si="30"/>
        <v>0</v>
      </c>
      <c r="M45" s="1161">
        <f t="shared" si="30"/>
        <v>0</v>
      </c>
      <c r="N45" s="1161">
        <f t="shared" si="30"/>
        <v>0</v>
      </c>
      <c r="O45" s="1161">
        <f t="shared" si="30"/>
        <v>0</v>
      </c>
      <c r="P45" s="1161">
        <f t="shared" si="30"/>
        <v>0</v>
      </c>
      <c r="Q45" s="1161">
        <f t="shared" si="30"/>
        <v>0</v>
      </c>
      <c r="R45" s="1161">
        <f t="shared" si="30"/>
        <v>0</v>
      </c>
      <c r="S45" s="1161">
        <f t="shared" si="30"/>
        <v>0</v>
      </c>
      <c r="T45" s="1161">
        <f t="shared" si="30"/>
        <v>0</v>
      </c>
      <c r="U45" s="1161">
        <f t="shared" si="30"/>
        <v>0</v>
      </c>
      <c r="V45" s="1156" t="s">
        <v>1486</v>
      </c>
      <c r="X45" s="811">
        <f t="shared" si="32"/>
        <v>5831690.065591759</v>
      </c>
      <c r="Y45" s="811">
        <f t="shared" si="33"/>
        <v>4161132.9783941465</v>
      </c>
      <c r="Z45" s="811">
        <f t="shared" si="34"/>
        <v>1670557.0871976125</v>
      </c>
      <c r="AA45" s="811">
        <f t="shared" si="35"/>
        <v>-5831690.065591759</v>
      </c>
      <c r="AB45" s="811">
        <f t="shared" si="36"/>
        <v>-4161496.6366827898</v>
      </c>
      <c r="AC45" s="811">
        <f t="shared" si="37"/>
        <v>-1494855.1982880502</v>
      </c>
      <c r="AD45" s="811">
        <f t="shared" si="38"/>
        <v>-175338.23062091903</v>
      </c>
      <c r="AE45" s="811">
        <f t="shared" si="39"/>
        <v>-1200.9476385135906</v>
      </c>
      <c r="AF45" s="811">
        <f t="shared" si="40"/>
        <v>-3976.0617413363598</v>
      </c>
      <c r="AG45" s="811"/>
      <c r="AH45" s="811"/>
      <c r="AI45" s="811"/>
      <c r="AJ45" s="811"/>
      <c r="AL45" s="811">
        <f t="shared" si="41"/>
        <v>0</v>
      </c>
      <c r="AM45" s="811">
        <f t="shared" si="42"/>
        <v>0</v>
      </c>
      <c r="AN45" s="811">
        <f t="shared" si="43"/>
        <v>0</v>
      </c>
      <c r="AO45" s="811">
        <f t="shared" ref="AO45:AP45" si="51">IF($P33=0,0,$P45*T33/$P33)</f>
        <v>0</v>
      </c>
      <c r="AP45" s="811">
        <f t="shared" si="51"/>
        <v>0</v>
      </c>
      <c r="AR45" s="1178"/>
      <c r="AS45" s="1178"/>
      <c r="AT45" s="1178"/>
    </row>
    <row r="46" spans="1:46">
      <c r="A46" s="1160" t="s">
        <v>1281</v>
      </c>
      <c r="B46" s="1161">
        <f t="shared" si="29"/>
        <v>282579</v>
      </c>
      <c r="C46" s="1161">
        <f t="shared" si="29"/>
        <v>0</v>
      </c>
      <c r="D46" s="1161">
        <f t="shared" si="29"/>
        <v>0</v>
      </c>
      <c r="E46" s="1161">
        <f t="shared" si="29"/>
        <v>0</v>
      </c>
      <c r="F46" s="1161">
        <f t="shared" si="29"/>
        <v>0</v>
      </c>
      <c r="G46" s="1161">
        <f t="shared" si="29"/>
        <v>0</v>
      </c>
      <c r="H46" s="1161">
        <f t="shared" si="29"/>
        <v>0</v>
      </c>
      <c r="I46" s="1161">
        <f t="shared" si="29"/>
        <v>0</v>
      </c>
      <c r="J46" s="1161">
        <f t="shared" si="29"/>
        <v>0</v>
      </c>
      <c r="K46" s="1161">
        <f t="shared" si="29"/>
        <v>0</v>
      </c>
      <c r="L46" s="1161">
        <f t="shared" si="30"/>
        <v>13984</v>
      </c>
      <c r="M46" s="1161">
        <f t="shared" si="30"/>
        <v>76552</v>
      </c>
      <c r="N46" s="1161">
        <f t="shared" si="30"/>
        <v>23235</v>
      </c>
      <c r="O46" s="1161">
        <f t="shared" si="30"/>
        <v>168808</v>
      </c>
      <c r="P46" s="1161">
        <f t="shared" si="30"/>
        <v>0</v>
      </c>
      <c r="Q46" s="1161">
        <f t="shared" si="30"/>
        <v>0</v>
      </c>
      <c r="R46" s="1161">
        <f t="shared" si="30"/>
        <v>0</v>
      </c>
      <c r="S46" s="1161">
        <f t="shared" si="30"/>
        <v>0</v>
      </c>
      <c r="T46" s="1161">
        <f t="shared" si="30"/>
        <v>0</v>
      </c>
      <c r="U46" s="1161">
        <f t="shared" si="30"/>
        <v>0</v>
      </c>
      <c r="V46" s="1156" t="s">
        <v>1486</v>
      </c>
      <c r="X46" s="811">
        <f t="shared" si="32"/>
        <v>0</v>
      </c>
      <c r="Y46" s="811">
        <f t="shared" si="33"/>
        <v>0</v>
      </c>
      <c r="Z46" s="811">
        <f t="shared" si="34"/>
        <v>0</v>
      </c>
      <c r="AA46" s="811">
        <f t="shared" si="35"/>
        <v>0</v>
      </c>
      <c r="AB46" s="811">
        <f t="shared" si="36"/>
        <v>0</v>
      </c>
      <c r="AC46" s="811">
        <f t="shared" si="37"/>
        <v>0</v>
      </c>
      <c r="AD46" s="811">
        <f t="shared" si="38"/>
        <v>0</v>
      </c>
      <c r="AE46" s="811">
        <f t="shared" si="39"/>
        <v>0</v>
      </c>
      <c r="AF46" s="811">
        <f t="shared" si="40"/>
        <v>0</v>
      </c>
      <c r="AG46" s="811"/>
      <c r="AH46" s="811"/>
      <c r="AI46" s="811"/>
      <c r="AJ46" s="811"/>
      <c r="AL46" s="811">
        <f t="shared" si="41"/>
        <v>0</v>
      </c>
      <c r="AM46" s="811">
        <f t="shared" si="42"/>
        <v>0</v>
      </c>
      <c r="AN46" s="811">
        <f t="shared" si="43"/>
        <v>0</v>
      </c>
      <c r="AO46" s="811">
        <f t="shared" ref="AO46:AP46" si="52">IF($P34=0,0,$P46*T34/$P34)</f>
        <v>0</v>
      </c>
      <c r="AP46" s="811">
        <f t="shared" si="52"/>
        <v>0</v>
      </c>
      <c r="AR46" s="1178"/>
      <c r="AS46" s="1178"/>
      <c r="AT46" s="1178"/>
    </row>
    <row r="47" spans="1:46">
      <c r="A47" s="1160" t="s">
        <v>1282</v>
      </c>
      <c r="B47" s="1161">
        <f t="shared" si="29"/>
        <v>1932751</v>
      </c>
      <c r="C47" s="1161">
        <f t="shared" si="29"/>
        <v>0</v>
      </c>
      <c r="D47" s="1161">
        <f t="shared" si="29"/>
        <v>0</v>
      </c>
      <c r="E47" s="1161">
        <f t="shared" si="29"/>
        <v>0</v>
      </c>
      <c r="F47" s="1161">
        <f t="shared" si="29"/>
        <v>0</v>
      </c>
      <c r="G47" s="1161">
        <f t="shared" si="29"/>
        <v>0</v>
      </c>
      <c r="H47" s="1161">
        <f t="shared" si="29"/>
        <v>0</v>
      </c>
      <c r="I47" s="1161">
        <f t="shared" si="29"/>
        <v>0</v>
      </c>
      <c r="J47" s="1161">
        <f t="shared" si="29"/>
        <v>0</v>
      </c>
      <c r="K47" s="1161">
        <f t="shared" si="29"/>
        <v>0</v>
      </c>
      <c r="L47" s="1161">
        <f t="shared" si="30"/>
        <v>0</v>
      </c>
      <c r="M47" s="1161">
        <f t="shared" si="30"/>
        <v>0</v>
      </c>
      <c r="N47" s="1161">
        <f t="shared" si="30"/>
        <v>0</v>
      </c>
      <c r="O47" s="1161">
        <f t="shared" si="30"/>
        <v>0</v>
      </c>
      <c r="P47" s="1161">
        <f t="shared" si="30"/>
        <v>619774</v>
      </c>
      <c r="Q47" s="1161">
        <f t="shared" si="30"/>
        <v>453083</v>
      </c>
      <c r="R47" s="1161">
        <f t="shared" si="30"/>
        <v>131090</v>
      </c>
      <c r="S47" s="1161">
        <f t="shared" si="30"/>
        <v>35444</v>
      </c>
      <c r="T47" s="1161">
        <f t="shared" si="30"/>
        <v>119</v>
      </c>
      <c r="U47" s="1161">
        <f t="shared" si="30"/>
        <v>38</v>
      </c>
      <c r="V47" s="1156" t="s">
        <v>1486</v>
      </c>
      <c r="X47" s="811">
        <f t="shared" si="32"/>
        <v>0</v>
      </c>
      <c r="Y47" s="811">
        <f t="shared" si="33"/>
        <v>0</v>
      </c>
      <c r="Z47" s="811">
        <f t="shared" si="34"/>
        <v>0</v>
      </c>
      <c r="AA47" s="811">
        <f t="shared" si="35"/>
        <v>0</v>
      </c>
      <c r="AB47" s="811">
        <f t="shared" si="36"/>
        <v>0</v>
      </c>
      <c r="AC47" s="811">
        <f t="shared" si="37"/>
        <v>0</v>
      </c>
      <c r="AD47" s="811">
        <f t="shared" si="38"/>
        <v>0</v>
      </c>
      <c r="AE47" s="811">
        <f t="shared" si="39"/>
        <v>0</v>
      </c>
      <c r="AF47" s="811">
        <f t="shared" si="40"/>
        <v>0</v>
      </c>
      <c r="AG47" s="811"/>
      <c r="AH47" s="811"/>
      <c r="AI47" s="811"/>
      <c r="AJ47" s="811"/>
      <c r="AL47" s="811">
        <f t="shared" si="41"/>
        <v>-237000.94974032958</v>
      </c>
      <c r="AM47" s="811">
        <f t="shared" si="42"/>
        <v>-54464.174640331796</v>
      </c>
      <c r="AN47" s="811">
        <f t="shared" si="43"/>
        <v>-22792.336866874568</v>
      </c>
      <c r="AO47" s="811">
        <f t="shared" ref="AO47:AP47" si="53">IF($P35=0,0,$P47*T35/$P35)</f>
        <v>232274.64791288567</v>
      </c>
      <c r="AP47" s="811">
        <f t="shared" si="53"/>
        <v>81982.813334650258</v>
      </c>
      <c r="AR47" s="1178">
        <f>L46/(L46+M46)</f>
        <v>0.15445789520190864</v>
      </c>
      <c r="AS47" s="1178"/>
      <c r="AT47" s="1178">
        <f>N46/(N46+O46)</f>
        <v>0.12098852861077988</v>
      </c>
    </row>
    <row r="48" spans="1:46">
      <c r="A48" s="1160" t="s">
        <v>1283</v>
      </c>
      <c r="B48" s="1161">
        <f t="shared" si="29"/>
        <v>15501</v>
      </c>
      <c r="C48" s="1161">
        <f t="shared" si="29"/>
        <v>0</v>
      </c>
      <c r="D48" s="1161">
        <f t="shared" si="29"/>
        <v>0</v>
      </c>
      <c r="E48" s="1161">
        <f t="shared" si="29"/>
        <v>0</v>
      </c>
      <c r="F48" s="1161">
        <f t="shared" si="29"/>
        <v>0</v>
      </c>
      <c r="G48" s="1161">
        <f t="shared" si="29"/>
        <v>0</v>
      </c>
      <c r="H48" s="1161">
        <f t="shared" si="29"/>
        <v>0</v>
      </c>
      <c r="I48" s="1161">
        <f t="shared" si="29"/>
        <v>0</v>
      </c>
      <c r="J48" s="1161">
        <f t="shared" si="29"/>
        <v>0</v>
      </c>
      <c r="K48" s="1161">
        <f t="shared" si="29"/>
        <v>0</v>
      </c>
      <c r="L48" s="1161">
        <f t="shared" si="30"/>
        <v>0</v>
      </c>
      <c r="M48" s="1161">
        <f t="shared" si="30"/>
        <v>0</v>
      </c>
      <c r="N48" s="1161">
        <f t="shared" si="30"/>
        <v>0</v>
      </c>
      <c r="O48" s="1161">
        <f t="shared" si="30"/>
        <v>0</v>
      </c>
      <c r="P48" s="1161">
        <f t="shared" si="30"/>
        <v>5486</v>
      </c>
      <c r="Q48" s="1161">
        <f t="shared" si="30"/>
        <v>4337</v>
      </c>
      <c r="R48" s="1161">
        <f t="shared" si="30"/>
        <v>1123</v>
      </c>
      <c r="S48" s="1161">
        <f t="shared" si="30"/>
        <v>26</v>
      </c>
      <c r="T48" s="1161">
        <f t="shared" si="30"/>
        <v>0</v>
      </c>
      <c r="U48" s="1161">
        <f t="shared" si="30"/>
        <v>0</v>
      </c>
      <c r="V48" s="1156" t="s">
        <v>1486</v>
      </c>
      <c r="X48" s="811">
        <f t="shared" si="32"/>
        <v>0</v>
      </c>
      <c r="Y48" s="811">
        <f t="shared" si="33"/>
        <v>0</v>
      </c>
      <c r="Z48" s="811">
        <f t="shared" si="34"/>
        <v>0</v>
      </c>
      <c r="AA48" s="811">
        <f t="shared" si="35"/>
        <v>0</v>
      </c>
      <c r="AB48" s="811">
        <f t="shared" si="36"/>
        <v>0</v>
      </c>
      <c r="AC48" s="811">
        <f t="shared" si="37"/>
        <v>0</v>
      </c>
      <c r="AD48" s="811">
        <f t="shared" si="38"/>
        <v>0</v>
      </c>
      <c r="AE48" s="811">
        <f t="shared" si="39"/>
        <v>0</v>
      </c>
      <c r="AF48" s="811">
        <f t="shared" si="40"/>
        <v>0</v>
      </c>
      <c r="AG48" s="811"/>
      <c r="AH48" s="811"/>
      <c r="AI48" s="811"/>
      <c r="AJ48" s="811"/>
      <c r="AL48" s="811">
        <f t="shared" si="41"/>
        <v>-2209.9434834897761</v>
      </c>
      <c r="AM48" s="811">
        <f t="shared" si="42"/>
        <v>-596.76174205734355</v>
      </c>
      <c r="AN48" s="811">
        <f t="shared" si="43"/>
        <v>0</v>
      </c>
      <c r="AO48" s="811">
        <f t="shared" ref="AO48:AP48" si="54">IF($P36=0,0,$P48*T36/$P36)</f>
        <v>2181.9039749888343</v>
      </c>
      <c r="AP48" s="811">
        <f t="shared" si="54"/>
        <v>624.80125055828501</v>
      </c>
    </row>
    <row r="50" spans="1:22" ht="25.5">
      <c r="A50" s="878" t="s">
        <v>1287</v>
      </c>
    </row>
    <row r="51" spans="1:22">
      <c r="A51" s="1164" t="s">
        <v>1284</v>
      </c>
      <c r="B51" s="1164" t="s">
        <v>70</v>
      </c>
      <c r="C51" s="1164" t="s">
        <v>626</v>
      </c>
      <c r="D51" s="1164" t="s">
        <v>640</v>
      </c>
      <c r="E51" s="1164" t="s">
        <v>641</v>
      </c>
      <c r="F51" s="1164" t="s">
        <v>622</v>
      </c>
      <c r="G51" s="1164" t="s">
        <v>623</v>
      </c>
      <c r="H51" s="1164" t="s">
        <v>624</v>
      </c>
      <c r="I51" s="1164" t="s">
        <v>625</v>
      </c>
      <c r="J51" s="1164" t="s">
        <v>650</v>
      </c>
      <c r="K51" s="1164" t="s">
        <v>649</v>
      </c>
      <c r="L51" s="1164" t="s">
        <v>1153</v>
      </c>
      <c r="M51" s="1164" t="s">
        <v>1154</v>
      </c>
      <c r="N51" s="1164" t="s">
        <v>1155</v>
      </c>
      <c r="O51" s="1164" t="s">
        <v>1156</v>
      </c>
      <c r="P51" s="1164" t="s">
        <v>1222</v>
      </c>
      <c r="Q51" s="1164" t="s">
        <v>1261</v>
      </c>
      <c r="R51" s="1164" t="s">
        <v>1262</v>
      </c>
      <c r="S51" s="1164" t="s">
        <v>1285</v>
      </c>
      <c r="T51" s="1164" t="s">
        <v>1263</v>
      </c>
      <c r="U51" s="1164" t="s">
        <v>1264</v>
      </c>
      <c r="V51" s="1164" t="s">
        <v>1479</v>
      </c>
    </row>
    <row r="52" spans="1:22" s="1170" customFormat="1">
      <c r="A52" s="1167" t="s">
        <v>1273</v>
      </c>
      <c r="B52" s="1168">
        <v>499941</v>
      </c>
      <c r="C52" s="1168">
        <v>280787</v>
      </c>
      <c r="D52" s="1168">
        <v>204844</v>
      </c>
      <c r="E52" s="1168">
        <v>75943</v>
      </c>
      <c r="F52" s="1168">
        <v>219154</v>
      </c>
      <c r="G52" s="1168">
        <v>167561</v>
      </c>
      <c r="H52" s="1168">
        <v>40065</v>
      </c>
      <c r="I52" s="1168">
        <v>11528</v>
      </c>
      <c r="J52" s="1168">
        <v>0</v>
      </c>
      <c r="K52" s="1168">
        <v>0</v>
      </c>
      <c r="L52" s="1168">
        <v>0</v>
      </c>
      <c r="M52" s="1168">
        <v>0</v>
      </c>
      <c r="N52" s="1168">
        <v>0</v>
      </c>
      <c r="O52" s="1168">
        <v>0</v>
      </c>
      <c r="P52" s="1168">
        <v>0</v>
      </c>
      <c r="Q52" s="1168">
        <v>0</v>
      </c>
      <c r="R52" s="1168">
        <v>0</v>
      </c>
      <c r="S52" s="1168">
        <v>0</v>
      </c>
      <c r="T52" s="1168">
        <v>0</v>
      </c>
      <c r="U52" s="1168">
        <v>0</v>
      </c>
      <c r="V52" s="1169" t="s">
        <v>1485</v>
      </c>
    </row>
    <row r="53" spans="1:22" s="1170" customFormat="1">
      <c r="A53" s="1167" t="s">
        <v>1275</v>
      </c>
      <c r="B53" s="1168">
        <v>2176</v>
      </c>
      <c r="C53" s="1168">
        <v>774</v>
      </c>
      <c r="D53" s="1168">
        <v>578</v>
      </c>
      <c r="E53" s="1168">
        <v>196</v>
      </c>
      <c r="F53" s="1168">
        <v>1402</v>
      </c>
      <c r="G53" s="1168">
        <v>1177</v>
      </c>
      <c r="H53" s="1168">
        <v>225</v>
      </c>
      <c r="I53" s="1168">
        <v>0</v>
      </c>
      <c r="J53" s="1168">
        <v>0</v>
      </c>
      <c r="K53" s="1168">
        <v>0</v>
      </c>
      <c r="L53" s="1168">
        <v>0</v>
      </c>
      <c r="M53" s="1168">
        <v>0</v>
      </c>
      <c r="N53" s="1168">
        <v>0</v>
      </c>
      <c r="O53" s="1168">
        <v>0</v>
      </c>
      <c r="P53" s="1168">
        <v>0</v>
      </c>
      <c r="Q53" s="1168">
        <v>0</v>
      </c>
      <c r="R53" s="1168">
        <v>0</v>
      </c>
      <c r="S53" s="1168">
        <v>0</v>
      </c>
      <c r="T53" s="1168">
        <v>0</v>
      </c>
      <c r="U53" s="1168">
        <v>0</v>
      </c>
      <c r="V53" s="1169" t="s">
        <v>1485</v>
      </c>
    </row>
    <row r="54" spans="1:22" s="1170" customFormat="1">
      <c r="A54" s="1167" t="s">
        <v>1276</v>
      </c>
      <c r="B54" s="1168">
        <v>910045</v>
      </c>
      <c r="C54" s="1168">
        <v>483774</v>
      </c>
      <c r="D54" s="1168">
        <v>321680</v>
      </c>
      <c r="E54" s="1168">
        <v>162094</v>
      </c>
      <c r="F54" s="1168">
        <v>426271</v>
      </c>
      <c r="G54" s="1168">
        <v>261185</v>
      </c>
      <c r="H54" s="1168">
        <v>103093</v>
      </c>
      <c r="I54" s="1168">
        <v>61993</v>
      </c>
      <c r="J54" s="1168">
        <v>38</v>
      </c>
      <c r="K54" s="1168">
        <v>272</v>
      </c>
      <c r="L54" s="1168">
        <v>0</v>
      </c>
      <c r="M54" s="1168">
        <v>0</v>
      </c>
      <c r="N54" s="1168">
        <v>0</v>
      </c>
      <c r="O54" s="1168">
        <v>0</v>
      </c>
      <c r="P54" s="1168">
        <v>0</v>
      </c>
      <c r="Q54" s="1168">
        <v>0</v>
      </c>
      <c r="R54" s="1168">
        <v>0</v>
      </c>
      <c r="S54" s="1168">
        <v>0</v>
      </c>
      <c r="T54" s="1168">
        <v>0</v>
      </c>
      <c r="U54" s="1168">
        <v>0</v>
      </c>
      <c r="V54" s="1169" t="s">
        <v>1485</v>
      </c>
    </row>
    <row r="55" spans="1:22" s="1170" customFormat="1">
      <c r="A55" s="1167" t="s">
        <v>1277</v>
      </c>
      <c r="B55" s="1168">
        <v>15266</v>
      </c>
      <c r="C55" s="1168">
        <v>6944</v>
      </c>
      <c r="D55" s="1168">
        <v>5666</v>
      </c>
      <c r="E55" s="1168">
        <v>1278</v>
      </c>
      <c r="F55" s="1168">
        <v>8322</v>
      </c>
      <c r="G55" s="1168">
        <v>6958</v>
      </c>
      <c r="H55" s="1168">
        <v>1313</v>
      </c>
      <c r="I55" s="1168">
        <v>51</v>
      </c>
      <c r="J55" s="1168">
        <v>0</v>
      </c>
      <c r="K55" s="1168">
        <v>0</v>
      </c>
      <c r="L55" s="1168">
        <v>0</v>
      </c>
      <c r="M55" s="1168">
        <v>0</v>
      </c>
      <c r="N55" s="1168">
        <v>0</v>
      </c>
      <c r="O55" s="1168">
        <v>0</v>
      </c>
      <c r="P55" s="1168">
        <v>0</v>
      </c>
      <c r="Q55" s="1168">
        <v>0</v>
      </c>
      <c r="R55" s="1168">
        <v>0</v>
      </c>
      <c r="S55" s="1168">
        <v>0</v>
      </c>
      <c r="T55" s="1168">
        <v>0</v>
      </c>
      <c r="U55" s="1168">
        <v>0</v>
      </c>
      <c r="V55" s="1169" t="s">
        <v>1485</v>
      </c>
    </row>
    <row r="56" spans="1:22" s="1170" customFormat="1">
      <c r="A56" s="1167" t="s">
        <v>1278</v>
      </c>
      <c r="B56" s="1168">
        <v>121024695</v>
      </c>
      <c r="C56" s="1168">
        <v>61317560</v>
      </c>
      <c r="D56" s="1168">
        <v>40405620</v>
      </c>
      <c r="E56" s="1168">
        <v>20911940</v>
      </c>
      <c r="F56" s="1168">
        <v>59707135</v>
      </c>
      <c r="G56" s="1168">
        <v>38780926</v>
      </c>
      <c r="H56" s="1168">
        <v>16817206</v>
      </c>
      <c r="I56" s="1168">
        <v>4109003</v>
      </c>
      <c r="J56" s="1168">
        <v>0</v>
      </c>
      <c r="K56" s="1168">
        <v>0</v>
      </c>
      <c r="L56" s="1168">
        <v>0</v>
      </c>
      <c r="M56" s="1168">
        <v>0</v>
      </c>
      <c r="N56" s="1168">
        <v>0</v>
      </c>
      <c r="O56" s="1168">
        <v>0</v>
      </c>
      <c r="P56" s="1168">
        <v>0</v>
      </c>
      <c r="Q56" s="1168">
        <v>0</v>
      </c>
      <c r="R56" s="1168">
        <v>0</v>
      </c>
      <c r="S56" s="1168">
        <v>0</v>
      </c>
      <c r="T56" s="1168">
        <v>0</v>
      </c>
      <c r="U56" s="1168">
        <v>0</v>
      </c>
      <c r="V56" s="1169" t="s">
        <v>1485</v>
      </c>
    </row>
    <row r="57" spans="1:22" s="1170" customFormat="1">
      <c r="A57" s="1167" t="s">
        <v>1279</v>
      </c>
      <c r="B57" s="1168">
        <v>60165</v>
      </c>
      <c r="C57" s="1168">
        <v>30403</v>
      </c>
      <c r="D57" s="1168">
        <v>19191</v>
      </c>
      <c r="E57" s="1168">
        <v>11212</v>
      </c>
      <c r="F57" s="1168">
        <v>29762</v>
      </c>
      <c r="G57" s="1168">
        <v>21007</v>
      </c>
      <c r="H57" s="1168">
        <v>7336</v>
      </c>
      <c r="I57" s="1168">
        <v>1419</v>
      </c>
      <c r="J57" s="1168">
        <v>4181</v>
      </c>
      <c r="K57" s="1168">
        <v>25580</v>
      </c>
      <c r="L57" s="1168">
        <v>0</v>
      </c>
      <c r="M57" s="1168">
        <v>0</v>
      </c>
      <c r="N57" s="1168">
        <v>0</v>
      </c>
      <c r="O57" s="1168">
        <v>0</v>
      </c>
      <c r="P57" s="1168">
        <v>0</v>
      </c>
      <c r="Q57" s="1168">
        <v>0</v>
      </c>
      <c r="R57" s="1168">
        <v>0</v>
      </c>
      <c r="S57" s="1168">
        <v>0</v>
      </c>
      <c r="T57" s="1168">
        <v>0</v>
      </c>
      <c r="U57" s="1168">
        <v>0</v>
      </c>
      <c r="V57" s="1169" t="s">
        <v>1485</v>
      </c>
    </row>
    <row r="58" spans="1:22" s="1170" customFormat="1">
      <c r="A58" s="1167" t="s">
        <v>1280</v>
      </c>
      <c r="B58" s="1168">
        <v>3351904</v>
      </c>
      <c r="C58" s="1168">
        <v>1690930</v>
      </c>
      <c r="D58" s="1168">
        <v>1215742</v>
      </c>
      <c r="E58" s="1168">
        <v>475188</v>
      </c>
      <c r="F58" s="1168">
        <v>1660974</v>
      </c>
      <c r="G58" s="1168">
        <v>1192412</v>
      </c>
      <c r="H58" s="1168">
        <v>418269</v>
      </c>
      <c r="I58" s="1168">
        <v>50293</v>
      </c>
      <c r="J58" s="1168">
        <v>216</v>
      </c>
      <c r="K58" s="1168">
        <v>940</v>
      </c>
      <c r="L58" s="1168">
        <v>0</v>
      </c>
      <c r="M58" s="1168">
        <v>0</v>
      </c>
      <c r="N58" s="1168">
        <v>0</v>
      </c>
      <c r="O58" s="1168">
        <v>0</v>
      </c>
      <c r="P58" s="1168">
        <v>0</v>
      </c>
      <c r="Q58" s="1168">
        <v>0</v>
      </c>
      <c r="R58" s="1168">
        <v>0</v>
      </c>
      <c r="S58" s="1168">
        <v>0</v>
      </c>
      <c r="T58" s="1168">
        <v>0</v>
      </c>
      <c r="U58" s="1168">
        <v>0</v>
      </c>
      <c r="V58" s="1169" t="s">
        <v>1485</v>
      </c>
    </row>
    <row r="59" spans="1:22" s="1170" customFormat="1">
      <c r="A59" s="1167" t="s">
        <v>1281</v>
      </c>
      <c r="B59" s="1168">
        <v>77044</v>
      </c>
      <c r="C59" s="1168">
        <v>0</v>
      </c>
      <c r="D59" s="1168">
        <v>0</v>
      </c>
      <c r="E59" s="1168">
        <v>0</v>
      </c>
      <c r="F59" s="1168">
        <v>0</v>
      </c>
      <c r="G59" s="1168">
        <v>0</v>
      </c>
      <c r="H59" s="1168">
        <v>0</v>
      </c>
      <c r="I59" s="1168">
        <v>0</v>
      </c>
      <c r="J59" s="1168">
        <v>0</v>
      </c>
      <c r="K59" s="1168">
        <v>0</v>
      </c>
      <c r="L59" s="1168">
        <v>3710</v>
      </c>
      <c r="M59" s="1168">
        <v>20233</v>
      </c>
      <c r="N59" s="1168">
        <v>6757</v>
      </c>
      <c r="O59" s="1168">
        <v>46344</v>
      </c>
      <c r="P59" s="1168">
        <v>0</v>
      </c>
      <c r="Q59" s="1168">
        <v>0</v>
      </c>
      <c r="R59" s="1168">
        <v>0</v>
      </c>
      <c r="S59" s="1168">
        <v>0</v>
      </c>
      <c r="T59" s="1168">
        <v>0</v>
      </c>
      <c r="U59" s="1168">
        <v>0</v>
      </c>
      <c r="V59" s="1169" t="s">
        <v>1485</v>
      </c>
    </row>
    <row r="60" spans="1:22" s="1170" customFormat="1">
      <c r="A60" s="1167" t="s">
        <v>1282</v>
      </c>
      <c r="B60" s="1168">
        <v>601604</v>
      </c>
      <c r="C60" s="1168">
        <v>0</v>
      </c>
      <c r="D60" s="1168">
        <v>0</v>
      </c>
      <c r="E60" s="1168">
        <v>0</v>
      </c>
      <c r="F60" s="1168">
        <v>0</v>
      </c>
      <c r="G60" s="1168">
        <v>0</v>
      </c>
      <c r="H60" s="1168">
        <v>0</v>
      </c>
      <c r="I60" s="1168">
        <v>0</v>
      </c>
      <c r="J60" s="1168">
        <v>0</v>
      </c>
      <c r="K60" s="1168">
        <v>0</v>
      </c>
      <c r="L60" s="1168">
        <v>0</v>
      </c>
      <c r="M60" s="1168">
        <v>0</v>
      </c>
      <c r="N60" s="1168">
        <v>0</v>
      </c>
      <c r="O60" s="1168">
        <v>0</v>
      </c>
      <c r="P60" s="1168">
        <v>174013</v>
      </c>
      <c r="Q60" s="1168">
        <v>68497</v>
      </c>
      <c r="R60" s="1168">
        <v>13075</v>
      </c>
      <c r="S60" s="1168">
        <v>5071</v>
      </c>
      <c r="T60" s="1168">
        <v>63106</v>
      </c>
      <c r="U60" s="1168">
        <v>24264</v>
      </c>
      <c r="V60" s="1169" t="s">
        <v>1485</v>
      </c>
    </row>
    <row r="61" spans="1:22" s="1170" customFormat="1">
      <c r="A61" s="1167" t="s">
        <v>1283</v>
      </c>
      <c r="B61" s="1168">
        <v>4634</v>
      </c>
      <c r="C61" s="1168">
        <v>0</v>
      </c>
      <c r="D61" s="1168">
        <v>0</v>
      </c>
      <c r="E61" s="1168">
        <v>0</v>
      </c>
      <c r="F61" s="1168">
        <v>0</v>
      </c>
      <c r="G61" s="1168">
        <v>0</v>
      </c>
      <c r="H61" s="1168">
        <v>0</v>
      </c>
      <c r="I61" s="1168">
        <v>0</v>
      </c>
      <c r="J61" s="1168">
        <v>0</v>
      </c>
      <c r="K61" s="1168">
        <v>0</v>
      </c>
      <c r="L61" s="1168">
        <v>0</v>
      </c>
      <c r="M61" s="1168">
        <v>0</v>
      </c>
      <c r="N61" s="1168">
        <v>0</v>
      </c>
      <c r="O61" s="1168">
        <v>0</v>
      </c>
      <c r="P61" s="1168">
        <v>1574</v>
      </c>
      <c r="Q61" s="1168">
        <v>676</v>
      </c>
      <c r="R61" s="1168">
        <v>24</v>
      </c>
      <c r="S61" s="1168">
        <v>0</v>
      </c>
      <c r="T61" s="1168">
        <v>776</v>
      </c>
      <c r="U61" s="1168">
        <v>98</v>
      </c>
      <c r="V61" s="1169" t="s">
        <v>1485</v>
      </c>
    </row>
    <row r="62" spans="1:22">
      <c r="A62" s="1160" t="s">
        <v>1273</v>
      </c>
      <c r="B62" s="1161">
        <v>580313</v>
      </c>
      <c r="C62" s="1161">
        <v>184</v>
      </c>
      <c r="D62" s="1161">
        <v>124</v>
      </c>
      <c r="E62" s="1161">
        <v>60</v>
      </c>
      <c r="F62" s="1161">
        <v>580129</v>
      </c>
      <c r="G62" s="1161">
        <v>428690</v>
      </c>
      <c r="H62" s="1161">
        <v>124574</v>
      </c>
      <c r="I62" s="1161">
        <v>26865</v>
      </c>
      <c r="J62" s="1161">
        <v>0</v>
      </c>
      <c r="K62" s="1161">
        <v>0</v>
      </c>
      <c r="L62" s="1161">
        <v>0</v>
      </c>
      <c r="M62" s="1161">
        <v>0</v>
      </c>
      <c r="N62" s="1161">
        <v>0</v>
      </c>
      <c r="O62" s="1161">
        <v>0</v>
      </c>
      <c r="P62" s="1161">
        <v>0</v>
      </c>
      <c r="Q62" s="1161">
        <v>0</v>
      </c>
      <c r="R62" s="1161">
        <v>0</v>
      </c>
      <c r="S62" s="1161">
        <v>0</v>
      </c>
      <c r="T62" s="1161">
        <v>0</v>
      </c>
      <c r="U62" s="1161">
        <v>0</v>
      </c>
      <c r="V62" s="1156" t="s">
        <v>1486</v>
      </c>
    </row>
    <row r="63" spans="1:22">
      <c r="A63" s="1160" t="s">
        <v>1275</v>
      </c>
      <c r="B63" s="1161">
        <v>2234</v>
      </c>
      <c r="C63" s="1161">
        <v>0</v>
      </c>
      <c r="D63" s="1161">
        <v>0</v>
      </c>
      <c r="E63" s="1161">
        <v>0</v>
      </c>
      <c r="F63" s="1161">
        <v>2234</v>
      </c>
      <c r="G63" s="1161">
        <v>1924</v>
      </c>
      <c r="H63" s="1161">
        <v>310</v>
      </c>
      <c r="I63" s="1161">
        <v>0</v>
      </c>
      <c r="J63" s="1161">
        <v>0</v>
      </c>
      <c r="K63" s="1161">
        <v>0</v>
      </c>
      <c r="L63" s="1161">
        <v>0</v>
      </c>
      <c r="M63" s="1161">
        <v>0</v>
      </c>
      <c r="N63" s="1161">
        <v>0</v>
      </c>
      <c r="O63" s="1161">
        <v>0</v>
      </c>
      <c r="P63" s="1161">
        <v>0</v>
      </c>
      <c r="Q63" s="1161">
        <v>0</v>
      </c>
      <c r="R63" s="1161">
        <v>0</v>
      </c>
      <c r="S63" s="1161">
        <v>0</v>
      </c>
      <c r="T63" s="1161">
        <v>0</v>
      </c>
      <c r="U63" s="1161">
        <v>0</v>
      </c>
      <c r="V63" s="1156" t="s">
        <v>1486</v>
      </c>
    </row>
    <row r="64" spans="1:22">
      <c r="A64" s="1160" t="s">
        <v>1276</v>
      </c>
      <c r="B64" s="1161">
        <v>976665</v>
      </c>
      <c r="C64" s="1161">
        <v>0</v>
      </c>
      <c r="D64" s="1161">
        <v>0</v>
      </c>
      <c r="E64" s="1161">
        <v>0</v>
      </c>
      <c r="F64" s="1161">
        <v>976665</v>
      </c>
      <c r="G64" s="1161">
        <v>591547</v>
      </c>
      <c r="H64" s="1161">
        <v>245751</v>
      </c>
      <c r="I64" s="1161">
        <v>139367</v>
      </c>
      <c r="J64" s="1161">
        <v>16</v>
      </c>
      <c r="K64" s="1161">
        <v>379</v>
      </c>
      <c r="L64" s="1161">
        <v>0</v>
      </c>
      <c r="M64" s="1161">
        <v>0</v>
      </c>
      <c r="N64" s="1161">
        <v>0</v>
      </c>
      <c r="O64" s="1161">
        <v>0</v>
      </c>
      <c r="P64" s="1161">
        <v>0</v>
      </c>
      <c r="Q64" s="1161">
        <v>0</v>
      </c>
      <c r="R64" s="1161">
        <v>0</v>
      </c>
      <c r="S64" s="1161">
        <v>0</v>
      </c>
      <c r="T64" s="1161">
        <v>0</v>
      </c>
      <c r="U64" s="1161">
        <v>0</v>
      </c>
      <c r="V64" s="1156" t="s">
        <v>1486</v>
      </c>
    </row>
    <row r="65" spans="1:22">
      <c r="A65" s="1160" t="s">
        <v>1277</v>
      </c>
      <c r="B65" s="1161">
        <v>16095</v>
      </c>
      <c r="C65" s="1161">
        <v>0</v>
      </c>
      <c r="D65" s="1161">
        <v>0</v>
      </c>
      <c r="E65" s="1161">
        <v>0</v>
      </c>
      <c r="F65" s="1161">
        <v>16095</v>
      </c>
      <c r="G65" s="1161">
        <v>12909</v>
      </c>
      <c r="H65" s="1161">
        <v>3186</v>
      </c>
      <c r="I65" s="1161">
        <v>0</v>
      </c>
      <c r="J65" s="1161">
        <v>0</v>
      </c>
      <c r="K65" s="1161">
        <v>0</v>
      </c>
      <c r="L65" s="1161">
        <v>0</v>
      </c>
      <c r="M65" s="1161">
        <v>0</v>
      </c>
      <c r="N65" s="1161">
        <v>0</v>
      </c>
      <c r="O65" s="1161">
        <v>0</v>
      </c>
      <c r="P65" s="1161">
        <v>0</v>
      </c>
      <c r="Q65" s="1161">
        <v>0</v>
      </c>
      <c r="R65" s="1161">
        <v>0</v>
      </c>
      <c r="S65" s="1161">
        <v>0</v>
      </c>
      <c r="T65" s="1161">
        <v>0</v>
      </c>
      <c r="U65" s="1161">
        <v>0</v>
      </c>
      <c r="V65" s="1156" t="s">
        <v>1486</v>
      </c>
    </row>
    <row r="66" spans="1:22">
      <c r="A66" s="1160" t="s">
        <v>1278</v>
      </c>
      <c r="B66" s="1161">
        <v>137881716</v>
      </c>
      <c r="C66" s="1161">
        <v>6274</v>
      </c>
      <c r="D66" s="1161">
        <v>4787</v>
      </c>
      <c r="E66" s="1161">
        <v>1487</v>
      </c>
      <c r="F66" s="1161">
        <v>137875442</v>
      </c>
      <c r="G66" s="1161">
        <v>82090031</v>
      </c>
      <c r="H66" s="1161">
        <v>44173360</v>
      </c>
      <c r="I66" s="1161">
        <v>11612051</v>
      </c>
      <c r="J66" s="1161">
        <v>0</v>
      </c>
      <c r="K66" s="1161">
        <v>0</v>
      </c>
      <c r="L66" s="1161">
        <v>0</v>
      </c>
      <c r="M66" s="1161">
        <v>0</v>
      </c>
      <c r="N66" s="1161">
        <v>0</v>
      </c>
      <c r="O66" s="1161">
        <v>0</v>
      </c>
      <c r="P66" s="1161">
        <v>0</v>
      </c>
      <c r="Q66" s="1161">
        <v>0</v>
      </c>
      <c r="R66" s="1161">
        <v>0</v>
      </c>
      <c r="S66" s="1161">
        <v>0</v>
      </c>
      <c r="T66" s="1161">
        <v>0</v>
      </c>
      <c r="U66" s="1161">
        <v>0</v>
      </c>
      <c r="V66" s="1156" t="s">
        <v>1486</v>
      </c>
    </row>
    <row r="67" spans="1:22">
      <c r="A67" s="1160" t="s">
        <v>1279</v>
      </c>
      <c r="B67" s="1161">
        <v>67668</v>
      </c>
      <c r="C67" s="1161">
        <v>0</v>
      </c>
      <c r="D67" s="1161">
        <v>0</v>
      </c>
      <c r="E67" s="1161">
        <v>0</v>
      </c>
      <c r="F67" s="1161">
        <v>67668</v>
      </c>
      <c r="G67" s="1161">
        <v>41330</v>
      </c>
      <c r="H67" s="1161">
        <v>19781</v>
      </c>
      <c r="I67" s="1161">
        <v>6557</v>
      </c>
      <c r="J67" s="1161">
        <v>15756</v>
      </c>
      <c r="K67" s="1161">
        <v>51912</v>
      </c>
      <c r="L67" s="1161">
        <v>0</v>
      </c>
      <c r="M67" s="1161">
        <v>0</v>
      </c>
      <c r="N67" s="1161">
        <v>0</v>
      </c>
      <c r="O67" s="1161">
        <v>0</v>
      </c>
      <c r="P67" s="1161">
        <v>0</v>
      </c>
      <c r="Q67" s="1161">
        <v>0</v>
      </c>
      <c r="R67" s="1161">
        <v>0</v>
      </c>
      <c r="S67" s="1161">
        <v>0</v>
      </c>
      <c r="T67" s="1161">
        <v>0</v>
      </c>
      <c r="U67" s="1161">
        <v>0</v>
      </c>
      <c r="V67" s="1156" t="s">
        <v>1486</v>
      </c>
    </row>
    <row r="68" spans="1:22">
      <c r="A68" s="1160" t="s">
        <v>1280</v>
      </c>
      <c r="B68" s="1161">
        <v>3660823</v>
      </c>
      <c r="C68" s="1161">
        <v>129</v>
      </c>
      <c r="D68" s="1161">
        <v>122</v>
      </c>
      <c r="E68" s="1161">
        <v>7</v>
      </c>
      <c r="F68" s="1161">
        <v>3660694</v>
      </c>
      <c r="G68" s="1161">
        <v>2469257</v>
      </c>
      <c r="H68" s="1161">
        <v>1049988</v>
      </c>
      <c r="I68" s="1161">
        <v>141449</v>
      </c>
      <c r="J68" s="1161">
        <v>530</v>
      </c>
      <c r="K68" s="1161">
        <v>1323</v>
      </c>
      <c r="L68" s="1161">
        <v>0</v>
      </c>
      <c r="M68" s="1161">
        <v>0</v>
      </c>
      <c r="N68" s="1161">
        <v>0</v>
      </c>
      <c r="O68" s="1161">
        <v>0</v>
      </c>
      <c r="P68" s="1161">
        <v>0</v>
      </c>
      <c r="Q68" s="1161">
        <v>0</v>
      </c>
      <c r="R68" s="1161">
        <v>0</v>
      </c>
      <c r="S68" s="1161">
        <v>0</v>
      </c>
      <c r="T68" s="1161">
        <v>0</v>
      </c>
      <c r="U68" s="1161">
        <v>0</v>
      </c>
      <c r="V68" s="1156" t="s">
        <v>1486</v>
      </c>
    </row>
    <row r="69" spans="1:22">
      <c r="A69" s="1160" t="s">
        <v>1281</v>
      </c>
      <c r="B69" s="1161">
        <v>83062</v>
      </c>
      <c r="C69" s="1161">
        <v>0</v>
      </c>
      <c r="D69" s="1161">
        <v>0</v>
      </c>
      <c r="E69" s="1161">
        <v>0</v>
      </c>
      <c r="F69" s="1161">
        <v>0</v>
      </c>
      <c r="G69" s="1161">
        <v>0</v>
      </c>
      <c r="H69" s="1161">
        <v>0</v>
      </c>
      <c r="I69" s="1161">
        <v>0</v>
      </c>
      <c r="J69" s="1161">
        <v>0</v>
      </c>
      <c r="K69" s="1161">
        <v>0</v>
      </c>
      <c r="L69" s="1161">
        <v>3995</v>
      </c>
      <c r="M69" s="1161">
        <v>23106</v>
      </c>
      <c r="N69" s="1161">
        <v>7012</v>
      </c>
      <c r="O69" s="1161">
        <v>48949</v>
      </c>
      <c r="P69" s="1161">
        <v>0</v>
      </c>
      <c r="Q69" s="1161">
        <v>0</v>
      </c>
      <c r="R69" s="1161">
        <v>0</v>
      </c>
      <c r="S69" s="1161">
        <v>0</v>
      </c>
      <c r="T69" s="1161">
        <v>0</v>
      </c>
      <c r="U69" s="1161">
        <v>0</v>
      </c>
      <c r="V69" s="1156" t="s">
        <v>1486</v>
      </c>
    </row>
    <row r="70" spans="1:22">
      <c r="A70" s="1160" t="s">
        <v>1282</v>
      </c>
      <c r="B70" s="1161">
        <v>663478</v>
      </c>
      <c r="C70" s="1161">
        <v>0</v>
      </c>
      <c r="D70" s="1161">
        <v>0</v>
      </c>
      <c r="E70" s="1161">
        <v>0</v>
      </c>
      <c r="F70" s="1161">
        <v>0</v>
      </c>
      <c r="G70" s="1161">
        <v>0</v>
      </c>
      <c r="H70" s="1161">
        <v>0</v>
      </c>
      <c r="I70" s="1161">
        <v>0</v>
      </c>
      <c r="J70" s="1161">
        <v>0</v>
      </c>
      <c r="K70" s="1161">
        <v>0</v>
      </c>
      <c r="L70" s="1161">
        <v>0</v>
      </c>
      <c r="M70" s="1161">
        <v>0</v>
      </c>
      <c r="N70" s="1161">
        <v>0</v>
      </c>
      <c r="O70" s="1161">
        <v>0</v>
      </c>
      <c r="P70" s="1161">
        <v>217217</v>
      </c>
      <c r="Q70" s="1161">
        <v>161833</v>
      </c>
      <c r="R70" s="1161">
        <v>45344</v>
      </c>
      <c r="S70" s="1161">
        <v>10040</v>
      </c>
      <c r="T70" s="1161">
        <v>0</v>
      </c>
      <c r="U70" s="1161">
        <v>0</v>
      </c>
      <c r="V70" s="1156" t="s">
        <v>1486</v>
      </c>
    </row>
    <row r="71" spans="1:22">
      <c r="A71" s="1160" t="s">
        <v>1283</v>
      </c>
      <c r="B71" s="1161">
        <v>4740</v>
      </c>
      <c r="C71" s="1161">
        <v>0</v>
      </c>
      <c r="D71" s="1161">
        <v>0</v>
      </c>
      <c r="E71" s="1161">
        <v>0</v>
      </c>
      <c r="F71" s="1161">
        <v>0</v>
      </c>
      <c r="G71" s="1161">
        <v>0</v>
      </c>
      <c r="H71" s="1161">
        <v>0</v>
      </c>
      <c r="I71" s="1161">
        <v>0</v>
      </c>
      <c r="J71" s="1161">
        <v>0</v>
      </c>
      <c r="K71" s="1161">
        <v>0</v>
      </c>
      <c r="L71" s="1161">
        <v>0</v>
      </c>
      <c r="M71" s="1161">
        <v>0</v>
      </c>
      <c r="N71" s="1161">
        <v>0</v>
      </c>
      <c r="O71" s="1161">
        <v>0</v>
      </c>
      <c r="P71" s="1161">
        <v>1555</v>
      </c>
      <c r="Q71" s="1161">
        <v>1399</v>
      </c>
      <c r="R71" s="1161">
        <v>156</v>
      </c>
      <c r="S71" s="1161">
        <v>0</v>
      </c>
      <c r="T71" s="1161">
        <v>0</v>
      </c>
      <c r="U71" s="1161">
        <v>0</v>
      </c>
      <c r="V71" s="1156" t="s">
        <v>1486</v>
      </c>
    </row>
    <row r="73" spans="1:22" ht="38.25">
      <c r="A73" s="878" t="s">
        <v>1288</v>
      </c>
    </row>
    <row r="74" spans="1:22">
      <c r="A74" s="1164" t="s">
        <v>1284</v>
      </c>
      <c r="B74" s="1164" t="s">
        <v>70</v>
      </c>
      <c r="C74" s="1164" t="s">
        <v>626</v>
      </c>
      <c r="D74" s="1164" t="s">
        <v>640</v>
      </c>
      <c r="E74" s="1164" t="s">
        <v>641</v>
      </c>
      <c r="F74" s="1164" t="s">
        <v>622</v>
      </c>
      <c r="G74" s="1164" t="s">
        <v>623</v>
      </c>
      <c r="H74" s="1164" t="s">
        <v>624</v>
      </c>
      <c r="I74" s="1164" t="s">
        <v>625</v>
      </c>
      <c r="J74" s="1164" t="s">
        <v>650</v>
      </c>
      <c r="K74" s="1164" t="s">
        <v>649</v>
      </c>
      <c r="L74" s="1164" t="s">
        <v>1153</v>
      </c>
      <c r="M74" s="1164" t="s">
        <v>1154</v>
      </c>
      <c r="N74" s="1164" t="s">
        <v>1155</v>
      </c>
      <c r="O74" s="1164" t="s">
        <v>1156</v>
      </c>
      <c r="P74" s="1164" t="s">
        <v>1222</v>
      </c>
      <c r="Q74" s="1164" t="s">
        <v>1261</v>
      </c>
      <c r="R74" s="1164" t="s">
        <v>1262</v>
      </c>
      <c r="S74" s="1164" t="s">
        <v>1285</v>
      </c>
      <c r="T74" s="1164" t="s">
        <v>1263</v>
      </c>
      <c r="U74" s="1164" t="s">
        <v>1264</v>
      </c>
      <c r="V74" s="1164" t="s">
        <v>1479</v>
      </c>
    </row>
    <row r="75" spans="1:22" s="1170" customFormat="1">
      <c r="A75" s="1167" t="s">
        <v>1286</v>
      </c>
      <c r="B75" s="1168">
        <v>974</v>
      </c>
      <c r="C75" s="1168">
        <v>790</v>
      </c>
      <c r="D75" s="1168">
        <v>515</v>
      </c>
      <c r="E75" s="1168">
        <v>275</v>
      </c>
      <c r="F75" s="1168">
        <v>184</v>
      </c>
      <c r="G75" s="1168">
        <v>118</v>
      </c>
      <c r="H75" s="1168">
        <v>66</v>
      </c>
      <c r="I75" s="1168">
        <v>0</v>
      </c>
      <c r="J75" s="1168">
        <v>0</v>
      </c>
      <c r="K75" s="1168">
        <v>0</v>
      </c>
      <c r="L75" s="1168">
        <v>0</v>
      </c>
      <c r="M75" s="1168">
        <v>0</v>
      </c>
      <c r="N75" s="1168">
        <v>0</v>
      </c>
      <c r="O75" s="1168">
        <v>0</v>
      </c>
      <c r="P75" s="1168">
        <v>0</v>
      </c>
      <c r="Q75" s="1168">
        <v>0</v>
      </c>
      <c r="R75" s="1168">
        <v>0</v>
      </c>
      <c r="S75" s="1168">
        <v>0</v>
      </c>
      <c r="T75" s="1168">
        <v>0</v>
      </c>
      <c r="U75" s="1168">
        <v>0</v>
      </c>
      <c r="V75" s="1169" t="s">
        <v>1485</v>
      </c>
    </row>
    <row r="76" spans="1:22" s="1170" customFormat="1">
      <c r="A76" s="1167" t="s">
        <v>1273</v>
      </c>
      <c r="B76" s="1168">
        <v>605944</v>
      </c>
      <c r="C76" s="1168">
        <v>333655</v>
      </c>
      <c r="D76" s="1168">
        <v>247389</v>
      </c>
      <c r="E76" s="1168">
        <v>86266</v>
      </c>
      <c r="F76" s="1168">
        <v>272289</v>
      </c>
      <c r="G76" s="1168">
        <v>206368</v>
      </c>
      <c r="H76" s="1168">
        <v>53987</v>
      </c>
      <c r="I76" s="1168">
        <v>11934</v>
      </c>
      <c r="J76" s="1168">
        <v>0</v>
      </c>
      <c r="K76" s="1168">
        <v>0</v>
      </c>
      <c r="L76" s="1168">
        <v>0</v>
      </c>
      <c r="M76" s="1168">
        <v>0</v>
      </c>
      <c r="N76" s="1168">
        <v>0</v>
      </c>
      <c r="O76" s="1168">
        <v>0</v>
      </c>
      <c r="P76" s="1168">
        <v>0</v>
      </c>
      <c r="Q76" s="1168">
        <v>0</v>
      </c>
      <c r="R76" s="1168">
        <v>0</v>
      </c>
      <c r="S76" s="1168">
        <v>0</v>
      </c>
      <c r="T76" s="1168">
        <v>0</v>
      </c>
      <c r="U76" s="1168">
        <v>0</v>
      </c>
      <c r="V76" s="1169" t="s">
        <v>1485</v>
      </c>
    </row>
    <row r="77" spans="1:22" s="1170" customFormat="1">
      <c r="A77" s="1167" t="s">
        <v>1274</v>
      </c>
      <c r="B77" s="1168">
        <v>306</v>
      </c>
      <c r="C77" s="1168">
        <v>0</v>
      </c>
      <c r="D77" s="1168">
        <v>0</v>
      </c>
      <c r="E77" s="1168">
        <v>0</v>
      </c>
      <c r="F77" s="1168">
        <v>306</v>
      </c>
      <c r="G77" s="1168">
        <v>173</v>
      </c>
      <c r="H77" s="1168">
        <v>133</v>
      </c>
      <c r="I77" s="1168">
        <v>0</v>
      </c>
      <c r="J77" s="1168">
        <v>8</v>
      </c>
      <c r="K77" s="1168">
        <v>298</v>
      </c>
      <c r="L77" s="1168">
        <v>0</v>
      </c>
      <c r="M77" s="1168">
        <v>0</v>
      </c>
      <c r="N77" s="1168">
        <v>0</v>
      </c>
      <c r="O77" s="1168">
        <v>0</v>
      </c>
      <c r="P77" s="1168">
        <v>0</v>
      </c>
      <c r="Q77" s="1168">
        <v>0</v>
      </c>
      <c r="R77" s="1168">
        <v>0</v>
      </c>
      <c r="S77" s="1168">
        <v>0</v>
      </c>
      <c r="T77" s="1168">
        <v>0</v>
      </c>
      <c r="U77" s="1168">
        <v>0</v>
      </c>
      <c r="V77" s="1169" t="s">
        <v>1485</v>
      </c>
    </row>
    <row r="78" spans="1:22" s="1170" customFormat="1">
      <c r="A78" s="1167" t="s">
        <v>1275</v>
      </c>
      <c r="B78" s="1168">
        <v>5737</v>
      </c>
      <c r="C78" s="1168">
        <v>2800</v>
      </c>
      <c r="D78" s="1168">
        <v>2006</v>
      </c>
      <c r="E78" s="1168">
        <v>794</v>
      </c>
      <c r="F78" s="1168">
        <v>2937</v>
      </c>
      <c r="G78" s="1168">
        <v>2078</v>
      </c>
      <c r="H78" s="1168">
        <v>819</v>
      </c>
      <c r="I78" s="1168">
        <v>40</v>
      </c>
      <c r="J78" s="1168">
        <v>0</v>
      </c>
      <c r="K78" s="1168">
        <v>0</v>
      </c>
      <c r="L78" s="1168">
        <v>0</v>
      </c>
      <c r="M78" s="1168">
        <v>0</v>
      </c>
      <c r="N78" s="1168">
        <v>0</v>
      </c>
      <c r="O78" s="1168">
        <v>0</v>
      </c>
      <c r="P78" s="1168">
        <v>0</v>
      </c>
      <c r="Q78" s="1168">
        <v>0</v>
      </c>
      <c r="R78" s="1168">
        <v>0</v>
      </c>
      <c r="S78" s="1168">
        <v>0</v>
      </c>
      <c r="T78" s="1168">
        <v>0</v>
      </c>
      <c r="U78" s="1168">
        <v>0</v>
      </c>
      <c r="V78" s="1169" t="s">
        <v>1485</v>
      </c>
    </row>
    <row r="79" spans="1:22" s="1170" customFormat="1">
      <c r="A79" s="1167" t="s">
        <v>1276</v>
      </c>
      <c r="B79" s="1168">
        <v>1140586</v>
      </c>
      <c r="C79" s="1168">
        <v>631574</v>
      </c>
      <c r="D79" s="1168">
        <v>402083</v>
      </c>
      <c r="E79" s="1168">
        <v>229491</v>
      </c>
      <c r="F79" s="1168">
        <v>509012</v>
      </c>
      <c r="G79" s="1168">
        <v>306622</v>
      </c>
      <c r="H79" s="1168">
        <v>124214</v>
      </c>
      <c r="I79" s="1168">
        <v>78176</v>
      </c>
      <c r="J79" s="1168">
        <v>36</v>
      </c>
      <c r="K79" s="1168">
        <v>1463</v>
      </c>
      <c r="L79" s="1168">
        <v>0</v>
      </c>
      <c r="M79" s="1168">
        <v>0</v>
      </c>
      <c r="N79" s="1168">
        <v>0</v>
      </c>
      <c r="O79" s="1168">
        <v>0</v>
      </c>
      <c r="P79" s="1168">
        <v>0</v>
      </c>
      <c r="Q79" s="1168">
        <v>0</v>
      </c>
      <c r="R79" s="1168">
        <v>0</v>
      </c>
      <c r="S79" s="1168">
        <v>0</v>
      </c>
      <c r="T79" s="1168">
        <v>0</v>
      </c>
      <c r="U79" s="1168">
        <v>0</v>
      </c>
      <c r="V79" s="1169" t="s">
        <v>1485</v>
      </c>
    </row>
    <row r="80" spans="1:22" s="1170" customFormat="1">
      <c r="A80" s="1167" t="s">
        <v>1277</v>
      </c>
      <c r="B80" s="1168">
        <v>14393</v>
      </c>
      <c r="C80" s="1168">
        <v>5736</v>
      </c>
      <c r="D80" s="1168">
        <v>4638</v>
      </c>
      <c r="E80" s="1168">
        <v>1098</v>
      </c>
      <c r="F80" s="1168">
        <v>8657</v>
      </c>
      <c r="G80" s="1168">
        <v>7040</v>
      </c>
      <c r="H80" s="1168">
        <v>1599</v>
      </c>
      <c r="I80" s="1168">
        <v>18</v>
      </c>
      <c r="J80" s="1168">
        <v>0</v>
      </c>
      <c r="K80" s="1168">
        <v>0</v>
      </c>
      <c r="L80" s="1168">
        <v>0</v>
      </c>
      <c r="M80" s="1168">
        <v>0</v>
      </c>
      <c r="N80" s="1168">
        <v>0</v>
      </c>
      <c r="O80" s="1168">
        <v>0</v>
      </c>
      <c r="P80" s="1168">
        <v>0</v>
      </c>
      <c r="Q80" s="1168">
        <v>0</v>
      </c>
      <c r="R80" s="1168">
        <v>0</v>
      </c>
      <c r="S80" s="1168">
        <v>0</v>
      </c>
      <c r="T80" s="1168">
        <v>0</v>
      </c>
      <c r="U80" s="1168">
        <v>0</v>
      </c>
      <c r="V80" s="1169" t="s">
        <v>1485</v>
      </c>
    </row>
    <row r="81" spans="1:22" s="1170" customFormat="1">
      <c r="A81" s="1167" t="s">
        <v>1278</v>
      </c>
      <c r="B81" s="1168">
        <v>151710350</v>
      </c>
      <c r="C81" s="1168">
        <v>77531352</v>
      </c>
      <c r="D81" s="1168">
        <v>49542422</v>
      </c>
      <c r="E81" s="1168">
        <v>27988930</v>
      </c>
      <c r="F81" s="1168">
        <v>74178998</v>
      </c>
      <c r="G81" s="1168">
        <v>46881181</v>
      </c>
      <c r="H81" s="1168">
        <v>21549064</v>
      </c>
      <c r="I81" s="1168">
        <v>5748753</v>
      </c>
      <c r="J81" s="1168">
        <v>0</v>
      </c>
      <c r="K81" s="1168">
        <v>0</v>
      </c>
      <c r="L81" s="1168">
        <v>0</v>
      </c>
      <c r="M81" s="1168">
        <v>0</v>
      </c>
      <c r="N81" s="1168">
        <v>0</v>
      </c>
      <c r="O81" s="1168">
        <v>0</v>
      </c>
      <c r="P81" s="1168">
        <v>0</v>
      </c>
      <c r="Q81" s="1168">
        <v>0</v>
      </c>
      <c r="R81" s="1168">
        <v>0</v>
      </c>
      <c r="S81" s="1168">
        <v>0</v>
      </c>
      <c r="T81" s="1168">
        <v>0</v>
      </c>
      <c r="U81" s="1168">
        <v>0</v>
      </c>
      <c r="V81" s="1169" t="s">
        <v>1485</v>
      </c>
    </row>
    <row r="82" spans="1:22" s="1170" customFormat="1">
      <c r="A82" s="1167" t="s">
        <v>1279</v>
      </c>
      <c r="B82" s="1168">
        <v>64715</v>
      </c>
      <c r="C82" s="1168">
        <v>35739</v>
      </c>
      <c r="D82" s="1168">
        <v>24015</v>
      </c>
      <c r="E82" s="1168">
        <v>11724</v>
      </c>
      <c r="F82" s="1168">
        <v>28976</v>
      </c>
      <c r="G82" s="1168">
        <v>20621</v>
      </c>
      <c r="H82" s="1168">
        <v>7887</v>
      </c>
      <c r="I82" s="1168">
        <v>468</v>
      </c>
      <c r="J82" s="1168">
        <v>3801</v>
      </c>
      <c r="K82" s="1168">
        <v>25171</v>
      </c>
      <c r="L82" s="1168">
        <v>0</v>
      </c>
      <c r="M82" s="1168">
        <v>0</v>
      </c>
      <c r="N82" s="1168">
        <v>0</v>
      </c>
      <c r="O82" s="1168">
        <v>0</v>
      </c>
      <c r="P82" s="1168">
        <v>0</v>
      </c>
      <c r="Q82" s="1168">
        <v>0</v>
      </c>
      <c r="R82" s="1168">
        <v>0</v>
      </c>
      <c r="S82" s="1168">
        <v>0</v>
      </c>
      <c r="T82" s="1168">
        <v>0</v>
      </c>
      <c r="U82" s="1168">
        <v>0</v>
      </c>
      <c r="V82" s="1169" t="s">
        <v>1485</v>
      </c>
    </row>
    <row r="83" spans="1:22" s="1170" customFormat="1">
      <c r="A83" s="1167" t="s">
        <v>1280</v>
      </c>
      <c r="B83" s="1168">
        <v>3554721</v>
      </c>
      <c r="C83" s="1168">
        <v>1792022</v>
      </c>
      <c r="D83" s="1168">
        <v>1271547</v>
      </c>
      <c r="E83" s="1168">
        <v>520475</v>
      </c>
      <c r="F83" s="1168">
        <v>1762699</v>
      </c>
      <c r="G83" s="1168">
        <v>1265706</v>
      </c>
      <c r="H83" s="1168">
        <v>451037</v>
      </c>
      <c r="I83" s="1168">
        <v>45956</v>
      </c>
      <c r="J83" s="1168">
        <v>214</v>
      </c>
      <c r="K83" s="1168">
        <v>1203</v>
      </c>
      <c r="L83" s="1168">
        <v>0</v>
      </c>
      <c r="M83" s="1168">
        <v>0</v>
      </c>
      <c r="N83" s="1168">
        <v>0</v>
      </c>
      <c r="O83" s="1168">
        <v>0</v>
      </c>
      <c r="P83" s="1168">
        <v>0</v>
      </c>
      <c r="Q83" s="1168">
        <v>0</v>
      </c>
      <c r="R83" s="1168">
        <v>0</v>
      </c>
      <c r="S83" s="1168">
        <v>0</v>
      </c>
      <c r="T83" s="1168">
        <v>0</v>
      </c>
      <c r="U83" s="1168">
        <v>0</v>
      </c>
      <c r="V83" s="1169" t="s">
        <v>1485</v>
      </c>
    </row>
    <row r="84" spans="1:22" s="1170" customFormat="1">
      <c r="A84" s="1167" t="s">
        <v>1281</v>
      </c>
      <c r="B84" s="1168">
        <v>94518</v>
      </c>
      <c r="C84" s="1168">
        <v>0</v>
      </c>
      <c r="D84" s="1168">
        <v>0</v>
      </c>
      <c r="E84" s="1168">
        <v>0</v>
      </c>
      <c r="F84" s="1168">
        <v>0</v>
      </c>
      <c r="G84" s="1168">
        <v>0</v>
      </c>
      <c r="H84" s="1168">
        <v>0</v>
      </c>
      <c r="I84" s="1168">
        <v>0</v>
      </c>
      <c r="J84" s="1168">
        <v>0</v>
      </c>
      <c r="K84" s="1168">
        <v>0</v>
      </c>
      <c r="L84" s="1168">
        <v>4929</v>
      </c>
      <c r="M84" s="1168">
        <v>27966</v>
      </c>
      <c r="N84" s="1168">
        <v>8164</v>
      </c>
      <c r="O84" s="1168">
        <v>53459</v>
      </c>
      <c r="P84" s="1168">
        <v>0</v>
      </c>
      <c r="Q84" s="1168">
        <v>0</v>
      </c>
      <c r="R84" s="1168">
        <v>0</v>
      </c>
      <c r="S84" s="1168">
        <v>0</v>
      </c>
      <c r="T84" s="1168">
        <v>0</v>
      </c>
      <c r="U84" s="1168">
        <v>0</v>
      </c>
      <c r="V84" s="1169" t="s">
        <v>1485</v>
      </c>
    </row>
    <row r="85" spans="1:22" s="1170" customFormat="1">
      <c r="A85" s="1167" t="s">
        <v>1282</v>
      </c>
      <c r="B85" s="1168">
        <v>666429</v>
      </c>
      <c r="C85" s="1168">
        <v>0</v>
      </c>
      <c r="D85" s="1168">
        <v>0</v>
      </c>
      <c r="E85" s="1168">
        <v>0</v>
      </c>
      <c r="F85" s="1168">
        <v>0</v>
      </c>
      <c r="G85" s="1168">
        <v>0</v>
      </c>
      <c r="H85" s="1168">
        <v>0</v>
      </c>
      <c r="I85" s="1168">
        <v>0</v>
      </c>
      <c r="J85" s="1168">
        <v>0</v>
      </c>
      <c r="K85" s="1168">
        <v>0</v>
      </c>
      <c r="L85" s="1168">
        <v>0</v>
      </c>
      <c r="M85" s="1168">
        <v>0</v>
      </c>
      <c r="N85" s="1168">
        <v>0</v>
      </c>
      <c r="O85" s="1168">
        <v>0</v>
      </c>
      <c r="P85" s="1168">
        <v>183549</v>
      </c>
      <c r="Q85" s="1168">
        <v>66255</v>
      </c>
      <c r="R85" s="1168">
        <v>17723</v>
      </c>
      <c r="S85" s="1168">
        <v>9543</v>
      </c>
      <c r="T85" s="1168">
        <v>67528</v>
      </c>
      <c r="U85" s="1168">
        <v>22500</v>
      </c>
      <c r="V85" s="1169" t="s">
        <v>1485</v>
      </c>
    </row>
    <row r="86" spans="1:22" s="1170" customFormat="1">
      <c r="A86" s="1167" t="s">
        <v>1283</v>
      </c>
      <c r="B86" s="1168">
        <v>3687</v>
      </c>
      <c r="C86" s="1168">
        <v>0</v>
      </c>
      <c r="D86" s="1168">
        <v>0</v>
      </c>
      <c r="E86" s="1168">
        <v>0</v>
      </c>
      <c r="F86" s="1168">
        <v>0</v>
      </c>
      <c r="G86" s="1168">
        <v>0</v>
      </c>
      <c r="H86" s="1168">
        <v>0</v>
      </c>
      <c r="I86" s="1168">
        <v>0</v>
      </c>
      <c r="J86" s="1168">
        <v>0</v>
      </c>
      <c r="K86" s="1168">
        <v>0</v>
      </c>
      <c r="L86" s="1168">
        <v>0</v>
      </c>
      <c r="M86" s="1168">
        <v>0</v>
      </c>
      <c r="N86" s="1168">
        <v>0</v>
      </c>
      <c r="O86" s="1168">
        <v>0</v>
      </c>
      <c r="P86" s="1168">
        <v>693</v>
      </c>
      <c r="Q86" s="1168">
        <v>330</v>
      </c>
      <c r="R86" s="1168">
        <v>0</v>
      </c>
      <c r="S86" s="1168">
        <v>0</v>
      </c>
      <c r="T86" s="1168">
        <v>363</v>
      </c>
      <c r="U86" s="1168">
        <v>0</v>
      </c>
      <c r="V86" s="1169" t="s">
        <v>1485</v>
      </c>
    </row>
    <row r="87" spans="1:22">
      <c r="A87" s="1160" t="s">
        <v>1286</v>
      </c>
      <c r="B87" s="1161">
        <v>2802</v>
      </c>
      <c r="C87" s="1161">
        <v>0</v>
      </c>
      <c r="D87" s="1161">
        <v>0</v>
      </c>
      <c r="E87" s="1161">
        <v>0</v>
      </c>
      <c r="F87" s="1161">
        <v>2802</v>
      </c>
      <c r="G87" s="1161">
        <v>2031</v>
      </c>
      <c r="H87" s="1161">
        <v>771</v>
      </c>
      <c r="I87" s="1161">
        <v>0</v>
      </c>
      <c r="J87" s="1161">
        <v>0</v>
      </c>
      <c r="K87" s="1161">
        <v>0</v>
      </c>
      <c r="L87" s="1161">
        <v>0</v>
      </c>
      <c r="M87" s="1161">
        <v>0</v>
      </c>
      <c r="N87" s="1161">
        <v>0</v>
      </c>
      <c r="O87" s="1161">
        <v>0</v>
      </c>
      <c r="P87" s="1161">
        <v>0</v>
      </c>
      <c r="Q87" s="1161">
        <v>0</v>
      </c>
      <c r="R87" s="1161">
        <v>0</v>
      </c>
      <c r="S87" s="1161">
        <v>0</v>
      </c>
      <c r="T87" s="1161">
        <v>0</v>
      </c>
      <c r="U87" s="1161">
        <v>0</v>
      </c>
      <c r="V87" s="1156" t="s">
        <v>1486</v>
      </c>
    </row>
    <row r="88" spans="1:22">
      <c r="A88" s="1160" t="s">
        <v>1273</v>
      </c>
      <c r="B88" s="1161">
        <v>700370</v>
      </c>
      <c r="C88" s="1161">
        <v>434</v>
      </c>
      <c r="D88" s="1161">
        <v>316</v>
      </c>
      <c r="E88" s="1161">
        <v>118</v>
      </c>
      <c r="F88" s="1161">
        <v>699936</v>
      </c>
      <c r="G88" s="1161">
        <v>517208</v>
      </c>
      <c r="H88" s="1161">
        <v>154141</v>
      </c>
      <c r="I88" s="1161">
        <v>28587</v>
      </c>
      <c r="J88" s="1161">
        <v>0</v>
      </c>
      <c r="K88" s="1161">
        <v>0</v>
      </c>
      <c r="L88" s="1161">
        <v>0</v>
      </c>
      <c r="M88" s="1161">
        <v>0</v>
      </c>
      <c r="N88" s="1161">
        <v>0</v>
      </c>
      <c r="O88" s="1161">
        <v>0</v>
      </c>
      <c r="P88" s="1161">
        <v>0</v>
      </c>
      <c r="Q88" s="1161">
        <v>0</v>
      </c>
      <c r="R88" s="1161">
        <v>0</v>
      </c>
      <c r="S88" s="1161">
        <v>0</v>
      </c>
      <c r="T88" s="1161">
        <v>0</v>
      </c>
      <c r="U88" s="1161">
        <v>0</v>
      </c>
      <c r="V88" s="1156" t="s">
        <v>1486</v>
      </c>
    </row>
    <row r="89" spans="1:22">
      <c r="A89" s="1160" t="s">
        <v>1274</v>
      </c>
      <c r="B89" s="1161">
        <v>676</v>
      </c>
      <c r="C89" s="1161">
        <v>0</v>
      </c>
      <c r="D89" s="1161">
        <v>0</v>
      </c>
      <c r="E89" s="1161">
        <v>0</v>
      </c>
      <c r="F89" s="1161">
        <v>676</v>
      </c>
      <c r="G89" s="1161">
        <v>400</v>
      </c>
      <c r="H89" s="1161">
        <v>276</v>
      </c>
      <c r="I89" s="1161">
        <v>0</v>
      </c>
      <c r="J89" s="1161">
        <v>8</v>
      </c>
      <c r="K89" s="1161">
        <v>668</v>
      </c>
      <c r="L89" s="1161">
        <v>0</v>
      </c>
      <c r="M89" s="1161">
        <v>0</v>
      </c>
      <c r="N89" s="1161">
        <v>0</v>
      </c>
      <c r="O89" s="1161">
        <v>0</v>
      </c>
      <c r="P89" s="1161">
        <v>0</v>
      </c>
      <c r="Q89" s="1161">
        <v>0</v>
      </c>
      <c r="R89" s="1161">
        <v>0</v>
      </c>
      <c r="S89" s="1161">
        <v>0</v>
      </c>
      <c r="T89" s="1161">
        <v>0</v>
      </c>
      <c r="U89" s="1161">
        <v>0</v>
      </c>
      <c r="V89" s="1156" t="s">
        <v>1486</v>
      </c>
    </row>
    <row r="90" spans="1:22">
      <c r="A90" s="1160" t="s">
        <v>1275</v>
      </c>
      <c r="B90" s="1161">
        <v>6317</v>
      </c>
      <c r="C90" s="1161">
        <v>0</v>
      </c>
      <c r="D90" s="1161">
        <v>0</v>
      </c>
      <c r="E90" s="1161">
        <v>0</v>
      </c>
      <c r="F90" s="1161">
        <v>6317</v>
      </c>
      <c r="G90" s="1161">
        <v>4634</v>
      </c>
      <c r="H90" s="1161">
        <v>1281</v>
      </c>
      <c r="I90" s="1161">
        <v>402</v>
      </c>
      <c r="J90" s="1161">
        <v>0</v>
      </c>
      <c r="K90" s="1161">
        <v>0</v>
      </c>
      <c r="L90" s="1161">
        <v>0</v>
      </c>
      <c r="M90" s="1161">
        <v>0</v>
      </c>
      <c r="N90" s="1161">
        <v>0</v>
      </c>
      <c r="O90" s="1161">
        <v>0</v>
      </c>
      <c r="P90" s="1161">
        <v>0</v>
      </c>
      <c r="Q90" s="1161">
        <v>0</v>
      </c>
      <c r="R90" s="1161">
        <v>0</v>
      </c>
      <c r="S90" s="1161">
        <v>0</v>
      </c>
      <c r="T90" s="1161">
        <v>0</v>
      </c>
      <c r="U90" s="1161">
        <v>0</v>
      </c>
      <c r="V90" s="1156" t="s">
        <v>1486</v>
      </c>
    </row>
    <row r="91" spans="1:22">
      <c r="A91" s="1160" t="s">
        <v>1276</v>
      </c>
      <c r="B91" s="1161">
        <v>1205812</v>
      </c>
      <c r="C91" s="1161">
        <v>0</v>
      </c>
      <c r="D91" s="1161">
        <v>0</v>
      </c>
      <c r="E91" s="1161">
        <v>0</v>
      </c>
      <c r="F91" s="1161">
        <v>1205812</v>
      </c>
      <c r="G91" s="1161">
        <v>701491</v>
      </c>
      <c r="H91" s="1161">
        <v>309739</v>
      </c>
      <c r="I91" s="1161">
        <v>194582</v>
      </c>
      <c r="J91" s="1161">
        <v>210</v>
      </c>
      <c r="K91" s="1161">
        <v>2585</v>
      </c>
      <c r="L91" s="1161">
        <v>0</v>
      </c>
      <c r="M91" s="1161">
        <v>0</v>
      </c>
      <c r="N91" s="1161">
        <v>0</v>
      </c>
      <c r="O91" s="1161">
        <v>0</v>
      </c>
      <c r="P91" s="1161">
        <v>0</v>
      </c>
      <c r="Q91" s="1161">
        <v>0</v>
      </c>
      <c r="R91" s="1161">
        <v>0</v>
      </c>
      <c r="S91" s="1161">
        <v>0</v>
      </c>
      <c r="T91" s="1161">
        <v>0</v>
      </c>
      <c r="U91" s="1161">
        <v>0</v>
      </c>
      <c r="V91" s="1156" t="s">
        <v>1486</v>
      </c>
    </row>
    <row r="92" spans="1:22">
      <c r="A92" s="1160" t="s">
        <v>1277</v>
      </c>
      <c r="B92" s="1161">
        <v>13933</v>
      </c>
      <c r="C92" s="1161">
        <v>0</v>
      </c>
      <c r="D92" s="1161">
        <v>0</v>
      </c>
      <c r="E92" s="1161">
        <v>0</v>
      </c>
      <c r="F92" s="1161">
        <v>13933</v>
      </c>
      <c r="G92" s="1161">
        <v>11320</v>
      </c>
      <c r="H92" s="1161">
        <v>2613</v>
      </c>
      <c r="I92" s="1161">
        <v>0</v>
      </c>
      <c r="J92" s="1161">
        <v>0</v>
      </c>
      <c r="K92" s="1161">
        <v>0</v>
      </c>
      <c r="L92" s="1161">
        <v>0</v>
      </c>
      <c r="M92" s="1161">
        <v>0</v>
      </c>
      <c r="N92" s="1161">
        <v>0</v>
      </c>
      <c r="O92" s="1161">
        <v>0</v>
      </c>
      <c r="P92" s="1161">
        <v>0</v>
      </c>
      <c r="Q92" s="1161">
        <v>0</v>
      </c>
      <c r="R92" s="1161">
        <v>0</v>
      </c>
      <c r="S92" s="1161">
        <v>0</v>
      </c>
      <c r="T92" s="1161">
        <v>0</v>
      </c>
      <c r="U92" s="1161">
        <v>0</v>
      </c>
      <c r="V92" s="1156" t="s">
        <v>1486</v>
      </c>
    </row>
    <row r="93" spans="1:22">
      <c r="A93" s="1160" t="s">
        <v>1278</v>
      </c>
      <c r="B93" s="1161">
        <v>172260807</v>
      </c>
      <c r="C93" s="1161">
        <v>3966</v>
      </c>
      <c r="D93" s="1161">
        <v>3315</v>
      </c>
      <c r="E93" s="1161">
        <v>651</v>
      </c>
      <c r="F93" s="1161">
        <v>172256841</v>
      </c>
      <c r="G93" s="1161">
        <v>99637574</v>
      </c>
      <c r="H93" s="1161">
        <v>56713564</v>
      </c>
      <c r="I93" s="1161">
        <v>15905703</v>
      </c>
      <c r="J93" s="1161">
        <v>0</v>
      </c>
      <c r="K93" s="1161">
        <v>0</v>
      </c>
      <c r="L93" s="1161">
        <v>0</v>
      </c>
      <c r="M93" s="1161">
        <v>0</v>
      </c>
      <c r="N93" s="1161">
        <v>0</v>
      </c>
      <c r="O93" s="1161">
        <v>0</v>
      </c>
      <c r="P93" s="1161">
        <v>0</v>
      </c>
      <c r="Q93" s="1161">
        <v>0</v>
      </c>
      <c r="R93" s="1161">
        <v>0</v>
      </c>
      <c r="S93" s="1161">
        <v>0</v>
      </c>
      <c r="T93" s="1161">
        <v>0</v>
      </c>
      <c r="U93" s="1161">
        <v>0</v>
      </c>
      <c r="V93" s="1156" t="s">
        <v>1486</v>
      </c>
    </row>
    <row r="94" spans="1:22">
      <c r="A94" s="1160" t="s">
        <v>1279</v>
      </c>
      <c r="B94" s="1161">
        <v>70218</v>
      </c>
      <c r="C94" s="1161">
        <v>0</v>
      </c>
      <c r="D94" s="1161">
        <v>0</v>
      </c>
      <c r="E94" s="1161">
        <v>0</v>
      </c>
      <c r="F94" s="1161">
        <v>70218</v>
      </c>
      <c r="G94" s="1161">
        <v>44706</v>
      </c>
      <c r="H94" s="1161">
        <v>22085</v>
      </c>
      <c r="I94" s="1161">
        <v>3427</v>
      </c>
      <c r="J94" s="1161">
        <v>16375</v>
      </c>
      <c r="K94" s="1161">
        <v>53843</v>
      </c>
      <c r="L94" s="1161">
        <v>0</v>
      </c>
      <c r="M94" s="1161">
        <v>0</v>
      </c>
      <c r="N94" s="1161">
        <v>0</v>
      </c>
      <c r="O94" s="1161">
        <v>0</v>
      </c>
      <c r="P94" s="1161">
        <v>0</v>
      </c>
      <c r="Q94" s="1161">
        <v>0</v>
      </c>
      <c r="R94" s="1161">
        <v>0</v>
      </c>
      <c r="S94" s="1161">
        <v>0</v>
      </c>
      <c r="T94" s="1161">
        <v>0</v>
      </c>
      <c r="U94" s="1161">
        <v>0</v>
      </c>
      <c r="V94" s="1156" t="s">
        <v>1486</v>
      </c>
    </row>
    <row r="95" spans="1:22">
      <c r="A95" s="1160" t="s">
        <v>1280</v>
      </c>
      <c r="B95" s="1161">
        <v>3875209</v>
      </c>
      <c r="C95" s="1161">
        <v>0</v>
      </c>
      <c r="D95" s="1161">
        <v>0</v>
      </c>
      <c r="E95" s="1161">
        <v>0</v>
      </c>
      <c r="F95" s="1161">
        <v>3875209</v>
      </c>
      <c r="G95" s="1161">
        <v>2607358</v>
      </c>
      <c r="H95" s="1161">
        <v>1118296</v>
      </c>
      <c r="I95" s="1161">
        <v>149555</v>
      </c>
      <c r="J95" s="1161">
        <v>438</v>
      </c>
      <c r="K95" s="1161">
        <v>1823</v>
      </c>
      <c r="L95" s="1161">
        <v>0</v>
      </c>
      <c r="M95" s="1161">
        <v>0</v>
      </c>
      <c r="N95" s="1161">
        <v>0</v>
      </c>
      <c r="O95" s="1161">
        <v>0</v>
      </c>
      <c r="P95" s="1161">
        <v>0</v>
      </c>
      <c r="Q95" s="1161">
        <v>0</v>
      </c>
      <c r="R95" s="1161">
        <v>0</v>
      </c>
      <c r="S95" s="1161">
        <v>0</v>
      </c>
      <c r="T95" s="1161">
        <v>0</v>
      </c>
      <c r="U95" s="1161">
        <v>0</v>
      </c>
      <c r="V95" s="1156" t="s">
        <v>1486</v>
      </c>
    </row>
    <row r="96" spans="1:22">
      <c r="A96" s="1160" t="s">
        <v>1281</v>
      </c>
      <c r="B96" s="1161">
        <v>106299</v>
      </c>
      <c r="C96" s="1161">
        <v>0</v>
      </c>
      <c r="D96" s="1161">
        <v>0</v>
      </c>
      <c r="E96" s="1161">
        <v>0</v>
      </c>
      <c r="F96" s="1161">
        <v>0</v>
      </c>
      <c r="G96" s="1161">
        <v>0</v>
      </c>
      <c r="H96" s="1161">
        <v>0</v>
      </c>
      <c r="I96" s="1161">
        <v>0</v>
      </c>
      <c r="J96" s="1161">
        <v>0</v>
      </c>
      <c r="K96" s="1161">
        <v>0</v>
      </c>
      <c r="L96" s="1161">
        <v>5872</v>
      </c>
      <c r="M96" s="1161">
        <v>30472</v>
      </c>
      <c r="N96" s="1161">
        <v>8362</v>
      </c>
      <c r="O96" s="1161">
        <v>61593</v>
      </c>
      <c r="P96" s="1161">
        <v>0</v>
      </c>
      <c r="Q96" s="1161">
        <v>0</v>
      </c>
      <c r="R96" s="1161">
        <v>0</v>
      </c>
      <c r="S96" s="1161">
        <v>0</v>
      </c>
      <c r="T96" s="1161">
        <v>0</v>
      </c>
      <c r="U96" s="1161">
        <v>0</v>
      </c>
      <c r="V96" s="1156" t="s">
        <v>1486</v>
      </c>
    </row>
    <row r="97" spans="1:22">
      <c r="A97" s="1160" t="s">
        <v>1282</v>
      </c>
      <c r="B97" s="1161">
        <v>738625</v>
      </c>
      <c r="C97" s="1161">
        <v>0</v>
      </c>
      <c r="D97" s="1161">
        <v>0</v>
      </c>
      <c r="E97" s="1161">
        <v>0</v>
      </c>
      <c r="F97" s="1161">
        <v>0</v>
      </c>
      <c r="G97" s="1161">
        <v>0</v>
      </c>
      <c r="H97" s="1161">
        <v>0</v>
      </c>
      <c r="I97" s="1161">
        <v>0</v>
      </c>
      <c r="J97" s="1161">
        <v>0</v>
      </c>
      <c r="K97" s="1161">
        <v>0</v>
      </c>
      <c r="L97" s="1161">
        <v>0</v>
      </c>
      <c r="M97" s="1161">
        <v>0</v>
      </c>
      <c r="N97" s="1161">
        <v>0</v>
      </c>
      <c r="O97" s="1161">
        <v>0</v>
      </c>
      <c r="P97" s="1161">
        <v>231892</v>
      </c>
      <c r="Q97" s="1161">
        <v>169066</v>
      </c>
      <c r="R97" s="1161">
        <v>48125</v>
      </c>
      <c r="S97" s="1161">
        <v>14622</v>
      </c>
      <c r="T97" s="1161">
        <v>79</v>
      </c>
      <c r="U97" s="1161">
        <v>0</v>
      </c>
      <c r="V97" s="1156" t="s">
        <v>1486</v>
      </c>
    </row>
    <row r="98" spans="1:22">
      <c r="A98" s="1160" t="s">
        <v>1283</v>
      </c>
      <c r="B98" s="1161">
        <v>3730</v>
      </c>
      <c r="C98" s="1161">
        <v>0</v>
      </c>
      <c r="D98" s="1161">
        <v>0</v>
      </c>
      <c r="E98" s="1161">
        <v>0</v>
      </c>
      <c r="F98" s="1161">
        <v>0</v>
      </c>
      <c r="G98" s="1161">
        <v>0</v>
      </c>
      <c r="H98" s="1161">
        <v>0</v>
      </c>
      <c r="I98" s="1161">
        <v>0</v>
      </c>
      <c r="J98" s="1161">
        <v>0</v>
      </c>
      <c r="K98" s="1161">
        <v>0</v>
      </c>
      <c r="L98" s="1161">
        <v>0</v>
      </c>
      <c r="M98" s="1161">
        <v>0</v>
      </c>
      <c r="N98" s="1161">
        <v>0</v>
      </c>
      <c r="O98" s="1161">
        <v>0</v>
      </c>
      <c r="P98" s="1161">
        <v>894</v>
      </c>
      <c r="Q98" s="1161">
        <v>894</v>
      </c>
      <c r="R98" s="1161">
        <v>0</v>
      </c>
      <c r="S98" s="1161">
        <v>0</v>
      </c>
      <c r="T98" s="1161">
        <v>0</v>
      </c>
      <c r="U98" s="1161">
        <v>0</v>
      </c>
      <c r="V98" s="1156" t="s">
        <v>1486</v>
      </c>
    </row>
    <row r="100" spans="1:22" ht="25.5">
      <c r="A100" s="878" t="s">
        <v>1289</v>
      </c>
    </row>
    <row r="101" spans="1:22">
      <c r="A101" s="1164" t="s">
        <v>1284</v>
      </c>
      <c r="B101" s="1164" t="s">
        <v>70</v>
      </c>
      <c r="C101" s="1164" t="s">
        <v>626</v>
      </c>
      <c r="D101" s="1164" t="s">
        <v>640</v>
      </c>
      <c r="E101" s="1164" t="s">
        <v>641</v>
      </c>
      <c r="F101" s="1164" t="s">
        <v>622</v>
      </c>
      <c r="G101" s="1164" t="s">
        <v>623</v>
      </c>
      <c r="H101" s="1164" t="s">
        <v>624</v>
      </c>
      <c r="I101" s="1164" t="s">
        <v>625</v>
      </c>
      <c r="J101" s="1164" t="s">
        <v>650</v>
      </c>
      <c r="K101" s="1164" t="s">
        <v>649</v>
      </c>
      <c r="L101" s="1164" t="s">
        <v>1153</v>
      </c>
      <c r="M101" s="1164" t="s">
        <v>1154</v>
      </c>
      <c r="N101" s="1164" t="s">
        <v>1155</v>
      </c>
      <c r="O101" s="1164" t="s">
        <v>1156</v>
      </c>
      <c r="P101" s="1164" t="s">
        <v>1222</v>
      </c>
      <c r="Q101" s="1164" t="s">
        <v>1261</v>
      </c>
      <c r="R101" s="1164" t="s">
        <v>1262</v>
      </c>
      <c r="S101" s="1164" t="s">
        <v>1285</v>
      </c>
      <c r="T101" s="1164" t="s">
        <v>1263</v>
      </c>
      <c r="U101" s="1164" t="s">
        <v>1264</v>
      </c>
      <c r="V101" s="1164" t="s">
        <v>1479</v>
      </c>
    </row>
    <row r="102" spans="1:22" s="1170" customFormat="1">
      <c r="A102" s="1167" t="s">
        <v>1286</v>
      </c>
      <c r="B102" s="1168">
        <v>10069</v>
      </c>
      <c r="C102" s="1168">
        <v>4051</v>
      </c>
      <c r="D102" s="1168">
        <v>2111</v>
      </c>
      <c r="E102" s="1168">
        <v>1940</v>
      </c>
      <c r="F102" s="1168">
        <v>6018</v>
      </c>
      <c r="G102" s="1168">
        <v>3548</v>
      </c>
      <c r="H102" s="1168">
        <v>2143</v>
      </c>
      <c r="I102" s="1168">
        <v>327</v>
      </c>
      <c r="J102" s="1168">
        <v>0</v>
      </c>
      <c r="K102" s="1168">
        <v>0</v>
      </c>
      <c r="L102" s="1168">
        <v>0</v>
      </c>
      <c r="M102" s="1168">
        <v>0</v>
      </c>
      <c r="N102" s="1168">
        <v>0</v>
      </c>
      <c r="O102" s="1168">
        <v>0</v>
      </c>
      <c r="P102" s="1168">
        <v>0</v>
      </c>
      <c r="Q102" s="1168">
        <v>0</v>
      </c>
      <c r="R102" s="1168">
        <v>0</v>
      </c>
      <c r="S102" s="1168">
        <v>0</v>
      </c>
      <c r="T102" s="1168">
        <v>0</v>
      </c>
      <c r="U102" s="1168">
        <v>0</v>
      </c>
      <c r="V102" s="1169" t="s">
        <v>1485</v>
      </c>
    </row>
    <row r="103" spans="1:22" s="1170" customFormat="1">
      <c r="A103" s="1167" t="s">
        <v>1273</v>
      </c>
      <c r="B103" s="1168">
        <v>553509</v>
      </c>
      <c r="C103" s="1168">
        <v>308204</v>
      </c>
      <c r="D103" s="1168">
        <v>217656</v>
      </c>
      <c r="E103" s="1168">
        <v>90548</v>
      </c>
      <c r="F103" s="1168">
        <v>245305</v>
      </c>
      <c r="G103" s="1168">
        <v>188585</v>
      </c>
      <c r="H103" s="1168">
        <v>44050</v>
      </c>
      <c r="I103" s="1168">
        <v>12670</v>
      </c>
      <c r="J103" s="1168">
        <v>0</v>
      </c>
      <c r="K103" s="1168">
        <v>0</v>
      </c>
      <c r="L103" s="1168">
        <v>0</v>
      </c>
      <c r="M103" s="1168">
        <v>0</v>
      </c>
      <c r="N103" s="1168">
        <v>0</v>
      </c>
      <c r="O103" s="1168">
        <v>0</v>
      </c>
      <c r="P103" s="1168">
        <v>0</v>
      </c>
      <c r="Q103" s="1168">
        <v>0</v>
      </c>
      <c r="R103" s="1168">
        <v>0</v>
      </c>
      <c r="S103" s="1168">
        <v>0</v>
      </c>
      <c r="T103" s="1168">
        <v>0</v>
      </c>
      <c r="U103" s="1168">
        <v>0</v>
      </c>
      <c r="V103" s="1169" t="s">
        <v>1485</v>
      </c>
    </row>
    <row r="104" spans="1:22" s="1170" customFormat="1">
      <c r="A104" s="1167" t="s">
        <v>1274</v>
      </c>
      <c r="B104" s="1168">
        <v>771</v>
      </c>
      <c r="C104" s="1168">
        <v>363</v>
      </c>
      <c r="D104" s="1168">
        <v>284</v>
      </c>
      <c r="E104" s="1168">
        <v>79</v>
      </c>
      <c r="F104" s="1168">
        <v>408</v>
      </c>
      <c r="G104" s="1168">
        <v>322</v>
      </c>
      <c r="H104" s="1168">
        <v>86</v>
      </c>
      <c r="I104" s="1168">
        <v>0</v>
      </c>
      <c r="J104" s="1168">
        <v>37</v>
      </c>
      <c r="K104" s="1168">
        <v>371</v>
      </c>
      <c r="L104" s="1168">
        <v>0</v>
      </c>
      <c r="M104" s="1168">
        <v>0</v>
      </c>
      <c r="N104" s="1168">
        <v>0</v>
      </c>
      <c r="O104" s="1168">
        <v>0</v>
      </c>
      <c r="P104" s="1168">
        <v>0</v>
      </c>
      <c r="Q104" s="1168">
        <v>0</v>
      </c>
      <c r="R104" s="1168">
        <v>0</v>
      </c>
      <c r="S104" s="1168">
        <v>0</v>
      </c>
      <c r="T104" s="1168">
        <v>0</v>
      </c>
      <c r="U104" s="1168">
        <v>0</v>
      </c>
      <c r="V104" s="1169" t="s">
        <v>1485</v>
      </c>
    </row>
    <row r="105" spans="1:22" s="1170" customFormat="1">
      <c r="A105" s="1167" t="s">
        <v>1275</v>
      </c>
      <c r="B105" s="1168">
        <v>5122</v>
      </c>
      <c r="C105" s="1168">
        <v>2581</v>
      </c>
      <c r="D105" s="1168">
        <v>2065</v>
      </c>
      <c r="E105" s="1168">
        <v>516</v>
      </c>
      <c r="F105" s="1168">
        <v>2541</v>
      </c>
      <c r="G105" s="1168">
        <v>2055</v>
      </c>
      <c r="H105" s="1168">
        <v>486</v>
      </c>
      <c r="I105" s="1168">
        <v>0</v>
      </c>
      <c r="J105" s="1168">
        <v>0</v>
      </c>
      <c r="K105" s="1168">
        <v>0</v>
      </c>
      <c r="L105" s="1168">
        <v>0</v>
      </c>
      <c r="M105" s="1168">
        <v>0</v>
      </c>
      <c r="N105" s="1168">
        <v>0</v>
      </c>
      <c r="O105" s="1168">
        <v>0</v>
      </c>
      <c r="P105" s="1168">
        <v>0</v>
      </c>
      <c r="Q105" s="1168">
        <v>0</v>
      </c>
      <c r="R105" s="1168">
        <v>0</v>
      </c>
      <c r="S105" s="1168">
        <v>0</v>
      </c>
      <c r="T105" s="1168">
        <v>0</v>
      </c>
      <c r="U105" s="1168">
        <v>0</v>
      </c>
      <c r="V105" s="1169" t="s">
        <v>1485</v>
      </c>
    </row>
    <row r="106" spans="1:22" s="1170" customFormat="1">
      <c r="A106" s="1167" t="s">
        <v>1276</v>
      </c>
      <c r="B106" s="1168">
        <v>912878</v>
      </c>
      <c r="C106" s="1168">
        <v>496832</v>
      </c>
      <c r="D106" s="1168">
        <v>331407</v>
      </c>
      <c r="E106" s="1168">
        <v>165425</v>
      </c>
      <c r="F106" s="1168">
        <v>416046</v>
      </c>
      <c r="G106" s="1168">
        <v>259016</v>
      </c>
      <c r="H106" s="1168">
        <v>102038</v>
      </c>
      <c r="I106" s="1168">
        <v>54992</v>
      </c>
      <c r="J106" s="1168">
        <v>20</v>
      </c>
      <c r="K106" s="1168">
        <v>603</v>
      </c>
      <c r="L106" s="1168">
        <v>0</v>
      </c>
      <c r="M106" s="1168">
        <v>0</v>
      </c>
      <c r="N106" s="1168">
        <v>0</v>
      </c>
      <c r="O106" s="1168">
        <v>0</v>
      </c>
      <c r="P106" s="1168">
        <v>0</v>
      </c>
      <c r="Q106" s="1168">
        <v>0</v>
      </c>
      <c r="R106" s="1168">
        <v>0</v>
      </c>
      <c r="S106" s="1168">
        <v>0</v>
      </c>
      <c r="T106" s="1168">
        <v>0</v>
      </c>
      <c r="U106" s="1168">
        <v>0</v>
      </c>
      <c r="V106" s="1169" t="s">
        <v>1485</v>
      </c>
    </row>
    <row r="107" spans="1:22" s="1170" customFormat="1">
      <c r="A107" s="1167" t="s">
        <v>1277</v>
      </c>
      <c r="B107" s="1168">
        <v>23215</v>
      </c>
      <c r="C107" s="1168">
        <v>9477</v>
      </c>
      <c r="D107" s="1168">
        <v>6199</v>
      </c>
      <c r="E107" s="1168">
        <v>3278</v>
      </c>
      <c r="F107" s="1168">
        <v>13738</v>
      </c>
      <c r="G107" s="1168">
        <v>9036</v>
      </c>
      <c r="H107" s="1168">
        <v>3592</v>
      </c>
      <c r="I107" s="1168">
        <v>1110</v>
      </c>
      <c r="J107" s="1168">
        <v>0</v>
      </c>
      <c r="K107" s="1168">
        <v>0</v>
      </c>
      <c r="L107" s="1168">
        <v>0</v>
      </c>
      <c r="M107" s="1168">
        <v>0</v>
      </c>
      <c r="N107" s="1168">
        <v>0</v>
      </c>
      <c r="O107" s="1168">
        <v>0</v>
      </c>
      <c r="P107" s="1168">
        <v>0</v>
      </c>
      <c r="Q107" s="1168">
        <v>0</v>
      </c>
      <c r="R107" s="1168">
        <v>0</v>
      </c>
      <c r="S107" s="1168">
        <v>0</v>
      </c>
      <c r="T107" s="1168">
        <v>0</v>
      </c>
      <c r="U107" s="1168">
        <v>0</v>
      </c>
      <c r="V107" s="1169" t="s">
        <v>1485</v>
      </c>
    </row>
    <row r="108" spans="1:22" s="1170" customFormat="1">
      <c r="A108" s="1167" t="s">
        <v>1278</v>
      </c>
      <c r="B108" s="1168">
        <v>118023769</v>
      </c>
      <c r="C108" s="1168">
        <v>60831443</v>
      </c>
      <c r="D108" s="1168">
        <v>39900639</v>
      </c>
      <c r="E108" s="1168">
        <v>20930804</v>
      </c>
      <c r="F108" s="1168">
        <v>57192326</v>
      </c>
      <c r="G108" s="1168">
        <v>37271569</v>
      </c>
      <c r="H108" s="1168">
        <v>15881201</v>
      </c>
      <c r="I108" s="1168">
        <v>4039556</v>
      </c>
      <c r="J108" s="1168">
        <v>0</v>
      </c>
      <c r="K108" s="1168">
        <v>0</v>
      </c>
      <c r="L108" s="1168">
        <v>0</v>
      </c>
      <c r="M108" s="1168">
        <v>0</v>
      </c>
      <c r="N108" s="1168">
        <v>0</v>
      </c>
      <c r="O108" s="1168">
        <v>0</v>
      </c>
      <c r="P108" s="1168">
        <v>0</v>
      </c>
      <c r="Q108" s="1168">
        <v>0</v>
      </c>
      <c r="R108" s="1168">
        <v>0</v>
      </c>
      <c r="S108" s="1168">
        <v>0</v>
      </c>
      <c r="T108" s="1168">
        <v>0</v>
      </c>
      <c r="U108" s="1168">
        <v>0</v>
      </c>
      <c r="V108" s="1169" t="s">
        <v>1485</v>
      </c>
    </row>
    <row r="109" spans="1:22" s="1170" customFormat="1">
      <c r="A109" s="1167" t="s">
        <v>1279</v>
      </c>
      <c r="B109" s="1168">
        <v>59400</v>
      </c>
      <c r="C109" s="1168">
        <v>29538</v>
      </c>
      <c r="D109" s="1168">
        <v>20246</v>
      </c>
      <c r="E109" s="1168">
        <v>9292</v>
      </c>
      <c r="F109" s="1168">
        <v>29862</v>
      </c>
      <c r="G109" s="1168">
        <v>20283</v>
      </c>
      <c r="H109" s="1168">
        <v>9078</v>
      </c>
      <c r="I109" s="1168">
        <v>501</v>
      </c>
      <c r="J109" s="1168">
        <v>4177</v>
      </c>
      <c r="K109" s="1168">
        <v>25682</v>
      </c>
      <c r="L109" s="1168">
        <v>0</v>
      </c>
      <c r="M109" s="1168">
        <v>0</v>
      </c>
      <c r="N109" s="1168">
        <v>0</v>
      </c>
      <c r="O109" s="1168">
        <v>0</v>
      </c>
      <c r="P109" s="1168">
        <v>0</v>
      </c>
      <c r="Q109" s="1168">
        <v>0</v>
      </c>
      <c r="R109" s="1168">
        <v>0</v>
      </c>
      <c r="S109" s="1168">
        <v>0</v>
      </c>
      <c r="T109" s="1168">
        <v>0</v>
      </c>
      <c r="U109" s="1168">
        <v>0</v>
      </c>
      <c r="V109" s="1169" t="s">
        <v>1485</v>
      </c>
    </row>
    <row r="110" spans="1:22" s="1170" customFormat="1">
      <c r="A110" s="1167" t="s">
        <v>1280</v>
      </c>
      <c r="B110" s="1168">
        <v>3690133</v>
      </c>
      <c r="C110" s="1168">
        <v>1861008</v>
      </c>
      <c r="D110" s="1168">
        <v>1325830</v>
      </c>
      <c r="E110" s="1168">
        <v>535178</v>
      </c>
      <c r="F110" s="1168">
        <v>1829125</v>
      </c>
      <c r="G110" s="1168">
        <v>1290281</v>
      </c>
      <c r="H110" s="1168">
        <v>477160</v>
      </c>
      <c r="I110" s="1168">
        <v>61684</v>
      </c>
      <c r="J110" s="1168">
        <v>32</v>
      </c>
      <c r="K110" s="1168">
        <v>357</v>
      </c>
      <c r="L110" s="1168">
        <v>0</v>
      </c>
      <c r="M110" s="1168">
        <v>0</v>
      </c>
      <c r="N110" s="1168">
        <v>0</v>
      </c>
      <c r="O110" s="1168">
        <v>0</v>
      </c>
      <c r="P110" s="1168">
        <v>0</v>
      </c>
      <c r="Q110" s="1168">
        <v>0</v>
      </c>
      <c r="R110" s="1168">
        <v>0</v>
      </c>
      <c r="S110" s="1168">
        <v>0</v>
      </c>
      <c r="T110" s="1168">
        <v>0</v>
      </c>
      <c r="U110" s="1168">
        <v>0</v>
      </c>
      <c r="V110" s="1169" t="s">
        <v>1485</v>
      </c>
    </row>
    <row r="111" spans="1:22" s="1170" customFormat="1">
      <c r="A111" s="1167" t="s">
        <v>1281</v>
      </c>
      <c r="B111" s="1168">
        <v>81925</v>
      </c>
      <c r="C111" s="1168">
        <v>0</v>
      </c>
      <c r="D111" s="1168">
        <v>0</v>
      </c>
      <c r="E111" s="1168">
        <v>0</v>
      </c>
      <c r="F111" s="1168">
        <v>0</v>
      </c>
      <c r="G111" s="1168">
        <v>0</v>
      </c>
      <c r="H111" s="1168">
        <v>0</v>
      </c>
      <c r="I111" s="1168">
        <v>0</v>
      </c>
      <c r="J111" s="1168">
        <v>0</v>
      </c>
      <c r="K111" s="1168">
        <v>0</v>
      </c>
      <c r="L111" s="1168">
        <v>4052</v>
      </c>
      <c r="M111" s="1168">
        <v>19483</v>
      </c>
      <c r="N111" s="1168">
        <v>7750</v>
      </c>
      <c r="O111" s="1168">
        <v>50640</v>
      </c>
      <c r="P111" s="1168">
        <v>0</v>
      </c>
      <c r="Q111" s="1168">
        <v>0</v>
      </c>
      <c r="R111" s="1168">
        <v>0</v>
      </c>
      <c r="S111" s="1168">
        <v>0</v>
      </c>
      <c r="T111" s="1168">
        <v>0</v>
      </c>
      <c r="U111" s="1168">
        <v>0</v>
      </c>
      <c r="V111" s="1169" t="s">
        <v>1485</v>
      </c>
    </row>
    <row r="112" spans="1:22" s="1170" customFormat="1">
      <c r="A112" s="1167" t="s">
        <v>1282</v>
      </c>
      <c r="B112" s="1168">
        <v>474733</v>
      </c>
      <c r="C112" s="1168">
        <v>0</v>
      </c>
      <c r="D112" s="1168">
        <v>0</v>
      </c>
      <c r="E112" s="1168">
        <v>0</v>
      </c>
      <c r="F112" s="1168">
        <v>0</v>
      </c>
      <c r="G112" s="1168">
        <v>0</v>
      </c>
      <c r="H112" s="1168">
        <v>0</v>
      </c>
      <c r="I112" s="1168">
        <v>0</v>
      </c>
      <c r="J112" s="1168">
        <v>0</v>
      </c>
      <c r="K112" s="1168">
        <v>0</v>
      </c>
      <c r="L112" s="1168">
        <v>0</v>
      </c>
      <c r="M112" s="1168">
        <v>0</v>
      </c>
      <c r="N112" s="1168">
        <v>0</v>
      </c>
      <c r="O112" s="1168">
        <v>0</v>
      </c>
      <c r="P112" s="1168">
        <v>128420</v>
      </c>
      <c r="Q112" s="1168">
        <v>45918</v>
      </c>
      <c r="R112" s="1168">
        <v>10721</v>
      </c>
      <c r="S112" s="1168">
        <v>2761</v>
      </c>
      <c r="T112" s="1168">
        <v>51499</v>
      </c>
      <c r="U112" s="1168">
        <v>17521</v>
      </c>
      <c r="V112" s="1169" t="s">
        <v>1485</v>
      </c>
    </row>
    <row r="113" spans="1:22" s="1170" customFormat="1">
      <c r="A113" s="1167" t="s">
        <v>1283</v>
      </c>
      <c r="B113" s="1168">
        <v>6001</v>
      </c>
      <c r="C113" s="1168">
        <v>0</v>
      </c>
      <c r="D113" s="1168">
        <v>0</v>
      </c>
      <c r="E113" s="1168">
        <v>0</v>
      </c>
      <c r="F113" s="1168">
        <v>0</v>
      </c>
      <c r="G113" s="1168">
        <v>0</v>
      </c>
      <c r="H113" s="1168">
        <v>0</v>
      </c>
      <c r="I113" s="1168">
        <v>0</v>
      </c>
      <c r="J113" s="1168">
        <v>0</v>
      </c>
      <c r="K113" s="1168">
        <v>0</v>
      </c>
      <c r="L113" s="1168">
        <v>0</v>
      </c>
      <c r="M113" s="1168">
        <v>0</v>
      </c>
      <c r="N113" s="1168">
        <v>0</v>
      </c>
      <c r="O113" s="1168">
        <v>0</v>
      </c>
      <c r="P113" s="1168">
        <v>2211</v>
      </c>
      <c r="Q113" s="1168">
        <v>716</v>
      </c>
      <c r="R113" s="1168">
        <v>441</v>
      </c>
      <c r="S113" s="1168">
        <v>0</v>
      </c>
      <c r="T113" s="1168">
        <v>642</v>
      </c>
      <c r="U113" s="1168">
        <v>412</v>
      </c>
      <c r="V113" s="1169" t="s">
        <v>1485</v>
      </c>
    </row>
    <row r="114" spans="1:22">
      <c r="A114" s="1160" t="s">
        <v>1286</v>
      </c>
      <c r="B114" s="1161">
        <v>11535</v>
      </c>
      <c r="C114" s="1161">
        <v>0</v>
      </c>
      <c r="D114" s="1161">
        <v>0</v>
      </c>
      <c r="E114" s="1161">
        <v>0</v>
      </c>
      <c r="F114" s="1161">
        <v>11535</v>
      </c>
      <c r="G114" s="1161">
        <v>5784</v>
      </c>
      <c r="H114" s="1161">
        <v>4368</v>
      </c>
      <c r="I114" s="1161">
        <v>1383</v>
      </c>
      <c r="J114" s="1161">
        <v>0</v>
      </c>
      <c r="K114" s="1161">
        <v>0</v>
      </c>
      <c r="L114" s="1161">
        <v>0</v>
      </c>
      <c r="M114" s="1161">
        <v>0</v>
      </c>
      <c r="N114" s="1161">
        <v>0</v>
      </c>
      <c r="O114" s="1161">
        <v>0</v>
      </c>
      <c r="P114" s="1161">
        <v>0</v>
      </c>
      <c r="Q114" s="1161">
        <v>0</v>
      </c>
      <c r="R114" s="1161">
        <v>0</v>
      </c>
      <c r="S114" s="1161">
        <v>0</v>
      </c>
      <c r="T114" s="1161">
        <v>0</v>
      </c>
      <c r="U114" s="1161">
        <v>0</v>
      </c>
      <c r="V114" s="1156" t="s">
        <v>1486</v>
      </c>
    </row>
    <row r="115" spans="1:22">
      <c r="A115" s="1160" t="s">
        <v>1273</v>
      </c>
      <c r="B115" s="1161">
        <v>645930</v>
      </c>
      <c r="C115" s="1161">
        <v>64</v>
      </c>
      <c r="D115" s="1161">
        <v>64</v>
      </c>
      <c r="E115" s="1161">
        <v>0</v>
      </c>
      <c r="F115" s="1161">
        <v>645866</v>
      </c>
      <c r="G115" s="1161">
        <v>466163</v>
      </c>
      <c r="H115" s="1161">
        <v>142392</v>
      </c>
      <c r="I115" s="1161">
        <v>37311</v>
      </c>
      <c r="J115" s="1161">
        <v>0</v>
      </c>
      <c r="K115" s="1161">
        <v>0</v>
      </c>
      <c r="L115" s="1161">
        <v>0</v>
      </c>
      <c r="M115" s="1161">
        <v>0</v>
      </c>
      <c r="N115" s="1161">
        <v>0</v>
      </c>
      <c r="O115" s="1161">
        <v>0</v>
      </c>
      <c r="P115" s="1161">
        <v>0</v>
      </c>
      <c r="Q115" s="1161">
        <v>0</v>
      </c>
      <c r="R115" s="1161">
        <v>0</v>
      </c>
      <c r="S115" s="1161">
        <v>0</v>
      </c>
      <c r="T115" s="1161">
        <v>0</v>
      </c>
      <c r="U115" s="1161">
        <v>0</v>
      </c>
      <c r="V115" s="1156" t="s">
        <v>1486</v>
      </c>
    </row>
    <row r="116" spans="1:22">
      <c r="A116" s="1160" t="s">
        <v>1274</v>
      </c>
      <c r="B116" s="1161">
        <v>1052</v>
      </c>
      <c r="C116" s="1161">
        <v>0</v>
      </c>
      <c r="D116" s="1161">
        <v>0</v>
      </c>
      <c r="E116" s="1161">
        <v>0</v>
      </c>
      <c r="F116" s="1161">
        <v>1052</v>
      </c>
      <c r="G116" s="1161">
        <v>690</v>
      </c>
      <c r="H116" s="1161">
        <v>362</v>
      </c>
      <c r="I116" s="1161">
        <v>0</v>
      </c>
      <c r="J116" s="1161">
        <v>112</v>
      </c>
      <c r="K116" s="1161">
        <v>940</v>
      </c>
      <c r="L116" s="1161">
        <v>0</v>
      </c>
      <c r="M116" s="1161">
        <v>0</v>
      </c>
      <c r="N116" s="1161">
        <v>0</v>
      </c>
      <c r="O116" s="1161">
        <v>0</v>
      </c>
      <c r="P116" s="1161">
        <v>0</v>
      </c>
      <c r="Q116" s="1161">
        <v>0</v>
      </c>
      <c r="R116" s="1161">
        <v>0</v>
      </c>
      <c r="S116" s="1161">
        <v>0</v>
      </c>
      <c r="T116" s="1161">
        <v>0</v>
      </c>
      <c r="U116" s="1161">
        <v>0</v>
      </c>
      <c r="V116" s="1156" t="s">
        <v>1486</v>
      </c>
    </row>
    <row r="117" spans="1:22">
      <c r="A117" s="1160" t="s">
        <v>1275</v>
      </c>
      <c r="B117" s="1161">
        <v>5534</v>
      </c>
      <c r="C117" s="1161">
        <v>0</v>
      </c>
      <c r="D117" s="1161">
        <v>0</v>
      </c>
      <c r="E117" s="1161">
        <v>0</v>
      </c>
      <c r="F117" s="1161">
        <v>5534</v>
      </c>
      <c r="G117" s="1161">
        <v>4267</v>
      </c>
      <c r="H117" s="1161">
        <v>1199</v>
      </c>
      <c r="I117" s="1161">
        <v>68</v>
      </c>
      <c r="J117" s="1161">
        <v>0</v>
      </c>
      <c r="K117" s="1161">
        <v>0</v>
      </c>
      <c r="L117" s="1161">
        <v>0</v>
      </c>
      <c r="M117" s="1161">
        <v>0</v>
      </c>
      <c r="N117" s="1161">
        <v>0</v>
      </c>
      <c r="O117" s="1161">
        <v>0</v>
      </c>
      <c r="P117" s="1161">
        <v>0</v>
      </c>
      <c r="Q117" s="1161">
        <v>0</v>
      </c>
      <c r="R117" s="1161">
        <v>0</v>
      </c>
      <c r="S117" s="1161">
        <v>0</v>
      </c>
      <c r="T117" s="1161">
        <v>0</v>
      </c>
      <c r="U117" s="1161">
        <v>0</v>
      </c>
      <c r="V117" s="1156" t="s">
        <v>1486</v>
      </c>
    </row>
    <row r="118" spans="1:22">
      <c r="A118" s="1160" t="s">
        <v>1276</v>
      </c>
      <c r="B118" s="1161">
        <v>1015326</v>
      </c>
      <c r="C118" s="1161">
        <v>0</v>
      </c>
      <c r="D118" s="1161">
        <v>0</v>
      </c>
      <c r="E118" s="1161">
        <v>0</v>
      </c>
      <c r="F118" s="1161">
        <v>1015326</v>
      </c>
      <c r="G118" s="1161">
        <v>617887</v>
      </c>
      <c r="H118" s="1161">
        <v>255444</v>
      </c>
      <c r="I118" s="1161">
        <v>141995</v>
      </c>
      <c r="J118" s="1161">
        <v>246</v>
      </c>
      <c r="K118" s="1161">
        <v>2224</v>
      </c>
      <c r="L118" s="1161">
        <v>0</v>
      </c>
      <c r="M118" s="1161">
        <v>0</v>
      </c>
      <c r="N118" s="1161">
        <v>0</v>
      </c>
      <c r="O118" s="1161">
        <v>0</v>
      </c>
      <c r="P118" s="1161">
        <v>0</v>
      </c>
      <c r="Q118" s="1161">
        <v>0</v>
      </c>
      <c r="R118" s="1161">
        <v>0</v>
      </c>
      <c r="S118" s="1161">
        <v>0</v>
      </c>
      <c r="T118" s="1161">
        <v>0</v>
      </c>
      <c r="U118" s="1161">
        <v>0</v>
      </c>
      <c r="V118" s="1156" t="s">
        <v>1486</v>
      </c>
    </row>
    <row r="119" spans="1:22">
      <c r="A119" s="1160" t="s">
        <v>1277</v>
      </c>
      <c r="B119" s="1161">
        <v>23760</v>
      </c>
      <c r="C119" s="1161">
        <v>0</v>
      </c>
      <c r="D119" s="1161">
        <v>0</v>
      </c>
      <c r="E119" s="1161">
        <v>0</v>
      </c>
      <c r="F119" s="1161">
        <v>23760</v>
      </c>
      <c r="G119" s="1161">
        <v>15387</v>
      </c>
      <c r="H119" s="1161">
        <v>6240</v>
      </c>
      <c r="I119" s="1161">
        <v>2133</v>
      </c>
      <c r="J119" s="1161">
        <v>0</v>
      </c>
      <c r="K119" s="1161">
        <v>0</v>
      </c>
      <c r="L119" s="1161">
        <v>0</v>
      </c>
      <c r="M119" s="1161">
        <v>0</v>
      </c>
      <c r="N119" s="1161">
        <v>0</v>
      </c>
      <c r="O119" s="1161">
        <v>0</v>
      </c>
      <c r="P119" s="1161">
        <v>0</v>
      </c>
      <c r="Q119" s="1161">
        <v>0</v>
      </c>
      <c r="R119" s="1161">
        <v>0</v>
      </c>
      <c r="S119" s="1161">
        <v>0</v>
      </c>
      <c r="T119" s="1161">
        <v>0</v>
      </c>
      <c r="U119" s="1161">
        <v>0</v>
      </c>
      <c r="V119" s="1156" t="s">
        <v>1486</v>
      </c>
    </row>
    <row r="120" spans="1:22">
      <c r="A120" s="1160" t="s">
        <v>1278</v>
      </c>
      <c r="B120" s="1161">
        <v>135123328</v>
      </c>
      <c r="C120" s="1161">
        <v>3449</v>
      </c>
      <c r="D120" s="1161">
        <v>2983</v>
      </c>
      <c r="E120" s="1161">
        <v>466</v>
      </c>
      <c r="F120" s="1161">
        <v>135119879</v>
      </c>
      <c r="G120" s="1161">
        <v>80554612</v>
      </c>
      <c r="H120" s="1161">
        <v>43175612</v>
      </c>
      <c r="I120" s="1161">
        <v>11389655</v>
      </c>
      <c r="J120" s="1161">
        <v>0</v>
      </c>
      <c r="K120" s="1161">
        <v>0</v>
      </c>
      <c r="L120" s="1161">
        <v>0</v>
      </c>
      <c r="M120" s="1161">
        <v>0</v>
      </c>
      <c r="N120" s="1161">
        <v>0</v>
      </c>
      <c r="O120" s="1161">
        <v>0</v>
      </c>
      <c r="P120" s="1161">
        <v>0</v>
      </c>
      <c r="Q120" s="1161">
        <v>0</v>
      </c>
      <c r="R120" s="1161">
        <v>0</v>
      </c>
      <c r="S120" s="1161">
        <v>0</v>
      </c>
      <c r="T120" s="1161">
        <v>0</v>
      </c>
      <c r="U120" s="1161">
        <v>0</v>
      </c>
      <c r="V120" s="1156" t="s">
        <v>1486</v>
      </c>
    </row>
    <row r="121" spans="1:22">
      <c r="A121" s="1160" t="s">
        <v>1279</v>
      </c>
      <c r="B121" s="1161">
        <v>65658</v>
      </c>
      <c r="C121" s="1161">
        <v>0</v>
      </c>
      <c r="D121" s="1161">
        <v>0</v>
      </c>
      <c r="E121" s="1161">
        <v>0</v>
      </c>
      <c r="F121" s="1161">
        <v>65658</v>
      </c>
      <c r="G121" s="1161">
        <v>42039</v>
      </c>
      <c r="H121" s="1161">
        <v>21686</v>
      </c>
      <c r="I121" s="1161">
        <v>1933</v>
      </c>
      <c r="J121" s="1161">
        <v>15429</v>
      </c>
      <c r="K121" s="1161">
        <v>50229</v>
      </c>
      <c r="L121" s="1161">
        <v>0</v>
      </c>
      <c r="M121" s="1161">
        <v>0</v>
      </c>
      <c r="N121" s="1161">
        <v>0</v>
      </c>
      <c r="O121" s="1161">
        <v>0</v>
      </c>
      <c r="P121" s="1161">
        <v>0</v>
      </c>
      <c r="Q121" s="1161">
        <v>0</v>
      </c>
      <c r="R121" s="1161">
        <v>0</v>
      </c>
      <c r="S121" s="1161">
        <v>0</v>
      </c>
      <c r="T121" s="1161">
        <v>0</v>
      </c>
      <c r="U121" s="1161">
        <v>0</v>
      </c>
      <c r="V121" s="1156" t="s">
        <v>1486</v>
      </c>
    </row>
    <row r="122" spans="1:22">
      <c r="A122" s="1160" t="s">
        <v>1280</v>
      </c>
      <c r="B122" s="1161">
        <v>4028004</v>
      </c>
      <c r="C122" s="1161">
        <v>9</v>
      </c>
      <c r="D122" s="1161">
        <v>9</v>
      </c>
      <c r="E122" s="1161">
        <v>0</v>
      </c>
      <c r="F122" s="1161">
        <v>4027995</v>
      </c>
      <c r="G122" s="1161">
        <v>2676827</v>
      </c>
      <c r="H122" s="1161">
        <v>1194638</v>
      </c>
      <c r="I122" s="1161">
        <v>156530</v>
      </c>
      <c r="J122" s="1161">
        <v>233</v>
      </c>
      <c r="K122" s="1161">
        <v>831</v>
      </c>
      <c r="L122" s="1161">
        <v>0</v>
      </c>
      <c r="M122" s="1161">
        <v>0</v>
      </c>
      <c r="N122" s="1161">
        <v>0</v>
      </c>
      <c r="O122" s="1161">
        <v>0</v>
      </c>
      <c r="P122" s="1161">
        <v>0</v>
      </c>
      <c r="Q122" s="1161">
        <v>0</v>
      </c>
      <c r="R122" s="1161">
        <v>0</v>
      </c>
      <c r="S122" s="1161">
        <v>0</v>
      </c>
      <c r="T122" s="1161">
        <v>0</v>
      </c>
      <c r="U122" s="1161">
        <v>0</v>
      </c>
      <c r="V122" s="1156" t="s">
        <v>1486</v>
      </c>
    </row>
    <row r="123" spans="1:22">
      <c r="A123" s="1160" t="s">
        <v>1281</v>
      </c>
      <c r="B123" s="1161">
        <v>93218</v>
      </c>
      <c r="C123" s="1161">
        <v>0</v>
      </c>
      <c r="D123" s="1161">
        <v>0</v>
      </c>
      <c r="E123" s="1161">
        <v>0</v>
      </c>
      <c r="F123" s="1161">
        <v>0</v>
      </c>
      <c r="G123" s="1161">
        <v>0</v>
      </c>
      <c r="H123" s="1161">
        <v>0</v>
      </c>
      <c r="I123" s="1161">
        <v>0</v>
      </c>
      <c r="J123" s="1161">
        <v>0</v>
      </c>
      <c r="K123" s="1161">
        <v>0</v>
      </c>
      <c r="L123" s="1161">
        <v>4117</v>
      </c>
      <c r="M123" s="1161">
        <v>22974</v>
      </c>
      <c r="N123" s="1161">
        <v>7861</v>
      </c>
      <c r="O123" s="1161">
        <v>58266</v>
      </c>
      <c r="P123" s="1161">
        <v>0</v>
      </c>
      <c r="Q123" s="1161">
        <v>0</v>
      </c>
      <c r="R123" s="1161">
        <v>0</v>
      </c>
      <c r="S123" s="1161">
        <v>0</v>
      </c>
      <c r="T123" s="1161">
        <v>0</v>
      </c>
      <c r="U123" s="1161">
        <v>0</v>
      </c>
      <c r="V123" s="1156" t="s">
        <v>1486</v>
      </c>
    </row>
    <row r="124" spans="1:22">
      <c r="A124" s="1160" t="s">
        <v>1282</v>
      </c>
      <c r="B124" s="1161">
        <v>530648</v>
      </c>
      <c r="C124" s="1161">
        <v>0</v>
      </c>
      <c r="D124" s="1161">
        <v>0</v>
      </c>
      <c r="E124" s="1161">
        <v>0</v>
      </c>
      <c r="F124" s="1161">
        <v>0</v>
      </c>
      <c r="G124" s="1161">
        <v>0</v>
      </c>
      <c r="H124" s="1161">
        <v>0</v>
      </c>
      <c r="I124" s="1161">
        <v>0</v>
      </c>
      <c r="J124" s="1161">
        <v>0</v>
      </c>
      <c r="K124" s="1161">
        <v>0</v>
      </c>
      <c r="L124" s="1161">
        <v>0</v>
      </c>
      <c r="M124" s="1161">
        <v>0</v>
      </c>
      <c r="N124" s="1161">
        <v>0</v>
      </c>
      <c r="O124" s="1161">
        <v>0</v>
      </c>
      <c r="P124" s="1161">
        <v>170665</v>
      </c>
      <c r="Q124" s="1161">
        <v>122184</v>
      </c>
      <c r="R124" s="1161">
        <v>37621</v>
      </c>
      <c r="S124" s="1161">
        <v>10782</v>
      </c>
      <c r="T124" s="1161">
        <v>40</v>
      </c>
      <c r="U124" s="1161">
        <v>38</v>
      </c>
      <c r="V124" s="1156" t="s">
        <v>1486</v>
      </c>
    </row>
    <row r="125" spans="1:22">
      <c r="A125" s="1160" t="s">
        <v>1283</v>
      </c>
      <c r="B125" s="1161">
        <v>7031</v>
      </c>
      <c r="C125" s="1161">
        <v>0</v>
      </c>
      <c r="D125" s="1161">
        <v>0</v>
      </c>
      <c r="E125" s="1161">
        <v>0</v>
      </c>
      <c r="F125" s="1161">
        <v>0</v>
      </c>
      <c r="G125" s="1161">
        <v>0</v>
      </c>
      <c r="H125" s="1161">
        <v>0</v>
      </c>
      <c r="I125" s="1161">
        <v>0</v>
      </c>
      <c r="J125" s="1161">
        <v>0</v>
      </c>
      <c r="K125" s="1161">
        <v>0</v>
      </c>
      <c r="L125" s="1161">
        <v>0</v>
      </c>
      <c r="M125" s="1161">
        <v>0</v>
      </c>
      <c r="N125" s="1161">
        <v>0</v>
      </c>
      <c r="O125" s="1161">
        <v>0</v>
      </c>
      <c r="P125" s="1161">
        <v>3037</v>
      </c>
      <c r="Q125" s="1161">
        <v>2044</v>
      </c>
      <c r="R125" s="1161">
        <v>967</v>
      </c>
      <c r="S125" s="1161">
        <v>26</v>
      </c>
      <c r="T125" s="1161">
        <v>0</v>
      </c>
      <c r="U125" s="1161">
        <v>0</v>
      </c>
      <c r="V125" s="1156" t="s">
        <v>1486</v>
      </c>
    </row>
  </sheetData>
  <pageMargins left="1" right="1" top="1.8220000000000001" bottom="1.544" header="1" footer="1"/>
  <pageSetup orientation="landscape" r:id="rId1"/>
  <headerFooter alignWithMargins="0">
    <oddHeader>&amp;L&amp;C&amp;B&amp;"Times New Roman"&amp;14Utah Schedule 2 Billing Determinants
12 Months Ending September 2005&amp;R&amp;"Arial"&amp;8Date: 12/8/2005</oddHeader>
    <oddFooter>&amp;L&amp;C&amp;"Arial"&amp;10Page &amp;P&amp;R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  <pageSetUpPr fitToPage="1"/>
  </sheetPr>
  <dimension ref="A1:AF46"/>
  <sheetViews>
    <sheetView workbookViewId="0">
      <pane xSplit="3" ySplit="1" topLeftCell="D20" activePane="bottomRight" state="frozen"/>
      <selection activeCell="W28" sqref="W28"/>
      <selection pane="topRight" activeCell="W28" sqref="W28"/>
      <selection pane="bottomLeft" activeCell="W28" sqref="W28"/>
      <selection pane="bottomRight" activeCell="W28" sqref="W28"/>
    </sheetView>
  </sheetViews>
  <sheetFormatPr defaultColWidth="8" defaultRowHeight="12.75"/>
  <cols>
    <col min="1" max="1" width="9.125" style="136" bestFit="1" customWidth="1"/>
    <col min="2" max="2" width="6.125" style="136" bestFit="1" customWidth="1"/>
    <col min="3" max="3" width="11.625" style="136" bestFit="1" customWidth="1"/>
    <col min="4" max="4" width="12.125" style="136" bestFit="1" customWidth="1"/>
    <col min="5" max="5" width="11" style="136" bestFit="1" customWidth="1"/>
    <col min="6" max="6" width="10.25" style="136" bestFit="1" customWidth="1"/>
    <col min="7" max="7" width="8.75" style="136" bestFit="1" customWidth="1"/>
    <col min="8" max="8" width="7.25" style="136" bestFit="1" customWidth="1"/>
    <col min="9" max="9" width="8" style="136"/>
    <col min="10" max="12" width="9.75" style="136" bestFit="1" customWidth="1"/>
    <col min="13" max="14" width="8.75" style="136" bestFit="1" customWidth="1"/>
    <col min="15" max="15" width="13.75" style="136" customWidth="1"/>
    <col min="16" max="17" width="12.125" style="136" bestFit="1" customWidth="1"/>
    <col min="18" max="18" width="12.25" style="136" bestFit="1" customWidth="1"/>
    <col min="19" max="19" width="10.75" style="136" bestFit="1" customWidth="1"/>
    <col min="20" max="20" width="14" style="136" bestFit="1" customWidth="1"/>
    <col min="21" max="21" width="9" style="136" bestFit="1" customWidth="1"/>
    <col min="22" max="22" width="10.25" style="136" bestFit="1" customWidth="1"/>
    <col min="23" max="23" width="10.75" style="136" bestFit="1" customWidth="1"/>
    <col min="24" max="24" width="12.125" style="136" bestFit="1" customWidth="1"/>
    <col min="25" max="25" width="10.75" style="136" bestFit="1" customWidth="1"/>
    <col min="26" max="26" width="12" style="136" bestFit="1" customWidth="1"/>
    <col min="27" max="28" width="12" style="136" customWidth="1"/>
    <col min="29" max="29" width="9" style="136" bestFit="1" customWidth="1"/>
    <col min="30" max="30" width="9.75" style="136" bestFit="1" customWidth="1"/>
    <col min="31" max="16384" width="8" style="136"/>
  </cols>
  <sheetData>
    <row r="1" spans="1:32" ht="13.5" customHeight="1">
      <c r="A1" s="1155" t="s">
        <v>472</v>
      </c>
      <c r="B1" s="1155" t="s">
        <v>191</v>
      </c>
      <c r="C1" s="1155" t="s">
        <v>192</v>
      </c>
      <c r="D1" s="1155" t="s">
        <v>125</v>
      </c>
      <c r="E1" s="1155" t="s">
        <v>126</v>
      </c>
      <c r="F1" s="1155" t="s">
        <v>127</v>
      </c>
      <c r="G1" s="1155" t="s">
        <v>128</v>
      </c>
      <c r="H1" s="1155" t="s">
        <v>72</v>
      </c>
      <c r="I1" s="1155" t="s">
        <v>627</v>
      </c>
      <c r="J1" s="1155" t="s">
        <v>974</v>
      </c>
      <c r="K1" s="1155" t="s">
        <v>462</v>
      </c>
      <c r="L1" s="1155" t="s">
        <v>638</v>
      </c>
      <c r="M1" s="1155" t="s">
        <v>639</v>
      </c>
      <c r="N1" s="1155" t="s">
        <v>631</v>
      </c>
      <c r="O1" s="1155" t="s">
        <v>70</v>
      </c>
      <c r="P1" s="1155" t="s">
        <v>622</v>
      </c>
      <c r="Q1" s="1155" t="s">
        <v>626</v>
      </c>
      <c r="R1" s="1155" t="s">
        <v>1221</v>
      </c>
      <c r="S1" s="1155" t="s">
        <v>1152</v>
      </c>
      <c r="T1" s="1155" t="s">
        <v>1222</v>
      </c>
      <c r="U1" s="1155" t="s">
        <v>1223</v>
      </c>
      <c r="V1" s="1155" t="s">
        <v>1224</v>
      </c>
      <c r="W1" s="1155" t="s">
        <v>71</v>
      </c>
      <c r="X1" s="1155" t="s">
        <v>619</v>
      </c>
      <c r="Y1" s="1155" t="s">
        <v>796</v>
      </c>
      <c r="Z1" s="1155" t="s">
        <v>1225</v>
      </c>
      <c r="AA1" s="1155" t="s">
        <v>1256</v>
      </c>
      <c r="AB1" s="1155" t="s">
        <v>1297</v>
      </c>
      <c r="AC1" s="819" t="s">
        <v>1229</v>
      </c>
      <c r="AD1" s="136" t="s">
        <v>1239</v>
      </c>
    </row>
    <row r="2" spans="1:32" ht="14.25" customHeight="1">
      <c r="A2" s="1156" t="s">
        <v>295</v>
      </c>
      <c r="B2" s="1156" t="s">
        <v>429</v>
      </c>
      <c r="C2" s="1156" t="s">
        <v>1226</v>
      </c>
      <c r="D2" s="1157">
        <v>1065058</v>
      </c>
      <c r="E2" s="1157">
        <v>117199.54</v>
      </c>
      <c r="F2" s="1157">
        <v>0</v>
      </c>
      <c r="G2" s="1157">
        <v>0</v>
      </c>
      <c r="H2" s="1157">
        <v>20.466666666666701</v>
      </c>
      <c r="I2" s="1180">
        <v>21</v>
      </c>
      <c r="J2" s="1157">
        <v>4780</v>
      </c>
      <c r="K2" s="1157">
        <v>4780</v>
      </c>
      <c r="L2" s="1157">
        <v>2534</v>
      </c>
      <c r="M2" s="1157">
        <v>2246</v>
      </c>
      <c r="N2" s="1157">
        <v>0</v>
      </c>
      <c r="O2" s="1157">
        <v>1065058</v>
      </c>
      <c r="P2" s="1157">
        <v>463833</v>
      </c>
      <c r="Q2" s="1157">
        <v>601225</v>
      </c>
      <c r="R2" s="1180">
        <v>0</v>
      </c>
      <c r="S2" s="1180">
        <v>0</v>
      </c>
      <c r="T2" s="1180">
        <v>0</v>
      </c>
      <c r="U2" s="1180">
        <v>0</v>
      </c>
      <c r="V2" s="1180">
        <v>0</v>
      </c>
      <c r="W2" s="1157">
        <v>120822.75</v>
      </c>
      <c r="X2" s="1157">
        <v>120822.75096600001</v>
      </c>
      <c r="Y2" s="1158">
        <v>120822.75096600001</v>
      </c>
      <c r="Z2" s="1157">
        <v>-3623.21</v>
      </c>
      <c r="AA2" s="1159">
        <v>-3623.21</v>
      </c>
      <c r="AB2" s="1180">
        <v>0</v>
      </c>
      <c r="AC2" s="820" t="s">
        <v>1209</v>
      </c>
      <c r="AD2" s="835">
        <f>O2-P2-Q2-S2-U2-V2</f>
        <v>0</v>
      </c>
      <c r="AE2" s="835">
        <f>X2-W2</f>
        <v>9.6600000688340515E-4</v>
      </c>
      <c r="AF2" s="888">
        <f>AA2-Z2</f>
        <v>0</v>
      </c>
    </row>
    <row r="3" spans="1:32" ht="14.25" customHeight="1">
      <c r="A3" s="371"/>
      <c r="B3" s="371"/>
      <c r="C3" s="1156" t="s">
        <v>1227</v>
      </c>
      <c r="D3" s="1157">
        <v>4529124</v>
      </c>
      <c r="E3" s="1157">
        <v>462368.76</v>
      </c>
      <c r="F3" s="1157">
        <v>423644</v>
      </c>
      <c r="G3" s="1157">
        <v>29499.23</v>
      </c>
      <c r="H3" s="1157">
        <v>195.2</v>
      </c>
      <c r="I3" s="1180">
        <v>0</v>
      </c>
      <c r="J3" s="1157">
        <v>18816.9975247525</v>
      </c>
      <c r="K3" s="1157">
        <v>18817.002254486099</v>
      </c>
      <c r="L3" s="1157">
        <v>9190.7346101231196</v>
      </c>
      <c r="M3" s="1157">
        <v>9626.2676443629698</v>
      </c>
      <c r="N3" s="1157">
        <v>0</v>
      </c>
      <c r="O3" s="1157">
        <v>4952768</v>
      </c>
      <c r="P3" s="1157">
        <v>2384196</v>
      </c>
      <c r="Q3" s="1157">
        <v>2568572</v>
      </c>
      <c r="R3" s="1180">
        <v>0</v>
      </c>
      <c r="S3" s="1180">
        <v>0</v>
      </c>
      <c r="T3" s="1180">
        <v>0</v>
      </c>
      <c r="U3" s="1180">
        <v>0</v>
      </c>
      <c r="V3" s="1180">
        <v>0</v>
      </c>
      <c r="W3" s="1157">
        <v>507122.21</v>
      </c>
      <c r="X3" s="1157">
        <v>507122.15668800002</v>
      </c>
      <c r="Y3" s="1158">
        <v>507122.15668800002</v>
      </c>
      <c r="Z3" s="1157">
        <v>-15254.22</v>
      </c>
      <c r="AA3" s="1159">
        <v>-14422.36</v>
      </c>
      <c r="AB3" s="1180">
        <v>0</v>
      </c>
      <c r="AC3" s="820" t="s">
        <v>1209</v>
      </c>
      <c r="AD3" s="835">
        <f t="shared" ref="AD3:AD39" si="0">O3-P3-Q3-S3-U3-V3</f>
        <v>0</v>
      </c>
      <c r="AE3" s="835">
        <f t="shared" ref="AE3:AE20" si="1">X3-W3</f>
        <v>-5.3312000003643334E-2</v>
      </c>
      <c r="AF3" s="888">
        <f t="shared" ref="AF3:AF20" si="2">AA3-Z3</f>
        <v>831.85999999999876</v>
      </c>
    </row>
    <row r="4" spans="1:32" ht="14.25" customHeight="1">
      <c r="A4" s="371"/>
      <c r="B4" s="371"/>
      <c r="C4" s="1156" t="s">
        <v>137</v>
      </c>
      <c r="D4" s="1157">
        <v>4991880081</v>
      </c>
      <c r="E4" s="1157">
        <v>407150403.63999999</v>
      </c>
      <c r="F4" s="1157">
        <v>11442489</v>
      </c>
      <c r="G4" s="1157">
        <v>867239.25</v>
      </c>
      <c r="H4" s="1157">
        <v>134799.76666666701</v>
      </c>
      <c r="I4" s="1180">
        <v>0</v>
      </c>
      <c r="J4" s="1157">
        <v>13911648.2747525</v>
      </c>
      <c r="K4" s="1157">
        <v>13911648.5230307</v>
      </c>
      <c r="L4" s="1157">
        <v>6383236.3406293299</v>
      </c>
      <c r="M4" s="1157">
        <v>7528412.1824014802</v>
      </c>
      <c r="N4" s="1157">
        <v>344507.625</v>
      </c>
      <c r="O4" s="1157">
        <v>5003322570</v>
      </c>
      <c r="P4" s="1157">
        <v>2250731928</v>
      </c>
      <c r="Q4" s="1157">
        <v>2752590642</v>
      </c>
      <c r="R4" s="1180">
        <v>0</v>
      </c>
      <c r="S4" s="1180">
        <v>0</v>
      </c>
      <c r="T4" s="1180">
        <v>0</v>
      </c>
      <c r="U4" s="1180">
        <v>0</v>
      </c>
      <c r="V4" s="1180">
        <v>0</v>
      </c>
      <c r="W4" s="1157">
        <v>421158099.50999999</v>
      </c>
      <c r="X4" s="1157">
        <v>421158096.67066002</v>
      </c>
      <c r="Y4" s="1158">
        <v>421158096.67066002</v>
      </c>
      <c r="Z4" s="1157">
        <v>-13140456.619999999</v>
      </c>
      <c r="AA4" s="1159">
        <v>-13139615.08</v>
      </c>
      <c r="AB4" s="1180">
        <v>13.633333333333301</v>
      </c>
      <c r="AC4" s="820" t="s">
        <v>42</v>
      </c>
      <c r="AD4" s="835">
        <f t="shared" si="0"/>
        <v>0</v>
      </c>
      <c r="AE4" s="835">
        <f t="shared" si="1"/>
        <v>-2.8393399715423584</v>
      </c>
      <c r="AF4" s="888">
        <f t="shared" si="2"/>
        <v>841.53999999910593</v>
      </c>
    </row>
    <row r="5" spans="1:32" ht="14.25" customHeight="1">
      <c r="A5" s="371"/>
      <c r="B5" s="371"/>
      <c r="C5" s="1156" t="s">
        <v>431</v>
      </c>
      <c r="D5" s="1157">
        <v>59565</v>
      </c>
      <c r="E5" s="1157">
        <v>4475.03</v>
      </c>
      <c r="F5" s="1157">
        <v>0</v>
      </c>
      <c r="G5" s="1157">
        <v>0</v>
      </c>
      <c r="H5" s="1157">
        <v>8</v>
      </c>
      <c r="I5" s="1180">
        <v>0</v>
      </c>
      <c r="J5" s="1157">
        <v>140</v>
      </c>
      <c r="K5" s="1157">
        <v>140</v>
      </c>
      <c r="L5" s="1157">
        <v>0</v>
      </c>
      <c r="M5" s="1157">
        <v>140</v>
      </c>
      <c r="N5" s="1157">
        <v>0</v>
      </c>
      <c r="O5" s="1157">
        <v>59565</v>
      </c>
      <c r="P5" s="1157">
        <v>0</v>
      </c>
      <c r="Q5" s="1157">
        <v>59565</v>
      </c>
      <c r="R5" s="1180">
        <v>0</v>
      </c>
      <c r="S5" s="1180">
        <v>0</v>
      </c>
      <c r="T5" s="1180">
        <v>0</v>
      </c>
      <c r="U5" s="1180">
        <v>0</v>
      </c>
      <c r="V5" s="1180">
        <v>0</v>
      </c>
      <c r="W5" s="1157">
        <v>4618.3</v>
      </c>
      <c r="X5" s="1157">
        <v>4618.2927950000003</v>
      </c>
      <c r="Y5" s="1158">
        <v>4618.2927950000003</v>
      </c>
      <c r="Z5" s="1157">
        <v>-143.27000000000001</v>
      </c>
      <c r="AA5" s="1159">
        <v>-143.27000000000001</v>
      </c>
      <c r="AB5" s="1180">
        <v>0</v>
      </c>
      <c r="AC5" s="820" t="s">
        <v>42</v>
      </c>
      <c r="AD5" s="835">
        <f t="shared" si="0"/>
        <v>0</v>
      </c>
      <c r="AE5" s="835">
        <f t="shared" si="1"/>
        <v>-7.2049999998853309E-3</v>
      </c>
      <c r="AF5" s="888">
        <f t="shared" si="2"/>
        <v>0</v>
      </c>
    </row>
    <row r="6" spans="1:32" ht="14.25" customHeight="1">
      <c r="A6" s="371"/>
      <c r="B6" s="371"/>
      <c r="C6" s="1156" t="s">
        <v>436</v>
      </c>
      <c r="D6" s="1157">
        <v>36945480</v>
      </c>
      <c r="E6" s="1157">
        <v>2916357.27</v>
      </c>
      <c r="F6" s="1157">
        <v>-1763</v>
      </c>
      <c r="G6" s="1157">
        <v>38.090000000000003</v>
      </c>
      <c r="H6" s="1157">
        <v>7663.7333333333299</v>
      </c>
      <c r="I6" s="1180">
        <v>0</v>
      </c>
      <c r="J6" s="1157">
        <v>74356.831683168304</v>
      </c>
      <c r="K6" s="1157">
        <v>74356.8456247547</v>
      </c>
      <c r="L6" s="1157">
        <v>34534.122435020501</v>
      </c>
      <c r="M6" s="1157">
        <v>39822.723189734199</v>
      </c>
      <c r="N6" s="1157">
        <v>772</v>
      </c>
      <c r="O6" s="1157">
        <v>36943717</v>
      </c>
      <c r="P6" s="1157">
        <v>16511030</v>
      </c>
      <c r="Q6" s="1157">
        <v>20432687</v>
      </c>
      <c r="R6" s="1180">
        <v>0</v>
      </c>
      <c r="S6" s="1180">
        <v>0</v>
      </c>
      <c r="T6" s="1180">
        <v>0</v>
      </c>
      <c r="U6" s="1180">
        <v>0</v>
      </c>
      <c r="V6" s="1180">
        <v>0</v>
      </c>
      <c r="W6" s="1157">
        <v>3000438.74</v>
      </c>
      <c r="X6" s="1157">
        <v>3000438.8200509902</v>
      </c>
      <c r="Y6" s="1158">
        <v>3000438.8200509902</v>
      </c>
      <c r="Z6" s="1157">
        <v>-84043.38</v>
      </c>
      <c r="AA6" s="1159">
        <v>-84048.52</v>
      </c>
      <c r="AB6" s="1180">
        <v>0</v>
      </c>
      <c r="AC6" s="820" t="s">
        <v>42</v>
      </c>
      <c r="AD6" s="835">
        <f t="shared" si="0"/>
        <v>0</v>
      </c>
      <c r="AE6" s="835">
        <f t="shared" si="1"/>
        <v>8.0050989985466003E-2</v>
      </c>
      <c r="AF6" s="888">
        <f t="shared" si="2"/>
        <v>-5.1399999999994179</v>
      </c>
    </row>
    <row r="7" spans="1:32" ht="14.25" customHeight="1">
      <c r="A7" s="371"/>
      <c r="B7" s="371"/>
      <c r="C7" s="1156" t="s">
        <v>615</v>
      </c>
      <c r="D7" s="1157">
        <v>123797406</v>
      </c>
      <c r="E7" s="1157">
        <v>10412121.390000001</v>
      </c>
      <c r="F7" s="1157">
        <v>-655797</v>
      </c>
      <c r="G7" s="1157">
        <v>-41964.72</v>
      </c>
      <c r="H7" s="1157">
        <v>3192.8</v>
      </c>
      <c r="I7" s="1180">
        <v>0</v>
      </c>
      <c r="J7" s="1157">
        <v>364255.69801980199</v>
      </c>
      <c r="K7" s="1157">
        <v>364255.72140357399</v>
      </c>
      <c r="L7" s="1157">
        <v>164941.854309166</v>
      </c>
      <c r="M7" s="1157">
        <v>199313.86709440901</v>
      </c>
      <c r="N7" s="1157">
        <v>11785</v>
      </c>
      <c r="O7" s="1157">
        <v>123141609</v>
      </c>
      <c r="P7" s="1157">
        <v>52761540</v>
      </c>
      <c r="Q7" s="1157">
        <v>70380069</v>
      </c>
      <c r="R7" s="1180">
        <v>0</v>
      </c>
      <c r="S7" s="1180">
        <v>0</v>
      </c>
      <c r="T7" s="1180">
        <v>0</v>
      </c>
      <c r="U7" s="1180">
        <v>0</v>
      </c>
      <c r="V7" s="1180">
        <v>0</v>
      </c>
      <c r="W7" s="1157">
        <v>10703660.99</v>
      </c>
      <c r="X7" s="1157">
        <v>10703660.820447</v>
      </c>
      <c r="Y7" s="1158">
        <v>10703660.820447</v>
      </c>
      <c r="Z7" s="1157">
        <v>-333504.32</v>
      </c>
      <c r="AA7" s="1159">
        <v>-336718.48</v>
      </c>
      <c r="AB7" s="1180">
        <v>0</v>
      </c>
      <c r="AC7" s="820" t="s">
        <v>950</v>
      </c>
      <c r="AD7" s="835">
        <f t="shared" si="0"/>
        <v>0</v>
      </c>
      <c r="AE7" s="835">
        <f t="shared" si="1"/>
        <v>-0.1695530004799366</v>
      </c>
      <c r="AF7" s="888">
        <f t="shared" si="2"/>
        <v>-3214.1599999999744</v>
      </c>
    </row>
    <row r="8" spans="1:32" ht="14.25" customHeight="1">
      <c r="A8" s="371"/>
      <c r="B8" s="371"/>
      <c r="C8" s="1156" t="s">
        <v>854</v>
      </c>
      <c r="D8" s="1157">
        <v>0</v>
      </c>
      <c r="E8" s="1157">
        <v>-25.2</v>
      </c>
      <c r="F8" s="1157">
        <v>0</v>
      </c>
      <c r="G8" s="1157">
        <v>25.2</v>
      </c>
      <c r="H8" s="1157">
        <v>0</v>
      </c>
      <c r="I8" s="1180">
        <v>0</v>
      </c>
      <c r="J8" s="1157">
        <v>0</v>
      </c>
      <c r="K8" s="1157">
        <v>0</v>
      </c>
      <c r="L8" s="1157">
        <v>0</v>
      </c>
      <c r="M8" s="1157">
        <v>0</v>
      </c>
      <c r="N8" s="1157">
        <v>0</v>
      </c>
      <c r="O8" s="1157">
        <v>0</v>
      </c>
      <c r="P8" s="1157">
        <v>0</v>
      </c>
      <c r="Q8" s="1157">
        <v>0</v>
      </c>
      <c r="R8" s="1180">
        <v>0</v>
      </c>
      <c r="S8" s="1180">
        <v>0</v>
      </c>
      <c r="T8" s="1180">
        <v>0</v>
      </c>
      <c r="U8" s="1180">
        <v>0</v>
      </c>
      <c r="V8" s="1180">
        <v>0</v>
      </c>
      <c r="W8" s="1157">
        <v>0</v>
      </c>
      <c r="X8" s="1157">
        <v>0</v>
      </c>
      <c r="Y8" s="1158">
        <v>0</v>
      </c>
      <c r="Z8" s="1157">
        <v>0</v>
      </c>
      <c r="AA8" s="1159">
        <v>0</v>
      </c>
      <c r="AB8" s="1180">
        <v>0</v>
      </c>
      <c r="AC8" s="820" t="s">
        <v>42</v>
      </c>
      <c r="AD8" s="835">
        <f t="shared" si="0"/>
        <v>0</v>
      </c>
      <c r="AE8" s="835">
        <f t="shared" si="1"/>
        <v>0</v>
      </c>
      <c r="AF8" s="888">
        <f t="shared" si="2"/>
        <v>0</v>
      </c>
    </row>
    <row r="9" spans="1:32" ht="14.25" customHeight="1">
      <c r="A9" s="371"/>
      <c r="B9" s="371"/>
      <c r="C9" s="1156" t="s">
        <v>1162</v>
      </c>
      <c r="D9" s="1157">
        <v>4654400</v>
      </c>
      <c r="E9" s="1157">
        <v>459631.44</v>
      </c>
      <c r="F9" s="1157">
        <v>-441680</v>
      </c>
      <c r="G9" s="1157">
        <v>0</v>
      </c>
      <c r="H9" s="1157">
        <v>107.23333333333299</v>
      </c>
      <c r="I9" s="1180">
        <v>0</v>
      </c>
      <c r="J9" s="1157">
        <v>14825.368811881201</v>
      </c>
      <c r="K9" s="1157">
        <v>14825.3688210091</v>
      </c>
      <c r="L9" s="1157">
        <v>6274.4302325581402</v>
      </c>
      <c r="M9" s="1157">
        <v>8550.9385884509593</v>
      </c>
      <c r="N9" s="1157">
        <v>0</v>
      </c>
      <c r="O9" s="1157">
        <v>4212720</v>
      </c>
      <c r="P9" s="1157">
        <v>0</v>
      </c>
      <c r="Q9" s="1157">
        <v>0</v>
      </c>
      <c r="R9" s="1180">
        <v>4186000</v>
      </c>
      <c r="S9" s="1180">
        <v>2064493</v>
      </c>
      <c r="T9" s="1180">
        <v>2121507</v>
      </c>
      <c r="U9" s="1180">
        <v>785087</v>
      </c>
      <c r="V9" s="1180">
        <v>1336420</v>
      </c>
      <c r="W9" s="1157">
        <v>474701.93</v>
      </c>
      <c r="X9" s="1157">
        <v>474701.94635899999</v>
      </c>
      <c r="Y9" s="1158">
        <v>474701.94635899999</v>
      </c>
      <c r="Z9" s="1157">
        <v>-15070.49</v>
      </c>
      <c r="AA9" s="1159">
        <v>-15070.49</v>
      </c>
      <c r="AB9" s="1180">
        <v>0</v>
      </c>
      <c r="AC9" s="820" t="s">
        <v>42</v>
      </c>
      <c r="AD9" s="835">
        <f t="shared" si="0"/>
        <v>26720</v>
      </c>
      <c r="AE9" s="835">
        <f t="shared" si="1"/>
        <v>1.6359000001102686E-2</v>
      </c>
      <c r="AF9" s="888">
        <f t="shared" si="2"/>
        <v>0</v>
      </c>
    </row>
    <row r="10" spans="1:32" ht="14.25" customHeight="1">
      <c r="A10" s="371"/>
      <c r="B10" s="1156" t="s">
        <v>438</v>
      </c>
      <c r="C10" s="1156" t="s">
        <v>1227</v>
      </c>
      <c r="D10" s="1157">
        <v>728244</v>
      </c>
      <c r="E10" s="1157">
        <v>57860.71</v>
      </c>
      <c r="F10" s="1157">
        <v>0</v>
      </c>
      <c r="G10" s="1157">
        <v>0</v>
      </c>
      <c r="H10" s="1157">
        <v>5.06666666666667</v>
      </c>
      <c r="I10" s="1180">
        <v>0</v>
      </c>
      <c r="J10" s="1157">
        <v>1916.26732673267</v>
      </c>
      <c r="K10" s="1157">
        <v>1916.26632339462</v>
      </c>
      <c r="L10" s="1157">
        <v>1071.85294117647</v>
      </c>
      <c r="M10" s="1157">
        <v>844.41338221814897</v>
      </c>
      <c r="N10" s="1157">
        <v>0</v>
      </c>
      <c r="O10" s="1157">
        <v>728244</v>
      </c>
      <c r="P10" s="1157">
        <v>414366</v>
      </c>
      <c r="Q10" s="1157">
        <v>313878</v>
      </c>
      <c r="R10" s="1180">
        <v>0</v>
      </c>
      <c r="S10" s="1180">
        <v>0</v>
      </c>
      <c r="T10" s="1180">
        <v>0</v>
      </c>
      <c r="U10" s="1180">
        <v>0</v>
      </c>
      <c r="V10" s="1180">
        <v>0</v>
      </c>
      <c r="W10" s="1157">
        <v>59727.519999999997</v>
      </c>
      <c r="X10" s="1157">
        <v>59727.507036000003</v>
      </c>
      <c r="Y10" s="1158">
        <v>59727.507036000003</v>
      </c>
      <c r="Z10" s="1157">
        <v>-1866.81</v>
      </c>
      <c r="AA10" s="1159">
        <v>-1866.81</v>
      </c>
      <c r="AB10" s="1180">
        <v>0</v>
      </c>
      <c r="AC10" s="820" t="s">
        <v>1230</v>
      </c>
      <c r="AD10" s="835">
        <f t="shared" si="0"/>
        <v>0</v>
      </c>
      <c r="AE10" s="835">
        <f t="shared" si="1"/>
        <v>-1.296399999409914E-2</v>
      </c>
      <c r="AF10" s="888">
        <f t="shared" si="2"/>
        <v>0</v>
      </c>
    </row>
    <row r="11" spans="1:32" ht="14.25" customHeight="1">
      <c r="A11" s="371"/>
      <c r="B11" s="371"/>
      <c r="C11" s="1156" t="s">
        <v>137</v>
      </c>
      <c r="D11" s="1157">
        <v>603314566</v>
      </c>
      <c r="E11" s="1157">
        <v>51281919.219999999</v>
      </c>
      <c r="F11" s="1157">
        <v>76366</v>
      </c>
      <c r="G11" s="1157">
        <v>28570.71</v>
      </c>
      <c r="H11" s="1157">
        <v>11484.5666666667</v>
      </c>
      <c r="I11" s="1180">
        <v>0</v>
      </c>
      <c r="J11" s="1157">
        <v>1838681.54207921</v>
      </c>
      <c r="K11" s="1157">
        <v>1838681.558895</v>
      </c>
      <c r="L11" s="1157">
        <v>819763.81737346097</v>
      </c>
      <c r="M11" s="1157">
        <v>1018917.74152154</v>
      </c>
      <c r="N11" s="1157">
        <v>203285.70833333299</v>
      </c>
      <c r="O11" s="1157">
        <v>603390932</v>
      </c>
      <c r="P11" s="1157">
        <v>270715321</v>
      </c>
      <c r="Q11" s="1157">
        <v>332675611</v>
      </c>
      <c r="R11" s="1180">
        <v>0</v>
      </c>
      <c r="S11" s="1180">
        <v>0</v>
      </c>
      <c r="T11" s="1180">
        <v>0</v>
      </c>
      <c r="U11" s="1180">
        <v>0</v>
      </c>
      <c r="V11" s="1180">
        <v>0</v>
      </c>
      <c r="W11" s="1157">
        <v>52967407.57</v>
      </c>
      <c r="X11" s="1157">
        <v>52967407.361139998</v>
      </c>
      <c r="Y11" s="1158">
        <v>52967407.361139998</v>
      </c>
      <c r="Z11" s="1157">
        <v>-1656917.64</v>
      </c>
      <c r="AA11" s="1159">
        <v>-1658303.07</v>
      </c>
      <c r="AB11" s="1180">
        <v>0</v>
      </c>
      <c r="AC11" s="820" t="s">
        <v>54</v>
      </c>
      <c r="AD11" s="835">
        <f t="shared" si="0"/>
        <v>0</v>
      </c>
      <c r="AE11" s="835">
        <f t="shared" si="1"/>
        <v>-0.20886000245809555</v>
      </c>
      <c r="AF11" s="888">
        <f t="shared" si="2"/>
        <v>-1385.4300000001676</v>
      </c>
    </row>
    <row r="12" spans="1:32" ht="14.25" customHeight="1">
      <c r="A12" s="371"/>
      <c r="B12" s="371"/>
      <c r="C12" s="1156" t="s">
        <v>436</v>
      </c>
      <c r="D12" s="1157">
        <v>1038663</v>
      </c>
      <c r="E12" s="1157">
        <v>92337.91</v>
      </c>
      <c r="F12" s="1157">
        <v>-960</v>
      </c>
      <c r="G12" s="1157">
        <v>-72.64</v>
      </c>
      <c r="H12" s="1157">
        <v>270</v>
      </c>
      <c r="I12" s="1180">
        <v>0</v>
      </c>
      <c r="J12" s="1157">
        <v>2601</v>
      </c>
      <c r="K12" s="1157">
        <v>2600.9982746535802</v>
      </c>
      <c r="L12" s="1157">
        <v>993.70588235294099</v>
      </c>
      <c r="M12" s="1157">
        <v>1607.2923923006399</v>
      </c>
      <c r="N12" s="1157">
        <v>0</v>
      </c>
      <c r="O12" s="1157">
        <v>1037703</v>
      </c>
      <c r="P12" s="1157">
        <v>405287</v>
      </c>
      <c r="Q12" s="1157">
        <v>632416</v>
      </c>
      <c r="R12" s="1180">
        <v>0</v>
      </c>
      <c r="S12" s="1180">
        <v>0</v>
      </c>
      <c r="T12" s="1180">
        <v>0</v>
      </c>
      <c r="U12" s="1180">
        <v>0</v>
      </c>
      <c r="V12" s="1180">
        <v>0</v>
      </c>
      <c r="W12" s="1157">
        <v>94828.84</v>
      </c>
      <c r="X12" s="1157">
        <v>94828.952937000096</v>
      </c>
      <c r="Y12" s="1158">
        <v>94828.952937000096</v>
      </c>
      <c r="Z12" s="1157">
        <v>-2563.5700000000002</v>
      </c>
      <c r="AA12" s="1159">
        <v>-2569.52</v>
      </c>
      <c r="AB12" s="1180">
        <v>0</v>
      </c>
      <c r="AC12" s="820" t="s">
        <v>54</v>
      </c>
      <c r="AD12" s="835">
        <f t="shared" si="0"/>
        <v>0</v>
      </c>
      <c r="AE12" s="835">
        <f t="shared" si="1"/>
        <v>0.11293700009991881</v>
      </c>
      <c r="AF12" s="888">
        <f t="shared" si="2"/>
        <v>-5.9499999999998181</v>
      </c>
    </row>
    <row r="13" spans="1:32" ht="14.25" customHeight="1">
      <c r="A13" s="371"/>
      <c r="B13" s="371"/>
      <c r="C13" s="1156" t="s">
        <v>615</v>
      </c>
      <c r="D13" s="1157">
        <v>2230442</v>
      </c>
      <c r="E13" s="1157">
        <v>208870.96</v>
      </c>
      <c r="F13" s="1157">
        <v>386</v>
      </c>
      <c r="G13" s="1157">
        <v>-154.63</v>
      </c>
      <c r="H13" s="1157">
        <v>72</v>
      </c>
      <c r="I13" s="1180">
        <v>0</v>
      </c>
      <c r="J13" s="1157">
        <v>8018</v>
      </c>
      <c r="K13" s="1157">
        <v>8018.0016118697804</v>
      </c>
      <c r="L13" s="1157">
        <v>3777.72571819426</v>
      </c>
      <c r="M13" s="1157">
        <v>4240.2758936755299</v>
      </c>
      <c r="N13" s="1157">
        <v>4057</v>
      </c>
      <c r="O13" s="1157">
        <v>2230828</v>
      </c>
      <c r="P13" s="1157">
        <v>1062056</v>
      </c>
      <c r="Q13" s="1157">
        <v>1168772</v>
      </c>
      <c r="R13" s="1180">
        <v>0</v>
      </c>
      <c r="S13" s="1180">
        <v>0</v>
      </c>
      <c r="T13" s="1180">
        <v>0</v>
      </c>
      <c r="U13" s="1180">
        <v>0</v>
      </c>
      <c r="V13" s="1180">
        <v>0</v>
      </c>
      <c r="W13" s="1157">
        <v>215444.94</v>
      </c>
      <c r="X13" s="1157">
        <v>215444.92350800001</v>
      </c>
      <c r="Y13" s="1158">
        <v>215444.92350800001</v>
      </c>
      <c r="Z13" s="1157">
        <v>-6728.61</v>
      </c>
      <c r="AA13" s="1159">
        <v>-6745.74</v>
      </c>
      <c r="AB13" s="1180">
        <v>0</v>
      </c>
      <c r="AC13" s="820" t="s">
        <v>954</v>
      </c>
      <c r="AD13" s="835">
        <f t="shared" si="0"/>
        <v>0</v>
      </c>
      <c r="AE13" s="835">
        <f t="shared" si="1"/>
        <v>-1.6491999995196238E-2</v>
      </c>
      <c r="AF13" s="888">
        <f t="shared" si="2"/>
        <v>-17.130000000000109</v>
      </c>
    </row>
    <row r="14" spans="1:32" s="214" customFormat="1" ht="14.25" customHeight="1">
      <c r="A14" s="371"/>
      <c r="B14" s="371"/>
      <c r="C14" s="1156" t="s">
        <v>1162</v>
      </c>
      <c r="D14" s="1157">
        <v>268178</v>
      </c>
      <c r="E14" s="1157">
        <v>22290.87</v>
      </c>
      <c r="F14" s="1157">
        <v>-43264</v>
      </c>
      <c r="G14" s="1157">
        <v>0</v>
      </c>
      <c r="H14" s="1157">
        <v>14</v>
      </c>
      <c r="I14" s="1180">
        <v>0</v>
      </c>
      <c r="J14" s="1157">
        <v>824</v>
      </c>
      <c r="K14" s="1157">
        <v>824.00009968389497</v>
      </c>
      <c r="L14" s="1157">
        <v>377.57113543091702</v>
      </c>
      <c r="M14" s="1157">
        <v>446.42896425297897</v>
      </c>
      <c r="N14" s="1157">
        <v>0</v>
      </c>
      <c r="O14" s="1157">
        <v>224914</v>
      </c>
      <c r="P14" s="1157">
        <v>0</v>
      </c>
      <c r="Q14" s="1157">
        <v>0</v>
      </c>
      <c r="R14" s="1180">
        <v>224914</v>
      </c>
      <c r="S14" s="1180">
        <v>8000</v>
      </c>
      <c r="T14" s="1180">
        <v>216914</v>
      </c>
      <c r="U14" s="1180">
        <v>103237</v>
      </c>
      <c r="V14" s="1180">
        <v>113677</v>
      </c>
      <c r="W14" s="1157">
        <v>22976.67</v>
      </c>
      <c r="X14" s="1157">
        <v>22976.657910000002</v>
      </c>
      <c r="Y14" s="1158">
        <v>22976.657910000002</v>
      </c>
      <c r="Z14" s="1157">
        <v>-685.8</v>
      </c>
      <c r="AA14" s="1159">
        <v>-685.8</v>
      </c>
      <c r="AB14" s="1180">
        <v>0</v>
      </c>
      <c r="AC14" s="820" t="s">
        <v>54</v>
      </c>
      <c r="AD14" s="835">
        <f t="shared" si="0"/>
        <v>0</v>
      </c>
      <c r="AE14" s="835">
        <f t="shared" si="1"/>
        <v>-1.2089999996533152E-2</v>
      </c>
      <c r="AF14" s="888">
        <f t="shared" si="2"/>
        <v>0</v>
      </c>
    </row>
    <row r="15" spans="1:32" s="214" customFormat="1" ht="14.25" customHeight="1">
      <c r="A15" s="371"/>
      <c r="B15" s="1156" t="s">
        <v>428</v>
      </c>
      <c r="C15" s="1156" t="s">
        <v>702</v>
      </c>
      <c r="D15" s="1157">
        <v>11618163</v>
      </c>
      <c r="E15" s="1157">
        <v>857261</v>
      </c>
      <c r="F15" s="1157">
        <v>0</v>
      </c>
      <c r="G15" s="1157">
        <v>0</v>
      </c>
      <c r="H15" s="1157">
        <v>96</v>
      </c>
      <c r="I15" s="1180">
        <v>0</v>
      </c>
      <c r="J15" s="1157">
        <v>28660</v>
      </c>
      <c r="K15" s="1157">
        <v>28659.999954233201</v>
      </c>
      <c r="L15" s="1157">
        <v>14069.781805745601</v>
      </c>
      <c r="M15" s="1157">
        <v>14590.2181484876</v>
      </c>
      <c r="N15" s="1157">
        <v>24132</v>
      </c>
      <c r="O15" s="1157">
        <v>11618163</v>
      </c>
      <c r="P15" s="1157">
        <v>5107496</v>
      </c>
      <c r="Q15" s="1157">
        <v>6510667</v>
      </c>
      <c r="R15" s="1180">
        <v>0</v>
      </c>
      <c r="S15" s="1180">
        <v>0</v>
      </c>
      <c r="T15" s="1180">
        <v>0</v>
      </c>
      <c r="U15" s="1180">
        <v>0</v>
      </c>
      <c r="V15" s="1180">
        <v>0</v>
      </c>
      <c r="W15" s="1157">
        <v>886221</v>
      </c>
      <c r="X15" s="1157">
        <v>886221.04037299997</v>
      </c>
      <c r="Y15" s="1158">
        <v>886221.04037299997</v>
      </c>
      <c r="Z15" s="1157">
        <v>-28960</v>
      </c>
      <c r="AA15" s="1159">
        <v>-28960</v>
      </c>
      <c r="AB15" s="1180">
        <v>0</v>
      </c>
      <c r="AC15" s="820" t="s">
        <v>851</v>
      </c>
      <c r="AD15" s="835">
        <f t="shared" si="0"/>
        <v>0</v>
      </c>
      <c r="AE15" s="835">
        <f t="shared" si="1"/>
        <v>4.0372999967075884E-2</v>
      </c>
      <c r="AF15" s="888">
        <f t="shared" si="2"/>
        <v>0</v>
      </c>
    </row>
    <row r="16" spans="1:32" s="214" customFormat="1" ht="14.25" customHeight="1">
      <c r="A16" s="371"/>
      <c r="B16" s="371"/>
      <c r="C16" s="1156" t="s">
        <v>854</v>
      </c>
      <c r="D16" s="1157">
        <v>124272602</v>
      </c>
      <c r="E16" s="1157">
        <v>9226932.9399999995</v>
      </c>
      <c r="F16" s="1157">
        <v>-9320979</v>
      </c>
      <c r="G16" s="1157">
        <v>-674194.43</v>
      </c>
      <c r="H16" s="1157">
        <v>3487.0333333333301</v>
      </c>
      <c r="I16" s="1180">
        <v>0</v>
      </c>
      <c r="J16" s="1157">
        <v>271019.84158415801</v>
      </c>
      <c r="K16" s="1157">
        <v>271019.84239662602</v>
      </c>
      <c r="L16" s="1157">
        <v>111283.44459644301</v>
      </c>
      <c r="M16" s="1157">
        <v>159736.39780018301</v>
      </c>
      <c r="N16" s="1157">
        <v>0</v>
      </c>
      <c r="O16" s="1157">
        <v>114951623</v>
      </c>
      <c r="P16" s="1157">
        <v>46283247</v>
      </c>
      <c r="Q16" s="1157">
        <v>68668376</v>
      </c>
      <c r="R16" s="1180">
        <v>0</v>
      </c>
      <c r="S16" s="1180">
        <v>0</v>
      </c>
      <c r="T16" s="1180">
        <v>0</v>
      </c>
      <c r="U16" s="1180">
        <v>0</v>
      </c>
      <c r="V16" s="1180">
        <v>0</v>
      </c>
      <c r="W16" s="1157">
        <v>8830762.0899999999</v>
      </c>
      <c r="X16" s="1157">
        <v>8830762.1161370091</v>
      </c>
      <c r="Y16" s="1158">
        <v>8830762.1161370091</v>
      </c>
      <c r="Z16" s="1157">
        <v>-278023.58</v>
      </c>
      <c r="AA16" s="1159">
        <v>-291804.87</v>
      </c>
      <c r="AB16" s="1180">
        <v>0</v>
      </c>
      <c r="AC16" s="820" t="s">
        <v>851</v>
      </c>
      <c r="AD16" s="835">
        <f t="shared" si="0"/>
        <v>0</v>
      </c>
      <c r="AE16" s="835">
        <f t="shared" si="1"/>
        <v>2.6137009263038635E-2</v>
      </c>
      <c r="AF16" s="888">
        <f t="shared" si="2"/>
        <v>-13781.289999999979</v>
      </c>
    </row>
    <row r="17" spans="1:32" s="213" customFormat="1" ht="14.25" customHeight="1">
      <c r="A17" s="371"/>
      <c r="B17" s="371"/>
      <c r="C17" s="1156" t="s">
        <v>975</v>
      </c>
      <c r="D17" s="1157">
        <v>3781783</v>
      </c>
      <c r="E17" s="1157">
        <v>323189.90000000002</v>
      </c>
      <c r="F17" s="1157">
        <v>-400</v>
      </c>
      <c r="G17" s="1157">
        <v>-699.97</v>
      </c>
      <c r="H17" s="1157">
        <v>158.96666666666701</v>
      </c>
      <c r="I17" s="1180">
        <v>0</v>
      </c>
      <c r="J17" s="1157">
        <v>11471.5346534653</v>
      </c>
      <c r="K17" s="1157">
        <v>11471.5342248041</v>
      </c>
      <c r="L17" s="1157">
        <v>4259.2564979480203</v>
      </c>
      <c r="M17" s="1157">
        <v>7212.2777268561003</v>
      </c>
      <c r="N17" s="1157">
        <v>0</v>
      </c>
      <c r="O17" s="1157">
        <v>3781383</v>
      </c>
      <c r="P17" s="1157">
        <v>1343804</v>
      </c>
      <c r="Q17" s="1157">
        <v>2437579</v>
      </c>
      <c r="R17" s="1180">
        <v>0</v>
      </c>
      <c r="S17" s="1180">
        <v>0</v>
      </c>
      <c r="T17" s="1180">
        <v>0</v>
      </c>
      <c r="U17" s="1180">
        <v>0</v>
      </c>
      <c r="V17" s="1180">
        <v>0</v>
      </c>
      <c r="W17" s="1157">
        <v>332784.58</v>
      </c>
      <c r="X17" s="1157">
        <v>332784.53390500002</v>
      </c>
      <c r="Y17" s="1158">
        <v>332784.53390500002</v>
      </c>
      <c r="Z17" s="1157">
        <v>-10294.65</v>
      </c>
      <c r="AA17" s="1159">
        <v>-10321.34</v>
      </c>
      <c r="AB17" s="1180">
        <v>0</v>
      </c>
      <c r="AC17" s="820" t="s">
        <v>958</v>
      </c>
      <c r="AD17" s="835">
        <f t="shared" si="0"/>
        <v>0</v>
      </c>
      <c r="AE17" s="835">
        <f t="shared" si="1"/>
        <v>-4.6094999997876585E-2</v>
      </c>
      <c r="AF17" s="888">
        <f t="shared" si="2"/>
        <v>-26.690000000000509</v>
      </c>
    </row>
    <row r="18" spans="1:32" s="213" customFormat="1" ht="14.25" customHeight="1">
      <c r="A18" s="1156" t="s">
        <v>296</v>
      </c>
      <c r="B18" s="1156" t="s">
        <v>429</v>
      </c>
      <c r="C18" s="1156" t="s">
        <v>129</v>
      </c>
      <c r="D18" s="1157">
        <v>3269992</v>
      </c>
      <c r="E18" s="1157">
        <v>313077.19</v>
      </c>
      <c r="F18" s="1157">
        <v>385</v>
      </c>
      <c r="G18" s="1157">
        <v>65.13</v>
      </c>
      <c r="H18" s="1157">
        <v>168</v>
      </c>
      <c r="I18" s="1180">
        <v>0</v>
      </c>
      <c r="J18" s="1157">
        <v>13820</v>
      </c>
      <c r="K18" s="1157">
        <v>11034.999892792801</v>
      </c>
      <c r="L18" s="1157">
        <v>4947.6121751026003</v>
      </c>
      <c r="M18" s="1157">
        <v>6087.3877176901897</v>
      </c>
      <c r="N18" s="1157">
        <v>0</v>
      </c>
      <c r="O18" s="1157">
        <v>3270377</v>
      </c>
      <c r="P18" s="1157">
        <v>1357335</v>
      </c>
      <c r="Q18" s="1157">
        <v>1913042</v>
      </c>
      <c r="R18" s="1180">
        <v>0</v>
      </c>
      <c r="S18" s="1180">
        <v>0</v>
      </c>
      <c r="T18" s="1180">
        <v>0</v>
      </c>
      <c r="U18" s="1180">
        <v>0</v>
      </c>
      <c r="V18" s="1180">
        <v>0</v>
      </c>
      <c r="W18" s="1157">
        <v>322633.40000000002</v>
      </c>
      <c r="X18" s="1157">
        <v>322633.43655099999</v>
      </c>
      <c r="Y18" s="1158">
        <v>322633.43655099999</v>
      </c>
      <c r="Z18" s="1157">
        <v>-9491.08</v>
      </c>
      <c r="AA18" s="1159">
        <v>-9491.51</v>
      </c>
      <c r="AB18" s="1180">
        <v>0</v>
      </c>
      <c r="AC18" s="820" t="s">
        <v>46</v>
      </c>
      <c r="AD18" s="835">
        <f t="shared" si="0"/>
        <v>0</v>
      </c>
      <c r="AE18" s="835">
        <f t="shared" si="1"/>
        <v>3.6550999968312681E-2</v>
      </c>
      <c r="AF18" s="888">
        <f t="shared" si="2"/>
        <v>-0.43000000000029104</v>
      </c>
    </row>
    <row r="19" spans="1:32" s="213" customFormat="1" ht="14.25" customHeight="1">
      <c r="A19" s="371"/>
      <c r="B19" s="1156" t="s">
        <v>438</v>
      </c>
      <c r="C19" s="1156" t="s">
        <v>129</v>
      </c>
      <c r="D19" s="1157">
        <v>7086</v>
      </c>
      <c r="E19" s="1157">
        <v>2755.91</v>
      </c>
      <c r="F19" s="1157">
        <v>0</v>
      </c>
      <c r="G19" s="1157">
        <v>0</v>
      </c>
      <c r="H19" s="1157">
        <v>4</v>
      </c>
      <c r="I19" s="1180">
        <v>0</v>
      </c>
      <c r="J19" s="1157">
        <v>158</v>
      </c>
      <c r="K19" s="1157">
        <v>158</v>
      </c>
      <c r="L19" s="1157">
        <v>0</v>
      </c>
      <c r="M19" s="1157">
        <v>158</v>
      </c>
      <c r="N19" s="1157">
        <v>0</v>
      </c>
      <c r="O19" s="1157">
        <v>7086</v>
      </c>
      <c r="P19" s="1157">
        <v>0</v>
      </c>
      <c r="Q19" s="1157">
        <v>7086</v>
      </c>
      <c r="R19" s="1180">
        <v>0</v>
      </c>
      <c r="S19" s="1180">
        <v>0</v>
      </c>
      <c r="T19" s="1180">
        <v>0</v>
      </c>
      <c r="U19" s="1180">
        <v>0</v>
      </c>
      <c r="V19" s="1180">
        <v>0</v>
      </c>
      <c r="W19" s="1157">
        <v>2827.13</v>
      </c>
      <c r="X19" s="1157">
        <v>2827.123298</v>
      </c>
      <c r="Y19" s="1158">
        <v>2827.123298</v>
      </c>
      <c r="Z19" s="1157">
        <v>-71.22</v>
      </c>
      <c r="AA19" s="1159">
        <v>-71.22</v>
      </c>
      <c r="AB19" s="1180">
        <v>0</v>
      </c>
      <c r="AC19" s="820" t="s">
        <v>1199</v>
      </c>
      <c r="AD19" s="835">
        <f t="shared" si="0"/>
        <v>0</v>
      </c>
      <c r="AE19" s="835">
        <f t="shared" si="1"/>
        <v>-6.7020000001321023E-3</v>
      </c>
      <c r="AF19" s="888">
        <f t="shared" si="2"/>
        <v>0</v>
      </c>
    </row>
    <row r="20" spans="1:32" s="213" customFormat="1" ht="14.25" customHeight="1">
      <c r="A20" s="372"/>
      <c r="B20" s="1160" t="s">
        <v>428</v>
      </c>
      <c r="C20" s="1160" t="s">
        <v>976</v>
      </c>
      <c r="D20" s="1161">
        <v>25444</v>
      </c>
      <c r="E20" s="1161">
        <v>3498.54</v>
      </c>
      <c r="F20" s="1161">
        <v>80</v>
      </c>
      <c r="G20" s="1161">
        <v>254.67</v>
      </c>
      <c r="H20" s="1161">
        <v>14</v>
      </c>
      <c r="I20" s="1165">
        <v>0</v>
      </c>
      <c r="J20" s="1161">
        <v>279</v>
      </c>
      <c r="K20" s="1161">
        <v>69.9998758653377</v>
      </c>
      <c r="L20" s="1161">
        <v>59.024623803009597</v>
      </c>
      <c r="M20" s="1161">
        <v>10.975252062328099</v>
      </c>
      <c r="N20" s="1161">
        <v>0</v>
      </c>
      <c r="O20" s="1161">
        <v>25524</v>
      </c>
      <c r="P20" s="1161">
        <v>20340</v>
      </c>
      <c r="Q20" s="1161">
        <v>5184</v>
      </c>
      <c r="R20" s="1165">
        <v>0</v>
      </c>
      <c r="S20" s="1165">
        <v>0</v>
      </c>
      <c r="T20" s="1165">
        <v>0</v>
      </c>
      <c r="U20" s="1165">
        <v>0</v>
      </c>
      <c r="V20" s="1165">
        <v>0</v>
      </c>
      <c r="W20" s="1161">
        <v>3823.53</v>
      </c>
      <c r="X20" s="1161">
        <v>3823.524492</v>
      </c>
      <c r="Y20" s="1162">
        <v>3823.524492</v>
      </c>
      <c r="Z20" s="1161">
        <v>-70.319999999999993</v>
      </c>
      <c r="AA20" s="1163">
        <v>-70.22</v>
      </c>
      <c r="AB20" s="1165">
        <v>0</v>
      </c>
      <c r="AC20" s="820" t="s">
        <v>949</v>
      </c>
      <c r="AD20" s="835">
        <f t="shared" si="0"/>
        <v>0</v>
      </c>
      <c r="AE20" s="835">
        <f t="shared" si="1"/>
        <v>-5.5080000001908047E-3</v>
      </c>
      <c r="AF20" s="888">
        <f t="shared" si="2"/>
        <v>9.9999999999994316E-2</v>
      </c>
    </row>
    <row r="21" spans="1:32" s="213" customFormat="1" ht="14.25" customHeight="1">
      <c r="A21" s="150"/>
      <c r="B21" s="147"/>
      <c r="C21" s="147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AD21" s="835"/>
    </row>
    <row r="22" spans="1:32" s="213" customFormat="1" ht="14.25" customHeight="1">
      <c r="A22" s="216" t="s">
        <v>256</v>
      </c>
      <c r="B22" s="185"/>
      <c r="C22" s="185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AD22" s="835"/>
    </row>
    <row r="23" spans="1:32">
      <c r="A23" s="187" t="s">
        <v>295</v>
      </c>
      <c r="B23" s="187" t="s">
        <v>429</v>
      </c>
      <c r="C23" s="571" t="s">
        <v>42</v>
      </c>
      <c r="D23" s="194">
        <f t="shared" ref="D23:M25" si="3">SUMIF($AC$2:$AC$20,$C23,D$2:D$20)</f>
        <v>5033539526</v>
      </c>
      <c r="E23" s="194">
        <f t="shared" si="3"/>
        <v>410530842.17999995</v>
      </c>
      <c r="F23" s="194">
        <f t="shared" si="3"/>
        <v>10999046</v>
      </c>
      <c r="G23" s="194">
        <f t="shared" si="3"/>
        <v>867302.53999999992</v>
      </c>
      <c r="H23" s="194">
        <f t="shared" si="3"/>
        <v>142578.73333333369</v>
      </c>
      <c r="I23" s="194">
        <f t="shared" si="3"/>
        <v>0</v>
      </c>
      <c r="J23" s="194">
        <f t="shared" si="3"/>
        <v>14000970.475247549</v>
      </c>
      <c r="K23" s="194">
        <f t="shared" si="3"/>
        <v>14000970.737476464</v>
      </c>
      <c r="L23" s="194">
        <f t="shared" si="3"/>
        <v>6424044.8932969086</v>
      </c>
      <c r="M23" s="194">
        <f t="shared" si="3"/>
        <v>7576925.8441796647</v>
      </c>
      <c r="N23" s="194">
        <f t="shared" ref="N23:AB25" si="4">SUMIF($AC$2:$AC$20,$C23,N$2:N$20)</f>
        <v>345279.625</v>
      </c>
      <c r="O23" s="194">
        <f t="shared" si="4"/>
        <v>5044538572</v>
      </c>
      <c r="P23" s="194">
        <f t="shared" si="4"/>
        <v>2267242958</v>
      </c>
      <c r="Q23" s="194">
        <f t="shared" si="4"/>
        <v>2773082894</v>
      </c>
      <c r="R23" s="194">
        <f t="shared" si="4"/>
        <v>4186000</v>
      </c>
      <c r="S23" s="194">
        <f t="shared" si="4"/>
        <v>2064493</v>
      </c>
      <c r="T23" s="194">
        <f t="shared" si="4"/>
        <v>2121507</v>
      </c>
      <c r="U23" s="194">
        <f t="shared" si="4"/>
        <v>785087</v>
      </c>
      <c r="V23" s="194">
        <f t="shared" si="4"/>
        <v>1336420</v>
      </c>
      <c r="W23" s="194">
        <f t="shared" si="4"/>
        <v>424637858.48000002</v>
      </c>
      <c r="X23" s="194">
        <f t="shared" si="4"/>
        <v>424637855.72986501</v>
      </c>
      <c r="Y23" s="194">
        <f t="shared" si="4"/>
        <v>424637855.72986501</v>
      </c>
      <c r="Z23" s="194">
        <f t="shared" si="4"/>
        <v>-13239713.76</v>
      </c>
      <c r="AA23" s="194">
        <f t="shared" si="4"/>
        <v>-13238877.359999999</v>
      </c>
      <c r="AB23" s="194">
        <f t="shared" si="4"/>
        <v>13.633333333333301</v>
      </c>
      <c r="AD23" s="835">
        <f t="shared" si="0"/>
        <v>26720</v>
      </c>
    </row>
    <row r="24" spans="1:32" ht="15.75">
      <c r="A24" s="217"/>
      <c r="B24" s="187" t="s">
        <v>438</v>
      </c>
      <c r="C24" s="571" t="s">
        <v>54</v>
      </c>
      <c r="D24" s="194">
        <f t="shared" si="3"/>
        <v>604621407</v>
      </c>
      <c r="E24" s="194">
        <f t="shared" si="3"/>
        <v>51396547.999999993</v>
      </c>
      <c r="F24" s="194">
        <f t="shared" si="3"/>
        <v>32142</v>
      </c>
      <c r="G24" s="194">
        <f t="shared" si="3"/>
        <v>28498.07</v>
      </c>
      <c r="H24" s="194">
        <f t="shared" si="3"/>
        <v>11768.5666666667</v>
      </c>
      <c r="I24" s="194">
        <f t="shared" si="3"/>
        <v>0</v>
      </c>
      <c r="J24" s="194">
        <f t="shared" si="3"/>
        <v>1842106.54207921</v>
      </c>
      <c r="K24" s="194">
        <f t="shared" si="3"/>
        <v>1842106.5572693376</v>
      </c>
      <c r="L24" s="194">
        <f t="shared" si="3"/>
        <v>821135.09439124481</v>
      </c>
      <c r="M24" s="194">
        <f t="shared" si="3"/>
        <v>1020971.4628780936</v>
      </c>
      <c r="N24" s="194">
        <f t="shared" si="4"/>
        <v>203285.70833333299</v>
      </c>
      <c r="O24" s="194">
        <f t="shared" si="4"/>
        <v>604653549</v>
      </c>
      <c r="P24" s="194">
        <f t="shared" si="4"/>
        <v>271120608</v>
      </c>
      <c r="Q24" s="194">
        <f t="shared" si="4"/>
        <v>333308027</v>
      </c>
      <c r="R24" s="194">
        <f t="shared" si="4"/>
        <v>224914</v>
      </c>
      <c r="S24" s="194">
        <f t="shared" si="4"/>
        <v>8000</v>
      </c>
      <c r="T24" s="194">
        <f t="shared" si="4"/>
        <v>216914</v>
      </c>
      <c r="U24" s="194">
        <f t="shared" si="4"/>
        <v>103237</v>
      </c>
      <c r="V24" s="194">
        <f t="shared" si="4"/>
        <v>113677</v>
      </c>
      <c r="W24" s="194">
        <f t="shared" si="4"/>
        <v>53085213.080000006</v>
      </c>
      <c r="X24" s="194">
        <f t="shared" si="4"/>
        <v>53085212.971986994</v>
      </c>
      <c r="Y24" s="194">
        <f t="shared" si="4"/>
        <v>53085212.971986994</v>
      </c>
      <c r="Z24" s="194">
        <f t="shared" si="4"/>
        <v>-1660167.01</v>
      </c>
      <c r="AA24" s="194">
        <f t="shared" si="4"/>
        <v>-1661558.3900000001</v>
      </c>
      <c r="AB24" s="194">
        <f t="shared" si="4"/>
        <v>0</v>
      </c>
      <c r="AD24" s="835">
        <f t="shared" si="0"/>
        <v>0</v>
      </c>
    </row>
    <row r="25" spans="1:32" ht="15.75">
      <c r="A25" s="217"/>
      <c r="B25" s="571" t="s">
        <v>428</v>
      </c>
      <c r="C25" s="571" t="s">
        <v>851</v>
      </c>
      <c r="D25" s="194">
        <f t="shared" si="3"/>
        <v>135890765</v>
      </c>
      <c r="E25" s="194">
        <f t="shared" si="3"/>
        <v>10084193.939999999</v>
      </c>
      <c r="F25" s="194">
        <f t="shared" si="3"/>
        <v>-9320979</v>
      </c>
      <c r="G25" s="194">
        <f t="shared" si="3"/>
        <v>-674194.43</v>
      </c>
      <c r="H25" s="194">
        <f t="shared" si="3"/>
        <v>3583.0333333333301</v>
      </c>
      <c r="I25" s="194">
        <f t="shared" si="3"/>
        <v>0</v>
      </c>
      <c r="J25" s="194">
        <f t="shared" si="3"/>
        <v>299679.84158415801</v>
      </c>
      <c r="K25" s="194">
        <f t="shared" si="3"/>
        <v>299679.84235085919</v>
      </c>
      <c r="L25" s="194">
        <f t="shared" si="3"/>
        <v>125353.22640218861</v>
      </c>
      <c r="M25" s="194">
        <f t="shared" si="3"/>
        <v>174326.6159486706</v>
      </c>
      <c r="N25" s="194">
        <f t="shared" si="4"/>
        <v>24132</v>
      </c>
      <c r="O25" s="194">
        <f t="shared" si="4"/>
        <v>126569786</v>
      </c>
      <c r="P25" s="194">
        <f t="shared" si="4"/>
        <v>51390743</v>
      </c>
      <c r="Q25" s="194">
        <f t="shared" si="4"/>
        <v>75179043</v>
      </c>
      <c r="R25" s="194">
        <f t="shared" si="4"/>
        <v>0</v>
      </c>
      <c r="S25" s="194">
        <f t="shared" si="4"/>
        <v>0</v>
      </c>
      <c r="T25" s="194">
        <f t="shared" si="4"/>
        <v>0</v>
      </c>
      <c r="U25" s="194">
        <f t="shared" si="4"/>
        <v>0</v>
      </c>
      <c r="V25" s="194">
        <f t="shared" si="4"/>
        <v>0</v>
      </c>
      <c r="W25" s="194">
        <f t="shared" si="4"/>
        <v>9716983.0899999999</v>
      </c>
      <c r="X25" s="194">
        <f t="shared" si="4"/>
        <v>9716983.1565100085</v>
      </c>
      <c r="Y25" s="194">
        <f t="shared" si="4"/>
        <v>9716983.1565100085</v>
      </c>
      <c r="Z25" s="194">
        <f t="shared" si="4"/>
        <v>-306983.58</v>
      </c>
      <c r="AA25" s="194">
        <f t="shared" si="4"/>
        <v>-320764.87</v>
      </c>
      <c r="AB25" s="194">
        <f t="shared" si="4"/>
        <v>0</v>
      </c>
      <c r="AD25" s="835">
        <f t="shared" si="0"/>
        <v>0</v>
      </c>
    </row>
    <row r="26" spans="1:32" ht="15.75">
      <c r="A26" s="217"/>
      <c r="B26" s="187" t="s">
        <v>93</v>
      </c>
      <c r="C26" s="187"/>
      <c r="D26" s="194">
        <f>SUM(D23:D25)</f>
        <v>5774051698</v>
      </c>
      <c r="E26" s="194">
        <f t="shared" ref="E26:H26" si="5">SUM(E23:E25)</f>
        <v>472011584.11999995</v>
      </c>
      <c r="F26" s="194">
        <f t="shared" si="5"/>
        <v>1710209</v>
      </c>
      <c r="G26" s="194">
        <f t="shared" si="5"/>
        <v>221606.17999999982</v>
      </c>
      <c r="H26" s="194">
        <f t="shared" si="5"/>
        <v>157930.33333333372</v>
      </c>
      <c r="I26" s="194">
        <f>SUM(I23:I25)</f>
        <v>0</v>
      </c>
      <c r="J26" s="194">
        <f t="shared" ref="J26" si="6">SUM(J23:J25)</f>
        <v>16142756.858910916</v>
      </c>
      <c r="K26" s="194">
        <f t="shared" ref="K26" si="7">SUM(K23:K25)</f>
        <v>16142757.137096662</v>
      </c>
      <c r="L26" s="194">
        <f t="shared" ref="L26" si="8">SUM(L23:L25)</f>
        <v>7370533.2140903417</v>
      </c>
      <c r="M26" s="194">
        <f t="shared" ref="M26" si="9">SUM(M23:M25)</f>
        <v>8772223.9230064303</v>
      </c>
      <c r="N26" s="194">
        <f t="shared" ref="N26" si="10">SUM(N23:N25)</f>
        <v>572697.33333333302</v>
      </c>
      <c r="O26" s="194">
        <f t="shared" ref="O26" si="11">SUM(O23:O25)</f>
        <v>5775761907</v>
      </c>
      <c r="P26" s="194">
        <f t="shared" ref="P26" si="12">SUM(P23:P25)</f>
        <v>2589754309</v>
      </c>
      <c r="Q26" s="194">
        <f t="shared" ref="Q26" si="13">SUM(Q23:Q25)</f>
        <v>3181569964</v>
      </c>
      <c r="R26" s="194">
        <f t="shared" ref="R26" si="14">SUM(R23:R25)</f>
        <v>4410914</v>
      </c>
      <c r="S26" s="194">
        <f t="shared" ref="S26" si="15">SUM(S23:S25)</f>
        <v>2072493</v>
      </c>
      <c r="T26" s="194">
        <f t="shared" ref="T26" si="16">SUM(T23:T25)</f>
        <v>2338421</v>
      </c>
      <c r="U26" s="194">
        <f t="shared" ref="U26" si="17">SUM(U23:U25)</f>
        <v>888324</v>
      </c>
      <c r="V26" s="194">
        <f t="shared" ref="V26" si="18">SUM(V23:V25)</f>
        <v>1450097</v>
      </c>
      <c r="W26" s="194">
        <f t="shared" ref="W26" si="19">SUM(W23:W25)</f>
        <v>487440054.64999998</v>
      </c>
      <c r="X26" s="194">
        <f t="shared" ref="X26" si="20">SUM(X23:X25)</f>
        <v>487440051.85836202</v>
      </c>
      <c r="Y26" s="194">
        <f t="shared" ref="Y26" si="21">SUM(Y23:Y25)</f>
        <v>487440051.85836202</v>
      </c>
      <c r="Z26" s="194">
        <f t="shared" ref="Z26:AA26" si="22">SUM(Z23:Z25)</f>
        <v>-15206864.35</v>
      </c>
      <c r="AA26" s="194">
        <f t="shared" si="22"/>
        <v>-15221200.619999999</v>
      </c>
      <c r="AB26" s="194">
        <f t="shared" ref="AB26" si="23">SUM(AB23:AB25)</f>
        <v>13.633333333333301</v>
      </c>
      <c r="AD26" s="835">
        <f t="shared" si="0"/>
        <v>26720</v>
      </c>
    </row>
    <row r="27" spans="1:32">
      <c r="A27" s="571" t="s">
        <v>977</v>
      </c>
      <c r="B27" s="187" t="s">
        <v>429</v>
      </c>
      <c r="C27" s="571" t="s">
        <v>950</v>
      </c>
      <c r="D27" s="194">
        <f t="shared" ref="D27:M29" si="24">SUMIF($AC$2:$AC$20,$C27,D$2:D$20)</f>
        <v>123797406</v>
      </c>
      <c r="E27" s="194">
        <f t="shared" si="24"/>
        <v>10412121.390000001</v>
      </c>
      <c r="F27" s="194">
        <f t="shared" si="24"/>
        <v>-655797</v>
      </c>
      <c r="G27" s="194">
        <f t="shared" si="24"/>
        <v>-41964.72</v>
      </c>
      <c r="H27" s="194">
        <f t="shared" si="24"/>
        <v>3192.8</v>
      </c>
      <c r="I27" s="194">
        <f t="shared" si="24"/>
        <v>0</v>
      </c>
      <c r="J27" s="194">
        <f t="shared" si="24"/>
        <v>364255.69801980199</v>
      </c>
      <c r="K27" s="194">
        <f t="shared" si="24"/>
        <v>364255.72140357399</v>
      </c>
      <c r="L27" s="194">
        <f t="shared" si="24"/>
        <v>164941.854309166</v>
      </c>
      <c r="M27" s="194">
        <f t="shared" si="24"/>
        <v>199313.86709440901</v>
      </c>
      <c r="N27" s="194">
        <f t="shared" ref="N27:AB29" si="25">SUMIF($AC$2:$AC$20,$C27,N$2:N$20)</f>
        <v>11785</v>
      </c>
      <c r="O27" s="194">
        <f t="shared" si="25"/>
        <v>123141609</v>
      </c>
      <c r="P27" s="194">
        <f t="shared" si="25"/>
        <v>52761540</v>
      </c>
      <c r="Q27" s="194">
        <f t="shared" si="25"/>
        <v>70380069</v>
      </c>
      <c r="R27" s="194">
        <f t="shared" si="25"/>
        <v>0</v>
      </c>
      <c r="S27" s="194">
        <f t="shared" si="25"/>
        <v>0</v>
      </c>
      <c r="T27" s="194">
        <f t="shared" si="25"/>
        <v>0</v>
      </c>
      <c r="U27" s="194">
        <f t="shared" si="25"/>
        <v>0</v>
      </c>
      <c r="V27" s="194">
        <f t="shared" si="25"/>
        <v>0</v>
      </c>
      <c r="W27" s="194">
        <f t="shared" si="25"/>
        <v>10703660.99</v>
      </c>
      <c r="X27" s="194">
        <f t="shared" si="25"/>
        <v>10703660.820447</v>
      </c>
      <c r="Y27" s="194">
        <f t="shared" si="25"/>
        <v>10703660.820447</v>
      </c>
      <c r="Z27" s="194">
        <f t="shared" si="25"/>
        <v>-333504.32</v>
      </c>
      <c r="AA27" s="194">
        <f t="shared" si="25"/>
        <v>-336718.48</v>
      </c>
      <c r="AB27" s="194">
        <f t="shared" si="25"/>
        <v>0</v>
      </c>
      <c r="AD27" s="835">
        <f t="shared" si="0"/>
        <v>0</v>
      </c>
    </row>
    <row r="28" spans="1:32" ht="15.75">
      <c r="A28" s="217"/>
      <c r="B28" s="187" t="s">
        <v>438</v>
      </c>
      <c r="C28" s="571" t="s">
        <v>954</v>
      </c>
      <c r="D28" s="194">
        <f t="shared" si="24"/>
        <v>2230442</v>
      </c>
      <c r="E28" s="194">
        <f t="shared" si="24"/>
        <v>208870.96</v>
      </c>
      <c r="F28" s="194">
        <f t="shared" si="24"/>
        <v>386</v>
      </c>
      <c r="G28" s="194">
        <f t="shared" si="24"/>
        <v>-154.63</v>
      </c>
      <c r="H28" s="194">
        <f t="shared" si="24"/>
        <v>72</v>
      </c>
      <c r="I28" s="194">
        <f t="shared" si="24"/>
        <v>0</v>
      </c>
      <c r="J28" s="194">
        <f t="shared" si="24"/>
        <v>8018</v>
      </c>
      <c r="K28" s="194">
        <f t="shared" si="24"/>
        <v>8018.0016118697804</v>
      </c>
      <c r="L28" s="194">
        <f t="shared" si="24"/>
        <v>3777.72571819426</v>
      </c>
      <c r="M28" s="194">
        <f t="shared" si="24"/>
        <v>4240.2758936755299</v>
      </c>
      <c r="N28" s="194">
        <f t="shared" si="25"/>
        <v>4057</v>
      </c>
      <c r="O28" s="194">
        <f t="shared" si="25"/>
        <v>2230828</v>
      </c>
      <c r="P28" s="194">
        <f t="shared" si="25"/>
        <v>1062056</v>
      </c>
      <c r="Q28" s="194">
        <f t="shared" si="25"/>
        <v>1168772</v>
      </c>
      <c r="R28" s="194">
        <f t="shared" si="25"/>
        <v>0</v>
      </c>
      <c r="S28" s="194">
        <f t="shared" si="25"/>
        <v>0</v>
      </c>
      <c r="T28" s="194">
        <f t="shared" si="25"/>
        <v>0</v>
      </c>
      <c r="U28" s="194">
        <f t="shared" si="25"/>
        <v>0</v>
      </c>
      <c r="V28" s="194">
        <f t="shared" si="25"/>
        <v>0</v>
      </c>
      <c r="W28" s="194">
        <f t="shared" si="25"/>
        <v>215444.94</v>
      </c>
      <c r="X28" s="194">
        <f t="shared" si="25"/>
        <v>215444.92350800001</v>
      </c>
      <c r="Y28" s="194">
        <f t="shared" si="25"/>
        <v>215444.92350800001</v>
      </c>
      <c r="Z28" s="194">
        <f t="shared" si="25"/>
        <v>-6728.61</v>
      </c>
      <c r="AA28" s="194">
        <f t="shared" si="25"/>
        <v>-6745.74</v>
      </c>
      <c r="AB28" s="194">
        <f t="shared" si="25"/>
        <v>0</v>
      </c>
      <c r="AD28" s="835">
        <f t="shared" si="0"/>
        <v>0</v>
      </c>
    </row>
    <row r="29" spans="1:32" ht="15.75">
      <c r="A29" s="217"/>
      <c r="B29" s="571" t="s">
        <v>428</v>
      </c>
      <c r="C29" s="571" t="s">
        <v>958</v>
      </c>
      <c r="D29" s="194">
        <f t="shared" si="24"/>
        <v>3781783</v>
      </c>
      <c r="E29" s="194">
        <f t="shared" si="24"/>
        <v>323189.90000000002</v>
      </c>
      <c r="F29" s="194">
        <f t="shared" si="24"/>
        <v>-400</v>
      </c>
      <c r="G29" s="194">
        <f t="shared" si="24"/>
        <v>-699.97</v>
      </c>
      <c r="H29" s="194">
        <f t="shared" si="24"/>
        <v>158.96666666666701</v>
      </c>
      <c r="I29" s="194">
        <f t="shared" si="24"/>
        <v>0</v>
      </c>
      <c r="J29" s="194">
        <f t="shared" si="24"/>
        <v>11471.5346534653</v>
      </c>
      <c r="K29" s="194">
        <f t="shared" si="24"/>
        <v>11471.5342248041</v>
      </c>
      <c r="L29" s="194">
        <f t="shared" si="24"/>
        <v>4259.2564979480203</v>
      </c>
      <c r="M29" s="194">
        <f t="shared" si="24"/>
        <v>7212.2777268561003</v>
      </c>
      <c r="N29" s="194">
        <f t="shared" si="25"/>
        <v>0</v>
      </c>
      <c r="O29" s="194">
        <f t="shared" si="25"/>
        <v>3781383</v>
      </c>
      <c r="P29" s="194">
        <f t="shared" si="25"/>
        <v>1343804</v>
      </c>
      <c r="Q29" s="194">
        <f t="shared" si="25"/>
        <v>2437579</v>
      </c>
      <c r="R29" s="194">
        <f t="shared" si="25"/>
        <v>0</v>
      </c>
      <c r="S29" s="194">
        <f t="shared" si="25"/>
        <v>0</v>
      </c>
      <c r="T29" s="194">
        <f t="shared" si="25"/>
        <v>0</v>
      </c>
      <c r="U29" s="194">
        <f t="shared" si="25"/>
        <v>0</v>
      </c>
      <c r="V29" s="194">
        <f t="shared" si="25"/>
        <v>0</v>
      </c>
      <c r="W29" s="194">
        <f t="shared" si="25"/>
        <v>332784.58</v>
      </c>
      <c r="X29" s="194">
        <f t="shared" si="25"/>
        <v>332784.53390500002</v>
      </c>
      <c r="Y29" s="194">
        <f t="shared" si="25"/>
        <v>332784.53390500002</v>
      </c>
      <c r="Z29" s="194">
        <f t="shared" si="25"/>
        <v>-10294.65</v>
      </c>
      <c r="AA29" s="194">
        <f t="shared" si="25"/>
        <v>-10321.34</v>
      </c>
      <c r="AB29" s="194">
        <f t="shared" si="25"/>
        <v>0</v>
      </c>
      <c r="AD29" s="835">
        <f t="shared" si="0"/>
        <v>0</v>
      </c>
    </row>
    <row r="30" spans="1:32" ht="15.75">
      <c r="A30" s="217"/>
      <c r="B30" s="187" t="s">
        <v>93</v>
      </c>
      <c r="C30" s="187"/>
      <c r="D30" s="194">
        <f>SUM(D27:D29)</f>
        <v>129809631</v>
      </c>
      <c r="E30" s="194">
        <f t="shared" ref="E30:H30" si="26">SUM(E27:E29)</f>
        <v>10944182.250000002</v>
      </c>
      <c r="F30" s="194">
        <f t="shared" si="26"/>
        <v>-655811</v>
      </c>
      <c r="G30" s="194">
        <f t="shared" si="26"/>
        <v>-42819.32</v>
      </c>
      <c r="H30" s="194">
        <f t="shared" si="26"/>
        <v>3423.7666666666673</v>
      </c>
      <c r="I30" s="194">
        <f>SUM(I27:I29)</f>
        <v>0</v>
      </c>
      <c r="J30" s="194">
        <f t="shared" ref="J30" si="27">SUM(J27:J29)</f>
        <v>383745.23267326731</v>
      </c>
      <c r="K30" s="194">
        <f t="shared" ref="K30" si="28">SUM(K27:K29)</f>
        <v>383745.25724024785</v>
      </c>
      <c r="L30" s="194">
        <f t="shared" ref="L30" si="29">SUM(L27:L29)</f>
        <v>172978.83652530829</v>
      </c>
      <c r="M30" s="194">
        <f t="shared" ref="M30" si="30">SUM(M27:M29)</f>
        <v>210766.42071494064</v>
      </c>
      <c r="N30" s="194">
        <f t="shared" ref="N30" si="31">SUM(N27:N29)</f>
        <v>15842</v>
      </c>
      <c r="O30" s="194">
        <f t="shared" ref="O30" si="32">SUM(O27:O29)</f>
        <v>129153820</v>
      </c>
      <c r="P30" s="194">
        <f t="shared" ref="P30" si="33">SUM(P27:P29)</f>
        <v>55167400</v>
      </c>
      <c r="Q30" s="194">
        <f t="shared" ref="Q30" si="34">SUM(Q27:Q29)</f>
        <v>73986420</v>
      </c>
      <c r="R30" s="194">
        <f t="shared" ref="R30" si="35">SUM(R27:R29)</f>
        <v>0</v>
      </c>
      <c r="S30" s="194">
        <f t="shared" ref="S30" si="36">SUM(S27:S29)</f>
        <v>0</v>
      </c>
      <c r="T30" s="194">
        <f t="shared" ref="T30" si="37">SUM(T27:T29)</f>
        <v>0</v>
      </c>
      <c r="U30" s="194">
        <f t="shared" ref="U30" si="38">SUM(U27:U29)</f>
        <v>0</v>
      </c>
      <c r="V30" s="194">
        <f t="shared" ref="V30" si="39">SUM(V27:V29)</f>
        <v>0</v>
      </c>
      <c r="W30" s="194">
        <f t="shared" ref="W30" si="40">SUM(W27:W29)</f>
        <v>11251890.51</v>
      </c>
      <c r="X30" s="194">
        <f t="shared" ref="X30" si="41">SUM(X27:X29)</f>
        <v>11251890.277859999</v>
      </c>
      <c r="Y30" s="194">
        <f t="shared" ref="Y30" si="42">SUM(Y27:Y29)</f>
        <v>11251890.277859999</v>
      </c>
      <c r="Z30" s="194">
        <f t="shared" ref="Z30:AA30" si="43">SUM(Z27:Z29)</f>
        <v>-350527.58</v>
      </c>
      <c r="AA30" s="194">
        <f t="shared" si="43"/>
        <v>-353785.56</v>
      </c>
      <c r="AB30" s="194">
        <f t="shared" ref="AB30" si="44">SUM(AB27:AB29)</f>
        <v>0</v>
      </c>
      <c r="AD30" s="835">
        <f t="shared" si="0"/>
        <v>0</v>
      </c>
    </row>
    <row r="31" spans="1:32">
      <c r="A31" s="571" t="s">
        <v>1228</v>
      </c>
      <c r="B31" s="187" t="s">
        <v>429</v>
      </c>
      <c r="C31" s="571" t="s">
        <v>1209</v>
      </c>
      <c r="D31" s="194">
        <f t="shared" ref="D31:M33" si="45">SUMIF($AC$2:$AC$20,$C31,D$2:D$20)</f>
        <v>5594182</v>
      </c>
      <c r="E31" s="194">
        <f t="shared" si="45"/>
        <v>579568.30000000005</v>
      </c>
      <c r="F31" s="194">
        <f t="shared" si="45"/>
        <v>423644</v>
      </c>
      <c r="G31" s="194">
        <f t="shared" si="45"/>
        <v>29499.23</v>
      </c>
      <c r="H31" s="194">
        <f t="shared" si="45"/>
        <v>215.66666666666669</v>
      </c>
      <c r="I31" s="194">
        <f t="shared" si="45"/>
        <v>21</v>
      </c>
      <c r="J31" s="194">
        <f t="shared" si="45"/>
        <v>23596.9975247525</v>
      </c>
      <c r="K31" s="194">
        <f t="shared" si="45"/>
        <v>23597.002254486099</v>
      </c>
      <c r="L31" s="194">
        <f t="shared" si="45"/>
        <v>11724.73461012312</v>
      </c>
      <c r="M31" s="194">
        <f t="shared" si="45"/>
        <v>11872.26764436297</v>
      </c>
      <c r="N31" s="194">
        <f t="shared" ref="N31:AB33" si="46">SUMIF($AC$2:$AC$20,$C31,N$2:N$20)</f>
        <v>0</v>
      </c>
      <c r="O31" s="194">
        <f t="shared" si="46"/>
        <v>6017826</v>
      </c>
      <c r="P31" s="194">
        <f t="shared" si="46"/>
        <v>2848029</v>
      </c>
      <c r="Q31" s="194">
        <f t="shared" si="46"/>
        <v>3169797</v>
      </c>
      <c r="R31" s="194">
        <f t="shared" si="46"/>
        <v>0</v>
      </c>
      <c r="S31" s="194">
        <f t="shared" si="46"/>
        <v>0</v>
      </c>
      <c r="T31" s="194">
        <f t="shared" si="46"/>
        <v>0</v>
      </c>
      <c r="U31" s="194">
        <f t="shared" si="46"/>
        <v>0</v>
      </c>
      <c r="V31" s="194">
        <f t="shared" si="46"/>
        <v>0</v>
      </c>
      <c r="W31" s="194">
        <f t="shared" si="46"/>
        <v>627944.95999999996</v>
      </c>
      <c r="X31" s="194">
        <f t="shared" si="46"/>
        <v>627944.90765399998</v>
      </c>
      <c r="Y31" s="194">
        <f t="shared" si="46"/>
        <v>627944.90765399998</v>
      </c>
      <c r="Z31" s="194">
        <f t="shared" si="46"/>
        <v>-18877.43</v>
      </c>
      <c r="AA31" s="194">
        <f t="shared" si="46"/>
        <v>-18045.57</v>
      </c>
      <c r="AB31" s="194">
        <f t="shared" si="46"/>
        <v>0</v>
      </c>
      <c r="AD31" s="835">
        <f t="shared" si="0"/>
        <v>0</v>
      </c>
    </row>
    <row r="32" spans="1:32" ht="15.75">
      <c r="A32" s="217"/>
      <c r="B32" s="187" t="s">
        <v>438</v>
      </c>
      <c r="C32" s="571" t="s">
        <v>1230</v>
      </c>
      <c r="D32" s="194">
        <f t="shared" si="45"/>
        <v>728244</v>
      </c>
      <c r="E32" s="194">
        <f t="shared" si="45"/>
        <v>57860.71</v>
      </c>
      <c r="F32" s="194">
        <f t="shared" si="45"/>
        <v>0</v>
      </c>
      <c r="G32" s="194">
        <f t="shared" si="45"/>
        <v>0</v>
      </c>
      <c r="H32" s="194">
        <f t="shared" si="45"/>
        <v>5.06666666666667</v>
      </c>
      <c r="I32" s="194">
        <f t="shared" si="45"/>
        <v>0</v>
      </c>
      <c r="J32" s="194">
        <f t="shared" si="45"/>
        <v>1916.26732673267</v>
      </c>
      <c r="K32" s="194">
        <f t="shared" si="45"/>
        <v>1916.26632339462</v>
      </c>
      <c r="L32" s="194">
        <f t="shared" si="45"/>
        <v>1071.85294117647</v>
      </c>
      <c r="M32" s="194">
        <f t="shared" si="45"/>
        <v>844.41338221814897</v>
      </c>
      <c r="N32" s="194">
        <f t="shared" si="46"/>
        <v>0</v>
      </c>
      <c r="O32" s="194">
        <f t="shared" si="46"/>
        <v>728244</v>
      </c>
      <c r="P32" s="194">
        <f t="shared" si="46"/>
        <v>414366</v>
      </c>
      <c r="Q32" s="194">
        <f t="shared" si="46"/>
        <v>313878</v>
      </c>
      <c r="R32" s="194">
        <f t="shared" si="46"/>
        <v>0</v>
      </c>
      <c r="S32" s="194">
        <f t="shared" si="46"/>
        <v>0</v>
      </c>
      <c r="T32" s="194">
        <f t="shared" si="46"/>
        <v>0</v>
      </c>
      <c r="U32" s="194">
        <f t="shared" si="46"/>
        <v>0</v>
      </c>
      <c r="V32" s="194">
        <f t="shared" si="46"/>
        <v>0</v>
      </c>
      <c r="W32" s="194">
        <f t="shared" si="46"/>
        <v>59727.519999999997</v>
      </c>
      <c r="X32" s="194">
        <f t="shared" si="46"/>
        <v>59727.507036000003</v>
      </c>
      <c r="Y32" s="194">
        <f t="shared" si="46"/>
        <v>59727.507036000003</v>
      </c>
      <c r="Z32" s="194">
        <f t="shared" si="46"/>
        <v>-1866.81</v>
      </c>
      <c r="AA32" s="194">
        <f t="shared" si="46"/>
        <v>-1866.81</v>
      </c>
      <c r="AB32" s="194">
        <f t="shared" si="46"/>
        <v>0</v>
      </c>
      <c r="AD32" s="835">
        <f t="shared" si="0"/>
        <v>0</v>
      </c>
    </row>
    <row r="33" spans="1:30" ht="15.75">
      <c r="A33" s="217"/>
      <c r="B33" s="571" t="s">
        <v>428</v>
      </c>
      <c r="C33" s="571" t="s">
        <v>1231</v>
      </c>
      <c r="D33" s="194">
        <f t="shared" si="45"/>
        <v>0</v>
      </c>
      <c r="E33" s="194">
        <f t="shared" si="45"/>
        <v>0</v>
      </c>
      <c r="F33" s="194">
        <f t="shared" si="45"/>
        <v>0</v>
      </c>
      <c r="G33" s="194">
        <f t="shared" si="45"/>
        <v>0</v>
      </c>
      <c r="H33" s="194">
        <f t="shared" si="45"/>
        <v>0</v>
      </c>
      <c r="I33" s="194">
        <f t="shared" si="45"/>
        <v>0</v>
      </c>
      <c r="J33" s="194">
        <f t="shared" si="45"/>
        <v>0</v>
      </c>
      <c r="K33" s="194">
        <f t="shared" si="45"/>
        <v>0</v>
      </c>
      <c r="L33" s="194">
        <f t="shared" si="45"/>
        <v>0</v>
      </c>
      <c r="M33" s="194">
        <f t="shared" si="45"/>
        <v>0</v>
      </c>
      <c r="N33" s="194">
        <f t="shared" si="46"/>
        <v>0</v>
      </c>
      <c r="O33" s="194">
        <f t="shared" si="46"/>
        <v>0</v>
      </c>
      <c r="P33" s="194">
        <f t="shared" si="46"/>
        <v>0</v>
      </c>
      <c r="Q33" s="194">
        <f t="shared" si="46"/>
        <v>0</v>
      </c>
      <c r="R33" s="194">
        <f t="shared" si="46"/>
        <v>0</v>
      </c>
      <c r="S33" s="194">
        <f t="shared" si="46"/>
        <v>0</v>
      </c>
      <c r="T33" s="194">
        <f t="shared" si="46"/>
        <v>0</v>
      </c>
      <c r="U33" s="194">
        <f t="shared" si="46"/>
        <v>0</v>
      </c>
      <c r="V33" s="194">
        <f t="shared" si="46"/>
        <v>0</v>
      </c>
      <c r="W33" s="194">
        <f t="shared" si="46"/>
        <v>0</v>
      </c>
      <c r="X33" s="194">
        <f t="shared" si="46"/>
        <v>0</v>
      </c>
      <c r="Y33" s="194">
        <f t="shared" si="46"/>
        <v>0</v>
      </c>
      <c r="Z33" s="194">
        <f t="shared" si="46"/>
        <v>0</v>
      </c>
      <c r="AA33" s="194">
        <f t="shared" si="46"/>
        <v>0</v>
      </c>
      <c r="AB33" s="194">
        <f t="shared" si="46"/>
        <v>0</v>
      </c>
      <c r="AD33" s="835">
        <f t="shared" si="0"/>
        <v>0</v>
      </c>
    </row>
    <row r="34" spans="1:30" ht="15.75">
      <c r="A34" s="217"/>
      <c r="B34" s="187" t="s">
        <v>93</v>
      </c>
      <c r="C34" s="187"/>
      <c r="D34" s="194">
        <f>SUM(D31:D33)</f>
        <v>6322426</v>
      </c>
      <c r="E34" s="194">
        <f t="shared" ref="E34:H34" si="47">SUM(E31:E33)</f>
        <v>637429.01</v>
      </c>
      <c r="F34" s="194">
        <f t="shared" si="47"/>
        <v>423644</v>
      </c>
      <c r="G34" s="194">
        <f t="shared" si="47"/>
        <v>29499.23</v>
      </c>
      <c r="H34" s="194">
        <f t="shared" si="47"/>
        <v>220.73333333333335</v>
      </c>
      <c r="I34" s="194">
        <f>SUM(I31:I33)</f>
        <v>21</v>
      </c>
      <c r="J34" s="194">
        <f t="shared" ref="J34" si="48">SUM(J31:J33)</f>
        <v>25513.264851485168</v>
      </c>
      <c r="K34" s="194">
        <f t="shared" ref="K34" si="49">SUM(K31:K33)</f>
        <v>25513.268577880717</v>
      </c>
      <c r="L34" s="194">
        <f t="shared" ref="L34" si="50">SUM(L31:L33)</f>
        <v>12796.58755129959</v>
      </c>
      <c r="M34" s="194">
        <f t="shared" ref="M34" si="51">SUM(M31:M33)</f>
        <v>12716.681026581118</v>
      </c>
      <c r="N34" s="194">
        <f t="shared" ref="N34" si="52">SUM(N31:N33)</f>
        <v>0</v>
      </c>
      <c r="O34" s="194">
        <f t="shared" ref="O34" si="53">SUM(O31:O33)</f>
        <v>6746070</v>
      </c>
      <c r="P34" s="194">
        <f t="shared" ref="P34" si="54">SUM(P31:P33)</f>
        <v>3262395</v>
      </c>
      <c r="Q34" s="194">
        <f t="shared" ref="Q34" si="55">SUM(Q31:Q33)</f>
        <v>3483675</v>
      </c>
      <c r="R34" s="194">
        <f t="shared" ref="R34" si="56">SUM(R31:R33)</f>
        <v>0</v>
      </c>
      <c r="S34" s="194">
        <f t="shared" ref="S34" si="57">SUM(S31:S33)</f>
        <v>0</v>
      </c>
      <c r="T34" s="194">
        <f t="shared" ref="T34" si="58">SUM(T31:T33)</f>
        <v>0</v>
      </c>
      <c r="U34" s="194">
        <f t="shared" ref="U34" si="59">SUM(U31:U33)</f>
        <v>0</v>
      </c>
      <c r="V34" s="194">
        <f t="shared" ref="V34" si="60">SUM(V31:V33)</f>
        <v>0</v>
      </c>
      <c r="W34" s="194">
        <f t="shared" ref="W34" si="61">SUM(W31:W33)</f>
        <v>687672.48</v>
      </c>
      <c r="X34" s="194">
        <f t="shared" ref="X34" si="62">SUM(X31:X33)</f>
        <v>687672.41469000001</v>
      </c>
      <c r="Y34" s="194">
        <f t="shared" ref="Y34" si="63">SUM(Y31:Y33)</f>
        <v>687672.41469000001</v>
      </c>
      <c r="Z34" s="194">
        <f t="shared" ref="Z34:AA34" si="64">SUM(Z31:Z33)</f>
        <v>-20744.240000000002</v>
      </c>
      <c r="AA34" s="194">
        <f t="shared" si="64"/>
        <v>-19912.38</v>
      </c>
      <c r="AB34" s="194">
        <f t="shared" ref="AB34" si="65">SUM(AB31:AB33)</f>
        <v>0</v>
      </c>
      <c r="AD34" s="835">
        <f t="shared" si="0"/>
        <v>0</v>
      </c>
    </row>
    <row r="35" spans="1:30">
      <c r="A35" s="571" t="s">
        <v>296</v>
      </c>
      <c r="B35" s="187" t="s">
        <v>429</v>
      </c>
      <c r="C35" s="571" t="s">
        <v>46</v>
      </c>
      <c r="D35" s="194">
        <f t="shared" ref="D35:M37" si="66">SUMIF($AC$2:$AC$20,$C35,D$2:D$20)</f>
        <v>3269992</v>
      </c>
      <c r="E35" s="194">
        <f t="shared" si="66"/>
        <v>313077.19</v>
      </c>
      <c r="F35" s="194">
        <f t="shared" si="66"/>
        <v>385</v>
      </c>
      <c r="G35" s="194">
        <f t="shared" si="66"/>
        <v>65.13</v>
      </c>
      <c r="H35" s="194">
        <f t="shared" si="66"/>
        <v>168</v>
      </c>
      <c r="I35" s="194">
        <f t="shared" si="66"/>
        <v>0</v>
      </c>
      <c r="J35" s="194">
        <f t="shared" si="66"/>
        <v>13820</v>
      </c>
      <c r="K35" s="194">
        <f t="shared" si="66"/>
        <v>11034.999892792801</v>
      </c>
      <c r="L35" s="194">
        <f t="shared" si="66"/>
        <v>4947.6121751026003</v>
      </c>
      <c r="M35" s="194">
        <f t="shared" si="66"/>
        <v>6087.3877176901897</v>
      </c>
      <c r="N35" s="194">
        <f t="shared" ref="N35:AB37" si="67">SUMIF($AC$2:$AC$20,$C35,N$2:N$20)</f>
        <v>0</v>
      </c>
      <c r="O35" s="194">
        <f t="shared" si="67"/>
        <v>3270377</v>
      </c>
      <c r="P35" s="194">
        <f t="shared" si="67"/>
        <v>1357335</v>
      </c>
      <c r="Q35" s="194">
        <f t="shared" si="67"/>
        <v>1913042</v>
      </c>
      <c r="R35" s="194">
        <f t="shared" si="67"/>
        <v>0</v>
      </c>
      <c r="S35" s="194">
        <f t="shared" si="67"/>
        <v>0</v>
      </c>
      <c r="T35" s="194">
        <f t="shared" si="67"/>
        <v>0</v>
      </c>
      <c r="U35" s="194">
        <f t="shared" si="67"/>
        <v>0</v>
      </c>
      <c r="V35" s="194">
        <f t="shared" si="67"/>
        <v>0</v>
      </c>
      <c r="W35" s="194">
        <f t="shared" si="67"/>
        <v>322633.40000000002</v>
      </c>
      <c r="X35" s="194">
        <f t="shared" si="67"/>
        <v>322633.43655099999</v>
      </c>
      <c r="Y35" s="194">
        <f t="shared" si="67"/>
        <v>322633.43655099999</v>
      </c>
      <c r="Z35" s="194">
        <f t="shared" si="67"/>
        <v>-9491.08</v>
      </c>
      <c r="AA35" s="194">
        <f t="shared" si="67"/>
        <v>-9491.51</v>
      </c>
      <c r="AB35" s="194">
        <f t="shared" si="67"/>
        <v>0</v>
      </c>
      <c r="AD35" s="835">
        <f t="shared" si="0"/>
        <v>0</v>
      </c>
    </row>
    <row r="36" spans="1:30" ht="15.75">
      <c r="A36" s="217"/>
      <c r="B36" s="187" t="s">
        <v>438</v>
      </c>
      <c r="C36" s="571" t="s">
        <v>1199</v>
      </c>
      <c r="D36" s="194">
        <f t="shared" si="66"/>
        <v>7086</v>
      </c>
      <c r="E36" s="194">
        <f t="shared" si="66"/>
        <v>2755.91</v>
      </c>
      <c r="F36" s="194">
        <f t="shared" si="66"/>
        <v>0</v>
      </c>
      <c r="G36" s="194">
        <f t="shared" si="66"/>
        <v>0</v>
      </c>
      <c r="H36" s="194">
        <f t="shared" si="66"/>
        <v>4</v>
      </c>
      <c r="I36" s="194">
        <f t="shared" si="66"/>
        <v>0</v>
      </c>
      <c r="J36" s="194">
        <f t="shared" si="66"/>
        <v>158</v>
      </c>
      <c r="K36" s="194">
        <f t="shared" si="66"/>
        <v>158</v>
      </c>
      <c r="L36" s="194">
        <f t="shared" si="66"/>
        <v>0</v>
      </c>
      <c r="M36" s="194">
        <f t="shared" si="66"/>
        <v>158</v>
      </c>
      <c r="N36" s="194">
        <f t="shared" si="67"/>
        <v>0</v>
      </c>
      <c r="O36" s="194">
        <f t="shared" si="67"/>
        <v>7086</v>
      </c>
      <c r="P36" s="194">
        <f t="shared" si="67"/>
        <v>0</v>
      </c>
      <c r="Q36" s="194">
        <f t="shared" si="67"/>
        <v>7086</v>
      </c>
      <c r="R36" s="194">
        <f t="shared" si="67"/>
        <v>0</v>
      </c>
      <c r="S36" s="194">
        <f t="shared" si="67"/>
        <v>0</v>
      </c>
      <c r="T36" s="194">
        <f t="shared" si="67"/>
        <v>0</v>
      </c>
      <c r="U36" s="194">
        <f t="shared" si="67"/>
        <v>0</v>
      </c>
      <c r="V36" s="194">
        <f t="shared" si="67"/>
        <v>0</v>
      </c>
      <c r="W36" s="194">
        <f t="shared" si="67"/>
        <v>2827.13</v>
      </c>
      <c r="X36" s="194">
        <f t="shared" si="67"/>
        <v>2827.123298</v>
      </c>
      <c r="Y36" s="194">
        <f t="shared" si="67"/>
        <v>2827.123298</v>
      </c>
      <c r="Z36" s="194">
        <f t="shared" si="67"/>
        <v>-71.22</v>
      </c>
      <c r="AA36" s="194">
        <f t="shared" si="67"/>
        <v>-71.22</v>
      </c>
      <c r="AB36" s="194">
        <f t="shared" si="67"/>
        <v>0</v>
      </c>
      <c r="AD36" s="835">
        <f t="shared" si="0"/>
        <v>0</v>
      </c>
    </row>
    <row r="37" spans="1:30" ht="15.75">
      <c r="A37" s="217"/>
      <c r="B37" s="571" t="s">
        <v>428</v>
      </c>
      <c r="C37" s="571" t="s">
        <v>949</v>
      </c>
      <c r="D37" s="194">
        <f t="shared" si="66"/>
        <v>25444</v>
      </c>
      <c r="E37" s="194">
        <f t="shared" si="66"/>
        <v>3498.54</v>
      </c>
      <c r="F37" s="194">
        <f t="shared" si="66"/>
        <v>80</v>
      </c>
      <c r="G37" s="194">
        <f t="shared" si="66"/>
        <v>254.67</v>
      </c>
      <c r="H37" s="194">
        <f t="shared" si="66"/>
        <v>14</v>
      </c>
      <c r="I37" s="194">
        <f t="shared" si="66"/>
        <v>0</v>
      </c>
      <c r="J37" s="194">
        <f t="shared" si="66"/>
        <v>279</v>
      </c>
      <c r="K37" s="194">
        <f t="shared" si="66"/>
        <v>69.9998758653377</v>
      </c>
      <c r="L37" s="194">
        <f t="shared" si="66"/>
        <v>59.024623803009597</v>
      </c>
      <c r="M37" s="194">
        <f t="shared" si="66"/>
        <v>10.975252062328099</v>
      </c>
      <c r="N37" s="194">
        <f t="shared" si="67"/>
        <v>0</v>
      </c>
      <c r="O37" s="194">
        <f t="shared" si="67"/>
        <v>25524</v>
      </c>
      <c r="P37" s="194">
        <f t="shared" si="67"/>
        <v>20340</v>
      </c>
      <c r="Q37" s="194">
        <f t="shared" si="67"/>
        <v>5184</v>
      </c>
      <c r="R37" s="194">
        <f t="shared" si="67"/>
        <v>0</v>
      </c>
      <c r="S37" s="194">
        <f t="shared" si="67"/>
        <v>0</v>
      </c>
      <c r="T37" s="194">
        <f t="shared" si="67"/>
        <v>0</v>
      </c>
      <c r="U37" s="194">
        <f t="shared" si="67"/>
        <v>0</v>
      </c>
      <c r="V37" s="194">
        <f t="shared" si="67"/>
        <v>0</v>
      </c>
      <c r="W37" s="194">
        <f t="shared" si="67"/>
        <v>3823.53</v>
      </c>
      <c r="X37" s="194">
        <f t="shared" si="67"/>
        <v>3823.524492</v>
      </c>
      <c r="Y37" s="194">
        <f t="shared" si="67"/>
        <v>3823.524492</v>
      </c>
      <c r="Z37" s="194">
        <f t="shared" si="67"/>
        <v>-70.319999999999993</v>
      </c>
      <c r="AA37" s="194">
        <f t="shared" si="67"/>
        <v>-70.22</v>
      </c>
      <c r="AB37" s="194">
        <f t="shared" si="67"/>
        <v>0</v>
      </c>
      <c r="AD37" s="835">
        <f t="shared" si="0"/>
        <v>0</v>
      </c>
    </row>
    <row r="38" spans="1:30" ht="16.5" thickBot="1">
      <c r="A38" s="603"/>
      <c r="B38" s="197" t="s">
        <v>93</v>
      </c>
      <c r="C38" s="197"/>
      <c r="D38" s="198">
        <f>SUM(D35:D37)</f>
        <v>3302522</v>
      </c>
      <c r="E38" s="198">
        <f t="shared" ref="E38:H38" si="68">SUM(E35:E37)</f>
        <v>319331.63999999996</v>
      </c>
      <c r="F38" s="198">
        <f t="shared" si="68"/>
        <v>465</v>
      </c>
      <c r="G38" s="198">
        <f t="shared" si="68"/>
        <v>319.79999999999995</v>
      </c>
      <c r="H38" s="198">
        <f t="shared" si="68"/>
        <v>186</v>
      </c>
      <c r="I38" s="198">
        <f>SUM(I35:I37)</f>
        <v>0</v>
      </c>
      <c r="J38" s="198">
        <f t="shared" ref="J38" si="69">SUM(J35:J37)</f>
        <v>14257</v>
      </c>
      <c r="K38" s="198">
        <f t="shared" ref="K38" si="70">SUM(K35:K37)</f>
        <v>11262.999768658139</v>
      </c>
      <c r="L38" s="198">
        <f t="shared" ref="L38" si="71">SUM(L35:L37)</f>
        <v>5006.6367989056098</v>
      </c>
      <c r="M38" s="198">
        <f t="shared" ref="M38" si="72">SUM(M35:M37)</f>
        <v>6256.3629697525175</v>
      </c>
      <c r="N38" s="198">
        <f t="shared" ref="N38" si="73">SUM(N35:N37)</f>
        <v>0</v>
      </c>
      <c r="O38" s="198">
        <f t="shared" ref="O38" si="74">SUM(O35:O37)</f>
        <v>3302987</v>
      </c>
      <c r="P38" s="198">
        <f t="shared" ref="P38" si="75">SUM(P35:P37)</f>
        <v>1377675</v>
      </c>
      <c r="Q38" s="198">
        <f t="shared" ref="Q38" si="76">SUM(Q35:Q37)</f>
        <v>1925312</v>
      </c>
      <c r="R38" s="198">
        <f t="shared" ref="R38" si="77">SUM(R35:R37)</f>
        <v>0</v>
      </c>
      <c r="S38" s="198">
        <f t="shared" ref="S38" si="78">SUM(S35:S37)</f>
        <v>0</v>
      </c>
      <c r="T38" s="198">
        <f t="shared" ref="T38" si="79">SUM(T35:T37)</f>
        <v>0</v>
      </c>
      <c r="U38" s="198">
        <f t="shared" ref="U38" si="80">SUM(U35:U37)</f>
        <v>0</v>
      </c>
      <c r="V38" s="198">
        <f t="shared" ref="V38" si="81">SUM(V35:V37)</f>
        <v>0</v>
      </c>
      <c r="W38" s="198">
        <f t="shared" ref="W38" si="82">SUM(W35:W37)</f>
        <v>329284.06000000006</v>
      </c>
      <c r="X38" s="198">
        <f t="shared" ref="X38" si="83">SUM(X35:X37)</f>
        <v>329284.08434100001</v>
      </c>
      <c r="Y38" s="198">
        <f t="shared" ref="Y38" si="84">SUM(Y35:Y37)</f>
        <v>329284.08434100001</v>
      </c>
      <c r="Z38" s="198">
        <f t="shared" ref="Z38:AA38" si="85">SUM(Z35:Z37)</f>
        <v>-9632.619999999999</v>
      </c>
      <c r="AA38" s="198">
        <f t="shared" si="85"/>
        <v>-9632.9499999999989</v>
      </c>
      <c r="AB38" s="198">
        <f t="shared" ref="AB38" si="86">SUM(AB35:AB37)</f>
        <v>0</v>
      </c>
      <c r="AD38" s="835">
        <f t="shared" si="0"/>
        <v>0</v>
      </c>
    </row>
    <row r="39" spans="1:30" ht="13.5" thickTop="1">
      <c r="A39" s="218" t="s">
        <v>93</v>
      </c>
      <c r="B39" s="218"/>
      <c r="C39" s="218"/>
      <c r="D39" s="215">
        <f>D26+D30+D34+D38</f>
        <v>5913486277</v>
      </c>
      <c r="E39" s="215">
        <f t="shared" ref="E39:H39" si="87">E26+E30+E34+E38</f>
        <v>483912527.01999992</v>
      </c>
      <c r="F39" s="215">
        <f t="shared" si="87"/>
        <v>1478507</v>
      </c>
      <c r="G39" s="215">
        <f t="shared" si="87"/>
        <v>208605.88999999981</v>
      </c>
      <c r="H39" s="215">
        <f t="shared" si="87"/>
        <v>161760.83333333372</v>
      </c>
      <c r="I39" s="215">
        <f>I26+I30+I34+I38</f>
        <v>21</v>
      </c>
      <c r="J39" s="215">
        <f t="shared" ref="J39" si="88">J26+J30+J34+J38</f>
        <v>16566272.356435668</v>
      </c>
      <c r="K39" s="215">
        <f t="shared" ref="K39" si="89">K26+K30+K34+K38</f>
        <v>16563278.662683448</v>
      </c>
      <c r="L39" s="215">
        <f t="shared" ref="L39" si="90">L26+L30+L34+L38</f>
        <v>7561315.2749658544</v>
      </c>
      <c r="M39" s="215">
        <f t="shared" ref="M39" si="91">M26+M30+M34+M38</f>
        <v>9001963.3877177052</v>
      </c>
      <c r="N39" s="215">
        <f t="shared" ref="N39" si="92">N26+N30+N34+N38</f>
        <v>588539.33333333302</v>
      </c>
      <c r="O39" s="215">
        <f t="shared" ref="O39" si="93">O26+O30+O34+O38</f>
        <v>5914964784</v>
      </c>
      <c r="P39" s="215">
        <f t="shared" ref="P39" si="94">P26+P30+P34+P38</f>
        <v>2649561779</v>
      </c>
      <c r="Q39" s="215">
        <f t="shared" ref="Q39" si="95">Q26+Q30+Q34+Q38</f>
        <v>3260965371</v>
      </c>
      <c r="R39" s="215">
        <f t="shared" ref="R39" si="96">R26+R30+R34+R38</f>
        <v>4410914</v>
      </c>
      <c r="S39" s="215">
        <f t="shared" ref="S39" si="97">S26+S30+S34+S38</f>
        <v>2072493</v>
      </c>
      <c r="T39" s="215">
        <f t="shared" ref="T39" si="98">T26+T30+T34+T38</f>
        <v>2338421</v>
      </c>
      <c r="U39" s="215">
        <f t="shared" ref="U39" si="99">U26+U30+U34+U38</f>
        <v>888324</v>
      </c>
      <c r="V39" s="215">
        <f t="shared" ref="V39" si="100">V26+V30+V34+V38</f>
        <v>1450097</v>
      </c>
      <c r="W39" s="215">
        <f t="shared" ref="W39" si="101">W26+W30+W34+W38</f>
        <v>499708901.69999999</v>
      </c>
      <c r="X39" s="215">
        <f t="shared" ref="X39" si="102">X26+X30+X34+X38</f>
        <v>499708898.63525301</v>
      </c>
      <c r="Y39" s="215">
        <f t="shared" ref="Y39" si="103">Y26+Y30+Y34+Y38</f>
        <v>499708898.63525301</v>
      </c>
      <c r="Z39" s="215">
        <f t="shared" ref="Z39:AA39" si="104">Z26+Z30+Z34+Z38</f>
        <v>-15587768.789999999</v>
      </c>
      <c r="AA39" s="215">
        <f t="shared" si="104"/>
        <v>-15604531.51</v>
      </c>
      <c r="AB39" s="215">
        <f t="shared" ref="AB39" si="105">AB26+AB30+AB34+AB38</f>
        <v>13.633333333333301</v>
      </c>
      <c r="AD39" s="835">
        <f t="shared" si="0"/>
        <v>26720</v>
      </c>
    </row>
    <row r="40" spans="1:30">
      <c r="A40" s="219" t="s">
        <v>463</v>
      </c>
      <c r="B40" s="219"/>
      <c r="C40" s="219"/>
      <c r="D40" s="220">
        <f>D39-SUM(D2:D20)</f>
        <v>0</v>
      </c>
      <c r="E40" s="220">
        <f t="shared" ref="E40:H40" si="106">E39-SUM(E2:E20)</f>
        <v>0</v>
      </c>
      <c r="F40" s="220">
        <f t="shared" si="106"/>
        <v>0</v>
      </c>
      <c r="G40" s="220">
        <f t="shared" si="106"/>
        <v>0</v>
      </c>
      <c r="H40" s="220">
        <f t="shared" si="106"/>
        <v>0</v>
      </c>
      <c r="I40" s="220">
        <f>I39-SUM(I2:I20)</f>
        <v>0</v>
      </c>
      <c r="J40" s="220">
        <f t="shared" ref="J40" si="107">J39-SUM(J2:J20)</f>
        <v>0</v>
      </c>
      <c r="K40" s="220">
        <f t="shared" ref="K40" si="108">K39-SUM(K2:K20)</f>
        <v>0</v>
      </c>
      <c r="L40" s="220">
        <f t="shared" ref="L40" si="109">L39-SUM(L2:L20)</f>
        <v>0</v>
      </c>
      <c r="M40" s="220">
        <f t="shared" ref="M40" si="110">M39-SUM(M2:M20)</f>
        <v>0</v>
      </c>
      <c r="N40" s="220">
        <f t="shared" ref="N40" si="111">N39-SUM(N2:N20)</f>
        <v>0</v>
      </c>
      <c r="O40" s="220">
        <f t="shared" ref="O40" si="112">O39-SUM(O2:O20)</f>
        <v>0</v>
      </c>
      <c r="P40" s="220">
        <f t="shared" ref="P40" si="113">P39-SUM(P2:P20)</f>
        <v>0</v>
      </c>
      <c r="Q40" s="220">
        <f t="shared" ref="Q40" si="114">Q39-SUM(Q2:Q20)</f>
        <v>0</v>
      </c>
      <c r="R40" s="220">
        <f t="shared" ref="R40" si="115">R39-SUM(R2:R20)</f>
        <v>0</v>
      </c>
      <c r="S40" s="220">
        <f t="shared" ref="S40" si="116">S39-SUM(S2:S20)</f>
        <v>0</v>
      </c>
      <c r="T40" s="220">
        <f t="shared" ref="T40" si="117">T39-SUM(T2:T20)</f>
        <v>0</v>
      </c>
      <c r="U40" s="220">
        <f t="shared" ref="U40" si="118">U39-SUM(U2:U20)</f>
        <v>0</v>
      </c>
      <c r="V40" s="220">
        <f t="shared" ref="V40" si="119">V39-SUM(V2:V20)</f>
        <v>0</v>
      </c>
      <c r="W40" s="220">
        <f t="shared" ref="W40" si="120">W39-SUM(W2:W20)</f>
        <v>0</v>
      </c>
      <c r="X40" s="220">
        <f t="shared" ref="X40" si="121">X39-SUM(X2:X20)</f>
        <v>0</v>
      </c>
      <c r="Y40" s="220">
        <f t="shared" ref="Y40" si="122">Y39-SUM(Y2:Y20)</f>
        <v>0</v>
      </c>
      <c r="Z40" s="220">
        <f t="shared" ref="Z40:AA40" si="123">Z39-SUM(Z2:Z20)</f>
        <v>0</v>
      </c>
      <c r="AA40" s="220">
        <f t="shared" si="123"/>
        <v>0</v>
      </c>
      <c r="AB40" s="220">
        <f t="shared" ref="AB40:AD40" si="124">AB39-SUM(AB2:AB20)</f>
        <v>0</v>
      </c>
      <c r="AC40" s="220">
        <f t="shared" si="124"/>
        <v>0</v>
      </c>
      <c r="AD40" s="220">
        <f t="shared" si="124"/>
        <v>0</v>
      </c>
    </row>
    <row r="41" spans="1:30">
      <c r="N41" s="656"/>
      <c r="O41" s="650" t="s">
        <v>1234</v>
      </c>
      <c r="W41" s="659" t="s">
        <v>418</v>
      </c>
      <c r="X41" s="660">
        <f>(TempRev!I326+TempRev!I335+TempRev!I343)*(1-TempRev!Y12)</f>
        <v>100978.0262529999</v>
      </c>
    </row>
    <row r="42" spans="1:30">
      <c r="C42" s="141"/>
      <c r="N42" s="657" t="s">
        <v>698</v>
      </c>
      <c r="O42" s="636">
        <f>O29/(O29+O25+O33)</f>
        <v>2.9009198989231925E-2</v>
      </c>
      <c r="W42" s="661" t="s">
        <v>136</v>
      </c>
      <c r="X42" s="662">
        <f>'Blocking-Step2'!H686+'Blocking-Step2'!H769+'Blocking-Step2'!H845+'Blocking-Step2'!H901</f>
        <v>1772026.6474135239</v>
      </c>
      <c r="Z42" s="879" t="s">
        <v>1241</v>
      </c>
    </row>
    <row r="43" spans="1:30">
      <c r="C43" s="141"/>
      <c r="D43" s="810"/>
      <c r="E43" s="810"/>
      <c r="N43" s="658" t="s">
        <v>699</v>
      </c>
      <c r="O43" s="638">
        <f>O27/(O27+O23+O31)</f>
        <v>2.3801468279244307E-2</v>
      </c>
      <c r="W43" s="661" t="s">
        <v>411</v>
      </c>
      <c r="X43" s="662">
        <f>'Blocking-Step2'!H690+'Blocking-Step2'!H772+'Blocking-Step2'!H848+'Blocking-Step2'!H904</f>
        <v>486249955.96301353</v>
      </c>
      <c r="Z43" s="836">
        <f>'Blocking-Step2'!H687+'Blocking-Step2'!H770+'Blocking-Step2'!H846+'Blocking-Step2'!H902</f>
        <v>-15332081.6844</v>
      </c>
      <c r="AA43" s="836"/>
      <c r="AB43" s="836"/>
    </row>
    <row r="44" spans="1:30">
      <c r="C44" s="141"/>
      <c r="D44" s="810"/>
      <c r="E44" s="810"/>
      <c r="N44" s="656"/>
      <c r="O44" s="650" t="s">
        <v>1235</v>
      </c>
      <c r="W44" s="663" t="s">
        <v>498</v>
      </c>
      <c r="X44" s="664">
        <f>X43-X41-X42-X39-Z43</f>
        <v>134.33849398046732</v>
      </c>
    </row>
    <row r="45" spans="1:30">
      <c r="D45" s="810"/>
      <c r="E45" s="810"/>
      <c r="N45" s="657" t="s">
        <v>698</v>
      </c>
      <c r="O45" s="636">
        <f>O33/(O33+O25+O29)</f>
        <v>0</v>
      </c>
    </row>
    <row r="46" spans="1:30">
      <c r="D46" s="810"/>
      <c r="E46" s="810"/>
      <c r="N46" s="658" t="s">
        <v>699</v>
      </c>
      <c r="O46" s="638">
        <f>O31/(O31+O23+O27)</f>
        <v>1.1631575696644638E-3</v>
      </c>
    </row>
  </sheetData>
  <phoneticPr fontId="8" type="noConversion"/>
  <printOptions horizontalCentered="1"/>
  <pageMargins left="0.25" right="0.25" top="1.32" bottom="0.79" header="0.5" footer="0.25"/>
  <pageSetup scale="49" orientation="landscape" r:id="rId1"/>
  <headerFooter alignWithMargins="0">
    <oddHeader>&amp;L&amp;C&amp;B&amp;"Times New Roman"&amp;14Utah Schedule 6 Billing Determinants
12 Months Ending September 2005&amp;R&amp;"Arial"&amp;8Date: 12/27/2005</oddHeader>
    <oddFooter>&amp;L&amp;C&amp;"Arial"&amp;10Page &amp;P&amp;R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O74"/>
  <sheetViews>
    <sheetView workbookViewId="0">
      <pane xSplit="3" ySplit="1" topLeftCell="Y26" activePane="bottomRight" state="frozen"/>
      <selection activeCell="W28" sqref="W28"/>
      <selection pane="topRight" activeCell="W28" sqref="W28"/>
      <selection pane="bottomLeft" activeCell="W28" sqref="W28"/>
      <selection pane="bottomRight" activeCell="A41" sqref="A41:XFD45"/>
    </sheetView>
  </sheetViews>
  <sheetFormatPr defaultColWidth="8" defaultRowHeight="12.75"/>
  <cols>
    <col min="1" max="1" width="9.125" style="136" bestFit="1" customWidth="1"/>
    <col min="2" max="2" width="6.125" style="136" bestFit="1" customWidth="1"/>
    <col min="3" max="3" width="11.625" style="136" bestFit="1" customWidth="1"/>
    <col min="4" max="4" width="12.125" style="136" bestFit="1" customWidth="1"/>
    <col min="5" max="5" width="11" style="136" bestFit="1" customWidth="1"/>
    <col min="6" max="6" width="10.25" style="136" bestFit="1" customWidth="1"/>
    <col min="7" max="7" width="8.75" style="136" bestFit="1" customWidth="1"/>
    <col min="8" max="8" width="7.25" style="136" bestFit="1" customWidth="1"/>
    <col min="9" max="9" width="8" style="136"/>
    <col min="10" max="12" width="9.75" style="136" bestFit="1" customWidth="1"/>
    <col min="13" max="13" width="8.75" style="136" bestFit="1" customWidth="1"/>
    <col min="14" max="14" width="8.75" style="136" hidden="1" customWidth="1"/>
    <col min="15" max="15" width="13.75" style="136" hidden="1" customWidth="1"/>
    <col min="16" max="17" width="12.125" style="136" bestFit="1" customWidth="1"/>
    <col min="18" max="18" width="12.25" style="136" hidden="1" customWidth="1"/>
    <col min="19" max="19" width="10.75" style="136" hidden="1" customWidth="1"/>
    <col min="20" max="20" width="14" style="136" hidden="1" customWidth="1"/>
    <col min="21" max="21" width="9" style="136" bestFit="1" customWidth="1"/>
    <col min="22" max="22" width="10.25" style="136" bestFit="1" customWidth="1"/>
    <col min="23" max="23" width="10.75" style="136" bestFit="1" customWidth="1"/>
    <col min="24" max="24" width="12.125" style="136" bestFit="1" customWidth="1"/>
    <col min="25" max="25" width="10.75" style="136" bestFit="1" customWidth="1"/>
    <col min="26" max="26" width="12" style="136" bestFit="1" customWidth="1"/>
    <col min="27" max="28" width="12" style="136" customWidth="1"/>
    <col min="29" max="29" width="9" style="136" bestFit="1" customWidth="1"/>
    <col min="30" max="30" width="9.75" style="136" bestFit="1" customWidth="1"/>
    <col min="31" max="31" width="11" style="136" bestFit="1" customWidth="1"/>
    <col min="32" max="34" width="8" style="136"/>
    <col min="35" max="35" width="10.625" style="136" bestFit="1" customWidth="1"/>
    <col min="36" max="36" width="10" style="136" bestFit="1" customWidth="1"/>
    <col min="37" max="16384" width="8" style="136"/>
  </cols>
  <sheetData>
    <row r="1" spans="1:32" ht="13.5" customHeight="1">
      <c r="A1" s="1155" t="s">
        <v>472</v>
      </c>
      <c r="B1" s="1155" t="s">
        <v>191</v>
      </c>
      <c r="C1" s="1155" t="s">
        <v>192</v>
      </c>
      <c r="D1" s="1155" t="s">
        <v>125</v>
      </c>
      <c r="E1" s="1155" t="s">
        <v>126</v>
      </c>
      <c r="F1" s="1155" t="s">
        <v>127</v>
      </c>
      <c r="G1" s="1155" t="s">
        <v>128</v>
      </c>
      <c r="H1" s="1155" t="s">
        <v>72</v>
      </c>
      <c r="I1" s="1155" t="s">
        <v>627</v>
      </c>
      <c r="J1" s="1155" t="s">
        <v>974</v>
      </c>
      <c r="K1" s="1155" t="s">
        <v>462</v>
      </c>
      <c r="L1" s="1155" t="s">
        <v>638</v>
      </c>
      <c r="M1" s="1155" t="s">
        <v>639</v>
      </c>
      <c r="N1" s="1155" t="s">
        <v>631</v>
      </c>
      <c r="O1" s="1155" t="s">
        <v>70</v>
      </c>
      <c r="P1" s="1155" t="s">
        <v>622</v>
      </c>
      <c r="Q1" s="1155" t="s">
        <v>626</v>
      </c>
      <c r="R1" s="1155" t="s">
        <v>1221</v>
      </c>
      <c r="S1" s="1155" t="s">
        <v>1152</v>
      </c>
      <c r="T1" s="1155" t="s">
        <v>1222</v>
      </c>
      <c r="U1" s="1155" t="s">
        <v>1223</v>
      </c>
      <c r="V1" s="1155" t="s">
        <v>1224</v>
      </c>
      <c r="W1" s="1155" t="s">
        <v>71</v>
      </c>
      <c r="X1" s="1155" t="s">
        <v>619</v>
      </c>
      <c r="Y1" s="1155" t="s">
        <v>796</v>
      </c>
      <c r="Z1" s="1155" t="s">
        <v>1225</v>
      </c>
      <c r="AA1" s="1155" t="s">
        <v>1256</v>
      </c>
      <c r="AB1" s="1155" t="s">
        <v>1297</v>
      </c>
      <c r="AC1" s="819" t="s">
        <v>1229</v>
      </c>
      <c r="AD1" s="136" t="s">
        <v>1239</v>
      </c>
    </row>
    <row r="2" spans="1:32" ht="14.25" customHeight="1">
      <c r="A2" s="1156" t="s">
        <v>295</v>
      </c>
      <c r="B2" s="1156" t="s">
        <v>429</v>
      </c>
      <c r="C2" s="1156" t="s">
        <v>1226</v>
      </c>
      <c r="D2" s="1157"/>
      <c r="E2" s="1157"/>
      <c r="F2" s="1157"/>
      <c r="G2" s="1157"/>
      <c r="H2" s="1157"/>
      <c r="I2" s="1180"/>
      <c r="J2" s="1157"/>
      <c r="K2" s="1157"/>
      <c r="L2" s="1157">
        <f t="shared" ref="L2:L20" si="0">SUMIFS(AE$43:AE$74,$B$43:$B$74,$B2,$C$43:$C$74,$C2)</f>
        <v>-234.11550891758361</v>
      </c>
      <c r="M2" s="1157">
        <f t="shared" ref="M2:M20" si="1">SUMIFS(AF$43:AF$74,$B$43:$B$74,$B2,$C$43:$C$74,$C2)</f>
        <v>234.11550891758361</v>
      </c>
      <c r="N2" s="1157"/>
      <c r="O2" s="1157"/>
      <c r="P2" s="1157">
        <f t="shared" ref="P2:P20" si="2">SUMIFS(AI$43:AI$74,$B$43:$B$74,$B2,$C$43:$C$74,$C2)</f>
        <v>-36853.4348112851</v>
      </c>
      <c r="Q2" s="1157">
        <f t="shared" ref="Q2:Q20" si="3">SUMIFS(AJ$43:AJ$74,$B$43:$B$74,$B2,$C$43:$C$74,$C2)</f>
        <v>36853.4348112851</v>
      </c>
      <c r="R2" s="1180"/>
      <c r="S2" s="1180"/>
      <c r="T2" s="1180"/>
      <c r="U2" s="1157">
        <f t="shared" ref="U2:U20" si="4">SUMIFS(AN$43:AN$74,$B$43:$B$74,$B2,$C$43:$C$74,$C2)</f>
        <v>0</v>
      </c>
      <c r="V2" s="1157">
        <f t="shared" ref="V2:V20" si="5">SUMIFS(AO$43:AO$74,$B$43:$B$74,$B2,$C$43:$C$74,$C2)</f>
        <v>0</v>
      </c>
      <c r="W2" s="1157"/>
      <c r="X2" s="1157"/>
      <c r="Y2" s="1158"/>
      <c r="Z2" s="1157"/>
      <c r="AA2" s="1159"/>
      <c r="AB2" s="1180"/>
      <c r="AC2" s="820" t="s">
        <v>1209</v>
      </c>
      <c r="AD2" s="835">
        <f>O2-P2-Q2-S2-U2-V2</f>
        <v>0</v>
      </c>
      <c r="AE2" s="835">
        <f>X2-W2</f>
        <v>0</v>
      </c>
      <c r="AF2" s="888">
        <f>AA2-Z2</f>
        <v>0</v>
      </c>
    </row>
    <row r="3" spans="1:32" ht="14.25" customHeight="1">
      <c r="A3" s="371"/>
      <c r="B3" s="1156" t="s">
        <v>429</v>
      </c>
      <c r="C3" s="1156" t="s">
        <v>1227</v>
      </c>
      <c r="D3" s="1157"/>
      <c r="E3" s="1157"/>
      <c r="F3" s="1157"/>
      <c r="G3" s="1157"/>
      <c r="H3" s="1157"/>
      <c r="I3" s="1180"/>
      <c r="J3" s="1157"/>
      <c r="K3" s="1157"/>
      <c r="L3" s="1157">
        <f t="shared" si="0"/>
        <v>-1322.6799696239814</v>
      </c>
      <c r="M3" s="1157">
        <f t="shared" si="1"/>
        <v>1322.6799696239814</v>
      </c>
      <c r="N3" s="1157"/>
      <c r="O3" s="1157"/>
      <c r="P3" s="1157">
        <f t="shared" si="2"/>
        <v>-289289.03296661074</v>
      </c>
      <c r="Q3" s="1157">
        <f t="shared" si="3"/>
        <v>289289.03296661074</v>
      </c>
      <c r="R3" s="1180"/>
      <c r="S3" s="1180"/>
      <c r="T3" s="1180"/>
      <c r="U3" s="1157">
        <f t="shared" si="4"/>
        <v>0</v>
      </c>
      <c r="V3" s="1157">
        <f t="shared" si="5"/>
        <v>0</v>
      </c>
      <c r="W3" s="1157"/>
      <c r="X3" s="1157"/>
      <c r="Y3" s="1158"/>
      <c r="Z3" s="1157"/>
      <c r="AA3" s="1159"/>
      <c r="AB3" s="1180"/>
      <c r="AC3" s="820" t="s">
        <v>1209</v>
      </c>
      <c r="AD3" s="835">
        <f t="shared" ref="AD3:AD39" si="6">O3-P3-Q3-S3-U3-V3</f>
        <v>0</v>
      </c>
      <c r="AE3" s="835">
        <f t="shared" ref="AE3:AE20" si="7">X3-W3</f>
        <v>0</v>
      </c>
      <c r="AF3" s="888">
        <f t="shared" ref="AF3:AF20" si="8">AA3-Z3</f>
        <v>0</v>
      </c>
    </row>
    <row r="4" spans="1:32" ht="14.25" customHeight="1">
      <c r="A4" s="371"/>
      <c r="B4" s="1156" t="s">
        <v>429</v>
      </c>
      <c r="C4" s="1156" t="s">
        <v>137</v>
      </c>
      <c r="D4" s="1157"/>
      <c r="E4" s="1157"/>
      <c r="F4" s="1157"/>
      <c r="G4" s="1157"/>
      <c r="H4" s="1157"/>
      <c r="I4" s="1180"/>
      <c r="J4" s="1157"/>
      <c r="K4" s="1157"/>
      <c r="L4" s="1157">
        <f t="shared" si="0"/>
        <v>-1206086.9921464878</v>
      </c>
      <c r="M4" s="1157">
        <f t="shared" si="1"/>
        <v>1206086.9921464878</v>
      </c>
      <c r="N4" s="1157"/>
      <c r="O4" s="1157"/>
      <c r="P4" s="1157">
        <f t="shared" si="2"/>
        <v>-410266123.23592472</v>
      </c>
      <c r="Q4" s="1157">
        <f t="shared" si="3"/>
        <v>410266123.23592472</v>
      </c>
      <c r="R4" s="1180"/>
      <c r="S4" s="1180"/>
      <c r="T4" s="1180"/>
      <c r="U4" s="1157">
        <f t="shared" si="4"/>
        <v>0</v>
      </c>
      <c r="V4" s="1157">
        <f t="shared" si="5"/>
        <v>0</v>
      </c>
      <c r="W4" s="1157"/>
      <c r="X4" s="1157"/>
      <c r="Y4" s="1158"/>
      <c r="Z4" s="1157"/>
      <c r="AA4" s="1159"/>
      <c r="AB4" s="1180"/>
      <c r="AC4" s="820" t="s">
        <v>42</v>
      </c>
      <c r="AD4" s="835">
        <f t="shared" si="6"/>
        <v>0</v>
      </c>
      <c r="AE4" s="835">
        <f t="shared" si="7"/>
        <v>0</v>
      </c>
      <c r="AF4" s="888">
        <f t="shared" si="8"/>
        <v>0</v>
      </c>
    </row>
    <row r="5" spans="1:32" ht="14.25" customHeight="1">
      <c r="A5" s="371"/>
      <c r="B5" s="1156" t="s">
        <v>429</v>
      </c>
      <c r="C5" s="1156" t="s">
        <v>431</v>
      </c>
      <c r="D5" s="1157"/>
      <c r="E5" s="1157"/>
      <c r="F5" s="1157"/>
      <c r="G5" s="1157"/>
      <c r="H5" s="1157"/>
      <c r="I5" s="1180"/>
      <c r="J5" s="1157"/>
      <c r="K5" s="1157"/>
      <c r="L5" s="1157">
        <f t="shared" si="0"/>
        <v>0</v>
      </c>
      <c r="M5" s="1157">
        <f t="shared" si="1"/>
        <v>0</v>
      </c>
      <c r="N5" s="1157"/>
      <c r="O5" s="1157"/>
      <c r="P5" s="1157">
        <f t="shared" si="2"/>
        <v>0</v>
      </c>
      <c r="Q5" s="1157">
        <f t="shared" si="3"/>
        <v>0</v>
      </c>
      <c r="R5" s="1180"/>
      <c r="S5" s="1180"/>
      <c r="T5" s="1180"/>
      <c r="U5" s="1157">
        <f t="shared" si="4"/>
        <v>0</v>
      </c>
      <c r="V5" s="1157">
        <f t="shared" si="5"/>
        <v>0</v>
      </c>
      <c r="W5" s="1157"/>
      <c r="X5" s="1157"/>
      <c r="Y5" s="1158"/>
      <c r="Z5" s="1157"/>
      <c r="AA5" s="1159"/>
      <c r="AB5" s="1180"/>
      <c r="AC5" s="820" t="s">
        <v>42</v>
      </c>
      <c r="AD5" s="835">
        <f t="shared" si="6"/>
        <v>0</v>
      </c>
      <c r="AE5" s="835">
        <f t="shared" si="7"/>
        <v>0</v>
      </c>
      <c r="AF5" s="888">
        <f t="shared" si="8"/>
        <v>0</v>
      </c>
    </row>
    <row r="6" spans="1:32" ht="14.25" customHeight="1">
      <c r="A6" s="371"/>
      <c r="B6" s="1156" t="s">
        <v>429</v>
      </c>
      <c r="C6" s="1156" t="s">
        <v>436</v>
      </c>
      <c r="D6" s="1157"/>
      <c r="E6" s="1157"/>
      <c r="F6" s="1157"/>
      <c r="G6" s="1157"/>
      <c r="H6" s="1157"/>
      <c r="I6" s="1180"/>
      <c r="J6" s="1157"/>
      <c r="K6" s="1157"/>
      <c r="L6" s="1157">
        <f t="shared" si="0"/>
        <v>-6175.4578018053089</v>
      </c>
      <c r="M6" s="1157">
        <f t="shared" si="1"/>
        <v>6175.4578018053089</v>
      </c>
      <c r="N6" s="1157"/>
      <c r="O6" s="1157"/>
      <c r="P6" s="1157">
        <f t="shared" si="2"/>
        <v>-2960265.745473431</v>
      </c>
      <c r="Q6" s="1157">
        <f t="shared" si="3"/>
        <v>2960265.745473431</v>
      </c>
      <c r="R6" s="1180"/>
      <c r="S6" s="1180"/>
      <c r="T6" s="1180"/>
      <c r="U6" s="1157">
        <f t="shared" si="4"/>
        <v>0</v>
      </c>
      <c r="V6" s="1157">
        <f t="shared" si="5"/>
        <v>0</v>
      </c>
      <c r="W6" s="1157"/>
      <c r="X6" s="1157"/>
      <c r="Y6" s="1158"/>
      <c r="Z6" s="1157"/>
      <c r="AA6" s="1159"/>
      <c r="AB6" s="1180"/>
      <c r="AC6" s="820" t="s">
        <v>42</v>
      </c>
      <c r="AD6" s="835">
        <f t="shared" si="6"/>
        <v>0</v>
      </c>
      <c r="AE6" s="835">
        <f t="shared" si="7"/>
        <v>0</v>
      </c>
      <c r="AF6" s="888">
        <f t="shared" si="8"/>
        <v>0</v>
      </c>
    </row>
    <row r="7" spans="1:32" ht="14.25" customHeight="1">
      <c r="A7" s="371"/>
      <c r="B7" s="1156" t="s">
        <v>429</v>
      </c>
      <c r="C7" s="1156" t="s">
        <v>615</v>
      </c>
      <c r="D7" s="1157"/>
      <c r="E7" s="1157"/>
      <c r="F7" s="1157"/>
      <c r="G7" s="1157"/>
      <c r="H7" s="1157"/>
      <c r="I7" s="1180"/>
      <c r="J7" s="1157"/>
      <c r="K7" s="1157"/>
      <c r="L7" s="1157">
        <f t="shared" si="0"/>
        <v>-14250.933652530801</v>
      </c>
      <c r="M7" s="1157">
        <f t="shared" si="1"/>
        <v>14250.933652530801</v>
      </c>
      <c r="N7" s="1157"/>
      <c r="O7" s="1157"/>
      <c r="P7" s="1157">
        <f t="shared" si="2"/>
        <v>-4248728</v>
      </c>
      <c r="Q7" s="1157">
        <f t="shared" si="3"/>
        <v>4248728</v>
      </c>
      <c r="R7" s="1180"/>
      <c r="S7" s="1180"/>
      <c r="T7" s="1180"/>
      <c r="U7" s="1157">
        <f t="shared" si="4"/>
        <v>0</v>
      </c>
      <c r="V7" s="1157">
        <f t="shared" si="5"/>
        <v>0</v>
      </c>
      <c r="W7" s="1157"/>
      <c r="X7" s="1157"/>
      <c r="Y7" s="1158"/>
      <c r="Z7" s="1157"/>
      <c r="AA7" s="1159"/>
      <c r="AB7" s="1180"/>
      <c r="AC7" s="820" t="s">
        <v>950</v>
      </c>
      <c r="AD7" s="835">
        <f t="shared" si="6"/>
        <v>0</v>
      </c>
      <c r="AE7" s="835">
        <f t="shared" si="7"/>
        <v>0</v>
      </c>
      <c r="AF7" s="888">
        <f t="shared" si="8"/>
        <v>0</v>
      </c>
    </row>
    <row r="8" spans="1:32" ht="14.25" customHeight="1">
      <c r="A8" s="371"/>
      <c r="B8" s="1156" t="s">
        <v>429</v>
      </c>
      <c r="C8" s="1156" t="s">
        <v>854</v>
      </c>
      <c r="D8" s="1157"/>
      <c r="E8" s="1157"/>
      <c r="F8" s="1157"/>
      <c r="G8" s="1157"/>
      <c r="H8" s="1157"/>
      <c r="I8" s="1180"/>
      <c r="J8" s="1157"/>
      <c r="K8" s="1157"/>
      <c r="L8" s="1157">
        <f t="shared" si="0"/>
        <v>0</v>
      </c>
      <c r="M8" s="1157">
        <f t="shared" si="1"/>
        <v>0</v>
      </c>
      <c r="N8" s="1157"/>
      <c r="O8" s="1157"/>
      <c r="P8" s="1157">
        <f t="shared" si="2"/>
        <v>0</v>
      </c>
      <c r="Q8" s="1157">
        <f t="shared" si="3"/>
        <v>0</v>
      </c>
      <c r="R8" s="1180"/>
      <c r="S8" s="1180"/>
      <c r="T8" s="1180"/>
      <c r="U8" s="1157">
        <f t="shared" si="4"/>
        <v>0</v>
      </c>
      <c r="V8" s="1157">
        <f t="shared" si="5"/>
        <v>0</v>
      </c>
      <c r="W8" s="1157"/>
      <c r="X8" s="1157"/>
      <c r="Y8" s="1158"/>
      <c r="Z8" s="1157"/>
      <c r="AA8" s="1159"/>
      <c r="AB8" s="1180"/>
      <c r="AC8" s="820" t="s">
        <v>42</v>
      </c>
      <c r="AD8" s="835">
        <f t="shared" si="6"/>
        <v>0</v>
      </c>
      <c r="AE8" s="835">
        <f t="shared" si="7"/>
        <v>0</v>
      </c>
      <c r="AF8" s="888">
        <f t="shared" si="8"/>
        <v>0</v>
      </c>
    </row>
    <row r="9" spans="1:32" ht="14.25" customHeight="1">
      <c r="A9" s="371"/>
      <c r="B9" s="1156" t="s">
        <v>429</v>
      </c>
      <c r="C9" s="1156" t="s">
        <v>1162</v>
      </c>
      <c r="D9" s="1157"/>
      <c r="E9" s="1157"/>
      <c r="F9" s="1157"/>
      <c r="G9" s="1157"/>
      <c r="H9" s="1157"/>
      <c r="I9" s="1180"/>
      <c r="J9" s="1157"/>
      <c r="K9" s="1157"/>
      <c r="L9" s="1157">
        <f t="shared" si="0"/>
        <v>-1178.5175611936606</v>
      </c>
      <c r="M9" s="1157">
        <f t="shared" si="1"/>
        <v>1178.5175611936606</v>
      </c>
      <c r="N9" s="1157"/>
      <c r="O9" s="1157"/>
      <c r="P9" s="1157">
        <f t="shared" si="2"/>
        <v>0</v>
      </c>
      <c r="Q9" s="1157">
        <f t="shared" si="3"/>
        <v>0</v>
      </c>
      <c r="R9" s="1180"/>
      <c r="S9" s="1180"/>
      <c r="T9" s="1180"/>
      <c r="U9" s="1157">
        <f t="shared" si="4"/>
        <v>-109636.63794804341</v>
      </c>
      <c r="V9" s="1157">
        <f t="shared" si="5"/>
        <v>109636.63794804341</v>
      </c>
      <c r="W9" s="1157"/>
      <c r="X9" s="1157"/>
      <c r="Y9" s="1158"/>
      <c r="Z9" s="1157"/>
      <c r="AA9" s="1159"/>
      <c r="AB9" s="1180"/>
      <c r="AC9" s="820" t="s">
        <v>42</v>
      </c>
      <c r="AD9" s="835">
        <f t="shared" si="6"/>
        <v>0</v>
      </c>
      <c r="AE9" s="835">
        <f t="shared" si="7"/>
        <v>0</v>
      </c>
      <c r="AF9" s="888">
        <f t="shared" si="8"/>
        <v>0</v>
      </c>
    </row>
    <row r="10" spans="1:32" ht="14.25" customHeight="1">
      <c r="A10" s="371"/>
      <c r="B10" s="1156" t="s">
        <v>438</v>
      </c>
      <c r="C10" s="1156" t="s">
        <v>1227</v>
      </c>
      <c r="D10" s="1157"/>
      <c r="E10" s="1157"/>
      <c r="F10" s="1157"/>
      <c r="G10" s="1157"/>
      <c r="H10" s="1157"/>
      <c r="I10" s="1180"/>
      <c r="J10" s="1157"/>
      <c r="K10" s="1157"/>
      <c r="L10" s="1157">
        <f t="shared" si="0"/>
        <v>0</v>
      </c>
      <c r="M10" s="1157">
        <f t="shared" si="1"/>
        <v>0</v>
      </c>
      <c r="N10" s="1157"/>
      <c r="O10" s="1157"/>
      <c r="P10" s="1157">
        <f t="shared" si="2"/>
        <v>0</v>
      </c>
      <c r="Q10" s="1157">
        <f t="shared" si="3"/>
        <v>0</v>
      </c>
      <c r="R10" s="1180"/>
      <c r="S10" s="1180"/>
      <c r="T10" s="1180"/>
      <c r="U10" s="1157">
        <f t="shared" si="4"/>
        <v>0</v>
      </c>
      <c r="V10" s="1157">
        <f t="shared" si="5"/>
        <v>0</v>
      </c>
      <c r="W10" s="1157"/>
      <c r="X10" s="1157"/>
      <c r="Y10" s="1158"/>
      <c r="Z10" s="1157"/>
      <c r="AA10" s="1159"/>
      <c r="AB10" s="1180"/>
      <c r="AC10" s="820" t="s">
        <v>1230</v>
      </c>
      <c r="AD10" s="835">
        <f t="shared" si="6"/>
        <v>0</v>
      </c>
      <c r="AE10" s="835">
        <f t="shared" si="7"/>
        <v>0</v>
      </c>
      <c r="AF10" s="888">
        <f t="shared" si="8"/>
        <v>0</v>
      </c>
    </row>
    <row r="11" spans="1:32" ht="14.25" customHeight="1">
      <c r="A11" s="371"/>
      <c r="B11" s="1156" t="s">
        <v>438</v>
      </c>
      <c r="C11" s="1156" t="s">
        <v>137</v>
      </c>
      <c r="D11" s="1157"/>
      <c r="E11" s="1157"/>
      <c r="F11" s="1157"/>
      <c r="G11" s="1157"/>
      <c r="H11" s="1157"/>
      <c r="I11" s="1180"/>
      <c r="J11" s="1157"/>
      <c r="K11" s="1157"/>
      <c r="L11" s="1157">
        <f t="shared" si="0"/>
        <v>-151485.70307759719</v>
      </c>
      <c r="M11" s="1157">
        <f t="shared" si="1"/>
        <v>151485.70307759719</v>
      </c>
      <c r="N11" s="1157"/>
      <c r="O11" s="1157"/>
      <c r="P11" s="1157">
        <f t="shared" si="2"/>
        <v>-47346384.279993638</v>
      </c>
      <c r="Q11" s="1157">
        <f t="shared" si="3"/>
        <v>47346384.279993638</v>
      </c>
      <c r="R11" s="1180"/>
      <c r="S11" s="1180"/>
      <c r="T11" s="1180"/>
      <c r="U11" s="1157">
        <f t="shared" si="4"/>
        <v>0</v>
      </c>
      <c r="V11" s="1157">
        <f t="shared" si="5"/>
        <v>0</v>
      </c>
      <c r="W11" s="1157"/>
      <c r="X11" s="1157"/>
      <c r="Y11" s="1158"/>
      <c r="Z11" s="1157"/>
      <c r="AA11" s="1159"/>
      <c r="AB11" s="1180"/>
      <c r="AC11" s="820" t="s">
        <v>54</v>
      </c>
      <c r="AD11" s="835">
        <f t="shared" si="6"/>
        <v>0</v>
      </c>
      <c r="AE11" s="835">
        <f t="shared" si="7"/>
        <v>0</v>
      </c>
      <c r="AF11" s="888">
        <f t="shared" si="8"/>
        <v>0</v>
      </c>
    </row>
    <row r="12" spans="1:32" ht="14.25" customHeight="1">
      <c r="A12" s="371"/>
      <c r="B12" s="1156" t="s">
        <v>438</v>
      </c>
      <c r="C12" s="1156" t="s">
        <v>436</v>
      </c>
      <c r="D12" s="1157"/>
      <c r="E12" s="1157"/>
      <c r="F12" s="1157"/>
      <c r="G12" s="1157"/>
      <c r="H12" s="1157"/>
      <c r="I12" s="1180"/>
      <c r="J12" s="1157"/>
      <c r="K12" s="1157"/>
      <c r="L12" s="1157">
        <f t="shared" si="0"/>
        <v>-211.75590202199234</v>
      </c>
      <c r="M12" s="1157">
        <f t="shared" si="1"/>
        <v>211.75590202199234</v>
      </c>
      <c r="N12" s="1157"/>
      <c r="O12" s="1157"/>
      <c r="P12" s="1157">
        <f t="shared" si="2"/>
        <v>-77594.782815132494</v>
      </c>
      <c r="Q12" s="1157">
        <f t="shared" si="3"/>
        <v>77594.782815132494</v>
      </c>
      <c r="R12" s="1180"/>
      <c r="S12" s="1180"/>
      <c r="T12" s="1180"/>
      <c r="U12" s="1157">
        <f t="shared" si="4"/>
        <v>0</v>
      </c>
      <c r="V12" s="1157">
        <f t="shared" si="5"/>
        <v>0</v>
      </c>
      <c r="W12" s="1157"/>
      <c r="X12" s="1157"/>
      <c r="Y12" s="1158"/>
      <c r="Z12" s="1157"/>
      <c r="AA12" s="1159"/>
      <c r="AB12" s="1180"/>
      <c r="AC12" s="820" t="s">
        <v>54</v>
      </c>
      <c r="AD12" s="835">
        <f t="shared" si="6"/>
        <v>0</v>
      </c>
      <c r="AE12" s="835">
        <f t="shared" si="7"/>
        <v>0</v>
      </c>
      <c r="AF12" s="888">
        <f t="shared" si="8"/>
        <v>0</v>
      </c>
    </row>
    <row r="13" spans="1:32" ht="14.25" customHeight="1">
      <c r="A13" s="371"/>
      <c r="B13" s="1156" t="s">
        <v>438</v>
      </c>
      <c r="C13" s="1156" t="s">
        <v>615</v>
      </c>
      <c r="D13" s="1157"/>
      <c r="E13" s="1157"/>
      <c r="F13" s="1157"/>
      <c r="G13" s="1157"/>
      <c r="H13" s="1157"/>
      <c r="I13" s="1180"/>
      <c r="J13" s="1157"/>
      <c r="K13" s="1157"/>
      <c r="L13" s="1157">
        <f t="shared" si="0"/>
        <v>-654.90340371131731</v>
      </c>
      <c r="M13" s="1157">
        <f t="shared" si="1"/>
        <v>654.90340371131731</v>
      </c>
      <c r="N13" s="1157"/>
      <c r="O13" s="1157"/>
      <c r="P13" s="1157">
        <f t="shared" si="2"/>
        <v>-177299.79522308661</v>
      </c>
      <c r="Q13" s="1157">
        <f t="shared" si="3"/>
        <v>177299.79522308661</v>
      </c>
      <c r="R13" s="1180"/>
      <c r="S13" s="1180"/>
      <c r="T13" s="1180"/>
      <c r="U13" s="1157">
        <f t="shared" si="4"/>
        <v>0</v>
      </c>
      <c r="V13" s="1157">
        <f t="shared" si="5"/>
        <v>0</v>
      </c>
      <c r="W13" s="1157"/>
      <c r="X13" s="1157"/>
      <c r="Y13" s="1158"/>
      <c r="Z13" s="1157"/>
      <c r="AA13" s="1159"/>
      <c r="AB13" s="1180"/>
      <c r="AC13" s="820" t="s">
        <v>954</v>
      </c>
      <c r="AD13" s="835">
        <f t="shared" si="6"/>
        <v>0</v>
      </c>
      <c r="AE13" s="835">
        <f t="shared" si="7"/>
        <v>0</v>
      </c>
      <c r="AF13" s="888">
        <f t="shared" si="8"/>
        <v>0</v>
      </c>
    </row>
    <row r="14" spans="1:32" s="214" customFormat="1" ht="14.25" customHeight="1">
      <c r="A14" s="371"/>
      <c r="B14" s="1156" t="s">
        <v>438</v>
      </c>
      <c r="C14" s="1156" t="s">
        <v>1162</v>
      </c>
      <c r="D14" s="1157"/>
      <c r="E14" s="1157"/>
      <c r="F14" s="1157"/>
      <c r="G14" s="1157"/>
      <c r="H14" s="1157"/>
      <c r="I14" s="1180"/>
      <c r="J14" s="1157"/>
      <c r="K14" s="1157"/>
      <c r="L14" s="1157">
        <f t="shared" si="0"/>
        <v>-68.500424594108253</v>
      </c>
      <c r="M14" s="1157">
        <f t="shared" si="1"/>
        <v>68.500424594108253</v>
      </c>
      <c r="N14" s="1157"/>
      <c r="O14" s="1157"/>
      <c r="P14" s="1157">
        <f t="shared" si="2"/>
        <v>0</v>
      </c>
      <c r="Q14" s="1157">
        <f t="shared" si="3"/>
        <v>0</v>
      </c>
      <c r="R14" s="1180"/>
      <c r="S14" s="1180"/>
      <c r="T14" s="1180"/>
      <c r="U14" s="1157">
        <f t="shared" si="4"/>
        <v>-17720</v>
      </c>
      <c r="V14" s="1157">
        <f t="shared" si="5"/>
        <v>17720</v>
      </c>
      <c r="W14" s="1157"/>
      <c r="X14" s="1157"/>
      <c r="Y14" s="1158"/>
      <c r="Z14" s="1157"/>
      <c r="AA14" s="1159"/>
      <c r="AB14" s="1180"/>
      <c r="AC14" s="820" t="s">
        <v>54</v>
      </c>
      <c r="AD14" s="835">
        <f t="shared" si="6"/>
        <v>0</v>
      </c>
      <c r="AE14" s="835">
        <f t="shared" si="7"/>
        <v>0</v>
      </c>
      <c r="AF14" s="888">
        <f t="shared" si="8"/>
        <v>0</v>
      </c>
    </row>
    <row r="15" spans="1:32" s="214" customFormat="1" ht="14.25" customHeight="1">
      <c r="A15" s="371"/>
      <c r="B15" s="1156" t="s">
        <v>428</v>
      </c>
      <c r="C15" s="1156" t="s">
        <v>702</v>
      </c>
      <c r="D15" s="1157"/>
      <c r="E15" s="1157"/>
      <c r="F15" s="1157"/>
      <c r="G15" s="1157"/>
      <c r="H15" s="1157"/>
      <c r="I15" s="1180"/>
      <c r="J15" s="1157"/>
      <c r="K15" s="1157"/>
      <c r="L15" s="1157">
        <f t="shared" si="0"/>
        <v>-2083.8038827362025</v>
      </c>
      <c r="M15" s="1157">
        <f t="shared" si="1"/>
        <v>2083.8038827362025</v>
      </c>
      <c r="N15" s="1157"/>
      <c r="O15" s="1157"/>
      <c r="P15" s="1157">
        <f t="shared" si="2"/>
        <v>-750065.55079219979</v>
      </c>
      <c r="Q15" s="1157">
        <f t="shared" si="3"/>
        <v>750065.55079219979</v>
      </c>
      <c r="R15" s="1180"/>
      <c r="S15" s="1180"/>
      <c r="T15" s="1180"/>
      <c r="U15" s="1157">
        <f t="shared" si="4"/>
        <v>0</v>
      </c>
      <c r="V15" s="1157">
        <f t="shared" si="5"/>
        <v>0</v>
      </c>
      <c r="W15" s="1157"/>
      <c r="X15" s="1157"/>
      <c r="Y15" s="1158"/>
      <c r="Z15" s="1157"/>
      <c r="AA15" s="1159"/>
      <c r="AB15" s="1180"/>
      <c r="AC15" s="820" t="s">
        <v>851</v>
      </c>
      <c r="AD15" s="835">
        <f t="shared" si="6"/>
        <v>0</v>
      </c>
      <c r="AE15" s="835">
        <f t="shared" si="7"/>
        <v>0</v>
      </c>
      <c r="AF15" s="888">
        <f t="shared" si="8"/>
        <v>0</v>
      </c>
    </row>
    <row r="16" spans="1:32" s="214" customFormat="1" ht="14.25" customHeight="1">
      <c r="A16" s="371"/>
      <c r="B16" s="1156" t="s">
        <v>428</v>
      </c>
      <c r="C16" s="1156" t="s">
        <v>854</v>
      </c>
      <c r="D16" s="1157"/>
      <c r="E16" s="1157"/>
      <c r="F16" s="1157"/>
      <c r="G16" s="1157"/>
      <c r="H16" s="1157"/>
      <c r="I16" s="1180"/>
      <c r="J16" s="1157"/>
      <c r="K16" s="1157"/>
      <c r="L16" s="1157">
        <f t="shared" si="0"/>
        <v>-20043.950083909433</v>
      </c>
      <c r="M16" s="1157">
        <f t="shared" si="1"/>
        <v>20043.950083909433</v>
      </c>
      <c r="N16" s="1157"/>
      <c r="O16" s="1157"/>
      <c r="P16" s="1157">
        <f t="shared" si="2"/>
        <v>-7981329.0622237986</v>
      </c>
      <c r="Q16" s="1157">
        <f t="shared" si="3"/>
        <v>7981329.0622237986</v>
      </c>
      <c r="R16" s="1180"/>
      <c r="S16" s="1180"/>
      <c r="T16" s="1180"/>
      <c r="U16" s="1157">
        <f t="shared" si="4"/>
        <v>0</v>
      </c>
      <c r="V16" s="1157">
        <f t="shared" si="5"/>
        <v>0</v>
      </c>
      <c r="W16" s="1157"/>
      <c r="X16" s="1157"/>
      <c r="Y16" s="1158"/>
      <c r="Z16" s="1157"/>
      <c r="AA16" s="1159"/>
      <c r="AB16" s="1180"/>
      <c r="AC16" s="820" t="s">
        <v>851</v>
      </c>
      <c r="AD16" s="835">
        <f t="shared" si="6"/>
        <v>0</v>
      </c>
      <c r="AE16" s="835">
        <f t="shared" si="7"/>
        <v>0</v>
      </c>
      <c r="AF16" s="888">
        <f t="shared" si="8"/>
        <v>0</v>
      </c>
    </row>
    <row r="17" spans="1:32" s="213" customFormat="1" ht="14.25" customHeight="1">
      <c r="A17" s="371"/>
      <c r="B17" s="1156" t="s">
        <v>428</v>
      </c>
      <c r="C17" s="1156" t="s">
        <v>975</v>
      </c>
      <c r="D17" s="1157"/>
      <c r="E17" s="1157"/>
      <c r="F17" s="1157"/>
      <c r="G17" s="1157"/>
      <c r="H17" s="1157"/>
      <c r="I17" s="1180"/>
      <c r="J17" s="1157"/>
      <c r="K17" s="1157"/>
      <c r="L17" s="1157">
        <f t="shared" si="0"/>
        <v>-794.50184919681158</v>
      </c>
      <c r="M17" s="1157">
        <f t="shared" si="1"/>
        <v>794.50184919681158</v>
      </c>
      <c r="N17" s="1157"/>
      <c r="O17" s="1157"/>
      <c r="P17" s="1157">
        <f t="shared" si="2"/>
        <v>-240218.62182613084</v>
      </c>
      <c r="Q17" s="1157">
        <f t="shared" si="3"/>
        <v>240218.62182613084</v>
      </c>
      <c r="R17" s="1180"/>
      <c r="S17" s="1180"/>
      <c r="T17" s="1180"/>
      <c r="U17" s="1157">
        <f t="shared" si="4"/>
        <v>0</v>
      </c>
      <c r="V17" s="1157">
        <f t="shared" si="5"/>
        <v>0</v>
      </c>
      <c r="W17" s="1157"/>
      <c r="X17" s="1157"/>
      <c r="Y17" s="1158"/>
      <c r="Z17" s="1157"/>
      <c r="AA17" s="1159"/>
      <c r="AB17" s="1180"/>
      <c r="AC17" s="820" t="s">
        <v>958</v>
      </c>
      <c r="AD17" s="835">
        <f t="shared" si="6"/>
        <v>0</v>
      </c>
      <c r="AE17" s="835">
        <f t="shared" si="7"/>
        <v>0</v>
      </c>
      <c r="AF17" s="888">
        <f t="shared" si="8"/>
        <v>0</v>
      </c>
    </row>
    <row r="18" spans="1:32" s="213" customFormat="1" ht="14.25" customHeight="1">
      <c r="A18" s="1156" t="s">
        <v>296</v>
      </c>
      <c r="B18" s="1156" t="s">
        <v>429</v>
      </c>
      <c r="C18" s="1156" t="s">
        <v>129</v>
      </c>
      <c r="D18" s="1157"/>
      <c r="E18" s="1157"/>
      <c r="F18" s="1157"/>
      <c r="G18" s="1157"/>
      <c r="H18" s="1157"/>
      <c r="I18" s="1180"/>
      <c r="J18" s="1157"/>
      <c r="K18" s="1157"/>
      <c r="L18" s="1157">
        <f t="shared" si="0"/>
        <v>-845.30686005905432</v>
      </c>
      <c r="M18" s="1157">
        <f t="shared" si="1"/>
        <v>845.30686005905432</v>
      </c>
      <c r="N18" s="1157"/>
      <c r="O18" s="1157"/>
      <c r="P18" s="1157">
        <f t="shared" si="2"/>
        <v>-251067.59684283074</v>
      </c>
      <c r="Q18" s="1157">
        <f t="shared" si="3"/>
        <v>251067.59684283074</v>
      </c>
      <c r="R18" s="1180"/>
      <c r="S18" s="1180"/>
      <c r="T18" s="1180"/>
      <c r="U18" s="1157">
        <f t="shared" si="4"/>
        <v>0</v>
      </c>
      <c r="V18" s="1157">
        <f t="shared" si="5"/>
        <v>0</v>
      </c>
      <c r="W18" s="1157"/>
      <c r="X18" s="1157"/>
      <c r="Y18" s="1158"/>
      <c r="Z18" s="1157"/>
      <c r="AA18" s="1159"/>
      <c r="AB18" s="1180"/>
      <c r="AC18" s="820" t="s">
        <v>46</v>
      </c>
      <c r="AD18" s="835">
        <f t="shared" si="6"/>
        <v>0</v>
      </c>
      <c r="AE18" s="835">
        <f t="shared" si="7"/>
        <v>0</v>
      </c>
      <c r="AF18" s="888">
        <f t="shared" si="8"/>
        <v>0</v>
      </c>
    </row>
    <row r="19" spans="1:32" s="213" customFormat="1" ht="14.25" customHeight="1">
      <c r="A19" s="371"/>
      <c r="B19" s="1156" t="s">
        <v>438</v>
      </c>
      <c r="C19" s="1156" t="s">
        <v>129</v>
      </c>
      <c r="D19" s="1157"/>
      <c r="E19" s="1157"/>
      <c r="F19" s="1157"/>
      <c r="G19" s="1157"/>
      <c r="H19" s="1157"/>
      <c r="I19" s="1180"/>
      <c r="J19" s="1157"/>
      <c r="K19" s="1157"/>
      <c r="L19" s="1157">
        <f t="shared" si="0"/>
        <v>0</v>
      </c>
      <c r="M19" s="1157">
        <f t="shared" si="1"/>
        <v>0</v>
      </c>
      <c r="N19" s="1157"/>
      <c r="O19" s="1157"/>
      <c r="P19" s="1157">
        <f t="shared" si="2"/>
        <v>0</v>
      </c>
      <c r="Q19" s="1157">
        <f t="shared" si="3"/>
        <v>0</v>
      </c>
      <c r="R19" s="1180"/>
      <c r="S19" s="1180"/>
      <c r="T19" s="1180"/>
      <c r="U19" s="1157">
        <f t="shared" si="4"/>
        <v>0</v>
      </c>
      <c r="V19" s="1157">
        <f t="shared" si="5"/>
        <v>0</v>
      </c>
      <c r="W19" s="1157"/>
      <c r="X19" s="1157"/>
      <c r="Y19" s="1158"/>
      <c r="Z19" s="1157"/>
      <c r="AA19" s="1159"/>
      <c r="AB19" s="1180"/>
      <c r="AC19" s="820" t="s">
        <v>1199</v>
      </c>
      <c r="AD19" s="835">
        <f t="shared" si="6"/>
        <v>0</v>
      </c>
      <c r="AE19" s="835">
        <f t="shared" si="7"/>
        <v>0</v>
      </c>
      <c r="AF19" s="888">
        <f t="shared" si="8"/>
        <v>0</v>
      </c>
    </row>
    <row r="20" spans="1:32" s="213" customFormat="1" ht="14.25" customHeight="1">
      <c r="A20" s="372"/>
      <c r="B20" s="1160" t="s">
        <v>428</v>
      </c>
      <c r="C20" s="1160" t="s">
        <v>976</v>
      </c>
      <c r="D20" s="1161"/>
      <c r="E20" s="1161"/>
      <c r="F20" s="1161"/>
      <c r="G20" s="1161"/>
      <c r="H20" s="1161"/>
      <c r="I20" s="1165"/>
      <c r="J20" s="1161"/>
      <c r="K20" s="1161"/>
      <c r="L20" s="1157">
        <f t="shared" si="0"/>
        <v>-0.99982404568939076</v>
      </c>
      <c r="M20" s="1157">
        <f t="shared" si="1"/>
        <v>0.99982404568939076</v>
      </c>
      <c r="N20" s="1161"/>
      <c r="O20" s="1161"/>
      <c r="P20" s="1157">
        <f t="shared" si="2"/>
        <v>-1081.1623616236161</v>
      </c>
      <c r="Q20" s="1157">
        <f t="shared" si="3"/>
        <v>1081.1623616236161</v>
      </c>
      <c r="R20" s="1165"/>
      <c r="S20" s="1165"/>
      <c r="T20" s="1165"/>
      <c r="U20" s="1157">
        <f t="shared" si="4"/>
        <v>0</v>
      </c>
      <c r="V20" s="1157">
        <f t="shared" si="5"/>
        <v>0</v>
      </c>
      <c r="W20" s="1161"/>
      <c r="X20" s="1161"/>
      <c r="Y20" s="1162"/>
      <c r="Z20" s="1161"/>
      <c r="AA20" s="1163"/>
      <c r="AB20" s="1165"/>
      <c r="AC20" s="820" t="s">
        <v>949</v>
      </c>
      <c r="AD20" s="835">
        <f t="shared" si="6"/>
        <v>0</v>
      </c>
      <c r="AE20" s="835">
        <f t="shared" si="7"/>
        <v>0</v>
      </c>
      <c r="AF20" s="888">
        <f t="shared" si="8"/>
        <v>0</v>
      </c>
    </row>
    <row r="21" spans="1:32" s="213" customFormat="1" ht="14.25" customHeight="1">
      <c r="A21" s="150"/>
      <c r="B21" s="147"/>
      <c r="C21" s="147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AD21" s="835"/>
    </row>
    <row r="22" spans="1:32" s="213" customFormat="1" ht="14.25" customHeight="1">
      <c r="A22" s="216" t="s">
        <v>256</v>
      </c>
      <c r="B22" s="185"/>
      <c r="C22" s="185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AD22" s="835"/>
    </row>
    <row r="23" spans="1:32">
      <c r="A23" s="187" t="s">
        <v>295</v>
      </c>
      <c r="B23" s="187" t="s">
        <v>429</v>
      </c>
      <c r="C23" s="571" t="s">
        <v>42</v>
      </c>
      <c r="D23" s="194">
        <f t="shared" ref="D23:S25" si="9">SUMIF($AC$2:$AC$20,$C23,D$2:D$20)</f>
        <v>0</v>
      </c>
      <c r="E23" s="194">
        <f t="shared" si="9"/>
        <v>0</v>
      </c>
      <c r="F23" s="194">
        <f t="shared" si="9"/>
        <v>0</v>
      </c>
      <c r="G23" s="194">
        <f t="shared" si="9"/>
        <v>0</v>
      </c>
      <c r="H23" s="194">
        <f t="shared" si="9"/>
        <v>0</v>
      </c>
      <c r="I23" s="194">
        <f t="shared" si="9"/>
        <v>0</v>
      </c>
      <c r="J23" s="194">
        <f t="shared" si="9"/>
        <v>0</v>
      </c>
      <c r="K23" s="194">
        <f t="shared" si="9"/>
        <v>0</v>
      </c>
      <c r="L23" s="194">
        <f>SUMIF($AC$2:$AC$20,$C23,L$2:L$20)</f>
        <v>-1213440.9675094867</v>
      </c>
      <c r="M23" s="194">
        <f t="shared" si="9"/>
        <v>1213440.9675094867</v>
      </c>
      <c r="N23" s="194">
        <f t="shared" si="9"/>
        <v>0</v>
      </c>
      <c r="O23" s="194">
        <f t="shared" si="9"/>
        <v>0</v>
      </c>
      <c r="P23" s="194">
        <f t="shared" si="9"/>
        <v>-413226388.98139817</v>
      </c>
      <c r="Q23" s="194">
        <f t="shared" si="9"/>
        <v>413226388.98139817</v>
      </c>
      <c r="R23" s="194">
        <f t="shared" si="9"/>
        <v>0</v>
      </c>
      <c r="S23" s="194">
        <f t="shared" si="9"/>
        <v>0</v>
      </c>
      <c r="T23" s="194">
        <f t="shared" ref="T23:AB25" si="10">SUMIF($AC$2:$AC$20,$C23,T$2:T$20)</f>
        <v>0</v>
      </c>
      <c r="U23" s="194">
        <f t="shared" si="10"/>
        <v>-109636.63794804341</v>
      </c>
      <c r="V23" s="194">
        <f t="shared" si="10"/>
        <v>109636.63794804341</v>
      </c>
      <c r="W23" s="194">
        <f t="shared" si="10"/>
        <v>0</v>
      </c>
      <c r="X23" s="194">
        <f t="shared" si="10"/>
        <v>0</v>
      </c>
      <c r="Y23" s="194">
        <f t="shared" si="10"/>
        <v>0</v>
      </c>
      <c r="Z23" s="194">
        <f t="shared" si="10"/>
        <v>0</v>
      </c>
      <c r="AA23" s="194">
        <f t="shared" si="10"/>
        <v>0</v>
      </c>
      <c r="AB23" s="194">
        <f t="shared" si="10"/>
        <v>0</v>
      </c>
      <c r="AD23" s="835">
        <f t="shared" si="6"/>
        <v>0</v>
      </c>
    </row>
    <row r="24" spans="1:32" ht="15.75">
      <c r="A24" s="217"/>
      <c r="B24" s="187" t="s">
        <v>438</v>
      </c>
      <c r="C24" s="571" t="s">
        <v>54</v>
      </c>
      <c r="D24" s="194">
        <f t="shared" si="9"/>
        <v>0</v>
      </c>
      <c r="E24" s="194">
        <f t="shared" si="9"/>
        <v>0</v>
      </c>
      <c r="F24" s="194">
        <f t="shared" si="9"/>
        <v>0</v>
      </c>
      <c r="G24" s="194">
        <f t="shared" si="9"/>
        <v>0</v>
      </c>
      <c r="H24" s="194">
        <f t="shared" si="9"/>
        <v>0</v>
      </c>
      <c r="I24" s="194">
        <f t="shared" si="9"/>
        <v>0</v>
      </c>
      <c r="J24" s="194">
        <f t="shared" si="9"/>
        <v>0</v>
      </c>
      <c r="K24" s="194">
        <f t="shared" si="9"/>
        <v>0</v>
      </c>
      <c r="L24" s="194">
        <f t="shared" si="9"/>
        <v>-151765.95940421327</v>
      </c>
      <c r="M24" s="194">
        <f t="shared" si="9"/>
        <v>151765.95940421327</v>
      </c>
      <c r="N24" s="194">
        <f t="shared" si="9"/>
        <v>0</v>
      </c>
      <c r="O24" s="194">
        <f t="shared" si="9"/>
        <v>0</v>
      </c>
      <c r="P24" s="194">
        <f t="shared" si="9"/>
        <v>-47423979.062808774</v>
      </c>
      <c r="Q24" s="194">
        <f t="shared" si="9"/>
        <v>47423979.062808774</v>
      </c>
      <c r="R24" s="194">
        <f t="shared" si="9"/>
        <v>0</v>
      </c>
      <c r="S24" s="194">
        <f t="shared" si="9"/>
        <v>0</v>
      </c>
      <c r="T24" s="194">
        <f t="shared" si="10"/>
        <v>0</v>
      </c>
      <c r="U24" s="194">
        <f t="shared" si="10"/>
        <v>-17720</v>
      </c>
      <c r="V24" s="194">
        <f t="shared" si="10"/>
        <v>17720</v>
      </c>
      <c r="W24" s="194">
        <f t="shared" si="10"/>
        <v>0</v>
      </c>
      <c r="X24" s="194">
        <f t="shared" si="10"/>
        <v>0</v>
      </c>
      <c r="Y24" s="194">
        <f t="shared" si="10"/>
        <v>0</v>
      </c>
      <c r="Z24" s="194">
        <f t="shared" si="10"/>
        <v>0</v>
      </c>
      <c r="AA24" s="194">
        <f t="shared" si="10"/>
        <v>0</v>
      </c>
      <c r="AB24" s="194">
        <f t="shared" si="10"/>
        <v>0</v>
      </c>
      <c r="AD24" s="835">
        <f t="shared" si="6"/>
        <v>0</v>
      </c>
    </row>
    <row r="25" spans="1:32" ht="15.75">
      <c r="A25" s="217"/>
      <c r="B25" s="571" t="s">
        <v>428</v>
      </c>
      <c r="C25" s="571" t="s">
        <v>851</v>
      </c>
      <c r="D25" s="194">
        <f t="shared" si="9"/>
        <v>0</v>
      </c>
      <c r="E25" s="194">
        <f t="shared" si="9"/>
        <v>0</v>
      </c>
      <c r="F25" s="194">
        <f t="shared" si="9"/>
        <v>0</v>
      </c>
      <c r="G25" s="194">
        <f t="shared" si="9"/>
        <v>0</v>
      </c>
      <c r="H25" s="194">
        <f t="shared" si="9"/>
        <v>0</v>
      </c>
      <c r="I25" s="194">
        <f t="shared" si="9"/>
        <v>0</v>
      </c>
      <c r="J25" s="194">
        <f t="shared" si="9"/>
        <v>0</v>
      </c>
      <c r="K25" s="194">
        <f t="shared" si="9"/>
        <v>0</v>
      </c>
      <c r="L25" s="194">
        <f t="shared" si="9"/>
        <v>-22127.753966645636</v>
      </c>
      <c r="M25" s="194">
        <f t="shared" si="9"/>
        <v>22127.753966645636</v>
      </c>
      <c r="N25" s="194">
        <f t="shared" si="9"/>
        <v>0</v>
      </c>
      <c r="O25" s="194">
        <f t="shared" si="9"/>
        <v>0</v>
      </c>
      <c r="P25" s="194">
        <f t="shared" si="9"/>
        <v>-8731394.6130159982</v>
      </c>
      <c r="Q25" s="194">
        <f t="shared" si="9"/>
        <v>8731394.6130159982</v>
      </c>
      <c r="R25" s="194">
        <f t="shared" si="9"/>
        <v>0</v>
      </c>
      <c r="S25" s="194">
        <f t="shared" si="9"/>
        <v>0</v>
      </c>
      <c r="T25" s="194">
        <f t="shared" si="10"/>
        <v>0</v>
      </c>
      <c r="U25" s="194">
        <f t="shared" si="10"/>
        <v>0</v>
      </c>
      <c r="V25" s="194">
        <f t="shared" si="10"/>
        <v>0</v>
      </c>
      <c r="W25" s="194">
        <f t="shared" si="10"/>
        <v>0</v>
      </c>
      <c r="X25" s="194">
        <f t="shared" si="10"/>
        <v>0</v>
      </c>
      <c r="Y25" s="194">
        <f t="shared" si="10"/>
        <v>0</v>
      </c>
      <c r="Z25" s="194">
        <f t="shared" si="10"/>
        <v>0</v>
      </c>
      <c r="AA25" s="194">
        <f t="shared" si="10"/>
        <v>0</v>
      </c>
      <c r="AB25" s="194">
        <f t="shared" si="10"/>
        <v>0</v>
      </c>
      <c r="AD25" s="835">
        <f t="shared" si="6"/>
        <v>0</v>
      </c>
    </row>
    <row r="26" spans="1:32" ht="15.75">
      <c r="A26" s="217"/>
      <c r="B26" s="187" t="s">
        <v>93</v>
      </c>
      <c r="C26" s="187"/>
      <c r="D26" s="194">
        <f>SUM(D23:D25)</f>
        <v>0</v>
      </c>
      <c r="E26" s="194">
        <f t="shared" ref="E26:H26" si="11">SUM(E23:E25)</f>
        <v>0</v>
      </c>
      <c r="F26" s="194">
        <f t="shared" si="11"/>
        <v>0</v>
      </c>
      <c r="G26" s="194">
        <f t="shared" si="11"/>
        <v>0</v>
      </c>
      <c r="H26" s="194">
        <f t="shared" si="11"/>
        <v>0</v>
      </c>
      <c r="I26" s="194">
        <f>SUM(I23:I25)</f>
        <v>0</v>
      </c>
      <c r="J26" s="194">
        <f t="shared" ref="J26:AB26" si="12">SUM(J23:J25)</f>
        <v>0</v>
      </c>
      <c r="K26" s="194">
        <f t="shared" si="12"/>
        <v>0</v>
      </c>
      <c r="L26" s="194">
        <f t="shared" si="12"/>
        <v>-1387334.6808803456</v>
      </c>
      <c r="M26" s="194">
        <f t="shared" si="12"/>
        <v>1387334.6808803456</v>
      </c>
      <c r="N26" s="194">
        <f t="shared" si="12"/>
        <v>0</v>
      </c>
      <c r="O26" s="194">
        <f t="shared" si="12"/>
        <v>0</v>
      </c>
      <c r="P26" s="194">
        <f t="shared" si="12"/>
        <v>-469381762.65722293</v>
      </c>
      <c r="Q26" s="194">
        <f t="shared" si="12"/>
        <v>469381762.65722293</v>
      </c>
      <c r="R26" s="194">
        <f t="shared" si="12"/>
        <v>0</v>
      </c>
      <c r="S26" s="194">
        <f t="shared" si="12"/>
        <v>0</v>
      </c>
      <c r="T26" s="194">
        <f t="shared" si="12"/>
        <v>0</v>
      </c>
      <c r="U26" s="194">
        <f t="shared" si="12"/>
        <v>-127356.63794804341</v>
      </c>
      <c r="V26" s="194">
        <f t="shared" si="12"/>
        <v>127356.63794804341</v>
      </c>
      <c r="W26" s="194">
        <f t="shared" si="12"/>
        <v>0</v>
      </c>
      <c r="X26" s="194">
        <f t="shared" si="12"/>
        <v>0</v>
      </c>
      <c r="Y26" s="194">
        <f t="shared" si="12"/>
        <v>0</v>
      </c>
      <c r="Z26" s="194">
        <f t="shared" si="12"/>
        <v>0</v>
      </c>
      <c r="AA26" s="194">
        <f t="shared" si="12"/>
        <v>0</v>
      </c>
      <c r="AB26" s="194">
        <f t="shared" si="12"/>
        <v>0</v>
      </c>
      <c r="AD26" s="835">
        <f t="shared" si="6"/>
        <v>0</v>
      </c>
    </row>
    <row r="27" spans="1:32">
      <c r="A27" s="571" t="s">
        <v>977</v>
      </c>
      <c r="B27" s="187" t="s">
        <v>429</v>
      </c>
      <c r="C27" s="571" t="s">
        <v>950</v>
      </c>
      <c r="D27" s="194">
        <f t="shared" ref="D27:S29" si="13">SUMIF($AC$2:$AC$20,$C27,D$2:D$20)</f>
        <v>0</v>
      </c>
      <c r="E27" s="194">
        <f t="shared" si="13"/>
        <v>0</v>
      </c>
      <c r="F27" s="194">
        <f t="shared" si="13"/>
        <v>0</v>
      </c>
      <c r="G27" s="194">
        <f t="shared" si="13"/>
        <v>0</v>
      </c>
      <c r="H27" s="194">
        <f t="shared" si="13"/>
        <v>0</v>
      </c>
      <c r="I27" s="194">
        <f t="shared" si="13"/>
        <v>0</v>
      </c>
      <c r="J27" s="194">
        <f t="shared" si="13"/>
        <v>0</v>
      </c>
      <c r="K27" s="194">
        <f t="shared" si="13"/>
        <v>0</v>
      </c>
      <c r="L27" s="194">
        <f t="shared" si="13"/>
        <v>-14250.933652530801</v>
      </c>
      <c r="M27" s="194">
        <f t="shared" si="13"/>
        <v>14250.933652530801</v>
      </c>
      <c r="N27" s="194">
        <f t="shared" si="13"/>
        <v>0</v>
      </c>
      <c r="O27" s="194">
        <f t="shared" si="13"/>
        <v>0</v>
      </c>
      <c r="P27" s="194">
        <f t="shared" si="13"/>
        <v>-4248728</v>
      </c>
      <c r="Q27" s="194">
        <f t="shared" si="13"/>
        <v>4248728</v>
      </c>
      <c r="R27" s="194">
        <f t="shared" si="13"/>
        <v>0</v>
      </c>
      <c r="S27" s="194">
        <f t="shared" si="13"/>
        <v>0</v>
      </c>
      <c r="T27" s="194">
        <f t="shared" ref="T27:AB29" si="14">SUMIF($AC$2:$AC$20,$C27,T$2:T$20)</f>
        <v>0</v>
      </c>
      <c r="U27" s="194">
        <f t="shared" si="14"/>
        <v>0</v>
      </c>
      <c r="V27" s="194">
        <f t="shared" si="14"/>
        <v>0</v>
      </c>
      <c r="W27" s="194">
        <f t="shared" si="14"/>
        <v>0</v>
      </c>
      <c r="X27" s="194">
        <f t="shared" si="14"/>
        <v>0</v>
      </c>
      <c r="Y27" s="194">
        <f t="shared" si="14"/>
        <v>0</v>
      </c>
      <c r="Z27" s="194">
        <f t="shared" si="14"/>
        <v>0</v>
      </c>
      <c r="AA27" s="194">
        <f t="shared" si="14"/>
        <v>0</v>
      </c>
      <c r="AB27" s="194">
        <f t="shared" si="14"/>
        <v>0</v>
      </c>
      <c r="AD27" s="835">
        <f t="shared" si="6"/>
        <v>0</v>
      </c>
    </row>
    <row r="28" spans="1:32" ht="15.75">
      <c r="A28" s="217"/>
      <c r="B28" s="187" t="s">
        <v>438</v>
      </c>
      <c r="C28" s="571" t="s">
        <v>954</v>
      </c>
      <c r="D28" s="194">
        <f t="shared" si="13"/>
        <v>0</v>
      </c>
      <c r="E28" s="194">
        <f t="shared" si="13"/>
        <v>0</v>
      </c>
      <c r="F28" s="194">
        <f t="shared" si="13"/>
        <v>0</v>
      </c>
      <c r="G28" s="194">
        <f t="shared" si="13"/>
        <v>0</v>
      </c>
      <c r="H28" s="194">
        <f t="shared" si="13"/>
        <v>0</v>
      </c>
      <c r="I28" s="194">
        <f t="shared" si="13"/>
        <v>0</v>
      </c>
      <c r="J28" s="194">
        <f t="shared" si="13"/>
        <v>0</v>
      </c>
      <c r="K28" s="194">
        <f t="shared" si="13"/>
        <v>0</v>
      </c>
      <c r="L28" s="194">
        <f t="shared" si="13"/>
        <v>-654.90340371131731</v>
      </c>
      <c r="M28" s="194">
        <f t="shared" si="13"/>
        <v>654.90340371131731</v>
      </c>
      <c r="N28" s="194">
        <f t="shared" si="13"/>
        <v>0</v>
      </c>
      <c r="O28" s="194">
        <f t="shared" si="13"/>
        <v>0</v>
      </c>
      <c r="P28" s="194">
        <f t="shared" si="13"/>
        <v>-177299.79522308661</v>
      </c>
      <c r="Q28" s="194">
        <f t="shared" si="13"/>
        <v>177299.79522308661</v>
      </c>
      <c r="R28" s="194">
        <f t="shared" si="13"/>
        <v>0</v>
      </c>
      <c r="S28" s="194">
        <f t="shared" si="13"/>
        <v>0</v>
      </c>
      <c r="T28" s="194">
        <f t="shared" si="14"/>
        <v>0</v>
      </c>
      <c r="U28" s="194">
        <f t="shared" si="14"/>
        <v>0</v>
      </c>
      <c r="V28" s="194">
        <f t="shared" si="14"/>
        <v>0</v>
      </c>
      <c r="W28" s="194">
        <f t="shared" si="14"/>
        <v>0</v>
      </c>
      <c r="X28" s="194">
        <f t="shared" si="14"/>
        <v>0</v>
      </c>
      <c r="Y28" s="194">
        <f t="shared" si="14"/>
        <v>0</v>
      </c>
      <c r="Z28" s="194">
        <f t="shared" si="14"/>
        <v>0</v>
      </c>
      <c r="AA28" s="194">
        <f t="shared" si="14"/>
        <v>0</v>
      </c>
      <c r="AB28" s="194">
        <f t="shared" si="14"/>
        <v>0</v>
      </c>
      <c r="AD28" s="835">
        <f t="shared" si="6"/>
        <v>0</v>
      </c>
    </row>
    <row r="29" spans="1:32" ht="15.75">
      <c r="A29" s="217"/>
      <c r="B29" s="571" t="s">
        <v>428</v>
      </c>
      <c r="C29" s="571" t="s">
        <v>958</v>
      </c>
      <c r="D29" s="194">
        <f t="shared" si="13"/>
        <v>0</v>
      </c>
      <c r="E29" s="194">
        <f t="shared" si="13"/>
        <v>0</v>
      </c>
      <c r="F29" s="194">
        <f t="shared" si="13"/>
        <v>0</v>
      </c>
      <c r="G29" s="194">
        <f t="shared" si="13"/>
        <v>0</v>
      </c>
      <c r="H29" s="194">
        <f t="shared" si="13"/>
        <v>0</v>
      </c>
      <c r="I29" s="194">
        <f t="shared" si="13"/>
        <v>0</v>
      </c>
      <c r="J29" s="194">
        <f t="shared" si="13"/>
        <v>0</v>
      </c>
      <c r="K29" s="194">
        <f t="shared" si="13"/>
        <v>0</v>
      </c>
      <c r="L29" s="194">
        <f t="shared" si="13"/>
        <v>-794.50184919681158</v>
      </c>
      <c r="M29" s="194">
        <f t="shared" si="13"/>
        <v>794.50184919681158</v>
      </c>
      <c r="N29" s="194">
        <f t="shared" si="13"/>
        <v>0</v>
      </c>
      <c r="O29" s="194">
        <f t="shared" si="13"/>
        <v>0</v>
      </c>
      <c r="P29" s="194">
        <f t="shared" si="13"/>
        <v>-240218.62182613084</v>
      </c>
      <c r="Q29" s="194">
        <f t="shared" si="13"/>
        <v>240218.62182613084</v>
      </c>
      <c r="R29" s="194">
        <f t="shared" si="13"/>
        <v>0</v>
      </c>
      <c r="S29" s="194">
        <f t="shared" si="13"/>
        <v>0</v>
      </c>
      <c r="T29" s="194">
        <f t="shared" si="14"/>
        <v>0</v>
      </c>
      <c r="U29" s="194">
        <f t="shared" si="14"/>
        <v>0</v>
      </c>
      <c r="V29" s="194">
        <f t="shared" si="14"/>
        <v>0</v>
      </c>
      <c r="W29" s="194">
        <f t="shared" si="14"/>
        <v>0</v>
      </c>
      <c r="X29" s="194">
        <f t="shared" si="14"/>
        <v>0</v>
      </c>
      <c r="Y29" s="194">
        <f t="shared" si="14"/>
        <v>0</v>
      </c>
      <c r="Z29" s="194">
        <f t="shared" si="14"/>
        <v>0</v>
      </c>
      <c r="AA29" s="194">
        <f t="shared" si="14"/>
        <v>0</v>
      </c>
      <c r="AB29" s="194">
        <f t="shared" si="14"/>
        <v>0</v>
      </c>
      <c r="AD29" s="835">
        <f t="shared" si="6"/>
        <v>0</v>
      </c>
    </row>
    <row r="30" spans="1:32" ht="15.75">
      <c r="A30" s="217"/>
      <c r="B30" s="187" t="s">
        <v>93</v>
      </c>
      <c r="C30" s="187"/>
      <c r="D30" s="194">
        <f>SUM(D27:D29)</f>
        <v>0</v>
      </c>
      <c r="E30" s="194">
        <f t="shared" ref="E30:H30" si="15">SUM(E27:E29)</f>
        <v>0</v>
      </c>
      <c r="F30" s="194">
        <f t="shared" si="15"/>
        <v>0</v>
      </c>
      <c r="G30" s="194">
        <f t="shared" si="15"/>
        <v>0</v>
      </c>
      <c r="H30" s="194">
        <f t="shared" si="15"/>
        <v>0</v>
      </c>
      <c r="I30" s="194">
        <f>SUM(I27:I29)</f>
        <v>0</v>
      </c>
      <c r="J30" s="194">
        <f t="shared" ref="J30:AB30" si="16">SUM(J27:J29)</f>
        <v>0</v>
      </c>
      <c r="K30" s="194">
        <f t="shared" si="16"/>
        <v>0</v>
      </c>
      <c r="L30" s="194">
        <f t="shared" si="16"/>
        <v>-15700.33890543893</v>
      </c>
      <c r="M30" s="194">
        <f t="shared" si="16"/>
        <v>15700.33890543893</v>
      </c>
      <c r="N30" s="194">
        <f t="shared" si="16"/>
        <v>0</v>
      </c>
      <c r="O30" s="194">
        <f t="shared" si="16"/>
        <v>0</v>
      </c>
      <c r="P30" s="194">
        <f t="shared" si="16"/>
        <v>-4666246.417049218</v>
      </c>
      <c r="Q30" s="194">
        <f t="shared" si="16"/>
        <v>4666246.417049218</v>
      </c>
      <c r="R30" s="194">
        <f t="shared" si="16"/>
        <v>0</v>
      </c>
      <c r="S30" s="194">
        <f t="shared" si="16"/>
        <v>0</v>
      </c>
      <c r="T30" s="194">
        <f t="shared" si="16"/>
        <v>0</v>
      </c>
      <c r="U30" s="194">
        <f t="shared" si="16"/>
        <v>0</v>
      </c>
      <c r="V30" s="194">
        <f t="shared" si="16"/>
        <v>0</v>
      </c>
      <c r="W30" s="194">
        <f t="shared" si="16"/>
        <v>0</v>
      </c>
      <c r="X30" s="194">
        <f t="shared" si="16"/>
        <v>0</v>
      </c>
      <c r="Y30" s="194">
        <f t="shared" si="16"/>
        <v>0</v>
      </c>
      <c r="Z30" s="194">
        <f t="shared" si="16"/>
        <v>0</v>
      </c>
      <c r="AA30" s="194">
        <f t="shared" si="16"/>
        <v>0</v>
      </c>
      <c r="AB30" s="194">
        <f t="shared" si="16"/>
        <v>0</v>
      </c>
      <c r="AD30" s="835">
        <f t="shared" si="6"/>
        <v>0</v>
      </c>
    </row>
    <row r="31" spans="1:32">
      <c r="A31" s="571" t="s">
        <v>1228</v>
      </c>
      <c r="B31" s="187" t="s">
        <v>429</v>
      </c>
      <c r="C31" s="571" t="s">
        <v>1209</v>
      </c>
      <c r="D31" s="194">
        <f t="shared" ref="D31:S33" si="17">SUMIF($AC$2:$AC$20,$C31,D$2:D$20)</f>
        <v>0</v>
      </c>
      <c r="E31" s="194">
        <f t="shared" si="17"/>
        <v>0</v>
      </c>
      <c r="F31" s="194">
        <f t="shared" si="17"/>
        <v>0</v>
      </c>
      <c r="G31" s="194">
        <f t="shared" si="17"/>
        <v>0</v>
      </c>
      <c r="H31" s="194">
        <f t="shared" si="17"/>
        <v>0</v>
      </c>
      <c r="I31" s="194">
        <f t="shared" si="17"/>
        <v>0</v>
      </c>
      <c r="J31" s="194">
        <f t="shared" si="17"/>
        <v>0</v>
      </c>
      <c r="K31" s="194">
        <f t="shared" si="17"/>
        <v>0</v>
      </c>
      <c r="L31" s="194">
        <f t="shared" si="17"/>
        <v>-1556.795478541565</v>
      </c>
      <c r="M31" s="194">
        <f t="shared" si="17"/>
        <v>1556.795478541565</v>
      </c>
      <c r="N31" s="194">
        <f t="shared" si="17"/>
        <v>0</v>
      </c>
      <c r="O31" s="194">
        <f t="shared" si="17"/>
        <v>0</v>
      </c>
      <c r="P31" s="194">
        <f t="shared" si="17"/>
        <v>-326142.46777789586</v>
      </c>
      <c r="Q31" s="194">
        <f t="shared" si="17"/>
        <v>326142.46777789586</v>
      </c>
      <c r="R31" s="194">
        <f t="shared" si="17"/>
        <v>0</v>
      </c>
      <c r="S31" s="194">
        <f t="shared" si="17"/>
        <v>0</v>
      </c>
      <c r="T31" s="194">
        <f t="shared" ref="T31:AB33" si="18">SUMIF($AC$2:$AC$20,$C31,T$2:T$20)</f>
        <v>0</v>
      </c>
      <c r="U31" s="194">
        <f t="shared" si="18"/>
        <v>0</v>
      </c>
      <c r="V31" s="194">
        <f t="shared" si="18"/>
        <v>0</v>
      </c>
      <c r="W31" s="194">
        <f t="shared" si="18"/>
        <v>0</v>
      </c>
      <c r="X31" s="194">
        <f t="shared" si="18"/>
        <v>0</v>
      </c>
      <c r="Y31" s="194">
        <f t="shared" si="18"/>
        <v>0</v>
      </c>
      <c r="Z31" s="194">
        <f t="shared" si="18"/>
        <v>0</v>
      </c>
      <c r="AA31" s="194">
        <f t="shared" si="18"/>
        <v>0</v>
      </c>
      <c r="AB31" s="194">
        <f t="shared" si="18"/>
        <v>0</v>
      </c>
      <c r="AD31" s="835">
        <f t="shared" si="6"/>
        <v>0</v>
      </c>
    </row>
    <row r="32" spans="1:32" ht="15.75">
      <c r="A32" s="217"/>
      <c r="B32" s="187" t="s">
        <v>438</v>
      </c>
      <c r="C32" s="571" t="s">
        <v>1230</v>
      </c>
      <c r="D32" s="194">
        <f t="shared" si="17"/>
        <v>0</v>
      </c>
      <c r="E32" s="194">
        <f t="shared" si="17"/>
        <v>0</v>
      </c>
      <c r="F32" s="194">
        <f t="shared" si="17"/>
        <v>0</v>
      </c>
      <c r="G32" s="194">
        <f t="shared" si="17"/>
        <v>0</v>
      </c>
      <c r="H32" s="194">
        <f t="shared" si="17"/>
        <v>0</v>
      </c>
      <c r="I32" s="194">
        <f t="shared" si="17"/>
        <v>0</v>
      </c>
      <c r="J32" s="194">
        <f t="shared" si="17"/>
        <v>0</v>
      </c>
      <c r="K32" s="194">
        <f t="shared" si="17"/>
        <v>0</v>
      </c>
      <c r="L32" s="194">
        <f t="shared" si="17"/>
        <v>0</v>
      </c>
      <c r="M32" s="194">
        <f t="shared" si="17"/>
        <v>0</v>
      </c>
      <c r="N32" s="194">
        <f t="shared" si="17"/>
        <v>0</v>
      </c>
      <c r="O32" s="194">
        <f t="shared" si="17"/>
        <v>0</v>
      </c>
      <c r="P32" s="194">
        <f t="shared" si="17"/>
        <v>0</v>
      </c>
      <c r="Q32" s="194">
        <f t="shared" si="17"/>
        <v>0</v>
      </c>
      <c r="R32" s="194">
        <f t="shared" si="17"/>
        <v>0</v>
      </c>
      <c r="S32" s="194">
        <f t="shared" si="17"/>
        <v>0</v>
      </c>
      <c r="T32" s="194">
        <f t="shared" si="18"/>
        <v>0</v>
      </c>
      <c r="U32" s="194">
        <f t="shared" si="18"/>
        <v>0</v>
      </c>
      <c r="V32" s="194">
        <f t="shared" si="18"/>
        <v>0</v>
      </c>
      <c r="W32" s="194">
        <f t="shared" si="18"/>
        <v>0</v>
      </c>
      <c r="X32" s="194">
        <f t="shared" si="18"/>
        <v>0</v>
      </c>
      <c r="Y32" s="194">
        <f t="shared" si="18"/>
        <v>0</v>
      </c>
      <c r="Z32" s="194">
        <f t="shared" si="18"/>
        <v>0</v>
      </c>
      <c r="AA32" s="194">
        <f t="shared" si="18"/>
        <v>0</v>
      </c>
      <c r="AB32" s="194">
        <f t="shared" si="18"/>
        <v>0</v>
      </c>
      <c r="AD32" s="835">
        <f t="shared" si="6"/>
        <v>0</v>
      </c>
    </row>
    <row r="33" spans="1:41" ht="15.75">
      <c r="A33" s="217"/>
      <c r="B33" s="571" t="s">
        <v>428</v>
      </c>
      <c r="C33" s="571" t="s">
        <v>1231</v>
      </c>
      <c r="D33" s="194">
        <f t="shared" si="17"/>
        <v>0</v>
      </c>
      <c r="E33" s="194">
        <f t="shared" si="17"/>
        <v>0</v>
      </c>
      <c r="F33" s="194">
        <f t="shared" si="17"/>
        <v>0</v>
      </c>
      <c r="G33" s="194">
        <f t="shared" si="17"/>
        <v>0</v>
      </c>
      <c r="H33" s="194">
        <f t="shared" si="17"/>
        <v>0</v>
      </c>
      <c r="I33" s="194">
        <f t="shared" si="17"/>
        <v>0</v>
      </c>
      <c r="J33" s="194">
        <f t="shared" si="17"/>
        <v>0</v>
      </c>
      <c r="K33" s="194">
        <f t="shared" si="17"/>
        <v>0</v>
      </c>
      <c r="L33" s="194">
        <f t="shared" si="17"/>
        <v>0</v>
      </c>
      <c r="M33" s="194">
        <f t="shared" si="17"/>
        <v>0</v>
      </c>
      <c r="N33" s="194">
        <f t="shared" si="17"/>
        <v>0</v>
      </c>
      <c r="O33" s="194">
        <f t="shared" si="17"/>
        <v>0</v>
      </c>
      <c r="P33" s="194">
        <f t="shared" si="17"/>
        <v>0</v>
      </c>
      <c r="Q33" s="194">
        <f t="shared" si="17"/>
        <v>0</v>
      </c>
      <c r="R33" s="194">
        <f t="shared" si="17"/>
        <v>0</v>
      </c>
      <c r="S33" s="194">
        <f t="shared" si="17"/>
        <v>0</v>
      </c>
      <c r="T33" s="194">
        <f t="shared" si="18"/>
        <v>0</v>
      </c>
      <c r="U33" s="194">
        <f t="shared" si="18"/>
        <v>0</v>
      </c>
      <c r="V33" s="194">
        <f t="shared" si="18"/>
        <v>0</v>
      </c>
      <c r="W33" s="194">
        <f t="shared" si="18"/>
        <v>0</v>
      </c>
      <c r="X33" s="194">
        <f t="shared" si="18"/>
        <v>0</v>
      </c>
      <c r="Y33" s="194">
        <f t="shared" si="18"/>
        <v>0</v>
      </c>
      <c r="Z33" s="194">
        <f t="shared" si="18"/>
        <v>0</v>
      </c>
      <c r="AA33" s="194">
        <f t="shared" si="18"/>
        <v>0</v>
      </c>
      <c r="AB33" s="194">
        <f t="shared" si="18"/>
        <v>0</v>
      </c>
      <c r="AD33" s="835">
        <f t="shared" si="6"/>
        <v>0</v>
      </c>
    </row>
    <row r="34" spans="1:41" ht="15.75">
      <c r="A34" s="217"/>
      <c r="B34" s="187" t="s">
        <v>93</v>
      </c>
      <c r="C34" s="187"/>
      <c r="D34" s="194">
        <f>SUM(D31:D33)</f>
        <v>0</v>
      </c>
      <c r="E34" s="194">
        <f t="shared" ref="E34:H34" si="19">SUM(E31:E33)</f>
        <v>0</v>
      </c>
      <c r="F34" s="194">
        <f t="shared" si="19"/>
        <v>0</v>
      </c>
      <c r="G34" s="194">
        <f t="shared" si="19"/>
        <v>0</v>
      </c>
      <c r="H34" s="194">
        <f t="shared" si="19"/>
        <v>0</v>
      </c>
      <c r="I34" s="194">
        <f>SUM(I31:I33)</f>
        <v>0</v>
      </c>
      <c r="J34" s="194">
        <f t="shared" ref="J34:AB34" si="20">SUM(J31:J33)</f>
        <v>0</v>
      </c>
      <c r="K34" s="194">
        <f t="shared" si="20"/>
        <v>0</v>
      </c>
      <c r="L34" s="194">
        <f t="shared" si="20"/>
        <v>-1556.795478541565</v>
      </c>
      <c r="M34" s="194">
        <f t="shared" si="20"/>
        <v>1556.795478541565</v>
      </c>
      <c r="N34" s="194">
        <f t="shared" si="20"/>
        <v>0</v>
      </c>
      <c r="O34" s="194">
        <f t="shared" si="20"/>
        <v>0</v>
      </c>
      <c r="P34" s="194">
        <f t="shared" si="20"/>
        <v>-326142.46777789586</v>
      </c>
      <c r="Q34" s="194">
        <f t="shared" si="20"/>
        <v>326142.46777789586</v>
      </c>
      <c r="R34" s="194">
        <f t="shared" si="20"/>
        <v>0</v>
      </c>
      <c r="S34" s="194">
        <f t="shared" si="20"/>
        <v>0</v>
      </c>
      <c r="T34" s="194">
        <f t="shared" si="20"/>
        <v>0</v>
      </c>
      <c r="U34" s="194">
        <f t="shared" si="20"/>
        <v>0</v>
      </c>
      <c r="V34" s="194">
        <f t="shared" si="20"/>
        <v>0</v>
      </c>
      <c r="W34" s="194">
        <f t="shared" si="20"/>
        <v>0</v>
      </c>
      <c r="X34" s="194">
        <f t="shared" si="20"/>
        <v>0</v>
      </c>
      <c r="Y34" s="194">
        <f t="shared" si="20"/>
        <v>0</v>
      </c>
      <c r="Z34" s="194">
        <f t="shared" si="20"/>
        <v>0</v>
      </c>
      <c r="AA34" s="194">
        <f t="shared" si="20"/>
        <v>0</v>
      </c>
      <c r="AB34" s="194">
        <f t="shared" si="20"/>
        <v>0</v>
      </c>
      <c r="AD34" s="835">
        <f t="shared" si="6"/>
        <v>0</v>
      </c>
    </row>
    <row r="35" spans="1:41">
      <c r="A35" s="571" t="s">
        <v>296</v>
      </c>
      <c r="B35" s="187" t="s">
        <v>429</v>
      </c>
      <c r="C35" s="571" t="s">
        <v>46</v>
      </c>
      <c r="D35" s="194">
        <f t="shared" ref="D35:S37" si="21">SUMIF($AC$2:$AC$20,$C35,D$2:D$20)</f>
        <v>0</v>
      </c>
      <c r="E35" s="194">
        <f t="shared" si="21"/>
        <v>0</v>
      </c>
      <c r="F35" s="194">
        <f t="shared" si="21"/>
        <v>0</v>
      </c>
      <c r="G35" s="194">
        <f t="shared" si="21"/>
        <v>0</v>
      </c>
      <c r="H35" s="194">
        <f t="shared" si="21"/>
        <v>0</v>
      </c>
      <c r="I35" s="194">
        <f t="shared" si="21"/>
        <v>0</v>
      </c>
      <c r="J35" s="194">
        <f t="shared" si="21"/>
        <v>0</v>
      </c>
      <c r="K35" s="194">
        <f t="shared" si="21"/>
        <v>0</v>
      </c>
      <c r="L35" s="194">
        <f t="shared" si="21"/>
        <v>-845.30686005905432</v>
      </c>
      <c r="M35" s="194">
        <f t="shared" si="21"/>
        <v>845.30686005905432</v>
      </c>
      <c r="N35" s="194">
        <f t="shared" si="21"/>
        <v>0</v>
      </c>
      <c r="O35" s="194">
        <f t="shared" si="21"/>
        <v>0</v>
      </c>
      <c r="P35" s="194">
        <f t="shared" si="21"/>
        <v>-251067.59684283074</v>
      </c>
      <c r="Q35" s="194">
        <f t="shared" si="21"/>
        <v>251067.59684283074</v>
      </c>
      <c r="R35" s="194">
        <f t="shared" si="21"/>
        <v>0</v>
      </c>
      <c r="S35" s="194">
        <f t="shared" si="21"/>
        <v>0</v>
      </c>
      <c r="T35" s="194">
        <f t="shared" ref="T35:AB37" si="22">SUMIF($AC$2:$AC$20,$C35,T$2:T$20)</f>
        <v>0</v>
      </c>
      <c r="U35" s="194">
        <f t="shared" si="22"/>
        <v>0</v>
      </c>
      <c r="V35" s="194">
        <f t="shared" si="22"/>
        <v>0</v>
      </c>
      <c r="W35" s="194">
        <f t="shared" si="22"/>
        <v>0</v>
      </c>
      <c r="X35" s="194">
        <f t="shared" si="22"/>
        <v>0</v>
      </c>
      <c r="Y35" s="194">
        <f t="shared" si="22"/>
        <v>0</v>
      </c>
      <c r="Z35" s="194">
        <f t="shared" si="22"/>
        <v>0</v>
      </c>
      <c r="AA35" s="194">
        <f t="shared" si="22"/>
        <v>0</v>
      </c>
      <c r="AB35" s="194">
        <f t="shared" si="22"/>
        <v>0</v>
      </c>
      <c r="AD35" s="835">
        <f t="shared" si="6"/>
        <v>0</v>
      </c>
    </row>
    <row r="36" spans="1:41" ht="15.75">
      <c r="A36" s="217"/>
      <c r="B36" s="187" t="s">
        <v>438</v>
      </c>
      <c r="C36" s="571" t="s">
        <v>1199</v>
      </c>
      <c r="D36" s="194">
        <f t="shared" si="21"/>
        <v>0</v>
      </c>
      <c r="E36" s="194">
        <f t="shared" si="21"/>
        <v>0</v>
      </c>
      <c r="F36" s="194">
        <f t="shared" si="21"/>
        <v>0</v>
      </c>
      <c r="G36" s="194">
        <f t="shared" si="21"/>
        <v>0</v>
      </c>
      <c r="H36" s="194">
        <f t="shared" si="21"/>
        <v>0</v>
      </c>
      <c r="I36" s="194">
        <f t="shared" si="21"/>
        <v>0</v>
      </c>
      <c r="J36" s="194">
        <f t="shared" si="21"/>
        <v>0</v>
      </c>
      <c r="K36" s="194">
        <f t="shared" si="21"/>
        <v>0</v>
      </c>
      <c r="L36" s="194">
        <f t="shared" si="21"/>
        <v>0</v>
      </c>
      <c r="M36" s="194">
        <f t="shared" si="21"/>
        <v>0</v>
      </c>
      <c r="N36" s="194">
        <f t="shared" si="21"/>
        <v>0</v>
      </c>
      <c r="O36" s="194">
        <f t="shared" si="21"/>
        <v>0</v>
      </c>
      <c r="P36" s="194">
        <f t="shared" si="21"/>
        <v>0</v>
      </c>
      <c r="Q36" s="194">
        <f t="shared" si="21"/>
        <v>0</v>
      </c>
      <c r="R36" s="194">
        <f t="shared" si="21"/>
        <v>0</v>
      </c>
      <c r="S36" s="194">
        <f t="shared" si="21"/>
        <v>0</v>
      </c>
      <c r="T36" s="194">
        <f t="shared" si="22"/>
        <v>0</v>
      </c>
      <c r="U36" s="194">
        <f t="shared" si="22"/>
        <v>0</v>
      </c>
      <c r="V36" s="194">
        <f t="shared" si="22"/>
        <v>0</v>
      </c>
      <c r="W36" s="194">
        <f t="shared" si="22"/>
        <v>0</v>
      </c>
      <c r="X36" s="194">
        <f t="shared" si="22"/>
        <v>0</v>
      </c>
      <c r="Y36" s="194">
        <f t="shared" si="22"/>
        <v>0</v>
      </c>
      <c r="Z36" s="194">
        <f t="shared" si="22"/>
        <v>0</v>
      </c>
      <c r="AA36" s="194">
        <f t="shared" si="22"/>
        <v>0</v>
      </c>
      <c r="AB36" s="194">
        <f t="shared" si="22"/>
        <v>0</v>
      </c>
      <c r="AD36" s="835">
        <f t="shared" si="6"/>
        <v>0</v>
      </c>
    </row>
    <row r="37" spans="1:41" ht="15.75">
      <c r="A37" s="217"/>
      <c r="B37" s="571" t="s">
        <v>428</v>
      </c>
      <c r="C37" s="571" t="s">
        <v>949</v>
      </c>
      <c r="D37" s="194">
        <f t="shared" si="21"/>
        <v>0</v>
      </c>
      <c r="E37" s="194">
        <f t="shared" si="21"/>
        <v>0</v>
      </c>
      <c r="F37" s="194">
        <f t="shared" si="21"/>
        <v>0</v>
      </c>
      <c r="G37" s="194">
        <f t="shared" si="21"/>
        <v>0</v>
      </c>
      <c r="H37" s="194">
        <f t="shared" si="21"/>
        <v>0</v>
      </c>
      <c r="I37" s="194">
        <f t="shared" si="21"/>
        <v>0</v>
      </c>
      <c r="J37" s="194">
        <f t="shared" si="21"/>
        <v>0</v>
      </c>
      <c r="K37" s="194">
        <f t="shared" si="21"/>
        <v>0</v>
      </c>
      <c r="L37" s="194">
        <f t="shared" si="21"/>
        <v>-0.99982404568939076</v>
      </c>
      <c r="M37" s="194">
        <f t="shared" si="21"/>
        <v>0.99982404568939076</v>
      </c>
      <c r="N37" s="194">
        <f t="shared" si="21"/>
        <v>0</v>
      </c>
      <c r="O37" s="194">
        <f t="shared" si="21"/>
        <v>0</v>
      </c>
      <c r="P37" s="194">
        <f t="shared" si="21"/>
        <v>-1081.1623616236161</v>
      </c>
      <c r="Q37" s="194">
        <f t="shared" si="21"/>
        <v>1081.1623616236161</v>
      </c>
      <c r="R37" s="194">
        <f t="shared" si="21"/>
        <v>0</v>
      </c>
      <c r="S37" s="194">
        <f t="shared" si="21"/>
        <v>0</v>
      </c>
      <c r="T37" s="194">
        <f t="shared" si="22"/>
        <v>0</v>
      </c>
      <c r="U37" s="194">
        <f t="shared" si="22"/>
        <v>0</v>
      </c>
      <c r="V37" s="194">
        <f t="shared" si="22"/>
        <v>0</v>
      </c>
      <c r="W37" s="194">
        <f t="shared" si="22"/>
        <v>0</v>
      </c>
      <c r="X37" s="194">
        <f t="shared" si="22"/>
        <v>0</v>
      </c>
      <c r="Y37" s="194">
        <f t="shared" si="22"/>
        <v>0</v>
      </c>
      <c r="Z37" s="194">
        <f t="shared" si="22"/>
        <v>0</v>
      </c>
      <c r="AA37" s="194">
        <f t="shared" si="22"/>
        <v>0</v>
      </c>
      <c r="AB37" s="194">
        <f t="shared" si="22"/>
        <v>0</v>
      </c>
      <c r="AD37" s="835">
        <f t="shared" si="6"/>
        <v>0</v>
      </c>
    </row>
    <row r="38" spans="1:41" ht="16.5" thickBot="1">
      <c r="A38" s="603"/>
      <c r="B38" s="197" t="s">
        <v>93</v>
      </c>
      <c r="C38" s="197"/>
      <c r="D38" s="198">
        <f>SUM(D35:D37)</f>
        <v>0</v>
      </c>
      <c r="E38" s="198">
        <f t="shared" ref="E38:H38" si="23">SUM(E35:E37)</f>
        <v>0</v>
      </c>
      <c r="F38" s="198">
        <f t="shared" si="23"/>
        <v>0</v>
      </c>
      <c r="G38" s="198">
        <f t="shared" si="23"/>
        <v>0</v>
      </c>
      <c r="H38" s="198">
        <f t="shared" si="23"/>
        <v>0</v>
      </c>
      <c r="I38" s="198">
        <f>SUM(I35:I37)</f>
        <v>0</v>
      </c>
      <c r="J38" s="198">
        <f t="shared" ref="J38:AB38" si="24">SUM(J35:J37)</f>
        <v>0</v>
      </c>
      <c r="K38" s="198">
        <f t="shared" si="24"/>
        <v>0</v>
      </c>
      <c r="L38" s="198">
        <f t="shared" si="24"/>
        <v>-846.30668410474368</v>
      </c>
      <c r="M38" s="198">
        <f t="shared" si="24"/>
        <v>846.30668410474368</v>
      </c>
      <c r="N38" s="198">
        <f t="shared" si="24"/>
        <v>0</v>
      </c>
      <c r="O38" s="198">
        <f t="shared" si="24"/>
        <v>0</v>
      </c>
      <c r="P38" s="198">
        <f t="shared" si="24"/>
        <v>-252148.75920445434</v>
      </c>
      <c r="Q38" s="198">
        <f t="shared" si="24"/>
        <v>252148.75920445434</v>
      </c>
      <c r="R38" s="198">
        <f t="shared" si="24"/>
        <v>0</v>
      </c>
      <c r="S38" s="198">
        <f t="shared" si="24"/>
        <v>0</v>
      </c>
      <c r="T38" s="198">
        <f t="shared" si="24"/>
        <v>0</v>
      </c>
      <c r="U38" s="198">
        <f t="shared" si="24"/>
        <v>0</v>
      </c>
      <c r="V38" s="198">
        <f t="shared" si="24"/>
        <v>0</v>
      </c>
      <c r="W38" s="198">
        <f t="shared" si="24"/>
        <v>0</v>
      </c>
      <c r="X38" s="198">
        <f t="shared" si="24"/>
        <v>0</v>
      </c>
      <c r="Y38" s="198">
        <f t="shared" si="24"/>
        <v>0</v>
      </c>
      <c r="Z38" s="198">
        <f t="shared" si="24"/>
        <v>0</v>
      </c>
      <c r="AA38" s="198">
        <f t="shared" si="24"/>
        <v>0</v>
      </c>
      <c r="AB38" s="198">
        <f t="shared" si="24"/>
        <v>0</v>
      </c>
      <c r="AD38" s="835">
        <f t="shared" si="6"/>
        <v>0</v>
      </c>
    </row>
    <row r="39" spans="1:41" ht="13.5" thickTop="1">
      <c r="A39" s="218" t="s">
        <v>93</v>
      </c>
      <c r="B39" s="218"/>
      <c r="C39" s="218"/>
      <c r="D39" s="215">
        <f>D26+D30+D34+D38</f>
        <v>0</v>
      </c>
      <c r="E39" s="215">
        <f t="shared" ref="E39:H39" si="25">E26+E30+E34+E38</f>
        <v>0</v>
      </c>
      <c r="F39" s="215">
        <f t="shared" si="25"/>
        <v>0</v>
      </c>
      <c r="G39" s="215">
        <f t="shared" si="25"/>
        <v>0</v>
      </c>
      <c r="H39" s="215">
        <f t="shared" si="25"/>
        <v>0</v>
      </c>
      <c r="I39" s="215">
        <f>I26+I30+I34+I38</f>
        <v>0</v>
      </c>
      <c r="J39" s="215">
        <f t="shared" ref="J39:AB39" si="26">J26+J30+J34+J38</f>
        <v>0</v>
      </c>
      <c r="K39" s="215">
        <f t="shared" si="26"/>
        <v>0</v>
      </c>
      <c r="L39" s="215">
        <f t="shared" si="26"/>
        <v>-1405438.121948431</v>
      </c>
      <c r="M39" s="215">
        <f t="shared" si="26"/>
        <v>1405438.121948431</v>
      </c>
      <c r="N39" s="215">
        <f t="shared" si="26"/>
        <v>0</v>
      </c>
      <c r="O39" s="215">
        <f t="shared" si="26"/>
        <v>0</v>
      </c>
      <c r="P39" s="215">
        <f t="shared" si="26"/>
        <v>-474626300.30125451</v>
      </c>
      <c r="Q39" s="215">
        <f t="shared" si="26"/>
        <v>474626300.30125451</v>
      </c>
      <c r="R39" s="215">
        <f t="shared" si="26"/>
        <v>0</v>
      </c>
      <c r="S39" s="215">
        <f t="shared" si="26"/>
        <v>0</v>
      </c>
      <c r="T39" s="215">
        <f t="shared" si="26"/>
        <v>0</v>
      </c>
      <c r="U39" s="215">
        <f t="shared" si="26"/>
        <v>-127356.63794804341</v>
      </c>
      <c r="V39" s="215">
        <f t="shared" si="26"/>
        <v>127356.63794804341</v>
      </c>
      <c r="W39" s="215">
        <f t="shared" si="26"/>
        <v>0</v>
      </c>
      <c r="X39" s="215">
        <f t="shared" si="26"/>
        <v>0</v>
      </c>
      <c r="Y39" s="215">
        <f t="shared" si="26"/>
        <v>0</v>
      </c>
      <c r="Z39" s="215">
        <f t="shared" si="26"/>
        <v>0</v>
      </c>
      <c r="AA39" s="215">
        <f t="shared" si="26"/>
        <v>0</v>
      </c>
      <c r="AB39" s="215">
        <f t="shared" si="26"/>
        <v>0</v>
      </c>
      <c r="AD39" s="835">
        <f t="shared" si="6"/>
        <v>0</v>
      </c>
    </row>
    <row r="40" spans="1:41">
      <c r="A40" s="219" t="s">
        <v>463</v>
      </c>
      <c r="B40" s="219"/>
      <c r="C40" s="219"/>
      <c r="D40" s="220">
        <f>D39-SUM(D2:D20)</f>
        <v>0</v>
      </c>
      <c r="E40" s="220">
        <f t="shared" ref="E40:H40" si="27">E39-SUM(E2:E20)</f>
        <v>0</v>
      </c>
      <c r="F40" s="220">
        <f t="shared" si="27"/>
        <v>0</v>
      </c>
      <c r="G40" s="220">
        <f t="shared" si="27"/>
        <v>0</v>
      </c>
      <c r="H40" s="220">
        <f t="shared" si="27"/>
        <v>0</v>
      </c>
      <c r="I40" s="220">
        <f>I39-SUM(I2:I20)</f>
        <v>0</v>
      </c>
      <c r="J40" s="220">
        <f t="shared" ref="J40:AD40" si="28">J39-SUM(J2:J20)</f>
        <v>0</v>
      </c>
      <c r="K40" s="220">
        <f t="shared" si="28"/>
        <v>0</v>
      </c>
      <c r="L40" s="220">
        <f t="shared" si="28"/>
        <v>0</v>
      </c>
      <c r="M40" s="220">
        <f t="shared" si="28"/>
        <v>0</v>
      </c>
      <c r="N40" s="220">
        <f t="shared" si="28"/>
        <v>0</v>
      </c>
      <c r="O40" s="220">
        <f t="shared" si="28"/>
        <v>0</v>
      </c>
      <c r="P40" s="220">
        <f t="shared" si="28"/>
        <v>0</v>
      </c>
      <c r="Q40" s="220">
        <f t="shared" si="28"/>
        <v>0</v>
      </c>
      <c r="R40" s="220">
        <f t="shared" si="28"/>
        <v>0</v>
      </c>
      <c r="S40" s="220">
        <f t="shared" si="28"/>
        <v>0</v>
      </c>
      <c r="T40" s="220">
        <f t="shared" si="28"/>
        <v>0</v>
      </c>
      <c r="U40" s="220">
        <f t="shared" si="28"/>
        <v>0</v>
      </c>
      <c r="V40" s="220">
        <f t="shared" si="28"/>
        <v>0</v>
      </c>
      <c r="W40" s="220">
        <f t="shared" si="28"/>
        <v>0</v>
      </c>
      <c r="X40" s="220">
        <f t="shared" si="28"/>
        <v>0</v>
      </c>
      <c r="Y40" s="220">
        <f t="shared" si="28"/>
        <v>0</v>
      </c>
      <c r="Z40" s="220">
        <f t="shared" si="28"/>
        <v>0</v>
      </c>
      <c r="AA40" s="220">
        <f t="shared" si="28"/>
        <v>0</v>
      </c>
      <c r="AB40" s="220">
        <f t="shared" si="28"/>
        <v>0</v>
      </c>
      <c r="AC40" s="220">
        <f t="shared" si="28"/>
        <v>0</v>
      </c>
      <c r="AD40" s="220">
        <f t="shared" si="28"/>
        <v>0</v>
      </c>
    </row>
    <row r="41" spans="1:41">
      <c r="D41" s="810"/>
      <c r="E41" s="810"/>
      <c r="N41" s="1338"/>
      <c r="O41" s="635"/>
    </row>
    <row r="42" spans="1:41">
      <c r="A42" s="1155" t="s">
        <v>472</v>
      </c>
      <c r="B42" s="1155" t="s">
        <v>191</v>
      </c>
      <c r="C42" s="1155" t="s">
        <v>192</v>
      </c>
      <c r="D42" s="1155" t="s">
        <v>125</v>
      </c>
      <c r="E42" s="1155" t="s">
        <v>126</v>
      </c>
      <c r="F42" s="1155" t="s">
        <v>127</v>
      </c>
      <c r="G42" s="1155" t="s">
        <v>128</v>
      </c>
      <c r="H42" s="1155" t="s">
        <v>72</v>
      </c>
      <c r="I42" s="1155" t="s">
        <v>627</v>
      </c>
      <c r="J42" s="1155" t="s">
        <v>974</v>
      </c>
      <c r="K42" s="1155" t="s">
        <v>462</v>
      </c>
      <c r="L42" s="1155" t="s">
        <v>638</v>
      </c>
      <c r="M42" s="1155" t="s">
        <v>639</v>
      </c>
      <c r="N42" s="1155" t="s">
        <v>631</v>
      </c>
      <c r="O42" s="1155" t="s">
        <v>70</v>
      </c>
      <c r="P42" s="1155" t="s">
        <v>622</v>
      </c>
      <c r="Q42" s="1155" t="s">
        <v>626</v>
      </c>
      <c r="R42" s="1155" t="s">
        <v>1221</v>
      </c>
      <c r="S42" s="1155" t="s">
        <v>1152</v>
      </c>
      <c r="T42" s="1155" t="s">
        <v>1222</v>
      </c>
      <c r="U42" s="1155" t="s">
        <v>1223</v>
      </c>
      <c r="V42" s="1155" t="s">
        <v>1224</v>
      </c>
      <c r="W42" s="1155" t="s">
        <v>71</v>
      </c>
      <c r="X42" s="1155" t="s">
        <v>619</v>
      </c>
      <c r="Y42" s="1155" t="s">
        <v>796</v>
      </c>
      <c r="Z42" s="1155" t="s">
        <v>1225</v>
      </c>
      <c r="AA42" s="1155" t="s">
        <v>1256</v>
      </c>
      <c r="AB42" s="1155" t="s">
        <v>1297</v>
      </c>
      <c r="AC42" s="1155" t="s">
        <v>1479</v>
      </c>
      <c r="AD42" s="1330" t="s">
        <v>462</v>
      </c>
      <c r="AE42" s="1330" t="s">
        <v>638</v>
      </c>
      <c r="AF42" s="1330" t="s">
        <v>639</v>
      </c>
      <c r="AG42" s="1330" t="s">
        <v>631</v>
      </c>
      <c r="AH42" s="1330" t="s">
        <v>70</v>
      </c>
      <c r="AI42" s="1330" t="s">
        <v>622</v>
      </c>
      <c r="AJ42" s="1330" t="s">
        <v>626</v>
      </c>
      <c r="AK42" s="1330" t="s">
        <v>1221</v>
      </c>
      <c r="AL42" s="1330" t="s">
        <v>1152</v>
      </c>
      <c r="AM42" s="1330" t="s">
        <v>1222</v>
      </c>
      <c r="AN42" s="1330" t="s">
        <v>1223</v>
      </c>
      <c r="AO42" s="1330" t="s">
        <v>1224</v>
      </c>
    </row>
    <row r="43" spans="1:41" s="819" customFormat="1">
      <c r="A43" s="1169" t="s">
        <v>295</v>
      </c>
      <c r="B43" s="1169" t="s">
        <v>429</v>
      </c>
      <c r="C43" s="1169" t="s">
        <v>1227</v>
      </c>
      <c r="D43" s="1331">
        <v>134939</v>
      </c>
      <c r="E43" s="1331">
        <v>18445.810000000001</v>
      </c>
      <c r="F43" s="1331">
        <v>0</v>
      </c>
      <c r="G43" s="1331">
        <v>0</v>
      </c>
      <c r="H43" s="1331">
        <v>11.8333333333333</v>
      </c>
      <c r="I43" s="1332">
        <v>0</v>
      </c>
      <c r="J43" s="1331">
        <v>778.5</v>
      </c>
      <c r="K43" s="1331">
        <v>778.501367362113</v>
      </c>
      <c r="L43" s="1331">
        <v>472.18331053351602</v>
      </c>
      <c r="M43" s="1331">
        <v>306.318056828598</v>
      </c>
      <c r="N43" s="1331">
        <v>0</v>
      </c>
      <c r="O43" s="1331">
        <v>134939</v>
      </c>
      <c r="P43" s="1331">
        <v>74850</v>
      </c>
      <c r="Q43" s="1331">
        <v>60089</v>
      </c>
      <c r="R43" s="1332">
        <v>0</v>
      </c>
      <c r="S43" s="1332">
        <v>0</v>
      </c>
      <c r="T43" s="1332">
        <v>0</v>
      </c>
      <c r="U43" s="1332">
        <v>0</v>
      </c>
      <c r="V43" s="1332">
        <v>0</v>
      </c>
      <c r="W43" s="1331">
        <v>18994.93</v>
      </c>
      <c r="X43" s="1331">
        <v>18994.903676999998</v>
      </c>
      <c r="Y43" s="1333">
        <v>18994.903676999998</v>
      </c>
      <c r="Z43" s="1331">
        <v>-549.12</v>
      </c>
      <c r="AA43" s="1334">
        <v>-549.12</v>
      </c>
      <c r="AB43" s="1332">
        <v>0</v>
      </c>
      <c r="AC43" s="1169" t="s">
        <v>1485</v>
      </c>
      <c r="AD43" s="1336"/>
      <c r="AE43" s="1336">
        <f t="shared" ref="AE43" si="29">-L43</f>
        <v>-472.18331053351602</v>
      </c>
      <c r="AF43" s="1336">
        <f>-AE43</f>
        <v>472.18331053351602</v>
      </c>
      <c r="AI43" s="1336">
        <f>-P43</f>
        <v>-74850</v>
      </c>
      <c r="AJ43" s="1336">
        <f>-AI43</f>
        <v>74850</v>
      </c>
      <c r="AN43" s="1336">
        <f>-U43</f>
        <v>0</v>
      </c>
      <c r="AO43" s="1336">
        <f>-AN43</f>
        <v>0</v>
      </c>
    </row>
    <row r="44" spans="1:41" s="819" customFormat="1" ht="15.75">
      <c r="A44" s="1335"/>
      <c r="B44" s="1169" t="s">
        <v>429</v>
      </c>
      <c r="C44" s="1169" t="s">
        <v>137</v>
      </c>
      <c r="D44" s="1331">
        <v>378373109</v>
      </c>
      <c r="E44" s="1331">
        <v>32495287.91</v>
      </c>
      <c r="F44" s="1331">
        <v>0</v>
      </c>
      <c r="G44" s="1331">
        <v>0</v>
      </c>
      <c r="H44" s="1331">
        <v>11215.9666666667</v>
      </c>
      <c r="I44" s="1332">
        <v>0</v>
      </c>
      <c r="J44" s="1331">
        <v>1133134.4009901001</v>
      </c>
      <c r="K44" s="1331">
        <v>1133134.55096104</v>
      </c>
      <c r="L44" s="1331">
        <v>574419.80027359701</v>
      </c>
      <c r="M44" s="1331">
        <v>558714.75068744295</v>
      </c>
      <c r="N44" s="1331">
        <v>30518.666666666701</v>
      </c>
      <c r="O44" s="1331">
        <v>378373109</v>
      </c>
      <c r="P44" s="1331">
        <v>192366879</v>
      </c>
      <c r="Q44" s="1331">
        <v>186006230</v>
      </c>
      <c r="R44" s="1332">
        <v>0</v>
      </c>
      <c r="S44" s="1332">
        <v>0</v>
      </c>
      <c r="T44" s="1332">
        <v>0</v>
      </c>
      <c r="U44" s="1332">
        <v>0</v>
      </c>
      <c r="V44" s="1332">
        <v>0</v>
      </c>
      <c r="W44" s="1331">
        <v>33519256.68</v>
      </c>
      <c r="X44" s="1331">
        <v>33519256.406523</v>
      </c>
      <c r="Y44" s="1333">
        <v>33519256.406523</v>
      </c>
      <c r="Z44" s="1331">
        <v>-1023968.77</v>
      </c>
      <c r="AA44" s="1334">
        <v>-1023968.77</v>
      </c>
      <c r="AB44" s="1332">
        <v>4.5333333333333297</v>
      </c>
      <c r="AC44" s="1169" t="s">
        <v>1485</v>
      </c>
      <c r="AE44" s="1336">
        <f t="shared" ref="AE44:AE58" si="30">-L44</f>
        <v>-574419.80027359701</v>
      </c>
      <c r="AF44" s="1336">
        <f t="shared" ref="AF44:AF74" si="31">-AE44</f>
        <v>574419.80027359701</v>
      </c>
      <c r="AI44" s="1336">
        <f t="shared" ref="AI44:AI58" si="32">-P44</f>
        <v>-192366879</v>
      </c>
      <c r="AJ44" s="1336">
        <f t="shared" ref="AJ44:AJ74" si="33">-AI44</f>
        <v>192366879</v>
      </c>
      <c r="AN44" s="1336">
        <f t="shared" ref="AN44:AN58" si="34">-U44</f>
        <v>0</v>
      </c>
      <c r="AO44" s="1336">
        <f t="shared" ref="AO44:AO74" si="35">-AN44</f>
        <v>0</v>
      </c>
    </row>
    <row r="45" spans="1:41" s="819" customFormat="1" ht="15.75">
      <c r="A45" s="1335"/>
      <c r="B45" s="1169" t="s">
        <v>429</v>
      </c>
      <c r="C45" s="1169" t="s">
        <v>436</v>
      </c>
      <c r="D45" s="1331">
        <v>2903452</v>
      </c>
      <c r="E45" s="1331">
        <v>234672.05</v>
      </c>
      <c r="F45" s="1331">
        <v>0</v>
      </c>
      <c r="G45" s="1331">
        <v>0</v>
      </c>
      <c r="H45" s="1331">
        <v>646.53333333333296</v>
      </c>
      <c r="I45" s="1332">
        <v>0</v>
      </c>
      <c r="J45" s="1331">
        <v>6014.6683168316804</v>
      </c>
      <c r="K45" s="1331">
        <v>6014.6673040584501</v>
      </c>
      <c r="L45" s="1331">
        <v>2809.3584131326902</v>
      </c>
      <c r="M45" s="1331">
        <v>3205.3088909257599</v>
      </c>
      <c r="N45" s="1331">
        <v>52</v>
      </c>
      <c r="O45" s="1331">
        <v>2903452</v>
      </c>
      <c r="P45" s="1331">
        <v>1341960</v>
      </c>
      <c r="Q45" s="1331">
        <v>1561492</v>
      </c>
      <c r="R45" s="1332">
        <v>0</v>
      </c>
      <c r="S45" s="1332">
        <v>0</v>
      </c>
      <c r="T45" s="1332">
        <v>0</v>
      </c>
      <c r="U45" s="1332">
        <v>0</v>
      </c>
      <c r="V45" s="1332">
        <v>0</v>
      </c>
      <c r="W45" s="1331">
        <v>241245.36</v>
      </c>
      <c r="X45" s="1331">
        <v>241245.302276</v>
      </c>
      <c r="Y45" s="1333">
        <v>241245.302276</v>
      </c>
      <c r="Z45" s="1331">
        <v>-6573.31</v>
      </c>
      <c r="AA45" s="1334">
        <v>-6573.31</v>
      </c>
      <c r="AB45" s="1332">
        <v>0</v>
      </c>
      <c r="AC45" s="1169" t="s">
        <v>1485</v>
      </c>
      <c r="AE45" s="1336">
        <f t="shared" si="30"/>
        <v>-2809.3584131326902</v>
      </c>
      <c r="AF45" s="1336">
        <f t="shared" si="31"/>
        <v>2809.3584131326902</v>
      </c>
      <c r="AI45" s="1336">
        <f t="shared" si="32"/>
        <v>-1341960</v>
      </c>
      <c r="AJ45" s="1336">
        <f t="shared" si="33"/>
        <v>1341960</v>
      </c>
      <c r="AN45" s="1336">
        <f t="shared" si="34"/>
        <v>0</v>
      </c>
      <c r="AO45" s="1336">
        <f t="shared" si="35"/>
        <v>0</v>
      </c>
    </row>
    <row r="46" spans="1:41" s="819" customFormat="1" ht="15.75">
      <c r="A46" s="1335"/>
      <c r="B46" s="1169" t="s">
        <v>429</v>
      </c>
      <c r="C46" s="1169" t="s">
        <v>615</v>
      </c>
      <c r="D46" s="1331">
        <v>8667547</v>
      </c>
      <c r="E46" s="1331">
        <v>794877.26</v>
      </c>
      <c r="F46" s="1331">
        <v>0</v>
      </c>
      <c r="G46" s="1331">
        <v>0</v>
      </c>
      <c r="H46" s="1331">
        <v>264.26666666666699</v>
      </c>
      <c r="I46" s="1332">
        <v>0</v>
      </c>
      <c r="J46" s="1331">
        <v>29181.066831683202</v>
      </c>
      <c r="K46" s="1331">
        <v>29181.077557205401</v>
      </c>
      <c r="L46" s="1331">
        <v>14250.933652530801</v>
      </c>
      <c r="M46" s="1331">
        <v>14930.1439046746</v>
      </c>
      <c r="N46" s="1331">
        <v>987</v>
      </c>
      <c r="O46" s="1331">
        <v>8667547</v>
      </c>
      <c r="P46" s="1331">
        <v>4248728</v>
      </c>
      <c r="Q46" s="1331">
        <v>4418819</v>
      </c>
      <c r="R46" s="1332">
        <v>0</v>
      </c>
      <c r="S46" s="1332">
        <v>0</v>
      </c>
      <c r="T46" s="1332">
        <v>0</v>
      </c>
      <c r="U46" s="1332">
        <v>0</v>
      </c>
      <c r="V46" s="1332">
        <v>0</v>
      </c>
      <c r="W46" s="1331">
        <v>819732.7</v>
      </c>
      <c r="X46" s="1331">
        <v>819732.71857300005</v>
      </c>
      <c r="Y46" s="1333">
        <v>819732.71857300005</v>
      </c>
      <c r="Z46" s="1331">
        <v>-24855.439999999999</v>
      </c>
      <c r="AA46" s="1334">
        <v>-24855.439999999999</v>
      </c>
      <c r="AB46" s="1332">
        <v>0</v>
      </c>
      <c r="AC46" s="1169" t="s">
        <v>1485</v>
      </c>
      <c r="AE46" s="1336">
        <f t="shared" si="30"/>
        <v>-14250.933652530801</v>
      </c>
      <c r="AF46" s="1336">
        <f t="shared" si="31"/>
        <v>14250.933652530801</v>
      </c>
      <c r="AI46" s="1336">
        <f t="shared" si="32"/>
        <v>-4248728</v>
      </c>
      <c r="AJ46" s="1336">
        <f t="shared" si="33"/>
        <v>4248728</v>
      </c>
      <c r="AN46" s="1336">
        <f t="shared" si="34"/>
        <v>0</v>
      </c>
      <c r="AO46" s="1336">
        <f t="shared" si="35"/>
        <v>0</v>
      </c>
    </row>
    <row r="47" spans="1:41" s="819" customFormat="1" ht="15.75">
      <c r="A47" s="1335"/>
      <c r="B47" s="1169" t="s">
        <v>429</v>
      </c>
      <c r="C47" s="1169" t="s">
        <v>854</v>
      </c>
      <c r="D47" s="1331">
        <v>0</v>
      </c>
      <c r="E47" s="1331">
        <v>-25.2</v>
      </c>
      <c r="F47" s="1331">
        <v>0</v>
      </c>
      <c r="G47" s="1331">
        <v>25.2</v>
      </c>
      <c r="H47" s="1331">
        <v>0</v>
      </c>
      <c r="I47" s="1332">
        <v>0</v>
      </c>
      <c r="J47" s="1331">
        <v>0</v>
      </c>
      <c r="K47" s="1331">
        <v>0</v>
      </c>
      <c r="L47" s="1331">
        <v>0</v>
      </c>
      <c r="M47" s="1331">
        <v>0</v>
      </c>
      <c r="N47" s="1331">
        <v>0</v>
      </c>
      <c r="O47" s="1331">
        <v>0</v>
      </c>
      <c r="P47" s="1331">
        <v>0</v>
      </c>
      <c r="Q47" s="1331">
        <v>0</v>
      </c>
      <c r="R47" s="1332">
        <v>0</v>
      </c>
      <c r="S47" s="1332">
        <v>0</v>
      </c>
      <c r="T47" s="1332">
        <v>0</v>
      </c>
      <c r="U47" s="1332">
        <v>0</v>
      </c>
      <c r="V47" s="1332">
        <v>0</v>
      </c>
      <c r="W47" s="1331">
        <v>0</v>
      </c>
      <c r="X47" s="1331">
        <v>0</v>
      </c>
      <c r="Y47" s="1333">
        <v>0</v>
      </c>
      <c r="Z47" s="1331">
        <v>0</v>
      </c>
      <c r="AA47" s="1334">
        <v>0</v>
      </c>
      <c r="AB47" s="1332">
        <v>0</v>
      </c>
      <c r="AC47" s="1169" t="s">
        <v>1485</v>
      </c>
      <c r="AE47" s="1336">
        <f t="shared" si="30"/>
        <v>0</v>
      </c>
      <c r="AF47" s="1336">
        <f t="shared" si="31"/>
        <v>0</v>
      </c>
      <c r="AI47" s="1336">
        <f t="shared" si="32"/>
        <v>0</v>
      </c>
      <c r="AJ47" s="1336">
        <f t="shared" si="33"/>
        <v>0</v>
      </c>
      <c r="AN47" s="1336">
        <f t="shared" si="34"/>
        <v>0</v>
      </c>
      <c r="AO47" s="1336">
        <f t="shared" si="35"/>
        <v>0</v>
      </c>
    </row>
    <row r="48" spans="1:41" s="819" customFormat="1" ht="15.75">
      <c r="A48" s="1335"/>
      <c r="B48" s="1169" t="s">
        <v>429</v>
      </c>
      <c r="C48" s="1169" t="s">
        <v>1162</v>
      </c>
      <c r="D48" s="1331">
        <v>298960</v>
      </c>
      <c r="E48" s="1331">
        <v>33882.47</v>
      </c>
      <c r="F48" s="1331">
        <v>-18080</v>
      </c>
      <c r="G48" s="1331">
        <v>0</v>
      </c>
      <c r="H48" s="1331">
        <v>9</v>
      </c>
      <c r="I48" s="1332">
        <v>0</v>
      </c>
      <c r="J48" s="1331">
        <v>1041</v>
      </c>
      <c r="K48" s="1331">
        <v>1041.0026519677899</v>
      </c>
      <c r="L48" s="1331">
        <v>468.38303693570498</v>
      </c>
      <c r="M48" s="1331">
        <v>572.61961503208101</v>
      </c>
      <c r="N48" s="1331">
        <v>0</v>
      </c>
      <c r="O48" s="1331">
        <v>280880</v>
      </c>
      <c r="P48" s="1331">
        <v>0</v>
      </c>
      <c r="Q48" s="1331">
        <v>0</v>
      </c>
      <c r="R48" s="1332">
        <v>300640</v>
      </c>
      <c r="S48" s="1332">
        <v>179000</v>
      </c>
      <c r="T48" s="1332">
        <v>121640</v>
      </c>
      <c r="U48" s="1332">
        <v>53792</v>
      </c>
      <c r="V48" s="1332">
        <v>67848</v>
      </c>
      <c r="W48" s="1331">
        <v>34975.730000000003</v>
      </c>
      <c r="X48" s="1331">
        <v>34975.739847999997</v>
      </c>
      <c r="Y48" s="1333">
        <v>34975.739847999997</v>
      </c>
      <c r="Z48" s="1331">
        <v>-1093.26</v>
      </c>
      <c r="AA48" s="1334">
        <v>-1093.26</v>
      </c>
      <c r="AB48" s="1332">
        <v>0</v>
      </c>
      <c r="AC48" s="1169" t="s">
        <v>1485</v>
      </c>
      <c r="AE48" s="1336">
        <f t="shared" si="30"/>
        <v>-468.38303693570498</v>
      </c>
      <c r="AF48" s="1336">
        <f t="shared" si="31"/>
        <v>468.38303693570498</v>
      </c>
      <c r="AI48" s="1336">
        <f t="shared" si="32"/>
        <v>0</v>
      </c>
      <c r="AJ48" s="1336">
        <f t="shared" si="33"/>
        <v>0</v>
      </c>
      <c r="AN48" s="1336">
        <f t="shared" si="34"/>
        <v>-53792</v>
      </c>
      <c r="AO48" s="1336">
        <f t="shared" si="35"/>
        <v>53792</v>
      </c>
    </row>
    <row r="49" spans="1:41" s="819" customFormat="1" ht="15.75">
      <c r="A49" s="1335"/>
      <c r="B49" s="1169" t="s">
        <v>438</v>
      </c>
      <c r="C49" s="1169" t="s">
        <v>137</v>
      </c>
      <c r="D49" s="1331">
        <v>46451794</v>
      </c>
      <c r="E49" s="1331">
        <v>4101781.1</v>
      </c>
      <c r="F49" s="1331">
        <v>0</v>
      </c>
      <c r="G49" s="1331">
        <v>0</v>
      </c>
      <c r="H49" s="1331">
        <v>958.46666666666704</v>
      </c>
      <c r="I49" s="1332">
        <v>0</v>
      </c>
      <c r="J49" s="1331">
        <v>149136.30445544599</v>
      </c>
      <c r="K49" s="1331">
        <v>149136.31202250501</v>
      </c>
      <c r="L49" s="1331">
        <v>71381.696990423996</v>
      </c>
      <c r="M49" s="1331">
        <v>77754.615032080706</v>
      </c>
      <c r="N49" s="1331">
        <v>15663</v>
      </c>
      <c r="O49" s="1331">
        <v>46451794</v>
      </c>
      <c r="P49" s="1331">
        <v>22744815</v>
      </c>
      <c r="Q49" s="1331">
        <v>23706979</v>
      </c>
      <c r="R49" s="1332">
        <v>0</v>
      </c>
      <c r="S49" s="1332">
        <v>0</v>
      </c>
      <c r="T49" s="1332">
        <v>0</v>
      </c>
      <c r="U49" s="1332">
        <v>0</v>
      </c>
      <c r="V49" s="1332">
        <v>0</v>
      </c>
      <c r="W49" s="1331">
        <v>4231460.5999999996</v>
      </c>
      <c r="X49" s="1331">
        <v>4231460.5745019997</v>
      </c>
      <c r="Y49" s="1333">
        <v>4231460.5745019997</v>
      </c>
      <c r="Z49" s="1331">
        <v>-129679.5</v>
      </c>
      <c r="AA49" s="1334">
        <v>-129679.5</v>
      </c>
      <c r="AB49" s="1332">
        <v>0</v>
      </c>
      <c r="AC49" s="1169" t="s">
        <v>1485</v>
      </c>
      <c r="AE49" s="1336">
        <f t="shared" si="30"/>
        <v>-71381.696990423996</v>
      </c>
      <c r="AF49" s="1336">
        <f t="shared" si="31"/>
        <v>71381.696990423996</v>
      </c>
      <c r="AI49" s="1336">
        <f t="shared" si="32"/>
        <v>-22744815</v>
      </c>
      <c r="AJ49" s="1336">
        <f t="shared" si="33"/>
        <v>22744815</v>
      </c>
      <c r="AN49" s="1336">
        <f t="shared" si="34"/>
        <v>0</v>
      </c>
      <c r="AO49" s="1336">
        <f t="shared" si="35"/>
        <v>0</v>
      </c>
    </row>
    <row r="50" spans="1:41" s="819" customFormat="1" ht="15.75">
      <c r="A50" s="1335"/>
      <c r="B50" s="1169" t="s">
        <v>438</v>
      </c>
      <c r="C50" s="1169" t="s">
        <v>436</v>
      </c>
      <c r="D50" s="1331">
        <v>78348</v>
      </c>
      <c r="E50" s="1331">
        <v>7573.34</v>
      </c>
      <c r="F50" s="1331">
        <v>0</v>
      </c>
      <c r="G50" s="1331">
        <v>0</v>
      </c>
      <c r="H50" s="1331">
        <v>22</v>
      </c>
      <c r="I50" s="1332">
        <v>0</v>
      </c>
      <c r="J50" s="1331">
        <v>219</v>
      </c>
      <c r="K50" s="1331">
        <v>218.99866523890901</v>
      </c>
      <c r="L50" s="1331">
        <v>119.85567715458301</v>
      </c>
      <c r="M50" s="1331">
        <v>99.142988084326305</v>
      </c>
      <c r="N50" s="1331">
        <v>0</v>
      </c>
      <c r="O50" s="1331">
        <v>78348</v>
      </c>
      <c r="P50" s="1331">
        <v>39978</v>
      </c>
      <c r="Q50" s="1331">
        <v>38370</v>
      </c>
      <c r="R50" s="1332">
        <v>0</v>
      </c>
      <c r="S50" s="1332">
        <v>0</v>
      </c>
      <c r="T50" s="1332">
        <v>0</v>
      </c>
      <c r="U50" s="1332">
        <v>0</v>
      </c>
      <c r="V50" s="1332">
        <v>0</v>
      </c>
      <c r="W50" s="1331">
        <v>7779.36</v>
      </c>
      <c r="X50" s="1331">
        <v>7779.3781159999999</v>
      </c>
      <c r="Y50" s="1333">
        <v>7779.3781159999999</v>
      </c>
      <c r="Z50" s="1331">
        <v>-206.02</v>
      </c>
      <c r="AA50" s="1334">
        <v>-206.02</v>
      </c>
      <c r="AB50" s="1332">
        <v>0</v>
      </c>
      <c r="AC50" s="1169" t="s">
        <v>1485</v>
      </c>
      <c r="AE50" s="1336">
        <f t="shared" si="30"/>
        <v>-119.85567715458301</v>
      </c>
      <c r="AF50" s="1336">
        <f t="shared" si="31"/>
        <v>119.85567715458301</v>
      </c>
      <c r="AI50" s="1336">
        <f t="shared" si="32"/>
        <v>-39978</v>
      </c>
      <c r="AJ50" s="1336">
        <f t="shared" si="33"/>
        <v>39978</v>
      </c>
      <c r="AN50" s="1336">
        <f t="shared" si="34"/>
        <v>0</v>
      </c>
      <c r="AO50" s="1336">
        <f t="shared" si="35"/>
        <v>0</v>
      </c>
    </row>
    <row r="51" spans="1:41" s="819" customFormat="1" ht="15.75">
      <c r="A51" s="1335"/>
      <c r="B51" s="1169" t="s">
        <v>438</v>
      </c>
      <c r="C51" s="1169" t="s">
        <v>615</v>
      </c>
      <c r="D51" s="1331">
        <v>164667</v>
      </c>
      <c r="E51" s="1331">
        <v>15146.45</v>
      </c>
      <c r="F51" s="1331">
        <v>0</v>
      </c>
      <c r="G51" s="1331">
        <v>0</v>
      </c>
      <c r="H51" s="1331">
        <v>6</v>
      </c>
      <c r="I51" s="1332">
        <v>0</v>
      </c>
      <c r="J51" s="1331">
        <v>587</v>
      </c>
      <c r="K51" s="1331">
        <v>587.00189524789903</v>
      </c>
      <c r="L51" s="1331">
        <v>214.487688098495</v>
      </c>
      <c r="M51" s="1331">
        <v>372.514207149404</v>
      </c>
      <c r="N51" s="1331">
        <v>264</v>
      </c>
      <c r="O51" s="1331">
        <v>164667</v>
      </c>
      <c r="P51" s="1331">
        <v>64806</v>
      </c>
      <c r="Q51" s="1331">
        <v>99861</v>
      </c>
      <c r="R51" s="1332">
        <v>0</v>
      </c>
      <c r="S51" s="1332">
        <v>0</v>
      </c>
      <c r="T51" s="1332">
        <v>0</v>
      </c>
      <c r="U51" s="1332">
        <v>0</v>
      </c>
      <c r="V51" s="1332">
        <v>0</v>
      </c>
      <c r="W51" s="1331">
        <v>15622.26</v>
      </c>
      <c r="X51" s="1331">
        <v>15622.253484999999</v>
      </c>
      <c r="Y51" s="1333">
        <v>15622.253484999999</v>
      </c>
      <c r="Z51" s="1331">
        <v>-475.81</v>
      </c>
      <c r="AA51" s="1334">
        <v>-475.81</v>
      </c>
      <c r="AB51" s="1332">
        <v>0</v>
      </c>
      <c r="AC51" s="1169" t="s">
        <v>1485</v>
      </c>
      <c r="AE51" s="1336">
        <f t="shared" si="30"/>
        <v>-214.487688098495</v>
      </c>
      <c r="AF51" s="1336">
        <f t="shared" si="31"/>
        <v>214.487688098495</v>
      </c>
      <c r="AI51" s="1336">
        <f t="shared" si="32"/>
        <v>-64806</v>
      </c>
      <c r="AJ51" s="1336">
        <f t="shared" si="33"/>
        <v>64806</v>
      </c>
      <c r="AN51" s="1336">
        <f t="shared" si="34"/>
        <v>0</v>
      </c>
      <c r="AO51" s="1336">
        <f t="shared" si="35"/>
        <v>0</v>
      </c>
    </row>
    <row r="52" spans="1:41" s="819" customFormat="1" ht="15.75">
      <c r="A52" s="1335"/>
      <c r="B52" s="1169" t="s">
        <v>438</v>
      </c>
      <c r="C52" s="1169" t="s">
        <v>1162</v>
      </c>
      <c r="D52" s="1331">
        <v>28768</v>
      </c>
      <c r="E52" s="1331">
        <v>1941.2</v>
      </c>
      <c r="F52" s="1331">
        <v>-10488</v>
      </c>
      <c r="G52" s="1331">
        <v>0</v>
      </c>
      <c r="H52" s="1331">
        <v>1</v>
      </c>
      <c r="I52" s="1332">
        <v>0</v>
      </c>
      <c r="J52" s="1331">
        <v>68</v>
      </c>
      <c r="K52" s="1331">
        <v>68.000458295142096</v>
      </c>
      <c r="L52" s="1331">
        <v>59.5</v>
      </c>
      <c r="M52" s="1331">
        <v>8.5004582951420709</v>
      </c>
      <c r="N52" s="1331">
        <v>0</v>
      </c>
      <c r="O52" s="1331">
        <v>18280</v>
      </c>
      <c r="P52" s="1331">
        <v>0</v>
      </c>
      <c r="Q52" s="1331">
        <v>0</v>
      </c>
      <c r="R52" s="1332">
        <v>18280</v>
      </c>
      <c r="S52" s="1332">
        <v>600</v>
      </c>
      <c r="T52" s="1332">
        <v>17680</v>
      </c>
      <c r="U52" s="1332">
        <v>15470</v>
      </c>
      <c r="V52" s="1332">
        <v>2210</v>
      </c>
      <c r="W52" s="1331">
        <v>2001.59</v>
      </c>
      <c r="X52" s="1331">
        <v>2001.5907199999999</v>
      </c>
      <c r="Y52" s="1333">
        <v>2001.5907199999999</v>
      </c>
      <c r="Z52" s="1331">
        <v>-60.39</v>
      </c>
      <c r="AA52" s="1334">
        <v>-60.39</v>
      </c>
      <c r="AB52" s="1332">
        <v>0</v>
      </c>
      <c r="AC52" s="1169" t="s">
        <v>1485</v>
      </c>
      <c r="AE52" s="1336">
        <f t="shared" si="30"/>
        <v>-59.5</v>
      </c>
      <c r="AF52" s="1336">
        <f t="shared" si="31"/>
        <v>59.5</v>
      </c>
      <c r="AI52" s="1336">
        <f t="shared" si="32"/>
        <v>0</v>
      </c>
      <c r="AJ52" s="1336">
        <f t="shared" si="33"/>
        <v>0</v>
      </c>
      <c r="AN52" s="1336">
        <f t="shared" si="34"/>
        <v>-15470</v>
      </c>
      <c r="AO52" s="1336">
        <f t="shared" si="35"/>
        <v>15470</v>
      </c>
    </row>
    <row r="53" spans="1:41" s="819" customFormat="1" ht="15.75">
      <c r="A53" s="1335"/>
      <c r="B53" s="1169" t="s">
        <v>428</v>
      </c>
      <c r="C53" s="1169" t="s">
        <v>702</v>
      </c>
      <c r="D53" s="1331">
        <v>692439</v>
      </c>
      <c r="E53" s="1331">
        <v>55276.93</v>
      </c>
      <c r="F53" s="1331">
        <v>0</v>
      </c>
      <c r="G53" s="1331">
        <v>0</v>
      </c>
      <c r="H53" s="1331">
        <v>8</v>
      </c>
      <c r="I53" s="1332">
        <v>0</v>
      </c>
      <c r="J53" s="1331">
        <v>1926</v>
      </c>
      <c r="K53" s="1331">
        <v>1925.9993818344601</v>
      </c>
      <c r="L53" s="1331">
        <v>1079.3953488372099</v>
      </c>
      <c r="M53" s="1331">
        <v>846.60403299724999</v>
      </c>
      <c r="N53" s="1331">
        <v>1646</v>
      </c>
      <c r="O53" s="1331">
        <v>692439</v>
      </c>
      <c r="P53" s="1331">
        <v>373410</v>
      </c>
      <c r="Q53" s="1331">
        <v>319029</v>
      </c>
      <c r="R53" s="1332">
        <v>0</v>
      </c>
      <c r="S53" s="1332">
        <v>0</v>
      </c>
      <c r="T53" s="1332">
        <v>0</v>
      </c>
      <c r="U53" s="1332">
        <v>0</v>
      </c>
      <c r="V53" s="1332">
        <v>0</v>
      </c>
      <c r="W53" s="1331">
        <v>57098.74</v>
      </c>
      <c r="X53" s="1331">
        <v>57098.729217</v>
      </c>
      <c r="Y53" s="1333">
        <v>57098.729217</v>
      </c>
      <c r="Z53" s="1331">
        <v>-1821.81</v>
      </c>
      <c r="AA53" s="1334">
        <v>-1821.81</v>
      </c>
      <c r="AB53" s="1332">
        <v>0</v>
      </c>
      <c r="AC53" s="1169" t="s">
        <v>1485</v>
      </c>
      <c r="AE53" s="1336">
        <f t="shared" si="30"/>
        <v>-1079.3953488372099</v>
      </c>
      <c r="AF53" s="1336">
        <f t="shared" si="31"/>
        <v>1079.3953488372099</v>
      </c>
      <c r="AI53" s="1336">
        <f t="shared" si="32"/>
        <v>-373410</v>
      </c>
      <c r="AJ53" s="1336">
        <f t="shared" si="33"/>
        <v>373410</v>
      </c>
      <c r="AN53" s="1336">
        <f t="shared" si="34"/>
        <v>0</v>
      </c>
      <c r="AO53" s="1336">
        <f t="shared" si="35"/>
        <v>0</v>
      </c>
    </row>
    <row r="54" spans="1:41" s="819" customFormat="1" ht="15.75">
      <c r="A54" s="1335"/>
      <c r="B54" s="1169" t="s">
        <v>428</v>
      </c>
      <c r="C54" s="1169" t="s">
        <v>854</v>
      </c>
      <c r="D54" s="1331">
        <v>7722849</v>
      </c>
      <c r="E54" s="1331">
        <v>616085.68999999994</v>
      </c>
      <c r="F54" s="1331">
        <v>0</v>
      </c>
      <c r="G54" s="1331">
        <v>-25.2</v>
      </c>
      <c r="H54" s="1331">
        <v>289.433333333333</v>
      </c>
      <c r="I54" s="1332">
        <v>0</v>
      </c>
      <c r="J54" s="1331">
        <v>20004.9356435644</v>
      </c>
      <c r="K54" s="1331">
        <v>20004.940943874801</v>
      </c>
      <c r="L54" s="1331">
        <v>10154.9418604651</v>
      </c>
      <c r="M54" s="1331">
        <v>9849.9990834097207</v>
      </c>
      <c r="N54" s="1331">
        <v>0</v>
      </c>
      <c r="O54" s="1331">
        <v>7722849</v>
      </c>
      <c r="P54" s="1331">
        <v>3933946</v>
      </c>
      <c r="Q54" s="1331">
        <v>3788903</v>
      </c>
      <c r="R54" s="1332">
        <v>0</v>
      </c>
      <c r="S54" s="1332">
        <v>0</v>
      </c>
      <c r="T54" s="1332">
        <v>0</v>
      </c>
      <c r="U54" s="1332">
        <v>0</v>
      </c>
      <c r="V54" s="1332">
        <v>0</v>
      </c>
      <c r="W54" s="1331">
        <v>635521.05000000005</v>
      </c>
      <c r="X54" s="1331">
        <v>635521.057271</v>
      </c>
      <c r="Y54" s="1333">
        <v>635521.057271</v>
      </c>
      <c r="Z54" s="1331">
        <v>-19460.560000000001</v>
      </c>
      <c r="AA54" s="1334">
        <v>-19460.560000000001</v>
      </c>
      <c r="AB54" s="1332">
        <v>0</v>
      </c>
      <c r="AC54" s="1169" t="s">
        <v>1485</v>
      </c>
      <c r="AE54" s="1336">
        <f t="shared" si="30"/>
        <v>-10154.9418604651</v>
      </c>
      <c r="AF54" s="1336">
        <f t="shared" si="31"/>
        <v>10154.9418604651</v>
      </c>
      <c r="AI54" s="1336">
        <f t="shared" si="32"/>
        <v>-3933946</v>
      </c>
      <c r="AJ54" s="1336">
        <f t="shared" si="33"/>
        <v>3933946</v>
      </c>
      <c r="AN54" s="1336">
        <f t="shared" si="34"/>
        <v>0</v>
      </c>
      <c r="AO54" s="1336">
        <f t="shared" si="35"/>
        <v>0</v>
      </c>
    </row>
    <row r="55" spans="1:41" s="819" customFormat="1" ht="15.75">
      <c r="A55" s="1335"/>
      <c r="B55" s="1169" t="s">
        <v>428</v>
      </c>
      <c r="C55" s="1169" t="s">
        <v>975</v>
      </c>
      <c r="D55" s="1331">
        <v>237880</v>
      </c>
      <c r="E55" s="1331">
        <v>21201.87</v>
      </c>
      <c r="F55" s="1331">
        <v>0</v>
      </c>
      <c r="G55" s="1331">
        <v>0</v>
      </c>
      <c r="H55" s="1331">
        <v>12</v>
      </c>
      <c r="I55" s="1332">
        <v>0</v>
      </c>
      <c r="J55" s="1331">
        <v>757</v>
      </c>
      <c r="K55" s="1331">
        <v>757.00035359570495</v>
      </c>
      <c r="L55" s="1331">
        <v>306.38440492476099</v>
      </c>
      <c r="M55" s="1331">
        <v>450.61594867094402</v>
      </c>
      <c r="N55" s="1331">
        <v>0</v>
      </c>
      <c r="O55" s="1331">
        <v>237880</v>
      </c>
      <c r="P55" s="1331">
        <v>132518</v>
      </c>
      <c r="Q55" s="1331">
        <v>105362</v>
      </c>
      <c r="R55" s="1332">
        <v>0</v>
      </c>
      <c r="S55" s="1332">
        <v>0</v>
      </c>
      <c r="T55" s="1332">
        <v>0</v>
      </c>
      <c r="U55" s="1332">
        <v>0</v>
      </c>
      <c r="V55" s="1332">
        <v>0</v>
      </c>
      <c r="W55" s="1331">
        <v>21857.11</v>
      </c>
      <c r="X55" s="1331">
        <v>21857.090552000001</v>
      </c>
      <c r="Y55" s="1333">
        <v>21857.090552000001</v>
      </c>
      <c r="Z55" s="1331">
        <v>-655.24</v>
      </c>
      <c r="AA55" s="1334">
        <v>-655.24</v>
      </c>
      <c r="AB55" s="1332">
        <v>0</v>
      </c>
      <c r="AC55" s="1169" t="s">
        <v>1485</v>
      </c>
      <c r="AE55" s="1336">
        <f t="shared" si="30"/>
        <v>-306.38440492476099</v>
      </c>
      <c r="AF55" s="1336">
        <f t="shared" si="31"/>
        <v>306.38440492476099</v>
      </c>
      <c r="AI55" s="1336">
        <f t="shared" si="32"/>
        <v>-132518</v>
      </c>
      <c r="AJ55" s="1336">
        <f t="shared" si="33"/>
        <v>132518</v>
      </c>
      <c r="AN55" s="1336">
        <f t="shared" si="34"/>
        <v>0</v>
      </c>
      <c r="AO55" s="1336">
        <f t="shared" si="35"/>
        <v>0</v>
      </c>
    </row>
    <row r="56" spans="1:41" s="819" customFormat="1">
      <c r="A56" s="1169" t="s">
        <v>296</v>
      </c>
      <c r="B56" s="1169" t="s">
        <v>429</v>
      </c>
      <c r="C56" s="1169" t="s">
        <v>129</v>
      </c>
      <c r="D56" s="1331">
        <v>274233</v>
      </c>
      <c r="E56" s="1331">
        <v>24500.74</v>
      </c>
      <c r="F56" s="1331">
        <v>0</v>
      </c>
      <c r="G56" s="1331">
        <v>0</v>
      </c>
      <c r="H56" s="1331">
        <v>14</v>
      </c>
      <c r="I56" s="1332">
        <v>0</v>
      </c>
      <c r="J56" s="1331">
        <v>1145</v>
      </c>
      <c r="K56" s="1331">
        <v>815.00046331068404</v>
      </c>
      <c r="L56" s="1331">
        <v>278.04445964432301</v>
      </c>
      <c r="M56" s="1331">
        <v>536.95600366636097</v>
      </c>
      <c r="N56" s="1331">
        <v>0</v>
      </c>
      <c r="O56" s="1331">
        <v>274233</v>
      </c>
      <c r="P56" s="1331">
        <v>91956</v>
      </c>
      <c r="Q56" s="1331">
        <v>182277</v>
      </c>
      <c r="R56" s="1332">
        <v>0</v>
      </c>
      <c r="S56" s="1332">
        <v>0</v>
      </c>
      <c r="T56" s="1332">
        <v>0</v>
      </c>
      <c r="U56" s="1332">
        <v>0</v>
      </c>
      <c r="V56" s="1332">
        <v>0</v>
      </c>
      <c r="W56" s="1331">
        <v>25216.77</v>
      </c>
      <c r="X56" s="1331">
        <v>25216.767023</v>
      </c>
      <c r="Y56" s="1333">
        <v>25216.767023</v>
      </c>
      <c r="Z56" s="1331">
        <v>-716.03</v>
      </c>
      <c r="AA56" s="1334">
        <v>-716.03</v>
      </c>
      <c r="AB56" s="1332">
        <v>0</v>
      </c>
      <c r="AC56" s="1169" t="s">
        <v>1485</v>
      </c>
      <c r="AE56" s="1336">
        <f t="shared" si="30"/>
        <v>-278.04445964432301</v>
      </c>
      <c r="AF56" s="1336">
        <f t="shared" si="31"/>
        <v>278.04445964432301</v>
      </c>
      <c r="AI56" s="1336">
        <f t="shared" si="32"/>
        <v>-91956</v>
      </c>
      <c r="AJ56" s="1336">
        <f t="shared" si="33"/>
        <v>91956</v>
      </c>
      <c r="AN56" s="1336">
        <f t="shared" si="34"/>
        <v>0</v>
      </c>
      <c r="AO56" s="1336">
        <f t="shared" si="35"/>
        <v>0</v>
      </c>
    </row>
    <row r="57" spans="1:41" s="819" customFormat="1" ht="15.75">
      <c r="A57" s="1335"/>
      <c r="B57" s="1169" t="s">
        <v>438</v>
      </c>
      <c r="C57" s="1169" t="s">
        <v>129</v>
      </c>
      <c r="D57" s="1331">
        <v>0</v>
      </c>
      <c r="E57" s="1331">
        <v>0</v>
      </c>
      <c r="F57" s="1331">
        <v>0</v>
      </c>
      <c r="G57" s="1331">
        <v>0</v>
      </c>
      <c r="H57" s="1331">
        <v>0</v>
      </c>
      <c r="I57" s="1332">
        <v>0</v>
      </c>
      <c r="J57" s="1331">
        <v>0</v>
      </c>
      <c r="K57" s="1331">
        <v>0</v>
      </c>
      <c r="L57" s="1331">
        <v>0</v>
      </c>
      <c r="M57" s="1331">
        <v>0</v>
      </c>
      <c r="N57" s="1331">
        <v>0</v>
      </c>
      <c r="O57" s="1331">
        <v>0</v>
      </c>
      <c r="P57" s="1331">
        <v>0</v>
      </c>
      <c r="Q57" s="1331">
        <v>0</v>
      </c>
      <c r="R57" s="1332">
        <v>0</v>
      </c>
      <c r="S57" s="1332">
        <v>0</v>
      </c>
      <c r="T57" s="1332">
        <v>0</v>
      </c>
      <c r="U57" s="1332">
        <v>0</v>
      </c>
      <c r="V57" s="1332">
        <v>0</v>
      </c>
      <c r="W57" s="1331">
        <v>0</v>
      </c>
      <c r="X57" s="1331">
        <v>0</v>
      </c>
      <c r="Y57" s="1333">
        <v>0</v>
      </c>
      <c r="Z57" s="1331">
        <v>0</v>
      </c>
      <c r="AA57" s="1334">
        <v>0</v>
      </c>
      <c r="AB57" s="1332">
        <v>0</v>
      </c>
      <c r="AC57" s="1169" t="s">
        <v>1485</v>
      </c>
      <c r="AE57" s="1336">
        <f t="shared" si="30"/>
        <v>0</v>
      </c>
      <c r="AF57" s="1336">
        <f t="shared" si="31"/>
        <v>0</v>
      </c>
      <c r="AI57" s="1336">
        <f t="shared" si="32"/>
        <v>0</v>
      </c>
      <c r="AJ57" s="1336">
        <f t="shared" si="33"/>
        <v>0</v>
      </c>
      <c r="AN57" s="1336">
        <f t="shared" si="34"/>
        <v>0</v>
      </c>
      <c r="AO57" s="1336">
        <f t="shared" si="35"/>
        <v>0</v>
      </c>
    </row>
    <row r="58" spans="1:41" s="819" customFormat="1" ht="15.75">
      <c r="A58" s="1335"/>
      <c r="B58" s="1169" t="s">
        <v>428</v>
      </c>
      <c r="C58" s="1169" t="s">
        <v>976</v>
      </c>
      <c r="D58" s="1331">
        <v>813</v>
      </c>
      <c r="E58" s="1331">
        <v>172.63</v>
      </c>
      <c r="F58" s="1331">
        <v>0</v>
      </c>
      <c r="G58" s="1331">
        <v>0</v>
      </c>
      <c r="H58" s="1331">
        <v>1</v>
      </c>
      <c r="I58" s="1332">
        <v>0</v>
      </c>
      <c r="J58" s="1331">
        <v>19</v>
      </c>
      <c r="K58" s="1331">
        <v>0.99972727990861698</v>
      </c>
      <c r="L58" s="1331">
        <v>0.64500683994527996</v>
      </c>
      <c r="M58" s="1331">
        <v>0.35472043996333602</v>
      </c>
      <c r="N58" s="1331">
        <v>0</v>
      </c>
      <c r="O58" s="1331">
        <v>813</v>
      </c>
      <c r="P58" s="1331">
        <v>525</v>
      </c>
      <c r="Q58" s="1331">
        <v>288</v>
      </c>
      <c r="R58" s="1332">
        <v>0</v>
      </c>
      <c r="S58" s="1332">
        <v>0</v>
      </c>
      <c r="T58" s="1332">
        <v>0</v>
      </c>
      <c r="U58" s="1332">
        <v>0</v>
      </c>
      <c r="V58" s="1332">
        <v>0</v>
      </c>
      <c r="W58" s="1331">
        <v>174.2</v>
      </c>
      <c r="X58" s="1331">
        <v>174.19785899999999</v>
      </c>
      <c r="Y58" s="1333">
        <v>174.19785899999999</v>
      </c>
      <c r="Z58" s="1331">
        <v>-1.57</v>
      </c>
      <c r="AA58" s="1334">
        <v>-1.57</v>
      </c>
      <c r="AB58" s="1332">
        <v>0</v>
      </c>
      <c r="AC58" s="1169" t="s">
        <v>1485</v>
      </c>
      <c r="AE58" s="1336">
        <f t="shared" si="30"/>
        <v>-0.64500683994527996</v>
      </c>
      <c r="AF58" s="1336">
        <f t="shared" si="31"/>
        <v>0.64500683994527996</v>
      </c>
      <c r="AI58" s="1336">
        <f t="shared" si="32"/>
        <v>-525</v>
      </c>
      <c r="AJ58" s="1336">
        <f t="shared" si="33"/>
        <v>525</v>
      </c>
      <c r="AN58" s="1336">
        <f t="shared" si="34"/>
        <v>0</v>
      </c>
      <c r="AO58" s="1336">
        <f t="shared" si="35"/>
        <v>0</v>
      </c>
    </row>
    <row r="59" spans="1:41">
      <c r="A59" s="1156" t="s">
        <v>295</v>
      </c>
      <c r="B59" s="1156" t="s">
        <v>429</v>
      </c>
      <c r="C59" s="1156" t="s">
        <v>1226</v>
      </c>
      <c r="D59" s="1157">
        <v>82760</v>
      </c>
      <c r="E59" s="1157">
        <v>13969.35</v>
      </c>
      <c r="F59" s="1157">
        <v>0</v>
      </c>
      <c r="G59" s="1157">
        <v>0</v>
      </c>
      <c r="H59" s="1157">
        <v>2.4666666666666699</v>
      </c>
      <c r="I59" s="1180">
        <v>3</v>
      </c>
      <c r="J59" s="1157">
        <v>595</v>
      </c>
      <c r="K59" s="1157">
        <v>595</v>
      </c>
      <c r="L59" s="1157">
        <v>595</v>
      </c>
      <c r="M59" s="1157">
        <v>0</v>
      </c>
      <c r="N59" s="1157">
        <v>0</v>
      </c>
      <c r="O59" s="1157">
        <v>82760</v>
      </c>
      <c r="P59" s="1157">
        <v>82760</v>
      </c>
      <c r="Q59" s="1157">
        <v>0</v>
      </c>
      <c r="R59" s="1180">
        <v>0</v>
      </c>
      <c r="S59" s="1180">
        <v>0</v>
      </c>
      <c r="T59" s="1180">
        <v>0</v>
      </c>
      <c r="U59" s="1180">
        <v>0</v>
      </c>
      <c r="V59" s="1180">
        <v>0</v>
      </c>
      <c r="W59" s="1157">
        <v>14397.28</v>
      </c>
      <c r="X59" s="1157">
        <v>14397.29052</v>
      </c>
      <c r="Y59" s="1158">
        <v>14397.29052</v>
      </c>
      <c r="Z59" s="1157">
        <v>-427.93</v>
      </c>
      <c r="AA59" s="1159">
        <v>-427.93</v>
      </c>
      <c r="AB59" s="1180">
        <v>0</v>
      </c>
      <c r="AC59" s="1156" t="s">
        <v>1486</v>
      </c>
      <c r="AE59" s="1337">
        <f>-IF(K43=0,0,L59*M43/K43)</f>
        <v>-234.11550891758361</v>
      </c>
      <c r="AF59" s="1337">
        <f t="shared" si="31"/>
        <v>234.11550891758361</v>
      </c>
      <c r="AG59" s="1337"/>
      <c r="AH59" s="1337"/>
      <c r="AI59" s="1337">
        <f>-IF(O43=0,0,P59*Q43/O43)</f>
        <v>-36853.4348112851</v>
      </c>
      <c r="AJ59" s="1337">
        <f t="shared" si="33"/>
        <v>36853.4348112851</v>
      </c>
      <c r="AK59" s="1337"/>
      <c r="AL59" s="1337"/>
      <c r="AM59" s="1337"/>
      <c r="AN59" s="1337">
        <f>-IF(T43=0,0,U59*V43/T43)</f>
        <v>0</v>
      </c>
      <c r="AO59" s="1337">
        <f t="shared" si="35"/>
        <v>0</v>
      </c>
    </row>
    <row r="60" spans="1:41" ht="15.75">
      <c r="A60" s="371"/>
      <c r="B60" s="1156" t="s">
        <v>429</v>
      </c>
      <c r="C60" s="1156" t="s">
        <v>1227</v>
      </c>
      <c r="D60" s="1157">
        <v>436279</v>
      </c>
      <c r="E60" s="1157">
        <v>48130.38</v>
      </c>
      <c r="F60" s="1157">
        <v>0</v>
      </c>
      <c r="G60" s="1157">
        <v>0</v>
      </c>
      <c r="H60" s="1157">
        <v>15.2</v>
      </c>
      <c r="I60" s="1180">
        <v>0</v>
      </c>
      <c r="J60" s="1157">
        <v>1724.8985148514901</v>
      </c>
      <c r="K60" s="1157">
        <v>1724.9001367989099</v>
      </c>
      <c r="L60" s="1157">
        <v>1724.9001367989099</v>
      </c>
      <c r="M60" s="1157">
        <v>0</v>
      </c>
      <c r="N60" s="1157">
        <v>0</v>
      </c>
      <c r="O60" s="1157">
        <v>436279</v>
      </c>
      <c r="P60" s="1157">
        <v>436211</v>
      </c>
      <c r="Q60" s="1157">
        <v>68</v>
      </c>
      <c r="R60" s="1180">
        <v>0</v>
      </c>
      <c r="S60" s="1180">
        <v>0</v>
      </c>
      <c r="T60" s="1180">
        <v>0</v>
      </c>
      <c r="U60" s="1180">
        <v>0</v>
      </c>
      <c r="V60" s="1180">
        <v>0</v>
      </c>
      <c r="W60" s="1157">
        <v>49641.23</v>
      </c>
      <c r="X60" s="1157">
        <v>49641.236520999999</v>
      </c>
      <c r="Y60" s="1158">
        <v>49641.236520999999</v>
      </c>
      <c r="Z60" s="1157">
        <v>-1510.85</v>
      </c>
      <c r="AA60" s="1159">
        <v>-1510.85</v>
      </c>
      <c r="AB60" s="1180">
        <v>0</v>
      </c>
      <c r="AC60" s="1156" t="s">
        <v>1486</v>
      </c>
      <c r="AE60" s="1337">
        <f t="shared" ref="AE60:AE72" si="36">-IF(K44=0,0,L60*M44/K44)</f>
        <v>-850.49665909046541</v>
      </c>
      <c r="AF60" s="1337">
        <f t="shared" si="31"/>
        <v>850.49665909046541</v>
      </c>
      <c r="AG60" s="1337"/>
      <c r="AH60" s="1337"/>
      <c r="AI60" s="1337">
        <f t="shared" ref="AI60:AI72" si="37">-IF(O44=0,0,P60*Q44/O44)</f>
        <v>-214439.03296661074</v>
      </c>
      <c r="AJ60" s="1337">
        <f t="shared" si="33"/>
        <v>214439.03296661074</v>
      </c>
      <c r="AK60" s="1337"/>
      <c r="AL60" s="1337"/>
      <c r="AM60" s="1337"/>
      <c r="AN60" s="1337">
        <f t="shared" ref="AN60:AN72" si="38">-IF(T44=0,0,U60*V44/T44)</f>
        <v>0</v>
      </c>
      <c r="AO60" s="1337">
        <f t="shared" si="35"/>
        <v>0</v>
      </c>
    </row>
    <row r="61" spans="1:41" ht="15.75">
      <c r="A61" s="371"/>
      <c r="B61" s="1156" t="s">
        <v>429</v>
      </c>
      <c r="C61" s="1156" t="s">
        <v>137</v>
      </c>
      <c r="D61" s="1157">
        <v>405177000</v>
      </c>
      <c r="E61" s="1157">
        <v>36962208.719999999</v>
      </c>
      <c r="F61" s="1157">
        <v>0</v>
      </c>
      <c r="G61" s="1157">
        <v>0</v>
      </c>
      <c r="H61" s="1157">
        <v>11231.8</v>
      </c>
      <c r="I61" s="1180">
        <v>0</v>
      </c>
      <c r="J61" s="1157">
        <v>1185385.2970296999</v>
      </c>
      <c r="K61" s="1157">
        <v>1185385.29799591</v>
      </c>
      <c r="L61" s="1157">
        <v>1185304.7975376199</v>
      </c>
      <c r="M61" s="1157">
        <v>80.500458295142096</v>
      </c>
      <c r="N61" s="1157">
        <v>29324.333333333299</v>
      </c>
      <c r="O61" s="1157">
        <v>405177000</v>
      </c>
      <c r="P61" s="1157">
        <v>405163777</v>
      </c>
      <c r="Q61" s="1157">
        <v>13223</v>
      </c>
      <c r="R61" s="1180">
        <v>0</v>
      </c>
      <c r="S61" s="1180">
        <v>0</v>
      </c>
      <c r="T61" s="1180">
        <v>0</v>
      </c>
      <c r="U61" s="1180">
        <v>0</v>
      </c>
      <c r="V61" s="1180">
        <v>0</v>
      </c>
      <c r="W61" s="1157">
        <v>38145501.189999998</v>
      </c>
      <c r="X61" s="1157">
        <v>38145500.861567996</v>
      </c>
      <c r="Y61" s="1158">
        <v>38145500.861567996</v>
      </c>
      <c r="Z61" s="1157">
        <v>-1183292.47</v>
      </c>
      <c r="AA61" s="1159">
        <v>-1183292.47</v>
      </c>
      <c r="AB61" s="1180">
        <v>0</v>
      </c>
      <c r="AC61" s="1156" t="s">
        <v>1486</v>
      </c>
      <c r="AE61" s="1337">
        <f t="shared" si="36"/>
        <v>-631667.19187289069</v>
      </c>
      <c r="AF61" s="1337">
        <f t="shared" si="31"/>
        <v>631667.19187289069</v>
      </c>
      <c r="AG61" s="1337"/>
      <c r="AH61" s="1337"/>
      <c r="AI61" s="1337">
        <f t="shared" si="37"/>
        <v>-217899244.23592469</v>
      </c>
      <c r="AJ61" s="1337">
        <f t="shared" si="33"/>
        <v>217899244.23592469</v>
      </c>
      <c r="AK61" s="1337"/>
      <c r="AL61" s="1337"/>
      <c r="AM61" s="1337"/>
      <c r="AN61" s="1337">
        <f t="shared" si="38"/>
        <v>0</v>
      </c>
      <c r="AO61" s="1337">
        <f t="shared" si="35"/>
        <v>0</v>
      </c>
    </row>
    <row r="62" spans="1:41" ht="15.75">
      <c r="A62" s="371"/>
      <c r="B62" s="1156" t="s">
        <v>429</v>
      </c>
      <c r="C62" s="1156" t="s">
        <v>436</v>
      </c>
      <c r="D62" s="1157">
        <v>3174319</v>
      </c>
      <c r="E62" s="1157">
        <v>271993.76</v>
      </c>
      <c r="F62" s="1157">
        <v>0</v>
      </c>
      <c r="G62" s="1157">
        <v>0</v>
      </c>
      <c r="H62" s="1157">
        <v>668.43333333333305</v>
      </c>
      <c r="I62" s="1180">
        <v>0</v>
      </c>
      <c r="J62" s="1157">
        <v>6579.0668316831698</v>
      </c>
      <c r="K62" s="1157">
        <v>6579.0663474692201</v>
      </c>
      <c r="L62" s="1157">
        <v>6579.0663474692201</v>
      </c>
      <c r="M62" s="1157">
        <v>0</v>
      </c>
      <c r="N62" s="1157">
        <v>55</v>
      </c>
      <c r="O62" s="1157">
        <v>3174319</v>
      </c>
      <c r="P62" s="1157">
        <v>3174319</v>
      </c>
      <c r="Q62" s="1157">
        <v>0</v>
      </c>
      <c r="R62" s="1180">
        <v>0</v>
      </c>
      <c r="S62" s="1180">
        <v>0</v>
      </c>
      <c r="T62" s="1180">
        <v>0</v>
      </c>
      <c r="U62" s="1180">
        <v>0</v>
      </c>
      <c r="V62" s="1180">
        <v>0</v>
      </c>
      <c r="W62" s="1157">
        <v>279835.18</v>
      </c>
      <c r="X62" s="1157">
        <v>279835.240513</v>
      </c>
      <c r="Y62" s="1158">
        <v>279835.240513</v>
      </c>
      <c r="Z62" s="1157">
        <v>-7841.42</v>
      </c>
      <c r="AA62" s="1159">
        <v>-7841.42</v>
      </c>
      <c r="AB62" s="1180">
        <v>0</v>
      </c>
      <c r="AC62" s="1156" t="s">
        <v>1486</v>
      </c>
      <c r="AE62" s="1337">
        <f t="shared" si="36"/>
        <v>-3366.0993886726183</v>
      </c>
      <c r="AF62" s="1337">
        <f t="shared" si="31"/>
        <v>3366.0993886726183</v>
      </c>
      <c r="AG62" s="1337"/>
      <c r="AH62" s="1337"/>
      <c r="AI62" s="1337">
        <f t="shared" si="37"/>
        <v>-1618305.745473431</v>
      </c>
      <c r="AJ62" s="1337">
        <f t="shared" si="33"/>
        <v>1618305.745473431</v>
      </c>
      <c r="AK62" s="1337"/>
      <c r="AL62" s="1337"/>
      <c r="AM62" s="1337"/>
      <c r="AN62" s="1337">
        <f t="shared" si="38"/>
        <v>0</v>
      </c>
      <c r="AO62" s="1337">
        <f t="shared" si="35"/>
        <v>0</v>
      </c>
    </row>
    <row r="63" spans="1:41" ht="15.75">
      <c r="A63" s="371"/>
      <c r="B63" s="1156" t="s">
        <v>429</v>
      </c>
      <c r="C63" s="1156" t="s">
        <v>615</v>
      </c>
      <c r="D63" s="1157">
        <v>9237852</v>
      </c>
      <c r="E63" s="1157">
        <v>912670.07</v>
      </c>
      <c r="F63" s="1157">
        <v>0</v>
      </c>
      <c r="G63" s="1157">
        <v>0</v>
      </c>
      <c r="H63" s="1157">
        <v>264</v>
      </c>
      <c r="I63" s="1180">
        <v>0</v>
      </c>
      <c r="J63" s="1157">
        <v>30875</v>
      </c>
      <c r="K63" s="1157">
        <v>30875</v>
      </c>
      <c r="L63" s="1157">
        <v>30875</v>
      </c>
      <c r="M63" s="1157">
        <v>0</v>
      </c>
      <c r="N63" s="1157">
        <v>953</v>
      </c>
      <c r="O63" s="1157">
        <v>9237852</v>
      </c>
      <c r="P63" s="1157">
        <v>9237852</v>
      </c>
      <c r="Q63" s="1157">
        <v>0</v>
      </c>
      <c r="R63" s="1180">
        <v>0</v>
      </c>
      <c r="S63" s="1180">
        <v>0</v>
      </c>
      <c r="T63" s="1180">
        <v>0</v>
      </c>
      <c r="U63" s="1180">
        <v>0</v>
      </c>
      <c r="V63" s="1180">
        <v>0</v>
      </c>
      <c r="W63" s="1157">
        <v>941680.23</v>
      </c>
      <c r="X63" s="1157">
        <v>941680.20320400002</v>
      </c>
      <c r="Y63" s="1158">
        <v>941680.20320400002</v>
      </c>
      <c r="Z63" s="1157">
        <v>-29010.16</v>
      </c>
      <c r="AA63" s="1159">
        <v>-29010.16</v>
      </c>
      <c r="AB63" s="1180">
        <v>0</v>
      </c>
      <c r="AC63" s="1156" t="s">
        <v>1486</v>
      </c>
      <c r="AE63" s="1337">
        <f t="shared" si="36"/>
        <v>0</v>
      </c>
      <c r="AF63" s="1337">
        <f t="shared" si="31"/>
        <v>0</v>
      </c>
      <c r="AG63" s="1337"/>
      <c r="AH63" s="1337"/>
      <c r="AI63" s="1337">
        <f t="shared" si="37"/>
        <v>0</v>
      </c>
      <c r="AJ63" s="1337">
        <f t="shared" si="33"/>
        <v>0</v>
      </c>
      <c r="AK63" s="1337"/>
      <c r="AL63" s="1337"/>
      <c r="AM63" s="1337"/>
      <c r="AN63" s="1337">
        <f t="shared" si="38"/>
        <v>0</v>
      </c>
      <c r="AO63" s="1337">
        <f t="shared" si="35"/>
        <v>0</v>
      </c>
    </row>
    <row r="64" spans="1:41" ht="15.75">
      <c r="A64" s="371"/>
      <c r="B64" s="1156" t="s">
        <v>429</v>
      </c>
      <c r="C64" s="1156" t="s">
        <v>1162</v>
      </c>
      <c r="D64" s="1157">
        <v>302080</v>
      </c>
      <c r="E64" s="1157">
        <v>39867.5</v>
      </c>
      <c r="F64" s="1157">
        <v>-18400</v>
      </c>
      <c r="G64" s="1157">
        <v>0</v>
      </c>
      <c r="H64" s="1157">
        <v>9</v>
      </c>
      <c r="I64" s="1180">
        <v>0</v>
      </c>
      <c r="J64" s="1157">
        <v>1291</v>
      </c>
      <c r="K64" s="1157">
        <v>1291</v>
      </c>
      <c r="L64" s="1157">
        <v>1291</v>
      </c>
      <c r="M64" s="1157">
        <v>0</v>
      </c>
      <c r="N64" s="1157">
        <v>0</v>
      </c>
      <c r="O64" s="1157">
        <v>283680</v>
      </c>
      <c r="P64" s="1157">
        <v>0</v>
      </c>
      <c r="Q64" s="1157">
        <v>0</v>
      </c>
      <c r="R64" s="1180">
        <v>279120</v>
      </c>
      <c r="S64" s="1180">
        <v>179000</v>
      </c>
      <c r="T64" s="1180">
        <v>100120</v>
      </c>
      <c r="U64" s="1180">
        <v>100120</v>
      </c>
      <c r="V64" s="1180">
        <v>0</v>
      </c>
      <c r="W64" s="1157">
        <v>41147.089999999997</v>
      </c>
      <c r="X64" s="1157">
        <v>41147.08524</v>
      </c>
      <c r="Y64" s="1158">
        <v>41147.08524</v>
      </c>
      <c r="Z64" s="1157">
        <v>-1279.5899999999999</v>
      </c>
      <c r="AA64" s="1159">
        <v>-1279.5899999999999</v>
      </c>
      <c r="AB64" s="1180">
        <v>0</v>
      </c>
      <c r="AC64" s="1156" t="s">
        <v>1486</v>
      </c>
      <c r="AE64" s="1337">
        <f t="shared" si="36"/>
        <v>-710.1345242579556</v>
      </c>
      <c r="AF64" s="1337">
        <f t="shared" si="31"/>
        <v>710.1345242579556</v>
      </c>
      <c r="AG64" s="1337"/>
      <c r="AH64" s="1337"/>
      <c r="AI64" s="1337">
        <f t="shared" si="37"/>
        <v>0</v>
      </c>
      <c r="AJ64" s="1337">
        <f t="shared" si="33"/>
        <v>0</v>
      </c>
      <c r="AK64" s="1337"/>
      <c r="AL64" s="1337"/>
      <c r="AM64" s="1337"/>
      <c r="AN64" s="1337">
        <f t="shared" si="38"/>
        <v>-55844.637948043404</v>
      </c>
      <c r="AO64" s="1337">
        <f t="shared" si="35"/>
        <v>55844.637948043404</v>
      </c>
    </row>
    <row r="65" spans="1:41" ht="15.75">
      <c r="A65" s="371"/>
      <c r="B65" s="1156" t="s">
        <v>438</v>
      </c>
      <c r="C65" s="1156" t="s">
        <v>137</v>
      </c>
      <c r="D65" s="1157">
        <v>48204667</v>
      </c>
      <c r="E65" s="1157">
        <v>4593684.78</v>
      </c>
      <c r="F65" s="1157">
        <v>0</v>
      </c>
      <c r="G65" s="1157">
        <v>0</v>
      </c>
      <c r="H65" s="1157">
        <v>959.6</v>
      </c>
      <c r="I65" s="1180">
        <v>0</v>
      </c>
      <c r="J65" s="1157">
        <v>153642.53217821801</v>
      </c>
      <c r="K65" s="1157">
        <v>153642.53351573201</v>
      </c>
      <c r="L65" s="1157">
        <v>153642.53351573201</v>
      </c>
      <c r="M65" s="1157">
        <v>0</v>
      </c>
      <c r="N65" s="1157">
        <v>16213</v>
      </c>
      <c r="O65" s="1157">
        <v>48204667</v>
      </c>
      <c r="P65" s="1157">
        <v>48204667</v>
      </c>
      <c r="Q65" s="1157">
        <v>0</v>
      </c>
      <c r="R65" s="1180">
        <v>0</v>
      </c>
      <c r="S65" s="1180">
        <v>0</v>
      </c>
      <c r="T65" s="1180">
        <v>0</v>
      </c>
      <c r="U65" s="1180">
        <v>0</v>
      </c>
      <c r="V65" s="1180">
        <v>0</v>
      </c>
      <c r="W65" s="1157">
        <v>4741122.84</v>
      </c>
      <c r="X65" s="1157">
        <v>4741122.9287090003</v>
      </c>
      <c r="Y65" s="1158">
        <v>4741122.9287090003</v>
      </c>
      <c r="Z65" s="1157">
        <v>-147438.06</v>
      </c>
      <c r="AA65" s="1159">
        <v>-147438.06</v>
      </c>
      <c r="AB65" s="1180">
        <v>0</v>
      </c>
      <c r="AC65" s="1156" t="s">
        <v>1486</v>
      </c>
      <c r="AE65" s="1337">
        <f t="shared" si="36"/>
        <v>-80104.006087173184</v>
      </c>
      <c r="AF65" s="1337">
        <f t="shared" si="31"/>
        <v>80104.006087173184</v>
      </c>
      <c r="AG65" s="1337"/>
      <c r="AH65" s="1337"/>
      <c r="AI65" s="1337">
        <f t="shared" si="37"/>
        <v>-24601569.279993642</v>
      </c>
      <c r="AJ65" s="1337">
        <f t="shared" si="33"/>
        <v>24601569.279993642</v>
      </c>
      <c r="AK65" s="1337"/>
      <c r="AL65" s="1337"/>
      <c r="AM65" s="1337"/>
      <c r="AN65" s="1337">
        <f t="shared" si="38"/>
        <v>0</v>
      </c>
      <c r="AO65" s="1337">
        <f t="shared" si="35"/>
        <v>0</v>
      </c>
    </row>
    <row r="66" spans="1:41" ht="15.75">
      <c r="A66" s="371"/>
      <c r="B66" s="1156" t="s">
        <v>438</v>
      </c>
      <c r="C66" s="1156" t="s">
        <v>436</v>
      </c>
      <c r="D66" s="1157">
        <v>76810</v>
      </c>
      <c r="E66" s="1157">
        <v>7691.65</v>
      </c>
      <c r="F66" s="1157">
        <v>0</v>
      </c>
      <c r="G66" s="1157">
        <v>0</v>
      </c>
      <c r="H66" s="1157">
        <v>22</v>
      </c>
      <c r="I66" s="1180">
        <v>0</v>
      </c>
      <c r="J66" s="1157">
        <v>203</v>
      </c>
      <c r="K66" s="1157">
        <v>203</v>
      </c>
      <c r="L66" s="1157">
        <v>203</v>
      </c>
      <c r="M66" s="1157">
        <v>0</v>
      </c>
      <c r="N66" s="1157">
        <v>0</v>
      </c>
      <c r="O66" s="1157">
        <v>76810</v>
      </c>
      <c r="P66" s="1157">
        <v>76810</v>
      </c>
      <c r="Q66" s="1157">
        <v>0</v>
      </c>
      <c r="R66" s="1180">
        <v>0</v>
      </c>
      <c r="S66" s="1180">
        <v>0</v>
      </c>
      <c r="T66" s="1180">
        <v>0</v>
      </c>
      <c r="U66" s="1180">
        <v>0</v>
      </c>
      <c r="V66" s="1180">
        <v>0</v>
      </c>
      <c r="W66" s="1157">
        <v>7904.52</v>
      </c>
      <c r="X66" s="1157">
        <v>7904.51487</v>
      </c>
      <c r="Y66" s="1158">
        <v>7904.51487</v>
      </c>
      <c r="Z66" s="1157">
        <v>-212.87</v>
      </c>
      <c r="AA66" s="1159">
        <v>-212.87</v>
      </c>
      <c r="AB66" s="1180">
        <v>0</v>
      </c>
      <c r="AC66" s="1156" t="s">
        <v>1486</v>
      </c>
      <c r="AE66" s="1337">
        <f t="shared" si="36"/>
        <v>-91.900224867409335</v>
      </c>
      <c r="AF66" s="1337">
        <f t="shared" si="31"/>
        <v>91.900224867409335</v>
      </c>
      <c r="AG66" s="1337"/>
      <c r="AH66" s="1337"/>
      <c r="AI66" s="1337">
        <f t="shared" si="37"/>
        <v>-37616.782815132487</v>
      </c>
      <c r="AJ66" s="1337">
        <f t="shared" si="33"/>
        <v>37616.782815132487</v>
      </c>
      <c r="AK66" s="1337"/>
      <c r="AL66" s="1337"/>
      <c r="AM66" s="1337"/>
      <c r="AN66" s="1337">
        <f t="shared" si="38"/>
        <v>0</v>
      </c>
      <c r="AO66" s="1337">
        <f t="shared" si="35"/>
        <v>0</v>
      </c>
    </row>
    <row r="67" spans="1:41" ht="15.75">
      <c r="A67" s="371"/>
      <c r="B67" s="1156" t="s">
        <v>438</v>
      </c>
      <c r="C67" s="1156" t="s">
        <v>615</v>
      </c>
      <c r="D67" s="1157">
        <v>185498</v>
      </c>
      <c r="E67" s="1157">
        <v>19371.650000000001</v>
      </c>
      <c r="F67" s="1157">
        <v>0</v>
      </c>
      <c r="G67" s="1157">
        <v>0</v>
      </c>
      <c r="H67" s="1157">
        <v>6</v>
      </c>
      <c r="I67" s="1180">
        <v>0</v>
      </c>
      <c r="J67" s="1157">
        <v>694</v>
      </c>
      <c r="K67" s="1157">
        <v>694</v>
      </c>
      <c r="L67" s="1157">
        <v>694</v>
      </c>
      <c r="M67" s="1157">
        <v>0</v>
      </c>
      <c r="N67" s="1157">
        <v>368</v>
      </c>
      <c r="O67" s="1157">
        <v>185498</v>
      </c>
      <c r="P67" s="1157">
        <v>185498</v>
      </c>
      <c r="Q67" s="1157">
        <v>0</v>
      </c>
      <c r="R67" s="1180">
        <v>0</v>
      </c>
      <c r="S67" s="1180">
        <v>0</v>
      </c>
      <c r="T67" s="1180">
        <v>0</v>
      </c>
      <c r="U67" s="1180">
        <v>0</v>
      </c>
      <c r="V67" s="1180">
        <v>0</v>
      </c>
      <c r="W67" s="1157">
        <v>19993.240000000002</v>
      </c>
      <c r="X67" s="1157">
        <v>19993.242246000002</v>
      </c>
      <c r="Y67" s="1158">
        <v>19993.242246000002</v>
      </c>
      <c r="Z67" s="1157">
        <v>-621.59</v>
      </c>
      <c r="AA67" s="1159">
        <v>-621.59</v>
      </c>
      <c r="AB67" s="1180">
        <v>0</v>
      </c>
      <c r="AC67" s="1156" t="s">
        <v>1486</v>
      </c>
      <c r="AE67" s="1337">
        <f t="shared" si="36"/>
        <v>-440.41571561282228</v>
      </c>
      <c r="AF67" s="1337">
        <f t="shared" si="31"/>
        <v>440.41571561282228</v>
      </c>
      <c r="AG67" s="1337"/>
      <c r="AH67" s="1337"/>
      <c r="AI67" s="1337">
        <f t="shared" si="37"/>
        <v>-112493.79522308659</v>
      </c>
      <c r="AJ67" s="1337">
        <f t="shared" si="33"/>
        <v>112493.79522308659</v>
      </c>
      <c r="AK67" s="1337"/>
      <c r="AL67" s="1337"/>
      <c r="AM67" s="1337"/>
      <c r="AN67" s="1337">
        <f t="shared" si="38"/>
        <v>0</v>
      </c>
      <c r="AO67" s="1337">
        <f t="shared" si="35"/>
        <v>0</v>
      </c>
    </row>
    <row r="68" spans="1:41" ht="15.75">
      <c r="A68" s="371"/>
      <c r="B68" s="1156" t="s">
        <v>438</v>
      </c>
      <c r="C68" s="1156" t="s">
        <v>1162</v>
      </c>
      <c r="D68" s="1157">
        <v>28864</v>
      </c>
      <c r="E68" s="1157">
        <v>2062.2399999999998</v>
      </c>
      <c r="F68" s="1157">
        <v>-10264</v>
      </c>
      <c r="G68" s="1157">
        <v>0</v>
      </c>
      <c r="H68" s="1157">
        <v>1</v>
      </c>
      <c r="I68" s="1180">
        <v>0</v>
      </c>
      <c r="J68" s="1157">
        <v>72</v>
      </c>
      <c r="K68" s="1157">
        <v>72</v>
      </c>
      <c r="L68" s="1157">
        <v>72</v>
      </c>
      <c r="M68" s="1157">
        <v>0</v>
      </c>
      <c r="N68" s="1157">
        <v>0</v>
      </c>
      <c r="O68" s="1157">
        <v>18600</v>
      </c>
      <c r="P68" s="1157">
        <v>0</v>
      </c>
      <c r="Q68" s="1157">
        <v>0</v>
      </c>
      <c r="R68" s="1180">
        <v>18600</v>
      </c>
      <c r="S68" s="1180">
        <v>600</v>
      </c>
      <c r="T68" s="1180">
        <v>18000</v>
      </c>
      <c r="U68" s="1180">
        <v>18000</v>
      </c>
      <c r="V68" s="1180">
        <v>0</v>
      </c>
      <c r="W68" s="1157">
        <v>2126.56</v>
      </c>
      <c r="X68" s="1157">
        <v>2126.556</v>
      </c>
      <c r="Y68" s="1158">
        <v>2126.556</v>
      </c>
      <c r="Z68" s="1157">
        <v>-64.319999999999993</v>
      </c>
      <c r="AA68" s="1159">
        <v>-64.319999999999993</v>
      </c>
      <c r="AB68" s="1180">
        <v>0</v>
      </c>
      <c r="AC68" s="1156" t="s">
        <v>1486</v>
      </c>
      <c r="AE68" s="1337">
        <f t="shared" si="36"/>
        <v>-9.0004245941082477</v>
      </c>
      <c r="AF68" s="1337">
        <f t="shared" si="31"/>
        <v>9.0004245941082477</v>
      </c>
      <c r="AG68" s="1337"/>
      <c r="AH68" s="1337"/>
      <c r="AI68" s="1337">
        <f t="shared" si="37"/>
        <v>0</v>
      </c>
      <c r="AJ68" s="1337">
        <f t="shared" si="33"/>
        <v>0</v>
      </c>
      <c r="AK68" s="1337"/>
      <c r="AL68" s="1337"/>
      <c r="AM68" s="1337"/>
      <c r="AN68" s="1337">
        <f t="shared" si="38"/>
        <v>-2250</v>
      </c>
      <c r="AO68" s="1337">
        <f t="shared" si="35"/>
        <v>2250</v>
      </c>
    </row>
    <row r="69" spans="1:41" ht="15.75">
      <c r="A69" s="371"/>
      <c r="B69" s="1156" t="s">
        <v>428</v>
      </c>
      <c r="C69" s="1156" t="s">
        <v>702</v>
      </c>
      <c r="D69" s="1157">
        <v>817515</v>
      </c>
      <c r="E69" s="1157">
        <v>70007.490000000005</v>
      </c>
      <c r="F69" s="1157">
        <v>0</v>
      </c>
      <c r="G69" s="1157">
        <v>0</v>
      </c>
      <c r="H69" s="1157">
        <v>8</v>
      </c>
      <c r="I69" s="1180">
        <v>0</v>
      </c>
      <c r="J69" s="1157">
        <v>2285</v>
      </c>
      <c r="K69" s="1157">
        <v>2285</v>
      </c>
      <c r="L69" s="1157">
        <v>2285</v>
      </c>
      <c r="M69" s="1157">
        <v>0</v>
      </c>
      <c r="N69" s="1157">
        <v>1980</v>
      </c>
      <c r="O69" s="1157">
        <v>817515</v>
      </c>
      <c r="P69" s="1157">
        <v>817515</v>
      </c>
      <c r="Q69" s="1157">
        <v>0</v>
      </c>
      <c r="R69" s="1180">
        <v>0</v>
      </c>
      <c r="S69" s="1180">
        <v>0</v>
      </c>
      <c r="T69" s="1180">
        <v>0</v>
      </c>
      <c r="U69" s="1180">
        <v>0</v>
      </c>
      <c r="V69" s="1180">
        <v>0</v>
      </c>
      <c r="W69" s="1157">
        <v>72338.7</v>
      </c>
      <c r="X69" s="1157">
        <v>72338.694405000002</v>
      </c>
      <c r="Y69" s="1158">
        <v>72338.694405000002</v>
      </c>
      <c r="Z69" s="1157">
        <v>-2331.21</v>
      </c>
      <c r="AA69" s="1159">
        <v>-2331.21</v>
      </c>
      <c r="AB69" s="1180">
        <v>0</v>
      </c>
      <c r="AC69" s="1156" t="s">
        <v>1486</v>
      </c>
      <c r="AE69" s="1337">
        <f t="shared" si="36"/>
        <v>-1004.4085338989927</v>
      </c>
      <c r="AF69" s="1337">
        <f t="shared" si="31"/>
        <v>1004.4085338989927</v>
      </c>
      <c r="AG69" s="1337"/>
      <c r="AH69" s="1337"/>
      <c r="AI69" s="1337">
        <f t="shared" si="37"/>
        <v>-376655.55079219973</v>
      </c>
      <c r="AJ69" s="1337">
        <f t="shared" si="33"/>
        <v>376655.55079219973</v>
      </c>
      <c r="AK69" s="1337"/>
      <c r="AL69" s="1337"/>
      <c r="AM69" s="1337"/>
      <c r="AN69" s="1337">
        <f t="shared" si="38"/>
        <v>0</v>
      </c>
      <c r="AO69" s="1337">
        <f t="shared" si="35"/>
        <v>0</v>
      </c>
    </row>
    <row r="70" spans="1:41" ht="15.75">
      <c r="A70" s="371"/>
      <c r="B70" s="1156" t="s">
        <v>428</v>
      </c>
      <c r="C70" s="1156" t="s">
        <v>854</v>
      </c>
      <c r="D70" s="1157">
        <v>8249704</v>
      </c>
      <c r="E70" s="1157">
        <v>682819.63</v>
      </c>
      <c r="F70" s="1157">
        <v>0</v>
      </c>
      <c r="G70" s="1157">
        <v>0</v>
      </c>
      <c r="H70" s="1157">
        <v>286.433333333333</v>
      </c>
      <c r="I70" s="1180">
        <v>0</v>
      </c>
      <c r="J70" s="1157">
        <v>20084.165841584199</v>
      </c>
      <c r="K70" s="1157">
        <v>20084.166894664799</v>
      </c>
      <c r="L70" s="1157">
        <v>20084.166894664799</v>
      </c>
      <c r="M70" s="1157">
        <v>0</v>
      </c>
      <c r="N70" s="1157">
        <v>0</v>
      </c>
      <c r="O70" s="1157">
        <v>8249704</v>
      </c>
      <c r="P70" s="1157">
        <v>8249704</v>
      </c>
      <c r="Q70" s="1157">
        <v>0</v>
      </c>
      <c r="R70" s="1180">
        <v>0</v>
      </c>
      <c r="S70" s="1180">
        <v>0</v>
      </c>
      <c r="T70" s="1180">
        <v>0</v>
      </c>
      <c r="U70" s="1180">
        <v>0</v>
      </c>
      <c r="V70" s="1180">
        <v>0</v>
      </c>
      <c r="W70" s="1157">
        <v>704774.39</v>
      </c>
      <c r="X70" s="1157">
        <v>704774.41440799995</v>
      </c>
      <c r="Y70" s="1158">
        <v>704774.41440799995</v>
      </c>
      <c r="Z70" s="1157">
        <v>-21954.76</v>
      </c>
      <c r="AA70" s="1159">
        <v>-21954.76</v>
      </c>
      <c r="AB70" s="1180">
        <v>0</v>
      </c>
      <c r="AC70" s="1156" t="s">
        <v>1486</v>
      </c>
      <c r="AE70" s="1337">
        <f t="shared" si="36"/>
        <v>-9889.0082234443307</v>
      </c>
      <c r="AF70" s="1337">
        <f t="shared" si="31"/>
        <v>9889.0082234443307</v>
      </c>
      <c r="AG70" s="1337"/>
      <c r="AH70" s="1337"/>
      <c r="AI70" s="1337">
        <f t="shared" si="37"/>
        <v>-4047383.0622237986</v>
      </c>
      <c r="AJ70" s="1337">
        <f t="shared" si="33"/>
        <v>4047383.0622237986</v>
      </c>
      <c r="AK70" s="1337"/>
      <c r="AL70" s="1337"/>
      <c r="AM70" s="1337"/>
      <c r="AN70" s="1337">
        <f t="shared" si="38"/>
        <v>0</v>
      </c>
      <c r="AO70" s="1337">
        <f t="shared" si="35"/>
        <v>0</v>
      </c>
    </row>
    <row r="71" spans="1:41" ht="15.75">
      <c r="A71" s="371"/>
      <c r="B71" s="1156" t="s">
        <v>428</v>
      </c>
      <c r="C71" s="1156" t="s">
        <v>975</v>
      </c>
      <c r="D71" s="1157">
        <v>243160</v>
      </c>
      <c r="E71" s="1157">
        <v>24506.71</v>
      </c>
      <c r="F71" s="1157">
        <v>0</v>
      </c>
      <c r="G71" s="1157">
        <v>0</v>
      </c>
      <c r="H71" s="1157">
        <v>13</v>
      </c>
      <c r="I71" s="1180">
        <v>0</v>
      </c>
      <c r="J71" s="1157">
        <v>820</v>
      </c>
      <c r="K71" s="1157">
        <v>820</v>
      </c>
      <c r="L71" s="1157">
        <v>820</v>
      </c>
      <c r="M71" s="1157">
        <v>0</v>
      </c>
      <c r="N71" s="1157">
        <v>0</v>
      </c>
      <c r="O71" s="1157">
        <v>243160</v>
      </c>
      <c r="P71" s="1157">
        <v>243160</v>
      </c>
      <c r="Q71" s="1157">
        <v>0</v>
      </c>
      <c r="R71" s="1180">
        <v>0</v>
      </c>
      <c r="S71" s="1180">
        <v>0</v>
      </c>
      <c r="T71" s="1180">
        <v>0</v>
      </c>
      <c r="U71" s="1180">
        <v>0</v>
      </c>
      <c r="V71" s="1180">
        <v>0</v>
      </c>
      <c r="W71" s="1157">
        <v>25274.17</v>
      </c>
      <c r="X71" s="1157">
        <v>25274.161319999999</v>
      </c>
      <c r="Y71" s="1158">
        <v>25274.161319999999</v>
      </c>
      <c r="Z71" s="1157">
        <v>-767.46</v>
      </c>
      <c r="AA71" s="1159">
        <v>-767.46</v>
      </c>
      <c r="AB71" s="1180">
        <v>0</v>
      </c>
      <c r="AC71" s="1156" t="s">
        <v>1486</v>
      </c>
      <c r="AE71" s="1337">
        <f t="shared" si="36"/>
        <v>-488.11744427205059</v>
      </c>
      <c r="AF71" s="1337">
        <f t="shared" si="31"/>
        <v>488.11744427205059</v>
      </c>
      <c r="AG71" s="1337"/>
      <c r="AH71" s="1337"/>
      <c r="AI71" s="1337">
        <f t="shared" si="37"/>
        <v>-107700.62182613082</v>
      </c>
      <c r="AJ71" s="1337">
        <f t="shared" si="33"/>
        <v>107700.62182613082</v>
      </c>
      <c r="AK71" s="1337"/>
      <c r="AL71" s="1337"/>
      <c r="AM71" s="1337"/>
      <c r="AN71" s="1337">
        <f t="shared" si="38"/>
        <v>0</v>
      </c>
      <c r="AO71" s="1337">
        <f t="shared" si="35"/>
        <v>0</v>
      </c>
    </row>
    <row r="72" spans="1:41">
      <c r="A72" s="1156" t="s">
        <v>296</v>
      </c>
      <c r="B72" s="1156" t="s">
        <v>429</v>
      </c>
      <c r="C72" s="1156" t="s">
        <v>129</v>
      </c>
      <c r="D72" s="1157">
        <v>239381</v>
      </c>
      <c r="E72" s="1157">
        <v>25557.11</v>
      </c>
      <c r="F72" s="1157">
        <v>0</v>
      </c>
      <c r="G72" s="1157">
        <v>0</v>
      </c>
      <c r="H72" s="1157">
        <v>14</v>
      </c>
      <c r="I72" s="1180">
        <v>0</v>
      </c>
      <c r="J72" s="1157">
        <v>958</v>
      </c>
      <c r="K72" s="1157">
        <v>861</v>
      </c>
      <c r="L72" s="1157">
        <v>861</v>
      </c>
      <c r="M72" s="1157">
        <v>0</v>
      </c>
      <c r="N72" s="1157">
        <v>0</v>
      </c>
      <c r="O72" s="1157">
        <v>239381</v>
      </c>
      <c r="P72" s="1157">
        <v>239381</v>
      </c>
      <c r="Q72" s="1157">
        <v>0</v>
      </c>
      <c r="R72" s="1180">
        <v>0</v>
      </c>
      <c r="S72" s="1180">
        <v>0</v>
      </c>
      <c r="T72" s="1180">
        <v>0</v>
      </c>
      <c r="U72" s="1180">
        <v>0</v>
      </c>
      <c r="V72" s="1180">
        <v>0</v>
      </c>
      <c r="W72" s="1157">
        <v>26341.02</v>
      </c>
      <c r="X72" s="1157">
        <v>26341.019387</v>
      </c>
      <c r="Y72" s="1158">
        <v>26341.019387</v>
      </c>
      <c r="Z72" s="1157">
        <v>-783.91</v>
      </c>
      <c r="AA72" s="1159">
        <v>-783.91</v>
      </c>
      <c r="AB72" s="1180">
        <v>0</v>
      </c>
      <c r="AC72" s="1156" t="s">
        <v>1486</v>
      </c>
      <c r="AE72" s="1337">
        <f t="shared" si="36"/>
        <v>-567.26240041473136</v>
      </c>
      <c r="AF72" s="1337">
        <f t="shared" si="31"/>
        <v>567.26240041473136</v>
      </c>
      <c r="AG72" s="1337"/>
      <c r="AH72" s="1337"/>
      <c r="AI72" s="1337">
        <f t="shared" si="37"/>
        <v>-159111.59684283074</v>
      </c>
      <c r="AJ72" s="1337">
        <f t="shared" si="33"/>
        <v>159111.59684283074</v>
      </c>
      <c r="AK72" s="1337"/>
      <c r="AL72" s="1337"/>
      <c r="AM72" s="1337"/>
      <c r="AN72" s="1337">
        <f t="shared" si="38"/>
        <v>0</v>
      </c>
      <c r="AO72" s="1337">
        <f t="shared" si="35"/>
        <v>0</v>
      </c>
    </row>
    <row r="73" spans="1:41">
      <c r="A73" s="805"/>
      <c r="B73" s="1169" t="s">
        <v>438</v>
      </c>
      <c r="C73" s="1169" t="s">
        <v>129</v>
      </c>
      <c r="D73" s="1157"/>
      <c r="E73" s="1157"/>
      <c r="F73" s="1157"/>
      <c r="G73" s="1157"/>
      <c r="H73" s="1157"/>
      <c r="I73" s="1180"/>
      <c r="J73" s="1157"/>
      <c r="K73" s="1157"/>
      <c r="L73" s="1157"/>
      <c r="M73" s="1157"/>
      <c r="N73" s="1157"/>
      <c r="O73" s="1157"/>
      <c r="P73" s="1157"/>
      <c r="Q73" s="1157"/>
      <c r="R73" s="1180"/>
      <c r="S73" s="1180"/>
      <c r="T73" s="1180"/>
      <c r="U73" s="1180"/>
      <c r="V73" s="1180"/>
      <c r="W73" s="1157"/>
      <c r="X73" s="1157"/>
      <c r="Y73" s="1158"/>
      <c r="Z73" s="1157"/>
      <c r="AA73" s="1159"/>
      <c r="AB73" s="1180"/>
      <c r="AC73" s="1156"/>
      <c r="AE73" s="1337">
        <f t="shared" ref="AE73:AE74" si="39">-IF(K57=0,0,L73*M57/K57)</f>
        <v>0</v>
      </c>
      <c r="AF73" s="1337">
        <f t="shared" si="31"/>
        <v>0</v>
      </c>
      <c r="AG73" s="1337"/>
      <c r="AH73" s="1337"/>
      <c r="AI73" s="1337">
        <f t="shared" ref="AI73:AI74" si="40">-IF(O57=0,0,P73*Q57/O57)</f>
        <v>0</v>
      </c>
      <c r="AJ73" s="1337">
        <f t="shared" si="33"/>
        <v>0</v>
      </c>
      <c r="AK73" s="1337"/>
      <c r="AL73" s="1337"/>
      <c r="AM73" s="1337"/>
      <c r="AN73" s="1337">
        <f t="shared" ref="AN73:AN74" si="41">-IF(T57=0,0,U73*V57/T57)</f>
        <v>0</v>
      </c>
      <c r="AO73" s="1337">
        <f t="shared" si="35"/>
        <v>0</v>
      </c>
    </row>
    <row r="74" spans="1:41" ht="15.75">
      <c r="A74" s="372"/>
      <c r="B74" s="1160" t="s">
        <v>428</v>
      </c>
      <c r="C74" s="1160" t="s">
        <v>976</v>
      </c>
      <c r="D74" s="1161">
        <v>1570</v>
      </c>
      <c r="E74" s="1161">
        <v>202.55</v>
      </c>
      <c r="F74" s="1161">
        <v>0</v>
      </c>
      <c r="G74" s="1161">
        <v>0</v>
      </c>
      <c r="H74" s="1161">
        <v>1</v>
      </c>
      <c r="I74" s="1165">
        <v>0</v>
      </c>
      <c r="J74" s="1161">
        <v>19</v>
      </c>
      <c r="K74" s="1161">
        <v>1</v>
      </c>
      <c r="L74" s="1161">
        <v>1</v>
      </c>
      <c r="M74" s="1161">
        <v>0</v>
      </c>
      <c r="N74" s="1161">
        <v>0</v>
      </c>
      <c r="O74" s="1161">
        <v>1570</v>
      </c>
      <c r="P74" s="1161">
        <v>1570</v>
      </c>
      <c r="Q74" s="1161">
        <v>0</v>
      </c>
      <c r="R74" s="1165">
        <v>0</v>
      </c>
      <c r="S74" s="1165">
        <v>0</v>
      </c>
      <c r="T74" s="1165">
        <v>0</v>
      </c>
      <c r="U74" s="1165">
        <v>0</v>
      </c>
      <c r="V74" s="1165">
        <v>0</v>
      </c>
      <c r="W74" s="1161">
        <v>205.24</v>
      </c>
      <c r="X74" s="1161">
        <v>205.23938999999999</v>
      </c>
      <c r="Y74" s="1162">
        <v>205.23938999999999</v>
      </c>
      <c r="Z74" s="1161">
        <v>-2.69</v>
      </c>
      <c r="AA74" s="1163">
        <v>-2.69</v>
      </c>
      <c r="AB74" s="1165">
        <v>0</v>
      </c>
      <c r="AC74" s="1156" t="s">
        <v>1486</v>
      </c>
      <c r="AE74" s="1337">
        <f t="shared" si="39"/>
        <v>-0.3548172057441108</v>
      </c>
      <c r="AF74" s="1337">
        <f t="shared" si="31"/>
        <v>0.3548172057441108</v>
      </c>
      <c r="AG74" s="1337"/>
      <c r="AH74" s="1337"/>
      <c r="AI74" s="1337">
        <f t="shared" si="40"/>
        <v>-556.16236162361622</v>
      </c>
      <c r="AJ74" s="1337">
        <f t="shared" si="33"/>
        <v>556.16236162361622</v>
      </c>
      <c r="AK74" s="1337"/>
      <c r="AL74" s="1337"/>
      <c r="AM74" s="1337"/>
      <c r="AN74" s="1337">
        <f t="shared" si="41"/>
        <v>0</v>
      </c>
      <c r="AO74" s="1337">
        <f t="shared" si="35"/>
        <v>0</v>
      </c>
    </row>
  </sheetData>
  <printOptions horizontalCentered="1"/>
  <pageMargins left="0.25" right="0.25" top="1.32" bottom="0.79" header="0.5" footer="0.25"/>
  <pageSetup scale="49" orientation="landscape" r:id="rId1"/>
  <headerFooter alignWithMargins="0">
    <oddHeader>&amp;L&amp;C&amp;B&amp;"Times New Roman"&amp;14Utah Schedule 6 Billing Determinants
12 Months Ending September 2005&amp;R&amp;"Arial"&amp;8Date: 12/27/2005</oddHeader>
    <oddFooter>&amp;L&amp;C&amp;"Arial"&amp;10Page &amp;P&amp;R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</sheetPr>
  <dimension ref="A1:AK41"/>
  <sheetViews>
    <sheetView workbookViewId="0">
      <pane xSplit="3" ySplit="1" topLeftCell="O8" activePane="bottomRight" state="frozen"/>
      <selection activeCell="W28" sqref="W28"/>
      <selection pane="topRight" activeCell="W28" sqref="W28"/>
      <selection pane="bottomLeft" activeCell="W28" sqref="W28"/>
      <selection pane="bottomRight" activeCell="W29" sqref="W29"/>
    </sheetView>
  </sheetViews>
  <sheetFormatPr defaultColWidth="6.125" defaultRowHeight="12.75"/>
  <cols>
    <col min="1" max="1" width="10.125" style="141" customWidth="1"/>
    <col min="2" max="2" width="11.125" style="141" customWidth="1"/>
    <col min="3" max="3" width="12.625" style="141" bestFit="1" customWidth="1"/>
    <col min="4" max="4" width="12" style="141" bestFit="1" customWidth="1"/>
    <col min="5" max="5" width="10.125" style="141" bestFit="1" customWidth="1"/>
    <col min="6" max="6" width="9.25" style="141" bestFit="1" customWidth="1"/>
    <col min="7" max="7" width="8" style="141" bestFit="1" customWidth="1"/>
    <col min="8" max="8" width="6.25" style="141" bestFit="1" customWidth="1"/>
    <col min="9" max="9" width="6" style="141" customWidth="1"/>
    <col min="10" max="11" width="8.75" style="141" bestFit="1" customWidth="1"/>
    <col min="12" max="12" width="7.75" style="141" bestFit="1" customWidth="1"/>
    <col min="13" max="13" width="16.625" style="141" bestFit="1" customWidth="1"/>
    <col min="14" max="14" width="9.625" style="141" bestFit="1" customWidth="1"/>
    <col min="15" max="15" width="10.625" style="141" bestFit="1" customWidth="1"/>
    <col min="16" max="16" width="10.75" style="141" bestFit="1" customWidth="1"/>
    <col min="17" max="17" width="11.125" style="141" bestFit="1" customWidth="1"/>
    <col min="18" max="18" width="11.125" style="141" customWidth="1"/>
    <col min="19" max="20" width="9.75" style="141" bestFit="1" customWidth="1"/>
    <col min="21" max="21" width="9.125" style="141" customWidth="1"/>
    <col min="22" max="22" width="11.25" style="141" bestFit="1" customWidth="1"/>
    <col min="23" max="23" width="11.125" style="141" customWidth="1"/>
    <col min="24" max="24" width="11.75" style="141" bestFit="1" customWidth="1"/>
    <col min="25" max="25" width="10.625" style="141" bestFit="1" customWidth="1"/>
    <col min="26" max="26" width="11.625" style="141" bestFit="1" customWidth="1"/>
    <col min="27" max="27" width="9.75" style="141" bestFit="1" customWidth="1"/>
    <col min="28" max="28" width="11.125" style="141" bestFit="1" customWidth="1"/>
    <col min="29" max="29" width="11.125" style="141" customWidth="1"/>
    <col min="30" max="30" width="9.125" style="141" bestFit="1" customWidth="1"/>
    <col min="31" max="31" width="9.5" style="141" bestFit="1" customWidth="1"/>
    <col min="32" max="32" width="10.25" style="141" bestFit="1" customWidth="1"/>
    <col min="33" max="33" width="11" style="141" bestFit="1" customWidth="1"/>
    <col min="34" max="34" width="10.5" style="141" bestFit="1" customWidth="1"/>
    <col min="35" max="35" width="9.625" style="141" bestFit="1" customWidth="1"/>
    <col min="36" max="36" width="11.75" style="141" bestFit="1" customWidth="1"/>
    <col min="37" max="37" width="11.125" style="141" bestFit="1" customWidth="1"/>
    <col min="38" max="16384" width="6.125" style="141"/>
  </cols>
  <sheetData>
    <row r="1" spans="1:37" ht="13.5" customHeight="1">
      <c r="A1" s="840" t="s">
        <v>472</v>
      </c>
      <c r="B1" s="1155" t="s">
        <v>191</v>
      </c>
      <c r="C1" s="1155" t="s">
        <v>192</v>
      </c>
      <c r="D1" s="1155" t="s">
        <v>125</v>
      </c>
      <c r="E1" s="1155" t="s">
        <v>126</v>
      </c>
      <c r="F1" s="1155" t="s">
        <v>127</v>
      </c>
      <c r="G1" s="1155" t="s">
        <v>128</v>
      </c>
      <c r="H1" s="1155" t="s">
        <v>72</v>
      </c>
      <c r="I1" s="1155" t="s">
        <v>627</v>
      </c>
      <c r="J1" s="1155" t="s">
        <v>638</v>
      </c>
      <c r="K1" s="1155" t="s">
        <v>639</v>
      </c>
      <c r="L1" s="1155" t="s">
        <v>631</v>
      </c>
      <c r="M1" s="1155" t="s">
        <v>70</v>
      </c>
      <c r="N1" s="1155" t="s">
        <v>703</v>
      </c>
      <c r="O1" s="1155" t="s">
        <v>704</v>
      </c>
      <c r="P1" s="1155" t="s">
        <v>705</v>
      </c>
      <c r="Q1" s="1155" t="s">
        <v>706</v>
      </c>
      <c r="R1" s="1155" t="s">
        <v>1221</v>
      </c>
      <c r="S1" s="1155" t="s">
        <v>1152</v>
      </c>
      <c r="T1" s="1155" t="s">
        <v>1222</v>
      </c>
      <c r="U1" s="1155" t="s">
        <v>1223</v>
      </c>
      <c r="V1" s="1155" t="s">
        <v>1242</v>
      </c>
      <c r="W1" s="1155" t="s">
        <v>1243</v>
      </c>
      <c r="X1" s="1155" t="s">
        <v>1244</v>
      </c>
      <c r="Y1" s="1155" t="s">
        <v>71</v>
      </c>
      <c r="Z1" s="1155" t="s">
        <v>619</v>
      </c>
      <c r="AA1" s="1155" t="s">
        <v>796</v>
      </c>
      <c r="AB1" s="1155" t="s">
        <v>1225</v>
      </c>
      <c r="AC1" s="1155" t="s">
        <v>1256</v>
      </c>
      <c r="AD1" s="819" t="s">
        <v>1229</v>
      </c>
      <c r="AE1" s="136" t="s">
        <v>1239</v>
      </c>
      <c r="AH1" s="880" t="s">
        <v>1313</v>
      </c>
      <c r="AI1" s="880" t="s">
        <v>1314</v>
      </c>
      <c r="AJ1" s="880" t="s">
        <v>1312</v>
      </c>
      <c r="AK1" s="880" t="s">
        <v>1311</v>
      </c>
    </row>
    <row r="2" spans="1:37" ht="14.25" customHeight="1">
      <c r="A2" s="841"/>
      <c r="B2" s="1156" t="s">
        <v>429</v>
      </c>
      <c r="C2" s="1156" t="s">
        <v>1539</v>
      </c>
      <c r="D2" s="1157">
        <v>262038</v>
      </c>
      <c r="E2" s="1157">
        <v>25073.200000000001</v>
      </c>
      <c r="F2" s="1157">
        <v>36259</v>
      </c>
      <c r="G2" s="1157">
        <v>2588.8000000000002</v>
      </c>
      <c r="H2" s="1157">
        <v>14.6</v>
      </c>
      <c r="I2" s="1180">
        <v>0</v>
      </c>
      <c r="J2" s="1157">
        <v>610.87423312883402</v>
      </c>
      <c r="K2" s="1157">
        <v>476.79341864716599</v>
      </c>
      <c r="L2" s="1157">
        <v>0</v>
      </c>
      <c r="M2" s="1157">
        <v>298297</v>
      </c>
      <c r="N2" s="1157">
        <v>76959</v>
      </c>
      <c r="O2" s="1157">
        <v>70522</v>
      </c>
      <c r="P2" s="1157">
        <v>73291</v>
      </c>
      <c r="Q2" s="1157">
        <v>77525</v>
      </c>
      <c r="R2" s="1157">
        <v>0</v>
      </c>
      <c r="S2" s="1157">
        <v>0</v>
      </c>
      <c r="T2" s="1157">
        <v>0</v>
      </c>
      <c r="U2" s="1157">
        <v>0</v>
      </c>
      <c r="V2" s="1157">
        <v>0</v>
      </c>
      <c r="W2" s="1157">
        <v>0</v>
      </c>
      <c r="X2" s="1157">
        <v>0</v>
      </c>
      <c r="Y2" s="1157">
        <v>28727.27</v>
      </c>
      <c r="Z2" s="1157">
        <v>28727.257233</v>
      </c>
      <c r="AA2" s="1157">
        <v>28727.257233</v>
      </c>
      <c r="AB2" s="1157">
        <v>-1065.27</v>
      </c>
      <c r="AC2" s="1159">
        <v>-952.54</v>
      </c>
      <c r="AD2" s="820" t="s">
        <v>1551</v>
      </c>
      <c r="AE2" s="835">
        <f>M2-SUM(N2:Q2,S2,U2:X2)</f>
        <v>0</v>
      </c>
      <c r="AF2" s="838">
        <f>E2/D2*100</f>
        <v>9.5685358612109699</v>
      </c>
      <c r="AG2" s="838">
        <f t="shared" ref="AG2:AG12" si="0">G2/F2*100</f>
        <v>7.1397446151300379</v>
      </c>
      <c r="AH2" s="809">
        <f>'305'!H15</f>
        <v>915088723</v>
      </c>
      <c r="AI2" s="809">
        <f>'305'!G15</f>
        <v>64836573.060000002</v>
      </c>
      <c r="AJ2" s="839">
        <f t="shared" ref="AJ2:AK9" si="1">AH2-D2</f>
        <v>914826685</v>
      </c>
      <c r="AK2" s="839">
        <f t="shared" si="1"/>
        <v>64811499.859999999</v>
      </c>
    </row>
    <row r="3" spans="1:37" ht="14.25" customHeight="1">
      <c r="A3" s="841"/>
      <c r="B3" s="371"/>
      <c r="C3" s="1156" t="s">
        <v>187</v>
      </c>
      <c r="D3" s="1157">
        <v>245368785</v>
      </c>
      <c r="E3" s="1157">
        <v>28309109.969999999</v>
      </c>
      <c r="F3" s="1157">
        <v>-459947</v>
      </c>
      <c r="G3" s="1157">
        <v>-38541.480000000003</v>
      </c>
      <c r="H3" s="1157">
        <v>23327.133333333401</v>
      </c>
      <c r="I3" s="1180">
        <v>0</v>
      </c>
      <c r="J3" s="1157">
        <v>760142.966257666</v>
      </c>
      <c r="K3" s="1157">
        <v>899711.73308958102</v>
      </c>
      <c r="L3" s="1157">
        <v>169105.63934426199</v>
      </c>
      <c r="M3" s="1157">
        <v>244908838</v>
      </c>
      <c r="N3" s="1157">
        <v>56039635</v>
      </c>
      <c r="O3" s="1157">
        <v>45349004</v>
      </c>
      <c r="P3" s="1157">
        <v>79474198</v>
      </c>
      <c r="Q3" s="1157">
        <v>64046001</v>
      </c>
      <c r="R3" s="1157">
        <v>0</v>
      </c>
      <c r="S3" s="1157">
        <v>0</v>
      </c>
      <c r="T3" s="1157">
        <v>0</v>
      </c>
      <c r="U3" s="1157">
        <v>0</v>
      </c>
      <c r="V3" s="1157">
        <v>0</v>
      </c>
      <c r="W3" s="1157">
        <v>0</v>
      </c>
      <c r="X3" s="1157">
        <v>0</v>
      </c>
      <c r="Y3" s="1157">
        <v>29194324.010000002</v>
      </c>
      <c r="Z3" s="1157">
        <v>29194325.234816201</v>
      </c>
      <c r="AA3" s="1157">
        <v>29194325.234816201</v>
      </c>
      <c r="AB3" s="1157">
        <v>-923755.52000000002</v>
      </c>
      <c r="AC3" s="1159">
        <v>-929956.2</v>
      </c>
      <c r="AD3" s="820" t="s">
        <v>45</v>
      </c>
      <c r="AE3" s="835">
        <f t="shared" ref="AE3:AE12" si="2">M3-SUM(N3:Q3,S3,U3:X3)</f>
        <v>0</v>
      </c>
      <c r="AF3" s="838">
        <f t="shared" ref="AF3:AF12" si="3">E3/D3*100</f>
        <v>11.537372192636482</v>
      </c>
      <c r="AG3" s="838">
        <f t="shared" si="0"/>
        <v>8.379548078365552</v>
      </c>
      <c r="AH3" s="809">
        <f>'305'!H23</f>
        <v>236383901</v>
      </c>
      <c r="AI3" s="809">
        <f>'305'!G23</f>
        <v>13174610.01</v>
      </c>
      <c r="AJ3" s="809">
        <f t="shared" si="1"/>
        <v>-8984884</v>
      </c>
      <c r="AK3" s="809">
        <f t="shared" si="1"/>
        <v>-15134499.959999999</v>
      </c>
    </row>
    <row r="4" spans="1:37" ht="14.25" customHeight="1">
      <c r="A4" s="841"/>
      <c r="B4" s="371"/>
      <c r="C4" s="1156" t="s">
        <v>435</v>
      </c>
      <c r="D4" s="1157">
        <v>80320</v>
      </c>
      <c r="E4" s="1157">
        <v>17621.71</v>
      </c>
      <c r="F4" s="1157">
        <v>0</v>
      </c>
      <c r="G4" s="1157">
        <v>453.31</v>
      </c>
      <c r="H4" s="1157">
        <v>12</v>
      </c>
      <c r="I4" s="1180">
        <v>0</v>
      </c>
      <c r="J4" s="1157">
        <v>1182</v>
      </c>
      <c r="K4" s="1157">
        <v>847</v>
      </c>
      <c r="L4" s="1157">
        <v>0</v>
      </c>
      <c r="M4" s="1157">
        <v>80320</v>
      </c>
      <c r="N4" s="1157">
        <v>0</v>
      </c>
      <c r="O4" s="1157">
        <v>0</v>
      </c>
      <c r="P4" s="1157">
        <v>42222</v>
      </c>
      <c r="Q4" s="1157">
        <v>38098</v>
      </c>
      <c r="R4" s="1157">
        <v>0</v>
      </c>
      <c r="S4" s="1157">
        <v>0</v>
      </c>
      <c r="T4" s="1157">
        <v>0</v>
      </c>
      <c r="U4" s="1157">
        <v>0</v>
      </c>
      <c r="V4" s="1157">
        <v>0</v>
      </c>
      <c r="W4" s="1157">
        <v>0</v>
      </c>
      <c r="X4" s="1157">
        <v>0</v>
      </c>
      <c r="Y4" s="1157">
        <v>18342.18</v>
      </c>
      <c r="Z4" s="1157">
        <v>18342.193726000001</v>
      </c>
      <c r="AA4" s="1157">
        <v>18342.193726000001</v>
      </c>
      <c r="AB4" s="1157">
        <v>-267.16000000000003</v>
      </c>
      <c r="AC4" s="1159">
        <v>-267.16000000000003</v>
      </c>
      <c r="AD4" s="820" t="s">
        <v>45</v>
      </c>
      <c r="AE4" s="835">
        <f t="shared" si="2"/>
        <v>0</v>
      </c>
      <c r="AF4" s="838">
        <f t="shared" si="3"/>
        <v>21.939379980079678</v>
      </c>
      <c r="AG4" s="838" t="e">
        <f t="shared" si="0"/>
        <v>#DIV/0!</v>
      </c>
      <c r="AH4" s="809">
        <f>'305'!H39</f>
        <v>14553989</v>
      </c>
      <c r="AI4" s="809">
        <f>'305'!G39</f>
        <v>1049398.6399999999</v>
      </c>
      <c r="AJ4" s="839">
        <f t="shared" si="1"/>
        <v>14473669</v>
      </c>
      <c r="AK4" s="839">
        <f t="shared" si="1"/>
        <v>1031776.9299999999</v>
      </c>
    </row>
    <row r="5" spans="1:37" ht="14.25" customHeight="1">
      <c r="A5" s="841"/>
      <c r="B5" s="371"/>
      <c r="C5" s="1156" t="s">
        <v>616</v>
      </c>
      <c r="D5" s="1157">
        <v>10517454</v>
      </c>
      <c r="E5" s="1157">
        <v>1361006.08</v>
      </c>
      <c r="F5" s="1157">
        <v>11799</v>
      </c>
      <c r="G5" s="1157">
        <v>389.36</v>
      </c>
      <c r="H5" s="1157">
        <v>1069.5</v>
      </c>
      <c r="I5" s="1180">
        <v>0</v>
      </c>
      <c r="J5" s="1157">
        <v>42357.259202453999</v>
      </c>
      <c r="K5" s="1157">
        <v>61796.045703839103</v>
      </c>
      <c r="L5" s="1157">
        <v>403</v>
      </c>
      <c r="M5" s="1157">
        <v>10529253</v>
      </c>
      <c r="N5" s="1157">
        <v>1242320</v>
      </c>
      <c r="O5" s="1157">
        <v>1177789</v>
      </c>
      <c r="P5" s="1157">
        <v>4212059</v>
      </c>
      <c r="Q5" s="1157">
        <v>3897085</v>
      </c>
      <c r="R5" s="1157">
        <v>0</v>
      </c>
      <c r="S5" s="1157">
        <v>0</v>
      </c>
      <c r="T5" s="1157">
        <v>0</v>
      </c>
      <c r="U5" s="1157">
        <v>0</v>
      </c>
      <c r="V5" s="1157">
        <v>0</v>
      </c>
      <c r="W5" s="1157">
        <v>0</v>
      </c>
      <c r="X5" s="1157">
        <v>0</v>
      </c>
      <c r="Y5" s="1157">
        <v>1399218.69</v>
      </c>
      <c r="Z5" s="1157">
        <v>1399218.6275190001</v>
      </c>
      <c r="AA5" s="1157">
        <v>1399218.6275190001</v>
      </c>
      <c r="AB5" s="1157">
        <v>-37823.25</v>
      </c>
      <c r="AC5" s="1159">
        <v>-37968.5</v>
      </c>
      <c r="AD5" s="820" t="s">
        <v>1246</v>
      </c>
      <c r="AE5" s="835">
        <f t="shared" si="2"/>
        <v>0</v>
      </c>
      <c r="AF5" s="838">
        <f t="shared" si="3"/>
        <v>12.940451938273275</v>
      </c>
      <c r="AG5" s="838">
        <f t="shared" si="0"/>
        <v>3.2999406729383849</v>
      </c>
      <c r="AH5" s="809">
        <f>'305'!H46</f>
        <v>134486047</v>
      </c>
      <c r="AI5" s="809">
        <f>'305'!G46</f>
        <v>8265787.2999999998</v>
      </c>
      <c r="AJ5" s="809">
        <f t="shared" si="1"/>
        <v>123968593</v>
      </c>
      <c r="AK5" s="809">
        <f t="shared" si="1"/>
        <v>6904781.2199999997</v>
      </c>
    </row>
    <row r="6" spans="1:37" ht="14.25" customHeight="1">
      <c r="A6" s="841"/>
      <c r="B6" s="371"/>
      <c r="C6" s="1156" t="s">
        <v>1164</v>
      </c>
      <c r="D6" s="1157">
        <v>38944621</v>
      </c>
      <c r="E6" s="1157">
        <v>3976959.73</v>
      </c>
      <c r="F6" s="1157">
        <v>293684</v>
      </c>
      <c r="G6" s="1157">
        <v>24843.32</v>
      </c>
      <c r="H6" s="1157">
        <v>3811</v>
      </c>
      <c r="I6" s="1180">
        <v>0</v>
      </c>
      <c r="J6" s="1157">
        <v>113214.57668711701</v>
      </c>
      <c r="K6" s="1157">
        <v>138591.95246800699</v>
      </c>
      <c r="L6" s="1157">
        <v>9506</v>
      </c>
      <c r="M6" s="1157">
        <v>39238305</v>
      </c>
      <c r="N6" s="1157">
        <v>0</v>
      </c>
      <c r="O6" s="1157">
        <v>0</v>
      </c>
      <c r="P6" s="1157">
        <v>0</v>
      </c>
      <c r="Q6" s="1157">
        <v>0</v>
      </c>
      <c r="R6" s="1157">
        <v>40157027</v>
      </c>
      <c r="S6" s="1157">
        <v>20238626</v>
      </c>
      <c r="T6" s="1157">
        <v>19918401</v>
      </c>
      <c r="U6" s="1157">
        <v>939136</v>
      </c>
      <c r="V6" s="1157">
        <v>5429608</v>
      </c>
      <c r="W6" s="1157">
        <v>3916962</v>
      </c>
      <c r="X6" s="1157">
        <v>9632695</v>
      </c>
      <c r="Y6" s="1157">
        <v>4125280.35</v>
      </c>
      <c r="Z6" s="1157">
        <v>4125280.3251060001</v>
      </c>
      <c r="AA6" s="1157">
        <v>4125280.3251060001</v>
      </c>
      <c r="AB6" s="1157">
        <v>-123477.3</v>
      </c>
      <c r="AC6" s="1159">
        <v>-123522.46</v>
      </c>
      <c r="AD6" s="820" t="s">
        <v>45</v>
      </c>
      <c r="AE6" s="835">
        <f t="shared" si="2"/>
        <v>-918722</v>
      </c>
      <c r="AF6" s="838">
        <f t="shared" si="3"/>
        <v>10.211833182302636</v>
      </c>
      <c r="AG6" s="838">
        <f t="shared" si="0"/>
        <v>8.4592010460222546</v>
      </c>
      <c r="AH6" s="809">
        <f>'305'!H67</f>
        <v>0</v>
      </c>
      <c r="AI6" s="809">
        <f>'305'!G67</f>
        <v>0</v>
      </c>
      <c r="AJ6" s="809">
        <f t="shared" si="1"/>
        <v>-38944621</v>
      </c>
      <c r="AK6" s="809">
        <f t="shared" si="1"/>
        <v>-3976959.73</v>
      </c>
    </row>
    <row r="7" spans="1:37" ht="14.25" customHeight="1">
      <c r="A7" s="841"/>
      <c r="B7" s="1156" t="s">
        <v>438</v>
      </c>
      <c r="C7" s="1156" t="s">
        <v>187</v>
      </c>
      <c r="D7" s="1157">
        <v>44645929</v>
      </c>
      <c r="E7" s="1157">
        <v>5393784.25</v>
      </c>
      <c r="F7" s="1157">
        <v>-75208</v>
      </c>
      <c r="G7" s="1157">
        <v>-7686.07</v>
      </c>
      <c r="H7" s="1157">
        <v>2723.36666666667</v>
      </c>
      <c r="I7" s="1180">
        <v>0</v>
      </c>
      <c r="J7" s="1157">
        <v>142778.30521472401</v>
      </c>
      <c r="K7" s="1157">
        <v>177617.831809872</v>
      </c>
      <c r="L7" s="1157">
        <v>8128</v>
      </c>
      <c r="M7" s="1157">
        <v>44570721</v>
      </c>
      <c r="N7" s="1157">
        <v>12480627</v>
      </c>
      <c r="O7" s="1157">
        <v>8936803</v>
      </c>
      <c r="P7" s="1157">
        <v>14566822</v>
      </c>
      <c r="Q7" s="1157">
        <v>8586469</v>
      </c>
      <c r="R7" s="1157">
        <v>0</v>
      </c>
      <c r="S7" s="1157">
        <v>0</v>
      </c>
      <c r="T7" s="1157">
        <v>0</v>
      </c>
      <c r="U7" s="1157">
        <v>0</v>
      </c>
      <c r="V7" s="1157">
        <v>0</v>
      </c>
      <c r="W7" s="1157">
        <v>0</v>
      </c>
      <c r="X7" s="1157">
        <v>0</v>
      </c>
      <c r="Y7" s="1157">
        <v>5564324.4699999997</v>
      </c>
      <c r="Z7" s="1157">
        <v>5564324.43569199</v>
      </c>
      <c r="AA7" s="1157">
        <v>5564324.43569199</v>
      </c>
      <c r="AB7" s="1157">
        <v>-178226.29</v>
      </c>
      <c r="AC7" s="1159">
        <v>-178703.96</v>
      </c>
      <c r="AD7" s="820" t="s">
        <v>57</v>
      </c>
      <c r="AE7" s="835">
        <f t="shared" si="2"/>
        <v>0</v>
      </c>
      <c r="AF7" s="838">
        <f t="shared" si="3"/>
        <v>12.081245414335537</v>
      </c>
      <c r="AG7" s="838">
        <f t="shared" si="0"/>
        <v>10.219750558451228</v>
      </c>
      <c r="AH7" s="809">
        <f>'305'!H73</f>
        <v>2914667017</v>
      </c>
      <c r="AI7" s="809">
        <f>'305'!G73</f>
        <v>159058470.77000001</v>
      </c>
      <c r="AJ7" s="809">
        <f t="shared" si="1"/>
        <v>2870021088</v>
      </c>
      <c r="AK7" s="809">
        <f t="shared" si="1"/>
        <v>153664686.52000001</v>
      </c>
    </row>
    <row r="8" spans="1:37" ht="14.25" customHeight="1">
      <c r="A8" s="841"/>
      <c r="B8" s="371"/>
      <c r="C8" s="1156" t="s">
        <v>435</v>
      </c>
      <c r="D8" s="1157">
        <v>282756</v>
      </c>
      <c r="E8" s="1157">
        <v>33798.1</v>
      </c>
      <c r="F8" s="1157">
        <v>0</v>
      </c>
      <c r="G8" s="1157">
        <v>0</v>
      </c>
      <c r="H8" s="1157">
        <v>24</v>
      </c>
      <c r="I8" s="1180">
        <v>0</v>
      </c>
      <c r="J8" s="1157">
        <v>793</v>
      </c>
      <c r="K8" s="1157">
        <v>1024</v>
      </c>
      <c r="L8" s="1157">
        <v>1817</v>
      </c>
      <c r="M8" s="1157">
        <v>282756</v>
      </c>
      <c r="N8" s="1157">
        <v>82268</v>
      </c>
      <c r="O8" s="1157">
        <v>34186</v>
      </c>
      <c r="P8" s="1157">
        <v>115485</v>
      </c>
      <c r="Q8" s="1157">
        <v>50817</v>
      </c>
      <c r="R8" s="1157">
        <v>0</v>
      </c>
      <c r="S8" s="1157">
        <v>0</v>
      </c>
      <c r="T8" s="1157">
        <v>0</v>
      </c>
      <c r="U8" s="1157">
        <v>0</v>
      </c>
      <c r="V8" s="1157">
        <v>0</v>
      </c>
      <c r="W8" s="1157">
        <v>0</v>
      </c>
      <c r="X8" s="1157">
        <v>0</v>
      </c>
      <c r="Y8" s="1157">
        <v>35039.22</v>
      </c>
      <c r="Z8" s="1157">
        <v>35039.201301000001</v>
      </c>
      <c r="AA8" s="1157">
        <v>35039.201301000001</v>
      </c>
      <c r="AB8" s="1157">
        <v>-1241.1199999999999</v>
      </c>
      <c r="AC8" s="1159">
        <v>-1241.1199999999999</v>
      </c>
      <c r="AD8" s="820" t="s">
        <v>57</v>
      </c>
      <c r="AE8" s="835">
        <f t="shared" si="2"/>
        <v>0</v>
      </c>
      <c r="AF8" s="838">
        <f t="shared" si="3"/>
        <v>11.953097370170747</v>
      </c>
      <c r="AG8" s="838" t="e">
        <f t="shared" si="0"/>
        <v>#DIV/0!</v>
      </c>
      <c r="AH8" s="809">
        <f>'305'!H83</f>
        <v>0</v>
      </c>
      <c r="AI8" s="809">
        <f>'305'!G83</f>
        <v>744978.59</v>
      </c>
      <c r="AJ8" s="809">
        <f t="shared" si="1"/>
        <v>-282756</v>
      </c>
      <c r="AK8" s="809">
        <f t="shared" si="1"/>
        <v>711180.49</v>
      </c>
    </row>
    <row r="9" spans="1:37" ht="14.25" customHeight="1">
      <c r="A9" s="841"/>
      <c r="B9" s="371"/>
      <c r="C9" s="1156" t="s">
        <v>616</v>
      </c>
      <c r="D9" s="1157">
        <v>4050615</v>
      </c>
      <c r="E9" s="1157">
        <v>560281.1</v>
      </c>
      <c r="F9" s="1157">
        <v>-4938</v>
      </c>
      <c r="G9" s="1157">
        <v>-633.54</v>
      </c>
      <c r="H9" s="1157">
        <v>156</v>
      </c>
      <c r="I9" s="1180">
        <v>0</v>
      </c>
      <c r="J9" s="1157">
        <v>15736.926380368101</v>
      </c>
      <c r="K9" s="1157">
        <v>21751.0749542962</v>
      </c>
      <c r="L9" s="1157">
        <v>5955</v>
      </c>
      <c r="M9" s="1157">
        <v>4045677</v>
      </c>
      <c r="N9" s="1157">
        <v>1146195</v>
      </c>
      <c r="O9" s="1157">
        <v>444113</v>
      </c>
      <c r="P9" s="1157">
        <v>1791776</v>
      </c>
      <c r="Q9" s="1157">
        <v>663593</v>
      </c>
      <c r="R9" s="1157">
        <v>0</v>
      </c>
      <c r="S9" s="1157">
        <v>0</v>
      </c>
      <c r="T9" s="1157">
        <v>0</v>
      </c>
      <c r="U9" s="1157">
        <v>0</v>
      </c>
      <c r="V9" s="1157">
        <v>0</v>
      </c>
      <c r="W9" s="1157">
        <v>0</v>
      </c>
      <c r="X9" s="1157">
        <v>0</v>
      </c>
      <c r="Y9" s="1157">
        <v>577598.99</v>
      </c>
      <c r="Z9" s="1157">
        <v>577599.02282199997</v>
      </c>
      <c r="AA9" s="1157">
        <v>577599.02282199997</v>
      </c>
      <c r="AB9" s="1157">
        <v>-17951.43</v>
      </c>
      <c r="AC9" s="1159">
        <v>-17937.599999999999</v>
      </c>
      <c r="AD9" s="820" t="s">
        <v>1247</v>
      </c>
      <c r="AE9" s="835">
        <f t="shared" si="2"/>
        <v>0</v>
      </c>
      <c r="AF9" s="838">
        <f t="shared" si="3"/>
        <v>13.832000819628623</v>
      </c>
      <c r="AG9" s="838">
        <f t="shared" si="0"/>
        <v>12.829890643985417</v>
      </c>
      <c r="AH9" s="809">
        <f>'305'!H91</f>
        <v>176532</v>
      </c>
      <c r="AI9" s="809">
        <f>'305'!G91</f>
        <v>20297.66</v>
      </c>
      <c r="AJ9" s="809">
        <f t="shared" si="1"/>
        <v>-3874083</v>
      </c>
      <c r="AK9" s="809">
        <f t="shared" si="1"/>
        <v>-539983.43999999994</v>
      </c>
    </row>
    <row r="10" spans="1:37" ht="14.25" customHeight="1">
      <c r="A10" s="841"/>
      <c r="B10" s="371"/>
      <c r="C10" s="1156" t="s">
        <v>1164</v>
      </c>
      <c r="D10" s="1157">
        <v>10545776</v>
      </c>
      <c r="E10" s="1157">
        <v>1038931.43</v>
      </c>
      <c r="F10" s="1157">
        <v>-82415</v>
      </c>
      <c r="G10" s="1157">
        <v>-12002.92</v>
      </c>
      <c r="H10" s="1157">
        <v>356.7</v>
      </c>
      <c r="I10" s="1180">
        <v>0</v>
      </c>
      <c r="J10" s="1157">
        <v>27667.6457055215</v>
      </c>
      <c r="K10" s="1157">
        <v>24297.623400365599</v>
      </c>
      <c r="L10" s="1157">
        <v>0</v>
      </c>
      <c r="M10" s="1157">
        <v>10463361</v>
      </c>
      <c r="N10" s="1157">
        <v>0</v>
      </c>
      <c r="O10" s="1157">
        <v>0</v>
      </c>
      <c r="P10" s="1157">
        <v>0</v>
      </c>
      <c r="Q10" s="1157">
        <v>0</v>
      </c>
      <c r="R10" s="1157">
        <v>11039529</v>
      </c>
      <c r="S10" s="1157">
        <v>6757400</v>
      </c>
      <c r="T10" s="1157">
        <v>4282129</v>
      </c>
      <c r="U10" s="1157">
        <v>843429</v>
      </c>
      <c r="V10" s="1157">
        <v>2275903</v>
      </c>
      <c r="W10" s="1157">
        <v>471294</v>
      </c>
      <c r="X10" s="1157">
        <v>691503</v>
      </c>
      <c r="Y10" s="1157">
        <v>1064114.5</v>
      </c>
      <c r="Z10" s="1157">
        <v>1064114.42096</v>
      </c>
      <c r="AA10" s="1157">
        <v>1064114.42096</v>
      </c>
      <c r="AB10" s="1157">
        <v>-37185.99</v>
      </c>
      <c r="AC10" s="1159">
        <v>-38047.410000000003</v>
      </c>
      <c r="AD10" s="820" t="s">
        <v>57</v>
      </c>
      <c r="AE10" s="835">
        <f t="shared" si="2"/>
        <v>-576168</v>
      </c>
      <c r="AF10" s="838">
        <f t="shared" si="3"/>
        <v>9.8516356691058107</v>
      </c>
      <c r="AG10" s="838">
        <f t="shared" si="0"/>
        <v>14.563999271977188</v>
      </c>
    </row>
    <row r="11" spans="1:37" ht="13.35" customHeight="1">
      <c r="A11" s="841"/>
      <c r="B11" s="1156" t="s">
        <v>428</v>
      </c>
      <c r="C11" s="1156" t="s">
        <v>853</v>
      </c>
      <c r="D11" s="1157">
        <v>8683318</v>
      </c>
      <c r="E11" s="1157">
        <v>735568.78</v>
      </c>
      <c r="F11" s="1157">
        <v>434120</v>
      </c>
      <c r="G11" s="1157">
        <v>30836.38</v>
      </c>
      <c r="H11" s="1157">
        <v>336.86666666666702</v>
      </c>
      <c r="I11" s="1180">
        <v>0</v>
      </c>
      <c r="J11" s="1157">
        <v>10419.506134969301</v>
      </c>
      <c r="K11" s="1157">
        <v>12416.2285191956</v>
      </c>
      <c r="L11" s="1157">
        <v>0</v>
      </c>
      <c r="M11" s="1157">
        <v>9117438</v>
      </c>
      <c r="N11" s="1157">
        <v>2029544</v>
      </c>
      <c r="O11" s="1157">
        <v>1892228</v>
      </c>
      <c r="P11" s="1157">
        <v>2570685</v>
      </c>
      <c r="Q11" s="1157">
        <v>2624981</v>
      </c>
      <c r="R11" s="1157">
        <v>0</v>
      </c>
      <c r="S11" s="1157">
        <v>0</v>
      </c>
      <c r="T11" s="1157">
        <v>0</v>
      </c>
      <c r="U11" s="1157">
        <v>0</v>
      </c>
      <c r="V11" s="1157">
        <v>0</v>
      </c>
      <c r="W11" s="1157">
        <v>0</v>
      </c>
      <c r="X11" s="1157">
        <v>0</v>
      </c>
      <c r="Y11" s="1157">
        <v>799230.44</v>
      </c>
      <c r="Z11" s="1157">
        <v>799230.69629300002</v>
      </c>
      <c r="AA11" s="1157">
        <v>799230.69629300002</v>
      </c>
      <c r="AB11" s="1157">
        <v>-32825.279999999999</v>
      </c>
      <c r="AC11" s="1159">
        <v>-31479.5</v>
      </c>
      <c r="AD11" s="837" t="s">
        <v>852</v>
      </c>
      <c r="AE11" s="835">
        <f t="shared" si="2"/>
        <v>0</v>
      </c>
      <c r="AF11" s="838">
        <f t="shared" si="3"/>
        <v>8.4710565707716796</v>
      </c>
      <c r="AG11" s="838">
        <f t="shared" si="0"/>
        <v>7.1031926656224087</v>
      </c>
      <c r="AH11" s="809">
        <v>1</v>
      </c>
      <c r="AI11" s="809">
        <v>0</v>
      </c>
      <c r="AJ11" s="839">
        <f t="shared" ref="AJ11:AK12" si="4">AH11-D11</f>
        <v>-8683317</v>
      </c>
      <c r="AK11" s="839">
        <f t="shared" si="4"/>
        <v>-735568.78</v>
      </c>
    </row>
    <row r="12" spans="1:37" ht="13.35" customHeight="1">
      <c r="A12" s="841"/>
      <c r="B12" s="372"/>
      <c r="C12" s="1160" t="s">
        <v>1245</v>
      </c>
      <c r="D12" s="1161">
        <v>6026</v>
      </c>
      <c r="E12" s="1161">
        <v>5342.77</v>
      </c>
      <c r="F12" s="1161">
        <v>0</v>
      </c>
      <c r="G12" s="1161">
        <v>0</v>
      </c>
      <c r="H12" s="1161">
        <v>20.233333333333299</v>
      </c>
      <c r="I12" s="1165">
        <v>0</v>
      </c>
      <c r="J12" s="1161">
        <v>374.33282208588997</v>
      </c>
      <c r="K12" s="1161">
        <v>275.03473491773298</v>
      </c>
      <c r="L12" s="1161">
        <v>0</v>
      </c>
      <c r="M12" s="1161">
        <v>6026</v>
      </c>
      <c r="N12" s="1161">
        <v>0</v>
      </c>
      <c r="O12" s="1161">
        <v>0</v>
      </c>
      <c r="P12" s="1161">
        <v>2010</v>
      </c>
      <c r="Q12" s="1161">
        <v>4016</v>
      </c>
      <c r="R12" s="1161">
        <v>0</v>
      </c>
      <c r="S12" s="1161">
        <v>0</v>
      </c>
      <c r="T12" s="1161">
        <v>0</v>
      </c>
      <c r="U12" s="1161">
        <v>0</v>
      </c>
      <c r="V12" s="1161">
        <v>0</v>
      </c>
      <c r="W12" s="1161">
        <v>0</v>
      </c>
      <c r="X12" s="1161">
        <v>0</v>
      </c>
      <c r="Y12" s="1161">
        <v>5358.79</v>
      </c>
      <c r="Z12" s="1161">
        <v>5358.7938899999999</v>
      </c>
      <c r="AA12" s="1161">
        <v>5358.7938899999999</v>
      </c>
      <c r="AB12" s="1161">
        <v>-16.02</v>
      </c>
      <c r="AC12" s="1163">
        <v>-16.02</v>
      </c>
      <c r="AD12" s="837" t="s">
        <v>1248</v>
      </c>
      <c r="AE12" s="835">
        <f t="shared" si="2"/>
        <v>0</v>
      </c>
      <c r="AF12" s="838">
        <f t="shared" si="3"/>
        <v>88.661964819117173</v>
      </c>
      <c r="AG12" s="838" t="e">
        <f t="shared" si="0"/>
        <v>#DIV/0!</v>
      </c>
      <c r="AH12" s="809"/>
      <c r="AI12" s="809"/>
      <c r="AJ12" s="839">
        <f t="shared" si="4"/>
        <v>-6026</v>
      </c>
      <c r="AK12" s="839">
        <f t="shared" si="4"/>
        <v>-5342.77</v>
      </c>
    </row>
    <row r="13" spans="1:37" ht="13.35" customHeight="1">
      <c r="B13" s="525"/>
      <c r="C13" s="525"/>
      <c r="D13" s="524">
        <f>SUM(D2:D12)</f>
        <v>363387638</v>
      </c>
      <c r="E13" s="524">
        <f>SUM(E2:E12)</f>
        <v>41457477.120000005</v>
      </c>
      <c r="F13" s="524">
        <f>SUM(F2:F12)</f>
        <v>153354</v>
      </c>
      <c r="G13" s="524">
        <f>SUM(G2:G12)</f>
        <v>247.15999999999985</v>
      </c>
      <c r="H13" s="524">
        <f>SUM(H2:H12)</f>
        <v>31851.400000000071</v>
      </c>
      <c r="I13" s="524"/>
      <c r="J13" s="524">
        <f t="shared" ref="J13:Q13" si="5">SUM(J2:J12)</f>
        <v>1115277.3926380349</v>
      </c>
      <c r="K13" s="524">
        <f t="shared" si="5"/>
        <v>1338805.3180987218</v>
      </c>
      <c r="L13" s="524">
        <f t="shared" si="5"/>
        <v>194914.63934426199</v>
      </c>
      <c r="M13" s="524">
        <f t="shared" si="5"/>
        <v>363540992</v>
      </c>
      <c r="N13" s="524">
        <f t="shared" si="5"/>
        <v>73097548</v>
      </c>
      <c r="O13" s="524">
        <f t="shared" si="5"/>
        <v>57904645</v>
      </c>
      <c r="P13" s="524">
        <f t="shared" si="5"/>
        <v>102848548</v>
      </c>
      <c r="Q13" s="524">
        <f t="shared" si="5"/>
        <v>79988585</v>
      </c>
      <c r="R13" s="524"/>
      <c r="S13" s="524">
        <f>SUM(S2:S12)</f>
        <v>26996026</v>
      </c>
      <c r="T13" s="524"/>
      <c r="U13" s="524"/>
      <c r="V13" s="524"/>
      <c r="W13" s="524"/>
      <c r="X13" s="524">
        <f>SUM(X2:X12)</f>
        <v>10324198</v>
      </c>
      <c r="Y13" s="524">
        <f>SUM(Y2:Y12)</f>
        <v>42811558.909999996</v>
      </c>
      <c r="Z13" s="524">
        <f>SUM(Z2:Z12)</f>
        <v>42811560.209358193</v>
      </c>
      <c r="AA13" s="524">
        <f>SUM(AA2:AA12)</f>
        <v>42811560.209358193</v>
      </c>
    </row>
    <row r="14" spans="1:37" ht="13.35" customHeight="1">
      <c r="B14" s="150"/>
      <c r="C14" s="147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W14" s="149"/>
      <c r="X14" s="149"/>
      <c r="Y14" s="149"/>
      <c r="Z14" s="149"/>
    </row>
    <row r="15" spans="1:37">
      <c r="A15" s="842" t="s">
        <v>256</v>
      </c>
      <c r="B15" s="843"/>
      <c r="C15" s="844"/>
      <c r="D15" s="843"/>
      <c r="E15" s="843"/>
      <c r="F15" s="843"/>
      <c r="G15" s="843"/>
      <c r="H15" s="843"/>
      <c r="I15" s="843"/>
      <c r="J15" s="843"/>
      <c r="K15" s="843"/>
      <c r="L15" s="843"/>
      <c r="M15" s="843"/>
      <c r="N15" s="843"/>
      <c r="O15" s="843"/>
      <c r="P15" s="843"/>
      <c r="Q15" s="843"/>
      <c r="R15" s="843"/>
      <c r="S15" s="844"/>
      <c r="T15" s="844"/>
      <c r="U15" s="844"/>
      <c r="V15" s="844"/>
      <c r="W15" s="843"/>
      <c r="X15" s="843"/>
      <c r="Y15" s="843"/>
      <c r="Z15" s="843"/>
      <c r="AA15" s="844"/>
      <c r="AB15" s="844"/>
      <c r="AC15" s="844"/>
    </row>
    <row r="16" spans="1:37">
      <c r="A16" s="845" t="s">
        <v>69</v>
      </c>
      <c r="B16" s="845" t="s">
        <v>429</v>
      </c>
      <c r="C16" s="845" t="s">
        <v>45</v>
      </c>
      <c r="D16" s="846">
        <f t="shared" ref="D16:M18" si="6">SUMIF($AD$2:$AD$12,$C16,D$2:D$12)</f>
        <v>284393726</v>
      </c>
      <c r="E16" s="846">
        <f t="shared" si="6"/>
        <v>32303691.41</v>
      </c>
      <c r="F16" s="846">
        <f t="shared" si="6"/>
        <v>-166263</v>
      </c>
      <c r="G16" s="846">
        <f t="shared" si="6"/>
        <v>-13244.850000000006</v>
      </c>
      <c r="H16" s="846">
        <f t="shared" si="6"/>
        <v>27150.133333333401</v>
      </c>
      <c r="I16" s="846">
        <f t="shared" si="6"/>
        <v>0</v>
      </c>
      <c r="J16" s="846">
        <f t="shared" si="6"/>
        <v>874539.542944783</v>
      </c>
      <c r="K16" s="846">
        <f t="shared" si="6"/>
        <v>1039150.685557588</v>
      </c>
      <c r="L16" s="846">
        <f t="shared" si="6"/>
        <v>178611.63934426199</v>
      </c>
      <c r="M16" s="846">
        <f t="shared" si="6"/>
        <v>284227463</v>
      </c>
      <c r="N16" s="846">
        <f t="shared" ref="N16:W18" si="7">SUMIF($AD$2:$AD$12,$C16,N$2:N$12)</f>
        <v>56039635</v>
      </c>
      <c r="O16" s="846">
        <f t="shared" si="7"/>
        <v>45349004</v>
      </c>
      <c r="P16" s="846">
        <f t="shared" si="7"/>
        <v>79516420</v>
      </c>
      <c r="Q16" s="846">
        <f t="shared" si="7"/>
        <v>64084099</v>
      </c>
      <c r="R16" s="846">
        <f t="shared" si="7"/>
        <v>40157027</v>
      </c>
      <c r="S16" s="846">
        <f t="shared" si="7"/>
        <v>20238626</v>
      </c>
      <c r="T16" s="846">
        <f t="shared" si="7"/>
        <v>19918401</v>
      </c>
      <c r="U16" s="846">
        <f t="shared" si="7"/>
        <v>939136</v>
      </c>
      <c r="V16" s="846">
        <f t="shared" si="7"/>
        <v>5429608</v>
      </c>
      <c r="W16" s="846">
        <f t="shared" si="7"/>
        <v>3916962</v>
      </c>
      <c r="X16" s="846">
        <f t="shared" ref="X16:AC18" si="8">SUMIF($AD$2:$AD$12,$C16,X$2:X$12)</f>
        <v>9632695</v>
      </c>
      <c r="Y16" s="846">
        <f t="shared" si="8"/>
        <v>33337946.540000003</v>
      </c>
      <c r="Z16" s="846">
        <f t="shared" si="8"/>
        <v>33337947.753648199</v>
      </c>
      <c r="AA16" s="846">
        <f t="shared" si="8"/>
        <v>33337947.753648199</v>
      </c>
      <c r="AB16" s="846">
        <f t="shared" si="8"/>
        <v>-1047499.9800000001</v>
      </c>
      <c r="AC16" s="846">
        <f t="shared" si="8"/>
        <v>-1053745.82</v>
      </c>
      <c r="AD16" s="846"/>
      <c r="AE16" s="846">
        <f>SUMIF($AD$2:$AD$12,$C16,AE$2:AE$12)</f>
        <v>-918722</v>
      </c>
      <c r="AJ16" s="846">
        <f t="shared" ref="AJ16:AK18" si="9">SUMIF($AD$2:$AD$12,$C16,AJ$2:AJ$12)</f>
        <v>-33455836</v>
      </c>
      <c r="AK16" s="846">
        <f t="shared" si="9"/>
        <v>-18079682.759999998</v>
      </c>
    </row>
    <row r="17" spans="1:37" ht="15.75">
      <c r="A17" s="847"/>
      <c r="B17" s="845" t="s">
        <v>438</v>
      </c>
      <c r="C17" s="845" t="s">
        <v>57</v>
      </c>
      <c r="D17" s="846">
        <f t="shared" si="6"/>
        <v>55474461</v>
      </c>
      <c r="E17" s="846">
        <f t="shared" si="6"/>
        <v>6466513.7799999993</v>
      </c>
      <c r="F17" s="846">
        <f t="shared" si="6"/>
        <v>-157623</v>
      </c>
      <c r="G17" s="846">
        <f t="shared" si="6"/>
        <v>-19688.989999999998</v>
      </c>
      <c r="H17" s="846">
        <f t="shared" si="6"/>
        <v>3104.0666666666698</v>
      </c>
      <c r="I17" s="846">
        <f t="shared" si="6"/>
        <v>0</v>
      </c>
      <c r="J17" s="846">
        <f t="shared" si="6"/>
        <v>171238.95092024549</v>
      </c>
      <c r="K17" s="846">
        <f t="shared" si="6"/>
        <v>202939.45521023759</v>
      </c>
      <c r="L17" s="846">
        <f t="shared" si="6"/>
        <v>9945</v>
      </c>
      <c r="M17" s="846">
        <f t="shared" si="6"/>
        <v>55316838</v>
      </c>
      <c r="N17" s="846">
        <f t="shared" si="7"/>
        <v>12562895</v>
      </c>
      <c r="O17" s="846">
        <f t="shared" si="7"/>
        <v>8970989</v>
      </c>
      <c r="P17" s="846">
        <f t="shared" si="7"/>
        <v>14682307</v>
      </c>
      <c r="Q17" s="846">
        <f t="shared" si="7"/>
        <v>8637286</v>
      </c>
      <c r="R17" s="846">
        <f t="shared" si="7"/>
        <v>11039529</v>
      </c>
      <c r="S17" s="846">
        <f t="shared" si="7"/>
        <v>6757400</v>
      </c>
      <c r="T17" s="846">
        <f t="shared" si="7"/>
        <v>4282129</v>
      </c>
      <c r="U17" s="846">
        <f t="shared" si="7"/>
        <v>843429</v>
      </c>
      <c r="V17" s="846">
        <f t="shared" si="7"/>
        <v>2275903</v>
      </c>
      <c r="W17" s="846">
        <f t="shared" si="7"/>
        <v>471294</v>
      </c>
      <c r="X17" s="846">
        <f t="shared" si="8"/>
        <v>691503</v>
      </c>
      <c r="Y17" s="846">
        <f t="shared" si="8"/>
        <v>6663478.1899999995</v>
      </c>
      <c r="Z17" s="846">
        <f t="shared" si="8"/>
        <v>6663478.0579529898</v>
      </c>
      <c r="AA17" s="846">
        <f t="shared" si="8"/>
        <v>6663478.0579529898</v>
      </c>
      <c r="AB17" s="846">
        <f t="shared" si="8"/>
        <v>-216653.4</v>
      </c>
      <c r="AC17" s="846">
        <f t="shared" si="8"/>
        <v>-217992.49</v>
      </c>
      <c r="AD17" s="846"/>
      <c r="AE17" s="846">
        <f>SUMIF($AD$2:$AD$12,$C17,AE$2:AE$12)</f>
        <v>-576168</v>
      </c>
      <c r="AJ17" s="846">
        <f t="shared" si="9"/>
        <v>2869738332</v>
      </c>
      <c r="AK17" s="846">
        <f t="shared" si="9"/>
        <v>154375867.01000002</v>
      </c>
    </row>
    <row r="18" spans="1:37" ht="15.75">
      <c r="A18" s="847"/>
      <c r="B18" s="845" t="s">
        <v>428</v>
      </c>
      <c r="C18" s="845" t="s">
        <v>852</v>
      </c>
      <c r="D18" s="846">
        <f t="shared" si="6"/>
        <v>8683318</v>
      </c>
      <c r="E18" s="846">
        <f t="shared" si="6"/>
        <v>735568.78</v>
      </c>
      <c r="F18" s="846">
        <f t="shared" si="6"/>
        <v>434120</v>
      </c>
      <c r="G18" s="846">
        <f t="shared" si="6"/>
        <v>30836.38</v>
      </c>
      <c r="H18" s="846">
        <f t="shared" si="6"/>
        <v>336.86666666666702</v>
      </c>
      <c r="I18" s="846">
        <f t="shared" si="6"/>
        <v>0</v>
      </c>
      <c r="J18" s="846">
        <f t="shared" si="6"/>
        <v>10419.506134969301</v>
      </c>
      <c r="K18" s="846">
        <f t="shared" si="6"/>
        <v>12416.2285191956</v>
      </c>
      <c r="L18" s="846">
        <f t="shared" si="6"/>
        <v>0</v>
      </c>
      <c r="M18" s="846">
        <f t="shared" si="6"/>
        <v>9117438</v>
      </c>
      <c r="N18" s="846">
        <f t="shared" si="7"/>
        <v>2029544</v>
      </c>
      <c r="O18" s="846">
        <f t="shared" si="7"/>
        <v>1892228</v>
      </c>
      <c r="P18" s="846">
        <f t="shared" si="7"/>
        <v>2570685</v>
      </c>
      <c r="Q18" s="846">
        <f t="shared" si="7"/>
        <v>2624981</v>
      </c>
      <c r="R18" s="846">
        <f t="shared" si="7"/>
        <v>0</v>
      </c>
      <c r="S18" s="846">
        <f t="shared" si="7"/>
        <v>0</v>
      </c>
      <c r="T18" s="846">
        <f t="shared" si="7"/>
        <v>0</v>
      </c>
      <c r="U18" s="846">
        <f t="shared" si="7"/>
        <v>0</v>
      </c>
      <c r="V18" s="846">
        <f t="shared" si="7"/>
        <v>0</v>
      </c>
      <c r="W18" s="846">
        <f t="shared" si="7"/>
        <v>0</v>
      </c>
      <c r="X18" s="846">
        <f t="shared" si="8"/>
        <v>0</v>
      </c>
      <c r="Y18" s="846">
        <f t="shared" si="8"/>
        <v>799230.44</v>
      </c>
      <c r="Z18" s="846">
        <f t="shared" si="8"/>
        <v>799230.69629300002</v>
      </c>
      <c r="AA18" s="846">
        <f t="shared" si="8"/>
        <v>799230.69629300002</v>
      </c>
      <c r="AB18" s="846">
        <f t="shared" si="8"/>
        <v>-32825.279999999999</v>
      </c>
      <c r="AC18" s="846">
        <f t="shared" si="8"/>
        <v>-31479.5</v>
      </c>
      <c r="AD18" s="846"/>
      <c r="AE18" s="846">
        <f>SUMIF($AD$2:$AD$12,$C18,AE$2:AE$12)</f>
        <v>0</v>
      </c>
      <c r="AJ18" s="846">
        <f t="shared" si="9"/>
        <v>-8683317</v>
      </c>
      <c r="AK18" s="846">
        <f t="shared" si="9"/>
        <v>-735568.78</v>
      </c>
    </row>
    <row r="19" spans="1:37" ht="15.75">
      <c r="A19" s="847"/>
      <c r="B19" s="845" t="s">
        <v>93</v>
      </c>
      <c r="C19" s="845"/>
      <c r="D19" s="846">
        <f>SUM(D16:D18)</f>
        <v>348551505</v>
      </c>
      <c r="E19" s="846">
        <f t="shared" ref="E19:AB19" si="10">SUM(E16:E18)</f>
        <v>39505773.969999999</v>
      </c>
      <c r="F19" s="846">
        <f>SUM(F16:F18)</f>
        <v>110234</v>
      </c>
      <c r="G19" s="846">
        <f t="shared" si="10"/>
        <v>-2097.4600000000028</v>
      </c>
      <c r="H19" s="846">
        <f t="shared" si="10"/>
        <v>30591.066666666738</v>
      </c>
      <c r="I19" s="846">
        <f t="shared" si="10"/>
        <v>0</v>
      </c>
      <c r="J19" s="846">
        <f t="shared" si="10"/>
        <v>1056197.9999999979</v>
      </c>
      <c r="K19" s="846">
        <f t="shared" si="10"/>
        <v>1254506.3692870212</v>
      </c>
      <c r="L19" s="846">
        <f t="shared" si="10"/>
        <v>188556.63934426199</v>
      </c>
      <c r="M19" s="846">
        <f t="shared" si="10"/>
        <v>348661739</v>
      </c>
      <c r="N19" s="846">
        <f t="shared" si="10"/>
        <v>70632074</v>
      </c>
      <c r="O19" s="846">
        <f t="shared" si="10"/>
        <v>56212221</v>
      </c>
      <c r="P19" s="846">
        <f t="shared" si="10"/>
        <v>96769412</v>
      </c>
      <c r="Q19" s="846">
        <f t="shared" si="10"/>
        <v>75346366</v>
      </c>
      <c r="R19" s="846">
        <f t="shared" si="10"/>
        <v>51196556</v>
      </c>
      <c r="S19" s="846">
        <f t="shared" si="10"/>
        <v>26996026</v>
      </c>
      <c r="T19" s="846">
        <f t="shared" si="10"/>
        <v>24200530</v>
      </c>
      <c r="U19" s="846">
        <f t="shared" si="10"/>
        <v>1782565</v>
      </c>
      <c r="V19" s="846">
        <f t="shared" si="10"/>
        <v>7705511</v>
      </c>
      <c r="W19" s="846">
        <f t="shared" si="10"/>
        <v>4388256</v>
      </c>
      <c r="X19" s="846">
        <f t="shared" si="10"/>
        <v>10324198</v>
      </c>
      <c r="Y19" s="846">
        <f t="shared" si="10"/>
        <v>40800655.170000002</v>
      </c>
      <c r="Z19" s="846">
        <f t="shared" si="10"/>
        <v>40800656.507894188</v>
      </c>
      <c r="AA19" s="846">
        <f t="shared" si="10"/>
        <v>40800656.507894188</v>
      </c>
      <c r="AB19" s="846">
        <f t="shared" si="10"/>
        <v>-1296978.6600000001</v>
      </c>
      <c r="AC19" s="846">
        <f t="shared" ref="AC19:AE19" si="11">SUM(AC16:AC18)</f>
        <v>-1303217.81</v>
      </c>
      <c r="AD19" s="846"/>
      <c r="AE19" s="846">
        <f t="shared" si="11"/>
        <v>-1494890</v>
      </c>
      <c r="AJ19" s="846">
        <f>SUM(AJ16:AJ18)</f>
        <v>2827599179</v>
      </c>
      <c r="AK19" s="846">
        <f t="shared" ref="AK19" si="12">SUM(AK16:AK18)</f>
        <v>135560615.47000003</v>
      </c>
    </row>
    <row r="20" spans="1:37">
      <c r="A20" s="845" t="s">
        <v>984</v>
      </c>
      <c r="B20" s="845" t="s">
        <v>429</v>
      </c>
      <c r="C20" s="845" t="s">
        <v>1246</v>
      </c>
      <c r="D20" s="846">
        <f t="shared" ref="D20:M26" si="13">SUMIF($AD$2:$AD$12,$C20,D$2:D$12)</f>
        <v>10517454</v>
      </c>
      <c r="E20" s="846">
        <f t="shared" si="13"/>
        <v>1361006.08</v>
      </c>
      <c r="F20" s="846">
        <f t="shared" si="13"/>
        <v>11799</v>
      </c>
      <c r="G20" s="846">
        <f t="shared" si="13"/>
        <v>389.36</v>
      </c>
      <c r="H20" s="846">
        <f t="shared" si="13"/>
        <v>1069.5</v>
      </c>
      <c r="I20" s="846">
        <f t="shared" si="13"/>
        <v>0</v>
      </c>
      <c r="J20" s="846">
        <f t="shared" si="13"/>
        <v>42357.259202453999</v>
      </c>
      <c r="K20" s="846">
        <f t="shared" si="13"/>
        <v>61796.045703839103</v>
      </c>
      <c r="L20" s="846">
        <f t="shared" si="13"/>
        <v>403</v>
      </c>
      <c r="M20" s="846">
        <f t="shared" si="13"/>
        <v>10529253</v>
      </c>
      <c r="N20" s="846">
        <f t="shared" ref="N20:W26" si="14">SUMIF($AD$2:$AD$12,$C20,N$2:N$12)</f>
        <v>1242320</v>
      </c>
      <c r="O20" s="846">
        <f t="shared" si="14"/>
        <v>1177789</v>
      </c>
      <c r="P20" s="846">
        <f t="shared" si="14"/>
        <v>4212059</v>
      </c>
      <c r="Q20" s="846">
        <f t="shared" si="14"/>
        <v>3897085</v>
      </c>
      <c r="R20" s="846">
        <f t="shared" si="14"/>
        <v>0</v>
      </c>
      <c r="S20" s="846">
        <f t="shared" si="14"/>
        <v>0</v>
      </c>
      <c r="T20" s="846">
        <f t="shared" si="14"/>
        <v>0</v>
      </c>
      <c r="U20" s="846">
        <f t="shared" si="14"/>
        <v>0</v>
      </c>
      <c r="V20" s="846">
        <f t="shared" si="14"/>
        <v>0</v>
      </c>
      <c r="W20" s="846">
        <f t="shared" si="14"/>
        <v>0</v>
      </c>
      <c r="X20" s="846">
        <f t="shared" ref="X20:AC26" si="15">SUMIF($AD$2:$AD$12,$C20,X$2:X$12)</f>
        <v>0</v>
      </c>
      <c r="Y20" s="846">
        <f t="shared" si="15"/>
        <v>1399218.69</v>
      </c>
      <c r="Z20" s="846">
        <f t="shared" si="15"/>
        <v>1399218.6275190001</v>
      </c>
      <c r="AA20" s="846">
        <f t="shared" si="15"/>
        <v>1399218.6275190001</v>
      </c>
      <c r="AB20" s="846">
        <f t="shared" si="15"/>
        <v>-37823.25</v>
      </c>
      <c r="AC20" s="846">
        <f t="shared" si="15"/>
        <v>-37968.5</v>
      </c>
      <c r="AD20" s="846"/>
      <c r="AE20" s="846">
        <f>SUMIF($AD$2:$AD$12,$C20,AE$2:AE$12)</f>
        <v>0</v>
      </c>
      <c r="AJ20" s="846">
        <f t="shared" ref="AJ20:AK26" si="16">SUMIF($AD$2:$AD$12,$C20,AJ$2:AJ$12)</f>
        <v>123968593</v>
      </c>
      <c r="AK20" s="846">
        <f t="shared" si="16"/>
        <v>6904781.2199999997</v>
      </c>
    </row>
    <row r="21" spans="1:37" ht="15.75">
      <c r="A21" s="847"/>
      <c r="B21" s="845" t="s">
        <v>438</v>
      </c>
      <c r="C21" s="845" t="s">
        <v>1247</v>
      </c>
      <c r="D21" s="846">
        <f t="shared" si="13"/>
        <v>4050615</v>
      </c>
      <c r="E21" s="846">
        <f t="shared" si="13"/>
        <v>560281.1</v>
      </c>
      <c r="F21" s="846">
        <f t="shared" si="13"/>
        <v>-4938</v>
      </c>
      <c r="G21" s="846">
        <f t="shared" si="13"/>
        <v>-633.54</v>
      </c>
      <c r="H21" s="846">
        <f t="shared" si="13"/>
        <v>156</v>
      </c>
      <c r="I21" s="846">
        <f t="shared" si="13"/>
        <v>0</v>
      </c>
      <c r="J21" s="846">
        <f t="shared" si="13"/>
        <v>15736.926380368101</v>
      </c>
      <c r="K21" s="846">
        <f t="shared" si="13"/>
        <v>21751.0749542962</v>
      </c>
      <c r="L21" s="846">
        <f t="shared" si="13"/>
        <v>5955</v>
      </c>
      <c r="M21" s="846">
        <f t="shared" si="13"/>
        <v>4045677</v>
      </c>
      <c r="N21" s="846">
        <f t="shared" si="14"/>
        <v>1146195</v>
      </c>
      <c r="O21" s="846">
        <f t="shared" si="14"/>
        <v>444113</v>
      </c>
      <c r="P21" s="846">
        <f t="shared" si="14"/>
        <v>1791776</v>
      </c>
      <c r="Q21" s="846">
        <f t="shared" si="14"/>
        <v>663593</v>
      </c>
      <c r="R21" s="846">
        <f t="shared" si="14"/>
        <v>0</v>
      </c>
      <c r="S21" s="846">
        <f t="shared" si="14"/>
        <v>0</v>
      </c>
      <c r="T21" s="846">
        <f t="shared" si="14"/>
        <v>0</v>
      </c>
      <c r="U21" s="846">
        <f t="shared" si="14"/>
        <v>0</v>
      </c>
      <c r="V21" s="846">
        <f t="shared" si="14"/>
        <v>0</v>
      </c>
      <c r="W21" s="846">
        <f t="shared" si="14"/>
        <v>0</v>
      </c>
      <c r="X21" s="846">
        <f t="shared" si="15"/>
        <v>0</v>
      </c>
      <c r="Y21" s="846">
        <f t="shared" si="15"/>
        <v>577598.99</v>
      </c>
      <c r="Z21" s="846">
        <f t="shared" si="15"/>
        <v>577599.02282199997</v>
      </c>
      <c r="AA21" s="846">
        <f t="shared" si="15"/>
        <v>577599.02282199997</v>
      </c>
      <c r="AB21" s="846">
        <f t="shared" si="15"/>
        <v>-17951.43</v>
      </c>
      <c r="AC21" s="846">
        <f t="shared" si="15"/>
        <v>-17937.599999999999</v>
      </c>
      <c r="AD21" s="846"/>
      <c r="AE21" s="846">
        <f>SUMIF($AD$2:$AD$12,$C21,AE$2:AE$12)</f>
        <v>0</v>
      </c>
      <c r="AJ21" s="846">
        <f t="shared" si="16"/>
        <v>-3874083</v>
      </c>
      <c r="AK21" s="846">
        <f t="shared" si="16"/>
        <v>-539983.43999999994</v>
      </c>
    </row>
    <row r="22" spans="1:37" ht="15.75">
      <c r="A22" s="847"/>
      <c r="B22" s="845" t="s">
        <v>428</v>
      </c>
      <c r="C22" s="845" t="s">
        <v>1248</v>
      </c>
      <c r="D22" s="846">
        <f t="shared" si="13"/>
        <v>6026</v>
      </c>
      <c r="E22" s="846">
        <f t="shared" si="13"/>
        <v>5342.77</v>
      </c>
      <c r="F22" s="846">
        <f t="shared" si="13"/>
        <v>0</v>
      </c>
      <c r="G22" s="846">
        <f t="shared" si="13"/>
        <v>0</v>
      </c>
      <c r="H22" s="846">
        <f t="shared" si="13"/>
        <v>20.233333333333299</v>
      </c>
      <c r="I22" s="846">
        <f t="shared" si="13"/>
        <v>0</v>
      </c>
      <c r="J22" s="846">
        <f t="shared" si="13"/>
        <v>374.33282208588997</v>
      </c>
      <c r="K22" s="846">
        <f t="shared" si="13"/>
        <v>275.03473491773298</v>
      </c>
      <c r="L22" s="846">
        <f t="shared" si="13"/>
        <v>0</v>
      </c>
      <c r="M22" s="846">
        <f t="shared" si="13"/>
        <v>6026</v>
      </c>
      <c r="N22" s="846">
        <f t="shared" si="14"/>
        <v>0</v>
      </c>
      <c r="O22" s="846">
        <f t="shared" si="14"/>
        <v>0</v>
      </c>
      <c r="P22" s="846">
        <f t="shared" si="14"/>
        <v>2010</v>
      </c>
      <c r="Q22" s="846">
        <f t="shared" si="14"/>
        <v>4016</v>
      </c>
      <c r="R22" s="846">
        <f t="shared" si="14"/>
        <v>0</v>
      </c>
      <c r="S22" s="846">
        <f t="shared" si="14"/>
        <v>0</v>
      </c>
      <c r="T22" s="846">
        <f t="shared" si="14"/>
        <v>0</v>
      </c>
      <c r="U22" s="846">
        <f t="shared" si="14"/>
        <v>0</v>
      </c>
      <c r="V22" s="846">
        <f t="shared" si="14"/>
        <v>0</v>
      </c>
      <c r="W22" s="846">
        <f t="shared" si="14"/>
        <v>0</v>
      </c>
      <c r="X22" s="846">
        <f t="shared" si="15"/>
        <v>0</v>
      </c>
      <c r="Y22" s="846">
        <f t="shared" si="15"/>
        <v>5358.79</v>
      </c>
      <c r="Z22" s="846">
        <f t="shared" si="15"/>
        <v>5358.7938899999999</v>
      </c>
      <c r="AA22" s="846">
        <f t="shared" si="15"/>
        <v>5358.7938899999999</v>
      </c>
      <c r="AB22" s="846">
        <f t="shared" si="15"/>
        <v>-16.02</v>
      </c>
      <c r="AC22" s="846">
        <f t="shared" si="15"/>
        <v>-16.02</v>
      </c>
      <c r="AD22" s="846"/>
      <c r="AE22" s="846">
        <f>SUMIF($AD$2:$AD$12,$C22,AE$2:AE$12)</f>
        <v>0</v>
      </c>
      <c r="AJ22" s="846">
        <f t="shared" si="16"/>
        <v>-6026</v>
      </c>
      <c r="AK22" s="846">
        <f t="shared" si="16"/>
        <v>-5342.77</v>
      </c>
    </row>
    <row r="23" spans="1:37" ht="16.5" thickBot="1">
      <c r="A23" s="848"/>
      <c r="B23" s="849" t="s">
        <v>93</v>
      </c>
      <c r="C23" s="849"/>
      <c r="D23" s="850">
        <f>SUM(D20:D22)</f>
        <v>14574095</v>
      </c>
      <c r="E23" s="850">
        <f t="shared" ref="E23:AB23" si="17">SUM(E20:E22)</f>
        <v>1926629.9500000002</v>
      </c>
      <c r="F23" s="850">
        <f>SUM(F20:F22)</f>
        <v>6861</v>
      </c>
      <c r="G23" s="850">
        <f t="shared" si="17"/>
        <v>-244.17999999999995</v>
      </c>
      <c r="H23" s="850">
        <f t="shared" si="17"/>
        <v>1245.7333333333333</v>
      </c>
      <c r="I23" s="850">
        <f t="shared" si="17"/>
        <v>0</v>
      </c>
      <c r="J23" s="850">
        <f t="shared" si="17"/>
        <v>58468.518404907991</v>
      </c>
      <c r="K23" s="850">
        <f t="shared" si="17"/>
        <v>83822.155393053035</v>
      </c>
      <c r="L23" s="850">
        <f t="shared" si="17"/>
        <v>6358</v>
      </c>
      <c r="M23" s="850">
        <f t="shared" si="17"/>
        <v>14580956</v>
      </c>
      <c r="N23" s="850">
        <f t="shared" si="17"/>
        <v>2388515</v>
      </c>
      <c r="O23" s="850">
        <f t="shared" si="17"/>
        <v>1621902</v>
      </c>
      <c r="P23" s="850">
        <f t="shared" si="17"/>
        <v>6005845</v>
      </c>
      <c r="Q23" s="850">
        <f t="shared" si="17"/>
        <v>4564694</v>
      </c>
      <c r="R23" s="850">
        <f t="shared" si="17"/>
        <v>0</v>
      </c>
      <c r="S23" s="850">
        <f t="shared" si="17"/>
        <v>0</v>
      </c>
      <c r="T23" s="850">
        <f t="shared" si="17"/>
        <v>0</v>
      </c>
      <c r="U23" s="850">
        <f t="shared" si="17"/>
        <v>0</v>
      </c>
      <c r="V23" s="850">
        <f t="shared" si="17"/>
        <v>0</v>
      </c>
      <c r="W23" s="850">
        <f t="shared" si="17"/>
        <v>0</v>
      </c>
      <c r="X23" s="850">
        <f t="shared" si="17"/>
        <v>0</v>
      </c>
      <c r="Y23" s="850">
        <f t="shared" si="17"/>
        <v>1982176.47</v>
      </c>
      <c r="Z23" s="850">
        <f t="shared" si="17"/>
        <v>1982176.444231</v>
      </c>
      <c r="AA23" s="850">
        <f t="shared" si="17"/>
        <v>1982176.444231</v>
      </c>
      <c r="AB23" s="850">
        <f t="shared" si="17"/>
        <v>-55790.7</v>
      </c>
      <c r="AC23" s="850">
        <f t="shared" ref="AC23:AE23" si="18">SUM(AC20:AC22)</f>
        <v>-55922.119999999995</v>
      </c>
      <c r="AD23" s="850"/>
      <c r="AE23" s="850">
        <f t="shared" si="18"/>
        <v>0</v>
      </c>
      <c r="AJ23" s="850">
        <f>SUM(AJ20:AJ22)</f>
        <v>120088484</v>
      </c>
      <c r="AK23" s="850">
        <f t="shared" ref="AK23" si="19">SUM(AK20:AK22)</f>
        <v>6359455.0099999998</v>
      </c>
    </row>
    <row r="24" spans="1:37" ht="13.5" thickTop="1">
      <c r="A24" s="845" t="s">
        <v>1550</v>
      </c>
      <c r="B24" s="845" t="s">
        <v>429</v>
      </c>
      <c r="C24" s="845" t="s">
        <v>1551</v>
      </c>
      <c r="D24" s="846">
        <f>SUMIF($AD$2:$AD$12,$C24,D$2:D$12)</f>
        <v>262038</v>
      </c>
      <c r="E24" s="846">
        <f t="shared" si="13"/>
        <v>25073.200000000001</v>
      </c>
      <c r="F24" s="846">
        <f t="shared" si="13"/>
        <v>36259</v>
      </c>
      <c r="G24" s="846">
        <f t="shared" si="13"/>
        <v>2588.8000000000002</v>
      </c>
      <c r="H24" s="846">
        <f t="shared" si="13"/>
        <v>14.6</v>
      </c>
      <c r="I24" s="846">
        <f t="shared" si="13"/>
        <v>0</v>
      </c>
      <c r="J24" s="846">
        <f t="shared" si="13"/>
        <v>610.87423312883402</v>
      </c>
      <c r="K24" s="846">
        <f t="shared" si="13"/>
        <v>476.79341864716599</v>
      </c>
      <c r="L24" s="846">
        <f t="shared" si="13"/>
        <v>0</v>
      </c>
      <c r="M24" s="846">
        <f t="shared" si="13"/>
        <v>298297</v>
      </c>
      <c r="N24" s="846">
        <f t="shared" si="14"/>
        <v>76959</v>
      </c>
      <c r="O24" s="846">
        <f t="shared" si="14"/>
        <v>70522</v>
      </c>
      <c r="P24" s="846">
        <f t="shared" si="14"/>
        <v>73291</v>
      </c>
      <c r="Q24" s="846">
        <f t="shared" si="14"/>
        <v>77525</v>
      </c>
      <c r="R24" s="846">
        <f t="shared" si="14"/>
        <v>0</v>
      </c>
      <c r="S24" s="846">
        <f t="shared" si="14"/>
        <v>0</v>
      </c>
      <c r="T24" s="846">
        <f t="shared" si="14"/>
        <v>0</v>
      </c>
      <c r="U24" s="846">
        <f t="shared" si="14"/>
        <v>0</v>
      </c>
      <c r="V24" s="846">
        <f t="shared" si="14"/>
        <v>0</v>
      </c>
      <c r="W24" s="846">
        <f t="shared" si="14"/>
        <v>0</v>
      </c>
      <c r="X24" s="846">
        <f t="shared" si="15"/>
        <v>0</v>
      </c>
      <c r="Y24" s="846">
        <f t="shared" si="15"/>
        <v>28727.27</v>
      </c>
      <c r="Z24" s="846">
        <f t="shared" si="15"/>
        <v>28727.257233</v>
      </c>
      <c r="AA24" s="846">
        <f t="shared" si="15"/>
        <v>28727.257233</v>
      </c>
      <c r="AB24" s="846">
        <f t="shared" si="15"/>
        <v>-1065.27</v>
      </c>
      <c r="AC24" s="846">
        <f t="shared" si="15"/>
        <v>-952.54</v>
      </c>
      <c r="AD24" s="846"/>
      <c r="AE24" s="846">
        <f>SUMIF($AD$2:$AD$12,$C24,AE$2:AE$12)</f>
        <v>0</v>
      </c>
      <c r="AJ24" s="846">
        <f t="shared" si="16"/>
        <v>914826685</v>
      </c>
      <c r="AK24" s="846">
        <f t="shared" si="16"/>
        <v>64811499.859999999</v>
      </c>
    </row>
    <row r="25" spans="1:37" ht="15.75">
      <c r="A25" s="847"/>
      <c r="B25" s="845" t="s">
        <v>438</v>
      </c>
      <c r="C25" s="845" t="s">
        <v>1552</v>
      </c>
      <c r="D25" s="846">
        <f t="shared" si="13"/>
        <v>0</v>
      </c>
      <c r="E25" s="846">
        <f t="shared" si="13"/>
        <v>0</v>
      </c>
      <c r="F25" s="846">
        <f t="shared" si="13"/>
        <v>0</v>
      </c>
      <c r="G25" s="846">
        <f t="shared" si="13"/>
        <v>0</v>
      </c>
      <c r="H25" s="846">
        <f t="shared" si="13"/>
        <v>0</v>
      </c>
      <c r="I25" s="846">
        <f t="shared" si="13"/>
        <v>0</v>
      </c>
      <c r="J25" s="846">
        <f t="shared" si="13"/>
        <v>0</v>
      </c>
      <c r="K25" s="846">
        <f t="shared" si="13"/>
        <v>0</v>
      </c>
      <c r="L25" s="846">
        <f t="shared" si="13"/>
        <v>0</v>
      </c>
      <c r="M25" s="846">
        <f t="shared" si="13"/>
        <v>0</v>
      </c>
      <c r="N25" s="846">
        <f t="shared" si="14"/>
        <v>0</v>
      </c>
      <c r="O25" s="846">
        <f t="shared" si="14"/>
        <v>0</v>
      </c>
      <c r="P25" s="846">
        <f t="shared" si="14"/>
        <v>0</v>
      </c>
      <c r="Q25" s="846">
        <f t="shared" si="14"/>
        <v>0</v>
      </c>
      <c r="R25" s="846">
        <f t="shared" si="14"/>
        <v>0</v>
      </c>
      <c r="S25" s="846">
        <f t="shared" si="14"/>
        <v>0</v>
      </c>
      <c r="T25" s="846">
        <f t="shared" si="14"/>
        <v>0</v>
      </c>
      <c r="U25" s="846">
        <f t="shared" si="14"/>
        <v>0</v>
      </c>
      <c r="V25" s="846">
        <f t="shared" si="14"/>
        <v>0</v>
      </c>
      <c r="W25" s="846">
        <f t="shared" si="14"/>
        <v>0</v>
      </c>
      <c r="X25" s="846">
        <f t="shared" si="15"/>
        <v>0</v>
      </c>
      <c r="Y25" s="846">
        <f t="shared" si="15"/>
        <v>0</v>
      </c>
      <c r="Z25" s="846">
        <f t="shared" si="15"/>
        <v>0</v>
      </c>
      <c r="AA25" s="846">
        <f t="shared" si="15"/>
        <v>0</v>
      </c>
      <c r="AB25" s="846">
        <f t="shared" si="15"/>
        <v>0</v>
      </c>
      <c r="AC25" s="846">
        <f t="shared" si="15"/>
        <v>0</v>
      </c>
      <c r="AD25" s="846"/>
      <c r="AE25" s="846">
        <f>SUMIF($AD$2:$AD$12,$C25,AE$2:AE$12)</f>
        <v>0</v>
      </c>
      <c r="AJ25" s="846">
        <f t="shared" si="16"/>
        <v>0</v>
      </c>
      <c r="AK25" s="846">
        <f t="shared" si="16"/>
        <v>0</v>
      </c>
    </row>
    <row r="26" spans="1:37" ht="15.75">
      <c r="A26" s="847"/>
      <c r="B26" s="845" t="s">
        <v>428</v>
      </c>
      <c r="C26" s="845" t="s">
        <v>1553</v>
      </c>
      <c r="D26" s="846">
        <f t="shared" si="13"/>
        <v>0</v>
      </c>
      <c r="E26" s="846">
        <f t="shared" si="13"/>
        <v>0</v>
      </c>
      <c r="F26" s="846">
        <f t="shared" si="13"/>
        <v>0</v>
      </c>
      <c r="G26" s="846">
        <f t="shared" si="13"/>
        <v>0</v>
      </c>
      <c r="H26" s="846">
        <f t="shared" si="13"/>
        <v>0</v>
      </c>
      <c r="I26" s="846">
        <f t="shared" si="13"/>
        <v>0</v>
      </c>
      <c r="J26" s="846">
        <f t="shared" si="13"/>
        <v>0</v>
      </c>
      <c r="K26" s="846">
        <f t="shared" si="13"/>
        <v>0</v>
      </c>
      <c r="L26" s="846">
        <f t="shared" si="13"/>
        <v>0</v>
      </c>
      <c r="M26" s="846">
        <f t="shared" si="13"/>
        <v>0</v>
      </c>
      <c r="N26" s="846">
        <f t="shared" si="14"/>
        <v>0</v>
      </c>
      <c r="O26" s="846">
        <f t="shared" si="14"/>
        <v>0</v>
      </c>
      <c r="P26" s="846">
        <f t="shared" si="14"/>
        <v>0</v>
      </c>
      <c r="Q26" s="846">
        <f t="shared" si="14"/>
        <v>0</v>
      </c>
      <c r="R26" s="846">
        <f t="shared" si="14"/>
        <v>0</v>
      </c>
      <c r="S26" s="846">
        <f t="shared" si="14"/>
        <v>0</v>
      </c>
      <c r="T26" s="846">
        <f t="shared" si="14"/>
        <v>0</v>
      </c>
      <c r="U26" s="846">
        <f t="shared" si="14"/>
        <v>0</v>
      </c>
      <c r="V26" s="846">
        <f t="shared" si="14"/>
        <v>0</v>
      </c>
      <c r="W26" s="846">
        <f t="shared" si="14"/>
        <v>0</v>
      </c>
      <c r="X26" s="846">
        <f t="shared" si="15"/>
        <v>0</v>
      </c>
      <c r="Y26" s="846">
        <f t="shared" si="15"/>
        <v>0</v>
      </c>
      <c r="Z26" s="846">
        <f t="shared" si="15"/>
        <v>0</v>
      </c>
      <c r="AA26" s="846">
        <f t="shared" si="15"/>
        <v>0</v>
      </c>
      <c r="AB26" s="846">
        <f t="shared" si="15"/>
        <v>0</v>
      </c>
      <c r="AC26" s="846">
        <f t="shared" si="15"/>
        <v>0</v>
      </c>
      <c r="AD26" s="846"/>
      <c r="AE26" s="846">
        <f>SUMIF($AD$2:$AD$12,$C26,AE$2:AE$12)</f>
        <v>0</v>
      </c>
      <c r="AJ26" s="846">
        <f t="shared" si="16"/>
        <v>0</v>
      </c>
      <c r="AK26" s="846">
        <f t="shared" si="16"/>
        <v>0</v>
      </c>
    </row>
    <row r="27" spans="1:37" ht="16.5" thickBot="1">
      <c r="A27" s="848"/>
      <c r="B27" s="849" t="s">
        <v>93</v>
      </c>
      <c r="C27" s="849"/>
      <c r="D27" s="850">
        <f>SUM(D24:D26)</f>
        <v>262038</v>
      </c>
      <c r="E27" s="850">
        <f t="shared" ref="E27" si="20">SUM(E24:E26)</f>
        <v>25073.200000000001</v>
      </c>
      <c r="F27" s="850">
        <f>SUM(F24:F26)</f>
        <v>36259</v>
      </c>
      <c r="G27" s="850">
        <f t="shared" ref="G27:AC27" si="21">SUM(G24:G26)</f>
        <v>2588.8000000000002</v>
      </c>
      <c r="H27" s="850">
        <f t="shared" si="21"/>
        <v>14.6</v>
      </c>
      <c r="I27" s="850">
        <f t="shared" si="21"/>
        <v>0</v>
      </c>
      <c r="J27" s="850">
        <f t="shared" si="21"/>
        <v>610.87423312883402</v>
      </c>
      <c r="K27" s="850">
        <f t="shared" si="21"/>
        <v>476.79341864716599</v>
      </c>
      <c r="L27" s="850">
        <f t="shared" si="21"/>
        <v>0</v>
      </c>
      <c r="M27" s="850">
        <f t="shared" si="21"/>
        <v>298297</v>
      </c>
      <c r="N27" s="850">
        <f t="shared" si="21"/>
        <v>76959</v>
      </c>
      <c r="O27" s="850">
        <f t="shared" si="21"/>
        <v>70522</v>
      </c>
      <c r="P27" s="850">
        <f t="shared" si="21"/>
        <v>73291</v>
      </c>
      <c r="Q27" s="850">
        <f t="shared" si="21"/>
        <v>77525</v>
      </c>
      <c r="R27" s="850">
        <f t="shared" si="21"/>
        <v>0</v>
      </c>
      <c r="S27" s="850">
        <f t="shared" si="21"/>
        <v>0</v>
      </c>
      <c r="T27" s="850">
        <f t="shared" si="21"/>
        <v>0</v>
      </c>
      <c r="U27" s="850">
        <f t="shared" si="21"/>
        <v>0</v>
      </c>
      <c r="V27" s="850">
        <f t="shared" si="21"/>
        <v>0</v>
      </c>
      <c r="W27" s="850">
        <f t="shared" si="21"/>
        <v>0</v>
      </c>
      <c r="X27" s="850">
        <f t="shared" si="21"/>
        <v>0</v>
      </c>
      <c r="Y27" s="850">
        <f t="shared" si="21"/>
        <v>28727.27</v>
      </c>
      <c r="Z27" s="850">
        <f t="shared" si="21"/>
        <v>28727.257233</v>
      </c>
      <c r="AA27" s="850">
        <f t="shared" si="21"/>
        <v>28727.257233</v>
      </c>
      <c r="AB27" s="850">
        <f t="shared" si="21"/>
        <v>-1065.27</v>
      </c>
      <c r="AC27" s="850">
        <f t="shared" si="21"/>
        <v>-952.54</v>
      </c>
      <c r="AD27" s="850"/>
      <c r="AE27" s="850">
        <f t="shared" ref="AE27" si="22">SUM(AE24:AE26)</f>
        <v>0</v>
      </c>
      <c r="AJ27" s="850">
        <f>SUM(AJ24:AJ26)</f>
        <v>914826685</v>
      </c>
      <c r="AK27" s="850">
        <f t="shared" ref="AK27" si="23">SUM(AK24:AK26)</f>
        <v>64811499.859999999</v>
      </c>
    </row>
    <row r="28" spans="1:37" ht="13.5" thickTop="1">
      <c r="A28" s="851"/>
      <c r="B28" s="851"/>
      <c r="C28" s="851"/>
      <c r="D28" s="852">
        <f>D19+D23+D27</f>
        <v>363387638</v>
      </c>
      <c r="E28" s="852">
        <f t="shared" ref="E28:AE28" si="24">E19+E23+E27</f>
        <v>41457477.120000005</v>
      </c>
      <c r="F28" s="852">
        <f>F19+F23+F27</f>
        <v>153354</v>
      </c>
      <c r="G28" s="852">
        <f t="shared" si="24"/>
        <v>247.15999999999758</v>
      </c>
      <c r="H28" s="852">
        <f t="shared" si="24"/>
        <v>31851.400000000071</v>
      </c>
      <c r="I28" s="852">
        <f t="shared" si="24"/>
        <v>0</v>
      </c>
      <c r="J28" s="852">
        <f t="shared" si="24"/>
        <v>1115277.3926380347</v>
      </c>
      <c r="K28" s="852">
        <f t="shared" si="24"/>
        <v>1338805.3180987216</v>
      </c>
      <c r="L28" s="852">
        <f t="shared" si="24"/>
        <v>194914.63934426199</v>
      </c>
      <c r="M28" s="852">
        <f t="shared" si="24"/>
        <v>363540992</v>
      </c>
      <c r="N28" s="852">
        <f t="shared" si="24"/>
        <v>73097548</v>
      </c>
      <c r="O28" s="852">
        <f t="shared" si="24"/>
        <v>57904645</v>
      </c>
      <c r="P28" s="852">
        <f t="shared" si="24"/>
        <v>102848548</v>
      </c>
      <c r="Q28" s="852">
        <f t="shared" si="24"/>
        <v>79988585</v>
      </c>
      <c r="R28" s="852">
        <f t="shared" si="24"/>
        <v>51196556</v>
      </c>
      <c r="S28" s="852">
        <f t="shared" si="24"/>
        <v>26996026</v>
      </c>
      <c r="T28" s="852">
        <f t="shared" si="24"/>
        <v>24200530</v>
      </c>
      <c r="U28" s="852">
        <f t="shared" si="24"/>
        <v>1782565</v>
      </c>
      <c r="V28" s="852">
        <f t="shared" si="24"/>
        <v>7705511</v>
      </c>
      <c r="W28" s="852">
        <f t="shared" si="24"/>
        <v>4388256</v>
      </c>
      <c r="X28" s="852">
        <f t="shared" si="24"/>
        <v>10324198</v>
      </c>
      <c r="Y28" s="852">
        <f t="shared" si="24"/>
        <v>42811558.910000004</v>
      </c>
      <c r="Z28" s="852">
        <f t="shared" si="24"/>
        <v>42811560.209358193</v>
      </c>
      <c r="AA28" s="852">
        <f t="shared" si="24"/>
        <v>42811560.209358193</v>
      </c>
      <c r="AB28" s="852">
        <f t="shared" si="24"/>
        <v>-1353834.6300000001</v>
      </c>
      <c r="AC28" s="852">
        <f t="shared" si="24"/>
        <v>-1360092.4700000002</v>
      </c>
      <c r="AD28" s="852">
        <f t="shared" si="24"/>
        <v>0</v>
      </c>
      <c r="AE28" s="852">
        <f t="shared" si="24"/>
        <v>-1494890</v>
      </c>
      <c r="AJ28" s="852">
        <f>AJ19+AJ23</f>
        <v>2947687663</v>
      </c>
      <c r="AK28" s="852">
        <f t="shared" ref="AK28" si="25">AK19+AK23</f>
        <v>141920070.48000002</v>
      </c>
    </row>
    <row r="29" spans="1:37">
      <c r="A29" s="219" t="s">
        <v>463</v>
      </c>
      <c r="B29" s="219"/>
      <c r="C29" s="219"/>
      <c r="D29" s="220">
        <f t="shared" ref="D29:AC29" si="26">D28-SUM(D2:D12)</f>
        <v>0</v>
      </c>
      <c r="E29" s="220">
        <f t="shared" si="26"/>
        <v>0</v>
      </c>
      <c r="F29" s="220">
        <f t="shared" si="26"/>
        <v>0</v>
      </c>
      <c r="G29" s="220">
        <f t="shared" si="26"/>
        <v>-2.2737367544323206E-12</v>
      </c>
      <c r="H29" s="220">
        <f t="shared" si="26"/>
        <v>0</v>
      </c>
      <c r="I29" s="220">
        <f t="shared" si="26"/>
        <v>0</v>
      </c>
      <c r="J29" s="220">
        <f t="shared" si="26"/>
        <v>0</v>
      </c>
      <c r="K29" s="220">
        <f t="shared" si="26"/>
        <v>0</v>
      </c>
      <c r="L29" s="220">
        <f t="shared" si="26"/>
        <v>0</v>
      </c>
      <c r="M29" s="220">
        <f t="shared" si="26"/>
        <v>0</v>
      </c>
      <c r="N29" s="220">
        <f t="shared" si="26"/>
        <v>0</v>
      </c>
      <c r="O29" s="220">
        <f t="shared" si="26"/>
        <v>0</v>
      </c>
      <c r="P29" s="220">
        <f t="shared" si="26"/>
        <v>0</v>
      </c>
      <c r="Q29" s="220">
        <f t="shared" si="26"/>
        <v>0</v>
      </c>
      <c r="R29" s="220">
        <f t="shared" si="26"/>
        <v>0</v>
      </c>
      <c r="S29" s="220">
        <f t="shared" si="26"/>
        <v>0</v>
      </c>
      <c r="T29" s="220">
        <f t="shared" si="26"/>
        <v>0</v>
      </c>
      <c r="U29" s="220">
        <f t="shared" si="26"/>
        <v>0</v>
      </c>
      <c r="V29" s="220">
        <f t="shared" si="26"/>
        <v>0</v>
      </c>
      <c r="W29" s="220">
        <f t="shared" si="26"/>
        <v>0</v>
      </c>
      <c r="X29" s="220">
        <f t="shared" si="26"/>
        <v>0</v>
      </c>
      <c r="Y29" s="220">
        <f t="shared" si="26"/>
        <v>0</v>
      </c>
      <c r="Z29" s="220">
        <f t="shared" si="26"/>
        <v>0</v>
      </c>
      <c r="AA29" s="220">
        <f t="shared" si="26"/>
        <v>0</v>
      </c>
      <c r="AB29" s="220">
        <f t="shared" si="26"/>
        <v>0</v>
      </c>
      <c r="AC29" s="220">
        <f t="shared" si="26"/>
        <v>0</v>
      </c>
      <c r="AD29" s="220"/>
      <c r="AE29" s="220">
        <f>AE28-SUM(AE2:AE12)</f>
        <v>0</v>
      </c>
    </row>
    <row r="30" spans="1:37">
      <c r="M30" s="678" t="s">
        <v>699</v>
      </c>
      <c r="N30" s="679">
        <f>N16/(N16+O16)</f>
        <v>0.55272104993933291</v>
      </c>
      <c r="O30" s="679"/>
      <c r="P30" s="680">
        <f>P16/(P16+Q16)</f>
        <v>0.55373351401327453</v>
      </c>
      <c r="Y30" s="659" t="s">
        <v>418</v>
      </c>
      <c r="Z30" s="660">
        <f>TempRev!I340*(1-TempRev!Y13)</f>
        <v>16005.263544000005</v>
      </c>
    </row>
    <row r="31" spans="1:37">
      <c r="D31" s="853">
        <f>D17-'Table 2'!H86</f>
        <v>-538416</v>
      </c>
      <c r="M31" s="681" t="s">
        <v>701</v>
      </c>
      <c r="N31" s="682">
        <f>N17/(N17+O17)</f>
        <v>0.58340125729292491</v>
      </c>
      <c r="O31" s="682"/>
      <c r="P31" s="683">
        <f>P17/(P17+Q17)</f>
        <v>0.6296124893774947</v>
      </c>
      <c r="S31" s="526"/>
      <c r="T31" s="526"/>
      <c r="U31" s="526"/>
      <c r="V31" s="526"/>
      <c r="Y31" s="661" t="s">
        <v>136</v>
      </c>
      <c r="Z31" s="662">
        <f>'Blocking-Step2'!H978+'Blocking-Step2'!H1073+'Blocking-Step2'!H1161</f>
        <v>97235</v>
      </c>
      <c r="AB31" s="880" t="s">
        <v>1241</v>
      </c>
    </row>
    <row r="32" spans="1:37">
      <c r="Y32" s="661" t="s">
        <v>411</v>
      </c>
      <c r="Z32" s="662">
        <f>'Blocking-Step2'!H982+'Blocking-Step2'!H1076+'Blocking-Step2'!H1164</f>
        <v>41595922.415499993</v>
      </c>
      <c r="AB32" s="526">
        <f>'Blocking-Step2'!H979+'Blocking-Step2'!H1074+'Blocking-Step2'!H1162</f>
        <v>-1328919.5844999999</v>
      </c>
      <c r="AC32" s="526"/>
    </row>
    <row r="33" spans="4:26">
      <c r="L33" s="656"/>
      <c r="M33" s="650" t="s">
        <v>1234</v>
      </c>
      <c r="Y33" s="663" t="s">
        <v>498</v>
      </c>
      <c r="Z33" s="664">
        <f>Z32-Z30-Z31-Z28-AB32</f>
        <v>41.527097798883915</v>
      </c>
    </row>
    <row r="34" spans="4:26">
      <c r="L34" s="657" t="s">
        <v>698</v>
      </c>
      <c r="M34" s="636"/>
    </row>
    <row r="35" spans="4:26">
      <c r="L35" s="658" t="s">
        <v>1556</v>
      </c>
      <c r="M35" s="638">
        <f>M20/(M20+M16+M24)</f>
        <v>3.5685728206895438E-2</v>
      </c>
    </row>
    <row r="36" spans="4:26">
      <c r="L36" s="658" t="s">
        <v>1557</v>
      </c>
      <c r="M36" s="638">
        <f>M24/(M20+M16+M24)</f>
        <v>1.0109877373952632E-3</v>
      </c>
    </row>
    <row r="38" spans="4:26">
      <c r="D38" s="809"/>
      <c r="E38" s="809"/>
    </row>
    <row r="39" spans="4:26">
      <c r="D39" s="809"/>
      <c r="E39" s="809"/>
    </row>
    <row r="40" spans="4:26">
      <c r="D40" s="809"/>
      <c r="E40" s="809"/>
    </row>
    <row r="41" spans="4:26">
      <c r="D41" s="809"/>
      <c r="E41" s="809"/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Schedule 6A Billing Determinants
12 Months Ending September 2005&amp;R&amp;"Arial"&amp;8Date: 1/5/2006</oddHeader>
    <oddFooter>&amp;L&amp;C&amp;"Arial"&amp;10Page &amp;P&amp;R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AB97"/>
  <sheetViews>
    <sheetView topLeftCell="H88" workbookViewId="0">
      <selection activeCell="W28" sqref="W28"/>
    </sheetView>
  </sheetViews>
  <sheetFormatPr defaultColWidth="8" defaultRowHeight="12.75"/>
  <cols>
    <col min="1" max="1" width="5.25" style="122" customWidth="1"/>
    <col min="2" max="2" width="11.75" style="122" customWidth="1"/>
    <col min="3" max="5" width="8.75" style="122" customWidth="1"/>
    <col min="6" max="6" width="9.125" style="122" customWidth="1"/>
    <col min="7" max="7" width="11.125" style="122" customWidth="1"/>
    <col min="8" max="8" width="9.125" style="122" customWidth="1"/>
    <col min="9" max="9" width="9" style="122" customWidth="1"/>
    <col min="10" max="10" width="9.125" style="122" customWidth="1"/>
    <col min="11" max="11" width="11.125" style="122" customWidth="1"/>
    <col min="12" max="12" width="7.125" style="122" customWidth="1"/>
    <col min="13" max="16" width="11.125" style="122" customWidth="1"/>
    <col min="17" max="19" width="10.125" style="122" customWidth="1"/>
    <col min="20" max="21" width="8" style="122" customWidth="1"/>
    <col min="22" max="22" width="20.625" style="122" bestFit="1" customWidth="1"/>
    <col min="23" max="23" width="4.75" style="247" bestFit="1" customWidth="1"/>
    <col min="24" max="24" width="55.5" style="122" bestFit="1" customWidth="1"/>
    <col min="25" max="25" width="8" style="122" customWidth="1"/>
    <col min="26" max="26" width="10.25" style="122" customWidth="1"/>
    <col min="27" max="27" width="8" style="122"/>
    <col min="28" max="28" width="14.625" style="122" bestFit="1" customWidth="1"/>
    <col min="29" max="16384" width="8" style="122"/>
  </cols>
  <sheetData>
    <row r="1" spans="1:28" ht="13.5" customHeight="1">
      <c r="A1" s="1155" t="s">
        <v>191</v>
      </c>
      <c r="B1" s="1155" t="s">
        <v>192</v>
      </c>
      <c r="C1" s="1155" t="s">
        <v>562</v>
      </c>
      <c r="D1" s="1155" t="s">
        <v>707</v>
      </c>
      <c r="E1" s="1155" t="s">
        <v>708</v>
      </c>
      <c r="F1" s="1155" t="s">
        <v>709</v>
      </c>
      <c r="G1" s="1155" t="s">
        <v>710</v>
      </c>
      <c r="H1" s="1155" t="s">
        <v>125</v>
      </c>
      <c r="I1" s="1155" t="s">
        <v>126</v>
      </c>
      <c r="J1" s="1155" t="s">
        <v>127</v>
      </c>
      <c r="K1" s="1155" t="s">
        <v>128</v>
      </c>
      <c r="L1" s="1155" t="s">
        <v>151</v>
      </c>
      <c r="M1" s="1155" t="s">
        <v>175</v>
      </c>
      <c r="N1" s="1155" t="s">
        <v>70</v>
      </c>
      <c r="O1" s="1155" t="s">
        <v>620</v>
      </c>
      <c r="P1" s="1155" t="s">
        <v>71</v>
      </c>
      <c r="Q1" s="1155" t="s">
        <v>619</v>
      </c>
      <c r="R1" s="1155" t="s">
        <v>1225</v>
      </c>
      <c r="S1" s="1155" t="s">
        <v>1256</v>
      </c>
      <c r="T1" s="860" t="s">
        <v>1251</v>
      </c>
      <c r="U1" s="860"/>
      <c r="V1" s="862" t="s">
        <v>1252</v>
      </c>
      <c r="W1" s="862" t="s">
        <v>562</v>
      </c>
      <c r="X1" s="862" t="s">
        <v>573</v>
      </c>
      <c r="Y1" s="862" t="s">
        <v>404</v>
      </c>
      <c r="Z1" s="862" t="s">
        <v>574</v>
      </c>
      <c r="AA1" s="862" t="s">
        <v>403</v>
      </c>
      <c r="AB1" s="862" t="s">
        <v>575</v>
      </c>
    </row>
    <row r="2" spans="1:28" ht="14.25" customHeight="1">
      <c r="A2" s="1156" t="s">
        <v>429</v>
      </c>
      <c r="B2" s="1156" t="s">
        <v>120</v>
      </c>
      <c r="C2" s="1181">
        <v>1</v>
      </c>
      <c r="D2" s="1156" t="s">
        <v>580</v>
      </c>
      <c r="E2" s="1156" t="s">
        <v>579</v>
      </c>
      <c r="F2" s="1157">
        <v>69</v>
      </c>
      <c r="G2" s="1182">
        <v>16.38</v>
      </c>
      <c r="H2" s="1157">
        <v>1503811.99084249</v>
      </c>
      <c r="I2" s="1157">
        <v>356991.89</v>
      </c>
      <c r="J2" s="1157">
        <v>4156.0915750915801</v>
      </c>
      <c r="K2" s="1157">
        <v>986.62</v>
      </c>
      <c r="L2" s="1157">
        <v>1269</v>
      </c>
      <c r="M2" s="1157">
        <v>21854.609890109899</v>
      </c>
      <c r="N2" s="1157">
        <v>1507968.0824175801</v>
      </c>
      <c r="O2" s="1157">
        <v>1514205</v>
      </c>
      <c r="P2" s="1157">
        <v>357978.51</v>
      </c>
      <c r="Q2" s="1157">
        <v>357978.51000005298</v>
      </c>
      <c r="R2" s="1159">
        <v>-7162.07</v>
      </c>
      <c r="S2" s="1159">
        <v>-7155.46</v>
      </c>
      <c r="T2" s="861">
        <f>P2-Q2</f>
        <v>-5.2968971431255341E-8</v>
      </c>
      <c r="U2" s="861"/>
      <c r="V2" s="863" t="s">
        <v>120</v>
      </c>
      <c r="W2" s="864">
        <v>1</v>
      </c>
      <c r="X2" s="865" t="s">
        <v>580</v>
      </c>
      <c r="Y2" s="865" t="s">
        <v>579</v>
      </c>
      <c r="Z2" s="866">
        <v>69</v>
      </c>
      <c r="AA2" s="864">
        <v>16.38</v>
      </c>
      <c r="AB2" s="867">
        <v>401768</v>
      </c>
    </row>
    <row r="3" spans="1:28" ht="14.25" customHeight="1">
      <c r="A3" s="1156" t="s">
        <v>429</v>
      </c>
      <c r="B3" s="371"/>
      <c r="C3" s="1181">
        <v>2</v>
      </c>
      <c r="D3" s="1156" t="s">
        <v>581</v>
      </c>
      <c r="E3" s="1156" t="s">
        <v>579</v>
      </c>
      <c r="F3" s="1157">
        <v>145</v>
      </c>
      <c r="G3" s="1182">
        <v>26.78</v>
      </c>
      <c r="H3" s="1157">
        <v>970351.045556386</v>
      </c>
      <c r="I3" s="1157">
        <v>179213.8</v>
      </c>
      <c r="J3" s="1157">
        <v>1759.38386855863</v>
      </c>
      <c r="K3" s="1157">
        <v>324.94</v>
      </c>
      <c r="L3" s="1157">
        <v>364</v>
      </c>
      <c r="M3" s="1157">
        <v>6704.2098581030596</v>
      </c>
      <c r="N3" s="1157">
        <v>972110.42942494503</v>
      </c>
      <c r="O3" s="1157">
        <v>979765</v>
      </c>
      <c r="P3" s="1157">
        <v>179538.74</v>
      </c>
      <c r="Q3" s="1157">
        <v>179538.73999999501</v>
      </c>
      <c r="R3" s="1159">
        <v>-3609.49</v>
      </c>
      <c r="S3" s="1159">
        <v>-3612.65</v>
      </c>
      <c r="T3" s="861">
        <f t="shared" ref="T3:T66" si="0">P3-Q3</f>
        <v>4.9767550081014633E-9</v>
      </c>
      <c r="U3" s="861"/>
      <c r="V3" s="868"/>
      <c r="W3" s="864">
        <v>2</v>
      </c>
      <c r="X3" s="865" t="s">
        <v>581</v>
      </c>
      <c r="Y3" s="865" t="s">
        <v>579</v>
      </c>
      <c r="Z3" s="866">
        <v>145</v>
      </c>
      <c r="AA3" s="864">
        <v>26.78</v>
      </c>
      <c r="AB3" s="867">
        <v>401768</v>
      </c>
    </row>
    <row r="4" spans="1:28" ht="14.25" customHeight="1">
      <c r="A4" s="1156" t="s">
        <v>429</v>
      </c>
      <c r="B4" s="371"/>
      <c r="C4" s="1181">
        <v>3</v>
      </c>
      <c r="D4" s="1156" t="s">
        <v>582</v>
      </c>
      <c r="E4" s="1156" t="s">
        <v>576</v>
      </c>
      <c r="F4" s="1157">
        <v>28</v>
      </c>
      <c r="G4" s="1182">
        <v>14.6</v>
      </c>
      <c r="H4" s="1157">
        <v>27061.041095890399</v>
      </c>
      <c r="I4" s="1157">
        <v>14110.4</v>
      </c>
      <c r="J4" s="1157">
        <v>28</v>
      </c>
      <c r="K4" s="1157">
        <v>14.6</v>
      </c>
      <c r="L4" s="1157">
        <v>30</v>
      </c>
      <c r="M4" s="1157">
        <v>967.46575342465803</v>
      </c>
      <c r="N4" s="1157">
        <v>27089.041095890399</v>
      </c>
      <c r="O4" s="1157">
        <v>27076</v>
      </c>
      <c r="P4" s="1157">
        <v>14125</v>
      </c>
      <c r="Q4" s="1157">
        <v>14125.0000000001</v>
      </c>
      <c r="R4" s="1159">
        <v>-285.11</v>
      </c>
      <c r="S4" s="1159">
        <v>-284.82</v>
      </c>
      <c r="T4" s="861">
        <f t="shared" si="0"/>
        <v>-1.0004441719502211E-10</v>
      </c>
      <c r="U4" s="861"/>
      <c r="V4" s="868"/>
      <c r="W4" s="864">
        <v>3</v>
      </c>
      <c r="X4" s="865" t="s">
        <v>582</v>
      </c>
      <c r="Y4" s="865" t="s">
        <v>576</v>
      </c>
      <c r="Z4" s="866">
        <v>28</v>
      </c>
      <c r="AA4" s="864">
        <v>14.6</v>
      </c>
      <c r="AB4" s="867">
        <v>401768</v>
      </c>
    </row>
    <row r="5" spans="1:28" ht="14.25" customHeight="1">
      <c r="A5" s="1156" t="s">
        <v>429</v>
      </c>
      <c r="B5" s="371"/>
      <c r="C5" s="1181">
        <v>4</v>
      </c>
      <c r="D5" s="1156" t="s">
        <v>583</v>
      </c>
      <c r="E5" s="1156" t="s">
        <v>576</v>
      </c>
      <c r="F5" s="1157">
        <v>28</v>
      </c>
      <c r="G5" s="1182">
        <v>12.23</v>
      </c>
      <c r="H5" s="1157">
        <v>14902.547833197101</v>
      </c>
      <c r="I5" s="1157">
        <v>6509.22</v>
      </c>
      <c r="J5" s="1157">
        <v>56</v>
      </c>
      <c r="K5" s="1157">
        <v>24.46</v>
      </c>
      <c r="L5" s="1157">
        <v>47</v>
      </c>
      <c r="M5" s="1157">
        <v>534.23385118560896</v>
      </c>
      <c r="N5" s="1157">
        <v>14958.547833197101</v>
      </c>
      <c r="O5" s="1157">
        <v>15120</v>
      </c>
      <c r="P5" s="1157">
        <v>6533.68</v>
      </c>
      <c r="Q5" s="1157">
        <v>6533.6799999999303</v>
      </c>
      <c r="R5" s="1159">
        <v>-130.13</v>
      </c>
      <c r="S5" s="1159">
        <v>-129.76</v>
      </c>
      <c r="T5" s="861">
        <f t="shared" si="0"/>
        <v>7.0031092036515474E-11</v>
      </c>
      <c r="U5" s="861"/>
      <c r="V5" s="868"/>
      <c r="W5" s="864">
        <v>4</v>
      </c>
      <c r="X5" s="865" t="s">
        <v>583</v>
      </c>
      <c r="Y5" s="865" t="s">
        <v>576</v>
      </c>
      <c r="Z5" s="866">
        <v>28</v>
      </c>
      <c r="AA5" s="864">
        <v>12.23</v>
      </c>
      <c r="AB5" s="867">
        <v>401768</v>
      </c>
    </row>
    <row r="6" spans="1:28" ht="14.25" customHeight="1">
      <c r="A6" s="1156" t="s">
        <v>429</v>
      </c>
      <c r="B6" s="371"/>
      <c r="C6" s="1181">
        <v>5</v>
      </c>
      <c r="D6" s="1156" t="s">
        <v>584</v>
      </c>
      <c r="E6" s="1156" t="s">
        <v>576</v>
      </c>
      <c r="F6" s="1157">
        <v>39</v>
      </c>
      <c r="G6" s="1182">
        <v>15.47</v>
      </c>
      <c r="H6" s="1157">
        <v>452772.45378151297</v>
      </c>
      <c r="I6" s="1157">
        <v>179599.74</v>
      </c>
      <c r="J6" s="1157">
        <v>937.31092436974802</v>
      </c>
      <c r="K6" s="1157">
        <v>371.8</v>
      </c>
      <c r="L6" s="1157">
        <v>548</v>
      </c>
      <c r="M6" s="1157">
        <v>11633.5837104072</v>
      </c>
      <c r="N6" s="1157">
        <v>453709.76470588299</v>
      </c>
      <c r="O6" s="1157">
        <v>456183</v>
      </c>
      <c r="P6" s="1157">
        <v>179971.54</v>
      </c>
      <c r="Q6" s="1157">
        <v>179971.54000000801</v>
      </c>
      <c r="R6" s="1159">
        <v>-3631.3</v>
      </c>
      <c r="S6" s="1159">
        <v>-3625.72</v>
      </c>
      <c r="T6" s="861">
        <f t="shared" si="0"/>
        <v>-8.0035533756017685E-9</v>
      </c>
      <c r="U6" s="861"/>
      <c r="V6" s="868"/>
      <c r="W6" s="864">
        <v>5</v>
      </c>
      <c r="X6" s="865" t="s">
        <v>584</v>
      </c>
      <c r="Y6" s="865" t="s">
        <v>576</v>
      </c>
      <c r="Z6" s="866">
        <v>39</v>
      </c>
      <c r="AA6" s="864">
        <v>15.47</v>
      </c>
      <c r="AB6" s="867">
        <v>401768</v>
      </c>
    </row>
    <row r="7" spans="1:28" ht="14.25" customHeight="1">
      <c r="A7" s="1156" t="s">
        <v>429</v>
      </c>
      <c r="B7" s="371"/>
      <c r="C7" s="1181">
        <v>6</v>
      </c>
      <c r="D7" s="1156" t="s">
        <v>585</v>
      </c>
      <c r="E7" s="1156" t="s">
        <v>576</v>
      </c>
      <c r="F7" s="1157">
        <v>39</v>
      </c>
      <c r="G7" s="1182">
        <v>13.31</v>
      </c>
      <c r="H7" s="1157">
        <v>363891.45413600502</v>
      </c>
      <c r="I7" s="1157">
        <v>124189.11</v>
      </c>
      <c r="J7" s="1157">
        <v>1726.3670510725101</v>
      </c>
      <c r="K7" s="1157">
        <v>589.69000000000005</v>
      </c>
      <c r="L7" s="1157">
        <v>505</v>
      </c>
      <c r="M7" s="1157">
        <v>9374.8159278737803</v>
      </c>
      <c r="N7" s="1157">
        <v>365617.82118707802</v>
      </c>
      <c r="O7" s="1157">
        <v>368862</v>
      </c>
      <c r="P7" s="1157">
        <v>124778.8</v>
      </c>
      <c r="Q7" s="1157">
        <v>124778.799999993</v>
      </c>
      <c r="R7" s="1159">
        <v>-2497.75</v>
      </c>
      <c r="S7" s="1159">
        <v>-2498.69</v>
      </c>
      <c r="T7" s="861">
        <f t="shared" si="0"/>
        <v>6.9994712248444557E-9</v>
      </c>
      <c r="U7" s="861"/>
      <c r="V7" s="868"/>
      <c r="W7" s="864">
        <v>6</v>
      </c>
      <c r="X7" s="865" t="s">
        <v>585</v>
      </c>
      <c r="Y7" s="865" t="s">
        <v>576</v>
      </c>
      <c r="Z7" s="866">
        <v>39</v>
      </c>
      <c r="AA7" s="864">
        <v>13.31</v>
      </c>
      <c r="AB7" s="867">
        <v>401768</v>
      </c>
    </row>
    <row r="8" spans="1:28" ht="14.25" customHeight="1">
      <c r="A8" s="1156" t="s">
        <v>429</v>
      </c>
      <c r="B8" s="371"/>
      <c r="C8" s="1181">
        <v>7</v>
      </c>
      <c r="D8" s="1156" t="s">
        <v>586</v>
      </c>
      <c r="E8" s="1156" t="s">
        <v>576</v>
      </c>
      <c r="F8" s="1157">
        <v>59</v>
      </c>
      <c r="G8" s="1182">
        <v>19.46</v>
      </c>
      <c r="H8" s="1157">
        <v>84550.911099691701</v>
      </c>
      <c r="I8" s="1157">
        <v>27887.47</v>
      </c>
      <c r="J8" s="1157">
        <v>-114.058581706064</v>
      </c>
      <c r="K8" s="1157">
        <v>-37.619999999999997</v>
      </c>
      <c r="L8" s="1157">
        <v>75</v>
      </c>
      <c r="M8" s="1157">
        <v>1431.1330935251799</v>
      </c>
      <c r="N8" s="1157">
        <v>84436.852517985593</v>
      </c>
      <c r="O8" s="1157">
        <v>84960</v>
      </c>
      <c r="P8" s="1157">
        <v>27849.85</v>
      </c>
      <c r="Q8" s="1157">
        <v>27849.8499999997</v>
      </c>
      <c r="R8" s="1159">
        <v>-562.99</v>
      </c>
      <c r="S8" s="1159">
        <v>-565.14</v>
      </c>
      <c r="T8" s="861">
        <f t="shared" si="0"/>
        <v>2.9831426218152046E-10</v>
      </c>
      <c r="U8" s="861"/>
      <c r="V8" s="868"/>
      <c r="W8" s="864">
        <v>7</v>
      </c>
      <c r="X8" s="865" t="s">
        <v>586</v>
      </c>
      <c r="Y8" s="865" t="s">
        <v>576</v>
      </c>
      <c r="Z8" s="866">
        <v>59</v>
      </c>
      <c r="AA8" s="864">
        <v>19.46</v>
      </c>
      <c r="AB8" s="867">
        <v>401768</v>
      </c>
    </row>
    <row r="9" spans="1:28" ht="14.25" customHeight="1">
      <c r="A9" s="1156" t="s">
        <v>429</v>
      </c>
      <c r="B9" s="371"/>
      <c r="C9" s="1181">
        <v>8</v>
      </c>
      <c r="D9" s="1156" t="s">
        <v>587</v>
      </c>
      <c r="E9" s="1156" t="s">
        <v>576</v>
      </c>
      <c r="F9" s="1157">
        <v>59</v>
      </c>
      <c r="G9" s="1182">
        <v>17.13</v>
      </c>
      <c r="H9" s="1157">
        <v>97633.186223000594</v>
      </c>
      <c r="I9" s="1157">
        <v>28346.720000000001</v>
      </c>
      <c r="J9" s="1157">
        <v>59</v>
      </c>
      <c r="K9" s="1157">
        <v>17.13</v>
      </c>
      <c r="L9" s="1157">
        <v>74</v>
      </c>
      <c r="M9" s="1157">
        <v>1655.7997664915399</v>
      </c>
      <c r="N9" s="1157">
        <v>97692.186223000594</v>
      </c>
      <c r="O9" s="1157">
        <v>97940</v>
      </c>
      <c r="P9" s="1157">
        <v>28363.85</v>
      </c>
      <c r="Q9" s="1157">
        <v>28363.85</v>
      </c>
      <c r="R9" s="1159">
        <v>-571.11</v>
      </c>
      <c r="S9" s="1159">
        <v>-572.02</v>
      </c>
      <c r="T9" s="861">
        <f t="shared" si="0"/>
        <v>0</v>
      </c>
      <c r="U9" s="861"/>
      <c r="V9" s="868"/>
      <c r="W9" s="864">
        <v>8</v>
      </c>
      <c r="X9" s="865" t="s">
        <v>587</v>
      </c>
      <c r="Y9" s="865" t="s">
        <v>576</v>
      </c>
      <c r="Z9" s="866">
        <v>59</v>
      </c>
      <c r="AA9" s="864">
        <v>17.13</v>
      </c>
      <c r="AB9" s="867">
        <v>401768</v>
      </c>
    </row>
    <row r="10" spans="1:28" ht="14.25" customHeight="1">
      <c r="A10" s="1156" t="s">
        <v>429</v>
      </c>
      <c r="B10" s="371"/>
      <c r="C10" s="1181">
        <v>10</v>
      </c>
      <c r="D10" s="1156" t="s">
        <v>589</v>
      </c>
      <c r="E10" s="1156" t="s">
        <v>576</v>
      </c>
      <c r="F10" s="1157">
        <v>96</v>
      </c>
      <c r="G10" s="1182">
        <v>23.51</v>
      </c>
      <c r="H10" s="1157">
        <v>190163.137388345</v>
      </c>
      <c r="I10" s="1157">
        <v>46570.16</v>
      </c>
      <c r="J10" s="1157">
        <v>96</v>
      </c>
      <c r="K10" s="1157">
        <v>23.51</v>
      </c>
      <c r="L10" s="1157">
        <v>87</v>
      </c>
      <c r="M10" s="1157">
        <v>1981.86601446193</v>
      </c>
      <c r="N10" s="1157">
        <v>190259.137388345</v>
      </c>
      <c r="O10" s="1157">
        <v>190944</v>
      </c>
      <c r="P10" s="1157">
        <v>46593.67</v>
      </c>
      <c r="Q10" s="1157">
        <v>46593.6699999997</v>
      </c>
      <c r="R10" s="1159">
        <v>-940.78</v>
      </c>
      <c r="S10" s="1159">
        <v>-941.43</v>
      </c>
      <c r="T10" s="861">
        <f t="shared" si="0"/>
        <v>2.9831426218152046E-10</v>
      </c>
      <c r="U10" s="861"/>
      <c r="V10" s="868"/>
      <c r="W10" s="864">
        <v>9</v>
      </c>
      <c r="X10" s="865" t="s">
        <v>588</v>
      </c>
      <c r="Y10" s="865" t="s">
        <v>576</v>
      </c>
      <c r="Z10" s="866">
        <v>76</v>
      </c>
      <c r="AA10" s="864">
        <v>21.07</v>
      </c>
      <c r="AB10" s="867">
        <v>401768</v>
      </c>
    </row>
    <row r="11" spans="1:28" ht="14.25" customHeight="1">
      <c r="A11" s="1156" t="s">
        <v>429</v>
      </c>
      <c r="B11" s="371"/>
      <c r="C11" s="1181">
        <v>11</v>
      </c>
      <c r="D11" s="1156" t="s">
        <v>590</v>
      </c>
      <c r="E11" s="1156" t="s">
        <v>576</v>
      </c>
      <c r="F11" s="1157">
        <v>96</v>
      </c>
      <c r="G11" s="1182">
        <v>21.23</v>
      </c>
      <c r="H11" s="1157">
        <v>302145.68817710801</v>
      </c>
      <c r="I11" s="1157">
        <v>66818.259999999995</v>
      </c>
      <c r="J11" s="1157">
        <v>96</v>
      </c>
      <c r="K11" s="1157">
        <v>21.23</v>
      </c>
      <c r="L11" s="1157">
        <v>93</v>
      </c>
      <c r="M11" s="1157">
        <v>3148.3509185115399</v>
      </c>
      <c r="N11" s="1157">
        <v>302241.68817710801</v>
      </c>
      <c r="O11" s="1157">
        <v>313344</v>
      </c>
      <c r="P11" s="1157">
        <v>66839.490000000005</v>
      </c>
      <c r="Q11" s="1157">
        <v>66839.490000000893</v>
      </c>
      <c r="R11" s="1159">
        <v>-1345</v>
      </c>
      <c r="S11" s="1159">
        <v>-1347</v>
      </c>
      <c r="T11" s="861">
        <f t="shared" si="0"/>
        <v>-8.8766682893037796E-10</v>
      </c>
      <c r="U11" s="861"/>
      <c r="V11" s="868"/>
      <c r="W11" s="864">
        <v>10</v>
      </c>
      <c r="X11" s="865" t="s">
        <v>589</v>
      </c>
      <c r="Y11" s="865" t="s">
        <v>576</v>
      </c>
      <c r="Z11" s="866">
        <v>96</v>
      </c>
      <c r="AA11" s="864">
        <v>23.51</v>
      </c>
      <c r="AB11" s="867">
        <v>401768</v>
      </c>
    </row>
    <row r="12" spans="1:28" ht="14.25" customHeight="1">
      <c r="A12" s="1156" t="s">
        <v>429</v>
      </c>
      <c r="B12" s="371"/>
      <c r="C12" s="1181">
        <v>12</v>
      </c>
      <c r="D12" s="1156" t="s">
        <v>591</v>
      </c>
      <c r="E12" s="1156" t="s">
        <v>576</v>
      </c>
      <c r="F12" s="1157">
        <v>148</v>
      </c>
      <c r="G12" s="1182">
        <v>28.3</v>
      </c>
      <c r="H12" s="1157">
        <v>147366.16254416999</v>
      </c>
      <c r="I12" s="1157">
        <v>28178.799999999999</v>
      </c>
      <c r="J12" s="1157">
        <v>522.91590106007095</v>
      </c>
      <c r="K12" s="1157">
        <v>99.99</v>
      </c>
      <c r="L12" s="1157">
        <v>37</v>
      </c>
      <c r="M12" s="1157">
        <v>999.25053003533606</v>
      </c>
      <c r="N12" s="1157">
        <v>147889.07844523</v>
      </c>
      <c r="O12" s="1157">
        <v>148740</v>
      </c>
      <c r="P12" s="1157">
        <v>28278.79</v>
      </c>
      <c r="Q12" s="1157">
        <v>28278.789999999899</v>
      </c>
      <c r="R12" s="1159">
        <v>-567.77</v>
      </c>
      <c r="S12" s="1159">
        <v>-566.80999999999995</v>
      </c>
      <c r="T12" s="861">
        <f t="shared" si="0"/>
        <v>1.0186340659856796E-10</v>
      </c>
      <c r="U12" s="861"/>
      <c r="V12" s="868"/>
      <c r="W12" s="864">
        <v>11</v>
      </c>
      <c r="X12" s="865" t="s">
        <v>590</v>
      </c>
      <c r="Y12" s="865" t="s">
        <v>576</v>
      </c>
      <c r="Z12" s="866">
        <v>96</v>
      </c>
      <c r="AA12" s="864">
        <v>21.23</v>
      </c>
      <c r="AB12" s="867">
        <v>401768</v>
      </c>
    </row>
    <row r="13" spans="1:28" ht="14.25" customHeight="1">
      <c r="A13" s="1156" t="s">
        <v>429</v>
      </c>
      <c r="B13" s="371"/>
      <c r="C13" s="1181">
        <v>13</v>
      </c>
      <c r="D13" s="1156" t="s">
        <v>592</v>
      </c>
      <c r="E13" s="1156" t="s">
        <v>576</v>
      </c>
      <c r="F13" s="1157">
        <v>148</v>
      </c>
      <c r="G13" s="1182">
        <v>25.99</v>
      </c>
      <c r="H13" s="1157">
        <v>248911.342824163</v>
      </c>
      <c r="I13" s="1157">
        <v>43710.85</v>
      </c>
      <c r="J13" s="1157">
        <v>0</v>
      </c>
      <c r="K13" s="1157">
        <v>0</v>
      </c>
      <c r="L13" s="1157">
        <v>69</v>
      </c>
      <c r="M13" s="1157">
        <v>1681.83339746056</v>
      </c>
      <c r="N13" s="1157">
        <v>248911.342824163</v>
      </c>
      <c r="O13" s="1157">
        <v>250712</v>
      </c>
      <c r="P13" s="1157">
        <v>43710.85</v>
      </c>
      <c r="Q13" s="1157">
        <v>43710.849999999897</v>
      </c>
      <c r="R13" s="1159">
        <v>-878.26</v>
      </c>
      <c r="S13" s="1159">
        <v>-879.22</v>
      </c>
      <c r="T13" s="861">
        <f t="shared" si="0"/>
        <v>1.0186340659856796E-10</v>
      </c>
      <c r="U13" s="861"/>
      <c r="V13" s="868"/>
      <c r="W13" s="864">
        <v>12</v>
      </c>
      <c r="X13" s="865" t="s">
        <v>591</v>
      </c>
      <c r="Y13" s="865" t="s">
        <v>576</v>
      </c>
      <c r="Z13" s="866">
        <v>148</v>
      </c>
      <c r="AA13" s="864">
        <v>28.3</v>
      </c>
      <c r="AB13" s="867">
        <v>401768</v>
      </c>
    </row>
    <row r="14" spans="1:28" ht="14.25" customHeight="1">
      <c r="A14" s="1156" t="s">
        <v>429</v>
      </c>
      <c r="B14" s="371"/>
      <c r="C14" s="1181">
        <v>14</v>
      </c>
      <c r="D14" s="1156" t="s">
        <v>593</v>
      </c>
      <c r="E14" s="1156" t="s">
        <v>594</v>
      </c>
      <c r="F14" s="1157">
        <v>59</v>
      </c>
      <c r="G14" s="1182">
        <v>19.46</v>
      </c>
      <c r="H14" s="1157">
        <v>171337.06115107899</v>
      </c>
      <c r="I14" s="1157">
        <v>56512.19</v>
      </c>
      <c r="J14" s="1157">
        <v>418.91212744090399</v>
      </c>
      <c r="K14" s="1157">
        <v>138.16999999999999</v>
      </c>
      <c r="L14" s="1157">
        <v>136</v>
      </c>
      <c r="M14" s="1157">
        <v>2911.1181911613598</v>
      </c>
      <c r="N14" s="1157">
        <v>171755.97327851999</v>
      </c>
      <c r="O14" s="1157">
        <v>172398</v>
      </c>
      <c r="P14" s="1157">
        <v>56650.36</v>
      </c>
      <c r="Q14" s="1157">
        <v>56650.359999998604</v>
      </c>
      <c r="R14" s="1159">
        <v>-1139.21</v>
      </c>
      <c r="S14" s="1159">
        <v>-1142.03</v>
      </c>
      <c r="T14" s="861">
        <f t="shared" si="0"/>
        <v>1.3969838619232178E-9</v>
      </c>
      <c r="U14" s="861"/>
      <c r="V14" s="868"/>
      <c r="W14" s="864">
        <v>13</v>
      </c>
      <c r="X14" s="865" t="s">
        <v>592</v>
      </c>
      <c r="Y14" s="865" t="s">
        <v>576</v>
      </c>
      <c r="Z14" s="866">
        <v>148</v>
      </c>
      <c r="AA14" s="864">
        <v>25.99</v>
      </c>
      <c r="AB14" s="867">
        <v>401768</v>
      </c>
    </row>
    <row r="15" spans="1:28" ht="14.25" customHeight="1">
      <c r="A15" s="1156" t="s">
        <v>429</v>
      </c>
      <c r="B15" s="371"/>
      <c r="C15" s="1181">
        <v>15</v>
      </c>
      <c r="D15" s="1156" t="s">
        <v>595</v>
      </c>
      <c r="E15" s="1156" t="s">
        <v>594</v>
      </c>
      <c r="F15" s="1157">
        <v>59</v>
      </c>
      <c r="G15" s="1182">
        <v>17.13</v>
      </c>
      <c r="H15" s="1157">
        <v>209977.14244016301</v>
      </c>
      <c r="I15" s="1157">
        <v>60964.55</v>
      </c>
      <c r="J15" s="1157">
        <v>237.96322241681301</v>
      </c>
      <c r="K15" s="1157">
        <v>69.09</v>
      </c>
      <c r="L15" s="1157">
        <v>200</v>
      </c>
      <c r="M15" s="1157">
        <v>3562.9678925861099</v>
      </c>
      <c r="N15" s="1157">
        <v>210215.10566258</v>
      </c>
      <c r="O15" s="1157">
        <v>210689</v>
      </c>
      <c r="P15" s="1157">
        <v>61033.64</v>
      </c>
      <c r="Q15" s="1157">
        <v>61033.639999998799</v>
      </c>
      <c r="R15" s="1159">
        <v>-1230.6099999999999</v>
      </c>
      <c r="S15" s="1159">
        <v>-1231.5</v>
      </c>
      <c r="T15" s="861">
        <f t="shared" si="0"/>
        <v>1.2005330063402653E-9</v>
      </c>
      <c r="U15" s="861"/>
      <c r="V15" s="868"/>
      <c r="W15" s="864">
        <v>14</v>
      </c>
      <c r="X15" s="865" t="s">
        <v>593</v>
      </c>
      <c r="Y15" s="865" t="s">
        <v>594</v>
      </c>
      <c r="Z15" s="866">
        <v>59</v>
      </c>
      <c r="AA15" s="864">
        <v>19.46</v>
      </c>
      <c r="AB15" s="867">
        <v>401768</v>
      </c>
    </row>
    <row r="16" spans="1:28" ht="14.25" customHeight="1">
      <c r="A16" s="1156" t="s">
        <v>429</v>
      </c>
      <c r="B16" s="371"/>
      <c r="C16" s="1181">
        <v>16</v>
      </c>
      <c r="D16" s="1156" t="s">
        <v>596</v>
      </c>
      <c r="E16" s="1156" t="s">
        <v>594</v>
      </c>
      <c r="F16" s="1157">
        <v>96</v>
      </c>
      <c r="G16" s="1182">
        <v>23.51</v>
      </c>
      <c r="H16" s="1157">
        <v>70316.753721820496</v>
      </c>
      <c r="I16" s="1157">
        <v>17220.28</v>
      </c>
      <c r="J16" s="1157">
        <v>0</v>
      </c>
      <c r="K16" s="1157">
        <v>0</v>
      </c>
      <c r="L16" s="1157">
        <v>30</v>
      </c>
      <c r="M16" s="1157">
        <v>732.46618460229695</v>
      </c>
      <c r="N16" s="1157">
        <v>70316.753721820496</v>
      </c>
      <c r="O16" s="1157">
        <v>70368</v>
      </c>
      <c r="P16" s="1157">
        <v>17220.28</v>
      </c>
      <c r="Q16" s="1157">
        <v>17220.280000000101</v>
      </c>
      <c r="R16" s="1159">
        <v>-347.12</v>
      </c>
      <c r="S16" s="1159">
        <v>-347.34</v>
      </c>
      <c r="T16" s="861">
        <f t="shared" si="0"/>
        <v>-1.0186340659856796E-10</v>
      </c>
      <c r="U16" s="861"/>
      <c r="V16" s="868"/>
      <c r="W16" s="864">
        <v>15</v>
      </c>
      <c r="X16" s="865" t="s">
        <v>595</v>
      </c>
      <c r="Y16" s="865" t="s">
        <v>594</v>
      </c>
      <c r="Z16" s="866">
        <v>59</v>
      </c>
      <c r="AA16" s="864">
        <v>17.13</v>
      </c>
      <c r="AB16" s="867">
        <v>401768</v>
      </c>
    </row>
    <row r="17" spans="1:28" ht="14.25" customHeight="1">
      <c r="A17" s="1156" t="s">
        <v>429</v>
      </c>
      <c r="B17" s="371"/>
      <c r="C17" s="1181">
        <v>17</v>
      </c>
      <c r="D17" s="1156" t="s">
        <v>597</v>
      </c>
      <c r="E17" s="1156" t="s">
        <v>594</v>
      </c>
      <c r="F17" s="1157">
        <v>96</v>
      </c>
      <c r="G17" s="1182">
        <v>21.23</v>
      </c>
      <c r="H17" s="1157">
        <v>109615.90202543599</v>
      </c>
      <c r="I17" s="1157">
        <v>24241.1</v>
      </c>
      <c r="J17" s="1157">
        <v>-172.78191238813</v>
      </c>
      <c r="K17" s="1157">
        <v>-38.21</v>
      </c>
      <c r="L17" s="1157">
        <v>61</v>
      </c>
      <c r="M17" s="1157">
        <v>1140.0325011775799</v>
      </c>
      <c r="N17" s="1157">
        <v>109443.120113048</v>
      </c>
      <c r="O17" s="1157">
        <v>110112</v>
      </c>
      <c r="P17" s="1157">
        <v>24202.89</v>
      </c>
      <c r="Q17" s="1157">
        <v>24202.889999999799</v>
      </c>
      <c r="R17" s="1159">
        <v>-487.5</v>
      </c>
      <c r="S17" s="1159">
        <v>-489.45</v>
      </c>
      <c r="T17" s="861">
        <f t="shared" si="0"/>
        <v>2.0008883439004421E-10</v>
      </c>
      <c r="U17" s="861"/>
      <c r="V17" s="868"/>
      <c r="W17" s="864">
        <v>16</v>
      </c>
      <c r="X17" s="865" t="s">
        <v>596</v>
      </c>
      <c r="Y17" s="865" t="s">
        <v>594</v>
      </c>
      <c r="Z17" s="866">
        <v>96</v>
      </c>
      <c r="AA17" s="864">
        <v>23.51</v>
      </c>
      <c r="AB17" s="867">
        <v>401768</v>
      </c>
    </row>
    <row r="18" spans="1:28" ht="14.25" customHeight="1">
      <c r="A18" s="1156" t="s">
        <v>429</v>
      </c>
      <c r="B18" s="371"/>
      <c r="C18" s="1181">
        <v>18</v>
      </c>
      <c r="D18" s="1156" t="s">
        <v>598</v>
      </c>
      <c r="E18" s="1156" t="s">
        <v>594</v>
      </c>
      <c r="F18" s="1157">
        <v>148</v>
      </c>
      <c r="G18" s="1182">
        <v>28.3</v>
      </c>
      <c r="H18" s="1157">
        <v>923628.56819788006</v>
      </c>
      <c r="I18" s="1157">
        <v>176612.76</v>
      </c>
      <c r="J18" s="1157">
        <v>-2234.8000000000002</v>
      </c>
      <c r="K18" s="1157">
        <v>-427.33</v>
      </c>
      <c r="L18" s="1157">
        <v>187</v>
      </c>
      <c r="M18" s="1157">
        <v>6225.63356890459</v>
      </c>
      <c r="N18" s="1157">
        <v>921393.76819788001</v>
      </c>
      <c r="O18" s="1157">
        <v>926628</v>
      </c>
      <c r="P18" s="1157">
        <v>176185.43</v>
      </c>
      <c r="Q18" s="1157">
        <v>176185.429999999</v>
      </c>
      <c r="R18" s="1159">
        <v>-3548.38</v>
      </c>
      <c r="S18" s="1159">
        <v>-3562.1</v>
      </c>
      <c r="T18" s="861">
        <f t="shared" si="0"/>
        <v>9.8953023552894592E-10</v>
      </c>
      <c r="U18" s="861"/>
      <c r="V18" s="868"/>
      <c r="W18" s="864">
        <v>17</v>
      </c>
      <c r="X18" s="865" t="s">
        <v>597</v>
      </c>
      <c r="Y18" s="865" t="s">
        <v>594</v>
      </c>
      <c r="Z18" s="866">
        <v>96</v>
      </c>
      <c r="AA18" s="864">
        <v>21.23</v>
      </c>
      <c r="AB18" s="867">
        <v>401768</v>
      </c>
    </row>
    <row r="19" spans="1:28" ht="14.25" customHeight="1">
      <c r="A19" s="1156" t="s">
        <v>429</v>
      </c>
      <c r="B19" s="371"/>
      <c r="C19" s="1181">
        <v>19</v>
      </c>
      <c r="D19" s="1156" t="s">
        <v>599</v>
      </c>
      <c r="E19" s="1156" t="s">
        <v>594</v>
      </c>
      <c r="F19" s="1157">
        <v>148</v>
      </c>
      <c r="G19" s="1182">
        <v>25.99</v>
      </c>
      <c r="H19" s="1157">
        <v>1176610.0223162801</v>
      </c>
      <c r="I19" s="1157">
        <v>206622.26</v>
      </c>
      <c r="J19" s="1157">
        <v>-1001.4343978453199</v>
      </c>
      <c r="K19" s="1157">
        <v>-175.86</v>
      </c>
      <c r="L19" s="1157">
        <v>297</v>
      </c>
      <c r="M19" s="1157">
        <v>7943.3012697191298</v>
      </c>
      <c r="N19" s="1157">
        <v>1175608.5879184301</v>
      </c>
      <c r="O19" s="1157">
        <v>1187552</v>
      </c>
      <c r="P19" s="1157">
        <v>206446.4</v>
      </c>
      <c r="Q19" s="1157">
        <v>206446.39999999799</v>
      </c>
      <c r="R19" s="1159">
        <v>-4142.03</v>
      </c>
      <c r="S19" s="1159">
        <v>-4153.24</v>
      </c>
      <c r="T19" s="861">
        <f t="shared" si="0"/>
        <v>2.0081643015146255E-9</v>
      </c>
      <c r="U19" s="861"/>
      <c r="V19" s="868"/>
      <c r="W19" s="864">
        <v>18</v>
      </c>
      <c r="X19" s="865" t="s">
        <v>598</v>
      </c>
      <c r="Y19" s="865" t="s">
        <v>594</v>
      </c>
      <c r="Z19" s="866">
        <v>148</v>
      </c>
      <c r="AA19" s="864">
        <v>28.3</v>
      </c>
      <c r="AB19" s="867">
        <v>401768</v>
      </c>
    </row>
    <row r="20" spans="1:28" ht="14.25" customHeight="1">
      <c r="A20" s="1156" t="s">
        <v>429</v>
      </c>
      <c r="B20" s="371"/>
      <c r="C20" s="1181">
        <v>21</v>
      </c>
      <c r="D20" s="1156" t="s">
        <v>605</v>
      </c>
      <c r="E20" s="1156" t="s">
        <v>577</v>
      </c>
      <c r="F20" s="1157">
        <v>69</v>
      </c>
      <c r="G20" s="1182">
        <v>21.79</v>
      </c>
      <c r="H20" s="1157">
        <v>18216</v>
      </c>
      <c r="I20" s="1157">
        <v>5752.56</v>
      </c>
      <c r="J20" s="1157">
        <v>0</v>
      </c>
      <c r="K20" s="1157">
        <v>0</v>
      </c>
      <c r="L20" s="1157">
        <v>3</v>
      </c>
      <c r="M20" s="1157">
        <v>264</v>
      </c>
      <c r="N20" s="1157">
        <v>18216</v>
      </c>
      <c r="O20" s="1157">
        <v>18216</v>
      </c>
      <c r="P20" s="1157">
        <v>5752.56</v>
      </c>
      <c r="Q20" s="1157">
        <v>5752.56</v>
      </c>
      <c r="R20" s="1159">
        <v>-116.92</v>
      </c>
      <c r="S20" s="1159">
        <v>-116.92</v>
      </c>
      <c r="T20" s="861">
        <f t="shared" si="0"/>
        <v>0</v>
      </c>
      <c r="U20" s="861"/>
      <c r="V20" s="868"/>
      <c r="W20" s="864">
        <v>19</v>
      </c>
      <c r="X20" s="865" t="s">
        <v>599</v>
      </c>
      <c r="Y20" s="865" t="s">
        <v>594</v>
      </c>
      <c r="Z20" s="866">
        <v>148</v>
      </c>
      <c r="AA20" s="864">
        <v>25.99</v>
      </c>
      <c r="AB20" s="867">
        <v>401768</v>
      </c>
    </row>
    <row r="21" spans="1:28" ht="14.25" customHeight="1">
      <c r="A21" s="1156" t="s">
        <v>429</v>
      </c>
      <c r="B21" s="371"/>
      <c r="C21" s="1181">
        <v>22</v>
      </c>
      <c r="D21" s="1156" t="s">
        <v>606</v>
      </c>
      <c r="E21" s="1156" t="s">
        <v>577</v>
      </c>
      <c r="F21" s="1157">
        <v>93</v>
      </c>
      <c r="G21" s="1182">
        <v>34.340000000000003</v>
      </c>
      <c r="H21" s="1157">
        <v>6696</v>
      </c>
      <c r="I21" s="1157">
        <v>2472.48</v>
      </c>
      <c r="J21" s="1157">
        <v>0</v>
      </c>
      <c r="K21" s="1157">
        <v>0</v>
      </c>
      <c r="L21" s="1157">
        <v>2</v>
      </c>
      <c r="M21" s="1157">
        <v>72</v>
      </c>
      <c r="N21" s="1157">
        <v>6696</v>
      </c>
      <c r="O21" s="1157">
        <v>6696</v>
      </c>
      <c r="P21" s="1157">
        <v>2472.48</v>
      </c>
      <c r="Q21" s="1157">
        <v>2472.48</v>
      </c>
      <c r="R21" s="1159">
        <v>-49.35</v>
      </c>
      <c r="S21" s="1159">
        <v>-49.35</v>
      </c>
      <c r="T21" s="861">
        <f t="shared" si="0"/>
        <v>0</v>
      </c>
      <c r="U21" s="861"/>
      <c r="V21" s="868"/>
      <c r="W21" s="864">
        <v>21</v>
      </c>
      <c r="X21" s="865" t="s">
        <v>605</v>
      </c>
      <c r="Y21" s="865" t="s">
        <v>577</v>
      </c>
      <c r="Z21" s="866">
        <v>69</v>
      </c>
      <c r="AA21" s="864">
        <v>21.79</v>
      </c>
      <c r="AB21" s="867">
        <v>401768</v>
      </c>
    </row>
    <row r="22" spans="1:28" ht="14.25" customHeight="1">
      <c r="A22" s="1156" t="s">
        <v>429</v>
      </c>
      <c r="B22" s="371"/>
      <c r="C22" s="1181">
        <v>23</v>
      </c>
      <c r="D22" s="1156" t="s">
        <v>607</v>
      </c>
      <c r="E22" s="1156" t="s">
        <v>577</v>
      </c>
      <c r="F22" s="1157">
        <v>93</v>
      </c>
      <c r="G22" s="1182">
        <v>27.43</v>
      </c>
      <c r="H22" s="1157">
        <v>7812</v>
      </c>
      <c r="I22" s="1157">
        <v>2304.12</v>
      </c>
      <c r="J22" s="1157">
        <v>0</v>
      </c>
      <c r="K22" s="1157">
        <v>0</v>
      </c>
      <c r="L22" s="1157">
        <v>3</v>
      </c>
      <c r="M22" s="1157">
        <v>84</v>
      </c>
      <c r="N22" s="1157">
        <v>7812</v>
      </c>
      <c r="O22" s="1157">
        <v>7812</v>
      </c>
      <c r="P22" s="1157">
        <v>2304.12</v>
      </c>
      <c r="Q22" s="1157">
        <v>2304.12</v>
      </c>
      <c r="R22" s="1159">
        <v>-45.72</v>
      </c>
      <c r="S22" s="1159">
        <v>-45.72</v>
      </c>
      <c r="T22" s="861">
        <f t="shared" si="0"/>
        <v>0</v>
      </c>
      <c r="U22" s="861"/>
      <c r="V22" s="868"/>
      <c r="W22" s="864">
        <v>22</v>
      </c>
      <c r="X22" s="865" t="s">
        <v>606</v>
      </c>
      <c r="Y22" s="865" t="s">
        <v>577</v>
      </c>
      <c r="Z22" s="866">
        <v>93</v>
      </c>
      <c r="AA22" s="864">
        <v>34.340000000000003</v>
      </c>
      <c r="AB22" s="867">
        <v>401768</v>
      </c>
    </row>
    <row r="23" spans="1:28" ht="14.25" customHeight="1">
      <c r="A23" s="1156" t="s">
        <v>429</v>
      </c>
      <c r="B23" s="371"/>
      <c r="C23" s="1181">
        <v>24</v>
      </c>
      <c r="D23" s="1156" t="s">
        <v>608</v>
      </c>
      <c r="E23" s="1156" t="s">
        <v>577</v>
      </c>
      <c r="F23" s="1157">
        <v>145</v>
      </c>
      <c r="G23" s="1182">
        <v>36.69</v>
      </c>
      <c r="H23" s="1157">
        <v>36540</v>
      </c>
      <c r="I23" s="1157">
        <v>9245.8799999999992</v>
      </c>
      <c r="J23" s="1157">
        <v>0</v>
      </c>
      <c r="K23" s="1157">
        <v>0</v>
      </c>
      <c r="L23" s="1157">
        <v>6</v>
      </c>
      <c r="M23" s="1157">
        <v>252</v>
      </c>
      <c r="N23" s="1157">
        <v>36540</v>
      </c>
      <c r="O23" s="1157">
        <v>36540</v>
      </c>
      <c r="P23" s="1157">
        <v>9245.8799999999992</v>
      </c>
      <c r="Q23" s="1157">
        <v>9245.8799999999901</v>
      </c>
      <c r="R23" s="1159">
        <v>-185.34</v>
      </c>
      <c r="S23" s="1159">
        <v>-185.34</v>
      </c>
      <c r="T23" s="861">
        <f t="shared" si="0"/>
        <v>0</v>
      </c>
      <c r="U23" s="861"/>
      <c r="V23" s="868"/>
      <c r="W23" s="864">
        <v>23</v>
      </c>
      <c r="X23" s="865" t="s">
        <v>607</v>
      </c>
      <c r="Y23" s="865" t="s">
        <v>577</v>
      </c>
      <c r="Z23" s="866">
        <v>93</v>
      </c>
      <c r="AA23" s="864">
        <v>27.43</v>
      </c>
      <c r="AB23" s="867">
        <v>401768</v>
      </c>
    </row>
    <row r="24" spans="1:28" ht="14.25" customHeight="1">
      <c r="A24" s="1156" t="s">
        <v>429</v>
      </c>
      <c r="B24" s="371"/>
      <c r="C24" s="1181">
        <v>25</v>
      </c>
      <c r="D24" s="1156" t="s">
        <v>609</v>
      </c>
      <c r="E24" s="1156" t="s">
        <v>577</v>
      </c>
      <c r="F24" s="1157">
        <v>145</v>
      </c>
      <c r="G24" s="1182">
        <v>29.72</v>
      </c>
      <c r="H24" s="1157">
        <v>81644.611372812898</v>
      </c>
      <c r="I24" s="1157">
        <v>16734.330000000002</v>
      </c>
      <c r="J24" s="1157">
        <v>0</v>
      </c>
      <c r="K24" s="1157">
        <v>0</v>
      </c>
      <c r="L24" s="1157">
        <v>15</v>
      </c>
      <c r="M24" s="1157">
        <v>563.06628532974401</v>
      </c>
      <c r="N24" s="1157">
        <v>81644.611372812898</v>
      </c>
      <c r="O24" s="1157">
        <v>82070</v>
      </c>
      <c r="P24" s="1157">
        <v>16734.330000000002</v>
      </c>
      <c r="Q24" s="1157">
        <v>16734.330000000002</v>
      </c>
      <c r="R24" s="1159">
        <v>-337.2</v>
      </c>
      <c r="S24" s="1159">
        <v>-337.2</v>
      </c>
      <c r="T24" s="861">
        <f t="shared" si="0"/>
        <v>0</v>
      </c>
      <c r="U24" s="861"/>
      <c r="V24" s="868"/>
      <c r="W24" s="864">
        <v>24</v>
      </c>
      <c r="X24" s="865" t="s">
        <v>608</v>
      </c>
      <c r="Y24" s="865" t="s">
        <v>577</v>
      </c>
      <c r="Z24" s="866">
        <v>145</v>
      </c>
      <c r="AA24" s="864">
        <v>36.69</v>
      </c>
      <c r="AB24" s="867">
        <v>401768</v>
      </c>
    </row>
    <row r="25" spans="1:28" ht="14.25" customHeight="1">
      <c r="A25" s="1156" t="s">
        <v>429</v>
      </c>
      <c r="B25" s="371"/>
      <c r="C25" s="1181">
        <v>26</v>
      </c>
      <c r="D25" s="1156" t="s">
        <v>610</v>
      </c>
      <c r="E25" s="1156" t="s">
        <v>577</v>
      </c>
      <c r="F25" s="1157">
        <v>352</v>
      </c>
      <c r="G25" s="1182">
        <v>57.58</v>
      </c>
      <c r="H25" s="1157">
        <v>3872</v>
      </c>
      <c r="I25" s="1157">
        <v>633.38</v>
      </c>
      <c r="J25" s="1157">
        <v>352</v>
      </c>
      <c r="K25" s="1157">
        <v>57.58</v>
      </c>
      <c r="L25" s="1157">
        <v>1</v>
      </c>
      <c r="M25" s="1157">
        <v>12</v>
      </c>
      <c r="N25" s="1157">
        <v>4224</v>
      </c>
      <c r="O25" s="1157">
        <v>4224</v>
      </c>
      <c r="P25" s="1157">
        <v>690.96</v>
      </c>
      <c r="Q25" s="1157">
        <v>690.96</v>
      </c>
      <c r="R25" s="1159">
        <v>-13.68</v>
      </c>
      <c r="S25" s="1159">
        <v>-12.54</v>
      </c>
      <c r="T25" s="861">
        <f t="shared" si="0"/>
        <v>0</v>
      </c>
      <c r="U25" s="861"/>
      <c r="V25" s="868"/>
      <c r="W25" s="864">
        <v>25</v>
      </c>
      <c r="X25" s="865" t="s">
        <v>609</v>
      </c>
      <c r="Y25" s="865" t="s">
        <v>577</v>
      </c>
      <c r="Z25" s="866">
        <v>145</v>
      </c>
      <c r="AA25" s="864">
        <v>29.72</v>
      </c>
      <c r="AB25" s="867">
        <v>401768</v>
      </c>
    </row>
    <row r="26" spans="1:28" ht="14.25" customHeight="1">
      <c r="A26" s="1156" t="s">
        <v>429</v>
      </c>
      <c r="B26" s="371"/>
      <c r="C26" s="1181">
        <v>27</v>
      </c>
      <c r="D26" s="1156" t="s">
        <v>611</v>
      </c>
      <c r="E26" s="1156" t="s">
        <v>577</v>
      </c>
      <c r="F26" s="1157">
        <v>352</v>
      </c>
      <c r="G26" s="1182">
        <v>49.1</v>
      </c>
      <c r="H26" s="1157">
        <v>11874.1572301426</v>
      </c>
      <c r="I26" s="1157">
        <v>1656.31</v>
      </c>
      <c r="J26" s="1157">
        <v>0</v>
      </c>
      <c r="K26" s="1157">
        <v>0</v>
      </c>
      <c r="L26" s="1157">
        <v>1</v>
      </c>
      <c r="M26" s="1157">
        <v>33.733401221995898</v>
      </c>
      <c r="N26" s="1157">
        <v>11874.1572301426</v>
      </c>
      <c r="O26" s="1157">
        <v>12672</v>
      </c>
      <c r="P26" s="1157">
        <v>1656.31</v>
      </c>
      <c r="Q26" s="1157">
        <v>1656.31</v>
      </c>
      <c r="R26" s="1159">
        <v>-34.119999999999997</v>
      </c>
      <c r="S26" s="1159">
        <v>-34.119999999999997</v>
      </c>
      <c r="T26" s="861">
        <f t="shared" si="0"/>
        <v>0</v>
      </c>
      <c r="U26" s="861"/>
      <c r="V26" s="868"/>
      <c r="W26" s="864">
        <v>26</v>
      </c>
      <c r="X26" s="865" t="s">
        <v>610</v>
      </c>
      <c r="Y26" s="865" t="s">
        <v>577</v>
      </c>
      <c r="Z26" s="866">
        <v>352</v>
      </c>
      <c r="AA26" s="864">
        <v>57.58</v>
      </c>
      <c r="AB26" s="867">
        <v>401768</v>
      </c>
    </row>
    <row r="27" spans="1:28" ht="14.25" customHeight="1">
      <c r="A27" s="1156" t="s">
        <v>438</v>
      </c>
      <c r="B27" s="1156" t="s">
        <v>120</v>
      </c>
      <c r="C27" s="1181">
        <v>1</v>
      </c>
      <c r="D27" s="1156" t="s">
        <v>580</v>
      </c>
      <c r="E27" s="1156" t="s">
        <v>579</v>
      </c>
      <c r="F27" s="1157">
        <v>69</v>
      </c>
      <c r="G27" s="1182">
        <v>16.38</v>
      </c>
      <c r="H27" s="1157">
        <v>197671.056776557</v>
      </c>
      <c r="I27" s="1157">
        <v>46925.39</v>
      </c>
      <c r="J27" s="1157">
        <v>278.31684981684998</v>
      </c>
      <c r="K27" s="1157">
        <v>66.069999999999993</v>
      </c>
      <c r="L27" s="1157">
        <v>155</v>
      </c>
      <c r="M27" s="1157">
        <v>2868.8315018315002</v>
      </c>
      <c r="N27" s="1157">
        <v>197949.373626374</v>
      </c>
      <c r="O27" s="1157">
        <v>198582</v>
      </c>
      <c r="P27" s="1157">
        <v>46991.46</v>
      </c>
      <c r="Q27" s="1157">
        <v>46991.459999999402</v>
      </c>
      <c r="R27" s="1159">
        <v>-940.53</v>
      </c>
      <c r="S27" s="1159">
        <v>-939.48</v>
      </c>
      <c r="T27" s="861">
        <f t="shared" si="0"/>
        <v>5.9662852436304092E-10</v>
      </c>
      <c r="U27" s="861"/>
      <c r="V27" s="868"/>
      <c r="W27" s="864">
        <v>27</v>
      </c>
      <c r="X27" s="865" t="s">
        <v>611</v>
      </c>
      <c r="Y27" s="865" t="s">
        <v>577</v>
      </c>
      <c r="Z27" s="866">
        <v>352</v>
      </c>
      <c r="AA27" s="864">
        <v>49.1</v>
      </c>
      <c r="AB27" s="867">
        <v>401768</v>
      </c>
    </row>
    <row r="28" spans="1:28" ht="14.25" customHeight="1">
      <c r="A28" s="1156" t="s">
        <v>438</v>
      </c>
      <c r="B28" s="371"/>
      <c r="C28" s="1181">
        <v>2</v>
      </c>
      <c r="D28" s="1156" t="s">
        <v>581</v>
      </c>
      <c r="E28" s="1156" t="s">
        <v>579</v>
      </c>
      <c r="F28" s="1157">
        <v>145</v>
      </c>
      <c r="G28" s="1182">
        <v>26.78</v>
      </c>
      <c r="H28" s="1157">
        <v>196576.46751306899</v>
      </c>
      <c r="I28" s="1157">
        <v>36305.64</v>
      </c>
      <c r="J28" s="1157">
        <v>24659.637789395099</v>
      </c>
      <c r="K28" s="1157">
        <v>4554.38</v>
      </c>
      <c r="L28" s="1157">
        <v>63</v>
      </c>
      <c r="M28" s="1157">
        <v>1525.76624346527</v>
      </c>
      <c r="N28" s="1157">
        <v>221236.105302465</v>
      </c>
      <c r="O28" s="1157">
        <v>221995</v>
      </c>
      <c r="P28" s="1157">
        <v>40860.019999999997</v>
      </c>
      <c r="Q28" s="1157">
        <v>40860.019999999902</v>
      </c>
      <c r="R28" s="1159">
        <v>-822.87</v>
      </c>
      <c r="S28" s="1159">
        <v>-777.48</v>
      </c>
      <c r="T28" s="861">
        <f t="shared" si="0"/>
        <v>9.4587448984384537E-11</v>
      </c>
      <c r="U28" s="861"/>
      <c r="V28" s="868"/>
      <c r="W28" s="864">
        <v>28</v>
      </c>
      <c r="X28" s="865" t="s">
        <v>989</v>
      </c>
      <c r="Y28" s="865" t="s">
        <v>579</v>
      </c>
      <c r="Z28" s="866">
        <v>69</v>
      </c>
      <c r="AA28" s="864">
        <v>16.38</v>
      </c>
      <c r="AB28" s="867">
        <v>401768</v>
      </c>
    </row>
    <row r="29" spans="1:28" ht="14.25" customHeight="1">
      <c r="A29" s="1156" t="s">
        <v>438</v>
      </c>
      <c r="B29" s="371"/>
      <c r="C29" s="1181">
        <v>4</v>
      </c>
      <c r="D29" s="1156" t="s">
        <v>583</v>
      </c>
      <c r="E29" s="1156" t="s">
        <v>576</v>
      </c>
      <c r="F29" s="1157">
        <v>28</v>
      </c>
      <c r="G29" s="1182">
        <v>12.23</v>
      </c>
      <c r="H29" s="1157">
        <v>1344</v>
      </c>
      <c r="I29" s="1157">
        <v>587.04</v>
      </c>
      <c r="J29" s="1157">
        <v>0</v>
      </c>
      <c r="K29" s="1157">
        <v>0</v>
      </c>
      <c r="L29" s="1157">
        <v>4</v>
      </c>
      <c r="M29" s="1157">
        <v>48</v>
      </c>
      <c r="N29" s="1157">
        <v>1344</v>
      </c>
      <c r="O29" s="1157">
        <v>1344</v>
      </c>
      <c r="P29" s="1157">
        <v>587.04</v>
      </c>
      <c r="Q29" s="1157">
        <v>587.04</v>
      </c>
      <c r="R29" s="1159">
        <v>-11.69</v>
      </c>
      <c r="S29" s="1159">
        <v>-11.69</v>
      </c>
      <c r="T29" s="861">
        <f t="shared" si="0"/>
        <v>0</v>
      </c>
      <c r="U29" s="861"/>
      <c r="V29" s="868"/>
      <c r="W29" s="864">
        <v>29</v>
      </c>
      <c r="X29" s="865" t="s">
        <v>1253</v>
      </c>
      <c r="Y29" s="865" t="s">
        <v>579</v>
      </c>
      <c r="Z29" s="866">
        <v>145</v>
      </c>
      <c r="AA29" s="864">
        <v>26.78</v>
      </c>
      <c r="AB29" s="867">
        <v>401768</v>
      </c>
    </row>
    <row r="30" spans="1:28" ht="14.25" customHeight="1">
      <c r="A30" s="1156" t="s">
        <v>438</v>
      </c>
      <c r="B30" s="371"/>
      <c r="C30" s="1181">
        <v>5</v>
      </c>
      <c r="D30" s="1156" t="s">
        <v>584</v>
      </c>
      <c r="E30" s="1156" t="s">
        <v>576</v>
      </c>
      <c r="F30" s="1157">
        <v>39</v>
      </c>
      <c r="G30" s="1182">
        <v>15.47</v>
      </c>
      <c r="H30" s="1157">
        <v>28766.394957983201</v>
      </c>
      <c r="I30" s="1157">
        <v>11410.67</v>
      </c>
      <c r="J30" s="1157">
        <v>0</v>
      </c>
      <c r="K30" s="1157">
        <v>0</v>
      </c>
      <c r="L30" s="1157">
        <v>34</v>
      </c>
      <c r="M30" s="1157">
        <v>737.599870717518</v>
      </c>
      <c r="N30" s="1157">
        <v>28766.394957983201</v>
      </c>
      <c r="O30" s="1157">
        <v>28899</v>
      </c>
      <c r="P30" s="1157">
        <v>11410.67</v>
      </c>
      <c r="Q30" s="1157">
        <v>11410.67</v>
      </c>
      <c r="R30" s="1159">
        <v>-230.58</v>
      </c>
      <c r="S30" s="1159">
        <v>-230.58</v>
      </c>
      <c r="T30" s="861">
        <f t="shared" si="0"/>
        <v>0</v>
      </c>
      <c r="U30" s="861"/>
      <c r="V30" s="868"/>
      <c r="W30" s="864">
        <v>30</v>
      </c>
      <c r="X30" s="865" t="s">
        <v>1254</v>
      </c>
      <c r="Y30" s="865" t="s">
        <v>576</v>
      </c>
      <c r="Z30" s="866">
        <v>39</v>
      </c>
      <c r="AA30" s="864">
        <v>13.31</v>
      </c>
      <c r="AB30" s="867">
        <v>401768</v>
      </c>
    </row>
    <row r="31" spans="1:28" ht="14.25" customHeight="1">
      <c r="A31" s="1156" t="s">
        <v>438</v>
      </c>
      <c r="B31" s="371"/>
      <c r="C31" s="1181">
        <v>6</v>
      </c>
      <c r="D31" s="1156" t="s">
        <v>585</v>
      </c>
      <c r="E31" s="1156" t="s">
        <v>576</v>
      </c>
      <c r="F31" s="1157">
        <v>39</v>
      </c>
      <c r="G31" s="1182">
        <v>13.31</v>
      </c>
      <c r="H31" s="1157">
        <v>21884.215627347901</v>
      </c>
      <c r="I31" s="1157">
        <v>7468.69</v>
      </c>
      <c r="J31" s="1157">
        <v>78</v>
      </c>
      <c r="K31" s="1157">
        <v>26.62</v>
      </c>
      <c r="L31" s="1157">
        <v>40</v>
      </c>
      <c r="M31" s="1157">
        <v>563.13373403456001</v>
      </c>
      <c r="N31" s="1157">
        <v>21962.215627347901</v>
      </c>
      <c r="O31" s="1157">
        <v>22152</v>
      </c>
      <c r="P31" s="1157">
        <v>7495.31</v>
      </c>
      <c r="Q31" s="1157">
        <v>7495.3100000000404</v>
      </c>
      <c r="R31" s="1159">
        <v>-149.49</v>
      </c>
      <c r="S31" s="1159">
        <v>-149.1</v>
      </c>
      <c r="T31" s="861">
        <f t="shared" si="0"/>
        <v>-4.0017766878008842E-11</v>
      </c>
      <c r="U31" s="861"/>
      <c r="V31" s="869"/>
      <c r="W31" s="864">
        <v>31</v>
      </c>
      <c r="X31" s="865" t="s">
        <v>1255</v>
      </c>
      <c r="Y31" s="865" t="s">
        <v>576</v>
      </c>
      <c r="Z31" s="866">
        <v>96</v>
      </c>
      <c r="AA31" s="864">
        <v>23.51</v>
      </c>
      <c r="AB31" s="867">
        <v>401768</v>
      </c>
    </row>
    <row r="32" spans="1:28" ht="14.25" customHeight="1">
      <c r="A32" s="1156" t="s">
        <v>438</v>
      </c>
      <c r="B32" s="371"/>
      <c r="C32" s="1181">
        <v>7</v>
      </c>
      <c r="D32" s="1156" t="s">
        <v>586</v>
      </c>
      <c r="E32" s="1156" t="s">
        <v>576</v>
      </c>
      <c r="F32" s="1157">
        <v>59</v>
      </c>
      <c r="G32" s="1182">
        <v>19.46</v>
      </c>
      <c r="H32" s="1157">
        <v>9204</v>
      </c>
      <c r="I32" s="1157">
        <v>3035.76</v>
      </c>
      <c r="J32" s="1157">
        <v>0</v>
      </c>
      <c r="K32" s="1157">
        <v>0</v>
      </c>
      <c r="L32" s="1157">
        <v>4</v>
      </c>
      <c r="M32" s="1157">
        <v>156</v>
      </c>
      <c r="N32" s="1157">
        <v>9204</v>
      </c>
      <c r="O32" s="1157">
        <v>9204</v>
      </c>
      <c r="P32" s="1157">
        <v>3035.76</v>
      </c>
      <c r="Q32" s="1157">
        <v>3035.76</v>
      </c>
      <c r="R32" s="1159">
        <v>-61.11</v>
      </c>
      <c r="S32" s="1159">
        <v>-61.11</v>
      </c>
      <c r="T32" s="861">
        <f t="shared" si="0"/>
        <v>0</v>
      </c>
      <c r="U32" s="861"/>
      <c r="V32" s="863" t="s">
        <v>119</v>
      </c>
      <c r="W32" s="864">
        <v>1</v>
      </c>
      <c r="X32" s="865" t="s">
        <v>580</v>
      </c>
      <c r="Y32" s="865" t="s">
        <v>579</v>
      </c>
      <c r="Z32" s="866">
        <v>69</v>
      </c>
      <c r="AA32" s="864">
        <v>16.38</v>
      </c>
      <c r="AB32" s="867">
        <v>401768</v>
      </c>
    </row>
    <row r="33" spans="1:28" ht="14.25" customHeight="1">
      <c r="A33" s="1156" t="s">
        <v>438</v>
      </c>
      <c r="B33" s="371"/>
      <c r="C33" s="1181">
        <v>8</v>
      </c>
      <c r="D33" s="1156" t="s">
        <v>587</v>
      </c>
      <c r="E33" s="1156" t="s">
        <v>576</v>
      </c>
      <c r="F33" s="1157">
        <v>59</v>
      </c>
      <c r="G33" s="1182">
        <v>17.13</v>
      </c>
      <c r="H33" s="1157">
        <v>6372</v>
      </c>
      <c r="I33" s="1157">
        <v>1850.04</v>
      </c>
      <c r="J33" s="1157">
        <v>0</v>
      </c>
      <c r="K33" s="1157">
        <v>0</v>
      </c>
      <c r="L33" s="1157">
        <v>4</v>
      </c>
      <c r="M33" s="1157">
        <v>108</v>
      </c>
      <c r="N33" s="1157">
        <v>6372</v>
      </c>
      <c r="O33" s="1157">
        <v>6372</v>
      </c>
      <c r="P33" s="1157">
        <v>1850.04</v>
      </c>
      <c r="Q33" s="1157">
        <v>1850.04</v>
      </c>
      <c r="R33" s="1159">
        <v>-37.17</v>
      </c>
      <c r="S33" s="1159">
        <v>-37.17</v>
      </c>
      <c r="T33" s="861">
        <f t="shared" si="0"/>
        <v>0</v>
      </c>
      <c r="U33" s="861"/>
      <c r="V33" s="868"/>
      <c r="W33" s="864">
        <v>2</v>
      </c>
      <c r="X33" s="865" t="s">
        <v>0</v>
      </c>
      <c r="Y33" s="865" t="s">
        <v>579</v>
      </c>
      <c r="Z33" s="866">
        <v>145</v>
      </c>
      <c r="AA33" s="864">
        <v>26.78</v>
      </c>
      <c r="AB33" s="867">
        <v>401768</v>
      </c>
    </row>
    <row r="34" spans="1:28" ht="14.25" customHeight="1">
      <c r="A34" s="1156" t="s">
        <v>438</v>
      </c>
      <c r="B34" s="371"/>
      <c r="C34" s="1181">
        <v>10</v>
      </c>
      <c r="D34" s="1156" t="s">
        <v>589</v>
      </c>
      <c r="E34" s="1156" t="s">
        <v>576</v>
      </c>
      <c r="F34" s="1157">
        <v>96</v>
      </c>
      <c r="G34" s="1182">
        <v>23.51</v>
      </c>
      <c r="H34" s="1157">
        <v>24595.191833262401</v>
      </c>
      <c r="I34" s="1157">
        <v>6023.26</v>
      </c>
      <c r="J34" s="1157">
        <v>0</v>
      </c>
      <c r="K34" s="1157">
        <v>0</v>
      </c>
      <c r="L34" s="1157">
        <v>14</v>
      </c>
      <c r="M34" s="1157">
        <v>256.199914929817</v>
      </c>
      <c r="N34" s="1157">
        <v>24595.191833262401</v>
      </c>
      <c r="O34" s="1157">
        <v>24672</v>
      </c>
      <c r="P34" s="1157">
        <v>6023.26</v>
      </c>
      <c r="Q34" s="1157">
        <v>6023.2600000000102</v>
      </c>
      <c r="R34" s="1159">
        <v>-122.29</v>
      </c>
      <c r="S34" s="1159">
        <v>-122.29</v>
      </c>
      <c r="T34" s="861">
        <f t="shared" si="0"/>
        <v>-1.0004441719502211E-11</v>
      </c>
      <c r="U34" s="861"/>
      <c r="V34" s="868"/>
      <c r="W34" s="864">
        <v>3</v>
      </c>
      <c r="X34" s="865" t="s">
        <v>1</v>
      </c>
      <c r="Y34" s="865" t="s">
        <v>576</v>
      </c>
      <c r="Z34" s="866">
        <v>28</v>
      </c>
      <c r="AA34" s="864">
        <v>14.6</v>
      </c>
      <c r="AB34" s="867">
        <v>401768</v>
      </c>
    </row>
    <row r="35" spans="1:28" ht="14.25" customHeight="1">
      <c r="A35" s="1156" t="s">
        <v>438</v>
      </c>
      <c r="B35" s="371"/>
      <c r="C35" s="1181">
        <v>11</v>
      </c>
      <c r="D35" s="1156" t="s">
        <v>590</v>
      </c>
      <c r="E35" s="1156" t="s">
        <v>576</v>
      </c>
      <c r="F35" s="1157">
        <v>96</v>
      </c>
      <c r="G35" s="1182">
        <v>21.23</v>
      </c>
      <c r="H35" s="1157">
        <v>26496</v>
      </c>
      <c r="I35" s="1157">
        <v>5859.48</v>
      </c>
      <c r="J35" s="1157">
        <v>0</v>
      </c>
      <c r="K35" s="1157">
        <v>0</v>
      </c>
      <c r="L35" s="1157">
        <v>12</v>
      </c>
      <c r="M35" s="1157">
        <v>276</v>
      </c>
      <c r="N35" s="1157">
        <v>26496</v>
      </c>
      <c r="O35" s="1157">
        <v>26496</v>
      </c>
      <c r="P35" s="1157">
        <v>5859.48</v>
      </c>
      <c r="Q35" s="1157">
        <v>5859.4799999999896</v>
      </c>
      <c r="R35" s="1159">
        <v>-119.13</v>
      </c>
      <c r="S35" s="1159">
        <v>-119.13</v>
      </c>
      <c r="T35" s="861">
        <f t="shared" si="0"/>
        <v>1.0004441719502211E-11</v>
      </c>
      <c r="U35" s="861"/>
      <c r="V35" s="868"/>
      <c r="W35" s="864">
        <v>4</v>
      </c>
      <c r="X35" s="865" t="s">
        <v>2</v>
      </c>
      <c r="Y35" s="865" t="s">
        <v>576</v>
      </c>
      <c r="Z35" s="866">
        <v>28</v>
      </c>
      <c r="AA35" s="864">
        <v>12.23</v>
      </c>
      <c r="AB35" s="867">
        <v>401768</v>
      </c>
    </row>
    <row r="36" spans="1:28" ht="14.25" customHeight="1">
      <c r="A36" s="1156" t="s">
        <v>438</v>
      </c>
      <c r="B36" s="371"/>
      <c r="C36" s="1181">
        <v>12</v>
      </c>
      <c r="D36" s="1156" t="s">
        <v>591</v>
      </c>
      <c r="E36" s="1156" t="s">
        <v>576</v>
      </c>
      <c r="F36" s="1157">
        <v>148</v>
      </c>
      <c r="G36" s="1182">
        <v>28.3</v>
      </c>
      <c r="H36" s="1157">
        <v>31879.200000000001</v>
      </c>
      <c r="I36" s="1157">
        <v>6095.82</v>
      </c>
      <c r="J36" s="1157">
        <v>0</v>
      </c>
      <c r="K36" s="1157">
        <v>0</v>
      </c>
      <c r="L36" s="1157">
        <v>6</v>
      </c>
      <c r="M36" s="1157">
        <v>215.4</v>
      </c>
      <c r="N36" s="1157">
        <v>31879.200000000001</v>
      </c>
      <c r="O36" s="1157">
        <v>31968</v>
      </c>
      <c r="P36" s="1157">
        <v>6095.82</v>
      </c>
      <c r="Q36" s="1157">
        <v>6095.82</v>
      </c>
      <c r="R36" s="1159">
        <v>-123.5</v>
      </c>
      <c r="S36" s="1159">
        <v>-123.5</v>
      </c>
      <c r="T36" s="861">
        <f t="shared" si="0"/>
        <v>0</v>
      </c>
      <c r="U36" s="861"/>
      <c r="V36" s="868"/>
      <c r="W36" s="864">
        <v>5</v>
      </c>
      <c r="X36" s="865" t="s">
        <v>3</v>
      </c>
      <c r="Y36" s="865" t="s">
        <v>576</v>
      </c>
      <c r="Z36" s="866">
        <v>39</v>
      </c>
      <c r="AA36" s="864">
        <v>15.47</v>
      </c>
      <c r="AB36" s="867">
        <v>401768</v>
      </c>
    </row>
    <row r="37" spans="1:28" ht="14.25" customHeight="1">
      <c r="A37" s="1156" t="s">
        <v>438</v>
      </c>
      <c r="B37" s="371"/>
      <c r="C37" s="1181">
        <v>13</v>
      </c>
      <c r="D37" s="1156" t="s">
        <v>592</v>
      </c>
      <c r="E37" s="1156" t="s">
        <v>576</v>
      </c>
      <c r="F37" s="1157">
        <v>148</v>
      </c>
      <c r="G37" s="1182">
        <v>25.99</v>
      </c>
      <c r="H37" s="1157">
        <v>14208</v>
      </c>
      <c r="I37" s="1157">
        <v>2495.04</v>
      </c>
      <c r="J37" s="1157">
        <v>0</v>
      </c>
      <c r="K37" s="1157">
        <v>0</v>
      </c>
      <c r="L37" s="1157">
        <v>5</v>
      </c>
      <c r="M37" s="1157">
        <v>96</v>
      </c>
      <c r="N37" s="1157">
        <v>14208</v>
      </c>
      <c r="O37" s="1157">
        <v>14208</v>
      </c>
      <c r="P37" s="1157">
        <v>2495.04</v>
      </c>
      <c r="Q37" s="1157">
        <v>2495.04</v>
      </c>
      <c r="R37" s="1159">
        <v>-49.72</v>
      </c>
      <c r="S37" s="1159">
        <v>-49.72</v>
      </c>
      <c r="T37" s="861">
        <f t="shared" si="0"/>
        <v>0</v>
      </c>
      <c r="U37" s="861"/>
      <c r="V37" s="868"/>
      <c r="W37" s="864">
        <v>6</v>
      </c>
      <c r="X37" s="865" t="s">
        <v>4</v>
      </c>
      <c r="Y37" s="865" t="s">
        <v>576</v>
      </c>
      <c r="Z37" s="866">
        <v>39</v>
      </c>
      <c r="AA37" s="864">
        <v>13.31</v>
      </c>
      <c r="AB37" s="867">
        <v>401768</v>
      </c>
    </row>
    <row r="38" spans="1:28" ht="14.25" customHeight="1">
      <c r="A38" s="1156" t="s">
        <v>438</v>
      </c>
      <c r="B38" s="371"/>
      <c r="C38" s="1181">
        <v>14</v>
      </c>
      <c r="D38" s="1156" t="s">
        <v>593</v>
      </c>
      <c r="E38" s="1156" t="s">
        <v>594</v>
      </c>
      <c r="F38" s="1157">
        <v>59</v>
      </c>
      <c r="G38" s="1182">
        <v>19.46</v>
      </c>
      <c r="H38" s="1157">
        <v>16323.3232271326</v>
      </c>
      <c r="I38" s="1157">
        <v>5383.93</v>
      </c>
      <c r="J38" s="1157">
        <v>0</v>
      </c>
      <c r="K38" s="1157">
        <v>0</v>
      </c>
      <c r="L38" s="1157">
        <v>8</v>
      </c>
      <c r="M38" s="1157">
        <v>276.66649537512802</v>
      </c>
      <c r="N38" s="1157">
        <v>16323.3232271326</v>
      </c>
      <c r="O38" s="1157">
        <v>16343</v>
      </c>
      <c r="P38" s="1157">
        <v>5383.93</v>
      </c>
      <c r="Q38" s="1157">
        <v>5383.93</v>
      </c>
      <c r="R38" s="1159">
        <v>-109.93</v>
      </c>
      <c r="S38" s="1159">
        <v>-109.93</v>
      </c>
      <c r="T38" s="861">
        <f t="shared" si="0"/>
        <v>0</v>
      </c>
      <c r="U38" s="861"/>
      <c r="V38" s="868"/>
      <c r="W38" s="864">
        <v>7</v>
      </c>
      <c r="X38" s="865" t="s">
        <v>5</v>
      </c>
      <c r="Y38" s="865" t="s">
        <v>576</v>
      </c>
      <c r="Z38" s="866">
        <v>59</v>
      </c>
      <c r="AA38" s="864">
        <v>19.46</v>
      </c>
      <c r="AB38" s="867">
        <v>401768</v>
      </c>
    </row>
    <row r="39" spans="1:28" ht="14.25" customHeight="1">
      <c r="A39" s="1156" t="s">
        <v>438</v>
      </c>
      <c r="B39" s="371"/>
      <c r="C39" s="1181">
        <v>15</v>
      </c>
      <c r="D39" s="1156" t="s">
        <v>595</v>
      </c>
      <c r="E39" s="1156" t="s">
        <v>594</v>
      </c>
      <c r="F39" s="1157">
        <v>59</v>
      </c>
      <c r="G39" s="1182">
        <v>17.13</v>
      </c>
      <c r="H39" s="1157">
        <v>4957.9632224168099</v>
      </c>
      <c r="I39" s="1157">
        <v>1439.49</v>
      </c>
      <c r="J39" s="1157">
        <v>0</v>
      </c>
      <c r="K39" s="1157">
        <v>0</v>
      </c>
      <c r="L39" s="1157">
        <v>6</v>
      </c>
      <c r="M39" s="1157">
        <v>84.033274956217198</v>
      </c>
      <c r="N39" s="1157">
        <v>4957.9632224168099</v>
      </c>
      <c r="O39" s="1157">
        <v>5015</v>
      </c>
      <c r="P39" s="1157">
        <v>1439.49</v>
      </c>
      <c r="Q39" s="1157">
        <v>1439.49</v>
      </c>
      <c r="R39" s="1159">
        <v>-29.09</v>
      </c>
      <c r="S39" s="1159">
        <v>-29.09</v>
      </c>
      <c r="T39" s="861">
        <f t="shared" si="0"/>
        <v>0</v>
      </c>
      <c r="U39" s="861"/>
      <c r="V39" s="868"/>
      <c r="W39" s="864">
        <v>8</v>
      </c>
      <c r="X39" s="865" t="s">
        <v>6</v>
      </c>
      <c r="Y39" s="865" t="s">
        <v>576</v>
      </c>
      <c r="Z39" s="866">
        <v>59</v>
      </c>
      <c r="AA39" s="864">
        <v>17.13</v>
      </c>
      <c r="AB39" s="867">
        <v>401768</v>
      </c>
    </row>
    <row r="40" spans="1:28" ht="14.25" customHeight="1">
      <c r="A40" s="1156" t="s">
        <v>438</v>
      </c>
      <c r="B40" s="371"/>
      <c r="C40" s="1181">
        <v>16</v>
      </c>
      <c r="D40" s="1156" t="s">
        <v>596</v>
      </c>
      <c r="E40" s="1156" t="s">
        <v>594</v>
      </c>
      <c r="F40" s="1157">
        <v>96</v>
      </c>
      <c r="G40" s="1182">
        <v>23.51</v>
      </c>
      <c r="H40" s="1157">
        <v>3456</v>
      </c>
      <c r="I40" s="1157">
        <v>846.36</v>
      </c>
      <c r="J40" s="1157">
        <v>0</v>
      </c>
      <c r="K40" s="1157">
        <v>0</v>
      </c>
      <c r="L40" s="1157">
        <v>3</v>
      </c>
      <c r="M40" s="1157">
        <v>36</v>
      </c>
      <c r="N40" s="1157">
        <v>3456</v>
      </c>
      <c r="O40" s="1157">
        <v>3456</v>
      </c>
      <c r="P40" s="1157">
        <v>846.36</v>
      </c>
      <c r="Q40" s="1157">
        <v>846.36</v>
      </c>
      <c r="R40" s="1159">
        <v>-17.239999999999998</v>
      </c>
      <c r="S40" s="1159">
        <v>-17.239999999999998</v>
      </c>
      <c r="T40" s="861">
        <f t="shared" si="0"/>
        <v>0</v>
      </c>
      <c r="U40" s="861"/>
      <c r="V40" s="868"/>
      <c r="W40" s="864">
        <v>9</v>
      </c>
      <c r="X40" s="865" t="s">
        <v>7</v>
      </c>
      <c r="Y40" s="865" t="s">
        <v>576</v>
      </c>
      <c r="Z40" s="866">
        <v>76</v>
      </c>
      <c r="AA40" s="864">
        <v>21.07</v>
      </c>
      <c r="AB40" s="867">
        <v>401768</v>
      </c>
    </row>
    <row r="41" spans="1:28" ht="14.25" customHeight="1">
      <c r="A41" s="1156" t="s">
        <v>438</v>
      </c>
      <c r="B41" s="371"/>
      <c r="C41" s="1181">
        <v>18</v>
      </c>
      <c r="D41" s="1156" t="s">
        <v>598</v>
      </c>
      <c r="E41" s="1156" t="s">
        <v>594</v>
      </c>
      <c r="F41" s="1157">
        <v>148</v>
      </c>
      <c r="G41" s="1182">
        <v>28.3</v>
      </c>
      <c r="H41" s="1157">
        <v>214409.11660777399</v>
      </c>
      <c r="I41" s="1157">
        <v>40998.5</v>
      </c>
      <c r="J41" s="1157">
        <v>296</v>
      </c>
      <c r="K41" s="1157">
        <v>56.6</v>
      </c>
      <c r="L41" s="1157">
        <v>28</v>
      </c>
      <c r="M41" s="1157">
        <v>1450.7102473498201</v>
      </c>
      <c r="N41" s="1157">
        <v>214705.11660777399</v>
      </c>
      <c r="O41" s="1157">
        <v>239908</v>
      </c>
      <c r="P41" s="1157">
        <v>41055.1</v>
      </c>
      <c r="Q41" s="1157">
        <v>41055.1</v>
      </c>
      <c r="R41" s="1159">
        <v>-819.06</v>
      </c>
      <c r="S41" s="1159">
        <v>-818.19</v>
      </c>
      <c r="T41" s="861">
        <f t="shared" si="0"/>
        <v>0</v>
      </c>
      <c r="U41" s="861"/>
      <c r="V41" s="868"/>
      <c r="W41" s="864">
        <v>10</v>
      </c>
      <c r="X41" s="865" t="s">
        <v>8</v>
      </c>
      <c r="Y41" s="865" t="s">
        <v>576</v>
      </c>
      <c r="Z41" s="866">
        <v>96</v>
      </c>
      <c r="AA41" s="864">
        <v>23.51</v>
      </c>
      <c r="AB41" s="867">
        <v>401768</v>
      </c>
    </row>
    <row r="42" spans="1:28" ht="14.25" customHeight="1">
      <c r="A42" s="1156" t="s">
        <v>438</v>
      </c>
      <c r="B42" s="371"/>
      <c r="C42" s="1181">
        <v>19</v>
      </c>
      <c r="D42" s="1156" t="s">
        <v>599</v>
      </c>
      <c r="E42" s="1156" t="s">
        <v>594</v>
      </c>
      <c r="F42" s="1157">
        <v>148</v>
      </c>
      <c r="G42" s="1182">
        <v>25.99</v>
      </c>
      <c r="H42" s="1157">
        <v>141552.23393612899</v>
      </c>
      <c r="I42" s="1157">
        <v>24857.72</v>
      </c>
      <c r="J42" s="1157">
        <v>444</v>
      </c>
      <c r="K42" s="1157">
        <v>77.97</v>
      </c>
      <c r="L42" s="1157">
        <v>35</v>
      </c>
      <c r="M42" s="1157">
        <v>959.43401308195496</v>
      </c>
      <c r="N42" s="1157">
        <v>141996.23393612899</v>
      </c>
      <c r="O42" s="1157">
        <v>143412</v>
      </c>
      <c r="P42" s="1157">
        <v>24935.69</v>
      </c>
      <c r="Q42" s="1157">
        <v>24935.69</v>
      </c>
      <c r="R42" s="1159">
        <v>-499.12</v>
      </c>
      <c r="S42" s="1159">
        <v>-497.58</v>
      </c>
      <c r="T42" s="861">
        <f t="shared" si="0"/>
        <v>0</v>
      </c>
      <c r="U42" s="861"/>
      <c r="V42" s="868"/>
      <c r="W42" s="864">
        <v>11</v>
      </c>
      <c r="X42" s="865" t="s">
        <v>9</v>
      </c>
      <c r="Y42" s="865" t="s">
        <v>576</v>
      </c>
      <c r="Z42" s="866">
        <v>96</v>
      </c>
      <c r="AA42" s="864">
        <v>21.23</v>
      </c>
      <c r="AB42" s="867">
        <v>401768</v>
      </c>
    </row>
    <row r="43" spans="1:28" ht="14.25" customHeight="1">
      <c r="A43" s="1156" t="s">
        <v>438</v>
      </c>
      <c r="B43" s="371"/>
      <c r="C43" s="1181">
        <v>22</v>
      </c>
      <c r="D43" s="1156" t="s">
        <v>606</v>
      </c>
      <c r="E43" s="1156" t="s">
        <v>577</v>
      </c>
      <c r="F43" s="1157">
        <v>93</v>
      </c>
      <c r="G43" s="1182">
        <v>34.340000000000003</v>
      </c>
      <c r="H43" s="1157">
        <v>3348</v>
      </c>
      <c r="I43" s="1157">
        <v>1236.24</v>
      </c>
      <c r="J43" s="1157">
        <v>0</v>
      </c>
      <c r="K43" s="1157">
        <v>0</v>
      </c>
      <c r="L43" s="1157">
        <v>1</v>
      </c>
      <c r="M43" s="1157">
        <v>36</v>
      </c>
      <c r="N43" s="1157">
        <v>3348</v>
      </c>
      <c r="O43" s="1157">
        <v>3348</v>
      </c>
      <c r="P43" s="1157">
        <v>1236.24</v>
      </c>
      <c r="Q43" s="1157">
        <v>1236.24</v>
      </c>
      <c r="R43" s="1159">
        <v>-25.01</v>
      </c>
      <c r="S43" s="1159">
        <v>-25.01</v>
      </c>
      <c r="T43" s="861">
        <f t="shared" si="0"/>
        <v>0</v>
      </c>
      <c r="U43" s="861"/>
      <c r="V43" s="868"/>
      <c r="W43" s="864">
        <v>12</v>
      </c>
      <c r="X43" s="865" t="s">
        <v>10</v>
      </c>
      <c r="Y43" s="865" t="s">
        <v>576</v>
      </c>
      <c r="Z43" s="866">
        <v>148</v>
      </c>
      <c r="AA43" s="864">
        <v>28.3</v>
      </c>
      <c r="AB43" s="867">
        <v>401768</v>
      </c>
    </row>
    <row r="44" spans="1:28" ht="14.25" customHeight="1">
      <c r="A44" s="1156" t="s">
        <v>438</v>
      </c>
      <c r="B44" s="371"/>
      <c r="C44" s="1181">
        <v>23</v>
      </c>
      <c r="D44" s="1156" t="s">
        <v>607</v>
      </c>
      <c r="E44" s="1156" t="s">
        <v>577</v>
      </c>
      <c r="F44" s="1157">
        <v>93</v>
      </c>
      <c r="G44" s="1182">
        <v>27.43</v>
      </c>
      <c r="H44" s="1157">
        <v>1116</v>
      </c>
      <c r="I44" s="1157">
        <v>329.16</v>
      </c>
      <c r="J44" s="1157">
        <v>0</v>
      </c>
      <c r="K44" s="1157">
        <v>0</v>
      </c>
      <c r="L44" s="1157">
        <v>1</v>
      </c>
      <c r="M44" s="1157">
        <v>12</v>
      </c>
      <c r="N44" s="1157">
        <v>1116</v>
      </c>
      <c r="O44" s="1157">
        <v>1116</v>
      </c>
      <c r="P44" s="1157">
        <v>329.16</v>
      </c>
      <c r="Q44" s="1157">
        <v>329.16</v>
      </c>
      <c r="R44" s="1159">
        <v>-6.62</v>
      </c>
      <c r="S44" s="1159">
        <v>-6.62</v>
      </c>
      <c r="T44" s="861">
        <f t="shared" si="0"/>
        <v>0</v>
      </c>
      <c r="U44" s="861"/>
      <c r="V44" s="868"/>
      <c r="W44" s="864">
        <v>13</v>
      </c>
      <c r="X44" s="865" t="s">
        <v>11</v>
      </c>
      <c r="Y44" s="865" t="s">
        <v>576</v>
      </c>
      <c r="Z44" s="866">
        <v>148</v>
      </c>
      <c r="AA44" s="864">
        <v>25.99</v>
      </c>
      <c r="AB44" s="867">
        <v>401768</v>
      </c>
    </row>
    <row r="45" spans="1:28" ht="14.25" customHeight="1">
      <c r="A45" s="1156" t="s">
        <v>438</v>
      </c>
      <c r="B45" s="371"/>
      <c r="C45" s="1181">
        <v>28</v>
      </c>
      <c r="D45" s="1156" t="s">
        <v>989</v>
      </c>
      <c r="E45" s="1156" t="s">
        <v>579</v>
      </c>
      <c r="F45" s="1157">
        <v>69</v>
      </c>
      <c r="G45" s="1182">
        <v>16.38</v>
      </c>
      <c r="H45" s="1157">
        <v>4140</v>
      </c>
      <c r="I45" s="1157">
        <v>982.8</v>
      </c>
      <c r="J45" s="1157">
        <v>0</v>
      </c>
      <c r="K45" s="1157">
        <v>0</v>
      </c>
      <c r="L45" s="1157">
        <v>1</v>
      </c>
      <c r="M45" s="1157">
        <v>60</v>
      </c>
      <c r="N45" s="1157">
        <v>4140</v>
      </c>
      <c r="O45" s="1157">
        <v>4140</v>
      </c>
      <c r="P45" s="1157">
        <v>982.8</v>
      </c>
      <c r="Q45" s="1157">
        <v>982.8</v>
      </c>
      <c r="R45" s="1159">
        <v>-19.989999999999998</v>
      </c>
      <c r="S45" s="1159">
        <v>-19.989999999999998</v>
      </c>
      <c r="T45" s="861">
        <f t="shared" si="0"/>
        <v>0</v>
      </c>
      <c r="U45" s="861"/>
      <c r="V45" s="868"/>
      <c r="W45" s="864">
        <v>14</v>
      </c>
      <c r="X45" s="865" t="s">
        <v>12</v>
      </c>
      <c r="Y45" s="865" t="s">
        <v>594</v>
      </c>
      <c r="Z45" s="866">
        <v>59</v>
      </c>
      <c r="AA45" s="864">
        <v>19.46</v>
      </c>
      <c r="AB45" s="867">
        <v>401768</v>
      </c>
    </row>
    <row r="46" spans="1:28" ht="14.25" customHeight="1">
      <c r="A46" s="1156" t="s">
        <v>441</v>
      </c>
      <c r="B46" s="1156" t="s">
        <v>120</v>
      </c>
      <c r="C46" s="1181">
        <v>1</v>
      </c>
      <c r="D46" s="1156" t="s">
        <v>580</v>
      </c>
      <c r="E46" s="1156" t="s">
        <v>579</v>
      </c>
      <c r="F46" s="1157">
        <v>69</v>
      </c>
      <c r="G46" s="1182">
        <v>16.38</v>
      </c>
      <c r="H46" s="1157">
        <v>12300.408424908401</v>
      </c>
      <c r="I46" s="1157">
        <v>2920.01</v>
      </c>
      <c r="J46" s="1157">
        <v>0</v>
      </c>
      <c r="K46" s="1157">
        <v>0</v>
      </c>
      <c r="L46" s="1157">
        <v>11</v>
      </c>
      <c r="M46" s="1157">
        <v>178.26678876678901</v>
      </c>
      <c r="N46" s="1157">
        <v>12300.408424908401</v>
      </c>
      <c r="O46" s="1157">
        <v>12627</v>
      </c>
      <c r="P46" s="1157">
        <v>2920.01</v>
      </c>
      <c r="Q46" s="1157">
        <v>2920.01</v>
      </c>
      <c r="R46" s="1159">
        <v>-58.69</v>
      </c>
      <c r="S46" s="1159">
        <v>-58.69</v>
      </c>
      <c r="T46" s="861">
        <f t="shared" si="0"/>
        <v>0</v>
      </c>
      <c r="U46" s="861"/>
      <c r="V46" s="868"/>
      <c r="W46" s="864">
        <v>15</v>
      </c>
      <c r="X46" s="865" t="s">
        <v>13</v>
      </c>
      <c r="Y46" s="865" t="s">
        <v>594</v>
      </c>
      <c r="Z46" s="866">
        <v>59</v>
      </c>
      <c r="AA46" s="864">
        <v>17.13</v>
      </c>
      <c r="AB46" s="867">
        <v>401768</v>
      </c>
    </row>
    <row r="47" spans="1:28" ht="14.25" customHeight="1">
      <c r="A47" s="1156" t="s">
        <v>441</v>
      </c>
      <c r="B47" s="371"/>
      <c r="C47" s="1181">
        <v>2</v>
      </c>
      <c r="D47" s="1156" t="s">
        <v>581</v>
      </c>
      <c r="E47" s="1156" t="s">
        <v>579</v>
      </c>
      <c r="F47" s="1157">
        <v>145</v>
      </c>
      <c r="G47" s="1182">
        <v>26.78</v>
      </c>
      <c r="H47" s="1157">
        <v>15374.764749813299</v>
      </c>
      <c r="I47" s="1157">
        <v>2839.56</v>
      </c>
      <c r="J47" s="1157">
        <v>0</v>
      </c>
      <c r="K47" s="1157">
        <v>0</v>
      </c>
      <c r="L47" s="1157">
        <v>8</v>
      </c>
      <c r="M47" s="1157">
        <v>106.03286034353999</v>
      </c>
      <c r="N47" s="1157">
        <v>15374.764749813299</v>
      </c>
      <c r="O47" s="1157">
        <v>15660</v>
      </c>
      <c r="P47" s="1157">
        <v>2839.56</v>
      </c>
      <c r="Q47" s="1157">
        <v>2839.56</v>
      </c>
      <c r="R47" s="1159">
        <v>-57.75</v>
      </c>
      <c r="S47" s="1159">
        <v>-57.75</v>
      </c>
      <c r="T47" s="861">
        <f t="shared" si="0"/>
        <v>0</v>
      </c>
      <c r="U47" s="861"/>
      <c r="V47" s="868"/>
      <c r="W47" s="864">
        <v>16</v>
      </c>
      <c r="X47" s="865" t="s">
        <v>14</v>
      </c>
      <c r="Y47" s="865" t="s">
        <v>594</v>
      </c>
      <c r="Z47" s="866">
        <v>96</v>
      </c>
      <c r="AA47" s="864">
        <v>23.51</v>
      </c>
      <c r="AB47" s="867">
        <v>401768</v>
      </c>
    </row>
    <row r="48" spans="1:28" ht="14.25" customHeight="1">
      <c r="A48" s="1156" t="s">
        <v>441</v>
      </c>
      <c r="B48" s="371"/>
      <c r="C48" s="1181">
        <v>3</v>
      </c>
      <c r="D48" s="1156" t="s">
        <v>582</v>
      </c>
      <c r="E48" s="1156" t="s">
        <v>576</v>
      </c>
      <c r="F48" s="1157">
        <v>28</v>
      </c>
      <c r="G48" s="1182">
        <v>14.6</v>
      </c>
      <c r="H48" s="1157">
        <v>6986.0191780821897</v>
      </c>
      <c r="I48" s="1157">
        <v>3642.71</v>
      </c>
      <c r="J48" s="1157">
        <v>28</v>
      </c>
      <c r="K48" s="1157">
        <v>14.6</v>
      </c>
      <c r="L48" s="1157">
        <v>9</v>
      </c>
      <c r="M48" s="1157">
        <v>250.50068493150701</v>
      </c>
      <c r="N48" s="1157">
        <v>7014.0191780821897</v>
      </c>
      <c r="O48" s="1157">
        <v>7056</v>
      </c>
      <c r="P48" s="1157">
        <v>3657.31</v>
      </c>
      <c r="Q48" s="1157">
        <v>3657.31</v>
      </c>
      <c r="R48" s="1159">
        <v>-73.069999999999993</v>
      </c>
      <c r="S48" s="1159">
        <v>-72.78</v>
      </c>
      <c r="T48" s="861">
        <f t="shared" si="0"/>
        <v>0</v>
      </c>
      <c r="U48" s="861"/>
      <c r="V48" s="868"/>
      <c r="W48" s="864">
        <v>17</v>
      </c>
      <c r="X48" s="865" t="s">
        <v>15</v>
      </c>
      <c r="Y48" s="865" t="s">
        <v>594</v>
      </c>
      <c r="Z48" s="866">
        <v>96</v>
      </c>
      <c r="AA48" s="864">
        <v>21.23</v>
      </c>
      <c r="AB48" s="867">
        <v>401768</v>
      </c>
    </row>
    <row r="49" spans="1:28" ht="14.25" customHeight="1">
      <c r="A49" s="1156" t="s">
        <v>441</v>
      </c>
      <c r="B49" s="371"/>
      <c r="C49" s="1181">
        <v>4</v>
      </c>
      <c r="D49" s="1156" t="s">
        <v>583</v>
      </c>
      <c r="E49" s="1156" t="s">
        <v>576</v>
      </c>
      <c r="F49" s="1157">
        <v>28</v>
      </c>
      <c r="G49" s="1182">
        <v>12.23</v>
      </c>
      <c r="H49" s="1157">
        <v>336</v>
      </c>
      <c r="I49" s="1157">
        <v>146.76</v>
      </c>
      <c r="J49" s="1157">
        <v>0</v>
      </c>
      <c r="K49" s="1157">
        <v>0</v>
      </c>
      <c r="L49" s="1157">
        <v>1</v>
      </c>
      <c r="M49" s="1157">
        <v>12</v>
      </c>
      <c r="N49" s="1157">
        <v>336</v>
      </c>
      <c r="O49" s="1157">
        <v>336</v>
      </c>
      <c r="P49" s="1157">
        <v>146.76</v>
      </c>
      <c r="Q49" s="1157">
        <v>146.76</v>
      </c>
      <c r="R49" s="1159">
        <v>-2.88</v>
      </c>
      <c r="S49" s="1159">
        <v>-2.88</v>
      </c>
      <c r="T49" s="861">
        <f t="shared" si="0"/>
        <v>0</v>
      </c>
      <c r="U49" s="861"/>
      <c r="V49" s="868"/>
      <c r="W49" s="864">
        <v>18</v>
      </c>
      <c r="X49" s="865" t="s">
        <v>16</v>
      </c>
      <c r="Y49" s="865" t="s">
        <v>594</v>
      </c>
      <c r="Z49" s="866">
        <v>148</v>
      </c>
      <c r="AA49" s="864">
        <v>28.3</v>
      </c>
      <c r="AB49" s="867">
        <v>401768</v>
      </c>
    </row>
    <row r="50" spans="1:28" ht="14.25" customHeight="1">
      <c r="A50" s="1156" t="s">
        <v>441</v>
      </c>
      <c r="B50" s="371"/>
      <c r="C50" s="1181">
        <v>5</v>
      </c>
      <c r="D50" s="1156" t="s">
        <v>584</v>
      </c>
      <c r="E50" s="1156" t="s">
        <v>576</v>
      </c>
      <c r="F50" s="1157">
        <v>39</v>
      </c>
      <c r="G50" s="1182">
        <v>15.47</v>
      </c>
      <c r="H50" s="1157">
        <v>64333.159663865503</v>
      </c>
      <c r="I50" s="1157">
        <v>25518.82</v>
      </c>
      <c r="J50" s="1157">
        <v>39</v>
      </c>
      <c r="K50" s="1157">
        <v>15.47</v>
      </c>
      <c r="L50" s="1157">
        <v>95</v>
      </c>
      <c r="M50" s="1157">
        <v>1650.56819650937</v>
      </c>
      <c r="N50" s="1157">
        <v>64372.159663865503</v>
      </c>
      <c r="O50" s="1157">
        <v>66144</v>
      </c>
      <c r="P50" s="1157">
        <v>25534.29</v>
      </c>
      <c r="Q50" s="1157">
        <v>25534.290000000201</v>
      </c>
      <c r="R50" s="1159">
        <v>-513.54</v>
      </c>
      <c r="S50" s="1159">
        <v>-513.79999999999995</v>
      </c>
      <c r="T50" s="861">
        <f t="shared" si="0"/>
        <v>-2.0008883439004421E-10</v>
      </c>
      <c r="U50" s="861"/>
      <c r="V50" s="868"/>
      <c r="W50" s="864">
        <v>19</v>
      </c>
      <c r="X50" s="865" t="s">
        <v>11</v>
      </c>
      <c r="Y50" s="865" t="s">
        <v>594</v>
      </c>
      <c r="Z50" s="866">
        <v>148</v>
      </c>
      <c r="AA50" s="864">
        <v>25.99</v>
      </c>
      <c r="AB50" s="867">
        <v>401768</v>
      </c>
    </row>
    <row r="51" spans="1:28" ht="14.25" customHeight="1">
      <c r="A51" s="1156" t="s">
        <v>441</v>
      </c>
      <c r="B51" s="371"/>
      <c r="C51" s="1181">
        <v>6</v>
      </c>
      <c r="D51" s="1156" t="s">
        <v>585</v>
      </c>
      <c r="E51" s="1156" t="s">
        <v>576</v>
      </c>
      <c r="F51" s="1157">
        <v>39</v>
      </c>
      <c r="G51" s="1182">
        <v>13.31</v>
      </c>
      <c r="H51" s="1157">
        <v>6336.1960931630301</v>
      </c>
      <c r="I51" s="1157">
        <v>2162.4299999999998</v>
      </c>
      <c r="J51" s="1157">
        <v>0</v>
      </c>
      <c r="K51" s="1157">
        <v>0</v>
      </c>
      <c r="L51" s="1157">
        <v>16</v>
      </c>
      <c r="M51" s="1157">
        <v>162.46656649136</v>
      </c>
      <c r="N51" s="1157">
        <v>6336.1960931630301</v>
      </c>
      <c r="O51" s="1157">
        <v>6396</v>
      </c>
      <c r="P51" s="1157">
        <v>2162.4299999999998</v>
      </c>
      <c r="Q51" s="1157">
        <v>2162.4299999999898</v>
      </c>
      <c r="R51" s="1159">
        <v>-43.05</v>
      </c>
      <c r="S51" s="1159">
        <v>-43.05</v>
      </c>
      <c r="T51" s="861">
        <f t="shared" si="0"/>
        <v>1.0004441719502211E-11</v>
      </c>
      <c r="U51" s="861"/>
      <c r="V51" s="869"/>
      <c r="W51" s="864">
        <v>29</v>
      </c>
      <c r="X51" s="865" t="s">
        <v>17</v>
      </c>
      <c r="Y51" s="865" t="s">
        <v>579</v>
      </c>
      <c r="Z51" s="866">
        <v>39</v>
      </c>
      <c r="AA51" s="864">
        <v>5.68</v>
      </c>
      <c r="AB51" s="867">
        <v>401768</v>
      </c>
    </row>
    <row r="52" spans="1:28" ht="14.25" customHeight="1">
      <c r="A52" s="1156" t="s">
        <v>441</v>
      </c>
      <c r="B52" s="371"/>
      <c r="C52" s="1181">
        <v>7</v>
      </c>
      <c r="D52" s="1156" t="s">
        <v>586</v>
      </c>
      <c r="E52" s="1156" t="s">
        <v>576</v>
      </c>
      <c r="F52" s="1157">
        <v>59</v>
      </c>
      <c r="G52" s="1182">
        <v>19.46</v>
      </c>
      <c r="H52" s="1157">
        <v>33600.469681397699</v>
      </c>
      <c r="I52" s="1157">
        <v>11082.46</v>
      </c>
      <c r="J52" s="1157">
        <v>0</v>
      </c>
      <c r="K52" s="1157">
        <v>0</v>
      </c>
      <c r="L52" s="1157">
        <v>24</v>
      </c>
      <c r="M52" s="1157">
        <v>569.49948612538503</v>
      </c>
      <c r="N52" s="1157">
        <v>33600.469681397699</v>
      </c>
      <c r="O52" s="1157">
        <v>35046</v>
      </c>
      <c r="P52" s="1157">
        <v>11082.46</v>
      </c>
      <c r="Q52" s="1157">
        <v>11082.459999999901</v>
      </c>
      <c r="R52" s="1159">
        <v>-221.19</v>
      </c>
      <c r="S52" s="1159">
        <v>-223.1</v>
      </c>
      <c r="T52" s="861">
        <f t="shared" si="0"/>
        <v>9.822542779147625E-11</v>
      </c>
      <c r="U52" s="861"/>
      <c r="Z52"/>
    </row>
    <row r="53" spans="1:28" ht="14.25" customHeight="1">
      <c r="A53" s="1156" t="s">
        <v>441</v>
      </c>
      <c r="B53" s="371"/>
      <c r="C53" s="1181">
        <v>8</v>
      </c>
      <c r="D53" s="1156" t="s">
        <v>587</v>
      </c>
      <c r="E53" s="1156" t="s">
        <v>576</v>
      </c>
      <c r="F53" s="1157">
        <v>59</v>
      </c>
      <c r="G53" s="1182">
        <v>17.13</v>
      </c>
      <c r="H53" s="1157">
        <v>4248</v>
      </c>
      <c r="I53" s="1157">
        <v>1233.3599999999999</v>
      </c>
      <c r="J53" s="1157">
        <v>0</v>
      </c>
      <c r="K53" s="1157">
        <v>0</v>
      </c>
      <c r="L53" s="1157">
        <v>3</v>
      </c>
      <c r="M53" s="1157">
        <v>72</v>
      </c>
      <c r="N53" s="1157">
        <v>4248</v>
      </c>
      <c r="O53" s="1157">
        <v>4248</v>
      </c>
      <c r="P53" s="1157">
        <v>1233.3599999999999</v>
      </c>
      <c r="Q53" s="1157">
        <v>1233.3599999999999</v>
      </c>
      <c r="R53" s="1159">
        <v>-24.59</v>
      </c>
      <c r="S53" s="1159">
        <v>-24.59</v>
      </c>
      <c r="T53" s="861">
        <f t="shared" si="0"/>
        <v>0</v>
      </c>
      <c r="U53" s="861"/>
      <c r="Z53"/>
    </row>
    <row r="54" spans="1:28" ht="14.25" customHeight="1">
      <c r="A54" s="1156" t="s">
        <v>441</v>
      </c>
      <c r="B54" s="371"/>
      <c r="C54" s="1181">
        <v>9</v>
      </c>
      <c r="D54" s="1156" t="s">
        <v>588</v>
      </c>
      <c r="E54" s="1156" t="s">
        <v>576</v>
      </c>
      <c r="F54" s="1157">
        <v>76</v>
      </c>
      <c r="G54" s="1182">
        <v>21.07</v>
      </c>
      <c r="H54" s="1157">
        <v>1824</v>
      </c>
      <c r="I54" s="1157">
        <v>505.68</v>
      </c>
      <c r="J54" s="1157">
        <v>0</v>
      </c>
      <c r="K54" s="1157">
        <v>0</v>
      </c>
      <c r="L54" s="1157">
        <v>1</v>
      </c>
      <c r="M54" s="1157">
        <v>24</v>
      </c>
      <c r="N54" s="1157">
        <v>1824</v>
      </c>
      <c r="O54" s="1157">
        <v>1824</v>
      </c>
      <c r="P54" s="1157">
        <v>505.68</v>
      </c>
      <c r="Q54" s="1157">
        <v>505.68</v>
      </c>
      <c r="R54" s="1159">
        <v>-10.199999999999999</v>
      </c>
      <c r="S54" s="1159">
        <v>-10.199999999999999</v>
      </c>
      <c r="T54" s="861">
        <f t="shared" si="0"/>
        <v>0</v>
      </c>
      <c r="U54" s="861"/>
      <c r="Z54"/>
    </row>
    <row r="55" spans="1:28" ht="14.25" customHeight="1">
      <c r="A55" s="1156" t="s">
        <v>441</v>
      </c>
      <c r="B55" s="371"/>
      <c r="C55" s="1181">
        <v>10</v>
      </c>
      <c r="D55" s="1156" t="s">
        <v>589</v>
      </c>
      <c r="E55" s="1156" t="s">
        <v>576</v>
      </c>
      <c r="F55" s="1157">
        <v>96</v>
      </c>
      <c r="G55" s="1182">
        <v>23.51</v>
      </c>
      <c r="H55" s="1157">
        <v>56489.487026797098</v>
      </c>
      <c r="I55" s="1157">
        <v>13834.04</v>
      </c>
      <c r="J55" s="1157">
        <v>-96</v>
      </c>
      <c r="K55" s="1157">
        <v>-23.51</v>
      </c>
      <c r="L55" s="1157">
        <v>21</v>
      </c>
      <c r="M55" s="1157">
        <v>587.43215652913602</v>
      </c>
      <c r="N55" s="1157">
        <v>56393.487026797098</v>
      </c>
      <c r="O55" s="1157">
        <v>59136</v>
      </c>
      <c r="P55" s="1157">
        <v>13810.53</v>
      </c>
      <c r="Q55" s="1157">
        <v>13810.53</v>
      </c>
      <c r="R55" s="1159">
        <v>-276.29000000000002</v>
      </c>
      <c r="S55" s="1159">
        <v>-276.98</v>
      </c>
      <c r="T55" s="861">
        <f t="shared" si="0"/>
        <v>0</v>
      </c>
      <c r="U55" s="861"/>
      <c r="Z55"/>
    </row>
    <row r="56" spans="1:28" ht="14.25" customHeight="1">
      <c r="A56" s="1156" t="s">
        <v>441</v>
      </c>
      <c r="B56" s="371"/>
      <c r="C56" s="1181">
        <v>11</v>
      </c>
      <c r="D56" s="1156" t="s">
        <v>590</v>
      </c>
      <c r="E56" s="1156" t="s">
        <v>576</v>
      </c>
      <c r="F56" s="1157">
        <v>96</v>
      </c>
      <c r="G56" s="1182">
        <v>21.23</v>
      </c>
      <c r="H56" s="1157">
        <v>3008.0150730098899</v>
      </c>
      <c r="I56" s="1157">
        <v>665.21</v>
      </c>
      <c r="J56" s="1157">
        <v>0</v>
      </c>
      <c r="K56" s="1157">
        <v>0</v>
      </c>
      <c r="L56" s="1157">
        <v>3</v>
      </c>
      <c r="M56" s="1157">
        <v>31.333490343853001</v>
      </c>
      <c r="N56" s="1157">
        <v>3008.0150730098899</v>
      </c>
      <c r="O56" s="1157">
        <v>3072</v>
      </c>
      <c r="P56" s="1157">
        <v>665.21</v>
      </c>
      <c r="Q56" s="1157">
        <v>665.21</v>
      </c>
      <c r="R56" s="1159">
        <v>-13.22</v>
      </c>
      <c r="S56" s="1159">
        <v>-13.22</v>
      </c>
      <c r="T56" s="861">
        <f t="shared" si="0"/>
        <v>0</v>
      </c>
      <c r="U56" s="861"/>
    </row>
    <row r="57" spans="1:28" ht="14.25" customHeight="1">
      <c r="A57" s="1156" t="s">
        <v>441</v>
      </c>
      <c r="B57" s="371"/>
      <c r="C57" s="1181">
        <v>12</v>
      </c>
      <c r="D57" s="1156" t="s">
        <v>591</v>
      </c>
      <c r="E57" s="1156" t="s">
        <v>576</v>
      </c>
      <c r="F57" s="1157">
        <v>148</v>
      </c>
      <c r="G57" s="1182">
        <v>28.3</v>
      </c>
      <c r="H57" s="1157">
        <v>62668.848056537099</v>
      </c>
      <c r="I57" s="1157">
        <v>11983.3</v>
      </c>
      <c r="J57" s="1157">
        <v>148</v>
      </c>
      <c r="K57" s="1157">
        <v>28.3</v>
      </c>
      <c r="L57" s="1157">
        <v>20</v>
      </c>
      <c r="M57" s="1157">
        <v>424.43816254416998</v>
      </c>
      <c r="N57" s="1157">
        <v>62816.848056537099</v>
      </c>
      <c r="O57" s="1157">
        <v>64232</v>
      </c>
      <c r="P57" s="1157">
        <v>12011.6</v>
      </c>
      <c r="Q57" s="1157">
        <v>12011.5999999999</v>
      </c>
      <c r="R57" s="1159">
        <v>-240.51</v>
      </c>
      <c r="S57" s="1159">
        <v>-239.95</v>
      </c>
      <c r="T57" s="861">
        <f t="shared" si="0"/>
        <v>1.0004441719502211E-10</v>
      </c>
      <c r="U57" s="861"/>
    </row>
    <row r="58" spans="1:28" ht="14.25" customHeight="1">
      <c r="A58" s="1156" t="s">
        <v>441</v>
      </c>
      <c r="B58" s="371"/>
      <c r="C58" s="1181">
        <v>13</v>
      </c>
      <c r="D58" s="1156" t="s">
        <v>592</v>
      </c>
      <c r="E58" s="1156" t="s">
        <v>576</v>
      </c>
      <c r="F58" s="1157">
        <v>148</v>
      </c>
      <c r="G58" s="1182">
        <v>25.99</v>
      </c>
      <c r="H58" s="1157">
        <v>13976.1200461716</v>
      </c>
      <c r="I58" s="1157">
        <v>2454.3200000000002</v>
      </c>
      <c r="J58" s="1157">
        <v>-296</v>
      </c>
      <c r="K58" s="1157">
        <v>-51.98</v>
      </c>
      <c r="L58" s="1157">
        <v>4</v>
      </c>
      <c r="M58" s="1157">
        <v>92.433243555213593</v>
      </c>
      <c r="N58" s="1157">
        <v>13680.1200461716</v>
      </c>
      <c r="O58" s="1157">
        <v>13764</v>
      </c>
      <c r="P58" s="1157">
        <v>2402.34</v>
      </c>
      <c r="Q58" s="1157">
        <v>2402.34</v>
      </c>
      <c r="R58" s="1159">
        <v>-48.24</v>
      </c>
      <c r="S58" s="1159">
        <v>-49.73</v>
      </c>
      <c r="T58" s="861">
        <f t="shared" si="0"/>
        <v>0</v>
      </c>
      <c r="U58" s="861"/>
    </row>
    <row r="59" spans="1:28" ht="14.25" customHeight="1">
      <c r="A59" s="1156" t="s">
        <v>441</v>
      </c>
      <c r="B59" s="371"/>
      <c r="C59" s="1181">
        <v>14</v>
      </c>
      <c r="D59" s="1156" t="s">
        <v>593</v>
      </c>
      <c r="E59" s="1156" t="s">
        <v>594</v>
      </c>
      <c r="F59" s="1157">
        <v>59</v>
      </c>
      <c r="G59" s="1182">
        <v>19.46</v>
      </c>
      <c r="H59" s="1157">
        <v>708</v>
      </c>
      <c r="I59" s="1157">
        <v>233.52</v>
      </c>
      <c r="J59" s="1157">
        <v>0</v>
      </c>
      <c r="K59" s="1157">
        <v>0</v>
      </c>
      <c r="L59" s="1157">
        <v>1</v>
      </c>
      <c r="M59" s="1157">
        <v>12</v>
      </c>
      <c r="N59" s="1157">
        <v>708</v>
      </c>
      <c r="O59" s="1157">
        <v>708</v>
      </c>
      <c r="P59" s="1157">
        <v>233.52</v>
      </c>
      <c r="Q59" s="1157">
        <v>233.52</v>
      </c>
      <c r="R59" s="1159">
        <v>-4.83</v>
      </c>
      <c r="S59" s="1159">
        <v>-4.83</v>
      </c>
      <c r="T59" s="861">
        <f t="shared" si="0"/>
        <v>0</v>
      </c>
      <c r="U59" s="861"/>
    </row>
    <row r="60" spans="1:28" ht="14.25" customHeight="1">
      <c r="A60" s="1156" t="s">
        <v>441</v>
      </c>
      <c r="B60" s="371"/>
      <c r="C60" s="1181">
        <v>16</v>
      </c>
      <c r="D60" s="1156" t="s">
        <v>596</v>
      </c>
      <c r="E60" s="1156" t="s">
        <v>594</v>
      </c>
      <c r="F60" s="1157">
        <v>96</v>
      </c>
      <c r="G60" s="1182">
        <v>23.51</v>
      </c>
      <c r="H60" s="1157">
        <v>5654.4040833687804</v>
      </c>
      <c r="I60" s="1157">
        <v>1384.74</v>
      </c>
      <c r="J60" s="1157">
        <v>0</v>
      </c>
      <c r="K60" s="1157">
        <v>0</v>
      </c>
      <c r="L60" s="1157">
        <v>2</v>
      </c>
      <c r="M60" s="1157">
        <v>58.900042535091501</v>
      </c>
      <c r="N60" s="1157">
        <v>5654.4040833687804</v>
      </c>
      <c r="O60" s="1157">
        <v>5664</v>
      </c>
      <c r="P60" s="1157">
        <v>1384.74</v>
      </c>
      <c r="Q60" s="1157">
        <v>1384.74</v>
      </c>
      <c r="R60" s="1159">
        <v>-28.15</v>
      </c>
      <c r="S60" s="1159">
        <v>-28.15</v>
      </c>
      <c r="T60" s="861">
        <f t="shared" si="0"/>
        <v>0</v>
      </c>
      <c r="U60" s="861"/>
    </row>
    <row r="61" spans="1:28" ht="14.25" customHeight="1">
      <c r="A61" s="1156" t="s">
        <v>441</v>
      </c>
      <c r="B61" s="371"/>
      <c r="C61" s="1181">
        <v>18</v>
      </c>
      <c r="D61" s="1156" t="s">
        <v>598</v>
      </c>
      <c r="E61" s="1156" t="s">
        <v>594</v>
      </c>
      <c r="F61" s="1157">
        <v>148</v>
      </c>
      <c r="G61" s="1182">
        <v>28.3</v>
      </c>
      <c r="H61" s="1157">
        <v>50443.315901060101</v>
      </c>
      <c r="I61" s="1157">
        <v>9645.58</v>
      </c>
      <c r="J61" s="1157">
        <v>-592</v>
      </c>
      <c r="K61" s="1157">
        <v>-113.2</v>
      </c>
      <c r="L61" s="1157">
        <v>6</v>
      </c>
      <c r="M61" s="1157">
        <v>336.83321554770299</v>
      </c>
      <c r="N61" s="1157">
        <v>49851.315901060101</v>
      </c>
      <c r="O61" s="1157">
        <v>50468</v>
      </c>
      <c r="P61" s="1157">
        <v>9532.3799999999992</v>
      </c>
      <c r="Q61" s="1157">
        <v>9532.3799999999992</v>
      </c>
      <c r="R61" s="1159">
        <v>-192.15</v>
      </c>
      <c r="S61" s="1159">
        <v>-195.41</v>
      </c>
      <c r="T61" s="861">
        <f t="shared" si="0"/>
        <v>0</v>
      </c>
      <c r="U61" s="861"/>
    </row>
    <row r="62" spans="1:28" ht="14.25" customHeight="1">
      <c r="A62" s="1156" t="s">
        <v>441</v>
      </c>
      <c r="B62" s="371"/>
      <c r="C62" s="1181">
        <v>19</v>
      </c>
      <c r="D62" s="1156" t="s">
        <v>599</v>
      </c>
      <c r="E62" s="1156" t="s">
        <v>594</v>
      </c>
      <c r="F62" s="1157">
        <v>148</v>
      </c>
      <c r="G62" s="1182">
        <v>25.99</v>
      </c>
      <c r="H62" s="1157">
        <v>10118.268564832601</v>
      </c>
      <c r="I62" s="1157">
        <v>1776.85</v>
      </c>
      <c r="J62" s="1157">
        <v>-296</v>
      </c>
      <c r="K62" s="1157">
        <v>-51.98</v>
      </c>
      <c r="L62" s="1157">
        <v>3</v>
      </c>
      <c r="M62" s="1157">
        <v>66.366679492112397</v>
      </c>
      <c r="N62" s="1157">
        <v>9822.2685648326296</v>
      </c>
      <c r="O62" s="1157">
        <v>10212</v>
      </c>
      <c r="P62" s="1157">
        <v>1724.87</v>
      </c>
      <c r="Q62" s="1157">
        <v>1724.87</v>
      </c>
      <c r="R62" s="1159">
        <v>-34.15</v>
      </c>
      <c r="S62" s="1159">
        <v>-35.64</v>
      </c>
      <c r="T62" s="861">
        <f t="shared" si="0"/>
        <v>0</v>
      </c>
      <c r="U62" s="861"/>
    </row>
    <row r="63" spans="1:28" ht="14.25" customHeight="1">
      <c r="A63" s="1156" t="s">
        <v>441</v>
      </c>
      <c r="B63" s="371"/>
      <c r="C63" s="1181">
        <v>21</v>
      </c>
      <c r="D63" s="1156" t="s">
        <v>605</v>
      </c>
      <c r="E63" s="1156" t="s">
        <v>577</v>
      </c>
      <c r="F63" s="1157">
        <v>69</v>
      </c>
      <c r="G63" s="1182">
        <v>21.79</v>
      </c>
      <c r="H63" s="1157">
        <v>2042.35566773749</v>
      </c>
      <c r="I63" s="1157">
        <v>644.97</v>
      </c>
      <c r="J63" s="1157">
        <v>52.913721890775598</v>
      </c>
      <c r="K63" s="1157">
        <v>16.71</v>
      </c>
      <c r="L63" s="1157">
        <v>4</v>
      </c>
      <c r="M63" s="1157">
        <v>30.366223038090901</v>
      </c>
      <c r="N63" s="1157">
        <v>2095.2693896282699</v>
      </c>
      <c r="O63" s="1157">
        <v>2139</v>
      </c>
      <c r="P63" s="1157">
        <v>661.68</v>
      </c>
      <c r="Q63" s="1157">
        <v>661.68</v>
      </c>
      <c r="R63" s="1159">
        <v>-13.24</v>
      </c>
      <c r="S63" s="1159">
        <v>-12.91</v>
      </c>
      <c r="T63" s="861">
        <f t="shared" si="0"/>
        <v>0</v>
      </c>
      <c r="U63" s="861"/>
    </row>
    <row r="64" spans="1:28" ht="14.25" customHeight="1">
      <c r="A64" s="1156" t="s">
        <v>441</v>
      </c>
      <c r="B64" s="371"/>
      <c r="C64" s="1181">
        <v>24</v>
      </c>
      <c r="D64" s="1156" t="s">
        <v>608</v>
      </c>
      <c r="E64" s="1156" t="s">
        <v>577</v>
      </c>
      <c r="F64" s="1157">
        <v>145</v>
      </c>
      <c r="G64" s="1182">
        <v>36.69</v>
      </c>
      <c r="H64" s="1157">
        <v>10841.170618697201</v>
      </c>
      <c r="I64" s="1157">
        <v>2743.19</v>
      </c>
      <c r="J64" s="1157">
        <v>0</v>
      </c>
      <c r="K64" s="1157">
        <v>0</v>
      </c>
      <c r="L64" s="1157">
        <v>3</v>
      </c>
      <c r="M64" s="1157">
        <v>74.766693922049598</v>
      </c>
      <c r="N64" s="1157">
        <v>10841.170618697201</v>
      </c>
      <c r="O64" s="1157">
        <v>11020</v>
      </c>
      <c r="P64" s="1157">
        <v>2743.19</v>
      </c>
      <c r="Q64" s="1157">
        <v>2743.19</v>
      </c>
      <c r="R64" s="1159">
        <v>-55.57</v>
      </c>
      <c r="S64" s="1159">
        <v>-55.57</v>
      </c>
      <c r="T64" s="861">
        <f t="shared" si="0"/>
        <v>0</v>
      </c>
      <c r="U64" s="861"/>
    </row>
    <row r="65" spans="1:26" ht="14.25" customHeight="1">
      <c r="A65" s="1156" t="s">
        <v>441</v>
      </c>
      <c r="B65" s="371"/>
      <c r="C65" s="1181">
        <v>25</v>
      </c>
      <c r="D65" s="1156" t="s">
        <v>609</v>
      </c>
      <c r="E65" s="1156" t="s">
        <v>577</v>
      </c>
      <c r="F65" s="1157">
        <v>145</v>
      </c>
      <c r="G65" s="1182">
        <v>29.72</v>
      </c>
      <c r="H65" s="1157">
        <v>1503.1796769852001</v>
      </c>
      <c r="I65" s="1157">
        <v>308.10000000000002</v>
      </c>
      <c r="J65" s="1157">
        <v>0</v>
      </c>
      <c r="K65" s="1157">
        <v>0</v>
      </c>
      <c r="L65" s="1157">
        <v>1</v>
      </c>
      <c r="M65" s="1157">
        <v>10.3667563930013</v>
      </c>
      <c r="N65" s="1157">
        <v>1503.1796769852001</v>
      </c>
      <c r="O65" s="1157">
        <v>1595</v>
      </c>
      <c r="P65" s="1157">
        <v>308.10000000000002</v>
      </c>
      <c r="Q65" s="1157">
        <v>308.10000000000002</v>
      </c>
      <c r="R65" s="1159">
        <v>-6.12</v>
      </c>
      <c r="S65" s="1159">
        <v>-6.12</v>
      </c>
      <c r="T65" s="861">
        <f t="shared" si="0"/>
        <v>0</v>
      </c>
      <c r="U65" s="861"/>
    </row>
    <row r="66" spans="1:26" ht="14.25" customHeight="1">
      <c r="A66" s="1156" t="s">
        <v>428</v>
      </c>
      <c r="B66" s="1156" t="s">
        <v>120</v>
      </c>
      <c r="C66" s="1181">
        <v>6</v>
      </c>
      <c r="D66" s="1156" t="s">
        <v>585</v>
      </c>
      <c r="E66" s="1156" t="s">
        <v>576</v>
      </c>
      <c r="F66" s="1157">
        <v>0</v>
      </c>
      <c r="G66" s="1182">
        <v>0</v>
      </c>
      <c r="H66" s="1157">
        <v>-1442.9912359748</v>
      </c>
      <c r="I66" s="1157">
        <v>-492.86</v>
      </c>
      <c r="J66" s="1157">
        <v>1442.9912359748</v>
      </c>
      <c r="K66" s="1157">
        <v>492.86</v>
      </c>
      <c r="L66" s="1157">
        <v>1</v>
      </c>
      <c r="M66" s="1157">
        <v>0</v>
      </c>
      <c r="N66" s="1157">
        <v>0</v>
      </c>
      <c r="O66" s="1157">
        <v>0</v>
      </c>
      <c r="P66" s="1157">
        <v>0</v>
      </c>
      <c r="Q66" s="1157">
        <v>0</v>
      </c>
      <c r="R66" s="1159">
        <v>0</v>
      </c>
      <c r="S66" s="1159">
        <v>3.14</v>
      </c>
      <c r="T66" s="861">
        <f t="shared" si="0"/>
        <v>0</v>
      </c>
      <c r="U66" s="861"/>
    </row>
    <row r="67" spans="1:26" ht="14.25" customHeight="1">
      <c r="A67" s="1156" t="s">
        <v>428</v>
      </c>
      <c r="B67" s="1156" t="s">
        <v>119</v>
      </c>
      <c r="C67" s="1181">
        <v>1</v>
      </c>
      <c r="D67" s="1156" t="s">
        <v>580</v>
      </c>
      <c r="E67" s="1156" t="s">
        <v>579</v>
      </c>
      <c r="F67" s="1157">
        <v>69</v>
      </c>
      <c r="G67" s="1182">
        <v>16.38</v>
      </c>
      <c r="H67" s="1157">
        <v>828987.22754071001</v>
      </c>
      <c r="I67" s="1157">
        <v>196792.43</v>
      </c>
      <c r="J67" s="1157">
        <v>3719.0526790727499</v>
      </c>
      <c r="K67" s="1157">
        <v>884.8</v>
      </c>
      <c r="L67" s="1157">
        <v>924</v>
      </c>
      <c r="M67" s="1157">
        <v>12068.206959707</v>
      </c>
      <c r="N67" s="1157">
        <v>832706.28021978296</v>
      </c>
      <c r="O67" s="1157">
        <v>837522</v>
      </c>
      <c r="P67" s="1157">
        <v>197677.23</v>
      </c>
      <c r="Q67" s="1157">
        <v>197677.23000002</v>
      </c>
      <c r="R67" s="1159">
        <v>-3948.04</v>
      </c>
      <c r="S67" s="1159">
        <v>-3946.95</v>
      </c>
      <c r="T67" s="861">
        <f t="shared" ref="T67:T85" si="1">P67-Q67</f>
        <v>-1.9994331523776054E-8</v>
      </c>
      <c r="U67" s="861"/>
    </row>
    <row r="68" spans="1:26" ht="14.25" customHeight="1">
      <c r="A68" s="1156" t="s">
        <v>428</v>
      </c>
      <c r="B68" s="371"/>
      <c r="C68" s="1181">
        <v>2</v>
      </c>
      <c r="D68" s="1156" t="s">
        <v>0</v>
      </c>
      <c r="E68" s="1156" t="s">
        <v>579</v>
      </c>
      <c r="F68" s="1157">
        <v>145</v>
      </c>
      <c r="G68" s="1182">
        <v>26.78</v>
      </c>
      <c r="H68" s="1157">
        <v>110577.22740851399</v>
      </c>
      <c r="I68" s="1157">
        <v>20422.47</v>
      </c>
      <c r="J68" s="1157">
        <v>0</v>
      </c>
      <c r="K68" s="1157">
        <v>0</v>
      </c>
      <c r="L68" s="1157">
        <v>46</v>
      </c>
      <c r="M68" s="1157">
        <v>762.60156833457802</v>
      </c>
      <c r="N68" s="1157">
        <v>110577.22740851399</v>
      </c>
      <c r="O68" s="1157">
        <v>111070</v>
      </c>
      <c r="P68" s="1157">
        <v>20422.47</v>
      </c>
      <c r="Q68" s="1157">
        <v>20422.469999999899</v>
      </c>
      <c r="R68" s="1159">
        <v>-411.35</v>
      </c>
      <c r="S68" s="1159">
        <v>-411.6</v>
      </c>
      <c r="T68" s="861">
        <f t="shared" si="1"/>
        <v>1.0186340659856796E-10</v>
      </c>
      <c r="U68" s="861"/>
    </row>
    <row r="69" spans="1:26" ht="14.25" customHeight="1">
      <c r="A69" s="1156" t="s">
        <v>428</v>
      </c>
      <c r="B69" s="371"/>
      <c r="C69" s="1181">
        <v>3</v>
      </c>
      <c r="D69" s="1156" t="s">
        <v>1</v>
      </c>
      <c r="E69" s="1156" t="s">
        <v>576</v>
      </c>
      <c r="F69" s="1157">
        <v>28</v>
      </c>
      <c r="G69" s="1182">
        <v>14.6</v>
      </c>
      <c r="H69" s="1157">
        <v>65139.123287671202</v>
      </c>
      <c r="I69" s="1157">
        <v>33965.4</v>
      </c>
      <c r="J69" s="1157">
        <v>0</v>
      </c>
      <c r="K69" s="1157">
        <v>0</v>
      </c>
      <c r="L69" s="1157">
        <v>46</v>
      </c>
      <c r="M69" s="1157">
        <v>2326.39726027397</v>
      </c>
      <c r="N69" s="1157">
        <v>65139.123287671202</v>
      </c>
      <c r="O69" s="1157">
        <v>65548</v>
      </c>
      <c r="P69" s="1157">
        <v>33965.4</v>
      </c>
      <c r="Q69" s="1157">
        <v>33965.4</v>
      </c>
      <c r="R69" s="1159">
        <v>-682.72</v>
      </c>
      <c r="S69" s="1159">
        <v>-682.72</v>
      </c>
      <c r="T69" s="861">
        <f t="shared" si="1"/>
        <v>0</v>
      </c>
      <c r="U69" s="861"/>
    </row>
    <row r="70" spans="1:26" ht="14.25" customHeight="1">
      <c r="A70" s="1156" t="s">
        <v>428</v>
      </c>
      <c r="B70" s="371"/>
      <c r="C70" s="1181">
        <v>4</v>
      </c>
      <c r="D70" s="1156" t="s">
        <v>2</v>
      </c>
      <c r="E70" s="1156" t="s">
        <v>576</v>
      </c>
      <c r="F70" s="1157">
        <v>28</v>
      </c>
      <c r="G70" s="1182">
        <v>12.23</v>
      </c>
      <c r="H70" s="1157">
        <v>23421.965658217501</v>
      </c>
      <c r="I70" s="1157">
        <v>10230.379999999999</v>
      </c>
      <c r="J70" s="1157">
        <v>47.597710547833202</v>
      </c>
      <c r="K70" s="1157">
        <v>20.79</v>
      </c>
      <c r="L70" s="1157">
        <v>78</v>
      </c>
      <c r="M70" s="1157">
        <v>838.19869174161897</v>
      </c>
      <c r="N70" s="1157">
        <v>23469.563368765401</v>
      </c>
      <c r="O70" s="1157">
        <v>23716</v>
      </c>
      <c r="P70" s="1157">
        <v>10251.17</v>
      </c>
      <c r="Q70" s="1157">
        <v>10251.1699999998</v>
      </c>
      <c r="R70" s="1159">
        <v>-205.11</v>
      </c>
      <c r="S70" s="1159">
        <v>-204.51</v>
      </c>
      <c r="T70" s="861">
        <f t="shared" si="1"/>
        <v>2.0008883439004421E-10</v>
      </c>
      <c r="U70" s="861"/>
    </row>
    <row r="71" spans="1:26" ht="14.25" customHeight="1">
      <c r="A71" s="1156" t="s">
        <v>428</v>
      </c>
      <c r="B71" s="371"/>
      <c r="C71" s="1181">
        <v>5</v>
      </c>
      <c r="D71" s="1156" t="s">
        <v>3</v>
      </c>
      <c r="E71" s="1156" t="s">
        <v>576</v>
      </c>
      <c r="F71" s="1157">
        <v>39</v>
      </c>
      <c r="G71" s="1182">
        <v>15.47</v>
      </c>
      <c r="H71" s="1157">
        <v>337727.77310924401</v>
      </c>
      <c r="I71" s="1157">
        <v>133965.35</v>
      </c>
      <c r="J71" s="1157">
        <v>161.24369747899101</v>
      </c>
      <c r="K71" s="1157">
        <v>63.96</v>
      </c>
      <c r="L71" s="1157">
        <v>518</v>
      </c>
      <c r="M71" s="1157">
        <v>8663.8209437621099</v>
      </c>
      <c r="N71" s="1157">
        <v>337889.01680672303</v>
      </c>
      <c r="O71" s="1157">
        <v>339378</v>
      </c>
      <c r="P71" s="1157">
        <v>134029.31</v>
      </c>
      <c r="Q71" s="1157">
        <v>134029.31000000599</v>
      </c>
      <c r="R71" s="1159">
        <v>-2713.99</v>
      </c>
      <c r="S71" s="1159">
        <v>-2712.65</v>
      </c>
      <c r="T71" s="861">
        <f t="shared" si="1"/>
        <v>-5.9953890740871429E-9</v>
      </c>
      <c r="U71" s="861"/>
    </row>
    <row r="72" spans="1:26" ht="14.25" customHeight="1">
      <c r="A72" s="1156" t="s">
        <v>428</v>
      </c>
      <c r="B72" s="371"/>
      <c r="C72" s="1181">
        <v>6</v>
      </c>
      <c r="D72" s="1156" t="s">
        <v>4</v>
      </c>
      <c r="E72" s="1156" t="s">
        <v>576</v>
      </c>
      <c r="F72" s="1157">
        <v>39</v>
      </c>
      <c r="G72" s="1182">
        <v>13.31</v>
      </c>
      <c r="H72" s="1157">
        <v>304031.42098804098</v>
      </c>
      <c r="I72" s="1157">
        <v>103760.86</v>
      </c>
      <c r="J72" s="1157">
        <v>-1179.1039331949401</v>
      </c>
      <c r="K72" s="1157">
        <v>-402.8</v>
      </c>
      <c r="L72" s="1157">
        <v>577</v>
      </c>
      <c r="M72" s="1157">
        <v>7765.4440270473397</v>
      </c>
      <c r="N72" s="1157">
        <v>302852.31705484597</v>
      </c>
      <c r="O72" s="1157">
        <v>304317</v>
      </c>
      <c r="P72" s="1157">
        <v>103358.06</v>
      </c>
      <c r="Q72" s="1157">
        <v>103358.059999991</v>
      </c>
      <c r="R72" s="1159">
        <v>-2060.04</v>
      </c>
      <c r="S72" s="1159">
        <v>-2061.5100000000002</v>
      </c>
      <c r="T72" s="861">
        <f t="shared" si="1"/>
        <v>8.9930836111307144E-9</v>
      </c>
      <c r="U72" s="861"/>
    </row>
    <row r="73" spans="1:26" s="152" customFormat="1" ht="14.25" customHeight="1">
      <c r="A73" s="1156" t="s">
        <v>428</v>
      </c>
      <c r="B73" s="371"/>
      <c r="C73" s="1181">
        <v>7</v>
      </c>
      <c r="D73" s="1156" t="s">
        <v>5</v>
      </c>
      <c r="E73" s="1156" t="s">
        <v>576</v>
      </c>
      <c r="F73" s="1157">
        <v>59</v>
      </c>
      <c r="G73" s="1182">
        <v>19.46</v>
      </c>
      <c r="H73" s="1157">
        <v>60693.263617677301</v>
      </c>
      <c r="I73" s="1157">
        <v>20018.490000000002</v>
      </c>
      <c r="J73" s="1157">
        <v>49.176772867420397</v>
      </c>
      <c r="K73" s="1157">
        <v>16.22</v>
      </c>
      <c r="L73" s="1157">
        <v>40</v>
      </c>
      <c r="M73" s="1157">
        <v>1029.5328879753299</v>
      </c>
      <c r="N73" s="1157">
        <v>60742.440390544703</v>
      </c>
      <c r="O73" s="1157">
        <v>60947</v>
      </c>
      <c r="P73" s="1157">
        <v>20034.71</v>
      </c>
      <c r="Q73" s="1157">
        <v>20034.709999999901</v>
      </c>
      <c r="R73" s="1159">
        <v>-405.27</v>
      </c>
      <c r="S73" s="1159">
        <v>-404.79</v>
      </c>
      <c r="T73" s="861">
        <f t="shared" si="1"/>
        <v>9.822542779147625E-11</v>
      </c>
      <c r="U73" s="861"/>
      <c r="W73" s="248"/>
    </row>
    <row r="74" spans="1:26" s="152" customFormat="1" ht="14.25" customHeight="1">
      <c r="A74" s="1156" t="s">
        <v>428</v>
      </c>
      <c r="B74" s="371"/>
      <c r="C74" s="1181">
        <v>8</v>
      </c>
      <c r="D74" s="1156" t="s">
        <v>6</v>
      </c>
      <c r="E74" s="1156" t="s">
        <v>576</v>
      </c>
      <c r="F74" s="1157">
        <v>59</v>
      </c>
      <c r="G74" s="1182">
        <v>17.13</v>
      </c>
      <c r="H74" s="1157">
        <v>26424.250437828399</v>
      </c>
      <c r="I74" s="1157">
        <v>7671.99</v>
      </c>
      <c r="J74" s="1157">
        <v>57.036777583187401</v>
      </c>
      <c r="K74" s="1157">
        <v>16.559999999999999</v>
      </c>
      <c r="L74" s="1157">
        <v>32</v>
      </c>
      <c r="M74" s="1157">
        <v>448.83537653239898</v>
      </c>
      <c r="N74" s="1157">
        <v>26481.287215411601</v>
      </c>
      <c r="O74" s="1157">
        <v>26609</v>
      </c>
      <c r="P74" s="1157">
        <v>7688.55</v>
      </c>
      <c r="Q74" s="1157">
        <v>7688.5500000000302</v>
      </c>
      <c r="R74" s="1159">
        <v>-155.28</v>
      </c>
      <c r="S74" s="1159">
        <v>-154.79</v>
      </c>
      <c r="T74" s="861">
        <f t="shared" si="1"/>
        <v>-3.0013325158506632E-11</v>
      </c>
      <c r="U74" s="861"/>
      <c r="W74" s="248"/>
    </row>
    <row r="75" spans="1:26" ht="14.25" customHeight="1">
      <c r="A75" s="1156" t="s">
        <v>428</v>
      </c>
      <c r="B75" s="371"/>
      <c r="C75" s="1181">
        <v>9</v>
      </c>
      <c r="D75" s="1156" t="s">
        <v>7</v>
      </c>
      <c r="E75" s="1156" t="s">
        <v>576</v>
      </c>
      <c r="F75" s="1157">
        <v>76</v>
      </c>
      <c r="G75" s="1182">
        <v>21.07</v>
      </c>
      <c r="H75" s="1157">
        <v>5489.7465590887496</v>
      </c>
      <c r="I75" s="1157">
        <v>1521.96</v>
      </c>
      <c r="J75" s="1157">
        <v>0</v>
      </c>
      <c r="K75" s="1157">
        <v>0</v>
      </c>
      <c r="L75" s="1157">
        <v>2</v>
      </c>
      <c r="M75" s="1157">
        <v>72.233507356430906</v>
      </c>
      <c r="N75" s="1157">
        <v>5489.7465590887496</v>
      </c>
      <c r="O75" s="1157">
        <v>5472</v>
      </c>
      <c r="P75" s="1157">
        <v>1521.96</v>
      </c>
      <c r="Q75" s="1157">
        <v>1521.96</v>
      </c>
      <c r="R75" s="1159">
        <v>-30.51</v>
      </c>
      <c r="S75" s="1159">
        <v>-30.51</v>
      </c>
      <c r="T75" s="861">
        <f t="shared" si="1"/>
        <v>0</v>
      </c>
      <c r="U75" s="861"/>
      <c r="X75" s="66"/>
    </row>
    <row r="76" spans="1:26" ht="14.25" customHeight="1">
      <c r="A76" s="1156" t="s">
        <v>428</v>
      </c>
      <c r="B76" s="371"/>
      <c r="C76" s="1181">
        <v>10</v>
      </c>
      <c r="D76" s="1156" t="s">
        <v>8</v>
      </c>
      <c r="E76" s="1156" t="s">
        <v>576</v>
      </c>
      <c r="F76" s="1157">
        <v>96</v>
      </c>
      <c r="G76" s="1182">
        <v>23.51</v>
      </c>
      <c r="H76" s="1157">
        <v>41366.526584432198</v>
      </c>
      <c r="I76" s="1157">
        <v>10130.49</v>
      </c>
      <c r="J76" s="1157">
        <v>0</v>
      </c>
      <c r="K76" s="1157">
        <v>0</v>
      </c>
      <c r="L76" s="1157">
        <v>15</v>
      </c>
      <c r="M76" s="1157">
        <v>430.90131858783502</v>
      </c>
      <c r="N76" s="1157">
        <v>41366.526584432198</v>
      </c>
      <c r="O76" s="1157">
        <v>41568</v>
      </c>
      <c r="P76" s="1157">
        <v>10130.49</v>
      </c>
      <c r="Q76" s="1157">
        <v>10130.49</v>
      </c>
      <c r="R76" s="1159">
        <v>-203.82</v>
      </c>
      <c r="S76" s="1159">
        <v>-203.82</v>
      </c>
      <c r="T76" s="861">
        <f t="shared" si="1"/>
        <v>0</v>
      </c>
      <c r="U76" s="861"/>
      <c r="X76" s="66"/>
    </row>
    <row r="77" spans="1:26" ht="14.25" customHeight="1">
      <c r="A77" s="1156" t="s">
        <v>428</v>
      </c>
      <c r="B77" s="371"/>
      <c r="C77" s="1181">
        <v>11</v>
      </c>
      <c r="D77" s="1156" t="s">
        <v>9</v>
      </c>
      <c r="E77" s="1156" t="s">
        <v>576</v>
      </c>
      <c r="F77" s="1157">
        <v>96</v>
      </c>
      <c r="G77" s="1182">
        <v>21.23</v>
      </c>
      <c r="H77" s="1157">
        <v>42964.996702779099</v>
      </c>
      <c r="I77" s="1157">
        <v>9501.5300000000007</v>
      </c>
      <c r="J77" s="1157">
        <v>0</v>
      </c>
      <c r="K77" s="1157">
        <v>0</v>
      </c>
      <c r="L77" s="1157">
        <v>10</v>
      </c>
      <c r="M77" s="1157">
        <v>447.55204898728198</v>
      </c>
      <c r="N77" s="1157">
        <v>42964.996702779099</v>
      </c>
      <c r="O77" s="1157">
        <v>43680</v>
      </c>
      <c r="P77" s="1157">
        <v>9501.5300000000007</v>
      </c>
      <c r="Q77" s="1157">
        <v>9501.5299999999806</v>
      </c>
      <c r="R77" s="1159">
        <v>-191.05</v>
      </c>
      <c r="S77" s="1159">
        <v>-191.05</v>
      </c>
      <c r="T77" s="861">
        <f t="shared" si="1"/>
        <v>2.0008883439004421E-11</v>
      </c>
      <c r="U77" s="861"/>
      <c r="X77" s="66"/>
    </row>
    <row r="78" spans="1:26" ht="14.25" customHeight="1">
      <c r="A78" s="1156" t="s">
        <v>428</v>
      </c>
      <c r="B78" s="371"/>
      <c r="C78" s="1181">
        <v>12</v>
      </c>
      <c r="D78" s="1156" t="s">
        <v>10</v>
      </c>
      <c r="E78" s="1156" t="s">
        <v>576</v>
      </c>
      <c r="F78" s="1157">
        <v>148</v>
      </c>
      <c r="G78" s="1182">
        <v>28.3</v>
      </c>
      <c r="H78" s="1157">
        <v>69708</v>
      </c>
      <c r="I78" s="1157">
        <v>13329.3</v>
      </c>
      <c r="J78" s="1157">
        <v>-3996</v>
      </c>
      <c r="K78" s="1157">
        <v>-764.1</v>
      </c>
      <c r="L78" s="1157">
        <v>8</v>
      </c>
      <c r="M78" s="1157">
        <v>444</v>
      </c>
      <c r="N78" s="1157">
        <v>65712</v>
      </c>
      <c r="O78" s="1157">
        <v>65712</v>
      </c>
      <c r="P78" s="1157">
        <v>12565.2</v>
      </c>
      <c r="Q78" s="1157">
        <v>12565.2</v>
      </c>
      <c r="R78" s="1159">
        <v>-250.14</v>
      </c>
      <c r="S78" s="1159">
        <v>-279.66000000000003</v>
      </c>
      <c r="T78" s="861">
        <f t="shared" si="1"/>
        <v>0</v>
      </c>
      <c r="U78" s="861"/>
      <c r="X78" s="66"/>
    </row>
    <row r="79" spans="1:26" ht="14.25" customHeight="1">
      <c r="A79" s="1156" t="s">
        <v>428</v>
      </c>
      <c r="B79" s="805"/>
      <c r="C79" s="1181">
        <v>13</v>
      </c>
      <c r="D79" s="1156" t="s">
        <v>11</v>
      </c>
      <c r="E79" s="1156" t="s">
        <v>576</v>
      </c>
      <c r="F79" s="1157">
        <v>148</v>
      </c>
      <c r="G79" s="1182">
        <v>25.99</v>
      </c>
      <c r="H79" s="1157">
        <v>40354.6287033474</v>
      </c>
      <c r="I79" s="1157">
        <v>7086.6</v>
      </c>
      <c r="J79" s="1157">
        <v>0</v>
      </c>
      <c r="K79" s="1157">
        <v>0</v>
      </c>
      <c r="L79" s="1157">
        <v>5</v>
      </c>
      <c r="M79" s="1157">
        <v>272.66641015775298</v>
      </c>
      <c r="N79" s="1157">
        <v>40354.6287033474</v>
      </c>
      <c r="O79" s="1157">
        <v>42328</v>
      </c>
      <c r="P79" s="1157">
        <v>7086.6</v>
      </c>
      <c r="Q79" s="1157">
        <v>7086.5999999999904</v>
      </c>
      <c r="R79" s="1159">
        <v>-142.74</v>
      </c>
      <c r="S79" s="1159">
        <v>-142.74</v>
      </c>
      <c r="T79" s="861">
        <f t="shared" si="1"/>
        <v>1.0004441719502211E-11</v>
      </c>
      <c r="U79" s="861"/>
      <c r="Z79"/>
    </row>
    <row r="80" spans="1:26" ht="14.25" customHeight="1">
      <c r="A80" s="1156" t="s">
        <v>428</v>
      </c>
      <c r="B80" s="371"/>
      <c r="C80" s="1181">
        <v>14</v>
      </c>
      <c r="D80" s="1156" t="s">
        <v>12</v>
      </c>
      <c r="E80" s="1156" t="s">
        <v>594</v>
      </c>
      <c r="F80" s="1157">
        <v>59</v>
      </c>
      <c r="G80" s="1182">
        <v>19.46</v>
      </c>
      <c r="H80" s="1157">
        <v>60305.913155190101</v>
      </c>
      <c r="I80" s="1157">
        <v>19890.73</v>
      </c>
      <c r="J80" s="1157">
        <v>-177</v>
      </c>
      <c r="K80" s="1157">
        <v>-58.38</v>
      </c>
      <c r="L80" s="1157">
        <v>48</v>
      </c>
      <c r="M80" s="1157">
        <v>1019.1341212744099</v>
      </c>
      <c r="N80" s="1157">
        <v>60128.913155190101</v>
      </c>
      <c r="O80" s="1157">
        <v>60180</v>
      </c>
      <c r="P80" s="1157">
        <v>19832.349999999999</v>
      </c>
      <c r="Q80" s="1157">
        <v>19832.349999999798</v>
      </c>
      <c r="R80" s="1159">
        <v>-400.89</v>
      </c>
      <c r="S80" s="1159">
        <v>-402.81</v>
      </c>
      <c r="T80" s="861">
        <f t="shared" si="1"/>
        <v>2.0008883439004421E-10</v>
      </c>
      <c r="U80" s="861"/>
      <c r="Z80"/>
    </row>
    <row r="81" spans="1:26" ht="14.25" customHeight="1">
      <c r="A81" s="1156" t="s">
        <v>428</v>
      </c>
      <c r="B81" s="371"/>
      <c r="C81" s="1181">
        <v>15</v>
      </c>
      <c r="D81" s="1156" t="s">
        <v>13</v>
      </c>
      <c r="E81" s="1156" t="s">
        <v>594</v>
      </c>
      <c r="F81" s="1157">
        <v>59</v>
      </c>
      <c r="G81" s="1182">
        <v>17.13</v>
      </c>
      <c r="H81" s="1157">
        <v>57375.588441330998</v>
      </c>
      <c r="I81" s="1157">
        <v>16658.37</v>
      </c>
      <c r="J81" s="1157">
        <v>1060.0367775831901</v>
      </c>
      <c r="K81" s="1157">
        <v>307.77</v>
      </c>
      <c r="L81" s="1157">
        <v>70</v>
      </c>
      <c r="M81" s="1157">
        <v>990.43432574430801</v>
      </c>
      <c r="N81" s="1157">
        <v>58435.625218914203</v>
      </c>
      <c r="O81" s="1157">
        <v>58587</v>
      </c>
      <c r="P81" s="1157">
        <v>16966.14</v>
      </c>
      <c r="Q81" s="1157">
        <v>16966.139999999901</v>
      </c>
      <c r="R81" s="1159">
        <v>-342.74</v>
      </c>
      <c r="S81" s="1159">
        <v>-339.48</v>
      </c>
      <c r="T81" s="861">
        <f t="shared" si="1"/>
        <v>9.822542779147625E-11</v>
      </c>
      <c r="U81" s="861"/>
      <c r="Z81"/>
    </row>
    <row r="82" spans="1:26" ht="14.25" customHeight="1">
      <c r="A82" s="1156" t="s">
        <v>428</v>
      </c>
      <c r="B82" s="371"/>
      <c r="C82" s="1181">
        <v>16</v>
      </c>
      <c r="D82" s="1156" t="s">
        <v>14</v>
      </c>
      <c r="E82" s="1156" t="s">
        <v>594</v>
      </c>
      <c r="F82" s="1157">
        <v>96</v>
      </c>
      <c r="G82" s="1182">
        <v>23.51</v>
      </c>
      <c r="H82" s="1157">
        <v>11119.9523606976</v>
      </c>
      <c r="I82" s="1157">
        <v>2723.23</v>
      </c>
      <c r="J82" s="1157">
        <v>0</v>
      </c>
      <c r="K82" s="1157">
        <v>0</v>
      </c>
      <c r="L82" s="1157">
        <v>7</v>
      </c>
      <c r="M82" s="1157">
        <v>115.83283709059999</v>
      </c>
      <c r="N82" s="1157">
        <v>11119.9523606976</v>
      </c>
      <c r="O82" s="1157">
        <v>11232</v>
      </c>
      <c r="P82" s="1157">
        <v>2723.23</v>
      </c>
      <c r="Q82" s="1157">
        <v>2723.23000000001</v>
      </c>
      <c r="R82" s="1159">
        <v>-55.15</v>
      </c>
      <c r="S82" s="1159">
        <v>-55.15</v>
      </c>
      <c r="T82" s="861">
        <f t="shared" si="1"/>
        <v>-1.0004441719502211E-11</v>
      </c>
      <c r="U82" s="861"/>
      <c r="Z82"/>
    </row>
    <row r="83" spans="1:26" ht="14.25" customHeight="1">
      <c r="A83" s="1156" t="s">
        <v>428</v>
      </c>
      <c r="B83" s="371"/>
      <c r="C83" s="1181">
        <v>17</v>
      </c>
      <c r="D83" s="1156" t="s">
        <v>15</v>
      </c>
      <c r="E83" s="1156" t="s">
        <v>594</v>
      </c>
      <c r="F83" s="1157">
        <v>96</v>
      </c>
      <c r="G83" s="1182">
        <v>21.23</v>
      </c>
      <c r="H83" s="1157">
        <v>10368</v>
      </c>
      <c r="I83" s="1157">
        <v>2292.84</v>
      </c>
      <c r="J83" s="1157">
        <v>0</v>
      </c>
      <c r="K83" s="1157">
        <v>0</v>
      </c>
      <c r="L83" s="1157">
        <v>8</v>
      </c>
      <c r="M83" s="1157">
        <v>108</v>
      </c>
      <c r="N83" s="1157">
        <v>10368</v>
      </c>
      <c r="O83" s="1157">
        <v>10368</v>
      </c>
      <c r="P83" s="1157">
        <v>2292.84</v>
      </c>
      <c r="Q83" s="1157">
        <v>2292.84</v>
      </c>
      <c r="R83" s="1159">
        <v>-46.22</v>
      </c>
      <c r="S83" s="1159">
        <v>-46.22</v>
      </c>
      <c r="T83" s="861">
        <f t="shared" si="1"/>
        <v>0</v>
      </c>
      <c r="U83" s="861"/>
      <c r="Z83"/>
    </row>
    <row r="84" spans="1:26" ht="14.25" customHeight="1">
      <c r="A84" s="1156" t="s">
        <v>428</v>
      </c>
      <c r="B84" s="371"/>
      <c r="C84" s="1181">
        <v>18</v>
      </c>
      <c r="D84" s="1156" t="s">
        <v>16</v>
      </c>
      <c r="E84" s="1156" t="s">
        <v>594</v>
      </c>
      <c r="F84" s="1157">
        <v>148</v>
      </c>
      <c r="G84" s="1182">
        <v>28.3</v>
      </c>
      <c r="H84" s="1157">
        <v>66156.052296819806</v>
      </c>
      <c r="I84" s="1157">
        <v>12650.11</v>
      </c>
      <c r="J84" s="1157">
        <v>-2960</v>
      </c>
      <c r="K84" s="1157">
        <v>-566</v>
      </c>
      <c r="L84" s="1157">
        <v>13</v>
      </c>
      <c r="M84" s="1157">
        <v>427.00035335689</v>
      </c>
      <c r="N84" s="1157">
        <v>63196.052296819798</v>
      </c>
      <c r="O84" s="1157">
        <v>63640</v>
      </c>
      <c r="P84" s="1157">
        <v>12084.11</v>
      </c>
      <c r="Q84" s="1157">
        <v>12084.11</v>
      </c>
      <c r="R84" s="1159">
        <v>-242.51</v>
      </c>
      <c r="S84" s="1159">
        <v>-259.05</v>
      </c>
      <c r="T84" s="861">
        <f t="shared" si="1"/>
        <v>0</v>
      </c>
      <c r="U84" s="861"/>
      <c r="Z84"/>
    </row>
    <row r="85" spans="1:26" ht="14.25" customHeight="1">
      <c r="A85" s="1156" t="s">
        <v>428</v>
      </c>
      <c r="B85" s="372"/>
      <c r="C85" s="1183">
        <v>19</v>
      </c>
      <c r="D85" s="1160" t="s">
        <v>11</v>
      </c>
      <c r="E85" s="1160" t="s">
        <v>594</v>
      </c>
      <c r="F85" s="1161">
        <v>148</v>
      </c>
      <c r="G85" s="1184">
        <v>25.99</v>
      </c>
      <c r="H85" s="1161">
        <v>90837.400178514901</v>
      </c>
      <c r="I85" s="1161">
        <v>15951.76</v>
      </c>
      <c r="J85" s="1161">
        <v>-2930.4113366526199</v>
      </c>
      <c r="K85" s="1161">
        <v>-514.58000000000004</v>
      </c>
      <c r="L85" s="1161">
        <v>28</v>
      </c>
      <c r="M85" s="1161">
        <v>593.96614082339397</v>
      </c>
      <c r="N85" s="1161">
        <v>87906.988841862199</v>
      </c>
      <c r="O85" s="1161">
        <v>88800</v>
      </c>
      <c r="P85" s="1161">
        <v>15437.18</v>
      </c>
      <c r="Q85" s="1161">
        <v>15437.18</v>
      </c>
      <c r="R85" s="1163">
        <v>-308.16000000000003</v>
      </c>
      <c r="S85" s="1163">
        <v>-325.07</v>
      </c>
      <c r="T85" s="861">
        <f t="shared" si="1"/>
        <v>0</v>
      </c>
      <c r="U85" s="861"/>
      <c r="Z85"/>
    </row>
    <row r="86" spans="1:26">
      <c r="A86" s="153"/>
      <c r="B86" s="153"/>
      <c r="C86" s="154"/>
      <c r="D86" s="154"/>
      <c r="E86" s="154"/>
      <c r="F86" s="154"/>
      <c r="G86" s="155"/>
      <c r="H86" s="154"/>
      <c r="I86" s="155"/>
      <c r="J86" s="154"/>
      <c r="K86" s="155"/>
      <c r="L86" s="154"/>
      <c r="M86" s="155"/>
      <c r="N86" s="155"/>
      <c r="O86" s="155"/>
      <c r="P86" s="155"/>
      <c r="Q86" s="153"/>
      <c r="R86" s="153"/>
      <c r="S86" s="153"/>
    </row>
    <row r="87" spans="1:26">
      <c r="A87" s="199" t="s">
        <v>256</v>
      </c>
      <c r="B87" s="200"/>
      <c r="C87" s="201"/>
      <c r="D87" s="201"/>
      <c r="E87" s="201"/>
      <c r="F87" s="201"/>
      <c r="G87" s="202"/>
      <c r="H87" s="201"/>
      <c r="I87" s="202"/>
      <c r="J87" s="201"/>
      <c r="K87" s="202"/>
      <c r="L87" s="201"/>
      <c r="M87" s="202"/>
      <c r="N87" s="202"/>
      <c r="O87" s="202"/>
      <c r="P87" s="202"/>
      <c r="Q87" s="200"/>
      <c r="R87" s="200"/>
      <c r="S87" s="200"/>
    </row>
    <row r="88" spans="1:26">
      <c r="A88" s="203" t="s">
        <v>429</v>
      </c>
      <c r="B88" s="203" t="s">
        <v>120</v>
      </c>
      <c r="C88" s="204"/>
      <c r="D88" s="204"/>
      <c r="E88" s="204"/>
      <c r="F88" s="205"/>
      <c r="G88" s="206"/>
      <c r="H88" s="205">
        <f t="shared" ref="H88:S88" si="2">SUMIF($A$2:$A$85,"COM",H$2:H$85)</f>
        <v>7231701.1799575733</v>
      </c>
      <c r="I88" s="205">
        <f t="shared" si="2"/>
        <v>1683098.62</v>
      </c>
      <c r="J88" s="205">
        <f t="shared" si="2"/>
        <v>6922.8697780707416</v>
      </c>
      <c r="K88" s="205">
        <f t="shared" si="2"/>
        <v>2059.79</v>
      </c>
      <c r="L88" s="205">
        <f t="shared" si="2"/>
        <v>4140</v>
      </c>
      <c r="M88" s="205">
        <f t="shared" si="2"/>
        <v>85763.472006293101</v>
      </c>
      <c r="N88" s="205">
        <f t="shared" si="2"/>
        <v>7238624.0497356383</v>
      </c>
      <c r="O88" s="205">
        <f t="shared" si="2"/>
        <v>7293828</v>
      </c>
      <c r="P88" s="205">
        <f t="shared" si="2"/>
        <v>1685158.4100000001</v>
      </c>
      <c r="Q88" s="205">
        <f t="shared" si="2"/>
        <v>1685158.4100000437</v>
      </c>
      <c r="R88" s="205">
        <f t="shared" si="2"/>
        <v>-33858.939999999995</v>
      </c>
      <c r="S88" s="205">
        <f t="shared" si="2"/>
        <v>-33885.569999999992</v>
      </c>
      <c r="T88" s="226"/>
      <c r="U88" s="226"/>
    </row>
    <row r="89" spans="1:26">
      <c r="A89" s="203" t="s">
        <v>438</v>
      </c>
      <c r="B89" s="203" t="s">
        <v>120</v>
      </c>
      <c r="C89" s="204"/>
      <c r="D89" s="204"/>
      <c r="E89" s="204"/>
      <c r="F89" s="205"/>
      <c r="G89" s="206"/>
      <c r="H89" s="205">
        <f t="shared" ref="H89:S89" si="3">SUMIF($A$2:$A$85,"IND",H$2:H$85)</f>
        <v>948299.16370167176</v>
      </c>
      <c r="I89" s="205">
        <f t="shared" si="3"/>
        <v>204131.02999999994</v>
      </c>
      <c r="J89" s="205">
        <f t="shared" si="3"/>
        <v>25755.954639211948</v>
      </c>
      <c r="K89" s="205">
        <f t="shared" si="3"/>
        <v>4781.6400000000003</v>
      </c>
      <c r="L89" s="205">
        <f t="shared" si="3"/>
        <v>424</v>
      </c>
      <c r="M89" s="205">
        <f t="shared" si="3"/>
        <v>9765.7752957417852</v>
      </c>
      <c r="N89" s="205">
        <f t="shared" si="3"/>
        <v>974055.11834088468</v>
      </c>
      <c r="O89" s="205">
        <f t="shared" si="3"/>
        <v>1002630</v>
      </c>
      <c r="P89" s="205">
        <f t="shared" si="3"/>
        <v>208912.66999999993</v>
      </c>
      <c r="Q89" s="205">
        <f t="shared" si="3"/>
        <v>208912.66999999931</v>
      </c>
      <c r="R89" s="205">
        <f t="shared" si="3"/>
        <v>-4194.1399999999994</v>
      </c>
      <c r="S89" s="205">
        <f t="shared" si="3"/>
        <v>-4144.8999999999996</v>
      </c>
      <c r="T89" s="226"/>
      <c r="U89" s="226"/>
    </row>
    <row r="90" spans="1:26">
      <c r="A90" s="203" t="s">
        <v>441</v>
      </c>
      <c r="B90" s="203" t="s">
        <v>120</v>
      </c>
      <c r="C90" s="204"/>
      <c r="D90" s="204"/>
      <c r="E90" s="204"/>
      <c r="F90" s="205"/>
      <c r="G90" s="206"/>
      <c r="H90" s="205">
        <f t="shared" ref="H90:S90" si="4">SUMIF($A$2:$A$85,"PSH",H$2:H$85)</f>
        <v>362792.18250642717</v>
      </c>
      <c r="I90" s="205">
        <f t="shared" si="4"/>
        <v>95725.61000000003</v>
      </c>
      <c r="J90" s="205">
        <f t="shared" si="4"/>
        <v>-1012.0862781092244</v>
      </c>
      <c r="K90" s="205">
        <f t="shared" si="4"/>
        <v>-165.58999999999997</v>
      </c>
      <c r="L90" s="205">
        <f t="shared" si="4"/>
        <v>236</v>
      </c>
      <c r="M90" s="205">
        <f t="shared" si="4"/>
        <v>4750.5712470683729</v>
      </c>
      <c r="N90" s="205">
        <f t="shared" si="4"/>
        <v>361780.09622831794</v>
      </c>
      <c r="O90" s="205">
        <f t="shared" si="4"/>
        <v>371347</v>
      </c>
      <c r="P90" s="205">
        <f t="shared" si="4"/>
        <v>95560.02</v>
      </c>
      <c r="Q90" s="205">
        <f t="shared" si="4"/>
        <v>95560.02</v>
      </c>
      <c r="R90" s="205">
        <f t="shared" si="4"/>
        <v>-1917.43</v>
      </c>
      <c r="S90" s="205">
        <f t="shared" si="4"/>
        <v>-1925.3500000000004</v>
      </c>
      <c r="T90" s="226"/>
      <c r="U90" s="226"/>
    </row>
    <row r="91" spans="1:26" ht="13.5" thickBot="1">
      <c r="A91" s="536" t="s">
        <v>428</v>
      </c>
      <c r="B91" s="536" t="s">
        <v>119</v>
      </c>
      <c r="C91" s="537"/>
      <c r="D91" s="537"/>
      <c r="E91" s="537"/>
      <c r="F91" s="538"/>
      <c r="G91" s="539"/>
      <c r="H91" s="538">
        <f>SUMIF($A$2:$A$85,"RES",H$2:H$85)</f>
        <v>2251606.0657941299</v>
      </c>
      <c r="I91" s="538">
        <f t="shared" ref="I91:S91" si="5">SUMIF($A$2:$A$85,"RES",I$2:I$85)</f>
        <v>638071.42999999993</v>
      </c>
      <c r="J91" s="538">
        <f t="shared" si="5"/>
        <v>-4705.3796187393882</v>
      </c>
      <c r="K91" s="538">
        <f t="shared" si="5"/>
        <v>-502.9000000000002</v>
      </c>
      <c r="L91" s="538">
        <f t="shared" si="5"/>
        <v>2476</v>
      </c>
      <c r="M91" s="538">
        <f t="shared" si="5"/>
        <v>38824.758778753254</v>
      </c>
      <c r="N91" s="538">
        <f t="shared" si="5"/>
        <v>2246900.6861753906</v>
      </c>
      <c r="O91" s="538">
        <f t="shared" si="5"/>
        <v>2260674</v>
      </c>
      <c r="P91" s="538">
        <f t="shared" si="5"/>
        <v>637568.52999999991</v>
      </c>
      <c r="Q91" s="538">
        <f t="shared" si="5"/>
        <v>637568.53000001609</v>
      </c>
      <c r="R91" s="538">
        <f t="shared" si="5"/>
        <v>-12795.729999999998</v>
      </c>
      <c r="S91" s="538">
        <f t="shared" si="5"/>
        <v>-12851.939999999999</v>
      </c>
      <c r="T91" s="226"/>
      <c r="U91" s="226"/>
    </row>
    <row r="92" spans="1:26" ht="13.5" thickTop="1">
      <c r="A92" s="531" t="s">
        <v>93</v>
      </c>
      <c r="B92" s="532"/>
      <c r="C92" s="533"/>
      <c r="D92" s="533"/>
      <c r="E92" s="533"/>
      <c r="F92" s="534"/>
      <c r="G92" s="535"/>
      <c r="H92" s="534">
        <f>SUM(H88:H91)</f>
        <v>10794398.591959801</v>
      </c>
      <c r="I92" s="534">
        <f t="shared" ref="I92:Q92" si="6">SUM(I88:I91)</f>
        <v>2621026.6900000004</v>
      </c>
      <c r="J92" s="534">
        <f t="shared" si="6"/>
        <v>26961.358520434074</v>
      </c>
      <c r="K92" s="534">
        <f t="shared" si="6"/>
        <v>6172.94</v>
      </c>
      <c r="L92" s="534">
        <f t="shared" si="6"/>
        <v>7276</v>
      </c>
      <c r="M92" s="534">
        <f t="shared" si="6"/>
        <v>139104.5773278565</v>
      </c>
      <c r="N92" s="534">
        <f t="shared" si="6"/>
        <v>10821359.950480232</v>
      </c>
      <c r="O92" s="534">
        <f t="shared" si="6"/>
        <v>10928479</v>
      </c>
      <c r="P92" s="534">
        <f t="shared" si="6"/>
        <v>2627199.63</v>
      </c>
      <c r="Q92" s="534">
        <f t="shared" si="6"/>
        <v>2627199.630000059</v>
      </c>
      <c r="R92" s="534">
        <f t="shared" ref="R92:S92" si="7">SUM(R88:R91)</f>
        <v>-52766.239999999991</v>
      </c>
      <c r="S92" s="534">
        <f t="shared" si="7"/>
        <v>-52807.759999999995</v>
      </c>
      <c r="T92" s="226"/>
      <c r="U92" s="226"/>
    </row>
    <row r="93" spans="1:26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</row>
    <row r="94" spans="1:26">
      <c r="A94" s="221" t="s">
        <v>463</v>
      </c>
      <c r="B94" s="180"/>
      <c r="C94" s="180"/>
      <c r="D94" s="180"/>
      <c r="E94" s="180"/>
      <c r="F94" s="180"/>
      <c r="G94" s="180"/>
      <c r="H94" s="181">
        <f t="shared" ref="H94:Q94" si="8">H92-SUM(H2:H85)</f>
        <v>0</v>
      </c>
      <c r="I94" s="181">
        <f t="shared" si="8"/>
        <v>0</v>
      </c>
      <c r="J94" s="181">
        <f t="shared" si="8"/>
        <v>0</v>
      </c>
      <c r="K94" s="181">
        <f t="shared" si="8"/>
        <v>0</v>
      </c>
      <c r="L94" s="181">
        <f t="shared" si="8"/>
        <v>0</v>
      </c>
      <c r="M94" s="181">
        <f t="shared" si="8"/>
        <v>0</v>
      </c>
      <c r="N94" s="181">
        <f t="shared" si="8"/>
        <v>0</v>
      </c>
      <c r="O94" s="181">
        <f t="shared" si="8"/>
        <v>0</v>
      </c>
      <c r="P94" s="181">
        <f t="shared" si="8"/>
        <v>0</v>
      </c>
      <c r="Q94" s="181">
        <f t="shared" si="8"/>
        <v>0</v>
      </c>
      <c r="R94" s="181"/>
      <c r="S94" s="181"/>
    </row>
    <row r="95" spans="1:26">
      <c r="N95" s="892">
        <f>'Blocking-Step2'!C1202</f>
        <v>21913</v>
      </c>
      <c r="P95" s="674" t="s">
        <v>136</v>
      </c>
      <c r="Q95" s="675">
        <f>'Blocking-Step2'!H1202</f>
        <v>7198</v>
      </c>
      <c r="R95" s="854"/>
      <c r="S95" s="881" t="s">
        <v>1241</v>
      </c>
    </row>
    <row r="96" spans="1:26">
      <c r="N96" s="892">
        <f>'Blocking-Step2'!C1206</f>
        <v>10843272.950480232</v>
      </c>
      <c r="P96" s="639" t="s">
        <v>411</v>
      </c>
      <c r="Q96" s="676">
        <f>'Blocking-Step2'!H1206</f>
        <v>2582380.4202000001</v>
      </c>
      <c r="R96" s="854"/>
      <c r="S96" s="854">
        <f>'Blocking-Step2'!H1203</f>
        <v>-52018.579800000007</v>
      </c>
    </row>
    <row r="97" spans="14:19">
      <c r="N97" s="892">
        <f>N96-N95-N92</f>
        <v>0</v>
      </c>
      <c r="P97" s="640"/>
      <c r="Q97" s="677">
        <f>Q96-Q92-Q95-S96</f>
        <v>1.3699999410309829</v>
      </c>
      <c r="R97" s="854"/>
      <c r="S97" s="854"/>
    </row>
  </sheetData>
  <phoneticPr fontId="8" type="noConversion"/>
  <printOptions horizontalCentered="1"/>
  <pageMargins left="0.25" right="0.25" top="0.32200000000000001" bottom="0.29399999999999998" header="1" footer="1"/>
  <pageSetup scale="84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  <pageSetUpPr fitToPage="1"/>
  </sheetPr>
  <dimension ref="A1:Y29"/>
  <sheetViews>
    <sheetView topLeftCell="E4" workbookViewId="0">
      <selection activeCell="Q22" sqref="Q22"/>
    </sheetView>
  </sheetViews>
  <sheetFormatPr defaultColWidth="8" defaultRowHeight="12.75"/>
  <cols>
    <col min="1" max="1" width="6.125" style="137" bestFit="1" customWidth="1"/>
    <col min="2" max="2" width="11.125" style="137" bestFit="1" customWidth="1"/>
    <col min="3" max="3" width="11.625" style="137" bestFit="1" customWidth="1"/>
    <col min="4" max="4" width="10.125" style="137" bestFit="1" customWidth="1"/>
    <col min="5" max="5" width="9.125" style="137" bestFit="1" customWidth="1"/>
    <col min="6" max="6" width="7.75" style="137" bestFit="1" customWidth="1"/>
    <col min="7" max="7" width="7.125" style="137" bestFit="1" customWidth="1"/>
    <col min="8" max="10" width="8.25" style="137" bestFit="1" customWidth="1"/>
    <col min="11" max="11" width="9.125" style="137" bestFit="1" customWidth="1"/>
    <col min="12" max="12" width="9.25" style="137" bestFit="1" customWidth="1"/>
    <col min="13" max="13" width="11.625" style="137" bestFit="1" customWidth="1"/>
    <col min="14" max="15" width="11.125" style="137" bestFit="1" customWidth="1"/>
    <col min="16" max="16" width="13.125" style="137" customWidth="1"/>
    <col min="17" max="17" width="11.75" style="137" bestFit="1" customWidth="1"/>
    <col min="18" max="18" width="10.125" style="137" bestFit="1" customWidth="1"/>
    <col min="19" max="19" width="11.25" style="137" bestFit="1" customWidth="1"/>
    <col min="20" max="20" width="10" style="137" bestFit="1" customWidth="1"/>
    <col min="21" max="22" width="10.125" style="137" bestFit="1" customWidth="1"/>
    <col min="23" max="24" width="8" style="137"/>
    <col min="25" max="25" width="7.125" style="137" bestFit="1" customWidth="1"/>
    <col min="26" max="16384" width="8" style="137"/>
  </cols>
  <sheetData>
    <row r="1" spans="1:25" ht="13.5" customHeight="1">
      <c r="A1" s="1155" t="s">
        <v>191</v>
      </c>
      <c r="B1" s="1155" t="s">
        <v>192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711</v>
      </c>
      <c r="I1" s="1155" t="s">
        <v>712</v>
      </c>
      <c r="J1" s="1155" t="s">
        <v>638</v>
      </c>
      <c r="K1" s="1155" t="s">
        <v>639</v>
      </c>
      <c r="L1" s="1155" t="s">
        <v>631</v>
      </c>
      <c r="M1" s="1155" t="s">
        <v>70</v>
      </c>
      <c r="N1" s="1155" t="s">
        <v>632</v>
      </c>
      <c r="O1" s="1155" t="s">
        <v>648</v>
      </c>
      <c r="P1" s="1155" t="s">
        <v>649</v>
      </c>
      <c r="Q1" s="1155" t="s">
        <v>633</v>
      </c>
      <c r="R1" s="1155" t="s">
        <v>71</v>
      </c>
      <c r="S1" s="1155" t="s">
        <v>619</v>
      </c>
      <c r="T1" s="1155" t="s">
        <v>796</v>
      </c>
      <c r="U1" s="1155" t="s">
        <v>1225</v>
      </c>
      <c r="V1" s="1155" t="s">
        <v>1256</v>
      </c>
    </row>
    <row r="2" spans="1:25" ht="14.25" customHeight="1">
      <c r="A2" s="1156" t="s">
        <v>429</v>
      </c>
      <c r="B2" s="1156" t="s">
        <v>1540</v>
      </c>
      <c r="C2" s="1157">
        <v>1346159</v>
      </c>
      <c r="D2" s="1157">
        <v>127011.04</v>
      </c>
      <c r="E2" s="1157">
        <v>261933</v>
      </c>
      <c r="F2" s="1157">
        <v>9422.8700000000008</v>
      </c>
      <c r="G2" s="1157">
        <v>6</v>
      </c>
      <c r="H2" s="1157">
        <v>4549.6659663865503</v>
      </c>
      <c r="I2" s="1157">
        <v>4434.3332178933197</v>
      </c>
      <c r="J2" s="1157">
        <v>2769.6433161953701</v>
      </c>
      <c r="K2" s="1157">
        <v>1664.6899016979401</v>
      </c>
      <c r="L2" s="1157">
        <v>4434.3274336283203</v>
      </c>
      <c r="M2" s="1157">
        <v>1608092</v>
      </c>
      <c r="N2" s="1157">
        <v>289713</v>
      </c>
      <c r="O2" s="1157">
        <v>383894</v>
      </c>
      <c r="P2" s="1157">
        <v>934485</v>
      </c>
      <c r="Q2" s="1157">
        <v>608993.48770003906</v>
      </c>
      <c r="R2" s="1157">
        <v>140354.51</v>
      </c>
      <c r="S2" s="1157">
        <v>140354.51876599999</v>
      </c>
      <c r="T2" s="1158">
        <v>140354.51876599999</v>
      </c>
      <c r="U2" s="1159">
        <v>-3920.6</v>
      </c>
      <c r="V2" s="1159">
        <v>-3611.11</v>
      </c>
      <c r="X2" s="887">
        <f>S2-R2</f>
        <v>8.7659999844618142E-3</v>
      </c>
      <c r="Y2" s="887">
        <f>V2-U2</f>
        <v>309.48999999999978</v>
      </c>
    </row>
    <row r="3" spans="1:25" ht="14.25" customHeight="1">
      <c r="A3" s="371"/>
      <c r="B3" s="1156" t="s">
        <v>24</v>
      </c>
      <c r="C3" s="1157">
        <v>915088723</v>
      </c>
      <c r="D3" s="1157">
        <v>64836573.060000002</v>
      </c>
      <c r="E3" s="1157">
        <v>674567</v>
      </c>
      <c r="F3" s="1157">
        <v>57853.97</v>
      </c>
      <c r="G3" s="1157">
        <v>1511.43314285714</v>
      </c>
      <c r="H3" s="1157">
        <v>1916518.3991596601</v>
      </c>
      <c r="I3" s="1157">
        <v>1857006.0722143301</v>
      </c>
      <c r="J3" s="1157">
        <v>804562.84254498803</v>
      </c>
      <c r="K3" s="1157">
        <v>1052443.22966935</v>
      </c>
      <c r="L3" s="1157">
        <v>909425.07079646003</v>
      </c>
      <c r="M3" s="1157">
        <v>915763290</v>
      </c>
      <c r="N3" s="1157">
        <v>107627445</v>
      </c>
      <c r="O3" s="1157">
        <v>251404884</v>
      </c>
      <c r="P3" s="1157">
        <v>556730961</v>
      </c>
      <c r="Q3" s="1157">
        <v>293644073.58897799</v>
      </c>
      <c r="R3" s="1157">
        <v>66792227.399999999</v>
      </c>
      <c r="S3" s="1157">
        <v>66792227.306576103</v>
      </c>
      <c r="T3" s="1158">
        <v>66792227.306576103</v>
      </c>
      <c r="U3" s="1159">
        <v>-1897800.37</v>
      </c>
      <c r="V3" s="1159">
        <v>-1894693.19</v>
      </c>
      <c r="X3" s="887">
        <f t="shared" ref="X3:X15" si="0">S3-R3</f>
        <v>-9.3423895537853241E-2</v>
      </c>
      <c r="Y3" s="887">
        <f t="shared" ref="Y3:Y15" si="1">V3-U3</f>
        <v>3107.1800000001676</v>
      </c>
    </row>
    <row r="4" spans="1:25" ht="14.25" customHeight="1">
      <c r="A4" s="371"/>
      <c r="B4" s="1156" t="s">
        <v>25</v>
      </c>
      <c r="C4" s="1157">
        <v>16898400</v>
      </c>
      <c r="D4" s="1157">
        <v>1343143.8</v>
      </c>
      <c r="E4" s="1157">
        <v>0</v>
      </c>
      <c r="F4" s="1157">
        <v>0</v>
      </c>
      <c r="G4" s="1157">
        <v>24</v>
      </c>
      <c r="H4" s="1157">
        <v>43300</v>
      </c>
      <c r="I4" s="1157">
        <v>41045.000358380901</v>
      </c>
      <c r="J4" s="1157">
        <v>19088.241645244201</v>
      </c>
      <c r="K4" s="1157">
        <v>21956.7587131367</v>
      </c>
      <c r="L4" s="1157">
        <v>0</v>
      </c>
      <c r="M4" s="1157">
        <v>16898400</v>
      </c>
      <c r="N4" s="1157">
        <v>1820426</v>
      </c>
      <c r="O4" s="1157">
        <v>4618024</v>
      </c>
      <c r="P4" s="1157">
        <v>10459950</v>
      </c>
      <c r="Q4" s="1157">
        <v>5472321.4216003995</v>
      </c>
      <c r="R4" s="1157">
        <v>1380503.31</v>
      </c>
      <c r="S4" s="1157">
        <v>1380503.3180879999</v>
      </c>
      <c r="T4" s="1158">
        <v>1380503.3180879999</v>
      </c>
      <c r="U4" s="1159">
        <v>-37359.51</v>
      </c>
      <c r="V4" s="1159">
        <v>-37359.51</v>
      </c>
      <c r="X4" s="887">
        <f t="shared" si="0"/>
        <v>8.0879998859018087E-3</v>
      </c>
      <c r="Y4" s="887">
        <f t="shared" si="1"/>
        <v>0</v>
      </c>
    </row>
    <row r="5" spans="1:25" ht="14.25" customHeight="1">
      <c r="A5" s="371"/>
      <c r="B5" s="1156" t="s">
        <v>617</v>
      </c>
      <c r="C5" s="1157">
        <v>57650918</v>
      </c>
      <c r="D5" s="1157">
        <v>4355699.9000000004</v>
      </c>
      <c r="E5" s="1157">
        <v>-242460</v>
      </c>
      <c r="F5" s="1157">
        <v>-12946.04</v>
      </c>
      <c r="G5" s="1157">
        <v>135.63328571428599</v>
      </c>
      <c r="H5" s="1157">
        <v>137123.266806723</v>
      </c>
      <c r="I5" s="1157">
        <v>133416.66500743199</v>
      </c>
      <c r="J5" s="1157">
        <v>57339.679305912599</v>
      </c>
      <c r="K5" s="1157">
        <v>76076.985701519196</v>
      </c>
      <c r="L5" s="1157">
        <v>78554.203539822993</v>
      </c>
      <c r="M5" s="1157">
        <v>57408458</v>
      </c>
      <c r="N5" s="1157">
        <v>6720882</v>
      </c>
      <c r="O5" s="1157">
        <v>16121807</v>
      </c>
      <c r="P5" s="1157">
        <v>34565769</v>
      </c>
      <c r="Q5" s="1157">
        <v>17733914.828787901</v>
      </c>
      <c r="R5" s="1157">
        <v>4468465.47</v>
      </c>
      <c r="S5" s="1157">
        <v>4468465.501983</v>
      </c>
      <c r="T5" s="1158">
        <v>4468465.501983</v>
      </c>
      <c r="U5" s="1159">
        <v>-125711.61</v>
      </c>
      <c r="V5" s="1159">
        <v>-127745.08</v>
      </c>
      <c r="X5" s="887">
        <f t="shared" si="0"/>
        <v>3.1983000226318836E-2</v>
      </c>
      <c r="Y5" s="887">
        <f t="shared" si="1"/>
        <v>-2033.4700000000012</v>
      </c>
    </row>
    <row r="6" spans="1:25" ht="14.25" customHeight="1">
      <c r="A6" s="1156" t="s">
        <v>438</v>
      </c>
      <c r="B6" s="1156" t="s">
        <v>24</v>
      </c>
      <c r="C6" s="1157">
        <v>984499554</v>
      </c>
      <c r="D6" s="1157">
        <v>71987484.909999996</v>
      </c>
      <c r="E6" s="1157">
        <v>-259800</v>
      </c>
      <c r="F6" s="1157">
        <v>-27361.01</v>
      </c>
      <c r="G6" s="1157">
        <v>1202.0664285714299</v>
      </c>
      <c r="H6" s="1157">
        <v>2170547.6701680701</v>
      </c>
      <c r="I6" s="1157">
        <v>2124093.56870921</v>
      </c>
      <c r="J6" s="1157">
        <v>910719.61696658097</v>
      </c>
      <c r="K6" s="1157">
        <v>1213373.95174263</v>
      </c>
      <c r="L6" s="1157">
        <v>954992.93805309699</v>
      </c>
      <c r="M6" s="1157">
        <v>984239754</v>
      </c>
      <c r="N6" s="1157">
        <v>119700826</v>
      </c>
      <c r="O6" s="1157">
        <v>279360538</v>
      </c>
      <c r="P6" s="1157">
        <v>585178390</v>
      </c>
      <c r="Q6" s="1157">
        <v>312752486.28280199</v>
      </c>
      <c r="R6" s="1157">
        <v>74062090.609999999</v>
      </c>
      <c r="S6" s="1157">
        <v>74062090.625221804</v>
      </c>
      <c r="T6" s="1158">
        <v>74062090.625221804</v>
      </c>
      <c r="U6" s="1159">
        <v>-2101966.71</v>
      </c>
      <c r="V6" s="1159">
        <v>-2103928.59</v>
      </c>
      <c r="X6" s="887">
        <f t="shared" si="0"/>
        <v>1.522180438041687E-2</v>
      </c>
      <c r="Y6" s="887">
        <f t="shared" si="1"/>
        <v>-1961.8799999998882</v>
      </c>
    </row>
    <row r="7" spans="1:25" ht="14.25" customHeight="1">
      <c r="A7" s="371"/>
      <c r="B7" s="1156" t="s">
        <v>25</v>
      </c>
      <c r="C7" s="1157">
        <v>27264100</v>
      </c>
      <c r="D7" s="1157">
        <v>2146613.42</v>
      </c>
      <c r="E7" s="1157">
        <v>761000</v>
      </c>
      <c r="F7" s="1157">
        <v>67633.740000000005</v>
      </c>
      <c r="G7" s="1157">
        <v>48</v>
      </c>
      <c r="H7" s="1157">
        <v>69012</v>
      </c>
      <c r="I7" s="1157">
        <v>68467.000380779704</v>
      </c>
      <c r="J7" s="1157">
        <v>29016.131748071999</v>
      </c>
      <c r="K7" s="1157">
        <v>39450.868632707803</v>
      </c>
      <c r="L7" s="1157">
        <v>0</v>
      </c>
      <c r="M7" s="1157">
        <v>28025100</v>
      </c>
      <c r="N7" s="1157">
        <v>3282355</v>
      </c>
      <c r="O7" s="1157">
        <v>8409745</v>
      </c>
      <c r="P7" s="1157">
        <v>16333000</v>
      </c>
      <c r="Q7" s="1157">
        <v>8810941.4088451508</v>
      </c>
      <c r="R7" s="1157">
        <v>2278109.02</v>
      </c>
      <c r="S7" s="1157">
        <v>2278109.036965</v>
      </c>
      <c r="T7" s="1158">
        <v>2278109.036965</v>
      </c>
      <c r="U7" s="1159">
        <v>-63861.86</v>
      </c>
      <c r="V7" s="1159">
        <v>-61122.33</v>
      </c>
      <c r="X7" s="887">
        <f t="shared" si="0"/>
        <v>1.6964999958872795E-2</v>
      </c>
      <c r="Y7" s="887">
        <f t="shared" si="1"/>
        <v>2739.5299999999988</v>
      </c>
    </row>
    <row r="8" spans="1:25" ht="14.25" customHeight="1">
      <c r="A8" s="1160" t="s">
        <v>428</v>
      </c>
      <c r="B8" s="1160" t="s">
        <v>1249</v>
      </c>
      <c r="C8" s="1161">
        <v>451360</v>
      </c>
      <c r="D8" s="1161">
        <v>32040.73</v>
      </c>
      <c r="E8" s="1161">
        <v>0</v>
      </c>
      <c r="F8" s="1161">
        <v>0</v>
      </c>
      <c r="G8" s="1161">
        <v>6</v>
      </c>
      <c r="H8" s="1161">
        <v>811</v>
      </c>
      <c r="I8" s="1161">
        <v>809</v>
      </c>
      <c r="J8" s="1161">
        <v>543</v>
      </c>
      <c r="K8" s="1161">
        <v>266</v>
      </c>
      <c r="L8" s="1161">
        <v>0</v>
      </c>
      <c r="M8" s="1161">
        <v>451360</v>
      </c>
      <c r="N8" s="1161">
        <v>90240</v>
      </c>
      <c r="O8" s="1161">
        <v>74960</v>
      </c>
      <c r="P8" s="1161">
        <v>286160</v>
      </c>
      <c r="Q8" s="1161">
        <v>213440</v>
      </c>
      <c r="R8" s="1161">
        <v>32952.519999999997</v>
      </c>
      <c r="S8" s="1161">
        <v>32952.51064</v>
      </c>
      <c r="T8" s="1162">
        <v>32952.51064</v>
      </c>
      <c r="U8" s="1163">
        <v>-911.79</v>
      </c>
      <c r="V8" s="1163">
        <v>-911.79</v>
      </c>
      <c r="X8" s="887">
        <f t="shared" si="0"/>
        <v>-9.3599999963771552E-3</v>
      </c>
      <c r="Y8" s="887">
        <f t="shared" si="1"/>
        <v>0</v>
      </c>
    </row>
    <row r="9" spans="1:25" s="169" customFormat="1">
      <c r="A9" s="177" t="s">
        <v>256</v>
      </c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9"/>
      <c r="S9" s="178"/>
      <c r="X9" s="887">
        <f t="shared" si="0"/>
        <v>0</v>
      </c>
      <c r="Y9" s="887">
        <f t="shared" si="1"/>
        <v>0</v>
      </c>
    </row>
    <row r="10" spans="1:25" s="168" customFormat="1" ht="14.25" customHeight="1">
      <c r="A10" s="608" t="s">
        <v>679</v>
      </c>
      <c r="B10" s="608" t="s">
        <v>429</v>
      </c>
      <c r="C10" s="611">
        <f>SUM(C3:C4,C8)</f>
        <v>932438483</v>
      </c>
      <c r="D10" s="611">
        <f t="shared" ref="D10:V10" si="2">SUM(D3:D4,D8)</f>
        <v>66211757.589999996</v>
      </c>
      <c r="E10" s="611">
        <f t="shared" si="2"/>
        <v>674567</v>
      </c>
      <c r="F10" s="611">
        <f t="shared" si="2"/>
        <v>57853.97</v>
      </c>
      <c r="G10" s="611">
        <f t="shared" si="2"/>
        <v>1541.43314285714</v>
      </c>
      <c r="H10" s="611">
        <f t="shared" si="2"/>
        <v>1960629.3991596601</v>
      </c>
      <c r="I10" s="611">
        <f t="shared" si="2"/>
        <v>1898860.0725727109</v>
      </c>
      <c r="J10" s="611">
        <f t="shared" si="2"/>
        <v>824194.08419023221</v>
      </c>
      <c r="K10" s="611">
        <f t="shared" si="2"/>
        <v>1074665.9883824866</v>
      </c>
      <c r="L10" s="611">
        <f t="shared" si="2"/>
        <v>909425.07079646003</v>
      </c>
      <c r="M10" s="611">
        <f t="shared" si="2"/>
        <v>933113050</v>
      </c>
      <c r="N10" s="611">
        <f t="shared" si="2"/>
        <v>109538111</v>
      </c>
      <c r="O10" s="611">
        <f t="shared" si="2"/>
        <v>256097868</v>
      </c>
      <c r="P10" s="611">
        <f t="shared" si="2"/>
        <v>567477071</v>
      </c>
      <c r="Q10" s="611">
        <f t="shared" si="2"/>
        <v>299329835.01057839</v>
      </c>
      <c r="R10" s="611">
        <f t="shared" si="2"/>
        <v>68205683.229999989</v>
      </c>
      <c r="S10" s="611">
        <f t="shared" si="2"/>
        <v>68205683.135304093</v>
      </c>
      <c r="T10" s="611">
        <f t="shared" si="2"/>
        <v>68205683.135304093</v>
      </c>
      <c r="U10" s="611">
        <f t="shared" si="2"/>
        <v>-1936071.6700000002</v>
      </c>
      <c r="V10" s="611">
        <f t="shared" si="2"/>
        <v>-1932964.49</v>
      </c>
      <c r="X10" s="887">
        <f t="shared" si="0"/>
        <v>-9.4695895910263062E-2</v>
      </c>
      <c r="Y10" s="887">
        <f t="shared" si="1"/>
        <v>3107.1800000001676</v>
      </c>
    </row>
    <row r="11" spans="1:25" s="168" customFormat="1" ht="14.25" customHeight="1">
      <c r="A11" s="609"/>
      <c r="B11" s="609" t="s">
        <v>438</v>
      </c>
      <c r="C11" s="604">
        <f>SUM(C6:C7)</f>
        <v>1011763654</v>
      </c>
      <c r="D11" s="604">
        <f t="shared" ref="D11:V11" si="3">SUM(D6:D7)</f>
        <v>74134098.329999998</v>
      </c>
      <c r="E11" s="604">
        <f t="shared" si="3"/>
        <v>501200</v>
      </c>
      <c r="F11" s="604">
        <f t="shared" si="3"/>
        <v>40272.73000000001</v>
      </c>
      <c r="G11" s="604">
        <f t="shared" si="3"/>
        <v>1250.0664285714299</v>
      </c>
      <c r="H11" s="604">
        <f t="shared" si="3"/>
        <v>2239559.6701680701</v>
      </c>
      <c r="I11" s="604">
        <f t="shared" si="3"/>
        <v>2192560.5690899896</v>
      </c>
      <c r="J11" s="604">
        <f t="shared" si="3"/>
        <v>939735.74871465296</v>
      </c>
      <c r="K11" s="604">
        <f t="shared" si="3"/>
        <v>1252824.8203753377</v>
      </c>
      <c r="L11" s="604">
        <f t="shared" si="3"/>
        <v>954992.93805309699</v>
      </c>
      <c r="M11" s="604">
        <f t="shared" si="3"/>
        <v>1012264854</v>
      </c>
      <c r="N11" s="604">
        <f t="shared" si="3"/>
        <v>122983181</v>
      </c>
      <c r="O11" s="604">
        <f t="shared" si="3"/>
        <v>287770283</v>
      </c>
      <c r="P11" s="604">
        <f t="shared" si="3"/>
        <v>601511390</v>
      </c>
      <c r="Q11" s="604">
        <f t="shared" si="3"/>
        <v>321563427.69164711</v>
      </c>
      <c r="R11" s="604">
        <f t="shared" si="3"/>
        <v>76340199.629999995</v>
      </c>
      <c r="S11" s="604">
        <f t="shared" si="3"/>
        <v>76340199.662186801</v>
      </c>
      <c r="T11" s="604">
        <f t="shared" si="3"/>
        <v>76340199.662186801</v>
      </c>
      <c r="U11" s="604">
        <f t="shared" si="3"/>
        <v>-2165828.5699999998</v>
      </c>
      <c r="V11" s="604">
        <f t="shared" si="3"/>
        <v>-2165050.92</v>
      </c>
      <c r="X11" s="887">
        <f t="shared" si="0"/>
        <v>3.2186806201934814E-2</v>
      </c>
      <c r="Y11" s="887">
        <f t="shared" si="1"/>
        <v>777.64999999990687</v>
      </c>
    </row>
    <row r="12" spans="1:25" s="168" customFormat="1" ht="14.25" customHeight="1">
      <c r="A12" s="610"/>
      <c r="B12" s="610" t="s">
        <v>93</v>
      </c>
      <c r="C12" s="612">
        <f>SUM(C10:C11)</f>
        <v>1944202137</v>
      </c>
      <c r="D12" s="612">
        <f t="shared" ref="D12:V12" si="4">SUM(D10:D11)</f>
        <v>140345855.91999999</v>
      </c>
      <c r="E12" s="612">
        <f t="shared" si="4"/>
        <v>1175767</v>
      </c>
      <c r="F12" s="612">
        <f t="shared" si="4"/>
        <v>98126.700000000012</v>
      </c>
      <c r="G12" s="612">
        <f t="shared" si="4"/>
        <v>2791.4995714285697</v>
      </c>
      <c r="H12" s="612">
        <f t="shared" si="4"/>
        <v>4200189.0693277307</v>
      </c>
      <c r="I12" s="612">
        <f t="shared" si="4"/>
        <v>4091420.6416627006</v>
      </c>
      <c r="J12" s="612">
        <f t="shared" si="4"/>
        <v>1763929.8329048851</v>
      </c>
      <c r="K12" s="612">
        <f t="shared" si="4"/>
        <v>2327490.8087578244</v>
      </c>
      <c r="L12" s="612">
        <f t="shared" si="4"/>
        <v>1864418.008849557</v>
      </c>
      <c r="M12" s="612">
        <f t="shared" si="4"/>
        <v>1945377904</v>
      </c>
      <c r="N12" s="612">
        <f t="shared" si="4"/>
        <v>232521292</v>
      </c>
      <c r="O12" s="612">
        <f t="shared" si="4"/>
        <v>543868151</v>
      </c>
      <c r="P12" s="612">
        <f t="shared" si="4"/>
        <v>1168988461</v>
      </c>
      <c r="Q12" s="612">
        <f t="shared" si="4"/>
        <v>620893262.70222545</v>
      </c>
      <c r="R12" s="612">
        <f t="shared" si="4"/>
        <v>144545882.85999998</v>
      </c>
      <c r="S12" s="612">
        <f t="shared" si="4"/>
        <v>144545882.79749089</v>
      </c>
      <c r="T12" s="612">
        <f t="shared" si="4"/>
        <v>144545882.79749089</v>
      </c>
      <c r="U12" s="612">
        <f t="shared" si="4"/>
        <v>-4101900.24</v>
      </c>
      <c r="V12" s="612">
        <f t="shared" si="4"/>
        <v>-4098015.41</v>
      </c>
      <c r="X12" s="887">
        <f t="shared" si="0"/>
        <v>-6.2509089708328247E-2</v>
      </c>
      <c r="Y12" s="887">
        <f t="shared" si="1"/>
        <v>3884.8300000000745</v>
      </c>
    </row>
    <row r="13" spans="1:25" s="168" customFormat="1" ht="14.25" customHeight="1">
      <c r="A13" s="605" t="s">
        <v>964</v>
      </c>
      <c r="B13" s="608" t="s">
        <v>429</v>
      </c>
      <c r="C13" s="611">
        <f>C5</f>
        <v>57650918</v>
      </c>
      <c r="D13" s="611">
        <f t="shared" ref="D13:V13" si="5">D5</f>
        <v>4355699.9000000004</v>
      </c>
      <c r="E13" s="611">
        <f t="shared" si="5"/>
        <v>-242460</v>
      </c>
      <c r="F13" s="611">
        <f t="shared" si="5"/>
        <v>-12946.04</v>
      </c>
      <c r="G13" s="611">
        <f t="shared" si="5"/>
        <v>135.63328571428599</v>
      </c>
      <c r="H13" s="611">
        <f t="shared" si="5"/>
        <v>137123.266806723</v>
      </c>
      <c r="I13" s="611">
        <f t="shared" si="5"/>
        <v>133416.66500743199</v>
      </c>
      <c r="J13" s="611">
        <f t="shared" si="5"/>
        <v>57339.679305912599</v>
      </c>
      <c r="K13" s="611">
        <f t="shared" si="5"/>
        <v>76076.985701519196</v>
      </c>
      <c r="L13" s="611">
        <f t="shared" si="5"/>
        <v>78554.203539822993</v>
      </c>
      <c r="M13" s="611">
        <f t="shared" si="5"/>
        <v>57408458</v>
      </c>
      <c r="N13" s="611">
        <f t="shared" si="5"/>
        <v>6720882</v>
      </c>
      <c r="O13" s="611">
        <f t="shared" si="5"/>
        <v>16121807</v>
      </c>
      <c r="P13" s="611">
        <f t="shared" si="5"/>
        <v>34565769</v>
      </c>
      <c r="Q13" s="611">
        <f t="shared" si="5"/>
        <v>17733914.828787901</v>
      </c>
      <c r="R13" s="611">
        <f t="shared" si="5"/>
        <v>4468465.47</v>
      </c>
      <c r="S13" s="611">
        <f t="shared" si="5"/>
        <v>4468465.501983</v>
      </c>
      <c r="T13" s="611">
        <f t="shared" si="5"/>
        <v>4468465.501983</v>
      </c>
      <c r="U13" s="611">
        <f t="shared" si="5"/>
        <v>-125711.61</v>
      </c>
      <c r="V13" s="611">
        <f t="shared" si="5"/>
        <v>-127745.08</v>
      </c>
      <c r="X13" s="887">
        <f t="shared" si="0"/>
        <v>3.1983000226318836E-2</v>
      </c>
      <c r="Y13" s="887">
        <f t="shared" si="1"/>
        <v>-2033.4700000000012</v>
      </c>
    </row>
    <row r="14" spans="1:25" s="168" customFormat="1" ht="14.25" customHeight="1">
      <c r="A14" s="606"/>
      <c r="B14" s="609" t="s">
        <v>438</v>
      </c>
      <c r="C14" s="604"/>
      <c r="D14" s="604"/>
      <c r="E14" s="604"/>
      <c r="F14" s="604"/>
      <c r="G14" s="604"/>
      <c r="H14" s="604"/>
      <c r="I14" s="604"/>
      <c r="J14" s="604"/>
      <c r="K14" s="604"/>
      <c r="L14" s="604"/>
      <c r="M14" s="604"/>
      <c r="N14" s="604"/>
      <c r="O14" s="604"/>
      <c r="P14" s="604"/>
      <c r="Q14" s="604"/>
      <c r="R14" s="604"/>
      <c r="S14" s="604"/>
      <c r="T14" s="604"/>
      <c r="U14" s="604"/>
      <c r="V14" s="604"/>
      <c r="X14" s="887">
        <f t="shared" si="0"/>
        <v>0</v>
      </c>
      <c r="Y14" s="887">
        <f t="shared" si="1"/>
        <v>0</v>
      </c>
    </row>
    <row r="15" spans="1:25" s="168" customFormat="1" ht="14.25" customHeight="1">
      <c r="A15" s="607"/>
      <c r="B15" s="610" t="s">
        <v>93</v>
      </c>
      <c r="C15" s="612">
        <f>SUM(C13:C14)</f>
        <v>57650918</v>
      </c>
      <c r="D15" s="612">
        <f t="shared" ref="D15:V15" si="6">SUM(D13:D14)</f>
        <v>4355699.9000000004</v>
      </c>
      <c r="E15" s="612">
        <f t="shared" si="6"/>
        <v>-242460</v>
      </c>
      <c r="F15" s="612">
        <f t="shared" si="6"/>
        <v>-12946.04</v>
      </c>
      <c r="G15" s="612">
        <f t="shared" si="6"/>
        <v>135.63328571428599</v>
      </c>
      <c r="H15" s="612">
        <f t="shared" si="6"/>
        <v>137123.266806723</v>
      </c>
      <c r="I15" s="612">
        <f t="shared" si="6"/>
        <v>133416.66500743199</v>
      </c>
      <c r="J15" s="612">
        <f t="shared" si="6"/>
        <v>57339.679305912599</v>
      </c>
      <c r="K15" s="612">
        <f t="shared" si="6"/>
        <v>76076.985701519196</v>
      </c>
      <c r="L15" s="612">
        <f t="shared" si="6"/>
        <v>78554.203539822993</v>
      </c>
      <c r="M15" s="612">
        <f t="shared" si="6"/>
        <v>57408458</v>
      </c>
      <c r="N15" s="612">
        <f t="shared" si="6"/>
        <v>6720882</v>
      </c>
      <c r="O15" s="612">
        <f t="shared" si="6"/>
        <v>16121807</v>
      </c>
      <c r="P15" s="612">
        <f t="shared" si="6"/>
        <v>34565769</v>
      </c>
      <c r="Q15" s="612">
        <f t="shared" si="6"/>
        <v>17733914.828787901</v>
      </c>
      <c r="R15" s="612">
        <f t="shared" si="6"/>
        <v>4468465.47</v>
      </c>
      <c r="S15" s="612">
        <f t="shared" si="6"/>
        <v>4468465.501983</v>
      </c>
      <c r="T15" s="612">
        <f t="shared" si="6"/>
        <v>4468465.501983</v>
      </c>
      <c r="U15" s="612">
        <f t="shared" si="6"/>
        <v>-125711.61</v>
      </c>
      <c r="V15" s="612">
        <f t="shared" si="6"/>
        <v>-127745.08</v>
      </c>
      <c r="X15" s="887">
        <f t="shared" si="0"/>
        <v>3.1983000226318836E-2</v>
      </c>
      <c r="Y15" s="887">
        <f t="shared" si="1"/>
        <v>-2033.4700000000012</v>
      </c>
    </row>
    <row r="16" spans="1:25" s="168" customFormat="1" ht="14.25" customHeight="1">
      <c r="A16" s="605" t="s">
        <v>1216</v>
      </c>
      <c r="B16" s="608" t="s">
        <v>429</v>
      </c>
      <c r="C16" s="611">
        <f>C2</f>
        <v>1346159</v>
      </c>
      <c r="D16" s="611">
        <f t="shared" ref="D16:V16" si="7">D2</f>
        <v>127011.04</v>
      </c>
      <c r="E16" s="611">
        <f t="shared" si="7"/>
        <v>261933</v>
      </c>
      <c r="F16" s="611">
        <f t="shared" si="7"/>
        <v>9422.8700000000008</v>
      </c>
      <c r="G16" s="611">
        <f t="shared" si="7"/>
        <v>6</v>
      </c>
      <c r="H16" s="611">
        <f t="shared" si="7"/>
        <v>4549.6659663865503</v>
      </c>
      <c r="I16" s="611">
        <f t="shared" si="7"/>
        <v>4434.3332178933197</v>
      </c>
      <c r="J16" s="611">
        <f t="shared" si="7"/>
        <v>2769.6433161953701</v>
      </c>
      <c r="K16" s="611">
        <f t="shared" si="7"/>
        <v>1664.6899016979401</v>
      </c>
      <c r="L16" s="611">
        <f t="shared" si="7"/>
        <v>4434.3274336283203</v>
      </c>
      <c r="M16" s="611">
        <f t="shared" si="7"/>
        <v>1608092</v>
      </c>
      <c r="N16" s="611">
        <f t="shared" si="7"/>
        <v>289713</v>
      </c>
      <c r="O16" s="611">
        <f t="shared" si="7"/>
        <v>383894</v>
      </c>
      <c r="P16" s="611">
        <f t="shared" si="7"/>
        <v>934485</v>
      </c>
      <c r="Q16" s="611">
        <f t="shared" si="7"/>
        <v>608993.48770003906</v>
      </c>
      <c r="R16" s="611">
        <f t="shared" si="7"/>
        <v>140354.51</v>
      </c>
      <c r="S16" s="611">
        <f t="shared" si="7"/>
        <v>140354.51876599999</v>
      </c>
      <c r="T16" s="611">
        <f t="shared" si="7"/>
        <v>140354.51876599999</v>
      </c>
      <c r="U16" s="611">
        <f t="shared" si="7"/>
        <v>-3920.6</v>
      </c>
      <c r="V16" s="611">
        <f t="shared" si="7"/>
        <v>-3611.11</v>
      </c>
      <c r="X16" s="887">
        <f t="shared" ref="X16:X18" si="8">S16-R16</f>
        <v>8.7659999844618142E-3</v>
      </c>
      <c r="Y16" s="887">
        <f t="shared" ref="Y16:Y18" si="9">V16-U16</f>
        <v>309.48999999999978</v>
      </c>
    </row>
    <row r="17" spans="1:25" s="168" customFormat="1" ht="14.25" customHeight="1">
      <c r="A17" s="606"/>
      <c r="B17" s="609" t="s">
        <v>438</v>
      </c>
      <c r="C17" s="604"/>
      <c r="D17" s="604"/>
      <c r="E17" s="604"/>
      <c r="F17" s="604"/>
      <c r="G17" s="604"/>
      <c r="H17" s="604"/>
      <c r="I17" s="604"/>
      <c r="J17" s="604"/>
      <c r="K17" s="604"/>
      <c r="L17" s="604"/>
      <c r="M17" s="604"/>
      <c r="N17" s="604"/>
      <c r="O17" s="604"/>
      <c r="P17" s="604"/>
      <c r="Q17" s="604"/>
      <c r="R17" s="604"/>
      <c r="S17" s="604"/>
      <c r="T17" s="604"/>
      <c r="U17" s="604"/>
      <c r="V17" s="604"/>
      <c r="X17" s="887">
        <f t="shared" si="8"/>
        <v>0</v>
      </c>
      <c r="Y17" s="887">
        <f t="shared" si="9"/>
        <v>0</v>
      </c>
    </row>
    <row r="18" spans="1:25" s="168" customFormat="1" ht="14.25" customHeight="1">
      <c r="A18" s="607"/>
      <c r="B18" s="610" t="s">
        <v>93</v>
      </c>
      <c r="C18" s="612">
        <f>SUM(C16:C17)</f>
        <v>1346159</v>
      </c>
      <c r="D18" s="612">
        <f t="shared" ref="D18:V18" si="10">SUM(D16:D17)</f>
        <v>127011.04</v>
      </c>
      <c r="E18" s="612">
        <f t="shared" si="10"/>
        <v>261933</v>
      </c>
      <c r="F18" s="612">
        <f t="shared" si="10"/>
        <v>9422.8700000000008</v>
      </c>
      <c r="G18" s="612">
        <f t="shared" si="10"/>
        <v>6</v>
      </c>
      <c r="H18" s="612">
        <f t="shared" si="10"/>
        <v>4549.6659663865503</v>
      </c>
      <c r="I18" s="612">
        <f t="shared" si="10"/>
        <v>4434.3332178933197</v>
      </c>
      <c r="J18" s="612">
        <f t="shared" si="10"/>
        <v>2769.6433161953701</v>
      </c>
      <c r="K18" s="612">
        <f t="shared" si="10"/>
        <v>1664.6899016979401</v>
      </c>
      <c r="L18" s="612">
        <f t="shared" si="10"/>
        <v>4434.3274336283203</v>
      </c>
      <c r="M18" s="612">
        <f t="shared" si="10"/>
        <v>1608092</v>
      </c>
      <c r="N18" s="612">
        <f t="shared" si="10"/>
        <v>289713</v>
      </c>
      <c r="O18" s="612">
        <f t="shared" si="10"/>
        <v>383894</v>
      </c>
      <c r="P18" s="612">
        <f t="shared" si="10"/>
        <v>934485</v>
      </c>
      <c r="Q18" s="612">
        <f t="shared" si="10"/>
        <v>608993.48770003906</v>
      </c>
      <c r="R18" s="612">
        <f t="shared" si="10"/>
        <v>140354.51</v>
      </c>
      <c r="S18" s="612">
        <f t="shared" si="10"/>
        <v>140354.51876599999</v>
      </c>
      <c r="T18" s="612">
        <f t="shared" si="10"/>
        <v>140354.51876599999</v>
      </c>
      <c r="U18" s="612">
        <f t="shared" si="10"/>
        <v>-3920.6</v>
      </c>
      <c r="V18" s="612">
        <f t="shared" si="10"/>
        <v>-3611.11</v>
      </c>
      <c r="X18" s="887">
        <f t="shared" si="8"/>
        <v>8.7659999844618142E-3</v>
      </c>
      <c r="Y18" s="887">
        <f t="shared" si="9"/>
        <v>309.48999999999978</v>
      </c>
    </row>
    <row r="20" spans="1:25">
      <c r="A20" s="222" t="s">
        <v>463</v>
      </c>
      <c r="B20" s="223"/>
      <c r="C20" s="224">
        <f>C12+C15+C18-SUM(C2:C8)</f>
        <v>0</v>
      </c>
      <c r="D20" s="224">
        <f t="shared" ref="D20:V20" si="11">D12+D15+D18-SUM(D2:D8)</f>
        <v>0</v>
      </c>
      <c r="E20" s="224">
        <f t="shared" si="11"/>
        <v>0</v>
      </c>
      <c r="F20" s="224">
        <f t="shared" si="11"/>
        <v>0</v>
      </c>
      <c r="G20" s="224">
        <f t="shared" si="11"/>
        <v>0</v>
      </c>
      <c r="H20" s="224">
        <f t="shared" si="11"/>
        <v>0</v>
      </c>
      <c r="I20" s="224">
        <f t="shared" si="11"/>
        <v>0</v>
      </c>
      <c r="J20" s="224">
        <f t="shared" si="11"/>
        <v>0</v>
      </c>
      <c r="K20" s="224">
        <f t="shared" si="11"/>
        <v>0</v>
      </c>
      <c r="L20" s="224">
        <f t="shared" si="11"/>
        <v>0</v>
      </c>
      <c r="M20" s="224">
        <f t="shared" si="11"/>
        <v>0</v>
      </c>
      <c r="N20" s="224">
        <f t="shared" si="11"/>
        <v>0</v>
      </c>
      <c r="O20" s="224">
        <f t="shared" si="11"/>
        <v>0</v>
      </c>
      <c r="P20" s="224">
        <f t="shared" si="11"/>
        <v>0</v>
      </c>
      <c r="Q20" s="224">
        <f t="shared" si="11"/>
        <v>0</v>
      </c>
      <c r="R20" s="224">
        <f t="shared" si="11"/>
        <v>0</v>
      </c>
      <c r="S20" s="224">
        <f t="shared" si="11"/>
        <v>0</v>
      </c>
      <c r="T20" s="224">
        <f t="shared" si="11"/>
        <v>0</v>
      </c>
      <c r="U20" s="224">
        <f t="shared" si="11"/>
        <v>0</v>
      </c>
      <c r="V20" s="224">
        <f t="shared" si="11"/>
        <v>0</v>
      </c>
    </row>
    <row r="21" spans="1:25">
      <c r="F21" s="142"/>
    </row>
    <row r="22" spans="1:25">
      <c r="F22" s="142"/>
      <c r="L22" s="527"/>
      <c r="M22" s="684"/>
      <c r="N22" s="685" t="s">
        <v>79</v>
      </c>
      <c r="O22" s="685" t="s">
        <v>80</v>
      </c>
      <c r="P22" s="644" t="s">
        <v>38</v>
      </c>
      <c r="Q22" s="645">
        <f>Q12/P12</f>
        <v>0.53113720401575926</v>
      </c>
      <c r="R22" s="659" t="s">
        <v>418</v>
      </c>
      <c r="S22" s="660">
        <f>TempRev!I347*(1-TempRev!Y15)</f>
        <v>36794.204677999995</v>
      </c>
    </row>
    <row r="23" spans="1:25">
      <c r="L23" s="527"/>
      <c r="M23" s="686" t="s">
        <v>901</v>
      </c>
      <c r="N23" s="687">
        <f>N10/(N10+Q10)</f>
        <v>0.26790584116164973</v>
      </c>
      <c r="O23" s="687">
        <f>O10/(O10+(P10-Q10))</f>
        <v>0.48850788696191166</v>
      </c>
      <c r="P23" s="646" t="s">
        <v>39</v>
      </c>
      <c r="Q23" s="642">
        <f>1-Q22</f>
        <v>0.46886279598424074</v>
      </c>
      <c r="R23" s="661" t="s">
        <v>136</v>
      </c>
      <c r="S23" s="662">
        <f>'Blocking-Step2'!H1391+'Blocking-Step2'!H1453+'Blocking-Step2'!H1473</f>
        <v>-709912</v>
      </c>
      <c r="U23" s="858" t="s">
        <v>1241</v>
      </c>
    </row>
    <row r="24" spans="1:25">
      <c r="L24" s="527"/>
      <c r="M24" s="688" t="s">
        <v>902</v>
      </c>
      <c r="N24" s="689">
        <f>N11/(N11+Q11)</f>
        <v>0.2766485641673298</v>
      </c>
      <c r="O24" s="689">
        <f>O11/(O11+(P11-Q11))</f>
        <v>0.50688926307749582</v>
      </c>
      <c r="P24" s="646" t="s">
        <v>504</v>
      </c>
      <c r="Q24" s="642">
        <f>(N12+O12)/M12</f>
        <v>0.39909440803435792</v>
      </c>
      <c r="R24" s="661" t="s">
        <v>411</v>
      </c>
      <c r="S24" s="662">
        <f>'Blocking-Step2'!H1394+'Blocking-Step2'!H1456+'Blocking-Step2'!H1476</f>
        <v>144331098.3276</v>
      </c>
      <c r="U24" s="857">
        <f>'Blocking-Step2'!H1392+'Blocking-Step2'!H1454+'Blocking-Step2'!H1474</f>
        <v>-4150520.6724000005</v>
      </c>
    </row>
    <row r="25" spans="1:25">
      <c r="P25" s="647" t="s">
        <v>503</v>
      </c>
      <c r="Q25" s="643">
        <f>1-Q24</f>
        <v>0.60090559196564208</v>
      </c>
      <c r="R25" s="663" t="s">
        <v>498</v>
      </c>
      <c r="S25" s="664">
        <f>S24-S12-S15-S18-S22-S23-U24</f>
        <v>33.977082108147442</v>
      </c>
    </row>
    <row r="26" spans="1:25">
      <c r="L26" s="656"/>
      <c r="M26" s="650" t="s">
        <v>1562</v>
      </c>
    </row>
    <row r="27" spans="1:25">
      <c r="L27" s="657" t="s">
        <v>698</v>
      </c>
      <c r="M27" s="636"/>
    </row>
    <row r="28" spans="1:25">
      <c r="L28" s="658" t="s">
        <v>699</v>
      </c>
      <c r="M28" s="638">
        <f>M13/(M10+M13+M16)</f>
        <v>5.7863869800880853E-2</v>
      </c>
    </row>
    <row r="29" spans="1:25">
      <c r="L29" s="137" t="s">
        <v>1302</v>
      </c>
      <c r="M29" s="638">
        <f>M16/(M10+M13+M16)</f>
        <v>1.6208487278274934E-3</v>
      </c>
    </row>
  </sheetData>
  <phoneticPr fontId="8" type="noConversion"/>
  <printOptions horizontalCentered="1"/>
  <pageMargins left="0" right="0" top="1.8220000000000001" bottom="1.544" header="1" footer="1"/>
  <pageSetup scale="52" orientation="landscape" r:id="rId1"/>
  <headerFooter alignWithMargins="0">
    <oddHeader>&amp;L&amp;C&amp;B&amp;"Times New Roman"&amp;14Utah Schedule 8 Billing Determinants
12 Months Ending September 2005&amp;R&amp;"Arial"&amp;8Date: 12/27/2005</oddHeader>
    <oddFooter>&amp;L&amp;C&amp;"Arial"&amp;10Page &amp;P&amp;R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FF00"/>
    <pageSetUpPr fitToPage="1"/>
  </sheetPr>
  <dimension ref="A1:AJ2683"/>
  <sheetViews>
    <sheetView view="pageBreakPreview" topLeftCell="A7" zoomScale="90" zoomScaleNormal="90" zoomScaleSheetLayoutView="90" workbookViewId="0">
      <pane xSplit="1" ySplit="3" topLeftCell="B10" activePane="bottomRight" state="frozen"/>
      <selection activeCell="O24" sqref="O24"/>
      <selection pane="topRight" activeCell="O24" sqref="O24"/>
      <selection pane="bottomLeft" activeCell="O24" sqref="O24"/>
      <selection pane="bottomRight" activeCell="B10" sqref="B10"/>
    </sheetView>
  </sheetViews>
  <sheetFormatPr defaultColWidth="9" defaultRowHeight="15.75"/>
  <cols>
    <col min="1" max="1" width="33.125" style="1869" customWidth="1"/>
    <col min="2" max="2" width="1.75" style="1869" customWidth="1"/>
    <col min="3" max="4" width="14.875" style="1630" customWidth="1"/>
    <col min="5" max="5" width="1.75" style="596" customWidth="1"/>
    <col min="6" max="6" width="8.125" style="1869" customWidth="1"/>
    <col min="7" max="7" width="1.75" style="596" customWidth="1"/>
    <col min="8" max="9" width="14.875" style="1638" customWidth="1"/>
    <col min="10" max="10" width="1.75" style="596" customWidth="1"/>
    <col min="11" max="11" width="8.125" style="1869" bestFit="1" customWidth="1"/>
    <col min="12" max="12" width="1.75" style="596" customWidth="1"/>
    <col min="13" max="13" width="12.25" style="1869" bestFit="1" customWidth="1"/>
    <col min="14" max="14" width="1.75" style="596" customWidth="1"/>
    <col min="15" max="15" width="15.25" style="1869" bestFit="1" customWidth="1"/>
    <col min="16" max="16" width="1.75" style="596" customWidth="1"/>
    <col min="17" max="17" width="12.25" style="1869" customWidth="1"/>
    <col min="18" max="18" width="1.75" style="596" customWidth="1"/>
    <col min="19" max="19" width="14.875" style="1637" customWidth="1"/>
    <col min="20" max="20" width="1.75" style="1637" customWidth="1"/>
    <col min="21" max="21" width="14.875" style="1637" customWidth="1"/>
    <col min="22" max="22" width="1.75" style="1637" customWidth="1"/>
    <col min="23" max="23" width="14.875" style="1637" customWidth="1"/>
    <col min="24" max="24" width="1.75" style="1637" customWidth="1"/>
    <col min="25" max="25" width="14.875" style="1638" customWidth="1"/>
    <col min="26" max="26" width="7.375" style="1878" bestFit="1" customWidth="1"/>
    <col min="27" max="27" width="21.125" style="1869" customWidth="1"/>
    <col min="28" max="29" width="15" style="1869" bestFit="1" customWidth="1"/>
    <col min="30" max="30" width="11.75" style="1869" customWidth="1"/>
    <col min="31" max="31" width="12.625" style="1869" customWidth="1"/>
    <col min="32" max="32" width="11.75" style="1869" customWidth="1"/>
    <col min="33" max="16384" width="9" style="1869"/>
  </cols>
  <sheetData>
    <row r="1" spans="1:36" ht="18.75">
      <c r="A1" s="1879" t="s">
        <v>497</v>
      </c>
      <c r="B1" s="1880"/>
      <c r="C1" s="1881"/>
      <c r="D1" s="1881"/>
      <c r="E1" s="1882"/>
      <c r="F1" s="1880"/>
      <c r="G1" s="1882"/>
      <c r="H1" s="1636"/>
      <c r="I1" s="1636"/>
      <c r="J1" s="1882"/>
      <c r="K1" s="1880"/>
      <c r="L1" s="1882"/>
      <c r="M1" s="1880"/>
      <c r="N1" s="1882"/>
      <c r="O1" s="1880"/>
      <c r="P1" s="1882"/>
      <c r="Q1" s="1880"/>
      <c r="R1" s="1882"/>
      <c r="S1" s="1635"/>
      <c r="T1" s="1635"/>
      <c r="U1" s="1635"/>
      <c r="V1" s="1635"/>
      <c r="W1" s="1635"/>
      <c r="X1" s="1635"/>
      <c r="Y1" s="1636"/>
    </row>
    <row r="2" spans="1:36" ht="18.75">
      <c r="A2" s="1879" t="s">
        <v>570</v>
      </c>
      <c r="B2" s="1880"/>
      <c r="C2" s="1881"/>
      <c r="D2" s="1881"/>
      <c r="E2" s="1882"/>
      <c r="F2" s="1880"/>
      <c r="G2" s="1882"/>
      <c r="H2" s="1636"/>
      <c r="I2" s="1636"/>
      <c r="J2" s="1882"/>
      <c r="K2" s="1880"/>
      <c r="L2" s="1882"/>
      <c r="M2" s="1880"/>
      <c r="N2" s="1882"/>
      <c r="O2" s="1880"/>
      <c r="P2" s="1882"/>
      <c r="Q2" s="1880"/>
      <c r="R2" s="1882"/>
      <c r="S2" s="1635"/>
      <c r="T2" s="1635"/>
      <c r="U2" s="1635"/>
      <c r="V2" s="1635"/>
      <c r="W2" s="1635"/>
      <c r="X2" s="1635"/>
      <c r="Y2" s="1636"/>
    </row>
    <row r="3" spans="1:36" ht="18.75">
      <c r="A3" s="1879" t="str">
        <f>'Test Period'!B2</f>
        <v>Base Period 12 Months Ending December 2019</v>
      </c>
      <c r="B3" s="1880"/>
      <c r="C3" s="1881"/>
      <c r="D3" s="1881"/>
      <c r="E3" s="1882"/>
      <c r="F3" s="1880"/>
      <c r="G3" s="1882"/>
      <c r="H3" s="1636"/>
      <c r="I3" s="1636"/>
      <c r="J3" s="1882"/>
      <c r="K3" s="1880"/>
      <c r="L3" s="1882"/>
      <c r="M3" s="1880"/>
      <c r="N3" s="1882"/>
      <c r="O3" s="1880"/>
      <c r="P3" s="1882"/>
      <c r="Q3" s="1880"/>
      <c r="R3" s="1882"/>
      <c r="S3" s="1635"/>
      <c r="T3" s="1635"/>
      <c r="U3" s="1635"/>
      <c r="V3" s="1635"/>
      <c r="W3" s="1635"/>
      <c r="X3" s="1635"/>
      <c r="Y3" s="1636"/>
    </row>
    <row r="4" spans="1:36" ht="18.75">
      <c r="A4" s="1879" t="str">
        <f>'Test Period'!B3</f>
        <v>Forecast Period 12 Months Ending December 2021</v>
      </c>
      <c r="B4" s="1880"/>
      <c r="C4" s="1881"/>
      <c r="D4" s="1881"/>
      <c r="E4" s="1882"/>
      <c r="F4" s="1880"/>
      <c r="G4" s="1882"/>
      <c r="H4" s="1636"/>
      <c r="I4" s="1636"/>
      <c r="J4" s="1882"/>
      <c r="K4" s="1880"/>
      <c r="L4" s="1882"/>
      <c r="M4" s="1880"/>
      <c r="N4" s="1882"/>
      <c r="O4" s="1880"/>
      <c r="P4" s="1882"/>
      <c r="Q4" s="1880"/>
      <c r="R4" s="1882"/>
      <c r="S4" s="1635"/>
      <c r="T4" s="1635"/>
      <c r="U4" s="1635"/>
      <c r="V4" s="1635"/>
      <c r="W4" s="1635"/>
      <c r="X4" s="1635"/>
      <c r="Y4" s="1636"/>
    </row>
    <row r="5" spans="1:36">
      <c r="C5" s="528"/>
      <c r="D5" s="528"/>
    </row>
    <row r="6" spans="1:36">
      <c r="C6" s="528"/>
      <c r="D6" s="528"/>
    </row>
    <row r="7" spans="1:36">
      <c r="C7" s="1883"/>
      <c r="D7" s="1883"/>
      <c r="F7" s="1884" t="s">
        <v>200</v>
      </c>
      <c r="G7" s="1884"/>
      <c r="H7" s="1639"/>
      <c r="I7" s="1639"/>
      <c r="K7" s="1884" t="s">
        <v>2328</v>
      </c>
      <c r="L7" s="1884"/>
      <c r="M7" s="1884"/>
      <c r="N7" s="1884"/>
      <c r="O7" s="1884"/>
      <c r="P7" s="1884"/>
      <c r="Q7" s="1884"/>
      <c r="R7" s="1884"/>
      <c r="S7" s="1639"/>
      <c r="T7" s="1639"/>
      <c r="U7" s="1639"/>
      <c r="V7" s="1639"/>
      <c r="W7" s="1639"/>
      <c r="X7" s="1639"/>
      <c r="Y7" s="1639"/>
    </row>
    <row r="8" spans="1:36">
      <c r="C8" s="1885" t="s">
        <v>1365</v>
      </c>
      <c r="D8" s="1885"/>
      <c r="F8" s="1886"/>
      <c r="G8" s="1887"/>
      <c r="H8" s="1640" t="s">
        <v>135</v>
      </c>
      <c r="I8" s="1640"/>
      <c r="K8" s="1888" t="s">
        <v>99</v>
      </c>
      <c r="L8" s="1888"/>
      <c r="M8" s="1888"/>
      <c r="N8" s="1888"/>
      <c r="O8" s="1888"/>
      <c r="P8" s="1888"/>
      <c r="Q8" s="1889"/>
      <c r="R8" s="2012"/>
      <c r="S8" s="1640" t="s">
        <v>1932</v>
      </c>
      <c r="T8" s="1640"/>
      <c r="U8" s="1640"/>
      <c r="V8" s="1640"/>
      <c r="W8" s="1640"/>
      <c r="X8" s="1640"/>
      <c r="Y8" s="1640"/>
      <c r="AA8" s="1890" t="s">
        <v>1740</v>
      </c>
      <c r="AB8" s="1104">
        <v>12</v>
      </c>
    </row>
    <row r="9" spans="1:36">
      <c r="C9" s="1891" t="s">
        <v>1366</v>
      </c>
      <c r="D9" s="1891" t="s">
        <v>445</v>
      </c>
      <c r="F9" s="1892" t="s">
        <v>99</v>
      </c>
      <c r="G9" s="1887"/>
      <c r="H9" s="1893" t="s">
        <v>1366</v>
      </c>
      <c r="I9" s="1893" t="s">
        <v>445</v>
      </c>
      <c r="K9" s="1894" t="s">
        <v>1660</v>
      </c>
      <c r="L9" s="1887"/>
      <c r="M9" s="1892" t="s">
        <v>1661</v>
      </c>
      <c r="N9" s="1887"/>
      <c r="O9" s="1892" t="s">
        <v>1662</v>
      </c>
      <c r="P9" s="1887"/>
      <c r="Q9" s="1892" t="s">
        <v>93</v>
      </c>
      <c r="R9" s="1887"/>
      <c r="S9" s="1641" t="s">
        <v>1660</v>
      </c>
      <c r="T9" s="1642"/>
      <c r="U9" s="1641" t="s">
        <v>1661</v>
      </c>
      <c r="V9" s="1642"/>
      <c r="W9" s="1641" t="s">
        <v>1662</v>
      </c>
      <c r="X9" s="1642"/>
      <c r="Y9" s="1641" t="s">
        <v>93</v>
      </c>
      <c r="AA9" s="1895"/>
      <c r="AB9" s="1896"/>
      <c r="AI9" s="1869" t="s">
        <v>2346</v>
      </c>
    </row>
    <row r="10" spans="1:36">
      <c r="A10" s="1897" t="s">
        <v>548</v>
      </c>
      <c r="C10" s="528"/>
      <c r="D10" s="528"/>
      <c r="AA10" s="1898" t="s">
        <v>1848</v>
      </c>
      <c r="AB10" s="1899"/>
      <c r="AI10" s="1869" t="s">
        <v>2348</v>
      </c>
      <c r="AJ10" s="1869" t="s">
        <v>2347</v>
      </c>
    </row>
    <row r="11" spans="1:36">
      <c r="A11" s="1900" t="s">
        <v>685</v>
      </c>
      <c r="C11" s="528">
        <f>'123'!F15</f>
        <v>9213599.1333350316</v>
      </c>
      <c r="D11" s="528">
        <f>Bill!P7</f>
        <v>9344849.0845141169</v>
      </c>
      <c r="F11" s="1901"/>
      <c r="G11" s="1902"/>
      <c r="H11" s="1644"/>
      <c r="I11" s="1644"/>
      <c r="K11" s="1901"/>
      <c r="L11" s="1902"/>
      <c r="M11" s="1901"/>
      <c r="N11" s="1902"/>
      <c r="O11" s="1901"/>
      <c r="P11" s="1902"/>
      <c r="Q11" s="1901"/>
      <c r="R11" s="1902"/>
      <c r="S11" s="1643"/>
      <c r="T11" s="1643"/>
      <c r="U11" s="1643"/>
      <c r="V11" s="1643"/>
      <c r="W11" s="1643"/>
      <c r="X11" s="1643"/>
      <c r="Y11" s="1644"/>
      <c r="AA11" s="1903" t="s">
        <v>1741</v>
      </c>
      <c r="AB11" s="1904">
        <f>Y45+Y82+Y111+Y148+Y185+Y222</f>
        <v>770144171</v>
      </c>
      <c r="AI11" s="2023">
        <f>W11-'Blocking-Step2'!W11</f>
        <v>0</v>
      </c>
      <c r="AJ11" s="2054">
        <f>O11-'Blocking-Step2'!O11</f>
        <v>0</v>
      </c>
    </row>
    <row r="12" spans="1:36">
      <c r="A12" s="1900" t="s">
        <v>683</v>
      </c>
      <c r="C12" s="528">
        <f>'123'!G15</f>
        <v>9198276.8000017013</v>
      </c>
      <c r="D12" s="528">
        <f>ROUND(C12/$C$11*$D$11,0)</f>
        <v>9329308</v>
      </c>
      <c r="F12" s="1901">
        <v>6</v>
      </c>
      <c r="G12" s="1902"/>
      <c r="H12" s="1644">
        <f t="shared" ref="H12:I26" si="0">ROUND($F12*C12,0)</f>
        <v>55189661</v>
      </c>
      <c r="I12" s="1644">
        <f t="shared" si="0"/>
        <v>55975848</v>
      </c>
      <c r="K12" s="1901"/>
      <c r="L12" s="1902"/>
      <c r="M12" s="1901"/>
      <c r="N12" s="1902"/>
      <c r="O12" s="1901"/>
      <c r="P12" s="1902"/>
      <c r="Q12" s="1901"/>
      <c r="R12" s="1902"/>
      <c r="S12" s="1643"/>
      <c r="T12" s="1643"/>
      <c r="U12" s="1643"/>
      <c r="V12" s="1643"/>
      <c r="W12" s="1643"/>
      <c r="X12" s="1643"/>
      <c r="Y12" s="1644"/>
      <c r="AA12" s="1905" t="s">
        <v>1742</v>
      </c>
      <c r="AB12" s="1906">
        <f>'Blocking-Step2'!AB12*RateSpread!$Q$87</f>
        <v>770144172.2013042</v>
      </c>
      <c r="AI12" s="2023">
        <f>W12-'Blocking-Step2'!W12</f>
        <v>0</v>
      </c>
      <c r="AJ12" s="2054">
        <f>O12-'Blocking-Step2'!O12</f>
        <v>0</v>
      </c>
    </row>
    <row r="13" spans="1:36">
      <c r="A13" s="1900" t="s">
        <v>1581</v>
      </c>
      <c r="C13" s="528">
        <f>C12-C14</f>
        <v>7040550.9333351729</v>
      </c>
      <c r="D13" s="528">
        <f>D12-D14</f>
        <v>7140845</v>
      </c>
      <c r="F13" s="1901"/>
      <c r="G13" s="1902"/>
      <c r="H13" s="1644"/>
      <c r="I13" s="1644"/>
      <c r="K13" s="1907">
        <f>Q13</f>
        <v>10</v>
      </c>
      <c r="L13" s="1110"/>
      <c r="M13" s="1907"/>
      <c r="N13" s="1110"/>
      <c r="O13" s="1907"/>
      <c r="P13" s="1902"/>
      <c r="Q13" s="1901">
        <f>'Blocking-Step2'!Q13</f>
        <v>10</v>
      </c>
      <c r="R13" s="1902"/>
      <c r="S13" s="1146">
        <f>MIN($S$45-$S$41,Y13)</f>
        <v>71408450</v>
      </c>
      <c r="T13" s="1629"/>
      <c r="U13" s="1146"/>
      <c r="V13" s="1629"/>
      <c r="W13" s="1146"/>
      <c r="X13" s="1643"/>
      <c r="Y13" s="1644">
        <f>ROUND($D13*Q13,0)</f>
        <v>71408450</v>
      </c>
      <c r="AA13" s="1908" t="s">
        <v>87</v>
      </c>
      <c r="AB13" s="1909">
        <f>AB12-AB11</f>
        <v>1.2013041973114014</v>
      </c>
      <c r="AI13" s="2023">
        <f>W13-'Blocking-Step2'!W13</f>
        <v>0</v>
      </c>
      <c r="AJ13" s="2054">
        <f>O13-'Blocking-Step2'!O13</f>
        <v>0</v>
      </c>
    </row>
    <row r="14" spans="1:36">
      <c r="A14" s="1900" t="s">
        <v>1582</v>
      </c>
      <c r="C14" s="528">
        <f>'123'!AN15</f>
        <v>2157725.8666665284</v>
      </c>
      <c r="D14" s="528">
        <f>ROUND(C14/C12*D12,0)</f>
        <v>2188463</v>
      </c>
      <c r="F14" s="1901"/>
      <c r="G14" s="1902"/>
      <c r="H14" s="1644"/>
      <c r="I14" s="1644"/>
      <c r="K14" s="1907">
        <f>Q14</f>
        <v>6</v>
      </c>
      <c r="L14" s="1110"/>
      <c r="M14" s="1907"/>
      <c r="N14" s="1110"/>
      <c r="O14" s="1907"/>
      <c r="P14" s="1902"/>
      <c r="Q14" s="1901">
        <f>'Blocking-Step2'!Q14</f>
        <v>6</v>
      </c>
      <c r="R14" s="1902"/>
      <c r="S14" s="1146">
        <f>MIN($S$45-$S$41-$S$13,Y14)</f>
        <v>13130778</v>
      </c>
      <c r="T14" s="1629"/>
      <c r="U14" s="1146"/>
      <c r="V14" s="1629"/>
      <c r="W14" s="1146"/>
      <c r="X14" s="1643"/>
      <c r="Y14" s="1644">
        <f>ROUND($D14*Q14,0)</f>
        <v>13130778</v>
      </c>
      <c r="AA14" s="1104"/>
      <c r="AB14" s="1497"/>
      <c r="AI14" s="2023">
        <f>W14-'Blocking-Step2'!W14</f>
        <v>0</v>
      </c>
      <c r="AJ14" s="2054">
        <f>O14-'Blocking-Step2'!O14</f>
        <v>0</v>
      </c>
    </row>
    <row r="15" spans="1:36">
      <c r="A15" s="1900" t="s">
        <v>684</v>
      </c>
      <c r="C15" s="528">
        <f>'123'!H15</f>
        <v>15322.33333333333</v>
      </c>
      <c r="D15" s="528">
        <f>D11-D12</f>
        <v>15541.084514116868</v>
      </c>
      <c r="F15" s="1901">
        <v>12</v>
      </c>
      <c r="G15" s="1902"/>
      <c r="H15" s="1644">
        <f t="shared" si="0"/>
        <v>183868</v>
      </c>
      <c r="I15" s="1644">
        <f t="shared" si="0"/>
        <v>186493</v>
      </c>
      <c r="K15" s="1907"/>
      <c r="L15" s="1110"/>
      <c r="M15" s="1907"/>
      <c r="N15" s="1110"/>
      <c r="O15" s="1907"/>
      <c r="P15" s="1902"/>
      <c r="Q15" s="1901"/>
      <c r="R15" s="1902"/>
      <c r="S15" s="1629"/>
      <c r="T15" s="1629"/>
      <c r="U15" s="1629"/>
      <c r="V15" s="1629"/>
      <c r="W15" s="1629"/>
      <c r="X15" s="1643"/>
      <c r="Y15" s="1644"/>
      <c r="AA15" s="1903" t="s">
        <v>1743</v>
      </c>
      <c r="AB15" s="1910">
        <f>AB11/(I45+I82+I111+I148+I185+I222)-1</f>
        <v>5.4090815277731075E-2</v>
      </c>
      <c r="AI15" s="2023">
        <f>W15-'Blocking-Step2'!W15</f>
        <v>0</v>
      </c>
      <c r="AJ15" s="2054">
        <f>O15-'Blocking-Step2'!O15</f>
        <v>0</v>
      </c>
    </row>
    <row r="16" spans="1:36">
      <c r="A16" s="1900" t="s">
        <v>1581</v>
      </c>
      <c r="C16" s="528">
        <f>C15-C17</f>
        <v>3278.3999999999996</v>
      </c>
      <c r="D16" s="528">
        <f>D15-D17</f>
        <v>3325.0845141168684</v>
      </c>
      <c r="F16" s="1901"/>
      <c r="G16" s="1902"/>
      <c r="H16" s="1644"/>
      <c r="I16" s="1644"/>
      <c r="K16" s="1907">
        <f t="shared" ref="K16:K19" si="1">Q16</f>
        <v>20</v>
      </c>
      <c r="L16" s="1110"/>
      <c r="M16" s="1907"/>
      <c r="N16" s="1110"/>
      <c r="O16" s="1907"/>
      <c r="P16" s="1902"/>
      <c r="Q16" s="1901">
        <f>'Blocking-Step2'!Q16</f>
        <v>20</v>
      </c>
      <c r="R16" s="1902"/>
      <c r="S16" s="1146">
        <f>MIN($S$45-$S$41-$S$13-$S$14,Y16)</f>
        <v>66502</v>
      </c>
      <c r="T16" s="1629"/>
      <c r="U16" s="1146"/>
      <c r="V16" s="1629"/>
      <c r="W16" s="1146"/>
      <c r="X16" s="1643"/>
      <c r="Y16" s="1644">
        <f t="shared" ref="Y16:Y19" si="2">ROUND($D16*Q16,0)</f>
        <v>66502</v>
      </c>
      <c r="AA16" s="1905" t="s">
        <v>1744</v>
      </c>
      <c r="AB16" s="1911">
        <f>AB12/(I45+I82+I111+I148+I185+I222)-1</f>
        <v>5.4090816921947615E-2</v>
      </c>
      <c r="AI16" s="2023">
        <f>W16-'Blocking-Step2'!W16</f>
        <v>0</v>
      </c>
      <c r="AJ16" s="2054">
        <f>O16-'Blocking-Step2'!O16</f>
        <v>0</v>
      </c>
    </row>
    <row r="17" spans="1:36">
      <c r="A17" s="1900" t="s">
        <v>1582</v>
      </c>
      <c r="C17" s="528">
        <f>'123'!AO15</f>
        <v>12043.933333333331</v>
      </c>
      <c r="D17" s="528">
        <f>ROUND(C17/C15*D15,0)</f>
        <v>12216</v>
      </c>
      <c r="F17" s="1901"/>
      <c r="G17" s="1902"/>
      <c r="H17" s="1644"/>
      <c r="I17" s="1644"/>
      <c r="K17" s="1907">
        <f t="shared" si="1"/>
        <v>12</v>
      </c>
      <c r="L17" s="1110"/>
      <c r="M17" s="1907"/>
      <c r="N17" s="1110"/>
      <c r="O17" s="1907"/>
      <c r="P17" s="1902"/>
      <c r="Q17" s="1901">
        <f>'Blocking-Step2'!Q17</f>
        <v>12</v>
      </c>
      <c r="R17" s="1902"/>
      <c r="S17" s="1146">
        <f>MIN($S$45-$S$41-$S$13-$S$14-$S$16,Y17)</f>
        <v>146592</v>
      </c>
      <c r="T17" s="1629"/>
      <c r="U17" s="1146"/>
      <c r="V17" s="1629"/>
      <c r="W17" s="1146"/>
      <c r="X17" s="1643"/>
      <c r="Y17" s="1644">
        <f t="shared" si="2"/>
        <v>146592</v>
      </c>
      <c r="AA17" s="1905" t="s">
        <v>1745</v>
      </c>
      <c r="AB17" s="1912">
        <f>(AB12-SUM(Y13:Y28,Y41:Y42,Y50:Y65,Y78:Y79,Y87:Y93,Y107:Y108,Y116:Y131,Y144:Y145,Y153:Y168,Y181:Y182,Y190:Y205,Y218:Y219))/SUM(I36:I40,I73:I77,I102:I106,I139:I143,I176:I180,I213:I217)-1</f>
        <v>-2.6712528451209749E-2</v>
      </c>
      <c r="AI17" s="2023">
        <f>W17-'Blocking-Step2'!W17</f>
        <v>0</v>
      </c>
      <c r="AJ17" s="2054">
        <f>O17-'Blocking-Step2'!O17</f>
        <v>0</v>
      </c>
    </row>
    <row r="18" spans="1:36">
      <c r="A18" s="1900" t="s">
        <v>1236</v>
      </c>
      <c r="C18" s="528">
        <f>'123'!AE15</f>
        <v>0</v>
      </c>
      <c r="D18" s="528">
        <f t="shared" ref="D18:D23" si="3">ROUND(C18/$C$11*$D$11,0)</f>
        <v>0</v>
      </c>
      <c r="F18" s="1901">
        <v>2</v>
      </c>
      <c r="G18" s="1902"/>
      <c r="H18" s="1644">
        <f t="shared" si="0"/>
        <v>0</v>
      </c>
      <c r="I18" s="1644">
        <f t="shared" si="0"/>
        <v>0</v>
      </c>
      <c r="K18" s="1907">
        <f t="shared" si="1"/>
        <v>2</v>
      </c>
      <c r="L18" s="1110"/>
      <c r="M18" s="1907"/>
      <c r="N18" s="1110"/>
      <c r="O18" s="1907"/>
      <c r="P18" s="1902"/>
      <c r="Q18" s="1901">
        <f>'Blocking-Step2'!Q18</f>
        <v>2</v>
      </c>
      <c r="R18" s="1902"/>
      <c r="S18" s="1146">
        <f>MIN($S$45-$S$41-$S$13-$S$14-$S$16-$S$17,Y18)</f>
        <v>0</v>
      </c>
      <c r="T18" s="1629"/>
      <c r="U18" s="1146"/>
      <c r="V18" s="1629"/>
      <c r="W18" s="1146"/>
      <c r="X18" s="1643"/>
      <c r="Y18" s="1644">
        <f t="shared" si="2"/>
        <v>0</v>
      </c>
      <c r="AA18" s="1913" t="s">
        <v>1749</v>
      </c>
      <c r="AB18" s="1914">
        <v>1.1299999999999999</v>
      </c>
      <c r="AI18" s="2023">
        <f>W18-'Blocking-Step2'!W18</f>
        <v>0</v>
      </c>
      <c r="AJ18" s="2054">
        <f>O18-'Blocking-Step2'!O18</f>
        <v>0</v>
      </c>
    </row>
    <row r="19" spans="1:36">
      <c r="A19" s="1900" t="s">
        <v>1301</v>
      </c>
      <c r="C19" s="528">
        <f>'123'!AM15</f>
        <v>249.56681818181821</v>
      </c>
      <c r="D19" s="528">
        <f t="shared" si="3"/>
        <v>253</v>
      </c>
      <c r="F19" s="1901">
        <v>22</v>
      </c>
      <c r="G19" s="1902"/>
      <c r="H19" s="1644">
        <f t="shared" si="0"/>
        <v>5490</v>
      </c>
      <c r="I19" s="1644">
        <f t="shared" si="0"/>
        <v>5566</v>
      </c>
      <c r="K19" s="1907">
        <f t="shared" si="1"/>
        <v>22</v>
      </c>
      <c r="L19" s="1110"/>
      <c r="M19" s="1907"/>
      <c r="N19" s="1110"/>
      <c r="O19" s="1907"/>
      <c r="P19" s="1902"/>
      <c r="Q19" s="1901">
        <f>'Blocking-Step2'!Q19</f>
        <v>22</v>
      </c>
      <c r="R19" s="1902"/>
      <c r="S19" s="1146">
        <f>MIN($S$45-$S$41-$S$13-$S$14-$S$16-$S$17-$S$18,Y19)</f>
        <v>5566</v>
      </c>
      <c r="T19" s="1629"/>
      <c r="U19" s="1146"/>
      <c r="V19" s="1629"/>
      <c r="W19" s="1146"/>
      <c r="X19" s="1643"/>
      <c r="Y19" s="1644">
        <f t="shared" si="2"/>
        <v>5566</v>
      </c>
      <c r="AA19" s="1913" t="s">
        <v>1750</v>
      </c>
      <c r="AB19" s="1914">
        <f>F37-F36</f>
        <v>2.6930999999999994</v>
      </c>
      <c r="AI19" s="2023">
        <f>W19-'Blocking-Step2'!W19</f>
        <v>0</v>
      </c>
      <c r="AJ19" s="2054">
        <f>O19-'Blocking-Step2'!O19</f>
        <v>0</v>
      </c>
    </row>
    <row r="20" spans="1:36">
      <c r="A20" s="1900" t="s">
        <v>243</v>
      </c>
      <c r="C20" s="528">
        <f>'123'!I15</f>
        <v>17041.058750000539</v>
      </c>
      <c r="D20" s="528">
        <f t="shared" si="3"/>
        <v>17284</v>
      </c>
      <c r="F20" s="1901">
        <v>8</v>
      </c>
      <c r="G20" s="1902"/>
      <c r="H20" s="1644">
        <f t="shared" si="0"/>
        <v>136328</v>
      </c>
      <c r="I20" s="1644">
        <f t="shared" si="0"/>
        <v>138272</v>
      </c>
      <c r="K20" s="1907"/>
      <c r="L20" s="1110"/>
      <c r="M20" s="1907"/>
      <c r="N20" s="1110"/>
      <c r="O20" s="1907"/>
      <c r="P20" s="1902"/>
      <c r="Q20" s="1901"/>
      <c r="R20" s="1902"/>
      <c r="S20" s="1629"/>
      <c r="T20" s="1629"/>
      <c r="U20" s="1629"/>
      <c r="V20" s="1629"/>
      <c r="W20" s="1629"/>
      <c r="X20" s="1643"/>
      <c r="Y20" s="1644"/>
      <c r="AA20" s="1915" t="s">
        <v>1678</v>
      </c>
      <c r="AB20" s="1916">
        <f>SUM(Y13:Y19,Y50:Y56,Y87:Y93,Y116:Y122,Y153:Y159,Y190:Y196)/SUM(I12:I26,I49:I63,I86:I100,I115:I129,I152:I166,I189:I203)-1</f>
        <v>0.48915429104306085</v>
      </c>
      <c r="AI20" s="2023">
        <f>W20-'Blocking-Step2'!W20</f>
        <v>0</v>
      </c>
      <c r="AJ20" s="2054">
        <f>O20-'Blocking-Step2'!O20</f>
        <v>0</v>
      </c>
    </row>
    <row r="21" spans="1:36">
      <c r="A21" s="1900" t="s">
        <v>1581</v>
      </c>
      <c r="C21" s="528">
        <f>C20-C22</f>
        <v>11907.49875000057</v>
      </c>
      <c r="D21" s="528">
        <f>D20-D22</f>
        <v>12077</v>
      </c>
      <c r="F21" s="1901"/>
      <c r="G21" s="1902"/>
      <c r="H21" s="1644"/>
      <c r="I21" s="1644"/>
      <c r="K21" s="1907"/>
      <c r="L21" s="1110"/>
      <c r="M21" s="1907"/>
      <c r="N21" s="1110"/>
      <c r="O21" s="1907"/>
      <c r="P21" s="1902"/>
      <c r="Q21" s="1901"/>
      <c r="R21" s="1902"/>
      <c r="S21" s="1629"/>
      <c r="T21" s="1629"/>
      <c r="U21" s="1629"/>
      <c r="V21" s="1629"/>
      <c r="W21" s="1629"/>
      <c r="X21" s="1643"/>
      <c r="Y21" s="1644"/>
      <c r="AA21" s="1104" t="s">
        <v>1743</v>
      </c>
      <c r="AB21" s="1890">
        <f>Y45/I45-1</f>
        <v>5.3441428024428639E-2</v>
      </c>
      <c r="AI21" s="2023">
        <f>W21-'Blocking-Step2'!W21</f>
        <v>0</v>
      </c>
      <c r="AJ21" s="2054">
        <f>O21-'Blocking-Step2'!O21</f>
        <v>0</v>
      </c>
    </row>
    <row r="22" spans="1:36">
      <c r="A22" s="1900" t="s">
        <v>1582</v>
      </c>
      <c r="C22" s="528">
        <f>'123'!AP15</f>
        <v>5133.5599999999695</v>
      </c>
      <c r="D22" s="528">
        <f>ROUND(C22/C20*D20,0)</f>
        <v>5207</v>
      </c>
      <c r="F22" s="1901"/>
      <c r="G22" s="1902"/>
      <c r="H22" s="1644"/>
      <c r="I22" s="1644"/>
      <c r="K22" s="1907"/>
      <c r="L22" s="1110"/>
      <c r="M22" s="1907"/>
      <c r="N22" s="1110"/>
      <c r="O22" s="1907"/>
      <c r="P22" s="1902"/>
      <c r="Q22" s="1901"/>
      <c r="R22" s="1902"/>
      <c r="S22" s="1629"/>
      <c r="T22" s="1629"/>
      <c r="U22" s="1629"/>
      <c r="V22" s="1629"/>
      <c r="W22" s="1629"/>
      <c r="X22" s="1643"/>
      <c r="Y22" s="1644"/>
      <c r="AA22" s="1109" t="s">
        <v>1938</v>
      </c>
      <c r="AB22" s="1917">
        <f>RateSpread!V21*1000</f>
        <v>-11514520.052632177</v>
      </c>
      <c r="AC22" s="1918">
        <f>ROUND(AB22/SUM(Y29:Y41,Y66:Y78,Y102:Y107,Y130:Y144,Y169:Y181,Y206:Y218),4)</f>
        <v>-1.7000000000000001E-2</v>
      </c>
      <c r="AI22" s="2023">
        <f>W22-'Blocking-Step2'!W22</f>
        <v>0</v>
      </c>
      <c r="AJ22" s="2054">
        <f>O22-'Blocking-Step2'!O22</f>
        <v>0</v>
      </c>
    </row>
    <row r="23" spans="1:36">
      <c r="A23" s="1900" t="s">
        <v>244</v>
      </c>
      <c r="C23" s="528">
        <f>'123'!J15</f>
        <v>28.496875000000003</v>
      </c>
      <c r="D23" s="528">
        <f t="shared" si="3"/>
        <v>29</v>
      </c>
      <c r="F23" s="1901">
        <v>16</v>
      </c>
      <c r="G23" s="597"/>
      <c r="H23" s="1644">
        <f t="shared" si="0"/>
        <v>456</v>
      </c>
      <c r="I23" s="1644">
        <f t="shared" si="0"/>
        <v>464</v>
      </c>
      <c r="K23" s="1907"/>
      <c r="L23" s="617"/>
      <c r="M23" s="1907"/>
      <c r="N23" s="617"/>
      <c r="O23" s="1907"/>
      <c r="P23" s="597"/>
      <c r="Q23" s="1901"/>
      <c r="R23" s="597"/>
      <c r="S23" s="1114"/>
      <c r="T23" s="1114"/>
      <c r="U23" s="1114"/>
      <c r="V23" s="1114"/>
      <c r="W23" s="1114"/>
      <c r="X23" s="1645"/>
      <c r="Y23" s="1644"/>
      <c r="AA23" s="1109" t="s">
        <v>1939</v>
      </c>
      <c r="AB23" s="1917">
        <v>0</v>
      </c>
      <c r="AC23" s="1918">
        <f>ROUND(AB23/SUM(Y29:Y41,Y66:Y78,Y102:Y107,Y130:Y144,Y169:Y181,Y206:Y218),4)</f>
        <v>0</v>
      </c>
      <c r="AI23" s="2023">
        <f>W23-'Blocking-Step2'!W23</f>
        <v>0</v>
      </c>
      <c r="AJ23" s="2054">
        <f>O23-'Blocking-Step2'!O23</f>
        <v>0</v>
      </c>
    </row>
    <row r="24" spans="1:36">
      <c r="A24" s="1900" t="s">
        <v>1581</v>
      </c>
      <c r="C24" s="528">
        <f>C23-C25</f>
        <v>6.9375000000000036</v>
      </c>
      <c r="D24" s="528">
        <f>D23-D25</f>
        <v>7</v>
      </c>
      <c r="F24" s="1901"/>
      <c r="G24" s="1902"/>
      <c r="H24" s="1644"/>
      <c r="I24" s="1644"/>
      <c r="K24" s="1907"/>
      <c r="L24" s="1110"/>
      <c r="M24" s="1907"/>
      <c r="N24" s="1110"/>
      <c r="O24" s="1907"/>
      <c r="P24" s="1902"/>
      <c r="Q24" s="1901"/>
      <c r="R24" s="1902"/>
      <c r="S24" s="1629"/>
      <c r="T24" s="1629"/>
      <c r="U24" s="1629"/>
      <c r="V24" s="1629"/>
      <c r="W24" s="1629"/>
      <c r="X24" s="1643"/>
      <c r="Y24" s="1644"/>
      <c r="AI24" s="2023">
        <f>W24-'Blocking-Step2'!W24</f>
        <v>0</v>
      </c>
      <c r="AJ24" s="2054">
        <f>O24-'Blocking-Step2'!O24</f>
        <v>0</v>
      </c>
    </row>
    <row r="25" spans="1:36">
      <c r="A25" s="1900" t="s">
        <v>1582</v>
      </c>
      <c r="C25" s="528">
        <f>'123'!AQ15</f>
        <v>21.559374999999999</v>
      </c>
      <c r="D25" s="528">
        <f>ROUND(C25/C23*D23,0)</f>
        <v>22</v>
      </c>
      <c r="F25" s="1901"/>
      <c r="G25" s="1902"/>
      <c r="H25" s="1644"/>
      <c r="I25" s="1644"/>
      <c r="K25" s="1907"/>
      <c r="L25" s="1110"/>
      <c r="M25" s="1907"/>
      <c r="N25" s="1110"/>
      <c r="O25" s="1907"/>
      <c r="P25" s="1902"/>
      <c r="Q25" s="1901"/>
      <c r="R25" s="1902"/>
      <c r="S25" s="1629"/>
      <c r="T25" s="1629"/>
      <c r="U25" s="1629"/>
      <c r="V25" s="1629"/>
      <c r="W25" s="1629"/>
      <c r="X25" s="1643"/>
      <c r="Y25" s="1644"/>
      <c r="AA25" s="1104" t="s">
        <v>1746</v>
      </c>
      <c r="AB25" s="1919">
        <f>ROUND(D45/(D11),0)</f>
        <v>675</v>
      </c>
      <c r="AI25" s="2023">
        <f>W25-'Blocking-Step2'!W25</f>
        <v>0</v>
      </c>
      <c r="AJ25" s="2054">
        <f>O25-'Blocking-Step2'!O25</f>
        <v>0</v>
      </c>
    </row>
    <row r="26" spans="1:36">
      <c r="A26" s="1900" t="s">
        <v>245</v>
      </c>
      <c r="C26" s="528">
        <f>'123'!AL15</f>
        <v>4.2413541666666674</v>
      </c>
      <c r="D26" s="528">
        <f>ROUND(C26/$C$11*$D$11,0)</f>
        <v>4</v>
      </c>
      <c r="F26" s="1901">
        <v>96</v>
      </c>
      <c r="G26" s="597"/>
      <c r="H26" s="1644">
        <f t="shared" si="0"/>
        <v>407</v>
      </c>
      <c r="I26" s="1644">
        <f t="shared" si="0"/>
        <v>384</v>
      </c>
      <c r="K26" s="1907"/>
      <c r="L26" s="617"/>
      <c r="M26" s="1907"/>
      <c r="N26" s="617"/>
      <c r="O26" s="1907"/>
      <c r="P26" s="597"/>
      <c r="Q26" s="1901"/>
      <c r="R26" s="597"/>
      <c r="S26" s="1114"/>
      <c r="T26" s="1114"/>
      <c r="U26" s="1114"/>
      <c r="V26" s="1114"/>
      <c r="W26" s="1114"/>
      <c r="X26" s="1645"/>
      <c r="Y26" s="1644"/>
      <c r="AA26" s="1104" t="s">
        <v>1747</v>
      </c>
      <c r="AB26" s="1919">
        <f>ROUND(SUM(D29:D31,(D41+D44)*4/12)/((D11)*4/12),0)</f>
        <v>826</v>
      </c>
      <c r="AI26" s="2023">
        <f>W26-'Blocking-Step2'!W26</f>
        <v>0</v>
      </c>
      <c r="AJ26" s="2054">
        <f>O26-'Blocking-Step2'!O26</f>
        <v>0</v>
      </c>
    </row>
    <row r="27" spans="1:36">
      <c r="A27" s="1900" t="s">
        <v>1532</v>
      </c>
      <c r="C27" s="528">
        <f>'123'!S8+'123May'!J15</f>
        <v>0</v>
      </c>
      <c r="D27" s="528">
        <f>ROUND(C27/SUM($C$29:$C$31)*(Energy!$Q$7-Energy!$Q$7/Energy!$P$7*($D$41+$D$44)),0)</f>
        <v>0</v>
      </c>
      <c r="F27" s="1920"/>
      <c r="G27" s="1921"/>
      <c r="H27" s="1644"/>
      <c r="I27" s="1644"/>
      <c r="K27" s="1922"/>
      <c r="L27" s="1921"/>
      <c r="M27" s="1922"/>
      <c r="N27" s="1921"/>
      <c r="O27" s="1922">
        <f>'Blocking-Step2'!O27</f>
        <v>4.3559999999999999</v>
      </c>
      <c r="P27" s="1921" t="s">
        <v>495</v>
      </c>
      <c r="Q27" s="1920">
        <f>'Blocking-Step2'!Q27</f>
        <v>4.3559999999999999</v>
      </c>
      <c r="R27" s="1921" t="s">
        <v>495</v>
      </c>
      <c r="S27" s="1644">
        <f>ROUND($D27*K27/100,0)</f>
        <v>0</v>
      </c>
      <c r="T27" s="1656"/>
      <c r="U27" s="1644">
        <f>ROUND($D27*M27/100,0)</f>
        <v>0</v>
      </c>
      <c r="V27" s="1656"/>
      <c r="W27" s="1644">
        <f>ROUND($D27*O27/100,0)</f>
        <v>0</v>
      </c>
      <c r="X27" s="1648"/>
      <c r="Y27" s="1644">
        <f>ROUND($D27*Q27/100,0)</f>
        <v>0</v>
      </c>
      <c r="AA27" s="1104" t="s">
        <v>1748</v>
      </c>
      <c r="AB27" s="1919">
        <f>ROUND(SUM(D32:D33,(D41+D44)*8/12)/((D11)*8/12),0)</f>
        <v>599</v>
      </c>
      <c r="AI27" s="2023">
        <f>W27-'Blocking-Step2'!W27</f>
        <v>0</v>
      </c>
      <c r="AJ27" s="2054">
        <f>O27-'Blocking-Step2'!O27</f>
        <v>0</v>
      </c>
    </row>
    <row r="28" spans="1:36">
      <c r="A28" s="1900" t="s">
        <v>1533</v>
      </c>
      <c r="C28" s="528">
        <f>'123'!T8+'123May'!K15</f>
        <v>0</v>
      </c>
      <c r="D28" s="528">
        <f>ROUND(C28/SUM($C$29:$C$31)*(Energy!$Q$7-Energy!$Q$7/Energy!$P$7*($D$41+$D$44)),0)</f>
        <v>0</v>
      </c>
      <c r="F28" s="1920"/>
      <c r="G28" s="1921"/>
      <c r="H28" s="1644"/>
      <c r="I28" s="1644"/>
      <c r="K28" s="1922"/>
      <c r="L28" s="1921"/>
      <c r="M28" s="1922"/>
      <c r="N28" s="1921"/>
      <c r="O28" s="1922">
        <f>'Blocking-Step2'!O28</f>
        <v>-1.6334</v>
      </c>
      <c r="P28" s="1921" t="s">
        <v>495</v>
      </c>
      <c r="Q28" s="1920">
        <f>'Blocking-Step2'!Q28</f>
        <v>-1.6334</v>
      </c>
      <c r="R28" s="1921" t="s">
        <v>495</v>
      </c>
      <c r="S28" s="1644">
        <f>ROUND($D28*K28/100,0)</f>
        <v>0</v>
      </c>
      <c r="T28" s="1656"/>
      <c r="U28" s="1644">
        <f>ROUND($D28*M28/100,0)</f>
        <v>0</v>
      </c>
      <c r="V28" s="1656"/>
      <c r="W28" s="1644">
        <f>ROUND($D28*O28/100,0)</f>
        <v>0</v>
      </c>
      <c r="X28" s="1648"/>
      <c r="Y28" s="1644">
        <f>ROUND($D28*Q28/100,0)</f>
        <v>0</v>
      </c>
      <c r="AI28" s="2023">
        <f>W28-'Blocking-Step2'!W28</f>
        <v>0</v>
      </c>
      <c r="AJ28" s="2054">
        <f>O28-'Blocking-Step2'!O28</f>
        <v>0</v>
      </c>
    </row>
    <row r="29" spans="1:36">
      <c r="A29" s="1900" t="s">
        <v>1534</v>
      </c>
      <c r="C29" s="584">
        <f>'123'!P15+'123'!AG15+TempRevMay!C303-TempRevMay!M303-TempRevMay!M309+'123May'!G15+'123May'!Q15</f>
        <v>1077210897.9091563</v>
      </c>
      <c r="D29" s="528">
        <f>D45-SUM(D30:D33,D41:D44)</f>
        <v>1080475944.5283775</v>
      </c>
      <c r="F29" s="1923"/>
      <c r="G29" s="1921"/>
      <c r="H29" s="1644"/>
      <c r="I29" s="1644"/>
      <c r="K29" s="1924">
        <f>ROUND((S45-SUM(S13:S28,))/SUM($D$29:$D$33,$D$41)*100,4)</f>
        <v>4.3437999999999999</v>
      </c>
      <c r="L29" s="1921" t="s">
        <v>495</v>
      </c>
      <c r="M29" s="1924">
        <f>Q29-K29-O29</f>
        <v>3.6385809960970961</v>
      </c>
      <c r="N29" s="1921" t="s">
        <v>495</v>
      </c>
      <c r="O29" s="1924">
        <f>'Blocking-Step2'!O29</f>
        <v>1.3645863008434289</v>
      </c>
      <c r="P29" s="1921" t="s">
        <v>495</v>
      </c>
      <c r="Q29" s="1923">
        <f>(AB12-SUM(Y13:Y19,Y27:Y28,Y41,Y50:Y56,Y64:Y65,Y78,Y111,Y116:Y122,Y130:Y131,Y144,Y153:Y159,Y167:Y168,Y181,Y190:Y196,Y204:Y205,Y218)-AB19/100*(D30+D31+D67+D68+D133+D134+D170+D171+D207+D208+1/AB18*(D33+D70+D136+D173+D210)))/(SUM(D29:D31,D66:D68,D132:D134,D169:D171,D206:D208)+1/AB18*SUM(D32:D33,D69:D70,D135:D136,D172:D173,D209:D210))*100</f>
        <v>9.3469672969405249</v>
      </c>
      <c r="R29" s="1921" t="s">
        <v>495</v>
      </c>
      <c r="S29" s="1644">
        <f t="shared" ref="S29:Y33" si="4">ROUND($D29*K29/100,0)</f>
        <v>46933714</v>
      </c>
      <c r="T29" s="1656"/>
      <c r="U29" s="1644">
        <f t="shared" si="4"/>
        <v>39313992</v>
      </c>
      <c r="V29" s="1656"/>
      <c r="W29" s="1644">
        <f t="shared" si="4"/>
        <v>14744027</v>
      </c>
      <c r="X29" s="1648"/>
      <c r="Y29" s="1644">
        <f t="shared" si="4"/>
        <v>100991733</v>
      </c>
      <c r="AI29" s="2023">
        <f>W29-'Blocking-Step2'!W29</f>
        <v>0</v>
      </c>
      <c r="AJ29" s="2054">
        <f>O29-'Blocking-Step2'!O29</f>
        <v>0</v>
      </c>
    </row>
    <row r="30" spans="1:36">
      <c r="A30" s="1900" t="s">
        <v>1535</v>
      </c>
      <c r="C30" s="584">
        <f>'123'!Q15+'123'!AH15+TempRevMay!C304-TempRevMay!M304-TempRevMay!M310+'123May'!H15+'123May'!R15</f>
        <v>957148336.15566492</v>
      </c>
      <c r="D30" s="528">
        <f>ROUND(C30/SUM($C$29:$C$31)*(Energy!$S$7-Energy!$S$7/Energy!$P$7*($D$41+$D$44)),0)</f>
        <v>960049471</v>
      </c>
      <c r="F30" s="1923"/>
      <c r="G30" s="1921"/>
      <c r="H30" s="1644"/>
      <c r="I30" s="1644"/>
      <c r="K30" s="1924">
        <f>$K$29</f>
        <v>4.3437999999999999</v>
      </c>
      <c r="L30" s="1921" t="s">
        <v>495</v>
      </c>
      <c r="M30" s="1924">
        <f t="shared" ref="M30:M33" si="5">Q30-K30-O30</f>
        <v>3.6385809960970956</v>
      </c>
      <c r="N30" s="1921" t="s">
        <v>495</v>
      </c>
      <c r="O30" s="1924">
        <f>'Blocking-Step2'!O30</f>
        <v>4.0576863008434287</v>
      </c>
      <c r="P30" s="1921" t="s">
        <v>495</v>
      </c>
      <c r="Q30" s="1923">
        <f>Q29+AB19</f>
        <v>12.040067296940524</v>
      </c>
      <c r="R30" s="1921" t="s">
        <v>495</v>
      </c>
      <c r="S30" s="1644">
        <f t="shared" si="4"/>
        <v>41702629</v>
      </c>
      <c r="T30" s="1656"/>
      <c r="U30" s="1644">
        <f t="shared" si="4"/>
        <v>34932178</v>
      </c>
      <c r="V30" s="1656"/>
      <c r="W30" s="1644">
        <f t="shared" si="4"/>
        <v>38955796</v>
      </c>
      <c r="X30" s="1648"/>
      <c r="Y30" s="1644">
        <f t="shared" si="4"/>
        <v>115590602</v>
      </c>
      <c r="AI30" s="2023">
        <f>W30-'Blocking-Step2'!W30</f>
        <v>0</v>
      </c>
      <c r="AJ30" s="2054">
        <f>O30-'Blocking-Step2'!O30</f>
        <v>0</v>
      </c>
    </row>
    <row r="31" spans="1:36">
      <c r="A31" s="1900" t="s">
        <v>1536</v>
      </c>
      <c r="C31" s="584">
        <f>'123'!R15+'123'!AI15+TempRevMay!C305-TempRevMay!M305-TempRevMay!M311+'123May'!I15+'123May'!S15</f>
        <v>526195990.2398017</v>
      </c>
      <c r="D31" s="528">
        <f>ROUND(C31/SUM($C$29:$C$31)*(Energy!$S$7-Energy!$S$7/Energy!$P$7*($D$41+$D$44)),0)</f>
        <v>527790900</v>
      </c>
      <c r="F31" s="1923"/>
      <c r="G31" s="1921"/>
      <c r="H31" s="1644"/>
      <c r="I31" s="1644"/>
      <c r="K31" s="1924">
        <f t="shared" ref="K31:K33" si="6">$K$29</f>
        <v>4.3437999999999999</v>
      </c>
      <c r="L31" s="1921" t="s">
        <v>495</v>
      </c>
      <c r="M31" s="1924">
        <f t="shared" si="5"/>
        <v>3.6385809960970956</v>
      </c>
      <c r="N31" s="1921" t="s">
        <v>495</v>
      </c>
      <c r="O31" s="1924">
        <f>'Blocking-Step2'!O31</f>
        <v>4.0576863008434287</v>
      </c>
      <c r="P31" s="1921" t="s">
        <v>495</v>
      </c>
      <c r="Q31" s="1923">
        <f>Q30</f>
        <v>12.040067296940524</v>
      </c>
      <c r="R31" s="1921" t="s">
        <v>495</v>
      </c>
      <c r="S31" s="1644">
        <f t="shared" si="4"/>
        <v>22926181</v>
      </c>
      <c r="T31" s="1656"/>
      <c r="U31" s="1644">
        <f t="shared" si="4"/>
        <v>19204099</v>
      </c>
      <c r="V31" s="1656"/>
      <c r="W31" s="1644">
        <f t="shared" si="4"/>
        <v>21416099</v>
      </c>
      <c r="X31" s="1648"/>
      <c r="Y31" s="1644">
        <f t="shared" si="4"/>
        <v>63546380</v>
      </c>
      <c r="AI31" s="2023">
        <f>W31-'Blocking-Step2'!W31</f>
        <v>0</v>
      </c>
      <c r="AJ31" s="2054">
        <f>O31-'Blocking-Step2'!O31</f>
        <v>0</v>
      </c>
    </row>
    <row r="32" spans="1:36">
      <c r="A32" s="1900" t="s">
        <v>1537</v>
      </c>
      <c r="B32" s="1925"/>
      <c r="C32" s="584">
        <f>'123'!M15+'123'!AJ15+TempRevMay!C306-TempRevMay!M306-TempRevMay!M312+'123May'!D15+'123May'!T15</f>
        <v>2155017817.4209166</v>
      </c>
      <c r="D32" s="528">
        <f>ROUND(C32/SUM($C$32:$C$33)*(Energy!$T$7-Energy!$T$7/Energy!$P$7*($D$41+$D$44)),0)</f>
        <v>2051977461</v>
      </c>
      <c r="E32" s="549"/>
      <c r="F32" s="1926"/>
      <c r="G32" s="1921"/>
      <c r="H32" s="1644"/>
      <c r="I32" s="1644"/>
      <c r="J32" s="549"/>
      <c r="K32" s="1924">
        <f t="shared" si="6"/>
        <v>4.3437999999999999</v>
      </c>
      <c r="L32" s="1921" t="s">
        <v>495</v>
      </c>
      <c r="M32" s="1924">
        <f t="shared" si="5"/>
        <v>3.6559663682280008</v>
      </c>
      <c r="N32" s="1921" t="s">
        <v>495</v>
      </c>
      <c r="O32" s="1924">
        <f>'Blocking-Step2'!O32</f>
        <v>0.27188610694099991</v>
      </c>
      <c r="P32" s="1921" t="s">
        <v>495</v>
      </c>
      <c r="Q32" s="1926">
        <f>ROUND(Q29/$AB$18,$AB$8)</f>
        <v>8.2716524751690006</v>
      </c>
      <c r="R32" s="1921" t="s">
        <v>495</v>
      </c>
      <c r="S32" s="1644">
        <f t="shared" si="4"/>
        <v>89133797</v>
      </c>
      <c r="T32" s="1656"/>
      <c r="U32" s="1644">
        <f t="shared" si="4"/>
        <v>75019606</v>
      </c>
      <c r="V32" s="1656"/>
      <c r="W32" s="1644">
        <f t="shared" si="4"/>
        <v>5579042</v>
      </c>
      <c r="X32" s="1648"/>
      <c r="Y32" s="1644">
        <f t="shared" si="4"/>
        <v>169732444</v>
      </c>
      <c r="AI32" s="2023">
        <f>W32-'Blocking-Step2'!W32</f>
        <v>0</v>
      </c>
      <c r="AJ32" s="2054">
        <f>O32-'Blocking-Step2'!O32</f>
        <v>0</v>
      </c>
    </row>
    <row r="33" spans="1:36">
      <c r="A33" s="1900" t="s">
        <v>1538</v>
      </c>
      <c r="B33" s="1925"/>
      <c r="C33" s="584">
        <f>'123'!N15+'123'!AK15+TempRevMay!C307-TempRevMay!M307-TempRevMay!M313+'123May'!E15+'123May'!U15</f>
        <v>1755463780.2307222</v>
      </c>
      <c r="D33" s="528">
        <f>ROUND(C33/SUM($C$32:$C$33)*(Energy!$T$7-Energy!$T$7/Energy!$P$7*($D$41+$D$44)),0)</f>
        <v>1671527763</v>
      </c>
      <c r="E33" s="549"/>
      <c r="F33" s="1926"/>
      <c r="G33" s="1921"/>
      <c r="H33" s="1644"/>
      <c r="I33" s="1644"/>
      <c r="J33" s="549"/>
      <c r="K33" s="1924">
        <f t="shared" si="6"/>
        <v>4.3437999999999999</v>
      </c>
      <c r="L33" s="1921" t="s">
        <v>495</v>
      </c>
      <c r="M33" s="1924">
        <f t="shared" si="5"/>
        <v>3.6559663682280008</v>
      </c>
      <c r="N33" s="1921" t="s">
        <v>495</v>
      </c>
      <c r="O33" s="1924">
        <f>'Blocking-Step2'!O33</f>
        <v>2.6551604432239997</v>
      </c>
      <c r="P33" s="1921" t="s">
        <v>495</v>
      </c>
      <c r="Q33" s="1926">
        <f>ROUND(Q30/$AB$18,$AB$8)</f>
        <v>10.654926811452</v>
      </c>
      <c r="R33" s="1921" t="s">
        <v>495</v>
      </c>
      <c r="S33" s="1644">
        <f t="shared" si="4"/>
        <v>72607823</v>
      </c>
      <c r="T33" s="1656"/>
      <c r="U33" s="1644">
        <f t="shared" si="4"/>
        <v>61110493</v>
      </c>
      <c r="V33" s="1656"/>
      <c r="W33" s="1644">
        <f t="shared" si="4"/>
        <v>44381744</v>
      </c>
      <c r="X33" s="1648"/>
      <c r="Y33" s="1644">
        <f t="shared" si="4"/>
        <v>178100060</v>
      </c>
      <c r="AI33" s="2023">
        <f>W33-'Blocking-Step2'!W33</f>
        <v>0</v>
      </c>
      <c r="AJ33" s="2054">
        <f>O33-'Blocking-Step2'!O33</f>
        <v>0</v>
      </c>
    </row>
    <row r="34" spans="1:36">
      <c r="A34" s="1900" t="s">
        <v>188</v>
      </c>
      <c r="C34" s="528">
        <f>'123'!S15</f>
        <v>0</v>
      </c>
      <c r="D34" s="528">
        <f>ROUND(C34/SUM($C$36:$C$38)*(Energy!$Q$7-Energy!$Q$7/Energy!$P$7*($D$41+$D$44)),0)</f>
        <v>0</v>
      </c>
      <c r="F34" s="1920">
        <v>4.3559999999999999</v>
      </c>
      <c r="G34" s="1921" t="s">
        <v>495</v>
      </c>
      <c r="H34" s="1644">
        <f t="shared" ref="H34:I41" si="7">ROUND($F34*C34/100,0)</f>
        <v>0</v>
      </c>
      <c r="I34" s="1644">
        <f t="shared" si="7"/>
        <v>0</v>
      </c>
      <c r="K34" s="1922"/>
      <c r="L34" s="1921"/>
      <c r="M34" s="1922"/>
      <c r="N34" s="1921"/>
      <c r="O34" s="1922"/>
      <c r="P34" s="1921"/>
      <c r="Q34" s="1920"/>
      <c r="R34" s="1921"/>
      <c r="S34" s="1648"/>
      <c r="T34" s="1648"/>
      <c r="U34" s="1648"/>
      <c r="V34" s="1648"/>
      <c r="W34" s="1648"/>
      <c r="X34" s="1648"/>
      <c r="Y34" s="1644"/>
      <c r="AI34" s="2023">
        <f>W34-'Blocking-Step2'!W34</f>
        <v>0</v>
      </c>
      <c r="AJ34" s="2054">
        <f>O34-'Blocking-Step2'!O34</f>
        <v>0</v>
      </c>
    </row>
    <row r="35" spans="1:36">
      <c r="A35" s="1900" t="s">
        <v>189</v>
      </c>
      <c r="C35" s="528">
        <f>'123'!T15</f>
        <v>0</v>
      </c>
      <c r="D35" s="528">
        <f>ROUND(C35/SUM($C$36:$C$38)*(Energy!$Q$7-Energy!$Q$7/Energy!$P$7*($D$41+$D$44)),0)</f>
        <v>0</v>
      </c>
      <c r="F35" s="1920">
        <v>-1.6334</v>
      </c>
      <c r="G35" s="1921" t="s">
        <v>495</v>
      </c>
      <c r="H35" s="1644">
        <f t="shared" si="7"/>
        <v>0</v>
      </c>
      <c r="I35" s="1644">
        <f t="shared" si="7"/>
        <v>0</v>
      </c>
      <c r="K35" s="1922"/>
      <c r="L35" s="1921"/>
      <c r="M35" s="1922"/>
      <c r="N35" s="1921"/>
      <c r="O35" s="1922"/>
      <c r="P35" s="1921"/>
      <c r="Q35" s="1920"/>
      <c r="R35" s="1921"/>
      <c r="S35" s="1648"/>
      <c r="T35" s="1648"/>
      <c r="U35" s="1648"/>
      <c r="V35" s="1648"/>
      <c r="W35" s="1648"/>
      <c r="X35" s="1648"/>
      <c r="Y35" s="1644"/>
      <c r="AI35" s="2023">
        <f>W35-'Blocking-Step2'!W35</f>
        <v>0</v>
      </c>
      <c r="AJ35" s="2054">
        <f>O35-'Blocking-Step2'!O35</f>
        <v>0</v>
      </c>
    </row>
    <row r="36" spans="1:36">
      <c r="A36" s="1900" t="s">
        <v>241</v>
      </c>
      <c r="C36" s="584">
        <f>'123'!P15+'123'!AG15+TempRev!C303-TempRev!M303-TempRev!M309</f>
        <v>1356275357.1615026</v>
      </c>
      <c r="D36" s="528">
        <f>D45-SUM(D37:D44)</f>
        <v>1356162146.5283775</v>
      </c>
      <c r="F36" s="1923">
        <v>8.8498000000000001</v>
      </c>
      <c r="G36" s="1921" t="s">
        <v>495</v>
      </c>
      <c r="H36" s="1644">
        <f t="shared" si="7"/>
        <v>120027657</v>
      </c>
      <c r="I36" s="1644">
        <f t="shared" si="7"/>
        <v>120017638</v>
      </c>
      <c r="K36" s="1924"/>
      <c r="L36" s="1921"/>
      <c r="M36" s="1924"/>
      <c r="N36" s="1921"/>
      <c r="O36" s="1924"/>
      <c r="P36" s="1921"/>
      <c r="Q36" s="1923"/>
      <c r="R36" s="1921"/>
      <c r="S36" s="1648"/>
      <c r="T36" s="1648"/>
      <c r="U36" s="1648"/>
      <c r="V36" s="1648"/>
      <c r="W36" s="1648"/>
      <c r="X36" s="1648"/>
      <c r="Y36" s="1644"/>
      <c r="AI36" s="2023">
        <f>W36-'Blocking-Step2'!W36</f>
        <v>0</v>
      </c>
      <c r="AJ36" s="2054">
        <f>O36-'Blocking-Step2'!O36</f>
        <v>0</v>
      </c>
    </row>
    <row r="37" spans="1:36">
      <c r="A37" s="1900" t="s">
        <v>242</v>
      </c>
      <c r="C37" s="584">
        <f>'123'!Q15+'123'!AH15+TempRev!C304-TempRev!M304-TempRev!M310</f>
        <v>1083544014.0003767</v>
      </c>
      <c r="D37" s="528">
        <f>ROUND(C37/SUM($C$36:$C$38)*(Energy!$Q$7-Energy!$Q$7/Energy!$P$7*($D$41+$D$44)),0)</f>
        <v>1083453568</v>
      </c>
      <c r="F37" s="1923">
        <v>11.542899999999999</v>
      </c>
      <c r="G37" s="1921" t="s">
        <v>495</v>
      </c>
      <c r="H37" s="1644">
        <f t="shared" si="7"/>
        <v>125072402</v>
      </c>
      <c r="I37" s="1644">
        <f t="shared" si="7"/>
        <v>125061962</v>
      </c>
      <c r="K37" s="1924"/>
      <c r="L37" s="1921"/>
      <c r="M37" s="1924"/>
      <c r="N37" s="1921"/>
      <c r="O37" s="1924"/>
      <c r="P37" s="1921"/>
      <c r="Q37" s="1923"/>
      <c r="R37" s="1921"/>
      <c r="S37" s="1648"/>
      <c r="T37" s="1648"/>
      <c r="U37" s="1648"/>
      <c r="V37" s="1648"/>
      <c r="W37" s="1648"/>
      <c r="X37" s="1648"/>
      <c r="Y37" s="1644"/>
      <c r="AI37" s="2023">
        <f>W37-'Blocking-Step2'!W37</f>
        <v>0</v>
      </c>
      <c r="AJ37" s="2054">
        <f>O37-'Blocking-Step2'!O37</f>
        <v>0</v>
      </c>
    </row>
    <row r="38" spans="1:36">
      <c r="A38" s="1900" t="s">
        <v>94</v>
      </c>
      <c r="C38" s="584">
        <f>'123'!R15+'123'!AI15+TempRev!C305-TempRev!M305-TempRev!M311</f>
        <v>560540846.03246832</v>
      </c>
      <c r="D38" s="528">
        <f>ROUND(C38/SUM($C$36:$C$38)*(Energy!$Q$7-Energy!$Q$7/Energy!$P$7*($D$41+$D$44)),0)</f>
        <v>560494056</v>
      </c>
      <c r="F38" s="1923">
        <v>14.450799999999999</v>
      </c>
      <c r="G38" s="1921" t="s">
        <v>495</v>
      </c>
      <c r="H38" s="1644">
        <f t="shared" si="7"/>
        <v>81002637</v>
      </c>
      <c r="I38" s="1644">
        <f t="shared" si="7"/>
        <v>80995875</v>
      </c>
      <c r="K38" s="1924"/>
      <c r="L38" s="1921"/>
      <c r="M38" s="1924"/>
      <c r="N38" s="1921"/>
      <c r="O38" s="1924"/>
      <c r="P38" s="1921"/>
      <c r="Q38" s="1923"/>
      <c r="R38" s="1921"/>
      <c r="S38" s="1648"/>
      <c r="T38" s="1648"/>
      <c r="U38" s="1648"/>
      <c r="V38" s="1648"/>
      <c r="W38" s="1648"/>
      <c r="X38" s="1648"/>
      <c r="Y38" s="1644"/>
      <c r="AI38" s="2023">
        <f>W38-'Blocking-Step2'!W38</f>
        <v>0</v>
      </c>
      <c r="AJ38" s="2054">
        <f>O38-'Blocking-Step2'!O38</f>
        <v>0</v>
      </c>
    </row>
    <row r="39" spans="1:36">
      <c r="A39" s="1900" t="s">
        <v>1360</v>
      </c>
      <c r="B39" s="1925"/>
      <c r="C39" s="584">
        <f>'123'!M15+'123'!AJ15+TempRev!C306-TempRev!M306-TempRev!M312</f>
        <v>1873066959.0251269</v>
      </c>
      <c r="D39" s="528">
        <f>ROUND(C39/SUM($C$39:$C$40)*(Energy!$R$7-Energy!$R$7/Energy!$P$7*($D$41+$D$44)),0)</f>
        <v>1776482587</v>
      </c>
      <c r="E39" s="549"/>
      <c r="F39" s="1926">
        <v>8.8498000000000001</v>
      </c>
      <c r="G39" s="1921" t="s">
        <v>495</v>
      </c>
      <c r="H39" s="1644">
        <f t="shared" si="7"/>
        <v>165762680</v>
      </c>
      <c r="I39" s="1644">
        <f t="shared" si="7"/>
        <v>157215156</v>
      </c>
      <c r="J39" s="549"/>
      <c r="K39" s="1927"/>
      <c r="L39" s="1921"/>
      <c r="M39" s="1927"/>
      <c r="N39" s="1921"/>
      <c r="O39" s="1927"/>
      <c r="P39" s="1921"/>
      <c r="Q39" s="1926"/>
      <c r="R39" s="1921"/>
      <c r="S39" s="1648"/>
      <c r="T39" s="1648"/>
      <c r="U39" s="1648"/>
      <c r="V39" s="1648"/>
      <c r="W39" s="1648"/>
      <c r="X39" s="1648"/>
      <c r="Y39" s="1644"/>
      <c r="AI39" s="2023">
        <f>W39-'Blocking-Step2'!W39</f>
        <v>0</v>
      </c>
      <c r="AJ39" s="2054">
        <f>O39-'Blocking-Step2'!O39</f>
        <v>0</v>
      </c>
    </row>
    <row r="40" spans="1:36">
      <c r="A40" s="1900" t="s">
        <v>1361</v>
      </c>
      <c r="B40" s="1925"/>
      <c r="C40" s="584">
        <f>'123'!N15+'123'!AK15+TempRev!C307-TempRev!M307-TempRev!M313</f>
        <v>1597609645.7367871</v>
      </c>
      <c r="D40" s="528">
        <f>ROUND(C40/SUM($C$39:$C$40)*(Energy!$R$7-Energy!$R$7/Energy!$P$7*($D$41+$D$44)),0)</f>
        <v>1515229182</v>
      </c>
      <c r="E40" s="549"/>
      <c r="F40" s="1926">
        <v>10.7072</v>
      </c>
      <c r="G40" s="1921" t="s">
        <v>495</v>
      </c>
      <c r="H40" s="1644">
        <f t="shared" si="7"/>
        <v>171059260</v>
      </c>
      <c r="I40" s="1644">
        <f t="shared" si="7"/>
        <v>162238619</v>
      </c>
      <c r="J40" s="549"/>
      <c r="K40" s="1927"/>
      <c r="L40" s="1921"/>
      <c r="M40" s="1927"/>
      <c r="N40" s="1921"/>
      <c r="O40" s="1927"/>
      <c r="P40" s="1921"/>
      <c r="Q40" s="1926"/>
      <c r="R40" s="1921"/>
      <c r="S40" s="1648"/>
      <c r="T40" s="1648"/>
      <c r="U40" s="1648"/>
      <c r="V40" s="1648"/>
      <c r="W40" s="1648"/>
      <c r="X40" s="1648"/>
      <c r="Y40" s="1644"/>
      <c r="AI40" s="2023">
        <f>W40-'Blocking-Step2'!W40</f>
        <v>0</v>
      </c>
      <c r="AJ40" s="2054">
        <f>O40-'Blocking-Step2'!O40</f>
        <v>0</v>
      </c>
    </row>
    <row r="41" spans="1:36">
      <c r="A41" s="1116" t="s">
        <v>1158</v>
      </c>
      <c r="B41" s="1928"/>
      <c r="C41" s="1024">
        <f>'123'!X15</f>
        <v>16316464</v>
      </c>
      <c r="D41" s="528">
        <f>ROUND(C41/($C$45-$C$42)*$D$45,0)</f>
        <v>15864580</v>
      </c>
      <c r="E41" s="804"/>
      <c r="F41" s="1927">
        <v>11.7033</v>
      </c>
      <c r="G41" s="1929" t="s">
        <v>495</v>
      </c>
      <c r="H41" s="1146">
        <f t="shared" si="7"/>
        <v>1909565</v>
      </c>
      <c r="I41" s="1146">
        <f t="shared" si="7"/>
        <v>1856679</v>
      </c>
      <c r="J41" s="804"/>
      <c r="K41" s="1924">
        <f>K29</f>
        <v>4.3437999999999999</v>
      </c>
      <c r="L41" s="1921" t="s">
        <v>495</v>
      </c>
      <c r="M41" s="1924">
        <f>'Blocking-Step2'!M41</f>
        <v>7.7249999999999996</v>
      </c>
      <c r="N41" s="1921" t="s">
        <v>495</v>
      </c>
      <c r="O41" s="1922">
        <f>'Blocking-Step2'!O41</f>
        <v>0</v>
      </c>
      <c r="P41" s="1929"/>
      <c r="Q41" s="1927">
        <f>ROUND(11.7033+AA42,4)</f>
        <v>12.0688</v>
      </c>
      <c r="R41" s="1929" t="s">
        <v>495</v>
      </c>
      <c r="S41" s="1644">
        <f>ROUND($D41*AB42/100,0)</f>
        <v>689126</v>
      </c>
      <c r="T41" s="1656"/>
      <c r="U41" s="1644">
        <f t="shared" ref="U41:Y41" si="8">ROUND($D41*M41/100,0)</f>
        <v>1225539</v>
      </c>
      <c r="V41" s="1656"/>
      <c r="W41" s="1644">
        <f t="shared" si="8"/>
        <v>0</v>
      </c>
      <c r="X41" s="1656"/>
      <c r="Y41" s="1644">
        <f t="shared" si="8"/>
        <v>1914664</v>
      </c>
      <c r="AA41" s="2036">
        <v>3.9782999999999999</v>
      </c>
      <c r="AB41" s="2036">
        <v>7.7249999999999996</v>
      </c>
      <c r="AC41" s="2036">
        <v>0</v>
      </c>
      <c r="AD41" s="2036">
        <v>11.7033</v>
      </c>
      <c r="AI41" s="2023">
        <f>W41-'Blocking-Step2'!W41</f>
        <v>0</v>
      </c>
      <c r="AJ41" s="2054">
        <f>O41-'Blocking-Step2'!O41</f>
        <v>0</v>
      </c>
    </row>
    <row r="42" spans="1:36">
      <c r="A42" s="1900" t="s">
        <v>246</v>
      </c>
      <c r="C42" s="529">
        <f>'Table 2'!J12</f>
        <v>36991495</v>
      </c>
      <c r="D42" s="529">
        <v>0</v>
      </c>
      <c r="H42" s="1030">
        <f>'Table 3'!F12</f>
        <v>4301600</v>
      </c>
      <c r="I42" s="1030">
        <v>0</v>
      </c>
      <c r="Y42" s="1030"/>
      <c r="AA42" s="2036">
        <f>-1.3009+1.6664</f>
        <v>0.36550000000000016</v>
      </c>
      <c r="AB42" s="2036">
        <v>4.3437999999999999</v>
      </c>
      <c r="AC42" s="1869">
        <f>Q41-K41-M41</f>
        <v>0</v>
      </c>
      <c r="AI42" s="2023">
        <f>W42-'Blocking-Step2'!W42</f>
        <v>0</v>
      </c>
      <c r="AJ42" s="2054">
        <f>O42-'Blocking-Step2'!O42</f>
        <v>0</v>
      </c>
    </row>
    <row r="43" spans="1:36">
      <c r="A43" s="1900" t="s">
        <v>1240</v>
      </c>
      <c r="C43" s="584"/>
      <c r="D43" s="584"/>
      <c r="F43" s="1930">
        <v>-3.9100000000000003E-2</v>
      </c>
      <c r="G43" s="597"/>
      <c r="H43" s="1644">
        <f>SUM(H36:H38,H39:H41)*$F43</f>
        <v>-25995017.259100001</v>
      </c>
      <c r="I43" s="1644">
        <f>SUM(I36:I38,I39:I41)*$F43</f>
        <v>-25312789.823900003</v>
      </c>
      <c r="K43" s="1930"/>
      <c r="L43" s="597"/>
      <c r="M43" s="1930"/>
      <c r="N43" s="597"/>
      <c r="O43" s="1931" t="s">
        <v>2325</v>
      </c>
      <c r="P43" s="597"/>
      <c r="Q43" s="1930">
        <f>AC22</f>
        <v>-1.7000000000000001E-2</v>
      </c>
      <c r="R43" s="597"/>
      <c r="S43" s="1645"/>
      <c r="T43" s="1645"/>
      <c r="U43" s="1645"/>
      <c r="V43" s="1645"/>
      <c r="W43" s="1645"/>
      <c r="X43" s="1645"/>
      <c r="Y43" s="1644">
        <f>Q43*SUM(Y29:Y33,Y41)</f>
        <v>-10707890.011</v>
      </c>
      <c r="AA43" s="1932" t="s">
        <v>1940</v>
      </c>
      <c r="AB43" s="1932"/>
      <c r="AC43" s="1932"/>
      <c r="AD43" s="1932"/>
      <c r="AI43" s="2023">
        <f>W43-'Blocking-Step2'!W43</f>
        <v>0</v>
      </c>
      <c r="AJ43" s="2054">
        <f>O43-'Blocking-Step2'!O43</f>
        <v>0</v>
      </c>
    </row>
    <row r="44" spans="1:36">
      <c r="A44" s="1116" t="s">
        <v>1317</v>
      </c>
      <c r="C44" s="584">
        <f>'123'!AX15</f>
        <v>-325220</v>
      </c>
      <c r="D44" s="528">
        <f>ROUND(C44/($C$45-$C$42)*$D$45,0)</f>
        <v>-316213</v>
      </c>
      <c r="F44" s="1930"/>
      <c r="G44" s="597"/>
      <c r="H44" s="1644"/>
      <c r="I44" s="1644"/>
      <c r="K44" s="1930"/>
      <c r="L44" s="597"/>
      <c r="M44" s="1930"/>
      <c r="N44" s="597"/>
      <c r="O44" s="1931"/>
      <c r="P44" s="597"/>
      <c r="Q44" s="1930">
        <f>AC23</f>
        <v>0</v>
      </c>
      <c r="R44" s="597"/>
      <c r="S44" s="1645"/>
      <c r="T44" s="1645"/>
      <c r="U44" s="1645"/>
      <c r="V44" s="1645"/>
      <c r="W44" s="1645"/>
      <c r="X44" s="1645"/>
      <c r="Y44" s="1644">
        <f>Q44*SUM(Y29:Y33,Y41)</f>
        <v>0</v>
      </c>
      <c r="AA44" s="1933" t="s">
        <v>1660</v>
      </c>
      <c r="AB44" s="1933" t="s">
        <v>1661</v>
      </c>
      <c r="AC44" s="1933" t="s">
        <v>1662</v>
      </c>
      <c r="AD44" s="1933" t="s">
        <v>93</v>
      </c>
      <c r="AI44" s="2023">
        <f>W44-'Blocking-Step2'!W44</f>
        <v>0</v>
      </c>
      <c r="AJ44" s="2054">
        <f>O44-'Blocking-Step2'!O44</f>
        <v>0</v>
      </c>
    </row>
    <row r="45" spans="1:36" s="596" customFormat="1" ht="16.5" thickBot="1">
      <c r="A45" s="1900" t="s">
        <v>247</v>
      </c>
      <c r="B45" s="1869"/>
      <c r="C45" s="1934">
        <f>SUM(C36:C44)</f>
        <v>6524019560.9562616</v>
      </c>
      <c r="D45" s="1934">
        <f>Energy!P7</f>
        <v>6307369906.5283775</v>
      </c>
      <c r="F45" s="1935"/>
      <c r="H45" s="1646">
        <f>SUM(H12:H43)</f>
        <v>698656993.74090004</v>
      </c>
      <c r="I45" s="1646">
        <f>SUM(I12:I43)</f>
        <v>678380166.17610002</v>
      </c>
      <c r="K45" s="1935"/>
      <c r="M45" s="1935"/>
      <c r="O45" s="1935"/>
      <c r="Q45" s="1935"/>
      <c r="S45" s="1154">
        <f>($Y45-$W45)*AA45/(AA45+AB45)</f>
        <v>358749843.23186934</v>
      </c>
      <c r="T45" s="1154"/>
      <c r="U45" s="1154">
        <f>Y45-S45-W45</f>
        <v>230807219.76813066</v>
      </c>
      <c r="V45" s="1154"/>
      <c r="W45" s="1154">
        <f>SUM(W13:W44)</f>
        <v>125076708</v>
      </c>
      <c r="X45" s="1637"/>
      <c r="Y45" s="1646">
        <f>SUM(Y13:Y42)</f>
        <v>714633771</v>
      </c>
      <c r="Z45" s="1936"/>
      <c r="AA45" s="1937">
        <f>'Unit Cost Target'!$D$87+'Unit Cost Target'!$D$123+'Unit Cost Target'!$D$129+'Unit Cost Target'!$D$75+'Unit Cost Target'!$D$81</f>
        <v>408096277.92421371</v>
      </c>
      <c r="AB45" s="1937">
        <f>'Unit Cost Target'!$D$45+'Unit Cost Target'!$D$51</f>
        <v>262555006.17607713</v>
      </c>
      <c r="AC45" s="1937">
        <f>'Unit Cost Target'!$D$33+'Unit Cost Target'!$D$39+'Unit Cost Target'!$D$63+'Unit Cost Target'!$D$69</f>
        <v>140170458.5448795</v>
      </c>
      <c r="AD45" s="1937">
        <f>SUM(AA45:AC45)</f>
        <v>810821742.64517021</v>
      </c>
      <c r="AE45" s="1937">
        <f>AD45-'Unit Cost Target'!$D$21</f>
        <v>0</v>
      </c>
      <c r="AI45" s="2023">
        <f>W45-'Blocking-Step2'!W45</f>
        <v>549.76215130090714</v>
      </c>
      <c r="AJ45" s="2054">
        <f>O45-'Blocking-Step2'!O45</f>
        <v>0</v>
      </c>
    </row>
    <row r="46" spans="1:36" ht="16.5" thickTop="1">
      <c r="C46" s="528"/>
      <c r="D46" s="528"/>
      <c r="AA46" s="1938">
        <f>S45-SUM(S13:S44)</f>
        <v>-1314.7681306600571</v>
      </c>
      <c r="AB46" s="1938">
        <f>U45-SUM(U13:U44)</f>
        <v>1312.7681306600571</v>
      </c>
      <c r="AC46" s="1938">
        <f>W45-SUM(W13:W44)</f>
        <v>0</v>
      </c>
      <c r="AD46" s="1938">
        <f>SUM(AA46:AC46)</f>
        <v>-2</v>
      </c>
      <c r="AE46" s="1937"/>
      <c r="AI46" s="2023">
        <f>W46-'Blocking-Step2'!W46</f>
        <v>0</v>
      </c>
      <c r="AJ46" s="2054">
        <f>O46-'Blocking-Step2'!O46</f>
        <v>0</v>
      </c>
    </row>
    <row r="47" spans="1:36">
      <c r="A47" s="1897" t="s">
        <v>932</v>
      </c>
      <c r="C47" s="528"/>
      <c r="D47" s="528"/>
      <c r="AA47" s="1937"/>
      <c r="AB47" s="1937"/>
      <c r="AC47" s="1937"/>
      <c r="AD47" s="1937"/>
      <c r="AI47" s="2023">
        <f>W47-'Blocking-Step2'!W47</f>
        <v>0</v>
      </c>
      <c r="AJ47" s="2054">
        <f>O47-'Blocking-Step2'!O47</f>
        <v>0</v>
      </c>
    </row>
    <row r="48" spans="1:36">
      <c r="A48" s="1900" t="s">
        <v>685</v>
      </c>
      <c r="C48" s="528">
        <f>'123'!F16</f>
        <v>4580.7333333333299</v>
      </c>
      <c r="D48" s="528">
        <f>ROUND(Bill!P8*C48/(C48+C85),0)</f>
        <v>4350</v>
      </c>
      <c r="F48" s="1901"/>
      <c r="G48" s="1902"/>
      <c r="H48" s="1644"/>
      <c r="I48" s="1644"/>
      <c r="K48" s="1901"/>
      <c r="L48" s="1902"/>
      <c r="M48" s="1901"/>
      <c r="N48" s="1902"/>
      <c r="O48" s="1901"/>
      <c r="P48" s="1902"/>
      <c r="Q48" s="1901"/>
      <c r="R48" s="1902"/>
      <c r="S48" s="1643"/>
      <c r="T48" s="1643"/>
      <c r="U48" s="1643"/>
      <c r="V48" s="1643"/>
      <c r="W48" s="1643"/>
      <c r="X48" s="1643"/>
      <c r="Y48" s="1644"/>
      <c r="AA48" s="1937"/>
      <c r="AB48" s="1937"/>
      <c r="AC48" s="1937"/>
      <c r="AD48" s="1937"/>
      <c r="AI48" s="2023">
        <f>W48-'Blocking-Step2'!W48</f>
        <v>0</v>
      </c>
      <c r="AJ48" s="2054">
        <f>O48-'Blocking-Step2'!O48</f>
        <v>0</v>
      </c>
    </row>
    <row r="49" spans="1:36">
      <c r="A49" s="1900" t="s">
        <v>683</v>
      </c>
      <c r="C49" s="528">
        <f>'123'!G16</f>
        <v>4568.7333333333299</v>
      </c>
      <c r="D49" s="528">
        <f>ROUND(C49/$C$48*$D$48,0)</f>
        <v>4339</v>
      </c>
      <c r="F49" s="1901">
        <v>6</v>
      </c>
      <c r="G49" s="1902"/>
      <c r="H49" s="1644">
        <f t="shared" ref="H49:I63" si="9">ROUND($F49*C49,0)</f>
        <v>27412</v>
      </c>
      <c r="I49" s="1644">
        <f t="shared" si="9"/>
        <v>26034</v>
      </c>
      <c r="K49" s="1901"/>
      <c r="L49" s="1902"/>
      <c r="M49" s="1901"/>
      <c r="N49" s="1902"/>
      <c r="O49" s="1901"/>
      <c r="P49" s="1902"/>
      <c r="Q49" s="1901"/>
      <c r="R49" s="1902"/>
      <c r="S49" s="1643"/>
      <c r="T49" s="1643"/>
      <c r="U49" s="1643"/>
      <c r="V49" s="1643"/>
      <c r="W49" s="1643"/>
      <c r="X49" s="1643"/>
      <c r="Y49" s="1644"/>
      <c r="AI49" s="2023">
        <f>W49-'Blocking-Step2'!W49</f>
        <v>0</v>
      </c>
      <c r="AJ49" s="2054">
        <f>O49-'Blocking-Step2'!O49</f>
        <v>0</v>
      </c>
    </row>
    <row r="50" spans="1:36">
      <c r="A50" s="1900" t="s">
        <v>1581</v>
      </c>
      <c r="C50" s="528">
        <f>C49-C51</f>
        <v>3549.7999999999956</v>
      </c>
      <c r="D50" s="528">
        <f>D49-D51</f>
        <v>3371</v>
      </c>
      <c r="F50" s="1901"/>
      <c r="G50" s="1902"/>
      <c r="H50" s="1644"/>
      <c r="I50" s="1644"/>
      <c r="K50" s="1901">
        <f>K13</f>
        <v>10</v>
      </c>
      <c r="L50" s="1902"/>
      <c r="M50" s="1901">
        <f>M13</f>
        <v>0</v>
      </c>
      <c r="N50" s="1902"/>
      <c r="O50" s="1901">
        <f>O13</f>
        <v>0</v>
      </c>
      <c r="P50" s="1902"/>
      <c r="Q50" s="1901">
        <f>Q13</f>
        <v>10</v>
      </c>
      <c r="R50" s="1902"/>
      <c r="S50" s="1644">
        <f>ROUND($D50*K50,0)</f>
        <v>33710</v>
      </c>
      <c r="T50" s="1643"/>
      <c r="U50" s="1644">
        <f>ROUND($D50*M50,0)</f>
        <v>0</v>
      </c>
      <c r="V50" s="1643"/>
      <c r="W50" s="1644">
        <f>ROUND($D50*O50,0)</f>
        <v>0</v>
      </c>
      <c r="X50" s="1643"/>
      <c r="Y50" s="1644">
        <f>ROUND($D50*Q50,0)</f>
        <v>33710</v>
      </c>
      <c r="AI50" s="2023">
        <f>W50-'Blocking-Step2'!W50</f>
        <v>0</v>
      </c>
      <c r="AJ50" s="2054">
        <f>O50-'Blocking-Step2'!O50</f>
        <v>0</v>
      </c>
    </row>
    <row r="51" spans="1:36">
      <c r="A51" s="1900" t="s">
        <v>1582</v>
      </c>
      <c r="C51" s="528">
        <f>'123'!AN16</f>
        <v>1018.9333333333341</v>
      </c>
      <c r="D51" s="528">
        <f>ROUND(C51/C49*D49,0)</f>
        <v>968</v>
      </c>
      <c r="F51" s="1901"/>
      <c r="G51" s="1902"/>
      <c r="H51" s="1644"/>
      <c r="I51" s="1644"/>
      <c r="K51" s="1901">
        <f>K14</f>
        <v>6</v>
      </c>
      <c r="L51" s="1902"/>
      <c r="M51" s="1901">
        <f>M14</f>
        <v>0</v>
      </c>
      <c r="N51" s="1902"/>
      <c r="O51" s="1901">
        <f>O14</f>
        <v>0</v>
      </c>
      <c r="P51" s="1902"/>
      <c r="Q51" s="1901">
        <f>Q14</f>
        <v>6</v>
      </c>
      <c r="R51" s="1902"/>
      <c r="S51" s="1644">
        <f>ROUND($D51*K51,0)</f>
        <v>5808</v>
      </c>
      <c r="T51" s="1643"/>
      <c r="U51" s="1644">
        <f>ROUND($D51*M51,0)</f>
        <v>0</v>
      </c>
      <c r="V51" s="1643"/>
      <c r="W51" s="1644">
        <f>ROUND($D51*O51,0)</f>
        <v>0</v>
      </c>
      <c r="X51" s="1643"/>
      <c r="Y51" s="1644">
        <f>ROUND($D51*Q51,0)</f>
        <v>5808</v>
      </c>
      <c r="AI51" s="2023">
        <f>W51-'Blocking-Step2'!W51</f>
        <v>0</v>
      </c>
      <c r="AJ51" s="2054">
        <f>O51-'Blocking-Step2'!O51</f>
        <v>0</v>
      </c>
    </row>
    <row r="52" spans="1:36">
      <c r="A52" s="1900" t="s">
        <v>684</v>
      </c>
      <c r="C52" s="528">
        <f>'123'!H16</f>
        <v>12</v>
      </c>
      <c r="D52" s="528">
        <f>D48-D49</f>
        <v>11</v>
      </c>
      <c r="F52" s="1901">
        <v>12</v>
      </c>
      <c r="G52" s="1902"/>
      <c r="H52" s="1644">
        <f t="shared" si="9"/>
        <v>144</v>
      </c>
      <c r="I52" s="1644">
        <f t="shared" si="9"/>
        <v>132</v>
      </c>
      <c r="K52" s="1901"/>
      <c r="L52" s="1902"/>
      <c r="M52" s="1901"/>
      <c r="N52" s="1902"/>
      <c r="O52" s="1901"/>
      <c r="P52" s="1902"/>
      <c r="Q52" s="1901"/>
      <c r="R52" s="1902"/>
      <c r="S52" s="1644"/>
      <c r="T52" s="1643"/>
      <c r="U52" s="1644"/>
      <c r="V52" s="1643"/>
      <c r="W52" s="1644"/>
      <c r="X52" s="1643"/>
      <c r="Y52" s="1644"/>
      <c r="AI52" s="2023">
        <f>W52-'Blocking-Step2'!W52</f>
        <v>0</v>
      </c>
      <c r="AJ52" s="2054">
        <f>O52-'Blocking-Step2'!O52</f>
        <v>0</v>
      </c>
    </row>
    <row r="53" spans="1:36">
      <c r="A53" s="1900" t="s">
        <v>1581</v>
      </c>
      <c r="C53" s="528">
        <f>C52-C54</f>
        <v>12</v>
      </c>
      <c r="D53" s="528">
        <f>D52-D54</f>
        <v>11</v>
      </c>
      <c r="F53" s="1901"/>
      <c r="G53" s="1902"/>
      <c r="H53" s="1644"/>
      <c r="I53" s="1644"/>
      <c r="K53" s="1901">
        <f>K16</f>
        <v>20</v>
      </c>
      <c r="L53" s="1902"/>
      <c r="M53" s="1901">
        <f>M16</f>
        <v>0</v>
      </c>
      <c r="N53" s="1902"/>
      <c r="O53" s="1901">
        <f>O16</f>
        <v>0</v>
      </c>
      <c r="P53" s="1902"/>
      <c r="Q53" s="1901">
        <f>Q16</f>
        <v>20</v>
      </c>
      <c r="R53" s="1902"/>
      <c r="S53" s="1644">
        <f t="shared" ref="S53:S56" si="10">ROUND($D53*K53,0)</f>
        <v>220</v>
      </c>
      <c r="T53" s="1643"/>
      <c r="U53" s="1644">
        <f t="shared" ref="U53:Y56" si="11">ROUND($D53*M53,0)</f>
        <v>0</v>
      </c>
      <c r="V53" s="1643"/>
      <c r="W53" s="1644">
        <f t="shared" si="11"/>
        <v>0</v>
      </c>
      <c r="X53" s="1643"/>
      <c r="Y53" s="1644">
        <f t="shared" si="11"/>
        <v>220</v>
      </c>
      <c r="AI53" s="2023">
        <f>W53-'Blocking-Step2'!W53</f>
        <v>0</v>
      </c>
      <c r="AJ53" s="2054">
        <f>O53-'Blocking-Step2'!O53</f>
        <v>0</v>
      </c>
    </row>
    <row r="54" spans="1:36">
      <c r="A54" s="1900" t="s">
        <v>1582</v>
      </c>
      <c r="C54" s="528">
        <f>'123'!AO16</f>
        <v>0</v>
      </c>
      <c r="D54" s="528">
        <f>ROUND(C54/C52*D52,0)</f>
        <v>0</v>
      </c>
      <c r="F54" s="1901"/>
      <c r="G54" s="1902"/>
      <c r="H54" s="1644"/>
      <c r="I54" s="1644"/>
      <c r="K54" s="1901">
        <f>K17</f>
        <v>12</v>
      </c>
      <c r="L54" s="1902"/>
      <c r="M54" s="1901">
        <f>M17</f>
        <v>0</v>
      </c>
      <c r="N54" s="1902"/>
      <c r="O54" s="1901">
        <f>O17</f>
        <v>0</v>
      </c>
      <c r="P54" s="1902"/>
      <c r="Q54" s="1901">
        <f>Q17</f>
        <v>12</v>
      </c>
      <c r="R54" s="1902"/>
      <c r="S54" s="1644">
        <f t="shared" si="10"/>
        <v>0</v>
      </c>
      <c r="T54" s="1643"/>
      <c r="U54" s="1644">
        <f t="shared" si="11"/>
        <v>0</v>
      </c>
      <c r="V54" s="1643"/>
      <c r="W54" s="1644">
        <f t="shared" si="11"/>
        <v>0</v>
      </c>
      <c r="X54" s="1643"/>
      <c r="Y54" s="1644">
        <f t="shared" si="11"/>
        <v>0</v>
      </c>
      <c r="AI54" s="2023">
        <f>W54-'Blocking-Step2'!W54</f>
        <v>0</v>
      </c>
      <c r="AJ54" s="2054">
        <f>O54-'Blocking-Step2'!O54</f>
        <v>0</v>
      </c>
    </row>
    <row r="55" spans="1:36">
      <c r="A55" s="1900" t="s">
        <v>1236</v>
      </c>
      <c r="C55" s="528">
        <f>'123'!AE16</f>
        <v>0</v>
      </c>
      <c r="D55" s="528">
        <f>ROUND(C55/$C$48*$D$48,0)</f>
        <v>0</v>
      </c>
      <c r="F55" s="1901">
        <v>2</v>
      </c>
      <c r="G55" s="1902"/>
      <c r="H55" s="1644">
        <f t="shared" si="9"/>
        <v>0</v>
      </c>
      <c r="I55" s="1644">
        <f t="shared" si="9"/>
        <v>0</v>
      </c>
      <c r="K55" s="1901">
        <f t="shared" ref="K55:K56" si="12">K18</f>
        <v>2</v>
      </c>
      <c r="L55" s="1902"/>
      <c r="M55" s="1901">
        <f t="shared" ref="M55:M56" si="13">M18</f>
        <v>0</v>
      </c>
      <c r="N55" s="1902"/>
      <c r="O55" s="1901">
        <f t="shared" ref="O55:O56" si="14">O18</f>
        <v>0</v>
      </c>
      <c r="P55" s="1902"/>
      <c r="Q55" s="1901">
        <f t="shared" ref="Q55:Q56" si="15">Q18</f>
        <v>2</v>
      </c>
      <c r="R55" s="1902"/>
      <c r="S55" s="1644">
        <f t="shared" si="10"/>
        <v>0</v>
      </c>
      <c r="T55" s="1643"/>
      <c r="U55" s="1644">
        <f t="shared" si="11"/>
        <v>0</v>
      </c>
      <c r="V55" s="1643"/>
      <c r="W55" s="1644">
        <f t="shared" si="11"/>
        <v>0</v>
      </c>
      <c r="X55" s="1643"/>
      <c r="Y55" s="1644">
        <f t="shared" si="11"/>
        <v>0</v>
      </c>
      <c r="AI55" s="2023">
        <f>W55-'Blocking-Step2'!W55</f>
        <v>0</v>
      </c>
      <c r="AJ55" s="2054">
        <f>O55-'Blocking-Step2'!O55</f>
        <v>0</v>
      </c>
    </row>
    <row r="56" spans="1:36">
      <c r="A56" s="1900" t="s">
        <v>1301</v>
      </c>
      <c r="C56" s="528">
        <f>'123'!AM16</f>
        <v>0</v>
      </c>
      <c r="D56" s="528">
        <f t="shared" ref="D56:D63" si="16">ROUND(C56/$C$48*$D$48,0)</f>
        <v>0</v>
      </c>
      <c r="F56" s="1901">
        <v>22</v>
      </c>
      <c r="G56" s="1902"/>
      <c r="H56" s="1644">
        <f t="shared" si="9"/>
        <v>0</v>
      </c>
      <c r="I56" s="1644">
        <f t="shared" si="9"/>
        <v>0</v>
      </c>
      <c r="K56" s="1901">
        <f t="shared" si="12"/>
        <v>22</v>
      </c>
      <c r="L56" s="1902"/>
      <c r="M56" s="1901">
        <f t="shared" si="13"/>
        <v>0</v>
      </c>
      <c r="N56" s="1902"/>
      <c r="O56" s="1901">
        <f t="shared" si="14"/>
        <v>0</v>
      </c>
      <c r="P56" s="1902"/>
      <c r="Q56" s="1901">
        <f t="shared" si="15"/>
        <v>22</v>
      </c>
      <c r="R56" s="1902"/>
      <c r="S56" s="1644">
        <f t="shared" si="10"/>
        <v>0</v>
      </c>
      <c r="T56" s="1643"/>
      <c r="U56" s="1644">
        <f t="shared" si="11"/>
        <v>0</v>
      </c>
      <c r="V56" s="1643"/>
      <c r="W56" s="1644">
        <f t="shared" si="11"/>
        <v>0</v>
      </c>
      <c r="X56" s="1643"/>
      <c r="Y56" s="1644">
        <f t="shared" si="11"/>
        <v>0</v>
      </c>
      <c r="AI56" s="2023">
        <f>W56-'Blocking-Step2'!W56</f>
        <v>0</v>
      </c>
      <c r="AJ56" s="2054">
        <f>O56-'Blocking-Step2'!O56</f>
        <v>0</v>
      </c>
    </row>
    <row r="57" spans="1:36">
      <c r="A57" s="1900" t="s">
        <v>243</v>
      </c>
      <c r="C57" s="528">
        <f>'123'!I16</f>
        <v>9.9312500000000004</v>
      </c>
      <c r="D57" s="528">
        <f t="shared" si="16"/>
        <v>9</v>
      </c>
      <c r="F57" s="1901">
        <v>8</v>
      </c>
      <c r="G57" s="1902"/>
      <c r="H57" s="1644">
        <f t="shared" si="9"/>
        <v>79</v>
      </c>
      <c r="I57" s="1644">
        <f t="shared" si="9"/>
        <v>72</v>
      </c>
      <c r="K57" s="1901"/>
      <c r="L57" s="1902"/>
      <c r="M57" s="1901"/>
      <c r="N57" s="1902"/>
      <c r="O57" s="1901"/>
      <c r="P57" s="1902"/>
      <c r="Q57" s="1901"/>
      <c r="R57" s="1902"/>
      <c r="S57" s="1644"/>
      <c r="T57" s="1643"/>
      <c r="U57" s="1644"/>
      <c r="V57" s="1643"/>
      <c r="W57" s="1644"/>
      <c r="X57" s="1643"/>
      <c r="Y57" s="1644"/>
      <c r="AI57" s="2023">
        <f>W57-'Blocking-Step2'!W57</f>
        <v>0</v>
      </c>
      <c r="AJ57" s="2054">
        <f>O57-'Blocking-Step2'!O57</f>
        <v>0</v>
      </c>
    </row>
    <row r="58" spans="1:36">
      <c r="A58" s="1900" t="s">
        <v>1581</v>
      </c>
      <c r="C58" s="528">
        <f>C57-C59</f>
        <v>5.5075000000000003</v>
      </c>
      <c r="D58" s="528">
        <f>D57-D59</f>
        <v>5</v>
      </c>
      <c r="F58" s="1901"/>
      <c r="G58" s="1902"/>
      <c r="H58" s="1644"/>
      <c r="I58" s="1644"/>
      <c r="K58" s="1901"/>
      <c r="L58" s="1902"/>
      <c r="M58" s="1901"/>
      <c r="N58" s="1902"/>
      <c r="O58" s="1901"/>
      <c r="P58" s="1902"/>
      <c r="Q58" s="1901"/>
      <c r="R58" s="1902"/>
      <c r="S58" s="1644"/>
      <c r="T58" s="1643"/>
      <c r="U58" s="1644"/>
      <c r="V58" s="1643"/>
      <c r="W58" s="1644"/>
      <c r="X58" s="1643"/>
      <c r="Y58" s="1644"/>
      <c r="AI58" s="2023">
        <f>W58-'Blocking-Step2'!W58</f>
        <v>0</v>
      </c>
      <c r="AJ58" s="2054">
        <f>O58-'Blocking-Step2'!O58</f>
        <v>0</v>
      </c>
    </row>
    <row r="59" spans="1:36">
      <c r="A59" s="1900" t="s">
        <v>1582</v>
      </c>
      <c r="C59" s="528">
        <f>'123'!AP16</f>
        <v>4.4237500000000001</v>
      </c>
      <c r="D59" s="528">
        <f>ROUND(C59/C57*D57,0)</f>
        <v>4</v>
      </c>
      <c r="F59" s="1901"/>
      <c r="G59" s="1902"/>
      <c r="H59" s="1644"/>
      <c r="I59" s="1644"/>
      <c r="K59" s="1901"/>
      <c r="L59" s="1902"/>
      <c r="M59" s="1901"/>
      <c r="N59" s="1902"/>
      <c r="O59" s="1901"/>
      <c r="P59" s="1902"/>
      <c r="Q59" s="1901"/>
      <c r="R59" s="1902"/>
      <c r="S59" s="1644"/>
      <c r="T59" s="1643"/>
      <c r="U59" s="1644"/>
      <c r="V59" s="1643"/>
      <c r="W59" s="1644"/>
      <c r="X59" s="1643"/>
      <c r="Y59" s="1644"/>
      <c r="AI59" s="2023">
        <f>W59-'Blocking-Step2'!W59</f>
        <v>0</v>
      </c>
      <c r="AJ59" s="2054">
        <f>O59-'Blocking-Step2'!O59</f>
        <v>0</v>
      </c>
    </row>
    <row r="60" spans="1:36" s="596" customFormat="1">
      <c r="A60" s="1900" t="s">
        <v>244</v>
      </c>
      <c r="B60" s="1869"/>
      <c r="C60" s="528">
        <f>'123'!J16</f>
        <v>0</v>
      </c>
      <c r="D60" s="528">
        <f t="shared" si="16"/>
        <v>0</v>
      </c>
      <c r="F60" s="1901">
        <v>16</v>
      </c>
      <c r="G60" s="1902"/>
      <c r="H60" s="1644">
        <f t="shared" si="9"/>
        <v>0</v>
      </c>
      <c r="I60" s="1644">
        <f t="shared" si="9"/>
        <v>0</v>
      </c>
      <c r="K60" s="1901"/>
      <c r="L60" s="1902"/>
      <c r="M60" s="1901"/>
      <c r="N60" s="1902"/>
      <c r="O60" s="1901"/>
      <c r="P60" s="1902"/>
      <c r="Q60" s="1901"/>
      <c r="R60" s="1902"/>
      <c r="S60" s="1644"/>
      <c r="T60" s="1643"/>
      <c r="U60" s="1644"/>
      <c r="V60" s="1643"/>
      <c r="W60" s="1644"/>
      <c r="X60" s="1643"/>
      <c r="Y60" s="1644"/>
      <c r="Z60" s="1936"/>
      <c r="AI60" s="2023">
        <f>W60-'Blocking-Step2'!W60</f>
        <v>0</v>
      </c>
      <c r="AJ60" s="2054">
        <f>O60-'Blocking-Step2'!O60</f>
        <v>0</v>
      </c>
    </row>
    <row r="61" spans="1:36">
      <c r="A61" s="1900" t="s">
        <v>1581</v>
      </c>
      <c r="C61" s="528">
        <f>C60-C62</f>
        <v>0</v>
      </c>
      <c r="D61" s="528">
        <v>0</v>
      </c>
      <c r="F61" s="1901"/>
      <c r="G61" s="1902"/>
      <c r="H61" s="1644"/>
      <c r="I61" s="1644"/>
      <c r="K61" s="1901"/>
      <c r="L61" s="1902"/>
      <c r="M61" s="1901"/>
      <c r="N61" s="1902"/>
      <c r="O61" s="1901"/>
      <c r="P61" s="1902"/>
      <c r="Q61" s="1901"/>
      <c r="R61" s="1902"/>
      <c r="S61" s="1644"/>
      <c r="T61" s="1643"/>
      <c r="U61" s="1644"/>
      <c r="V61" s="1643"/>
      <c r="W61" s="1644"/>
      <c r="X61" s="1643"/>
      <c r="Y61" s="1644"/>
      <c r="AI61" s="2023">
        <f>W61-'Blocking-Step2'!W61</f>
        <v>0</v>
      </c>
      <c r="AJ61" s="2054">
        <f>O61-'Blocking-Step2'!O61</f>
        <v>0</v>
      </c>
    </row>
    <row r="62" spans="1:36">
      <c r="A62" s="1900" t="s">
        <v>1582</v>
      </c>
      <c r="C62" s="528">
        <f>'123'!AQ16</f>
        <v>0</v>
      </c>
      <c r="D62" s="528">
        <v>0</v>
      </c>
      <c r="F62" s="1901"/>
      <c r="G62" s="1902"/>
      <c r="H62" s="1644"/>
      <c r="I62" s="1644"/>
      <c r="K62" s="1901"/>
      <c r="L62" s="1902"/>
      <c r="M62" s="1901"/>
      <c r="N62" s="1902"/>
      <c r="O62" s="1901"/>
      <c r="P62" s="1902"/>
      <c r="Q62" s="1901"/>
      <c r="R62" s="1902"/>
      <c r="S62" s="1644"/>
      <c r="T62" s="1643"/>
      <c r="U62" s="1644"/>
      <c r="V62" s="1643"/>
      <c r="W62" s="1644"/>
      <c r="X62" s="1643"/>
      <c r="Y62" s="1644"/>
      <c r="AI62" s="2023">
        <f>W62-'Blocking-Step2'!W62</f>
        <v>0</v>
      </c>
      <c r="AJ62" s="2054">
        <f>O62-'Blocking-Step2'!O62</f>
        <v>0</v>
      </c>
    </row>
    <row r="63" spans="1:36" s="596" customFormat="1">
      <c r="A63" s="1900" t="s">
        <v>245</v>
      </c>
      <c r="B63" s="1869"/>
      <c r="C63" s="528">
        <f>'123'!AL16</f>
        <v>0</v>
      </c>
      <c r="D63" s="528">
        <f t="shared" si="16"/>
        <v>0</v>
      </c>
      <c r="F63" s="1901">
        <v>96</v>
      </c>
      <c r="G63" s="1902"/>
      <c r="H63" s="1644">
        <f t="shared" si="9"/>
        <v>0</v>
      </c>
      <c r="I63" s="1644">
        <f t="shared" si="9"/>
        <v>0</v>
      </c>
      <c r="K63" s="1901"/>
      <c r="L63" s="1902"/>
      <c r="M63" s="1901"/>
      <c r="N63" s="1902"/>
      <c r="O63" s="1901"/>
      <c r="P63" s="1902"/>
      <c r="Q63" s="1901"/>
      <c r="R63" s="1902"/>
      <c r="S63" s="1644"/>
      <c r="T63" s="1643"/>
      <c r="U63" s="1644"/>
      <c r="V63" s="1643"/>
      <c r="W63" s="1644"/>
      <c r="X63" s="1643"/>
      <c r="Y63" s="1644"/>
      <c r="Z63" s="1936"/>
      <c r="AA63" s="1104"/>
      <c r="AB63" s="1919"/>
      <c r="AI63" s="2023">
        <f>W63-'Blocking-Step2'!W63</f>
        <v>0</v>
      </c>
      <c r="AJ63" s="2054">
        <f>O63-'Blocking-Step2'!O63</f>
        <v>0</v>
      </c>
    </row>
    <row r="64" spans="1:36">
      <c r="A64" s="1900" t="s">
        <v>1532</v>
      </c>
      <c r="C64" s="528">
        <f>'123'!S16+TempRevMay!C315+'123May'!J16</f>
        <v>263196.06186238333</v>
      </c>
      <c r="D64" s="528">
        <f>ROUND(C64/SUM($C$66:$C$68)*($D$82/($D$82+$D$111)*Energy!$S$8*(1-1/Energy!$P$8*($D$78+$D$81))),0)</f>
        <v>258230</v>
      </c>
      <c r="F64" s="1920"/>
      <c r="G64" s="1921"/>
      <c r="H64" s="1644"/>
      <c r="I64" s="1644"/>
      <c r="K64" s="1920">
        <f>K27</f>
        <v>0</v>
      </c>
      <c r="L64" s="1921" t="s">
        <v>495</v>
      </c>
      <c r="M64" s="1920">
        <f>M27</f>
        <v>0</v>
      </c>
      <c r="N64" s="1921" t="s">
        <v>495</v>
      </c>
      <c r="O64" s="1920">
        <f>O27</f>
        <v>4.3559999999999999</v>
      </c>
      <c r="P64" s="1921" t="s">
        <v>495</v>
      </c>
      <c r="Q64" s="1920">
        <f>Q27</f>
        <v>4.3559999999999999</v>
      </c>
      <c r="R64" s="1921" t="s">
        <v>495</v>
      </c>
      <c r="S64" s="1644">
        <f>ROUND($D64*K64/100,0)</f>
        <v>0</v>
      </c>
      <c r="T64" s="1656"/>
      <c r="U64" s="1644">
        <f>ROUND($D64*M64/100,0)</f>
        <v>0</v>
      </c>
      <c r="V64" s="1656"/>
      <c r="W64" s="1644">
        <f>ROUND($D64*O64/100,0)</f>
        <v>11248</v>
      </c>
      <c r="X64" s="1648"/>
      <c r="Y64" s="1644">
        <f>ROUND($D64*Q64/100,0)</f>
        <v>11248</v>
      </c>
      <c r="AA64" s="1104"/>
      <c r="AB64" s="1919"/>
      <c r="AI64" s="2023">
        <f>W64-'Blocking-Step2'!W64</f>
        <v>0</v>
      </c>
      <c r="AJ64" s="2054">
        <f>O64-'Blocking-Step2'!O64</f>
        <v>0</v>
      </c>
    </row>
    <row r="65" spans="1:36">
      <c r="A65" s="1900" t="s">
        <v>1533</v>
      </c>
      <c r="C65" s="528">
        <f>'123'!T16+TempRevMay!C316+'123May'!K16</f>
        <v>841159.57580179488</v>
      </c>
      <c r="D65" s="528">
        <f>ROUND(C65/SUM($C$66:$C$68)*($D$82/($D$82+$D$111)*Energy!$S$8*(1-1/Energy!$P$8*($D$78+$D$81))),0)</f>
        <v>825288</v>
      </c>
      <c r="F65" s="1920"/>
      <c r="G65" s="1921"/>
      <c r="H65" s="1644"/>
      <c r="I65" s="1644"/>
      <c r="K65" s="1920">
        <f t="shared" ref="K65:K70" si="17">K28</f>
        <v>0</v>
      </c>
      <c r="L65" s="1921" t="s">
        <v>495</v>
      </c>
      <c r="M65" s="1920">
        <f t="shared" ref="M65:M70" si="18">M28</f>
        <v>0</v>
      </c>
      <c r="N65" s="1921" t="s">
        <v>495</v>
      </c>
      <c r="O65" s="1920">
        <f t="shared" ref="O65:O70" si="19">O28</f>
        <v>-1.6334</v>
      </c>
      <c r="P65" s="1921" t="s">
        <v>495</v>
      </c>
      <c r="Q65" s="1920">
        <f t="shared" ref="Q65:Q70" si="20">Q28</f>
        <v>-1.6334</v>
      </c>
      <c r="R65" s="1921" t="s">
        <v>495</v>
      </c>
      <c r="S65" s="1644">
        <f>ROUND($D65*K65/100,0)</f>
        <v>0</v>
      </c>
      <c r="T65" s="1656"/>
      <c r="U65" s="1644">
        <f>ROUND($D65*M65/100,0)</f>
        <v>0</v>
      </c>
      <c r="V65" s="1656"/>
      <c r="W65" s="1644">
        <f>ROUND($D65*O65/100,0)</f>
        <v>-13480</v>
      </c>
      <c r="X65" s="1648"/>
      <c r="Y65" s="1644">
        <f>ROUND($D65*Q65/100,0)</f>
        <v>-13480</v>
      </c>
      <c r="AA65" s="1104"/>
      <c r="AB65" s="1919"/>
      <c r="AI65" s="2023">
        <f>W65-'Blocking-Step2'!W65</f>
        <v>0</v>
      </c>
      <c r="AJ65" s="2054">
        <f>O65-'Blocking-Step2'!O65</f>
        <v>0</v>
      </c>
    </row>
    <row r="66" spans="1:36">
      <c r="A66" s="1900" t="s">
        <v>1534</v>
      </c>
      <c r="C66" s="584">
        <f>'123'!P16+'123'!AG16+TempRevMay!C309+'123May'!G16+'123May'!Q16</f>
        <v>505496.57354245015</v>
      </c>
      <c r="D66" s="528">
        <f>D82-SUM(D67:D70,D78:D81)</f>
        <v>495959</v>
      </c>
      <c r="F66" s="1926"/>
      <c r="G66" s="1921"/>
      <c r="H66" s="1644"/>
      <c r="I66" s="1644"/>
      <c r="K66" s="1920">
        <f t="shared" si="17"/>
        <v>4.3437999999999999</v>
      </c>
      <c r="L66" s="1921" t="s">
        <v>495</v>
      </c>
      <c r="M66" s="1920">
        <f t="shared" si="18"/>
        <v>3.6385809960970961</v>
      </c>
      <c r="N66" s="1921" t="s">
        <v>495</v>
      </c>
      <c r="O66" s="1920">
        <f t="shared" si="19"/>
        <v>1.3645863008434289</v>
      </c>
      <c r="P66" s="1921" t="s">
        <v>495</v>
      </c>
      <c r="Q66" s="1920">
        <f t="shared" si="20"/>
        <v>9.3469672969405249</v>
      </c>
      <c r="R66" s="1921" t="s">
        <v>495</v>
      </c>
      <c r="S66" s="1644">
        <f t="shared" ref="S66:S70" si="21">ROUND($D66*K66/100,0)</f>
        <v>21543</v>
      </c>
      <c r="T66" s="1656"/>
      <c r="U66" s="1644">
        <f t="shared" ref="U66:Y70" si="22">ROUND($D66*M66/100,0)</f>
        <v>18046</v>
      </c>
      <c r="V66" s="1656"/>
      <c r="W66" s="1644">
        <f t="shared" si="22"/>
        <v>6768</v>
      </c>
      <c r="X66" s="1648"/>
      <c r="Y66" s="1644">
        <f t="shared" si="22"/>
        <v>46357</v>
      </c>
      <c r="AI66" s="2023">
        <f>W66-'Blocking-Step2'!W66</f>
        <v>0</v>
      </c>
      <c r="AJ66" s="2054">
        <f>O66-'Blocking-Step2'!O66</f>
        <v>0</v>
      </c>
    </row>
    <row r="67" spans="1:36">
      <c r="A67" s="1900" t="s">
        <v>1535</v>
      </c>
      <c r="C67" s="584">
        <f>'123'!Q16+'123'!AH16+TempRevMay!C310+'123May'!H16+'123May'!R16</f>
        <v>415305.77282962773</v>
      </c>
      <c r="D67" s="528">
        <f>ROUND(C67/SUM($C$66:$C$68)*($D$82/($D$82+$D$111)*Energy!$S$8*(1-1/Energy!$P$8*($D$78+$D$81))),0)</f>
        <v>407470</v>
      </c>
      <c r="F67" s="1926"/>
      <c r="G67" s="1921"/>
      <c r="H67" s="1644"/>
      <c r="I67" s="1644"/>
      <c r="K67" s="1920">
        <f t="shared" si="17"/>
        <v>4.3437999999999999</v>
      </c>
      <c r="L67" s="1921" t="s">
        <v>495</v>
      </c>
      <c r="M67" s="1920">
        <f t="shared" si="18"/>
        <v>3.6385809960970956</v>
      </c>
      <c r="N67" s="1921" t="s">
        <v>495</v>
      </c>
      <c r="O67" s="1920">
        <f t="shared" si="19"/>
        <v>4.0576863008434287</v>
      </c>
      <c r="P67" s="1921" t="s">
        <v>495</v>
      </c>
      <c r="Q67" s="1920">
        <f t="shared" si="20"/>
        <v>12.040067296940524</v>
      </c>
      <c r="R67" s="1921" t="s">
        <v>495</v>
      </c>
      <c r="S67" s="1644">
        <f t="shared" si="21"/>
        <v>17700</v>
      </c>
      <c r="T67" s="1656"/>
      <c r="U67" s="1644">
        <f t="shared" si="22"/>
        <v>14826</v>
      </c>
      <c r="V67" s="1656"/>
      <c r="W67" s="1644">
        <f t="shared" si="22"/>
        <v>16534</v>
      </c>
      <c r="X67" s="1648"/>
      <c r="Y67" s="1644">
        <f t="shared" si="22"/>
        <v>49060</v>
      </c>
      <c r="AI67" s="2023">
        <f>W67-'Blocking-Step2'!W67</f>
        <v>0</v>
      </c>
      <c r="AJ67" s="2054">
        <f>O67-'Blocking-Step2'!O67</f>
        <v>0</v>
      </c>
    </row>
    <row r="68" spans="1:36">
      <c r="A68" s="1900" t="s">
        <v>1536</v>
      </c>
      <c r="C68" s="584">
        <f>'123'!R16+'123'!AI16+TempRevMay!C311+'123May'!I16+'123May'!S16</f>
        <v>190083.01295245861</v>
      </c>
      <c r="D68" s="528">
        <f>ROUND(C68/SUM($C$66:$C$68)*($D$82/($D$82+$D$111)*Energy!$S$8*(1-1/Energy!$P$8*($D$78+$D$81))),0)</f>
        <v>186496</v>
      </c>
      <c r="F68" s="1926"/>
      <c r="G68" s="1921"/>
      <c r="H68" s="1644"/>
      <c r="I68" s="1644"/>
      <c r="K68" s="1920">
        <f t="shared" si="17"/>
        <v>4.3437999999999999</v>
      </c>
      <c r="L68" s="1921" t="s">
        <v>495</v>
      </c>
      <c r="M68" s="1920">
        <f t="shared" si="18"/>
        <v>3.6385809960970956</v>
      </c>
      <c r="N68" s="1921" t="s">
        <v>495</v>
      </c>
      <c r="O68" s="1920">
        <f t="shared" si="19"/>
        <v>4.0576863008434287</v>
      </c>
      <c r="P68" s="1921" t="s">
        <v>495</v>
      </c>
      <c r="Q68" s="1920">
        <f t="shared" si="20"/>
        <v>12.040067296940524</v>
      </c>
      <c r="R68" s="1921" t="s">
        <v>495</v>
      </c>
      <c r="S68" s="1644">
        <f t="shared" si="21"/>
        <v>8101</v>
      </c>
      <c r="T68" s="1656"/>
      <c r="U68" s="1644">
        <f t="shared" si="22"/>
        <v>6786</v>
      </c>
      <c r="V68" s="1656"/>
      <c r="W68" s="1644">
        <f t="shared" si="22"/>
        <v>7567</v>
      </c>
      <c r="X68" s="1648"/>
      <c r="Y68" s="1644">
        <f t="shared" si="22"/>
        <v>22454</v>
      </c>
      <c r="AI68" s="2023">
        <f>W68-'Blocking-Step2'!W68</f>
        <v>0</v>
      </c>
      <c r="AJ68" s="2054">
        <f>O68-'Blocking-Step2'!O68</f>
        <v>0</v>
      </c>
    </row>
    <row r="69" spans="1:36">
      <c r="A69" s="1900" t="s">
        <v>1537</v>
      </c>
      <c r="B69" s="1925"/>
      <c r="C69" s="528">
        <f>'123'!M16+'123'!AJ16+TempRevMay!C312+'123May'!D16+'123May'!T16</f>
        <v>1072308.8189568296</v>
      </c>
      <c r="D69" s="528">
        <f>ROUND(C69/SUM($C$69:$C$70)*($D$82/($D$82+$D$111)*Energy!$T$8*(1-1/Energy!$P$8*($D$78+$D$81))),0)</f>
        <v>919695</v>
      </c>
      <c r="E69" s="549"/>
      <c r="F69" s="1926"/>
      <c r="G69" s="1921"/>
      <c r="H69" s="1644"/>
      <c r="I69" s="1644"/>
      <c r="J69" s="549"/>
      <c r="K69" s="1920">
        <f t="shared" si="17"/>
        <v>4.3437999999999999</v>
      </c>
      <c r="L69" s="1921" t="s">
        <v>495</v>
      </c>
      <c r="M69" s="1920">
        <f t="shared" si="18"/>
        <v>3.6559663682280008</v>
      </c>
      <c r="N69" s="1921" t="s">
        <v>495</v>
      </c>
      <c r="O69" s="1920">
        <f t="shared" si="19"/>
        <v>0.27188610694099991</v>
      </c>
      <c r="P69" s="1921" t="s">
        <v>495</v>
      </c>
      <c r="Q69" s="1920">
        <f t="shared" si="20"/>
        <v>8.2716524751690006</v>
      </c>
      <c r="R69" s="1921" t="s">
        <v>495</v>
      </c>
      <c r="S69" s="1644">
        <f t="shared" si="21"/>
        <v>39950</v>
      </c>
      <c r="T69" s="1656"/>
      <c r="U69" s="1644">
        <f t="shared" si="22"/>
        <v>33624</v>
      </c>
      <c r="V69" s="1656"/>
      <c r="W69" s="1644">
        <f t="shared" si="22"/>
        <v>2501</v>
      </c>
      <c r="X69" s="1648"/>
      <c r="Y69" s="1644">
        <f t="shared" si="22"/>
        <v>76074</v>
      </c>
      <c r="AI69" s="2023">
        <f>W69-'Blocking-Step2'!W69</f>
        <v>0</v>
      </c>
      <c r="AJ69" s="2054">
        <f>O69-'Blocking-Step2'!O69</f>
        <v>0</v>
      </c>
    </row>
    <row r="70" spans="1:36">
      <c r="A70" s="1900" t="s">
        <v>1538</v>
      </c>
      <c r="B70" s="1925"/>
      <c r="C70" s="528">
        <f>'123'!N16+'123'!AK16+TempRevMay!C313+'123May'!E16+'123May'!U16</f>
        <v>856284.82535598439</v>
      </c>
      <c r="D70" s="528">
        <f>ROUND(C70/SUM($C$69:$C$70)*($D$82/($D$82+$D$111)*Energy!$T$8*(1-1/Energy!$P$8*($D$78+$D$81))),0)</f>
        <v>734416</v>
      </c>
      <c r="E70" s="549"/>
      <c r="F70" s="1926"/>
      <c r="G70" s="1921"/>
      <c r="H70" s="1644"/>
      <c r="I70" s="1644"/>
      <c r="J70" s="549"/>
      <c r="K70" s="1920">
        <f t="shared" si="17"/>
        <v>4.3437999999999999</v>
      </c>
      <c r="L70" s="1921" t="s">
        <v>495</v>
      </c>
      <c r="M70" s="1920">
        <f t="shared" si="18"/>
        <v>3.6559663682280008</v>
      </c>
      <c r="N70" s="1921" t="s">
        <v>495</v>
      </c>
      <c r="O70" s="1920">
        <f t="shared" si="19"/>
        <v>2.6551604432239997</v>
      </c>
      <c r="P70" s="1921" t="s">
        <v>495</v>
      </c>
      <c r="Q70" s="1920">
        <f t="shared" si="20"/>
        <v>10.654926811452</v>
      </c>
      <c r="R70" s="1921" t="s">
        <v>495</v>
      </c>
      <c r="S70" s="1644">
        <f t="shared" si="21"/>
        <v>31902</v>
      </c>
      <c r="T70" s="1656"/>
      <c r="U70" s="1644">
        <f t="shared" si="22"/>
        <v>26850</v>
      </c>
      <c r="V70" s="1656"/>
      <c r="W70" s="1644">
        <f t="shared" si="22"/>
        <v>19500</v>
      </c>
      <c r="X70" s="1648"/>
      <c r="Y70" s="1644">
        <f t="shared" si="22"/>
        <v>78251</v>
      </c>
      <c r="AI70" s="2023">
        <f>W70-'Blocking-Step2'!W70</f>
        <v>0</v>
      </c>
      <c r="AJ70" s="2054">
        <f>O70-'Blocking-Step2'!O70</f>
        <v>0</v>
      </c>
    </row>
    <row r="71" spans="1:36">
      <c r="A71" s="1900" t="s">
        <v>188</v>
      </c>
      <c r="C71" s="528">
        <f>'123'!S16+TempRev!C315</f>
        <v>319777</v>
      </c>
      <c r="D71" s="528">
        <f>ROUND(C71/SUM($C$73:$C$75)*($D$82/($D$82+$D$111)*Energy!$Q$8*(1-1/Energy!$P$8*($D$78+$D$81))),0)</f>
        <v>302460</v>
      </c>
      <c r="F71" s="1920">
        <v>4.3559999999999999</v>
      </c>
      <c r="G71" s="1921" t="s">
        <v>495</v>
      </c>
      <c r="H71" s="1644">
        <f t="shared" ref="H71:I78" si="23">ROUND($F71*C71/100,0)</f>
        <v>13929</v>
      </c>
      <c r="I71" s="1644">
        <f t="shared" si="23"/>
        <v>13175</v>
      </c>
      <c r="K71" s="1920"/>
      <c r="L71" s="1921"/>
      <c r="M71" s="1920"/>
      <c r="N71" s="1921"/>
      <c r="O71" s="1920"/>
      <c r="P71" s="1921"/>
      <c r="Q71" s="1920"/>
      <c r="R71" s="1921"/>
      <c r="S71" s="1644"/>
      <c r="T71" s="1648"/>
      <c r="U71" s="1644"/>
      <c r="V71" s="1648"/>
      <c r="W71" s="1644"/>
      <c r="X71" s="1648"/>
      <c r="Y71" s="1644"/>
      <c r="AI71" s="2023">
        <f>W71-'Blocking-Step2'!W71</f>
        <v>0</v>
      </c>
      <c r="AJ71" s="2054">
        <f>O71-'Blocking-Step2'!O71</f>
        <v>0</v>
      </c>
    </row>
    <row r="72" spans="1:36">
      <c r="A72" s="1900" t="s">
        <v>189</v>
      </c>
      <c r="C72" s="528">
        <f>'123'!T16+TempRev!C316</f>
        <v>1008879.7824872736</v>
      </c>
      <c r="D72" s="528">
        <f>ROUND(C72/SUM($C$73:$C$75)*($D$82/($D$82+$D$111)*Energy!$Q$8*(1-1/Energy!$P$8*($D$78+$D$81))),0)</f>
        <v>954246</v>
      </c>
      <c r="F72" s="1920">
        <v>-1.6334</v>
      </c>
      <c r="G72" s="1921" t="s">
        <v>495</v>
      </c>
      <c r="H72" s="1644">
        <f t="shared" si="23"/>
        <v>-16479</v>
      </c>
      <c r="I72" s="1644">
        <f t="shared" si="23"/>
        <v>-15587</v>
      </c>
      <c r="K72" s="1920"/>
      <c r="L72" s="1921"/>
      <c r="M72" s="1920"/>
      <c r="N72" s="1921"/>
      <c r="O72" s="1920"/>
      <c r="P72" s="1921"/>
      <c r="Q72" s="1920"/>
      <c r="R72" s="1921"/>
      <c r="S72" s="1644"/>
      <c r="T72" s="1648"/>
      <c r="U72" s="1644"/>
      <c r="V72" s="1648"/>
      <c r="W72" s="1644"/>
      <c r="X72" s="1648"/>
      <c r="Y72" s="1644"/>
      <c r="AI72" s="2023">
        <f>W72-'Blocking-Step2'!W72</f>
        <v>0</v>
      </c>
      <c r="AJ72" s="2054">
        <f>O72-'Blocking-Step2'!O72</f>
        <v>0</v>
      </c>
    </row>
    <row r="73" spans="1:36">
      <c r="A73" s="1900" t="s">
        <v>241</v>
      </c>
      <c r="C73" s="584">
        <f>'123'!P16+'123'!AG16+TempRev!C309</f>
        <v>652800</v>
      </c>
      <c r="D73" s="528">
        <f>D82-SUM(D74:D81)</f>
        <v>617449</v>
      </c>
      <c r="F73" s="1926">
        <v>8.8498000000000001</v>
      </c>
      <c r="G73" s="1921" t="s">
        <v>495</v>
      </c>
      <c r="H73" s="1644">
        <f t="shared" si="23"/>
        <v>57771</v>
      </c>
      <c r="I73" s="1644">
        <f t="shared" si="23"/>
        <v>54643</v>
      </c>
      <c r="K73" s="1926"/>
      <c r="L73" s="1921"/>
      <c r="M73" s="1926"/>
      <c r="N73" s="1921"/>
      <c r="O73" s="1926"/>
      <c r="P73" s="1921"/>
      <c r="Q73" s="1926"/>
      <c r="R73" s="1921"/>
      <c r="S73" s="1644"/>
      <c r="T73" s="1648"/>
      <c r="U73" s="1644"/>
      <c r="V73" s="1648"/>
      <c r="W73" s="1644"/>
      <c r="X73" s="1648"/>
      <c r="Y73" s="1644"/>
      <c r="AI73" s="2023">
        <f>W73-'Blocking-Step2'!W73</f>
        <v>0</v>
      </c>
      <c r="AJ73" s="2054">
        <f>O73-'Blocking-Step2'!O73</f>
        <v>0</v>
      </c>
    </row>
    <row r="74" spans="1:36">
      <c r="A74" s="1900" t="s">
        <v>242</v>
      </c>
      <c r="C74" s="584">
        <f>'123'!Q16+'123'!AH16+TempRev!C310</f>
        <v>477029</v>
      </c>
      <c r="D74" s="528">
        <f>ROUND(C74/SUM($C$73:$C$75)*($D$82/($D$82+$D$111)*Energy!$Q$8*(1-1/Energy!$P$8*($D$78+$D$81))),0)</f>
        <v>451197</v>
      </c>
      <c r="F74" s="1926">
        <v>11.542899999999999</v>
      </c>
      <c r="G74" s="1921" t="s">
        <v>495</v>
      </c>
      <c r="H74" s="1644">
        <f t="shared" si="23"/>
        <v>55063</v>
      </c>
      <c r="I74" s="1644">
        <f t="shared" si="23"/>
        <v>52081</v>
      </c>
      <c r="K74" s="1926"/>
      <c r="L74" s="1921"/>
      <c r="M74" s="1926"/>
      <c r="N74" s="1921"/>
      <c r="O74" s="1926"/>
      <c r="P74" s="1921"/>
      <c r="Q74" s="1926"/>
      <c r="R74" s="1921"/>
      <c r="S74" s="1644"/>
      <c r="T74" s="1648"/>
      <c r="U74" s="1644"/>
      <c r="V74" s="1648"/>
      <c r="W74" s="1644"/>
      <c r="X74" s="1648"/>
      <c r="Y74" s="1644"/>
      <c r="AI74" s="2023">
        <f>W74-'Blocking-Step2'!W74</f>
        <v>0</v>
      </c>
      <c r="AJ74" s="2054">
        <f>O74-'Blocking-Step2'!O74</f>
        <v>0</v>
      </c>
    </row>
    <row r="75" spans="1:36">
      <c r="A75" s="1900" t="s">
        <v>94</v>
      </c>
      <c r="C75" s="584">
        <f>'123'!R16+'123'!AI16+TempRev!C311</f>
        <v>198835.78248727357</v>
      </c>
      <c r="D75" s="528">
        <f>ROUND(C75/SUM($C$73:$C$75)*($D$82/($D$82+$D$111)*Energy!$Q$8*(1-1/Energy!$P$8*($D$78+$D$81))),0)</f>
        <v>188068</v>
      </c>
      <c r="F75" s="1926">
        <v>14.450799999999999</v>
      </c>
      <c r="G75" s="1921" t="s">
        <v>495</v>
      </c>
      <c r="H75" s="1644">
        <f t="shared" si="23"/>
        <v>28733</v>
      </c>
      <c r="I75" s="1644">
        <f t="shared" si="23"/>
        <v>27177</v>
      </c>
      <c r="K75" s="1926"/>
      <c r="L75" s="1921"/>
      <c r="M75" s="1926"/>
      <c r="N75" s="1921"/>
      <c r="O75" s="1926"/>
      <c r="P75" s="1921"/>
      <c r="Q75" s="1926"/>
      <c r="R75" s="1921"/>
      <c r="S75" s="1644"/>
      <c r="T75" s="1648"/>
      <c r="U75" s="1644"/>
      <c r="V75" s="1648"/>
      <c r="W75" s="1644"/>
      <c r="X75" s="1648"/>
      <c r="Y75" s="1644"/>
      <c r="AI75" s="2023">
        <f>W75-'Blocking-Step2'!W75</f>
        <v>0</v>
      </c>
      <c r="AJ75" s="2054">
        <f>O75-'Blocking-Step2'!O75</f>
        <v>0</v>
      </c>
    </row>
    <row r="76" spans="1:36">
      <c r="A76" s="1900" t="s">
        <v>1360</v>
      </c>
      <c r="B76" s="1925"/>
      <c r="C76" s="528">
        <f>'123'!M16+'123'!AJ16+TempRev!C312</f>
        <v>931922</v>
      </c>
      <c r="D76" s="528">
        <f>ROUND(C76/SUM($C$76:$C$77)*($D$82/($D$82+$D$111)*Energy!$R$8*(1-1/Energy!$P$8*($D$78+$D$81))),0)</f>
        <v>810180</v>
      </c>
      <c r="E76" s="549"/>
      <c r="F76" s="1926">
        <v>8.8498000000000001</v>
      </c>
      <c r="G76" s="1921" t="s">
        <v>495</v>
      </c>
      <c r="H76" s="1644">
        <f t="shared" si="23"/>
        <v>82473</v>
      </c>
      <c r="I76" s="1644">
        <f t="shared" si="23"/>
        <v>71699</v>
      </c>
      <c r="J76" s="549"/>
      <c r="K76" s="1926"/>
      <c r="L76" s="1921"/>
      <c r="M76" s="1926"/>
      <c r="N76" s="1921"/>
      <c r="O76" s="1926"/>
      <c r="P76" s="1921"/>
      <c r="Q76" s="1926"/>
      <c r="R76" s="1921"/>
      <c r="S76" s="1644"/>
      <c r="T76" s="1648"/>
      <c r="U76" s="1644"/>
      <c r="V76" s="1648"/>
      <c r="W76" s="1644"/>
      <c r="X76" s="1648"/>
      <c r="Y76" s="1644"/>
      <c r="AI76" s="2023">
        <f>W76-'Blocking-Step2'!W76</f>
        <v>0</v>
      </c>
      <c r="AJ76" s="2054">
        <f>O76-'Blocking-Step2'!O76</f>
        <v>0</v>
      </c>
    </row>
    <row r="77" spans="1:36">
      <c r="A77" s="1900" t="s">
        <v>1361</v>
      </c>
      <c r="B77" s="1925"/>
      <c r="C77" s="528">
        <f>'123'!N16+'123'!AK16+TempRev!C313</f>
        <v>778892.22115007683</v>
      </c>
      <c r="D77" s="528">
        <f>ROUND(C77/SUM($C$76:$C$77)*($D$82/($D$82+$D$111)*Energy!$R$8*(1-1/Energy!$P$8*($D$78+$D$81))),0)</f>
        <v>677142</v>
      </c>
      <c r="E77" s="549"/>
      <c r="F77" s="1926">
        <v>10.7072</v>
      </c>
      <c r="G77" s="1921" t="s">
        <v>495</v>
      </c>
      <c r="H77" s="1644">
        <f t="shared" si="23"/>
        <v>83398</v>
      </c>
      <c r="I77" s="1644">
        <f t="shared" si="23"/>
        <v>72503</v>
      </c>
      <c r="J77" s="549"/>
      <c r="K77" s="1926"/>
      <c r="L77" s="1921"/>
      <c r="M77" s="1926"/>
      <c r="N77" s="1921"/>
      <c r="O77" s="1926"/>
      <c r="P77" s="1921"/>
      <c r="Q77" s="1926"/>
      <c r="R77" s="1921"/>
      <c r="S77" s="1644"/>
      <c r="T77" s="1648"/>
      <c r="U77" s="1644"/>
      <c r="V77" s="1648"/>
      <c r="W77" s="1644"/>
      <c r="X77" s="1648"/>
      <c r="Y77" s="1644"/>
      <c r="AI77" s="2023">
        <f>W77-'Blocking-Step2'!W77</f>
        <v>0</v>
      </c>
      <c r="AJ77" s="2054">
        <f>O77-'Blocking-Step2'!O77</f>
        <v>0</v>
      </c>
    </row>
    <row r="78" spans="1:36">
      <c r="A78" s="1116" t="s">
        <v>1158</v>
      </c>
      <c r="B78" s="1928"/>
      <c r="C78" s="1024">
        <f>'123'!X16</f>
        <v>0</v>
      </c>
      <c r="D78" s="528">
        <f>ROUND(C78/($C$82-$C$79)*$D$82,0)</f>
        <v>0</v>
      </c>
      <c r="E78" s="804"/>
      <c r="F78" s="1927">
        <v>11.7033</v>
      </c>
      <c r="G78" s="1929" t="s">
        <v>495</v>
      </c>
      <c r="H78" s="1146">
        <f t="shared" si="23"/>
        <v>0</v>
      </c>
      <c r="I78" s="1146">
        <f t="shared" si="23"/>
        <v>0</v>
      </c>
      <c r="J78" s="804"/>
      <c r="K78" s="1927">
        <f>K41</f>
        <v>4.3437999999999999</v>
      </c>
      <c r="L78" s="1929" t="s">
        <v>495</v>
      </c>
      <c r="M78" s="1927">
        <f>M41</f>
        <v>7.7249999999999996</v>
      </c>
      <c r="N78" s="1929" t="s">
        <v>495</v>
      </c>
      <c r="O78" s="1927">
        <f>O41</f>
        <v>0</v>
      </c>
      <c r="P78" s="1929" t="s">
        <v>495</v>
      </c>
      <c r="Q78" s="1927">
        <f>Q41</f>
        <v>12.0688</v>
      </c>
      <c r="R78" s="1929" t="s">
        <v>495</v>
      </c>
      <c r="S78" s="1644">
        <f t="shared" ref="S78" si="24">ROUND($D78*K78/100,0)</f>
        <v>0</v>
      </c>
      <c r="T78" s="1656"/>
      <c r="U78" s="1644">
        <f t="shared" ref="U78:Y78" si="25">ROUND($D78*M78/100,0)</f>
        <v>0</v>
      </c>
      <c r="V78" s="1656"/>
      <c r="W78" s="1644">
        <f t="shared" si="25"/>
        <v>0</v>
      </c>
      <c r="X78" s="1656"/>
      <c r="Y78" s="1644">
        <f t="shared" si="25"/>
        <v>0</v>
      </c>
      <c r="AA78" s="1104" t="s">
        <v>1746</v>
      </c>
      <c r="AB78" s="1919">
        <f>ROUND(D82/(D48),0)</f>
        <v>631</v>
      </c>
      <c r="AI78" s="2023">
        <f>W78-'Blocking-Step2'!W78</f>
        <v>0</v>
      </c>
      <c r="AJ78" s="2054">
        <f>O78-'Blocking-Step2'!O78</f>
        <v>0</v>
      </c>
    </row>
    <row r="79" spans="1:36">
      <c r="A79" s="1900" t="s">
        <v>246</v>
      </c>
      <c r="C79" s="529">
        <f>'Table 2'!J13</f>
        <v>17487</v>
      </c>
      <c r="D79" s="529">
        <v>0</v>
      </c>
      <c r="H79" s="1030">
        <f>'Table 3'!F13</f>
        <v>2003</v>
      </c>
      <c r="I79" s="1030">
        <v>0</v>
      </c>
      <c r="Y79" s="1030">
        <v>0</v>
      </c>
      <c r="AA79" s="1104" t="s">
        <v>1747</v>
      </c>
      <c r="AB79" s="1919">
        <f>ROUND(SUM(D66:D68,(D78+D81)*4/12)/((D48)*4/12),0)</f>
        <v>752</v>
      </c>
      <c r="AI79" s="2023">
        <f>W79-'Blocking-Step2'!W79</f>
        <v>0</v>
      </c>
      <c r="AJ79" s="2054">
        <f>O79-'Blocking-Step2'!O79</f>
        <v>0</v>
      </c>
    </row>
    <row r="80" spans="1:36">
      <c r="A80" s="1900" t="s">
        <v>1240</v>
      </c>
      <c r="C80" s="584"/>
      <c r="D80" s="584"/>
      <c r="F80" s="1930">
        <v>-3.9100000000000003E-2</v>
      </c>
      <c r="G80" s="597"/>
      <c r="H80" s="1644">
        <f>SUM(H73:H75,H76:H78)*$F80</f>
        <v>-12020.825800000001</v>
      </c>
      <c r="I80" s="1644">
        <f>SUM(I73:I75,I76:I78)*$F80</f>
        <v>-10873.827300000001</v>
      </c>
      <c r="K80" s="1930"/>
      <c r="L80" s="597"/>
      <c r="M80" s="1930"/>
      <c r="N80" s="597"/>
      <c r="O80" s="1931" t="str">
        <f>$O$43</f>
        <v>Tax Year 1 (1/1/2021)</v>
      </c>
      <c r="P80" s="597"/>
      <c r="Q80" s="1930">
        <f>$Q$43</f>
        <v>-1.7000000000000001E-2</v>
      </c>
      <c r="R80" s="597"/>
      <c r="S80" s="1645"/>
      <c r="T80" s="1645"/>
      <c r="U80" s="1645"/>
      <c r="V80" s="1645"/>
      <c r="W80" s="1645"/>
      <c r="X80" s="1645"/>
      <c r="Y80" s="1644">
        <f>Q80*SUM(Y66:Y70,Y78)</f>
        <v>-4627.3320000000003</v>
      </c>
      <c r="AA80" s="1104" t="s">
        <v>1748</v>
      </c>
      <c r="AB80" s="1919">
        <f>ROUND(SUM(D69:D70,(D78+D81)*8/12)/((D48)*8/12),0)</f>
        <v>570</v>
      </c>
      <c r="AI80" s="2023">
        <f>W80-'Blocking-Step2'!W80</f>
        <v>0</v>
      </c>
      <c r="AJ80" s="2054">
        <f>O80-'Blocking-Step2'!O80</f>
        <v>0</v>
      </c>
    </row>
    <row r="81" spans="1:36">
      <c r="A81" s="1116" t="s">
        <v>1317</v>
      </c>
      <c r="C81" s="584">
        <f>'123'!AX16</f>
        <v>0</v>
      </c>
      <c r="D81" s="528">
        <f>ROUND(C81/($C$82-$C$79)*$D$82,0)</f>
        <v>0</v>
      </c>
      <c r="F81" s="1930"/>
      <c r="G81" s="597"/>
      <c r="H81" s="1644"/>
      <c r="I81" s="1644"/>
      <c r="K81" s="1930"/>
      <c r="L81" s="597"/>
      <c r="M81" s="1930"/>
      <c r="N81" s="597"/>
      <c r="O81" s="1931">
        <f>$O$44</f>
        <v>0</v>
      </c>
      <c r="P81" s="597"/>
      <c r="Q81" s="1930">
        <f>$Q$44</f>
        <v>0</v>
      </c>
      <c r="R81" s="597"/>
      <c r="S81" s="1645"/>
      <c r="T81" s="1645"/>
      <c r="U81" s="1645"/>
      <c r="V81" s="1645"/>
      <c r="W81" s="1645"/>
      <c r="X81" s="1645"/>
      <c r="Y81" s="1644">
        <f>Q81*SUM(Y66:Y70,Y78)</f>
        <v>0</v>
      </c>
      <c r="AI81" s="2023">
        <f>W81-'Blocking-Step2'!W81</f>
        <v>0</v>
      </c>
      <c r="AJ81" s="2054">
        <f>O81-'Blocking-Step2'!O81</f>
        <v>0</v>
      </c>
    </row>
    <row r="82" spans="1:36" ht="16.5" thickBot="1">
      <c r="A82" s="1900" t="s">
        <v>247</v>
      </c>
      <c r="C82" s="1934">
        <f>SUM(C73:C78,C79)</f>
        <v>3056966.0036373506</v>
      </c>
      <c r="D82" s="1934">
        <f>ROUND(Energy!P8*C82/(C82+C111),0)</f>
        <v>2744036</v>
      </c>
      <c r="F82" s="1939"/>
      <c r="H82" s="1647">
        <f>SUM(H49:H80)</f>
        <v>322505.17420000001</v>
      </c>
      <c r="I82" s="1647">
        <f>SUM(I49:I80)</f>
        <v>291055.1727</v>
      </c>
      <c r="K82" s="1939"/>
      <c r="M82" s="1939"/>
      <c r="O82" s="1939"/>
      <c r="Q82" s="1939"/>
      <c r="S82" s="1646">
        <f>SUM(S50:S79)</f>
        <v>158934</v>
      </c>
      <c r="U82" s="1646">
        <f>SUM(U50:U79)</f>
        <v>100132</v>
      </c>
      <c r="W82" s="1646">
        <f>SUM(W50:W79)</f>
        <v>50638</v>
      </c>
      <c r="Y82" s="1646">
        <f>SUM(Y50:Y79)</f>
        <v>309702</v>
      </c>
      <c r="AA82" s="1104" t="s">
        <v>1743</v>
      </c>
      <c r="AB82" s="1890">
        <f>Y82/I82-1</f>
        <v>6.4066297558023066E-2</v>
      </c>
      <c r="AI82" s="2023">
        <f>W82-'Blocking-Step2'!W82</f>
        <v>0</v>
      </c>
      <c r="AJ82" s="2054">
        <f>O82-'Blocking-Step2'!O82</f>
        <v>0</v>
      </c>
    </row>
    <row r="83" spans="1:36" ht="16.5" thickTop="1">
      <c r="C83" s="528"/>
      <c r="D83" s="528"/>
      <c r="AI83" s="2023">
        <f>W83-'Blocking-Step2'!W83</f>
        <v>0</v>
      </c>
      <c r="AJ83" s="2054">
        <f>O83-'Blocking-Step2'!O83</f>
        <v>0</v>
      </c>
    </row>
    <row r="84" spans="1:36" s="1104" customFormat="1">
      <c r="A84" s="1115" t="s">
        <v>1159</v>
      </c>
      <c r="C84" s="1105"/>
      <c r="D84" s="1105"/>
      <c r="E84" s="1109"/>
      <c r="G84" s="1109"/>
      <c r="H84" s="1627"/>
      <c r="I84" s="1627"/>
      <c r="J84" s="1109"/>
      <c r="L84" s="1109"/>
      <c r="N84" s="1109"/>
      <c r="P84" s="1109"/>
      <c r="R84" s="1109"/>
      <c r="S84" s="1628"/>
      <c r="T84" s="1628"/>
      <c r="U84" s="1628"/>
      <c r="V84" s="1628"/>
      <c r="W84" s="1628"/>
      <c r="X84" s="1628"/>
      <c r="Y84" s="1627"/>
      <c r="Z84" s="1497"/>
      <c r="AI84" s="2023">
        <f>W84-'Blocking-Step2'!W84</f>
        <v>0</v>
      </c>
      <c r="AJ84" s="2054">
        <f>O84-'Blocking-Step2'!O84</f>
        <v>0</v>
      </c>
    </row>
    <row r="85" spans="1:36" s="1104" customFormat="1">
      <c r="A85" s="1116" t="s">
        <v>685</v>
      </c>
      <c r="C85" s="1105">
        <f>'123'!F17</f>
        <v>3278.9666666666699</v>
      </c>
      <c r="D85" s="1105">
        <f>Bill!P8-'Blocking-Step1'!D48</f>
        <v>3114</v>
      </c>
      <c r="E85" s="1109"/>
      <c r="F85" s="1907"/>
      <c r="G85" s="1110"/>
      <c r="H85" s="1146"/>
      <c r="I85" s="1146"/>
      <c r="J85" s="1109"/>
      <c r="K85" s="1907"/>
      <c r="L85" s="1110"/>
      <c r="M85" s="1907"/>
      <c r="N85" s="1110"/>
      <c r="O85" s="1907"/>
      <c r="P85" s="1110"/>
      <c r="Q85" s="1907"/>
      <c r="R85" s="1110"/>
      <c r="S85" s="1629"/>
      <c r="T85" s="1629"/>
      <c r="U85" s="1629"/>
      <c r="V85" s="1629"/>
      <c r="W85" s="1629"/>
      <c r="X85" s="1629"/>
      <c r="Y85" s="1146"/>
      <c r="Z85" s="1497"/>
      <c r="AI85" s="2023">
        <f>W85-'Blocking-Step2'!W85</f>
        <v>0</v>
      </c>
      <c r="AJ85" s="2054">
        <f>O85-'Blocking-Step2'!O85</f>
        <v>0</v>
      </c>
    </row>
    <row r="86" spans="1:36" s="1104" customFormat="1">
      <c r="A86" s="1116" t="s">
        <v>683</v>
      </c>
      <c r="C86" s="1105">
        <f>'123'!G17</f>
        <v>3278.9666666666699</v>
      </c>
      <c r="D86" s="528">
        <f>ROUND(C86/$C$85*$D$85,0)</f>
        <v>3114</v>
      </c>
      <c r="E86" s="1109"/>
      <c r="F86" s="1907">
        <v>6</v>
      </c>
      <c r="G86" s="1110"/>
      <c r="H86" s="1146">
        <f t="shared" ref="H86:I100" si="26">ROUND($F86*C86,0)</f>
        <v>19674</v>
      </c>
      <c r="I86" s="1146">
        <f t="shared" si="26"/>
        <v>18684</v>
      </c>
      <c r="J86" s="1109"/>
      <c r="K86" s="1907"/>
      <c r="L86" s="1110"/>
      <c r="M86" s="1907"/>
      <c r="N86" s="1110"/>
      <c r="O86" s="1907"/>
      <c r="P86" s="1110"/>
      <c r="Q86" s="1907"/>
      <c r="R86" s="1110"/>
      <c r="S86" s="1629"/>
      <c r="T86" s="1629"/>
      <c r="U86" s="1629"/>
      <c r="V86" s="1629"/>
      <c r="W86" s="1629"/>
      <c r="X86" s="1629"/>
      <c r="Y86" s="1146"/>
      <c r="Z86" s="1497"/>
      <c r="AI86" s="2023">
        <f>W86-'Blocking-Step2'!W86</f>
        <v>0</v>
      </c>
      <c r="AJ86" s="2054">
        <f>O86-'Blocking-Step2'!O86</f>
        <v>0</v>
      </c>
    </row>
    <row r="87" spans="1:36">
      <c r="A87" s="1900" t="s">
        <v>1581</v>
      </c>
      <c r="C87" s="528">
        <f>C86-C88</f>
        <v>3077.9000000000033</v>
      </c>
      <c r="D87" s="528">
        <f>D86-D88</f>
        <v>2923</v>
      </c>
      <c r="F87" s="1901"/>
      <c r="G87" s="1902"/>
      <c r="H87" s="1644"/>
      <c r="I87" s="1644"/>
      <c r="K87" s="1901">
        <f>K13</f>
        <v>10</v>
      </c>
      <c r="L87" s="1902"/>
      <c r="M87" s="1901">
        <f>M13</f>
        <v>0</v>
      </c>
      <c r="N87" s="1902"/>
      <c r="O87" s="1901">
        <f>O13</f>
        <v>0</v>
      </c>
      <c r="P87" s="1902"/>
      <c r="Q87" s="1901">
        <f>Q13</f>
        <v>10</v>
      </c>
      <c r="R87" s="1902"/>
      <c r="S87" s="1146">
        <f>ROUND($D87*K87,0)</f>
        <v>29230</v>
      </c>
      <c r="T87" s="1643"/>
      <c r="U87" s="1146">
        <f>ROUND($D87*M87,0)</f>
        <v>0</v>
      </c>
      <c r="V87" s="1643"/>
      <c r="W87" s="1146">
        <f>ROUND($D87*O87,0)</f>
        <v>0</v>
      </c>
      <c r="X87" s="1643"/>
      <c r="Y87" s="1146">
        <f>ROUND($D87*Q87,0)</f>
        <v>29230</v>
      </c>
      <c r="AI87" s="2023">
        <f>W87-'Blocking-Step2'!W87</f>
        <v>0</v>
      </c>
      <c r="AJ87" s="2054">
        <f>O87-'Blocking-Step2'!O87</f>
        <v>0</v>
      </c>
    </row>
    <row r="88" spans="1:36">
      <c r="A88" s="1900" t="s">
        <v>1582</v>
      </c>
      <c r="C88" s="528">
        <f>'123'!AN17</f>
        <v>201.06666666666672</v>
      </c>
      <c r="D88" s="528">
        <f>ROUND(C88/C86*D86,0)</f>
        <v>191</v>
      </c>
      <c r="F88" s="1901"/>
      <c r="G88" s="1902"/>
      <c r="H88" s="1644"/>
      <c r="I88" s="1644"/>
      <c r="K88" s="1901">
        <f>K14</f>
        <v>6</v>
      </c>
      <c r="L88" s="1902"/>
      <c r="M88" s="1901">
        <f>M14</f>
        <v>0</v>
      </c>
      <c r="N88" s="1902"/>
      <c r="O88" s="1901">
        <f>O14</f>
        <v>0</v>
      </c>
      <c r="P88" s="1902"/>
      <c r="Q88" s="1901">
        <f>Q14</f>
        <v>6</v>
      </c>
      <c r="R88" s="1902"/>
      <c r="S88" s="1146">
        <f>ROUND($D88*K88,0)</f>
        <v>1146</v>
      </c>
      <c r="T88" s="1643"/>
      <c r="U88" s="1146">
        <f>ROUND($D88*M88,0)</f>
        <v>0</v>
      </c>
      <c r="V88" s="1643"/>
      <c r="W88" s="1146">
        <f>ROUND($D88*O88,0)</f>
        <v>0</v>
      </c>
      <c r="X88" s="1643"/>
      <c r="Y88" s="1146">
        <f>ROUND($D88*Q88,0)</f>
        <v>1146</v>
      </c>
      <c r="AI88" s="2023">
        <f>W88-'Blocking-Step2'!W88</f>
        <v>0</v>
      </c>
      <c r="AJ88" s="2054">
        <f>O88-'Blocking-Step2'!O88</f>
        <v>0</v>
      </c>
    </row>
    <row r="89" spans="1:36" s="1104" customFormat="1">
      <c r="A89" s="1116" t="s">
        <v>684</v>
      </c>
      <c r="C89" s="1105">
        <f>'123'!H17</f>
        <v>0</v>
      </c>
      <c r="D89" s="528">
        <f>D85-D86</f>
        <v>0</v>
      </c>
      <c r="E89" s="1109"/>
      <c r="F89" s="1907">
        <v>12</v>
      </c>
      <c r="G89" s="1110"/>
      <c r="H89" s="1146">
        <f t="shared" si="26"/>
        <v>0</v>
      </c>
      <c r="I89" s="1146">
        <f t="shared" si="26"/>
        <v>0</v>
      </c>
      <c r="J89" s="1109"/>
      <c r="K89" s="1907"/>
      <c r="L89" s="1110"/>
      <c r="M89" s="1907"/>
      <c r="N89" s="1110"/>
      <c r="O89" s="1907"/>
      <c r="P89" s="1110"/>
      <c r="Q89" s="1907"/>
      <c r="R89" s="1110"/>
      <c r="S89" s="1146"/>
      <c r="T89" s="1629"/>
      <c r="U89" s="1146"/>
      <c r="V89" s="1629"/>
      <c r="W89" s="1146"/>
      <c r="X89" s="1629"/>
      <c r="Y89" s="1146"/>
      <c r="Z89" s="1497"/>
      <c r="AI89" s="2023">
        <f>W89-'Blocking-Step2'!W89</f>
        <v>0</v>
      </c>
      <c r="AJ89" s="2054">
        <f>O89-'Blocking-Step2'!O89</f>
        <v>0</v>
      </c>
    </row>
    <row r="90" spans="1:36">
      <c r="A90" s="1900" t="s">
        <v>1581</v>
      </c>
      <c r="C90" s="528">
        <f>C89-C91</f>
        <v>0</v>
      </c>
      <c r="D90" s="528"/>
      <c r="F90" s="1901"/>
      <c r="G90" s="1902"/>
      <c r="H90" s="1644"/>
      <c r="I90" s="1644"/>
      <c r="K90" s="1901">
        <f>K16</f>
        <v>20</v>
      </c>
      <c r="L90" s="1902"/>
      <c r="M90" s="1901">
        <f>M16</f>
        <v>0</v>
      </c>
      <c r="N90" s="1902"/>
      <c r="O90" s="1901">
        <f>O16</f>
        <v>0</v>
      </c>
      <c r="P90" s="1902"/>
      <c r="Q90" s="1901">
        <f>Q16</f>
        <v>20</v>
      </c>
      <c r="R90" s="1902"/>
      <c r="S90" s="1146">
        <f t="shared" ref="S90:S93" si="27">ROUND($D90*K90,0)</f>
        <v>0</v>
      </c>
      <c r="T90" s="1643"/>
      <c r="U90" s="1146">
        <f t="shared" ref="U90:U93" si="28">ROUND($D90*M90,0)</f>
        <v>0</v>
      </c>
      <c r="V90" s="1643"/>
      <c r="W90" s="1146">
        <f t="shared" ref="W90:Y93" si="29">ROUND($D90*O90,0)</f>
        <v>0</v>
      </c>
      <c r="X90" s="1643"/>
      <c r="Y90" s="1146">
        <f t="shared" si="29"/>
        <v>0</v>
      </c>
      <c r="AI90" s="2023">
        <f>W90-'Blocking-Step2'!W90</f>
        <v>0</v>
      </c>
      <c r="AJ90" s="2054">
        <f>O90-'Blocking-Step2'!O90</f>
        <v>0</v>
      </c>
    </row>
    <row r="91" spans="1:36">
      <c r="A91" s="1900" t="s">
        <v>1582</v>
      </c>
      <c r="C91" s="528">
        <f>'123'!AO17</f>
        <v>0</v>
      </c>
      <c r="D91" s="528"/>
      <c r="F91" s="1901"/>
      <c r="G91" s="1902"/>
      <c r="H91" s="1644"/>
      <c r="I91" s="1644"/>
      <c r="K91" s="1901">
        <f>K17</f>
        <v>12</v>
      </c>
      <c r="L91" s="1902"/>
      <c r="M91" s="1901">
        <f>M17</f>
        <v>0</v>
      </c>
      <c r="N91" s="1902"/>
      <c r="O91" s="1901">
        <f>O17</f>
        <v>0</v>
      </c>
      <c r="P91" s="1902"/>
      <c r="Q91" s="1901">
        <f>Q17</f>
        <v>12</v>
      </c>
      <c r="R91" s="1902"/>
      <c r="S91" s="1146">
        <f t="shared" si="27"/>
        <v>0</v>
      </c>
      <c r="T91" s="1643"/>
      <c r="U91" s="1146">
        <f t="shared" si="28"/>
        <v>0</v>
      </c>
      <c r="V91" s="1643"/>
      <c r="W91" s="1146">
        <f t="shared" si="29"/>
        <v>0</v>
      </c>
      <c r="X91" s="1643"/>
      <c r="Y91" s="1146">
        <f t="shared" si="29"/>
        <v>0</v>
      </c>
      <c r="AI91" s="2023">
        <f>W91-'Blocking-Step2'!W91</f>
        <v>0</v>
      </c>
      <c r="AJ91" s="2054">
        <f>O91-'Blocking-Step2'!O91</f>
        <v>0</v>
      </c>
    </row>
    <row r="92" spans="1:36">
      <c r="A92" s="1900" t="s">
        <v>1236</v>
      </c>
      <c r="C92" s="528">
        <v>0</v>
      </c>
      <c r="D92" s="528">
        <f>ROUND(C92/$C$48*$D$48,0)</f>
        <v>0</v>
      </c>
      <c r="F92" s="1901">
        <v>2</v>
      </c>
      <c r="G92" s="1902"/>
      <c r="H92" s="1644">
        <f t="shared" ref="H92:I92" si="30">ROUND($F92*C92,0)</f>
        <v>0</v>
      </c>
      <c r="I92" s="1644">
        <f t="shared" si="30"/>
        <v>0</v>
      </c>
      <c r="K92" s="1901">
        <f t="shared" ref="K92:K93" si="31">K18</f>
        <v>2</v>
      </c>
      <c r="L92" s="1902"/>
      <c r="M92" s="1901">
        <f t="shared" ref="M92:M93" si="32">M18</f>
        <v>0</v>
      </c>
      <c r="N92" s="1902"/>
      <c r="O92" s="1901">
        <f t="shared" ref="O92:O93" si="33">O18</f>
        <v>0</v>
      </c>
      <c r="P92" s="1902"/>
      <c r="Q92" s="1901">
        <f t="shared" ref="Q92:Q93" si="34">Q18</f>
        <v>2</v>
      </c>
      <c r="R92" s="1902"/>
      <c r="S92" s="1146">
        <f t="shared" si="27"/>
        <v>0</v>
      </c>
      <c r="T92" s="1643"/>
      <c r="U92" s="1146">
        <f t="shared" si="28"/>
        <v>0</v>
      </c>
      <c r="V92" s="1643"/>
      <c r="W92" s="1146">
        <f t="shared" si="29"/>
        <v>0</v>
      </c>
      <c r="X92" s="1643"/>
      <c r="Y92" s="1146">
        <f t="shared" si="29"/>
        <v>0</v>
      </c>
      <c r="AI92" s="2023">
        <f>W92-'Blocking-Step2'!W92</f>
        <v>0</v>
      </c>
      <c r="AJ92" s="2054">
        <f>O92-'Blocking-Step2'!O92</f>
        <v>0</v>
      </c>
    </row>
    <row r="93" spans="1:36">
      <c r="A93" s="1900" t="s">
        <v>1301</v>
      </c>
      <c r="C93" s="528">
        <f>'123'!AM17</f>
        <v>0</v>
      </c>
      <c r="D93" s="528">
        <f t="shared" ref="D93:D100" si="35">ROUND(C93/$C$85*$D$85,0)</f>
        <v>0</v>
      </c>
      <c r="F93" s="1901">
        <v>22</v>
      </c>
      <c r="G93" s="1902"/>
      <c r="H93" s="1644">
        <f t="shared" si="26"/>
        <v>0</v>
      </c>
      <c r="I93" s="1644">
        <f t="shared" si="26"/>
        <v>0</v>
      </c>
      <c r="K93" s="1901">
        <f t="shared" si="31"/>
        <v>22</v>
      </c>
      <c r="L93" s="1902"/>
      <c r="M93" s="1901">
        <f t="shared" si="32"/>
        <v>0</v>
      </c>
      <c r="N93" s="1902"/>
      <c r="O93" s="1901">
        <f t="shared" si="33"/>
        <v>0</v>
      </c>
      <c r="P93" s="1902"/>
      <c r="Q93" s="1901">
        <f t="shared" si="34"/>
        <v>22</v>
      </c>
      <c r="R93" s="1902"/>
      <c r="S93" s="1146">
        <f t="shared" si="27"/>
        <v>0</v>
      </c>
      <c r="T93" s="1643"/>
      <c r="U93" s="1146">
        <f t="shared" si="28"/>
        <v>0</v>
      </c>
      <c r="V93" s="1643"/>
      <c r="W93" s="1146">
        <f t="shared" si="29"/>
        <v>0</v>
      </c>
      <c r="X93" s="1643"/>
      <c r="Y93" s="1146">
        <f t="shared" si="29"/>
        <v>0</v>
      </c>
      <c r="AI93" s="2023">
        <f>W93-'Blocking-Step2'!W93</f>
        <v>0</v>
      </c>
      <c r="AJ93" s="2054">
        <f>O93-'Blocking-Step2'!O93</f>
        <v>0</v>
      </c>
    </row>
    <row r="94" spans="1:36" s="1104" customFormat="1">
      <c r="A94" s="1116" t="s">
        <v>243</v>
      </c>
      <c r="C94" s="1105">
        <f>'123'!I17</f>
        <v>0.1</v>
      </c>
      <c r="D94" s="528">
        <f t="shared" si="35"/>
        <v>0</v>
      </c>
      <c r="E94" s="1109"/>
      <c r="F94" s="1907">
        <v>8</v>
      </c>
      <c r="G94" s="1110"/>
      <c r="H94" s="1146">
        <f t="shared" si="26"/>
        <v>1</v>
      </c>
      <c r="I94" s="1146">
        <f t="shared" si="26"/>
        <v>0</v>
      </c>
      <c r="J94" s="1109"/>
      <c r="K94" s="1907"/>
      <c r="L94" s="1110"/>
      <c r="M94" s="1907"/>
      <c r="N94" s="1110"/>
      <c r="O94" s="1907"/>
      <c r="P94" s="1110"/>
      <c r="Q94" s="1907"/>
      <c r="R94" s="1110"/>
      <c r="S94" s="1146"/>
      <c r="T94" s="1629"/>
      <c r="U94" s="1146"/>
      <c r="V94" s="1629"/>
      <c r="W94" s="1146"/>
      <c r="X94" s="1629"/>
      <c r="Y94" s="1146"/>
      <c r="Z94" s="1497"/>
      <c r="AI94" s="2023">
        <f>W94-'Blocking-Step2'!W94</f>
        <v>0</v>
      </c>
      <c r="AJ94" s="2054">
        <f>O94-'Blocking-Step2'!O94</f>
        <v>0</v>
      </c>
    </row>
    <row r="95" spans="1:36">
      <c r="A95" s="1900" t="s">
        <v>1581</v>
      </c>
      <c r="C95" s="528">
        <f>C94-C96</f>
        <v>0.1</v>
      </c>
      <c r="D95" s="528">
        <f>D94-D96</f>
        <v>0</v>
      </c>
      <c r="F95" s="1901"/>
      <c r="G95" s="1902"/>
      <c r="H95" s="1644"/>
      <c r="I95" s="1644"/>
      <c r="K95" s="1901"/>
      <c r="L95" s="1902"/>
      <c r="M95" s="1901"/>
      <c r="N95" s="1902"/>
      <c r="O95" s="1901"/>
      <c r="P95" s="1902"/>
      <c r="Q95" s="1901"/>
      <c r="R95" s="1902"/>
      <c r="S95" s="1644"/>
      <c r="T95" s="1643"/>
      <c r="U95" s="1644"/>
      <c r="V95" s="1643"/>
      <c r="W95" s="1644"/>
      <c r="X95" s="1643"/>
      <c r="Y95" s="1644"/>
      <c r="AI95" s="2023">
        <f>W95-'Blocking-Step2'!W95</f>
        <v>0</v>
      </c>
      <c r="AJ95" s="2054">
        <f>O95-'Blocking-Step2'!O95</f>
        <v>0</v>
      </c>
    </row>
    <row r="96" spans="1:36">
      <c r="A96" s="1900" t="s">
        <v>1582</v>
      </c>
      <c r="C96" s="528">
        <f>'123'!AP17</f>
        <v>0</v>
      </c>
      <c r="D96" s="528">
        <f>ROUND(C96/C94*D94,0)</f>
        <v>0</v>
      </c>
      <c r="F96" s="1901"/>
      <c r="G96" s="1902"/>
      <c r="H96" s="1644"/>
      <c r="I96" s="1644"/>
      <c r="K96" s="1901"/>
      <c r="L96" s="1902"/>
      <c r="M96" s="1901"/>
      <c r="N96" s="1902"/>
      <c r="O96" s="1901"/>
      <c r="P96" s="1902"/>
      <c r="Q96" s="1901"/>
      <c r="R96" s="1902"/>
      <c r="S96" s="1644"/>
      <c r="T96" s="1643"/>
      <c r="U96" s="1644"/>
      <c r="V96" s="1643"/>
      <c r="W96" s="1644"/>
      <c r="X96" s="1643"/>
      <c r="Y96" s="1644"/>
      <c r="AI96" s="2023">
        <f>W96-'Blocking-Step2'!W96</f>
        <v>0</v>
      </c>
      <c r="AJ96" s="2054">
        <f>O96-'Blocking-Step2'!O96</f>
        <v>0</v>
      </c>
    </row>
    <row r="97" spans="1:36" s="1109" customFormat="1">
      <c r="A97" s="1116" t="s">
        <v>244</v>
      </c>
      <c r="B97" s="1104"/>
      <c r="C97" s="1105">
        <f>'123'!J17</f>
        <v>0</v>
      </c>
      <c r="D97" s="528">
        <f t="shared" si="35"/>
        <v>0</v>
      </c>
      <c r="F97" s="1907">
        <v>16</v>
      </c>
      <c r="G97" s="1110"/>
      <c r="H97" s="1146">
        <f t="shared" si="26"/>
        <v>0</v>
      </c>
      <c r="I97" s="1146">
        <f t="shared" si="26"/>
        <v>0</v>
      </c>
      <c r="K97" s="1907"/>
      <c r="L97" s="1110"/>
      <c r="M97" s="1907"/>
      <c r="N97" s="1110"/>
      <c r="O97" s="1907"/>
      <c r="P97" s="1110"/>
      <c r="Q97" s="1907"/>
      <c r="R97" s="1110"/>
      <c r="S97" s="1146"/>
      <c r="T97" s="1629"/>
      <c r="U97" s="1146"/>
      <c r="V97" s="1629"/>
      <c r="W97" s="1146"/>
      <c r="X97" s="1629"/>
      <c r="Y97" s="1146"/>
      <c r="Z97" s="1498"/>
      <c r="AI97" s="2023">
        <f>W97-'Blocking-Step2'!W97</f>
        <v>0</v>
      </c>
      <c r="AJ97" s="2054">
        <f>O97-'Blocking-Step2'!O97</f>
        <v>0</v>
      </c>
    </row>
    <row r="98" spans="1:36">
      <c r="A98" s="1900" t="s">
        <v>1581</v>
      </c>
      <c r="C98" s="528">
        <f>C97-C99</f>
        <v>0</v>
      </c>
      <c r="D98" s="528"/>
      <c r="F98" s="1901"/>
      <c r="G98" s="1902"/>
      <c r="H98" s="1644"/>
      <c r="I98" s="1644"/>
      <c r="K98" s="1901"/>
      <c r="L98" s="1902"/>
      <c r="M98" s="1901"/>
      <c r="N98" s="1902"/>
      <c r="O98" s="1907"/>
      <c r="P98" s="1902"/>
      <c r="Q98" s="1901"/>
      <c r="R98" s="1902"/>
      <c r="S98" s="1644"/>
      <c r="T98" s="1643"/>
      <c r="U98" s="1644"/>
      <c r="V98" s="1643"/>
      <c r="W98" s="1644"/>
      <c r="X98" s="1643"/>
      <c r="Y98" s="1644"/>
      <c r="AI98" s="2023">
        <f>W98-'Blocking-Step2'!W98</f>
        <v>0</v>
      </c>
      <c r="AJ98" s="2054">
        <f>O98-'Blocking-Step2'!O98</f>
        <v>0</v>
      </c>
    </row>
    <row r="99" spans="1:36">
      <c r="A99" s="1900" t="s">
        <v>1582</v>
      </c>
      <c r="C99" s="528">
        <f>'123'!AQ17</f>
        <v>0</v>
      </c>
      <c r="D99" s="528"/>
      <c r="F99" s="1901"/>
      <c r="G99" s="1902"/>
      <c r="H99" s="1644"/>
      <c r="I99" s="1644"/>
      <c r="K99" s="1901"/>
      <c r="L99" s="1902"/>
      <c r="M99" s="1901"/>
      <c r="N99" s="1902"/>
      <c r="O99" s="1907"/>
      <c r="P99" s="1902"/>
      <c r="Q99" s="1901"/>
      <c r="R99" s="1902"/>
      <c r="S99" s="1644"/>
      <c r="T99" s="1643"/>
      <c r="U99" s="1644"/>
      <c r="V99" s="1643"/>
      <c r="W99" s="1644"/>
      <c r="X99" s="1643"/>
      <c r="Y99" s="1644"/>
      <c r="AI99" s="2023">
        <f>W99-'Blocking-Step2'!W99</f>
        <v>0</v>
      </c>
      <c r="AJ99" s="2054">
        <f>O99-'Blocking-Step2'!O99</f>
        <v>0</v>
      </c>
    </row>
    <row r="100" spans="1:36" s="1109" customFormat="1">
      <c r="A100" s="1116" t="s">
        <v>245</v>
      </c>
      <c r="B100" s="1104"/>
      <c r="C100" s="1105">
        <f>'123'!AL17</f>
        <v>0</v>
      </c>
      <c r="D100" s="528">
        <f t="shared" si="35"/>
        <v>0</v>
      </c>
      <c r="F100" s="1907">
        <v>96</v>
      </c>
      <c r="G100" s="1110"/>
      <c r="H100" s="1146">
        <f t="shared" si="26"/>
        <v>0</v>
      </c>
      <c r="I100" s="1146">
        <f t="shared" si="26"/>
        <v>0</v>
      </c>
      <c r="K100" s="1907"/>
      <c r="L100" s="1110"/>
      <c r="M100" s="1907"/>
      <c r="N100" s="1110"/>
      <c r="O100" s="1907"/>
      <c r="P100" s="1110"/>
      <c r="Q100" s="1907"/>
      <c r="R100" s="1110"/>
      <c r="S100" s="1146"/>
      <c r="T100" s="1629"/>
      <c r="U100" s="1146"/>
      <c r="V100" s="1629"/>
      <c r="W100" s="1146"/>
      <c r="X100" s="1629"/>
      <c r="Y100" s="1146"/>
      <c r="Z100" s="1498"/>
      <c r="AI100" s="2023">
        <f>W100-'Blocking-Step2'!W100</f>
        <v>0</v>
      </c>
      <c r="AJ100" s="2054">
        <f>O100-'Blocking-Step2'!O100</f>
        <v>0</v>
      </c>
    </row>
    <row r="101" spans="1:36" s="1104" customFormat="1">
      <c r="A101" s="1116" t="s">
        <v>1160</v>
      </c>
      <c r="C101" s="1105"/>
      <c r="D101" s="1105"/>
      <c r="E101" s="1109"/>
      <c r="F101" s="1907"/>
      <c r="G101" s="1110"/>
      <c r="H101" s="1146"/>
      <c r="I101" s="1146"/>
      <c r="J101" s="1109"/>
      <c r="K101" s="1907"/>
      <c r="L101" s="1110"/>
      <c r="M101" s="1907"/>
      <c r="N101" s="1110"/>
      <c r="O101" s="1907"/>
      <c r="P101" s="1110"/>
      <c r="Q101" s="1907"/>
      <c r="R101" s="1110"/>
      <c r="S101" s="1146"/>
      <c r="T101" s="1629"/>
      <c r="U101" s="1146"/>
      <c r="V101" s="1629"/>
      <c r="W101" s="1146"/>
      <c r="X101" s="1629"/>
      <c r="Y101" s="1146"/>
      <c r="Z101" s="1497"/>
      <c r="AI101" s="2023">
        <f>W101-'Blocking-Step2'!W101</f>
        <v>0</v>
      </c>
      <c r="AJ101" s="2054">
        <f>O101-'Blocking-Step2'!O101</f>
        <v>0</v>
      </c>
    </row>
    <row r="102" spans="1:36" s="1104" customFormat="1">
      <c r="A102" s="1116" t="s">
        <v>248</v>
      </c>
      <c r="C102" s="1105">
        <f>'123'!Y17</f>
        <v>228976</v>
      </c>
      <c r="D102" s="528">
        <f>D111-SUM(D103:D110)</f>
        <v>206699.0452160826</v>
      </c>
      <c r="E102" s="1109"/>
      <c r="F102" s="1922">
        <v>22.275500000000001</v>
      </c>
      <c r="G102" s="1929" t="s">
        <v>495</v>
      </c>
      <c r="H102" s="1146">
        <f>ROUND($F102*C102/100,0)</f>
        <v>51006</v>
      </c>
      <c r="I102" s="1146">
        <f>ROUND($F102*D102/100,0)</f>
        <v>46043</v>
      </c>
      <c r="J102" s="1109"/>
      <c r="K102" s="1920">
        <f>$K$29</f>
        <v>4.3437999999999999</v>
      </c>
      <c r="L102" s="1921" t="s">
        <v>495</v>
      </c>
      <c r="M102" s="1920">
        <f>$M$29</f>
        <v>3.6385809960970961</v>
      </c>
      <c r="N102" s="1921" t="s">
        <v>495</v>
      </c>
      <c r="O102" s="1920">
        <f>'Blocking-Step2'!O102</f>
        <v>13.853163723895999</v>
      </c>
      <c r="P102" s="1929" t="s">
        <v>495</v>
      </c>
      <c r="Q102" s="1922">
        <f>ROUND(F102*(1+$AB$17),$AB$8)</f>
        <v>21.680465072484999</v>
      </c>
      <c r="R102" s="1929" t="s">
        <v>495</v>
      </c>
      <c r="S102" s="1146">
        <f>ROUND($D102*K102/100,0)</f>
        <v>8979</v>
      </c>
      <c r="T102" s="1656"/>
      <c r="U102" s="1146">
        <f>ROUND($D102*M102/100,0)</f>
        <v>7521</v>
      </c>
      <c r="V102" s="1656"/>
      <c r="W102" s="1146">
        <f>ROUND($D102*O102/100,0)</f>
        <v>28634</v>
      </c>
      <c r="X102" s="1656"/>
      <c r="Y102" s="1146">
        <f>ROUND($D102*Q102/100,0)</f>
        <v>44813</v>
      </c>
      <c r="Z102" s="1497"/>
      <c r="AI102" s="2023">
        <f>W102-'Blocking-Step2'!W102</f>
        <v>0</v>
      </c>
      <c r="AJ102" s="2054">
        <f>O102-'Blocking-Step2'!O102</f>
        <v>0</v>
      </c>
    </row>
    <row r="103" spans="1:36" s="1104" customFormat="1">
      <c r="A103" s="1116" t="s">
        <v>249</v>
      </c>
      <c r="C103" s="1105">
        <f>'123'!Z17</f>
        <v>1067463</v>
      </c>
      <c r="D103" s="528">
        <f>ROUND(C103/($C$111-$C$108)*$D$111,0)</f>
        <v>963611</v>
      </c>
      <c r="E103" s="1109"/>
      <c r="F103" s="1922">
        <v>6.7881</v>
      </c>
      <c r="G103" s="1929" t="s">
        <v>495</v>
      </c>
      <c r="H103" s="1146">
        <f>ROUND($F103*C103/100,0)</f>
        <v>72460</v>
      </c>
      <c r="I103" s="1146">
        <f>ROUND($F103*D103/100,0)</f>
        <v>65411</v>
      </c>
      <c r="J103" s="1109"/>
      <c r="K103" s="1920">
        <f>$K$29</f>
        <v>4.3437999999999999</v>
      </c>
      <c r="L103" s="1921" t="s">
        <v>495</v>
      </c>
      <c r="M103" s="1920">
        <f>Q103-K103-O103</f>
        <v>2.2629726856200003</v>
      </c>
      <c r="N103" s="1921" t="s">
        <v>495</v>
      </c>
      <c r="O103" s="1920">
        <f>'Blocking-Step2'!O103</f>
        <v>0</v>
      </c>
      <c r="P103" s="1929" t="s">
        <v>495</v>
      </c>
      <c r="Q103" s="1922">
        <f>ROUND(F103*(1+$AB$17),$AB$8)</f>
        <v>6.6067726856200002</v>
      </c>
      <c r="R103" s="1929" t="s">
        <v>495</v>
      </c>
      <c r="S103" s="1146">
        <f>ROUND($D103*K103/100,0)</f>
        <v>41857</v>
      </c>
      <c r="T103" s="1656"/>
      <c r="U103" s="1146">
        <f>ROUND($D103*M103/100,0)</f>
        <v>21806</v>
      </c>
      <c r="V103" s="1656"/>
      <c r="W103" s="1146">
        <f>ROUND($D103*O103/100,0)</f>
        <v>0</v>
      </c>
      <c r="X103" s="1656"/>
      <c r="Y103" s="1146">
        <f>ROUND($D103*Q103/100,0)</f>
        <v>63664</v>
      </c>
      <c r="Z103" s="1497"/>
      <c r="AI103" s="2023">
        <f>W103-'Blocking-Step2'!W103</f>
        <v>0</v>
      </c>
      <c r="AJ103" s="2054">
        <f>O103-'Blocking-Step2'!O103</f>
        <v>0</v>
      </c>
    </row>
    <row r="104" spans="1:36" s="1104" customFormat="1">
      <c r="A104" s="1116" t="s">
        <v>1161</v>
      </c>
      <c r="C104" s="1105"/>
      <c r="D104" s="1105"/>
      <c r="E104" s="1109"/>
      <c r="F104" s="1907"/>
      <c r="G104" s="1110"/>
      <c r="H104" s="1146"/>
      <c r="I104" s="1146"/>
      <c r="J104" s="1109"/>
      <c r="K104" s="1907"/>
      <c r="L104" s="1110"/>
      <c r="M104" s="1907"/>
      <c r="N104" s="1110"/>
      <c r="O104" s="1907"/>
      <c r="P104" s="1110"/>
      <c r="Q104" s="1907"/>
      <c r="R104" s="1110"/>
      <c r="S104" s="1146"/>
      <c r="T104" s="1629"/>
      <c r="U104" s="1146"/>
      <c r="V104" s="1629"/>
      <c r="W104" s="1146"/>
      <c r="X104" s="1629"/>
      <c r="Y104" s="1146"/>
      <c r="Z104" s="1497"/>
      <c r="AI104" s="2023">
        <f>W104-'Blocking-Step2'!W104</f>
        <v>0</v>
      </c>
      <c r="AJ104" s="2054">
        <f>O104-'Blocking-Step2'!O104</f>
        <v>0</v>
      </c>
    </row>
    <row r="105" spans="1:36" s="1104" customFormat="1">
      <c r="A105" s="1116" t="s">
        <v>248</v>
      </c>
      <c r="C105" s="1105">
        <f>'123'!AA17</f>
        <v>384603</v>
      </c>
      <c r="D105" s="528">
        <f t="shared" ref="D105:D106" si="36">ROUND(C105/($C$111-$C$108)*$D$111,0)</f>
        <v>347186</v>
      </c>
      <c r="E105" s="1109"/>
      <c r="F105" s="1922">
        <v>34.375300000000003</v>
      </c>
      <c r="G105" s="1929" t="s">
        <v>495</v>
      </c>
      <c r="H105" s="1146">
        <f t="shared" ref="H105:I107" si="37">ROUND($F105*C105/100,0)</f>
        <v>132208</v>
      </c>
      <c r="I105" s="1146">
        <f t="shared" si="37"/>
        <v>119346</v>
      </c>
      <c r="J105" s="1109"/>
      <c r="K105" s="1920">
        <f t="shared" ref="K105:K106" si="38">$K$29</f>
        <v>4.3437999999999999</v>
      </c>
      <c r="L105" s="1921" t="s">
        <v>495</v>
      </c>
      <c r="M105" s="1920">
        <f>$M$29</f>
        <v>3.6385809960970961</v>
      </c>
      <c r="N105" s="1921" t="s">
        <v>495</v>
      </c>
      <c r="O105" s="1920">
        <f>'Blocking-Step2'!O105</f>
        <v>25.796071121099001</v>
      </c>
      <c r="P105" s="1929" t="s">
        <v>495</v>
      </c>
      <c r="Q105" s="1922">
        <f>ROUND(F105*(1+$AB$17),$AB$8)</f>
        <v>33.457048820731004</v>
      </c>
      <c r="R105" s="1929" t="s">
        <v>495</v>
      </c>
      <c r="S105" s="1146">
        <f t="shared" ref="S105:S107" si="39">ROUND($D105*K105/100,0)</f>
        <v>15081</v>
      </c>
      <c r="T105" s="1656"/>
      <c r="U105" s="1146">
        <f t="shared" ref="U105:U107" si="40">ROUND($D105*M105/100,0)</f>
        <v>12633</v>
      </c>
      <c r="V105" s="1656"/>
      <c r="W105" s="1146">
        <f t="shared" ref="W105:Y107" si="41">ROUND($D105*O105/100,0)</f>
        <v>89560</v>
      </c>
      <c r="X105" s="1656"/>
      <c r="Y105" s="1146">
        <f t="shared" si="41"/>
        <v>116158</v>
      </c>
      <c r="Z105" s="1497"/>
      <c r="AI105" s="2023">
        <f>W105-'Blocking-Step2'!W105</f>
        <v>0</v>
      </c>
      <c r="AJ105" s="2054">
        <f>O105-'Blocking-Step2'!O105</f>
        <v>0</v>
      </c>
    </row>
    <row r="106" spans="1:36" s="1104" customFormat="1">
      <c r="A106" s="1116" t="s">
        <v>249</v>
      </c>
      <c r="C106" s="1105">
        <f>'123'!AB17</f>
        <v>2360279</v>
      </c>
      <c r="D106" s="528">
        <f t="shared" si="36"/>
        <v>2130652</v>
      </c>
      <c r="E106" s="1109"/>
      <c r="F106" s="1922">
        <v>3.4003000000000001</v>
      </c>
      <c r="G106" s="1929" t="s">
        <v>495</v>
      </c>
      <c r="H106" s="1146">
        <f t="shared" si="37"/>
        <v>80257</v>
      </c>
      <c r="I106" s="1146">
        <f t="shared" si="37"/>
        <v>72449</v>
      </c>
      <c r="J106" s="1109"/>
      <c r="K106" s="1920">
        <f t="shared" si="38"/>
        <v>4.3437999999999999</v>
      </c>
      <c r="L106" s="1921" t="s">
        <v>495</v>
      </c>
      <c r="M106" s="1920">
        <f>Q106-K106-O106</f>
        <v>-1.0343306104929999</v>
      </c>
      <c r="N106" s="1921" t="s">
        <v>495</v>
      </c>
      <c r="O106" s="1920">
        <f>'Blocking-Step2'!O106</f>
        <v>0</v>
      </c>
      <c r="P106" s="1929" t="s">
        <v>495</v>
      </c>
      <c r="Q106" s="1922">
        <f>ROUND(F106*(1+$AB$17),$AB$8)</f>
        <v>3.309469389507</v>
      </c>
      <c r="R106" s="1929" t="s">
        <v>495</v>
      </c>
      <c r="S106" s="1146">
        <f t="shared" si="39"/>
        <v>92551</v>
      </c>
      <c r="T106" s="1656"/>
      <c r="U106" s="1146">
        <f t="shared" si="40"/>
        <v>-22038</v>
      </c>
      <c r="V106" s="1656"/>
      <c r="W106" s="1146">
        <f t="shared" si="41"/>
        <v>0</v>
      </c>
      <c r="X106" s="1656"/>
      <c r="Y106" s="1146">
        <f t="shared" si="41"/>
        <v>70513</v>
      </c>
      <c r="Z106" s="1497"/>
      <c r="AI106" s="2023">
        <f>W106-'Blocking-Step2'!W106</f>
        <v>0</v>
      </c>
      <c r="AJ106" s="2054">
        <f>O106-'Blocking-Step2'!O106</f>
        <v>0</v>
      </c>
    </row>
    <row r="107" spans="1:36" s="1104" customFormat="1">
      <c r="A107" s="1116" t="s">
        <v>1157</v>
      </c>
      <c r="B107" s="1928"/>
      <c r="C107" s="1024">
        <f>'123'!X17</f>
        <v>0</v>
      </c>
      <c r="D107" s="528">
        <f>ROUND(C107/($C$111-$C$108)*$D$111,0)</f>
        <v>0</v>
      </c>
      <c r="E107" s="804"/>
      <c r="F107" s="1927">
        <v>11.7033</v>
      </c>
      <c r="G107" s="1929" t="s">
        <v>495</v>
      </c>
      <c r="H107" s="1146">
        <f t="shared" si="37"/>
        <v>0</v>
      </c>
      <c r="I107" s="1146">
        <f t="shared" si="37"/>
        <v>0</v>
      </c>
      <c r="J107" s="804"/>
      <c r="K107" s="1920">
        <f>K41</f>
        <v>4.3437999999999999</v>
      </c>
      <c r="L107" s="1921" t="s">
        <v>495</v>
      </c>
      <c r="M107" s="1920">
        <f>M41</f>
        <v>7.7249999999999996</v>
      </c>
      <c r="N107" s="1921" t="s">
        <v>495</v>
      </c>
      <c r="O107" s="1920">
        <f>'Blocking-Step2'!O107</f>
        <v>0</v>
      </c>
      <c r="P107" s="1929" t="s">
        <v>495</v>
      </c>
      <c r="Q107" s="1927">
        <f>Q41</f>
        <v>12.0688</v>
      </c>
      <c r="R107" s="1929" t="s">
        <v>495</v>
      </c>
      <c r="S107" s="1146">
        <f t="shared" si="39"/>
        <v>0</v>
      </c>
      <c r="T107" s="1656"/>
      <c r="U107" s="1146">
        <f t="shared" si="40"/>
        <v>0</v>
      </c>
      <c r="V107" s="1656"/>
      <c r="W107" s="1146">
        <f t="shared" si="41"/>
        <v>0</v>
      </c>
      <c r="X107" s="1656"/>
      <c r="Y107" s="1146">
        <f t="shared" si="41"/>
        <v>0</v>
      </c>
      <c r="Z107" s="1497"/>
      <c r="AA107" s="1104" t="s">
        <v>1746</v>
      </c>
      <c r="AB107" s="1919">
        <f>ROUND(D111/(D85),0)</f>
        <v>1172</v>
      </c>
      <c r="AI107" s="2023">
        <f>W107-'Blocking-Step2'!W107</f>
        <v>0</v>
      </c>
      <c r="AJ107" s="2054">
        <f>O107-'Blocking-Step2'!O107</f>
        <v>0</v>
      </c>
    </row>
    <row r="108" spans="1:36" s="1104" customFormat="1">
      <c r="A108" s="1116" t="s">
        <v>246</v>
      </c>
      <c r="C108" s="1940">
        <f>'Table 2'!J14</f>
        <v>22863</v>
      </c>
      <c r="D108" s="1940">
        <v>0</v>
      </c>
      <c r="E108" s="1109"/>
      <c r="G108" s="1109"/>
      <c r="H108" s="1147">
        <f>'Table 3'!F14</f>
        <v>2105</v>
      </c>
      <c r="I108" s="1030">
        <v>0</v>
      </c>
      <c r="J108" s="1109"/>
      <c r="L108" s="1109"/>
      <c r="N108" s="1109"/>
      <c r="P108" s="1109"/>
      <c r="R108" s="1109"/>
      <c r="S108" s="1628"/>
      <c r="T108" s="1628"/>
      <c r="U108" s="1628"/>
      <c r="V108" s="1628"/>
      <c r="W108" s="1628"/>
      <c r="X108" s="1628"/>
      <c r="Y108" s="1030"/>
      <c r="Z108" s="1497"/>
      <c r="AA108" s="1104" t="s">
        <v>1747</v>
      </c>
      <c r="AB108" s="1919">
        <f>AB107</f>
        <v>1172</v>
      </c>
      <c r="AI108" s="2023">
        <f>W108-'Blocking-Step2'!W108</f>
        <v>0</v>
      </c>
      <c r="AJ108" s="2054">
        <f>O108-'Blocking-Step2'!O108</f>
        <v>0</v>
      </c>
    </row>
    <row r="109" spans="1:36">
      <c r="A109" s="1900" t="s">
        <v>1240</v>
      </c>
      <c r="C109" s="584"/>
      <c r="D109" s="584"/>
      <c r="F109" s="1930">
        <v>-3.9100000000000003E-2</v>
      </c>
      <c r="G109" s="597"/>
      <c r="H109" s="1644">
        <f>SUM(H102:H103,H105:H107)*$F109</f>
        <v>-13134.902100000001</v>
      </c>
      <c r="I109" s="1644">
        <f>SUM(I102:I103,I105:I107)*$F109</f>
        <v>-11857.035900000001</v>
      </c>
      <c r="K109" s="1930"/>
      <c r="L109" s="597"/>
      <c r="M109" s="1930"/>
      <c r="N109" s="597"/>
      <c r="O109" s="1931" t="str">
        <f>$O$43</f>
        <v>Tax Year 1 (1/1/2021)</v>
      </c>
      <c r="P109" s="597"/>
      <c r="Q109" s="1930">
        <f>$Q$43</f>
        <v>-1.7000000000000001E-2</v>
      </c>
      <c r="R109" s="597"/>
      <c r="S109" s="1645"/>
      <c r="T109" s="1645"/>
      <c r="U109" s="1645"/>
      <c r="V109" s="1645"/>
      <c r="W109" s="1645"/>
      <c r="X109" s="1645"/>
      <c r="Y109" s="1644">
        <f>Q109*SUM(Y102:Y107)</f>
        <v>-5017.5160000000005</v>
      </c>
      <c r="AA109" s="1104" t="s">
        <v>1748</v>
      </c>
      <c r="AB109" s="1919">
        <f>AB107</f>
        <v>1172</v>
      </c>
      <c r="AI109" s="2023">
        <f>W109-'Blocking-Step2'!W109</f>
        <v>0</v>
      </c>
      <c r="AJ109" s="2054">
        <f>O109-'Blocking-Step2'!O109</f>
        <v>0</v>
      </c>
    </row>
    <row r="110" spans="1:36">
      <c r="A110" s="1116" t="s">
        <v>1317</v>
      </c>
      <c r="C110" s="584">
        <f>'123'!AX17</f>
        <v>0</v>
      </c>
      <c r="D110" s="528">
        <f>ROUND(C110/($C$111-$C$108)*$D$111,0)</f>
        <v>0</v>
      </c>
      <c r="F110" s="1930"/>
      <c r="G110" s="597"/>
      <c r="H110" s="1644"/>
      <c r="I110" s="1644"/>
      <c r="K110" s="1930"/>
      <c r="L110" s="597"/>
      <c r="M110" s="1930"/>
      <c r="N110" s="597"/>
      <c r="O110" s="1931">
        <f>$O$44</f>
        <v>0</v>
      </c>
      <c r="P110" s="597"/>
      <c r="Q110" s="1930">
        <f>$Q$44</f>
        <v>0</v>
      </c>
      <c r="R110" s="597"/>
      <c r="S110" s="1645"/>
      <c r="T110" s="1645"/>
      <c r="U110" s="1645"/>
      <c r="V110" s="1645"/>
      <c r="W110" s="1645"/>
      <c r="X110" s="1645"/>
      <c r="Y110" s="1644">
        <f>Q110*SUM(Y102:Y107)</f>
        <v>0</v>
      </c>
      <c r="AA110" s="1104"/>
      <c r="AB110" s="1104"/>
      <c r="AI110" s="2023">
        <f>W110-'Blocking-Step2'!W110</f>
        <v>0</v>
      </c>
      <c r="AJ110" s="2054">
        <f>O110-'Blocking-Step2'!O110</f>
        <v>0</v>
      </c>
    </row>
    <row r="111" spans="1:36" s="1104" customFormat="1" ht="16.5" thickBot="1">
      <c r="A111" s="1116" t="s">
        <v>247</v>
      </c>
      <c r="C111" s="1941">
        <f>SUM(C102:C107,C108)</f>
        <v>4064184</v>
      </c>
      <c r="D111" s="1941">
        <f>Energy!P8-'Blocking-Step1'!D82</f>
        <v>3648148.0452160826</v>
      </c>
      <c r="E111" s="1109"/>
      <c r="F111" s="1145"/>
      <c r="G111" s="1109"/>
      <c r="H111" s="1149">
        <f>SUM(H86:H109)</f>
        <v>344576.09789999999</v>
      </c>
      <c r="I111" s="1149">
        <f>SUM(I86:I109)</f>
        <v>310075.96409999998</v>
      </c>
      <c r="J111" s="1109"/>
      <c r="K111" s="1145"/>
      <c r="L111" s="1109"/>
      <c r="M111" s="1145"/>
      <c r="N111" s="1109"/>
      <c r="O111" s="1939"/>
      <c r="P111" s="596"/>
      <c r="Q111" s="1939"/>
      <c r="R111" s="596"/>
      <c r="S111" s="1646">
        <f>SUM(S87:S108)</f>
        <v>188844</v>
      </c>
      <c r="T111" s="1637"/>
      <c r="U111" s="1646">
        <f>SUM(U87:U108)</f>
        <v>19922</v>
      </c>
      <c r="V111" s="1637"/>
      <c r="W111" s="1646">
        <f>SUM(W87:W108)</f>
        <v>118194</v>
      </c>
      <c r="X111" s="1637"/>
      <c r="Y111" s="1646">
        <f>SUM(Y87:Y108)</f>
        <v>325524</v>
      </c>
      <c r="Z111" s="1497"/>
      <c r="AA111" s="1104" t="s">
        <v>1743</v>
      </c>
      <c r="AB111" s="1890">
        <f>Y111/I111-1</f>
        <v>4.9820165664365978E-2</v>
      </c>
      <c r="AI111" s="2023">
        <f>W111-'Blocking-Step2'!W111</f>
        <v>0</v>
      </c>
      <c r="AJ111" s="2054">
        <f>O111-'Blocking-Step2'!O111</f>
        <v>0</v>
      </c>
    </row>
    <row r="112" spans="1:36" s="1104" customFormat="1" ht="16.5" thickTop="1">
      <c r="C112" s="1105"/>
      <c r="D112" s="1105"/>
      <c r="E112" s="1109"/>
      <c r="G112" s="1109"/>
      <c r="H112" s="1627"/>
      <c r="I112" s="1627"/>
      <c r="J112" s="1109"/>
      <c r="L112" s="1109"/>
      <c r="N112" s="1109"/>
      <c r="P112" s="1109"/>
      <c r="R112" s="1109"/>
      <c r="S112" s="1628"/>
      <c r="T112" s="1628"/>
      <c r="U112" s="1628"/>
      <c r="V112" s="1628"/>
      <c r="W112" s="1628"/>
      <c r="X112" s="1628"/>
      <c r="Y112" s="1627"/>
      <c r="Z112" s="1497"/>
      <c r="AI112" s="2023">
        <f>W112-'Blocking-Step2'!W112</f>
        <v>0</v>
      </c>
      <c r="AJ112" s="2054">
        <f>O112-'Blocking-Step2'!O112</f>
        <v>0</v>
      </c>
    </row>
    <row r="113" spans="1:36">
      <c r="A113" s="1897" t="s">
        <v>931</v>
      </c>
      <c r="C113" s="528"/>
      <c r="D113" s="528"/>
      <c r="AI113" s="2023">
        <f>W113-'Blocking-Step2'!W113</f>
        <v>0</v>
      </c>
      <c r="AJ113" s="2054">
        <f>O113-'Blocking-Step2'!O113</f>
        <v>0</v>
      </c>
    </row>
    <row r="114" spans="1:36">
      <c r="A114" s="1900" t="s">
        <v>685</v>
      </c>
      <c r="C114" s="528">
        <f>'123'!F18</f>
        <v>253674.66666666619</v>
      </c>
      <c r="D114" s="528">
        <f>Bill!P9</f>
        <v>216323</v>
      </c>
      <c r="F114" s="1901"/>
      <c r="G114" s="1902"/>
      <c r="H114" s="1644"/>
      <c r="I114" s="1644"/>
      <c r="K114" s="1901"/>
      <c r="L114" s="1902"/>
      <c r="M114" s="1901"/>
      <c r="N114" s="1902"/>
      <c r="O114" s="1901"/>
      <c r="P114" s="1902"/>
      <c r="Q114" s="1901"/>
      <c r="R114" s="1902"/>
      <c r="S114" s="1643"/>
      <c r="T114" s="1643"/>
      <c r="U114" s="1643"/>
      <c r="V114" s="1643"/>
      <c r="W114" s="1643"/>
      <c r="X114" s="1643"/>
      <c r="Y114" s="1644"/>
      <c r="AI114" s="2023">
        <f>W114-'Blocking-Step2'!W114</f>
        <v>0</v>
      </c>
      <c r="AJ114" s="2054">
        <f>O114-'Blocking-Step2'!O114</f>
        <v>0</v>
      </c>
    </row>
    <row r="115" spans="1:36">
      <c r="A115" s="1900" t="s">
        <v>683</v>
      </c>
      <c r="C115" s="528">
        <f>'123'!G18</f>
        <v>253474.43333333288</v>
      </c>
      <c r="D115" s="528">
        <f>ROUND(C115/$C$114*$D$114,0)</f>
        <v>216152</v>
      </c>
      <c r="F115" s="1901">
        <v>6</v>
      </c>
      <c r="G115" s="1902"/>
      <c r="H115" s="1644">
        <f t="shared" ref="H115:I129" si="42">ROUND($F115*C115,0)</f>
        <v>1520847</v>
      </c>
      <c r="I115" s="1644">
        <f t="shared" si="42"/>
        <v>1296912</v>
      </c>
      <c r="K115" s="1901"/>
      <c r="L115" s="1902"/>
      <c r="M115" s="1901"/>
      <c r="N115" s="1902"/>
      <c r="O115" s="1901"/>
      <c r="P115" s="1902"/>
      <c r="Q115" s="1901"/>
      <c r="R115" s="1902"/>
      <c r="S115" s="1643"/>
      <c r="T115" s="1643"/>
      <c r="U115" s="1643"/>
      <c r="V115" s="1643"/>
      <c r="W115" s="1643"/>
      <c r="X115" s="1643"/>
      <c r="Y115" s="1644"/>
      <c r="AI115" s="2023">
        <f>W115-'Blocking-Step2'!W115</f>
        <v>0</v>
      </c>
      <c r="AJ115" s="2054">
        <f>O115-'Blocking-Step2'!O115</f>
        <v>0</v>
      </c>
    </row>
    <row r="116" spans="1:36">
      <c r="A116" s="1900" t="s">
        <v>1581</v>
      </c>
      <c r="C116" s="528">
        <f>C115-C117</f>
        <v>132873.89999999944</v>
      </c>
      <c r="D116" s="528">
        <f>D115-D117</f>
        <v>113309</v>
      </c>
      <c r="F116" s="1901"/>
      <c r="G116" s="1902"/>
      <c r="H116" s="1644"/>
      <c r="I116" s="1644"/>
      <c r="K116" s="1901">
        <f>K13</f>
        <v>10</v>
      </c>
      <c r="L116" s="1902"/>
      <c r="M116" s="1901">
        <f>M13</f>
        <v>0</v>
      </c>
      <c r="N116" s="1902"/>
      <c r="O116" s="1901">
        <f>O13</f>
        <v>0</v>
      </c>
      <c r="P116" s="1902"/>
      <c r="Q116" s="1901">
        <f>Q13</f>
        <v>10</v>
      </c>
      <c r="R116" s="1902"/>
      <c r="S116" s="1644">
        <f>ROUND($D116*K116,0)</f>
        <v>1133090</v>
      </c>
      <c r="T116" s="1643"/>
      <c r="U116" s="1644">
        <f>ROUND($D116*M116,0)</f>
        <v>0</v>
      </c>
      <c r="V116" s="1643"/>
      <c r="W116" s="1644">
        <f>ROUND($D116*O116,0)</f>
        <v>0</v>
      </c>
      <c r="X116" s="1643"/>
      <c r="Y116" s="1644">
        <f>ROUND($D116*Q116,0)</f>
        <v>1133090</v>
      </c>
      <c r="AI116" s="2023">
        <f>W116-'Blocking-Step2'!W116</f>
        <v>0</v>
      </c>
      <c r="AJ116" s="2054">
        <f>O116-'Blocking-Step2'!O116</f>
        <v>0</v>
      </c>
    </row>
    <row r="117" spans="1:36">
      <c r="A117" s="1900" t="s">
        <v>1582</v>
      </c>
      <c r="C117" s="528">
        <f>'123'!AN18</f>
        <v>120600.53333333343</v>
      </c>
      <c r="D117" s="528">
        <f>ROUND(C117/C115*D115,0)</f>
        <v>102843</v>
      </c>
      <c r="F117" s="1901"/>
      <c r="G117" s="1902"/>
      <c r="H117" s="1644"/>
      <c r="I117" s="1644"/>
      <c r="K117" s="1901">
        <f>K14</f>
        <v>6</v>
      </c>
      <c r="L117" s="1902"/>
      <c r="M117" s="1901">
        <f>M14</f>
        <v>0</v>
      </c>
      <c r="N117" s="1902"/>
      <c r="O117" s="1901">
        <f>O14</f>
        <v>0</v>
      </c>
      <c r="P117" s="1902"/>
      <c r="Q117" s="1901">
        <f>Q14</f>
        <v>6</v>
      </c>
      <c r="R117" s="1902"/>
      <c r="S117" s="1644">
        <f>ROUND($D117*K117,0)</f>
        <v>617058</v>
      </c>
      <c r="T117" s="1643"/>
      <c r="U117" s="1644">
        <f>ROUND($D117*M117,0)</f>
        <v>0</v>
      </c>
      <c r="V117" s="1643"/>
      <c r="W117" s="1644">
        <f>ROUND($D117*O117,0)</f>
        <v>0</v>
      </c>
      <c r="X117" s="1643"/>
      <c r="Y117" s="1644">
        <f>ROUND($D117*Q117,0)</f>
        <v>617058</v>
      </c>
      <c r="AI117" s="2023">
        <f>W117-'Blocking-Step2'!W117</f>
        <v>0</v>
      </c>
      <c r="AJ117" s="2054">
        <f>O117-'Blocking-Step2'!O117</f>
        <v>0</v>
      </c>
    </row>
    <row r="118" spans="1:36">
      <c r="A118" s="1900" t="s">
        <v>684</v>
      </c>
      <c r="C118" s="528">
        <f>'123'!H18</f>
        <v>200.23333333333329</v>
      </c>
      <c r="D118" s="528">
        <f>D114-D115</f>
        <v>171</v>
      </c>
      <c r="F118" s="1901">
        <v>12</v>
      </c>
      <c r="G118" s="1902"/>
      <c r="H118" s="1644">
        <f t="shared" si="42"/>
        <v>2403</v>
      </c>
      <c r="I118" s="1644">
        <f t="shared" si="42"/>
        <v>2052</v>
      </c>
      <c r="K118" s="1901"/>
      <c r="L118" s="1902"/>
      <c r="M118" s="1901"/>
      <c r="N118" s="1902"/>
      <c r="O118" s="1901"/>
      <c r="P118" s="1902"/>
      <c r="Q118" s="1901"/>
      <c r="R118" s="1902"/>
      <c r="S118" s="1644"/>
      <c r="T118" s="1643"/>
      <c r="U118" s="1644"/>
      <c r="V118" s="1643"/>
      <c r="W118" s="1644"/>
      <c r="X118" s="1643"/>
      <c r="Y118" s="1644"/>
      <c r="AI118" s="2023">
        <f>W118-'Blocking-Step2'!W118</f>
        <v>0</v>
      </c>
      <c r="AJ118" s="2054">
        <f>O118-'Blocking-Step2'!O118</f>
        <v>0</v>
      </c>
    </row>
    <row r="119" spans="1:36">
      <c r="A119" s="1900" t="s">
        <v>1581</v>
      </c>
      <c r="C119" s="528">
        <f>C118-C120</f>
        <v>31.833333333333286</v>
      </c>
      <c r="D119" s="528">
        <f>D118-D120</f>
        <v>27</v>
      </c>
      <c r="F119" s="1901"/>
      <c r="G119" s="1902"/>
      <c r="H119" s="1644"/>
      <c r="I119" s="1644"/>
      <c r="K119" s="1901">
        <f>K16</f>
        <v>20</v>
      </c>
      <c r="L119" s="1902"/>
      <c r="M119" s="1901">
        <f>M16</f>
        <v>0</v>
      </c>
      <c r="N119" s="1902"/>
      <c r="O119" s="1901">
        <f>O16</f>
        <v>0</v>
      </c>
      <c r="P119" s="1902"/>
      <c r="Q119" s="1901">
        <f>Q16</f>
        <v>20</v>
      </c>
      <c r="R119" s="1902"/>
      <c r="S119" s="1644">
        <f t="shared" ref="S119:S122" si="43">ROUND($D119*K119,0)</f>
        <v>540</v>
      </c>
      <c r="T119" s="1643"/>
      <c r="U119" s="1644">
        <f t="shared" ref="U119:U122" si="44">ROUND($D119*M119,0)</f>
        <v>0</v>
      </c>
      <c r="V119" s="1643"/>
      <c r="W119" s="1644">
        <f t="shared" ref="W119:Y122" si="45">ROUND($D119*O119,0)</f>
        <v>0</v>
      </c>
      <c r="X119" s="1643"/>
      <c r="Y119" s="1644">
        <f t="shared" si="45"/>
        <v>540</v>
      </c>
      <c r="AI119" s="2023">
        <f>W119-'Blocking-Step2'!W119</f>
        <v>0</v>
      </c>
      <c r="AJ119" s="2054">
        <f>O119-'Blocking-Step2'!O119</f>
        <v>0</v>
      </c>
    </row>
    <row r="120" spans="1:36">
      <c r="A120" s="1900" t="s">
        <v>1582</v>
      </c>
      <c r="C120" s="528">
        <f>'123'!AO18</f>
        <v>168.4</v>
      </c>
      <c r="D120" s="528">
        <f>ROUND(C120/C118*D118,0)</f>
        <v>144</v>
      </c>
      <c r="F120" s="1901"/>
      <c r="G120" s="1902"/>
      <c r="H120" s="1644"/>
      <c r="I120" s="1644"/>
      <c r="K120" s="1901">
        <f>K17</f>
        <v>12</v>
      </c>
      <c r="L120" s="1902"/>
      <c r="M120" s="1901">
        <f>M17</f>
        <v>0</v>
      </c>
      <c r="N120" s="1902"/>
      <c r="O120" s="1901">
        <f>O17</f>
        <v>0</v>
      </c>
      <c r="P120" s="1902"/>
      <c r="Q120" s="1901">
        <f>Q17</f>
        <v>12</v>
      </c>
      <c r="R120" s="1902"/>
      <c r="S120" s="1644">
        <f t="shared" si="43"/>
        <v>1728</v>
      </c>
      <c r="T120" s="1643"/>
      <c r="U120" s="1644">
        <f t="shared" si="44"/>
        <v>0</v>
      </c>
      <c r="V120" s="1643"/>
      <c r="W120" s="1644">
        <f t="shared" si="45"/>
        <v>0</v>
      </c>
      <c r="X120" s="1643"/>
      <c r="Y120" s="1644">
        <f t="shared" si="45"/>
        <v>1728</v>
      </c>
      <c r="AI120" s="2023">
        <f>W120-'Blocking-Step2'!W120</f>
        <v>0</v>
      </c>
      <c r="AJ120" s="2054">
        <f>O120-'Blocking-Step2'!O120</f>
        <v>0</v>
      </c>
    </row>
    <row r="121" spans="1:36">
      <c r="A121" s="1900" t="s">
        <v>1236</v>
      </c>
      <c r="C121" s="528">
        <f>'123'!AE18</f>
        <v>0</v>
      </c>
      <c r="D121" s="528">
        <f t="shared" ref="D121:D129" si="46">ROUND(C121/$C$114*$D$114,0)</f>
        <v>0</v>
      </c>
      <c r="F121" s="1901">
        <v>2</v>
      </c>
      <c r="G121" s="1902"/>
      <c r="H121" s="1644">
        <f t="shared" si="42"/>
        <v>0</v>
      </c>
      <c r="I121" s="1644">
        <f t="shared" si="42"/>
        <v>0</v>
      </c>
      <c r="K121" s="1901">
        <f t="shared" ref="K121:K122" si="47">K18</f>
        <v>2</v>
      </c>
      <c r="L121" s="1902"/>
      <c r="M121" s="1901">
        <f t="shared" ref="M121:M122" si="48">M18</f>
        <v>0</v>
      </c>
      <c r="N121" s="1902"/>
      <c r="O121" s="1901">
        <f t="shared" ref="O121:O122" si="49">O18</f>
        <v>0</v>
      </c>
      <c r="P121" s="1902"/>
      <c r="Q121" s="1901">
        <f t="shared" ref="Q121:Q122" si="50">Q18</f>
        <v>2</v>
      </c>
      <c r="R121" s="1902"/>
      <c r="S121" s="1644">
        <f t="shared" si="43"/>
        <v>0</v>
      </c>
      <c r="T121" s="1643"/>
      <c r="U121" s="1644">
        <f t="shared" si="44"/>
        <v>0</v>
      </c>
      <c r="V121" s="1643"/>
      <c r="W121" s="1644">
        <f t="shared" si="45"/>
        <v>0</v>
      </c>
      <c r="X121" s="1643"/>
      <c r="Y121" s="1644">
        <f t="shared" si="45"/>
        <v>0</v>
      </c>
      <c r="AI121" s="2023">
        <f>W121-'Blocking-Step2'!W121</f>
        <v>0</v>
      </c>
      <c r="AJ121" s="2054">
        <f>O121-'Blocking-Step2'!O121</f>
        <v>0</v>
      </c>
    </row>
    <row r="122" spans="1:36">
      <c r="A122" s="1900" t="s">
        <v>1301</v>
      </c>
      <c r="C122" s="528">
        <f>'123'!AM18</f>
        <v>0</v>
      </c>
      <c r="D122" s="528">
        <f t="shared" si="46"/>
        <v>0</v>
      </c>
      <c r="F122" s="1901">
        <v>22</v>
      </c>
      <c r="G122" s="1902"/>
      <c r="H122" s="1644">
        <f t="shared" si="42"/>
        <v>0</v>
      </c>
      <c r="I122" s="1644">
        <f t="shared" si="42"/>
        <v>0</v>
      </c>
      <c r="K122" s="1901">
        <f t="shared" si="47"/>
        <v>22</v>
      </c>
      <c r="L122" s="1902"/>
      <c r="M122" s="1901">
        <f t="shared" si="48"/>
        <v>0</v>
      </c>
      <c r="N122" s="1902"/>
      <c r="O122" s="1901">
        <f t="shared" si="49"/>
        <v>0</v>
      </c>
      <c r="P122" s="1902"/>
      <c r="Q122" s="1901">
        <f t="shared" si="50"/>
        <v>22</v>
      </c>
      <c r="R122" s="1902"/>
      <c r="S122" s="1644">
        <f t="shared" si="43"/>
        <v>0</v>
      </c>
      <c r="T122" s="1643"/>
      <c r="U122" s="1644">
        <f t="shared" si="44"/>
        <v>0</v>
      </c>
      <c r="V122" s="1643"/>
      <c r="W122" s="1644">
        <f t="shared" si="45"/>
        <v>0</v>
      </c>
      <c r="X122" s="1643"/>
      <c r="Y122" s="1644">
        <f t="shared" si="45"/>
        <v>0</v>
      </c>
      <c r="AI122" s="2023">
        <f>W122-'Blocking-Step2'!W122</f>
        <v>0</v>
      </c>
      <c r="AJ122" s="2054">
        <f>O122-'Blocking-Step2'!O122</f>
        <v>0</v>
      </c>
    </row>
    <row r="123" spans="1:36">
      <c r="A123" s="1900" t="s">
        <v>243</v>
      </c>
      <c r="C123" s="528">
        <f>'123'!I18</f>
        <v>52.0625</v>
      </c>
      <c r="D123" s="528">
        <f t="shared" si="46"/>
        <v>44</v>
      </c>
      <c r="F123" s="1901">
        <v>8</v>
      </c>
      <c r="G123" s="1902"/>
      <c r="H123" s="1644">
        <f t="shared" si="42"/>
        <v>417</v>
      </c>
      <c r="I123" s="1644">
        <f t="shared" si="42"/>
        <v>352</v>
      </c>
      <c r="K123" s="1901"/>
      <c r="L123" s="1902"/>
      <c r="M123" s="1901"/>
      <c r="N123" s="1902"/>
      <c r="O123" s="1901"/>
      <c r="P123" s="1902"/>
      <c r="Q123" s="1901"/>
      <c r="R123" s="1902"/>
      <c r="S123" s="1644"/>
      <c r="T123" s="1643"/>
      <c r="U123" s="1644"/>
      <c r="V123" s="1643"/>
      <c r="W123" s="1644"/>
      <c r="X123" s="1643"/>
      <c r="Y123" s="1644"/>
      <c r="AI123" s="2023">
        <f>W123-'Blocking-Step2'!W123</f>
        <v>0</v>
      </c>
      <c r="AJ123" s="2054">
        <f>O123-'Blocking-Step2'!O123</f>
        <v>0</v>
      </c>
    </row>
    <row r="124" spans="1:36">
      <c r="A124" s="1900" t="s">
        <v>1581</v>
      </c>
      <c r="C124" s="528">
        <f>C123-C125</f>
        <v>31.193750000000001</v>
      </c>
      <c r="D124" s="528">
        <f>D123-D125</f>
        <v>26</v>
      </c>
      <c r="F124" s="1901"/>
      <c r="G124" s="1902"/>
      <c r="H124" s="1644"/>
      <c r="I124" s="1644"/>
      <c r="K124" s="1901"/>
      <c r="L124" s="1902"/>
      <c r="M124" s="1901"/>
      <c r="N124" s="1902"/>
      <c r="O124" s="1901"/>
      <c r="P124" s="1902"/>
      <c r="Q124" s="1901"/>
      <c r="R124" s="1902"/>
      <c r="S124" s="1644"/>
      <c r="T124" s="1643"/>
      <c r="U124" s="1644"/>
      <c r="V124" s="1643"/>
      <c r="W124" s="1644"/>
      <c r="X124" s="1643"/>
      <c r="Y124" s="1644"/>
      <c r="AI124" s="2023">
        <f>W124-'Blocking-Step2'!W124</f>
        <v>0</v>
      </c>
      <c r="AJ124" s="2054">
        <f>O124-'Blocking-Step2'!O124</f>
        <v>0</v>
      </c>
    </row>
    <row r="125" spans="1:36">
      <c r="A125" s="1900" t="s">
        <v>1582</v>
      </c>
      <c r="C125" s="528">
        <f>'123'!AP18</f>
        <v>20.868749999999999</v>
      </c>
      <c r="D125" s="528">
        <f>ROUND(C125/C123*D123,0)</f>
        <v>18</v>
      </c>
      <c r="F125" s="1901"/>
      <c r="G125" s="1902"/>
      <c r="H125" s="1644"/>
      <c r="I125" s="1644"/>
      <c r="K125" s="1901"/>
      <c r="L125" s="1902"/>
      <c r="M125" s="1901"/>
      <c r="N125" s="1902"/>
      <c r="O125" s="1901"/>
      <c r="P125" s="1902"/>
      <c r="Q125" s="1901"/>
      <c r="R125" s="1902"/>
      <c r="S125" s="1644"/>
      <c r="T125" s="1643"/>
      <c r="U125" s="1644"/>
      <c r="V125" s="1643"/>
      <c r="W125" s="1644"/>
      <c r="X125" s="1643"/>
      <c r="Y125" s="1644"/>
      <c r="AI125" s="2023">
        <f>W125-'Blocking-Step2'!W125</f>
        <v>0</v>
      </c>
      <c r="AJ125" s="2054">
        <f>O125-'Blocking-Step2'!O125</f>
        <v>0</v>
      </c>
    </row>
    <row r="126" spans="1:36">
      <c r="A126" s="1900" t="s">
        <v>244</v>
      </c>
      <c r="C126" s="528">
        <f>'123'!J18</f>
        <v>0</v>
      </c>
      <c r="D126" s="528">
        <f t="shared" si="46"/>
        <v>0</v>
      </c>
      <c r="F126" s="1901">
        <v>16</v>
      </c>
      <c r="G126" s="1902"/>
      <c r="H126" s="1644">
        <f t="shared" si="42"/>
        <v>0</v>
      </c>
      <c r="I126" s="1644">
        <f t="shared" si="42"/>
        <v>0</v>
      </c>
      <c r="K126" s="1901"/>
      <c r="L126" s="1902"/>
      <c r="M126" s="1901"/>
      <c r="N126" s="1902"/>
      <c r="O126" s="1901"/>
      <c r="P126" s="1902"/>
      <c r="Q126" s="1901"/>
      <c r="R126" s="1902"/>
      <c r="S126" s="1644"/>
      <c r="T126" s="1643"/>
      <c r="U126" s="1644"/>
      <c r="V126" s="1643"/>
      <c r="W126" s="1644"/>
      <c r="X126" s="1643"/>
      <c r="Y126" s="1644"/>
      <c r="AI126" s="2023">
        <f>W126-'Blocking-Step2'!W126</f>
        <v>0</v>
      </c>
      <c r="AJ126" s="2054">
        <f>O126-'Blocking-Step2'!O126</f>
        <v>0</v>
      </c>
    </row>
    <row r="127" spans="1:36">
      <c r="A127" s="1900" t="s">
        <v>1581</v>
      </c>
      <c r="C127" s="528">
        <f>C126-C128</f>
        <v>0</v>
      </c>
      <c r="D127" s="528"/>
      <c r="F127" s="1901"/>
      <c r="G127" s="1902"/>
      <c r="H127" s="1644"/>
      <c r="I127" s="1644"/>
      <c r="K127" s="1901"/>
      <c r="L127" s="1902"/>
      <c r="M127" s="1901"/>
      <c r="N127" s="1902"/>
      <c r="O127" s="1901"/>
      <c r="P127" s="1902"/>
      <c r="Q127" s="1901"/>
      <c r="R127" s="1902"/>
      <c r="S127" s="1644"/>
      <c r="T127" s="1643"/>
      <c r="U127" s="1644"/>
      <c r="V127" s="1643"/>
      <c r="W127" s="1644"/>
      <c r="X127" s="1643"/>
      <c r="Y127" s="1644"/>
      <c r="AI127" s="2023">
        <f>W127-'Blocking-Step2'!W127</f>
        <v>0</v>
      </c>
      <c r="AJ127" s="2054">
        <f>O127-'Blocking-Step2'!O127</f>
        <v>0</v>
      </c>
    </row>
    <row r="128" spans="1:36">
      <c r="A128" s="1900" t="s">
        <v>1582</v>
      </c>
      <c r="C128" s="528">
        <f>'123'!AQ18</f>
        <v>0</v>
      </c>
      <c r="D128" s="528"/>
      <c r="F128" s="1901"/>
      <c r="G128" s="1902"/>
      <c r="H128" s="1644"/>
      <c r="I128" s="1644"/>
      <c r="K128" s="1901"/>
      <c r="L128" s="1902"/>
      <c r="M128" s="1901"/>
      <c r="N128" s="1902"/>
      <c r="O128" s="1901"/>
      <c r="P128" s="1902"/>
      <c r="Q128" s="1901"/>
      <c r="R128" s="1902"/>
      <c r="S128" s="1644"/>
      <c r="T128" s="1643"/>
      <c r="U128" s="1644"/>
      <c r="V128" s="1643"/>
      <c r="W128" s="1644"/>
      <c r="X128" s="1643"/>
      <c r="Y128" s="1644"/>
      <c r="AI128" s="2023">
        <f>W128-'Blocking-Step2'!W128</f>
        <v>0</v>
      </c>
      <c r="AJ128" s="2054">
        <f>O128-'Blocking-Step2'!O128</f>
        <v>0</v>
      </c>
    </row>
    <row r="129" spans="1:36">
      <c r="A129" s="1900" t="s">
        <v>245</v>
      </c>
      <c r="C129" s="528">
        <f>'123'!AL18</f>
        <v>0</v>
      </c>
      <c r="D129" s="528">
        <f t="shared" si="46"/>
        <v>0</v>
      </c>
      <c r="F129" s="1901">
        <v>96</v>
      </c>
      <c r="G129" s="1902"/>
      <c r="H129" s="1644">
        <f t="shared" si="42"/>
        <v>0</v>
      </c>
      <c r="I129" s="1644">
        <f t="shared" si="42"/>
        <v>0</v>
      </c>
      <c r="K129" s="1901"/>
      <c r="L129" s="1902"/>
      <c r="M129" s="1901"/>
      <c r="N129" s="1902"/>
      <c r="O129" s="1901"/>
      <c r="P129" s="1902"/>
      <c r="Q129" s="1901"/>
      <c r="R129" s="1902"/>
      <c r="S129" s="1644"/>
      <c r="T129" s="1643"/>
      <c r="U129" s="1644"/>
      <c r="V129" s="1643"/>
      <c r="W129" s="1644"/>
      <c r="X129" s="1643"/>
      <c r="Y129" s="1644"/>
      <c r="AA129" s="1104"/>
      <c r="AB129" s="1919"/>
      <c r="AI129" s="2023">
        <f>W129-'Blocking-Step2'!W129</f>
        <v>0</v>
      </c>
      <c r="AJ129" s="2054">
        <f>O129-'Blocking-Step2'!O129</f>
        <v>0</v>
      </c>
    </row>
    <row r="130" spans="1:36">
      <c r="A130" s="1900" t="s">
        <v>1532</v>
      </c>
      <c r="C130" s="528">
        <f>'123'!S18+'123May'!J18</f>
        <v>5837.0523614864096</v>
      </c>
      <c r="D130" s="528">
        <f>ROUND(C130/SUM($C$132:$C$134)*(Energy!$S$9-Energy!$S$9/Energy!$P$9*($D$144+$D$147)),0)</f>
        <v>5354</v>
      </c>
      <c r="F130" s="1920">
        <v>4.3559999999999999</v>
      </c>
      <c r="G130" s="1921" t="s">
        <v>495</v>
      </c>
      <c r="H130" s="1644"/>
      <c r="I130" s="1644"/>
      <c r="K130" s="1920">
        <f>K27</f>
        <v>0</v>
      </c>
      <c r="L130" s="1921" t="s">
        <v>495</v>
      </c>
      <c r="M130" s="1920">
        <f>M27</f>
        <v>0</v>
      </c>
      <c r="N130" s="1921" t="s">
        <v>495</v>
      </c>
      <c r="O130" s="1920">
        <f>O27</f>
        <v>4.3559999999999999</v>
      </c>
      <c r="P130" s="1921" t="s">
        <v>495</v>
      </c>
      <c r="Q130" s="1920">
        <f t="shared" ref="Q130:Q136" si="51">Q27</f>
        <v>4.3559999999999999</v>
      </c>
      <c r="R130" s="1921" t="s">
        <v>495</v>
      </c>
      <c r="S130" s="1644">
        <f>ROUND($D130*K130/100,0)</f>
        <v>0</v>
      </c>
      <c r="T130" s="1656"/>
      <c r="U130" s="1644">
        <f>ROUND($D130*M130/100,0)</f>
        <v>0</v>
      </c>
      <c r="V130" s="1656"/>
      <c r="W130" s="1644">
        <f>ROUND($D130*O130/100,0)</f>
        <v>233</v>
      </c>
      <c r="X130" s="1648"/>
      <c r="Y130" s="1644">
        <f>ROUND($D130*Q130/100,0)</f>
        <v>233</v>
      </c>
      <c r="AA130" s="1104"/>
      <c r="AB130" s="1919"/>
      <c r="AI130" s="2023">
        <f>W130-'Blocking-Step2'!W130</f>
        <v>0</v>
      </c>
      <c r="AJ130" s="2054">
        <f>O130-'Blocking-Step2'!O130</f>
        <v>0</v>
      </c>
    </row>
    <row r="131" spans="1:36">
      <c r="A131" s="1900" t="s">
        <v>1533</v>
      </c>
      <c r="C131" s="528">
        <f>'123'!T18+'123May'!K18</f>
        <v>17041.938258663642</v>
      </c>
      <c r="D131" s="528">
        <f>ROUND(C131/SUM($C$132:$C$134)*(Energy!$S$9-Energy!$S$9/Energy!$P$9*($D$144+$D$147)),0)</f>
        <v>15633</v>
      </c>
      <c r="F131" s="1920">
        <v>-1.6334</v>
      </c>
      <c r="G131" s="1921" t="s">
        <v>495</v>
      </c>
      <c r="H131" s="1644"/>
      <c r="I131" s="1644"/>
      <c r="K131" s="1920">
        <f t="shared" ref="K131:K136" si="52">K28</f>
        <v>0</v>
      </c>
      <c r="L131" s="1921" t="s">
        <v>495</v>
      </c>
      <c r="M131" s="1920">
        <f t="shared" ref="M131:M136" si="53">M28</f>
        <v>0</v>
      </c>
      <c r="N131" s="1921" t="s">
        <v>495</v>
      </c>
      <c r="O131" s="1920">
        <f t="shared" ref="O131:O136" si="54">O28</f>
        <v>-1.6334</v>
      </c>
      <c r="P131" s="1921" t="s">
        <v>495</v>
      </c>
      <c r="Q131" s="1920">
        <f t="shared" si="51"/>
        <v>-1.6334</v>
      </c>
      <c r="R131" s="1921" t="s">
        <v>495</v>
      </c>
      <c r="S131" s="1644">
        <f>ROUND($D131*K131/100,0)</f>
        <v>0</v>
      </c>
      <c r="T131" s="1656"/>
      <c r="U131" s="1644">
        <f>ROUND($D131*M131/100,0)</f>
        <v>0</v>
      </c>
      <c r="V131" s="1656"/>
      <c r="W131" s="1644">
        <f>ROUND($D131*O131/100,0)</f>
        <v>-255</v>
      </c>
      <c r="X131" s="1648"/>
      <c r="Y131" s="1644">
        <f>ROUND($D131*Q131/100,0)</f>
        <v>-255</v>
      </c>
      <c r="AA131" s="1104"/>
      <c r="AB131" s="1919"/>
      <c r="AI131" s="2023">
        <f>W131-'Blocking-Step2'!W131</f>
        <v>0</v>
      </c>
      <c r="AJ131" s="2054">
        <f>O131-'Blocking-Step2'!O131</f>
        <v>0</v>
      </c>
    </row>
    <row r="132" spans="1:36">
      <c r="A132" s="1900" t="s">
        <v>1534</v>
      </c>
      <c r="C132" s="584">
        <f>'123'!P18+'123'!AG18+TempRevMay!C318+'123May'!G18+'123May'!Q18</f>
        <v>28763017.41983372</v>
      </c>
      <c r="D132" s="528">
        <f>D148-SUM(D133:D136,D144:D147)</f>
        <v>26384767.707057878</v>
      </c>
      <c r="F132" s="1926">
        <v>8.8498000000000001</v>
      </c>
      <c r="G132" s="1921" t="s">
        <v>495</v>
      </c>
      <c r="H132" s="1644"/>
      <c r="I132" s="1644"/>
      <c r="K132" s="1920">
        <f t="shared" si="52"/>
        <v>4.3437999999999999</v>
      </c>
      <c r="L132" s="1921" t="s">
        <v>495</v>
      </c>
      <c r="M132" s="1920">
        <f t="shared" si="53"/>
        <v>3.6385809960970961</v>
      </c>
      <c r="N132" s="1921" t="s">
        <v>495</v>
      </c>
      <c r="O132" s="1920">
        <f t="shared" si="54"/>
        <v>1.3645863008434289</v>
      </c>
      <c r="P132" s="1921" t="s">
        <v>495</v>
      </c>
      <c r="Q132" s="1920">
        <f t="shared" si="51"/>
        <v>9.3469672969405249</v>
      </c>
      <c r="R132" s="1921" t="s">
        <v>495</v>
      </c>
      <c r="S132" s="1644">
        <f t="shared" ref="S132:S136" si="55">ROUND($D132*K132/100,0)</f>
        <v>1146102</v>
      </c>
      <c r="T132" s="1656"/>
      <c r="U132" s="1644">
        <f t="shared" ref="U132:U136" si="56">ROUND($D132*M132/100,0)</f>
        <v>960031</v>
      </c>
      <c r="V132" s="1656"/>
      <c r="W132" s="1644">
        <f t="shared" ref="W132:Y136" si="57">ROUND($D132*O132/100,0)</f>
        <v>360043</v>
      </c>
      <c r="X132" s="1648"/>
      <c r="Y132" s="1644">
        <f t="shared" si="57"/>
        <v>2466176</v>
      </c>
      <c r="AI132" s="2023">
        <f>W132-'Blocking-Step2'!W132</f>
        <v>0</v>
      </c>
      <c r="AJ132" s="2054">
        <f>O132-'Blocking-Step2'!O132</f>
        <v>0</v>
      </c>
    </row>
    <row r="133" spans="1:36">
      <c r="A133" s="1900" t="s">
        <v>1535</v>
      </c>
      <c r="C133" s="584">
        <f>'123'!Q18+'123'!AH18+TempRevMay!C319+'123May'!H18+'123May'!R18</f>
        <v>19367224.039969891</v>
      </c>
      <c r="D133" s="528">
        <f>ROUND(C133/SUM($C$132:$C$134)*Energy!$S$9*(1-1/Energy!$P$9*($D$144+$D$147)),0)</f>
        <v>17765859</v>
      </c>
      <c r="F133" s="1926">
        <v>11.542899999999999</v>
      </c>
      <c r="G133" s="1921" t="s">
        <v>495</v>
      </c>
      <c r="H133" s="1644"/>
      <c r="I133" s="1644"/>
      <c r="K133" s="1920">
        <f t="shared" si="52"/>
        <v>4.3437999999999999</v>
      </c>
      <c r="L133" s="1921" t="s">
        <v>495</v>
      </c>
      <c r="M133" s="1920">
        <f t="shared" si="53"/>
        <v>3.6385809960970956</v>
      </c>
      <c r="N133" s="1921" t="s">
        <v>495</v>
      </c>
      <c r="O133" s="1920">
        <f t="shared" si="54"/>
        <v>4.0576863008434287</v>
      </c>
      <c r="P133" s="1921" t="s">
        <v>495</v>
      </c>
      <c r="Q133" s="1920">
        <f t="shared" si="51"/>
        <v>12.040067296940524</v>
      </c>
      <c r="R133" s="1921" t="s">
        <v>495</v>
      </c>
      <c r="S133" s="1644">
        <f t="shared" si="55"/>
        <v>771713</v>
      </c>
      <c r="T133" s="1656"/>
      <c r="U133" s="1644">
        <f t="shared" si="56"/>
        <v>646425</v>
      </c>
      <c r="V133" s="1656"/>
      <c r="W133" s="1644">
        <f t="shared" si="57"/>
        <v>720883</v>
      </c>
      <c r="X133" s="1648"/>
      <c r="Y133" s="1644">
        <f t="shared" si="57"/>
        <v>2139021</v>
      </c>
      <c r="AI133" s="2023">
        <f>W133-'Blocking-Step2'!W133</f>
        <v>0</v>
      </c>
      <c r="AJ133" s="2054">
        <f>O133-'Blocking-Step2'!O133</f>
        <v>0</v>
      </c>
    </row>
    <row r="134" spans="1:36">
      <c r="A134" s="1900" t="s">
        <v>1536</v>
      </c>
      <c r="C134" s="584">
        <f>'123'!R18+'123'!AI18+TempRevMay!C320+'123May'!I18+'123May'!S18</f>
        <v>6179565.4760957351</v>
      </c>
      <c r="D134" s="528">
        <f>ROUND(C134/SUM($C$132:$C$134)*Energy!$S$9*(1-1/Energy!$P$9*($D$144+$D$147)),0)</f>
        <v>5668613</v>
      </c>
      <c r="F134" s="1926">
        <v>14.450799999999999</v>
      </c>
      <c r="G134" s="1921" t="s">
        <v>495</v>
      </c>
      <c r="H134" s="1644"/>
      <c r="I134" s="1644"/>
      <c r="K134" s="1920">
        <f t="shared" si="52"/>
        <v>4.3437999999999999</v>
      </c>
      <c r="L134" s="1921" t="s">
        <v>495</v>
      </c>
      <c r="M134" s="1920">
        <f t="shared" si="53"/>
        <v>3.6385809960970956</v>
      </c>
      <c r="N134" s="1921" t="s">
        <v>495</v>
      </c>
      <c r="O134" s="1920">
        <f t="shared" si="54"/>
        <v>4.0576863008434287</v>
      </c>
      <c r="P134" s="1921" t="s">
        <v>495</v>
      </c>
      <c r="Q134" s="1920">
        <f t="shared" si="51"/>
        <v>12.040067296940524</v>
      </c>
      <c r="R134" s="1921" t="s">
        <v>495</v>
      </c>
      <c r="S134" s="1644">
        <f t="shared" si="55"/>
        <v>246233</v>
      </c>
      <c r="T134" s="1656"/>
      <c r="U134" s="1644">
        <f t="shared" si="56"/>
        <v>206257</v>
      </c>
      <c r="V134" s="1656"/>
      <c r="W134" s="1644">
        <f t="shared" si="57"/>
        <v>230015</v>
      </c>
      <c r="X134" s="1648"/>
      <c r="Y134" s="1644">
        <f t="shared" si="57"/>
        <v>682505</v>
      </c>
      <c r="AI134" s="2023">
        <f>W134-'Blocking-Step2'!W134</f>
        <v>0</v>
      </c>
      <c r="AJ134" s="2054">
        <f>O134-'Blocking-Step2'!O134</f>
        <v>0</v>
      </c>
    </row>
    <row r="135" spans="1:36">
      <c r="A135" s="1900" t="s">
        <v>1537</v>
      </c>
      <c r="B135" s="1925"/>
      <c r="C135" s="584">
        <f>'123'!M18+'123'!AJ18+TempRevMay!C321+'123May'!D18+'123May'!T18</f>
        <v>59180887.474665888</v>
      </c>
      <c r="D135" s="528">
        <f>ROUND(C135/SUM($C$135:$C$136)*Energy!$T$9*(1-1/Energy!$P$9*($D$144+$D$147)),0)</f>
        <v>51185664</v>
      </c>
      <c r="E135" s="549"/>
      <c r="F135" s="1926">
        <v>8.8498000000000001</v>
      </c>
      <c r="G135" s="1921" t="s">
        <v>495</v>
      </c>
      <c r="H135" s="1644"/>
      <c r="I135" s="1644"/>
      <c r="J135" s="549"/>
      <c r="K135" s="1920">
        <f t="shared" si="52"/>
        <v>4.3437999999999999</v>
      </c>
      <c r="L135" s="1921" t="s">
        <v>495</v>
      </c>
      <c r="M135" s="1920">
        <f t="shared" si="53"/>
        <v>3.6559663682280008</v>
      </c>
      <c r="N135" s="1921" t="s">
        <v>495</v>
      </c>
      <c r="O135" s="1920">
        <f t="shared" si="54"/>
        <v>0.27188610694099991</v>
      </c>
      <c r="P135" s="1921" t="s">
        <v>495</v>
      </c>
      <c r="Q135" s="1920">
        <f t="shared" si="51"/>
        <v>8.2716524751690006</v>
      </c>
      <c r="R135" s="1921" t="s">
        <v>495</v>
      </c>
      <c r="S135" s="1644">
        <f t="shared" si="55"/>
        <v>2223403</v>
      </c>
      <c r="T135" s="1656"/>
      <c r="U135" s="1644">
        <f t="shared" si="56"/>
        <v>1871331</v>
      </c>
      <c r="V135" s="1656"/>
      <c r="W135" s="1644">
        <f t="shared" si="57"/>
        <v>139167</v>
      </c>
      <c r="X135" s="1648"/>
      <c r="Y135" s="1644">
        <f t="shared" si="57"/>
        <v>4233900</v>
      </c>
      <c r="AI135" s="2023">
        <f>W135-'Blocking-Step2'!W135</f>
        <v>0</v>
      </c>
      <c r="AJ135" s="2054">
        <f>O135-'Blocking-Step2'!O135</f>
        <v>0</v>
      </c>
    </row>
    <row r="136" spans="1:36">
      <c r="A136" s="1900" t="s">
        <v>1538</v>
      </c>
      <c r="B136" s="1925"/>
      <c r="C136" s="584">
        <f>'123'!N18+'123'!AK18+TempRevMay!C322+'123May'!E18+'123May'!U18</f>
        <v>38135258.461581476</v>
      </c>
      <c r="D136" s="528">
        <f>ROUND(C136/SUM($C$135:$C$136)*Energy!$T$9*(1-1/Energy!$P$9*($D$144+$D$147)),0)</f>
        <v>32983258</v>
      </c>
      <c r="E136" s="549"/>
      <c r="F136" s="1926">
        <v>10.7072</v>
      </c>
      <c r="G136" s="1921" t="s">
        <v>495</v>
      </c>
      <c r="H136" s="1644"/>
      <c r="I136" s="1644"/>
      <c r="J136" s="549"/>
      <c r="K136" s="1920">
        <f t="shared" si="52"/>
        <v>4.3437999999999999</v>
      </c>
      <c r="L136" s="1921" t="s">
        <v>495</v>
      </c>
      <c r="M136" s="1920">
        <f t="shared" si="53"/>
        <v>3.6559663682280008</v>
      </c>
      <c r="N136" s="1921" t="s">
        <v>495</v>
      </c>
      <c r="O136" s="1920">
        <f t="shared" si="54"/>
        <v>2.6551604432239997</v>
      </c>
      <c r="P136" s="1921" t="s">
        <v>495</v>
      </c>
      <c r="Q136" s="1920">
        <f t="shared" si="51"/>
        <v>10.654926811452</v>
      </c>
      <c r="R136" s="1921" t="s">
        <v>495</v>
      </c>
      <c r="S136" s="1644">
        <f t="shared" si="55"/>
        <v>1432727</v>
      </c>
      <c r="T136" s="1656"/>
      <c r="U136" s="1644">
        <f t="shared" si="56"/>
        <v>1205857</v>
      </c>
      <c r="V136" s="1656"/>
      <c r="W136" s="1644">
        <f t="shared" si="57"/>
        <v>875758</v>
      </c>
      <c r="X136" s="1648"/>
      <c r="Y136" s="1644">
        <f t="shared" si="57"/>
        <v>3514342</v>
      </c>
      <c r="AI136" s="2023">
        <f>W136-'Blocking-Step2'!W136</f>
        <v>0</v>
      </c>
      <c r="AJ136" s="2054">
        <f>O136-'Blocking-Step2'!O136</f>
        <v>0</v>
      </c>
    </row>
    <row r="137" spans="1:36">
      <c r="A137" s="1900" t="s">
        <v>188</v>
      </c>
      <c r="C137" s="528">
        <f>'123'!S18</f>
        <v>7500</v>
      </c>
      <c r="D137" s="528">
        <f>ROUND(C137/SUM($C$139:$C$141)*(Energy!$Q$9-Energy!$Q$9/Energy!$P$9*($D$144+$D$147)),0)</f>
        <v>6768</v>
      </c>
      <c r="F137" s="1920">
        <v>4.3559999999999999</v>
      </c>
      <c r="G137" s="1921" t="s">
        <v>495</v>
      </c>
      <c r="H137" s="1644">
        <f t="shared" ref="H137:I144" si="58">ROUND($F137*C137/100,0)</f>
        <v>327</v>
      </c>
      <c r="I137" s="1644">
        <f t="shared" si="58"/>
        <v>295</v>
      </c>
      <c r="K137" s="1920"/>
      <c r="L137" s="1921"/>
      <c r="M137" s="1920"/>
      <c r="N137" s="1921"/>
      <c r="O137" s="1920"/>
      <c r="P137" s="1921"/>
      <c r="Q137" s="1920"/>
      <c r="R137" s="1921"/>
      <c r="S137" s="1644"/>
      <c r="T137" s="1648"/>
      <c r="U137" s="1644"/>
      <c r="V137" s="1648"/>
      <c r="W137" s="1644"/>
      <c r="X137" s="1648"/>
      <c r="Y137" s="1644"/>
      <c r="AI137" s="2023">
        <f>W137-'Blocking-Step2'!W137</f>
        <v>0</v>
      </c>
      <c r="AJ137" s="2054">
        <f>O137-'Blocking-Step2'!O137</f>
        <v>0</v>
      </c>
    </row>
    <row r="138" spans="1:36">
      <c r="A138" s="1900" t="s">
        <v>189</v>
      </c>
      <c r="C138" s="528">
        <f>'123'!T18</f>
        <v>23518</v>
      </c>
      <c r="D138" s="528">
        <f>ROUND(C138/SUM($C$139:$C$141)*(Energy!$Q$9-Energy!$Q$9/Energy!$P$9*($D$144+$D$147)),0)</f>
        <v>21221</v>
      </c>
      <c r="F138" s="1920">
        <v>-1.6334</v>
      </c>
      <c r="G138" s="1921" t="s">
        <v>495</v>
      </c>
      <c r="H138" s="1644">
        <f t="shared" si="58"/>
        <v>-384</v>
      </c>
      <c r="I138" s="1644">
        <f t="shared" si="58"/>
        <v>-347</v>
      </c>
      <c r="K138" s="1920"/>
      <c r="L138" s="1921"/>
      <c r="M138" s="1920"/>
      <c r="N138" s="1921"/>
      <c r="O138" s="1920"/>
      <c r="P138" s="1921"/>
      <c r="Q138" s="1920"/>
      <c r="R138" s="1921"/>
      <c r="S138" s="1644"/>
      <c r="T138" s="1648"/>
      <c r="U138" s="1644"/>
      <c r="V138" s="1648"/>
      <c r="W138" s="1644"/>
      <c r="X138" s="1648"/>
      <c r="Y138" s="1644"/>
      <c r="AI138" s="2023">
        <f>W138-'Blocking-Step2'!W138</f>
        <v>0</v>
      </c>
      <c r="AJ138" s="2054">
        <f>O138-'Blocking-Step2'!O138</f>
        <v>0</v>
      </c>
    </row>
    <row r="139" spans="1:36">
      <c r="A139" s="1900" t="s">
        <v>241</v>
      </c>
      <c r="C139" s="584">
        <f>'123'!P18+'123'!AG18+TempRev!C318</f>
        <v>36997193</v>
      </c>
      <c r="D139" s="528">
        <f>D148-SUM(D140:D147)</f>
        <v>33384446.707057878</v>
      </c>
      <c r="F139" s="1926">
        <v>8.8498000000000001</v>
      </c>
      <c r="G139" s="1921" t="s">
        <v>495</v>
      </c>
      <c r="H139" s="1644">
        <f t="shared" si="58"/>
        <v>3274178</v>
      </c>
      <c r="I139" s="1644">
        <f t="shared" si="58"/>
        <v>2954457</v>
      </c>
      <c r="K139" s="1926"/>
      <c r="L139" s="1921"/>
      <c r="M139" s="1926"/>
      <c r="N139" s="1921"/>
      <c r="O139" s="1926"/>
      <c r="P139" s="1921"/>
      <c r="Q139" s="1926"/>
      <c r="R139" s="1921"/>
      <c r="S139" s="1644"/>
      <c r="T139" s="1648"/>
      <c r="U139" s="1644"/>
      <c r="V139" s="1648"/>
      <c r="W139" s="1644"/>
      <c r="X139" s="1648"/>
      <c r="Y139" s="1644"/>
      <c r="AI139" s="2023">
        <f>W139-'Blocking-Step2'!W139</f>
        <v>0</v>
      </c>
      <c r="AJ139" s="2054">
        <f>O139-'Blocking-Step2'!O139</f>
        <v>0</v>
      </c>
    </row>
    <row r="140" spans="1:36">
      <c r="A140" s="1900" t="s">
        <v>242</v>
      </c>
      <c r="C140" s="584">
        <f>'123'!Q18+'123'!AH18+TempRev!C319</f>
        <v>22403580</v>
      </c>
      <c r="D140" s="528">
        <f>ROUND(C140/SUM($C$139:$C$141)*(Energy!$Q$9-Energy!$Q$9/Energy!$P$9*($D$144+$D$147)),0)</f>
        <v>20215888</v>
      </c>
      <c r="F140" s="1926">
        <v>11.542899999999999</v>
      </c>
      <c r="G140" s="1921" t="s">
        <v>495</v>
      </c>
      <c r="H140" s="1644">
        <f t="shared" si="58"/>
        <v>2586023</v>
      </c>
      <c r="I140" s="1644">
        <f t="shared" si="58"/>
        <v>2333500</v>
      </c>
      <c r="K140" s="1926"/>
      <c r="L140" s="1921"/>
      <c r="M140" s="1926"/>
      <c r="N140" s="1921"/>
      <c r="O140" s="1926"/>
      <c r="P140" s="1921"/>
      <c r="Q140" s="1926"/>
      <c r="R140" s="1921"/>
      <c r="S140" s="1644"/>
      <c r="T140" s="1648"/>
      <c r="U140" s="1644"/>
      <c r="V140" s="1648"/>
      <c r="W140" s="1644"/>
      <c r="X140" s="1648"/>
      <c r="Y140" s="1644"/>
      <c r="AI140" s="2023">
        <f>W140-'Blocking-Step2'!W140</f>
        <v>0</v>
      </c>
      <c r="AJ140" s="2054">
        <f>O140-'Blocking-Step2'!O140</f>
        <v>0</v>
      </c>
    </row>
    <row r="141" spans="1:36">
      <c r="A141" s="1900" t="s">
        <v>94</v>
      </c>
      <c r="C141" s="584">
        <f>'123'!R18+'123'!AI18+TempRev!C320</f>
        <v>6569711.578529302</v>
      </c>
      <c r="D141" s="528">
        <f>ROUND(C141/SUM($C$139:$C$141)*(Energy!$Q$9-Energy!$Q$9/Energy!$P$9*($D$144+$D$147)),0)</f>
        <v>5928185</v>
      </c>
      <c r="F141" s="1926">
        <v>14.450799999999999</v>
      </c>
      <c r="G141" s="1921" t="s">
        <v>495</v>
      </c>
      <c r="H141" s="1644">
        <f t="shared" si="58"/>
        <v>949376</v>
      </c>
      <c r="I141" s="1644">
        <f t="shared" si="58"/>
        <v>856670</v>
      </c>
      <c r="K141" s="1926"/>
      <c r="L141" s="1921"/>
      <c r="M141" s="1926"/>
      <c r="N141" s="1921"/>
      <c r="O141" s="1926"/>
      <c r="P141" s="1921"/>
      <c r="Q141" s="1926"/>
      <c r="R141" s="1921"/>
      <c r="S141" s="1644"/>
      <c r="T141" s="1648"/>
      <c r="U141" s="1644"/>
      <c r="V141" s="1648"/>
      <c r="W141" s="1644"/>
      <c r="X141" s="1648"/>
      <c r="Y141" s="1644"/>
      <c r="AI141" s="2023">
        <f>W141-'Blocking-Step2'!W141</f>
        <v>0</v>
      </c>
      <c r="AJ141" s="2054">
        <f>O141-'Blocking-Step2'!O141</f>
        <v>0</v>
      </c>
    </row>
    <row r="142" spans="1:36">
      <c r="A142" s="1900" t="s">
        <v>1360</v>
      </c>
      <c r="B142" s="1925"/>
      <c r="C142" s="584">
        <f>'123'!M18+'123'!AJ18+TempRev!C321</f>
        <v>50947453</v>
      </c>
      <c r="D142" s="528">
        <f>ROUND(C142/SUM($C$142:$C$143)*(Energy!$R$9-Energy!$R$9/Energy!$P$9*($D$144+$D$147)),0)</f>
        <v>44288230</v>
      </c>
      <c r="E142" s="549"/>
      <c r="F142" s="1926">
        <v>8.8498000000000001</v>
      </c>
      <c r="G142" s="1921" t="s">
        <v>495</v>
      </c>
      <c r="H142" s="1644">
        <f t="shared" si="58"/>
        <v>4508748</v>
      </c>
      <c r="I142" s="1644">
        <f t="shared" si="58"/>
        <v>3919420</v>
      </c>
      <c r="J142" s="549"/>
      <c r="K142" s="1926"/>
      <c r="L142" s="1921"/>
      <c r="M142" s="1926"/>
      <c r="N142" s="1921"/>
      <c r="O142" s="1926"/>
      <c r="P142" s="1921"/>
      <c r="Q142" s="1926"/>
      <c r="R142" s="1921"/>
      <c r="S142" s="1644"/>
      <c r="T142" s="1648"/>
      <c r="U142" s="1644"/>
      <c r="V142" s="1648"/>
      <c r="W142" s="1644"/>
      <c r="X142" s="1648"/>
      <c r="Y142" s="1644"/>
      <c r="AI142" s="2023">
        <f>W142-'Blocking-Step2'!W142</f>
        <v>0</v>
      </c>
      <c r="AJ142" s="2054">
        <f>O142-'Blocking-Step2'!O142</f>
        <v>0</v>
      </c>
    </row>
    <row r="143" spans="1:36">
      <c r="A143" s="1900" t="s">
        <v>1361</v>
      </c>
      <c r="B143" s="1925"/>
      <c r="C143" s="584">
        <f>'123'!N18+'123'!AK18+TempRev!C322</f>
        <v>34708015.29361742</v>
      </c>
      <c r="D143" s="528">
        <f>ROUND(C143/SUM($C$142:$C$143)*(Energy!$R$9-Energy!$R$9/Energy!$P$9*($D$144+$D$147)),0)</f>
        <v>30171412</v>
      </c>
      <c r="E143" s="549"/>
      <c r="F143" s="1926">
        <v>10.7072</v>
      </c>
      <c r="G143" s="1921" t="s">
        <v>495</v>
      </c>
      <c r="H143" s="1644">
        <f t="shared" si="58"/>
        <v>3716257</v>
      </c>
      <c r="I143" s="1644">
        <f t="shared" si="58"/>
        <v>3230513</v>
      </c>
      <c r="J143" s="549"/>
      <c r="K143" s="1926"/>
      <c r="L143" s="1921"/>
      <c r="M143" s="1926"/>
      <c r="N143" s="1921"/>
      <c r="O143" s="1926"/>
      <c r="P143" s="1921"/>
      <c r="Q143" s="1926"/>
      <c r="R143" s="1921"/>
      <c r="S143" s="1644"/>
      <c r="T143" s="1648"/>
      <c r="U143" s="1644"/>
      <c r="V143" s="1648"/>
      <c r="W143" s="1644"/>
      <c r="X143" s="1648"/>
      <c r="Y143" s="1644"/>
      <c r="AI143" s="2023">
        <f>W143-'Blocking-Step2'!W143</f>
        <v>0</v>
      </c>
      <c r="AJ143" s="2054">
        <f>O143-'Blocking-Step2'!O143</f>
        <v>0</v>
      </c>
    </row>
    <row r="144" spans="1:36">
      <c r="A144" s="1116" t="s">
        <v>1158</v>
      </c>
      <c r="B144" s="1928"/>
      <c r="C144" s="1024">
        <f>'123'!X18</f>
        <v>123079</v>
      </c>
      <c r="D144" s="528">
        <f>ROUND(C144/($C$148-$C$145)*$D$148,0)</f>
        <v>108762</v>
      </c>
      <c r="E144" s="804"/>
      <c r="F144" s="1927">
        <v>11.7033</v>
      </c>
      <c r="G144" s="1929" t="s">
        <v>495</v>
      </c>
      <c r="H144" s="1146">
        <f t="shared" si="58"/>
        <v>14404</v>
      </c>
      <c r="I144" s="1146">
        <f t="shared" si="58"/>
        <v>12729</v>
      </c>
      <c r="J144" s="804"/>
      <c r="K144" s="1927">
        <f t="shared" ref="K144:O144" si="59">K41</f>
        <v>4.3437999999999999</v>
      </c>
      <c r="L144" s="1929" t="s">
        <v>495</v>
      </c>
      <c r="M144" s="1927">
        <f t="shared" si="59"/>
        <v>7.7249999999999996</v>
      </c>
      <c r="N144" s="1929" t="s">
        <v>495</v>
      </c>
      <c r="O144" s="1927">
        <f t="shared" si="59"/>
        <v>0</v>
      </c>
      <c r="P144" s="1929" t="s">
        <v>495</v>
      </c>
      <c r="Q144" s="1927">
        <f>Q41</f>
        <v>12.0688</v>
      </c>
      <c r="R144" s="1929" t="s">
        <v>495</v>
      </c>
      <c r="S144" s="1644">
        <f t="shared" ref="S144" si="60">ROUND($D144*K144/100,0)</f>
        <v>4724</v>
      </c>
      <c r="T144" s="1656"/>
      <c r="U144" s="1644">
        <f t="shared" ref="U144" si="61">ROUND($D144*M144/100,0)</f>
        <v>8402</v>
      </c>
      <c r="V144" s="1656"/>
      <c r="W144" s="1644">
        <f t="shared" ref="W144:Y144" si="62">ROUND($D144*O144/100,0)</f>
        <v>0</v>
      </c>
      <c r="X144" s="1656"/>
      <c r="Y144" s="1644">
        <f t="shared" si="62"/>
        <v>13126</v>
      </c>
      <c r="AA144" s="1104" t="s">
        <v>1746</v>
      </c>
      <c r="AB144" s="1919">
        <f>ROUND(D148/(D114),0)</f>
        <v>620</v>
      </c>
      <c r="AI144" s="2023">
        <f>W144-'Blocking-Step2'!W144</f>
        <v>0</v>
      </c>
      <c r="AJ144" s="2054">
        <f>O144-'Blocking-Step2'!O144</f>
        <v>0</v>
      </c>
    </row>
    <row r="145" spans="1:36">
      <c r="A145" s="1900" t="s">
        <v>246</v>
      </c>
      <c r="C145" s="529">
        <f>'Table 2'!J15</f>
        <v>862476</v>
      </c>
      <c r="D145" s="529">
        <v>0</v>
      </c>
      <c r="H145" s="1030">
        <f>'Table 3'!F15</f>
        <v>98698</v>
      </c>
      <c r="I145" s="1030">
        <v>0</v>
      </c>
      <c r="Y145" s="1030">
        <v>0</v>
      </c>
      <c r="AA145" s="1104" t="s">
        <v>1747</v>
      </c>
      <c r="AB145" s="1919">
        <f>ROUND(SUM(D132:D134,(D144+D147)*4/12)/((D114)*4/12),0)</f>
        <v>691</v>
      </c>
      <c r="AI145" s="2023">
        <f>W145-'Blocking-Step2'!W145</f>
        <v>0</v>
      </c>
      <c r="AJ145" s="2054">
        <f>O145-'Blocking-Step2'!O145</f>
        <v>0</v>
      </c>
    </row>
    <row r="146" spans="1:36">
      <c r="A146" s="1900" t="s">
        <v>1240</v>
      </c>
      <c r="C146" s="584"/>
      <c r="D146" s="584"/>
      <c r="F146" s="1930">
        <v>-3.9100000000000003E-2</v>
      </c>
      <c r="G146" s="597"/>
      <c r="H146" s="1644">
        <f>SUM(H139:H141,H142:H144)*$F146</f>
        <v>-588415.3526000001</v>
      </c>
      <c r="I146" s="1644">
        <f>SUM(I139:I141,I142:I144)*$F146</f>
        <v>-520314.99990000005</v>
      </c>
      <c r="K146" s="1930"/>
      <c r="L146" s="597"/>
      <c r="M146" s="1930"/>
      <c r="N146" s="597"/>
      <c r="O146" s="1930" t="str">
        <f>$O$43</f>
        <v>Tax Year 1 (1/1/2021)</v>
      </c>
      <c r="P146" s="597"/>
      <c r="Q146" s="1930">
        <f>$Q$43</f>
        <v>-1.7000000000000001E-2</v>
      </c>
      <c r="R146" s="597"/>
      <c r="S146" s="1645"/>
      <c r="T146" s="1645"/>
      <c r="U146" s="1645"/>
      <c r="V146" s="1645"/>
      <c r="W146" s="1645"/>
      <c r="X146" s="1645"/>
      <c r="Y146" s="1644">
        <f>Q146*SUM(Y132:Y136,Y144)</f>
        <v>-221834.19</v>
      </c>
      <c r="AA146" s="1104" t="s">
        <v>1748</v>
      </c>
      <c r="AB146" s="1919">
        <f>ROUND(SUM(D135:D136,(D144+D147)*8/12)/((D114)*8/12),0)</f>
        <v>584</v>
      </c>
      <c r="AI146" s="2023">
        <f>W146-'Blocking-Step2'!W146</f>
        <v>0</v>
      </c>
      <c r="AJ146" s="2054">
        <f>O146-'Blocking-Step2'!O146</f>
        <v>0</v>
      </c>
    </row>
    <row r="147" spans="1:36">
      <c r="A147" s="1116" t="s">
        <v>1317</v>
      </c>
      <c r="C147" s="584">
        <f>'123'!AX18</f>
        <v>-4359</v>
      </c>
      <c r="D147" s="528">
        <f>ROUND(C147/($C$148-$C$145)*$D$148,0)</f>
        <v>-3852</v>
      </c>
      <c r="F147" s="1930"/>
      <c r="G147" s="597"/>
      <c r="H147" s="1644"/>
      <c r="I147" s="1644"/>
      <c r="K147" s="1930"/>
      <c r="L147" s="597"/>
      <c r="M147" s="1930"/>
      <c r="N147" s="597"/>
      <c r="O147" s="1930">
        <f>$O$44</f>
        <v>0</v>
      </c>
      <c r="P147" s="597"/>
      <c r="Q147" s="1930">
        <f>$Q$44</f>
        <v>0</v>
      </c>
      <c r="R147" s="597"/>
      <c r="S147" s="1645"/>
      <c r="T147" s="1645"/>
      <c r="U147" s="1645"/>
      <c r="V147" s="1645"/>
      <c r="W147" s="1645"/>
      <c r="X147" s="1645"/>
      <c r="Y147" s="1644">
        <f>Q147*SUM(Y132:Y136,Y144)</f>
        <v>0</v>
      </c>
      <c r="AI147" s="2023">
        <f>W147-'Blocking-Step2'!W147</f>
        <v>0</v>
      </c>
      <c r="AJ147" s="2054">
        <f>O147-'Blocking-Step2'!O147</f>
        <v>0</v>
      </c>
    </row>
    <row r="148" spans="1:36" ht="16.5" thickBot="1">
      <c r="A148" s="1900" t="s">
        <v>247</v>
      </c>
      <c r="C148" s="1934">
        <f>SUM(C139:C147)</f>
        <v>152607148.87214673</v>
      </c>
      <c r="D148" s="1934">
        <f>Energy!P9</f>
        <v>134093071.70705788</v>
      </c>
      <c r="F148" s="1935"/>
      <c r="H148" s="1646">
        <f>SUM(H115:H146)</f>
        <v>16082878.647399999</v>
      </c>
      <c r="I148" s="1646">
        <f>SUM(I115:I146)</f>
        <v>14086238.0001</v>
      </c>
      <c r="K148" s="1935"/>
      <c r="M148" s="1935"/>
      <c r="O148" s="1939"/>
      <c r="Q148" s="1939"/>
      <c r="S148" s="1646">
        <f>SUM(S116:S145)</f>
        <v>7577318</v>
      </c>
      <c r="U148" s="1646">
        <f>SUM(U116:U145)</f>
        <v>4898303</v>
      </c>
      <c r="W148" s="1646">
        <f>SUM(W116:W145)</f>
        <v>2325844</v>
      </c>
      <c r="Y148" s="1646">
        <f>SUM(Y116:Y145)</f>
        <v>14801464</v>
      </c>
      <c r="AA148" s="1104" t="s">
        <v>1743</v>
      </c>
      <c r="AB148" s="1890">
        <f>Y148/I148-1</f>
        <v>5.0774805870447581E-2</v>
      </c>
      <c r="AI148" s="2023">
        <f>W148-'Blocking-Step2'!W148</f>
        <v>0</v>
      </c>
      <c r="AJ148" s="2054">
        <f>O148-'Blocking-Step2'!O148</f>
        <v>0</v>
      </c>
    </row>
    <row r="149" spans="1:36" ht="16.5" thickTop="1">
      <c r="C149" s="528"/>
      <c r="D149" s="528"/>
      <c r="AI149" s="2023">
        <f>W149-'Blocking-Step2'!W149</f>
        <v>0</v>
      </c>
      <c r="AJ149" s="2054">
        <f>O149-'Blocking-Step2'!O149</f>
        <v>0</v>
      </c>
    </row>
    <row r="150" spans="1:36">
      <c r="A150" s="1897" t="s">
        <v>970</v>
      </c>
      <c r="C150" s="528"/>
      <c r="D150" s="528"/>
      <c r="AI150" s="2023">
        <f>W150-'Blocking-Step2'!W150</f>
        <v>0</v>
      </c>
      <c r="AJ150" s="2054">
        <f>O150-'Blocking-Step2'!O150</f>
        <v>0</v>
      </c>
    </row>
    <row r="151" spans="1:36">
      <c r="A151" s="1900" t="s">
        <v>685</v>
      </c>
      <c r="C151" s="528">
        <f>'123'!F19</f>
        <v>358674.66666666663</v>
      </c>
      <c r="D151" s="528">
        <f>Bill!P17+Bill!P19</f>
        <v>418416</v>
      </c>
      <c r="F151" s="1901"/>
      <c r="G151" s="1902"/>
      <c r="H151" s="1644"/>
      <c r="I151" s="1644"/>
      <c r="K151" s="1901"/>
      <c r="L151" s="1902"/>
      <c r="M151" s="1901"/>
      <c r="N151" s="1902"/>
      <c r="O151" s="1901"/>
      <c r="P151" s="1902"/>
      <c r="Q151" s="1901"/>
      <c r="R151" s="1902"/>
      <c r="S151" s="1643"/>
      <c r="T151" s="1643"/>
      <c r="U151" s="1643"/>
      <c r="V151" s="1643"/>
      <c r="W151" s="1643"/>
      <c r="X151" s="1643"/>
      <c r="Y151" s="1644"/>
      <c r="AI151" s="2023">
        <f>W151-'Blocking-Step2'!W151</f>
        <v>0</v>
      </c>
      <c r="AJ151" s="2054">
        <f>O151-'Blocking-Step2'!O151</f>
        <v>0</v>
      </c>
    </row>
    <row r="152" spans="1:36">
      <c r="A152" s="1900" t="s">
        <v>683</v>
      </c>
      <c r="C152" s="528">
        <f>'123'!G19</f>
        <v>358350.66666666663</v>
      </c>
      <c r="D152" s="528">
        <f>ROUND(C152/$C$151*$D$151,0)</f>
        <v>418038</v>
      </c>
      <c r="F152" s="1901">
        <v>6</v>
      </c>
      <c r="G152" s="1902"/>
      <c r="H152" s="1644">
        <f t="shared" ref="H152:I166" si="63">ROUND($F152*C152,0)</f>
        <v>2150104</v>
      </c>
      <c r="I152" s="1644">
        <f t="shared" si="63"/>
        <v>2508228</v>
      </c>
      <c r="K152" s="1901"/>
      <c r="L152" s="1902"/>
      <c r="M152" s="1901"/>
      <c r="N152" s="1902"/>
      <c r="O152" s="1901"/>
      <c r="P152" s="1902"/>
      <c r="Q152" s="1901"/>
      <c r="R152" s="1902"/>
      <c r="S152" s="1643"/>
      <c r="T152" s="1643"/>
      <c r="U152" s="1643"/>
      <c r="V152" s="1643"/>
      <c r="W152" s="1643"/>
      <c r="X152" s="1643"/>
      <c r="Y152" s="1644"/>
      <c r="AI152" s="2023">
        <f>W152-'Blocking-Step2'!W152</f>
        <v>0</v>
      </c>
      <c r="AJ152" s="2054">
        <f>O152-'Blocking-Step2'!O152</f>
        <v>0</v>
      </c>
    </row>
    <row r="153" spans="1:36">
      <c r="A153" s="1900" t="s">
        <v>1581</v>
      </c>
      <c r="C153" s="528">
        <f>C152-C154</f>
        <v>347723.76666666666</v>
      </c>
      <c r="D153" s="528">
        <f>D152-D154</f>
        <v>405641</v>
      </c>
      <c r="F153" s="1901"/>
      <c r="G153" s="1902"/>
      <c r="H153" s="1644"/>
      <c r="I153" s="1644"/>
      <c r="K153" s="1901">
        <f>K13</f>
        <v>10</v>
      </c>
      <c r="L153" s="1902"/>
      <c r="M153" s="1901">
        <f>M13</f>
        <v>0</v>
      </c>
      <c r="N153" s="1902"/>
      <c r="O153" s="1901">
        <f>O13</f>
        <v>0</v>
      </c>
      <c r="P153" s="1902"/>
      <c r="Q153" s="1901">
        <f>Q13</f>
        <v>10</v>
      </c>
      <c r="R153" s="1902"/>
      <c r="S153" s="1644">
        <f>ROUND($D153*K153,0)</f>
        <v>4056410</v>
      </c>
      <c r="T153" s="1643"/>
      <c r="U153" s="1644">
        <f>ROUND($D153*M153,0)</f>
        <v>0</v>
      </c>
      <c r="V153" s="1643"/>
      <c r="W153" s="1644">
        <f>ROUND($D153*O153,0)</f>
        <v>0</v>
      </c>
      <c r="X153" s="1643"/>
      <c r="Y153" s="1644">
        <f>ROUND($D153*Q153,0)</f>
        <v>4056410</v>
      </c>
      <c r="AI153" s="2023">
        <f>W153-'Blocking-Step2'!W153</f>
        <v>0</v>
      </c>
      <c r="AJ153" s="2054">
        <f>O153-'Blocking-Step2'!O153</f>
        <v>0</v>
      </c>
    </row>
    <row r="154" spans="1:36">
      <c r="A154" s="1900" t="s">
        <v>1582</v>
      </c>
      <c r="C154" s="528">
        <f>'123'!AN19</f>
        <v>10626.899999999987</v>
      </c>
      <c r="D154" s="528">
        <f>ROUND(C154/C152*D152,0)</f>
        <v>12397</v>
      </c>
      <c r="F154" s="1901"/>
      <c r="G154" s="1902"/>
      <c r="H154" s="1644"/>
      <c r="I154" s="1644"/>
      <c r="K154" s="1901">
        <f>K14</f>
        <v>6</v>
      </c>
      <c r="L154" s="1902"/>
      <c r="M154" s="1901">
        <f>M14</f>
        <v>0</v>
      </c>
      <c r="N154" s="1902"/>
      <c r="O154" s="1901">
        <f>O14</f>
        <v>0</v>
      </c>
      <c r="P154" s="1902"/>
      <c r="Q154" s="1901">
        <f>Q14</f>
        <v>6</v>
      </c>
      <c r="R154" s="1902"/>
      <c r="S154" s="1644">
        <f>ROUND($D154*K154,0)</f>
        <v>74382</v>
      </c>
      <c r="T154" s="1643"/>
      <c r="U154" s="1644">
        <f>ROUND($D154*M154,0)</f>
        <v>0</v>
      </c>
      <c r="V154" s="1643"/>
      <c r="W154" s="1644">
        <f>ROUND($D154*O154,0)</f>
        <v>0</v>
      </c>
      <c r="X154" s="1643"/>
      <c r="Y154" s="1644">
        <f>ROUND($D154*Q154,0)</f>
        <v>74382</v>
      </c>
      <c r="AI154" s="2023">
        <f>W154-'Blocking-Step2'!W154</f>
        <v>0</v>
      </c>
      <c r="AJ154" s="2054">
        <f>O154-'Blocking-Step2'!O154</f>
        <v>0</v>
      </c>
    </row>
    <row r="155" spans="1:36">
      <c r="A155" s="1900" t="s">
        <v>684</v>
      </c>
      <c r="C155" s="528">
        <f>'123'!H19</f>
        <v>324</v>
      </c>
      <c r="D155" s="528">
        <f>D151-D152</f>
        <v>378</v>
      </c>
      <c r="F155" s="1901">
        <v>12</v>
      </c>
      <c r="G155" s="1902"/>
      <c r="H155" s="1644">
        <f t="shared" si="63"/>
        <v>3888</v>
      </c>
      <c r="I155" s="1644">
        <f t="shared" si="63"/>
        <v>4536</v>
      </c>
      <c r="K155" s="1901"/>
      <c r="L155" s="1902"/>
      <c r="M155" s="1901"/>
      <c r="N155" s="1902"/>
      <c r="O155" s="1901"/>
      <c r="P155" s="1902"/>
      <c r="Q155" s="1901"/>
      <c r="R155" s="1902"/>
      <c r="S155" s="1644"/>
      <c r="T155" s="1643"/>
      <c r="U155" s="1644"/>
      <c r="V155" s="1643"/>
      <c r="W155" s="1644"/>
      <c r="X155" s="1643"/>
      <c r="Y155" s="1644"/>
      <c r="AI155" s="2023">
        <f>W155-'Blocking-Step2'!W155</f>
        <v>0</v>
      </c>
      <c r="AJ155" s="2054">
        <f>O155-'Blocking-Step2'!O155</f>
        <v>0</v>
      </c>
    </row>
    <row r="156" spans="1:36">
      <c r="A156" s="1900" t="s">
        <v>1581</v>
      </c>
      <c r="C156" s="528">
        <f>C155-C157</f>
        <v>96</v>
      </c>
      <c r="D156" s="528">
        <f>D155-D157</f>
        <v>112</v>
      </c>
      <c r="F156" s="1901"/>
      <c r="G156" s="1902"/>
      <c r="H156" s="1644"/>
      <c r="I156" s="1644"/>
      <c r="K156" s="1901">
        <f>K16</f>
        <v>20</v>
      </c>
      <c r="L156" s="1902"/>
      <c r="M156" s="1901">
        <f>M16</f>
        <v>0</v>
      </c>
      <c r="N156" s="1902"/>
      <c r="O156" s="1901">
        <f>O16</f>
        <v>0</v>
      </c>
      <c r="P156" s="1902"/>
      <c r="Q156" s="1901">
        <f>Q16</f>
        <v>20</v>
      </c>
      <c r="R156" s="1902"/>
      <c r="S156" s="1644">
        <f t="shared" ref="S156:S159" si="64">ROUND($D156*K156,0)</f>
        <v>2240</v>
      </c>
      <c r="T156" s="1643"/>
      <c r="U156" s="1644">
        <f t="shared" ref="U156:Y159" si="65">ROUND($D156*M156,0)</f>
        <v>0</v>
      </c>
      <c r="V156" s="1643"/>
      <c r="W156" s="1644">
        <f t="shared" si="65"/>
        <v>0</v>
      </c>
      <c r="X156" s="1643"/>
      <c r="Y156" s="1644">
        <f t="shared" si="65"/>
        <v>2240</v>
      </c>
      <c r="AI156" s="2023">
        <f>W156-'Blocking-Step2'!W156</f>
        <v>0</v>
      </c>
      <c r="AJ156" s="2054">
        <f>O156-'Blocking-Step2'!O156</f>
        <v>0</v>
      </c>
    </row>
    <row r="157" spans="1:36">
      <c r="A157" s="1900" t="s">
        <v>1582</v>
      </c>
      <c r="C157" s="528">
        <f>'123'!AO19</f>
        <v>228</v>
      </c>
      <c r="D157" s="528">
        <f>ROUND(C157/C155*D155,0)</f>
        <v>266</v>
      </c>
      <c r="F157" s="1901"/>
      <c r="G157" s="1902"/>
      <c r="H157" s="1644"/>
      <c r="I157" s="1644"/>
      <c r="K157" s="1901">
        <f>K17</f>
        <v>12</v>
      </c>
      <c r="L157" s="1902"/>
      <c r="M157" s="1901">
        <f>M17</f>
        <v>0</v>
      </c>
      <c r="N157" s="1902"/>
      <c r="O157" s="1901">
        <f>O17</f>
        <v>0</v>
      </c>
      <c r="P157" s="1902"/>
      <c r="Q157" s="1901">
        <f>Q17</f>
        <v>12</v>
      </c>
      <c r="R157" s="1902"/>
      <c r="S157" s="1644">
        <f t="shared" si="64"/>
        <v>3192</v>
      </c>
      <c r="T157" s="1643"/>
      <c r="U157" s="1644">
        <f t="shared" si="65"/>
        <v>0</v>
      </c>
      <c r="V157" s="1643"/>
      <c r="W157" s="1644">
        <f t="shared" si="65"/>
        <v>0</v>
      </c>
      <c r="X157" s="1643"/>
      <c r="Y157" s="1644">
        <f t="shared" si="65"/>
        <v>3192</v>
      </c>
      <c r="AI157" s="2023">
        <f>W157-'Blocking-Step2'!W157</f>
        <v>0</v>
      </c>
      <c r="AJ157" s="2054">
        <f>O157-'Blocking-Step2'!O157</f>
        <v>0</v>
      </c>
    </row>
    <row r="158" spans="1:36">
      <c r="A158" s="1900" t="s">
        <v>1236</v>
      </c>
      <c r="C158" s="528">
        <f>'123'!AE19</f>
        <v>0</v>
      </c>
      <c r="D158" s="528">
        <f t="shared" ref="D158:D166" si="66">ROUND(C158/$C$151*$D$151,0)</f>
        <v>0</v>
      </c>
      <c r="F158" s="1901">
        <v>2</v>
      </c>
      <c r="G158" s="1902"/>
      <c r="H158" s="1644">
        <f t="shared" si="63"/>
        <v>0</v>
      </c>
      <c r="I158" s="1644">
        <f t="shared" si="63"/>
        <v>0</v>
      </c>
      <c r="K158" s="1901">
        <f t="shared" ref="K158:K159" si="67">K18</f>
        <v>2</v>
      </c>
      <c r="L158" s="1902"/>
      <c r="M158" s="1901">
        <f t="shared" ref="M158:M159" si="68">M18</f>
        <v>0</v>
      </c>
      <c r="N158" s="1902"/>
      <c r="O158" s="1901">
        <f t="shared" ref="O158:O159" si="69">O18</f>
        <v>0</v>
      </c>
      <c r="P158" s="1902"/>
      <c r="Q158" s="1901">
        <f t="shared" ref="Q158:Q159" si="70">Q18</f>
        <v>2</v>
      </c>
      <c r="R158" s="1902"/>
      <c r="S158" s="1644">
        <f t="shared" si="64"/>
        <v>0</v>
      </c>
      <c r="T158" s="1643"/>
      <c r="U158" s="1644">
        <f t="shared" si="65"/>
        <v>0</v>
      </c>
      <c r="V158" s="1643"/>
      <c r="W158" s="1644">
        <f t="shared" si="65"/>
        <v>0</v>
      </c>
      <c r="X158" s="1643"/>
      <c r="Y158" s="1644">
        <f t="shared" si="65"/>
        <v>0</v>
      </c>
      <c r="AI158" s="2023">
        <f>W158-'Blocking-Step2'!W158</f>
        <v>0</v>
      </c>
      <c r="AJ158" s="2054">
        <f>O158-'Blocking-Step2'!O158</f>
        <v>0</v>
      </c>
    </row>
    <row r="159" spans="1:36">
      <c r="A159" s="1900" t="s">
        <v>1301</v>
      </c>
      <c r="C159" s="528">
        <f>'123'!AM19</f>
        <v>12</v>
      </c>
      <c r="D159" s="528">
        <f t="shared" si="66"/>
        <v>14</v>
      </c>
      <c r="F159" s="1901">
        <v>22</v>
      </c>
      <c r="G159" s="1902"/>
      <c r="H159" s="1644">
        <f t="shared" si="63"/>
        <v>264</v>
      </c>
      <c r="I159" s="1644">
        <f t="shared" si="63"/>
        <v>308</v>
      </c>
      <c r="K159" s="1901">
        <f t="shared" si="67"/>
        <v>22</v>
      </c>
      <c r="L159" s="1902"/>
      <c r="M159" s="1901">
        <f t="shared" si="68"/>
        <v>0</v>
      </c>
      <c r="N159" s="1902"/>
      <c r="O159" s="1901">
        <f t="shared" si="69"/>
        <v>0</v>
      </c>
      <c r="P159" s="1902"/>
      <c r="Q159" s="1901">
        <f t="shared" si="70"/>
        <v>22</v>
      </c>
      <c r="R159" s="1902"/>
      <c r="S159" s="1644">
        <f t="shared" si="64"/>
        <v>308</v>
      </c>
      <c r="T159" s="1643"/>
      <c r="U159" s="1644">
        <f t="shared" si="65"/>
        <v>0</v>
      </c>
      <c r="V159" s="1643"/>
      <c r="W159" s="1644">
        <f t="shared" si="65"/>
        <v>0</v>
      </c>
      <c r="X159" s="1643"/>
      <c r="Y159" s="1644">
        <f t="shared" si="65"/>
        <v>308</v>
      </c>
      <c r="AI159" s="2023">
        <f>W159-'Blocking-Step2'!W159</f>
        <v>0</v>
      </c>
      <c r="AJ159" s="2054">
        <f>O159-'Blocking-Step2'!O159</f>
        <v>0</v>
      </c>
    </row>
    <row r="160" spans="1:36">
      <c r="A160" s="1900" t="s">
        <v>243</v>
      </c>
      <c r="C160" s="528">
        <f>'123'!I19</f>
        <v>41793.397499999999</v>
      </c>
      <c r="D160" s="528">
        <f t="shared" si="66"/>
        <v>48755</v>
      </c>
      <c r="F160" s="1901">
        <v>8</v>
      </c>
      <c r="G160" s="1902"/>
      <c r="H160" s="1644">
        <f t="shared" si="63"/>
        <v>334347</v>
      </c>
      <c r="I160" s="1644">
        <f t="shared" si="63"/>
        <v>390040</v>
      </c>
      <c r="K160" s="1901"/>
      <c r="L160" s="1902"/>
      <c r="M160" s="1901"/>
      <c r="N160" s="1902"/>
      <c r="O160" s="1901"/>
      <c r="P160" s="1902"/>
      <c r="Q160" s="1901"/>
      <c r="R160" s="1902"/>
      <c r="S160" s="1644"/>
      <c r="T160" s="1643"/>
      <c r="U160" s="1644"/>
      <c r="V160" s="1643"/>
      <c r="W160" s="1644"/>
      <c r="X160" s="1643"/>
      <c r="Y160" s="1644"/>
      <c r="AI160" s="2023">
        <f>W160-'Blocking-Step2'!W160</f>
        <v>0</v>
      </c>
      <c r="AJ160" s="2054">
        <f>O160-'Blocking-Step2'!O160</f>
        <v>0</v>
      </c>
    </row>
    <row r="161" spans="1:36">
      <c r="A161" s="1900" t="s">
        <v>1581</v>
      </c>
      <c r="C161" s="528">
        <f>C160-C162</f>
        <v>41131.633750000001</v>
      </c>
      <c r="D161" s="528">
        <f>D160-D162</f>
        <v>47983</v>
      </c>
      <c r="F161" s="1901"/>
      <c r="G161" s="1902"/>
      <c r="H161" s="1644"/>
      <c r="I161" s="1644"/>
      <c r="K161" s="1901"/>
      <c r="L161" s="1902"/>
      <c r="M161" s="1901"/>
      <c r="N161" s="1902"/>
      <c r="O161" s="1901"/>
      <c r="P161" s="1902"/>
      <c r="Q161" s="1901"/>
      <c r="R161" s="1902"/>
      <c r="S161" s="1644"/>
      <c r="T161" s="1643"/>
      <c r="U161" s="1644"/>
      <c r="V161" s="1643"/>
      <c r="W161" s="1644"/>
      <c r="X161" s="1643"/>
      <c r="Y161" s="1644"/>
      <c r="AI161" s="2023">
        <f>W161-'Blocking-Step2'!W161</f>
        <v>0</v>
      </c>
      <c r="AJ161" s="2054">
        <f>O161-'Blocking-Step2'!O161</f>
        <v>0</v>
      </c>
    </row>
    <row r="162" spans="1:36">
      <c r="A162" s="1900" t="s">
        <v>1582</v>
      </c>
      <c r="C162" s="528">
        <f>'123'!AP19</f>
        <v>661.76374999999996</v>
      </c>
      <c r="D162" s="528">
        <f>ROUND(C162/C160*D160,0)</f>
        <v>772</v>
      </c>
      <c r="F162" s="1901"/>
      <c r="G162" s="1902"/>
      <c r="H162" s="1644"/>
      <c r="I162" s="1644"/>
      <c r="K162" s="1901"/>
      <c r="L162" s="1902"/>
      <c r="M162" s="1901"/>
      <c r="N162" s="1902"/>
      <c r="O162" s="1901"/>
      <c r="P162" s="1902"/>
      <c r="Q162" s="1901"/>
      <c r="R162" s="1902"/>
      <c r="S162" s="1644"/>
      <c r="T162" s="1643"/>
      <c r="U162" s="1644"/>
      <c r="V162" s="1643"/>
      <c r="W162" s="1644"/>
      <c r="X162" s="1643"/>
      <c r="Y162" s="1644"/>
      <c r="AI162" s="2023">
        <f>W162-'Blocking-Step2'!W162</f>
        <v>0</v>
      </c>
      <c r="AJ162" s="2054">
        <f>O162-'Blocking-Step2'!O162</f>
        <v>0</v>
      </c>
    </row>
    <row r="163" spans="1:36" s="596" customFormat="1">
      <c r="A163" s="1900" t="s">
        <v>244</v>
      </c>
      <c r="B163" s="1869"/>
      <c r="C163" s="528">
        <f>'123'!J19</f>
        <v>9.7675000000000001</v>
      </c>
      <c r="D163" s="528">
        <f t="shared" si="66"/>
        <v>11</v>
      </c>
      <c r="F163" s="1901">
        <v>16</v>
      </c>
      <c r="G163" s="1902"/>
      <c r="H163" s="1644">
        <f t="shared" si="63"/>
        <v>156</v>
      </c>
      <c r="I163" s="1644">
        <f t="shared" si="63"/>
        <v>176</v>
      </c>
      <c r="K163" s="1901"/>
      <c r="L163" s="1902"/>
      <c r="M163" s="1901"/>
      <c r="N163" s="1902"/>
      <c r="O163" s="1901"/>
      <c r="P163" s="1902"/>
      <c r="Q163" s="1901"/>
      <c r="R163" s="1902"/>
      <c r="S163" s="1644"/>
      <c r="T163" s="1643"/>
      <c r="U163" s="1644"/>
      <c r="V163" s="1643"/>
      <c r="W163" s="1644"/>
      <c r="X163" s="1643"/>
      <c r="Y163" s="1644"/>
      <c r="Z163" s="1936"/>
      <c r="AI163" s="2023">
        <f>W163-'Blocking-Step2'!W163</f>
        <v>0</v>
      </c>
      <c r="AJ163" s="2054">
        <f>O163-'Blocking-Step2'!O163</f>
        <v>0</v>
      </c>
    </row>
    <row r="164" spans="1:36">
      <c r="A164" s="1900" t="s">
        <v>1581</v>
      </c>
      <c r="C164" s="528">
        <f>C163-C165</f>
        <v>7.2675000000000001</v>
      </c>
      <c r="D164" s="528">
        <f>D163-D165</f>
        <v>8</v>
      </c>
      <c r="F164" s="1901"/>
      <c r="G164" s="1902"/>
      <c r="H164" s="1644"/>
      <c r="I164" s="1644"/>
      <c r="K164" s="1901"/>
      <c r="L164" s="1902"/>
      <c r="M164" s="1901"/>
      <c r="N164" s="1902"/>
      <c r="O164" s="1901"/>
      <c r="P164" s="1902"/>
      <c r="Q164" s="1901"/>
      <c r="R164" s="1902"/>
      <c r="S164" s="1644"/>
      <c r="T164" s="1643"/>
      <c r="U164" s="1644"/>
      <c r="V164" s="1643"/>
      <c r="W164" s="1644"/>
      <c r="X164" s="1643"/>
      <c r="Y164" s="1644"/>
      <c r="AI164" s="2023">
        <f>W164-'Blocking-Step2'!W164</f>
        <v>0</v>
      </c>
      <c r="AJ164" s="2054">
        <f>O164-'Blocking-Step2'!O164</f>
        <v>0</v>
      </c>
    </row>
    <row r="165" spans="1:36">
      <c r="A165" s="1900" t="s">
        <v>1582</v>
      </c>
      <c r="C165" s="528">
        <f>'123'!AQ19</f>
        <v>2.5</v>
      </c>
      <c r="D165" s="528">
        <f>ROUND(C165/C163*D163,0)</f>
        <v>3</v>
      </c>
      <c r="F165" s="1901"/>
      <c r="G165" s="1902"/>
      <c r="H165" s="1644"/>
      <c r="I165" s="1644"/>
      <c r="K165" s="1901"/>
      <c r="L165" s="1902"/>
      <c r="M165" s="1901"/>
      <c r="N165" s="1902"/>
      <c r="O165" s="1901"/>
      <c r="P165" s="1902"/>
      <c r="Q165" s="1901"/>
      <c r="R165" s="1902"/>
      <c r="S165" s="1644"/>
      <c r="T165" s="1643"/>
      <c r="U165" s="1644"/>
      <c r="V165" s="1643"/>
      <c r="W165" s="1644"/>
      <c r="X165" s="1643"/>
      <c r="Y165" s="1644"/>
      <c r="AI165" s="2023">
        <f>W165-'Blocking-Step2'!W165</f>
        <v>0</v>
      </c>
      <c r="AJ165" s="2054">
        <f>O165-'Blocking-Step2'!O165</f>
        <v>0</v>
      </c>
    </row>
    <row r="166" spans="1:36" s="596" customFormat="1">
      <c r="A166" s="1900" t="s">
        <v>245</v>
      </c>
      <c r="B166" s="1869"/>
      <c r="C166" s="528">
        <f>'123'!AL19</f>
        <v>0</v>
      </c>
      <c r="D166" s="528">
        <f t="shared" si="66"/>
        <v>0</v>
      </c>
      <c r="F166" s="1901">
        <v>96</v>
      </c>
      <c r="G166" s="1902"/>
      <c r="H166" s="1644">
        <f t="shared" si="63"/>
        <v>0</v>
      </c>
      <c r="I166" s="1644">
        <f t="shared" si="63"/>
        <v>0</v>
      </c>
      <c r="K166" s="1901"/>
      <c r="L166" s="1902"/>
      <c r="M166" s="1901"/>
      <c r="N166" s="1902"/>
      <c r="O166" s="1901"/>
      <c r="P166" s="1902"/>
      <c r="Q166" s="1901"/>
      <c r="R166" s="1902"/>
      <c r="S166" s="1644"/>
      <c r="T166" s="1643"/>
      <c r="U166" s="1644"/>
      <c r="V166" s="1643"/>
      <c r="W166" s="1644"/>
      <c r="X166" s="1643"/>
      <c r="Y166" s="1644"/>
      <c r="Z166" s="1936"/>
      <c r="AA166" s="1104"/>
      <c r="AB166" s="1919"/>
      <c r="AI166" s="2023">
        <f>W166-'Blocking-Step2'!W166</f>
        <v>0</v>
      </c>
      <c r="AJ166" s="2054">
        <f>O166-'Blocking-Step2'!O166</f>
        <v>0</v>
      </c>
    </row>
    <row r="167" spans="1:36">
      <c r="A167" s="1900" t="s">
        <v>1532</v>
      </c>
      <c r="C167" s="528">
        <f>'123'!S19+'123May'!J19</f>
        <v>5306.0149714409508</v>
      </c>
      <c r="D167" s="528">
        <f>ROUND(C167/SUM($C$169:$C$171)*((Energy!$S$17+Energy!$S$19)*(1-1/(Energy!$P$17+Energy!$P$19)*($D$181+$D$184))),0)</f>
        <v>7090</v>
      </c>
      <c r="F167" s="1920"/>
      <c r="G167" s="1921"/>
      <c r="H167" s="1644"/>
      <c r="I167" s="1644"/>
      <c r="K167" s="1920">
        <f>K27</f>
        <v>0</v>
      </c>
      <c r="L167" s="1921" t="s">
        <v>495</v>
      </c>
      <c r="M167" s="1920">
        <f>M27</f>
        <v>0</v>
      </c>
      <c r="N167" s="1921" t="s">
        <v>495</v>
      </c>
      <c r="O167" s="1920">
        <f>O27</f>
        <v>4.3559999999999999</v>
      </c>
      <c r="P167" s="1921" t="s">
        <v>495</v>
      </c>
      <c r="Q167" s="1920">
        <f t="shared" ref="Q167:Q173" si="71">Q27</f>
        <v>4.3559999999999999</v>
      </c>
      <c r="R167" s="1921" t="s">
        <v>495</v>
      </c>
      <c r="S167" s="1644">
        <f>ROUND($D167*K167/100,0)</f>
        <v>0</v>
      </c>
      <c r="T167" s="1656"/>
      <c r="U167" s="1644">
        <f>ROUND($D167*M167/100,0)</f>
        <v>0</v>
      </c>
      <c r="V167" s="1656"/>
      <c r="W167" s="1644">
        <f>ROUND($D167*O167/100,0)</f>
        <v>309</v>
      </c>
      <c r="X167" s="1648"/>
      <c r="Y167" s="1644">
        <f>ROUND($D167*Q167/100,0)</f>
        <v>309</v>
      </c>
      <c r="AA167" s="1104"/>
      <c r="AB167" s="1919"/>
      <c r="AI167" s="2023">
        <f>W167-'Blocking-Step2'!W167</f>
        <v>0</v>
      </c>
      <c r="AJ167" s="2054">
        <f>O167-'Blocking-Step2'!O167</f>
        <v>0</v>
      </c>
    </row>
    <row r="168" spans="1:36">
      <c r="A168" s="1900" t="s">
        <v>1533</v>
      </c>
      <c r="C168" s="528">
        <f>'123'!T19+'123May'!K19</f>
        <v>33281.092966817378</v>
      </c>
      <c r="D168" s="528">
        <f>ROUND(C168/SUM($C$169:$C$171)*((Energy!$S$17+Energy!$S$19)*(1-1/(Energy!$P$17+Energy!$P$19)*($D$181+$D$184))),0)</f>
        <v>44469</v>
      </c>
      <c r="F168" s="1920"/>
      <c r="G168" s="1921"/>
      <c r="H168" s="1644"/>
      <c r="I168" s="1644"/>
      <c r="K168" s="1920">
        <f t="shared" ref="K168:K173" si="72">K28</f>
        <v>0</v>
      </c>
      <c r="L168" s="1921" t="s">
        <v>495</v>
      </c>
      <c r="M168" s="1920">
        <f t="shared" ref="M168:M173" si="73">M28</f>
        <v>0</v>
      </c>
      <c r="N168" s="1921" t="s">
        <v>495</v>
      </c>
      <c r="O168" s="1920">
        <f t="shared" ref="O168:O173" si="74">O28</f>
        <v>-1.6334</v>
      </c>
      <c r="P168" s="1921" t="s">
        <v>495</v>
      </c>
      <c r="Q168" s="1920">
        <f t="shared" si="71"/>
        <v>-1.6334</v>
      </c>
      <c r="R168" s="1921" t="s">
        <v>495</v>
      </c>
      <c r="S168" s="1644">
        <f>ROUND($D168*K168/100,0)</f>
        <v>0</v>
      </c>
      <c r="T168" s="1656"/>
      <c r="U168" s="1644">
        <f>ROUND($D168*M168/100,0)</f>
        <v>0</v>
      </c>
      <c r="V168" s="1656"/>
      <c r="W168" s="1644">
        <f>ROUND($D168*O168/100,0)</f>
        <v>-726</v>
      </c>
      <c r="X168" s="1648"/>
      <c r="Y168" s="1644">
        <f>ROUND($D168*Q168/100,0)</f>
        <v>-726</v>
      </c>
      <c r="AA168" s="1104"/>
      <c r="AB168" s="1919"/>
      <c r="AI168" s="2023">
        <f>W168-'Blocking-Step2'!W168</f>
        <v>0</v>
      </c>
      <c r="AJ168" s="2054">
        <f>O168-'Blocking-Step2'!O168</f>
        <v>0</v>
      </c>
    </row>
    <row r="169" spans="1:36">
      <c r="A169" s="1900" t="s">
        <v>1534</v>
      </c>
      <c r="C169" s="584">
        <f>'123'!P19+TempRevMay!M303+'123May'!G19+'123May'!Q19</f>
        <v>16439716.09066999</v>
      </c>
      <c r="D169" s="528">
        <f>D185-SUM(D170:D173,D181:D184)</f>
        <v>21966173.894598663</v>
      </c>
      <c r="F169" s="1926"/>
      <c r="G169" s="1921"/>
      <c r="H169" s="1644"/>
      <c r="I169" s="1644"/>
      <c r="K169" s="1926">
        <f t="shared" si="72"/>
        <v>4.3437999999999999</v>
      </c>
      <c r="L169" s="1921" t="s">
        <v>495</v>
      </c>
      <c r="M169" s="1926">
        <f t="shared" si="73"/>
        <v>3.6385809960970961</v>
      </c>
      <c r="N169" s="1921" t="s">
        <v>495</v>
      </c>
      <c r="O169" s="1926">
        <f t="shared" si="74"/>
        <v>1.3645863008434289</v>
      </c>
      <c r="P169" s="1921" t="s">
        <v>495</v>
      </c>
      <c r="Q169" s="1926">
        <f t="shared" si="71"/>
        <v>9.3469672969405249</v>
      </c>
      <c r="R169" s="1921" t="s">
        <v>495</v>
      </c>
      <c r="S169" s="1644">
        <f t="shared" ref="S169:S173" si="75">ROUND($D169*K169/100,0)</f>
        <v>954167</v>
      </c>
      <c r="T169" s="1656"/>
      <c r="U169" s="1644">
        <f t="shared" ref="U169:Y173" si="76">ROUND($D169*M169/100,0)</f>
        <v>799257</v>
      </c>
      <c r="V169" s="1656"/>
      <c r="W169" s="1644">
        <f t="shared" si="76"/>
        <v>299747</v>
      </c>
      <c r="X169" s="1648"/>
      <c r="Y169" s="1644">
        <f t="shared" si="76"/>
        <v>2053171</v>
      </c>
      <c r="AI169" s="2023">
        <f>W169-'Blocking-Step2'!W169</f>
        <v>0</v>
      </c>
      <c r="AJ169" s="2054">
        <f>O169-'Blocking-Step2'!O169</f>
        <v>0</v>
      </c>
    </row>
    <row r="170" spans="1:36">
      <c r="A170" s="1900" t="s">
        <v>1535</v>
      </c>
      <c r="C170" s="584">
        <f>'123'!Q19+TempRevMay!M304+'123May'!H19+'123May'!R19</f>
        <v>10812418.378645124</v>
      </c>
      <c r="D170" s="528">
        <f>ROUND(C170/SUM($C$169:$C$171)*((Energy!$S$17+Energy!$S$19)*(1-1/(Energy!$P$17+Energy!$P$19)*($D$181+$D$184))),0)</f>
        <v>14447176</v>
      </c>
      <c r="F170" s="1926"/>
      <c r="G170" s="1921"/>
      <c r="H170" s="1644"/>
      <c r="I170" s="1644"/>
      <c r="K170" s="1926">
        <f t="shared" si="72"/>
        <v>4.3437999999999999</v>
      </c>
      <c r="L170" s="1921" t="s">
        <v>495</v>
      </c>
      <c r="M170" s="1926">
        <f t="shared" si="73"/>
        <v>3.6385809960970956</v>
      </c>
      <c r="N170" s="1921" t="s">
        <v>495</v>
      </c>
      <c r="O170" s="1926">
        <f t="shared" si="74"/>
        <v>4.0576863008434287</v>
      </c>
      <c r="P170" s="1921" t="s">
        <v>495</v>
      </c>
      <c r="Q170" s="1926">
        <f t="shared" si="71"/>
        <v>12.040067296940524</v>
      </c>
      <c r="R170" s="1921" t="s">
        <v>495</v>
      </c>
      <c r="S170" s="1644">
        <f t="shared" si="75"/>
        <v>627556</v>
      </c>
      <c r="T170" s="1656"/>
      <c r="U170" s="1644">
        <f t="shared" si="76"/>
        <v>525672</v>
      </c>
      <c r="V170" s="1656"/>
      <c r="W170" s="1644">
        <f t="shared" si="76"/>
        <v>586221</v>
      </c>
      <c r="X170" s="1648"/>
      <c r="Y170" s="1644">
        <f t="shared" si="76"/>
        <v>1739450</v>
      </c>
      <c r="AI170" s="2023">
        <f>W170-'Blocking-Step2'!W170</f>
        <v>0</v>
      </c>
      <c r="AJ170" s="2054">
        <f>O170-'Blocking-Step2'!O170</f>
        <v>0</v>
      </c>
    </row>
    <row r="171" spans="1:36">
      <c r="A171" s="1900" t="s">
        <v>1536</v>
      </c>
      <c r="C171" s="584">
        <f>'123'!R19+TempRevMay!M305+'123May'!I19+'123May'!S19</f>
        <v>5925108.1796947811</v>
      </c>
      <c r="D171" s="528">
        <f>ROUND(C171/SUM($C$169:$C$171)*((Energy!$S$17+Energy!$S$19)*(1-1/(Energy!$P$17+Energy!$P$19)*($D$181+$D$184))),0)</f>
        <v>7916923</v>
      </c>
      <c r="F171" s="1926"/>
      <c r="G171" s="1921"/>
      <c r="H171" s="1644"/>
      <c r="I171" s="1644"/>
      <c r="K171" s="1926">
        <f t="shared" si="72"/>
        <v>4.3437999999999999</v>
      </c>
      <c r="L171" s="1921" t="s">
        <v>495</v>
      </c>
      <c r="M171" s="1926">
        <f t="shared" si="73"/>
        <v>3.6385809960970956</v>
      </c>
      <c r="N171" s="1921" t="s">
        <v>495</v>
      </c>
      <c r="O171" s="1926">
        <f t="shared" si="74"/>
        <v>4.0576863008434287</v>
      </c>
      <c r="P171" s="1921" t="s">
        <v>495</v>
      </c>
      <c r="Q171" s="1926">
        <f t="shared" si="71"/>
        <v>12.040067296940524</v>
      </c>
      <c r="R171" s="1921" t="s">
        <v>495</v>
      </c>
      <c r="S171" s="1644">
        <f t="shared" si="75"/>
        <v>343895</v>
      </c>
      <c r="T171" s="1656"/>
      <c r="U171" s="1644">
        <f t="shared" si="76"/>
        <v>288064</v>
      </c>
      <c r="V171" s="1656"/>
      <c r="W171" s="1644">
        <f t="shared" si="76"/>
        <v>321244</v>
      </c>
      <c r="X171" s="1648"/>
      <c r="Y171" s="1644">
        <f t="shared" si="76"/>
        <v>953203</v>
      </c>
      <c r="AI171" s="2023">
        <f>W171-'Blocking-Step2'!W171</f>
        <v>0</v>
      </c>
      <c r="AJ171" s="2054">
        <f>O171-'Blocking-Step2'!O171</f>
        <v>0</v>
      </c>
    </row>
    <row r="172" spans="1:36">
      <c r="A172" s="1900" t="s">
        <v>1537</v>
      </c>
      <c r="B172" s="1925"/>
      <c r="C172" s="528">
        <f>'123'!M19+TempRevMay!M306+'123May'!D19+'123May'!T19</f>
        <v>42954251.743285455</v>
      </c>
      <c r="D172" s="528">
        <f>ROUND(C172/SUM($C$172:$C$173)*((Energy!$T$17+Energy!$T$19)*(1-1/(Energy!$P$17+Energy!$P$19)*($D$181+$D$184))),0)</f>
        <v>50047131</v>
      </c>
      <c r="E172" s="549"/>
      <c r="F172" s="1926"/>
      <c r="G172" s="1921"/>
      <c r="H172" s="1644"/>
      <c r="I172" s="1644"/>
      <c r="J172" s="549"/>
      <c r="K172" s="1926">
        <f t="shared" si="72"/>
        <v>4.3437999999999999</v>
      </c>
      <c r="L172" s="1921" t="s">
        <v>495</v>
      </c>
      <c r="M172" s="1926">
        <f t="shared" si="73"/>
        <v>3.6559663682280008</v>
      </c>
      <c r="N172" s="1921" t="s">
        <v>495</v>
      </c>
      <c r="O172" s="1926">
        <f t="shared" si="74"/>
        <v>0.27188610694099991</v>
      </c>
      <c r="P172" s="1921" t="s">
        <v>495</v>
      </c>
      <c r="Q172" s="1926">
        <f t="shared" si="71"/>
        <v>8.2716524751690006</v>
      </c>
      <c r="R172" s="1921" t="s">
        <v>495</v>
      </c>
      <c r="S172" s="1644">
        <f t="shared" si="75"/>
        <v>2173947</v>
      </c>
      <c r="T172" s="1656"/>
      <c r="U172" s="1644">
        <f t="shared" si="76"/>
        <v>1829706</v>
      </c>
      <c r="V172" s="1656"/>
      <c r="W172" s="1644">
        <f t="shared" si="76"/>
        <v>136071</v>
      </c>
      <c r="X172" s="1648"/>
      <c r="Y172" s="1644">
        <f t="shared" si="76"/>
        <v>4139725</v>
      </c>
      <c r="AI172" s="2023">
        <f>W172-'Blocking-Step2'!W172</f>
        <v>0</v>
      </c>
      <c r="AJ172" s="2054">
        <f>O172-'Blocking-Step2'!O172</f>
        <v>0</v>
      </c>
    </row>
    <row r="173" spans="1:36">
      <c r="A173" s="1900" t="s">
        <v>1538</v>
      </c>
      <c r="B173" s="1925"/>
      <c r="C173" s="528">
        <f>'123'!N19+TempRevMay!M307+'123May'!E19+'123May'!U19</f>
        <v>41160207.628910221</v>
      </c>
      <c r="D173" s="528">
        <f>ROUND(C173/SUM($C$172:$C$173)*((Energy!$T$17+Energy!$T$19)*(1-1/(Energy!$P$17+Energy!$P$19)*($D$181+$D$184))),0)</f>
        <v>47956842</v>
      </c>
      <c r="E173" s="549"/>
      <c r="F173" s="1926"/>
      <c r="G173" s="1921"/>
      <c r="H173" s="1644"/>
      <c r="I173" s="1644"/>
      <c r="J173" s="549"/>
      <c r="K173" s="1926">
        <f t="shared" si="72"/>
        <v>4.3437999999999999</v>
      </c>
      <c r="L173" s="1921" t="s">
        <v>495</v>
      </c>
      <c r="M173" s="1926">
        <f t="shared" si="73"/>
        <v>3.6559663682280008</v>
      </c>
      <c r="N173" s="1921" t="s">
        <v>495</v>
      </c>
      <c r="O173" s="1926">
        <f t="shared" si="74"/>
        <v>2.6551604432239997</v>
      </c>
      <c r="P173" s="1921" t="s">
        <v>495</v>
      </c>
      <c r="Q173" s="1926">
        <f t="shared" si="71"/>
        <v>10.654926811452</v>
      </c>
      <c r="R173" s="1921" t="s">
        <v>495</v>
      </c>
      <c r="S173" s="1644">
        <f t="shared" si="75"/>
        <v>2083149</v>
      </c>
      <c r="T173" s="1656"/>
      <c r="U173" s="1644">
        <f t="shared" si="76"/>
        <v>1753286</v>
      </c>
      <c r="V173" s="1656"/>
      <c r="W173" s="1644">
        <f t="shared" si="76"/>
        <v>1273331</v>
      </c>
      <c r="X173" s="1648"/>
      <c r="Y173" s="1644">
        <f t="shared" si="76"/>
        <v>5109766</v>
      </c>
      <c r="AI173" s="2023">
        <f>W173-'Blocking-Step2'!W173</f>
        <v>0</v>
      </c>
      <c r="AJ173" s="2054">
        <f>O173-'Blocking-Step2'!O173</f>
        <v>0</v>
      </c>
    </row>
    <row r="174" spans="1:36">
      <c r="A174" s="1900" t="s">
        <v>188</v>
      </c>
      <c r="C174" s="528">
        <f>'123'!S19</f>
        <v>5872</v>
      </c>
      <c r="D174" s="528">
        <f>ROUND(C174/SUM($C$176:$C$178)*((Energy!$Q$17+Energy!$Q$19)*(1-1/(Energy!$P$17+Energy!$P$19)*($D$181+$D$184))),0)</f>
        <v>7604</v>
      </c>
      <c r="F174" s="1920">
        <v>4.3559999999999999</v>
      </c>
      <c r="G174" s="1921" t="s">
        <v>495</v>
      </c>
      <c r="H174" s="1644">
        <f t="shared" ref="H174:I181" si="77">ROUND($F174*C174/100,0)</f>
        <v>256</v>
      </c>
      <c r="I174" s="1644">
        <f t="shared" si="77"/>
        <v>331</v>
      </c>
      <c r="K174" s="1920"/>
      <c r="L174" s="1921"/>
      <c r="M174" s="1920"/>
      <c r="N174" s="1921"/>
      <c r="O174" s="1920"/>
      <c r="P174" s="1921"/>
      <c r="Q174" s="1920"/>
      <c r="R174" s="1921"/>
      <c r="S174" s="1644"/>
      <c r="T174" s="1648"/>
      <c r="U174" s="1644"/>
      <c r="V174" s="1648"/>
      <c r="W174" s="1644"/>
      <c r="X174" s="1648"/>
      <c r="Y174" s="1644"/>
      <c r="AI174" s="2023">
        <f>W174-'Blocking-Step2'!W174</f>
        <v>0</v>
      </c>
      <c r="AJ174" s="2054">
        <f>O174-'Blocking-Step2'!O174</f>
        <v>0</v>
      </c>
    </row>
    <row r="175" spans="1:36">
      <c r="A175" s="1900" t="s">
        <v>189</v>
      </c>
      <c r="C175" s="528">
        <f>'123'!T19</f>
        <v>40803</v>
      </c>
      <c r="D175" s="528">
        <f>ROUND(C175/SUM($C$176:$C$178)*((Energy!$Q$17+Energy!$Q$19)*(1-1/(Energy!$P$17+Energy!$P$19)*($D$181+$D$184))),0)</f>
        <v>52839</v>
      </c>
      <c r="F175" s="1920">
        <v>-1.6334</v>
      </c>
      <c r="G175" s="1921" t="s">
        <v>495</v>
      </c>
      <c r="H175" s="1644">
        <f t="shared" si="77"/>
        <v>-666</v>
      </c>
      <c r="I175" s="1644">
        <f t="shared" si="77"/>
        <v>-863</v>
      </c>
      <c r="K175" s="1920"/>
      <c r="L175" s="1921"/>
      <c r="M175" s="1920"/>
      <c r="N175" s="1921"/>
      <c r="O175" s="1920"/>
      <c r="P175" s="1921"/>
      <c r="Q175" s="1920"/>
      <c r="R175" s="1921"/>
      <c r="S175" s="1644"/>
      <c r="T175" s="1648"/>
      <c r="U175" s="1644"/>
      <c r="V175" s="1648"/>
      <c r="W175" s="1644"/>
      <c r="X175" s="1648"/>
      <c r="Y175" s="1644"/>
      <c r="AI175" s="2023">
        <f>W175-'Blocking-Step2'!W175</f>
        <v>0</v>
      </c>
      <c r="AJ175" s="2054">
        <f>O175-'Blocking-Step2'!O175</f>
        <v>0</v>
      </c>
    </row>
    <row r="176" spans="1:36">
      <c r="A176" s="1900" t="s">
        <v>241</v>
      </c>
      <c r="C176" s="584">
        <f>'123'!P19+TempRev!M303</f>
        <v>18539579.763590723</v>
      </c>
      <c r="D176" s="528">
        <f>D185-SUM(D177:D184)</f>
        <v>24008563.894598663</v>
      </c>
      <c r="F176" s="1926">
        <v>8.8498000000000001</v>
      </c>
      <c r="G176" s="1921" t="s">
        <v>495</v>
      </c>
      <c r="H176" s="1644">
        <f t="shared" si="77"/>
        <v>1640716</v>
      </c>
      <c r="I176" s="1644">
        <f t="shared" si="77"/>
        <v>2124710</v>
      </c>
      <c r="K176" s="1926"/>
      <c r="L176" s="1921"/>
      <c r="M176" s="1926"/>
      <c r="N176" s="1921"/>
      <c r="O176" s="1926"/>
      <c r="P176" s="1921"/>
      <c r="Q176" s="1926"/>
      <c r="R176" s="1921"/>
      <c r="S176" s="1644"/>
      <c r="T176" s="1648"/>
      <c r="U176" s="1644"/>
      <c r="V176" s="1648"/>
      <c r="W176" s="1644"/>
      <c r="X176" s="1648"/>
      <c r="Y176" s="1644"/>
      <c r="AI176" s="2023">
        <f>W176-'Blocking-Step2'!W176</f>
        <v>0</v>
      </c>
      <c r="AJ176" s="2054">
        <f>O176-'Blocking-Step2'!O176</f>
        <v>0</v>
      </c>
    </row>
    <row r="177" spans="1:36">
      <c r="A177" s="1900" t="s">
        <v>242</v>
      </c>
      <c r="C177" s="584">
        <f>'123'!Q19+TempRev!M304</f>
        <v>11711853.344823245</v>
      </c>
      <c r="D177" s="528">
        <f>ROUND(C177/SUM($C$176:$C$178)*((Energy!$Q$17+Energy!$Q$19)*(1-1/(Energy!$P$17+Energy!$P$19)*($D$181+$D$184))),0)</f>
        <v>15166728</v>
      </c>
      <c r="F177" s="1926">
        <v>11.542899999999999</v>
      </c>
      <c r="G177" s="1921" t="s">
        <v>495</v>
      </c>
      <c r="H177" s="1644">
        <f t="shared" si="77"/>
        <v>1351888</v>
      </c>
      <c r="I177" s="1644">
        <f t="shared" si="77"/>
        <v>1750680</v>
      </c>
      <c r="K177" s="1926"/>
      <c r="L177" s="1921"/>
      <c r="M177" s="1926"/>
      <c r="N177" s="1921"/>
      <c r="O177" s="1926"/>
      <c r="P177" s="1921"/>
      <c r="Q177" s="1926"/>
      <c r="R177" s="1921"/>
      <c r="S177" s="1644"/>
      <c r="T177" s="1648"/>
      <c r="U177" s="1644"/>
      <c r="V177" s="1648"/>
      <c r="W177" s="1644"/>
      <c r="X177" s="1648"/>
      <c r="Y177" s="1644"/>
      <c r="AI177" s="2023">
        <f>W177-'Blocking-Step2'!W177</f>
        <v>0</v>
      </c>
      <c r="AJ177" s="2054">
        <f>O177-'Blocking-Step2'!O177</f>
        <v>0</v>
      </c>
    </row>
    <row r="178" spans="1:36">
      <c r="A178" s="1900" t="s">
        <v>94</v>
      </c>
      <c r="C178" s="584">
        <f>'123'!R19+TempRev!M305</f>
        <v>6443331.5536244791</v>
      </c>
      <c r="D178" s="528">
        <f>ROUND(C178/SUM($C$176:$C$178)*((Energy!$Q$17+Energy!$Q$19)*(1-1/(Energy!$P$17+Energy!$P$19)*($D$181+$D$184))),0)</f>
        <v>8344047</v>
      </c>
      <c r="F178" s="1926">
        <v>14.450799999999999</v>
      </c>
      <c r="G178" s="1921" t="s">
        <v>495</v>
      </c>
      <c r="H178" s="1644">
        <f t="shared" si="77"/>
        <v>931113</v>
      </c>
      <c r="I178" s="1644">
        <f t="shared" si="77"/>
        <v>1205782</v>
      </c>
      <c r="K178" s="1926"/>
      <c r="L178" s="1921"/>
      <c r="M178" s="1926"/>
      <c r="N178" s="1921"/>
      <c r="O178" s="1926"/>
      <c r="P178" s="1921"/>
      <c r="Q178" s="1926"/>
      <c r="R178" s="1921"/>
      <c r="S178" s="1644"/>
      <c r="T178" s="1648"/>
      <c r="U178" s="1644"/>
      <c r="V178" s="1648"/>
      <c r="W178" s="1644"/>
      <c r="X178" s="1648"/>
      <c r="Y178" s="1644"/>
      <c r="AI178" s="2023">
        <f>W178-'Blocking-Step2'!W178</f>
        <v>0</v>
      </c>
      <c r="AJ178" s="2054">
        <f>O178-'Blocking-Step2'!O178</f>
        <v>0</v>
      </c>
    </row>
    <row r="179" spans="1:36">
      <c r="A179" s="1900" t="s">
        <v>1360</v>
      </c>
      <c r="B179" s="1925"/>
      <c r="C179" s="528">
        <f>'123'!M19+TempRev!M306</f>
        <v>40722859.346801311</v>
      </c>
      <c r="D179" s="528">
        <f>ROUND(C179/SUM($C$179:$C$180)*((Energy!$R$17+Energy!$R$19)*(1-1/(Energy!$P$17+Energy!$P$19)*($D$181+$D$184))),0)</f>
        <v>47906710</v>
      </c>
      <c r="E179" s="549"/>
      <c r="F179" s="1926">
        <v>8.8498000000000001</v>
      </c>
      <c r="G179" s="1921" t="s">
        <v>495</v>
      </c>
      <c r="H179" s="1644">
        <f t="shared" si="77"/>
        <v>3603892</v>
      </c>
      <c r="I179" s="1644">
        <f t="shared" si="77"/>
        <v>4239648</v>
      </c>
      <c r="J179" s="549"/>
      <c r="K179" s="1926"/>
      <c r="L179" s="1921"/>
      <c r="M179" s="1926"/>
      <c r="N179" s="1921"/>
      <c r="O179" s="1926"/>
      <c r="P179" s="1921"/>
      <c r="Q179" s="1926"/>
      <c r="R179" s="1921"/>
      <c r="S179" s="1644"/>
      <c r="T179" s="1648"/>
      <c r="U179" s="1644"/>
      <c r="V179" s="1648"/>
      <c r="W179" s="1644"/>
      <c r="X179" s="1648"/>
      <c r="Y179" s="1644"/>
      <c r="AI179" s="2023">
        <f>W179-'Blocking-Step2'!W179</f>
        <v>0</v>
      </c>
      <c r="AJ179" s="2054">
        <f>O179-'Blocking-Step2'!O179</f>
        <v>0</v>
      </c>
    </row>
    <row r="180" spans="1:36">
      <c r="A180" s="1900" t="s">
        <v>1361</v>
      </c>
      <c r="B180" s="1925"/>
      <c r="C180" s="528">
        <f>'123'!N19+TempRev!M307</f>
        <v>39874078.012365803</v>
      </c>
      <c r="D180" s="528">
        <f>ROUND(C180/SUM($C$179:$C$180)*((Energy!$R$17+Energy!$R$19)*(1-1/(Energy!$P$17+Energy!$P$19)*($D$181+$D$184))),0)</f>
        <v>46908197</v>
      </c>
      <c r="E180" s="549"/>
      <c r="F180" s="1926">
        <v>10.7072</v>
      </c>
      <c r="G180" s="1921" t="s">
        <v>495</v>
      </c>
      <c r="H180" s="1644">
        <f t="shared" si="77"/>
        <v>4269397</v>
      </c>
      <c r="I180" s="1644">
        <f t="shared" si="77"/>
        <v>5022554</v>
      </c>
      <c r="J180" s="549"/>
      <c r="K180" s="1926"/>
      <c r="L180" s="1921"/>
      <c r="M180" s="1926"/>
      <c r="N180" s="1921"/>
      <c r="O180" s="1926"/>
      <c r="P180" s="1921"/>
      <c r="Q180" s="1926"/>
      <c r="R180" s="1921"/>
      <c r="S180" s="1644"/>
      <c r="T180" s="1648"/>
      <c r="U180" s="1644"/>
      <c r="V180" s="1648"/>
      <c r="W180" s="1644"/>
      <c r="X180" s="1648"/>
      <c r="Y180" s="1644"/>
      <c r="AI180" s="2023">
        <f>W180-'Blocking-Step2'!W180</f>
        <v>0</v>
      </c>
      <c r="AJ180" s="2054">
        <f>O180-'Blocking-Step2'!O180</f>
        <v>0</v>
      </c>
    </row>
    <row r="181" spans="1:36">
      <c r="A181" s="1116" t="s">
        <v>1158</v>
      </c>
      <c r="B181" s="1928"/>
      <c r="C181" s="1024">
        <f>'123'!X19</f>
        <v>0</v>
      </c>
      <c r="D181" s="528">
        <f>ROUND(C181/($C$185-$C$182)*$D$185,0)</f>
        <v>0</v>
      </c>
      <c r="E181" s="804"/>
      <c r="F181" s="1927">
        <v>11.7033</v>
      </c>
      <c r="G181" s="1929" t="s">
        <v>495</v>
      </c>
      <c r="H181" s="1146">
        <f t="shared" si="77"/>
        <v>0</v>
      </c>
      <c r="I181" s="1146">
        <f t="shared" si="77"/>
        <v>0</v>
      </c>
      <c r="J181" s="804"/>
      <c r="K181" s="1927">
        <f>K41</f>
        <v>4.3437999999999999</v>
      </c>
      <c r="L181" s="1929" t="s">
        <v>495</v>
      </c>
      <c r="M181" s="1927">
        <f>M41</f>
        <v>7.7249999999999996</v>
      </c>
      <c r="N181" s="1929" t="s">
        <v>495</v>
      </c>
      <c r="O181" s="1927">
        <f>O41</f>
        <v>0</v>
      </c>
      <c r="P181" s="1929" t="s">
        <v>495</v>
      </c>
      <c r="Q181" s="1927">
        <f>Q41</f>
        <v>12.0688</v>
      </c>
      <c r="R181" s="1929" t="s">
        <v>495</v>
      </c>
      <c r="S181" s="1644">
        <f t="shared" ref="S181" si="78">ROUND($D181*K181/100,0)</f>
        <v>0</v>
      </c>
      <c r="T181" s="1656"/>
      <c r="U181" s="1644">
        <f t="shared" ref="U181:Y181" si="79">ROUND($D181*M181/100,0)</f>
        <v>0</v>
      </c>
      <c r="V181" s="1656"/>
      <c r="W181" s="1644">
        <f t="shared" si="79"/>
        <v>0</v>
      </c>
      <c r="X181" s="1656"/>
      <c r="Y181" s="1644">
        <f t="shared" si="79"/>
        <v>0</v>
      </c>
      <c r="AA181" s="1104" t="s">
        <v>1746</v>
      </c>
      <c r="AB181" s="1919">
        <f>ROUND(D185/(D151),0)</f>
        <v>340</v>
      </c>
      <c r="AI181" s="2023">
        <f>W181-'Blocking-Step2'!W181</f>
        <v>0</v>
      </c>
      <c r="AJ181" s="2054">
        <f>O181-'Blocking-Step2'!O181</f>
        <v>0</v>
      </c>
    </row>
    <row r="182" spans="1:36">
      <c r="A182" s="1900" t="s">
        <v>246</v>
      </c>
      <c r="C182" s="529">
        <f>'Table 2'!J16</f>
        <v>668834</v>
      </c>
      <c r="D182" s="529">
        <v>0</v>
      </c>
      <c r="H182" s="1030">
        <f>'Table 3'!F16</f>
        <v>85540</v>
      </c>
      <c r="I182" s="1030">
        <v>0</v>
      </c>
      <c r="Y182" s="1030">
        <v>0</v>
      </c>
      <c r="AA182" s="1104" t="s">
        <v>1747</v>
      </c>
      <c r="AB182" s="1919">
        <f>ROUND(SUM(D169:D171,(D181+D184)*4/12)/((D151)*4/12),0)</f>
        <v>318</v>
      </c>
      <c r="AI182" s="2023">
        <f>W182-'Blocking-Step2'!W182</f>
        <v>0</v>
      </c>
      <c r="AJ182" s="2054">
        <f>O182-'Blocking-Step2'!O182</f>
        <v>0</v>
      </c>
    </row>
    <row r="183" spans="1:36">
      <c r="A183" s="1900" t="s">
        <v>1240</v>
      </c>
      <c r="C183" s="584"/>
      <c r="D183" s="584"/>
      <c r="F183" s="1930">
        <v>-3.9100000000000003E-2</v>
      </c>
      <c r="G183" s="597"/>
      <c r="H183" s="1644">
        <f>SUM(H176:H178,H179:H181)*$F183</f>
        <v>-461262.93460000004</v>
      </c>
      <c r="I183" s="1644">
        <f>SUM(I176:I178,I179:I181)*$F183</f>
        <v>-560825.92340000009</v>
      </c>
      <c r="K183" s="1930"/>
      <c r="L183" s="597"/>
      <c r="M183" s="1930"/>
      <c r="N183" s="597"/>
      <c r="O183" s="1930" t="str">
        <f>$O$43</f>
        <v>Tax Year 1 (1/1/2021)</v>
      </c>
      <c r="P183" s="597"/>
      <c r="Q183" s="1930">
        <f>$Q$43</f>
        <v>-1.7000000000000001E-2</v>
      </c>
      <c r="R183" s="597"/>
      <c r="S183" s="1645"/>
      <c r="T183" s="1645"/>
      <c r="U183" s="1645"/>
      <c r="V183" s="1645"/>
      <c r="W183" s="1645"/>
      <c r="X183" s="1645"/>
      <c r="Y183" s="1644">
        <f>Q183*SUM(Y169:Y173,Y181)</f>
        <v>-237920.35500000001</v>
      </c>
      <c r="AA183" s="1104" t="s">
        <v>1748</v>
      </c>
      <c r="AB183" s="1919">
        <f>ROUND(SUM(D172:D173,(D181+D184)*8/12)/((D151)*8/12),0)</f>
        <v>351</v>
      </c>
      <c r="AI183" s="2023">
        <f>W183-'Blocking-Step2'!W183</f>
        <v>0</v>
      </c>
      <c r="AJ183" s="2054">
        <f>O183-'Blocking-Step2'!O183</f>
        <v>0</v>
      </c>
    </row>
    <row r="184" spans="1:36">
      <c r="A184" s="1116" t="s">
        <v>1317</v>
      </c>
      <c r="C184" s="584">
        <f>'123'!AX19</f>
        <v>0</v>
      </c>
      <c r="D184" s="528">
        <f>ROUND(C184/($C$185-$C$182)*$D$185,0)</f>
        <v>0</v>
      </c>
      <c r="F184" s="1930"/>
      <c r="G184" s="597"/>
      <c r="H184" s="1644"/>
      <c r="I184" s="1644"/>
      <c r="K184" s="1930"/>
      <c r="L184" s="597"/>
      <c r="M184" s="1930"/>
      <c r="N184" s="597"/>
      <c r="O184" s="1930">
        <f>$O$44</f>
        <v>0</v>
      </c>
      <c r="P184" s="597"/>
      <c r="Q184" s="1930">
        <f>$Q$44</f>
        <v>0</v>
      </c>
      <c r="R184" s="597"/>
      <c r="S184" s="1645"/>
      <c r="T184" s="1645"/>
      <c r="U184" s="1645"/>
      <c r="V184" s="1645"/>
      <c r="W184" s="1645"/>
      <c r="X184" s="1645"/>
      <c r="Y184" s="1644">
        <f>Q184*SUM(Y169:Y173,Y181)</f>
        <v>0</v>
      </c>
      <c r="AI184" s="2023">
        <f>W184-'Blocking-Step2'!W184</f>
        <v>0</v>
      </c>
      <c r="AJ184" s="2054">
        <f>O184-'Blocking-Step2'!O184</f>
        <v>0</v>
      </c>
    </row>
    <row r="185" spans="1:36" ht="16.5" thickBot="1">
      <c r="A185" s="1900" t="s">
        <v>247</v>
      </c>
      <c r="C185" s="1934">
        <f>SUM(C176:C181,C182)</f>
        <v>117960536.02120556</v>
      </c>
      <c r="D185" s="1934">
        <f>Energy!P17+Energy!P19</f>
        <v>142334245.89459866</v>
      </c>
      <c r="F185" s="1939"/>
      <c r="H185" s="1647">
        <f>SUM(H152:H183)</f>
        <v>13909632.065400001</v>
      </c>
      <c r="I185" s="1647">
        <f>SUM(I152:I183)</f>
        <v>16685304.0766</v>
      </c>
      <c r="K185" s="1939"/>
      <c r="M185" s="1939"/>
      <c r="O185" s="1939"/>
      <c r="Q185" s="1939"/>
      <c r="S185" s="1646">
        <f>SUM(S153:S182)</f>
        <v>10319246</v>
      </c>
      <c r="U185" s="1646">
        <f>SUM(U153:U182)</f>
        <v>5195985</v>
      </c>
      <c r="W185" s="1646">
        <f>SUM(W153:W182)</f>
        <v>2616197</v>
      </c>
      <c r="Y185" s="1646">
        <f>SUM(Y153:Y182)</f>
        <v>18131430</v>
      </c>
      <c r="AA185" s="1104" t="s">
        <v>1743</v>
      </c>
      <c r="AB185" s="1890">
        <f>Y185/I185-1</f>
        <v>8.6670636433176629E-2</v>
      </c>
      <c r="AI185" s="2023">
        <f>W185-'Blocking-Step2'!W185</f>
        <v>0</v>
      </c>
      <c r="AJ185" s="2054">
        <f>O185-'Blocking-Step2'!O185</f>
        <v>0</v>
      </c>
    </row>
    <row r="186" spans="1:36" ht="16.5" thickTop="1">
      <c r="C186" s="528"/>
      <c r="D186" s="528"/>
      <c r="AI186" s="2023">
        <f>W186-'Blocking-Step2'!W186</f>
        <v>0</v>
      </c>
      <c r="AJ186" s="2054">
        <f>O186-'Blocking-Step2'!O186</f>
        <v>0</v>
      </c>
    </row>
    <row r="187" spans="1:36">
      <c r="A187" s="1897" t="s">
        <v>1290</v>
      </c>
      <c r="C187" s="528"/>
      <c r="D187" s="528"/>
      <c r="AI187" s="2023">
        <f>W187-'Blocking-Step2'!W187</f>
        <v>0</v>
      </c>
      <c r="AJ187" s="2054">
        <f>O187-'Blocking-Step2'!O187</f>
        <v>0</v>
      </c>
    </row>
    <row r="188" spans="1:36">
      <c r="A188" s="1900" t="s">
        <v>685</v>
      </c>
      <c r="C188" s="528">
        <f>'123'!F20</f>
        <v>56694.066666666578</v>
      </c>
      <c r="D188" s="528">
        <f>Bill!P23+Bill!P24+Bill!P25</f>
        <v>307354</v>
      </c>
      <c r="F188" s="1901"/>
      <c r="G188" s="1902"/>
      <c r="H188" s="1644"/>
      <c r="I188" s="1644"/>
      <c r="K188" s="1901"/>
      <c r="L188" s="1902"/>
      <c r="M188" s="1901"/>
      <c r="N188" s="1902"/>
      <c r="O188" s="1901"/>
      <c r="P188" s="1902"/>
      <c r="Q188" s="1901"/>
      <c r="R188" s="1902"/>
      <c r="S188" s="1643"/>
      <c r="T188" s="1643"/>
      <c r="U188" s="1643"/>
      <c r="V188" s="1643"/>
      <c r="W188" s="1643"/>
      <c r="X188" s="1643"/>
      <c r="Y188" s="1644"/>
      <c r="AI188" s="2023">
        <f>W188-'Blocking-Step2'!W188</f>
        <v>0</v>
      </c>
      <c r="AJ188" s="2054">
        <f>O188-'Blocking-Step2'!O188</f>
        <v>0</v>
      </c>
    </row>
    <row r="189" spans="1:36">
      <c r="A189" s="1900" t="s">
        <v>683</v>
      </c>
      <c r="C189" s="528">
        <f>'123'!G20</f>
        <v>56694.066666666578</v>
      </c>
      <c r="D189" s="528">
        <f>ROUND(C189/$C$188*$D$188,0)</f>
        <v>307354</v>
      </c>
      <c r="F189" s="1901">
        <v>6</v>
      </c>
      <c r="G189" s="1902"/>
      <c r="H189" s="1644">
        <f t="shared" ref="H189:I203" si="80">ROUND($F189*C189,0)</f>
        <v>340164</v>
      </c>
      <c r="I189" s="1644">
        <f t="shared" si="80"/>
        <v>1844124</v>
      </c>
      <c r="K189" s="1901"/>
      <c r="L189" s="1902"/>
      <c r="M189" s="1901"/>
      <c r="N189" s="1902"/>
      <c r="O189" s="1901"/>
      <c r="P189" s="1902"/>
      <c r="Q189" s="1901"/>
      <c r="R189" s="1902"/>
      <c r="S189" s="1643"/>
      <c r="T189" s="1643"/>
      <c r="U189" s="1643"/>
      <c r="V189" s="1643"/>
      <c r="W189" s="1643"/>
      <c r="X189" s="1643"/>
      <c r="Y189" s="1644"/>
      <c r="AI189" s="2023">
        <f>W189-'Blocking-Step2'!W189</f>
        <v>0</v>
      </c>
      <c r="AJ189" s="2054">
        <f>O189-'Blocking-Step2'!O189</f>
        <v>0</v>
      </c>
    </row>
    <row r="190" spans="1:36">
      <c r="A190" s="1900" t="s">
        <v>1581</v>
      </c>
      <c r="C190" s="528">
        <f>C189-C191</f>
        <v>56003.233333333243</v>
      </c>
      <c r="D190" s="528">
        <f>D189-D191</f>
        <v>303609</v>
      </c>
      <c r="F190" s="1901"/>
      <c r="G190" s="1902"/>
      <c r="H190" s="1644"/>
      <c r="I190" s="1644"/>
      <c r="K190" s="1901">
        <f>K13</f>
        <v>10</v>
      </c>
      <c r="L190" s="1902"/>
      <c r="M190" s="1901">
        <f>M13</f>
        <v>0</v>
      </c>
      <c r="N190" s="1902"/>
      <c r="O190" s="1901">
        <f>O13</f>
        <v>0</v>
      </c>
      <c r="P190" s="1902"/>
      <c r="Q190" s="1901">
        <f>Q13</f>
        <v>10</v>
      </c>
      <c r="R190" s="1902"/>
      <c r="S190" s="1644">
        <f>ROUND($D190*K190,0)</f>
        <v>3036090</v>
      </c>
      <c r="T190" s="1643"/>
      <c r="U190" s="1644">
        <f>ROUND($D190*M190,0)</f>
        <v>0</v>
      </c>
      <c r="V190" s="1643"/>
      <c r="W190" s="1644">
        <f>ROUND($D190*O190,0)</f>
        <v>0</v>
      </c>
      <c r="X190" s="1643"/>
      <c r="Y190" s="1644">
        <f>ROUND($D190*Q190,0)</f>
        <v>3036090</v>
      </c>
      <c r="AI190" s="2023">
        <f>W190-'Blocking-Step2'!W190</f>
        <v>0</v>
      </c>
      <c r="AJ190" s="2054">
        <f>O190-'Blocking-Step2'!O190</f>
        <v>0</v>
      </c>
    </row>
    <row r="191" spans="1:36">
      <c r="A191" s="1900" t="s">
        <v>1582</v>
      </c>
      <c r="C191" s="528">
        <f>'123'!AN20</f>
        <v>690.83333333333326</v>
      </c>
      <c r="D191" s="528">
        <f>ROUND(C191/C189*D189,0)</f>
        <v>3745</v>
      </c>
      <c r="F191" s="1901"/>
      <c r="G191" s="1902"/>
      <c r="H191" s="1644"/>
      <c r="I191" s="1644"/>
      <c r="K191" s="1901">
        <f>K14</f>
        <v>6</v>
      </c>
      <c r="L191" s="1902"/>
      <c r="M191" s="1901">
        <f>M14</f>
        <v>0</v>
      </c>
      <c r="N191" s="1902"/>
      <c r="O191" s="1901">
        <f>O14</f>
        <v>0</v>
      </c>
      <c r="P191" s="1902"/>
      <c r="Q191" s="1901">
        <f>Q14</f>
        <v>6</v>
      </c>
      <c r="R191" s="1902"/>
      <c r="S191" s="1644">
        <f>ROUND($D191*K191,0)</f>
        <v>22470</v>
      </c>
      <c r="T191" s="1643"/>
      <c r="U191" s="1644">
        <f>ROUND($D191*M191,0)</f>
        <v>0</v>
      </c>
      <c r="V191" s="1643"/>
      <c r="W191" s="1644">
        <f>ROUND($D191*O191,0)</f>
        <v>0</v>
      </c>
      <c r="X191" s="1643"/>
      <c r="Y191" s="1644">
        <f>ROUND($D191*Q191,0)</f>
        <v>22470</v>
      </c>
      <c r="AI191" s="2023">
        <f>W191-'Blocking-Step2'!W191</f>
        <v>0</v>
      </c>
      <c r="AJ191" s="2054">
        <f>O191-'Blocking-Step2'!O191</f>
        <v>0</v>
      </c>
    </row>
    <row r="192" spans="1:36">
      <c r="A192" s="1900" t="s">
        <v>684</v>
      </c>
      <c r="C192" s="528">
        <f>'123'!H20</f>
        <v>0</v>
      </c>
      <c r="D192" s="528">
        <f>D188-D189</f>
        <v>0</v>
      </c>
      <c r="F192" s="1901">
        <v>12</v>
      </c>
      <c r="G192" s="1902"/>
      <c r="H192" s="1644">
        <f t="shared" si="80"/>
        <v>0</v>
      </c>
      <c r="I192" s="1644">
        <f t="shared" si="80"/>
        <v>0</v>
      </c>
      <c r="K192" s="1901"/>
      <c r="L192" s="1902"/>
      <c r="M192" s="1901"/>
      <c r="N192" s="1902"/>
      <c r="O192" s="1901"/>
      <c r="P192" s="1902"/>
      <c r="Q192" s="1901"/>
      <c r="R192" s="1902"/>
      <c r="S192" s="1644"/>
      <c r="T192" s="1643"/>
      <c r="U192" s="1644"/>
      <c r="V192" s="1643"/>
      <c r="W192" s="1644"/>
      <c r="X192" s="1643"/>
      <c r="Y192" s="1644"/>
      <c r="AI192" s="2023">
        <f>W192-'Blocking-Step2'!W192</f>
        <v>0</v>
      </c>
      <c r="AJ192" s="2054">
        <f>O192-'Blocking-Step2'!O192</f>
        <v>0</v>
      </c>
    </row>
    <row r="193" spans="1:36">
      <c r="A193" s="1900" t="s">
        <v>1581</v>
      </c>
      <c r="C193" s="528">
        <f>C192-C194</f>
        <v>0</v>
      </c>
      <c r="D193" s="528"/>
      <c r="F193" s="1901"/>
      <c r="G193" s="1902"/>
      <c r="H193" s="1644"/>
      <c r="I193" s="1644"/>
      <c r="K193" s="1901">
        <f>K16</f>
        <v>20</v>
      </c>
      <c r="L193" s="1902"/>
      <c r="M193" s="1901">
        <f>M16</f>
        <v>0</v>
      </c>
      <c r="N193" s="1902"/>
      <c r="O193" s="1901">
        <f>O16</f>
        <v>0</v>
      </c>
      <c r="P193" s="1902"/>
      <c r="Q193" s="1901">
        <f>Q16</f>
        <v>20</v>
      </c>
      <c r="R193" s="1902"/>
      <c r="S193" s="1644">
        <f t="shared" ref="S193:S196" si="81">ROUND($D193*K193,0)</f>
        <v>0</v>
      </c>
      <c r="T193" s="1643"/>
      <c r="U193" s="1644">
        <f t="shared" ref="U193:Y196" si="82">ROUND($D193*M193,0)</f>
        <v>0</v>
      </c>
      <c r="V193" s="1643"/>
      <c r="W193" s="1644">
        <f t="shared" si="82"/>
        <v>0</v>
      </c>
      <c r="X193" s="1643"/>
      <c r="Y193" s="1644">
        <f t="shared" si="82"/>
        <v>0</v>
      </c>
      <c r="AI193" s="2023">
        <f>W193-'Blocking-Step2'!W193</f>
        <v>0</v>
      </c>
      <c r="AJ193" s="2054">
        <f>O193-'Blocking-Step2'!O193</f>
        <v>0</v>
      </c>
    </row>
    <row r="194" spans="1:36">
      <c r="A194" s="1900" t="s">
        <v>1582</v>
      </c>
      <c r="C194" s="528">
        <f>'123'!AO20</f>
        <v>0</v>
      </c>
      <c r="D194" s="528"/>
      <c r="F194" s="1901"/>
      <c r="G194" s="1902"/>
      <c r="H194" s="1644"/>
      <c r="I194" s="1644"/>
      <c r="K194" s="1901">
        <f>K17</f>
        <v>12</v>
      </c>
      <c r="L194" s="1902"/>
      <c r="M194" s="1901">
        <f>M17</f>
        <v>0</v>
      </c>
      <c r="N194" s="1902"/>
      <c r="O194" s="1901">
        <f>O17</f>
        <v>0</v>
      </c>
      <c r="P194" s="1902"/>
      <c r="Q194" s="1901">
        <f>Q17</f>
        <v>12</v>
      </c>
      <c r="R194" s="1902"/>
      <c r="S194" s="1644">
        <f t="shared" si="81"/>
        <v>0</v>
      </c>
      <c r="T194" s="1643"/>
      <c r="U194" s="1644">
        <f t="shared" si="82"/>
        <v>0</v>
      </c>
      <c r="V194" s="1643"/>
      <c r="W194" s="1644">
        <f t="shared" si="82"/>
        <v>0</v>
      </c>
      <c r="X194" s="1643"/>
      <c r="Y194" s="1644">
        <f t="shared" si="82"/>
        <v>0</v>
      </c>
      <c r="AI194" s="2023">
        <f>W194-'Blocking-Step2'!W194</f>
        <v>0</v>
      </c>
      <c r="AJ194" s="2054">
        <f>O194-'Blocking-Step2'!O194</f>
        <v>0</v>
      </c>
    </row>
    <row r="195" spans="1:36">
      <c r="A195" s="1900" t="s">
        <v>1236</v>
      </c>
      <c r="C195" s="528">
        <f>'123'!AE20</f>
        <v>303.69499999999999</v>
      </c>
      <c r="D195" s="528">
        <f t="shared" ref="D195:D203" si="83">ROUND(C195/$C$188*$D$188,0)</f>
        <v>1646</v>
      </c>
      <c r="F195" s="1901">
        <v>2</v>
      </c>
      <c r="G195" s="1902"/>
      <c r="H195" s="1644">
        <f t="shared" si="80"/>
        <v>607</v>
      </c>
      <c r="I195" s="1644">
        <f t="shared" si="80"/>
        <v>3292</v>
      </c>
      <c r="K195" s="1901">
        <f t="shared" ref="K195:K196" si="84">K18</f>
        <v>2</v>
      </c>
      <c r="L195" s="1902"/>
      <c r="M195" s="1901">
        <f t="shared" ref="M195:M196" si="85">M18</f>
        <v>0</v>
      </c>
      <c r="N195" s="1902"/>
      <c r="O195" s="1901">
        <f t="shared" ref="O195:O196" si="86">O18</f>
        <v>0</v>
      </c>
      <c r="P195" s="1902"/>
      <c r="Q195" s="1901">
        <f t="shared" ref="Q195:Q196" si="87">Q18</f>
        <v>2</v>
      </c>
      <c r="R195" s="1902"/>
      <c r="S195" s="1644">
        <f t="shared" si="81"/>
        <v>3292</v>
      </c>
      <c r="T195" s="1643"/>
      <c r="U195" s="1644">
        <f t="shared" si="82"/>
        <v>0</v>
      </c>
      <c r="V195" s="1643"/>
      <c r="W195" s="1644">
        <f t="shared" si="82"/>
        <v>0</v>
      </c>
      <c r="X195" s="1643"/>
      <c r="Y195" s="1644">
        <f t="shared" si="82"/>
        <v>3292</v>
      </c>
      <c r="AI195" s="2023">
        <f>W195-'Blocking-Step2'!W195</f>
        <v>0</v>
      </c>
      <c r="AJ195" s="2054">
        <f>O195-'Blocking-Step2'!O195</f>
        <v>0</v>
      </c>
    </row>
    <row r="196" spans="1:36">
      <c r="A196" s="1900" t="s">
        <v>1301</v>
      </c>
      <c r="C196" s="528">
        <f>'123'!AM20</f>
        <v>0</v>
      </c>
      <c r="D196" s="528">
        <f t="shared" si="83"/>
        <v>0</v>
      </c>
      <c r="F196" s="1901">
        <v>22</v>
      </c>
      <c r="G196" s="1902"/>
      <c r="H196" s="1644">
        <f t="shared" si="80"/>
        <v>0</v>
      </c>
      <c r="I196" s="1644">
        <f t="shared" si="80"/>
        <v>0</v>
      </c>
      <c r="K196" s="1901">
        <f t="shared" si="84"/>
        <v>22</v>
      </c>
      <c r="L196" s="1902"/>
      <c r="M196" s="1901">
        <f t="shared" si="85"/>
        <v>0</v>
      </c>
      <c r="N196" s="1902"/>
      <c r="O196" s="1901">
        <f t="shared" si="86"/>
        <v>0</v>
      </c>
      <c r="P196" s="1902"/>
      <c r="Q196" s="1901">
        <f t="shared" si="87"/>
        <v>22</v>
      </c>
      <c r="R196" s="1902"/>
      <c r="S196" s="1644">
        <f t="shared" si="81"/>
        <v>0</v>
      </c>
      <c r="T196" s="1643"/>
      <c r="U196" s="1644">
        <f t="shared" si="82"/>
        <v>0</v>
      </c>
      <c r="V196" s="1643"/>
      <c r="W196" s="1644">
        <f t="shared" si="82"/>
        <v>0</v>
      </c>
      <c r="X196" s="1643"/>
      <c r="Y196" s="1644">
        <f t="shared" si="82"/>
        <v>0</v>
      </c>
      <c r="AI196" s="2023">
        <f>W196-'Blocking-Step2'!W196</f>
        <v>0</v>
      </c>
      <c r="AJ196" s="2054">
        <f>O196-'Blocking-Step2'!O196</f>
        <v>0</v>
      </c>
    </row>
    <row r="197" spans="1:36">
      <c r="A197" s="1900" t="s">
        <v>243</v>
      </c>
      <c r="C197" s="528">
        <f>'123'!I20</f>
        <v>13201.804999999977</v>
      </c>
      <c r="D197" s="528">
        <f t="shared" si="83"/>
        <v>71571</v>
      </c>
      <c r="F197" s="1901">
        <v>8</v>
      </c>
      <c r="G197" s="1902"/>
      <c r="H197" s="1644">
        <f t="shared" si="80"/>
        <v>105614</v>
      </c>
      <c r="I197" s="1644">
        <f t="shared" si="80"/>
        <v>572568</v>
      </c>
      <c r="K197" s="1901"/>
      <c r="L197" s="1902"/>
      <c r="M197" s="1901"/>
      <c r="N197" s="1902"/>
      <c r="O197" s="1901"/>
      <c r="P197" s="1902"/>
      <c r="Q197" s="1901"/>
      <c r="R197" s="1902"/>
      <c r="S197" s="1644"/>
      <c r="T197" s="1643"/>
      <c r="U197" s="1644"/>
      <c r="V197" s="1643"/>
      <c r="W197" s="1644"/>
      <c r="X197" s="1643"/>
      <c r="Y197" s="1644"/>
      <c r="AI197" s="2023">
        <f>W197-'Blocking-Step2'!W197</f>
        <v>0</v>
      </c>
      <c r="AJ197" s="2054">
        <f>O197-'Blocking-Step2'!O197</f>
        <v>0</v>
      </c>
    </row>
    <row r="198" spans="1:36">
      <c r="A198" s="1900" t="s">
        <v>1581</v>
      </c>
      <c r="C198" s="528">
        <f>C197-C199</f>
        <v>13106.414999999977</v>
      </c>
      <c r="D198" s="528">
        <f>D197-D199</f>
        <v>71054</v>
      </c>
      <c r="F198" s="1901"/>
      <c r="G198" s="1902"/>
      <c r="H198" s="1644"/>
      <c r="I198" s="1644"/>
      <c r="K198" s="1901"/>
      <c r="L198" s="1902"/>
      <c r="M198" s="1901"/>
      <c r="N198" s="1902"/>
      <c r="O198" s="1901"/>
      <c r="P198" s="1902"/>
      <c r="Q198" s="1901"/>
      <c r="R198" s="1902"/>
      <c r="S198" s="1644"/>
      <c r="T198" s="1643"/>
      <c r="U198" s="1644"/>
      <c r="V198" s="1643"/>
      <c r="W198" s="1644"/>
      <c r="X198" s="1643"/>
      <c r="Y198" s="1644"/>
      <c r="AI198" s="2023">
        <f>W198-'Blocking-Step2'!W198</f>
        <v>0</v>
      </c>
      <c r="AJ198" s="2054">
        <f>O198-'Blocking-Step2'!O198</f>
        <v>0</v>
      </c>
    </row>
    <row r="199" spans="1:36">
      <c r="A199" s="1900" t="s">
        <v>1582</v>
      </c>
      <c r="C199" s="528">
        <f>'123'!AP20</f>
        <v>95.39</v>
      </c>
      <c r="D199" s="528">
        <f>ROUND(C199/C197*D197,0)</f>
        <v>517</v>
      </c>
      <c r="F199" s="1901"/>
      <c r="G199" s="1902"/>
      <c r="H199" s="1644"/>
      <c r="I199" s="1644"/>
      <c r="K199" s="1901"/>
      <c r="L199" s="1902"/>
      <c r="M199" s="1901"/>
      <c r="N199" s="1902"/>
      <c r="O199" s="1901"/>
      <c r="P199" s="1902"/>
      <c r="Q199" s="1901"/>
      <c r="R199" s="1902"/>
      <c r="S199" s="1644"/>
      <c r="T199" s="1643"/>
      <c r="U199" s="1644"/>
      <c r="V199" s="1643"/>
      <c r="W199" s="1644"/>
      <c r="X199" s="1643"/>
      <c r="Y199" s="1644"/>
      <c r="AI199" s="2023">
        <f>W199-'Blocking-Step2'!W199</f>
        <v>0</v>
      </c>
      <c r="AJ199" s="2054">
        <f>O199-'Blocking-Step2'!O199</f>
        <v>0</v>
      </c>
    </row>
    <row r="200" spans="1:36" s="596" customFormat="1">
      <c r="A200" s="1900" t="s">
        <v>244</v>
      </c>
      <c r="B200" s="1869"/>
      <c r="C200" s="528">
        <f>'123'!J20</f>
        <v>0</v>
      </c>
      <c r="D200" s="528">
        <f t="shared" si="83"/>
        <v>0</v>
      </c>
      <c r="F200" s="1901">
        <v>16</v>
      </c>
      <c r="G200" s="1902"/>
      <c r="H200" s="1644">
        <f t="shared" si="80"/>
        <v>0</v>
      </c>
      <c r="I200" s="1644">
        <f t="shared" si="80"/>
        <v>0</v>
      </c>
      <c r="K200" s="1901"/>
      <c r="L200" s="1902"/>
      <c r="M200" s="1901"/>
      <c r="N200" s="1902"/>
      <c r="O200" s="1901"/>
      <c r="P200" s="1902"/>
      <c r="Q200" s="1901"/>
      <c r="R200" s="1902"/>
      <c r="S200" s="1644"/>
      <c r="T200" s="1643"/>
      <c r="U200" s="1644"/>
      <c r="V200" s="1643"/>
      <c r="W200" s="1644"/>
      <c r="X200" s="1643"/>
      <c r="Y200" s="1644"/>
      <c r="Z200" s="1936"/>
      <c r="AI200" s="2023">
        <f>W200-'Blocking-Step2'!W200</f>
        <v>0</v>
      </c>
      <c r="AJ200" s="2054">
        <f>O200-'Blocking-Step2'!O200</f>
        <v>0</v>
      </c>
    </row>
    <row r="201" spans="1:36">
      <c r="A201" s="1900" t="s">
        <v>1581</v>
      </c>
      <c r="C201" s="528">
        <f>C200-C202</f>
        <v>0</v>
      </c>
      <c r="D201" s="528"/>
      <c r="F201" s="1901"/>
      <c r="G201" s="1902"/>
      <c r="H201" s="1644"/>
      <c r="I201" s="1644"/>
      <c r="K201" s="1901"/>
      <c r="L201" s="1902"/>
      <c r="M201" s="1901"/>
      <c r="N201" s="1902"/>
      <c r="O201" s="1901"/>
      <c r="P201" s="1902"/>
      <c r="Q201" s="1901"/>
      <c r="R201" s="1902"/>
      <c r="S201" s="1644"/>
      <c r="T201" s="1643"/>
      <c r="U201" s="1644"/>
      <c r="V201" s="1643"/>
      <c r="W201" s="1644"/>
      <c r="X201" s="1643"/>
      <c r="Y201" s="1644"/>
      <c r="AI201" s="2023">
        <f>W201-'Blocking-Step2'!W201</f>
        <v>0</v>
      </c>
      <c r="AJ201" s="2054">
        <f>O201-'Blocking-Step2'!O201</f>
        <v>0</v>
      </c>
    </row>
    <row r="202" spans="1:36">
      <c r="A202" s="1900" t="s">
        <v>1582</v>
      </c>
      <c r="C202" s="528">
        <f>'123'!AQ20</f>
        <v>0</v>
      </c>
      <c r="D202" s="528"/>
      <c r="F202" s="1901"/>
      <c r="G202" s="1902"/>
      <c r="H202" s="1644"/>
      <c r="I202" s="1644"/>
      <c r="K202" s="1901"/>
      <c r="L202" s="1902"/>
      <c r="M202" s="1901"/>
      <c r="N202" s="1902"/>
      <c r="O202" s="1901"/>
      <c r="P202" s="1902"/>
      <c r="Q202" s="1901"/>
      <c r="R202" s="1902"/>
      <c r="S202" s="1644"/>
      <c r="T202" s="1643"/>
      <c r="U202" s="1644"/>
      <c r="V202" s="1643"/>
      <c r="W202" s="1644"/>
      <c r="X202" s="1643"/>
      <c r="Y202" s="1644"/>
      <c r="AI202" s="2023">
        <f>W202-'Blocking-Step2'!W202</f>
        <v>0</v>
      </c>
      <c r="AJ202" s="2054">
        <f>O202-'Blocking-Step2'!O202</f>
        <v>0</v>
      </c>
    </row>
    <row r="203" spans="1:36" s="596" customFormat="1">
      <c r="A203" s="1900" t="s">
        <v>245</v>
      </c>
      <c r="B203" s="1869"/>
      <c r="C203" s="528">
        <f>'123'!AL20</f>
        <v>0</v>
      </c>
      <c r="D203" s="528">
        <f t="shared" si="83"/>
        <v>0</v>
      </c>
      <c r="F203" s="1901">
        <v>96</v>
      </c>
      <c r="G203" s="1902"/>
      <c r="H203" s="1644">
        <f t="shared" si="80"/>
        <v>0</v>
      </c>
      <c r="I203" s="1644">
        <f t="shared" si="80"/>
        <v>0</v>
      </c>
      <c r="K203" s="1901"/>
      <c r="L203" s="1902"/>
      <c r="M203" s="1901"/>
      <c r="N203" s="1902"/>
      <c r="O203" s="1901"/>
      <c r="P203" s="1902"/>
      <c r="Q203" s="1901"/>
      <c r="R203" s="1902"/>
      <c r="S203" s="1644"/>
      <c r="T203" s="1643"/>
      <c r="U203" s="1644"/>
      <c r="V203" s="1643"/>
      <c r="W203" s="1644"/>
      <c r="X203" s="1643"/>
      <c r="Y203" s="1644"/>
      <c r="Z203" s="1936"/>
      <c r="AA203" s="1104"/>
      <c r="AB203" s="1919"/>
      <c r="AI203" s="2023">
        <f>W203-'Blocking-Step2'!W203</f>
        <v>0</v>
      </c>
      <c r="AJ203" s="2054">
        <f>O203-'Blocking-Step2'!O203</f>
        <v>0</v>
      </c>
    </row>
    <row r="204" spans="1:36">
      <c r="A204" s="1900" t="s">
        <v>1532</v>
      </c>
      <c r="C204" s="528">
        <f>'123'!S20+'123May'!J20</f>
        <v>1101.0139275766016</v>
      </c>
      <c r="D204" s="528">
        <f>ROUND(C204/SUM($C$206:$C$208)*((Energy!$S$23+Energy!$S$24+Energy!$S$25)*(1-1/(Energy!$P$23+Energy!$P$24+Energy!$P$25)*($D$218+$D$221))),0)</f>
        <v>5690</v>
      </c>
      <c r="F204" s="1920"/>
      <c r="G204" s="1921"/>
      <c r="H204" s="1644"/>
      <c r="I204" s="1644"/>
      <c r="K204" s="1920">
        <f>K27</f>
        <v>0</v>
      </c>
      <c r="L204" s="1921" t="s">
        <v>495</v>
      </c>
      <c r="M204" s="1920">
        <f>M27</f>
        <v>0</v>
      </c>
      <c r="N204" s="1921" t="s">
        <v>495</v>
      </c>
      <c r="O204" s="1920">
        <f>O27</f>
        <v>4.3559999999999999</v>
      </c>
      <c r="P204" s="1921" t="s">
        <v>495</v>
      </c>
      <c r="Q204" s="1920">
        <f t="shared" ref="Q204:Q210" si="88">Q27</f>
        <v>4.3559999999999999</v>
      </c>
      <c r="R204" s="1921" t="s">
        <v>495</v>
      </c>
      <c r="S204" s="1644">
        <f>ROUND($D204*K204/100,0)</f>
        <v>0</v>
      </c>
      <c r="T204" s="1656"/>
      <c r="U204" s="1644">
        <f>ROUND($D204*M204/100,0)</f>
        <v>0</v>
      </c>
      <c r="V204" s="1656"/>
      <c r="W204" s="1644">
        <f>ROUND($D204*O204/100,0)</f>
        <v>248</v>
      </c>
      <c r="X204" s="1648"/>
      <c r="Y204" s="1644">
        <f>ROUND($D204*Q204/100,0)</f>
        <v>248</v>
      </c>
      <c r="AA204" s="1104"/>
      <c r="AB204" s="1919"/>
      <c r="AI204" s="2023">
        <f>W204-'Blocking-Step2'!W204</f>
        <v>0</v>
      </c>
      <c r="AJ204" s="2054">
        <f>O204-'Blocking-Step2'!O204</f>
        <v>0</v>
      </c>
    </row>
    <row r="205" spans="1:36">
      <c r="A205" s="1900" t="s">
        <v>1533</v>
      </c>
      <c r="C205" s="528">
        <f>'123'!T20+'123May'!K20</f>
        <v>6841.8412256267411</v>
      </c>
      <c r="D205" s="528">
        <f>ROUND(C205/SUM($C$206:$C$208)*((Energy!$S$23+Energy!$S$24+Energy!$S$25)*(1-1/(Energy!$P$23+Energy!$P$24+Energy!$P$25)*($D$218+$D$221))),0)</f>
        <v>35358</v>
      </c>
      <c r="F205" s="1920"/>
      <c r="G205" s="1921"/>
      <c r="H205" s="1644"/>
      <c r="I205" s="1644"/>
      <c r="K205" s="1920">
        <f t="shared" ref="K205:K210" si="89">K28</f>
        <v>0</v>
      </c>
      <c r="L205" s="1921" t="s">
        <v>495</v>
      </c>
      <c r="M205" s="1920">
        <f t="shared" ref="M205:M210" si="90">M28</f>
        <v>0</v>
      </c>
      <c r="N205" s="1921" t="s">
        <v>495</v>
      </c>
      <c r="O205" s="1920">
        <f t="shared" ref="O205:O210" si="91">O28</f>
        <v>-1.6334</v>
      </c>
      <c r="P205" s="1921" t="s">
        <v>495</v>
      </c>
      <c r="Q205" s="1920">
        <f t="shared" si="88"/>
        <v>-1.6334</v>
      </c>
      <c r="R205" s="1921" t="s">
        <v>495</v>
      </c>
      <c r="S205" s="1644">
        <f>ROUND($D205*K205/100,0)</f>
        <v>0</v>
      </c>
      <c r="T205" s="1656"/>
      <c r="U205" s="1644">
        <f>ROUND($D205*M205/100,0)</f>
        <v>0</v>
      </c>
      <c r="V205" s="1656"/>
      <c r="W205" s="1644">
        <f>ROUND($D205*O205/100,0)</f>
        <v>-578</v>
      </c>
      <c r="X205" s="1648"/>
      <c r="Y205" s="1644">
        <f>ROUND($D205*Q205/100,0)</f>
        <v>-578</v>
      </c>
      <c r="AA205" s="1104"/>
      <c r="AB205" s="1919"/>
      <c r="AI205" s="2023">
        <f>W205-'Blocking-Step2'!W205</f>
        <v>0</v>
      </c>
      <c r="AJ205" s="2054">
        <f>O205-'Blocking-Step2'!O205</f>
        <v>0</v>
      </c>
    </row>
    <row r="206" spans="1:36">
      <c r="A206" s="1900" t="s">
        <v>1534</v>
      </c>
      <c r="C206" s="584">
        <f>'123'!P20+TempRevMay!M309+'123May'!G20+'123May'!Q20</f>
        <v>7489143.5454950463</v>
      </c>
      <c r="D206" s="528">
        <f>D222-SUM(D207:D210,D218:D221)</f>
        <v>38703048.189910412</v>
      </c>
      <c r="F206" s="1926"/>
      <c r="G206" s="1921"/>
      <c r="H206" s="1644"/>
      <c r="I206" s="1644"/>
      <c r="K206" s="1926">
        <f t="shared" si="89"/>
        <v>4.3437999999999999</v>
      </c>
      <c r="L206" s="1921" t="s">
        <v>495</v>
      </c>
      <c r="M206" s="1926">
        <f t="shared" si="90"/>
        <v>3.6385809960970961</v>
      </c>
      <c r="N206" s="1921" t="s">
        <v>495</v>
      </c>
      <c r="O206" s="1926">
        <f t="shared" si="91"/>
        <v>1.3645863008434289</v>
      </c>
      <c r="P206" s="1921" t="s">
        <v>495</v>
      </c>
      <c r="Q206" s="1926">
        <f t="shared" si="88"/>
        <v>9.3469672969405249</v>
      </c>
      <c r="R206" s="1921" t="s">
        <v>495</v>
      </c>
      <c r="S206" s="1644">
        <f t="shared" ref="S206:S210" si="92">ROUND($D206*K206/100,0)</f>
        <v>1681183</v>
      </c>
      <c r="T206" s="1656"/>
      <c r="U206" s="1644">
        <f t="shared" ref="U206:Y210" si="93">ROUND($D206*M206/100,0)</f>
        <v>1408242</v>
      </c>
      <c r="V206" s="1656"/>
      <c r="W206" s="1644">
        <f t="shared" si="93"/>
        <v>528136</v>
      </c>
      <c r="X206" s="1648"/>
      <c r="Y206" s="1644">
        <f t="shared" si="93"/>
        <v>3617561</v>
      </c>
      <c r="AI206" s="2023">
        <f>W206-'Blocking-Step2'!W206</f>
        <v>0</v>
      </c>
      <c r="AJ206" s="2054">
        <f>O206-'Blocking-Step2'!O206</f>
        <v>0</v>
      </c>
    </row>
    <row r="207" spans="1:36">
      <c r="A207" s="1900" t="s">
        <v>1535</v>
      </c>
      <c r="C207" s="584">
        <f>'123'!Q20+TempRevMay!M310+'123May'!H20+'123May'!R20</f>
        <v>5194029.4005090147</v>
      </c>
      <c r="D207" s="528">
        <f>ROUND(C207/SUM($C$206:$C$208)*((Energy!$S$23+Energy!$S$24+Energy!$S$25)*(1-1/(Energy!$P$23+Energy!$P$24+Energy!$P$25)*($D$218+$D$221))),0)</f>
        <v>26842157</v>
      </c>
      <c r="F207" s="1926"/>
      <c r="G207" s="1921"/>
      <c r="H207" s="1644"/>
      <c r="I207" s="1644"/>
      <c r="K207" s="1926">
        <f t="shared" si="89"/>
        <v>4.3437999999999999</v>
      </c>
      <c r="L207" s="1921" t="s">
        <v>495</v>
      </c>
      <c r="M207" s="1926">
        <f t="shared" si="90"/>
        <v>3.6385809960970956</v>
      </c>
      <c r="N207" s="1921" t="s">
        <v>495</v>
      </c>
      <c r="O207" s="1926">
        <f t="shared" si="91"/>
        <v>4.0576863008434287</v>
      </c>
      <c r="P207" s="1921" t="s">
        <v>495</v>
      </c>
      <c r="Q207" s="1926">
        <f t="shared" si="88"/>
        <v>12.040067296940524</v>
      </c>
      <c r="R207" s="1921" t="s">
        <v>495</v>
      </c>
      <c r="S207" s="1644">
        <f t="shared" si="92"/>
        <v>1165970</v>
      </c>
      <c r="T207" s="1656"/>
      <c r="U207" s="1644">
        <f t="shared" si="93"/>
        <v>976674</v>
      </c>
      <c r="V207" s="1656"/>
      <c r="W207" s="1644">
        <f t="shared" si="93"/>
        <v>1089171</v>
      </c>
      <c r="X207" s="1648"/>
      <c r="Y207" s="1644">
        <f t="shared" si="93"/>
        <v>3231814</v>
      </c>
      <c r="AI207" s="2023">
        <f>W207-'Blocking-Step2'!W207</f>
        <v>0</v>
      </c>
      <c r="AJ207" s="2054">
        <f>O207-'Blocking-Step2'!O207</f>
        <v>0</v>
      </c>
    </row>
    <row r="208" spans="1:36">
      <c r="A208" s="1900" t="s">
        <v>1536</v>
      </c>
      <c r="C208" s="584">
        <f>'123'!R20+TempRevMay!M311+'123May'!I20+'123May'!S20</f>
        <v>1470728.1321477473</v>
      </c>
      <c r="D208" s="528">
        <f>ROUND(C208/SUM($C$206:$C$208)*((Energy!$S$23+Energy!$S$24+Energy!$S$25)*(1-1/(Energy!$P$23+Energy!$P$24+Energy!$P$25)*($D$218+$D$221))),0)</f>
        <v>7600557</v>
      </c>
      <c r="F208" s="1926"/>
      <c r="G208" s="1921"/>
      <c r="H208" s="1644"/>
      <c r="I208" s="1644"/>
      <c r="K208" s="1926">
        <f t="shared" si="89"/>
        <v>4.3437999999999999</v>
      </c>
      <c r="L208" s="1921" t="s">
        <v>495</v>
      </c>
      <c r="M208" s="1926">
        <f t="shared" si="90"/>
        <v>3.6385809960970956</v>
      </c>
      <c r="N208" s="1921" t="s">
        <v>495</v>
      </c>
      <c r="O208" s="1926">
        <f t="shared" si="91"/>
        <v>4.0576863008434287</v>
      </c>
      <c r="P208" s="1921" t="s">
        <v>495</v>
      </c>
      <c r="Q208" s="1926">
        <f t="shared" si="88"/>
        <v>12.040067296940524</v>
      </c>
      <c r="R208" s="1921" t="s">
        <v>495</v>
      </c>
      <c r="S208" s="1644">
        <f t="shared" si="92"/>
        <v>330153</v>
      </c>
      <c r="T208" s="1656"/>
      <c r="U208" s="1644">
        <f t="shared" si="93"/>
        <v>276552</v>
      </c>
      <c r="V208" s="1656"/>
      <c r="W208" s="1644">
        <f t="shared" si="93"/>
        <v>308407</v>
      </c>
      <c r="X208" s="1648"/>
      <c r="Y208" s="1644">
        <f t="shared" si="93"/>
        <v>915112</v>
      </c>
      <c r="AI208" s="2023">
        <f>W208-'Blocking-Step2'!W208</f>
        <v>0</v>
      </c>
      <c r="AJ208" s="2054">
        <f>O208-'Blocking-Step2'!O208</f>
        <v>0</v>
      </c>
    </row>
    <row r="209" spans="1:36">
      <c r="A209" s="1900" t="s">
        <v>1537</v>
      </c>
      <c r="B209" s="1925"/>
      <c r="C209" s="528">
        <f>'123'!M20+TempRevMay!M312+'123May'!D20+'123May'!T20</f>
        <v>12939891.563608348</v>
      </c>
      <c r="D209" s="528">
        <f>ROUND(C209/SUM($C$209:$C$210)*((Energy!$T$23+Energy!$T$24+Energy!$T$25)*(1-1/(Energy!$P$23+Energy!$P$24+Energy!$P$25)*($D$218+$D$221))),0)</f>
        <v>68555364</v>
      </c>
      <c r="E209" s="549"/>
      <c r="F209" s="1926"/>
      <c r="G209" s="1921"/>
      <c r="H209" s="1644"/>
      <c r="I209" s="1644"/>
      <c r="J209" s="549"/>
      <c r="K209" s="1926">
        <f t="shared" si="89"/>
        <v>4.3437999999999999</v>
      </c>
      <c r="L209" s="1921" t="s">
        <v>495</v>
      </c>
      <c r="M209" s="1926">
        <f t="shared" si="90"/>
        <v>3.6559663682280008</v>
      </c>
      <c r="N209" s="1921" t="s">
        <v>495</v>
      </c>
      <c r="O209" s="1926">
        <f t="shared" si="91"/>
        <v>0.27188610694099991</v>
      </c>
      <c r="P209" s="1921" t="s">
        <v>495</v>
      </c>
      <c r="Q209" s="1926">
        <f t="shared" si="88"/>
        <v>8.2716524751690006</v>
      </c>
      <c r="R209" s="1921" t="s">
        <v>495</v>
      </c>
      <c r="S209" s="1644">
        <f t="shared" si="92"/>
        <v>2977908</v>
      </c>
      <c r="T209" s="1656"/>
      <c r="U209" s="1644">
        <f t="shared" si="93"/>
        <v>2506361</v>
      </c>
      <c r="V209" s="1656"/>
      <c r="W209" s="1644">
        <f t="shared" si="93"/>
        <v>186393</v>
      </c>
      <c r="X209" s="1648"/>
      <c r="Y209" s="1644">
        <f t="shared" si="93"/>
        <v>5670661</v>
      </c>
      <c r="AI209" s="2023">
        <f>W209-'Blocking-Step2'!W209</f>
        <v>0</v>
      </c>
      <c r="AJ209" s="2054">
        <f>O209-'Blocking-Step2'!O209</f>
        <v>0</v>
      </c>
    </row>
    <row r="210" spans="1:36">
      <c r="A210" s="1900" t="s">
        <v>1538</v>
      </c>
      <c r="B210" s="1925"/>
      <c r="C210" s="528">
        <f>'123'!N20+TempRevMay!M313+'123May'!E20+'123May'!U20</f>
        <v>9646843.8093998432</v>
      </c>
      <c r="D210" s="528">
        <f>ROUND(C210/SUM($C$209:$C$210)*((Energy!$T$23+Energy!$T$24+Energy!$T$25)*(1-1/(Energy!$P$23+Energy!$P$24+Energy!$P$25)*($D$218+$D$221))),0)</f>
        <v>51108843</v>
      </c>
      <c r="E210" s="549"/>
      <c r="F210" s="1926"/>
      <c r="G210" s="1921"/>
      <c r="H210" s="1644"/>
      <c r="I210" s="1644"/>
      <c r="J210" s="549"/>
      <c r="K210" s="1926">
        <f t="shared" si="89"/>
        <v>4.3437999999999999</v>
      </c>
      <c r="L210" s="1921" t="s">
        <v>495</v>
      </c>
      <c r="M210" s="1926">
        <f t="shared" si="90"/>
        <v>3.6559663682280008</v>
      </c>
      <c r="N210" s="1921" t="s">
        <v>495</v>
      </c>
      <c r="O210" s="1926">
        <f t="shared" si="91"/>
        <v>2.6551604432239997</v>
      </c>
      <c r="P210" s="1921" t="s">
        <v>495</v>
      </c>
      <c r="Q210" s="1926">
        <f t="shared" si="88"/>
        <v>10.654926811452</v>
      </c>
      <c r="R210" s="1921" t="s">
        <v>495</v>
      </c>
      <c r="S210" s="1644">
        <f t="shared" si="92"/>
        <v>2220066</v>
      </c>
      <c r="T210" s="1656"/>
      <c r="U210" s="1644">
        <f t="shared" si="93"/>
        <v>1868522</v>
      </c>
      <c r="V210" s="1656"/>
      <c r="W210" s="1644">
        <f t="shared" si="93"/>
        <v>1357022</v>
      </c>
      <c r="X210" s="1648"/>
      <c r="Y210" s="1644">
        <f t="shared" si="93"/>
        <v>5445610</v>
      </c>
      <c r="AI210" s="2023">
        <f>W210-'Blocking-Step2'!W210</f>
        <v>0</v>
      </c>
      <c r="AJ210" s="2054">
        <f>O210-'Blocking-Step2'!O210</f>
        <v>0</v>
      </c>
    </row>
    <row r="211" spans="1:36">
      <c r="A211" s="1900" t="s">
        <v>188</v>
      </c>
      <c r="C211" s="528">
        <f>'123'!S20</f>
        <v>1261</v>
      </c>
      <c r="D211" s="528">
        <f>ROUND(C211/SUM($C$213:$C$215)*((Energy!$Q$23+Energy!$Q$24+Energy!$Q$25)*(1-1/(Energy!$P$23+Energy!$P$24+Energy!$P$25)*($D$218+$D$221))),0)</f>
        <v>6621</v>
      </c>
      <c r="F211" s="1920">
        <v>4.3559999999999999</v>
      </c>
      <c r="G211" s="1921" t="s">
        <v>495</v>
      </c>
      <c r="H211" s="1644">
        <f t="shared" ref="H211:I218" si="94">ROUND($F211*C211/100,0)</f>
        <v>55</v>
      </c>
      <c r="I211" s="1644">
        <f t="shared" si="94"/>
        <v>288</v>
      </c>
      <c r="K211" s="1920"/>
      <c r="L211" s="1921"/>
      <c r="M211" s="1920"/>
      <c r="N211" s="1921"/>
      <c r="O211" s="1920"/>
      <c r="P211" s="1921"/>
      <c r="Q211" s="1920"/>
      <c r="R211" s="1921"/>
      <c r="S211" s="1644"/>
      <c r="T211" s="1648"/>
      <c r="U211" s="1644"/>
      <c r="V211" s="1648"/>
      <c r="W211" s="1644"/>
      <c r="X211" s="1648"/>
      <c r="Y211" s="1644"/>
      <c r="AI211" s="2023">
        <f>W211-'Blocking-Step2'!W211</f>
        <v>0</v>
      </c>
      <c r="AJ211" s="2054">
        <f>O211-'Blocking-Step2'!O211</f>
        <v>0</v>
      </c>
    </row>
    <row r="212" spans="1:36">
      <c r="A212" s="1900" t="s">
        <v>189</v>
      </c>
      <c r="C212" s="528">
        <f>'123'!T20</f>
        <v>8120</v>
      </c>
      <c r="D212" s="528">
        <f>ROUND(C212/SUM($C$213:$C$215)*((Energy!$Q$23+Energy!$Q$24+Energy!$Q$25)*(1-1/(Energy!$P$23+Energy!$P$24+Energy!$P$25)*($D$218+$D$221))),0)</f>
        <v>42635</v>
      </c>
      <c r="F212" s="1920">
        <v>-1.6334</v>
      </c>
      <c r="G212" s="1921" t="s">
        <v>495</v>
      </c>
      <c r="H212" s="1644">
        <f t="shared" si="94"/>
        <v>-133</v>
      </c>
      <c r="I212" s="1644">
        <f t="shared" si="94"/>
        <v>-696</v>
      </c>
      <c r="K212" s="1920"/>
      <c r="L212" s="1921"/>
      <c r="M212" s="1920"/>
      <c r="N212" s="1921"/>
      <c r="O212" s="1920"/>
      <c r="P212" s="1921"/>
      <c r="Q212" s="1920"/>
      <c r="R212" s="1921"/>
      <c r="S212" s="1644"/>
      <c r="T212" s="1648"/>
      <c r="U212" s="1644"/>
      <c r="V212" s="1648"/>
      <c r="W212" s="1644"/>
      <c r="X212" s="1648"/>
      <c r="Y212" s="1644"/>
      <c r="AI212" s="2023">
        <f>W212-'Blocking-Step2'!W212</f>
        <v>0</v>
      </c>
      <c r="AJ212" s="2054">
        <f>O212-'Blocking-Step2'!O212</f>
        <v>0</v>
      </c>
    </row>
    <row r="213" spans="1:36">
      <c r="A213" s="1900" t="s">
        <v>241</v>
      </c>
      <c r="C213" s="584">
        <f>'123'!P20+TempRev!M309</f>
        <v>8940821.074906487</v>
      </c>
      <c r="D213" s="528">
        <f>D222-SUM(D214:D221)</f>
        <v>46944979.189910412</v>
      </c>
      <c r="F213" s="1926">
        <v>8.8498000000000001</v>
      </c>
      <c r="G213" s="1921" t="s">
        <v>495</v>
      </c>
      <c r="H213" s="1644">
        <f t="shared" si="94"/>
        <v>791245</v>
      </c>
      <c r="I213" s="1644">
        <f t="shared" si="94"/>
        <v>4154537</v>
      </c>
      <c r="K213" s="1926"/>
      <c r="L213" s="1921"/>
      <c r="M213" s="1926"/>
      <c r="N213" s="1921"/>
      <c r="O213" s="1926"/>
      <c r="P213" s="1921"/>
      <c r="Q213" s="1926"/>
      <c r="R213" s="1921"/>
      <c r="S213" s="1644"/>
      <c r="T213" s="1648"/>
      <c r="U213" s="1644"/>
      <c r="V213" s="1648"/>
      <c r="W213" s="1644"/>
      <c r="X213" s="1648"/>
      <c r="Y213" s="1644"/>
      <c r="AI213" s="2023">
        <f>W213-'Blocking-Step2'!W213</f>
        <v>0</v>
      </c>
      <c r="AJ213" s="2054">
        <f>O213-'Blocking-Step2'!O213</f>
        <v>0</v>
      </c>
    </row>
    <row r="214" spans="1:36">
      <c r="A214" s="1900" t="s">
        <v>242</v>
      </c>
      <c r="C214" s="584">
        <f>'123'!Q20+TempRev!M310</f>
        <v>5582947.6547998888</v>
      </c>
      <c r="D214" s="528">
        <f>ROUND(C214/SUM($C$213:$C$215)*((Energy!$Q$23+Energy!$Q$24+Energy!$Q$25)*(1-1/(Energy!$P$23+Energy!$P$24+Energy!$P$25)*($D$218+$D$221))),0)</f>
        <v>29314016</v>
      </c>
      <c r="F214" s="1926">
        <v>11.542899999999999</v>
      </c>
      <c r="G214" s="1921" t="s">
        <v>495</v>
      </c>
      <c r="H214" s="1644">
        <f t="shared" si="94"/>
        <v>644434</v>
      </c>
      <c r="I214" s="1644">
        <f t="shared" si="94"/>
        <v>3383688</v>
      </c>
      <c r="K214" s="1926"/>
      <c r="L214" s="1921"/>
      <c r="M214" s="1926"/>
      <c r="N214" s="1921"/>
      <c r="O214" s="1926"/>
      <c r="P214" s="1921"/>
      <c r="Q214" s="1926"/>
      <c r="R214" s="1921"/>
      <c r="S214" s="1644"/>
      <c r="T214" s="1648"/>
      <c r="U214" s="1644"/>
      <c r="V214" s="1648"/>
      <c r="W214" s="1644"/>
      <c r="X214" s="1648"/>
      <c r="Y214" s="1644"/>
      <c r="AI214" s="2023">
        <f>W214-'Blocking-Step2'!W214</f>
        <v>0</v>
      </c>
      <c r="AJ214" s="2054">
        <f>O214-'Blocking-Step2'!O214</f>
        <v>0</v>
      </c>
    </row>
    <row r="215" spans="1:36">
      <c r="A215" s="1900" t="s">
        <v>94</v>
      </c>
      <c r="C215" s="584">
        <f>'123'!R20+TempRev!M311</f>
        <v>1581971.162817372</v>
      </c>
      <c r="D215" s="528">
        <f>ROUND(C215/SUM($C$213:$C$215)*((Energy!$Q$23+Energy!$Q$24+Energy!$Q$25)*(1-1/(Energy!$P$23+Energy!$P$24+Energy!$P$25)*($D$218+$D$221))),0)</f>
        <v>8306352</v>
      </c>
      <c r="F215" s="1926">
        <v>14.450799999999999</v>
      </c>
      <c r="G215" s="1921" t="s">
        <v>495</v>
      </c>
      <c r="H215" s="1644">
        <f t="shared" si="94"/>
        <v>228607</v>
      </c>
      <c r="I215" s="1644">
        <f t="shared" si="94"/>
        <v>1200334</v>
      </c>
      <c r="K215" s="1926"/>
      <c r="L215" s="1921"/>
      <c r="M215" s="1926"/>
      <c r="N215" s="1921"/>
      <c r="O215" s="1926"/>
      <c r="P215" s="1921"/>
      <c r="Q215" s="1926"/>
      <c r="R215" s="1921"/>
      <c r="S215" s="1644"/>
      <c r="T215" s="1648"/>
      <c r="U215" s="1644"/>
      <c r="V215" s="1648"/>
      <c r="W215" s="1644"/>
      <c r="X215" s="1648"/>
      <c r="Y215" s="1644"/>
      <c r="AI215" s="2023">
        <f>W215-'Blocking-Step2'!W215</f>
        <v>0</v>
      </c>
      <c r="AJ215" s="2054">
        <f>O215-'Blocking-Step2'!O215</f>
        <v>0</v>
      </c>
    </row>
    <row r="216" spans="1:36">
      <c r="A216" s="1900" t="s">
        <v>1360</v>
      </c>
      <c r="B216" s="1925"/>
      <c r="C216" s="528">
        <f>'123'!M20+TempRev!M312</f>
        <v>11556636.628071776</v>
      </c>
      <c r="D216" s="528">
        <f>ROUND(C216/SUM($C$216:$C$217)*((Energy!$R$23+Energy!$R$24+Energy!$R$25)*(1-1/(Energy!$P$23+Energy!$P$24+Energy!$P$25)*($D$218+$D$221))),0)</f>
        <v>60622730</v>
      </c>
      <c r="E216" s="549"/>
      <c r="F216" s="1926">
        <v>8.8498000000000001</v>
      </c>
      <c r="G216" s="1921" t="s">
        <v>495</v>
      </c>
      <c r="H216" s="1644">
        <f t="shared" si="94"/>
        <v>1022739</v>
      </c>
      <c r="I216" s="1644">
        <f t="shared" si="94"/>
        <v>5364990</v>
      </c>
      <c r="J216" s="549"/>
      <c r="K216" s="1926"/>
      <c r="L216" s="1921"/>
      <c r="M216" s="1926"/>
      <c r="N216" s="1921"/>
      <c r="O216" s="1926"/>
      <c r="P216" s="1921"/>
      <c r="Q216" s="1926"/>
      <c r="R216" s="1921"/>
      <c r="S216" s="1644"/>
      <c r="T216" s="1648"/>
      <c r="U216" s="1644"/>
      <c r="V216" s="1648"/>
      <c r="W216" s="1644"/>
      <c r="X216" s="1648"/>
      <c r="Y216" s="1644"/>
      <c r="AI216" s="2023">
        <f>W216-'Blocking-Step2'!W216</f>
        <v>0</v>
      </c>
      <c r="AJ216" s="2054">
        <f>O216-'Blocking-Step2'!O216</f>
        <v>0</v>
      </c>
    </row>
    <row r="217" spans="1:36">
      <c r="A217" s="1900" t="s">
        <v>1361</v>
      </c>
      <c r="B217" s="1925"/>
      <c r="C217" s="528">
        <f>'123'!N20+TempRev!M313</f>
        <v>9078259.9305644762</v>
      </c>
      <c r="D217" s="528">
        <f>ROUND(C217/SUM($C$216:$C$217)*((Energy!$R$23+Energy!$R$24+Energy!$R$25)*(1-1/(Energy!$P$23+Energy!$P$24+Energy!$P$25)*($D$218+$D$221))),0)</f>
        <v>47621892</v>
      </c>
      <c r="E217" s="549"/>
      <c r="F217" s="1926">
        <v>10.7072</v>
      </c>
      <c r="G217" s="1921" t="s">
        <v>495</v>
      </c>
      <c r="H217" s="1644">
        <f t="shared" si="94"/>
        <v>972027</v>
      </c>
      <c r="I217" s="1644">
        <f t="shared" si="94"/>
        <v>5098971</v>
      </c>
      <c r="J217" s="549"/>
      <c r="K217" s="1926"/>
      <c r="L217" s="1921"/>
      <c r="M217" s="1926"/>
      <c r="N217" s="1921"/>
      <c r="O217" s="1926"/>
      <c r="P217" s="1921"/>
      <c r="Q217" s="1926"/>
      <c r="R217" s="1921"/>
      <c r="S217" s="1644"/>
      <c r="T217" s="1648"/>
      <c r="U217" s="1644"/>
      <c r="V217" s="1648"/>
      <c r="W217" s="1644"/>
      <c r="X217" s="1648"/>
      <c r="Y217" s="1644"/>
      <c r="AI217" s="2023">
        <f>W217-'Blocking-Step2'!W217</f>
        <v>0</v>
      </c>
      <c r="AJ217" s="2054">
        <f>O217-'Blocking-Step2'!O217</f>
        <v>0</v>
      </c>
    </row>
    <row r="218" spans="1:36">
      <c r="A218" s="1116" t="s">
        <v>1158</v>
      </c>
      <c r="B218" s="1928"/>
      <c r="C218" s="1024">
        <f>'123'!X20</f>
        <v>0</v>
      </c>
      <c r="D218" s="528">
        <f>ROUND(C218/($C$222-$C$219)*$D$222,0)</f>
        <v>0</v>
      </c>
      <c r="E218" s="804"/>
      <c r="F218" s="1927">
        <v>11.7033</v>
      </c>
      <c r="G218" s="1929" t="s">
        <v>495</v>
      </c>
      <c r="H218" s="1146">
        <f t="shared" si="94"/>
        <v>0</v>
      </c>
      <c r="I218" s="1146">
        <f t="shared" si="94"/>
        <v>0</v>
      </c>
      <c r="J218" s="804"/>
      <c r="K218" s="1926">
        <f t="shared" ref="K218" si="95">K41</f>
        <v>4.3437999999999999</v>
      </c>
      <c r="L218" s="1921" t="s">
        <v>495</v>
      </c>
      <c r="M218" s="1926">
        <f t="shared" ref="M218" si="96">M41</f>
        <v>7.7249999999999996</v>
      </c>
      <c r="N218" s="1921" t="s">
        <v>495</v>
      </c>
      <c r="O218" s="1926">
        <f t="shared" ref="O218" si="97">O41</f>
        <v>0</v>
      </c>
      <c r="P218" s="1921" t="s">
        <v>495</v>
      </c>
      <c r="Q218" s="1926">
        <f t="shared" ref="Q218" si="98">Q41</f>
        <v>12.0688</v>
      </c>
      <c r="R218" s="1921" t="s">
        <v>495</v>
      </c>
      <c r="S218" s="1644">
        <f t="shared" ref="S218" si="99">ROUND($D218*K218/100,0)</f>
        <v>0</v>
      </c>
      <c r="T218" s="1656"/>
      <c r="U218" s="1644">
        <f t="shared" ref="U218:Y218" si="100">ROUND($D218*M218/100,0)</f>
        <v>0</v>
      </c>
      <c r="V218" s="1656"/>
      <c r="W218" s="1644">
        <f t="shared" si="100"/>
        <v>0</v>
      </c>
      <c r="X218" s="1656"/>
      <c r="Y218" s="1644">
        <f t="shared" si="100"/>
        <v>0</v>
      </c>
      <c r="AA218" s="1104" t="s">
        <v>1746</v>
      </c>
      <c r="AB218" s="1919">
        <f>ROUND(D222/(D188),0)</f>
        <v>627</v>
      </c>
      <c r="AI218" s="2023">
        <f>W218-'Blocking-Step2'!W218</f>
        <v>0</v>
      </c>
      <c r="AJ218" s="2054">
        <f>O218-'Blocking-Step2'!O218</f>
        <v>0</v>
      </c>
    </row>
    <row r="219" spans="1:36">
      <c r="A219" s="1900" t="s">
        <v>246</v>
      </c>
      <c r="C219" s="529">
        <f>'Table 2'!J17</f>
        <v>209507</v>
      </c>
      <c r="D219" s="529">
        <v>0</v>
      </c>
      <c r="H219" s="1030">
        <f>'Table 3'!F17</f>
        <v>24549</v>
      </c>
      <c r="I219" s="1030">
        <v>0</v>
      </c>
      <c r="Y219" s="1030">
        <v>0</v>
      </c>
      <c r="AA219" s="1104" t="s">
        <v>1747</v>
      </c>
      <c r="AB219" s="1919">
        <f>ROUND(SUM(D206:D208,(D218+D221)*4/12)/((D188)*4/12),0)</f>
        <v>714</v>
      </c>
      <c r="AI219" s="2023">
        <f>W219-'Blocking-Step2'!W219</f>
        <v>0</v>
      </c>
      <c r="AJ219" s="2054">
        <f>O219-'Blocking-Step2'!O219</f>
        <v>0</v>
      </c>
    </row>
    <row r="220" spans="1:36">
      <c r="A220" s="1900" t="s">
        <v>1240</v>
      </c>
      <c r="C220" s="584"/>
      <c r="D220" s="584"/>
      <c r="F220" s="1930">
        <v>-3.9100000000000003E-2</v>
      </c>
      <c r="G220" s="597"/>
      <c r="H220" s="1644">
        <f>SUM(H213:H215,H216:H218)*$F220</f>
        <v>-143068.9332</v>
      </c>
      <c r="I220" s="1644">
        <f>SUM(I213:I215,I216:I218)*$F220</f>
        <v>-750818.53200000001</v>
      </c>
      <c r="K220" s="1930"/>
      <c r="L220" s="597"/>
      <c r="M220" s="1930"/>
      <c r="N220" s="597"/>
      <c r="O220" s="1930" t="str">
        <f>$O$43</f>
        <v>Tax Year 1 (1/1/2021)</v>
      </c>
      <c r="P220" s="597"/>
      <c r="Q220" s="1930">
        <f>$Q$43</f>
        <v>-1.7000000000000001E-2</v>
      </c>
      <c r="R220" s="597"/>
      <c r="S220" s="1645"/>
      <c r="T220" s="1645"/>
      <c r="U220" s="1645"/>
      <c r="V220" s="1645"/>
      <c r="W220" s="1645"/>
      <c r="X220" s="1645"/>
      <c r="Y220" s="1644">
        <f>Q220*SUM(Y206:Y210,Y218)</f>
        <v>-320972.886</v>
      </c>
      <c r="AA220" s="1104" t="s">
        <v>1748</v>
      </c>
      <c r="AB220" s="1919">
        <f>ROUND(SUM(D209:D210,(D218+D221)*8/12)/((D188)*8/12),0)</f>
        <v>584</v>
      </c>
      <c r="AI220" s="2023">
        <f>W220-'Blocking-Step2'!W220</f>
        <v>0</v>
      </c>
      <c r="AJ220" s="2054">
        <f>O220-'Blocking-Step2'!O220</f>
        <v>0</v>
      </c>
    </row>
    <row r="221" spans="1:36">
      <c r="A221" s="1116" t="s">
        <v>1317</v>
      </c>
      <c r="C221" s="584">
        <f>'123'!AX20</f>
        <v>0</v>
      </c>
      <c r="D221" s="528">
        <f>ROUND(C221/($C$222-$C$219)*$D$222,0)</f>
        <v>0</v>
      </c>
      <c r="F221" s="1930"/>
      <c r="G221" s="597"/>
      <c r="H221" s="1644"/>
      <c r="I221" s="1644"/>
      <c r="K221" s="1930"/>
      <c r="L221" s="597"/>
      <c r="M221" s="1930"/>
      <c r="N221" s="597"/>
      <c r="O221" s="1930">
        <f>$O$44</f>
        <v>0</v>
      </c>
      <c r="P221" s="597"/>
      <c r="Q221" s="1930">
        <f>$Q$44</f>
        <v>0</v>
      </c>
      <c r="R221" s="597"/>
      <c r="S221" s="1645"/>
      <c r="T221" s="1645"/>
      <c r="U221" s="1645"/>
      <c r="V221" s="1645"/>
      <c r="W221" s="1645"/>
      <c r="X221" s="1645"/>
      <c r="Y221" s="1644">
        <f>Q221*SUM(Y206:Y210,Y218)</f>
        <v>0</v>
      </c>
      <c r="AI221" s="2023">
        <f>W221-'Blocking-Step2'!W221</f>
        <v>0</v>
      </c>
      <c r="AJ221" s="2054">
        <f>O221-'Blocking-Step2'!O221</f>
        <v>0</v>
      </c>
    </row>
    <row r="222" spans="1:36" ht="16.5" thickBot="1">
      <c r="A222" s="1900" t="s">
        <v>247</v>
      </c>
      <c r="C222" s="1934">
        <f>SUM(C213:C218,C219)</f>
        <v>36950143.451159999</v>
      </c>
      <c r="D222" s="1934">
        <f>Energy!P23+Energy!P24+Energy!P25</f>
        <v>192809969.18991041</v>
      </c>
      <c r="F222" s="1939"/>
      <c r="H222" s="1647">
        <f>SUM(H189:H220)</f>
        <v>3986839.0668000001</v>
      </c>
      <c r="I222" s="1647">
        <f>SUM(I189:I220)</f>
        <v>20871277.467999998</v>
      </c>
      <c r="K222" s="1939"/>
      <c r="M222" s="1939"/>
      <c r="O222" s="1939"/>
      <c r="Q222" s="1939"/>
      <c r="S222" s="1646">
        <f>SUM(S190:S219)</f>
        <v>11437132</v>
      </c>
      <c r="U222" s="1646">
        <f>SUM(U190:U219)</f>
        <v>7036351</v>
      </c>
      <c r="W222" s="1646">
        <f>SUM(W190:W219)</f>
        <v>3468799</v>
      </c>
      <c r="Y222" s="1646">
        <f>SUM(Y190:Y219)</f>
        <v>21942280</v>
      </c>
      <c r="AA222" s="1104" t="s">
        <v>1743</v>
      </c>
      <c r="AB222" s="1890">
        <f>Y222/I222-1</f>
        <v>5.1314661196089739E-2</v>
      </c>
      <c r="AI222" s="2023">
        <f>W222-'Blocking-Step2'!W222</f>
        <v>0</v>
      </c>
      <c r="AJ222" s="2054">
        <f>O222-'Blocking-Step2'!O222</f>
        <v>0</v>
      </c>
    </row>
    <row r="223" spans="1:36" ht="16.5" thickTop="1">
      <c r="C223" s="528"/>
      <c r="D223" s="528"/>
      <c r="AI223" s="2023">
        <f>W223-'Blocking-Step2'!W223</f>
        <v>0</v>
      </c>
      <c r="AJ223" s="2054">
        <f>O223-'Blocking-Step2'!O223</f>
        <v>0</v>
      </c>
    </row>
    <row r="224" spans="1:36">
      <c r="A224" s="1897" t="s">
        <v>1914</v>
      </c>
      <c r="C224" s="528"/>
      <c r="D224" s="528"/>
      <c r="AI224" s="2023">
        <f>W224-'Blocking-Step2'!W224</f>
        <v>0</v>
      </c>
      <c r="AJ224" s="2054">
        <f>O224-'Blocking-Step2'!O224</f>
        <v>0</v>
      </c>
    </row>
    <row r="225" spans="1:36">
      <c r="A225" s="1900" t="s">
        <v>240</v>
      </c>
      <c r="C225" s="528">
        <f t="shared" ref="C225:D235" si="101">C261+C297+C333</f>
        <v>16269.966666649996</v>
      </c>
      <c r="D225" s="528">
        <f t="shared" si="101"/>
        <v>16184.594130320329</v>
      </c>
      <c r="F225" s="1901"/>
      <c r="G225" s="1902"/>
      <c r="H225" s="1644"/>
      <c r="I225" s="1644"/>
      <c r="K225" s="1901">
        <f>K969</f>
        <v>53</v>
      </c>
      <c r="L225" s="1902"/>
      <c r="M225" s="1901">
        <f>M969</f>
        <v>0</v>
      </c>
      <c r="N225" s="1902"/>
      <c r="O225" s="1901">
        <f>O969</f>
        <v>0</v>
      </c>
      <c r="P225" s="1902"/>
      <c r="Q225" s="1901">
        <f>Q969</f>
        <v>53</v>
      </c>
      <c r="R225" s="1902"/>
      <c r="S225" s="1644">
        <f>ROUND($D225*K225,0)</f>
        <v>857783</v>
      </c>
      <c r="T225" s="1643"/>
      <c r="U225" s="1644">
        <f>ROUND($D225*M225,0)</f>
        <v>0</v>
      </c>
      <c r="V225" s="1643"/>
      <c r="W225" s="1644">
        <f>ROUND($D225*O225,0)</f>
        <v>0</v>
      </c>
      <c r="X225" s="1643"/>
      <c r="Y225" s="1644">
        <f>ROUND($D225*Q225,0)</f>
        <v>857783</v>
      </c>
      <c r="AA225" s="1109"/>
      <c r="AB225" s="1114"/>
      <c r="AI225" s="2023">
        <f>W225-'Blocking-Step2'!W225</f>
        <v>0</v>
      </c>
      <c r="AJ225" s="2054">
        <f>O225-'Blocking-Step2'!O225</f>
        <v>0</v>
      </c>
    </row>
    <row r="226" spans="1:36">
      <c r="A226" s="1900" t="s">
        <v>1910</v>
      </c>
      <c r="C226" s="528">
        <f t="shared" si="101"/>
        <v>23610055.27722773</v>
      </c>
      <c r="D226" s="528">
        <f t="shared" si="101"/>
        <v>22837905.528605085</v>
      </c>
      <c r="E226" s="597"/>
      <c r="F226" s="1942"/>
      <c r="G226" s="1921"/>
      <c r="H226" s="1644"/>
      <c r="I226" s="1644"/>
      <c r="J226" s="597"/>
      <c r="K226" s="1942">
        <f>K961</f>
        <v>3.89</v>
      </c>
      <c r="L226" s="1921" t="s">
        <v>495</v>
      </c>
      <c r="M226" s="1942">
        <f>M961</f>
        <v>17.137528114911813</v>
      </c>
      <c r="N226" s="1921" t="s">
        <v>495</v>
      </c>
      <c r="O226" s="1942">
        <f>O961</f>
        <v>1.3496999999999999</v>
      </c>
      <c r="P226" s="1921" t="s">
        <v>495</v>
      </c>
      <c r="Q226" s="1942">
        <f>Q961</f>
        <v>22.377228114911812</v>
      </c>
      <c r="R226" s="1921" t="s">
        <v>495</v>
      </c>
      <c r="S226" s="1644">
        <f>ROUND($D226*K226/100,0)</f>
        <v>888395</v>
      </c>
      <c r="T226" s="1648"/>
      <c r="U226" s="1644">
        <f>ROUND($D226*M226/100,0)</f>
        <v>3913852</v>
      </c>
      <c r="V226" s="1648"/>
      <c r="W226" s="1644">
        <f>ROUND($D226*O226/100,0)</f>
        <v>308243</v>
      </c>
      <c r="X226" s="1648"/>
      <c r="Y226" s="1644">
        <f>ROUND($D226*Q226/100,0)</f>
        <v>5110490</v>
      </c>
      <c r="AA226" s="596"/>
      <c r="AB226" s="596"/>
      <c r="AI226" s="2023">
        <f>W226-'Blocking-Step2'!W226</f>
        <v>0</v>
      </c>
      <c r="AJ226" s="2054">
        <f>O226-'Blocking-Step2'!O226</f>
        <v>0</v>
      </c>
    </row>
    <row r="227" spans="1:36">
      <c r="A227" s="1900" t="s">
        <v>1911</v>
      </c>
      <c r="C227" s="528">
        <f t="shared" si="101"/>
        <v>54335608.722772263</v>
      </c>
      <c r="D227" s="528">
        <f t="shared" si="101"/>
        <v>52553411.422486275</v>
      </c>
      <c r="E227" s="597"/>
      <c r="F227" s="1942"/>
      <c r="G227" s="1921"/>
      <c r="H227" s="1644"/>
      <c r="I227" s="1644"/>
      <c r="J227" s="597"/>
      <c r="K227" s="1942">
        <f t="shared" ref="K227:K233" si="102">K962</f>
        <v>3.89</v>
      </c>
      <c r="L227" s="1921" t="s">
        <v>495</v>
      </c>
      <c r="M227" s="1942">
        <f t="shared" ref="M227:M233" si="103">M962</f>
        <v>-1.0877975226579997</v>
      </c>
      <c r="N227" s="1921" t="s">
        <v>495</v>
      </c>
      <c r="O227" s="1942">
        <f t="shared" ref="O227:O233" si="104">O962</f>
        <v>1.3496999999999999</v>
      </c>
      <c r="P227" s="1921" t="s">
        <v>495</v>
      </c>
      <c r="Q227" s="1942">
        <f t="shared" ref="Q227:Q233" si="105">Q962</f>
        <v>4.1519024773420004</v>
      </c>
      <c r="R227" s="1921" t="s">
        <v>495</v>
      </c>
      <c r="S227" s="1644">
        <f t="shared" ref="S227:S233" si="106">ROUND($D227*K227/100,0)</f>
        <v>2044328</v>
      </c>
      <c r="T227" s="1648"/>
      <c r="U227" s="1644">
        <f t="shared" ref="U227:U233" si="107">ROUND($D227*M227/100,0)</f>
        <v>-571675</v>
      </c>
      <c r="V227" s="1648"/>
      <c r="W227" s="1644">
        <f t="shared" ref="W227:Y233" si="108">ROUND($D227*O227/100,0)</f>
        <v>709313</v>
      </c>
      <c r="X227" s="1648"/>
      <c r="Y227" s="1644">
        <f t="shared" si="108"/>
        <v>2181966</v>
      </c>
      <c r="AA227" s="596"/>
      <c r="AB227" s="596"/>
      <c r="AI227" s="2023">
        <f>W227-'Blocking-Step2'!W227</f>
        <v>0</v>
      </c>
      <c r="AJ227" s="2054">
        <f>O227-'Blocking-Step2'!O227</f>
        <v>0</v>
      </c>
    </row>
    <row r="228" spans="1:36">
      <c r="A228" s="1900" t="s">
        <v>1912</v>
      </c>
      <c r="C228" s="528">
        <f t="shared" si="101"/>
        <v>41025677.646039605</v>
      </c>
      <c r="D228" s="528">
        <f t="shared" si="101"/>
        <v>39702141.256844603</v>
      </c>
      <c r="E228" s="597"/>
      <c r="F228" s="1942"/>
      <c r="G228" s="1921"/>
      <c r="H228" s="1644"/>
      <c r="I228" s="1644"/>
      <c r="J228" s="597"/>
      <c r="K228" s="1942">
        <f t="shared" si="102"/>
        <v>3.89</v>
      </c>
      <c r="L228" s="1921" t="s">
        <v>495</v>
      </c>
      <c r="M228" s="1942">
        <f t="shared" si="103"/>
        <v>14.718500000000001</v>
      </c>
      <c r="N228" s="1921" t="s">
        <v>495</v>
      </c>
      <c r="O228" s="1942">
        <f t="shared" si="104"/>
        <v>1.1943999999999999</v>
      </c>
      <c r="P228" s="1921" t="s">
        <v>495</v>
      </c>
      <c r="Q228" s="1942">
        <f t="shared" si="105"/>
        <v>19.802900000000001</v>
      </c>
      <c r="R228" s="1921" t="s">
        <v>495</v>
      </c>
      <c r="S228" s="1644">
        <f t="shared" si="106"/>
        <v>1544413</v>
      </c>
      <c r="T228" s="1648"/>
      <c r="U228" s="1644">
        <f t="shared" si="107"/>
        <v>5843560</v>
      </c>
      <c r="V228" s="1648"/>
      <c r="W228" s="1644">
        <f t="shared" si="108"/>
        <v>474202</v>
      </c>
      <c r="X228" s="1648"/>
      <c r="Y228" s="1644">
        <f t="shared" si="108"/>
        <v>7862175</v>
      </c>
      <c r="AA228" s="596"/>
      <c r="AB228" s="596"/>
      <c r="AI228" s="2023">
        <f>W228-'Blocking-Step2'!W228</f>
        <v>0</v>
      </c>
      <c r="AJ228" s="2054">
        <f>O228-'Blocking-Step2'!O228</f>
        <v>0</v>
      </c>
    </row>
    <row r="229" spans="1:36">
      <c r="A229" s="1900" t="s">
        <v>1913</v>
      </c>
      <c r="C229" s="528">
        <f t="shared" si="101"/>
        <v>96492343.853960425</v>
      </c>
      <c r="D229" s="528">
        <f t="shared" si="101"/>
        <v>93250801.351241559</v>
      </c>
      <c r="E229" s="597"/>
      <c r="F229" s="1942"/>
      <c r="G229" s="1921"/>
      <c r="H229" s="1644"/>
      <c r="I229" s="1644"/>
      <c r="J229" s="597"/>
      <c r="K229" s="1942">
        <f t="shared" si="102"/>
        <v>3.89</v>
      </c>
      <c r="L229" s="1921" t="s">
        <v>495</v>
      </c>
      <c r="M229" s="1942">
        <f t="shared" si="103"/>
        <v>-1.4102000000000001</v>
      </c>
      <c r="N229" s="1921" t="s">
        <v>495</v>
      </c>
      <c r="O229" s="1942">
        <f t="shared" si="104"/>
        <v>1.1943999999999999</v>
      </c>
      <c r="P229" s="1921" t="s">
        <v>495</v>
      </c>
      <c r="Q229" s="1942">
        <f t="shared" si="105"/>
        <v>3.6741999999999999</v>
      </c>
      <c r="R229" s="1921" t="s">
        <v>495</v>
      </c>
      <c r="S229" s="1644">
        <f t="shared" si="106"/>
        <v>3627456</v>
      </c>
      <c r="T229" s="1648"/>
      <c r="U229" s="1644">
        <f t="shared" si="107"/>
        <v>-1315023</v>
      </c>
      <c r="V229" s="1648"/>
      <c r="W229" s="1644">
        <f t="shared" si="108"/>
        <v>1113788</v>
      </c>
      <c r="X229" s="1648"/>
      <c r="Y229" s="1644">
        <f t="shared" si="108"/>
        <v>3426221</v>
      </c>
      <c r="AA229" s="596"/>
      <c r="AB229" s="596"/>
      <c r="AI229" s="2023">
        <f>W229-'Blocking-Step2'!W229</f>
        <v>0</v>
      </c>
      <c r="AJ229" s="2054">
        <f>O229-'Blocking-Step2'!O229</f>
        <v>0</v>
      </c>
    </row>
    <row r="230" spans="1:36">
      <c r="A230" s="1900" t="s">
        <v>1906</v>
      </c>
      <c r="C230" s="528">
        <f t="shared" si="101"/>
        <v>43287163.770088859</v>
      </c>
      <c r="D230" s="528">
        <f t="shared" si="101"/>
        <v>41868605.849641204</v>
      </c>
      <c r="E230" s="597"/>
      <c r="F230" s="1942"/>
      <c r="G230" s="1921"/>
      <c r="H230" s="1644"/>
      <c r="I230" s="1644"/>
      <c r="J230" s="597"/>
      <c r="K230" s="1942">
        <f t="shared" si="102"/>
        <v>0</v>
      </c>
      <c r="L230" s="1921" t="s">
        <v>495</v>
      </c>
      <c r="M230" s="1942">
        <f t="shared" si="103"/>
        <v>0</v>
      </c>
      <c r="N230" s="1921" t="s">
        <v>495</v>
      </c>
      <c r="O230" s="1942">
        <f t="shared" si="104"/>
        <v>6</v>
      </c>
      <c r="P230" s="1921" t="s">
        <v>495</v>
      </c>
      <c r="Q230" s="1942">
        <f t="shared" si="105"/>
        <v>6</v>
      </c>
      <c r="R230" s="1921" t="s">
        <v>495</v>
      </c>
      <c r="S230" s="1644">
        <f t="shared" si="106"/>
        <v>0</v>
      </c>
      <c r="T230" s="1648"/>
      <c r="U230" s="1644">
        <f t="shared" si="107"/>
        <v>0</v>
      </c>
      <c r="V230" s="1648"/>
      <c r="W230" s="1644">
        <f t="shared" si="108"/>
        <v>2512116</v>
      </c>
      <c r="X230" s="1648"/>
      <c r="Y230" s="1644">
        <f t="shared" si="108"/>
        <v>2512116</v>
      </c>
      <c r="AA230" s="596"/>
      <c r="AB230" s="596"/>
      <c r="AI230" s="2023">
        <f>W230-'Blocking-Step2'!W230</f>
        <v>0</v>
      </c>
      <c r="AJ230" s="2054">
        <f>O230-'Blocking-Step2'!O230</f>
        <v>0</v>
      </c>
    </row>
    <row r="231" spans="1:36">
      <c r="A231" s="1900" t="s">
        <v>1907</v>
      </c>
      <c r="C231" s="528">
        <f t="shared" si="101"/>
        <v>34658500.229911141</v>
      </c>
      <c r="D231" s="528">
        <f t="shared" si="101"/>
        <v>33522711.101450153</v>
      </c>
      <c r="E231" s="597"/>
      <c r="F231" s="1942"/>
      <c r="G231" s="1921"/>
      <c r="H231" s="1644"/>
      <c r="I231" s="1644"/>
      <c r="J231" s="597"/>
      <c r="K231" s="1942">
        <f t="shared" si="102"/>
        <v>0</v>
      </c>
      <c r="L231" s="1921" t="s">
        <v>495</v>
      </c>
      <c r="M231" s="1942">
        <f t="shared" si="103"/>
        <v>0</v>
      </c>
      <c r="N231" s="1921" t="s">
        <v>495</v>
      </c>
      <c r="O231" s="1942">
        <f t="shared" si="104"/>
        <v>-2.3358000000000008</v>
      </c>
      <c r="P231" s="1921" t="s">
        <v>495</v>
      </c>
      <c r="Q231" s="1942">
        <f t="shared" si="105"/>
        <v>-2.3358000000000008</v>
      </c>
      <c r="R231" s="1921" t="s">
        <v>495</v>
      </c>
      <c r="S231" s="1644">
        <f t="shared" si="106"/>
        <v>0</v>
      </c>
      <c r="T231" s="1648"/>
      <c r="U231" s="1644">
        <f t="shared" si="107"/>
        <v>0</v>
      </c>
      <c r="V231" s="1648"/>
      <c r="W231" s="1644">
        <f t="shared" si="108"/>
        <v>-783023</v>
      </c>
      <c r="X231" s="1648"/>
      <c r="Y231" s="1644">
        <f t="shared" si="108"/>
        <v>-783023</v>
      </c>
      <c r="AA231" s="596"/>
      <c r="AB231" s="596"/>
      <c r="AI231" s="2023">
        <f>W231-'Blocking-Step2'!W231</f>
        <v>0</v>
      </c>
      <c r="AJ231" s="2054">
        <f>O231-'Blocking-Step2'!O231</f>
        <v>0</v>
      </c>
    </row>
    <row r="232" spans="1:36">
      <c r="A232" s="1900" t="s">
        <v>1908</v>
      </c>
      <c r="C232" s="528">
        <f t="shared" si="101"/>
        <v>76370702.519246042</v>
      </c>
      <c r="D232" s="528">
        <f t="shared" si="101"/>
        <v>73835483.656813219</v>
      </c>
      <c r="E232" s="597"/>
      <c r="F232" s="1942"/>
      <c r="G232" s="1921"/>
      <c r="H232" s="1644"/>
      <c r="I232" s="1644"/>
      <c r="J232" s="597"/>
      <c r="K232" s="1942">
        <f t="shared" si="102"/>
        <v>0</v>
      </c>
      <c r="L232" s="1921" t="s">
        <v>495</v>
      </c>
      <c r="M232" s="1942">
        <f t="shared" si="103"/>
        <v>0</v>
      </c>
      <c r="N232" s="1921" t="s">
        <v>495</v>
      </c>
      <c r="O232" s="1942">
        <f t="shared" si="104"/>
        <v>5.3097000000000003</v>
      </c>
      <c r="P232" s="1921" t="s">
        <v>495</v>
      </c>
      <c r="Q232" s="1942">
        <f t="shared" si="105"/>
        <v>5.3097000000000003</v>
      </c>
      <c r="R232" s="1921" t="s">
        <v>495</v>
      </c>
      <c r="S232" s="1644">
        <f t="shared" si="106"/>
        <v>0</v>
      </c>
      <c r="T232" s="1648"/>
      <c r="U232" s="1644">
        <f t="shared" si="107"/>
        <v>0</v>
      </c>
      <c r="V232" s="1648"/>
      <c r="W232" s="1644">
        <f t="shared" si="108"/>
        <v>3920443</v>
      </c>
      <c r="X232" s="1648"/>
      <c r="Y232" s="1644">
        <f t="shared" si="108"/>
        <v>3920443</v>
      </c>
      <c r="AA232" s="596"/>
      <c r="AB232" s="596"/>
      <c r="AI232" s="2023">
        <f>W232-'Blocking-Step2'!W232</f>
        <v>0</v>
      </c>
      <c r="AJ232" s="2054">
        <f>O232-'Blocking-Step2'!O232</f>
        <v>0</v>
      </c>
    </row>
    <row r="233" spans="1:36">
      <c r="A233" s="1900" t="s">
        <v>1909</v>
      </c>
      <c r="C233" s="528">
        <f t="shared" si="101"/>
        <v>61147318.980753943</v>
      </c>
      <c r="D233" s="528">
        <f t="shared" si="101"/>
        <v>59117458.951272905</v>
      </c>
      <c r="E233" s="597"/>
      <c r="F233" s="1942"/>
      <c r="G233" s="1921"/>
      <c r="H233" s="1644"/>
      <c r="I233" s="1644"/>
      <c r="J233" s="597"/>
      <c r="K233" s="1942">
        <f t="shared" si="102"/>
        <v>0</v>
      </c>
      <c r="L233" s="1921" t="s">
        <v>495</v>
      </c>
      <c r="M233" s="1942">
        <f t="shared" si="103"/>
        <v>0</v>
      </c>
      <c r="N233" s="1921" t="s">
        <v>495</v>
      </c>
      <c r="O233" s="1942">
        <f t="shared" si="104"/>
        <v>-2.0670999999999999</v>
      </c>
      <c r="P233" s="1921" t="s">
        <v>495</v>
      </c>
      <c r="Q233" s="1942">
        <f t="shared" si="105"/>
        <v>-2.0670999999999999</v>
      </c>
      <c r="R233" s="1921" t="s">
        <v>495</v>
      </c>
      <c r="S233" s="1644">
        <f t="shared" si="106"/>
        <v>0</v>
      </c>
      <c r="T233" s="1648"/>
      <c r="U233" s="1644">
        <f t="shared" si="107"/>
        <v>0</v>
      </c>
      <c r="V233" s="1648"/>
      <c r="W233" s="1644">
        <f t="shared" si="108"/>
        <v>-1222017</v>
      </c>
      <c r="X233" s="1648"/>
      <c r="Y233" s="1644">
        <f t="shared" si="108"/>
        <v>-1222017</v>
      </c>
      <c r="AA233" s="596"/>
      <c r="AB233" s="596"/>
      <c r="AI233" s="2023">
        <f>W233-'Blocking-Step2'!W233</f>
        <v>0</v>
      </c>
      <c r="AJ233" s="2054">
        <f>O233-'Blocking-Step2'!O233</f>
        <v>0</v>
      </c>
    </row>
    <row r="234" spans="1:36">
      <c r="A234" s="1900" t="s">
        <v>261</v>
      </c>
      <c r="C234" s="528">
        <f t="shared" si="101"/>
        <v>57416.182291666664</v>
      </c>
      <c r="D234" s="528">
        <f t="shared" si="101"/>
        <v>56872.363899238364</v>
      </c>
      <c r="F234" s="1901"/>
      <c r="G234" s="1902"/>
      <c r="H234" s="1644"/>
      <c r="I234" s="1644"/>
      <c r="K234" s="1901">
        <f>K972</f>
        <v>-0.61</v>
      </c>
      <c r="L234" s="1902"/>
      <c r="M234" s="1901">
        <f>M972</f>
        <v>0</v>
      </c>
      <c r="N234" s="1902"/>
      <c r="O234" s="1901">
        <f>O972</f>
        <v>0</v>
      </c>
      <c r="P234" s="1902"/>
      <c r="Q234" s="1901">
        <f>Q972</f>
        <v>-0.61</v>
      </c>
      <c r="R234" s="1902"/>
      <c r="S234" s="1644">
        <f>ROUND($D234*K234,0)</f>
        <v>-34692</v>
      </c>
      <c r="T234" s="1643"/>
      <c r="U234" s="1644">
        <f>ROUND($D234*M234,0)</f>
        <v>0</v>
      </c>
      <c r="V234" s="1643"/>
      <c r="W234" s="1644">
        <f>ROUND($D234*O234,0)</f>
        <v>0</v>
      </c>
      <c r="X234" s="1643"/>
      <c r="Y234" s="1644">
        <f>ROUND($D234*Q234,0)</f>
        <v>-34692</v>
      </c>
      <c r="AA234" s="596"/>
      <c r="AB234" s="596"/>
      <c r="AI234" s="2023">
        <f>W234-'Blocking-Step2'!W234</f>
        <v>0</v>
      </c>
      <c r="AJ234" s="2054">
        <f>O234-'Blocking-Step2'!O234</f>
        <v>0</v>
      </c>
    </row>
    <row r="235" spans="1:36">
      <c r="A235" s="1116" t="s">
        <v>1158</v>
      </c>
      <c r="C235" s="528">
        <f t="shared" si="101"/>
        <v>799646.5</v>
      </c>
      <c r="D235" s="528">
        <f t="shared" si="101"/>
        <v>758838.16754595097</v>
      </c>
      <c r="F235" s="1943"/>
      <c r="G235" s="1921"/>
      <c r="H235" s="1644"/>
      <c r="I235" s="1644"/>
      <c r="K235" s="1943">
        <f>K977</f>
        <v>0</v>
      </c>
      <c r="L235" s="1921" t="s">
        <v>495</v>
      </c>
      <c r="M235" s="1943">
        <f>M977</f>
        <v>7.125</v>
      </c>
      <c r="N235" s="1921" t="s">
        <v>495</v>
      </c>
      <c r="O235" s="1943">
        <f>O977</f>
        <v>0</v>
      </c>
      <c r="P235" s="1921" t="s">
        <v>495</v>
      </c>
      <c r="Q235" s="1943">
        <f>Q977</f>
        <v>7.125</v>
      </c>
      <c r="R235" s="1921" t="s">
        <v>495</v>
      </c>
      <c r="S235" s="1644">
        <f>ROUND($D235*K235/100,0)</f>
        <v>0</v>
      </c>
      <c r="T235" s="1648"/>
      <c r="U235" s="1644">
        <f>ROUND($D235*M235/100,0)</f>
        <v>54067</v>
      </c>
      <c r="V235" s="1648"/>
      <c r="W235" s="1644">
        <f>ROUND($D235*O235/100,0)</f>
        <v>0</v>
      </c>
      <c r="X235" s="1648"/>
      <c r="Y235" s="1644">
        <f>ROUND($D235*Q235/100,0)</f>
        <v>54067</v>
      </c>
      <c r="AA235" s="1109"/>
      <c r="AB235" s="1114"/>
      <c r="AI235" s="2023">
        <f>W235-'Blocking-Step2'!W235</f>
        <v>0</v>
      </c>
      <c r="AJ235" s="2054">
        <f>O235-'Blocking-Step2'!O235</f>
        <v>0</v>
      </c>
    </row>
    <row r="236" spans="1:36">
      <c r="A236" s="1900" t="s">
        <v>1240</v>
      </c>
      <c r="C236" s="584"/>
      <c r="D236" s="584"/>
      <c r="F236" s="1930"/>
      <c r="G236" s="597"/>
      <c r="H236" s="1644"/>
      <c r="I236" s="1644"/>
      <c r="K236" s="1930"/>
      <c r="L236" s="597"/>
      <c r="M236" s="1930"/>
      <c r="N236" s="597"/>
      <c r="O236" s="1931" t="str">
        <f>$O$43</f>
        <v>Tax Year 1 (1/1/2021)</v>
      </c>
      <c r="P236" s="597"/>
      <c r="Q236" s="1930">
        <f>$Q$979</f>
        <v>-1.6899999999999998E-2</v>
      </c>
      <c r="R236" s="597"/>
      <c r="S236" s="1645"/>
      <c r="T236" s="1645"/>
      <c r="U236" s="1645"/>
      <c r="V236" s="1645"/>
      <c r="W236" s="1645"/>
      <c r="X236" s="1645"/>
      <c r="Y236" s="1644">
        <f>Q236*SUM(Y226:Y229,Y235)</f>
        <v>-314930.13109999994</v>
      </c>
      <c r="AI236" s="2023">
        <f>W236-'Blocking-Step2'!W236</f>
        <v>0</v>
      </c>
      <c r="AJ236" s="2054">
        <f>O236-'Blocking-Step2'!O236</f>
        <v>0</v>
      </c>
    </row>
    <row r="237" spans="1:36">
      <c r="A237" s="1900"/>
      <c r="C237" s="584"/>
      <c r="D237" s="584"/>
      <c r="F237" s="1930"/>
      <c r="G237" s="597"/>
      <c r="H237" s="1644"/>
      <c r="I237" s="1644"/>
      <c r="K237" s="1930"/>
      <c r="L237" s="597"/>
      <c r="M237" s="1930"/>
      <c r="N237" s="597"/>
      <c r="O237" s="1931">
        <f>$O$44</f>
        <v>0</v>
      </c>
      <c r="P237" s="597"/>
      <c r="Q237" s="1930">
        <f>$Q$980</f>
        <v>0</v>
      </c>
      <c r="R237" s="597"/>
      <c r="S237" s="1645"/>
      <c r="T237" s="1645"/>
      <c r="U237" s="1645"/>
      <c r="V237" s="1645"/>
      <c r="W237" s="1645"/>
      <c r="X237" s="1645"/>
      <c r="Y237" s="1644">
        <f>Q237*SUM(Y226:Y229,Y235)</f>
        <v>0</v>
      </c>
      <c r="AI237" s="2023">
        <f>W237-'Blocking-Step2'!W237</f>
        <v>0</v>
      </c>
      <c r="AJ237" s="2054">
        <f>O237-'Blocking-Step2'!O237</f>
        <v>0</v>
      </c>
    </row>
    <row r="238" spans="1:36">
      <c r="A238" s="1900" t="s">
        <v>1923</v>
      </c>
      <c r="C238" s="528">
        <f>SUM(C230:C233,C235)</f>
        <v>216263332</v>
      </c>
      <c r="D238" s="528">
        <f>SUM(D230:D233,D235)</f>
        <v>209103097.7267234</v>
      </c>
      <c r="F238" s="1901"/>
      <c r="G238" s="1902"/>
      <c r="H238" s="1644"/>
      <c r="I238" s="1644"/>
      <c r="K238" s="1901"/>
      <c r="L238" s="1902"/>
      <c r="M238" s="1901"/>
      <c r="N238" s="1902"/>
      <c r="O238" s="1901"/>
      <c r="P238" s="1902"/>
      <c r="Q238" s="1901"/>
      <c r="R238" s="1902"/>
      <c r="S238" s="1644">
        <f>SUM(S225:S235)</f>
        <v>8927683</v>
      </c>
      <c r="T238" s="1643"/>
      <c r="U238" s="1644">
        <f>SUM(U225:U235)</f>
        <v>7924781</v>
      </c>
      <c r="V238" s="1643"/>
      <c r="W238" s="1644">
        <f>SUM(W225:W235)</f>
        <v>7033065</v>
      </c>
      <c r="X238" s="1643"/>
      <c r="Y238" s="1644">
        <f>SUM(Y225:Y235)</f>
        <v>23885529</v>
      </c>
      <c r="AA238" s="1109" t="s">
        <v>1743</v>
      </c>
      <c r="AB238" s="1499">
        <f>Y238/Y258-1</f>
        <v>-0.1808895072023543</v>
      </c>
      <c r="AI238" s="2023">
        <f>W238-'Blocking-Step2'!W238</f>
        <v>0</v>
      </c>
      <c r="AJ238" s="2054">
        <f>O238-'Blocking-Step2'!O238</f>
        <v>0</v>
      </c>
    </row>
    <row r="239" spans="1:36">
      <c r="A239" s="1900"/>
      <c r="C239" s="528"/>
      <c r="D239" s="528"/>
      <c r="F239" s="1901"/>
      <c r="G239" s="1902"/>
      <c r="H239" s="1644"/>
      <c r="I239" s="1644"/>
      <c r="K239" s="1901"/>
      <c r="L239" s="1902"/>
      <c r="M239" s="1901"/>
      <c r="N239" s="1902"/>
      <c r="O239" s="1901"/>
      <c r="P239" s="1902"/>
      <c r="Q239" s="1901"/>
      <c r="R239" s="1902"/>
      <c r="S239" s="1643"/>
      <c r="T239" s="1643"/>
      <c r="U239" s="1643"/>
      <c r="V239" s="1643"/>
      <c r="W239" s="1643"/>
      <c r="X239" s="1643"/>
      <c r="Y239" s="1644"/>
      <c r="AA239" s="1109"/>
      <c r="AB239" s="1114"/>
      <c r="AI239" s="2023">
        <f>W239-'Blocking-Step2'!W239</f>
        <v>0</v>
      </c>
      <c r="AJ239" s="2054">
        <f>O239-'Blocking-Step2'!O239</f>
        <v>0</v>
      </c>
    </row>
    <row r="240" spans="1:36">
      <c r="A240" s="1900" t="s">
        <v>240</v>
      </c>
      <c r="C240" s="528">
        <f t="shared" ref="C240:D254" si="109">C276+C312+C348</f>
        <v>16269.966666649996</v>
      </c>
      <c r="D240" s="528">
        <f t="shared" si="109"/>
        <v>16184.594130320329</v>
      </c>
      <c r="F240" s="1901">
        <f>F672</f>
        <v>54</v>
      </c>
      <c r="G240" s="1902"/>
      <c r="H240" s="1644">
        <f t="shared" ref="H240:I242" si="110">ROUND($F240*C240,0)</f>
        <v>878578</v>
      </c>
      <c r="I240" s="1644">
        <f t="shared" si="110"/>
        <v>873968</v>
      </c>
      <c r="K240" s="1901">
        <f>K672</f>
        <v>53</v>
      </c>
      <c r="L240" s="1902"/>
      <c r="M240" s="1901">
        <f>M672</f>
        <v>0</v>
      </c>
      <c r="N240" s="1902"/>
      <c r="O240" s="1901">
        <f>O672</f>
        <v>0</v>
      </c>
      <c r="P240" s="1902"/>
      <c r="Q240" s="1901">
        <f>Q672</f>
        <v>53</v>
      </c>
      <c r="R240" s="1902"/>
      <c r="S240" s="1644">
        <f>ROUND($D240*K240,0)</f>
        <v>857783</v>
      </c>
      <c r="T240" s="1643"/>
      <c r="U240" s="1644">
        <f>ROUND($D240*M240,0)</f>
        <v>0</v>
      </c>
      <c r="V240" s="1643"/>
      <c r="W240" s="1644">
        <f>ROUND($D240*O240,0)</f>
        <v>0</v>
      </c>
      <c r="X240" s="1643"/>
      <c r="Y240" s="1644">
        <f>ROUND($D240*Q240,0)</f>
        <v>857783</v>
      </c>
      <c r="AA240" s="1109"/>
      <c r="AB240" s="1114"/>
      <c r="AI240" s="2023">
        <f>W240-'Blocking-Step2'!W240</f>
        <v>0</v>
      </c>
      <c r="AJ240" s="2054">
        <f>O240-'Blocking-Step2'!O240</f>
        <v>0</v>
      </c>
    </row>
    <row r="241" spans="1:36">
      <c r="A241" s="1900" t="s">
        <v>262</v>
      </c>
      <c r="C241" s="528">
        <f t="shared" si="109"/>
        <v>0</v>
      </c>
      <c r="D241" s="528">
        <f t="shared" si="109"/>
        <v>0</v>
      </c>
      <c r="F241" s="1901">
        <f t="shared" ref="F241:F243" si="111">F673</f>
        <v>648</v>
      </c>
      <c r="G241" s="1902"/>
      <c r="H241" s="1644">
        <f t="shared" si="110"/>
        <v>0</v>
      </c>
      <c r="I241" s="1644">
        <f t="shared" si="110"/>
        <v>0</v>
      </c>
      <c r="K241" s="1901">
        <f t="shared" ref="K241:K247" si="112">K673</f>
        <v>636</v>
      </c>
      <c r="L241" s="1902"/>
      <c r="M241" s="1901">
        <f t="shared" ref="M241:M247" si="113">M673</f>
        <v>0</v>
      </c>
      <c r="N241" s="1902"/>
      <c r="O241" s="1901">
        <f t="shared" ref="O241:O247" si="114">O673</f>
        <v>0</v>
      </c>
      <c r="P241" s="1902"/>
      <c r="Q241" s="1901">
        <f t="shared" ref="Q241:Q247" si="115">Q673</f>
        <v>636</v>
      </c>
      <c r="R241" s="1902"/>
      <c r="S241" s="1644">
        <f t="shared" ref="S241:S245" si="116">ROUND($D241*K241,0)</f>
        <v>0</v>
      </c>
      <c r="T241" s="1643"/>
      <c r="U241" s="1644">
        <f t="shared" ref="U241:Y245" si="117">ROUND($D241*M241,0)</f>
        <v>0</v>
      </c>
      <c r="V241" s="1643"/>
      <c r="W241" s="1644">
        <f t="shared" si="117"/>
        <v>0</v>
      </c>
      <c r="X241" s="1643"/>
      <c r="Y241" s="1644">
        <f t="shared" si="117"/>
        <v>0</v>
      </c>
      <c r="AA241" s="1109"/>
      <c r="AB241" s="1114"/>
      <c r="AI241" s="2023">
        <f>W241-'Blocking-Step2'!W241</f>
        <v>0</v>
      </c>
      <c r="AJ241" s="2054">
        <f>O241-'Blocking-Step2'!O241</f>
        <v>0</v>
      </c>
    </row>
    <row r="242" spans="1:36">
      <c r="A242" s="1900" t="s">
        <v>1298</v>
      </c>
      <c r="C242" s="528">
        <f t="shared" si="109"/>
        <v>0</v>
      </c>
      <c r="D242" s="528">
        <f t="shared" si="109"/>
        <v>0</v>
      </c>
      <c r="F242" s="1944">
        <f t="shared" si="111"/>
        <v>54</v>
      </c>
      <c r="G242" s="597"/>
      <c r="H242" s="1644">
        <f t="shared" si="110"/>
        <v>0</v>
      </c>
      <c r="I242" s="1644">
        <f t="shared" si="110"/>
        <v>0</v>
      </c>
      <c r="K242" s="1944">
        <f t="shared" si="112"/>
        <v>53</v>
      </c>
      <c r="L242" s="597"/>
      <c r="M242" s="1944">
        <f t="shared" si="113"/>
        <v>0</v>
      </c>
      <c r="N242" s="597"/>
      <c r="O242" s="1944">
        <f t="shared" si="114"/>
        <v>0</v>
      </c>
      <c r="P242" s="597"/>
      <c r="Q242" s="1944">
        <f t="shared" si="115"/>
        <v>53</v>
      </c>
      <c r="R242" s="597"/>
      <c r="S242" s="1644">
        <f t="shared" si="116"/>
        <v>0</v>
      </c>
      <c r="T242" s="1645"/>
      <c r="U242" s="1644">
        <f t="shared" si="117"/>
        <v>0</v>
      </c>
      <c r="V242" s="1645"/>
      <c r="W242" s="1644">
        <f t="shared" si="117"/>
        <v>0</v>
      </c>
      <c r="X242" s="1645"/>
      <c r="Y242" s="1644">
        <f t="shared" si="117"/>
        <v>0</v>
      </c>
      <c r="AA242" s="1945"/>
      <c r="AB242" s="1114"/>
      <c r="AI242" s="2023">
        <f>W242-'Blocking-Step2'!W242</f>
        <v>0</v>
      </c>
      <c r="AJ242" s="2054">
        <f>O242-'Blocking-Step2'!O242</f>
        <v>0</v>
      </c>
    </row>
    <row r="243" spans="1:36">
      <c r="A243" s="1900" t="s">
        <v>168</v>
      </c>
      <c r="C243" s="528">
        <f t="shared" si="109"/>
        <v>1324225.0309405944</v>
      </c>
      <c r="D243" s="528">
        <f t="shared" si="109"/>
        <v>1281154</v>
      </c>
      <c r="F243" s="1901">
        <f t="shared" si="111"/>
        <v>4.04</v>
      </c>
      <c r="G243" s="1902"/>
      <c r="H243" s="1644">
        <f>ROUND($F243*C243,0)</f>
        <v>5349869</v>
      </c>
      <c r="I243" s="1644">
        <f>ROUND($F243*D243,0)</f>
        <v>5175862</v>
      </c>
      <c r="K243" s="1901">
        <f t="shared" si="112"/>
        <v>3.98</v>
      </c>
      <c r="L243" s="1902"/>
      <c r="M243" s="1901">
        <f t="shared" si="113"/>
        <v>0</v>
      </c>
      <c r="N243" s="1902"/>
      <c r="O243" s="1901">
        <f t="shared" si="114"/>
        <v>0</v>
      </c>
      <c r="P243" s="1902"/>
      <c r="Q243" s="1901">
        <f t="shared" si="115"/>
        <v>3.98</v>
      </c>
      <c r="R243" s="1902"/>
      <c r="S243" s="1644">
        <f t="shared" si="116"/>
        <v>5098993</v>
      </c>
      <c r="T243" s="1643"/>
      <c r="U243" s="1644">
        <f t="shared" si="117"/>
        <v>0</v>
      </c>
      <c r="V243" s="1643"/>
      <c r="W243" s="1644">
        <f t="shared" si="117"/>
        <v>0</v>
      </c>
      <c r="X243" s="1643"/>
      <c r="Y243" s="1644">
        <f t="shared" si="117"/>
        <v>5098993</v>
      </c>
      <c r="AA243" s="1109"/>
      <c r="AB243" s="1946"/>
      <c r="AI243" s="2023">
        <f>W243-'Blocking-Step2'!W243</f>
        <v>0</v>
      </c>
      <c r="AJ243" s="2054">
        <f>O243-'Blocking-Step2'!O243</f>
        <v>0</v>
      </c>
    </row>
    <row r="244" spans="1:36">
      <c r="A244" s="1900" t="s">
        <v>1645</v>
      </c>
      <c r="C244" s="528">
        <f t="shared" si="109"/>
        <v>483511.58044554468</v>
      </c>
      <c r="D244" s="528">
        <f t="shared" si="109"/>
        <v>467710</v>
      </c>
      <c r="F244" s="1944"/>
      <c r="G244" s="597"/>
      <c r="H244" s="1644"/>
      <c r="I244" s="1644"/>
      <c r="K244" s="1944">
        <f t="shared" si="112"/>
        <v>6.22</v>
      </c>
      <c r="L244" s="597"/>
      <c r="M244" s="1944">
        <f t="shared" si="113"/>
        <v>7.0100000000000007</v>
      </c>
      <c r="N244" s="597"/>
      <c r="O244" s="1944">
        <f t="shared" si="114"/>
        <v>0</v>
      </c>
      <c r="P244" s="597"/>
      <c r="Q244" s="1944">
        <f t="shared" si="115"/>
        <v>13.23</v>
      </c>
      <c r="R244" s="597"/>
      <c r="S244" s="1644">
        <f t="shared" si="116"/>
        <v>2909156</v>
      </c>
      <c r="T244" s="1645"/>
      <c r="U244" s="1644">
        <f t="shared" si="117"/>
        <v>3278647</v>
      </c>
      <c r="V244" s="1645"/>
      <c r="W244" s="1644">
        <f t="shared" si="117"/>
        <v>0</v>
      </c>
      <c r="X244" s="1645"/>
      <c r="Y244" s="1644">
        <f t="shared" si="117"/>
        <v>6187803</v>
      </c>
      <c r="AA244" s="1109"/>
      <c r="AB244" s="1946"/>
      <c r="AI244" s="2023">
        <f>W244-'Blocking-Step2'!W244</f>
        <v>0</v>
      </c>
      <c r="AJ244" s="2054">
        <f>O244-'Blocking-Step2'!O244</f>
        <v>0</v>
      </c>
    </row>
    <row r="245" spans="1:36">
      <c r="A245" s="1900" t="s">
        <v>1646</v>
      </c>
      <c r="C245" s="528">
        <f t="shared" si="109"/>
        <v>840713.45049504982</v>
      </c>
      <c r="D245" s="528">
        <f t="shared" si="109"/>
        <v>813444</v>
      </c>
      <c r="F245" s="1944"/>
      <c r="G245" s="597"/>
      <c r="H245" s="1644"/>
      <c r="I245" s="1644"/>
      <c r="K245" s="1944">
        <f t="shared" si="112"/>
        <v>5.5</v>
      </c>
      <c r="L245" s="597"/>
      <c r="M245" s="1944">
        <f t="shared" si="113"/>
        <v>6.2100000000000009</v>
      </c>
      <c r="N245" s="597"/>
      <c r="O245" s="1944">
        <f t="shared" si="114"/>
        <v>0</v>
      </c>
      <c r="P245" s="597"/>
      <c r="Q245" s="1944">
        <f t="shared" si="115"/>
        <v>11.71</v>
      </c>
      <c r="R245" s="597"/>
      <c r="S245" s="1644">
        <f t="shared" si="116"/>
        <v>4473942</v>
      </c>
      <c r="T245" s="1645"/>
      <c r="U245" s="1644">
        <f t="shared" si="117"/>
        <v>5051487</v>
      </c>
      <c r="V245" s="1645"/>
      <c r="W245" s="1644">
        <f t="shared" si="117"/>
        <v>0</v>
      </c>
      <c r="X245" s="1645"/>
      <c r="Y245" s="1644">
        <f t="shared" si="117"/>
        <v>9525429</v>
      </c>
      <c r="AA245" s="1109"/>
      <c r="AB245" s="1947"/>
      <c r="AI245" s="2023">
        <f>W245-'Blocking-Step2'!W245</f>
        <v>0</v>
      </c>
      <c r="AJ245" s="2054">
        <f>O245-'Blocking-Step2'!O245</f>
        <v>0</v>
      </c>
    </row>
    <row r="246" spans="1:36">
      <c r="A246" s="1900" t="s">
        <v>1647</v>
      </c>
      <c r="C246" s="528">
        <f t="shared" si="109"/>
        <v>77945664</v>
      </c>
      <c r="D246" s="528">
        <f t="shared" si="109"/>
        <v>75391316.726723433</v>
      </c>
      <c r="F246" s="1943"/>
      <c r="G246" s="1921"/>
      <c r="H246" s="1644"/>
      <c r="I246" s="1644"/>
      <c r="K246" s="1943">
        <f t="shared" si="112"/>
        <v>0</v>
      </c>
      <c r="L246" s="1921" t="s">
        <v>495</v>
      </c>
      <c r="M246" s="1943">
        <f t="shared" si="113"/>
        <v>1.5747172373309999</v>
      </c>
      <c r="N246" s="1921" t="s">
        <v>495</v>
      </c>
      <c r="O246" s="1943">
        <f t="shared" si="114"/>
        <v>2.305570240802</v>
      </c>
      <c r="P246" s="1921" t="s">
        <v>495</v>
      </c>
      <c r="Q246" s="1943">
        <f t="shared" si="115"/>
        <v>3.8802874781329999</v>
      </c>
      <c r="R246" s="1921" t="s">
        <v>495</v>
      </c>
      <c r="S246" s="1644">
        <f>ROUND($D246*K246/100,0)</f>
        <v>0</v>
      </c>
      <c r="T246" s="1648"/>
      <c r="U246" s="1644">
        <f>ROUND($D246*M246/100,0)</f>
        <v>1187200</v>
      </c>
      <c r="V246" s="1648"/>
      <c r="W246" s="1644">
        <f>ROUND($D246*O246/100,0)</f>
        <v>1738200</v>
      </c>
      <c r="X246" s="1648"/>
      <c r="Y246" s="1644">
        <f>ROUND($D246*Q246/100,0)</f>
        <v>2925400</v>
      </c>
      <c r="AA246" s="1109"/>
      <c r="AB246" s="1946"/>
      <c r="AI246" s="2023">
        <f>W246-'Blocking-Step2'!W246</f>
        <v>0</v>
      </c>
      <c r="AJ246" s="2054">
        <f>O246-'Blocking-Step2'!O246</f>
        <v>0</v>
      </c>
    </row>
    <row r="247" spans="1:36">
      <c r="A247" s="1900" t="s">
        <v>1648</v>
      </c>
      <c r="C247" s="528">
        <f t="shared" si="109"/>
        <v>137518021.5</v>
      </c>
      <c r="D247" s="528">
        <f t="shared" si="109"/>
        <v>132952943</v>
      </c>
      <c r="F247" s="1943"/>
      <c r="G247" s="1921"/>
      <c r="H247" s="1644"/>
      <c r="I247" s="1644"/>
      <c r="K247" s="1943">
        <f t="shared" si="112"/>
        <v>0</v>
      </c>
      <c r="L247" s="1921" t="s">
        <v>495</v>
      </c>
      <c r="M247" s="1943">
        <f t="shared" si="113"/>
        <v>1.3935347233019999</v>
      </c>
      <c r="N247" s="1921" t="s">
        <v>495</v>
      </c>
      <c r="O247" s="1943">
        <f t="shared" si="114"/>
        <v>2.0403480007099999</v>
      </c>
      <c r="P247" s="1921" t="s">
        <v>495</v>
      </c>
      <c r="Q247" s="1943">
        <f t="shared" si="115"/>
        <v>3.4338827240119998</v>
      </c>
      <c r="R247" s="1921" t="s">
        <v>495</v>
      </c>
      <c r="S247" s="1644">
        <f>ROUND($D247*K247/100,0)</f>
        <v>0</v>
      </c>
      <c r="T247" s="1648"/>
      <c r="U247" s="1644">
        <f>ROUND($D247*M247/100,0)</f>
        <v>1852745</v>
      </c>
      <c r="V247" s="1648"/>
      <c r="W247" s="1644">
        <f>ROUND($D247*O247/100,0)</f>
        <v>2712703</v>
      </c>
      <c r="X247" s="1648"/>
      <c r="Y247" s="1644">
        <f>ROUND($D247*Q247/100,0)</f>
        <v>4565448</v>
      </c>
      <c r="AA247" s="1109"/>
      <c r="AB247" s="1946"/>
      <c r="AI247" s="2023">
        <f>W247-'Blocking-Step2'!W247</f>
        <v>0</v>
      </c>
      <c r="AJ247" s="2054">
        <f>O247-'Blocking-Step2'!O247</f>
        <v>0</v>
      </c>
    </row>
    <row r="248" spans="1:36">
      <c r="A248" s="1900" t="s">
        <v>196</v>
      </c>
      <c r="C248" s="528">
        <f t="shared" si="109"/>
        <v>584798.45553699986</v>
      </c>
      <c r="D248" s="528">
        <f t="shared" si="109"/>
        <v>563910</v>
      </c>
      <c r="F248" s="1901">
        <f t="shared" ref="F248:F253" si="118">F680</f>
        <v>14.62</v>
      </c>
      <c r="G248" s="1902"/>
      <c r="H248" s="1644">
        <f t="shared" ref="H248:I250" si="119">ROUND($F248*C248,0)</f>
        <v>8549753</v>
      </c>
      <c r="I248" s="1644">
        <f t="shared" si="119"/>
        <v>8244364</v>
      </c>
      <c r="K248" s="1901"/>
      <c r="L248" s="1902"/>
      <c r="M248" s="1901"/>
      <c r="N248" s="1902"/>
      <c r="O248" s="1901"/>
      <c r="P248" s="1902"/>
      <c r="Q248" s="1901"/>
      <c r="R248" s="1902"/>
      <c r="S248" s="1644"/>
      <c r="T248" s="1643"/>
      <c r="U248" s="1644"/>
      <c r="V248" s="1643"/>
      <c r="W248" s="1644"/>
      <c r="X248" s="1643"/>
      <c r="Y248" s="1644"/>
      <c r="AA248" s="1109"/>
      <c r="AB248" s="1948"/>
      <c r="AI248" s="2023">
        <f>W248-'Blocking-Step2'!W248</f>
        <v>0</v>
      </c>
      <c r="AJ248" s="2054">
        <f>O248-'Blocking-Step2'!O248</f>
        <v>0</v>
      </c>
    </row>
    <row r="249" spans="1:36">
      <c r="A249" s="1900" t="s">
        <v>161</v>
      </c>
      <c r="C249" s="528">
        <f t="shared" si="109"/>
        <v>739426.57540359464</v>
      </c>
      <c r="D249" s="528">
        <f t="shared" si="109"/>
        <v>717244</v>
      </c>
      <c r="F249" s="1901">
        <f t="shared" si="118"/>
        <v>10.91</v>
      </c>
      <c r="G249" s="1902"/>
      <c r="H249" s="1644">
        <f t="shared" si="119"/>
        <v>8067144</v>
      </c>
      <c r="I249" s="1644">
        <f t="shared" si="119"/>
        <v>7825132</v>
      </c>
      <c r="K249" s="1901"/>
      <c r="L249" s="1902"/>
      <c r="M249" s="1901"/>
      <c r="N249" s="1902"/>
      <c r="O249" s="1901"/>
      <c r="P249" s="1902"/>
      <c r="Q249" s="1901"/>
      <c r="R249" s="1902"/>
      <c r="S249" s="1644"/>
      <c r="T249" s="1643"/>
      <c r="U249" s="1644"/>
      <c r="V249" s="1643"/>
      <c r="W249" s="1644"/>
      <c r="X249" s="1643"/>
      <c r="Y249" s="1644"/>
      <c r="AA249" s="1946"/>
      <c r="AB249" s="1109"/>
      <c r="AI249" s="2023">
        <f>W249-'Blocking-Step2'!W249</f>
        <v>0</v>
      </c>
      <c r="AJ249" s="2054">
        <f>O249-'Blocking-Step2'!O249</f>
        <v>0</v>
      </c>
    </row>
    <row r="250" spans="1:36">
      <c r="A250" s="1900" t="s">
        <v>261</v>
      </c>
      <c r="C250" s="528">
        <f t="shared" si="109"/>
        <v>57416.182291666664</v>
      </c>
      <c r="D250" s="528">
        <f t="shared" si="109"/>
        <v>56872.363899238364</v>
      </c>
      <c r="F250" s="1901">
        <f t="shared" si="118"/>
        <v>-0.96</v>
      </c>
      <c r="G250" s="1902"/>
      <c r="H250" s="1644">
        <f t="shared" si="119"/>
        <v>-55120</v>
      </c>
      <c r="I250" s="1644">
        <f t="shared" si="119"/>
        <v>-54597</v>
      </c>
      <c r="K250" s="1901">
        <f>K682</f>
        <v>-0.96</v>
      </c>
      <c r="L250" s="1902"/>
      <c r="M250" s="1901">
        <f>M682</f>
        <v>0</v>
      </c>
      <c r="N250" s="1902"/>
      <c r="O250" s="1901">
        <f>O682</f>
        <v>0</v>
      </c>
      <c r="P250" s="1902"/>
      <c r="Q250" s="1901">
        <f>Q682</f>
        <v>-0.96</v>
      </c>
      <c r="R250" s="1902"/>
      <c r="S250" s="1644">
        <f t="shared" ref="S250" si="120">ROUND($D250*K250,0)</f>
        <v>-54597</v>
      </c>
      <c r="T250" s="1643"/>
      <c r="U250" s="1644">
        <f t="shared" ref="U250:Y250" si="121">ROUND($D250*M250,0)</f>
        <v>0</v>
      </c>
      <c r="V250" s="1643"/>
      <c r="W250" s="1644">
        <f t="shared" si="121"/>
        <v>0</v>
      </c>
      <c r="X250" s="1643"/>
      <c r="Y250" s="1644">
        <f t="shared" si="121"/>
        <v>-54597</v>
      </c>
      <c r="AI250" s="2023">
        <f>W250-'Blocking-Step2'!W250</f>
        <v>0</v>
      </c>
      <c r="AJ250" s="2054">
        <f>O250-'Blocking-Step2'!O250</f>
        <v>0</v>
      </c>
    </row>
    <row r="251" spans="1:36">
      <c r="A251" s="1900" t="s">
        <v>1362</v>
      </c>
      <c r="C251" s="528">
        <f t="shared" si="109"/>
        <v>93573337.543722346</v>
      </c>
      <c r="D251" s="528">
        <f t="shared" si="109"/>
        <v>90236925</v>
      </c>
      <c r="F251" s="1943">
        <f t="shared" si="118"/>
        <v>3.8127</v>
      </c>
      <c r="G251" s="1921" t="s">
        <v>495</v>
      </c>
      <c r="H251" s="1644">
        <f t="shared" ref="H251:I253" si="122">ROUND($F251*C251/100,0)</f>
        <v>3567671</v>
      </c>
      <c r="I251" s="1644">
        <f t="shared" si="122"/>
        <v>3440463</v>
      </c>
      <c r="K251" s="1943"/>
      <c r="L251" s="1921"/>
      <c r="M251" s="1943"/>
      <c r="N251" s="1921"/>
      <c r="O251" s="1943"/>
      <c r="P251" s="1921"/>
      <c r="Q251" s="1943"/>
      <c r="R251" s="1921"/>
      <c r="S251" s="1644"/>
      <c r="T251" s="1648"/>
      <c r="U251" s="1644"/>
      <c r="V251" s="1648"/>
      <c r="W251" s="1644"/>
      <c r="X251" s="1648"/>
      <c r="Y251" s="1644"/>
      <c r="AI251" s="2023">
        <f>W251-'Blocking-Step2'!W251</f>
        <v>0</v>
      </c>
      <c r="AJ251" s="2054">
        <f>O251-'Blocking-Step2'!O251</f>
        <v>0</v>
      </c>
    </row>
    <row r="252" spans="1:36">
      <c r="A252" s="1900" t="s">
        <v>1363</v>
      </c>
      <c r="C252" s="528">
        <f t="shared" si="109"/>
        <v>121890347.95627764</v>
      </c>
      <c r="D252" s="528">
        <f t="shared" si="109"/>
        <v>118107334.72672343</v>
      </c>
      <c r="F252" s="1943">
        <f t="shared" si="118"/>
        <v>3.5143</v>
      </c>
      <c r="G252" s="1921" t="s">
        <v>495</v>
      </c>
      <c r="H252" s="1644">
        <f t="shared" si="122"/>
        <v>4283592</v>
      </c>
      <c r="I252" s="1644">
        <f t="shared" si="122"/>
        <v>4150646</v>
      </c>
      <c r="K252" s="1943"/>
      <c r="L252" s="1921"/>
      <c r="M252" s="1943"/>
      <c r="N252" s="1921"/>
      <c r="O252" s="1943"/>
      <c r="P252" s="1921"/>
      <c r="Q252" s="1943"/>
      <c r="R252" s="1921"/>
      <c r="S252" s="1644"/>
      <c r="T252" s="1648"/>
      <c r="U252" s="1644"/>
      <c r="V252" s="1648"/>
      <c r="W252" s="1644"/>
      <c r="X252" s="1648"/>
      <c r="Y252" s="1644"/>
      <c r="AI252" s="2023">
        <f>W252-'Blocking-Step2'!W252</f>
        <v>0</v>
      </c>
      <c r="AJ252" s="2054">
        <f>O252-'Blocking-Step2'!O252</f>
        <v>0</v>
      </c>
    </row>
    <row r="253" spans="1:36">
      <c r="A253" s="1116" t="s">
        <v>1158</v>
      </c>
      <c r="C253" s="528">
        <f t="shared" si="109"/>
        <v>799646.5</v>
      </c>
      <c r="D253" s="528">
        <f t="shared" si="109"/>
        <v>758838</v>
      </c>
      <c r="F253" s="1943">
        <f t="shared" si="118"/>
        <v>7.125</v>
      </c>
      <c r="G253" s="1921" t="s">
        <v>495</v>
      </c>
      <c r="H253" s="1644">
        <f t="shared" si="122"/>
        <v>56975</v>
      </c>
      <c r="I253" s="1644">
        <f t="shared" si="122"/>
        <v>54067</v>
      </c>
      <c r="K253" s="1943">
        <f>K685</f>
        <v>0</v>
      </c>
      <c r="L253" s="1921" t="s">
        <v>495</v>
      </c>
      <c r="M253" s="1943">
        <f>M685</f>
        <v>7.125</v>
      </c>
      <c r="N253" s="1921" t="s">
        <v>495</v>
      </c>
      <c r="O253" s="1943">
        <f>O685</f>
        <v>0</v>
      </c>
      <c r="P253" s="1921" t="s">
        <v>495</v>
      </c>
      <c r="Q253" s="1943">
        <f>Q685</f>
        <v>7.125</v>
      </c>
      <c r="R253" s="1921" t="s">
        <v>495</v>
      </c>
      <c r="S253" s="1644">
        <f>ROUND($D253*K253/100,0)</f>
        <v>0</v>
      </c>
      <c r="T253" s="1648"/>
      <c r="U253" s="1644">
        <f>ROUND($D253*M253/100,0)</f>
        <v>54067</v>
      </c>
      <c r="V253" s="1648"/>
      <c r="W253" s="1644">
        <f>ROUND($D253*O253/100,0)</f>
        <v>0</v>
      </c>
      <c r="X253" s="1648"/>
      <c r="Y253" s="1644">
        <f>ROUND($D253*Q253/100,0)</f>
        <v>54067</v>
      </c>
      <c r="AI253" s="2023">
        <f>W253-'Blocking-Step2'!W253</f>
        <v>0</v>
      </c>
      <c r="AJ253" s="2054">
        <f>O253-'Blocking-Step2'!O253</f>
        <v>0</v>
      </c>
    </row>
    <row r="254" spans="1:36">
      <c r="A254" s="1900" t="s">
        <v>246</v>
      </c>
      <c r="C254" s="529">
        <f t="shared" si="109"/>
        <v>0</v>
      </c>
      <c r="D254" s="529">
        <f>D290+D326+D362</f>
        <v>0</v>
      </c>
      <c r="H254" s="1030">
        <f>H290+H326+H362</f>
        <v>0</v>
      </c>
      <c r="I254" s="1030">
        <f>I290+I326+I362</f>
        <v>0</v>
      </c>
      <c r="S254" s="1030"/>
      <c r="U254" s="1030"/>
      <c r="W254" s="1030"/>
      <c r="Y254" s="1030"/>
      <c r="AI254" s="2023">
        <f>W254-'Blocking-Step2'!W254</f>
        <v>0</v>
      </c>
      <c r="AJ254" s="2054">
        <f>O254-'Blocking-Step2'!O254</f>
        <v>0</v>
      </c>
    </row>
    <row r="255" spans="1:36">
      <c r="A255" s="1900" t="s">
        <v>1240</v>
      </c>
      <c r="C255" s="584"/>
      <c r="D255" s="584"/>
      <c r="F255" s="1930">
        <f>F687</f>
        <v>-3.61E-2</v>
      </c>
      <c r="G255" s="597"/>
      <c r="H255" s="1644">
        <f>SUM(H248:H249,H251:H253)*$F255</f>
        <v>-885357.37349999999</v>
      </c>
      <c r="I255" s="1644">
        <f>SUM(I248:I249,I251:I253)*$F255</f>
        <v>-856099.65919999999</v>
      </c>
      <c r="K255" s="1930"/>
      <c r="L255" s="597"/>
      <c r="M255" s="1930"/>
      <c r="N255" s="597"/>
      <c r="O255" s="1931" t="str">
        <f>$O$43</f>
        <v>Tax Year 1 (1/1/2021)</v>
      </c>
      <c r="P255" s="597"/>
      <c r="Q255" s="1930">
        <f>$Q$687</f>
        <v>-1.52E-2</v>
      </c>
      <c r="R255" s="597"/>
      <c r="S255" s="1644"/>
      <c r="T255" s="1645"/>
      <c r="U255" s="1644"/>
      <c r="V255" s="1645"/>
      <c r="W255" s="1644"/>
      <c r="X255" s="1645"/>
      <c r="Y255" s="1644">
        <f>Q255*SUM(Y244:Y247,Y253)</f>
        <v>-353523.83439999999</v>
      </c>
      <c r="AI255" s="2023">
        <f>W255-'Blocking-Step2'!W255</f>
        <v>0</v>
      </c>
      <c r="AJ255" s="2054">
        <f>O255-'Blocking-Step2'!O255</f>
        <v>0</v>
      </c>
    </row>
    <row r="256" spans="1:36">
      <c r="A256" s="1900"/>
      <c r="C256" s="584"/>
      <c r="D256" s="584"/>
      <c r="F256" s="1930"/>
      <c r="G256" s="597"/>
      <c r="H256" s="1644"/>
      <c r="I256" s="1644"/>
      <c r="K256" s="1930"/>
      <c r="L256" s="597"/>
      <c r="M256" s="1930"/>
      <c r="N256" s="597"/>
      <c r="O256" s="1931">
        <f>$O$44</f>
        <v>0</v>
      </c>
      <c r="P256" s="597"/>
      <c r="Q256" s="1930">
        <f>$Q$688</f>
        <v>0</v>
      </c>
      <c r="R256" s="597"/>
      <c r="S256" s="1644"/>
      <c r="T256" s="1645"/>
      <c r="U256" s="1644"/>
      <c r="V256" s="1645"/>
      <c r="W256" s="1644"/>
      <c r="X256" s="1645"/>
      <c r="Y256" s="1644">
        <f>Q256*SUM(Y244:Y247,Y253)</f>
        <v>0</v>
      </c>
      <c r="AI256" s="2023">
        <f>W256-'Blocking-Step2'!W256</f>
        <v>0</v>
      </c>
      <c r="AJ256" s="2054">
        <f>O256-'Blocking-Step2'!O256</f>
        <v>0</v>
      </c>
    </row>
    <row r="257" spans="1:36" ht="16.5" thickBot="1">
      <c r="A257" s="1116" t="s">
        <v>1317</v>
      </c>
      <c r="C257" s="528">
        <f t="shared" ref="C257:D257" si="123">C293+C329+C365</f>
        <v>0</v>
      </c>
      <c r="D257" s="528">
        <f t="shared" si="123"/>
        <v>0</v>
      </c>
      <c r="F257" s="1930"/>
      <c r="G257" s="597"/>
      <c r="H257" s="1644"/>
      <c r="I257" s="1644"/>
      <c r="K257" s="1930"/>
      <c r="L257" s="597"/>
      <c r="M257" s="1930"/>
      <c r="N257" s="597"/>
      <c r="O257" s="1939"/>
      <c r="Q257" s="1939"/>
      <c r="S257" s="1647"/>
      <c r="U257" s="1647"/>
      <c r="W257" s="1647"/>
      <c r="Y257" s="1647"/>
      <c r="AI257" s="2023">
        <f>W257-'Blocking-Step2'!W257</f>
        <v>0</v>
      </c>
      <c r="AJ257" s="2054">
        <f>O257-'Blocking-Step2'!O257</f>
        <v>0</v>
      </c>
    </row>
    <row r="258" spans="1:36" ht="17.25" thickTop="1" thickBot="1">
      <c r="A258" s="1900" t="s">
        <v>247</v>
      </c>
      <c r="C258" s="1949">
        <f>SUM(C251:C257)</f>
        <v>216263332</v>
      </c>
      <c r="D258" s="1949">
        <f>SUM(D251:D257)</f>
        <v>209103097.72672343</v>
      </c>
      <c r="F258" s="1939"/>
      <c r="H258" s="1647">
        <f>SUM(H240:H255)</f>
        <v>29813104.626499999</v>
      </c>
      <c r="I258" s="1647">
        <f>SUM(I240:I255)</f>
        <v>28853805.340799998</v>
      </c>
      <c r="K258" s="1939"/>
      <c r="M258" s="1939"/>
      <c r="O258" s="1939"/>
      <c r="Q258" s="1939"/>
      <c r="S258" s="1647">
        <f>SUM(S240:S254)</f>
        <v>13285277</v>
      </c>
      <c r="U258" s="1647">
        <f>SUM(U240:U254)</f>
        <v>11424146</v>
      </c>
      <c r="W258" s="1647">
        <f>SUM(W240:W254)</f>
        <v>4450903</v>
      </c>
      <c r="Y258" s="1647">
        <f>SUM(Y240:Y254)</f>
        <v>29160326</v>
      </c>
      <c r="AA258" s="1104" t="s">
        <v>1743</v>
      </c>
      <c r="AB258" s="1890">
        <f>Y258/I258-1</f>
        <v>1.0623231687453494E-2</v>
      </c>
      <c r="AI258" s="2023">
        <f>W258-'Blocking-Step2'!W258</f>
        <v>0</v>
      </c>
      <c r="AJ258" s="2054">
        <f>O258-'Blocking-Step2'!O258</f>
        <v>0</v>
      </c>
    </row>
    <row r="259" spans="1:36" ht="16.5" hidden="1" thickTop="1">
      <c r="C259" s="528"/>
      <c r="D259" s="528"/>
      <c r="AI259" s="2023">
        <f>W259-'Blocking-Step2'!W259</f>
        <v>0</v>
      </c>
      <c r="AJ259" s="2054">
        <f>O259-'Blocking-Step2'!O259</f>
        <v>0</v>
      </c>
    </row>
    <row r="260" spans="1:36" hidden="1">
      <c r="A260" s="1897" t="s">
        <v>1915</v>
      </c>
      <c r="C260" s="528"/>
      <c r="D260" s="528"/>
      <c r="AI260" s="2023">
        <f>W260-'Blocking-Step2'!W260</f>
        <v>0</v>
      </c>
      <c r="AJ260" s="2054">
        <f>O260-'Blocking-Step2'!O260</f>
        <v>0</v>
      </c>
    </row>
    <row r="261" spans="1:36" hidden="1">
      <c r="A261" s="1900" t="s">
        <v>240</v>
      </c>
      <c r="C261" s="528">
        <f>'BD-Redesign'!F22</f>
        <v>118.29999999999998</v>
      </c>
      <c r="D261" s="528">
        <f>D276</f>
        <v>124.80319282544595</v>
      </c>
      <c r="F261" s="1901"/>
      <c r="G261" s="1902"/>
      <c r="H261" s="1644"/>
      <c r="I261" s="1644"/>
      <c r="K261" s="1901">
        <f t="shared" ref="K261:K271" si="124">K225</f>
        <v>53</v>
      </c>
      <c r="L261" s="1902"/>
      <c r="M261" s="1901">
        <f>M225</f>
        <v>0</v>
      </c>
      <c r="N261" s="1902"/>
      <c r="O261" s="1901">
        <f>O225</f>
        <v>0</v>
      </c>
      <c r="P261" s="1902"/>
      <c r="Q261" s="1901">
        <f t="shared" ref="Q261:Q271" si="125">Q225</f>
        <v>53</v>
      </c>
      <c r="R261" s="1902"/>
      <c r="S261" s="1644">
        <f>ROUND($D261*K261,0)</f>
        <v>6615</v>
      </c>
      <c r="T261" s="1643"/>
      <c r="U261" s="1644">
        <f>ROUND($D261*M261,0)</f>
        <v>0</v>
      </c>
      <c r="V261" s="1643"/>
      <c r="W261" s="1644">
        <f>ROUND($D261*O261,0)</f>
        <v>0</v>
      </c>
      <c r="X261" s="1643"/>
      <c r="Y261" s="1644">
        <f>ROUND($D261*Q261,0)</f>
        <v>6615</v>
      </c>
      <c r="AA261" s="1109"/>
      <c r="AB261" s="1114"/>
      <c r="AI261" s="2023">
        <f>W261-'Blocking-Step2'!W261</f>
        <v>0</v>
      </c>
      <c r="AJ261" s="2054">
        <f>O261-'Blocking-Step2'!O261</f>
        <v>0</v>
      </c>
    </row>
    <row r="262" spans="1:36" hidden="1">
      <c r="A262" s="1900" t="s">
        <v>1910</v>
      </c>
      <c r="C262" s="528">
        <f>'BD-Redesign'!F23</f>
        <v>70433.487623762368</v>
      </c>
      <c r="D262" s="528">
        <f t="shared" ref="D262:D271" si="126">C262/$C$274*$D$274</f>
        <v>84591.692737472054</v>
      </c>
      <c r="E262" s="597"/>
      <c r="F262" s="1942"/>
      <c r="G262" s="1921"/>
      <c r="H262" s="1644"/>
      <c r="I262" s="1644"/>
      <c r="J262" s="597"/>
      <c r="K262" s="1942">
        <f t="shared" si="124"/>
        <v>3.89</v>
      </c>
      <c r="L262" s="1921" t="s">
        <v>495</v>
      </c>
      <c r="M262" s="1942">
        <f t="shared" ref="M262:M271" si="127">M226</f>
        <v>17.137528114911813</v>
      </c>
      <c r="N262" s="1921" t="s">
        <v>495</v>
      </c>
      <c r="O262" s="1942">
        <f t="shared" ref="O262:O271" si="128">O226</f>
        <v>1.3496999999999999</v>
      </c>
      <c r="P262" s="1921" t="s">
        <v>495</v>
      </c>
      <c r="Q262" s="1942">
        <f t="shared" si="125"/>
        <v>22.377228114911812</v>
      </c>
      <c r="R262" s="1921" t="s">
        <v>495</v>
      </c>
      <c r="S262" s="1644">
        <f>ROUND($D262*K262/100,0)</f>
        <v>3291</v>
      </c>
      <c r="T262" s="1648"/>
      <c r="U262" s="1644">
        <f>ROUND($D262*M262/100,0)</f>
        <v>14497</v>
      </c>
      <c r="V262" s="1648"/>
      <c r="W262" s="1644">
        <f>ROUND($D262*O262/100,0)</f>
        <v>1142</v>
      </c>
      <c r="X262" s="1648"/>
      <c r="Y262" s="1644">
        <f>ROUND($D262*Q262/100,0)</f>
        <v>18929</v>
      </c>
      <c r="AI262" s="2023">
        <f>W262-'Blocking-Step2'!W262</f>
        <v>0</v>
      </c>
      <c r="AJ262" s="2054">
        <f>O262-'Blocking-Step2'!O262</f>
        <v>0</v>
      </c>
    </row>
    <row r="263" spans="1:36" hidden="1">
      <c r="A263" s="1900" t="s">
        <v>1911</v>
      </c>
      <c r="C263" s="528">
        <f>'BD-Redesign'!F24</f>
        <v>165608.5123762376</v>
      </c>
      <c r="D263" s="528">
        <f t="shared" si="126"/>
        <v>198898.34887168405</v>
      </c>
      <c r="E263" s="597"/>
      <c r="F263" s="1942"/>
      <c r="G263" s="1921"/>
      <c r="H263" s="1644"/>
      <c r="I263" s="1644"/>
      <c r="J263" s="597"/>
      <c r="K263" s="1942">
        <f t="shared" si="124"/>
        <v>3.89</v>
      </c>
      <c r="L263" s="1921" t="s">
        <v>495</v>
      </c>
      <c r="M263" s="1942">
        <f t="shared" si="127"/>
        <v>-1.0877975226579997</v>
      </c>
      <c r="N263" s="1921" t="s">
        <v>495</v>
      </c>
      <c r="O263" s="1942">
        <f t="shared" si="128"/>
        <v>1.3496999999999999</v>
      </c>
      <c r="P263" s="1921" t="s">
        <v>495</v>
      </c>
      <c r="Q263" s="1942">
        <f t="shared" si="125"/>
        <v>4.1519024773420004</v>
      </c>
      <c r="R263" s="1921" t="s">
        <v>495</v>
      </c>
      <c r="S263" s="1644">
        <f t="shared" ref="S263:S269" si="129">ROUND($D263*K263/100,0)</f>
        <v>7737</v>
      </c>
      <c r="T263" s="1648"/>
      <c r="U263" s="1644">
        <f t="shared" ref="U263:U269" si="130">ROUND($D263*M263/100,0)</f>
        <v>-2164</v>
      </c>
      <c r="V263" s="1648"/>
      <c r="W263" s="1644">
        <f t="shared" ref="W263:W269" si="131">ROUND($D263*O263/100,0)</f>
        <v>2685</v>
      </c>
      <c r="X263" s="1648"/>
      <c r="Y263" s="1644">
        <f t="shared" ref="Y263:Y269" si="132">ROUND($D263*Q263/100,0)</f>
        <v>8258</v>
      </c>
      <c r="AI263" s="2023">
        <f>W263-'Blocking-Step2'!W263</f>
        <v>0</v>
      </c>
      <c r="AJ263" s="2054">
        <f>O263-'Blocking-Step2'!O263</f>
        <v>0</v>
      </c>
    </row>
    <row r="264" spans="1:36" hidden="1">
      <c r="A264" s="1900" t="s">
        <v>1912</v>
      </c>
      <c r="C264" s="528">
        <f>'BD-Redesign'!F25</f>
        <v>120935.20792079209</v>
      </c>
      <c r="D264" s="528">
        <f t="shared" si="126"/>
        <v>145245.02895873319</v>
      </c>
      <c r="E264" s="597"/>
      <c r="F264" s="1942"/>
      <c r="G264" s="1921"/>
      <c r="H264" s="1644"/>
      <c r="I264" s="1644"/>
      <c r="J264" s="597"/>
      <c r="K264" s="1942">
        <f t="shared" si="124"/>
        <v>3.89</v>
      </c>
      <c r="L264" s="1921" t="s">
        <v>495</v>
      </c>
      <c r="M264" s="1942">
        <f t="shared" si="127"/>
        <v>14.718500000000001</v>
      </c>
      <c r="N264" s="1921" t="s">
        <v>495</v>
      </c>
      <c r="O264" s="1942">
        <f t="shared" si="128"/>
        <v>1.1943999999999999</v>
      </c>
      <c r="P264" s="1921" t="s">
        <v>495</v>
      </c>
      <c r="Q264" s="1942">
        <f t="shared" si="125"/>
        <v>19.802900000000001</v>
      </c>
      <c r="R264" s="1921" t="s">
        <v>495</v>
      </c>
      <c r="S264" s="1644">
        <f t="shared" si="129"/>
        <v>5650</v>
      </c>
      <c r="T264" s="1648"/>
      <c r="U264" s="1644">
        <f t="shared" si="130"/>
        <v>21378</v>
      </c>
      <c r="V264" s="1648"/>
      <c r="W264" s="1644">
        <f t="shared" si="131"/>
        <v>1735</v>
      </c>
      <c r="X264" s="1648"/>
      <c r="Y264" s="1644">
        <f t="shared" si="132"/>
        <v>28763</v>
      </c>
      <c r="AI264" s="2023">
        <f>W264-'Blocking-Step2'!W264</f>
        <v>0</v>
      </c>
      <c r="AJ264" s="2054">
        <f>O264-'Blocking-Step2'!O264</f>
        <v>0</v>
      </c>
    </row>
    <row r="265" spans="1:36" hidden="1">
      <c r="A265" s="1900" t="s">
        <v>1913</v>
      </c>
      <c r="C265" s="528">
        <f>'BD-Redesign'!F26</f>
        <v>224349.79207920792</v>
      </c>
      <c r="D265" s="528">
        <f t="shared" si="126"/>
        <v>269447.52159166668</v>
      </c>
      <c r="E265" s="597"/>
      <c r="F265" s="1942"/>
      <c r="G265" s="1921"/>
      <c r="H265" s="1644"/>
      <c r="I265" s="1644"/>
      <c r="J265" s="597"/>
      <c r="K265" s="1942">
        <f t="shared" si="124"/>
        <v>3.89</v>
      </c>
      <c r="L265" s="1921" t="s">
        <v>495</v>
      </c>
      <c r="M265" s="1942">
        <f t="shared" si="127"/>
        <v>-1.4102000000000001</v>
      </c>
      <c r="N265" s="1921" t="s">
        <v>495</v>
      </c>
      <c r="O265" s="1942">
        <f t="shared" si="128"/>
        <v>1.1943999999999999</v>
      </c>
      <c r="P265" s="1921" t="s">
        <v>495</v>
      </c>
      <c r="Q265" s="1942">
        <f t="shared" si="125"/>
        <v>3.6741999999999999</v>
      </c>
      <c r="R265" s="1921" t="s">
        <v>495</v>
      </c>
      <c r="S265" s="1644">
        <f t="shared" si="129"/>
        <v>10482</v>
      </c>
      <c r="T265" s="1648"/>
      <c r="U265" s="1644">
        <f t="shared" si="130"/>
        <v>-3800</v>
      </c>
      <c r="V265" s="1648"/>
      <c r="W265" s="1644">
        <f t="shared" si="131"/>
        <v>3218</v>
      </c>
      <c r="X265" s="1648"/>
      <c r="Y265" s="1644">
        <f t="shared" si="132"/>
        <v>9900</v>
      </c>
      <c r="AI265" s="2023">
        <f>W265-'Blocking-Step2'!W265</f>
        <v>0</v>
      </c>
      <c r="AJ265" s="2054">
        <f>O265-'Blocking-Step2'!O265</f>
        <v>0</v>
      </c>
    </row>
    <row r="266" spans="1:36" hidden="1">
      <c r="A266" s="1900" t="s">
        <v>1906</v>
      </c>
      <c r="C266" s="528">
        <f>'BD-Redesign'!F27</f>
        <v>131086.04361391169</v>
      </c>
      <c r="D266" s="528">
        <f t="shared" si="126"/>
        <v>157436.33742506622</v>
      </c>
      <c r="E266" s="597"/>
      <c r="F266" s="1942"/>
      <c r="G266" s="1921"/>
      <c r="H266" s="1644"/>
      <c r="I266" s="1644"/>
      <c r="J266" s="597"/>
      <c r="K266" s="1942">
        <f t="shared" si="124"/>
        <v>0</v>
      </c>
      <c r="L266" s="1921" t="s">
        <v>495</v>
      </c>
      <c r="M266" s="1942">
        <f t="shared" si="127"/>
        <v>0</v>
      </c>
      <c r="N266" s="1921" t="s">
        <v>495</v>
      </c>
      <c r="O266" s="1942">
        <f t="shared" si="128"/>
        <v>6</v>
      </c>
      <c r="P266" s="1921" t="s">
        <v>495</v>
      </c>
      <c r="Q266" s="1942">
        <f t="shared" si="125"/>
        <v>6</v>
      </c>
      <c r="R266" s="1921" t="s">
        <v>495</v>
      </c>
      <c r="S266" s="1644">
        <f t="shared" si="129"/>
        <v>0</v>
      </c>
      <c r="T266" s="1648"/>
      <c r="U266" s="1644">
        <f t="shared" si="130"/>
        <v>0</v>
      </c>
      <c r="V266" s="1648"/>
      <c r="W266" s="1644">
        <f t="shared" si="131"/>
        <v>9446</v>
      </c>
      <c r="X266" s="1648"/>
      <c r="Y266" s="1644">
        <f t="shared" si="132"/>
        <v>9446</v>
      </c>
      <c r="AI266" s="2023">
        <f>W266-'Blocking-Step2'!W266</f>
        <v>0</v>
      </c>
      <c r="AJ266" s="2054">
        <f>O266-'Blocking-Step2'!O266</f>
        <v>0</v>
      </c>
    </row>
    <row r="267" spans="1:36" hidden="1">
      <c r="A267" s="1900" t="s">
        <v>1907</v>
      </c>
      <c r="C267" s="528">
        <f>'BD-Redesign'!F28</f>
        <v>104955.95638608832</v>
      </c>
      <c r="D267" s="528">
        <f t="shared" si="126"/>
        <v>126053.70418408993</v>
      </c>
      <c r="E267" s="597"/>
      <c r="F267" s="1942"/>
      <c r="G267" s="1921"/>
      <c r="H267" s="1644"/>
      <c r="I267" s="1644"/>
      <c r="J267" s="597"/>
      <c r="K267" s="1942">
        <f t="shared" si="124"/>
        <v>0</v>
      </c>
      <c r="L267" s="1921" t="s">
        <v>495</v>
      </c>
      <c r="M267" s="1942">
        <f t="shared" si="127"/>
        <v>0</v>
      </c>
      <c r="N267" s="1921" t="s">
        <v>495</v>
      </c>
      <c r="O267" s="1942">
        <f t="shared" si="128"/>
        <v>-2.3358000000000008</v>
      </c>
      <c r="P267" s="1921" t="s">
        <v>495</v>
      </c>
      <c r="Q267" s="1942">
        <f t="shared" si="125"/>
        <v>-2.3358000000000008</v>
      </c>
      <c r="R267" s="1921" t="s">
        <v>495</v>
      </c>
      <c r="S267" s="1644">
        <f t="shared" si="129"/>
        <v>0</v>
      </c>
      <c r="T267" s="1648"/>
      <c r="U267" s="1644">
        <f t="shared" si="130"/>
        <v>0</v>
      </c>
      <c r="V267" s="1648"/>
      <c r="W267" s="1644">
        <f t="shared" si="131"/>
        <v>-2944</v>
      </c>
      <c r="X267" s="1648"/>
      <c r="Y267" s="1644">
        <f t="shared" si="132"/>
        <v>-2944</v>
      </c>
      <c r="AI267" s="2023">
        <f>W267-'Blocking-Step2'!W267</f>
        <v>0</v>
      </c>
      <c r="AJ267" s="2054">
        <f>O267-'Blocking-Step2'!O267</f>
        <v>0</v>
      </c>
    </row>
    <row r="268" spans="1:36" hidden="1">
      <c r="A268" s="1900" t="s">
        <v>1908</v>
      </c>
      <c r="C268" s="528">
        <f>'BD-Redesign'!F29</f>
        <v>191754.1986986617</v>
      </c>
      <c r="D268" s="528">
        <f t="shared" si="126"/>
        <v>230299.71686315996</v>
      </c>
      <c r="E268" s="597"/>
      <c r="F268" s="1942"/>
      <c r="G268" s="1921"/>
      <c r="H268" s="1644"/>
      <c r="I268" s="1644"/>
      <c r="J268" s="597"/>
      <c r="K268" s="1942">
        <f t="shared" si="124"/>
        <v>0</v>
      </c>
      <c r="L268" s="1921" t="s">
        <v>495</v>
      </c>
      <c r="M268" s="1942">
        <f t="shared" si="127"/>
        <v>0</v>
      </c>
      <c r="N268" s="1921" t="s">
        <v>495</v>
      </c>
      <c r="O268" s="1942">
        <f t="shared" si="128"/>
        <v>5.3097000000000003</v>
      </c>
      <c r="P268" s="1921" t="s">
        <v>495</v>
      </c>
      <c r="Q268" s="1942">
        <f t="shared" si="125"/>
        <v>5.3097000000000003</v>
      </c>
      <c r="R268" s="1921" t="s">
        <v>495</v>
      </c>
      <c r="S268" s="1644">
        <f t="shared" si="129"/>
        <v>0</v>
      </c>
      <c r="T268" s="1648"/>
      <c r="U268" s="1644">
        <f t="shared" si="130"/>
        <v>0</v>
      </c>
      <c r="V268" s="1648"/>
      <c r="W268" s="1644">
        <f t="shared" si="131"/>
        <v>12228</v>
      </c>
      <c r="X268" s="1648"/>
      <c r="Y268" s="1644">
        <f t="shared" si="132"/>
        <v>12228</v>
      </c>
      <c r="AI268" s="2023">
        <f>W268-'Blocking-Step2'!W268</f>
        <v>0</v>
      </c>
      <c r="AJ268" s="2054">
        <f>O268-'Blocking-Step2'!O268</f>
        <v>0</v>
      </c>
    </row>
    <row r="269" spans="1:36" hidden="1">
      <c r="A269" s="1900" t="s">
        <v>1909</v>
      </c>
      <c r="C269" s="528">
        <f>'BD-Redesign'!F30</f>
        <v>153530.8013013383</v>
      </c>
      <c r="D269" s="528">
        <f t="shared" si="126"/>
        <v>184392.83368723991</v>
      </c>
      <c r="E269" s="597"/>
      <c r="F269" s="1942"/>
      <c r="G269" s="1921"/>
      <c r="H269" s="1644"/>
      <c r="I269" s="1644"/>
      <c r="J269" s="597"/>
      <c r="K269" s="1942">
        <f t="shared" si="124"/>
        <v>0</v>
      </c>
      <c r="L269" s="1921" t="s">
        <v>495</v>
      </c>
      <c r="M269" s="1942">
        <f t="shared" si="127"/>
        <v>0</v>
      </c>
      <c r="N269" s="1921" t="s">
        <v>495</v>
      </c>
      <c r="O269" s="1942">
        <f t="shared" si="128"/>
        <v>-2.0670999999999999</v>
      </c>
      <c r="P269" s="1921" t="s">
        <v>495</v>
      </c>
      <c r="Q269" s="1942">
        <f t="shared" si="125"/>
        <v>-2.0670999999999999</v>
      </c>
      <c r="R269" s="1921" t="s">
        <v>495</v>
      </c>
      <c r="S269" s="1644">
        <f t="shared" si="129"/>
        <v>0</v>
      </c>
      <c r="T269" s="1648"/>
      <c r="U269" s="1644">
        <f t="shared" si="130"/>
        <v>0</v>
      </c>
      <c r="V269" s="1648"/>
      <c r="W269" s="1644">
        <f t="shared" si="131"/>
        <v>-3812</v>
      </c>
      <c r="X269" s="1648"/>
      <c r="Y269" s="1644">
        <f t="shared" si="132"/>
        <v>-3812</v>
      </c>
      <c r="AI269" s="2023">
        <f>W269-'Blocking-Step2'!W269</f>
        <v>0</v>
      </c>
      <c r="AJ269" s="2054">
        <f>O269-'Blocking-Step2'!O269</f>
        <v>0</v>
      </c>
    </row>
    <row r="270" spans="1:36" hidden="1">
      <c r="A270" s="1900" t="s">
        <v>261</v>
      </c>
      <c r="C270" s="528">
        <f>'BD-Redesign'!F31</f>
        <v>0</v>
      </c>
      <c r="D270" s="528">
        <f t="shared" si="126"/>
        <v>0</v>
      </c>
      <c r="F270" s="1901"/>
      <c r="G270" s="1902"/>
      <c r="H270" s="1644"/>
      <c r="I270" s="1644"/>
      <c r="K270" s="1901">
        <f t="shared" si="124"/>
        <v>-0.61</v>
      </c>
      <c r="L270" s="1902"/>
      <c r="M270" s="1901">
        <f t="shared" si="127"/>
        <v>0</v>
      </c>
      <c r="N270" s="1902"/>
      <c r="O270" s="1901">
        <f t="shared" si="128"/>
        <v>0</v>
      </c>
      <c r="P270" s="1902"/>
      <c r="Q270" s="1901">
        <f t="shared" si="125"/>
        <v>-0.61</v>
      </c>
      <c r="R270" s="1902"/>
      <c r="S270" s="1644">
        <f>ROUND($D270*K270,0)</f>
        <v>0</v>
      </c>
      <c r="T270" s="1643"/>
      <c r="U270" s="1644">
        <f>ROUND($D270*M270,0)</f>
        <v>0</v>
      </c>
      <c r="V270" s="1643"/>
      <c r="W270" s="1644">
        <f>ROUND($D270*O270,0)</f>
        <v>0</v>
      </c>
      <c r="X270" s="1643"/>
      <c r="Y270" s="1644">
        <f>ROUND($D270*Q270,0)</f>
        <v>0</v>
      </c>
      <c r="AI270" s="2023">
        <f>W270-'Blocking-Step2'!W270</f>
        <v>0</v>
      </c>
      <c r="AJ270" s="2054">
        <f>O270-'Blocking-Step2'!O270</f>
        <v>0</v>
      </c>
    </row>
    <row r="271" spans="1:36" hidden="1">
      <c r="A271" s="1116" t="s">
        <v>1158</v>
      </c>
      <c r="C271" s="528">
        <f>'BD-Redesign'!F32</f>
        <v>0</v>
      </c>
      <c r="D271" s="528">
        <f t="shared" si="126"/>
        <v>0</v>
      </c>
      <c r="F271" s="1943"/>
      <c r="G271" s="1921"/>
      <c r="H271" s="1644"/>
      <c r="I271" s="1644"/>
      <c r="K271" s="1943">
        <f t="shared" si="124"/>
        <v>0</v>
      </c>
      <c r="L271" s="1921" t="s">
        <v>495</v>
      </c>
      <c r="M271" s="1943">
        <f t="shared" si="127"/>
        <v>7.125</v>
      </c>
      <c r="N271" s="1921" t="s">
        <v>495</v>
      </c>
      <c r="O271" s="1943">
        <f t="shared" si="128"/>
        <v>0</v>
      </c>
      <c r="P271" s="1921" t="s">
        <v>495</v>
      </c>
      <c r="Q271" s="1943">
        <f t="shared" si="125"/>
        <v>7.125</v>
      </c>
      <c r="R271" s="1921" t="s">
        <v>495</v>
      </c>
      <c r="S271" s="1644">
        <f>ROUND($D271*K271/100,0)</f>
        <v>0</v>
      </c>
      <c r="T271" s="1648"/>
      <c r="U271" s="1644">
        <f>ROUND($D271*M271/100,0)</f>
        <v>0</v>
      </c>
      <c r="V271" s="1648"/>
      <c r="W271" s="1644">
        <f>ROUND($D271*O271/100,0)</f>
        <v>0</v>
      </c>
      <c r="X271" s="1648"/>
      <c r="Y271" s="1644">
        <f>ROUND($D271*Q271/100,0)</f>
        <v>0</v>
      </c>
      <c r="AA271" s="1109"/>
      <c r="AB271" s="1114"/>
      <c r="AI271" s="2023">
        <f>W271-'Blocking-Step2'!W271</f>
        <v>0</v>
      </c>
      <c r="AJ271" s="2054">
        <f>O271-'Blocking-Step2'!O271</f>
        <v>0</v>
      </c>
    </row>
    <row r="272" spans="1:36" hidden="1">
      <c r="A272" s="1900" t="s">
        <v>1240</v>
      </c>
      <c r="C272" s="584"/>
      <c r="D272" s="584"/>
      <c r="F272" s="1930"/>
      <c r="G272" s="597"/>
      <c r="H272" s="1644"/>
      <c r="I272" s="1644"/>
      <c r="K272" s="1930"/>
      <c r="L272" s="597"/>
      <c r="M272" s="1930"/>
      <c r="N272" s="597"/>
      <c r="O272" s="1931" t="str">
        <f>$O$43</f>
        <v>Tax Year 1 (1/1/2021)</v>
      </c>
      <c r="P272" s="597"/>
      <c r="Q272" s="1930">
        <f>$Q$979</f>
        <v>-1.6899999999999998E-2</v>
      </c>
      <c r="R272" s="597"/>
      <c r="S272" s="1645"/>
      <c r="T272" s="1645"/>
      <c r="U272" s="1645"/>
      <c r="V272" s="1645"/>
      <c r="W272" s="1645"/>
      <c r="X272" s="1645"/>
      <c r="Y272" s="1644">
        <f>Q272*SUM(Y262:Y265,Y271)</f>
        <v>-1112.8649999999998</v>
      </c>
      <c r="AI272" s="2023">
        <f>W272-'Blocking-Step2'!W272</f>
        <v>0</v>
      </c>
      <c r="AJ272" s="2054">
        <f>O272-'Blocking-Step2'!O272</f>
        <v>0</v>
      </c>
    </row>
    <row r="273" spans="1:36" hidden="1">
      <c r="A273" s="1900"/>
      <c r="C273" s="584"/>
      <c r="D273" s="584"/>
      <c r="F273" s="1930"/>
      <c r="G273" s="597"/>
      <c r="H273" s="1644"/>
      <c r="I273" s="1644"/>
      <c r="K273" s="1930"/>
      <c r="L273" s="597"/>
      <c r="M273" s="1930"/>
      <c r="N273" s="597"/>
      <c r="O273" s="1931">
        <f>$O$44</f>
        <v>0</v>
      </c>
      <c r="P273" s="597"/>
      <c r="Q273" s="1930">
        <f>$Q$980</f>
        <v>0</v>
      </c>
      <c r="R273" s="597"/>
      <c r="S273" s="1645"/>
      <c r="T273" s="1645"/>
      <c r="U273" s="1645"/>
      <c r="V273" s="1645"/>
      <c r="W273" s="1645"/>
      <c r="X273" s="1645"/>
      <c r="Y273" s="1644">
        <f>Q273*SUM(Y262:Y265,Y271)</f>
        <v>0</v>
      </c>
      <c r="AI273" s="2023">
        <f>W273-'Blocking-Step2'!W273</f>
        <v>0</v>
      </c>
      <c r="AJ273" s="2054">
        <f>O273-'Blocking-Step2'!O273</f>
        <v>0</v>
      </c>
    </row>
    <row r="274" spans="1:36" hidden="1">
      <c r="A274" s="1900" t="s">
        <v>1923</v>
      </c>
      <c r="C274" s="528">
        <f>SUM(C266:C269,C271)</f>
        <v>581327</v>
      </c>
      <c r="D274" s="528">
        <f>D294</f>
        <v>698182.59215955599</v>
      </c>
      <c r="F274" s="1901"/>
      <c r="G274" s="1902"/>
      <c r="H274" s="1644"/>
      <c r="I274" s="1644"/>
      <c r="K274" s="1901"/>
      <c r="L274" s="1902"/>
      <c r="M274" s="1901"/>
      <c r="N274" s="1902"/>
      <c r="O274" s="1901"/>
      <c r="P274" s="1902"/>
      <c r="Q274" s="1901"/>
      <c r="R274" s="1902"/>
      <c r="S274" s="1644">
        <f>SUM(S261:S271)</f>
        <v>33775</v>
      </c>
      <c r="T274" s="1643"/>
      <c r="U274" s="1644">
        <f>SUM(U261:U271)</f>
        <v>29911</v>
      </c>
      <c r="V274" s="1643"/>
      <c r="W274" s="1644">
        <f>SUM(W261:W271)</f>
        <v>23698</v>
      </c>
      <c r="X274" s="1643"/>
      <c r="Y274" s="1644">
        <f>SUM(Y261:Y271)</f>
        <v>87383</v>
      </c>
      <c r="AA274" s="1109" t="s">
        <v>1743</v>
      </c>
      <c r="AB274" s="1499">
        <f>Y274/Y294-1</f>
        <v>-0.20052150045745654</v>
      </c>
      <c r="AI274" s="2023">
        <f>W274-'Blocking-Step2'!W274</f>
        <v>0</v>
      </c>
      <c r="AJ274" s="2054">
        <f>O274-'Blocking-Step2'!O274</f>
        <v>0</v>
      </c>
    </row>
    <row r="275" spans="1:36" hidden="1">
      <c r="A275" s="1900"/>
      <c r="C275" s="528"/>
      <c r="D275" s="528"/>
      <c r="F275" s="1901"/>
      <c r="G275" s="1902"/>
      <c r="H275" s="1644"/>
      <c r="I275" s="1644"/>
      <c r="K275" s="1901"/>
      <c r="L275" s="1902"/>
      <c r="M275" s="1901"/>
      <c r="N275" s="1902"/>
      <c r="O275" s="1901"/>
      <c r="P275" s="1902"/>
      <c r="Q275" s="1901"/>
      <c r="R275" s="1902"/>
      <c r="S275" s="1643"/>
      <c r="T275" s="1643"/>
      <c r="U275" s="1643"/>
      <c r="V275" s="1643"/>
      <c r="W275" s="1643"/>
      <c r="X275" s="1643"/>
      <c r="Y275" s="1644"/>
      <c r="AA275" s="1109"/>
      <c r="AB275" s="1114"/>
      <c r="AI275" s="2023">
        <f>W275-'Blocking-Step2'!W275</f>
        <v>0</v>
      </c>
      <c r="AJ275" s="2054">
        <f>O275-'Blocking-Step2'!O275</f>
        <v>0</v>
      </c>
    </row>
    <row r="276" spans="1:36" hidden="1">
      <c r="A276" s="1900" t="s">
        <v>240</v>
      </c>
      <c r="C276" s="528">
        <f>C261</f>
        <v>118.29999999999998</v>
      </c>
      <c r="D276" s="528">
        <f>C276*D693/C693</f>
        <v>124.80319282544595</v>
      </c>
      <c r="F276" s="1944">
        <v>54</v>
      </c>
      <c r="G276" s="597"/>
      <c r="H276" s="1644">
        <f t="shared" ref="H276:I278" si="133">ROUND($F276*C276,0)</f>
        <v>6388</v>
      </c>
      <c r="I276" s="1644">
        <f t="shared" si="133"/>
        <v>6739</v>
      </c>
      <c r="K276" s="1944">
        <f t="shared" ref="K276:K283" si="134">K240</f>
        <v>53</v>
      </c>
      <c r="L276" s="597"/>
      <c r="M276" s="1944">
        <f t="shared" ref="M276:M283" si="135">M240</f>
        <v>0</v>
      </c>
      <c r="N276" s="597"/>
      <c r="O276" s="1944">
        <f t="shared" ref="O276:O283" si="136">O240</f>
        <v>0</v>
      </c>
      <c r="P276" s="597"/>
      <c r="Q276" s="1944">
        <f t="shared" ref="Q276:Q283" si="137">Q240</f>
        <v>53</v>
      </c>
      <c r="R276" s="597"/>
      <c r="S276" s="1644">
        <f>ROUND($D276*K276,0)</f>
        <v>6615</v>
      </c>
      <c r="T276" s="1643"/>
      <c r="U276" s="1644">
        <f>ROUND($D276*M276,0)</f>
        <v>0</v>
      </c>
      <c r="V276" s="1643"/>
      <c r="W276" s="1644">
        <f>ROUND($D276*O276,0)</f>
        <v>0</v>
      </c>
      <c r="X276" s="1643"/>
      <c r="Y276" s="1644">
        <f>ROUND($D276*Q276,0)</f>
        <v>6615</v>
      </c>
      <c r="AI276" s="2023">
        <f>W276-'Blocking-Step2'!W276</f>
        <v>0</v>
      </c>
      <c r="AJ276" s="2054">
        <f>O276-'Blocking-Step2'!O276</f>
        <v>0</v>
      </c>
    </row>
    <row r="277" spans="1:36" hidden="1">
      <c r="A277" s="1900" t="s">
        <v>262</v>
      </c>
      <c r="C277" s="584">
        <v>0</v>
      </c>
      <c r="D277" s="528">
        <v>0</v>
      </c>
      <c r="F277" s="1944">
        <v>648</v>
      </c>
      <c r="G277" s="597"/>
      <c r="H277" s="1644">
        <f t="shared" si="133"/>
        <v>0</v>
      </c>
      <c r="I277" s="1644">
        <f t="shared" si="133"/>
        <v>0</v>
      </c>
      <c r="K277" s="1944">
        <f t="shared" si="134"/>
        <v>636</v>
      </c>
      <c r="L277" s="597"/>
      <c r="M277" s="1944">
        <f t="shared" si="135"/>
        <v>0</v>
      </c>
      <c r="N277" s="597"/>
      <c r="O277" s="1944">
        <f t="shared" si="136"/>
        <v>0</v>
      </c>
      <c r="P277" s="597"/>
      <c r="Q277" s="1944">
        <f t="shared" si="137"/>
        <v>636</v>
      </c>
      <c r="R277" s="597"/>
      <c r="S277" s="1644">
        <f t="shared" ref="S277:S281" si="138">ROUND($D277*K277,0)</f>
        <v>0</v>
      </c>
      <c r="T277" s="1643"/>
      <c r="U277" s="1644">
        <f t="shared" ref="U277:U281" si="139">ROUND($D277*M277,0)</f>
        <v>0</v>
      </c>
      <c r="V277" s="1643"/>
      <c r="W277" s="1644">
        <f t="shared" ref="W277:W281" si="140">ROUND($D277*O277,0)</f>
        <v>0</v>
      </c>
      <c r="X277" s="1643"/>
      <c r="Y277" s="1644">
        <f t="shared" ref="Y277:Y281" si="141">ROUND($D277*Q277,0)</f>
        <v>0</v>
      </c>
      <c r="AI277" s="2023">
        <f>W277-'Blocking-Step2'!W277</f>
        <v>0</v>
      </c>
      <c r="AJ277" s="2054">
        <f>O277-'Blocking-Step2'!O277</f>
        <v>0</v>
      </c>
    </row>
    <row r="278" spans="1:36" hidden="1">
      <c r="A278" s="1900" t="s">
        <v>1298</v>
      </c>
      <c r="C278" s="528">
        <v>0</v>
      </c>
      <c r="D278" s="528">
        <v>0</v>
      </c>
      <c r="F278" s="1944">
        <v>54</v>
      </c>
      <c r="G278" s="597"/>
      <c r="H278" s="1644">
        <f t="shared" si="133"/>
        <v>0</v>
      </c>
      <c r="I278" s="1644">
        <f t="shared" si="133"/>
        <v>0</v>
      </c>
      <c r="K278" s="1944">
        <f t="shared" si="134"/>
        <v>53</v>
      </c>
      <c r="L278" s="597"/>
      <c r="M278" s="1944">
        <f t="shared" si="135"/>
        <v>0</v>
      </c>
      <c r="N278" s="597"/>
      <c r="O278" s="1944">
        <f t="shared" si="136"/>
        <v>0</v>
      </c>
      <c r="P278" s="597"/>
      <c r="Q278" s="1944">
        <f t="shared" si="137"/>
        <v>53</v>
      </c>
      <c r="R278" s="597"/>
      <c r="S278" s="1644">
        <f t="shared" si="138"/>
        <v>0</v>
      </c>
      <c r="T278" s="1645"/>
      <c r="U278" s="1644">
        <f t="shared" si="139"/>
        <v>0</v>
      </c>
      <c r="V278" s="1645"/>
      <c r="W278" s="1644">
        <f t="shared" si="140"/>
        <v>0</v>
      </c>
      <c r="X278" s="1645"/>
      <c r="Y278" s="1644">
        <f t="shared" si="141"/>
        <v>0</v>
      </c>
      <c r="AI278" s="2023">
        <f>W278-'Blocking-Step2'!W278</f>
        <v>0</v>
      </c>
      <c r="AJ278" s="2054">
        <f>O278-'Blocking-Step2'!O278</f>
        <v>0</v>
      </c>
    </row>
    <row r="279" spans="1:36" hidden="1">
      <c r="A279" s="1900" t="s">
        <v>168</v>
      </c>
      <c r="C279" s="528">
        <f>'BD-Redesign'!F55</f>
        <v>3964.2846534653472</v>
      </c>
      <c r="D279" s="528">
        <f>ROUND(C279/$C$294*$D$294,0)</f>
        <v>4761</v>
      </c>
      <c r="F279" s="1944">
        <v>4.04</v>
      </c>
      <c r="G279" s="597"/>
      <c r="H279" s="1644">
        <f>ROUND($F279*C279,0)</f>
        <v>16016</v>
      </c>
      <c r="I279" s="1644">
        <f>ROUND($F279*D279,0)</f>
        <v>19234</v>
      </c>
      <c r="K279" s="1944">
        <f t="shared" si="134"/>
        <v>3.98</v>
      </c>
      <c r="L279" s="597"/>
      <c r="M279" s="1944">
        <f t="shared" si="135"/>
        <v>0</v>
      </c>
      <c r="N279" s="597"/>
      <c r="O279" s="1944">
        <f t="shared" si="136"/>
        <v>0</v>
      </c>
      <c r="P279" s="597"/>
      <c r="Q279" s="1944">
        <f t="shared" si="137"/>
        <v>3.98</v>
      </c>
      <c r="R279" s="597"/>
      <c r="S279" s="1644">
        <f t="shared" si="138"/>
        <v>18949</v>
      </c>
      <c r="T279" s="1643"/>
      <c r="U279" s="1644">
        <f t="shared" si="139"/>
        <v>0</v>
      </c>
      <c r="V279" s="1643"/>
      <c r="W279" s="1644">
        <f t="shared" si="140"/>
        <v>0</v>
      </c>
      <c r="X279" s="1643"/>
      <c r="Y279" s="1644">
        <f t="shared" si="141"/>
        <v>18949</v>
      </c>
      <c r="AI279" s="2023">
        <f>W279-'Blocking-Step2'!W279</f>
        <v>0</v>
      </c>
      <c r="AJ279" s="2054">
        <f>O279-'Blocking-Step2'!O279</f>
        <v>0</v>
      </c>
    </row>
    <row r="280" spans="1:36" hidden="1">
      <c r="A280" s="1900" t="s">
        <v>1645</v>
      </c>
      <c r="C280" s="528">
        <f>'BD-Redesign'!F56</f>
        <v>1503.5334158415844</v>
      </c>
      <c r="D280" s="528">
        <f t="shared" ref="D280:D281" si="142">ROUND(C280/$C$294*$D$294,0)</f>
        <v>1806</v>
      </c>
      <c r="F280" s="1944"/>
      <c r="G280" s="597"/>
      <c r="H280" s="1644"/>
      <c r="I280" s="1644"/>
      <c r="K280" s="1944">
        <f t="shared" si="134"/>
        <v>6.22</v>
      </c>
      <c r="L280" s="597"/>
      <c r="M280" s="1944">
        <f t="shared" si="135"/>
        <v>7.0100000000000007</v>
      </c>
      <c r="N280" s="597"/>
      <c r="O280" s="1944">
        <f t="shared" si="136"/>
        <v>0</v>
      </c>
      <c r="P280" s="597"/>
      <c r="Q280" s="1944">
        <f t="shared" si="137"/>
        <v>13.23</v>
      </c>
      <c r="R280" s="597"/>
      <c r="S280" s="1644">
        <f t="shared" si="138"/>
        <v>11233</v>
      </c>
      <c r="T280" s="1645"/>
      <c r="U280" s="1644">
        <f t="shared" si="139"/>
        <v>12660</v>
      </c>
      <c r="V280" s="1645"/>
      <c r="W280" s="1644">
        <f t="shared" si="140"/>
        <v>0</v>
      </c>
      <c r="X280" s="1645"/>
      <c r="Y280" s="1644">
        <f t="shared" si="141"/>
        <v>23893</v>
      </c>
      <c r="AI280" s="2023">
        <f>W280-'Blocking-Step2'!W280</f>
        <v>0</v>
      </c>
      <c r="AJ280" s="2054">
        <f>O280-'Blocking-Step2'!O280</f>
        <v>0</v>
      </c>
    </row>
    <row r="281" spans="1:36" hidden="1">
      <c r="A281" s="1900" t="s">
        <v>1646</v>
      </c>
      <c r="C281" s="528">
        <f>'BD-Redesign'!F57</f>
        <v>2460.7512376237623</v>
      </c>
      <c r="D281" s="528">
        <f t="shared" si="142"/>
        <v>2955</v>
      </c>
      <c r="F281" s="1944"/>
      <c r="G281" s="597"/>
      <c r="H281" s="1644"/>
      <c r="I281" s="1644"/>
      <c r="K281" s="1944">
        <f t="shared" si="134"/>
        <v>5.5</v>
      </c>
      <c r="L281" s="597"/>
      <c r="M281" s="1944">
        <f t="shared" si="135"/>
        <v>6.2100000000000009</v>
      </c>
      <c r="N281" s="597"/>
      <c r="O281" s="1944">
        <f t="shared" si="136"/>
        <v>0</v>
      </c>
      <c r="P281" s="597"/>
      <c r="Q281" s="1944">
        <f t="shared" si="137"/>
        <v>11.71</v>
      </c>
      <c r="R281" s="597"/>
      <c r="S281" s="1644">
        <f t="shared" si="138"/>
        <v>16253</v>
      </c>
      <c r="T281" s="1645"/>
      <c r="U281" s="1644">
        <f t="shared" si="139"/>
        <v>18351</v>
      </c>
      <c r="V281" s="1645"/>
      <c r="W281" s="1644">
        <f t="shared" si="140"/>
        <v>0</v>
      </c>
      <c r="X281" s="1645"/>
      <c r="Y281" s="1644">
        <f t="shared" si="141"/>
        <v>34603</v>
      </c>
      <c r="AI281" s="2023">
        <f>W281-'Blocking-Step2'!W281</f>
        <v>0</v>
      </c>
      <c r="AJ281" s="2054">
        <f>O281-'Blocking-Step2'!O281</f>
        <v>0</v>
      </c>
    </row>
    <row r="282" spans="1:36" hidden="1">
      <c r="A282" s="1900" t="s">
        <v>1647</v>
      </c>
      <c r="C282" s="528">
        <f>'BD-Redesign'!F59</f>
        <v>236042</v>
      </c>
      <c r="D282" s="528">
        <f>D294-SUM(D283,D289:D293)</f>
        <v>283489.59215955599</v>
      </c>
      <c r="F282" s="1943"/>
      <c r="G282" s="1921"/>
      <c r="H282" s="1644"/>
      <c r="I282" s="1644"/>
      <c r="K282" s="1943">
        <f t="shared" si="134"/>
        <v>0</v>
      </c>
      <c r="L282" s="1921" t="s">
        <v>495</v>
      </c>
      <c r="M282" s="1943">
        <f t="shared" si="135"/>
        <v>1.5747172373309999</v>
      </c>
      <c r="N282" s="1921" t="s">
        <v>495</v>
      </c>
      <c r="O282" s="1943">
        <f t="shared" si="136"/>
        <v>2.305570240802</v>
      </c>
      <c r="P282" s="1921" t="s">
        <v>495</v>
      </c>
      <c r="Q282" s="1943">
        <f t="shared" si="137"/>
        <v>3.8802874781329999</v>
      </c>
      <c r="R282" s="1921" t="s">
        <v>495</v>
      </c>
      <c r="S282" s="1644">
        <f>ROUND($D282*K282/100,0)</f>
        <v>0</v>
      </c>
      <c r="T282" s="1648"/>
      <c r="U282" s="1644">
        <f>ROUND($D282*M282/100,0)</f>
        <v>4464</v>
      </c>
      <c r="V282" s="1648"/>
      <c r="W282" s="1644">
        <f>ROUND($D282*O282/100,0)</f>
        <v>6536</v>
      </c>
      <c r="X282" s="1648"/>
      <c r="Y282" s="1644">
        <f>ROUND($D282*Q282/100,0)</f>
        <v>11000</v>
      </c>
      <c r="AI282" s="2023">
        <f>W282-'Blocking-Step2'!W282</f>
        <v>0</v>
      </c>
      <c r="AJ282" s="2054">
        <f>O282-'Blocking-Step2'!O282</f>
        <v>0</v>
      </c>
    </row>
    <row r="283" spans="1:36" hidden="1">
      <c r="A283" s="1900" t="s">
        <v>1648</v>
      </c>
      <c r="C283" s="528">
        <f>'BD-Redesign'!F60</f>
        <v>345285</v>
      </c>
      <c r="D283" s="528">
        <f>ROUND(C283/C294*D294,0)</f>
        <v>414693</v>
      </c>
      <c r="F283" s="1943"/>
      <c r="G283" s="1921"/>
      <c r="H283" s="1644"/>
      <c r="I283" s="1644"/>
      <c r="K283" s="1943">
        <f t="shared" si="134"/>
        <v>0</v>
      </c>
      <c r="L283" s="1921" t="s">
        <v>495</v>
      </c>
      <c r="M283" s="1943">
        <f t="shared" si="135"/>
        <v>1.3935347233019999</v>
      </c>
      <c r="N283" s="1921" t="s">
        <v>495</v>
      </c>
      <c r="O283" s="1943">
        <f t="shared" si="136"/>
        <v>2.0403480007099999</v>
      </c>
      <c r="P283" s="1921" t="s">
        <v>495</v>
      </c>
      <c r="Q283" s="1943">
        <f t="shared" si="137"/>
        <v>3.4338827240119998</v>
      </c>
      <c r="R283" s="1921" t="s">
        <v>495</v>
      </c>
      <c r="S283" s="1644">
        <f>ROUND($D283*K283/100,0)</f>
        <v>0</v>
      </c>
      <c r="T283" s="1648"/>
      <c r="U283" s="1644">
        <f>ROUND($D283*M283/100,0)</f>
        <v>5779</v>
      </c>
      <c r="V283" s="1648"/>
      <c r="W283" s="1644">
        <f>ROUND($D283*O283/100,0)</f>
        <v>8461</v>
      </c>
      <c r="X283" s="1648"/>
      <c r="Y283" s="1644">
        <f>ROUND($D283*Q283/100,0)</f>
        <v>14240</v>
      </c>
      <c r="AI283" s="2023">
        <f>W283-'Blocking-Step2'!W283</f>
        <v>0</v>
      </c>
      <c r="AJ283" s="2054">
        <f>O283-'Blocking-Step2'!O283</f>
        <v>0</v>
      </c>
    </row>
    <row r="284" spans="1:36" hidden="1">
      <c r="A284" s="1900" t="s">
        <v>196</v>
      </c>
      <c r="C284" s="528">
        <f>(C280+C281)*C701/(C701+C702)</f>
        <v>1658.2225477373308</v>
      </c>
      <c r="D284" s="528">
        <f>ROUND(C284/C294*D294,0)</f>
        <v>1992</v>
      </c>
      <c r="F284" s="1944">
        <v>14.62</v>
      </c>
      <c r="G284" s="597"/>
      <c r="H284" s="1644">
        <f t="shared" ref="H284:I286" si="143">ROUND($F284*C284,0)</f>
        <v>24243</v>
      </c>
      <c r="I284" s="1644">
        <f t="shared" si="143"/>
        <v>29123</v>
      </c>
      <c r="K284" s="1944"/>
      <c r="L284" s="597"/>
      <c r="M284" s="1944"/>
      <c r="N284" s="597"/>
      <c r="O284" s="1944"/>
      <c r="P284" s="597"/>
      <c r="Q284" s="1944"/>
      <c r="R284" s="597"/>
      <c r="S284" s="1644"/>
      <c r="T284" s="1643"/>
      <c r="U284" s="1644"/>
      <c r="V284" s="1643"/>
      <c r="W284" s="1644"/>
      <c r="X284" s="1643"/>
      <c r="Y284" s="1644"/>
      <c r="AI284" s="2023">
        <f>W284-'Blocking-Step2'!W284</f>
        <v>0</v>
      </c>
      <c r="AJ284" s="2054">
        <f>O284-'Blocking-Step2'!O284</f>
        <v>0</v>
      </c>
    </row>
    <row r="285" spans="1:36" hidden="1">
      <c r="A285" s="1900" t="s">
        <v>161</v>
      </c>
      <c r="C285" s="528">
        <f>C280+C281-C284</f>
        <v>2306.0621057280159</v>
      </c>
      <c r="D285" s="528">
        <f>ROUND(C285/C294*D294,0)</f>
        <v>2770</v>
      </c>
      <c r="F285" s="1944">
        <v>10.91</v>
      </c>
      <c r="G285" s="597"/>
      <c r="H285" s="1644">
        <f t="shared" si="143"/>
        <v>25159</v>
      </c>
      <c r="I285" s="1644">
        <f t="shared" si="143"/>
        <v>30221</v>
      </c>
      <c r="K285" s="1944"/>
      <c r="L285" s="597"/>
      <c r="M285" s="1944"/>
      <c r="N285" s="597"/>
      <c r="O285" s="1944"/>
      <c r="P285" s="597"/>
      <c r="Q285" s="1944"/>
      <c r="R285" s="597"/>
      <c r="S285" s="1644"/>
      <c r="T285" s="1643"/>
      <c r="U285" s="1644"/>
      <c r="V285" s="1643"/>
      <c r="W285" s="1644"/>
      <c r="X285" s="1643"/>
      <c r="Y285" s="1644"/>
      <c r="AI285" s="2023">
        <f>W285-'Blocking-Step2'!W285</f>
        <v>0</v>
      </c>
      <c r="AJ285" s="2054">
        <f>O285-'Blocking-Step2'!O285</f>
        <v>0</v>
      </c>
    </row>
    <row r="286" spans="1:36" hidden="1">
      <c r="A286" s="1900" t="s">
        <v>261</v>
      </c>
      <c r="C286" s="528">
        <f>'BD-Redesign'!F58</f>
        <v>0</v>
      </c>
      <c r="D286" s="528">
        <f>ROUND(C286/C294*D294,0)</f>
        <v>0</v>
      </c>
      <c r="F286" s="1944">
        <v>-0.96</v>
      </c>
      <c r="G286" s="597"/>
      <c r="H286" s="1644">
        <f t="shared" si="143"/>
        <v>0</v>
      </c>
      <c r="I286" s="1644">
        <f t="shared" si="143"/>
        <v>0</v>
      </c>
      <c r="K286" s="1944">
        <f>K250</f>
        <v>-0.96</v>
      </c>
      <c r="L286" s="597"/>
      <c r="M286" s="1944">
        <f>M250</f>
        <v>0</v>
      </c>
      <c r="N286" s="597"/>
      <c r="O286" s="1944">
        <f>O250</f>
        <v>0</v>
      </c>
      <c r="P286" s="597"/>
      <c r="Q286" s="1944">
        <f>Q250</f>
        <v>-0.96</v>
      </c>
      <c r="R286" s="597"/>
      <c r="S286" s="1644">
        <f t="shared" ref="S286" si="144">ROUND($D286*K286,0)</f>
        <v>0</v>
      </c>
      <c r="T286" s="1643"/>
      <c r="U286" s="1644">
        <f t="shared" ref="U286" si="145">ROUND($D286*M286,0)</f>
        <v>0</v>
      </c>
      <c r="V286" s="1643"/>
      <c r="W286" s="1644">
        <f t="shared" ref="W286" si="146">ROUND($D286*O286,0)</f>
        <v>0</v>
      </c>
      <c r="X286" s="1643"/>
      <c r="Y286" s="1644">
        <f t="shared" ref="Y286" si="147">ROUND($D286*Q286,0)</f>
        <v>0</v>
      </c>
      <c r="AI286" s="2023">
        <f>W286-'Blocking-Step2'!W286</f>
        <v>0</v>
      </c>
      <c r="AJ286" s="2054">
        <f>O286-'Blocking-Step2'!O286</f>
        <v>0</v>
      </c>
    </row>
    <row r="287" spans="1:36" hidden="1">
      <c r="A287" s="1900" t="s">
        <v>1362</v>
      </c>
      <c r="C287" s="528">
        <f>(C282+C283)*C704/(C704+C705)</f>
        <v>234805.04955330916</v>
      </c>
      <c r="D287" s="528">
        <f>ROUND(C287/C294*D294,0)</f>
        <v>282004</v>
      </c>
      <c r="F287" s="1943">
        <v>3.8127</v>
      </c>
      <c r="G287" s="1921" t="s">
        <v>495</v>
      </c>
      <c r="H287" s="1644">
        <f t="shared" ref="H287:I289" si="148">ROUND($F287*C287/100,0)</f>
        <v>8952</v>
      </c>
      <c r="I287" s="1644">
        <f t="shared" si="148"/>
        <v>10752</v>
      </c>
      <c r="K287" s="1943"/>
      <c r="L287" s="1921"/>
      <c r="M287" s="1943"/>
      <c r="N287" s="1921"/>
      <c r="O287" s="1943"/>
      <c r="P287" s="1921"/>
      <c r="Q287" s="1943"/>
      <c r="R287" s="1921"/>
      <c r="S287" s="1644"/>
      <c r="T287" s="1648"/>
      <c r="U287" s="1644"/>
      <c r="V287" s="1648"/>
      <c r="W287" s="1644"/>
      <c r="X287" s="1648"/>
      <c r="Y287" s="1644"/>
      <c r="AI287" s="2023">
        <f>W287-'Blocking-Step2'!W287</f>
        <v>0</v>
      </c>
      <c r="AJ287" s="2054">
        <f>O287-'Blocking-Step2'!O287</f>
        <v>0</v>
      </c>
    </row>
    <row r="288" spans="1:36" hidden="1">
      <c r="A288" s="1900" t="s">
        <v>1363</v>
      </c>
      <c r="C288" s="528">
        <f>C282+C283-C287</f>
        <v>346521.95044669084</v>
      </c>
      <c r="D288" s="528">
        <f>D294-D287-D289-D290-D293</f>
        <v>416178.59215955599</v>
      </c>
      <c r="F288" s="1943">
        <v>3.5143</v>
      </c>
      <c r="G288" s="1921" t="s">
        <v>495</v>
      </c>
      <c r="H288" s="1644">
        <f t="shared" si="148"/>
        <v>12178</v>
      </c>
      <c r="I288" s="1644">
        <f t="shared" si="148"/>
        <v>14626</v>
      </c>
      <c r="K288" s="1943"/>
      <c r="L288" s="1921"/>
      <c r="M288" s="1943"/>
      <c r="N288" s="1921"/>
      <c r="O288" s="1943"/>
      <c r="P288" s="1921"/>
      <c r="Q288" s="1943"/>
      <c r="R288" s="1921"/>
      <c r="S288" s="1644"/>
      <c r="T288" s="1648"/>
      <c r="U288" s="1644"/>
      <c r="V288" s="1648"/>
      <c r="W288" s="1644"/>
      <c r="X288" s="1648"/>
      <c r="Y288" s="1644"/>
      <c r="AI288" s="2023">
        <f>W288-'Blocking-Step2'!W288</f>
        <v>0</v>
      </c>
      <c r="AJ288" s="2054">
        <f>O288-'Blocking-Step2'!O288</f>
        <v>0</v>
      </c>
    </row>
    <row r="289" spans="1:36" hidden="1">
      <c r="A289" s="1116" t="s">
        <v>1158</v>
      </c>
      <c r="C289" s="528">
        <f>'BD-Redesign'!F61</f>
        <v>0</v>
      </c>
      <c r="D289" s="528">
        <f>ROUND(C289/(C294-C290)*D294,0)</f>
        <v>0</v>
      </c>
      <c r="F289" s="1943">
        <v>7.125</v>
      </c>
      <c r="G289" s="1921" t="s">
        <v>495</v>
      </c>
      <c r="H289" s="1644">
        <f t="shared" si="148"/>
        <v>0</v>
      </c>
      <c r="I289" s="1644">
        <f t="shared" si="148"/>
        <v>0</v>
      </c>
      <c r="K289" s="1943">
        <f>K253</f>
        <v>0</v>
      </c>
      <c r="L289" s="1921" t="s">
        <v>495</v>
      </c>
      <c r="M289" s="1943">
        <f>M253</f>
        <v>7.125</v>
      </c>
      <c r="N289" s="1921" t="s">
        <v>495</v>
      </c>
      <c r="O289" s="1943">
        <f>O253</f>
        <v>0</v>
      </c>
      <c r="P289" s="1921" t="s">
        <v>495</v>
      </c>
      <c r="Q289" s="1943">
        <f>Q253</f>
        <v>7.125</v>
      </c>
      <c r="R289" s="1921" t="s">
        <v>495</v>
      </c>
      <c r="S289" s="1644">
        <f>ROUND($D289*K289/100,0)</f>
        <v>0</v>
      </c>
      <c r="T289" s="1648"/>
      <c r="U289" s="1644">
        <f>ROUND($D289*M289/100,0)</f>
        <v>0</v>
      </c>
      <c r="V289" s="1648"/>
      <c r="W289" s="1644">
        <f>ROUND($D289*O289/100,0)</f>
        <v>0</v>
      </c>
      <c r="X289" s="1648"/>
      <c r="Y289" s="1644">
        <f>ROUND($D289*Q289/100,0)</f>
        <v>0</v>
      </c>
      <c r="AI289" s="2023">
        <f>W289-'Blocking-Step2'!W289</f>
        <v>0</v>
      </c>
      <c r="AJ289" s="2054">
        <f>O289-'Blocking-Step2'!O289</f>
        <v>0</v>
      </c>
    </row>
    <row r="290" spans="1:36" hidden="1">
      <c r="A290" s="1900" t="s">
        <v>246</v>
      </c>
      <c r="C290" s="529">
        <v>0</v>
      </c>
      <c r="D290" s="529">
        <v>0</v>
      </c>
      <c r="H290" s="1030">
        <v>0</v>
      </c>
      <c r="I290" s="1030">
        <v>0</v>
      </c>
      <c r="S290" s="1030"/>
      <c r="U290" s="1030"/>
      <c r="W290" s="1030"/>
      <c r="Y290" s="1030"/>
      <c r="AI290" s="2023">
        <f>W290-'Blocking-Step2'!W290</f>
        <v>0</v>
      </c>
      <c r="AJ290" s="2054">
        <f>O290-'Blocking-Step2'!O290</f>
        <v>0</v>
      </c>
    </row>
    <row r="291" spans="1:36" hidden="1">
      <c r="A291" s="1900" t="s">
        <v>1240</v>
      </c>
      <c r="C291" s="584"/>
      <c r="D291" s="584"/>
      <c r="F291" s="1930">
        <v>-3.61E-2</v>
      </c>
      <c r="G291" s="597"/>
      <c r="H291" s="1644">
        <f>SUM(H284:H285,H287:H289)*$F291</f>
        <v>-2546.2051999999999</v>
      </c>
      <c r="I291" s="1644">
        <f>SUM(I284:I285,I287:I289)*$F291</f>
        <v>-3058.4641999999999</v>
      </c>
      <c r="K291" s="1930">
        <f>K255</f>
        <v>0</v>
      </c>
      <c r="L291" s="597"/>
      <c r="M291" s="1930">
        <f>M255</f>
        <v>0</v>
      </c>
      <c r="N291" s="597"/>
      <c r="O291" s="1931" t="str">
        <f>$O$43</f>
        <v>Tax Year 1 (1/1/2021)</v>
      </c>
      <c r="P291" s="597"/>
      <c r="Q291" s="1930">
        <f>$Q$687</f>
        <v>-1.52E-2</v>
      </c>
      <c r="R291" s="597"/>
      <c r="S291" s="1644"/>
      <c r="T291" s="1645"/>
      <c r="U291" s="1644"/>
      <c r="V291" s="1645"/>
      <c r="W291" s="1644"/>
      <c r="X291" s="1645"/>
      <c r="Y291" s="1644">
        <f>Q291*SUM(Y280:Y283,Y289)</f>
        <v>-1272.7872</v>
      </c>
      <c r="AI291" s="2023">
        <f>W291-'Blocking-Step2'!W291</f>
        <v>0</v>
      </c>
      <c r="AJ291" s="2054">
        <f>O291-'Blocking-Step2'!O291</f>
        <v>0</v>
      </c>
    </row>
    <row r="292" spans="1:36" hidden="1">
      <c r="A292" s="1900"/>
      <c r="C292" s="584"/>
      <c r="D292" s="584"/>
      <c r="F292" s="1930"/>
      <c r="G292" s="597"/>
      <c r="H292" s="1644"/>
      <c r="I292" s="1644"/>
      <c r="K292" s="1930"/>
      <c r="L292" s="597"/>
      <c r="M292" s="1930"/>
      <c r="N292" s="597"/>
      <c r="O292" s="1931">
        <f>$O$44</f>
        <v>0</v>
      </c>
      <c r="P292" s="597"/>
      <c r="Q292" s="1930">
        <f>$Q$688</f>
        <v>0</v>
      </c>
      <c r="R292" s="597"/>
      <c r="S292" s="1644"/>
      <c r="T292" s="1645"/>
      <c r="U292" s="1644"/>
      <c r="V292" s="1645"/>
      <c r="W292" s="1644"/>
      <c r="X292" s="1645"/>
      <c r="Y292" s="1644">
        <f>Q292*SUM(Y280:Y283,Y289)</f>
        <v>0</v>
      </c>
      <c r="AI292" s="2023">
        <f>W292-'Blocking-Step2'!W292</f>
        <v>0</v>
      </c>
      <c r="AJ292" s="2054">
        <f>O292-'Blocking-Step2'!O292</f>
        <v>0</v>
      </c>
    </row>
    <row r="293" spans="1:36" ht="16.5" hidden="1" thickBot="1">
      <c r="A293" s="1116" t="s">
        <v>1317</v>
      </c>
      <c r="C293" s="584">
        <v>0</v>
      </c>
      <c r="D293" s="528">
        <f>ROUND(C293/(C294-C290)*D294,0)</f>
        <v>0</v>
      </c>
      <c r="F293" s="1930"/>
      <c r="G293" s="597"/>
      <c r="H293" s="1644"/>
      <c r="I293" s="1644"/>
      <c r="K293" s="1930"/>
      <c r="L293" s="597"/>
      <c r="M293" s="1930"/>
      <c r="N293" s="597"/>
      <c r="O293" s="1939"/>
      <c r="Q293" s="1939"/>
      <c r="S293" s="1647"/>
      <c r="U293" s="1647"/>
      <c r="W293" s="1647"/>
      <c r="Y293" s="1647"/>
      <c r="AI293" s="2023">
        <f>W293-'Blocking-Step2'!W293</f>
        <v>0</v>
      </c>
      <c r="AJ293" s="2054">
        <f>O293-'Blocking-Step2'!O293</f>
        <v>0</v>
      </c>
    </row>
    <row r="294" spans="1:36" ht="17.25" hidden="1" thickTop="1" thickBot="1">
      <c r="A294" s="1900" t="s">
        <v>247</v>
      </c>
      <c r="C294" s="1949">
        <f>SUM(C287:C289,C290,C293)</f>
        <v>581327</v>
      </c>
      <c r="D294" s="1949">
        <f>C294*D711/C711</f>
        <v>698182.59215955599</v>
      </c>
      <c r="F294" s="1939"/>
      <c r="H294" s="1647">
        <f>SUM(H276:H291)</f>
        <v>90389.794800000003</v>
      </c>
      <c r="I294" s="1647">
        <f>SUM(I276:I291)</f>
        <v>107636.5358</v>
      </c>
      <c r="K294" s="1939"/>
      <c r="M294" s="1939"/>
      <c r="O294" s="1939"/>
      <c r="Q294" s="1939"/>
      <c r="S294" s="1647">
        <f>SUM(S276:S290)</f>
        <v>53050</v>
      </c>
      <c r="U294" s="1647">
        <f>SUM(U276:U290)</f>
        <v>41254</v>
      </c>
      <c r="W294" s="1647">
        <f>SUM(W276:W290)</f>
        <v>14997</v>
      </c>
      <c r="Y294" s="1647">
        <f>SUM(Y276:Y290)</f>
        <v>109300</v>
      </c>
      <c r="AA294" s="1104" t="s">
        <v>1743</v>
      </c>
      <c r="AB294" s="1890">
        <f>Y294/I294-1</f>
        <v>1.5454456868538413E-2</v>
      </c>
      <c r="AI294" s="2023">
        <f>W294-'Blocking-Step2'!W294</f>
        <v>0</v>
      </c>
      <c r="AJ294" s="2054">
        <f>O294-'Blocking-Step2'!O294</f>
        <v>0</v>
      </c>
    </row>
    <row r="295" spans="1:36" ht="16.5" hidden="1" thickTop="1">
      <c r="AI295" s="2023">
        <f>W295-'Blocking-Step2'!W295</f>
        <v>0</v>
      </c>
      <c r="AJ295" s="2054">
        <f>O295-'Blocking-Step2'!O295</f>
        <v>0</v>
      </c>
    </row>
    <row r="296" spans="1:36" hidden="1">
      <c r="A296" s="1897" t="s">
        <v>1916</v>
      </c>
      <c r="C296" s="528"/>
      <c r="D296" s="528"/>
      <c r="AI296" s="2023">
        <f>W296-'Blocking-Step2'!W296</f>
        <v>0</v>
      </c>
      <c r="AJ296" s="2054">
        <f>O296-'Blocking-Step2'!O296</f>
        <v>0</v>
      </c>
    </row>
    <row r="297" spans="1:36" hidden="1">
      <c r="A297" s="1900" t="s">
        <v>240</v>
      </c>
      <c r="C297" s="528">
        <f>'BD-Redesign'!D22</f>
        <v>14061.016666649997</v>
      </c>
      <c r="D297" s="528">
        <f>D312</f>
        <v>13951.476908881947</v>
      </c>
      <c r="F297" s="1901"/>
      <c r="G297" s="1902"/>
      <c r="H297" s="1644"/>
      <c r="I297" s="1644"/>
      <c r="K297" s="1901">
        <f>K225</f>
        <v>53</v>
      </c>
      <c r="L297" s="1902"/>
      <c r="M297" s="1901">
        <f>M225</f>
        <v>0</v>
      </c>
      <c r="N297" s="1902"/>
      <c r="O297" s="1901">
        <f>O225</f>
        <v>0</v>
      </c>
      <c r="P297" s="1902"/>
      <c r="Q297" s="1901">
        <f t="shared" ref="Q297:Q307" si="149">Q225</f>
        <v>53</v>
      </c>
      <c r="R297" s="1902"/>
      <c r="S297" s="1644">
        <f>ROUND($D297*K297,0)</f>
        <v>739428</v>
      </c>
      <c r="T297" s="1643"/>
      <c r="U297" s="1644">
        <f>ROUND($D297*M297,0)</f>
        <v>0</v>
      </c>
      <c r="V297" s="1643"/>
      <c r="W297" s="1644">
        <f>ROUND($D297*O297,0)</f>
        <v>0</v>
      </c>
      <c r="X297" s="1643"/>
      <c r="Y297" s="1644">
        <f>ROUND($D297*Q297,0)</f>
        <v>739428</v>
      </c>
      <c r="AA297" s="1109"/>
      <c r="AB297" s="1114"/>
      <c r="AI297" s="2023">
        <f>W297-'Blocking-Step2'!W297</f>
        <v>0</v>
      </c>
      <c r="AJ297" s="2054">
        <f>O297-'Blocking-Step2'!O297</f>
        <v>0</v>
      </c>
    </row>
    <row r="298" spans="1:36" hidden="1">
      <c r="A298" s="1900" t="s">
        <v>1910</v>
      </c>
      <c r="C298" s="528">
        <f>'BD-Redesign'!D23</f>
        <v>19353983.668316837</v>
      </c>
      <c r="D298" s="528">
        <f t="shared" ref="D298:D307" si="150">C298/$C$310*$D$310</f>
        <v>18365329.916608788</v>
      </c>
      <c r="E298" s="597"/>
      <c r="F298" s="1942"/>
      <c r="G298" s="1921"/>
      <c r="H298" s="1644"/>
      <c r="I298" s="1644"/>
      <c r="J298" s="597"/>
      <c r="K298" s="1942">
        <f t="shared" ref="K298:K307" si="151">K226</f>
        <v>3.89</v>
      </c>
      <c r="L298" s="1921" t="s">
        <v>495</v>
      </c>
      <c r="M298" s="1942">
        <f t="shared" ref="M298:M307" si="152">M226</f>
        <v>17.137528114911813</v>
      </c>
      <c r="N298" s="1921" t="s">
        <v>495</v>
      </c>
      <c r="O298" s="1942">
        <f t="shared" ref="O298:O307" si="153">O226</f>
        <v>1.3496999999999999</v>
      </c>
      <c r="P298" s="1921" t="s">
        <v>495</v>
      </c>
      <c r="Q298" s="1942">
        <f t="shared" si="149"/>
        <v>22.377228114911812</v>
      </c>
      <c r="R298" s="1921" t="s">
        <v>495</v>
      </c>
      <c r="S298" s="1644">
        <f>ROUND($D298*K298/100,0)</f>
        <v>714411</v>
      </c>
      <c r="T298" s="1648"/>
      <c r="U298" s="1644">
        <f>ROUND($D298*M298/100,0)</f>
        <v>3147364</v>
      </c>
      <c r="V298" s="1648"/>
      <c r="W298" s="1644">
        <f>ROUND($D298*O298/100,0)</f>
        <v>247877</v>
      </c>
      <c r="X298" s="1648"/>
      <c r="Y298" s="1644">
        <f>ROUND($D298*Q298/100,0)</f>
        <v>4109652</v>
      </c>
      <c r="AI298" s="2023">
        <f>W298-'Blocking-Step2'!W298</f>
        <v>0</v>
      </c>
      <c r="AJ298" s="2054">
        <f>O298-'Blocking-Step2'!O298</f>
        <v>0</v>
      </c>
    </row>
    <row r="299" spans="1:36" hidden="1">
      <c r="A299" s="1900" t="s">
        <v>1911</v>
      </c>
      <c r="C299" s="528">
        <f>'BD-Redesign'!D24</f>
        <v>44598391.331683159</v>
      </c>
      <c r="D299" s="528">
        <f t="shared" si="150"/>
        <v>42320185.063358508</v>
      </c>
      <c r="E299" s="597"/>
      <c r="F299" s="1942"/>
      <c r="G299" s="1921"/>
      <c r="H299" s="1644"/>
      <c r="I299" s="1644"/>
      <c r="J299" s="597"/>
      <c r="K299" s="1942">
        <f t="shared" si="151"/>
        <v>3.89</v>
      </c>
      <c r="L299" s="1921" t="s">
        <v>495</v>
      </c>
      <c r="M299" s="1942">
        <f t="shared" si="152"/>
        <v>-1.0877975226579997</v>
      </c>
      <c r="N299" s="1921" t="s">
        <v>495</v>
      </c>
      <c r="O299" s="1942">
        <f t="shared" si="153"/>
        <v>1.3496999999999999</v>
      </c>
      <c r="P299" s="1921" t="s">
        <v>495</v>
      </c>
      <c r="Q299" s="1942">
        <f t="shared" si="149"/>
        <v>4.1519024773420004</v>
      </c>
      <c r="R299" s="1921" t="s">
        <v>495</v>
      </c>
      <c r="S299" s="1644">
        <f t="shared" ref="S299:S305" si="154">ROUND($D299*K299/100,0)</f>
        <v>1646255</v>
      </c>
      <c r="T299" s="1648"/>
      <c r="U299" s="1644">
        <f t="shared" ref="U299:U305" si="155">ROUND($D299*M299/100,0)</f>
        <v>-460358</v>
      </c>
      <c r="V299" s="1648"/>
      <c r="W299" s="1644">
        <f t="shared" ref="W299:W305" si="156">ROUND($D299*O299/100,0)</f>
        <v>571196</v>
      </c>
      <c r="X299" s="1648"/>
      <c r="Y299" s="1644">
        <f t="shared" ref="Y299:Y305" si="157">ROUND($D299*Q299/100,0)</f>
        <v>1757093</v>
      </c>
      <c r="AI299" s="2023">
        <f>W299-'Blocking-Step2'!W299</f>
        <v>0</v>
      </c>
      <c r="AJ299" s="2054">
        <f>O299-'Blocking-Step2'!O299</f>
        <v>0</v>
      </c>
    </row>
    <row r="300" spans="1:36" hidden="1">
      <c r="A300" s="1900" t="s">
        <v>1912</v>
      </c>
      <c r="C300" s="528">
        <f>'BD-Redesign'!D25</f>
        <v>33445107.804455444</v>
      </c>
      <c r="D300" s="528">
        <f t="shared" si="150"/>
        <v>31736641.378430471</v>
      </c>
      <c r="E300" s="597"/>
      <c r="F300" s="1942"/>
      <c r="G300" s="1921"/>
      <c r="H300" s="1644"/>
      <c r="I300" s="1644"/>
      <c r="J300" s="597"/>
      <c r="K300" s="1942">
        <f t="shared" si="151"/>
        <v>3.89</v>
      </c>
      <c r="L300" s="1921" t="s">
        <v>495</v>
      </c>
      <c r="M300" s="1942">
        <f t="shared" si="152"/>
        <v>14.718500000000001</v>
      </c>
      <c r="N300" s="1921" t="s">
        <v>495</v>
      </c>
      <c r="O300" s="1942">
        <f t="shared" si="153"/>
        <v>1.1943999999999999</v>
      </c>
      <c r="P300" s="1921" t="s">
        <v>495</v>
      </c>
      <c r="Q300" s="1942">
        <f t="shared" si="149"/>
        <v>19.802900000000001</v>
      </c>
      <c r="R300" s="1921" t="s">
        <v>495</v>
      </c>
      <c r="S300" s="1644">
        <f t="shared" si="154"/>
        <v>1234555</v>
      </c>
      <c r="T300" s="1648"/>
      <c r="U300" s="1644">
        <f t="shared" si="155"/>
        <v>4671158</v>
      </c>
      <c r="V300" s="1648"/>
      <c r="W300" s="1644">
        <f t="shared" si="156"/>
        <v>379062</v>
      </c>
      <c r="X300" s="1648"/>
      <c r="Y300" s="1644">
        <f t="shared" si="157"/>
        <v>6284775</v>
      </c>
      <c r="AI300" s="2023">
        <f>W300-'Blocking-Step2'!W300</f>
        <v>0</v>
      </c>
      <c r="AJ300" s="2054">
        <f>O300-'Blocking-Step2'!O300</f>
        <v>0</v>
      </c>
    </row>
    <row r="301" spans="1:36" hidden="1">
      <c r="A301" s="1900" t="s">
        <v>1913</v>
      </c>
      <c r="C301" s="528">
        <f>'BD-Redesign'!D26</f>
        <v>79863876.695544586</v>
      </c>
      <c r="D301" s="528">
        <f t="shared" si="150"/>
        <v>75784214.19948411</v>
      </c>
      <c r="E301" s="597"/>
      <c r="F301" s="1942"/>
      <c r="G301" s="1921"/>
      <c r="H301" s="1644"/>
      <c r="I301" s="1644"/>
      <c r="J301" s="597"/>
      <c r="K301" s="1942">
        <f t="shared" si="151"/>
        <v>3.89</v>
      </c>
      <c r="L301" s="1921" t="s">
        <v>495</v>
      </c>
      <c r="M301" s="1942">
        <f t="shared" si="152"/>
        <v>-1.4102000000000001</v>
      </c>
      <c r="N301" s="1921" t="s">
        <v>495</v>
      </c>
      <c r="O301" s="1942">
        <f t="shared" si="153"/>
        <v>1.1943999999999999</v>
      </c>
      <c r="P301" s="1921" t="s">
        <v>495</v>
      </c>
      <c r="Q301" s="1942">
        <f t="shared" si="149"/>
        <v>3.6741999999999999</v>
      </c>
      <c r="R301" s="1921" t="s">
        <v>495</v>
      </c>
      <c r="S301" s="1644">
        <f t="shared" si="154"/>
        <v>2948006</v>
      </c>
      <c r="T301" s="1648"/>
      <c r="U301" s="1644">
        <f t="shared" si="155"/>
        <v>-1068709</v>
      </c>
      <c r="V301" s="1648"/>
      <c r="W301" s="1644">
        <f t="shared" si="156"/>
        <v>905167</v>
      </c>
      <c r="X301" s="1648"/>
      <c r="Y301" s="1644">
        <f t="shared" si="157"/>
        <v>2784464</v>
      </c>
      <c r="AI301" s="2023">
        <f>W301-'Blocking-Step2'!W301</f>
        <v>0</v>
      </c>
      <c r="AJ301" s="2054">
        <f>O301-'Blocking-Step2'!O301</f>
        <v>0</v>
      </c>
    </row>
    <row r="302" spans="1:36" hidden="1">
      <c r="A302" s="1900" t="s">
        <v>1906</v>
      </c>
      <c r="C302" s="528">
        <f>'BD-Redesign'!D27</f>
        <v>35515983.674359836</v>
      </c>
      <c r="D302" s="528">
        <f t="shared" si="150"/>
        <v>33701731.316446617</v>
      </c>
      <c r="E302" s="597"/>
      <c r="F302" s="1942"/>
      <c r="G302" s="1921"/>
      <c r="H302" s="1644"/>
      <c r="I302" s="1644"/>
      <c r="J302" s="597"/>
      <c r="K302" s="1942">
        <f t="shared" si="151"/>
        <v>0</v>
      </c>
      <c r="L302" s="1921" t="s">
        <v>495</v>
      </c>
      <c r="M302" s="1942">
        <f t="shared" si="152"/>
        <v>0</v>
      </c>
      <c r="N302" s="1921" t="s">
        <v>495</v>
      </c>
      <c r="O302" s="1942">
        <f t="shared" si="153"/>
        <v>6</v>
      </c>
      <c r="P302" s="1921" t="s">
        <v>495</v>
      </c>
      <c r="Q302" s="1942">
        <f t="shared" si="149"/>
        <v>6</v>
      </c>
      <c r="R302" s="1921" t="s">
        <v>495</v>
      </c>
      <c r="S302" s="1644">
        <f t="shared" si="154"/>
        <v>0</v>
      </c>
      <c r="T302" s="1648"/>
      <c r="U302" s="1644">
        <f t="shared" si="155"/>
        <v>0</v>
      </c>
      <c r="V302" s="1648"/>
      <c r="W302" s="1644">
        <f t="shared" si="156"/>
        <v>2022104</v>
      </c>
      <c r="X302" s="1648"/>
      <c r="Y302" s="1644">
        <f t="shared" si="157"/>
        <v>2022104</v>
      </c>
      <c r="AI302" s="2023">
        <f>W302-'Blocking-Step2'!W302</f>
        <v>0</v>
      </c>
      <c r="AJ302" s="2054">
        <f>O302-'Blocking-Step2'!O302</f>
        <v>0</v>
      </c>
    </row>
    <row r="303" spans="1:36" hidden="1">
      <c r="A303" s="1900" t="s">
        <v>1907</v>
      </c>
      <c r="C303" s="528">
        <f>'BD-Redesign'!D28</f>
        <v>28436391.325640164</v>
      </c>
      <c r="D303" s="528">
        <f t="shared" si="150"/>
        <v>26983783.663520679</v>
      </c>
      <c r="E303" s="597"/>
      <c r="F303" s="1942"/>
      <c r="G303" s="1921"/>
      <c r="H303" s="1644"/>
      <c r="I303" s="1644"/>
      <c r="J303" s="597"/>
      <c r="K303" s="1942">
        <f t="shared" si="151"/>
        <v>0</v>
      </c>
      <c r="L303" s="1921" t="s">
        <v>495</v>
      </c>
      <c r="M303" s="1942">
        <f t="shared" si="152"/>
        <v>0</v>
      </c>
      <c r="N303" s="1921" t="s">
        <v>495</v>
      </c>
      <c r="O303" s="1942">
        <f t="shared" si="153"/>
        <v>-2.3358000000000008</v>
      </c>
      <c r="P303" s="1921" t="s">
        <v>495</v>
      </c>
      <c r="Q303" s="1942">
        <f t="shared" si="149"/>
        <v>-2.3358000000000008</v>
      </c>
      <c r="R303" s="1921" t="s">
        <v>495</v>
      </c>
      <c r="S303" s="1644">
        <f t="shared" si="154"/>
        <v>0</v>
      </c>
      <c r="T303" s="1648"/>
      <c r="U303" s="1644">
        <f t="shared" si="155"/>
        <v>0</v>
      </c>
      <c r="V303" s="1648"/>
      <c r="W303" s="1644">
        <f t="shared" si="156"/>
        <v>-630287</v>
      </c>
      <c r="X303" s="1648"/>
      <c r="Y303" s="1644">
        <f t="shared" si="157"/>
        <v>-630287</v>
      </c>
      <c r="AI303" s="2023">
        <f>W303-'Blocking-Step2'!W303</f>
        <v>0</v>
      </c>
      <c r="AJ303" s="2054">
        <f>O303-'Blocking-Step2'!O303</f>
        <v>0</v>
      </c>
    </row>
    <row r="304" spans="1:36" hidden="1">
      <c r="A304" s="1900" t="s">
        <v>1908</v>
      </c>
      <c r="C304" s="528">
        <f>'BD-Redesign'!D29</f>
        <v>62926201.625198364</v>
      </c>
      <c r="D304" s="528">
        <f t="shared" si="150"/>
        <v>59711761.312358119</v>
      </c>
      <c r="E304" s="597"/>
      <c r="F304" s="1942"/>
      <c r="G304" s="1921"/>
      <c r="H304" s="1644"/>
      <c r="I304" s="1644"/>
      <c r="J304" s="597"/>
      <c r="K304" s="1942">
        <f t="shared" si="151"/>
        <v>0</v>
      </c>
      <c r="L304" s="1921" t="s">
        <v>495</v>
      </c>
      <c r="M304" s="1942">
        <f t="shared" si="152"/>
        <v>0</v>
      </c>
      <c r="N304" s="1921" t="s">
        <v>495</v>
      </c>
      <c r="O304" s="1942">
        <f t="shared" si="153"/>
        <v>5.3097000000000003</v>
      </c>
      <c r="P304" s="1921" t="s">
        <v>495</v>
      </c>
      <c r="Q304" s="1942">
        <f t="shared" si="149"/>
        <v>5.3097000000000003</v>
      </c>
      <c r="R304" s="1921" t="s">
        <v>495</v>
      </c>
      <c r="S304" s="1644">
        <f t="shared" si="154"/>
        <v>0</v>
      </c>
      <c r="T304" s="1648"/>
      <c r="U304" s="1644">
        <f t="shared" si="155"/>
        <v>0</v>
      </c>
      <c r="V304" s="1648"/>
      <c r="W304" s="1644">
        <f t="shared" si="156"/>
        <v>3170515</v>
      </c>
      <c r="X304" s="1648"/>
      <c r="Y304" s="1644">
        <f t="shared" si="157"/>
        <v>3170515</v>
      </c>
      <c r="AI304" s="2023">
        <f>W304-'Blocking-Step2'!W304</f>
        <v>0</v>
      </c>
      <c r="AJ304" s="2054">
        <f>O304-'Blocking-Step2'!O304</f>
        <v>0</v>
      </c>
    </row>
    <row r="305" spans="1:36" hidden="1">
      <c r="A305" s="1900" t="s">
        <v>1909</v>
      </c>
      <c r="C305" s="528">
        <f>'BD-Redesign'!D30</f>
        <v>50382782.874801628</v>
      </c>
      <c r="D305" s="528">
        <f t="shared" si="150"/>
        <v>47809094.265556425</v>
      </c>
      <c r="E305" s="597"/>
      <c r="F305" s="1942"/>
      <c r="G305" s="1921"/>
      <c r="H305" s="1644"/>
      <c r="I305" s="1644"/>
      <c r="J305" s="597"/>
      <c r="K305" s="1942">
        <f t="shared" si="151"/>
        <v>0</v>
      </c>
      <c r="L305" s="1921" t="s">
        <v>495</v>
      </c>
      <c r="M305" s="1942">
        <f t="shared" si="152"/>
        <v>0</v>
      </c>
      <c r="N305" s="1921" t="s">
        <v>495</v>
      </c>
      <c r="O305" s="1942">
        <f t="shared" si="153"/>
        <v>-2.0670999999999999</v>
      </c>
      <c r="P305" s="1921" t="s">
        <v>495</v>
      </c>
      <c r="Q305" s="1942">
        <f t="shared" si="149"/>
        <v>-2.0670999999999999</v>
      </c>
      <c r="R305" s="1921" t="s">
        <v>495</v>
      </c>
      <c r="S305" s="1644">
        <f t="shared" si="154"/>
        <v>0</v>
      </c>
      <c r="T305" s="1648"/>
      <c r="U305" s="1644">
        <f t="shared" si="155"/>
        <v>0</v>
      </c>
      <c r="V305" s="1648"/>
      <c r="W305" s="1644">
        <f t="shared" si="156"/>
        <v>-988262</v>
      </c>
      <c r="X305" s="1648"/>
      <c r="Y305" s="1644">
        <f t="shared" si="157"/>
        <v>-988262</v>
      </c>
      <c r="AI305" s="2023">
        <f>W305-'Blocking-Step2'!W305</f>
        <v>0</v>
      </c>
      <c r="AJ305" s="2054">
        <f>O305-'Blocking-Step2'!O305</f>
        <v>0</v>
      </c>
    </row>
    <row r="306" spans="1:36" hidden="1">
      <c r="A306" s="1900" t="s">
        <v>261</v>
      </c>
      <c r="C306" s="528">
        <f>'BD-Redesign'!D31</f>
        <v>33386.598958333328</v>
      </c>
      <c r="D306" s="528">
        <f t="shared" si="150"/>
        <v>31681.121322172912</v>
      </c>
      <c r="F306" s="1901"/>
      <c r="G306" s="1902"/>
      <c r="H306" s="1644"/>
      <c r="I306" s="1644"/>
      <c r="K306" s="1901">
        <f t="shared" si="151"/>
        <v>-0.61</v>
      </c>
      <c r="L306" s="1902"/>
      <c r="M306" s="1901">
        <f t="shared" si="152"/>
        <v>0</v>
      </c>
      <c r="N306" s="1902"/>
      <c r="O306" s="1901">
        <f t="shared" si="153"/>
        <v>0</v>
      </c>
      <c r="P306" s="1902"/>
      <c r="Q306" s="1901">
        <f t="shared" si="149"/>
        <v>-0.61</v>
      </c>
      <c r="R306" s="1902"/>
      <c r="S306" s="1644">
        <f>ROUND($D306*K306,0)</f>
        <v>-19325</v>
      </c>
      <c r="T306" s="1643"/>
      <c r="U306" s="1644">
        <f>ROUND($D306*M306,0)</f>
        <v>0</v>
      </c>
      <c r="V306" s="1643"/>
      <c r="W306" s="1644">
        <f>ROUND($D306*O306,0)</f>
        <v>0</v>
      </c>
      <c r="X306" s="1643"/>
      <c r="Y306" s="1644">
        <f>ROUND($D306*Q306,0)</f>
        <v>-19325</v>
      </c>
      <c r="AI306" s="2023">
        <f>W306-'Blocking-Step2'!W306</f>
        <v>0</v>
      </c>
      <c r="AJ306" s="2054">
        <f>O306-'Blocking-Step2'!O306</f>
        <v>0</v>
      </c>
    </row>
    <row r="307" spans="1:36" hidden="1">
      <c r="A307" s="1116" t="s">
        <v>1158</v>
      </c>
      <c r="C307" s="528">
        <f>'BD-Redesign'!D32</f>
        <v>799246.5</v>
      </c>
      <c r="D307" s="528">
        <f t="shared" si="150"/>
        <v>758418.83039428061</v>
      </c>
      <c r="F307" s="1943"/>
      <c r="G307" s="1921"/>
      <c r="H307" s="1644"/>
      <c r="I307" s="1644"/>
      <c r="K307" s="1943">
        <f t="shared" si="151"/>
        <v>0</v>
      </c>
      <c r="L307" s="1921" t="s">
        <v>495</v>
      </c>
      <c r="M307" s="1943">
        <f t="shared" si="152"/>
        <v>7.125</v>
      </c>
      <c r="N307" s="1921" t="s">
        <v>495</v>
      </c>
      <c r="O307" s="1943">
        <f t="shared" si="153"/>
        <v>0</v>
      </c>
      <c r="P307" s="1921" t="s">
        <v>495</v>
      </c>
      <c r="Q307" s="1943">
        <f t="shared" si="149"/>
        <v>7.125</v>
      </c>
      <c r="R307" s="1921" t="s">
        <v>495</v>
      </c>
      <c r="S307" s="1644">
        <f>ROUND($D307*K307/100,0)</f>
        <v>0</v>
      </c>
      <c r="T307" s="1648"/>
      <c r="U307" s="1644">
        <f>ROUND($D307*M307/100,0)</f>
        <v>54037</v>
      </c>
      <c r="V307" s="1648"/>
      <c r="W307" s="1644">
        <f>ROUND($D307*O307/100,0)</f>
        <v>0</v>
      </c>
      <c r="X307" s="1648"/>
      <c r="Y307" s="1644">
        <f>ROUND($D307*Q307/100,0)</f>
        <v>54037</v>
      </c>
      <c r="AA307" s="1109"/>
      <c r="AB307" s="1114"/>
      <c r="AI307" s="2023">
        <f>W307-'Blocking-Step2'!W307</f>
        <v>0</v>
      </c>
      <c r="AJ307" s="2054">
        <f>O307-'Blocking-Step2'!O307</f>
        <v>0</v>
      </c>
    </row>
    <row r="308" spans="1:36" hidden="1">
      <c r="A308" s="1900" t="s">
        <v>1240</v>
      </c>
      <c r="C308" s="584"/>
      <c r="D308" s="584"/>
      <c r="F308" s="1930"/>
      <c r="G308" s="597"/>
      <c r="H308" s="1644"/>
      <c r="I308" s="1644"/>
      <c r="K308" s="1930"/>
      <c r="L308" s="597"/>
      <c r="M308" s="1930"/>
      <c r="N308" s="597"/>
      <c r="O308" s="1931" t="str">
        <f>$O$43</f>
        <v>Tax Year 1 (1/1/2021)</v>
      </c>
      <c r="P308" s="597"/>
      <c r="Q308" s="1930">
        <f>$Q$979</f>
        <v>-1.6899999999999998E-2</v>
      </c>
      <c r="R308" s="597"/>
      <c r="S308" s="1645"/>
      <c r="T308" s="1645"/>
      <c r="U308" s="1645"/>
      <c r="V308" s="1645"/>
      <c r="W308" s="1645"/>
      <c r="X308" s="1645"/>
      <c r="Y308" s="1644">
        <f>Q308*SUM(Y298:Y301,Y307)</f>
        <v>-253331.35489999998</v>
      </c>
      <c r="AI308" s="2023">
        <f>W308-'Blocking-Step2'!W308</f>
        <v>0</v>
      </c>
      <c r="AJ308" s="2054">
        <f>O308-'Blocking-Step2'!O308</f>
        <v>0</v>
      </c>
    </row>
    <row r="309" spans="1:36" hidden="1">
      <c r="A309" s="1900"/>
      <c r="C309" s="584"/>
      <c r="D309" s="584"/>
      <c r="F309" s="1930"/>
      <c r="G309" s="597"/>
      <c r="H309" s="1644"/>
      <c r="I309" s="1644"/>
      <c r="K309" s="1930"/>
      <c r="L309" s="597"/>
      <c r="M309" s="1930"/>
      <c r="N309" s="597"/>
      <c r="O309" s="1931">
        <f>$O$44</f>
        <v>0</v>
      </c>
      <c r="P309" s="597"/>
      <c r="Q309" s="1930">
        <f>$Q$980</f>
        <v>0</v>
      </c>
      <c r="R309" s="597"/>
      <c r="S309" s="1645"/>
      <c r="T309" s="1645"/>
      <c r="U309" s="1645"/>
      <c r="V309" s="1645"/>
      <c r="W309" s="1645"/>
      <c r="X309" s="1645"/>
      <c r="Y309" s="1644">
        <f>Q309*SUM(Y298:Y301,Y307)</f>
        <v>0</v>
      </c>
      <c r="AI309" s="2023">
        <f>W309-'Blocking-Step2'!W309</f>
        <v>0</v>
      </c>
      <c r="AJ309" s="2054">
        <f>O309-'Blocking-Step2'!O309</f>
        <v>0</v>
      </c>
    </row>
    <row r="310" spans="1:36" hidden="1">
      <c r="A310" s="1900" t="s">
        <v>1923</v>
      </c>
      <c r="C310" s="528">
        <f>SUM(C302:C305,C307)</f>
        <v>178060606</v>
      </c>
      <c r="D310" s="528">
        <f>D330</f>
        <v>168964789.38827613</v>
      </c>
      <c r="F310" s="1901"/>
      <c r="G310" s="1902"/>
      <c r="H310" s="1644"/>
      <c r="I310" s="1644"/>
      <c r="K310" s="1901"/>
      <c r="L310" s="1902"/>
      <c r="M310" s="1901"/>
      <c r="N310" s="1902"/>
      <c r="O310" s="1901"/>
      <c r="P310" s="1902"/>
      <c r="Q310" s="1901"/>
      <c r="R310" s="1902"/>
      <c r="S310" s="1644">
        <f>SUM(S297:S307)</f>
        <v>7263330</v>
      </c>
      <c r="T310" s="1643"/>
      <c r="U310" s="1644">
        <f>SUM(U297:U307)</f>
        <v>6343492</v>
      </c>
      <c r="V310" s="1643"/>
      <c r="W310" s="1644">
        <f>SUM(W297:W307)</f>
        <v>5677372</v>
      </c>
      <c r="X310" s="1643"/>
      <c r="Y310" s="1644">
        <f>SUM(Y297:Y307)</f>
        <v>19284194</v>
      </c>
      <c r="AA310" s="1109" t="s">
        <v>1743</v>
      </c>
      <c r="AB310" s="1499">
        <f>Y310/Y330-1</f>
        <v>-0.17968377391352586</v>
      </c>
      <c r="AI310" s="2023">
        <f>W310-'Blocking-Step2'!W310</f>
        <v>0</v>
      </c>
      <c r="AJ310" s="2054">
        <f>O310-'Blocking-Step2'!O310</f>
        <v>0</v>
      </c>
    </row>
    <row r="311" spans="1:36" hidden="1">
      <c r="A311" s="1900"/>
      <c r="C311" s="528"/>
      <c r="D311" s="528"/>
      <c r="F311" s="1901"/>
      <c r="G311" s="1902"/>
      <c r="H311" s="1644"/>
      <c r="I311" s="1644"/>
      <c r="K311" s="1901"/>
      <c r="L311" s="1902"/>
      <c r="M311" s="1901"/>
      <c r="N311" s="1902"/>
      <c r="O311" s="1901"/>
      <c r="P311" s="1902"/>
      <c r="Q311" s="1901"/>
      <c r="R311" s="1902"/>
      <c r="S311" s="1643"/>
      <c r="T311" s="1643"/>
      <c r="U311" s="1643"/>
      <c r="V311" s="1643"/>
      <c r="W311" s="1643"/>
      <c r="X311" s="1643"/>
      <c r="Y311" s="1644"/>
      <c r="AA311" s="1109"/>
      <c r="AB311" s="1114"/>
      <c r="AI311" s="2023">
        <f>W311-'Blocking-Step2'!W311</f>
        <v>0</v>
      </c>
      <c r="AJ311" s="2054">
        <f>O311-'Blocking-Step2'!O311</f>
        <v>0</v>
      </c>
    </row>
    <row r="312" spans="1:36" hidden="1">
      <c r="A312" s="1900" t="s">
        <v>240</v>
      </c>
      <c r="C312" s="528">
        <f>C297</f>
        <v>14061.016666649997</v>
      </c>
      <c r="D312" s="528">
        <f>C312*D714/C714</f>
        <v>13951.476908881947</v>
      </c>
      <c r="F312" s="1944">
        <f>F240</f>
        <v>54</v>
      </c>
      <c r="G312" s="597"/>
      <c r="H312" s="1644">
        <f t="shared" ref="H312:I314" si="158">ROUND($F312*C312,0)</f>
        <v>759295</v>
      </c>
      <c r="I312" s="1644">
        <f t="shared" si="158"/>
        <v>753380</v>
      </c>
      <c r="K312" s="1944">
        <f t="shared" ref="K312:K319" si="159">K240</f>
        <v>53</v>
      </c>
      <c r="L312" s="597"/>
      <c r="M312" s="1944">
        <f t="shared" ref="M312:M319" si="160">M240</f>
        <v>0</v>
      </c>
      <c r="N312" s="597"/>
      <c r="O312" s="1944">
        <f t="shared" ref="O312:O319" si="161">O240</f>
        <v>0</v>
      </c>
      <c r="P312" s="597"/>
      <c r="Q312" s="1944">
        <f t="shared" ref="Q312:Q319" si="162">Q240</f>
        <v>53</v>
      </c>
      <c r="R312" s="597"/>
      <c r="S312" s="1644">
        <f>ROUND($D312*K312,0)</f>
        <v>739428</v>
      </c>
      <c r="T312" s="1643"/>
      <c r="U312" s="1644">
        <f>ROUND($D312*M312,0)</f>
        <v>0</v>
      </c>
      <c r="V312" s="1643"/>
      <c r="W312" s="1644">
        <f>ROUND($D312*O312,0)</f>
        <v>0</v>
      </c>
      <c r="X312" s="1643"/>
      <c r="Y312" s="1644">
        <f>ROUND($D312*Q312,0)</f>
        <v>739428</v>
      </c>
      <c r="AI312" s="2023">
        <f>W312-'Blocking-Step2'!W312</f>
        <v>0</v>
      </c>
      <c r="AJ312" s="2054">
        <f>O312-'Blocking-Step2'!O312</f>
        <v>0</v>
      </c>
    </row>
    <row r="313" spans="1:36" hidden="1">
      <c r="A313" s="1900" t="s">
        <v>262</v>
      </c>
      <c r="C313" s="584">
        <v>0</v>
      </c>
      <c r="D313" s="528">
        <v>0</v>
      </c>
      <c r="F313" s="1944">
        <f>F241</f>
        <v>648</v>
      </c>
      <c r="G313" s="597"/>
      <c r="H313" s="1644">
        <f t="shared" si="158"/>
        <v>0</v>
      </c>
      <c r="I313" s="1644">
        <f t="shared" si="158"/>
        <v>0</v>
      </c>
      <c r="K313" s="1944">
        <f t="shared" si="159"/>
        <v>636</v>
      </c>
      <c r="L313" s="597"/>
      <c r="M313" s="1944">
        <f t="shared" si="160"/>
        <v>0</v>
      </c>
      <c r="N313" s="597"/>
      <c r="O313" s="1944">
        <f t="shared" si="161"/>
        <v>0</v>
      </c>
      <c r="P313" s="597"/>
      <c r="Q313" s="1944">
        <f t="shared" si="162"/>
        <v>636</v>
      </c>
      <c r="R313" s="597"/>
      <c r="S313" s="1644">
        <f t="shared" ref="S313:S317" si="163">ROUND($D313*K313,0)</f>
        <v>0</v>
      </c>
      <c r="T313" s="1643"/>
      <c r="U313" s="1644">
        <f t="shared" ref="U313:U317" si="164">ROUND($D313*M313,0)</f>
        <v>0</v>
      </c>
      <c r="V313" s="1643"/>
      <c r="W313" s="1644">
        <f t="shared" ref="W313:W317" si="165">ROUND($D313*O313,0)</f>
        <v>0</v>
      </c>
      <c r="X313" s="1643"/>
      <c r="Y313" s="1644">
        <f t="shared" ref="Y313:Y317" si="166">ROUND($D313*Q313,0)</f>
        <v>0</v>
      </c>
      <c r="AI313" s="2023">
        <f>W313-'Blocking-Step2'!W313</f>
        <v>0</v>
      </c>
      <c r="AJ313" s="2054">
        <f>O313-'Blocking-Step2'!O313</f>
        <v>0</v>
      </c>
    </row>
    <row r="314" spans="1:36" hidden="1">
      <c r="A314" s="1900" t="s">
        <v>1298</v>
      </c>
      <c r="C314" s="528">
        <v>0</v>
      </c>
      <c r="D314" s="528">
        <v>0</v>
      </c>
      <c r="F314" s="1944">
        <f>F242</f>
        <v>54</v>
      </c>
      <c r="G314" s="597"/>
      <c r="H314" s="1644">
        <f t="shared" si="158"/>
        <v>0</v>
      </c>
      <c r="I314" s="1644">
        <f t="shared" si="158"/>
        <v>0</v>
      </c>
      <c r="K314" s="1944">
        <f t="shared" si="159"/>
        <v>53</v>
      </c>
      <c r="L314" s="597"/>
      <c r="M314" s="1944">
        <f t="shared" si="160"/>
        <v>0</v>
      </c>
      <c r="N314" s="597"/>
      <c r="O314" s="1944">
        <f t="shared" si="161"/>
        <v>0</v>
      </c>
      <c r="P314" s="597"/>
      <c r="Q314" s="1944">
        <f t="shared" si="162"/>
        <v>53</v>
      </c>
      <c r="R314" s="597"/>
      <c r="S314" s="1644">
        <f t="shared" si="163"/>
        <v>0</v>
      </c>
      <c r="T314" s="1645"/>
      <c r="U314" s="1644">
        <f t="shared" si="164"/>
        <v>0</v>
      </c>
      <c r="V314" s="1645"/>
      <c r="W314" s="1644">
        <f t="shared" si="165"/>
        <v>0</v>
      </c>
      <c r="X314" s="1645"/>
      <c r="Y314" s="1644">
        <f t="shared" si="166"/>
        <v>0</v>
      </c>
      <c r="AI314" s="2023">
        <f>W314-'Blocking-Step2'!W314</f>
        <v>0</v>
      </c>
      <c r="AJ314" s="2054">
        <f>O314-'Blocking-Step2'!O314</f>
        <v>0</v>
      </c>
    </row>
    <row r="315" spans="1:36" hidden="1">
      <c r="A315" s="1900" t="s">
        <v>168</v>
      </c>
      <c r="C315" s="528">
        <f>'BD-Redesign'!D55</f>
        <v>1083158.4146039609</v>
      </c>
      <c r="D315" s="528">
        <f>ROUND(C315/$C$330*$D$330,0)</f>
        <v>1027828</v>
      </c>
      <c r="F315" s="1944">
        <f>F243</f>
        <v>4.04</v>
      </c>
      <c r="G315" s="597"/>
      <c r="H315" s="1644">
        <f>ROUND($F315*C315,0)</f>
        <v>4375960</v>
      </c>
      <c r="I315" s="1644">
        <f>ROUND($F315*D315,0)</f>
        <v>4152425</v>
      </c>
      <c r="K315" s="1944">
        <f t="shared" si="159"/>
        <v>3.98</v>
      </c>
      <c r="L315" s="597"/>
      <c r="M315" s="1944">
        <f t="shared" si="160"/>
        <v>0</v>
      </c>
      <c r="N315" s="597"/>
      <c r="O315" s="1944">
        <f t="shared" si="161"/>
        <v>0</v>
      </c>
      <c r="P315" s="597"/>
      <c r="Q315" s="1944">
        <f t="shared" si="162"/>
        <v>3.98</v>
      </c>
      <c r="R315" s="597"/>
      <c r="S315" s="1644">
        <f t="shared" si="163"/>
        <v>4090755</v>
      </c>
      <c r="T315" s="1643"/>
      <c r="U315" s="1644">
        <f t="shared" si="164"/>
        <v>0</v>
      </c>
      <c r="V315" s="1643"/>
      <c r="W315" s="1644">
        <f t="shared" si="165"/>
        <v>0</v>
      </c>
      <c r="X315" s="1643"/>
      <c r="Y315" s="1644">
        <f t="shared" si="166"/>
        <v>4090755</v>
      </c>
      <c r="AI315" s="2023">
        <f>W315-'Blocking-Step2'!W315</f>
        <v>0</v>
      </c>
      <c r="AJ315" s="2054">
        <f>O315-'Blocking-Step2'!O315</f>
        <v>0</v>
      </c>
    </row>
    <row r="316" spans="1:36" hidden="1">
      <c r="A316" s="1900" t="s">
        <v>1645</v>
      </c>
      <c r="C316" s="528">
        <f>'BD-Redesign'!D56</f>
        <v>396337.73143564368</v>
      </c>
      <c r="D316" s="528">
        <f t="shared" ref="D316:D317" si="167">ROUND(C316/$C$330*$D$330,0)</f>
        <v>376092</v>
      </c>
      <c r="F316" s="1944"/>
      <c r="G316" s="597"/>
      <c r="H316" s="1644"/>
      <c r="I316" s="1644"/>
      <c r="K316" s="1944">
        <f t="shared" si="159"/>
        <v>6.22</v>
      </c>
      <c r="L316" s="597"/>
      <c r="M316" s="1944">
        <f t="shared" si="160"/>
        <v>7.0100000000000007</v>
      </c>
      <c r="N316" s="597"/>
      <c r="O316" s="1944">
        <f t="shared" si="161"/>
        <v>0</v>
      </c>
      <c r="P316" s="597"/>
      <c r="Q316" s="1944">
        <f t="shared" si="162"/>
        <v>13.23</v>
      </c>
      <c r="R316" s="597"/>
      <c r="S316" s="1644">
        <f t="shared" si="163"/>
        <v>2339292</v>
      </c>
      <c r="T316" s="1645"/>
      <c r="U316" s="1644">
        <f t="shared" si="164"/>
        <v>2636405</v>
      </c>
      <c r="V316" s="1645"/>
      <c r="W316" s="1644">
        <f t="shared" si="165"/>
        <v>0</v>
      </c>
      <c r="X316" s="1645"/>
      <c r="Y316" s="1644">
        <f t="shared" si="166"/>
        <v>4975697</v>
      </c>
      <c r="AI316" s="2023">
        <f>W316-'Blocking-Step2'!W316</f>
        <v>0</v>
      </c>
      <c r="AJ316" s="2054">
        <f>O316-'Blocking-Step2'!O316</f>
        <v>0</v>
      </c>
    </row>
    <row r="317" spans="1:36" hidden="1">
      <c r="A317" s="1900" t="s">
        <v>1646</v>
      </c>
      <c r="C317" s="528">
        <f>'BD-Redesign'!D57</f>
        <v>686820.68316831719</v>
      </c>
      <c r="D317" s="528">
        <f t="shared" si="167"/>
        <v>651736</v>
      </c>
      <c r="F317" s="1944"/>
      <c r="G317" s="597"/>
      <c r="H317" s="1644"/>
      <c r="I317" s="1644"/>
      <c r="K317" s="1944">
        <f t="shared" si="159"/>
        <v>5.5</v>
      </c>
      <c r="L317" s="597"/>
      <c r="M317" s="1944">
        <f t="shared" si="160"/>
        <v>6.2100000000000009</v>
      </c>
      <c r="N317" s="597"/>
      <c r="O317" s="1944">
        <f t="shared" si="161"/>
        <v>0</v>
      </c>
      <c r="P317" s="597"/>
      <c r="Q317" s="1944">
        <f t="shared" si="162"/>
        <v>11.71</v>
      </c>
      <c r="R317" s="597"/>
      <c r="S317" s="1644">
        <f t="shared" si="163"/>
        <v>3584548</v>
      </c>
      <c r="T317" s="1645"/>
      <c r="U317" s="1644">
        <f t="shared" si="164"/>
        <v>4047281</v>
      </c>
      <c r="V317" s="1645"/>
      <c r="W317" s="1644">
        <f t="shared" si="165"/>
        <v>0</v>
      </c>
      <c r="X317" s="1645"/>
      <c r="Y317" s="1644">
        <f t="shared" si="166"/>
        <v>7631829</v>
      </c>
      <c r="AI317" s="2023">
        <f>W317-'Blocking-Step2'!W317</f>
        <v>0</v>
      </c>
      <c r="AJ317" s="2054">
        <f>O317-'Blocking-Step2'!O317</f>
        <v>0</v>
      </c>
    </row>
    <row r="318" spans="1:36" hidden="1">
      <c r="A318" s="1900" t="s">
        <v>1647</v>
      </c>
      <c r="C318" s="528">
        <f>'BD-Redesign'!D59</f>
        <v>63952375</v>
      </c>
      <c r="D318" s="528">
        <f>D330-SUM(D319,D325:D329)</f>
        <v>60685514.38827613</v>
      </c>
      <c r="F318" s="1943"/>
      <c r="G318" s="1921"/>
      <c r="H318" s="1644"/>
      <c r="I318" s="1644"/>
      <c r="K318" s="1943">
        <f t="shared" si="159"/>
        <v>0</v>
      </c>
      <c r="L318" s="1921" t="s">
        <v>495</v>
      </c>
      <c r="M318" s="1943">
        <f t="shared" si="160"/>
        <v>1.5747172373309999</v>
      </c>
      <c r="N318" s="1921" t="s">
        <v>495</v>
      </c>
      <c r="O318" s="1943">
        <f t="shared" si="161"/>
        <v>2.305570240802</v>
      </c>
      <c r="P318" s="1921" t="s">
        <v>495</v>
      </c>
      <c r="Q318" s="1943">
        <f t="shared" si="162"/>
        <v>3.8802874781329999</v>
      </c>
      <c r="R318" s="1921" t="s">
        <v>495</v>
      </c>
      <c r="S318" s="1644">
        <f>ROUND($D318*K318/100,0)</f>
        <v>0</v>
      </c>
      <c r="T318" s="1648"/>
      <c r="U318" s="1644">
        <f>ROUND($D318*M318/100,0)</f>
        <v>955625</v>
      </c>
      <c r="V318" s="1648"/>
      <c r="W318" s="1644">
        <f>ROUND($D318*O318/100,0)</f>
        <v>1399147</v>
      </c>
      <c r="X318" s="1648"/>
      <c r="Y318" s="1644">
        <f>ROUND($D318*Q318/100,0)</f>
        <v>2354772</v>
      </c>
      <c r="AI318" s="2023">
        <f>W318-'Blocking-Step2'!W318</f>
        <v>0</v>
      </c>
      <c r="AJ318" s="2054">
        <f>O318-'Blocking-Step2'!O318</f>
        <v>0</v>
      </c>
    </row>
    <row r="319" spans="1:36" hidden="1">
      <c r="A319" s="1900" t="s">
        <v>1648</v>
      </c>
      <c r="C319" s="528">
        <f>'BD-Redesign'!D60</f>
        <v>113308984.5</v>
      </c>
      <c r="D319" s="528">
        <f>ROUND(C319/C330*D330,0)</f>
        <v>107520856</v>
      </c>
      <c r="F319" s="1943"/>
      <c r="G319" s="1921"/>
      <c r="H319" s="1644"/>
      <c r="I319" s="1644"/>
      <c r="K319" s="1943">
        <f t="shared" si="159"/>
        <v>0</v>
      </c>
      <c r="L319" s="1921" t="s">
        <v>495</v>
      </c>
      <c r="M319" s="1943">
        <f t="shared" si="160"/>
        <v>1.3935347233019999</v>
      </c>
      <c r="N319" s="1921" t="s">
        <v>495</v>
      </c>
      <c r="O319" s="1943">
        <f t="shared" si="161"/>
        <v>2.0403480007099999</v>
      </c>
      <c r="P319" s="1921" t="s">
        <v>495</v>
      </c>
      <c r="Q319" s="1943">
        <f t="shared" si="162"/>
        <v>3.4338827240119998</v>
      </c>
      <c r="R319" s="1921" t="s">
        <v>495</v>
      </c>
      <c r="S319" s="1644">
        <f>ROUND($D319*K319/100,0)</f>
        <v>0</v>
      </c>
      <c r="T319" s="1648"/>
      <c r="U319" s="1644">
        <f>ROUND($D319*M319/100,0)</f>
        <v>1498340</v>
      </c>
      <c r="V319" s="1648"/>
      <c r="W319" s="1644">
        <f>ROUND($D319*O319/100,0)</f>
        <v>2193800</v>
      </c>
      <c r="X319" s="1648"/>
      <c r="Y319" s="1644">
        <f>ROUND($D319*Q319/100,0)</f>
        <v>3692140</v>
      </c>
      <c r="AI319" s="2023">
        <f>W319-'Blocking-Step2'!W319</f>
        <v>0</v>
      </c>
      <c r="AJ319" s="2054">
        <f>O319-'Blocking-Step2'!O319</f>
        <v>0</v>
      </c>
    </row>
    <row r="320" spans="1:36" hidden="1">
      <c r="A320" s="1900" t="s">
        <v>196</v>
      </c>
      <c r="C320" s="528">
        <f>(C316+C317)*C722/(C722+C723)</f>
        <v>496983.98864179431</v>
      </c>
      <c r="D320" s="528">
        <f>ROUND(C320/C330*D330,0)</f>
        <v>471597</v>
      </c>
      <c r="F320" s="1944">
        <f t="shared" ref="F320:F325" si="168">F248</f>
        <v>14.62</v>
      </c>
      <c r="G320" s="597"/>
      <c r="H320" s="1644">
        <f t="shared" ref="H320:I322" si="169">ROUND($F320*C320,0)</f>
        <v>7265906</v>
      </c>
      <c r="I320" s="1644">
        <f t="shared" si="169"/>
        <v>6894748</v>
      </c>
      <c r="K320" s="1944"/>
      <c r="L320" s="597"/>
      <c r="M320" s="1944"/>
      <c r="N320" s="597"/>
      <c r="O320" s="1944"/>
      <c r="P320" s="597"/>
      <c r="Q320" s="1944"/>
      <c r="R320" s="597"/>
      <c r="S320" s="1644"/>
      <c r="T320" s="1643"/>
      <c r="U320" s="1644"/>
      <c r="V320" s="1643"/>
      <c r="W320" s="1644"/>
      <c r="X320" s="1643"/>
      <c r="Y320" s="1644"/>
      <c r="AI320" s="2023">
        <f>W320-'Blocking-Step2'!W320</f>
        <v>0</v>
      </c>
      <c r="AJ320" s="2054">
        <f>O320-'Blocking-Step2'!O320</f>
        <v>0</v>
      </c>
    </row>
    <row r="321" spans="1:36" hidden="1">
      <c r="A321" s="1900" t="s">
        <v>161</v>
      </c>
      <c r="C321" s="528">
        <f>C316+C317-C320</f>
        <v>586174.42596216663</v>
      </c>
      <c r="D321" s="528">
        <f>ROUND(C321/C330*D330,0)</f>
        <v>556231</v>
      </c>
      <c r="F321" s="1944">
        <f t="shared" si="168"/>
        <v>10.91</v>
      </c>
      <c r="G321" s="597"/>
      <c r="H321" s="1644">
        <f t="shared" si="169"/>
        <v>6395163</v>
      </c>
      <c r="I321" s="1644">
        <f t="shared" si="169"/>
        <v>6068480</v>
      </c>
      <c r="K321" s="1944"/>
      <c r="L321" s="597"/>
      <c r="M321" s="1944"/>
      <c r="N321" s="597"/>
      <c r="O321" s="1944"/>
      <c r="P321" s="597"/>
      <c r="Q321" s="1944"/>
      <c r="R321" s="597"/>
      <c r="S321" s="1644"/>
      <c r="T321" s="1643"/>
      <c r="U321" s="1644"/>
      <c r="V321" s="1643"/>
      <c r="W321" s="1644"/>
      <c r="X321" s="1643"/>
      <c r="Y321" s="1644"/>
      <c r="AI321" s="2023">
        <f>W321-'Blocking-Step2'!W321</f>
        <v>0</v>
      </c>
      <c r="AJ321" s="2054">
        <f>O321-'Blocking-Step2'!O321</f>
        <v>0</v>
      </c>
    </row>
    <row r="322" spans="1:36" hidden="1">
      <c r="A322" s="1900" t="s">
        <v>261</v>
      </c>
      <c r="C322" s="528">
        <f>C306</f>
        <v>33386.598958333328</v>
      </c>
      <c r="D322" s="528">
        <f>D306</f>
        <v>31681.121322172912</v>
      </c>
      <c r="F322" s="1944">
        <f t="shared" si="168"/>
        <v>-0.96</v>
      </c>
      <c r="G322" s="597"/>
      <c r="H322" s="1644">
        <f t="shared" si="169"/>
        <v>-32051</v>
      </c>
      <c r="I322" s="1644">
        <f t="shared" si="169"/>
        <v>-30414</v>
      </c>
      <c r="K322" s="1944">
        <f>K250</f>
        <v>-0.96</v>
      </c>
      <c r="L322" s="597"/>
      <c r="M322" s="1944">
        <f>M250</f>
        <v>0</v>
      </c>
      <c r="N322" s="597"/>
      <c r="O322" s="1944">
        <f>O250</f>
        <v>0</v>
      </c>
      <c r="P322" s="597"/>
      <c r="Q322" s="1944">
        <f>Q250</f>
        <v>-0.96</v>
      </c>
      <c r="R322" s="597"/>
      <c r="S322" s="1644">
        <f t="shared" ref="S322" si="170">ROUND($D322*K322,0)</f>
        <v>-30414</v>
      </c>
      <c r="T322" s="1643"/>
      <c r="U322" s="1644">
        <f t="shared" ref="U322" si="171">ROUND($D322*M322,0)</f>
        <v>0</v>
      </c>
      <c r="V322" s="1643"/>
      <c r="W322" s="1644">
        <f t="shared" ref="W322" si="172">ROUND($D322*O322,0)</f>
        <v>0</v>
      </c>
      <c r="X322" s="1643"/>
      <c r="Y322" s="1644">
        <f t="shared" ref="Y322" si="173">ROUND($D322*Q322,0)</f>
        <v>-30414</v>
      </c>
      <c r="AI322" s="2023">
        <f>W322-'Blocking-Step2'!W322</f>
        <v>0</v>
      </c>
      <c r="AJ322" s="2054">
        <f>O322-'Blocking-Step2'!O322</f>
        <v>0</v>
      </c>
    </row>
    <row r="323" spans="1:36" hidden="1">
      <c r="A323" s="1900" t="s">
        <v>1362</v>
      </c>
      <c r="C323" s="528">
        <f>(C318+C319)*C725/(C725+C726)</f>
        <v>79414824.790631607</v>
      </c>
      <c r="D323" s="528">
        <f>ROUND(C323/C330*D330,0)</f>
        <v>75358101</v>
      </c>
      <c r="F323" s="1943">
        <f t="shared" si="168"/>
        <v>3.8127</v>
      </c>
      <c r="G323" s="1921" t="s">
        <v>495</v>
      </c>
      <c r="H323" s="1644">
        <f t="shared" ref="H323:I325" si="174">ROUND($F323*C323/100,0)</f>
        <v>3027849</v>
      </c>
      <c r="I323" s="1644">
        <f t="shared" si="174"/>
        <v>2873178</v>
      </c>
      <c r="K323" s="1943"/>
      <c r="L323" s="1921"/>
      <c r="M323" s="1943"/>
      <c r="N323" s="1921"/>
      <c r="O323" s="1943"/>
      <c r="P323" s="1921"/>
      <c r="Q323" s="1943"/>
      <c r="R323" s="1921"/>
      <c r="S323" s="1644"/>
      <c r="T323" s="1648"/>
      <c r="U323" s="1644"/>
      <c r="V323" s="1648"/>
      <c r="W323" s="1644"/>
      <c r="X323" s="1648"/>
      <c r="Y323" s="1644"/>
      <c r="AI323" s="2023">
        <f>W323-'Blocking-Step2'!W323</f>
        <v>0</v>
      </c>
      <c r="AJ323" s="2054">
        <f>O323-'Blocking-Step2'!O323</f>
        <v>0</v>
      </c>
    </row>
    <row r="324" spans="1:36" hidden="1">
      <c r="A324" s="1900" t="s">
        <v>1363</v>
      </c>
      <c r="C324" s="528">
        <f>C318+C319-C323</f>
        <v>97846534.709368393</v>
      </c>
      <c r="D324" s="528">
        <f>D330-D323-D325-D326-D329</f>
        <v>92848269.38827613</v>
      </c>
      <c r="F324" s="1943">
        <f t="shared" si="168"/>
        <v>3.5143</v>
      </c>
      <c r="G324" s="1921" t="s">
        <v>495</v>
      </c>
      <c r="H324" s="1644">
        <f t="shared" si="174"/>
        <v>3438621</v>
      </c>
      <c r="I324" s="1644">
        <f t="shared" si="174"/>
        <v>3262967</v>
      </c>
      <c r="K324" s="1943"/>
      <c r="L324" s="1921"/>
      <c r="M324" s="1943"/>
      <c r="N324" s="1921"/>
      <c r="O324" s="1943"/>
      <c r="P324" s="1921"/>
      <c r="Q324" s="1943"/>
      <c r="R324" s="1921"/>
      <c r="S324" s="1644"/>
      <c r="T324" s="1648"/>
      <c r="U324" s="1644"/>
      <c r="V324" s="1648"/>
      <c r="W324" s="1644"/>
      <c r="X324" s="1648"/>
      <c r="Y324" s="1644"/>
      <c r="AI324" s="2023">
        <f>W324-'Blocking-Step2'!W324</f>
        <v>0</v>
      </c>
      <c r="AJ324" s="2054">
        <f>O324-'Blocking-Step2'!O324</f>
        <v>0</v>
      </c>
    </row>
    <row r="325" spans="1:36" hidden="1">
      <c r="A325" s="1116" t="s">
        <v>1158</v>
      </c>
      <c r="C325" s="528">
        <f>C307</f>
        <v>799246.5</v>
      </c>
      <c r="D325" s="528">
        <f>ROUND(C325/(C330-C326)*D330,0)</f>
        <v>758419</v>
      </c>
      <c r="F325" s="1943">
        <f t="shared" si="168"/>
        <v>7.125</v>
      </c>
      <c r="G325" s="1921" t="s">
        <v>495</v>
      </c>
      <c r="H325" s="1644">
        <f t="shared" si="174"/>
        <v>56946</v>
      </c>
      <c r="I325" s="1644">
        <f t="shared" si="174"/>
        <v>54037</v>
      </c>
      <c r="K325" s="1943">
        <f>K253</f>
        <v>0</v>
      </c>
      <c r="L325" s="1921" t="s">
        <v>495</v>
      </c>
      <c r="M325" s="1943">
        <f>M253</f>
        <v>7.125</v>
      </c>
      <c r="N325" s="1921" t="s">
        <v>495</v>
      </c>
      <c r="O325" s="1943">
        <f>O253</f>
        <v>0</v>
      </c>
      <c r="P325" s="1921" t="s">
        <v>495</v>
      </c>
      <c r="Q325" s="1943">
        <f>Q253</f>
        <v>7.125</v>
      </c>
      <c r="R325" s="1921" t="s">
        <v>495</v>
      </c>
      <c r="S325" s="1644">
        <f>ROUND($D325*K325/100,0)</f>
        <v>0</v>
      </c>
      <c r="T325" s="1648"/>
      <c r="U325" s="1644">
        <f>ROUND($D325*M325/100,0)</f>
        <v>54037</v>
      </c>
      <c r="V325" s="1648"/>
      <c r="W325" s="1644">
        <f>ROUND($D325*O325/100,0)</f>
        <v>0</v>
      </c>
      <c r="X325" s="1648"/>
      <c r="Y325" s="1644">
        <f>ROUND($D325*Q325/100,0)</f>
        <v>54037</v>
      </c>
      <c r="AI325" s="2023">
        <f>W325-'Blocking-Step2'!W325</f>
        <v>0</v>
      </c>
      <c r="AJ325" s="2054">
        <f>O325-'Blocking-Step2'!O325</f>
        <v>0</v>
      </c>
    </row>
    <row r="326" spans="1:36" hidden="1">
      <c r="A326" s="1900" t="s">
        <v>246</v>
      </c>
      <c r="C326" s="529">
        <v>0</v>
      </c>
      <c r="D326" s="529">
        <v>0</v>
      </c>
      <c r="H326" s="1030">
        <v>0</v>
      </c>
      <c r="I326" s="1030">
        <v>0</v>
      </c>
      <c r="S326" s="1030"/>
      <c r="U326" s="1030"/>
      <c r="W326" s="1030"/>
      <c r="Y326" s="1030"/>
      <c r="AI326" s="2023">
        <f>W326-'Blocking-Step2'!W326</f>
        <v>0</v>
      </c>
      <c r="AJ326" s="2054">
        <f>O326-'Blocking-Step2'!O326</f>
        <v>0</v>
      </c>
    </row>
    <row r="327" spans="1:36" hidden="1">
      <c r="A327" s="1900" t="s">
        <v>1240</v>
      </c>
      <c r="C327" s="584"/>
      <c r="D327" s="584"/>
      <c r="F327" s="1930">
        <f>F255</f>
        <v>-3.61E-2</v>
      </c>
      <c r="G327" s="597"/>
      <c r="H327" s="1644">
        <f>SUM(H320:H321,H323:H325)*$F327</f>
        <v>-728659.90850000002</v>
      </c>
      <c r="I327" s="1644">
        <f>SUM(I320:I321,I323:I325)*$F327</f>
        <v>-691438.10100000002</v>
      </c>
      <c r="K327" s="1930"/>
      <c r="L327" s="597"/>
      <c r="M327" s="1930"/>
      <c r="N327" s="597"/>
      <c r="O327" s="1931" t="str">
        <f>$O$43</f>
        <v>Tax Year 1 (1/1/2021)</v>
      </c>
      <c r="P327" s="597"/>
      <c r="Q327" s="1930">
        <f>$Q$687</f>
        <v>-1.52E-2</v>
      </c>
      <c r="R327" s="597"/>
      <c r="S327" s="1644"/>
      <c r="T327" s="1645"/>
      <c r="U327" s="1644"/>
      <c r="V327" s="1645"/>
      <c r="W327" s="1644"/>
      <c r="X327" s="1645"/>
      <c r="Y327" s="1644">
        <f>Q327*SUM(Y316:Y319,Y325)</f>
        <v>-284368.82</v>
      </c>
      <c r="AI327" s="2023">
        <f>W327-'Blocking-Step2'!W327</f>
        <v>0</v>
      </c>
      <c r="AJ327" s="2054">
        <f>O327-'Blocking-Step2'!O327</f>
        <v>0</v>
      </c>
    </row>
    <row r="328" spans="1:36" hidden="1">
      <c r="A328" s="1900"/>
      <c r="C328" s="584"/>
      <c r="D328" s="584"/>
      <c r="F328" s="1930"/>
      <c r="G328" s="597"/>
      <c r="H328" s="1644"/>
      <c r="I328" s="1644"/>
      <c r="K328" s="1930"/>
      <c r="L328" s="597"/>
      <c r="M328" s="1930"/>
      <c r="N328" s="597"/>
      <c r="O328" s="1931">
        <f>$O$44</f>
        <v>0</v>
      </c>
      <c r="P328" s="597"/>
      <c r="Q328" s="1930">
        <f>$Q$688</f>
        <v>0</v>
      </c>
      <c r="R328" s="597"/>
      <c r="S328" s="1644"/>
      <c r="T328" s="1645"/>
      <c r="U328" s="1644"/>
      <c r="V328" s="1645"/>
      <c r="W328" s="1644"/>
      <c r="X328" s="1645"/>
      <c r="Y328" s="1644">
        <f>Q328*SUM(Y316:Y319,Y325)</f>
        <v>0</v>
      </c>
      <c r="AI328" s="2023">
        <f>W328-'Blocking-Step2'!W328</f>
        <v>0</v>
      </c>
      <c r="AJ328" s="2054">
        <f>O328-'Blocking-Step2'!O328</f>
        <v>0</v>
      </c>
    </row>
    <row r="329" spans="1:36" ht="16.5" hidden="1" thickBot="1">
      <c r="A329" s="1116" t="s">
        <v>1317</v>
      </c>
      <c r="C329" s="584">
        <v>0</v>
      </c>
      <c r="D329" s="528">
        <f>ROUND(C329/(C330-C326)*D330,0)</f>
        <v>0</v>
      </c>
      <c r="F329" s="1930"/>
      <c r="G329" s="597"/>
      <c r="H329" s="1644"/>
      <c r="I329" s="1644"/>
      <c r="K329" s="1930"/>
      <c r="L329" s="597"/>
      <c r="M329" s="1930"/>
      <c r="N329" s="597"/>
      <c r="O329" s="1939"/>
      <c r="Q329" s="1939"/>
      <c r="S329" s="1647"/>
      <c r="U329" s="1647"/>
      <c r="W329" s="1647"/>
      <c r="Y329" s="1647"/>
      <c r="AI329" s="2023">
        <f>W329-'Blocking-Step2'!W329</f>
        <v>0</v>
      </c>
      <c r="AJ329" s="2054">
        <f>O329-'Blocking-Step2'!O329</f>
        <v>0</v>
      </c>
    </row>
    <row r="330" spans="1:36" ht="17.25" hidden="1" thickTop="1" thickBot="1">
      <c r="A330" s="1900" t="s">
        <v>247</v>
      </c>
      <c r="C330" s="1949">
        <f>SUM(C323:C325,C326,C329)</f>
        <v>178060606</v>
      </c>
      <c r="D330" s="1949">
        <f>C330*D732/C732</f>
        <v>168964789.38827613</v>
      </c>
      <c r="F330" s="1939"/>
      <c r="H330" s="1647">
        <f>SUM(H312:H327)</f>
        <v>24559029.091499999</v>
      </c>
      <c r="I330" s="1647">
        <f>SUM(I312:I327)</f>
        <v>23337362.899</v>
      </c>
      <c r="K330" s="1939"/>
      <c r="M330" s="1939"/>
      <c r="O330" s="1939"/>
      <c r="Q330" s="1939"/>
      <c r="S330" s="1647">
        <f>SUM(S312:S326)</f>
        <v>10723609</v>
      </c>
      <c r="U330" s="1647">
        <f>SUM(U312:U326)</f>
        <v>9191688</v>
      </c>
      <c r="W330" s="1647">
        <f>SUM(W312:W326)</f>
        <v>3592947</v>
      </c>
      <c r="Y330" s="1647">
        <f>SUM(Y312:Y326)</f>
        <v>23508244</v>
      </c>
      <c r="AA330" s="1104" t="s">
        <v>1743</v>
      </c>
      <c r="AB330" s="1890">
        <f>Y330/I330-1</f>
        <v>7.322211242955845E-3</v>
      </c>
      <c r="AI330" s="2023">
        <f>W330-'Blocking-Step2'!W330</f>
        <v>0</v>
      </c>
      <c r="AJ330" s="2054">
        <f>O330-'Blocking-Step2'!O330</f>
        <v>0</v>
      </c>
    </row>
    <row r="331" spans="1:36" ht="16.5" hidden="1" thickTop="1">
      <c r="AI331" s="2023">
        <f>W331-'Blocking-Step2'!W331</f>
        <v>0</v>
      </c>
      <c r="AJ331" s="2054">
        <f>O331-'Blocking-Step2'!O331</f>
        <v>0</v>
      </c>
    </row>
    <row r="332" spans="1:36" hidden="1">
      <c r="A332" s="1897" t="s">
        <v>1917</v>
      </c>
      <c r="C332" s="528"/>
      <c r="D332" s="528"/>
      <c r="AI332" s="2023">
        <f>W332-'Blocking-Step2'!W332</f>
        <v>0</v>
      </c>
      <c r="AJ332" s="2054">
        <f>O332-'Blocking-Step2'!O332</f>
        <v>0</v>
      </c>
    </row>
    <row r="333" spans="1:36" hidden="1">
      <c r="A333" s="1900" t="s">
        <v>240</v>
      </c>
      <c r="C333" s="528">
        <f>'BD-Redesign'!E22</f>
        <v>2090.65</v>
      </c>
      <c r="D333" s="528">
        <f>D348</f>
        <v>2108.3140286129374</v>
      </c>
      <c r="F333" s="1901"/>
      <c r="G333" s="1902"/>
      <c r="H333" s="1644"/>
      <c r="I333" s="1644"/>
      <c r="K333" s="1901">
        <f>K225</f>
        <v>53</v>
      </c>
      <c r="L333" s="1902"/>
      <c r="M333" s="1901">
        <f>M225</f>
        <v>0</v>
      </c>
      <c r="N333" s="1902"/>
      <c r="O333" s="1901">
        <f>O225</f>
        <v>0</v>
      </c>
      <c r="P333" s="1902"/>
      <c r="Q333" s="1901">
        <f t="shared" ref="Q333:Q343" si="175">Q225</f>
        <v>53</v>
      </c>
      <c r="R333" s="1902"/>
      <c r="S333" s="1644">
        <f>ROUND($D333*K333,0)</f>
        <v>111741</v>
      </c>
      <c r="T333" s="1643"/>
      <c r="U333" s="1644">
        <f>ROUND($D333*M333,0)</f>
        <v>0</v>
      </c>
      <c r="V333" s="1643"/>
      <c r="W333" s="1644">
        <f>ROUND($D333*O333,0)</f>
        <v>0</v>
      </c>
      <c r="X333" s="1643"/>
      <c r="Y333" s="1644">
        <f>ROUND($D333*Q333,0)</f>
        <v>111741</v>
      </c>
      <c r="AA333" s="1109"/>
      <c r="AB333" s="1114"/>
      <c r="AI333" s="2023">
        <f>W333-'Blocking-Step2'!W333</f>
        <v>0</v>
      </c>
      <c r="AJ333" s="2054">
        <f>O333-'Blocking-Step2'!O333</f>
        <v>0</v>
      </c>
    </row>
    <row r="334" spans="1:36" hidden="1">
      <c r="A334" s="1900" t="s">
        <v>1910</v>
      </c>
      <c r="C334" s="528">
        <f>'BD-Redesign'!E23</f>
        <v>4185638.1212871289</v>
      </c>
      <c r="D334" s="528">
        <f t="shared" ref="D334:D343" si="176">C334/$C$346*$D$346</f>
        <v>4387983.9192588255</v>
      </c>
      <c r="E334" s="597"/>
      <c r="F334" s="1942"/>
      <c r="G334" s="1921"/>
      <c r="H334" s="1644"/>
      <c r="I334" s="1644"/>
      <c r="J334" s="597"/>
      <c r="K334" s="1942">
        <f t="shared" ref="K334:K343" si="177">K226</f>
        <v>3.89</v>
      </c>
      <c r="L334" s="1921" t="s">
        <v>495</v>
      </c>
      <c r="M334" s="1942">
        <f t="shared" ref="M334:M343" si="178">M226</f>
        <v>17.137528114911813</v>
      </c>
      <c r="N334" s="1921" t="s">
        <v>495</v>
      </c>
      <c r="O334" s="1942">
        <f t="shared" ref="O334:O343" si="179">O226</f>
        <v>1.3496999999999999</v>
      </c>
      <c r="P334" s="1921" t="s">
        <v>495</v>
      </c>
      <c r="Q334" s="1942">
        <f t="shared" si="175"/>
        <v>22.377228114911812</v>
      </c>
      <c r="R334" s="1921" t="s">
        <v>495</v>
      </c>
      <c r="S334" s="1644">
        <f>ROUND($D334*K334/100,0)</f>
        <v>170693</v>
      </c>
      <c r="T334" s="1648"/>
      <c r="U334" s="1644">
        <f>ROUND($D334*M334/100,0)</f>
        <v>751992</v>
      </c>
      <c r="V334" s="1648"/>
      <c r="W334" s="1644">
        <f>ROUND($D334*O334/100,0)</f>
        <v>59225</v>
      </c>
      <c r="X334" s="1648"/>
      <c r="Y334" s="1644">
        <f>ROUND($D334*Q334/100,0)</f>
        <v>981909</v>
      </c>
      <c r="AA334" s="596"/>
      <c r="AB334" s="596"/>
      <c r="AI334" s="2023">
        <f>W334-'Blocking-Step2'!W334</f>
        <v>0</v>
      </c>
      <c r="AJ334" s="2054">
        <f>O334-'Blocking-Step2'!O334</f>
        <v>0</v>
      </c>
    </row>
    <row r="335" spans="1:36" hidden="1">
      <c r="A335" s="1900" t="s">
        <v>1911</v>
      </c>
      <c r="C335" s="528">
        <f>'BD-Redesign'!E24</f>
        <v>9571608.8787128702</v>
      </c>
      <c r="D335" s="528">
        <f t="shared" si="176"/>
        <v>10034328.01025608</v>
      </c>
      <c r="E335" s="597"/>
      <c r="F335" s="1942"/>
      <c r="G335" s="1921"/>
      <c r="H335" s="1644"/>
      <c r="I335" s="1644"/>
      <c r="J335" s="597"/>
      <c r="K335" s="1942">
        <f t="shared" si="177"/>
        <v>3.89</v>
      </c>
      <c r="L335" s="1921" t="s">
        <v>495</v>
      </c>
      <c r="M335" s="1942">
        <f t="shared" si="178"/>
        <v>-1.0877975226579997</v>
      </c>
      <c r="N335" s="1921" t="s">
        <v>495</v>
      </c>
      <c r="O335" s="1942">
        <f t="shared" si="179"/>
        <v>1.3496999999999999</v>
      </c>
      <c r="P335" s="1921" t="s">
        <v>495</v>
      </c>
      <c r="Q335" s="1942">
        <f t="shared" si="175"/>
        <v>4.1519024773420004</v>
      </c>
      <c r="R335" s="1921" t="s">
        <v>495</v>
      </c>
      <c r="S335" s="1644">
        <f t="shared" ref="S335:S341" si="180">ROUND($D335*K335/100,0)</f>
        <v>390335</v>
      </c>
      <c r="T335" s="1648"/>
      <c r="U335" s="1644">
        <f t="shared" ref="U335:U341" si="181">ROUND($D335*M335/100,0)</f>
        <v>-109153</v>
      </c>
      <c r="V335" s="1648"/>
      <c r="W335" s="1644">
        <f t="shared" ref="W335:W341" si="182">ROUND($D335*O335/100,0)</f>
        <v>135433</v>
      </c>
      <c r="X335" s="1648"/>
      <c r="Y335" s="1644">
        <f t="shared" ref="Y335:Y341" si="183">ROUND($D335*Q335/100,0)</f>
        <v>416616</v>
      </c>
      <c r="AA335" s="596"/>
      <c r="AB335" s="596"/>
      <c r="AI335" s="2023">
        <f>W335-'Blocking-Step2'!W335</f>
        <v>0</v>
      </c>
      <c r="AJ335" s="2054">
        <f>O335-'Blocking-Step2'!O335</f>
        <v>0</v>
      </c>
    </row>
    <row r="336" spans="1:36" hidden="1">
      <c r="A336" s="1900" t="s">
        <v>1912</v>
      </c>
      <c r="C336" s="528">
        <f>'BD-Redesign'!E25</f>
        <v>7459634.6336633675</v>
      </c>
      <c r="D336" s="528">
        <f t="shared" si="176"/>
        <v>7820254.8494553976</v>
      </c>
      <c r="E336" s="597"/>
      <c r="F336" s="1942"/>
      <c r="G336" s="1921"/>
      <c r="H336" s="1644"/>
      <c r="I336" s="1644"/>
      <c r="J336" s="597"/>
      <c r="K336" s="1942">
        <f t="shared" si="177"/>
        <v>3.89</v>
      </c>
      <c r="L336" s="1921" t="s">
        <v>495</v>
      </c>
      <c r="M336" s="1942">
        <f t="shared" si="178"/>
        <v>14.718500000000001</v>
      </c>
      <c r="N336" s="1921" t="s">
        <v>495</v>
      </c>
      <c r="O336" s="1942">
        <f t="shared" si="179"/>
        <v>1.1943999999999999</v>
      </c>
      <c r="P336" s="1921" t="s">
        <v>495</v>
      </c>
      <c r="Q336" s="1942">
        <f t="shared" si="175"/>
        <v>19.802900000000001</v>
      </c>
      <c r="R336" s="1921" t="s">
        <v>495</v>
      </c>
      <c r="S336" s="1644">
        <f t="shared" si="180"/>
        <v>304208</v>
      </c>
      <c r="T336" s="1648"/>
      <c r="U336" s="1644">
        <f t="shared" si="181"/>
        <v>1151024</v>
      </c>
      <c r="V336" s="1648"/>
      <c r="W336" s="1644">
        <f t="shared" si="182"/>
        <v>93405</v>
      </c>
      <c r="X336" s="1648"/>
      <c r="Y336" s="1644">
        <f t="shared" si="183"/>
        <v>1548637</v>
      </c>
      <c r="AA336" s="596"/>
      <c r="AB336" s="596"/>
      <c r="AI336" s="2023">
        <f>W336-'Blocking-Step2'!W336</f>
        <v>0</v>
      </c>
      <c r="AJ336" s="2054">
        <f>O336-'Blocking-Step2'!O336</f>
        <v>0</v>
      </c>
    </row>
    <row r="337" spans="1:36" hidden="1">
      <c r="A337" s="1900" t="s">
        <v>1913</v>
      </c>
      <c r="C337" s="528">
        <f>'BD-Redesign'!E26</f>
        <v>16404117.366336634</v>
      </c>
      <c r="D337" s="528">
        <f t="shared" si="176"/>
        <v>17197139.630165793</v>
      </c>
      <c r="E337" s="597"/>
      <c r="F337" s="1942"/>
      <c r="G337" s="1921"/>
      <c r="H337" s="1644"/>
      <c r="I337" s="1644"/>
      <c r="J337" s="597"/>
      <c r="K337" s="1942">
        <f t="shared" si="177"/>
        <v>3.89</v>
      </c>
      <c r="L337" s="1921" t="s">
        <v>495</v>
      </c>
      <c r="M337" s="1942">
        <f t="shared" si="178"/>
        <v>-1.4102000000000001</v>
      </c>
      <c r="N337" s="1921" t="s">
        <v>495</v>
      </c>
      <c r="O337" s="1942">
        <f t="shared" si="179"/>
        <v>1.1943999999999999</v>
      </c>
      <c r="P337" s="1921" t="s">
        <v>495</v>
      </c>
      <c r="Q337" s="1942">
        <f t="shared" si="175"/>
        <v>3.6741999999999999</v>
      </c>
      <c r="R337" s="1921" t="s">
        <v>495</v>
      </c>
      <c r="S337" s="1644">
        <f t="shared" si="180"/>
        <v>668969</v>
      </c>
      <c r="T337" s="1648"/>
      <c r="U337" s="1644">
        <f t="shared" si="181"/>
        <v>-242514</v>
      </c>
      <c r="V337" s="1648"/>
      <c r="W337" s="1644">
        <f t="shared" si="182"/>
        <v>205403</v>
      </c>
      <c r="X337" s="1648"/>
      <c r="Y337" s="1644">
        <f t="shared" si="183"/>
        <v>631857</v>
      </c>
      <c r="AA337" s="596"/>
      <c r="AB337" s="596"/>
      <c r="AI337" s="2023">
        <f>W337-'Blocking-Step2'!W337</f>
        <v>0</v>
      </c>
      <c r="AJ337" s="2054">
        <f>O337-'Blocking-Step2'!O337</f>
        <v>0</v>
      </c>
    </row>
    <row r="338" spans="1:36" hidden="1">
      <c r="A338" s="1900" t="s">
        <v>1906</v>
      </c>
      <c r="C338" s="528">
        <f>'BD-Redesign'!E27</f>
        <v>7640094.0521151097</v>
      </c>
      <c r="D338" s="528">
        <f t="shared" si="176"/>
        <v>8009438.1957695177</v>
      </c>
      <c r="E338" s="597"/>
      <c r="F338" s="1942"/>
      <c r="G338" s="1921"/>
      <c r="H338" s="1644"/>
      <c r="I338" s="1644"/>
      <c r="J338" s="597"/>
      <c r="K338" s="1942">
        <f t="shared" si="177"/>
        <v>0</v>
      </c>
      <c r="L338" s="1921" t="s">
        <v>495</v>
      </c>
      <c r="M338" s="1942">
        <f t="shared" si="178"/>
        <v>0</v>
      </c>
      <c r="N338" s="1921" t="s">
        <v>495</v>
      </c>
      <c r="O338" s="1942">
        <f t="shared" si="179"/>
        <v>6</v>
      </c>
      <c r="P338" s="1921" t="s">
        <v>495</v>
      </c>
      <c r="Q338" s="1942">
        <f t="shared" si="175"/>
        <v>6</v>
      </c>
      <c r="R338" s="1921" t="s">
        <v>495</v>
      </c>
      <c r="S338" s="1644">
        <f t="shared" si="180"/>
        <v>0</v>
      </c>
      <c r="T338" s="1648"/>
      <c r="U338" s="1644">
        <f t="shared" si="181"/>
        <v>0</v>
      </c>
      <c r="V338" s="1648"/>
      <c r="W338" s="1644">
        <f t="shared" si="182"/>
        <v>480566</v>
      </c>
      <c r="X338" s="1648"/>
      <c r="Y338" s="1644">
        <f t="shared" si="183"/>
        <v>480566</v>
      </c>
      <c r="AA338" s="596"/>
      <c r="AB338" s="596"/>
      <c r="AI338" s="2023">
        <f>W338-'Blocking-Step2'!W338</f>
        <v>0</v>
      </c>
      <c r="AJ338" s="2054">
        <f>O338-'Blocking-Step2'!O338</f>
        <v>0</v>
      </c>
    </row>
    <row r="339" spans="1:36" hidden="1">
      <c r="A339" s="1900" t="s">
        <v>1907</v>
      </c>
      <c r="C339" s="528">
        <f>'BD-Redesign'!E28</f>
        <v>6117152.9478848893</v>
      </c>
      <c r="D339" s="528">
        <f t="shared" si="176"/>
        <v>6412873.733745385</v>
      </c>
      <c r="E339" s="597"/>
      <c r="F339" s="1942"/>
      <c r="G339" s="1921"/>
      <c r="H339" s="1644"/>
      <c r="I339" s="1644"/>
      <c r="J339" s="597"/>
      <c r="K339" s="1942">
        <f t="shared" si="177"/>
        <v>0</v>
      </c>
      <c r="L339" s="1921" t="s">
        <v>495</v>
      </c>
      <c r="M339" s="1942">
        <f t="shared" si="178"/>
        <v>0</v>
      </c>
      <c r="N339" s="1921" t="s">
        <v>495</v>
      </c>
      <c r="O339" s="1942">
        <f t="shared" si="179"/>
        <v>-2.3358000000000008</v>
      </c>
      <c r="P339" s="1921" t="s">
        <v>495</v>
      </c>
      <c r="Q339" s="1942">
        <f t="shared" si="175"/>
        <v>-2.3358000000000008</v>
      </c>
      <c r="R339" s="1921" t="s">
        <v>495</v>
      </c>
      <c r="S339" s="1644">
        <f t="shared" si="180"/>
        <v>0</v>
      </c>
      <c r="T339" s="1648"/>
      <c r="U339" s="1644">
        <f t="shared" si="181"/>
        <v>0</v>
      </c>
      <c r="V339" s="1648"/>
      <c r="W339" s="1644">
        <f t="shared" si="182"/>
        <v>-149792</v>
      </c>
      <c r="X339" s="1648"/>
      <c r="Y339" s="1644">
        <f t="shared" si="183"/>
        <v>-149792</v>
      </c>
      <c r="AA339" s="596"/>
      <c r="AB339" s="596"/>
      <c r="AI339" s="2023">
        <f>W339-'Blocking-Step2'!W339</f>
        <v>0</v>
      </c>
      <c r="AJ339" s="2054">
        <f>O339-'Blocking-Step2'!O339</f>
        <v>0</v>
      </c>
    </row>
    <row r="340" spans="1:36" hidden="1">
      <c r="A340" s="1900" t="s">
        <v>1908</v>
      </c>
      <c r="C340" s="528">
        <f>'BD-Redesign'!E29</f>
        <v>13252746.69534901</v>
      </c>
      <c r="D340" s="528">
        <f t="shared" si="176"/>
        <v>13893422.627591934</v>
      </c>
      <c r="E340" s="597"/>
      <c r="F340" s="1942"/>
      <c r="G340" s="1921"/>
      <c r="H340" s="1644"/>
      <c r="I340" s="1644"/>
      <c r="J340" s="597"/>
      <c r="K340" s="1942">
        <f t="shared" si="177"/>
        <v>0</v>
      </c>
      <c r="L340" s="1921" t="s">
        <v>495</v>
      </c>
      <c r="M340" s="1942">
        <f t="shared" si="178"/>
        <v>0</v>
      </c>
      <c r="N340" s="1921" t="s">
        <v>495</v>
      </c>
      <c r="O340" s="1942">
        <f t="shared" si="179"/>
        <v>5.3097000000000003</v>
      </c>
      <c r="P340" s="1921" t="s">
        <v>495</v>
      </c>
      <c r="Q340" s="1942">
        <f t="shared" si="175"/>
        <v>5.3097000000000003</v>
      </c>
      <c r="R340" s="1921" t="s">
        <v>495</v>
      </c>
      <c r="S340" s="1644">
        <f t="shared" si="180"/>
        <v>0</v>
      </c>
      <c r="T340" s="1648"/>
      <c r="U340" s="1644">
        <f t="shared" si="181"/>
        <v>0</v>
      </c>
      <c r="V340" s="1648"/>
      <c r="W340" s="1644">
        <f t="shared" si="182"/>
        <v>737699</v>
      </c>
      <c r="X340" s="1648"/>
      <c r="Y340" s="1644">
        <f t="shared" si="183"/>
        <v>737699</v>
      </c>
      <c r="AA340" s="596"/>
      <c r="AB340" s="596"/>
      <c r="AI340" s="2023">
        <f>W340-'Blocking-Step2'!W340</f>
        <v>0</v>
      </c>
      <c r="AJ340" s="2054">
        <f>O340-'Blocking-Step2'!O340</f>
        <v>0</v>
      </c>
    </row>
    <row r="341" spans="1:36" hidden="1">
      <c r="A341" s="1900" t="s">
        <v>1909</v>
      </c>
      <c r="C341" s="528">
        <f>'BD-Redesign'!E30</f>
        <v>10611005.304650979</v>
      </c>
      <c r="D341" s="528">
        <f t="shared" si="176"/>
        <v>11123971.852029243</v>
      </c>
      <c r="E341" s="597"/>
      <c r="F341" s="1942"/>
      <c r="G341" s="1921"/>
      <c r="H341" s="1644"/>
      <c r="I341" s="1644"/>
      <c r="J341" s="597"/>
      <c r="K341" s="1942">
        <f t="shared" si="177"/>
        <v>0</v>
      </c>
      <c r="L341" s="1921" t="s">
        <v>495</v>
      </c>
      <c r="M341" s="1942">
        <f t="shared" si="178"/>
        <v>0</v>
      </c>
      <c r="N341" s="1921" t="s">
        <v>495</v>
      </c>
      <c r="O341" s="1942">
        <f t="shared" si="179"/>
        <v>-2.0670999999999999</v>
      </c>
      <c r="P341" s="1921" t="s">
        <v>495</v>
      </c>
      <c r="Q341" s="1942">
        <f t="shared" si="175"/>
        <v>-2.0670999999999999</v>
      </c>
      <c r="R341" s="1921" t="s">
        <v>495</v>
      </c>
      <c r="S341" s="1644">
        <f t="shared" si="180"/>
        <v>0</v>
      </c>
      <c r="T341" s="1648"/>
      <c r="U341" s="1644">
        <f t="shared" si="181"/>
        <v>0</v>
      </c>
      <c r="V341" s="1648"/>
      <c r="W341" s="1644">
        <f t="shared" si="182"/>
        <v>-229944</v>
      </c>
      <c r="X341" s="1648"/>
      <c r="Y341" s="1644">
        <f t="shared" si="183"/>
        <v>-229944</v>
      </c>
      <c r="AA341" s="596"/>
      <c r="AB341" s="596"/>
      <c r="AI341" s="2023">
        <f>W341-'Blocking-Step2'!W341</f>
        <v>0</v>
      </c>
      <c r="AJ341" s="2054">
        <f>O341-'Blocking-Step2'!O341</f>
        <v>0</v>
      </c>
    </row>
    <row r="342" spans="1:36" hidden="1">
      <c r="A342" s="1900" t="s">
        <v>261</v>
      </c>
      <c r="C342" s="528">
        <f>'BD-Redesign'!E31</f>
        <v>24029.583333333336</v>
      </c>
      <c r="D342" s="528">
        <f t="shared" si="176"/>
        <v>25191.242577065448</v>
      </c>
      <c r="F342" s="1901"/>
      <c r="G342" s="1902"/>
      <c r="H342" s="1644"/>
      <c r="I342" s="1644"/>
      <c r="K342" s="1901">
        <f t="shared" si="177"/>
        <v>-0.61</v>
      </c>
      <c r="L342" s="1902"/>
      <c r="M342" s="1901">
        <f t="shared" si="178"/>
        <v>0</v>
      </c>
      <c r="N342" s="1902"/>
      <c r="O342" s="1901">
        <f t="shared" si="179"/>
        <v>0</v>
      </c>
      <c r="P342" s="1902"/>
      <c r="Q342" s="1901">
        <f t="shared" si="175"/>
        <v>-0.61</v>
      </c>
      <c r="R342" s="1902"/>
      <c r="S342" s="1644">
        <f>ROUND($D342*K342,0)</f>
        <v>-15367</v>
      </c>
      <c r="T342" s="1643"/>
      <c r="U342" s="1644">
        <f>ROUND($D342*M342,0)</f>
        <v>0</v>
      </c>
      <c r="V342" s="1643"/>
      <c r="W342" s="1644">
        <f>ROUND($D342*O342,0)</f>
        <v>0</v>
      </c>
      <c r="X342" s="1643"/>
      <c r="Y342" s="1644">
        <f>ROUND($D342*Q342,0)</f>
        <v>-15367</v>
      </c>
      <c r="AA342" s="596"/>
      <c r="AB342" s="596"/>
      <c r="AI342" s="2023">
        <f>W342-'Blocking-Step2'!W342</f>
        <v>0</v>
      </c>
      <c r="AJ342" s="2054">
        <f>O342-'Blocking-Step2'!O342</f>
        <v>0</v>
      </c>
    </row>
    <row r="343" spans="1:36" hidden="1">
      <c r="A343" s="1116" t="s">
        <v>1158</v>
      </c>
      <c r="C343" s="528">
        <f>'BD-Redesign'!E32</f>
        <v>400</v>
      </c>
      <c r="D343" s="528">
        <f t="shared" si="176"/>
        <v>419.33715167038594</v>
      </c>
      <c r="F343" s="1943"/>
      <c r="G343" s="1921"/>
      <c r="H343" s="1644"/>
      <c r="I343" s="1644"/>
      <c r="K343" s="1943">
        <f t="shared" si="177"/>
        <v>0</v>
      </c>
      <c r="L343" s="1921" t="s">
        <v>495</v>
      </c>
      <c r="M343" s="1943">
        <f t="shared" si="178"/>
        <v>7.125</v>
      </c>
      <c r="N343" s="1921" t="s">
        <v>495</v>
      </c>
      <c r="O343" s="1943">
        <f t="shared" si="179"/>
        <v>0</v>
      </c>
      <c r="P343" s="1921" t="s">
        <v>495</v>
      </c>
      <c r="Q343" s="1943">
        <f t="shared" si="175"/>
        <v>7.125</v>
      </c>
      <c r="R343" s="1921" t="s">
        <v>495</v>
      </c>
      <c r="S343" s="1644">
        <f>ROUND($D343*K343/100,0)</f>
        <v>0</v>
      </c>
      <c r="T343" s="1648"/>
      <c r="U343" s="1644">
        <f>ROUND($D343*M343/100,0)</f>
        <v>30</v>
      </c>
      <c r="V343" s="1648"/>
      <c r="W343" s="1644">
        <f>ROUND($D343*O343/100,0)</f>
        <v>0</v>
      </c>
      <c r="X343" s="1648"/>
      <c r="Y343" s="1644">
        <f>ROUND($D343*Q343/100,0)</f>
        <v>30</v>
      </c>
      <c r="AA343" s="1109"/>
      <c r="AB343" s="1114"/>
      <c r="AI343" s="2023">
        <f>W343-'Blocking-Step2'!W343</f>
        <v>0</v>
      </c>
      <c r="AJ343" s="2054">
        <f>O343-'Blocking-Step2'!O343</f>
        <v>0</v>
      </c>
    </row>
    <row r="344" spans="1:36" hidden="1">
      <c r="A344" s="1900" t="s">
        <v>1240</v>
      </c>
      <c r="C344" s="584"/>
      <c r="D344" s="584"/>
      <c r="F344" s="1930"/>
      <c r="G344" s="597"/>
      <c r="H344" s="1644"/>
      <c r="I344" s="1644"/>
      <c r="K344" s="1930"/>
      <c r="L344" s="597"/>
      <c r="M344" s="1930"/>
      <c r="N344" s="597"/>
      <c r="O344" s="1931" t="str">
        <f>$O$43</f>
        <v>Tax Year 1 (1/1/2021)</v>
      </c>
      <c r="P344" s="597"/>
      <c r="Q344" s="1930">
        <f>$Q$979</f>
        <v>-1.6899999999999998E-2</v>
      </c>
      <c r="R344" s="597"/>
      <c r="S344" s="1645"/>
      <c r="T344" s="1645"/>
      <c r="U344" s="1645"/>
      <c r="V344" s="1645"/>
      <c r="W344" s="1645"/>
      <c r="X344" s="1645"/>
      <c r="Y344" s="1644">
        <f>Q344*SUM(Y334:Y337,Y343)</f>
        <v>-60485.928099999997</v>
      </c>
      <c r="AI344" s="2023">
        <f>W344-'Blocking-Step2'!W344</f>
        <v>0</v>
      </c>
      <c r="AJ344" s="2054">
        <f>O344-'Blocking-Step2'!O344</f>
        <v>0</v>
      </c>
    </row>
    <row r="345" spans="1:36" hidden="1">
      <c r="A345" s="1900"/>
      <c r="C345" s="584"/>
      <c r="D345" s="584"/>
      <c r="F345" s="1930"/>
      <c r="G345" s="597"/>
      <c r="H345" s="1644"/>
      <c r="I345" s="1644"/>
      <c r="K345" s="1930"/>
      <c r="L345" s="597"/>
      <c r="M345" s="1930"/>
      <c r="N345" s="597"/>
      <c r="O345" s="1931">
        <f>$O$44</f>
        <v>0</v>
      </c>
      <c r="P345" s="597"/>
      <c r="Q345" s="1930">
        <f>$Q$980</f>
        <v>0</v>
      </c>
      <c r="R345" s="597"/>
      <c r="S345" s="1645"/>
      <c r="T345" s="1645"/>
      <c r="U345" s="1645"/>
      <c r="V345" s="1645"/>
      <c r="W345" s="1645"/>
      <c r="X345" s="1645"/>
      <c r="Y345" s="1644">
        <f>Q345*SUM(Y334:Y337,Y343)</f>
        <v>0</v>
      </c>
      <c r="AI345" s="2023">
        <f>W345-'Blocking-Step2'!W345</f>
        <v>0</v>
      </c>
      <c r="AJ345" s="2054">
        <f>O345-'Blocking-Step2'!O345</f>
        <v>0</v>
      </c>
    </row>
    <row r="346" spans="1:36" hidden="1">
      <c r="A346" s="1900" t="s">
        <v>1923</v>
      </c>
      <c r="C346" s="528">
        <f>SUM(C338:C341,C343)</f>
        <v>37621398.999999985</v>
      </c>
      <c r="D346" s="528">
        <f>D366</f>
        <v>39440125.746287748</v>
      </c>
      <c r="F346" s="1901"/>
      <c r="G346" s="1902"/>
      <c r="H346" s="1644"/>
      <c r="I346" s="1644"/>
      <c r="K346" s="1901"/>
      <c r="L346" s="1902"/>
      <c r="M346" s="1901"/>
      <c r="N346" s="1902"/>
      <c r="O346" s="1901"/>
      <c r="P346" s="1902"/>
      <c r="Q346" s="1901"/>
      <c r="R346" s="1902"/>
      <c r="S346" s="1644">
        <f>SUM(S333:S343)</f>
        <v>1630579</v>
      </c>
      <c r="T346" s="1643"/>
      <c r="U346" s="1644">
        <f>SUM(U333:U343)</f>
        <v>1551379</v>
      </c>
      <c r="V346" s="1643"/>
      <c r="W346" s="1644">
        <f>SUM(W333:W343)</f>
        <v>1331995</v>
      </c>
      <c r="X346" s="1643"/>
      <c r="Y346" s="1644">
        <f>SUM(Y333:Y343)</f>
        <v>4513952</v>
      </c>
      <c r="AA346" s="1109" t="s">
        <v>1743</v>
      </c>
      <c r="AB346" s="1499">
        <f>Y346/Y366-1</f>
        <v>-0.1856161761368208</v>
      </c>
      <c r="AI346" s="2023">
        <f>W346-'Blocking-Step2'!W346</f>
        <v>0</v>
      </c>
      <c r="AJ346" s="2054">
        <f>O346-'Blocking-Step2'!O346</f>
        <v>0</v>
      </c>
    </row>
    <row r="347" spans="1:36" hidden="1">
      <c r="A347" s="1900"/>
      <c r="C347" s="528"/>
      <c r="D347" s="528"/>
      <c r="F347" s="1901"/>
      <c r="G347" s="1902"/>
      <c r="H347" s="1644"/>
      <c r="I347" s="1644"/>
      <c r="K347" s="1901"/>
      <c r="L347" s="1902"/>
      <c r="M347" s="1901"/>
      <c r="N347" s="1902"/>
      <c r="O347" s="1901"/>
      <c r="P347" s="1902"/>
      <c r="Q347" s="1901"/>
      <c r="R347" s="1902"/>
      <c r="S347" s="1643"/>
      <c r="T347" s="1643"/>
      <c r="U347" s="1643"/>
      <c r="V347" s="1643"/>
      <c r="W347" s="1643"/>
      <c r="X347" s="1643"/>
      <c r="Y347" s="1644"/>
      <c r="AA347" s="1109"/>
      <c r="AB347" s="1114"/>
      <c r="AI347" s="2023">
        <f>W347-'Blocking-Step2'!W347</f>
        <v>0</v>
      </c>
      <c r="AJ347" s="2054">
        <f>O347-'Blocking-Step2'!O347</f>
        <v>0</v>
      </c>
    </row>
    <row r="348" spans="1:36" hidden="1">
      <c r="A348" s="1900" t="s">
        <v>240</v>
      </c>
      <c r="C348" s="528">
        <f>C333</f>
        <v>2090.65</v>
      </c>
      <c r="D348" s="528">
        <f>C348*D735/C735</f>
        <v>2108.3140286129374</v>
      </c>
      <c r="F348" s="1944">
        <f>F240</f>
        <v>54</v>
      </c>
      <c r="G348" s="597"/>
      <c r="H348" s="1644">
        <f t="shared" ref="H348:I350" si="184">ROUND($F348*C348,0)</f>
        <v>112895</v>
      </c>
      <c r="I348" s="1644">
        <f t="shared" si="184"/>
        <v>113849</v>
      </c>
      <c r="K348" s="1944">
        <f t="shared" ref="K348:K355" si="185">K240</f>
        <v>53</v>
      </c>
      <c r="L348" s="597"/>
      <c r="M348" s="1944">
        <f t="shared" ref="M348:M355" si="186">M240</f>
        <v>0</v>
      </c>
      <c r="N348" s="597"/>
      <c r="O348" s="1944">
        <f t="shared" ref="O348:O355" si="187">O240</f>
        <v>0</v>
      </c>
      <c r="P348" s="597"/>
      <c r="Q348" s="1944">
        <f t="shared" ref="Q348:Q355" si="188">Q240</f>
        <v>53</v>
      </c>
      <c r="R348" s="597"/>
      <c r="S348" s="1644">
        <f>ROUND($D348*K348,0)</f>
        <v>111741</v>
      </c>
      <c r="T348" s="1643"/>
      <c r="U348" s="1644">
        <f>ROUND($D348*M348,0)</f>
        <v>0</v>
      </c>
      <c r="V348" s="1643"/>
      <c r="W348" s="1644">
        <f>ROUND($D348*O348,0)</f>
        <v>0</v>
      </c>
      <c r="X348" s="1643"/>
      <c r="Y348" s="1644">
        <f>ROUND($D348*Q348,0)</f>
        <v>111741</v>
      </c>
      <c r="AI348" s="2023">
        <f>W348-'Blocking-Step2'!W348</f>
        <v>0</v>
      </c>
      <c r="AJ348" s="2054">
        <f>O348-'Blocking-Step2'!O348</f>
        <v>0</v>
      </c>
    </row>
    <row r="349" spans="1:36" hidden="1">
      <c r="A349" s="1900" t="s">
        <v>262</v>
      </c>
      <c r="C349" s="584">
        <v>0</v>
      </c>
      <c r="D349" s="528">
        <v>0</v>
      </c>
      <c r="F349" s="1944">
        <f>F241</f>
        <v>648</v>
      </c>
      <c r="G349" s="597"/>
      <c r="H349" s="1644">
        <f t="shared" si="184"/>
        <v>0</v>
      </c>
      <c r="I349" s="1644">
        <f t="shared" si="184"/>
        <v>0</v>
      </c>
      <c r="K349" s="1944">
        <f t="shared" si="185"/>
        <v>636</v>
      </c>
      <c r="L349" s="597"/>
      <c r="M349" s="1944">
        <f t="shared" si="186"/>
        <v>0</v>
      </c>
      <c r="N349" s="597"/>
      <c r="O349" s="1944">
        <f t="shared" si="187"/>
        <v>0</v>
      </c>
      <c r="P349" s="597"/>
      <c r="Q349" s="1944">
        <f t="shared" si="188"/>
        <v>636</v>
      </c>
      <c r="R349" s="597"/>
      <c r="S349" s="1644">
        <f t="shared" ref="S349:S353" si="189">ROUND($D349*K349,0)</f>
        <v>0</v>
      </c>
      <c r="T349" s="1643"/>
      <c r="U349" s="1644">
        <f t="shared" ref="U349:U353" si="190">ROUND($D349*M349,0)</f>
        <v>0</v>
      </c>
      <c r="V349" s="1643"/>
      <c r="W349" s="1644">
        <f t="shared" ref="W349:W353" si="191">ROUND($D349*O349,0)</f>
        <v>0</v>
      </c>
      <c r="X349" s="1643"/>
      <c r="Y349" s="1644">
        <f t="shared" ref="Y349:Y353" si="192">ROUND($D349*Q349,0)</f>
        <v>0</v>
      </c>
      <c r="AI349" s="2023">
        <f>W349-'Blocking-Step2'!W349</f>
        <v>0</v>
      </c>
      <c r="AJ349" s="2054">
        <f>O349-'Blocking-Step2'!O349</f>
        <v>0</v>
      </c>
    </row>
    <row r="350" spans="1:36" hidden="1">
      <c r="A350" s="1900" t="s">
        <v>1298</v>
      </c>
      <c r="C350" s="528">
        <v>0</v>
      </c>
      <c r="D350" s="528">
        <v>0</v>
      </c>
      <c r="F350" s="1944">
        <f>F242</f>
        <v>54</v>
      </c>
      <c r="G350" s="597"/>
      <c r="H350" s="1644">
        <f t="shared" si="184"/>
        <v>0</v>
      </c>
      <c r="I350" s="1644">
        <f t="shared" si="184"/>
        <v>0</v>
      </c>
      <c r="K350" s="1944">
        <f t="shared" si="185"/>
        <v>53</v>
      </c>
      <c r="L350" s="597"/>
      <c r="M350" s="1944">
        <f t="shared" si="186"/>
        <v>0</v>
      </c>
      <c r="N350" s="597"/>
      <c r="O350" s="1944">
        <f t="shared" si="187"/>
        <v>0</v>
      </c>
      <c r="P350" s="597"/>
      <c r="Q350" s="1944">
        <f t="shared" si="188"/>
        <v>53</v>
      </c>
      <c r="R350" s="597"/>
      <c r="S350" s="1644">
        <f t="shared" si="189"/>
        <v>0</v>
      </c>
      <c r="T350" s="1645"/>
      <c r="U350" s="1644">
        <f t="shared" si="190"/>
        <v>0</v>
      </c>
      <c r="V350" s="1645"/>
      <c r="W350" s="1644">
        <f t="shared" si="191"/>
        <v>0</v>
      </c>
      <c r="X350" s="1645"/>
      <c r="Y350" s="1644">
        <f t="shared" si="192"/>
        <v>0</v>
      </c>
      <c r="AI350" s="2023">
        <f>W350-'Blocking-Step2'!W350</f>
        <v>0</v>
      </c>
      <c r="AJ350" s="2054">
        <f>O350-'Blocking-Step2'!O350</f>
        <v>0</v>
      </c>
    </row>
    <row r="351" spans="1:36" hidden="1">
      <c r="A351" s="1900" t="s">
        <v>168</v>
      </c>
      <c r="C351" s="528">
        <f>'BD-Redesign'!E55</f>
        <v>237102.33168316825</v>
      </c>
      <c r="D351" s="528">
        <f>ROUND(C351/$C$366*$D$366,0)</f>
        <v>248565</v>
      </c>
      <c r="F351" s="1944">
        <f>F243</f>
        <v>4.04</v>
      </c>
      <c r="G351" s="597"/>
      <c r="H351" s="1644">
        <f>ROUND($F351*C351,0)</f>
        <v>957893</v>
      </c>
      <c r="I351" s="1644">
        <f>ROUND($F351*D351,0)</f>
        <v>1004203</v>
      </c>
      <c r="K351" s="1944">
        <f t="shared" si="185"/>
        <v>3.98</v>
      </c>
      <c r="L351" s="597"/>
      <c r="M351" s="1944">
        <f t="shared" si="186"/>
        <v>0</v>
      </c>
      <c r="N351" s="597"/>
      <c r="O351" s="1944">
        <f t="shared" si="187"/>
        <v>0</v>
      </c>
      <c r="P351" s="597"/>
      <c r="Q351" s="1944">
        <f t="shared" si="188"/>
        <v>3.98</v>
      </c>
      <c r="R351" s="597"/>
      <c r="S351" s="1644">
        <f t="shared" si="189"/>
        <v>989289</v>
      </c>
      <c r="T351" s="1643"/>
      <c r="U351" s="1644">
        <f t="shared" si="190"/>
        <v>0</v>
      </c>
      <c r="V351" s="1643"/>
      <c r="W351" s="1644">
        <f t="shared" si="191"/>
        <v>0</v>
      </c>
      <c r="X351" s="1643"/>
      <c r="Y351" s="1644">
        <f t="shared" si="192"/>
        <v>989289</v>
      </c>
      <c r="AI351" s="2023">
        <f>W351-'Blocking-Step2'!W351</f>
        <v>0</v>
      </c>
      <c r="AJ351" s="2054">
        <f>O351-'Blocking-Step2'!O351</f>
        <v>0</v>
      </c>
    </row>
    <row r="352" spans="1:36" hidden="1">
      <c r="A352" s="1900" t="s">
        <v>1645</v>
      </c>
      <c r="C352" s="528">
        <f>'BD-Redesign'!E56</f>
        <v>85670.315594059415</v>
      </c>
      <c r="D352" s="528">
        <f t="shared" ref="D352:D353" si="193">ROUND(C352/$C$366*$D$366,0)</f>
        <v>89812</v>
      </c>
      <c r="F352" s="1944"/>
      <c r="G352" s="597"/>
      <c r="H352" s="1644"/>
      <c r="I352" s="1644"/>
      <c r="K352" s="1944">
        <f t="shared" si="185"/>
        <v>6.22</v>
      </c>
      <c r="L352" s="597"/>
      <c r="M352" s="1944">
        <f t="shared" si="186"/>
        <v>7.0100000000000007</v>
      </c>
      <c r="N352" s="597"/>
      <c r="O352" s="1944">
        <f t="shared" si="187"/>
        <v>0</v>
      </c>
      <c r="P352" s="597"/>
      <c r="Q352" s="1944">
        <f t="shared" si="188"/>
        <v>13.23</v>
      </c>
      <c r="R352" s="597"/>
      <c r="S352" s="1644">
        <f t="shared" si="189"/>
        <v>558631</v>
      </c>
      <c r="T352" s="1645"/>
      <c r="U352" s="1644">
        <f t="shared" si="190"/>
        <v>629582</v>
      </c>
      <c r="V352" s="1645"/>
      <c r="W352" s="1644">
        <f t="shared" si="191"/>
        <v>0</v>
      </c>
      <c r="X352" s="1645"/>
      <c r="Y352" s="1644">
        <f t="shared" si="192"/>
        <v>1188213</v>
      </c>
      <c r="AI352" s="2023">
        <f>W352-'Blocking-Step2'!W352</f>
        <v>0</v>
      </c>
      <c r="AJ352" s="2054">
        <f>O352-'Blocking-Step2'!O352</f>
        <v>0</v>
      </c>
    </row>
    <row r="353" spans="1:36" hidden="1">
      <c r="A353" s="1900" t="s">
        <v>1646</v>
      </c>
      <c r="C353" s="528">
        <f>'BD-Redesign'!E57</f>
        <v>151432.01608910886</v>
      </c>
      <c r="D353" s="528">
        <f t="shared" si="193"/>
        <v>158753</v>
      </c>
      <c r="F353" s="1944"/>
      <c r="G353" s="597"/>
      <c r="H353" s="1644"/>
      <c r="I353" s="1644"/>
      <c r="K353" s="1944">
        <f t="shared" si="185"/>
        <v>5.5</v>
      </c>
      <c r="L353" s="597"/>
      <c r="M353" s="1944">
        <f t="shared" si="186"/>
        <v>6.2100000000000009</v>
      </c>
      <c r="N353" s="597"/>
      <c r="O353" s="1944">
        <f t="shared" si="187"/>
        <v>0</v>
      </c>
      <c r="P353" s="597"/>
      <c r="Q353" s="1944">
        <f t="shared" si="188"/>
        <v>11.71</v>
      </c>
      <c r="R353" s="597"/>
      <c r="S353" s="1644">
        <f t="shared" si="189"/>
        <v>873142</v>
      </c>
      <c r="T353" s="1645"/>
      <c r="U353" s="1644">
        <f t="shared" si="190"/>
        <v>985856</v>
      </c>
      <c r="V353" s="1645"/>
      <c r="W353" s="1644">
        <f t="shared" si="191"/>
        <v>0</v>
      </c>
      <c r="X353" s="1645"/>
      <c r="Y353" s="1644">
        <f t="shared" si="192"/>
        <v>1858998</v>
      </c>
      <c r="AI353" s="2023">
        <f>W353-'Blocking-Step2'!W353</f>
        <v>0</v>
      </c>
      <c r="AJ353" s="2054">
        <f>O353-'Blocking-Step2'!O353</f>
        <v>0</v>
      </c>
    </row>
    <row r="354" spans="1:36" hidden="1">
      <c r="A354" s="1900" t="s">
        <v>1647</v>
      </c>
      <c r="C354" s="528">
        <f>'BD-Redesign'!E59</f>
        <v>13757247</v>
      </c>
      <c r="D354" s="528">
        <f>D366-SUM(D355,D361:D365)</f>
        <v>14422312.746287748</v>
      </c>
      <c r="F354" s="1943"/>
      <c r="G354" s="1921"/>
      <c r="H354" s="1644"/>
      <c r="I354" s="1644"/>
      <c r="K354" s="1943">
        <f t="shared" si="185"/>
        <v>0</v>
      </c>
      <c r="L354" s="1921" t="s">
        <v>495</v>
      </c>
      <c r="M354" s="1943">
        <f t="shared" si="186"/>
        <v>1.5747172373309999</v>
      </c>
      <c r="N354" s="1921" t="s">
        <v>495</v>
      </c>
      <c r="O354" s="1943">
        <f t="shared" si="187"/>
        <v>2.305570240802</v>
      </c>
      <c r="P354" s="1921" t="s">
        <v>495</v>
      </c>
      <c r="Q354" s="1943">
        <f t="shared" si="188"/>
        <v>3.8802874781329999</v>
      </c>
      <c r="R354" s="1921" t="s">
        <v>495</v>
      </c>
      <c r="S354" s="1644">
        <f>ROUND($D354*K354/100,0)</f>
        <v>0</v>
      </c>
      <c r="T354" s="1648"/>
      <c r="U354" s="1644">
        <f>ROUND($D354*M354/100,0)</f>
        <v>227111</v>
      </c>
      <c r="V354" s="1648"/>
      <c r="W354" s="1644">
        <f>ROUND($D354*O354/100,0)</f>
        <v>332517</v>
      </c>
      <c r="X354" s="1648"/>
      <c r="Y354" s="1644">
        <f>ROUND($D354*Q354/100,0)</f>
        <v>559627</v>
      </c>
      <c r="AI354" s="2023">
        <f>W354-'Blocking-Step2'!W354</f>
        <v>0</v>
      </c>
      <c r="AJ354" s="2054">
        <f>O354-'Blocking-Step2'!O354</f>
        <v>0</v>
      </c>
    </row>
    <row r="355" spans="1:36" hidden="1">
      <c r="A355" s="1900" t="s">
        <v>1648</v>
      </c>
      <c r="C355" s="528">
        <f>'BD-Redesign'!E60</f>
        <v>23863752</v>
      </c>
      <c r="D355" s="528">
        <f>ROUND(C355/C366*D366,0)</f>
        <v>25017394</v>
      </c>
      <c r="F355" s="1943"/>
      <c r="G355" s="1921"/>
      <c r="H355" s="1644"/>
      <c r="I355" s="1644"/>
      <c r="K355" s="1943">
        <f t="shared" si="185"/>
        <v>0</v>
      </c>
      <c r="L355" s="1921" t="s">
        <v>495</v>
      </c>
      <c r="M355" s="1943">
        <f t="shared" si="186"/>
        <v>1.3935347233019999</v>
      </c>
      <c r="N355" s="1921" t="s">
        <v>495</v>
      </c>
      <c r="O355" s="1943">
        <f t="shared" si="187"/>
        <v>2.0403480007099999</v>
      </c>
      <c r="P355" s="1921" t="s">
        <v>495</v>
      </c>
      <c r="Q355" s="1943">
        <f t="shared" si="188"/>
        <v>3.4338827240119998</v>
      </c>
      <c r="R355" s="1921" t="s">
        <v>495</v>
      </c>
      <c r="S355" s="1644">
        <f>ROUND($D355*K355/100,0)</f>
        <v>0</v>
      </c>
      <c r="T355" s="1648"/>
      <c r="U355" s="1644">
        <f>ROUND($D355*M355/100,0)</f>
        <v>348626</v>
      </c>
      <c r="V355" s="1648"/>
      <c r="W355" s="1644">
        <f>ROUND($D355*O355/100,0)</f>
        <v>510442</v>
      </c>
      <c r="X355" s="1648"/>
      <c r="Y355" s="1644">
        <f>ROUND($D355*Q355/100,0)</f>
        <v>859068</v>
      </c>
      <c r="AI355" s="2023">
        <f>W355-'Blocking-Step2'!W355</f>
        <v>0</v>
      </c>
      <c r="AJ355" s="2054">
        <f>O355-'Blocking-Step2'!O355</f>
        <v>0</v>
      </c>
    </row>
    <row r="356" spans="1:36" hidden="1">
      <c r="A356" s="1900" t="s">
        <v>196</v>
      </c>
      <c r="C356" s="528">
        <f>(C352+C353)*C739/(C739+C740)</f>
        <v>86156.244347468222</v>
      </c>
      <c r="D356" s="528">
        <f>ROUND(C356/C366*D366,0)</f>
        <v>90321</v>
      </c>
      <c r="F356" s="1944">
        <f t="shared" ref="F356:F361" si="194">F248</f>
        <v>14.62</v>
      </c>
      <c r="G356" s="597"/>
      <c r="H356" s="1644">
        <f t="shared" ref="H356:I358" si="195">ROUND($F356*C356,0)</f>
        <v>1259604</v>
      </c>
      <c r="I356" s="1644">
        <f t="shared" si="195"/>
        <v>1320493</v>
      </c>
      <c r="K356" s="1944"/>
      <c r="L356" s="597"/>
      <c r="M356" s="1944"/>
      <c r="N356" s="597"/>
      <c r="O356" s="1944"/>
      <c r="P356" s="597"/>
      <c r="Q356" s="1944"/>
      <c r="R356" s="597"/>
      <c r="S356" s="1644"/>
      <c r="T356" s="1643"/>
      <c r="U356" s="1644"/>
      <c r="V356" s="1643"/>
      <c r="W356" s="1644"/>
      <c r="X356" s="1643"/>
      <c r="Y356" s="1644"/>
      <c r="AI356" s="2023">
        <f>W356-'Blocking-Step2'!W356</f>
        <v>0</v>
      </c>
      <c r="AJ356" s="2054">
        <f>O356-'Blocking-Step2'!O356</f>
        <v>0</v>
      </c>
    </row>
    <row r="357" spans="1:36" hidden="1">
      <c r="A357" s="1900" t="s">
        <v>161</v>
      </c>
      <c r="C357" s="528">
        <f>C352+C353-C356</f>
        <v>150946.08733570005</v>
      </c>
      <c r="D357" s="528">
        <f>ROUND(C357/C366*D366,0)</f>
        <v>158243</v>
      </c>
      <c r="F357" s="1944">
        <f t="shared" si="194"/>
        <v>10.91</v>
      </c>
      <c r="G357" s="597"/>
      <c r="H357" s="1644">
        <f t="shared" si="195"/>
        <v>1646822</v>
      </c>
      <c r="I357" s="1644">
        <f t="shared" si="195"/>
        <v>1726431</v>
      </c>
      <c r="K357" s="1944"/>
      <c r="L357" s="597"/>
      <c r="M357" s="1944"/>
      <c r="N357" s="597"/>
      <c r="O357" s="1944"/>
      <c r="P357" s="597"/>
      <c r="Q357" s="1944"/>
      <c r="R357" s="597"/>
      <c r="S357" s="1644"/>
      <c r="T357" s="1643"/>
      <c r="U357" s="1644"/>
      <c r="V357" s="1643"/>
      <c r="W357" s="1644"/>
      <c r="X357" s="1643"/>
      <c r="Y357" s="1644"/>
      <c r="AI357" s="2023">
        <f>W357-'Blocking-Step2'!W357</f>
        <v>0</v>
      </c>
      <c r="AJ357" s="2054">
        <f>O357-'Blocking-Step2'!O357</f>
        <v>0</v>
      </c>
    </row>
    <row r="358" spans="1:36" hidden="1">
      <c r="A358" s="1900" t="s">
        <v>261</v>
      </c>
      <c r="C358" s="528">
        <f>C342</f>
        <v>24029.583333333336</v>
      </c>
      <c r="D358" s="528">
        <f>D342</f>
        <v>25191.242577065448</v>
      </c>
      <c r="F358" s="1944">
        <f t="shared" si="194"/>
        <v>-0.96</v>
      </c>
      <c r="G358" s="597"/>
      <c r="H358" s="1644">
        <f t="shared" si="195"/>
        <v>-23068</v>
      </c>
      <c r="I358" s="1644">
        <f t="shared" si="195"/>
        <v>-24184</v>
      </c>
      <c r="K358" s="1944">
        <f>K250</f>
        <v>-0.96</v>
      </c>
      <c r="L358" s="597"/>
      <c r="M358" s="1944">
        <f>M250</f>
        <v>0</v>
      </c>
      <c r="N358" s="597"/>
      <c r="O358" s="1944">
        <f>O250</f>
        <v>0</v>
      </c>
      <c r="P358" s="597"/>
      <c r="Q358" s="1944">
        <f>Q250</f>
        <v>-0.96</v>
      </c>
      <c r="R358" s="597"/>
      <c r="S358" s="1644">
        <f t="shared" ref="S358" si="196">ROUND($D358*K358,0)</f>
        <v>-24184</v>
      </c>
      <c r="T358" s="1643"/>
      <c r="U358" s="1644">
        <f t="shared" ref="U358" si="197">ROUND($D358*M358,0)</f>
        <v>0</v>
      </c>
      <c r="V358" s="1643"/>
      <c r="W358" s="1644">
        <f t="shared" ref="W358" si="198">ROUND($D358*O358,0)</f>
        <v>0</v>
      </c>
      <c r="X358" s="1643"/>
      <c r="Y358" s="1644">
        <f t="shared" ref="Y358" si="199">ROUND($D358*Q358,0)</f>
        <v>-24184</v>
      </c>
      <c r="AI358" s="2023">
        <f>W358-'Blocking-Step2'!W358</f>
        <v>0</v>
      </c>
      <c r="AJ358" s="2054">
        <f>O358-'Blocking-Step2'!O358</f>
        <v>0</v>
      </c>
    </row>
    <row r="359" spans="1:36" hidden="1">
      <c r="A359" s="1900" t="s">
        <v>1362</v>
      </c>
      <c r="C359" s="528">
        <f>(C354+C355)*C741/(C741+C742)</f>
        <v>13923707.70353744</v>
      </c>
      <c r="D359" s="528">
        <f>ROUND(C359/C366*D366,0)</f>
        <v>14596820</v>
      </c>
      <c r="F359" s="1943">
        <f t="shared" si="194"/>
        <v>3.8127</v>
      </c>
      <c r="G359" s="1921" t="s">
        <v>495</v>
      </c>
      <c r="H359" s="1644">
        <f t="shared" ref="H359:I361" si="200">ROUND($F359*C359/100,0)</f>
        <v>530869</v>
      </c>
      <c r="I359" s="1644">
        <f t="shared" si="200"/>
        <v>556533</v>
      </c>
      <c r="K359" s="1943"/>
      <c r="L359" s="1921"/>
      <c r="M359" s="1943"/>
      <c r="N359" s="1921"/>
      <c r="O359" s="1943"/>
      <c r="P359" s="1921"/>
      <c r="Q359" s="1943"/>
      <c r="R359" s="1921"/>
      <c r="S359" s="1644"/>
      <c r="T359" s="1648"/>
      <c r="U359" s="1644"/>
      <c r="V359" s="1648"/>
      <c r="W359" s="1644"/>
      <c r="X359" s="1648"/>
      <c r="Y359" s="1644"/>
      <c r="AI359" s="2023">
        <f>W359-'Blocking-Step2'!W359</f>
        <v>0</v>
      </c>
      <c r="AJ359" s="2054">
        <f>O359-'Blocking-Step2'!O359</f>
        <v>0</v>
      </c>
    </row>
    <row r="360" spans="1:36" hidden="1">
      <c r="A360" s="1900" t="s">
        <v>1363</v>
      </c>
      <c r="C360" s="528">
        <f>C354+C355-C359</f>
        <v>23697291.296462558</v>
      </c>
      <c r="D360" s="528">
        <f>D366-D359-D361-D362-D365</f>
        <v>24842886.746287748</v>
      </c>
      <c r="F360" s="1943">
        <f t="shared" si="194"/>
        <v>3.5143</v>
      </c>
      <c r="G360" s="1921" t="s">
        <v>495</v>
      </c>
      <c r="H360" s="1644">
        <f t="shared" si="200"/>
        <v>832794</v>
      </c>
      <c r="I360" s="1644">
        <f t="shared" si="200"/>
        <v>873054</v>
      </c>
      <c r="K360" s="1943"/>
      <c r="L360" s="1921"/>
      <c r="M360" s="1943"/>
      <c r="N360" s="1921"/>
      <c r="O360" s="1943"/>
      <c r="P360" s="1921"/>
      <c r="Q360" s="1943"/>
      <c r="R360" s="1921"/>
      <c r="S360" s="1644"/>
      <c r="T360" s="1648"/>
      <c r="U360" s="1644"/>
      <c r="V360" s="1648"/>
      <c r="W360" s="1644"/>
      <c r="X360" s="1648"/>
      <c r="Y360" s="1644"/>
      <c r="AI360" s="2023">
        <f>W360-'Blocking-Step2'!W360</f>
        <v>0</v>
      </c>
      <c r="AJ360" s="2054">
        <f>O360-'Blocking-Step2'!O360</f>
        <v>0</v>
      </c>
    </row>
    <row r="361" spans="1:36" hidden="1">
      <c r="A361" s="1116" t="s">
        <v>1158</v>
      </c>
      <c r="C361" s="528">
        <f>C343</f>
        <v>400</v>
      </c>
      <c r="D361" s="528">
        <f>ROUND(C361/(C366-C362)*D366,0)</f>
        <v>419</v>
      </c>
      <c r="F361" s="1943">
        <f t="shared" si="194"/>
        <v>7.125</v>
      </c>
      <c r="G361" s="1921" t="s">
        <v>495</v>
      </c>
      <c r="H361" s="1644">
        <f t="shared" si="200"/>
        <v>29</v>
      </c>
      <c r="I361" s="1644">
        <f t="shared" si="200"/>
        <v>30</v>
      </c>
      <c r="K361" s="1943">
        <f>K253</f>
        <v>0</v>
      </c>
      <c r="L361" s="1921" t="s">
        <v>495</v>
      </c>
      <c r="M361" s="1943">
        <f>M253</f>
        <v>7.125</v>
      </c>
      <c r="N361" s="1921" t="s">
        <v>495</v>
      </c>
      <c r="O361" s="1943">
        <f>O253</f>
        <v>0</v>
      </c>
      <c r="P361" s="1921" t="s">
        <v>495</v>
      </c>
      <c r="Q361" s="1943">
        <f>Q253</f>
        <v>7.125</v>
      </c>
      <c r="R361" s="1921" t="s">
        <v>495</v>
      </c>
      <c r="S361" s="1644">
        <f>ROUND($D361*K361/100,0)</f>
        <v>0</v>
      </c>
      <c r="T361" s="1648"/>
      <c r="U361" s="1644">
        <f>ROUND($D361*M361/100,0)</f>
        <v>30</v>
      </c>
      <c r="V361" s="1648"/>
      <c r="W361" s="1644">
        <f>ROUND($D361*O361/100,0)</f>
        <v>0</v>
      </c>
      <c r="X361" s="1648"/>
      <c r="Y361" s="1644">
        <f>ROUND($D361*Q361/100,0)</f>
        <v>30</v>
      </c>
      <c r="AI361" s="2023">
        <f>W361-'Blocking-Step2'!W361</f>
        <v>0</v>
      </c>
      <c r="AJ361" s="2054">
        <f>O361-'Blocking-Step2'!O361</f>
        <v>0</v>
      </c>
    </row>
    <row r="362" spans="1:36" hidden="1">
      <c r="A362" s="1900" t="s">
        <v>246</v>
      </c>
      <c r="C362" s="529">
        <v>0</v>
      </c>
      <c r="D362" s="529">
        <v>0</v>
      </c>
      <c r="H362" s="1030">
        <v>0</v>
      </c>
      <c r="I362" s="1030">
        <v>0</v>
      </c>
      <c r="S362" s="1030"/>
      <c r="U362" s="1030"/>
      <c r="W362" s="1030"/>
      <c r="Y362" s="1030"/>
      <c r="AI362" s="2023">
        <f>W362-'Blocking-Step2'!W362</f>
        <v>0</v>
      </c>
      <c r="AJ362" s="2054">
        <f>O362-'Blocking-Step2'!O362</f>
        <v>0</v>
      </c>
    </row>
    <row r="363" spans="1:36" hidden="1">
      <c r="A363" s="1900" t="s">
        <v>1240</v>
      </c>
      <c r="C363" s="584"/>
      <c r="D363" s="584"/>
      <c r="F363" s="1930">
        <f t="shared" ref="F363" si="201">F255</f>
        <v>-3.61E-2</v>
      </c>
      <c r="G363" s="597"/>
      <c r="H363" s="1644">
        <f>SUM(H356:H357,H359:H361)*$F363</f>
        <v>-154151.2598</v>
      </c>
      <c r="I363" s="1644">
        <f>SUM(I356:I357,I359:I361)*$F363</f>
        <v>-161603.13010000001</v>
      </c>
      <c r="K363" s="1930"/>
      <c r="L363" s="597"/>
      <c r="M363" s="1930"/>
      <c r="N363" s="597"/>
      <c r="O363" s="1931" t="str">
        <f>$O$43</f>
        <v>Tax Year 1 (1/1/2021)</v>
      </c>
      <c r="P363" s="597"/>
      <c r="Q363" s="1930">
        <f>$Q$687</f>
        <v>-1.52E-2</v>
      </c>
      <c r="R363" s="597"/>
      <c r="S363" s="1644"/>
      <c r="T363" s="1645"/>
      <c r="U363" s="1644"/>
      <c r="V363" s="1645"/>
      <c r="W363" s="1644"/>
      <c r="X363" s="1645"/>
      <c r="Y363" s="1644">
        <f>Q363*SUM(Y352:Y355,Y361)</f>
        <v>-67882.227199999994</v>
      </c>
      <c r="AI363" s="2023">
        <f>W363-'Blocking-Step2'!W363</f>
        <v>0</v>
      </c>
      <c r="AJ363" s="2054">
        <f>O363-'Blocking-Step2'!O363</f>
        <v>0</v>
      </c>
    </row>
    <row r="364" spans="1:36" hidden="1">
      <c r="A364" s="1900"/>
      <c r="C364" s="584"/>
      <c r="D364" s="584"/>
      <c r="F364" s="1930"/>
      <c r="G364" s="597"/>
      <c r="H364" s="1644"/>
      <c r="I364" s="1644"/>
      <c r="K364" s="1930"/>
      <c r="L364" s="597"/>
      <c r="M364" s="1930"/>
      <c r="N364" s="597"/>
      <c r="O364" s="1931">
        <f>$O$44</f>
        <v>0</v>
      </c>
      <c r="P364" s="597"/>
      <c r="Q364" s="1930">
        <f>$Q$688</f>
        <v>0</v>
      </c>
      <c r="R364" s="597"/>
      <c r="S364" s="1644"/>
      <c r="T364" s="1645"/>
      <c r="U364" s="1644"/>
      <c r="V364" s="1645"/>
      <c r="W364" s="1644"/>
      <c r="X364" s="1645"/>
      <c r="Y364" s="1644">
        <f>Q364*SUM(Y352:Y355,Y361)</f>
        <v>0</v>
      </c>
      <c r="AI364" s="2023">
        <f>W364-'Blocking-Step2'!W364</f>
        <v>0</v>
      </c>
      <c r="AJ364" s="2054">
        <f>O364-'Blocking-Step2'!O364</f>
        <v>0</v>
      </c>
    </row>
    <row r="365" spans="1:36" ht="16.5" hidden="1" thickBot="1">
      <c r="A365" s="1116" t="s">
        <v>1317</v>
      </c>
      <c r="C365" s="584">
        <v>0</v>
      </c>
      <c r="D365" s="528">
        <f>ROUND(C365/(C366-C362)*D366,0)</f>
        <v>0</v>
      </c>
      <c r="F365" s="1930"/>
      <c r="G365" s="597"/>
      <c r="H365" s="1644"/>
      <c r="I365" s="1644"/>
      <c r="K365" s="1930"/>
      <c r="L365" s="597"/>
      <c r="M365" s="1930"/>
      <c r="N365" s="597"/>
      <c r="O365" s="1939"/>
      <c r="Q365" s="1939"/>
      <c r="S365" s="1647"/>
      <c r="U365" s="1647"/>
      <c r="W365" s="1647"/>
      <c r="Y365" s="1647"/>
      <c r="AI365" s="2023">
        <f>W365-'Blocking-Step2'!W365</f>
        <v>0</v>
      </c>
      <c r="AJ365" s="2054">
        <f>O365-'Blocking-Step2'!O365</f>
        <v>0</v>
      </c>
    </row>
    <row r="366" spans="1:36" ht="17.25" hidden="1" thickTop="1" thickBot="1">
      <c r="A366" s="1900" t="s">
        <v>247</v>
      </c>
      <c r="C366" s="1949">
        <f>SUM(C359:C361,C362,C365)</f>
        <v>37621399</v>
      </c>
      <c r="D366" s="1949">
        <f>C366*D753/C753</f>
        <v>39440125.746287748</v>
      </c>
      <c r="F366" s="1939"/>
      <c r="H366" s="1647">
        <f>SUM(H348:H363)</f>
        <v>5163686.7401999999</v>
      </c>
      <c r="I366" s="1647">
        <f>SUM(I348:I363)</f>
        <v>5408805.8699000003</v>
      </c>
      <c r="K366" s="1939"/>
      <c r="M366" s="1939"/>
      <c r="O366" s="1939"/>
      <c r="Q366" s="1939"/>
      <c r="S366" s="1647">
        <f>SUM(S348:S362)</f>
        <v>2508619</v>
      </c>
      <c r="U366" s="1647">
        <f>SUM(U348:U362)</f>
        <v>2191205</v>
      </c>
      <c r="W366" s="1647">
        <f>SUM(W348:W362)</f>
        <v>842959</v>
      </c>
      <c r="Y366" s="1647">
        <f>SUM(Y348:Y362)</f>
        <v>5542782</v>
      </c>
      <c r="AA366" s="1104" t="s">
        <v>1743</v>
      </c>
      <c r="AB366" s="1890">
        <f>Y366/I366-1</f>
        <v>2.4770001608964476E-2</v>
      </c>
      <c r="AI366" s="2023">
        <f>W366-'Blocking-Step2'!W366</f>
        <v>0</v>
      </c>
      <c r="AJ366" s="2054">
        <f>O366-'Blocking-Step2'!O366</f>
        <v>0</v>
      </c>
    </row>
    <row r="367" spans="1:36" ht="16.5" thickTop="1">
      <c r="C367" s="528"/>
      <c r="D367" s="528"/>
      <c r="AI367" s="2023">
        <f>W367-'Blocking-Step2'!W367</f>
        <v>0</v>
      </c>
      <c r="AJ367" s="2054">
        <f>O367-'Blocking-Step2'!O367</f>
        <v>0</v>
      </c>
    </row>
    <row r="368" spans="1:36">
      <c r="A368" s="1897" t="s">
        <v>1918</v>
      </c>
      <c r="C368" s="528"/>
      <c r="D368" s="528"/>
      <c r="AI368" s="2023">
        <f>W368-'Blocking-Step2'!W368</f>
        <v>0</v>
      </c>
      <c r="AJ368" s="2054">
        <f>O368-'Blocking-Step2'!O368</f>
        <v>0</v>
      </c>
    </row>
    <row r="369" spans="1:36">
      <c r="A369" s="1900" t="s">
        <v>240</v>
      </c>
      <c r="C369" s="528">
        <f>C403+C437+C471</f>
        <v>461.81666666666666</v>
      </c>
      <c r="D369" s="528">
        <f>D403+D437+D471</f>
        <v>601.96638791828354</v>
      </c>
      <c r="F369" s="1901"/>
      <c r="G369" s="1902"/>
      <c r="H369" s="1644"/>
      <c r="I369" s="1644"/>
      <c r="K369" s="1901">
        <f>K225</f>
        <v>53</v>
      </c>
      <c r="L369" s="1902"/>
      <c r="M369" s="1901">
        <f>M225</f>
        <v>0</v>
      </c>
      <c r="N369" s="1902"/>
      <c r="O369" s="1901">
        <f>O225</f>
        <v>0</v>
      </c>
      <c r="P369" s="1902"/>
      <c r="Q369" s="1901">
        <f t="shared" ref="Q369:Q379" si="202">Q225</f>
        <v>53</v>
      </c>
      <c r="R369" s="1902"/>
      <c r="S369" s="1644">
        <f>ROUND($D369*K369,0)</f>
        <v>31904</v>
      </c>
      <c r="T369" s="1643"/>
      <c r="U369" s="1644">
        <f>ROUND($D369*M369,0)</f>
        <v>0</v>
      </c>
      <c r="V369" s="1643"/>
      <c r="W369" s="1644">
        <f>ROUND($D369*O369,0)</f>
        <v>0</v>
      </c>
      <c r="X369" s="1643"/>
      <c r="Y369" s="1644">
        <f>ROUND($D369*Q369,0)</f>
        <v>31904</v>
      </c>
      <c r="AA369" s="1109"/>
      <c r="AB369" s="1114"/>
      <c r="AI369" s="2023">
        <f>W369-'Blocking-Step2'!W369</f>
        <v>0</v>
      </c>
      <c r="AJ369" s="2054">
        <f>O369-'Blocking-Step2'!O369</f>
        <v>0</v>
      </c>
    </row>
    <row r="370" spans="1:36">
      <c r="A370" s="1900" t="s">
        <v>1910</v>
      </c>
      <c r="C370" s="528">
        <f t="shared" ref="C370:D379" si="203">C404+C438+C472</f>
        <v>494309</v>
      </c>
      <c r="D370" s="528">
        <f t="shared" si="203"/>
        <v>617625.15581650264</v>
      </c>
      <c r="E370" s="597"/>
      <c r="F370" s="1942"/>
      <c r="G370" s="1921"/>
      <c r="H370" s="1644"/>
      <c r="I370" s="1644"/>
      <c r="J370" s="597"/>
      <c r="K370" s="1942">
        <f t="shared" ref="K370:K379" si="204">K226</f>
        <v>3.89</v>
      </c>
      <c r="L370" s="1921" t="s">
        <v>495</v>
      </c>
      <c r="M370" s="1942">
        <f t="shared" ref="M370:M379" si="205">M226</f>
        <v>17.137528114911813</v>
      </c>
      <c r="N370" s="1921" t="s">
        <v>495</v>
      </c>
      <c r="O370" s="1942">
        <f t="shared" ref="O370:O379" si="206">O226</f>
        <v>1.3496999999999999</v>
      </c>
      <c r="P370" s="1921" t="s">
        <v>495</v>
      </c>
      <c r="Q370" s="1942">
        <f t="shared" si="202"/>
        <v>22.377228114911812</v>
      </c>
      <c r="R370" s="1921" t="s">
        <v>495</v>
      </c>
      <c r="S370" s="1644">
        <f>ROUND($D370*K370/100,0)</f>
        <v>24026</v>
      </c>
      <c r="T370" s="1648"/>
      <c r="U370" s="1644">
        <f>ROUND($D370*M370/100,0)</f>
        <v>105846</v>
      </c>
      <c r="V370" s="1648"/>
      <c r="W370" s="1644">
        <f>ROUND($D370*O370/100,0)</f>
        <v>8336</v>
      </c>
      <c r="X370" s="1648"/>
      <c r="Y370" s="1644">
        <f>ROUND($D370*Q370/100,0)</f>
        <v>138207</v>
      </c>
      <c r="AA370" s="596"/>
      <c r="AB370" s="596"/>
      <c r="AI370" s="2023">
        <f>W370-'Blocking-Step2'!W370</f>
        <v>0</v>
      </c>
      <c r="AJ370" s="2054">
        <f>O370-'Blocking-Step2'!O370</f>
        <v>0</v>
      </c>
    </row>
    <row r="371" spans="1:36">
      <c r="A371" s="1900" t="s">
        <v>1911</v>
      </c>
      <c r="C371" s="528">
        <f t="shared" si="203"/>
        <v>1183199</v>
      </c>
      <c r="D371" s="528">
        <f t="shared" si="203"/>
        <v>1470157.0589540326</v>
      </c>
      <c r="E371" s="597"/>
      <c r="F371" s="1942"/>
      <c r="G371" s="1921"/>
      <c r="H371" s="1644"/>
      <c r="I371" s="1644"/>
      <c r="J371" s="597"/>
      <c r="K371" s="1942">
        <f t="shared" si="204"/>
        <v>3.89</v>
      </c>
      <c r="L371" s="1921" t="s">
        <v>495</v>
      </c>
      <c r="M371" s="1942">
        <f t="shared" si="205"/>
        <v>-1.0877975226579997</v>
      </c>
      <c r="N371" s="1921" t="s">
        <v>495</v>
      </c>
      <c r="O371" s="1942">
        <f t="shared" si="206"/>
        <v>1.3496999999999999</v>
      </c>
      <c r="P371" s="1921" t="s">
        <v>495</v>
      </c>
      <c r="Q371" s="1942">
        <f t="shared" si="202"/>
        <v>4.1519024773420004</v>
      </c>
      <c r="R371" s="1921" t="s">
        <v>495</v>
      </c>
      <c r="S371" s="1644">
        <f t="shared" ref="S371:S377" si="207">ROUND($D371*K371/100,0)</f>
        <v>57189</v>
      </c>
      <c r="T371" s="1648"/>
      <c r="U371" s="1644">
        <f t="shared" ref="U371:U377" si="208">ROUND($D371*M371/100,0)</f>
        <v>-15992</v>
      </c>
      <c r="V371" s="1648"/>
      <c r="W371" s="1644">
        <f t="shared" ref="W371:W377" si="209">ROUND($D371*O371/100,0)</f>
        <v>19843</v>
      </c>
      <c r="X371" s="1648"/>
      <c r="Y371" s="1644">
        <f t="shared" ref="Y371:Y377" si="210">ROUND($D371*Q371/100,0)</f>
        <v>61039</v>
      </c>
      <c r="AA371" s="596"/>
      <c r="AB371" s="596"/>
      <c r="AI371" s="2023">
        <f>W371-'Blocking-Step2'!W371</f>
        <v>0</v>
      </c>
      <c r="AJ371" s="2054">
        <f>O371-'Blocking-Step2'!O371</f>
        <v>0</v>
      </c>
    </row>
    <row r="372" spans="1:36">
      <c r="A372" s="1900" t="s">
        <v>1912</v>
      </c>
      <c r="C372" s="528">
        <f t="shared" si="203"/>
        <v>856682.5</v>
      </c>
      <c r="D372" s="528">
        <f t="shared" si="203"/>
        <v>1069622.9798240834</v>
      </c>
      <c r="E372" s="597"/>
      <c r="F372" s="1942"/>
      <c r="G372" s="1921"/>
      <c r="H372" s="1644"/>
      <c r="I372" s="1644"/>
      <c r="J372" s="597"/>
      <c r="K372" s="1942">
        <f t="shared" si="204"/>
        <v>3.89</v>
      </c>
      <c r="L372" s="1921" t="s">
        <v>495</v>
      </c>
      <c r="M372" s="1942">
        <f t="shared" si="205"/>
        <v>14.718500000000001</v>
      </c>
      <c r="N372" s="1921" t="s">
        <v>495</v>
      </c>
      <c r="O372" s="1942">
        <f t="shared" si="206"/>
        <v>1.1943999999999999</v>
      </c>
      <c r="P372" s="1921" t="s">
        <v>495</v>
      </c>
      <c r="Q372" s="1942">
        <f t="shared" si="202"/>
        <v>19.802900000000001</v>
      </c>
      <c r="R372" s="1921" t="s">
        <v>495</v>
      </c>
      <c r="S372" s="1644">
        <f t="shared" si="207"/>
        <v>41608</v>
      </c>
      <c r="T372" s="1648"/>
      <c r="U372" s="1644">
        <f t="shared" si="208"/>
        <v>157432</v>
      </c>
      <c r="V372" s="1648"/>
      <c r="W372" s="1644">
        <f t="shared" si="209"/>
        <v>12776</v>
      </c>
      <c r="X372" s="1648"/>
      <c r="Y372" s="1644">
        <f t="shared" si="210"/>
        <v>211816</v>
      </c>
      <c r="AA372" s="596"/>
      <c r="AB372" s="596"/>
      <c r="AI372" s="2023">
        <f>W372-'Blocking-Step2'!W372</f>
        <v>0</v>
      </c>
      <c r="AJ372" s="2054">
        <f>O372-'Blocking-Step2'!O372</f>
        <v>0</v>
      </c>
    </row>
    <row r="373" spans="1:36">
      <c r="A373" s="1900" t="s">
        <v>1913</v>
      </c>
      <c r="C373" s="528">
        <f t="shared" si="203"/>
        <v>2262394.5</v>
      </c>
      <c r="D373" s="528">
        <f t="shared" si="203"/>
        <v>2803065.8686222499</v>
      </c>
      <c r="E373" s="597"/>
      <c r="F373" s="1942"/>
      <c r="G373" s="1921"/>
      <c r="H373" s="1644"/>
      <c r="I373" s="1644"/>
      <c r="J373" s="597"/>
      <c r="K373" s="1942">
        <f t="shared" si="204"/>
        <v>3.89</v>
      </c>
      <c r="L373" s="1921" t="s">
        <v>495</v>
      </c>
      <c r="M373" s="1942">
        <f t="shared" si="205"/>
        <v>-1.4102000000000001</v>
      </c>
      <c r="N373" s="1921" t="s">
        <v>495</v>
      </c>
      <c r="O373" s="1942">
        <f t="shared" si="206"/>
        <v>1.1943999999999999</v>
      </c>
      <c r="P373" s="1921" t="s">
        <v>495</v>
      </c>
      <c r="Q373" s="1942">
        <f t="shared" si="202"/>
        <v>3.6741999999999999</v>
      </c>
      <c r="R373" s="1921" t="s">
        <v>495</v>
      </c>
      <c r="S373" s="1644">
        <f t="shared" si="207"/>
        <v>109039</v>
      </c>
      <c r="T373" s="1648"/>
      <c r="U373" s="1644">
        <f t="shared" si="208"/>
        <v>-39529</v>
      </c>
      <c r="V373" s="1648"/>
      <c r="W373" s="1644">
        <f t="shared" si="209"/>
        <v>33480</v>
      </c>
      <c r="X373" s="1648"/>
      <c r="Y373" s="1644">
        <f t="shared" si="210"/>
        <v>102990</v>
      </c>
      <c r="AA373" s="596"/>
      <c r="AB373" s="596"/>
      <c r="AI373" s="2023">
        <f>W373-'Blocking-Step2'!W373</f>
        <v>0</v>
      </c>
      <c r="AJ373" s="2054">
        <f>O373-'Blocking-Step2'!O373</f>
        <v>0</v>
      </c>
    </row>
    <row r="374" spans="1:36">
      <c r="A374" s="1900" t="s">
        <v>1906</v>
      </c>
      <c r="C374" s="528">
        <f t="shared" si="203"/>
        <v>931604.91289976228</v>
      </c>
      <c r="D374" s="528">
        <f t="shared" si="203"/>
        <v>1159450.9047616925</v>
      </c>
      <c r="E374" s="597"/>
      <c r="F374" s="1942"/>
      <c r="G374" s="1921"/>
      <c r="H374" s="1644"/>
      <c r="I374" s="1644"/>
      <c r="J374" s="597"/>
      <c r="K374" s="1942">
        <f t="shared" si="204"/>
        <v>0</v>
      </c>
      <c r="L374" s="1921" t="s">
        <v>495</v>
      </c>
      <c r="M374" s="1942">
        <f t="shared" si="205"/>
        <v>0</v>
      </c>
      <c r="N374" s="1921" t="s">
        <v>495</v>
      </c>
      <c r="O374" s="1942">
        <f t="shared" si="206"/>
        <v>6</v>
      </c>
      <c r="P374" s="1921" t="s">
        <v>495</v>
      </c>
      <c r="Q374" s="1942">
        <f t="shared" si="202"/>
        <v>6</v>
      </c>
      <c r="R374" s="1921" t="s">
        <v>495</v>
      </c>
      <c r="S374" s="1644">
        <f t="shared" si="207"/>
        <v>0</v>
      </c>
      <c r="T374" s="1648"/>
      <c r="U374" s="1644">
        <f t="shared" si="208"/>
        <v>0</v>
      </c>
      <c r="V374" s="1648"/>
      <c r="W374" s="1644">
        <f t="shared" si="209"/>
        <v>69567</v>
      </c>
      <c r="X374" s="1648"/>
      <c r="Y374" s="1644">
        <f t="shared" si="210"/>
        <v>69567</v>
      </c>
      <c r="AA374" s="596"/>
      <c r="AB374" s="596"/>
      <c r="AI374" s="2023">
        <f>W374-'Blocking-Step2'!W374</f>
        <v>0</v>
      </c>
      <c r="AJ374" s="2054">
        <f>O374-'Blocking-Step2'!O374</f>
        <v>0</v>
      </c>
    </row>
    <row r="375" spans="1:36">
      <c r="A375" s="1900" t="s">
        <v>1907</v>
      </c>
      <c r="C375" s="528">
        <f t="shared" si="203"/>
        <v>745903.08710023749</v>
      </c>
      <c r="D375" s="528">
        <f t="shared" si="203"/>
        <v>928331.31000884238</v>
      </c>
      <c r="E375" s="597"/>
      <c r="F375" s="1942"/>
      <c r="G375" s="1921"/>
      <c r="H375" s="1644"/>
      <c r="I375" s="1644"/>
      <c r="J375" s="597"/>
      <c r="K375" s="1942">
        <f t="shared" si="204"/>
        <v>0</v>
      </c>
      <c r="L375" s="1921" t="s">
        <v>495</v>
      </c>
      <c r="M375" s="1942">
        <f t="shared" si="205"/>
        <v>0</v>
      </c>
      <c r="N375" s="1921" t="s">
        <v>495</v>
      </c>
      <c r="O375" s="1942">
        <f t="shared" si="206"/>
        <v>-2.3358000000000008</v>
      </c>
      <c r="P375" s="1921" t="s">
        <v>495</v>
      </c>
      <c r="Q375" s="1942">
        <f t="shared" si="202"/>
        <v>-2.3358000000000008</v>
      </c>
      <c r="R375" s="1921" t="s">
        <v>495</v>
      </c>
      <c r="S375" s="1644">
        <f t="shared" si="207"/>
        <v>0</v>
      </c>
      <c r="T375" s="1648"/>
      <c r="U375" s="1644">
        <f t="shared" si="208"/>
        <v>0</v>
      </c>
      <c r="V375" s="1648"/>
      <c r="W375" s="1644">
        <f t="shared" si="209"/>
        <v>-21684</v>
      </c>
      <c r="X375" s="1648"/>
      <c r="Y375" s="1644">
        <f t="shared" si="210"/>
        <v>-21684</v>
      </c>
      <c r="AA375" s="596"/>
      <c r="AB375" s="596"/>
      <c r="AI375" s="2023">
        <f>W375-'Blocking-Step2'!W375</f>
        <v>0</v>
      </c>
      <c r="AJ375" s="2054">
        <f>O375-'Blocking-Step2'!O375</f>
        <v>0</v>
      </c>
    </row>
    <row r="376" spans="1:36">
      <c r="A376" s="1900" t="s">
        <v>1908</v>
      </c>
      <c r="C376" s="528">
        <f t="shared" si="203"/>
        <v>1732180.983287503</v>
      </c>
      <c r="D376" s="528">
        <f t="shared" si="203"/>
        <v>2150699.7029788997</v>
      </c>
      <c r="E376" s="597"/>
      <c r="F376" s="1942"/>
      <c r="G376" s="1921"/>
      <c r="H376" s="1644"/>
      <c r="I376" s="1644"/>
      <c r="J376" s="597"/>
      <c r="K376" s="1942">
        <f t="shared" si="204"/>
        <v>0</v>
      </c>
      <c r="L376" s="1921" t="s">
        <v>495</v>
      </c>
      <c r="M376" s="1942">
        <f t="shared" si="205"/>
        <v>0</v>
      </c>
      <c r="N376" s="1921" t="s">
        <v>495</v>
      </c>
      <c r="O376" s="1942">
        <f t="shared" si="206"/>
        <v>5.3097000000000003</v>
      </c>
      <c r="P376" s="1921" t="s">
        <v>495</v>
      </c>
      <c r="Q376" s="1942">
        <f t="shared" si="202"/>
        <v>5.3097000000000003</v>
      </c>
      <c r="R376" s="1921" t="s">
        <v>495</v>
      </c>
      <c r="S376" s="1644">
        <f t="shared" si="207"/>
        <v>0</v>
      </c>
      <c r="T376" s="1648"/>
      <c r="U376" s="1644">
        <f t="shared" si="208"/>
        <v>0</v>
      </c>
      <c r="V376" s="1648"/>
      <c r="W376" s="1644">
        <f t="shared" si="209"/>
        <v>114196</v>
      </c>
      <c r="X376" s="1648"/>
      <c r="Y376" s="1644">
        <f t="shared" si="210"/>
        <v>114196</v>
      </c>
      <c r="AA376" s="596"/>
      <c r="AB376" s="596"/>
      <c r="AI376" s="2023">
        <f>W376-'Blocking-Step2'!W376</f>
        <v>0</v>
      </c>
      <c r="AJ376" s="2054">
        <f>O376-'Blocking-Step2'!O376</f>
        <v>0</v>
      </c>
    </row>
    <row r="377" spans="1:36">
      <c r="A377" s="1900" t="s">
        <v>1909</v>
      </c>
      <c r="C377" s="528">
        <f t="shared" si="203"/>
        <v>1386896.0167124968</v>
      </c>
      <c r="D377" s="528">
        <f t="shared" si="203"/>
        <v>1721989.1454674334</v>
      </c>
      <c r="E377" s="597"/>
      <c r="F377" s="1942"/>
      <c r="G377" s="1921"/>
      <c r="H377" s="1644"/>
      <c r="I377" s="1644"/>
      <c r="J377" s="597"/>
      <c r="K377" s="1942">
        <f t="shared" si="204"/>
        <v>0</v>
      </c>
      <c r="L377" s="1921" t="s">
        <v>495</v>
      </c>
      <c r="M377" s="1942">
        <f t="shared" si="205"/>
        <v>0</v>
      </c>
      <c r="N377" s="1921" t="s">
        <v>495</v>
      </c>
      <c r="O377" s="1942">
        <f t="shared" si="206"/>
        <v>-2.0670999999999999</v>
      </c>
      <c r="P377" s="1921" t="s">
        <v>495</v>
      </c>
      <c r="Q377" s="1942">
        <f t="shared" si="202"/>
        <v>-2.0670999999999999</v>
      </c>
      <c r="R377" s="1921" t="s">
        <v>495</v>
      </c>
      <c r="S377" s="1644">
        <f t="shared" si="207"/>
        <v>0</v>
      </c>
      <c r="T377" s="1648"/>
      <c r="U377" s="1644">
        <f t="shared" si="208"/>
        <v>0</v>
      </c>
      <c r="V377" s="1648"/>
      <c r="W377" s="1644">
        <f t="shared" si="209"/>
        <v>-35595</v>
      </c>
      <c r="X377" s="1648"/>
      <c r="Y377" s="1644">
        <f t="shared" si="210"/>
        <v>-35595</v>
      </c>
      <c r="AA377" s="596"/>
      <c r="AB377" s="596"/>
      <c r="AI377" s="2023">
        <f>W377-'Blocking-Step2'!W377</f>
        <v>0</v>
      </c>
      <c r="AJ377" s="2054">
        <f>O377-'Blocking-Step2'!O377</f>
        <v>0</v>
      </c>
    </row>
    <row r="378" spans="1:36">
      <c r="A378" s="1900" t="s">
        <v>261</v>
      </c>
      <c r="C378" s="528">
        <f t="shared" si="203"/>
        <v>0</v>
      </c>
      <c r="D378" s="528">
        <f t="shared" si="203"/>
        <v>0</v>
      </c>
      <c r="F378" s="1901"/>
      <c r="G378" s="1902"/>
      <c r="H378" s="1644"/>
      <c r="I378" s="1644"/>
      <c r="K378" s="1901">
        <f t="shared" si="204"/>
        <v>-0.61</v>
      </c>
      <c r="L378" s="1902"/>
      <c r="M378" s="1901">
        <f t="shared" si="205"/>
        <v>0</v>
      </c>
      <c r="N378" s="1902"/>
      <c r="O378" s="1901">
        <f t="shared" si="206"/>
        <v>0</v>
      </c>
      <c r="P378" s="1902"/>
      <c r="Q378" s="1901">
        <f t="shared" si="202"/>
        <v>-0.61</v>
      </c>
      <c r="R378" s="1902"/>
      <c r="S378" s="1644">
        <f>ROUND($D378*K378,0)</f>
        <v>0</v>
      </c>
      <c r="T378" s="1643"/>
      <c r="U378" s="1644">
        <f>ROUND($D378*M378,0)</f>
        <v>0</v>
      </c>
      <c r="V378" s="1643"/>
      <c r="W378" s="1644">
        <f>ROUND($D378*O378,0)</f>
        <v>0</v>
      </c>
      <c r="X378" s="1643"/>
      <c r="Y378" s="1644">
        <f>ROUND($D378*Q378,0)</f>
        <v>0</v>
      </c>
      <c r="AA378" s="596"/>
      <c r="AB378" s="596"/>
      <c r="AI378" s="2023">
        <f>W378-'Blocking-Step2'!W378</f>
        <v>0</v>
      </c>
      <c r="AJ378" s="2054">
        <f>O378-'Blocking-Step2'!O378</f>
        <v>0</v>
      </c>
    </row>
    <row r="379" spans="1:36">
      <c r="A379" s="1116" t="s">
        <v>1158</v>
      </c>
      <c r="C379" s="528">
        <f t="shared" si="203"/>
        <v>0</v>
      </c>
      <c r="D379" s="528">
        <f t="shared" si="203"/>
        <v>0</v>
      </c>
      <c r="F379" s="1943"/>
      <c r="G379" s="1921"/>
      <c r="H379" s="1644"/>
      <c r="I379" s="1644"/>
      <c r="K379" s="1943">
        <f t="shared" si="204"/>
        <v>0</v>
      </c>
      <c r="L379" s="1921" t="s">
        <v>495</v>
      </c>
      <c r="M379" s="1943">
        <f t="shared" si="205"/>
        <v>7.125</v>
      </c>
      <c r="N379" s="1921" t="s">
        <v>495</v>
      </c>
      <c r="O379" s="1943">
        <f t="shared" si="206"/>
        <v>0</v>
      </c>
      <c r="P379" s="1921" t="s">
        <v>495</v>
      </c>
      <c r="Q379" s="1943">
        <f t="shared" si="202"/>
        <v>7.125</v>
      </c>
      <c r="R379" s="1921" t="s">
        <v>495</v>
      </c>
      <c r="S379" s="1644">
        <f>ROUND($D379*K379/100,0)</f>
        <v>0</v>
      </c>
      <c r="T379" s="1648"/>
      <c r="U379" s="1644">
        <f>ROUND($D379*M379/100,0)</f>
        <v>0</v>
      </c>
      <c r="V379" s="1648"/>
      <c r="W379" s="1644">
        <f>ROUND($D379*O379/100,0)</f>
        <v>0</v>
      </c>
      <c r="X379" s="1648"/>
      <c r="Y379" s="1644">
        <f>ROUND($D379*Q379/100,0)</f>
        <v>0</v>
      </c>
      <c r="AA379" s="1109"/>
      <c r="AB379" s="1114"/>
      <c r="AI379" s="2023">
        <f>W379-'Blocking-Step2'!W379</f>
        <v>0</v>
      </c>
      <c r="AJ379" s="2054">
        <f>O379-'Blocking-Step2'!O379</f>
        <v>0</v>
      </c>
    </row>
    <row r="380" spans="1:36">
      <c r="A380" s="1900" t="s">
        <v>1240</v>
      </c>
      <c r="C380" s="584"/>
      <c r="D380" s="584"/>
      <c r="F380" s="1930"/>
      <c r="G380" s="597"/>
      <c r="H380" s="1644"/>
      <c r="I380" s="1644"/>
      <c r="K380" s="1930"/>
      <c r="L380" s="597"/>
      <c r="M380" s="1930"/>
      <c r="N380" s="597"/>
      <c r="O380" s="1931" t="str">
        <f>$O$43</f>
        <v>Tax Year 1 (1/1/2021)</v>
      </c>
      <c r="P380" s="597"/>
      <c r="Q380" s="1930">
        <f>$Q$979</f>
        <v>-1.6899999999999998E-2</v>
      </c>
      <c r="R380" s="597"/>
      <c r="S380" s="1645"/>
      <c r="T380" s="1645"/>
      <c r="U380" s="1645"/>
      <c r="V380" s="1645"/>
      <c r="W380" s="1645"/>
      <c r="X380" s="1645"/>
      <c r="Y380" s="1644">
        <f>Q380*SUM(Y370:Y373,Y379)</f>
        <v>-8687.478799999999</v>
      </c>
      <c r="AI380" s="2023">
        <f>W380-'Blocking-Step2'!W380</f>
        <v>0</v>
      </c>
      <c r="AJ380" s="2054">
        <f>O380-'Blocking-Step2'!O380</f>
        <v>0</v>
      </c>
    </row>
    <row r="381" spans="1:36">
      <c r="A381" s="1900"/>
      <c r="C381" s="584"/>
      <c r="D381" s="584"/>
      <c r="F381" s="1930"/>
      <c r="G381" s="597"/>
      <c r="H381" s="1644"/>
      <c r="I381" s="1644"/>
      <c r="K381" s="1930"/>
      <c r="L381" s="597"/>
      <c r="M381" s="1930"/>
      <c r="N381" s="597"/>
      <c r="O381" s="1931">
        <f>$O$44</f>
        <v>0</v>
      </c>
      <c r="P381" s="597"/>
      <c r="Q381" s="1930">
        <f>$Q$980</f>
        <v>0</v>
      </c>
      <c r="R381" s="597"/>
      <c r="S381" s="1645"/>
      <c r="T381" s="1645"/>
      <c r="U381" s="1645"/>
      <c r="V381" s="1645"/>
      <c r="W381" s="1645"/>
      <c r="X381" s="1645"/>
      <c r="Y381" s="1644">
        <f>Q381*SUM(Y370:Y373,Y379)</f>
        <v>0</v>
      </c>
      <c r="AI381" s="2023">
        <f>W381-'Blocking-Step2'!W381</f>
        <v>0</v>
      </c>
      <c r="AJ381" s="2054">
        <f>O381-'Blocking-Step2'!O381</f>
        <v>0</v>
      </c>
    </row>
    <row r="382" spans="1:36">
      <c r="A382" s="1900" t="s">
        <v>1923</v>
      </c>
      <c r="C382" s="528">
        <f>SUM(C374:C377,C379)</f>
        <v>4796585</v>
      </c>
      <c r="D382" s="528">
        <f>SUM(D374:D377,D379)</f>
        <v>5960471.0632168679</v>
      </c>
      <c r="F382" s="1901"/>
      <c r="G382" s="1902"/>
      <c r="H382" s="1644"/>
      <c r="I382" s="1644"/>
      <c r="K382" s="1901"/>
      <c r="L382" s="1902"/>
      <c r="M382" s="1901"/>
      <c r="N382" s="1902"/>
      <c r="O382" s="1901"/>
      <c r="P382" s="1902"/>
      <c r="Q382" s="1901"/>
      <c r="R382" s="1902"/>
      <c r="S382" s="1644">
        <f>SUM(S369:S379)</f>
        <v>263766</v>
      </c>
      <c r="T382" s="1643"/>
      <c r="U382" s="1644">
        <f>SUM(U369:U379)</f>
        <v>207757</v>
      </c>
      <c r="V382" s="1643"/>
      <c r="W382" s="1644">
        <f>SUM(W369:W379)</f>
        <v>200919</v>
      </c>
      <c r="X382" s="1643"/>
      <c r="Y382" s="1644">
        <f>SUM(Y369:Y379)</f>
        <v>672440</v>
      </c>
      <c r="AA382" s="1109" t="s">
        <v>1743</v>
      </c>
      <c r="AB382" s="1499">
        <f>Y382/Y400-1</f>
        <v>-0.29763063669066248</v>
      </c>
      <c r="AI382" s="2023">
        <f>W382-'Blocking-Step2'!W382</f>
        <v>0</v>
      </c>
      <c r="AJ382" s="2054">
        <f>O382-'Blocking-Step2'!O382</f>
        <v>0</v>
      </c>
    </row>
    <row r="383" spans="1:36">
      <c r="A383" s="1900"/>
      <c r="C383" s="528"/>
      <c r="D383" s="528"/>
      <c r="F383" s="1901"/>
      <c r="G383" s="1902"/>
      <c r="H383" s="1644"/>
      <c r="I383" s="1644"/>
      <c r="K383" s="1901"/>
      <c r="L383" s="1902"/>
      <c r="M383" s="1901"/>
      <c r="N383" s="1902"/>
      <c r="O383" s="1901"/>
      <c r="P383" s="1902"/>
      <c r="Q383" s="1901"/>
      <c r="R383" s="1902"/>
      <c r="S383" s="1643"/>
      <c r="T383" s="1643"/>
      <c r="U383" s="1643"/>
      <c r="V383" s="1643"/>
      <c r="W383" s="1643"/>
      <c r="X383" s="1643"/>
      <c r="Y383" s="1644"/>
      <c r="AA383" s="1109"/>
      <c r="AB383" s="1114"/>
      <c r="AI383" s="2023">
        <f>W383-'Blocking-Step2'!W383</f>
        <v>0</v>
      </c>
      <c r="AJ383" s="2054">
        <f>O383-'Blocking-Step2'!O383</f>
        <v>0</v>
      </c>
    </row>
    <row r="384" spans="1:36">
      <c r="A384" s="1900" t="s">
        <v>240</v>
      </c>
      <c r="C384" s="528">
        <f t="shared" ref="C384:D397" si="211">C418+C452+C486</f>
        <v>461.81666666666666</v>
      </c>
      <c r="D384" s="528">
        <f t="shared" si="211"/>
        <v>601.96638791828354</v>
      </c>
      <c r="F384" s="1901">
        <f>F240</f>
        <v>54</v>
      </c>
      <c r="G384" s="1902"/>
      <c r="H384" s="1644">
        <f t="shared" ref="H384:I386" si="212">ROUND($F384*C384,0)</f>
        <v>24938</v>
      </c>
      <c r="I384" s="1644">
        <f t="shared" si="212"/>
        <v>32506</v>
      </c>
      <c r="K384" s="1901">
        <f t="shared" ref="K384:K391" si="213">K240</f>
        <v>53</v>
      </c>
      <c r="L384" s="1902"/>
      <c r="M384" s="1901">
        <f t="shared" ref="M384:M391" si="214">M240</f>
        <v>0</v>
      </c>
      <c r="N384" s="1902"/>
      <c r="O384" s="1901">
        <f t="shared" ref="O384:O391" si="215">O240</f>
        <v>0</v>
      </c>
      <c r="P384" s="1902"/>
      <c r="Q384" s="1901">
        <f t="shared" ref="Q384:Q391" si="216">Q240</f>
        <v>53</v>
      </c>
      <c r="R384" s="1902"/>
      <c r="S384" s="1644">
        <f>ROUND($D384*K384,0)</f>
        <v>31904</v>
      </c>
      <c r="T384" s="1643"/>
      <c r="U384" s="1644">
        <f>ROUND($D384*M384,0)</f>
        <v>0</v>
      </c>
      <c r="V384" s="1643"/>
      <c r="W384" s="1644">
        <f>ROUND($D384*O384,0)</f>
        <v>0</v>
      </c>
      <c r="X384" s="1643"/>
      <c r="Y384" s="1644">
        <f>ROUND($D384*Q384,0)</f>
        <v>31904</v>
      </c>
      <c r="AI384" s="2023">
        <f>W384-'Blocking-Step2'!W384</f>
        <v>0</v>
      </c>
      <c r="AJ384" s="2054">
        <f>O384-'Blocking-Step2'!O384</f>
        <v>0</v>
      </c>
    </row>
    <row r="385" spans="1:36">
      <c r="A385" s="1900" t="s">
        <v>262</v>
      </c>
      <c r="C385" s="528">
        <f t="shared" si="211"/>
        <v>0</v>
      </c>
      <c r="D385" s="528">
        <f t="shared" si="211"/>
        <v>0</v>
      </c>
      <c r="F385" s="1901">
        <f>F241</f>
        <v>648</v>
      </c>
      <c r="G385" s="1902"/>
      <c r="H385" s="1644">
        <f t="shared" si="212"/>
        <v>0</v>
      </c>
      <c r="I385" s="1644">
        <f t="shared" si="212"/>
        <v>0</v>
      </c>
      <c r="K385" s="1901">
        <f t="shared" si="213"/>
        <v>636</v>
      </c>
      <c r="L385" s="1902"/>
      <c r="M385" s="1901">
        <f t="shared" si="214"/>
        <v>0</v>
      </c>
      <c r="N385" s="1902"/>
      <c r="O385" s="1901">
        <f t="shared" si="215"/>
        <v>0</v>
      </c>
      <c r="P385" s="1902"/>
      <c r="Q385" s="1901">
        <f t="shared" si="216"/>
        <v>636</v>
      </c>
      <c r="R385" s="1902"/>
      <c r="S385" s="1644">
        <f t="shared" ref="S385:S389" si="217">ROUND($D385*K385,0)</f>
        <v>0</v>
      </c>
      <c r="T385" s="1643"/>
      <c r="U385" s="1644">
        <f t="shared" ref="U385:U389" si="218">ROUND($D385*M385,0)</f>
        <v>0</v>
      </c>
      <c r="V385" s="1643"/>
      <c r="W385" s="1644">
        <f t="shared" ref="W385:W389" si="219">ROUND($D385*O385,0)</f>
        <v>0</v>
      </c>
      <c r="X385" s="1643"/>
      <c r="Y385" s="1644">
        <f t="shared" ref="Y385:Y389" si="220">ROUND($D385*Q385,0)</f>
        <v>0</v>
      </c>
      <c r="AI385" s="2023">
        <f>W385-'Blocking-Step2'!W385</f>
        <v>0</v>
      </c>
      <c r="AJ385" s="2054">
        <f>O385-'Blocking-Step2'!O385</f>
        <v>0</v>
      </c>
    </row>
    <row r="386" spans="1:36">
      <c r="A386" s="1900" t="s">
        <v>1298</v>
      </c>
      <c r="C386" s="528">
        <f t="shared" si="211"/>
        <v>0</v>
      </c>
      <c r="D386" s="528">
        <f t="shared" si="211"/>
        <v>0</v>
      </c>
      <c r="F386" s="1944">
        <f>F242</f>
        <v>54</v>
      </c>
      <c r="G386" s="597"/>
      <c r="H386" s="1644">
        <f t="shared" si="212"/>
        <v>0</v>
      </c>
      <c r="I386" s="1644">
        <f t="shared" si="212"/>
        <v>0</v>
      </c>
      <c r="K386" s="1944">
        <f t="shared" si="213"/>
        <v>53</v>
      </c>
      <c r="L386" s="597"/>
      <c r="M386" s="1944">
        <f t="shared" si="214"/>
        <v>0</v>
      </c>
      <c r="N386" s="597"/>
      <c r="O386" s="1944">
        <f t="shared" si="215"/>
        <v>0</v>
      </c>
      <c r="P386" s="597"/>
      <c r="Q386" s="1944">
        <f t="shared" si="216"/>
        <v>53</v>
      </c>
      <c r="R386" s="597"/>
      <c r="S386" s="1644">
        <f t="shared" si="217"/>
        <v>0</v>
      </c>
      <c r="T386" s="1645"/>
      <c r="U386" s="1644">
        <f t="shared" si="218"/>
        <v>0</v>
      </c>
      <c r="V386" s="1645"/>
      <c r="W386" s="1644">
        <f t="shared" si="219"/>
        <v>0</v>
      </c>
      <c r="X386" s="1645"/>
      <c r="Y386" s="1644">
        <f t="shared" si="220"/>
        <v>0</v>
      </c>
      <c r="AI386" s="2023">
        <f>W386-'Blocking-Step2'!W386</f>
        <v>0</v>
      </c>
      <c r="AJ386" s="2054">
        <f>O386-'Blocking-Step2'!O386</f>
        <v>0</v>
      </c>
    </row>
    <row r="387" spans="1:36">
      <c r="A387" s="1900" t="s">
        <v>168</v>
      </c>
      <c r="C387" s="528">
        <f t="shared" si="211"/>
        <v>32595.66707920792</v>
      </c>
      <c r="D387" s="528">
        <f t="shared" si="211"/>
        <v>42952</v>
      </c>
      <c r="F387" s="1901">
        <f>F243</f>
        <v>4.04</v>
      </c>
      <c r="G387" s="1902"/>
      <c r="H387" s="1644">
        <f>ROUND($F387*C387,0)</f>
        <v>131686</v>
      </c>
      <c r="I387" s="1644">
        <f>ROUND($F387*D387,0)</f>
        <v>173526</v>
      </c>
      <c r="K387" s="1901">
        <f t="shared" si="213"/>
        <v>3.98</v>
      </c>
      <c r="L387" s="1902"/>
      <c r="M387" s="1901">
        <f t="shared" si="214"/>
        <v>0</v>
      </c>
      <c r="N387" s="1902"/>
      <c r="O387" s="1901">
        <f t="shared" si="215"/>
        <v>0</v>
      </c>
      <c r="P387" s="1902"/>
      <c r="Q387" s="1901">
        <f t="shared" si="216"/>
        <v>3.98</v>
      </c>
      <c r="R387" s="1902"/>
      <c r="S387" s="1644">
        <f t="shared" si="217"/>
        <v>170949</v>
      </c>
      <c r="T387" s="1643"/>
      <c r="U387" s="1644">
        <f t="shared" si="218"/>
        <v>0</v>
      </c>
      <c r="V387" s="1643"/>
      <c r="W387" s="1644">
        <f t="shared" si="219"/>
        <v>0</v>
      </c>
      <c r="X387" s="1643"/>
      <c r="Y387" s="1644">
        <f t="shared" si="220"/>
        <v>170949</v>
      </c>
      <c r="AI387" s="2023">
        <f>W387-'Blocking-Step2'!W387</f>
        <v>0</v>
      </c>
      <c r="AJ387" s="2054">
        <f>O387-'Blocking-Step2'!O387</f>
        <v>0</v>
      </c>
    </row>
    <row r="388" spans="1:36">
      <c r="A388" s="1900" t="s">
        <v>1645</v>
      </c>
      <c r="C388" s="528">
        <f t="shared" si="211"/>
        <v>12234</v>
      </c>
      <c r="D388" s="528">
        <f t="shared" si="211"/>
        <v>16126</v>
      </c>
      <c r="F388" s="1944"/>
      <c r="G388" s="597"/>
      <c r="H388" s="1644"/>
      <c r="I388" s="1644"/>
      <c r="K388" s="1944">
        <f t="shared" si="213"/>
        <v>6.22</v>
      </c>
      <c r="L388" s="597"/>
      <c r="M388" s="1944">
        <f t="shared" si="214"/>
        <v>7.0100000000000007</v>
      </c>
      <c r="N388" s="597"/>
      <c r="O388" s="1944">
        <f t="shared" si="215"/>
        <v>0</v>
      </c>
      <c r="P388" s="597"/>
      <c r="Q388" s="1944">
        <f t="shared" si="216"/>
        <v>13.23</v>
      </c>
      <c r="R388" s="597"/>
      <c r="S388" s="1644">
        <f t="shared" si="217"/>
        <v>100304</v>
      </c>
      <c r="T388" s="1645"/>
      <c r="U388" s="1644">
        <f t="shared" si="218"/>
        <v>113043</v>
      </c>
      <c r="V388" s="1645"/>
      <c r="W388" s="1644">
        <f t="shared" si="219"/>
        <v>0</v>
      </c>
      <c r="X388" s="1645"/>
      <c r="Y388" s="1644">
        <f t="shared" si="220"/>
        <v>213347</v>
      </c>
      <c r="AI388" s="2023">
        <f>W388-'Blocking-Step2'!W388</f>
        <v>0</v>
      </c>
      <c r="AJ388" s="2054">
        <f>O388-'Blocking-Step2'!O388</f>
        <v>0</v>
      </c>
    </row>
    <row r="389" spans="1:36">
      <c r="A389" s="1900" t="s">
        <v>1646</v>
      </c>
      <c r="C389" s="528">
        <f t="shared" si="211"/>
        <v>20361.66707920792</v>
      </c>
      <c r="D389" s="528">
        <f t="shared" si="211"/>
        <v>26826</v>
      </c>
      <c r="F389" s="1944"/>
      <c r="G389" s="597"/>
      <c r="H389" s="1644"/>
      <c r="I389" s="1644"/>
      <c r="K389" s="1944">
        <f t="shared" si="213"/>
        <v>5.5</v>
      </c>
      <c r="L389" s="597"/>
      <c r="M389" s="1944">
        <f t="shared" si="214"/>
        <v>6.2100000000000009</v>
      </c>
      <c r="N389" s="597"/>
      <c r="O389" s="1944">
        <f t="shared" si="215"/>
        <v>0</v>
      </c>
      <c r="P389" s="597"/>
      <c r="Q389" s="1944">
        <f t="shared" si="216"/>
        <v>11.71</v>
      </c>
      <c r="R389" s="597"/>
      <c r="S389" s="1644">
        <f t="shared" si="217"/>
        <v>147543</v>
      </c>
      <c r="T389" s="1645"/>
      <c r="U389" s="1644">
        <f t="shared" si="218"/>
        <v>166589</v>
      </c>
      <c r="V389" s="1645"/>
      <c r="W389" s="1644">
        <f t="shared" si="219"/>
        <v>0</v>
      </c>
      <c r="X389" s="1645"/>
      <c r="Y389" s="1644">
        <f t="shared" si="220"/>
        <v>314132</v>
      </c>
      <c r="AI389" s="2023">
        <f>W389-'Blocking-Step2'!W389</f>
        <v>0</v>
      </c>
      <c r="AJ389" s="2054">
        <f>O389-'Blocking-Step2'!O389</f>
        <v>0</v>
      </c>
    </row>
    <row r="390" spans="1:36">
      <c r="A390" s="1900" t="s">
        <v>1647</v>
      </c>
      <c r="C390" s="528">
        <f t="shared" si="211"/>
        <v>1677508</v>
      </c>
      <c r="D390" s="528">
        <f t="shared" si="211"/>
        <v>2218023.3846987919</v>
      </c>
      <c r="F390" s="1943"/>
      <c r="G390" s="1921"/>
      <c r="H390" s="1644"/>
      <c r="I390" s="1644"/>
      <c r="K390" s="1943">
        <f t="shared" si="213"/>
        <v>0</v>
      </c>
      <c r="L390" s="1921" t="s">
        <v>495</v>
      </c>
      <c r="M390" s="1943">
        <f t="shared" si="214"/>
        <v>1.5747172373309999</v>
      </c>
      <c r="N390" s="1921" t="s">
        <v>495</v>
      </c>
      <c r="O390" s="1943">
        <f t="shared" si="215"/>
        <v>2.305570240802</v>
      </c>
      <c r="P390" s="1921" t="s">
        <v>495</v>
      </c>
      <c r="Q390" s="1943">
        <f t="shared" si="216"/>
        <v>3.8802874781329999</v>
      </c>
      <c r="R390" s="1921" t="s">
        <v>495</v>
      </c>
      <c r="S390" s="1644">
        <f>ROUND($D390*K390/100,0)</f>
        <v>0</v>
      </c>
      <c r="T390" s="1648"/>
      <c r="U390" s="1644">
        <f>ROUND($D390*M390/100,0)</f>
        <v>34928</v>
      </c>
      <c r="V390" s="1648"/>
      <c r="W390" s="1644">
        <f>ROUND($D390*O390/100,0)</f>
        <v>51138</v>
      </c>
      <c r="X390" s="1648"/>
      <c r="Y390" s="1644">
        <f>ROUND($D390*Q390/100,0)</f>
        <v>86066</v>
      </c>
      <c r="AI390" s="2023">
        <f>W390-'Blocking-Step2'!W390</f>
        <v>0</v>
      </c>
      <c r="AJ390" s="2054">
        <f>O390-'Blocking-Step2'!O390</f>
        <v>0</v>
      </c>
    </row>
    <row r="391" spans="1:36">
      <c r="A391" s="1900" t="s">
        <v>1648</v>
      </c>
      <c r="C391" s="528">
        <f t="shared" si="211"/>
        <v>3119077</v>
      </c>
      <c r="D391" s="528">
        <f t="shared" si="211"/>
        <v>4105852</v>
      </c>
      <c r="F391" s="1943"/>
      <c r="G391" s="1921"/>
      <c r="H391" s="1644"/>
      <c r="I391" s="1644"/>
      <c r="K391" s="1943">
        <f t="shared" si="213"/>
        <v>0</v>
      </c>
      <c r="L391" s="1921" t="s">
        <v>495</v>
      </c>
      <c r="M391" s="1943">
        <f t="shared" si="214"/>
        <v>1.3935347233019999</v>
      </c>
      <c r="N391" s="1921" t="s">
        <v>495</v>
      </c>
      <c r="O391" s="1943">
        <f t="shared" si="215"/>
        <v>2.0403480007099999</v>
      </c>
      <c r="P391" s="1921" t="s">
        <v>495</v>
      </c>
      <c r="Q391" s="1943">
        <f t="shared" si="216"/>
        <v>3.4338827240119998</v>
      </c>
      <c r="R391" s="1921" t="s">
        <v>495</v>
      </c>
      <c r="S391" s="1644">
        <f>ROUND($D391*K391/100,0)</f>
        <v>0</v>
      </c>
      <c r="T391" s="1648"/>
      <c r="U391" s="1644">
        <f>ROUND($D391*M391/100,0)</f>
        <v>57216</v>
      </c>
      <c r="V391" s="1648"/>
      <c r="W391" s="1644">
        <f>ROUND($D391*O391/100,0)</f>
        <v>83774</v>
      </c>
      <c r="X391" s="1648"/>
      <c r="Y391" s="1644">
        <f>ROUND($D391*Q391/100,0)</f>
        <v>140990</v>
      </c>
      <c r="AI391" s="2023">
        <f>W391-'Blocking-Step2'!W391</f>
        <v>0</v>
      </c>
      <c r="AJ391" s="2054">
        <f>O391-'Blocking-Step2'!O391</f>
        <v>0</v>
      </c>
    </row>
    <row r="392" spans="1:36">
      <c r="A392" s="1900" t="s">
        <v>196</v>
      </c>
      <c r="C392" s="528">
        <f t="shared" si="211"/>
        <v>12671.059772427265</v>
      </c>
      <c r="D392" s="528">
        <f t="shared" si="211"/>
        <v>16699</v>
      </c>
      <c r="F392" s="1901">
        <f>F248</f>
        <v>14.62</v>
      </c>
      <c r="G392" s="1902"/>
      <c r="H392" s="1644">
        <f t="shared" ref="H392:I394" si="221">ROUND($F392*C392,0)</f>
        <v>185251</v>
      </c>
      <c r="I392" s="1644">
        <f t="shared" si="221"/>
        <v>244139</v>
      </c>
      <c r="K392" s="1901"/>
      <c r="L392" s="1902"/>
      <c r="M392" s="1901"/>
      <c r="N392" s="1902"/>
      <c r="O392" s="1901"/>
      <c r="P392" s="1902"/>
      <c r="Q392" s="1901"/>
      <c r="R392" s="1902"/>
      <c r="S392" s="1644"/>
      <c r="T392" s="1643"/>
      <c r="U392" s="1644"/>
      <c r="V392" s="1643"/>
      <c r="W392" s="1644"/>
      <c r="X392" s="1643"/>
      <c r="Y392" s="1644"/>
      <c r="AI392" s="2023">
        <f>W392-'Blocking-Step2'!W392</f>
        <v>0</v>
      </c>
      <c r="AJ392" s="2054">
        <f>O392-'Blocking-Step2'!O392</f>
        <v>0</v>
      </c>
    </row>
    <row r="393" spans="1:36">
      <c r="A393" s="1900" t="s">
        <v>161</v>
      </c>
      <c r="C393" s="528">
        <f t="shared" si="211"/>
        <v>19924.607306780654</v>
      </c>
      <c r="D393" s="528">
        <f t="shared" si="211"/>
        <v>26252</v>
      </c>
      <c r="F393" s="1901">
        <f>F249</f>
        <v>10.91</v>
      </c>
      <c r="G393" s="1902"/>
      <c r="H393" s="1644">
        <f t="shared" si="221"/>
        <v>217377</v>
      </c>
      <c r="I393" s="1644">
        <f t="shared" si="221"/>
        <v>286409</v>
      </c>
      <c r="K393" s="1901"/>
      <c r="L393" s="1902"/>
      <c r="M393" s="1901"/>
      <c r="N393" s="1902"/>
      <c r="O393" s="1901"/>
      <c r="P393" s="1902"/>
      <c r="Q393" s="1901"/>
      <c r="R393" s="1902"/>
      <c r="S393" s="1644"/>
      <c r="T393" s="1643"/>
      <c r="U393" s="1644"/>
      <c r="V393" s="1643"/>
      <c r="W393" s="1644"/>
      <c r="X393" s="1643"/>
      <c r="Y393" s="1644"/>
      <c r="AI393" s="2023">
        <f>W393-'Blocking-Step2'!W393</f>
        <v>0</v>
      </c>
      <c r="AJ393" s="2054">
        <f>O393-'Blocking-Step2'!O393</f>
        <v>0</v>
      </c>
    </row>
    <row r="394" spans="1:36">
      <c r="A394" s="1900" t="s">
        <v>261</v>
      </c>
      <c r="C394" s="528">
        <f t="shared" si="211"/>
        <v>0</v>
      </c>
      <c r="D394" s="528">
        <f t="shared" si="211"/>
        <v>0</v>
      </c>
      <c r="F394" s="1901">
        <f>F250</f>
        <v>-0.96</v>
      </c>
      <c r="G394" s="1902"/>
      <c r="H394" s="1644">
        <f t="shared" si="221"/>
        <v>0</v>
      </c>
      <c r="I394" s="1644">
        <f t="shared" si="221"/>
        <v>0</v>
      </c>
      <c r="K394" s="1901">
        <f>K250</f>
        <v>-0.96</v>
      </c>
      <c r="L394" s="1902"/>
      <c r="M394" s="1901">
        <f>M250</f>
        <v>0</v>
      </c>
      <c r="N394" s="1902"/>
      <c r="O394" s="1901">
        <f>O250</f>
        <v>0</v>
      </c>
      <c r="P394" s="1902"/>
      <c r="Q394" s="1901">
        <f>Q250</f>
        <v>-0.96</v>
      </c>
      <c r="R394" s="1902"/>
      <c r="S394" s="1644">
        <f t="shared" ref="S394" si="222">ROUND($D394*K394,0)</f>
        <v>0</v>
      </c>
      <c r="T394" s="1643"/>
      <c r="U394" s="1644">
        <f t="shared" ref="U394" si="223">ROUND($D394*M394,0)</f>
        <v>0</v>
      </c>
      <c r="V394" s="1643"/>
      <c r="W394" s="1644">
        <f t="shared" ref="W394" si="224">ROUND($D394*O394,0)</f>
        <v>0</v>
      </c>
      <c r="X394" s="1643"/>
      <c r="Y394" s="1644">
        <f t="shared" ref="Y394" si="225">ROUND($D394*Q394,0)</f>
        <v>0</v>
      </c>
      <c r="AI394" s="2023">
        <f>W394-'Blocking-Step2'!W394</f>
        <v>0</v>
      </c>
      <c r="AJ394" s="2054">
        <f>O394-'Blocking-Step2'!O394</f>
        <v>0</v>
      </c>
    </row>
    <row r="395" spans="1:36">
      <c r="A395" s="1900" t="s">
        <v>1362</v>
      </c>
      <c r="C395" s="528">
        <f t="shared" si="211"/>
        <v>1998470.3955894609</v>
      </c>
      <c r="D395" s="528">
        <f t="shared" si="211"/>
        <v>2644149</v>
      </c>
      <c r="F395" s="1943">
        <f>F251</f>
        <v>3.8127</v>
      </c>
      <c r="G395" s="1921" t="s">
        <v>495</v>
      </c>
      <c r="H395" s="1644">
        <f>ROUND($F395*C395/100,0)</f>
        <v>76196</v>
      </c>
      <c r="I395" s="1644">
        <f>ROUND($F395*D395/100,0)</f>
        <v>100813</v>
      </c>
      <c r="K395" s="1943"/>
      <c r="L395" s="1921"/>
      <c r="M395" s="1943"/>
      <c r="N395" s="1921"/>
      <c r="O395" s="1943"/>
      <c r="P395" s="1921"/>
      <c r="Q395" s="1943"/>
      <c r="R395" s="1921"/>
      <c r="S395" s="1648"/>
      <c r="T395" s="1648"/>
      <c r="U395" s="1648"/>
      <c r="V395" s="1648"/>
      <c r="W395" s="1648"/>
      <c r="X395" s="1648"/>
      <c r="Y395" s="1644"/>
      <c r="AI395" s="2023">
        <f>W395-'Blocking-Step2'!W395</f>
        <v>0</v>
      </c>
      <c r="AJ395" s="2054">
        <f>O395-'Blocking-Step2'!O395</f>
        <v>0</v>
      </c>
    </row>
    <row r="396" spans="1:36">
      <c r="A396" s="1900" t="s">
        <v>1363</v>
      </c>
      <c r="C396" s="528">
        <f t="shared" si="211"/>
        <v>2798114.6044105394</v>
      </c>
      <c r="D396" s="528">
        <f t="shared" si="211"/>
        <v>3679726.3846987919</v>
      </c>
      <c r="F396" s="1943">
        <f>F252</f>
        <v>3.5143</v>
      </c>
      <c r="G396" s="1921" t="s">
        <v>495</v>
      </c>
      <c r="H396" s="1644">
        <f>ROUND($F396*C396/100,0)</f>
        <v>98334</v>
      </c>
      <c r="I396" s="1644">
        <f>ROUND($F396*D396/100,0)</f>
        <v>129317</v>
      </c>
      <c r="K396" s="1943"/>
      <c r="L396" s="1921"/>
      <c r="M396" s="1943"/>
      <c r="N396" s="1921"/>
      <c r="O396" s="1943"/>
      <c r="P396" s="1921"/>
      <c r="Q396" s="1943"/>
      <c r="R396" s="1921"/>
      <c r="S396" s="1648"/>
      <c r="T396" s="1648"/>
      <c r="U396" s="1648"/>
      <c r="V396" s="1648"/>
      <c r="W396" s="1648"/>
      <c r="X396" s="1648"/>
      <c r="Y396" s="1644"/>
      <c r="AI396" s="2023">
        <f>W396-'Blocking-Step2'!W396</f>
        <v>0</v>
      </c>
      <c r="AJ396" s="2054">
        <f>O396-'Blocking-Step2'!O396</f>
        <v>0</v>
      </c>
    </row>
    <row r="397" spans="1:36">
      <c r="A397" s="1900" t="s">
        <v>246</v>
      </c>
      <c r="C397" s="529">
        <f t="shared" si="211"/>
        <v>0</v>
      </c>
      <c r="D397" s="529">
        <f t="shared" si="211"/>
        <v>0</v>
      </c>
      <c r="H397" s="1030">
        <f>H431+H465+H499</f>
        <v>0</v>
      </c>
      <c r="I397" s="1030">
        <f>I431+I465+I499</f>
        <v>0</v>
      </c>
      <c r="Y397" s="1030"/>
      <c r="AI397" s="2023">
        <f>W397-'Blocking-Step2'!W397</f>
        <v>0</v>
      </c>
      <c r="AJ397" s="2054">
        <f>O397-'Blocking-Step2'!O397</f>
        <v>0</v>
      </c>
    </row>
    <row r="398" spans="1:36">
      <c r="A398" s="1900" t="s">
        <v>1240</v>
      </c>
      <c r="C398" s="584"/>
      <c r="D398" s="584"/>
      <c r="F398" s="1930">
        <f>F255</f>
        <v>-3.61E-2</v>
      </c>
      <c r="G398" s="597"/>
      <c r="H398" s="1644">
        <f>SUM(H392:H393,H395:H396)*$F398</f>
        <v>-20835.4038</v>
      </c>
      <c r="I398" s="1644">
        <f>SUM(I392:I393,I395:I396)*$F398</f>
        <v>-27460.4758</v>
      </c>
      <c r="K398" s="1930"/>
      <c r="L398" s="597"/>
      <c r="M398" s="1930"/>
      <c r="N398" s="597"/>
      <c r="O398" s="1931" t="str">
        <f>$O$43</f>
        <v>Tax Year 1 (1/1/2021)</v>
      </c>
      <c r="P398" s="597"/>
      <c r="Q398" s="1930">
        <f>$Q$687</f>
        <v>-1.52E-2</v>
      </c>
      <c r="R398" s="597"/>
      <c r="S398" s="1645"/>
      <c r="T398" s="1645"/>
      <c r="U398" s="1645"/>
      <c r="V398" s="1645"/>
      <c r="W398" s="1645"/>
      <c r="X398" s="1645"/>
      <c r="Y398" s="1644">
        <f>Q398*SUM(Y388:Y391)</f>
        <v>-11468.932000000001</v>
      </c>
      <c r="AI398" s="2023">
        <f>W398-'Blocking-Step2'!W398</f>
        <v>0</v>
      </c>
      <c r="AJ398" s="2054">
        <f>O398-'Blocking-Step2'!O398</f>
        <v>0</v>
      </c>
    </row>
    <row r="399" spans="1:36">
      <c r="A399" s="1900"/>
      <c r="C399" s="584"/>
      <c r="D399" s="584"/>
      <c r="F399" s="1930"/>
      <c r="G399" s="597"/>
      <c r="H399" s="1644"/>
      <c r="I399" s="1644"/>
      <c r="K399" s="1930"/>
      <c r="L399" s="597"/>
      <c r="M399" s="1930"/>
      <c r="N399" s="597"/>
      <c r="O399" s="1931">
        <f>$O$44</f>
        <v>0</v>
      </c>
      <c r="P399" s="597"/>
      <c r="Q399" s="1930">
        <f>$Q$688</f>
        <v>0</v>
      </c>
      <c r="R399" s="597"/>
      <c r="S399" s="1645"/>
      <c r="T399" s="1645"/>
      <c r="U399" s="1645"/>
      <c r="V399" s="1645"/>
      <c r="W399" s="1645"/>
      <c r="X399" s="1645"/>
      <c r="Y399" s="1644">
        <f>Q399*SUM(Y388:Y391)</f>
        <v>0</v>
      </c>
      <c r="AI399" s="2023">
        <f>W399-'Blocking-Step2'!W399</f>
        <v>0</v>
      </c>
      <c r="AJ399" s="2054">
        <f>O399-'Blocking-Step2'!O399</f>
        <v>0</v>
      </c>
    </row>
    <row r="400" spans="1:36" ht="16.5" thickBot="1">
      <c r="A400" s="1900" t="s">
        <v>247</v>
      </c>
      <c r="C400" s="1949">
        <f>SUM(C395:C397)</f>
        <v>4796585</v>
      </c>
      <c r="D400" s="1949">
        <f>SUM(D395:D397)</f>
        <v>6323875.3846987914</v>
      </c>
      <c r="F400" s="1939"/>
      <c r="H400" s="1647">
        <f>SUM(H384:H398)</f>
        <v>712946.59620000003</v>
      </c>
      <c r="I400" s="1647">
        <f>SUM(I384:I398)</f>
        <v>939249.52419999999</v>
      </c>
      <c r="K400" s="1939"/>
      <c r="M400" s="1939"/>
      <c r="O400" s="1939"/>
      <c r="Q400" s="1939"/>
      <c r="S400" s="1647">
        <f>SUM(S384:S397)</f>
        <v>450700</v>
      </c>
      <c r="U400" s="1647">
        <f>SUM(U384:U397)</f>
        <v>371776</v>
      </c>
      <c r="W400" s="1647">
        <f>SUM(W384:W397)</f>
        <v>134912</v>
      </c>
      <c r="Y400" s="1647">
        <f>SUM(Y384:Y397)</f>
        <v>957388</v>
      </c>
      <c r="AA400" s="1104" t="s">
        <v>1743</v>
      </c>
      <c r="AB400" s="1890">
        <f>Y400/I400-1</f>
        <v>1.9311668872496135E-2</v>
      </c>
      <c r="AI400" s="2023">
        <f>W400-'Blocking-Step2'!W400</f>
        <v>0</v>
      </c>
      <c r="AJ400" s="2054">
        <f>O400-'Blocking-Step2'!O400</f>
        <v>0</v>
      </c>
    </row>
    <row r="401" spans="1:36" ht="16.5" hidden="1" thickTop="1">
      <c r="C401" s="528"/>
      <c r="D401" s="528"/>
      <c r="AI401" s="2023">
        <f>W401-'Blocking-Step2'!W401</f>
        <v>0</v>
      </c>
      <c r="AJ401" s="2054">
        <f>O401-'Blocking-Step2'!O401</f>
        <v>0</v>
      </c>
    </row>
    <row r="402" spans="1:36" hidden="1">
      <c r="A402" s="1897" t="s">
        <v>1919</v>
      </c>
      <c r="C402" s="528"/>
      <c r="D402" s="528"/>
      <c r="AI402" s="2023">
        <f>W402-'Blocking-Step2'!W402</f>
        <v>0</v>
      </c>
      <c r="AJ402" s="2054">
        <f>O402-'Blocking-Step2'!O402</f>
        <v>0</v>
      </c>
    </row>
    <row r="403" spans="1:36" hidden="1">
      <c r="A403" s="1900" t="s">
        <v>240</v>
      </c>
      <c r="C403" s="528">
        <f>'BD-Redesign'!J22</f>
        <v>37.433333333333337</v>
      </c>
      <c r="D403" s="528">
        <f>D418</f>
        <v>48.191644746146238</v>
      </c>
      <c r="F403" s="1901"/>
      <c r="G403" s="1902"/>
      <c r="H403" s="1644"/>
      <c r="I403" s="1644"/>
      <c r="K403" s="1901">
        <f t="shared" ref="K403:K413" si="226">K369</f>
        <v>53</v>
      </c>
      <c r="L403" s="1902"/>
      <c r="M403" s="1901">
        <f t="shared" ref="M403:M413" si="227">M369</f>
        <v>0</v>
      </c>
      <c r="N403" s="1902"/>
      <c r="O403" s="1901">
        <f t="shared" ref="O403:Q413" si="228">O369</f>
        <v>0</v>
      </c>
      <c r="P403" s="1902"/>
      <c r="Q403" s="1901">
        <f t="shared" si="228"/>
        <v>53</v>
      </c>
      <c r="R403" s="1902"/>
      <c r="S403" s="1644">
        <f>ROUND($D403*K403,0)</f>
        <v>2554</v>
      </c>
      <c r="T403" s="1643"/>
      <c r="U403" s="1644">
        <f>ROUND($D403*M403,0)</f>
        <v>0</v>
      </c>
      <c r="V403" s="1643"/>
      <c r="W403" s="1644">
        <f>ROUND($D403*O403,0)</f>
        <v>0</v>
      </c>
      <c r="X403" s="1643"/>
      <c r="Y403" s="1644">
        <f>ROUND($D403*Q403,0)</f>
        <v>2554</v>
      </c>
      <c r="AA403" s="1109"/>
      <c r="AB403" s="1114"/>
      <c r="AI403" s="2023">
        <f>W403-'Blocking-Step2'!W403</f>
        <v>0</v>
      </c>
      <c r="AJ403" s="2054">
        <f>O403-'Blocking-Step2'!O403</f>
        <v>0</v>
      </c>
    </row>
    <row r="404" spans="1:36" hidden="1">
      <c r="A404" s="1900" t="s">
        <v>1910</v>
      </c>
      <c r="C404" s="528">
        <f>'BD-Redesign'!J23</f>
        <v>9275</v>
      </c>
      <c r="D404" s="528">
        <f t="shared" ref="D404:D413" si="229">C404/$C$416*$D$416</f>
        <v>11186.801542080006</v>
      </c>
      <c r="E404" s="597"/>
      <c r="F404" s="1942"/>
      <c r="G404" s="1921"/>
      <c r="H404" s="1644"/>
      <c r="I404" s="1644"/>
      <c r="J404" s="597"/>
      <c r="K404" s="1942">
        <f t="shared" si="226"/>
        <v>3.89</v>
      </c>
      <c r="L404" s="1921" t="s">
        <v>495</v>
      </c>
      <c r="M404" s="1942">
        <f t="shared" si="227"/>
        <v>17.137528114911813</v>
      </c>
      <c r="N404" s="1921" t="s">
        <v>495</v>
      </c>
      <c r="O404" s="1942">
        <f t="shared" si="228"/>
        <v>1.3496999999999999</v>
      </c>
      <c r="P404" s="1921" t="s">
        <v>495</v>
      </c>
      <c r="Q404" s="1942">
        <f t="shared" si="228"/>
        <v>22.377228114911812</v>
      </c>
      <c r="R404" s="1921" t="s">
        <v>495</v>
      </c>
      <c r="S404" s="1644">
        <f>ROUND($D404*K404/100,0)</f>
        <v>435</v>
      </c>
      <c r="T404" s="1648"/>
      <c r="U404" s="1644">
        <f>ROUND($D404*M404/100,0)</f>
        <v>1917</v>
      </c>
      <c r="V404" s="1648"/>
      <c r="W404" s="1644">
        <f>ROUND($D404*O404/100,0)</f>
        <v>151</v>
      </c>
      <c r="X404" s="1648"/>
      <c r="Y404" s="1644">
        <f>ROUND($D404*Q404/100,0)</f>
        <v>2503</v>
      </c>
      <c r="AA404" s="596"/>
      <c r="AB404" s="596"/>
      <c r="AI404" s="2023">
        <f>W404-'Blocking-Step2'!W404</f>
        <v>0</v>
      </c>
      <c r="AJ404" s="2054">
        <f>O404-'Blocking-Step2'!O404</f>
        <v>0</v>
      </c>
    </row>
    <row r="405" spans="1:36" hidden="1">
      <c r="A405" s="1900" t="s">
        <v>1911</v>
      </c>
      <c r="C405" s="528">
        <f>'BD-Redesign'!J24</f>
        <v>25125</v>
      </c>
      <c r="D405" s="528">
        <f t="shared" si="229"/>
        <v>30303.869406443147</v>
      </c>
      <c r="E405" s="597"/>
      <c r="F405" s="1942"/>
      <c r="G405" s="1921"/>
      <c r="H405" s="1644"/>
      <c r="I405" s="1644"/>
      <c r="J405" s="597"/>
      <c r="K405" s="1942">
        <f t="shared" si="226"/>
        <v>3.89</v>
      </c>
      <c r="L405" s="1921" t="s">
        <v>495</v>
      </c>
      <c r="M405" s="1942">
        <f t="shared" si="227"/>
        <v>-1.0877975226579997</v>
      </c>
      <c r="N405" s="1921" t="s">
        <v>495</v>
      </c>
      <c r="O405" s="1942">
        <f t="shared" si="228"/>
        <v>1.3496999999999999</v>
      </c>
      <c r="P405" s="1921" t="s">
        <v>495</v>
      </c>
      <c r="Q405" s="1942">
        <f t="shared" si="228"/>
        <v>4.1519024773420004</v>
      </c>
      <c r="R405" s="1921" t="s">
        <v>495</v>
      </c>
      <c r="S405" s="1644">
        <f t="shared" ref="S405:S411" si="230">ROUND($D405*K405/100,0)</f>
        <v>1179</v>
      </c>
      <c r="T405" s="1648"/>
      <c r="U405" s="1644">
        <f t="shared" ref="U405:U411" si="231">ROUND($D405*M405/100,0)</f>
        <v>-330</v>
      </c>
      <c r="V405" s="1648"/>
      <c r="W405" s="1644">
        <f t="shared" ref="W405:W411" si="232">ROUND($D405*O405/100,0)</f>
        <v>409</v>
      </c>
      <c r="X405" s="1648"/>
      <c r="Y405" s="1644">
        <f t="shared" ref="Y405:Y411" si="233">ROUND($D405*Q405/100,0)</f>
        <v>1258</v>
      </c>
      <c r="AA405" s="596"/>
      <c r="AB405" s="596"/>
      <c r="AI405" s="2023">
        <f>W405-'Blocking-Step2'!W405</f>
        <v>0</v>
      </c>
      <c r="AJ405" s="2054">
        <f>O405-'Blocking-Step2'!O405</f>
        <v>0</v>
      </c>
    </row>
    <row r="406" spans="1:36" hidden="1">
      <c r="A406" s="1900" t="s">
        <v>1912</v>
      </c>
      <c r="C406" s="528">
        <f>'BD-Redesign'!J25</f>
        <v>35390</v>
      </c>
      <c r="D406" s="528">
        <f t="shared" si="229"/>
        <v>42684.733862448673</v>
      </c>
      <c r="E406" s="597"/>
      <c r="F406" s="1942"/>
      <c r="G406" s="1921"/>
      <c r="H406" s="1644"/>
      <c r="I406" s="1644"/>
      <c r="J406" s="597"/>
      <c r="K406" s="1942">
        <f t="shared" si="226"/>
        <v>3.89</v>
      </c>
      <c r="L406" s="1921" t="s">
        <v>495</v>
      </c>
      <c r="M406" s="1942">
        <f t="shared" si="227"/>
        <v>14.718500000000001</v>
      </c>
      <c r="N406" s="1921" t="s">
        <v>495</v>
      </c>
      <c r="O406" s="1942">
        <f t="shared" si="228"/>
        <v>1.1943999999999999</v>
      </c>
      <c r="P406" s="1921" t="s">
        <v>495</v>
      </c>
      <c r="Q406" s="1942">
        <f t="shared" si="228"/>
        <v>19.802900000000001</v>
      </c>
      <c r="R406" s="1921" t="s">
        <v>495</v>
      </c>
      <c r="S406" s="1644">
        <f t="shared" si="230"/>
        <v>1660</v>
      </c>
      <c r="T406" s="1648"/>
      <c r="U406" s="1644">
        <f t="shared" si="231"/>
        <v>6283</v>
      </c>
      <c r="V406" s="1648"/>
      <c r="W406" s="1644">
        <f t="shared" si="232"/>
        <v>510</v>
      </c>
      <c r="X406" s="1648"/>
      <c r="Y406" s="1644">
        <f t="shared" si="233"/>
        <v>8453</v>
      </c>
      <c r="AA406" s="596"/>
      <c r="AB406" s="596"/>
      <c r="AI406" s="2023">
        <f>W406-'Blocking-Step2'!W406</f>
        <v>0</v>
      </c>
      <c r="AJ406" s="2054">
        <f>O406-'Blocking-Step2'!O406</f>
        <v>0</v>
      </c>
    </row>
    <row r="407" spans="1:36" hidden="1">
      <c r="A407" s="1900" t="s">
        <v>1913</v>
      </c>
      <c r="C407" s="528">
        <f>'BD-Redesign'!J26</f>
        <v>145099.5</v>
      </c>
      <c r="D407" s="528">
        <f t="shared" si="229"/>
        <v>175008.01189811731</v>
      </c>
      <c r="E407" s="597"/>
      <c r="F407" s="1942"/>
      <c r="G407" s="1921"/>
      <c r="H407" s="1644"/>
      <c r="I407" s="1644"/>
      <c r="J407" s="597"/>
      <c r="K407" s="1942">
        <f t="shared" si="226"/>
        <v>3.89</v>
      </c>
      <c r="L407" s="1921" t="s">
        <v>495</v>
      </c>
      <c r="M407" s="1942">
        <f t="shared" si="227"/>
        <v>-1.4102000000000001</v>
      </c>
      <c r="N407" s="1921" t="s">
        <v>495</v>
      </c>
      <c r="O407" s="1942">
        <f t="shared" si="228"/>
        <v>1.1943999999999999</v>
      </c>
      <c r="P407" s="1921" t="s">
        <v>495</v>
      </c>
      <c r="Q407" s="1942">
        <f t="shared" si="228"/>
        <v>3.6741999999999999</v>
      </c>
      <c r="R407" s="1921" t="s">
        <v>495</v>
      </c>
      <c r="S407" s="1644">
        <f t="shared" si="230"/>
        <v>6808</v>
      </c>
      <c r="T407" s="1648"/>
      <c r="U407" s="1644">
        <f t="shared" si="231"/>
        <v>-2468</v>
      </c>
      <c r="V407" s="1648"/>
      <c r="W407" s="1644">
        <f t="shared" si="232"/>
        <v>2090</v>
      </c>
      <c r="X407" s="1648"/>
      <c r="Y407" s="1644">
        <f t="shared" si="233"/>
        <v>6430</v>
      </c>
      <c r="AA407" s="596"/>
      <c r="AB407" s="596"/>
      <c r="AI407" s="2023">
        <f>W407-'Blocking-Step2'!W407</f>
        <v>0</v>
      </c>
      <c r="AJ407" s="2054">
        <f>O407-'Blocking-Step2'!O407</f>
        <v>0</v>
      </c>
    </row>
    <row r="408" spans="1:36" hidden="1">
      <c r="A408" s="1900" t="s">
        <v>1906</v>
      </c>
      <c r="C408" s="528">
        <f>'BD-Redesign'!J27</f>
        <v>19104.057330130072</v>
      </c>
      <c r="D408" s="528">
        <f t="shared" si="229"/>
        <v>23041.865013550829</v>
      </c>
      <c r="E408" s="597"/>
      <c r="F408" s="1942"/>
      <c r="G408" s="1921"/>
      <c r="H408" s="1644"/>
      <c r="I408" s="1644"/>
      <c r="J408" s="597"/>
      <c r="K408" s="1942">
        <f t="shared" si="226"/>
        <v>0</v>
      </c>
      <c r="L408" s="1921" t="s">
        <v>495</v>
      </c>
      <c r="M408" s="1942">
        <f t="shared" si="227"/>
        <v>0</v>
      </c>
      <c r="N408" s="1921" t="s">
        <v>495</v>
      </c>
      <c r="O408" s="1942">
        <f t="shared" si="228"/>
        <v>6</v>
      </c>
      <c r="P408" s="1921" t="s">
        <v>495</v>
      </c>
      <c r="Q408" s="1942">
        <f t="shared" si="228"/>
        <v>6</v>
      </c>
      <c r="R408" s="1921" t="s">
        <v>495</v>
      </c>
      <c r="S408" s="1644">
        <f t="shared" si="230"/>
        <v>0</v>
      </c>
      <c r="T408" s="1648"/>
      <c r="U408" s="1644">
        <f t="shared" si="231"/>
        <v>0</v>
      </c>
      <c r="V408" s="1648"/>
      <c r="W408" s="1644">
        <f t="shared" si="232"/>
        <v>1383</v>
      </c>
      <c r="X408" s="1648"/>
      <c r="Y408" s="1644">
        <f t="shared" si="233"/>
        <v>1383</v>
      </c>
      <c r="AA408" s="596"/>
      <c r="AB408" s="596"/>
      <c r="AI408" s="2023">
        <f>W408-'Blocking-Step2'!W408</f>
        <v>0</v>
      </c>
      <c r="AJ408" s="2054">
        <f>O408-'Blocking-Step2'!O408</f>
        <v>0</v>
      </c>
    </row>
    <row r="409" spans="1:36" hidden="1">
      <c r="A409" s="1900" t="s">
        <v>1907</v>
      </c>
      <c r="C409" s="528">
        <f>'BD-Redesign'!J28</f>
        <v>15295.942669869928</v>
      </c>
      <c r="D409" s="528">
        <f t="shared" si="229"/>
        <v>18448.805934972323</v>
      </c>
      <c r="E409" s="597"/>
      <c r="F409" s="1942"/>
      <c r="G409" s="1921"/>
      <c r="H409" s="1644"/>
      <c r="I409" s="1644"/>
      <c r="J409" s="597"/>
      <c r="K409" s="1942">
        <f t="shared" si="226"/>
        <v>0</v>
      </c>
      <c r="L409" s="1921" t="s">
        <v>495</v>
      </c>
      <c r="M409" s="1942">
        <f t="shared" si="227"/>
        <v>0</v>
      </c>
      <c r="N409" s="1921" t="s">
        <v>495</v>
      </c>
      <c r="O409" s="1942">
        <f t="shared" si="228"/>
        <v>-2.3358000000000008</v>
      </c>
      <c r="P409" s="1921" t="s">
        <v>495</v>
      </c>
      <c r="Q409" s="1942">
        <f t="shared" si="228"/>
        <v>-2.3358000000000008</v>
      </c>
      <c r="R409" s="1921" t="s">
        <v>495</v>
      </c>
      <c r="S409" s="1644">
        <f t="shared" si="230"/>
        <v>0</v>
      </c>
      <c r="T409" s="1648"/>
      <c r="U409" s="1644">
        <f t="shared" si="231"/>
        <v>0</v>
      </c>
      <c r="V409" s="1648"/>
      <c r="W409" s="1644">
        <f t="shared" si="232"/>
        <v>-431</v>
      </c>
      <c r="X409" s="1648"/>
      <c r="Y409" s="1644">
        <f t="shared" si="233"/>
        <v>-431</v>
      </c>
      <c r="AA409" s="596"/>
      <c r="AB409" s="596"/>
      <c r="AI409" s="2023">
        <f>W409-'Blocking-Step2'!W409</f>
        <v>0</v>
      </c>
      <c r="AJ409" s="2054">
        <f>O409-'Blocking-Step2'!O409</f>
        <v>0</v>
      </c>
    </row>
    <row r="410" spans="1:36" hidden="1">
      <c r="A410" s="1900" t="s">
        <v>1908</v>
      </c>
      <c r="C410" s="528">
        <f>'BD-Redesign'!J29</f>
        <v>100234.93475251488</v>
      </c>
      <c r="D410" s="528">
        <f t="shared" si="229"/>
        <v>120895.77602800241</v>
      </c>
      <c r="E410" s="597"/>
      <c r="F410" s="1942"/>
      <c r="G410" s="1921"/>
      <c r="H410" s="1644"/>
      <c r="I410" s="1644"/>
      <c r="J410" s="597"/>
      <c r="K410" s="1942">
        <f t="shared" si="226"/>
        <v>0</v>
      </c>
      <c r="L410" s="1921" t="s">
        <v>495</v>
      </c>
      <c r="M410" s="1942">
        <f t="shared" si="227"/>
        <v>0</v>
      </c>
      <c r="N410" s="1921" t="s">
        <v>495</v>
      </c>
      <c r="O410" s="1942">
        <f t="shared" si="228"/>
        <v>5.3097000000000003</v>
      </c>
      <c r="P410" s="1921" t="s">
        <v>495</v>
      </c>
      <c r="Q410" s="1942">
        <f t="shared" si="228"/>
        <v>5.3097000000000003</v>
      </c>
      <c r="R410" s="1921" t="s">
        <v>495</v>
      </c>
      <c r="S410" s="1644">
        <f t="shared" si="230"/>
        <v>0</v>
      </c>
      <c r="T410" s="1648"/>
      <c r="U410" s="1644">
        <f t="shared" si="231"/>
        <v>0</v>
      </c>
      <c r="V410" s="1648"/>
      <c r="W410" s="1644">
        <f t="shared" si="232"/>
        <v>6419</v>
      </c>
      <c r="X410" s="1648"/>
      <c r="Y410" s="1644">
        <f t="shared" si="233"/>
        <v>6419</v>
      </c>
      <c r="AA410" s="596"/>
      <c r="AB410" s="596"/>
      <c r="AI410" s="2023">
        <f>W410-'Blocking-Step2'!W410</f>
        <v>0</v>
      </c>
      <c r="AJ410" s="2054">
        <f>O410-'Blocking-Step2'!O410</f>
        <v>0</v>
      </c>
    </row>
    <row r="411" spans="1:36" hidden="1">
      <c r="A411" s="1900" t="s">
        <v>1909</v>
      </c>
      <c r="C411" s="528">
        <f>'BD-Redesign'!J30</f>
        <v>80254.565247485123</v>
      </c>
      <c r="D411" s="528">
        <f t="shared" si="229"/>
        <v>96796.969732563564</v>
      </c>
      <c r="E411" s="597"/>
      <c r="F411" s="1942"/>
      <c r="G411" s="1921"/>
      <c r="H411" s="1644"/>
      <c r="I411" s="1644"/>
      <c r="J411" s="597"/>
      <c r="K411" s="1942">
        <f t="shared" si="226"/>
        <v>0</v>
      </c>
      <c r="L411" s="1921" t="s">
        <v>495</v>
      </c>
      <c r="M411" s="1942">
        <f t="shared" si="227"/>
        <v>0</v>
      </c>
      <c r="N411" s="1921" t="s">
        <v>495</v>
      </c>
      <c r="O411" s="1942">
        <f t="shared" si="228"/>
        <v>-2.0670999999999999</v>
      </c>
      <c r="P411" s="1921" t="s">
        <v>495</v>
      </c>
      <c r="Q411" s="1942">
        <f t="shared" si="228"/>
        <v>-2.0670999999999999</v>
      </c>
      <c r="R411" s="1921" t="s">
        <v>495</v>
      </c>
      <c r="S411" s="1644">
        <f t="shared" si="230"/>
        <v>0</v>
      </c>
      <c r="T411" s="1648"/>
      <c r="U411" s="1644">
        <f t="shared" si="231"/>
        <v>0</v>
      </c>
      <c r="V411" s="1648"/>
      <c r="W411" s="1644">
        <f t="shared" si="232"/>
        <v>-2001</v>
      </c>
      <c r="X411" s="1648"/>
      <c r="Y411" s="1644">
        <f t="shared" si="233"/>
        <v>-2001</v>
      </c>
      <c r="AA411" s="596"/>
      <c r="AB411" s="596"/>
      <c r="AI411" s="2023">
        <f>W411-'Blocking-Step2'!W411</f>
        <v>0</v>
      </c>
      <c r="AJ411" s="2054">
        <f>O411-'Blocking-Step2'!O411</f>
        <v>0</v>
      </c>
    </row>
    <row r="412" spans="1:36" hidden="1">
      <c r="A412" s="1900" t="s">
        <v>261</v>
      </c>
      <c r="C412" s="528">
        <f>'BD-Redesign'!J31</f>
        <v>0</v>
      </c>
      <c r="D412" s="528">
        <f t="shared" si="229"/>
        <v>0</v>
      </c>
      <c r="F412" s="1901"/>
      <c r="G412" s="1902"/>
      <c r="H412" s="1644"/>
      <c r="I412" s="1644"/>
      <c r="K412" s="1901">
        <f t="shared" si="226"/>
        <v>-0.61</v>
      </c>
      <c r="L412" s="1902"/>
      <c r="M412" s="1901">
        <f t="shared" si="227"/>
        <v>0</v>
      </c>
      <c r="N412" s="1902"/>
      <c r="O412" s="1901">
        <f t="shared" si="228"/>
        <v>0</v>
      </c>
      <c r="P412" s="1902"/>
      <c r="Q412" s="1901">
        <f t="shared" si="228"/>
        <v>-0.61</v>
      </c>
      <c r="R412" s="1902"/>
      <c r="S412" s="1644">
        <f>ROUND($D412*K412,0)</f>
        <v>0</v>
      </c>
      <c r="T412" s="1643"/>
      <c r="U412" s="1644">
        <f>ROUND($D412*M412,0)</f>
        <v>0</v>
      </c>
      <c r="V412" s="1643"/>
      <c r="W412" s="1644">
        <f>ROUND($D412*O412,0)</f>
        <v>0</v>
      </c>
      <c r="X412" s="1643"/>
      <c r="Y412" s="1644">
        <f>ROUND($D412*Q412,0)</f>
        <v>0</v>
      </c>
      <c r="AA412" s="596"/>
      <c r="AB412" s="596"/>
      <c r="AI412" s="2023">
        <f>W412-'Blocking-Step2'!W412</f>
        <v>0</v>
      </c>
      <c r="AJ412" s="2054">
        <f>O412-'Blocking-Step2'!O412</f>
        <v>0</v>
      </c>
    </row>
    <row r="413" spans="1:36" hidden="1">
      <c r="A413" s="1116" t="s">
        <v>1158</v>
      </c>
      <c r="C413" s="528">
        <f>'BD-Redesign'!J32</f>
        <v>0</v>
      </c>
      <c r="D413" s="528">
        <f t="shared" si="229"/>
        <v>0</v>
      </c>
      <c r="F413" s="1943"/>
      <c r="G413" s="1921"/>
      <c r="H413" s="1644"/>
      <c r="I413" s="1644"/>
      <c r="K413" s="1943">
        <f t="shared" si="226"/>
        <v>0</v>
      </c>
      <c r="L413" s="1921" t="s">
        <v>495</v>
      </c>
      <c r="M413" s="1943">
        <f t="shared" si="227"/>
        <v>7.125</v>
      </c>
      <c r="N413" s="1921" t="s">
        <v>495</v>
      </c>
      <c r="O413" s="1943">
        <f t="shared" si="228"/>
        <v>0</v>
      </c>
      <c r="P413" s="1921" t="s">
        <v>495</v>
      </c>
      <c r="Q413" s="1943">
        <f t="shared" si="228"/>
        <v>7.125</v>
      </c>
      <c r="R413" s="1921" t="s">
        <v>495</v>
      </c>
      <c r="S413" s="1644">
        <f>ROUND($D413*K413/100,0)</f>
        <v>0</v>
      </c>
      <c r="T413" s="1648"/>
      <c r="U413" s="1644">
        <f>ROUND($D413*M413/100,0)</f>
        <v>0</v>
      </c>
      <c r="V413" s="1648"/>
      <c r="W413" s="1644">
        <f>ROUND($D413*O413/100,0)</f>
        <v>0</v>
      </c>
      <c r="X413" s="1648"/>
      <c r="Y413" s="1644">
        <f>ROUND($D413*Q413/100,0)</f>
        <v>0</v>
      </c>
      <c r="AA413" s="1109"/>
      <c r="AB413" s="1114"/>
      <c r="AI413" s="2023">
        <f>W413-'Blocking-Step2'!W413</f>
        <v>0</v>
      </c>
      <c r="AJ413" s="2054">
        <f>O413-'Blocking-Step2'!O413</f>
        <v>0</v>
      </c>
    </row>
    <row r="414" spans="1:36" hidden="1">
      <c r="A414" s="1900" t="s">
        <v>1240</v>
      </c>
      <c r="C414" s="584"/>
      <c r="D414" s="584"/>
      <c r="F414" s="1930"/>
      <c r="G414" s="597"/>
      <c r="H414" s="1644"/>
      <c r="I414" s="1644"/>
      <c r="K414" s="1930"/>
      <c r="L414" s="597"/>
      <c r="M414" s="1930"/>
      <c r="N414" s="597"/>
      <c r="O414" s="1931" t="str">
        <f>$O$43</f>
        <v>Tax Year 1 (1/1/2021)</v>
      </c>
      <c r="P414" s="597"/>
      <c r="Q414" s="1930">
        <f>$Q$979</f>
        <v>-1.6899999999999998E-2</v>
      </c>
      <c r="R414" s="597"/>
      <c r="S414" s="1645"/>
      <c r="T414" s="1645"/>
      <c r="U414" s="1645"/>
      <c r="V414" s="1645"/>
      <c r="W414" s="1645"/>
      <c r="X414" s="1645"/>
      <c r="Y414" s="1644">
        <f>Q414*SUM(Y404:Y407,Y413)</f>
        <v>-315.08359999999999</v>
      </c>
      <c r="AI414" s="2023">
        <f>W414-'Blocking-Step2'!W414</f>
        <v>0</v>
      </c>
      <c r="AJ414" s="2054">
        <f>O414-'Blocking-Step2'!O414</f>
        <v>0</v>
      </c>
    </row>
    <row r="415" spans="1:36" hidden="1">
      <c r="A415" s="1900"/>
      <c r="C415" s="584"/>
      <c r="D415" s="584"/>
      <c r="F415" s="1930"/>
      <c r="G415" s="597"/>
      <c r="H415" s="1644"/>
      <c r="I415" s="1644"/>
      <c r="K415" s="1930"/>
      <c r="L415" s="597"/>
      <c r="M415" s="1930"/>
      <c r="N415" s="597"/>
      <c r="O415" s="1931">
        <f>$O$44</f>
        <v>0</v>
      </c>
      <c r="P415" s="597"/>
      <c r="Q415" s="1930">
        <f>$Q$980</f>
        <v>0</v>
      </c>
      <c r="R415" s="597"/>
      <c r="S415" s="1645"/>
      <c r="T415" s="1645"/>
      <c r="U415" s="1645"/>
      <c r="V415" s="1645"/>
      <c r="W415" s="1645"/>
      <c r="X415" s="1645"/>
      <c r="Y415" s="1644">
        <f>Q415*SUM(Y404:Y407,Y413)</f>
        <v>0</v>
      </c>
      <c r="AI415" s="2023">
        <f>W415-'Blocking-Step2'!W415</f>
        <v>0</v>
      </c>
      <c r="AJ415" s="2054">
        <f>O415-'Blocking-Step2'!O415</f>
        <v>0</v>
      </c>
    </row>
    <row r="416" spans="1:36" hidden="1">
      <c r="A416" s="1900" t="s">
        <v>1923</v>
      </c>
      <c r="C416" s="528">
        <f>SUM(C408:C411,C413)</f>
        <v>214889.5</v>
      </c>
      <c r="D416" s="528">
        <f>D434</f>
        <v>259183.41670908913</v>
      </c>
      <c r="F416" s="1901"/>
      <c r="G416" s="1902"/>
      <c r="H416" s="1644"/>
      <c r="I416" s="1644"/>
      <c r="K416" s="1901"/>
      <c r="L416" s="1902"/>
      <c r="M416" s="1901"/>
      <c r="N416" s="1902"/>
      <c r="O416" s="1901"/>
      <c r="P416" s="1902"/>
      <c r="Q416" s="1901"/>
      <c r="R416" s="1902"/>
      <c r="S416" s="1644">
        <f>SUM(S403:S413)</f>
        <v>12636</v>
      </c>
      <c r="T416" s="1643"/>
      <c r="U416" s="1644">
        <f>SUM(U403:U413)</f>
        <v>5402</v>
      </c>
      <c r="V416" s="1643"/>
      <c r="W416" s="1644">
        <f>SUM(W403:W413)</f>
        <v>8530</v>
      </c>
      <c r="X416" s="1643"/>
      <c r="Y416" s="1644">
        <f>SUM(Y403:Y413)</f>
        <v>26568</v>
      </c>
      <c r="AA416" s="1109" t="s">
        <v>1743</v>
      </c>
      <c r="AB416" s="1499">
        <f>Y416/Y434-1</f>
        <v>-0.29102844638949676</v>
      </c>
      <c r="AI416" s="2023">
        <f>W416-'Blocking-Step2'!W416</f>
        <v>0</v>
      </c>
      <c r="AJ416" s="2054">
        <f>O416-'Blocking-Step2'!O416</f>
        <v>0</v>
      </c>
    </row>
    <row r="417" spans="1:36" hidden="1">
      <c r="A417" s="1900"/>
      <c r="C417" s="528"/>
      <c r="D417" s="528"/>
      <c r="F417" s="1901"/>
      <c r="G417" s="1902"/>
      <c r="H417" s="1644"/>
      <c r="I417" s="1644"/>
      <c r="K417" s="1901"/>
      <c r="L417" s="1902"/>
      <c r="M417" s="1901"/>
      <c r="N417" s="1902"/>
      <c r="O417" s="1901"/>
      <c r="P417" s="1902"/>
      <c r="Q417" s="1901"/>
      <c r="R417" s="1902"/>
      <c r="S417" s="1643"/>
      <c r="T417" s="1643"/>
      <c r="U417" s="1643"/>
      <c r="V417" s="1643"/>
      <c r="W417" s="1643"/>
      <c r="X417" s="1643"/>
      <c r="Y417" s="1644"/>
      <c r="AA417" s="1109"/>
      <c r="AB417" s="1114"/>
      <c r="AI417" s="2023">
        <f>W417-'Blocking-Step2'!W417</f>
        <v>0</v>
      </c>
      <c r="AJ417" s="2054">
        <f>O417-'Blocking-Step2'!O417</f>
        <v>0</v>
      </c>
    </row>
    <row r="418" spans="1:36" hidden="1">
      <c r="A418" s="1900" t="s">
        <v>240</v>
      </c>
      <c r="C418" s="528">
        <f>C403</f>
        <v>37.433333333333337</v>
      </c>
      <c r="D418" s="528">
        <f>C418*D804/C804</f>
        <v>48.191644746146238</v>
      </c>
      <c r="F418" s="1944">
        <f>F384</f>
        <v>54</v>
      </c>
      <c r="G418" s="597"/>
      <c r="H418" s="1644">
        <f t="shared" ref="H418:I420" si="234">ROUND($F418*C418,0)</f>
        <v>2021</v>
      </c>
      <c r="I418" s="1644">
        <f t="shared" si="234"/>
        <v>2602</v>
      </c>
      <c r="K418" s="1944">
        <f t="shared" ref="K418:K425" si="235">K384</f>
        <v>53</v>
      </c>
      <c r="L418" s="597"/>
      <c r="M418" s="1944">
        <f t="shared" ref="M418:M425" si="236">M384</f>
        <v>0</v>
      </c>
      <c r="N418" s="597"/>
      <c r="O418" s="1944">
        <f t="shared" ref="O418:O425" si="237">O384</f>
        <v>0</v>
      </c>
      <c r="P418" s="597"/>
      <c r="Q418" s="1944">
        <f t="shared" ref="Q418:Q425" si="238">Q384</f>
        <v>53</v>
      </c>
      <c r="R418" s="597"/>
      <c r="S418" s="1644">
        <f>ROUND($D418*K418,0)</f>
        <v>2554</v>
      </c>
      <c r="T418" s="1643"/>
      <c r="U418" s="1644">
        <f>ROUND($D418*M418,0)</f>
        <v>0</v>
      </c>
      <c r="V418" s="1643"/>
      <c r="W418" s="1644">
        <f>ROUND($D418*O418,0)</f>
        <v>0</v>
      </c>
      <c r="X418" s="1643"/>
      <c r="Y418" s="1644">
        <f>ROUND($D418*Q418,0)</f>
        <v>2554</v>
      </c>
      <c r="AI418" s="2023">
        <f>W418-'Blocking-Step2'!W418</f>
        <v>0</v>
      </c>
      <c r="AJ418" s="2054">
        <f>O418-'Blocking-Step2'!O418</f>
        <v>0</v>
      </c>
    </row>
    <row r="419" spans="1:36" hidden="1">
      <c r="A419" s="1900" t="s">
        <v>262</v>
      </c>
      <c r="C419" s="584">
        <v>0</v>
      </c>
      <c r="D419" s="528">
        <v>0</v>
      </c>
      <c r="F419" s="1944">
        <f>F385</f>
        <v>648</v>
      </c>
      <c r="G419" s="597"/>
      <c r="H419" s="1644">
        <f t="shared" si="234"/>
        <v>0</v>
      </c>
      <c r="I419" s="1644">
        <f t="shared" si="234"/>
        <v>0</v>
      </c>
      <c r="K419" s="1944">
        <f t="shared" si="235"/>
        <v>636</v>
      </c>
      <c r="L419" s="597"/>
      <c r="M419" s="1944">
        <f t="shared" si="236"/>
        <v>0</v>
      </c>
      <c r="N419" s="597"/>
      <c r="O419" s="1944">
        <f t="shared" si="237"/>
        <v>0</v>
      </c>
      <c r="P419" s="597"/>
      <c r="Q419" s="1944">
        <f t="shared" si="238"/>
        <v>636</v>
      </c>
      <c r="R419" s="597"/>
      <c r="S419" s="1644">
        <f t="shared" ref="S419:S423" si="239">ROUND($D419*K419,0)</f>
        <v>0</v>
      </c>
      <c r="T419" s="1643"/>
      <c r="U419" s="1644">
        <f t="shared" ref="U419:U423" si="240">ROUND($D419*M419,0)</f>
        <v>0</v>
      </c>
      <c r="V419" s="1643"/>
      <c r="W419" s="1644">
        <f t="shared" ref="W419:W423" si="241">ROUND($D419*O419,0)</f>
        <v>0</v>
      </c>
      <c r="X419" s="1643"/>
      <c r="Y419" s="1644">
        <f t="shared" ref="Y419:Y423" si="242">ROUND($D419*Q419,0)</f>
        <v>0</v>
      </c>
      <c r="AI419" s="2023">
        <f>W419-'Blocking-Step2'!W419</f>
        <v>0</v>
      </c>
      <c r="AJ419" s="2054">
        <f>O419-'Blocking-Step2'!O419</f>
        <v>0</v>
      </c>
    </row>
    <row r="420" spans="1:36" hidden="1">
      <c r="A420" s="1900" t="s">
        <v>1298</v>
      </c>
      <c r="C420" s="528">
        <v>0</v>
      </c>
      <c r="D420" s="528">
        <v>0</v>
      </c>
      <c r="F420" s="1944">
        <f>F386</f>
        <v>54</v>
      </c>
      <c r="G420" s="597"/>
      <c r="H420" s="1644">
        <f t="shared" si="234"/>
        <v>0</v>
      </c>
      <c r="I420" s="1644">
        <f t="shared" si="234"/>
        <v>0</v>
      </c>
      <c r="K420" s="1944">
        <f t="shared" si="235"/>
        <v>53</v>
      </c>
      <c r="L420" s="597"/>
      <c r="M420" s="1944">
        <f t="shared" si="236"/>
        <v>0</v>
      </c>
      <c r="N420" s="597"/>
      <c r="O420" s="1944">
        <f t="shared" si="237"/>
        <v>0</v>
      </c>
      <c r="P420" s="597"/>
      <c r="Q420" s="1944">
        <f t="shared" si="238"/>
        <v>53</v>
      </c>
      <c r="R420" s="597"/>
      <c r="S420" s="1644">
        <f t="shared" si="239"/>
        <v>0</v>
      </c>
      <c r="T420" s="1645"/>
      <c r="U420" s="1644">
        <f t="shared" si="240"/>
        <v>0</v>
      </c>
      <c r="V420" s="1645"/>
      <c r="W420" s="1644">
        <f t="shared" si="241"/>
        <v>0</v>
      </c>
      <c r="X420" s="1645"/>
      <c r="Y420" s="1644">
        <f t="shared" si="242"/>
        <v>0</v>
      </c>
      <c r="AI420" s="2023">
        <f>W420-'Blocking-Step2'!W420</f>
        <v>0</v>
      </c>
      <c r="AJ420" s="2054">
        <f>O420-'Blocking-Step2'!O420</f>
        <v>0</v>
      </c>
    </row>
    <row r="421" spans="1:36" hidden="1">
      <c r="A421" s="1900" t="s">
        <v>168</v>
      </c>
      <c r="C421" s="528">
        <f>'BD-Redesign'!J55</f>
        <v>1329.6670792079208</v>
      </c>
      <c r="D421" s="528">
        <f>ROUND(C421/$C$434*$D$434,0)</f>
        <v>1604</v>
      </c>
      <c r="F421" s="1944">
        <f>F387</f>
        <v>4.04</v>
      </c>
      <c r="G421" s="597"/>
      <c r="H421" s="1644">
        <f>ROUND($F421*C421,0)</f>
        <v>5372</v>
      </c>
      <c r="I421" s="1644">
        <f>ROUND($F421*D421,0)</f>
        <v>6480</v>
      </c>
      <c r="K421" s="1944">
        <f t="shared" si="235"/>
        <v>3.98</v>
      </c>
      <c r="L421" s="597"/>
      <c r="M421" s="1944">
        <f t="shared" si="236"/>
        <v>0</v>
      </c>
      <c r="N421" s="597"/>
      <c r="O421" s="1944">
        <f t="shared" si="237"/>
        <v>0</v>
      </c>
      <c r="P421" s="597"/>
      <c r="Q421" s="1944">
        <f t="shared" si="238"/>
        <v>3.98</v>
      </c>
      <c r="R421" s="597"/>
      <c r="S421" s="1644">
        <f t="shared" si="239"/>
        <v>6384</v>
      </c>
      <c r="T421" s="1643"/>
      <c r="U421" s="1644">
        <f t="shared" si="240"/>
        <v>0</v>
      </c>
      <c r="V421" s="1643"/>
      <c r="W421" s="1644">
        <f t="shared" si="241"/>
        <v>0</v>
      </c>
      <c r="X421" s="1643"/>
      <c r="Y421" s="1644">
        <f t="shared" si="242"/>
        <v>6384</v>
      </c>
      <c r="AI421" s="2023">
        <f>W421-'Blocking-Step2'!W421</f>
        <v>0</v>
      </c>
      <c r="AJ421" s="2054">
        <f>O421-'Blocking-Step2'!O421</f>
        <v>0</v>
      </c>
    </row>
    <row r="422" spans="1:36" hidden="1">
      <c r="A422" s="1900" t="s">
        <v>1645</v>
      </c>
      <c r="C422" s="528">
        <f>'BD-Redesign'!J56</f>
        <v>371</v>
      </c>
      <c r="D422" s="528">
        <f t="shared" ref="D422:D423" si="243">ROUND(C422/$C$434*$D$434,0)</f>
        <v>447</v>
      </c>
      <c r="F422" s="1944"/>
      <c r="G422" s="597"/>
      <c r="H422" s="1644"/>
      <c r="I422" s="1644"/>
      <c r="K422" s="1944">
        <f t="shared" si="235"/>
        <v>6.22</v>
      </c>
      <c r="L422" s="597"/>
      <c r="M422" s="1944">
        <f t="shared" si="236"/>
        <v>7.0100000000000007</v>
      </c>
      <c r="N422" s="597"/>
      <c r="O422" s="1944">
        <f t="shared" si="237"/>
        <v>0</v>
      </c>
      <c r="P422" s="597"/>
      <c r="Q422" s="1944">
        <f t="shared" si="238"/>
        <v>13.23</v>
      </c>
      <c r="R422" s="597"/>
      <c r="S422" s="1644">
        <f t="shared" si="239"/>
        <v>2780</v>
      </c>
      <c r="T422" s="1645"/>
      <c r="U422" s="1644">
        <f t="shared" si="240"/>
        <v>3133</v>
      </c>
      <c r="V422" s="1645"/>
      <c r="W422" s="1644">
        <f t="shared" si="241"/>
        <v>0</v>
      </c>
      <c r="X422" s="1645"/>
      <c r="Y422" s="1644">
        <f t="shared" si="242"/>
        <v>5914</v>
      </c>
      <c r="AI422" s="2023">
        <f>W422-'Blocking-Step2'!W422</f>
        <v>0</v>
      </c>
      <c r="AJ422" s="2054">
        <f>O422-'Blocking-Step2'!O422</f>
        <v>0</v>
      </c>
    </row>
    <row r="423" spans="1:36" hidden="1">
      <c r="A423" s="1900" t="s">
        <v>1646</v>
      </c>
      <c r="C423" s="528">
        <f>'BD-Redesign'!J57</f>
        <v>958.66707920792078</v>
      </c>
      <c r="D423" s="528">
        <f t="shared" si="243"/>
        <v>1156</v>
      </c>
      <c r="F423" s="1944"/>
      <c r="G423" s="597"/>
      <c r="H423" s="1644"/>
      <c r="I423" s="1644"/>
      <c r="K423" s="1944">
        <f t="shared" si="235"/>
        <v>5.5</v>
      </c>
      <c r="L423" s="597"/>
      <c r="M423" s="1944">
        <f t="shared" si="236"/>
        <v>6.2100000000000009</v>
      </c>
      <c r="N423" s="597"/>
      <c r="O423" s="1944">
        <f t="shared" si="237"/>
        <v>0</v>
      </c>
      <c r="P423" s="597"/>
      <c r="Q423" s="1944">
        <f t="shared" si="238"/>
        <v>11.71</v>
      </c>
      <c r="R423" s="597"/>
      <c r="S423" s="1644">
        <f t="shared" si="239"/>
        <v>6358</v>
      </c>
      <c r="T423" s="1645"/>
      <c r="U423" s="1644">
        <f t="shared" si="240"/>
        <v>7179</v>
      </c>
      <c r="V423" s="1645"/>
      <c r="W423" s="1644">
        <f t="shared" si="241"/>
        <v>0</v>
      </c>
      <c r="X423" s="1645"/>
      <c r="Y423" s="1644">
        <f t="shared" si="242"/>
        <v>13537</v>
      </c>
      <c r="AI423" s="2023">
        <f>W423-'Blocking-Step2'!W423</f>
        <v>0</v>
      </c>
      <c r="AJ423" s="2054">
        <f>O423-'Blocking-Step2'!O423</f>
        <v>0</v>
      </c>
    </row>
    <row r="424" spans="1:36" hidden="1">
      <c r="A424" s="1900" t="s">
        <v>1647</v>
      </c>
      <c r="C424" s="528">
        <f>'BD-Redesign'!J59</f>
        <v>34400</v>
      </c>
      <c r="D424" s="528">
        <f>D434-D425</f>
        <v>41490.416709089128</v>
      </c>
      <c r="F424" s="1943"/>
      <c r="G424" s="1921"/>
      <c r="H424" s="1644"/>
      <c r="I424" s="1644"/>
      <c r="K424" s="1943">
        <f t="shared" si="235"/>
        <v>0</v>
      </c>
      <c r="L424" s="1921" t="s">
        <v>495</v>
      </c>
      <c r="M424" s="1943">
        <f t="shared" si="236"/>
        <v>1.5747172373309999</v>
      </c>
      <c r="N424" s="1921" t="s">
        <v>495</v>
      </c>
      <c r="O424" s="1943">
        <f t="shared" si="237"/>
        <v>2.305570240802</v>
      </c>
      <c r="P424" s="1921" t="s">
        <v>495</v>
      </c>
      <c r="Q424" s="1943">
        <f t="shared" si="238"/>
        <v>3.8802874781329999</v>
      </c>
      <c r="R424" s="1921" t="s">
        <v>495</v>
      </c>
      <c r="S424" s="1644">
        <f>ROUND($D424*K424/100,0)</f>
        <v>0</v>
      </c>
      <c r="T424" s="1648"/>
      <c r="U424" s="1644">
        <f>ROUND($D424*M424/100,0)</f>
        <v>653</v>
      </c>
      <c r="V424" s="1648"/>
      <c r="W424" s="1644">
        <f>ROUND($D424*O424/100,0)</f>
        <v>957</v>
      </c>
      <c r="X424" s="1648"/>
      <c r="Y424" s="1644">
        <f>ROUND($D424*Q424/100,0)</f>
        <v>1610</v>
      </c>
      <c r="AI424" s="2023">
        <f>W424-'Blocking-Step2'!W424</f>
        <v>0</v>
      </c>
      <c r="AJ424" s="2054">
        <f>O424-'Blocking-Step2'!O424</f>
        <v>0</v>
      </c>
    </row>
    <row r="425" spans="1:36" hidden="1">
      <c r="A425" s="1900" t="s">
        <v>1648</v>
      </c>
      <c r="C425" s="528">
        <f>'BD-Redesign'!J60</f>
        <v>180489.5</v>
      </c>
      <c r="D425" s="528">
        <f>ROUND(C425/C434*D434,0)</f>
        <v>217693</v>
      </c>
      <c r="F425" s="1943"/>
      <c r="G425" s="1921"/>
      <c r="H425" s="1644"/>
      <c r="I425" s="1644"/>
      <c r="K425" s="1943">
        <f t="shared" si="235"/>
        <v>0</v>
      </c>
      <c r="L425" s="1921" t="s">
        <v>495</v>
      </c>
      <c r="M425" s="1943">
        <f t="shared" si="236"/>
        <v>1.3935347233019999</v>
      </c>
      <c r="N425" s="1921" t="s">
        <v>495</v>
      </c>
      <c r="O425" s="1943">
        <f t="shared" si="237"/>
        <v>2.0403480007099999</v>
      </c>
      <c r="P425" s="1921" t="s">
        <v>495</v>
      </c>
      <c r="Q425" s="1943">
        <f t="shared" si="238"/>
        <v>3.4338827240119998</v>
      </c>
      <c r="R425" s="1921" t="s">
        <v>495</v>
      </c>
      <c r="S425" s="1644">
        <f>ROUND($D425*K425/100,0)</f>
        <v>0</v>
      </c>
      <c r="T425" s="1648"/>
      <c r="U425" s="1644">
        <f>ROUND($D425*M425/100,0)</f>
        <v>3034</v>
      </c>
      <c r="V425" s="1648"/>
      <c r="W425" s="1644">
        <f>ROUND($D425*O425/100,0)</f>
        <v>4442</v>
      </c>
      <c r="X425" s="1648"/>
      <c r="Y425" s="1644">
        <f>ROUND($D425*Q425/100,0)</f>
        <v>7475</v>
      </c>
      <c r="AI425" s="2023">
        <f>W425-'Blocking-Step2'!W425</f>
        <v>0</v>
      </c>
      <c r="AJ425" s="2054">
        <f>O425-'Blocking-Step2'!O425</f>
        <v>0</v>
      </c>
    </row>
    <row r="426" spans="1:36" hidden="1">
      <c r="A426" s="1900" t="s">
        <v>196</v>
      </c>
      <c r="C426" s="528">
        <f>(C422+C423)*C783/(C783+C784)</f>
        <v>493.69099513980711</v>
      </c>
      <c r="D426" s="528">
        <f>ROUND(C426/C434*D434,0)</f>
        <v>595</v>
      </c>
      <c r="F426" s="1944">
        <f>F392</f>
        <v>14.62</v>
      </c>
      <c r="G426" s="597"/>
      <c r="H426" s="1644">
        <f t="shared" ref="H426:I428" si="244">ROUND($F426*C426,0)</f>
        <v>7218</v>
      </c>
      <c r="I426" s="1644">
        <f t="shared" si="244"/>
        <v>8699</v>
      </c>
      <c r="K426" s="1944"/>
      <c r="L426" s="597"/>
      <c r="M426" s="1944"/>
      <c r="N426" s="597"/>
      <c r="O426" s="1944"/>
      <c r="P426" s="597"/>
      <c r="Q426" s="1944"/>
      <c r="R426" s="597"/>
      <c r="S426" s="1644"/>
      <c r="T426" s="1643"/>
      <c r="U426" s="1644"/>
      <c r="V426" s="1643"/>
      <c r="W426" s="1644"/>
      <c r="X426" s="1643"/>
      <c r="Y426" s="1644"/>
      <c r="AI426" s="2023">
        <f>W426-'Blocking-Step2'!W426</f>
        <v>0</v>
      </c>
      <c r="AJ426" s="2054">
        <f>O426-'Blocking-Step2'!O426</f>
        <v>0</v>
      </c>
    </row>
    <row r="427" spans="1:36" hidden="1">
      <c r="A427" s="1900" t="s">
        <v>161</v>
      </c>
      <c r="C427" s="528">
        <f>C422+C423-C426</f>
        <v>835.97608406811366</v>
      </c>
      <c r="D427" s="528">
        <f>ROUND(C427/C434*D434,0)</f>
        <v>1008</v>
      </c>
      <c r="F427" s="1944">
        <f>F393</f>
        <v>10.91</v>
      </c>
      <c r="G427" s="597"/>
      <c r="H427" s="1644">
        <f t="shared" si="244"/>
        <v>9120</v>
      </c>
      <c r="I427" s="1644">
        <f t="shared" si="244"/>
        <v>10997</v>
      </c>
      <c r="K427" s="1944"/>
      <c r="L427" s="597"/>
      <c r="M427" s="1944"/>
      <c r="N427" s="597"/>
      <c r="O427" s="1944"/>
      <c r="P427" s="597"/>
      <c r="Q427" s="1944"/>
      <c r="R427" s="597"/>
      <c r="S427" s="1644"/>
      <c r="T427" s="1643"/>
      <c r="U427" s="1644"/>
      <c r="V427" s="1643"/>
      <c r="W427" s="1644"/>
      <c r="X427" s="1643"/>
      <c r="Y427" s="1644"/>
      <c r="AI427" s="2023">
        <f>W427-'Blocking-Step2'!W427</f>
        <v>0</v>
      </c>
      <c r="AJ427" s="2054">
        <f>O427-'Blocking-Step2'!O427</f>
        <v>0</v>
      </c>
    </row>
    <row r="428" spans="1:36" hidden="1">
      <c r="A428" s="1900" t="s">
        <v>261</v>
      </c>
      <c r="C428" s="528">
        <f>C412</f>
        <v>0</v>
      </c>
      <c r="D428" s="528">
        <f>D412</f>
        <v>0</v>
      </c>
      <c r="F428" s="1944">
        <f>F394</f>
        <v>-0.96</v>
      </c>
      <c r="G428" s="597"/>
      <c r="H428" s="1644">
        <f t="shared" si="244"/>
        <v>0</v>
      </c>
      <c r="I428" s="1644">
        <f t="shared" si="244"/>
        <v>0</v>
      </c>
      <c r="K428" s="1944">
        <f>K394</f>
        <v>-0.96</v>
      </c>
      <c r="L428" s="597"/>
      <c r="M428" s="1944">
        <f>M394</f>
        <v>0</v>
      </c>
      <c r="N428" s="597"/>
      <c r="O428" s="1944">
        <f>O394</f>
        <v>0</v>
      </c>
      <c r="P428" s="597"/>
      <c r="Q428" s="1944">
        <f>Q394</f>
        <v>-0.96</v>
      </c>
      <c r="R428" s="597"/>
      <c r="S428" s="1644">
        <f t="shared" ref="S428" si="245">ROUND($D428*K428,0)</f>
        <v>0</v>
      </c>
      <c r="T428" s="1643"/>
      <c r="U428" s="1644">
        <f t="shared" ref="U428" si="246">ROUND($D428*M428,0)</f>
        <v>0</v>
      </c>
      <c r="V428" s="1643"/>
      <c r="W428" s="1644">
        <f t="shared" ref="W428" si="247">ROUND($D428*O428,0)</f>
        <v>0</v>
      </c>
      <c r="X428" s="1643"/>
      <c r="Y428" s="1644">
        <f t="shared" ref="Y428" si="248">ROUND($D428*Q428,0)</f>
        <v>0</v>
      </c>
      <c r="AI428" s="2023">
        <f>W428-'Blocking-Step2'!W428</f>
        <v>0</v>
      </c>
      <c r="AJ428" s="2054">
        <f>O428-'Blocking-Step2'!O428</f>
        <v>0</v>
      </c>
    </row>
    <row r="429" spans="1:36" hidden="1">
      <c r="A429" s="1900" t="s">
        <v>1362</v>
      </c>
      <c r="C429" s="528">
        <f>(C424+C425)*C725/(C725+C726)</f>
        <v>96272.600187557677</v>
      </c>
      <c r="D429" s="528">
        <f>ROUND(C429/C434*D434,0)</f>
        <v>116117</v>
      </c>
      <c r="F429" s="1943">
        <f>F395</f>
        <v>3.8127</v>
      </c>
      <c r="G429" s="1921" t="s">
        <v>495</v>
      </c>
      <c r="H429" s="1644">
        <f>ROUND($F429*C429/100,0)</f>
        <v>3671</v>
      </c>
      <c r="I429" s="1644">
        <f>ROUND($F429*D429/100,0)</f>
        <v>4427</v>
      </c>
      <c r="K429" s="1943"/>
      <c r="L429" s="1921"/>
      <c r="M429" s="1943"/>
      <c r="N429" s="1921"/>
      <c r="O429" s="1943"/>
      <c r="P429" s="1921"/>
      <c r="Q429" s="1943"/>
      <c r="R429" s="1921"/>
      <c r="S429" s="1648"/>
      <c r="T429" s="1648"/>
      <c r="U429" s="1648"/>
      <c r="V429" s="1648"/>
      <c r="W429" s="1648"/>
      <c r="X429" s="1648"/>
      <c r="Y429" s="1644"/>
      <c r="AI429" s="2023">
        <f>W429-'Blocking-Step2'!W429</f>
        <v>0</v>
      </c>
      <c r="AJ429" s="2054">
        <f>O429-'Blocking-Step2'!O429</f>
        <v>0</v>
      </c>
    </row>
    <row r="430" spans="1:36" hidden="1">
      <c r="A430" s="1900" t="s">
        <v>1363</v>
      </c>
      <c r="C430" s="528">
        <f>C424+C425-C429</f>
        <v>118616.89981244232</v>
      </c>
      <c r="D430" s="528">
        <f>D434-D429</f>
        <v>143066.41670908913</v>
      </c>
      <c r="F430" s="1943">
        <f>F396</f>
        <v>3.5143</v>
      </c>
      <c r="G430" s="1921" t="s">
        <v>495</v>
      </c>
      <c r="H430" s="1644">
        <f>ROUND($F430*C430/100,0)</f>
        <v>4169</v>
      </c>
      <c r="I430" s="1644">
        <f>ROUND($F430*D430/100,0)</f>
        <v>5028</v>
      </c>
      <c r="K430" s="1943"/>
      <c r="L430" s="1921"/>
      <c r="M430" s="1943"/>
      <c r="N430" s="1921"/>
      <c r="O430" s="1943"/>
      <c r="P430" s="1921"/>
      <c r="Q430" s="1943"/>
      <c r="R430" s="1921"/>
      <c r="S430" s="1648"/>
      <c r="T430" s="1648"/>
      <c r="U430" s="1648"/>
      <c r="V430" s="1648"/>
      <c r="W430" s="1648"/>
      <c r="X430" s="1648"/>
      <c r="Y430" s="1644"/>
      <c r="AI430" s="2023">
        <f>W430-'Blocking-Step2'!W430</f>
        <v>0</v>
      </c>
      <c r="AJ430" s="2054">
        <f>O430-'Blocking-Step2'!O430</f>
        <v>0</v>
      </c>
    </row>
    <row r="431" spans="1:36" hidden="1">
      <c r="A431" s="1900" t="s">
        <v>246</v>
      </c>
      <c r="C431" s="529">
        <v>0</v>
      </c>
      <c r="D431" s="529">
        <v>0</v>
      </c>
      <c r="H431" s="1030">
        <v>0</v>
      </c>
      <c r="I431" s="1030">
        <v>0</v>
      </c>
      <c r="Y431" s="1030"/>
      <c r="AI431" s="2023">
        <f>W431-'Blocking-Step2'!W431</f>
        <v>0</v>
      </c>
      <c r="AJ431" s="2054">
        <f>O431-'Blocking-Step2'!O431</f>
        <v>0</v>
      </c>
    </row>
    <row r="432" spans="1:36" hidden="1">
      <c r="A432" s="1900" t="s">
        <v>1240</v>
      </c>
      <c r="C432" s="584"/>
      <c r="D432" s="584"/>
      <c r="F432" s="1930">
        <f>F398</f>
        <v>-3.61E-2</v>
      </c>
      <c r="G432" s="597"/>
      <c r="H432" s="1644">
        <f>SUM(H426:H427,H429:H430)*$F432</f>
        <v>-872.82579999999996</v>
      </c>
      <c r="I432" s="1644">
        <f>SUM(I426:I427,I429:I430)*$F432</f>
        <v>-1052.3511000000001</v>
      </c>
      <c r="K432" s="1930"/>
      <c r="L432" s="597"/>
      <c r="M432" s="1930"/>
      <c r="N432" s="597"/>
      <c r="O432" s="1931" t="str">
        <f>$O$43</f>
        <v>Tax Year 1 (1/1/2021)</v>
      </c>
      <c r="P432" s="597"/>
      <c r="Q432" s="1930">
        <f>$Q$687</f>
        <v>-1.52E-2</v>
      </c>
      <c r="R432" s="597"/>
      <c r="S432" s="1645"/>
      <c r="T432" s="1645"/>
      <c r="U432" s="1645"/>
      <c r="V432" s="1645"/>
      <c r="W432" s="1645"/>
      <c r="X432" s="1645"/>
      <c r="Y432" s="1644">
        <f>Q432*SUM(Y422:Y425)</f>
        <v>-433.74720000000002</v>
      </c>
      <c r="AI432" s="2023">
        <f>W432-'Blocking-Step2'!W432</f>
        <v>0</v>
      </c>
      <c r="AJ432" s="2054">
        <f>O432-'Blocking-Step2'!O432</f>
        <v>0</v>
      </c>
    </row>
    <row r="433" spans="1:36" hidden="1">
      <c r="A433" s="1900"/>
      <c r="C433" s="584"/>
      <c r="D433" s="584"/>
      <c r="F433" s="1930"/>
      <c r="G433" s="597"/>
      <c r="H433" s="1644"/>
      <c r="I433" s="1644"/>
      <c r="K433" s="1930"/>
      <c r="L433" s="597"/>
      <c r="M433" s="1930"/>
      <c r="N433" s="597"/>
      <c r="O433" s="1931">
        <f>$O$44</f>
        <v>0</v>
      </c>
      <c r="P433" s="597"/>
      <c r="Q433" s="1930">
        <f>$Q$688</f>
        <v>0</v>
      </c>
      <c r="R433" s="597"/>
      <c r="S433" s="1645"/>
      <c r="T433" s="1645"/>
      <c r="U433" s="1645"/>
      <c r="V433" s="1645"/>
      <c r="W433" s="1645"/>
      <c r="X433" s="1645"/>
      <c r="Y433" s="1644">
        <f>Q433*SUM(Y422:Y425)</f>
        <v>0</v>
      </c>
      <c r="AI433" s="2023">
        <f>W433-'Blocking-Step2'!W433</f>
        <v>0</v>
      </c>
      <c r="AJ433" s="2054">
        <f>O433-'Blocking-Step2'!O433</f>
        <v>0</v>
      </c>
    </row>
    <row r="434" spans="1:36" ht="16.5" hidden="1" thickBot="1">
      <c r="A434" s="1900" t="s">
        <v>247</v>
      </c>
      <c r="C434" s="1949">
        <f>SUM(C429:C431)</f>
        <v>214889.5</v>
      </c>
      <c r="D434" s="1949">
        <f>C434*D791/C791</f>
        <v>259183.41670908913</v>
      </c>
      <c r="F434" s="1939"/>
      <c r="H434" s="1647">
        <f>SUM(H418:H432)</f>
        <v>30698.174200000001</v>
      </c>
      <c r="I434" s="1647">
        <f>SUM(I418:I432)</f>
        <v>37180.6489</v>
      </c>
      <c r="K434" s="1939"/>
      <c r="M434" s="1939"/>
      <c r="O434" s="1939"/>
      <c r="Q434" s="1939"/>
      <c r="S434" s="1647">
        <f>SUM(S418:S431)</f>
        <v>18076</v>
      </c>
      <c r="U434" s="1647">
        <f>SUM(U418:U431)</f>
        <v>13999</v>
      </c>
      <c r="W434" s="1647">
        <f>SUM(W418:W431)</f>
        <v>5399</v>
      </c>
      <c r="Y434" s="1647">
        <f>SUM(Y418:Y431)</f>
        <v>37474</v>
      </c>
      <c r="AA434" s="1104" t="s">
        <v>1743</v>
      </c>
      <c r="AB434" s="1890">
        <f>Y434/I434-1</f>
        <v>7.8898865049124023E-3</v>
      </c>
      <c r="AI434" s="2023">
        <f>W434-'Blocking-Step2'!W434</f>
        <v>0</v>
      </c>
      <c r="AJ434" s="2054">
        <f>O434-'Blocking-Step2'!O434</f>
        <v>0</v>
      </c>
    </row>
    <row r="435" spans="1:36" ht="16.5" hidden="1" thickTop="1">
      <c r="AI435" s="2023">
        <f>W435-'Blocking-Step2'!W435</f>
        <v>0</v>
      </c>
      <c r="AJ435" s="2054">
        <f>O435-'Blocking-Step2'!O435</f>
        <v>0</v>
      </c>
    </row>
    <row r="436" spans="1:36" hidden="1">
      <c r="A436" s="1897" t="s">
        <v>1920</v>
      </c>
      <c r="C436" s="528"/>
      <c r="D436" s="528"/>
      <c r="AI436" s="2023">
        <f>W436-'Blocking-Step2'!W436</f>
        <v>0</v>
      </c>
      <c r="AJ436" s="2054">
        <f>O436-'Blocking-Step2'!O436</f>
        <v>0</v>
      </c>
    </row>
    <row r="437" spans="1:36" hidden="1">
      <c r="A437" s="1900" t="s">
        <v>240</v>
      </c>
      <c r="C437" s="528">
        <f>'BD-Redesign'!H22</f>
        <v>412.38333333333333</v>
      </c>
      <c r="D437" s="528">
        <f>D452</f>
        <v>520.77474317213728</v>
      </c>
      <c r="F437" s="1901"/>
      <c r="G437" s="1902"/>
      <c r="H437" s="1644"/>
      <c r="I437" s="1644"/>
      <c r="K437" s="1901">
        <f t="shared" ref="K437:K447" si="249">K369</f>
        <v>53</v>
      </c>
      <c r="L437" s="1902"/>
      <c r="M437" s="1901">
        <f t="shared" ref="M437:M447" si="250">M369</f>
        <v>0</v>
      </c>
      <c r="N437" s="1902"/>
      <c r="O437" s="1901">
        <f t="shared" ref="O437:O447" si="251">O369</f>
        <v>0</v>
      </c>
      <c r="P437" s="1902"/>
      <c r="Q437" s="1901">
        <f t="shared" ref="Q437:Q447" si="252">Q369</f>
        <v>53</v>
      </c>
      <c r="R437" s="1902"/>
      <c r="S437" s="1644">
        <f>ROUND($D437*K437,0)</f>
        <v>27601</v>
      </c>
      <c r="T437" s="1643"/>
      <c r="U437" s="1644">
        <f>ROUND($D437*M437,0)</f>
        <v>0</v>
      </c>
      <c r="V437" s="1643"/>
      <c r="W437" s="1644">
        <f>ROUND($D437*O437,0)</f>
        <v>0</v>
      </c>
      <c r="X437" s="1643"/>
      <c r="Y437" s="1644">
        <f>ROUND($D437*Q437,0)</f>
        <v>27601</v>
      </c>
      <c r="AA437" s="1109"/>
      <c r="AB437" s="1114"/>
      <c r="AI437" s="2023">
        <f>W437-'Blocking-Step2'!W437</f>
        <v>0</v>
      </c>
      <c r="AJ437" s="2054">
        <f>O437-'Blocking-Step2'!O437</f>
        <v>0</v>
      </c>
    </row>
    <row r="438" spans="1:36" hidden="1">
      <c r="A438" s="1900" t="s">
        <v>1910</v>
      </c>
      <c r="C438" s="528">
        <f>'BD-Redesign'!H23</f>
        <v>471759</v>
      </c>
      <c r="D438" s="528">
        <f>C438/$C$416*$D$416</f>
        <v>568999.92546524224</v>
      </c>
      <c r="E438" s="597"/>
      <c r="F438" s="1942"/>
      <c r="G438" s="1921"/>
      <c r="H438" s="1644"/>
      <c r="I438" s="1644"/>
      <c r="J438" s="597"/>
      <c r="K438" s="1942">
        <f t="shared" si="249"/>
        <v>3.89</v>
      </c>
      <c r="L438" s="1921" t="s">
        <v>495</v>
      </c>
      <c r="M438" s="1942">
        <f t="shared" si="250"/>
        <v>17.137528114911813</v>
      </c>
      <c r="N438" s="1921" t="s">
        <v>495</v>
      </c>
      <c r="O438" s="1942">
        <f t="shared" si="251"/>
        <v>1.3496999999999999</v>
      </c>
      <c r="P438" s="1921" t="s">
        <v>495</v>
      </c>
      <c r="Q438" s="1942">
        <f t="shared" si="252"/>
        <v>22.377228114911812</v>
      </c>
      <c r="R438" s="1921" t="s">
        <v>495</v>
      </c>
      <c r="S438" s="1644">
        <f>ROUND($D438*K438/100,0)</f>
        <v>22134</v>
      </c>
      <c r="T438" s="1648"/>
      <c r="U438" s="1644">
        <f>ROUND($D438*M438/100,0)</f>
        <v>97513</v>
      </c>
      <c r="V438" s="1648"/>
      <c r="W438" s="1644">
        <f>ROUND($D438*O438/100,0)</f>
        <v>7680</v>
      </c>
      <c r="X438" s="1648"/>
      <c r="Y438" s="1644">
        <f>ROUND($D438*Q438/100,0)</f>
        <v>127326</v>
      </c>
      <c r="AA438" s="596"/>
      <c r="AB438" s="596"/>
      <c r="AI438" s="2023">
        <f>W438-'Blocking-Step2'!W438</f>
        <v>0</v>
      </c>
      <c r="AJ438" s="2054">
        <f>O438-'Blocking-Step2'!O438</f>
        <v>0</v>
      </c>
    </row>
    <row r="439" spans="1:36" hidden="1">
      <c r="A439" s="1900" t="s">
        <v>1911</v>
      </c>
      <c r="C439" s="528">
        <f>'BD-Redesign'!H24</f>
        <v>1131389</v>
      </c>
      <c r="D439" s="528">
        <f t="shared" ref="D439:D447" si="253">C439/$C$416*$D$416</f>
        <v>1364595.6021447284</v>
      </c>
      <c r="E439" s="597"/>
      <c r="F439" s="1942"/>
      <c r="G439" s="1921"/>
      <c r="H439" s="1644"/>
      <c r="I439" s="1644"/>
      <c r="J439" s="597"/>
      <c r="K439" s="1942">
        <f t="shared" si="249"/>
        <v>3.89</v>
      </c>
      <c r="L439" s="1921" t="s">
        <v>495</v>
      </c>
      <c r="M439" s="1942">
        <f t="shared" si="250"/>
        <v>-1.0877975226579997</v>
      </c>
      <c r="N439" s="1921" t="s">
        <v>495</v>
      </c>
      <c r="O439" s="1942">
        <f t="shared" si="251"/>
        <v>1.3496999999999999</v>
      </c>
      <c r="P439" s="1921" t="s">
        <v>495</v>
      </c>
      <c r="Q439" s="1942">
        <f t="shared" si="252"/>
        <v>4.1519024773420004</v>
      </c>
      <c r="R439" s="1921" t="s">
        <v>495</v>
      </c>
      <c r="S439" s="1644">
        <f t="shared" ref="S439:S445" si="254">ROUND($D439*K439/100,0)</f>
        <v>53083</v>
      </c>
      <c r="T439" s="1648"/>
      <c r="U439" s="1644">
        <f t="shared" ref="U439:U445" si="255">ROUND($D439*M439/100,0)</f>
        <v>-14844</v>
      </c>
      <c r="V439" s="1648"/>
      <c r="W439" s="1644">
        <f t="shared" ref="W439:W445" si="256">ROUND($D439*O439/100,0)</f>
        <v>18418</v>
      </c>
      <c r="X439" s="1648"/>
      <c r="Y439" s="1644">
        <f t="shared" ref="Y439:Y445" si="257">ROUND($D439*Q439/100,0)</f>
        <v>56657</v>
      </c>
      <c r="AA439" s="596"/>
      <c r="AB439" s="596"/>
      <c r="AI439" s="2023">
        <f>W439-'Blocking-Step2'!W439</f>
        <v>0</v>
      </c>
      <c r="AJ439" s="2054">
        <f>O439-'Blocking-Step2'!O439</f>
        <v>0</v>
      </c>
    </row>
    <row r="440" spans="1:36" hidden="1">
      <c r="A440" s="1900" t="s">
        <v>1912</v>
      </c>
      <c r="C440" s="528">
        <f>'BD-Redesign'!H25</f>
        <v>798767.5</v>
      </c>
      <c r="D440" s="528">
        <f t="shared" si="253"/>
        <v>963412.77636262984</v>
      </c>
      <c r="E440" s="597"/>
      <c r="F440" s="1942"/>
      <c r="G440" s="1921"/>
      <c r="H440" s="1644"/>
      <c r="I440" s="1644"/>
      <c r="J440" s="597"/>
      <c r="K440" s="1942">
        <f t="shared" si="249"/>
        <v>3.89</v>
      </c>
      <c r="L440" s="1921" t="s">
        <v>495</v>
      </c>
      <c r="M440" s="1942">
        <f t="shared" si="250"/>
        <v>14.718500000000001</v>
      </c>
      <c r="N440" s="1921" t="s">
        <v>495</v>
      </c>
      <c r="O440" s="1942">
        <f t="shared" si="251"/>
        <v>1.1943999999999999</v>
      </c>
      <c r="P440" s="1921" t="s">
        <v>495</v>
      </c>
      <c r="Q440" s="1942">
        <f t="shared" si="252"/>
        <v>19.802900000000001</v>
      </c>
      <c r="R440" s="1921" t="s">
        <v>495</v>
      </c>
      <c r="S440" s="1644">
        <f t="shared" si="254"/>
        <v>37477</v>
      </c>
      <c r="T440" s="1648"/>
      <c r="U440" s="1644">
        <f t="shared" si="255"/>
        <v>141800</v>
      </c>
      <c r="V440" s="1648"/>
      <c r="W440" s="1644">
        <f t="shared" si="256"/>
        <v>11507</v>
      </c>
      <c r="X440" s="1648"/>
      <c r="Y440" s="1644">
        <f t="shared" si="257"/>
        <v>190784</v>
      </c>
      <c r="AA440" s="596"/>
      <c r="AB440" s="596"/>
      <c r="AI440" s="2023">
        <f>W440-'Blocking-Step2'!W440</f>
        <v>0</v>
      </c>
      <c r="AJ440" s="2054">
        <f>O440-'Blocking-Step2'!O440</f>
        <v>0</v>
      </c>
    </row>
    <row r="441" spans="1:36" hidden="1">
      <c r="A441" s="1900" t="s">
        <v>1913</v>
      </c>
      <c r="C441" s="528">
        <f>'BD-Redesign'!H26</f>
        <v>2071239.9999999998</v>
      </c>
      <c r="D441" s="528">
        <f t="shared" si="253"/>
        <v>2498172.5957970666</v>
      </c>
      <c r="E441" s="597"/>
      <c r="F441" s="1942"/>
      <c r="G441" s="1921"/>
      <c r="H441" s="1644"/>
      <c r="I441" s="1644"/>
      <c r="J441" s="597"/>
      <c r="K441" s="1942">
        <f t="shared" si="249"/>
        <v>3.89</v>
      </c>
      <c r="L441" s="1921" t="s">
        <v>495</v>
      </c>
      <c r="M441" s="1942">
        <f t="shared" si="250"/>
        <v>-1.4102000000000001</v>
      </c>
      <c r="N441" s="1921" t="s">
        <v>495</v>
      </c>
      <c r="O441" s="1942">
        <f t="shared" si="251"/>
        <v>1.1943999999999999</v>
      </c>
      <c r="P441" s="1921" t="s">
        <v>495</v>
      </c>
      <c r="Q441" s="1942">
        <f t="shared" si="252"/>
        <v>3.6741999999999999</v>
      </c>
      <c r="R441" s="1921" t="s">
        <v>495</v>
      </c>
      <c r="S441" s="1644">
        <f t="shared" si="254"/>
        <v>97179</v>
      </c>
      <c r="T441" s="1648"/>
      <c r="U441" s="1644">
        <f t="shared" si="255"/>
        <v>-35229</v>
      </c>
      <c r="V441" s="1648"/>
      <c r="W441" s="1644">
        <f t="shared" si="256"/>
        <v>29838</v>
      </c>
      <c r="X441" s="1648"/>
      <c r="Y441" s="1644">
        <f t="shared" si="257"/>
        <v>91788</v>
      </c>
      <c r="AA441" s="596"/>
      <c r="AB441" s="596"/>
      <c r="AI441" s="2023">
        <f>W441-'Blocking-Step2'!W441</f>
        <v>0</v>
      </c>
      <c r="AJ441" s="2054">
        <f>O441-'Blocking-Step2'!O441</f>
        <v>0</v>
      </c>
    </row>
    <row r="442" spans="1:36" hidden="1">
      <c r="A442" s="1900" t="s">
        <v>1906</v>
      </c>
      <c r="C442" s="528">
        <f>'BD-Redesign'!H27</f>
        <v>890309.04943846958</v>
      </c>
      <c r="D442" s="528">
        <f t="shared" si="253"/>
        <v>1073823.2503704643</v>
      </c>
      <c r="E442" s="597"/>
      <c r="F442" s="1942"/>
      <c r="G442" s="1921"/>
      <c r="H442" s="1644"/>
      <c r="I442" s="1644"/>
      <c r="J442" s="597"/>
      <c r="K442" s="1942">
        <f t="shared" si="249"/>
        <v>0</v>
      </c>
      <c r="L442" s="1921" t="s">
        <v>495</v>
      </c>
      <c r="M442" s="1942">
        <f t="shared" si="250"/>
        <v>0</v>
      </c>
      <c r="N442" s="1921" t="s">
        <v>495</v>
      </c>
      <c r="O442" s="1942">
        <f t="shared" si="251"/>
        <v>6</v>
      </c>
      <c r="P442" s="1921" t="s">
        <v>495</v>
      </c>
      <c r="Q442" s="1942">
        <f t="shared" si="252"/>
        <v>6</v>
      </c>
      <c r="R442" s="1921" t="s">
        <v>495</v>
      </c>
      <c r="S442" s="1644">
        <f t="shared" si="254"/>
        <v>0</v>
      </c>
      <c r="T442" s="1648"/>
      <c r="U442" s="1644">
        <f t="shared" si="255"/>
        <v>0</v>
      </c>
      <c r="V442" s="1648"/>
      <c r="W442" s="1644">
        <f t="shared" si="256"/>
        <v>64429</v>
      </c>
      <c r="X442" s="1648"/>
      <c r="Y442" s="1644">
        <f t="shared" si="257"/>
        <v>64429</v>
      </c>
      <c r="AA442" s="596"/>
      <c r="AB442" s="596"/>
      <c r="AI442" s="2023">
        <f>W442-'Blocking-Step2'!W442</f>
        <v>0</v>
      </c>
      <c r="AJ442" s="2054">
        <f>O442-'Blocking-Step2'!O442</f>
        <v>0</v>
      </c>
    </row>
    <row r="443" spans="1:36" hidden="1">
      <c r="A443" s="1900" t="s">
        <v>1907</v>
      </c>
      <c r="C443" s="528">
        <f>'BD-Redesign'!H28</f>
        <v>712838.95056153019</v>
      </c>
      <c r="D443" s="528">
        <f t="shared" si="253"/>
        <v>859772.27723950613</v>
      </c>
      <c r="E443" s="597"/>
      <c r="F443" s="1942"/>
      <c r="G443" s="1921"/>
      <c r="H443" s="1644"/>
      <c r="I443" s="1644"/>
      <c r="J443" s="597"/>
      <c r="K443" s="1942">
        <f t="shared" si="249"/>
        <v>0</v>
      </c>
      <c r="L443" s="1921" t="s">
        <v>495</v>
      </c>
      <c r="M443" s="1942">
        <f t="shared" si="250"/>
        <v>0</v>
      </c>
      <c r="N443" s="1921" t="s">
        <v>495</v>
      </c>
      <c r="O443" s="1942">
        <f t="shared" si="251"/>
        <v>-2.3358000000000008</v>
      </c>
      <c r="P443" s="1921" t="s">
        <v>495</v>
      </c>
      <c r="Q443" s="1942">
        <f t="shared" si="252"/>
        <v>-2.3358000000000008</v>
      </c>
      <c r="R443" s="1921" t="s">
        <v>495</v>
      </c>
      <c r="S443" s="1644">
        <f t="shared" si="254"/>
        <v>0</v>
      </c>
      <c r="T443" s="1648"/>
      <c r="U443" s="1644">
        <f t="shared" si="255"/>
        <v>0</v>
      </c>
      <c r="V443" s="1648"/>
      <c r="W443" s="1644">
        <f t="shared" si="256"/>
        <v>-20083</v>
      </c>
      <c r="X443" s="1648"/>
      <c r="Y443" s="1644">
        <f t="shared" si="257"/>
        <v>-20083</v>
      </c>
      <c r="AA443" s="596"/>
      <c r="AB443" s="596"/>
      <c r="AI443" s="2023">
        <f>W443-'Blocking-Step2'!W443</f>
        <v>0</v>
      </c>
      <c r="AJ443" s="2054">
        <f>O443-'Blocking-Step2'!O443</f>
        <v>0</v>
      </c>
    </row>
    <row r="444" spans="1:36" hidden="1">
      <c r="A444" s="1900" t="s">
        <v>1908</v>
      </c>
      <c r="C444" s="528">
        <f>'BD-Redesign'!H29</f>
        <v>1593860.1109855603</v>
      </c>
      <c r="D444" s="528">
        <f t="shared" si="253"/>
        <v>1922393.1803162347</v>
      </c>
      <c r="E444" s="597"/>
      <c r="F444" s="1942"/>
      <c r="G444" s="1921"/>
      <c r="H444" s="1644"/>
      <c r="I444" s="1644"/>
      <c r="J444" s="597"/>
      <c r="K444" s="1942">
        <f t="shared" si="249"/>
        <v>0</v>
      </c>
      <c r="L444" s="1921" t="s">
        <v>495</v>
      </c>
      <c r="M444" s="1942">
        <f t="shared" si="250"/>
        <v>0</v>
      </c>
      <c r="N444" s="1921" t="s">
        <v>495</v>
      </c>
      <c r="O444" s="1942">
        <f t="shared" si="251"/>
        <v>5.3097000000000003</v>
      </c>
      <c r="P444" s="1921" t="s">
        <v>495</v>
      </c>
      <c r="Q444" s="1942">
        <f t="shared" si="252"/>
        <v>5.3097000000000003</v>
      </c>
      <c r="R444" s="1921" t="s">
        <v>495</v>
      </c>
      <c r="S444" s="1644">
        <f t="shared" si="254"/>
        <v>0</v>
      </c>
      <c r="T444" s="1648"/>
      <c r="U444" s="1644">
        <f t="shared" si="255"/>
        <v>0</v>
      </c>
      <c r="V444" s="1648"/>
      <c r="W444" s="1644">
        <f t="shared" si="256"/>
        <v>102073</v>
      </c>
      <c r="X444" s="1648"/>
      <c r="Y444" s="1644">
        <f t="shared" si="257"/>
        <v>102073</v>
      </c>
      <c r="AA444" s="596"/>
      <c r="AB444" s="596"/>
      <c r="AI444" s="2023">
        <f>W444-'Blocking-Step2'!W444</f>
        <v>0</v>
      </c>
      <c r="AJ444" s="2054">
        <f>O444-'Blocking-Step2'!O444</f>
        <v>0</v>
      </c>
    </row>
    <row r="445" spans="1:36" hidden="1">
      <c r="A445" s="1900" t="s">
        <v>1909</v>
      </c>
      <c r="C445" s="528">
        <f>'BD-Redesign'!H30</f>
        <v>1276147.3890144394</v>
      </c>
      <c r="D445" s="528">
        <f t="shared" si="253"/>
        <v>1539192.1918434615</v>
      </c>
      <c r="E445" s="597"/>
      <c r="F445" s="1942"/>
      <c r="G445" s="1921"/>
      <c r="H445" s="1644"/>
      <c r="I445" s="1644"/>
      <c r="J445" s="597"/>
      <c r="K445" s="1942">
        <f t="shared" si="249"/>
        <v>0</v>
      </c>
      <c r="L445" s="1921" t="s">
        <v>495</v>
      </c>
      <c r="M445" s="1942">
        <f t="shared" si="250"/>
        <v>0</v>
      </c>
      <c r="N445" s="1921" t="s">
        <v>495</v>
      </c>
      <c r="O445" s="1942">
        <f t="shared" si="251"/>
        <v>-2.0670999999999999</v>
      </c>
      <c r="P445" s="1921" t="s">
        <v>495</v>
      </c>
      <c r="Q445" s="1942">
        <f t="shared" si="252"/>
        <v>-2.0670999999999999</v>
      </c>
      <c r="R445" s="1921" t="s">
        <v>495</v>
      </c>
      <c r="S445" s="1644">
        <f t="shared" si="254"/>
        <v>0</v>
      </c>
      <c r="T445" s="1648"/>
      <c r="U445" s="1644">
        <f t="shared" si="255"/>
        <v>0</v>
      </c>
      <c r="V445" s="1648"/>
      <c r="W445" s="1644">
        <f t="shared" si="256"/>
        <v>-31817</v>
      </c>
      <c r="X445" s="1648"/>
      <c r="Y445" s="1644">
        <f t="shared" si="257"/>
        <v>-31817</v>
      </c>
      <c r="AA445" s="596"/>
      <c r="AB445" s="596"/>
      <c r="AI445" s="2023">
        <f>W445-'Blocking-Step2'!W445</f>
        <v>0</v>
      </c>
      <c r="AJ445" s="2054">
        <f>O445-'Blocking-Step2'!O445</f>
        <v>0</v>
      </c>
    </row>
    <row r="446" spans="1:36" hidden="1">
      <c r="A446" s="1900" t="s">
        <v>261</v>
      </c>
      <c r="C446" s="528">
        <f>'BD-Redesign'!H31</f>
        <v>0</v>
      </c>
      <c r="D446" s="528">
        <f t="shared" si="253"/>
        <v>0</v>
      </c>
      <c r="F446" s="1901"/>
      <c r="G446" s="1902"/>
      <c r="H446" s="1644"/>
      <c r="I446" s="1644"/>
      <c r="K446" s="1901">
        <f t="shared" si="249"/>
        <v>-0.61</v>
      </c>
      <c r="L446" s="1902"/>
      <c r="M446" s="1901">
        <f t="shared" si="250"/>
        <v>0</v>
      </c>
      <c r="N446" s="1902"/>
      <c r="O446" s="1901">
        <f t="shared" si="251"/>
        <v>0</v>
      </c>
      <c r="P446" s="1902"/>
      <c r="Q446" s="1901">
        <f t="shared" si="252"/>
        <v>-0.61</v>
      </c>
      <c r="R446" s="1902"/>
      <c r="S446" s="1644">
        <f>ROUND($D446*K446,0)</f>
        <v>0</v>
      </c>
      <c r="T446" s="1643"/>
      <c r="U446" s="1644">
        <f>ROUND($D446*M446,0)</f>
        <v>0</v>
      </c>
      <c r="V446" s="1643"/>
      <c r="W446" s="1644">
        <f>ROUND($D446*O446,0)</f>
        <v>0</v>
      </c>
      <c r="X446" s="1643"/>
      <c r="Y446" s="1644">
        <f>ROUND($D446*Q446,0)</f>
        <v>0</v>
      </c>
      <c r="AA446" s="596"/>
      <c r="AB446" s="596"/>
      <c r="AI446" s="2023">
        <f>W446-'Blocking-Step2'!W446</f>
        <v>0</v>
      </c>
      <c r="AJ446" s="2054">
        <f>O446-'Blocking-Step2'!O446</f>
        <v>0</v>
      </c>
    </row>
    <row r="447" spans="1:36" hidden="1">
      <c r="A447" s="1116" t="s">
        <v>1158</v>
      </c>
      <c r="C447" s="528">
        <f>'BD-Redesign'!H32</f>
        <v>0</v>
      </c>
      <c r="D447" s="528">
        <f t="shared" si="253"/>
        <v>0</v>
      </c>
      <c r="F447" s="1943"/>
      <c r="G447" s="1921"/>
      <c r="H447" s="1644"/>
      <c r="I447" s="1644"/>
      <c r="K447" s="1943">
        <f t="shared" si="249"/>
        <v>0</v>
      </c>
      <c r="L447" s="1921" t="s">
        <v>495</v>
      </c>
      <c r="M447" s="1943">
        <f t="shared" si="250"/>
        <v>7.125</v>
      </c>
      <c r="N447" s="1921" t="s">
        <v>495</v>
      </c>
      <c r="O447" s="1943">
        <f t="shared" si="251"/>
        <v>0</v>
      </c>
      <c r="P447" s="1921" t="s">
        <v>495</v>
      </c>
      <c r="Q447" s="1943">
        <f t="shared" si="252"/>
        <v>7.125</v>
      </c>
      <c r="R447" s="1921" t="s">
        <v>495</v>
      </c>
      <c r="S447" s="1644">
        <f>ROUND($D447*K447/100,0)</f>
        <v>0</v>
      </c>
      <c r="T447" s="1648"/>
      <c r="U447" s="1644">
        <f>ROUND($D447*M447/100,0)</f>
        <v>0</v>
      </c>
      <c r="V447" s="1648"/>
      <c r="W447" s="1644">
        <f>ROUND($D447*O447/100,0)</f>
        <v>0</v>
      </c>
      <c r="X447" s="1648"/>
      <c r="Y447" s="1644">
        <f>ROUND($D447*Q447/100,0)</f>
        <v>0</v>
      </c>
      <c r="AA447" s="1109"/>
      <c r="AB447" s="1114"/>
      <c r="AI447" s="2023">
        <f>W447-'Blocking-Step2'!W447</f>
        <v>0</v>
      </c>
      <c r="AJ447" s="2054">
        <f>O447-'Blocking-Step2'!O447</f>
        <v>0</v>
      </c>
    </row>
    <row r="448" spans="1:36" hidden="1">
      <c r="A448" s="1900" t="s">
        <v>1240</v>
      </c>
      <c r="C448" s="584"/>
      <c r="D448" s="584"/>
      <c r="F448" s="1930"/>
      <c r="G448" s="597"/>
      <c r="H448" s="1644"/>
      <c r="I448" s="1644"/>
      <c r="K448" s="1930"/>
      <c r="L448" s="597"/>
      <c r="M448" s="1930"/>
      <c r="N448" s="597"/>
      <c r="O448" s="1931" t="str">
        <f>$O$43</f>
        <v>Tax Year 1 (1/1/2021)</v>
      </c>
      <c r="P448" s="597"/>
      <c r="Q448" s="1930">
        <f>$Q$979</f>
        <v>-1.6899999999999998E-2</v>
      </c>
      <c r="R448" s="597"/>
      <c r="S448" s="1645"/>
      <c r="T448" s="1645"/>
      <c r="U448" s="1645"/>
      <c r="V448" s="1645"/>
      <c r="W448" s="1645"/>
      <c r="X448" s="1645"/>
      <c r="Y448" s="1644">
        <f>Q448*SUM(Y438:Y441,Y447)</f>
        <v>-7884.7794999999996</v>
      </c>
      <c r="AI448" s="2023">
        <f>W448-'Blocking-Step2'!W448</f>
        <v>0</v>
      </c>
      <c r="AJ448" s="2054">
        <f>O448-'Blocking-Step2'!O448</f>
        <v>0</v>
      </c>
    </row>
    <row r="449" spans="1:36" hidden="1">
      <c r="A449" s="1900"/>
      <c r="C449" s="584"/>
      <c r="D449" s="584"/>
      <c r="F449" s="1930"/>
      <c r="G449" s="597"/>
      <c r="H449" s="1644"/>
      <c r="I449" s="1644"/>
      <c r="K449" s="1930"/>
      <c r="L449" s="597"/>
      <c r="M449" s="1930"/>
      <c r="N449" s="597"/>
      <c r="O449" s="1931">
        <f>$O$44</f>
        <v>0</v>
      </c>
      <c r="P449" s="597"/>
      <c r="Q449" s="1930">
        <f>$Q$980</f>
        <v>0</v>
      </c>
      <c r="R449" s="597"/>
      <c r="S449" s="1645"/>
      <c r="T449" s="1645"/>
      <c r="U449" s="1645"/>
      <c r="V449" s="1645"/>
      <c r="W449" s="1645"/>
      <c r="X449" s="1645"/>
      <c r="Y449" s="1644">
        <f>Q449*SUM(Y438:Y441,Y447)</f>
        <v>0</v>
      </c>
      <c r="AI449" s="2023">
        <f>W449-'Blocking-Step2'!W449</f>
        <v>0</v>
      </c>
      <c r="AJ449" s="2054">
        <f>O449-'Blocking-Step2'!O449</f>
        <v>0</v>
      </c>
    </row>
    <row r="450" spans="1:36" hidden="1">
      <c r="A450" s="1900" t="s">
        <v>1923</v>
      </c>
      <c r="C450" s="528">
        <f>SUM(C442:C445,C447)</f>
        <v>4473155.5</v>
      </c>
      <c r="D450" s="528">
        <f>D468</f>
        <v>5758585.2212515902</v>
      </c>
      <c r="F450" s="1901"/>
      <c r="G450" s="1902"/>
      <c r="H450" s="1644"/>
      <c r="I450" s="1644"/>
      <c r="K450" s="1901"/>
      <c r="L450" s="1902"/>
      <c r="M450" s="1901"/>
      <c r="N450" s="1902"/>
      <c r="O450" s="1901"/>
      <c r="P450" s="1902"/>
      <c r="Q450" s="1901"/>
      <c r="R450" s="1902"/>
      <c r="S450" s="1644">
        <f>SUM(S437:S447)</f>
        <v>237474</v>
      </c>
      <c r="T450" s="1643"/>
      <c r="U450" s="1644">
        <f>SUM(U437:U447)</f>
        <v>189240</v>
      </c>
      <c r="V450" s="1643"/>
      <c r="W450" s="1644">
        <f>SUM(W437:W447)</f>
        <v>182045</v>
      </c>
      <c r="X450" s="1643"/>
      <c r="Y450" s="1644">
        <f>SUM(Y437:Y447)</f>
        <v>608758</v>
      </c>
      <c r="AA450" s="1109" t="s">
        <v>1743</v>
      </c>
      <c r="AB450" s="1499">
        <f>Y450/Y468-1</f>
        <v>-0.30373706712172399</v>
      </c>
      <c r="AI450" s="2023">
        <f>W450-'Blocking-Step2'!W450</f>
        <v>0</v>
      </c>
      <c r="AJ450" s="2054">
        <f>O450-'Blocking-Step2'!O450</f>
        <v>0</v>
      </c>
    </row>
    <row r="451" spans="1:36" hidden="1">
      <c r="A451" s="1900"/>
      <c r="C451" s="528"/>
      <c r="D451" s="528"/>
      <c r="F451" s="1901"/>
      <c r="G451" s="1902"/>
      <c r="H451" s="1644"/>
      <c r="I451" s="1644"/>
      <c r="K451" s="1901"/>
      <c r="L451" s="1902"/>
      <c r="M451" s="1901"/>
      <c r="N451" s="1902"/>
      <c r="O451" s="1901"/>
      <c r="P451" s="1902"/>
      <c r="Q451" s="1901"/>
      <c r="R451" s="1902"/>
      <c r="S451" s="1643"/>
      <c r="T451" s="1643"/>
      <c r="U451" s="1643"/>
      <c r="V451" s="1643"/>
      <c r="W451" s="1643"/>
      <c r="X451" s="1643"/>
      <c r="Y451" s="1644"/>
      <c r="AA451" s="1109"/>
      <c r="AB451" s="1114"/>
      <c r="AI451" s="2023">
        <f>W451-'Blocking-Step2'!W451</f>
        <v>0</v>
      </c>
      <c r="AJ451" s="2054">
        <f>O451-'Blocking-Step2'!O451</f>
        <v>0</v>
      </c>
    </row>
    <row r="452" spans="1:36" hidden="1">
      <c r="A452" s="1900" t="s">
        <v>240</v>
      </c>
      <c r="C452" s="528">
        <f>C437</f>
        <v>412.38333333333333</v>
      </c>
      <c r="D452" s="528">
        <f>C452*D794/C794</f>
        <v>520.77474317213728</v>
      </c>
      <c r="F452" s="1944">
        <f>F384</f>
        <v>54</v>
      </c>
      <c r="G452" s="597"/>
      <c r="H452" s="1644">
        <f t="shared" ref="H452:I454" si="258">ROUND($F452*C452,0)</f>
        <v>22269</v>
      </c>
      <c r="I452" s="1644">
        <f t="shared" si="258"/>
        <v>28122</v>
      </c>
      <c r="K452" s="1944">
        <f t="shared" ref="K452:K459" si="259">K384</f>
        <v>53</v>
      </c>
      <c r="L452" s="597"/>
      <c r="M452" s="1944">
        <f t="shared" ref="M452:M459" si="260">M384</f>
        <v>0</v>
      </c>
      <c r="N452" s="597"/>
      <c r="O452" s="1944">
        <f t="shared" ref="O452:O459" si="261">O384</f>
        <v>0</v>
      </c>
      <c r="P452" s="597"/>
      <c r="Q452" s="1944">
        <f t="shared" ref="Q452:Q459" si="262">Q384</f>
        <v>53</v>
      </c>
      <c r="R452" s="597"/>
      <c r="S452" s="1644">
        <f>ROUND($D452*K452,0)</f>
        <v>27601</v>
      </c>
      <c r="T452" s="1643"/>
      <c r="U452" s="1644">
        <f>ROUND($D452*M452,0)</f>
        <v>0</v>
      </c>
      <c r="V452" s="1643"/>
      <c r="W452" s="1644">
        <f>ROUND($D452*O452,0)</f>
        <v>0</v>
      </c>
      <c r="X452" s="1643"/>
      <c r="Y452" s="1644">
        <f>ROUND($D452*Q452,0)</f>
        <v>27601</v>
      </c>
      <c r="AI452" s="2023">
        <f>W452-'Blocking-Step2'!W452</f>
        <v>0</v>
      </c>
      <c r="AJ452" s="2054">
        <f>O452-'Blocking-Step2'!O452</f>
        <v>0</v>
      </c>
    </row>
    <row r="453" spans="1:36" hidden="1">
      <c r="A453" s="1900" t="s">
        <v>262</v>
      </c>
      <c r="C453" s="584">
        <v>0</v>
      </c>
      <c r="D453" s="528">
        <v>0</v>
      </c>
      <c r="F453" s="1944">
        <f>F385</f>
        <v>648</v>
      </c>
      <c r="G453" s="597"/>
      <c r="H453" s="1644">
        <f t="shared" si="258"/>
        <v>0</v>
      </c>
      <c r="I453" s="1644">
        <f t="shared" si="258"/>
        <v>0</v>
      </c>
      <c r="K453" s="1944">
        <f t="shared" si="259"/>
        <v>636</v>
      </c>
      <c r="L453" s="597"/>
      <c r="M453" s="1944">
        <f t="shared" si="260"/>
        <v>0</v>
      </c>
      <c r="N453" s="597"/>
      <c r="O453" s="1944">
        <f t="shared" si="261"/>
        <v>0</v>
      </c>
      <c r="P453" s="597"/>
      <c r="Q453" s="1944">
        <f t="shared" si="262"/>
        <v>636</v>
      </c>
      <c r="R453" s="597"/>
      <c r="S453" s="1644">
        <f t="shared" ref="S453:S457" si="263">ROUND($D453*K453,0)</f>
        <v>0</v>
      </c>
      <c r="T453" s="1643"/>
      <c r="U453" s="1644">
        <f t="shared" ref="U453:U457" si="264">ROUND($D453*M453,0)</f>
        <v>0</v>
      </c>
      <c r="V453" s="1643"/>
      <c r="W453" s="1644">
        <f t="shared" ref="W453:W457" si="265">ROUND($D453*O453,0)</f>
        <v>0</v>
      </c>
      <c r="X453" s="1643"/>
      <c r="Y453" s="1644">
        <f t="shared" ref="Y453:Y457" si="266">ROUND($D453*Q453,0)</f>
        <v>0</v>
      </c>
      <c r="AI453" s="2023">
        <f>W453-'Blocking-Step2'!W453</f>
        <v>0</v>
      </c>
      <c r="AJ453" s="2054">
        <f>O453-'Blocking-Step2'!O453</f>
        <v>0</v>
      </c>
    </row>
    <row r="454" spans="1:36" hidden="1">
      <c r="A454" s="1900" t="s">
        <v>1298</v>
      </c>
      <c r="C454" s="528">
        <v>0</v>
      </c>
      <c r="D454" s="528">
        <v>0</v>
      </c>
      <c r="F454" s="1944">
        <f>F386</f>
        <v>54</v>
      </c>
      <c r="G454" s="597"/>
      <c r="H454" s="1644">
        <f t="shared" si="258"/>
        <v>0</v>
      </c>
      <c r="I454" s="1644">
        <f t="shared" si="258"/>
        <v>0</v>
      </c>
      <c r="K454" s="1944">
        <f t="shared" si="259"/>
        <v>53</v>
      </c>
      <c r="L454" s="597"/>
      <c r="M454" s="1944">
        <f t="shared" si="260"/>
        <v>0</v>
      </c>
      <c r="N454" s="597"/>
      <c r="O454" s="1944">
        <f t="shared" si="261"/>
        <v>0</v>
      </c>
      <c r="P454" s="597"/>
      <c r="Q454" s="1944">
        <f t="shared" si="262"/>
        <v>53</v>
      </c>
      <c r="R454" s="597"/>
      <c r="S454" s="1644">
        <f t="shared" si="263"/>
        <v>0</v>
      </c>
      <c r="T454" s="1645"/>
      <c r="U454" s="1644">
        <f t="shared" si="264"/>
        <v>0</v>
      </c>
      <c r="V454" s="1645"/>
      <c r="W454" s="1644">
        <f t="shared" si="265"/>
        <v>0</v>
      </c>
      <c r="X454" s="1645"/>
      <c r="Y454" s="1644">
        <f t="shared" si="266"/>
        <v>0</v>
      </c>
      <c r="AI454" s="2023">
        <f>W454-'Blocking-Step2'!W454</f>
        <v>0</v>
      </c>
      <c r="AJ454" s="2054">
        <f>O454-'Blocking-Step2'!O454</f>
        <v>0</v>
      </c>
    </row>
    <row r="455" spans="1:36" hidden="1">
      <c r="A455" s="1900" t="s">
        <v>168</v>
      </c>
      <c r="C455" s="528">
        <f>'BD-Redesign'!H55</f>
        <v>30550</v>
      </c>
      <c r="D455" s="528">
        <f>ROUND(C455/$C$468*$D$468,0)</f>
        <v>39329</v>
      </c>
      <c r="F455" s="1944">
        <f>F387</f>
        <v>4.04</v>
      </c>
      <c r="G455" s="597"/>
      <c r="H455" s="1644">
        <f>ROUND($F455*C455,0)</f>
        <v>123422</v>
      </c>
      <c r="I455" s="1644">
        <f>ROUND($F455*D455,0)</f>
        <v>158889</v>
      </c>
      <c r="K455" s="1944">
        <f t="shared" si="259"/>
        <v>3.98</v>
      </c>
      <c r="L455" s="597"/>
      <c r="M455" s="1944">
        <f t="shared" si="260"/>
        <v>0</v>
      </c>
      <c r="N455" s="597"/>
      <c r="O455" s="1944">
        <f t="shared" si="261"/>
        <v>0</v>
      </c>
      <c r="P455" s="597"/>
      <c r="Q455" s="1944">
        <f t="shared" si="262"/>
        <v>3.98</v>
      </c>
      <c r="R455" s="597"/>
      <c r="S455" s="1644">
        <f t="shared" si="263"/>
        <v>156529</v>
      </c>
      <c r="T455" s="1643"/>
      <c r="U455" s="1644">
        <f t="shared" si="264"/>
        <v>0</v>
      </c>
      <c r="V455" s="1643"/>
      <c r="W455" s="1644">
        <f t="shared" si="265"/>
        <v>0</v>
      </c>
      <c r="X455" s="1643"/>
      <c r="Y455" s="1644">
        <f t="shared" si="266"/>
        <v>156529</v>
      </c>
      <c r="AI455" s="2023">
        <f>W455-'Blocking-Step2'!W455</f>
        <v>0</v>
      </c>
      <c r="AJ455" s="2054">
        <f>O455-'Blocking-Step2'!O455</f>
        <v>0</v>
      </c>
    </row>
    <row r="456" spans="1:36" hidden="1">
      <c r="A456" s="1900" t="s">
        <v>1645</v>
      </c>
      <c r="C456" s="528">
        <f>'BD-Redesign'!H56</f>
        <v>11597.5</v>
      </c>
      <c r="D456" s="528">
        <f t="shared" ref="D456:D457" si="267">ROUND(C456/$C$468*$D$468,0)</f>
        <v>14930</v>
      </c>
      <c r="F456" s="1944"/>
      <c r="G456" s="597"/>
      <c r="H456" s="1644"/>
      <c r="I456" s="1644"/>
      <c r="K456" s="1944">
        <f t="shared" si="259"/>
        <v>6.22</v>
      </c>
      <c r="L456" s="597"/>
      <c r="M456" s="1944">
        <f t="shared" si="260"/>
        <v>7.0100000000000007</v>
      </c>
      <c r="N456" s="597"/>
      <c r="O456" s="1944">
        <f t="shared" si="261"/>
        <v>0</v>
      </c>
      <c r="P456" s="597"/>
      <c r="Q456" s="1944">
        <f t="shared" si="262"/>
        <v>13.23</v>
      </c>
      <c r="R456" s="597"/>
      <c r="S456" s="1644">
        <f t="shared" si="263"/>
        <v>92865</v>
      </c>
      <c r="T456" s="1645"/>
      <c r="U456" s="1644">
        <f t="shared" si="264"/>
        <v>104659</v>
      </c>
      <c r="V456" s="1645"/>
      <c r="W456" s="1644">
        <f t="shared" si="265"/>
        <v>0</v>
      </c>
      <c r="X456" s="1645"/>
      <c r="Y456" s="1644">
        <f t="shared" si="266"/>
        <v>197524</v>
      </c>
      <c r="AI456" s="2023">
        <f>W456-'Blocking-Step2'!W456</f>
        <v>0</v>
      </c>
      <c r="AJ456" s="2054">
        <f>O456-'Blocking-Step2'!O456</f>
        <v>0</v>
      </c>
    </row>
    <row r="457" spans="1:36" hidden="1">
      <c r="A457" s="1900" t="s">
        <v>1646</v>
      </c>
      <c r="C457" s="528">
        <f>'BD-Redesign'!H57</f>
        <v>18952.5</v>
      </c>
      <c r="D457" s="528">
        <f t="shared" si="267"/>
        <v>24399</v>
      </c>
      <c r="F457" s="1944"/>
      <c r="G457" s="597"/>
      <c r="H457" s="1644"/>
      <c r="I457" s="1644"/>
      <c r="K457" s="1944">
        <f t="shared" si="259"/>
        <v>5.5</v>
      </c>
      <c r="L457" s="597"/>
      <c r="M457" s="1944">
        <f t="shared" si="260"/>
        <v>6.2100000000000009</v>
      </c>
      <c r="N457" s="597"/>
      <c r="O457" s="1944">
        <f t="shared" si="261"/>
        <v>0</v>
      </c>
      <c r="P457" s="597"/>
      <c r="Q457" s="1944">
        <f t="shared" si="262"/>
        <v>11.71</v>
      </c>
      <c r="R457" s="597"/>
      <c r="S457" s="1644">
        <f t="shared" si="263"/>
        <v>134195</v>
      </c>
      <c r="T457" s="1645"/>
      <c r="U457" s="1644">
        <f t="shared" si="264"/>
        <v>151518</v>
      </c>
      <c r="V457" s="1645"/>
      <c r="W457" s="1644">
        <f t="shared" si="265"/>
        <v>0</v>
      </c>
      <c r="X457" s="1645"/>
      <c r="Y457" s="1644">
        <f t="shared" si="266"/>
        <v>285712</v>
      </c>
      <c r="AI457" s="2023">
        <f>W457-'Blocking-Step2'!W457</f>
        <v>0</v>
      </c>
      <c r="AJ457" s="2054">
        <f>O457-'Blocking-Step2'!O457</f>
        <v>0</v>
      </c>
    </row>
    <row r="458" spans="1:36" hidden="1">
      <c r="A458" s="1900" t="s">
        <v>1647</v>
      </c>
      <c r="C458" s="528">
        <f>'BD-Redesign'!H59</f>
        <v>1603148</v>
      </c>
      <c r="D458" s="528">
        <f>D468-D459</f>
        <v>2063837.2212515902</v>
      </c>
      <c r="F458" s="1943"/>
      <c r="G458" s="1921"/>
      <c r="H458" s="1644"/>
      <c r="I458" s="1644"/>
      <c r="K458" s="1943">
        <f t="shared" si="259"/>
        <v>0</v>
      </c>
      <c r="L458" s="1921" t="s">
        <v>495</v>
      </c>
      <c r="M458" s="1943">
        <f t="shared" si="260"/>
        <v>1.5747172373309999</v>
      </c>
      <c r="N458" s="1921" t="s">
        <v>495</v>
      </c>
      <c r="O458" s="1943">
        <f t="shared" si="261"/>
        <v>2.305570240802</v>
      </c>
      <c r="P458" s="1921" t="s">
        <v>495</v>
      </c>
      <c r="Q458" s="1943">
        <f t="shared" si="262"/>
        <v>3.8802874781329999</v>
      </c>
      <c r="R458" s="1921" t="s">
        <v>495</v>
      </c>
      <c r="S458" s="1644">
        <f>ROUND($D458*K458/100,0)</f>
        <v>0</v>
      </c>
      <c r="T458" s="1648"/>
      <c r="U458" s="1644">
        <f>ROUND($D458*M458/100,0)</f>
        <v>32500</v>
      </c>
      <c r="V458" s="1648"/>
      <c r="W458" s="1644">
        <f>ROUND($D458*O458/100,0)</f>
        <v>47583</v>
      </c>
      <c r="X458" s="1648"/>
      <c r="Y458" s="1644">
        <f>ROUND($D458*Q458/100,0)</f>
        <v>80083</v>
      </c>
      <c r="AI458" s="2023">
        <f>W458-'Blocking-Step2'!W458</f>
        <v>0</v>
      </c>
      <c r="AJ458" s="2054">
        <f>O458-'Blocking-Step2'!O458</f>
        <v>0</v>
      </c>
    </row>
    <row r="459" spans="1:36" hidden="1">
      <c r="A459" s="1900" t="s">
        <v>1648</v>
      </c>
      <c r="C459" s="528">
        <f>'BD-Redesign'!H60</f>
        <v>2870007.5</v>
      </c>
      <c r="D459" s="528">
        <f>ROUND(C459/C468*D468,0)</f>
        <v>3694748</v>
      </c>
      <c r="F459" s="1943"/>
      <c r="G459" s="1921"/>
      <c r="H459" s="1644"/>
      <c r="I459" s="1644"/>
      <c r="K459" s="1943">
        <f t="shared" si="259"/>
        <v>0</v>
      </c>
      <c r="L459" s="1921" t="s">
        <v>495</v>
      </c>
      <c r="M459" s="1943">
        <f t="shared" si="260"/>
        <v>1.3935347233019999</v>
      </c>
      <c r="N459" s="1921" t="s">
        <v>495</v>
      </c>
      <c r="O459" s="1943">
        <f t="shared" si="261"/>
        <v>2.0403480007099999</v>
      </c>
      <c r="P459" s="1921" t="s">
        <v>495</v>
      </c>
      <c r="Q459" s="1943">
        <f t="shared" si="262"/>
        <v>3.4338827240119998</v>
      </c>
      <c r="R459" s="1921" t="s">
        <v>495</v>
      </c>
      <c r="S459" s="1644">
        <f>ROUND($D459*K459/100,0)</f>
        <v>0</v>
      </c>
      <c r="T459" s="1648"/>
      <c r="U459" s="1644">
        <f>ROUND($D459*M459/100,0)</f>
        <v>51488</v>
      </c>
      <c r="V459" s="1648"/>
      <c r="W459" s="1644">
        <f>ROUND($D459*O459/100,0)</f>
        <v>75386</v>
      </c>
      <c r="X459" s="1648"/>
      <c r="Y459" s="1644">
        <f>ROUND($D459*Q459/100,0)</f>
        <v>126873</v>
      </c>
      <c r="AI459" s="2023">
        <f>W459-'Blocking-Step2'!W459</f>
        <v>0</v>
      </c>
      <c r="AJ459" s="2054">
        <f>O459-'Blocking-Step2'!O459</f>
        <v>0</v>
      </c>
    </row>
    <row r="460" spans="1:36" hidden="1">
      <c r="A460" s="1900" t="s">
        <v>196</v>
      </c>
      <c r="C460" s="528">
        <f>(C456+C457)*C817/(C817+C818)</f>
        <v>11898.50368279063</v>
      </c>
      <c r="D460" s="528">
        <f>ROUND(C460/C468*D468,0)</f>
        <v>15318</v>
      </c>
      <c r="F460" s="1944">
        <f>F392</f>
        <v>14.62</v>
      </c>
      <c r="G460" s="597"/>
      <c r="H460" s="1644">
        <f t="shared" ref="H460:I462" si="268">ROUND($F460*C460,0)</f>
        <v>173956</v>
      </c>
      <c r="I460" s="1644">
        <f t="shared" si="268"/>
        <v>223949</v>
      </c>
      <c r="K460" s="1944"/>
      <c r="L460" s="597"/>
      <c r="M460" s="1944"/>
      <c r="N460" s="597"/>
      <c r="O460" s="1944"/>
      <c r="P460" s="597"/>
      <c r="Q460" s="1944"/>
      <c r="R460" s="597"/>
      <c r="S460" s="1644"/>
      <c r="T460" s="1643"/>
      <c r="U460" s="1644"/>
      <c r="V460" s="1643"/>
      <c r="W460" s="1644"/>
      <c r="X460" s="1643"/>
      <c r="Y460" s="1644"/>
      <c r="AI460" s="2023">
        <f>W460-'Blocking-Step2'!W460</f>
        <v>0</v>
      </c>
      <c r="AJ460" s="2054">
        <f>O460-'Blocking-Step2'!O460</f>
        <v>0</v>
      </c>
    </row>
    <row r="461" spans="1:36" hidden="1">
      <c r="A461" s="1900" t="s">
        <v>161</v>
      </c>
      <c r="C461" s="528">
        <f>C456+C457-C460</f>
        <v>18651.49631720937</v>
      </c>
      <c r="D461" s="528">
        <f>ROUND(C461/C468*D468,0)</f>
        <v>24011</v>
      </c>
      <c r="F461" s="1944">
        <f>F393</f>
        <v>10.91</v>
      </c>
      <c r="G461" s="597"/>
      <c r="H461" s="1644">
        <f t="shared" si="268"/>
        <v>203488</v>
      </c>
      <c r="I461" s="1644">
        <f t="shared" si="268"/>
        <v>261960</v>
      </c>
      <c r="K461" s="1944"/>
      <c r="L461" s="597"/>
      <c r="M461" s="1944"/>
      <c r="N461" s="597"/>
      <c r="O461" s="1944"/>
      <c r="P461" s="597"/>
      <c r="Q461" s="1944"/>
      <c r="R461" s="597"/>
      <c r="S461" s="1644"/>
      <c r="T461" s="1643"/>
      <c r="U461" s="1644"/>
      <c r="V461" s="1643"/>
      <c r="W461" s="1644"/>
      <c r="X461" s="1643"/>
      <c r="Y461" s="1644"/>
      <c r="AI461" s="2023">
        <f>W461-'Blocking-Step2'!W461</f>
        <v>0</v>
      </c>
      <c r="AJ461" s="2054">
        <f>O461-'Blocking-Step2'!O461</f>
        <v>0</v>
      </c>
    </row>
    <row r="462" spans="1:36" hidden="1">
      <c r="A462" s="1900" t="s">
        <v>261</v>
      </c>
      <c r="C462" s="528">
        <f>C446</f>
        <v>0</v>
      </c>
      <c r="D462" s="528">
        <f>D446</f>
        <v>0</v>
      </c>
      <c r="F462" s="1944">
        <f>F394</f>
        <v>-0.96</v>
      </c>
      <c r="G462" s="597"/>
      <c r="H462" s="1644">
        <f t="shared" si="268"/>
        <v>0</v>
      </c>
      <c r="I462" s="1644">
        <f t="shared" si="268"/>
        <v>0</v>
      </c>
      <c r="K462" s="1944">
        <f>K394</f>
        <v>-0.96</v>
      </c>
      <c r="L462" s="597"/>
      <c r="M462" s="1944">
        <f>M394</f>
        <v>0</v>
      </c>
      <c r="N462" s="597"/>
      <c r="O462" s="1944">
        <f>O394</f>
        <v>0</v>
      </c>
      <c r="P462" s="597"/>
      <c r="Q462" s="1944">
        <f>Q394</f>
        <v>-0.96</v>
      </c>
      <c r="R462" s="597"/>
      <c r="S462" s="1644">
        <f t="shared" ref="S462" si="269">ROUND($D462*K462,0)</f>
        <v>0</v>
      </c>
      <c r="T462" s="1643"/>
      <c r="U462" s="1644">
        <f t="shared" ref="U462" si="270">ROUND($D462*M462,0)</f>
        <v>0</v>
      </c>
      <c r="V462" s="1643"/>
      <c r="W462" s="1644">
        <f t="shared" ref="W462" si="271">ROUND($D462*O462,0)</f>
        <v>0</v>
      </c>
      <c r="X462" s="1643"/>
      <c r="Y462" s="1644">
        <f t="shared" ref="Y462" si="272">ROUND($D462*Q462,0)</f>
        <v>0</v>
      </c>
      <c r="AI462" s="2023">
        <f>W462-'Blocking-Step2'!W462</f>
        <v>0</v>
      </c>
      <c r="AJ462" s="2054">
        <f>O462-'Blocking-Step2'!O462</f>
        <v>0</v>
      </c>
    </row>
    <row r="463" spans="1:36" hidden="1">
      <c r="A463" s="1900" t="s">
        <v>1362</v>
      </c>
      <c r="C463" s="528">
        <f>(C458+C459)*C798/(C798+C799)</f>
        <v>1850523.9064960799</v>
      </c>
      <c r="D463" s="528">
        <f>ROUND(C463/C468*D468,0)</f>
        <v>2382300</v>
      </c>
      <c r="F463" s="1943">
        <f>F395</f>
        <v>3.8127</v>
      </c>
      <c r="G463" s="1921" t="s">
        <v>495</v>
      </c>
      <c r="H463" s="1644">
        <f>ROUND($F463*C463/100,0)</f>
        <v>70555</v>
      </c>
      <c r="I463" s="1644">
        <f>ROUND($F463*D463/100,0)</f>
        <v>90830</v>
      </c>
      <c r="K463" s="1943"/>
      <c r="L463" s="1921"/>
      <c r="M463" s="1943"/>
      <c r="N463" s="1921"/>
      <c r="O463" s="1943"/>
      <c r="P463" s="1921"/>
      <c r="Q463" s="1943"/>
      <c r="R463" s="1921"/>
      <c r="S463" s="1648"/>
      <c r="T463" s="1648"/>
      <c r="U463" s="1648"/>
      <c r="V463" s="1648"/>
      <c r="W463" s="1648"/>
      <c r="X463" s="1648"/>
      <c r="Y463" s="1644"/>
      <c r="AI463" s="2023">
        <f>W463-'Blocking-Step2'!W463</f>
        <v>0</v>
      </c>
      <c r="AJ463" s="2054">
        <f>O463-'Blocking-Step2'!O463</f>
        <v>0</v>
      </c>
    </row>
    <row r="464" spans="1:36" hidden="1">
      <c r="A464" s="1900" t="s">
        <v>1363</v>
      </c>
      <c r="C464" s="528">
        <f>C458+C459-C463</f>
        <v>2622631.5935039204</v>
      </c>
      <c r="D464" s="528">
        <f>D468-D463</f>
        <v>3376285.2212515902</v>
      </c>
      <c r="F464" s="1943">
        <f>F396</f>
        <v>3.5143</v>
      </c>
      <c r="G464" s="1921" t="s">
        <v>495</v>
      </c>
      <c r="H464" s="1644">
        <f>ROUND($F464*C464/100,0)</f>
        <v>92167</v>
      </c>
      <c r="I464" s="1644">
        <f>ROUND($F464*D464/100,0)</f>
        <v>118653</v>
      </c>
      <c r="K464" s="1943"/>
      <c r="L464" s="1921"/>
      <c r="M464" s="1943"/>
      <c r="N464" s="1921"/>
      <c r="O464" s="1943"/>
      <c r="P464" s="1921"/>
      <c r="Q464" s="1943"/>
      <c r="R464" s="1921"/>
      <c r="S464" s="1648"/>
      <c r="T464" s="1648"/>
      <c r="U464" s="1648"/>
      <c r="V464" s="1648"/>
      <c r="W464" s="1648"/>
      <c r="X464" s="1648"/>
      <c r="Y464" s="1644"/>
      <c r="AI464" s="2023">
        <f>W464-'Blocking-Step2'!W464</f>
        <v>0</v>
      </c>
      <c r="AJ464" s="2054">
        <f>O464-'Blocking-Step2'!O464</f>
        <v>0</v>
      </c>
    </row>
    <row r="465" spans="1:36" hidden="1">
      <c r="A465" s="1900" t="s">
        <v>246</v>
      </c>
      <c r="C465" s="529">
        <v>0</v>
      </c>
      <c r="D465" s="529">
        <v>0</v>
      </c>
      <c r="H465" s="1030">
        <v>0</v>
      </c>
      <c r="I465" s="1030">
        <v>0</v>
      </c>
      <c r="Y465" s="1030"/>
      <c r="AI465" s="2023">
        <f>W465-'Blocking-Step2'!W465</f>
        <v>0</v>
      </c>
      <c r="AJ465" s="2054">
        <f>O465-'Blocking-Step2'!O465</f>
        <v>0</v>
      </c>
    </row>
    <row r="466" spans="1:36" hidden="1">
      <c r="A466" s="1900" t="s">
        <v>1240</v>
      </c>
      <c r="C466" s="584"/>
      <c r="D466" s="584"/>
      <c r="F466" s="1930">
        <f>F398</f>
        <v>-3.61E-2</v>
      </c>
      <c r="G466" s="597"/>
      <c r="H466" s="1644">
        <f>SUM(H460:H461,H463:H464)*$F466</f>
        <v>-19499.992600000001</v>
      </c>
      <c r="I466" s="1644">
        <f>SUM(I460:I461,I463:I464)*$F466</f>
        <v>-25103.6512</v>
      </c>
      <c r="K466" s="1930"/>
      <c r="L466" s="597"/>
      <c r="M466" s="1930"/>
      <c r="N466" s="597"/>
      <c r="O466" s="1931" t="str">
        <f>$O$43</f>
        <v>Tax Year 1 (1/1/2021)</v>
      </c>
      <c r="P466" s="597"/>
      <c r="Q466" s="1930">
        <f>$Q$687</f>
        <v>-1.52E-2</v>
      </c>
      <c r="R466" s="597"/>
      <c r="S466" s="1645"/>
      <c r="T466" s="1645"/>
      <c r="U466" s="1645"/>
      <c r="V466" s="1645"/>
      <c r="W466" s="1645"/>
      <c r="X466" s="1645"/>
      <c r="Y466" s="1644">
        <f>Q466*SUM(Y456:Y459)</f>
        <v>-10490.9184</v>
      </c>
      <c r="AI466" s="2023">
        <f>W466-'Blocking-Step2'!W466</f>
        <v>0</v>
      </c>
      <c r="AJ466" s="2054">
        <f>O466-'Blocking-Step2'!O466</f>
        <v>0</v>
      </c>
    </row>
    <row r="467" spans="1:36" hidden="1">
      <c r="A467" s="1900"/>
      <c r="C467" s="584"/>
      <c r="D467" s="584"/>
      <c r="F467" s="1930"/>
      <c r="G467" s="597"/>
      <c r="H467" s="1644"/>
      <c r="I467" s="1644"/>
      <c r="K467" s="1930"/>
      <c r="L467" s="597"/>
      <c r="M467" s="1930"/>
      <c r="N467" s="597"/>
      <c r="O467" s="1931">
        <f>$O$44</f>
        <v>0</v>
      </c>
      <c r="P467" s="597"/>
      <c r="Q467" s="1930">
        <f>$Q$688</f>
        <v>0</v>
      </c>
      <c r="R467" s="597"/>
      <c r="S467" s="1645"/>
      <c r="T467" s="1645"/>
      <c r="U467" s="1645"/>
      <c r="V467" s="1645"/>
      <c r="W467" s="1645"/>
      <c r="X467" s="1645"/>
      <c r="Y467" s="1644">
        <f>Q467*SUM(Y456:Y459)</f>
        <v>0</v>
      </c>
      <c r="AI467" s="2023">
        <f>W467-'Blocking-Step2'!W467</f>
        <v>0</v>
      </c>
      <c r="AJ467" s="2054">
        <f>O467-'Blocking-Step2'!O467</f>
        <v>0</v>
      </c>
    </row>
    <row r="468" spans="1:36" ht="16.5" hidden="1" thickBot="1">
      <c r="A468" s="1900" t="s">
        <v>247</v>
      </c>
      <c r="C468" s="1949">
        <f>SUM(C463:C465)</f>
        <v>4473155.5</v>
      </c>
      <c r="D468" s="1949">
        <f>C468*D810/C810</f>
        <v>5758585.2212515902</v>
      </c>
      <c r="F468" s="1939"/>
      <c r="H468" s="1647">
        <f>SUM(H452:H466)</f>
        <v>666357.0074</v>
      </c>
      <c r="I468" s="1647">
        <f>SUM(I452:I466)</f>
        <v>857299.34880000004</v>
      </c>
      <c r="K468" s="1939"/>
      <c r="M468" s="1939"/>
      <c r="O468" s="1939"/>
      <c r="Q468" s="1939"/>
      <c r="S468" s="1647">
        <f>SUM(S452:S465)</f>
        <v>411190</v>
      </c>
      <c r="U468" s="1647">
        <f>SUM(U452:U465)</f>
        <v>340165</v>
      </c>
      <c r="W468" s="1647">
        <f>SUM(W452:W465)</f>
        <v>122969</v>
      </c>
      <c r="Y468" s="1647">
        <f>SUM(Y452:Y465)</f>
        <v>874322</v>
      </c>
      <c r="AA468" s="1104" t="s">
        <v>1743</v>
      </c>
      <c r="AB468" s="1890">
        <f>Y468/I468-1</f>
        <v>1.985613452737045E-2</v>
      </c>
      <c r="AI468" s="2023">
        <f>W468-'Blocking-Step2'!W468</f>
        <v>0</v>
      </c>
      <c r="AJ468" s="2054">
        <f>O468-'Blocking-Step2'!O468</f>
        <v>0</v>
      </c>
    </row>
    <row r="469" spans="1:36" ht="16.5" hidden="1" thickTop="1">
      <c r="AI469" s="2023">
        <f>W469-'Blocking-Step2'!W469</f>
        <v>0</v>
      </c>
      <c r="AJ469" s="2054">
        <f>O469-'Blocking-Step2'!O469</f>
        <v>0</v>
      </c>
    </row>
    <row r="470" spans="1:36" hidden="1">
      <c r="A470" s="1897" t="s">
        <v>1921</v>
      </c>
      <c r="C470" s="528"/>
      <c r="D470" s="528"/>
      <c r="AI470" s="2023">
        <f>W470-'Blocking-Step2'!W470</f>
        <v>0</v>
      </c>
      <c r="AJ470" s="2054">
        <f>O470-'Blocking-Step2'!O470</f>
        <v>0</v>
      </c>
    </row>
    <row r="471" spans="1:36" hidden="1">
      <c r="A471" s="1900" t="s">
        <v>240</v>
      </c>
      <c r="C471" s="528">
        <f>'BD-Redesign'!I22</f>
        <v>12</v>
      </c>
      <c r="D471" s="528">
        <f>D486</f>
        <v>33</v>
      </c>
      <c r="F471" s="1901"/>
      <c r="G471" s="1902"/>
      <c r="H471" s="1644"/>
      <c r="I471" s="1644"/>
      <c r="K471" s="1901">
        <f t="shared" ref="K471:K481" si="273">K369</f>
        <v>53</v>
      </c>
      <c r="L471" s="1902"/>
      <c r="M471" s="1901">
        <f t="shared" ref="M471:M481" si="274">M369</f>
        <v>0</v>
      </c>
      <c r="N471" s="1902"/>
      <c r="O471" s="1901">
        <f t="shared" ref="O471:O481" si="275">O369</f>
        <v>0</v>
      </c>
      <c r="P471" s="1902"/>
      <c r="Q471" s="1901">
        <f t="shared" ref="Q471:Q481" si="276">Q369</f>
        <v>53</v>
      </c>
      <c r="R471" s="1902"/>
      <c r="S471" s="1644">
        <f>ROUND($D471*K471,0)</f>
        <v>1749</v>
      </c>
      <c r="T471" s="1643"/>
      <c r="U471" s="1644">
        <f>ROUND($D471*M471,0)</f>
        <v>0</v>
      </c>
      <c r="V471" s="1643"/>
      <c r="W471" s="1644">
        <f>ROUND($D471*O471,0)</f>
        <v>0</v>
      </c>
      <c r="X471" s="1643"/>
      <c r="Y471" s="1644">
        <f>ROUND($D471*Q471,0)</f>
        <v>1749</v>
      </c>
      <c r="AA471" s="1109"/>
      <c r="AB471" s="1114"/>
      <c r="AI471" s="2023">
        <f>W471-'Blocking-Step2'!W471</f>
        <v>0</v>
      </c>
      <c r="AJ471" s="2054">
        <f>O471-'Blocking-Step2'!O471</f>
        <v>0</v>
      </c>
    </row>
    <row r="472" spans="1:36" hidden="1">
      <c r="A472" s="1900" t="s">
        <v>1910</v>
      </c>
      <c r="C472" s="528">
        <f>'BD-Redesign'!I23</f>
        <v>13275</v>
      </c>
      <c r="D472" s="528">
        <f t="shared" ref="D472:D481" si="277">C472/$C$484*$D$484</f>
        <v>37438.428809180441</v>
      </c>
      <c r="E472" s="597"/>
      <c r="F472" s="1942"/>
      <c r="G472" s="1921"/>
      <c r="H472" s="1644"/>
      <c r="I472" s="1644"/>
      <c r="J472" s="597"/>
      <c r="K472" s="1942">
        <f t="shared" si="273"/>
        <v>3.89</v>
      </c>
      <c r="L472" s="1921" t="s">
        <v>495</v>
      </c>
      <c r="M472" s="1942">
        <f t="shared" si="274"/>
        <v>17.137528114911813</v>
      </c>
      <c r="N472" s="1921" t="s">
        <v>495</v>
      </c>
      <c r="O472" s="1942">
        <f t="shared" si="275"/>
        <v>1.3496999999999999</v>
      </c>
      <c r="P472" s="1921" t="s">
        <v>495</v>
      </c>
      <c r="Q472" s="1942">
        <f t="shared" si="276"/>
        <v>22.377228114911812</v>
      </c>
      <c r="R472" s="1921" t="s">
        <v>495</v>
      </c>
      <c r="S472" s="1644">
        <f>ROUND($D472*K472/100,0)</f>
        <v>1456</v>
      </c>
      <c r="T472" s="1648"/>
      <c r="U472" s="1644">
        <f>ROUND($D472*M472/100,0)</f>
        <v>6416</v>
      </c>
      <c r="V472" s="1648"/>
      <c r="W472" s="1644">
        <f>ROUND($D472*O472/100,0)</f>
        <v>505</v>
      </c>
      <c r="X472" s="1648"/>
      <c r="Y472" s="1644">
        <f>ROUND($D472*Q472/100,0)</f>
        <v>8378</v>
      </c>
      <c r="AA472" s="596"/>
      <c r="AB472" s="596"/>
      <c r="AI472" s="2023">
        <f>W472-'Blocking-Step2'!W472</f>
        <v>0</v>
      </c>
      <c r="AJ472" s="2054">
        <f>O472-'Blocking-Step2'!O472</f>
        <v>0</v>
      </c>
    </row>
    <row r="473" spans="1:36" hidden="1">
      <c r="A473" s="1900" t="s">
        <v>1911</v>
      </c>
      <c r="C473" s="528">
        <f>'BD-Redesign'!I24</f>
        <v>26685</v>
      </c>
      <c r="D473" s="528">
        <f t="shared" si="277"/>
        <v>75257.587402861027</v>
      </c>
      <c r="E473" s="597"/>
      <c r="F473" s="1942"/>
      <c r="G473" s="1921"/>
      <c r="H473" s="1644"/>
      <c r="I473" s="1644"/>
      <c r="J473" s="597"/>
      <c r="K473" s="1942">
        <f t="shared" si="273"/>
        <v>3.89</v>
      </c>
      <c r="L473" s="1921" t="s">
        <v>495</v>
      </c>
      <c r="M473" s="1942">
        <f t="shared" si="274"/>
        <v>-1.0877975226579997</v>
      </c>
      <c r="N473" s="1921" t="s">
        <v>495</v>
      </c>
      <c r="O473" s="1942">
        <f t="shared" si="275"/>
        <v>1.3496999999999999</v>
      </c>
      <c r="P473" s="1921" t="s">
        <v>495</v>
      </c>
      <c r="Q473" s="1942">
        <f t="shared" si="276"/>
        <v>4.1519024773420004</v>
      </c>
      <c r="R473" s="1921" t="s">
        <v>495</v>
      </c>
      <c r="S473" s="1644">
        <f t="shared" ref="S473:S479" si="278">ROUND($D473*K473/100,0)</f>
        <v>2928</v>
      </c>
      <c r="T473" s="1648"/>
      <c r="U473" s="1644">
        <f t="shared" ref="U473:U479" si="279">ROUND($D473*M473/100,0)</f>
        <v>-819</v>
      </c>
      <c r="V473" s="1648"/>
      <c r="W473" s="1644">
        <f t="shared" ref="W473:W479" si="280">ROUND($D473*O473/100,0)</f>
        <v>1016</v>
      </c>
      <c r="X473" s="1648"/>
      <c r="Y473" s="1644">
        <f t="shared" ref="Y473:Y479" si="281">ROUND($D473*Q473/100,0)</f>
        <v>3125</v>
      </c>
      <c r="AA473" s="596"/>
      <c r="AB473" s="596"/>
      <c r="AI473" s="2023">
        <f>W473-'Blocking-Step2'!W473</f>
        <v>0</v>
      </c>
      <c r="AJ473" s="2054">
        <f>O473-'Blocking-Step2'!O473</f>
        <v>0</v>
      </c>
    </row>
    <row r="474" spans="1:36" hidden="1">
      <c r="A474" s="1900" t="s">
        <v>1912</v>
      </c>
      <c r="C474" s="528">
        <f>'BD-Redesign'!I25</f>
        <v>22525</v>
      </c>
      <c r="D474" s="528">
        <f t="shared" si="277"/>
        <v>63525.469599004857</v>
      </c>
      <c r="E474" s="597"/>
      <c r="F474" s="1942"/>
      <c r="G474" s="1921"/>
      <c r="H474" s="1644"/>
      <c r="I474" s="1644"/>
      <c r="J474" s="597"/>
      <c r="K474" s="1942">
        <f t="shared" si="273"/>
        <v>3.89</v>
      </c>
      <c r="L474" s="1921" t="s">
        <v>495</v>
      </c>
      <c r="M474" s="1942">
        <f t="shared" si="274"/>
        <v>14.718500000000001</v>
      </c>
      <c r="N474" s="1921" t="s">
        <v>495</v>
      </c>
      <c r="O474" s="1942">
        <f t="shared" si="275"/>
        <v>1.1943999999999999</v>
      </c>
      <c r="P474" s="1921" t="s">
        <v>495</v>
      </c>
      <c r="Q474" s="1942">
        <f t="shared" si="276"/>
        <v>19.802900000000001</v>
      </c>
      <c r="R474" s="1921" t="s">
        <v>495</v>
      </c>
      <c r="S474" s="1644">
        <f t="shared" si="278"/>
        <v>2471</v>
      </c>
      <c r="T474" s="1648"/>
      <c r="U474" s="1644">
        <f t="shared" si="279"/>
        <v>9350</v>
      </c>
      <c r="V474" s="1648"/>
      <c r="W474" s="1644">
        <f t="shared" si="280"/>
        <v>759</v>
      </c>
      <c r="X474" s="1648"/>
      <c r="Y474" s="1644">
        <f t="shared" si="281"/>
        <v>12580</v>
      </c>
      <c r="AA474" s="596"/>
      <c r="AB474" s="596"/>
      <c r="AI474" s="2023">
        <f>W474-'Blocking-Step2'!W474</f>
        <v>0</v>
      </c>
      <c r="AJ474" s="2054">
        <f>O474-'Blocking-Step2'!O474</f>
        <v>0</v>
      </c>
    </row>
    <row r="475" spans="1:36" hidden="1">
      <c r="A475" s="1900" t="s">
        <v>1913</v>
      </c>
      <c r="C475" s="528">
        <f>'BD-Redesign'!I26</f>
        <v>46055</v>
      </c>
      <c r="D475" s="528">
        <f t="shared" si="277"/>
        <v>129885.26092706631</v>
      </c>
      <c r="E475" s="597"/>
      <c r="F475" s="1942"/>
      <c r="G475" s="1921"/>
      <c r="H475" s="1644"/>
      <c r="I475" s="1644"/>
      <c r="J475" s="597"/>
      <c r="K475" s="1942">
        <f t="shared" si="273"/>
        <v>3.89</v>
      </c>
      <c r="L475" s="1921" t="s">
        <v>495</v>
      </c>
      <c r="M475" s="1942">
        <f t="shared" si="274"/>
        <v>-1.4102000000000001</v>
      </c>
      <c r="N475" s="1921" t="s">
        <v>495</v>
      </c>
      <c r="O475" s="1942">
        <f t="shared" si="275"/>
        <v>1.1943999999999999</v>
      </c>
      <c r="P475" s="1921" t="s">
        <v>495</v>
      </c>
      <c r="Q475" s="1942">
        <f t="shared" si="276"/>
        <v>3.6741999999999999</v>
      </c>
      <c r="R475" s="1921" t="s">
        <v>495</v>
      </c>
      <c r="S475" s="1644">
        <f t="shared" si="278"/>
        <v>5053</v>
      </c>
      <c r="T475" s="1648"/>
      <c r="U475" s="1644">
        <f t="shared" si="279"/>
        <v>-1832</v>
      </c>
      <c r="V475" s="1648"/>
      <c r="W475" s="1644">
        <f t="shared" si="280"/>
        <v>1551</v>
      </c>
      <c r="X475" s="1648"/>
      <c r="Y475" s="1644">
        <f t="shared" si="281"/>
        <v>4772</v>
      </c>
      <c r="AA475" s="596"/>
      <c r="AB475" s="596"/>
      <c r="AI475" s="2023">
        <f>W475-'Blocking-Step2'!W475</f>
        <v>0</v>
      </c>
      <c r="AJ475" s="2054">
        <f>O475-'Blocking-Step2'!O475</f>
        <v>0</v>
      </c>
    </row>
    <row r="476" spans="1:36" hidden="1">
      <c r="A476" s="1900" t="s">
        <v>1906</v>
      </c>
      <c r="C476" s="528">
        <f>'BD-Redesign'!I27</f>
        <v>22191.806131162721</v>
      </c>
      <c r="D476" s="528">
        <f t="shared" si="277"/>
        <v>62585.789377677567</v>
      </c>
      <c r="E476" s="597"/>
      <c r="F476" s="1942"/>
      <c r="G476" s="1921"/>
      <c r="H476" s="1644"/>
      <c r="I476" s="1644"/>
      <c r="J476" s="597"/>
      <c r="K476" s="1942">
        <f t="shared" si="273"/>
        <v>0</v>
      </c>
      <c r="L476" s="1921" t="s">
        <v>495</v>
      </c>
      <c r="M476" s="1942">
        <f t="shared" si="274"/>
        <v>0</v>
      </c>
      <c r="N476" s="1921" t="s">
        <v>495</v>
      </c>
      <c r="O476" s="1942">
        <f t="shared" si="275"/>
        <v>6</v>
      </c>
      <c r="P476" s="1921" t="s">
        <v>495</v>
      </c>
      <c r="Q476" s="1942">
        <f t="shared" si="276"/>
        <v>6</v>
      </c>
      <c r="R476" s="1921" t="s">
        <v>495</v>
      </c>
      <c r="S476" s="1644">
        <f t="shared" si="278"/>
        <v>0</v>
      </c>
      <c r="T476" s="1648"/>
      <c r="U476" s="1644">
        <f t="shared" si="279"/>
        <v>0</v>
      </c>
      <c r="V476" s="1648"/>
      <c r="W476" s="1644">
        <f t="shared" si="280"/>
        <v>3755</v>
      </c>
      <c r="X476" s="1648"/>
      <c r="Y476" s="1644">
        <f t="shared" si="281"/>
        <v>3755</v>
      </c>
      <c r="AA476" s="596"/>
      <c r="AB476" s="596"/>
      <c r="AI476" s="2023">
        <f>W476-'Blocking-Step2'!W476</f>
        <v>0</v>
      </c>
      <c r="AJ476" s="2054">
        <f>O476-'Blocking-Step2'!O476</f>
        <v>0</v>
      </c>
    </row>
    <row r="477" spans="1:36" hidden="1">
      <c r="A477" s="1900" t="s">
        <v>1907</v>
      </c>
      <c r="C477" s="528">
        <f>'BD-Redesign'!I28</f>
        <v>17768.193868837279</v>
      </c>
      <c r="D477" s="528">
        <f t="shared" si="277"/>
        <v>50110.226834363915</v>
      </c>
      <c r="E477" s="597"/>
      <c r="F477" s="1942"/>
      <c r="G477" s="1921"/>
      <c r="H477" s="1644"/>
      <c r="I477" s="1644"/>
      <c r="J477" s="597"/>
      <c r="K477" s="1942">
        <f t="shared" si="273"/>
        <v>0</v>
      </c>
      <c r="L477" s="1921" t="s">
        <v>495</v>
      </c>
      <c r="M477" s="1942">
        <f t="shared" si="274"/>
        <v>0</v>
      </c>
      <c r="N477" s="1921" t="s">
        <v>495</v>
      </c>
      <c r="O477" s="1942">
        <f t="shared" si="275"/>
        <v>-2.3358000000000008</v>
      </c>
      <c r="P477" s="1921" t="s">
        <v>495</v>
      </c>
      <c r="Q477" s="1942">
        <f t="shared" si="276"/>
        <v>-2.3358000000000008</v>
      </c>
      <c r="R477" s="1921" t="s">
        <v>495</v>
      </c>
      <c r="S477" s="1644">
        <f t="shared" si="278"/>
        <v>0</v>
      </c>
      <c r="T477" s="1648"/>
      <c r="U477" s="1644">
        <f t="shared" si="279"/>
        <v>0</v>
      </c>
      <c r="V477" s="1648"/>
      <c r="W477" s="1644">
        <f t="shared" si="280"/>
        <v>-1170</v>
      </c>
      <c r="X477" s="1648"/>
      <c r="Y477" s="1644">
        <f t="shared" si="281"/>
        <v>-1170</v>
      </c>
      <c r="AA477" s="596"/>
      <c r="AB477" s="596"/>
      <c r="AI477" s="2023">
        <f>W477-'Blocking-Step2'!W477</f>
        <v>0</v>
      </c>
      <c r="AJ477" s="2054">
        <f>O477-'Blocking-Step2'!O477</f>
        <v>0</v>
      </c>
    </row>
    <row r="478" spans="1:36" hidden="1">
      <c r="A478" s="1900" t="s">
        <v>1908</v>
      </c>
      <c r="C478" s="528">
        <f>'BD-Redesign'!I29</f>
        <v>38085.937549427908</v>
      </c>
      <c r="D478" s="528">
        <f t="shared" si="277"/>
        <v>107410.74663466282</v>
      </c>
      <c r="E478" s="597"/>
      <c r="F478" s="1942"/>
      <c r="G478" s="1921"/>
      <c r="H478" s="1644"/>
      <c r="I478" s="1644"/>
      <c r="J478" s="597"/>
      <c r="K478" s="1942">
        <f t="shared" si="273"/>
        <v>0</v>
      </c>
      <c r="L478" s="1921" t="s">
        <v>495</v>
      </c>
      <c r="M478" s="1942">
        <f t="shared" si="274"/>
        <v>0</v>
      </c>
      <c r="N478" s="1921" t="s">
        <v>495</v>
      </c>
      <c r="O478" s="1942">
        <f t="shared" si="275"/>
        <v>5.3097000000000003</v>
      </c>
      <c r="P478" s="1921" t="s">
        <v>495</v>
      </c>
      <c r="Q478" s="1942">
        <f t="shared" si="276"/>
        <v>5.3097000000000003</v>
      </c>
      <c r="R478" s="1921" t="s">
        <v>495</v>
      </c>
      <c r="S478" s="1644">
        <f t="shared" si="278"/>
        <v>0</v>
      </c>
      <c r="T478" s="1648"/>
      <c r="U478" s="1644">
        <f t="shared" si="279"/>
        <v>0</v>
      </c>
      <c r="V478" s="1648"/>
      <c r="W478" s="1644">
        <f t="shared" si="280"/>
        <v>5703</v>
      </c>
      <c r="X478" s="1648"/>
      <c r="Y478" s="1644">
        <f t="shared" si="281"/>
        <v>5703</v>
      </c>
      <c r="AA478" s="596"/>
      <c r="AB478" s="596"/>
      <c r="AI478" s="2023">
        <f>W478-'Blocking-Step2'!W478</f>
        <v>0</v>
      </c>
      <c r="AJ478" s="2054">
        <f>O478-'Blocking-Step2'!O478</f>
        <v>0</v>
      </c>
    </row>
    <row r="479" spans="1:36" hidden="1">
      <c r="A479" s="1900" t="s">
        <v>1909</v>
      </c>
      <c r="C479" s="528">
        <f>'BD-Redesign'!I30</f>
        <v>30494.062450572088</v>
      </c>
      <c r="D479" s="528">
        <f t="shared" si="277"/>
        <v>85999.983891408338</v>
      </c>
      <c r="E479" s="597"/>
      <c r="F479" s="1942"/>
      <c r="G479" s="1921"/>
      <c r="H479" s="1644"/>
      <c r="I479" s="1644"/>
      <c r="J479" s="597"/>
      <c r="K479" s="1942">
        <f t="shared" si="273"/>
        <v>0</v>
      </c>
      <c r="L479" s="1921" t="s">
        <v>495</v>
      </c>
      <c r="M479" s="1942">
        <f t="shared" si="274"/>
        <v>0</v>
      </c>
      <c r="N479" s="1921" t="s">
        <v>495</v>
      </c>
      <c r="O479" s="1942">
        <f t="shared" si="275"/>
        <v>-2.0670999999999999</v>
      </c>
      <c r="P479" s="1921" t="s">
        <v>495</v>
      </c>
      <c r="Q479" s="1942">
        <f t="shared" si="276"/>
        <v>-2.0670999999999999</v>
      </c>
      <c r="R479" s="1921" t="s">
        <v>495</v>
      </c>
      <c r="S479" s="1644">
        <f t="shared" si="278"/>
        <v>0</v>
      </c>
      <c r="T479" s="1648"/>
      <c r="U479" s="1644">
        <f t="shared" si="279"/>
        <v>0</v>
      </c>
      <c r="V479" s="1648"/>
      <c r="W479" s="1644">
        <f t="shared" si="280"/>
        <v>-1778</v>
      </c>
      <c r="X479" s="1648"/>
      <c r="Y479" s="1644">
        <f t="shared" si="281"/>
        <v>-1778</v>
      </c>
      <c r="AA479" s="596"/>
      <c r="AB479" s="596"/>
      <c r="AI479" s="2023">
        <f>W479-'Blocking-Step2'!W479</f>
        <v>0</v>
      </c>
      <c r="AJ479" s="2054">
        <f>O479-'Blocking-Step2'!O479</f>
        <v>0</v>
      </c>
    </row>
    <row r="480" spans="1:36" hidden="1">
      <c r="A480" s="1900" t="s">
        <v>261</v>
      </c>
      <c r="C480" s="528">
        <f>'BD-Redesign'!I31</f>
        <v>0</v>
      </c>
      <c r="D480" s="528">
        <f t="shared" si="277"/>
        <v>0</v>
      </c>
      <c r="F480" s="1901"/>
      <c r="G480" s="1902"/>
      <c r="H480" s="1644"/>
      <c r="I480" s="1644"/>
      <c r="K480" s="1901">
        <f t="shared" si="273"/>
        <v>-0.61</v>
      </c>
      <c r="L480" s="1902"/>
      <c r="M480" s="1901">
        <f t="shared" si="274"/>
        <v>0</v>
      </c>
      <c r="N480" s="1902"/>
      <c r="O480" s="1901">
        <f t="shared" si="275"/>
        <v>0</v>
      </c>
      <c r="P480" s="1902"/>
      <c r="Q480" s="1901">
        <f t="shared" si="276"/>
        <v>-0.61</v>
      </c>
      <c r="R480" s="1902"/>
      <c r="S480" s="1644">
        <f>ROUND($D480*K480,0)</f>
        <v>0</v>
      </c>
      <c r="T480" s="1643"/>
      <c r="U480" s="1644">
        <f>ROUND($D480*M480,0)</f>
        <v>0</v>
      </c>
      <c r="V480" s="1643"/>
      <c r="W480" s="1644">
        <f>ROUND($D480*O480,0)</f>
        <v>0</v>
      </c>
      <c r="X480" s="1643"/>
      <c r="Y480" s="1644">
        <f>ROUND($D480*Q480,0)</f>
        <v>0</v>
      </c>
      <c r="AA480" s="596"/>
      <c r="AB480" s="596"/>
      <c r="AI480" s="2023">
        <f>W480-'Blocking-Step2'!W480</f>
        <v>0</v>
      </c>
      <c r="AJ480" s="2054">
        <f>O480-'Blocking-Step2'!O480</f>
        <v>0</v>
      </c>
    </row>
    <row r="481" spans="1:36" hidden="1">
      <c r="A481" s="1116" t="s">
        <v>1158</v>
      </c>
      <c r="C481" s="528">
        <f>'BD-Redesign'!I32</f>
        <v>0</v>
      </c>
      <c r="D481" s="528">
        <f t="shared" si="277"/>
        <v>0</v>
      </c>
      <c r="F481" s="1943"/>
      <c r="G481" s="1921"/>
      <c r="H481" s="1644"/>
      <c r="I481" s="1644"/>
      <c r="K481" s="1943">
        <f t="shared" si="273"/>
        <v>0</v>
      </c>
      <c r="L481" s="1921" t="s">
        <v>495</v>
      </c>
      <c r="M481" s="1943">
        <f t="shared" si="274"/>
        <v>7.125</v>
      </c>
      <c r="N481" s="1921" t="s">
        <v>495</v>
      </c>
      <c r="O481" s="1943">
        <f t="shared" si="275"/>
        <v>0</v>
      </c>
      <c r="P481" s="1921" t="s">
        <v>495</v>
      </c>
      <c r="Q481" s="1943">
        <f t="shared" si="276"/>
        <v>7.125</v>
      </c>
      <c r="R481" s="1921" t="s">
        <v>495</v>
      </c>
      <c r="S481" s="1644">
        <f>ROUND($D481*K481/100,0)</f>
        <v>0</v>
      </c>
      <c r="T481" s="1648"/>
      <c r="U481" s="1644">
        <f>ROUND($D481*M481/100,0)</f>
        <v>0</v>
      </c>
      <c r="V481" s="1648"/>
      <c r="W481" s="1644">
        <f>ROUND($D481*O481/100,0)</f>
        <v>0</v>
      </c>
      <c r="X481" s="1648"/>
      <c r="Y481" s="1644">
        <f>ROUND($D481*Q481/100,0)</f>
        <v>0</v>
      </c>
      <c r="AA481" s="1109"/>
      <c r="AB481" s="1114"/>
      <c r="AI481" s="2023">
        <f>W481-'Blocking-Step2'!W481</f>
        <v>0</v>
      </c>
      <c r="AJ481" s="2054">
        <f>O481-'Blocking-Step2'!O481</f>
        <v>0</v>
      </c>
    </row>
    <row r="482" spans="1:36" hidden="1">
      <c r="A482" s="1900" t="s">
        <v>1240</v>
      </c>
      <c r="C482" s="584"/>
      <c r="D482" s="584"/>
      <c r="F482" s="1930"/>
      <c r="G482" s="597"/>
      <c r="H482" s="1644"/>
      <c r="I482" s="1644"/>
      <c r="K482" s="1930"/>
      <c r="L482" s="597"/>
      <c r="M482" s="1930"/>
      <c r="N482" s="597"/>
      <c r="O482" s="1931" t="str">
        <f>$O$43</f>
        <v>Tax Year 1 (1/1/2021)</v>
      </c>
      <c r="P482" s="597"/>
      <c r="Q482" s="1930">
        <f>$Q$979</f>
        <v>-1.6899999999999998E-2</v>
      </c>
      <c r="R482" s="597"/>
      <c r="S482" s="1645"/>
      <c r="T482" s="1645"/>
      <c r="U482" s="1645"/>
      <c r="V482" s="1645"/>
      <c r="W482" s="1645"/>
      <c r="X482" s="1645"/>
      <c r="Y482" s="1644">
        <f>Q482*SUM(Y472:Y475,Y481)</f>
        <v>-487.64949999999993</v>
      </c>
      <c r="AI482" s="2023">
        <f>W482-'Blocking-Step2'!W482</f>
        <v>0</v>
      </c>
      <c r="AJ482" s="2054">
        <f>O482-'Blocking-Step2'!O482</f>
        <v>0</v>
      </c>
    </row>
    <row r="483" spans="1:36" hidden="1">
      <c r="A483" s="1900"/>
      <c r="C483" s="584"/>
      <c r="D483" s="584"/>
      <c r="F483" s="1930"/>
      <c r="G483" s="597"/>
      <c r="H483" s="1644"/>
      <c r="I483" s="1644"/>
      <c r="K483" s="1930"/>
      <c r="L483" s="597"/>
      <c r="M483" s="1930"/>
      <c r="N483" s="597"/>
      <c r="O483" s="1931">
        <f>$O$44</f>
        <v>0</v>
      </c>
      <c r="P483" s="597"/>
      <c r="Q483" s="1930">
        <f>$Q$980</f>
        <v>0</v>
      </c>
      <c r="R483" s="597"/>
      <c r="S483" s="1645"/>
      <c r="T483" s="1645"/>
      <c r="U483" s="1645"/>
      <c r="V483" s="1645"/>
      <c r="W483" s="1645"/>
      <c r="X483" s="1645"/>
      <c r="Y483" s="1644">
        <f>Q483*SUM(Y472:Y475,Y481)</f>
        <v>0</v>
      </c>
      <c r="AI483" s="2023">
        <f>W483-'Blocking-Step2'!W483</f>
        <v>0</v>
      </c>
      <c r="AJ483" s="2054">
        <f>O483-'Blocking-Step2'!O483</f>
        <v>0</v>
      </c>
    </row>
    <row r="484" spans="1:36" hidden="1">
      <c r="A484" s="1900" t="s">
        <v>1923</v>
      </c>
      <c r="C484" s="528">
        <f>SUM(C476:C479,C481)</f>
        <v>108540</v>
      </c>
      <c r="D484" s="528">
        <f>D502</f>
        <v>306106.74673811265</v>
      </c>
      <c r="F484" s="1901"/>
      <c r="G484" s="1902"/>
      <c r="H484" s="1644"/>
      <c r="I484" s="1644"/>
      <c r="K484" s="1901"/>
      <c r="L484" s="1902"/>
      <c r="M484" s="1901"/>
      <c r="N484" s="1902"/>
      <c r="O484" s="1901"/>
      <c r="P484" s="1902"/>
      <c r="Q484" s="1901"/>
      <c r="R484" s="1902"/>
      <c r="S484" s="1644">
        <f>SUM(S471:S481)</f>
        <v>13657</v>
      </c>
      <c r="T484" s="1643"/>
      <c r="U484" s="1644">
        <f>SUM(U471:U481)</f>
        <v>13115</v>
      </c>
      <c r="V484" s="1643"/>
      <c r="W484" s="1644">
        <f>SUM(W471:W481)</f>
        <v>10341</v>
      </c>
      <c r="X484" s="1643"/>
      <c r="Y484" s="1644">
        <f>SUM(Y471:Y481)</f>
        <v>37114</v>
      </c>
      <c r="AA484" s="1109" t="s">
        <v>1743</v>
      </c>
      <c r="AB484" s="1499">
        <f>Y484/Y502-1</f>
        <v>-0.18595367608352342</v>
      </c>
      <c r="AI484" s="2023">
        <f>W484-'Blocking-Step2'!W484</f>
        <v>0</v>
      </c>
      <c r="AJ484" s="2054">
        <f>O484-'Blocking-Step2'!O484</f>
        <v>0</v>
      </c>
    </row>
    <row r="485" spans="1:36" hidden="1">
      <c r="A485" s="1900"/>
      <c r="C485" s="528"/>
      <c r="D485" s="528"/>
      <c r="F485" s="1901"/>
      <c r="G485" s="1902"/>
      <c r="H485" s="1644"/>
      <c r="I485" s="1644"/>
      <c r="K485" s="1901"/>
      <c r="L485" s="1902"/>
      <c r="M485" s="1901"/>
      <c r="N485" s="1902"/>
      <c r="O485" s="1901"/>
      <c r="P485" s="1902"/>
      <c r="Q485" s="1901"/>
      <c r="R485" s="1902"/>
      <c r="S485" s="1643"/>
      <c r="T485" s="1643"/>
      <c r="U485" s="1643"/>
      <c r="V485" s="1643"/>
      <c r="W485" s="1643"/>
      <c r="X485" s="1643"/>
      <c r="Y485" s="1644"/>
      <c r="AA485" s="1109"/>
      <c r="AB485" s="1114"/>
      <c r="AI485" s="2023">
        <f>W485-'Blocking-Step2'!W485</f>
        <v>0</v>
      </c>
      <c r="AJ485" s="2054">
        <f>O485-'Blocking-Step2'!O485</f>
        <v>0</v>
      </c>
    </row>
    <row r="486" spans="1:36" hidden="1">
      <c r="A486" s="1900" t="s">
        <v>240</v>
      </c>
      <c r="C486" s="528">
        <f>C471</f>
        <v>12</v>
      </c>
      <c r="D486" s="528">
        <f>C486*D813/C813</f>
        <v>33</v>
      </c>
      <c r="F486" s="1944">
        <f>F384</f>
        <v>54</v>
      </c>
      <c r="G486" s="597"/>
      <c r="H486" s="1644">
        <f t="shared" ref="H486:I488" si="282">ROUND($F486*C486,0)</f>
        <v>648</v>
      </c>
      <c r="I486" s="1644">
        <f t="shared" si="282"/>
        <v>1782</v>
      </c>
      <c r="K486" s="1944">
        <f t="shared" ref="K486:K493" si="283">K384</f>
        <v>53</v>
      </c>
      <c r="L486" s="597"/>
      <c r="M486" s="1944">
        <f t="shared" ref="M486:M493" si="284">M384</f>
        <v>0</v>
      </c>
      <c r="N486" s="597"/>
      <c r="O486" s="1944">
        <f t="shared" ref="O486:O493" si="285">O384</f>
        <v>0</v>
      </c>
      <c r="P486" s="597"/>
      <c r="Q486" s="1944">
        <f t="shared" ref="Q486:Q493" si="286">Q384</f>
        <v>53</v>
      </c>
      <c r="R486" s="597"/>
      <c r="S486" s="1644">
        <f>ROUND($D486*K486,0)</f>
        <v>1749</v>
      </c>
      <c r="T486" s="1643"/>
      <c r="U486" s="1644">
        <f>ROUND($D486*M486,0)</f>
        <v>0</v>
      </c>
      <c r="V486" s="1643"/>
      <c r="W486" s="1644">
        <f>ROUND($D486*O486,0)</f>
        <v>0</v>
      </c>
      <c r="X486" s="1643"/>
      <c r="Y486" s="1644">
        <f>ROUND($D486*Q486,0)</f>
        <v>1749</v>
      </c>
      <c r="AI486" s="2023">
        <f>W486-'Blocking-Step2'!W486</f>
        <v>0</v>
      </c>
      <c r="AJ486" s="2054">
        <f>O486-'Blocking-Step2'!O486</f>
        <v>0</v>
      </c>
    </row>
    <row r="487" spans="1:36" hidden="1">
      <c r="A487" s="1900" t="s">
        <v>262</v>
      </c>
      <c r="C487" s="584">
        <v>0</v>
      </c>
      <c r="D487" s="528">
        <v>0</v>
      </c>
      <c r="F487" s="1944">
        <f>F385</f>
        <v>648</v>
      </c>
      <c r="G487" s="597"/>
      <c r="H487" s="1644">
        <f t="shared" si="282"/>
        <v>0</v>
      </c>
      <c r="I487" s="1644">
        <f t="shared" si="282"/>
        <v>0</v>
      </c>
      <c r="K487" s="1944">
        <f t="shared" si="283"/>
        <v>636</v>
      </c>
      <c r="L487" s="597"/>
      <c r="M487" s="1944">
        <f t="shared" si="284"/>
        <v>0</v>
      </c>
      <c r="N487" s="597"/>
      <c r="O487" s="1944">
        <f t="shared" si="285"/>
        <v>0</v>
      </c>
      <c r="P487" s="597"/>
      <c r="Q487" s="1944">
        <f t="shared" si="286"/>
        <v>636</v>
      </c>
      <c r="R487" s="597"/>
      <c r="S487" s="1644">
        <f t="shared" ref="S487:S491" si="287">ROUND($D487*K487,0)</f>
        <v>0</v>
      </c>
      <c r="T487" s="1643"/>
      <c r="U487" s="1644">
        <f t="shared" ref="U487:U491" si="288">ROUND($D487*M487,0)</f>
        <v>0</v>
      </c>
      <c r="V487" s="1643"/>
      <c r="W487" s="1644">
        <f t="shared" ref="W487:W491" si="289">ROUND($D487*O487,0)</f>
        <v>0</v>
      </c>
      <c r="X487" s="1643"/>
      <c r="Y487" s="1644">
        <f t="shared" ref="Y487:Y491" si="290">ROUND($D487*Q487,0)</f>
        <v>0</v>
      </c>
      <c r="AI487" s="2023">
        <f>W487-'Blocking-Step2'!W487</f>
        <v>0</v>
      </c>
      <c r="AJ487" s="2054">
        <f>O487-'Blocking-Step2'!O487</f>
        <v>0</v>
      </c>
    </row>
    <row r="488" spans="1:36" hidden="1">
      <c r="A488" s="1900" t="s">
        <v>1298</v>
      </c>
      <c r="C488" s="528">
        <v>0</v>
      </c>
      <c r="D488" s="528">
        <v>0</v>
      </c>
      <c r="F488" s="1944">
        <f>F386</f>
        <v>54</v>
      </c>
      <c r="G488" s="597"/>
      <c r="H488" s="1644">
        <f t="shared" si="282"/>
        <v>0</v>
      </c>
      <c r="I488" s="1644">
        <f t="shared" si="282"/>
        <v>0</v>
      </c>
      <c r="K488" s="1944">
        <f t="shared" si="283"/>
        <v>53</v>
      </c>
      <c r="L488" s="597"/>
      <c r="M488" s="1944">
        <f t="shared" si="284"/>
        <v>0</v>
      </c>
      <c r="N488" s="597"/>
      <c r="O488" s="1944">
        <f t="shared" si="285"/>
        <v>0</v>
      </c>
      <c r="P488" s="597"/>
      <c r="Q488" s="1944">
        <f t="shared" si="286"/>
        <v>53</v>
      </c>
      <c r="R488" s="597"/>
      <c r="S488" s="1644">
        <f t="shared" si="287"/>
        <v>0</v>
      </c>
      <c r="T488" s="1645"/>
      <c r="U488" s="1644">
        <f t="shared" si="288"/>
        <v>0</v>
      </c>
      <c r="V488" s="1645"/>
      <c r="W488" s="1644">
        <f t="shared" si="289"/>
        <v>0</v>
      </c>
      <c r="X488" s="1645"/>
      <c r="Y488" s="1644">
        <f t="shared" si="290"/>
        <v>0</v>
      </c>
      <c r="AI488" s="2023">
        <f>W488-'Blocking-Step2'!W488</f>
        <v>0</v>
      </c>
      <c r="AJ488" s="2054">
        <f>O488-'Blocking-Step2'!O488</f>
        <v>0</v>
      </c>
    </row>
    <row r="489" spans="1:36" hidden="1">
      <c r="A489" s="1900" t="s">
        <v>168</v>
      </c>
      <c r="C489" s="528">
        <f>'BD-Redesign'!I55</f>
        <v>716</v>
      </c>
      <c r="D489" s="528">
        <f>ROUND(C489/$C$502*$D$502,0)</f>
        <v>2019</v>
      </c>
      <c r="F489" s="1944">
        <f>F387</f>
        <v>4.04</v>
      </c>
      <c r="G489" s="597"/>
      <c r="H489" s="1644">
        <f>ROUND($F489*C489,0)</f>
        <v>2893</v>
      </c>
      <c r="I489" s="1644">
        <f>ROUND($F489*D489,0)</f>
        <v>8157</v>
      </c>
      <c r="K489" s="1944">
        <f t="shared" si="283"/>
        <v>3.98</v>
      </c>
      <c r="L489" s="597"/>
      <c r="M489" s="1944">
        <f t="shared" si="284"/>
        <v>0</v>
      </c>
      <c r="N489" s="597"/>
      <c r="O489" s="1944">
        <f t="shared" si="285"/>
        <v>0</v>
      </c>
      <c r="P489" s="597"/>
      <c r="Q489" s="1944">
        <f t="shared" si="286"/>
        <v>3.98</v>
      </c>
      <c r="R489" s="597"/>
      <c r="S489" s="1644">
        <f t="shared" si="287"/>
        <v>8036</v>
      </c>
      <c r="T489" s="1643"/>
      <c r="U489" s="1644">
        <f t="shared" si="288"/>
        <v>0</v>
      </c>
      <c r="V489" s="1643"/>
      <c r="W489" s="1644">
        <f t="shared" si="289"/>
        <v>0</v>
      </c>
      <c r="X489" s="1643"/>
      <c r="Y489" s="1644">
        <f t="shared" si="290"/>
        <v>8036</v>
      </c>
      <c r="AI489" s="2023">
        <f>W489-'Blocking-Step2'!W489</f>
        <v>0</v>
      </c>
      <c r="AJ489" s="2054">
        <f>O489-'Blocking-Step2'!O489</f>
        <v>0</v>
      </c>
    </row>
    <row r="490" spans="1:36" hidden="1">
      <c r="A490" s="1900" t="s">
        <v>1645</v>
      </c>
      <c r="C490" s="528">
        <f>'BD-Redesign'!I56</f>
        <v>265.5</v>
      </c>
      <c r="D490" s="528">
        <f t="shared" ref="D490:D491" si="291">ROUND(C490/$C$502*$D$502,0)</f>
        <v>749</v>
      </c>
      <c r="F490" s="1944"/>
      <c r="G490" s="597"/>
      <c r="H490" s="1644"/>
      <c r="I490" s="1644"/>
      <c r="K490" s="1944">
        <f t="shared" si="283"/>
        <v>6.22</v>
      </c>
      <c r="L490" s="597"/>
      <c r="M490" s="1944">
        <f t="shared" si="284"/>
        <v>7.0100000000000007</v>
      </c>
      <c r="N490" s="597"/>
      <c r="O490" s="1944">
        <f t="shared" si="285"/>
        <v>0</v>
      </c>
      <c r="P490" s="597"/>
      <c r="Q490" s="1944">
        <f t="shared" si="286"/>
        <v>13.23</v>
      </c>
      <c r="R490" s="597"/>
      <c r="S490" s="1644">
        <f t="shared" si="287"/>
        <v>4659</v>
      </c>
      <c r="T490" s="1645"/>
      <c r="U490" s="1644">
        <f t="shared" si="288"/>
        <v>5250</v>
      </c>
      <c r="V490" s="1645"/>
      <c r="W490" s="1644">
        <f t="shared" si="289"/>
        <v>0</v>
      </c>
      <c r="X490" s="1645"/>
      <c r="Y490" s="1644">
        <f t="shared" si="290"/>
        <v>9909</v>
      </c>
      <c r="AI490" s="2023">
        <f>W490-'Blocking-Step2'!W490</f>
        <v>0</v>
      </c>
      <c r="AJ490" s="2054">
        <f>O490-'Blocking-Step2'!O490</f>
        <v>0</v>
      </c>
    </row>
    <row r="491" spans="1:36" hidden="1">
      <c r="A491" s="1900" t="s">
        <v>1646</v>
      </c>
      <c r="C491" s="528">
        <f>'BD-Redesign'!I57</f>
        <v>450.5</v>
      </c>
      <c r="D491" s="528">
        <f t="shared" si="291"/>
        <v>1271</v>
      </c>
      <c r="F491" s="1944"/>
      <c r="G491" s="597"/>
      <c r="H491" s="1644"/>
      <c r="I491" s="1644"/>
      <c r="K491" s="1944">
        <f t="shared" si="283"/>
        <v>5.5</v>
      </c>
      <c r="L491" s="597"/>
      <c r="M491" s="1944">
        <f t="shared" si="284"/>
        <v>6.2100000000000009</v>
      </c>
      <c r="N491" s="597"/>
      <c r="O491" s="1944">
        <f t="shared" si="285"/>
        <v>0</v>
      </c>
      <c r="P491" s="597"/>
      <c r="Q491" s="1944">
        <f t="shared" si="286"/>
        <v>11.71</v>
      </c>
      <c r="R491" s="597"/>
      <c r="S491" s="1644">
        <f t="shared" si="287"/>
        <v>6991</v>
      </c>
      <c r="T491" s="1645"/>
      <c r="U491" s="1644">
        <f t="shared" si="288"/>
        <v>7893</v>
      </c>
      <c r="V491" s="1645"/>
      <c r="W491" s="1644">
        <f t="shared" si="289"/>
        <v>0</v>
      </c>
      <c r="X491" s="1645"/>
      <c r="Y491" s="1644">
        <f t="shared" si="290"/>
        <v>14883</v>
      </c>
      <c r="AI491" s="2023">
        <f>W491-'Blocking-Step2'!W491</f>
        <v>0</v>
      </c>
      <c r="AJ491" s="2054">
        <f>O491-'Blocking-Step2'!O491</f>
        <v>0</v>
      </c>
    </row>
    <row r="492" spans="1:36" hidden="1">
      <c r="A492" s="1900" t="s">
        <v>1647</v>
      </c>
      <c r="C492" s="528">
        <f>'BD-Redesign'!I59</f>
        <v>39960</v>
      </c>
      <c r="D492" s="528">
        <f>D502-D493</f>
        <v>112695.74673811265</v>
      </c>
      <c r="F492" s="1943"/>
      <c r="G492" s="1921"/>
      <c r="H492" s="1644"/>
      <c r="I492" s="1644"/>
      <c r="K492" s="1943">
        <f t="shared" si="283"/>
        <v>0</v>
      </c>
      <c r="L492" s="1921" t="s">
        <v>495</v>
      </c>
      <c r="M492" s="1943">
        <f t="shared" si="284"/>
        <v>1.5747172373309999</v>
      </c>
      <c r="N492" s="1921" t="s">
        <v>495</v>
      </c>
      <c r="O492" s="1943">
        <f t="shared" si="285"/>
        <v>2.305570240802</v>
      </c>
      <c r="P492" s="1921" t="s">
        <v>495</v>
      </c>
      <c r="Q492" s="1943">
        <f t="shared" si="286"/>
        <v>3.8802874781329999</v>
      </c>
      <c r="R492" s="1921" t="s">
        <v>495</v>
      </c>
      <c r="S492" s="1644">
        <f>ROUND($D492*K492/100,0)</f>
        <v>0</v>
      </c>
      <c r="T492" s="1648"/>
      <c r="U492" s="1644">
        <f>ROUND($D492*M492/100,0)</f>
        <v>1775</v>
      </c>
      <c r="V492" s="1648"/>
      <c r="W492" s="1644">
        <f>ROUND($D492*O492/100,0)</f>
        <v>2598</v>
      </c>
      <c r="X492" s="1648"/>
      <c r="Y492" s="1644">
        <f>ROUND($D492*Q492/100,0)</f>
        <v>4373</v>
      </c>
      <c r="AI492" s="2023">
        <f>W492-'Blocking-Step2'!W492</f>
        <v>0</v>
      </c>
      <c r="AJ492" s="2054">
        <f>O492-'Blocking-Step2'!O492</f>
        <v>0</v>
      </c>
    </row>
    <row r="493" spans="1:36" hidden="1">
      <c r="A493" s="1900" t="s">
        <v>1648</v>
      </c>
      <c r="C493" s="528">
        <f>'BD-Redesign'!I60</f>
        <v>68580</v>
      </c>
      <c r="D493" s="528">
        <f>ROUND(C493/C502*D502,0)</f>
        <v>193411</v>
      </c>
      <c r="F493" s="1943"/>
      <c r="G493" s="1921"/>
      <c r="H493" s="1644"/>
      <c r="I493" s="1644"/>
      <c r="K493" s="1943">
        <f t="shared" si="283"/>
        <v>0</v>
      </c>
      <c r="L493" s="1921" t="s">
        <v>495</v>
      </c>
      <c r="M493" s="1943">
        <f t="shared" si="284"/>
        <v>1.3935347233019999</v>
      </c>
      <c r="N493" s="1921" t="s">
        <v>495</v>
      </c>
      <c r="O493" s="1943">
        <f t="shared" si="285"/>
        <v>2.0403480007099999</v>
      </c>
      <c r="P493" s="1921" t="s">
        <v>495</v>
      </c>
      <c r="Q493" s="1943">
        <f t="shared" si="286"/>
        <v>3.4338827240119998</v>
      </c>
      <c r="R493" s="1921" t="s">
        <v>495</v>
      </c>
      <c r="S493" s="1644">
        <f>ROUND($D493*K493/100,0)</f>
        <v>0</v>
      </c>
      <c r="T493" s="1648"/>
      <c r="U493" s="1644">
        <f>ROUND($D493*M493/100,0)</f>
        <v>2695</v>
      </c>
      <c r="V493" s="1648"/>
      <c r="W493" s="1644">
        <f>ROUND($D493*O493/100,0)</f>
        <v>3946</v>
      </c>
      <c r="X493" s="1648"/>
      <c r="Y493" s="1644">
        <f>ROUND($D493*Q493/100,0)</f>
        <v>6642</v>
      </c>
      <c r="AI493" s="2023">
        <f>W493-'Blocking-Step2'!W493</f>
        <v>0</v>
      </c>
      <c r="AJ493" s="2054">
        <f>O493-'Blocking-Step2'!O493</f>
        <v>0</v>
      </c>
    </row>
    <row r="494" spans="1:36" hidden="1">
      <c r="A494" s="1900" t="s">
        <v>196</v>
      </c>
      <c r="C494" s="528">
        <f>(C490+C491)*C817/(C817+C818)</f>
        <v>278.86509449682785</v>
      </c>
      <c r="D494" s="528">
        <f>ROUND(C494/C502*D502,0)</f>
        <v>786</v>
      </c>
      <c r="F494" s="1944">
        <f>F392</f>
        <v>14.62</v>
      </c>
      <c r="G494" s="597"/>
      <c r="H494" s="1644">
        <f t="shared" ref="H494:I496" si="292">ROUND($F494*C494,0)</f>
        <v>4077</v>
      </c>
      <c r="I494" s="1644">
        <f t="shared" si="292"/>
        <v>11491</v>
      </c>
      <c r="K494" s="1944"/>
      <c r="L494" s="597"/>
      <c r="M494" s="1944"/>
      <c r="N494" s="597"/>
      <c r="O494" s="1944"/>
      <c r="P494" s="597"/>
      <c r="Q494" s="1944"/>
      <c r="R494" s="597"/>
      <c r="S494" s="1644"/>
      <c r="T494" s="1643"/>
      <c r="U494" s="1644"/>
      <c r="V494" s="1643"/>
      <c r="W494" s="1644"/>
      <c r="X494" s="1643"/>
      <c r="Y494" s="1644"/>
      <c r="AI494" s="2023">
        <f>W494-'Blocking-Step2'!W494</f>
        <v>0</v>
      </c>
      <c r="AJ494" s="2054">
        <f>O494-'Blocking-Step2'!O494</f>
        <v>0</v>
      </c>
    </row>
    <row r="495" spans="1:36" hidden="1">
      <c r="A495" s="1900" t="s">
        <v>161</v>
      </c>
      <c r="C495" s="528">
        <f>C490+C491-C494</f>
        <v>437.13490550317215</v>
      </c>
      <c r="D495" s="528">
        <f>ROUND(C495/C502*D502,0)</f>
        <v>1233</v>
      </c>
      <c r="F495" s="1944">
        <f>F393</f>
        <v>10.91</v>
      </c>
      <c r="G495" s="597"/>
      <c r="H495" s="1644">
        <f t="shared" si="292"/>
        <v>4769</v>
      </c>
      <c r="I495" s="1644">
        <f t="shared" si="292"/>
        <v>13452</v>
      </c>
      <c r="K495" s="1944"/>
      <c r="L495" s="597"/>
      <c r="M495" s="1944"/>
      <c r="N495" s="597"/>
      <c r="O495" s="1944"/>
      <c r="P495" s="597"/>
      <c r="Q495" s="1944"/>
      <c r="R495" s="597"/>
      <c r="S495" s="1644"/>
      <c r="T495" s="1643"/>
      <c r="U495" s="1644"/>
      <c r="V495" s="1643"/>
      <c r="W495" s="1644"/>
      <c r="X495" s="1643"/>
      <c r="Y495" s="1644"/>
      <c r="AI495" s="2023">
        <f>W495-'Blocking-Step2'!W495</f>
        <v>0</v>
      </c>
      <c r="AJ495" s="2054">
        <f>O495-'Blocking-Step2'!O495</f>
        <v>0</v>
      </c>
    </row>
    <row r="496" spans="1:36" hidden="1">
      <c r="A496" s="1900" t="s">
        <v>261</v>
      </c>
      <c r="C496" s="528">
        <f>C480</f>
        <v>0</v>
      </c>
      <c r="D496" s="528">
        <f>D480</f>
        <v>0</v>
      </c>
      <c r="F496" s="1944">
        <f>F394</f>
        <v>-0.96</v>
      </c>
      <c r="G496" s="597"/>
      <c r="H496" s="1644">
        <f t="shared" si="292"/>
        <v>0</v>
      </c>
      <c r="I496" s="1644">
        <f t="shared" si="292"/>
        <v>0</v>
      </c>
      <c r="K496" s="1944">
        <f>K394</f>
        <v>-0.96</v>
      </c>
      <c r="L496" s="597"/>
      <c r="M496" s="1944">
        <f>M394</f>
        <v>0</v>
      </c>
      <c r="N496" s="597"/>
      <c r="O496" s="1944">
        <f>O394</f>
        <v>0</v>
      </c>
      <c r="P496" s="597"/>
      <c r="Q496" s="1944">
        <f>Q394</f>
        <v>-0.96</v>
      </c>
      <c r="R496" s="597"/>
      <c r="S496" s="1644">
        <f t="shared" ref="S496" si="293">ROUND($D496*K496,0)</f>
        <v>0</v>
      </c>
      <c r="T496" s="1643"/>
      <c r="U496" s="1644">
        <f t="shared" ref="U496" si="294">ROUND($D496*M496,0)</f>
        <v>0</v>
      </c>
      <c r="V496" s="1643"/>
      <c r="W496" s="1644">
        <f t="shared" ref="W496" si="295">ROUND($D496*O496,0)</f>
        <v>0</v>
      </c>
      <c r="X496" s="1643"/>
      <c r="Y496" s="1644">
        <f t="shared" ref="Y496" si="296">ROUND($D496*Q496,0)</f>
        <v>0</v>
      </c>
      <c r="AI496" s="2023">
        <f>W496-'Blocking-Step2'!W496</f>
        <v>0</v>
      </c>
      <c r="AJ496" s="2054">
        <f>O496-'Blocking-Step2'!O496</f>
        <v>0</v>
      </c>
    </row>
    <row r="497" spans="1:36" hidden="1">
      <c r="A497" s="1900" t="s">
        <v>1362</v>
      </c>
      <c r="C497" s="528">
        <f>(C492+C493)*C824/(C824+C825)</f>
        <v>51673.888905823311</v>
      </c>
      <c r="D497" s="528">
        <f>ROUND(C497/C502*D502,0)</f>
        <v>145732</v>
      </c>
      <c r="F497" s="1943">
        <f>F395</f>
        <v>3.8127</v>
      </c>
      <c r="G497" s="1921" t="s">
        <v>495</v>
      </c>
      <c r="H497" s="1644">
        <f>ROUND($F497*C497/100,0)</f>
        <v>1970</v>
      </c>
      <c r="I497" s="1644">
        <f>ROUND($F497*D497/100,0)</f>
        <v>5556</v>
      </c>
      <c r="K497" s="1943"/>
      <c r="L497" s="1921"/>
      <c r="M497" s="1943"/>
      <c r="N497" s="1921"/>
      <c r="O497" s="1943"/>
      <c r="P497" s="1921"/>
      <c r="Q497" s="1943"/>
      <c r="R497" s="1921"/>
      <c r="S497" s="1648"/>
      <c r="T497" s="1648"/>
      <c r="U497" s="1648"/>
      <c r="V497" s="1648"/>
      <c r="W497" s="1648"/>
      <c r="X497" s="1648"/>
      <c r="Y497" s="1644"/>
      <c r="AI497" s="2023">
        <f>W497-'Blocking-Step2'!W497</f>
        <v>0</v>
      </c>
      <c r="AJ497" s="2054">
        <f>O497-'Blocking-Step2'!O497</f>
        <v>0</v>
      </c>
    </row>
    <row r="498" spans="1:36" hidden="1">
      <c r="A498" s="1900" t="s">
        <v>1363</v>
      </c>
      <c r="C498" s="528">
        <f>C492+C493-C497</f>
        <v>56866.111094176689</v>
      </c>
      <c r="D498" s="528">
        <f>D502-D497</f>
        <v>160374.74673811265</v>
      </c>
      <c r="F498" s="1943">
        <f>F396</f>
        <v>3.5143</v>
      </c>
      <c r="G498" s="1921" t="s">
        <v>495</v>
      </c>
      <c r="H498" s="1644">
        <f>ROUND($F498*C498/100,0)</f>
        <v>1998</v>
      </c>
      <c r="I498" s="1644">
        <f>ROUND($F498*D498/100,0)</f>
        <v>5636</v>
      </c>
      <c r="K498" s="1943"/>
      <c r="L498" s="1921"/>
      <c r="M498" s="1943"/>
      <c r="N498" s="1921"/>
      <c r="O498" s="1943"/>
      <c r="P498" s="1921"/>
      <c r="Q498" s="1943"/>
      <c r="R498" s="1921"/>
      <c r="S498" s="1648"/>
      <c r="T498" s="1648"/>
      <c r="U498" s="1648"/>
      <c r="V498" s="1648"/>
      <c r="W498" s="1648"/>
      <c r="X498" s="1648"/>
      <c r="Y498" s="1644"/>
      <c r="AI498" s="2023">
        <f>W498-'Blocking-Step2'!W498</f>
        <v>0</v>
      </c>
      <c r="AJ498" s="2054">
        <f>O498-'Blocking-Step2'!O498</f>
        <v>0</v>
      </c>
    </row>
    <row r="499" spans="1:36" hidden="1">
      <c r="A499" s="1900" t="s">
        <v>246</v>
      </c>
      <c r="C499" s="529">
        <v>0</v>
      </c>
      <c r="D499" s="529">
        <v>0</v>
      </c>
      <c r="H499" s="1030">
        <v>0</v>
      </c>
      <c r="I499" s="1030">
        <v>0</v>
      </c>
      <c r="Y499" s="1030"/>
      <c r="AI499" s="2023">
        <f>W499-'Blocking-Step2'!W499</f>
        <v>0</v>
      </c>
      <c r="AJ499" s="2054">
        <f>O499-'Blocking-Step2'!O499</f>
        <v>0</v>
      </c>
    </row>
    <row r="500" spans="1:36" hidden="1">
      <c r="A500" s="1900" t="s">
        <v>1240</v>
      </c>
      <c r="C500" s="584"/>
      <c r="D500" s="584"/>
      <c r="F500" s="1930">
        <f t="shared" ref="F500" si="297">F398</f>
        <v>-3.61E-2</v>
      </c>
      <c r="G500" s="597"/>
      <c r="H500" s="1644">
        <f>SUM(H494:H495,H497:H498)*$F500</f>
        <v>-462.58539999999999</v>
      </c>
      <c r="I500" s="1644">
        <f>SUM(I494:I495,I497:I498)*$F500</f>
        <v>-1304.4735000000001</v>
      </c>
      <c r="K500" s="1930"/>
      <c r="L500" s="597"/>
      <c r="M500" s="1930"/>
      <c r="N500" s="597"/>
      <c r="O500" s="1931" t="str">
        <f>$O$43</f>
        <v>Tax Year 1 (1/1/2021)</v>
      </c>
      <c r="P500" s="597"/>
      <c r="Q500" s="1930">
        <f>$Q$687</f>
        <v>-1.52E-2</v>
      </c>
      <c r="R500" s="597"/>
      <c r="S500" s="1645"/>
      <c r="T500" s="1645"/>
      <c r="U500" s="1645"/>
      <c r="V500" s="1645"/>
      <c r="W500" s="1645"/>
      <c r="X500" s="1645"/>
      <c r="Y500" s="1644">
        <f>Q500*SUM(Y490:Y493)</f>
        <v>-544.26639999999998</v>
      </c>
      <c r="AI500" s="2023">
        <f>W500-'Blocking-Step2'!W500</f>
        <v>0</v>
      </c>
      <c r="AJ500" s="2054">
        <f>O500-'Blocking-Step2'!O500</f>
        <v>0</v>
      </c>
    </row>
    <row r="501" spans="1:36" hidden="1">
      <c r="A501" s="1900"/>
      <c r="C501" s="584"/>
      <c r="D501" s="584"/>
      <c r="F501" s="1930"/>
      <c r="G501" s="597"/>
      <c r="H501" s="1644"/>
      <c r="I501" s="1644"/>
      <c r="K501" s="1930"/>
      <c r="L501" s="597"/>
      <c r="M501" s="1930"/>
      <c r="N501" s="597"/>
      <c r="O501" s="1931">
        <f>$O$44</f>
        <v>0</v>
      </c>
      <c r="P501" s="597"/>
      <c r="Q501" s="1930">
        <f>$Q$688</f>
        <v>0</v>
      </c>
      <c r="R501" s="597"/>
      <c r="S501" s="1645"/>
      <c r="T501" s="1645"/>
      <c r="U501" s="1645"/>
      <c r="V501" s="1645"/>
      <c r="W501" s="1645"/>
      <c r="X501" s="1645"/>
      <c r="Y501" s="1644">
        <f>Q501*SUM(Y490:Y493)</f>
        <v>0</v>
      </c>
      <c r="AI501" s="2023">
        <f>W501-'Blocking-Step2'!W501</f>
        <v>0</v>
      </c>
      <c r="AJ501" s="2054">
        <f>O501-'Blocking-Step2'!O501</f>
        <v>0</v>
      </c>
    </row>
    <row r="502" spans="1:36" ht="16.5" hidden="1" thickBot="1">
      <c r="A502" s="1900" t="s">
        <v>247</v>
      </c>
      <c r="C502" s="1949">
        <f>SUM(C497:C499)</f>
        <v>108540</v>
      </c>
      <c r="D502" s="1949">
        <f>C502*D829/C829</f>
        <v>306106.74673811265</v>
      </c>
      <c r="F502" s="1939"/>
      <c r="H502" s="1647">
        <f>SUM(H486:H500)</f>
        <v>15892.4146</v>
      </c>
      <c r="I502" s="1647">
        <f>SUM(I486:I500)</f>
        <v>44769.5265</v>
      </c>
      <c r="K502" s="1939"/>
      <c r="M502" s="1939"/>
      <c r="O502" s="1939"/>
      <c r="Q502" s="1939"/>
      <c r="S502" s="1647">
        <f>SUM(S486:S499)</f>
        <v>21435</v>
      </c>
      <c r="U502" s="1647">
        <f>SUM(U486:U499)</f>
        <v>17613</v>
      </c>
      <c r="W502" s="1647">
        <f>SUM(W486:W499)</f>
        <v>6544</v>
      </c>
      <c r="Y502" s="1647">
        <f>SUM(Y486:Y499)</f>
        <v>45592</v>
      </c>
      <c r="AA502" s="1104" t="s">
        <v>1743</v>
      </c>
      <c r="AB502" s="1890">
        <f>Y502/I502-1</f>
        <v>1.8371279848135025E-2</v>
      </c>
      <c r="AI502" s="2023">
        <f>W502-'Blocking-Step2'!W502</f>
        <v>0</v>
      </c>
      <c r="AJ502" s="2054">
        <f>O502-'Blocking-Step2'!O502</f>
        <v>0</v>
      </c>
    </row>
    <row r="503" spans="1:36" ht="16.5" thickTop="1">
      <c r="C503" s="528"/>
      <c r="D503" s="528"/>
      <c r="AI503" s="2023">
        <f>W503-'Blocking-Step2'!W503</f>
        <v>0</v>
      </c>
      <c r="AJ503" s="2054">
        <f>O503-'Blocking-Step2'!O503</f>
        <v>0</v>
      </c>
    </row>
    <row r="504" spans="1:36">
      <c r="A504" s="1897" t="s">
        <v>1922</v>
      </c>
      <c r="C504" s="528"/>
      <c r="D504" s="528"/>
      <c r="AI504" s="2023">
        <f>W504-'Blocking-Step2'!W504</f>
        <v>0</v>
      </c>
      <c r="AJ504" s="2054">
        <f>O504-'Blocking-Step2'!O504</f>
        <v>0</v>
      </c>
    </row>
    <row r="505" spans="1:36">
      <c r="A505" s="1900" t="s">
        <v>240</v>
      </c>
      <c r="C505" s="528">
        <f>'BD-Redesign'!L22</f>
        <v>55.716666666666669</v>
      </c>
      <c r="D505" s="528">
        <f>D520</f>
        <v>157.84953632148375</v>
      </c>
      <c r="F505" s="1901"/>
      <c r="G505" s="1902"/>
      <c r="H505" s="1644"/>
      <c r="I505" s="1644"/>
      <c r="K505" s="1901">
        <f t="shared" ref="K505:K515" si="298">K369</f>
        <v>53</v>
      </c>
      <c r="L505" s="1902"/>
      <c r="M505" s="1901">
        <f t="shared" ref="M505:M515" si="299">M369</f>
        <v>0</v>
      </c>
      <c r="N505" s="1902"/>
      <c r="O505" s="1901">
        <f t="shared" ref="O505:O515" si="300">O369</f>
        <v>0</v>
      </c>
      <c r="P505" s="1902"/>
      <c r="Q505" s="1901">
        <f t="shared" ref="Q505:Q515" si="301">Q369</f>
        <v>53</v>
      </c>
      <c r="R505" s="1902"/>
      <c r="S505" s="1644">
        <f>ROUND($D505*K505,0)</f>
        <v>8366</v>
      </c>
      <c r="T505" s="1643"/>
      <c r="U505" s="1644">
        <f>ROUND($D505*M505,0)</f>
        <v>0</v>
      </c>
      <c r="V505" s="1643"/>
      <c r="W505" s="1644">
        <f>ROUND($D505*O505,0)</f>
        <v>0</v>
      </c>
      <c r="X505" s="1643"/>
      <c r="Y505" s="1644">
        <f>ROUND($D505*Q505,0)</f>
        <v>8366</v>
      </c>
      <c r="AA505" s="1109"/>
      <c r="AB505" s="1114"/>
      <c r="AI505" s="2023">
        <f>W505-'Blocking-Step2'!W505</f>
        <v>0</v>
      </c>
      <c r="AJ505" s="2054">
        <f>O505-'Blocking-Step2'!O505</f>
        <v>0</v>
      </c>
    </row>
    <row r="506" spans="1:36">
      <c r="A506" s="1900" t="s">
        <v>1910</v>
      </c>
      <c r="C506" s="528">
        <f>'BD-Redesign'!L23</f>
        <v>111994.63366336633</v>
      </c>
      <c r="D506" s="528">
        <f t="shared" ref="D506:D515" si="302">C506/$C$518*$D$518</f>
        <v>446919.92134186177</v>
      </c>
      <c r="E506" s="597"/>
      <c r="F506" s="1942"/>
      <c r="G506" s="1921"/>
      <c r="H506" s="1644"/>
      <c r="I506" s="1644"/>
      <c r="J506" s="597"/>
      <c r="K506" s="1942">
        <f t="shared" si="298"/>
        <v>3.89</v>
      </c>
      <c r="L506" s="1921" t="s">
        <v>495</v>
      </c>
      <c r="M506" s="1942">
        <f t="shared" si="299"/>
        <v>17.137528114911813</v>
      </c>
      <c r="N506" s="1921" t="s">
        <v>495</v>
      </c>
      <c r="O506" s="1942">
        <f t="shared" si="300"/>
        <v>1.3496999999999999</v>
      </c>
      <c r="P506" s="1921" t="s">
        <v>495</v>
      </c>
      <c r="Q506" s="1942">
        <f t="shared" si="301"/>
        <v>22.377228114911812</v>
      </c>
      <c r="R506" s="1921" t="s">
        <v>495</v>
      </c>
      <c r="S506" s="1644">
        <f>ROUND($D506*K506/100,0)</f>
        <v>17385</v>
      </c>
      <c r="T506" s="1648"/>
      <c r="U506" s="1644">
        <f>ROUND($D506*M506/100,0)</f>
        <v>76591</v>
      </c>
      <c r="V506" s="1648"/>
      <c r="W506" s="1644">
        <f>ROUND($D506*O506/100,0)</f>
        <v>6032</v>
      </c>
      <c r="X506" s="1648"/>
      <c r="Y506" s="1644">
        <f>ROUND($D506*Q506/100,0)</f>
        <v>100008</v>
      </c>
      <c r="AA506" s="596"/>
      <c r="AB506" s="596"/>
      <c r="AI506" s="2023">
        <f>W506-'Blocking-Step2'!W506</f>
        <v>0</v>
      </c>
      <c r="AJ506" s="2054">
        <f>O506-'Blocking-Step2'!O506</f>
        <v>0</v>
      </c>
    </row>
    <row r="507" spans="1:36">
      <c r="A507" s="1900" t="s">
        <v>1911</v>
      </c>
      <c r="C507" s="528">
        <f>'BD-Redesign'!L24</f>
        <v>266833.36633663368</v>
      </c>
      <c r="D507" s="528">
        <f t="shared" si="302"/>
        <v>1064811.2609841989</v>
      </c>
      <c r="E507" s="597"/>
      <c r="F507" s="1942"/>
      <c r="G507" s="1921"/>
      <c r="H507" s="1644"/>
      <c r="I507" s="1644"/>
      <c r="J507" s="597"/>
      <c r="K507" s="1942">
        <f t="shared" si="298"/>
        <v>3.89</v>
      </c>
      <c r="L507" s="1921" t="s">
        <v>495</v>
      </c>
      <c r="M507" s="1942">
        <f t="shared" si="299"/>
        <v>-1.0877975226579997</v>
      </c>
      <c r="N507" s="1921" t="s">
        <v>495</v>
      </c>
      <c r="O507" s="1942">
        <f t="shared" si="300"/>
        <v>1.3496999999999999</v>
      </c>
      <c r="P507" s="1921" t="s">
        <v>495</v>
      </c>
      <c r="Q507" s="1942">
        <f t="shared" si="301"/>
        <v>4.1519024773420004</v>
      </c>
      <c r="R507" s="1921" t="s">
        <v>495</v>
      </c>
      <c r="S507" s="1644">
        <f t="shared" ref="S507:S513" si="303">ROUND($D507*K507/100,0)</f>
        <v>41421</v>
      </c>
      <c r="T507" s="1648"/>
      <c r="U507" s="1644">
        <f t="shared" ref="U507:U513" si="304">ROUND($D507*M507/100,0)</f>
        <v>-11583</v>
      </c>
      <c r="V507" s="1648"/>
      <c r="W507" s="1644">
        <f t="shared" ref="W507:W513" si="305">ROUND($D507*O507/100,0)</f>
        <v>14372</v>
      </c>
      <c r="X507" s="1648"/>
      <c r="Y507" s="1644">
        <f t="shared" ref="Y507:Y513" si="306">ROUND($D507*Q507/100,0)</f>
        <v>44210</v>
      </c>
      <c r="AA507" s="596"/>
      <c r="AB507" s="596"/>
      <c r="AI507" s="2023">
        <f>W507-'Blocking-Step2'!W507</f>
        <v>0</v>
      </c>
      <c r="AJ507" s="2054">
        <f>O507-'Blocking-Step2'!O507</f>
        <v>0</v>
      </c>
    </row>
    <row r="508" spans="1:36">
      <c r="A508" s="1900" t="s">
        <v>1912</v>
      </c>
      <c r="C508" s="528">
        <f>'BD-Redesign'!L25</f>
        <v>151504.07425742573</v>
      </c>
      <c r="D508" s="528">
        <f t="shared" si="302"/>
        <v>604584.22636234248</v>
      </c>
      <c r="E508" s="597"/>
      <c r="F508" s="1942"/>
      <c r="G508" s="1921"/>
      <c r="H508" s="1644"/>
      <c r="I508" s="1644"/>
      <c r="J508" s="597"/>
      <c r="K508" s="1942">
        <f t="shared" si="298"/>
        <v>3.89</v>
      </c>
      <c r="L508" s="1921" t="s">
        <v>495</v>
      </c>
      <c r="M508" s="1942">
        <f t="shared" si="299"/>
        <v>14.718500000000001</v>
      </c>
      <c r="N508" s="1921" t="s">
        <v>495</v>
      </c>
      <c r="O508" s="1942">
        <f t="shared" si="300"/>
        <v>1.1943999999999999</v>
      </c>
      <c r="P508" s="1921" t="s">
        <v>495</v>
      </c>
      <c r="Q508" s="1942">
        <f t="shared" si="301"/>
        <v>19.802900000000001</v>
      </c>
      <c r="R508" s="1921" t="s">
        <v>495</v>
      </c>
      <c r="S508" s="1644">
        <f t="shared" si="303"/>
        <v>23518</v>
      </c>
      <c r="T508" s="1648"/>
      <c r="U508" s="1644">
        <f t="shared" si="304"/>
        <v>88986</v>
      </c>
      <c r="V508" s="1648"/>
      <c r="W508" s="1644">
        <f t="shared" si="305"/>
        <v>7221</v>
      </c>
      <c r="X508" s="1648"/>
      <c r="Y508" s="1644">
        <f t="shared" si="306"/>
        <v>119725</v>
      </c>
      <c r="AA508" s="596"/>
      <c r="AB508" s="596"/>
      <c r="AI508" s="2023">
        <f>W508-'Blocking-Step2'!W508</f>
        <v>0</v>
      </c>
      <c r="AJ508" s="2054">
        <f>O508-'Blocking-Step2'!O508</f>
        <v>0</v>
      </c>
    </row>
    <row r="509" spans="1:36">
      <c r="A509" s="1900" t="s">
        <v>1913</v>
      </c>
      <c r="C509" s="528">
        <f>'BD-Redesign'!L26</f>
        <v>460068.42574257427</v>
      </c>
      <c r="D509" s="528">
        <f t="shared" si="302"/>
        <v>1835924.9717515896</v>
      </c>
      <c r="E509" s="597"/>
      <c r="F509" s="1942"/>
      <c r="G509" s="1921"/>
      <c r="H509" s="1644"/>
      <c r="I509" s="1644"/>
      <c r="J509" s="597"/>
      <c r="K509" s="1942">
        <f t="shared" si="298"/>
        <v>3.89</v>
      </c>
      <c r="L509" s="1921" t="s">
        <v>495</v>
      </c>
      <c r="M509" s="1942">
        <f t="shared" si="299"/>
        <v>-1.4102000000000001</v>
      </c>
      <c r="N509" s="1921" t="s">
        <v>495</v>
      </c>
      <c r="O509" s="1942">
        <f t="shared" si="300"/>
        <v>1.1943999999999999</v>
      </c>
      <c r="P509" s="1921" t="s">
        <v>495</v>
      </c>
      <c r="Q509" s="1942">
        <f t="shared" si="301"/>
        <v>3.6741999999999999</v>
      </c>
      <c r="R509" s="1921" t="s">
        <v>495</v>
      </c>
      <c r="S509" s="1644">
        <f t="shared" si="303"/>
        <v>71417</v>
      </c>
      <c r="T509" s="1648"/>
      <c r="U509" s="1644">
        <f t="shared" si="304"/>
        <v>-25890</v>
      </c>
      <c r="V509" s="1648"/>
      <c r="W509" s="1644">
        <f t="shared" si="305"/>
        <v>21928</v>
      </c>
      <c r="X509" s="1648"/>
      <c r="Y509" s="1644">
        <f t="shared" si="306"/>
        <v>67456</v>
      </c>
      <c r="AA509" s="596"/>
      <c r="AB509" s="596"/>
      <c r="AI509" s="2023">
        <f>W509-'Blocking-Step2'!W509</f>
        <v>0</v>
      </c>
      <c r="AJ509" s="2054">
        <f>O509-'Blocking-Step2'!O509</f>
        <v>0</v>
      </c>
    </row>
    <row r="510" spans="1:36">
      <c r="A510" s="1900" t="s">
        <v>1906</v>
      </c>
      <c r="C510" s="528">
        <f>'BD-Redesign'!L27</f>
        <v>210382.32064704984</v>
      </c>
      <c r="D510" s="528">
        <f t="shared" si="302"/>
        <v>839540.67368902243</v>
      </c>
      <c r="E510" s="597"/>
      <c r="F510" s="1942"/>
      <c r="G510" s="1921"/>
      <c r="H510" s="1644"/>
      <c r="I510" s="1644"/>
      <c r="J510" s="597"/>
      <c r="K510" s="1942">
        <f t="shared" si="298"/>
        <v>0</v>
      </c>
      <c r="L510" s="1921" t="s">
        <v>495</v>
      </c>
      <c r="M510" s="1942">
        <f t="shared" si="299"/>
        <v>0</v>
      </c>
      <c r="N510" s="1921" t="s">
        <v>495</v>
      </c>
      <c r="O510" s="1942">
        <f t="shared" si="300"/>
        <v>6</v>
      </c>
      <c r="P510" s="1921" t="s">
        <v>495</v>
      </c>
      <c r="Q510" s="1942">
        <f t="shared" si="301"/>
        <v>6</v>
      </c>
      <c r="R510" s="1921" t="s">
        <v>495</v>
      </c>
      <c r="S510" s="1644">
        <f t="shared" si="303"/>
        <v>0</v>
      </c>
      <c r="T510" s="1648"/>
      <c r="U510" s="1644">
        <f t="shared" si="304"/>
        <v>0</v>
      </c>
      <c r="V510" s="1648"/>
      <c r="W510" s="1644">
        <f t="shared" si="305"/>
        <v>50372</v>
      </c>
      <c r="X510" s="1648"/>
      <c r="Y510" s="1644">
        <f t="shared" si="306"/>
        <v>50372</v>
      </c>
      <c r="AA510" s="596"/>
      <c r="AB510" s="596"/>
      <c r="AI510" s="2023">
        <f>W510-'Blocking-Step2'!W510</f>
        <v>0</v>
      </c>
      <c r="AJ510" s="2054">
        <f>O510-'Blocking-Step2'!O510</f>
        <v>0</v>
      </c>
    </row>
    <row r="511" spans="1:36">
      <c r="A511" s="1900" t="s">
        <v>1907</v>
      </c>
      <c r="C511" s="528">
        <f>'BD-Redesign'!L28</f>
        <v>168445.67935295016</v>
      </c>
      <c r="D511" s="528">
        <f t="shared" si="302"/>
        <v>672190.50863703794</v>
      </c>
      <c r="E511" s="597"/>
      <c r="F511" s="1942"/>
      <c r="G511" s="1921"/>
      <c r="H511" s="1644"/>
      <c r="I511" s="1644"/>
      <c r="J511" s="597"/>
      <c r="K511" s="1942">
        <f t="shared" si="298"/>
        <v>0</v>
      </c>
      <c r="L511" s="1921" t="s">
        <v>495</v>
      </c>
      <c r="M511" s="1942">
        <f t="shared" si="299"/>
        <v>0</v>
      </c>
      <c r="N511" s="1921" t="s">
        <v>495</v>
      </c>
      <c r="O511" s="1942">
        <f t="shared" si="300"/>
        <v>-2.3358000000000008</v>
      </c>
      <c r="P511" s="1921" t="s">
        <v>495</v>
      </c>
      <c r="Q511" s="1942">
        <f t="shared" si="301"/>
        <v>-2.3358000000000008</v>
      </c>
      <c r="R511" s="1921" t="s">
        <v>495</v>
      </c>
      <c r="S511" s="1644">
        <f t="shared" si="303"/>
        <v>0</v>
      </c>
      <c r="T511" s="1648"/>
      <c r="U511" s="1644">
        <f t="shared" si="304"/>
        <v>0</v>
      </c>
      <c r="V511" s="1648"/>
      <c r="W511" s="1644">
        <f t="shared" si="305"/>
        <v>-15701</v>
      </c>
      <c r="X511" s="1648"/>
      <c r="Y511" s="1644">
        <f t="shared" si="306"/>
        <v>-15701</v>
      </c>
      <c r="AA511" s="596"/>
      <c r="AB511" s="596"/>
      <c r="AI511" s="2023">
        <f>W511-'Blocking-Step2'!W511</f>
        <v>0</v>
      </c>
      <c r="AJ511" s="2054">
        <f>O511-'Blocking-Step2'!O511</f>
        <v>0</v>
      </c>
    </row>
    <row r="512" spans="1:36">
      <c r="A512" s="1900" t="s">
        <v>1908</v>
      </c>
      <c r="C512" s="528">
        <f>'BD-Redesign'!L29</f>
        <v>339637.09597473755</v>
      </c>
      <c r="D512" s="528">
        <f t="shared" si="302"/>
        <v>1355338.0126592533</v>
      </c>
      <c r="E512" s="597"/>
      <c r="F512" s="1942"/>
      <c r="G512" s="1921"/>
      <c r="H512" s="1644"/>
      <c r="I512" s="1644"/>
      <c r="J512" s="597"/>
      <c r="K512" s="1942">
        <f t="shared" si="298"/>
        <v>0</v>
      </c>
      <c r="L512" s="1921" t="s">
        <v>495</v>
      </c>
      <c r="M512" s="1942">
        <f t="shared" si="299"/>
        <v>0</v>
      </c>
      <c r="N512" s="1921" t="s">
        <v>495</v>
      </c>
      <c r="O512" s="1942">
        <f t="shared" si="300"/>
        <v>5.3097000000000003</v>
      </c>
      <c r="P512" s="1921" t="s">
        <v>495</v>
      </c>
      <c r="Q512" s="1942">
        <f t="shared" si="301"/>
        <v>5.3097000000000003</v>
      </c>
      <c r="R512" s="1921" t="s">
        <v>495</v>
      </c>
      <c r="S512" s="1644">
        <f t="shared" si="303"/>
        <v>0</v>
      </c>
      <c r="T512" s="1648"/>
      <c r="U512" s="1644">
        <f t="shared" si="304"/>
        <v>0</v>
      </c>
      <c r="V512" s="1648"/>
      <c r="W512" s="1644">
        <f t="shared" si="305"/>
        <v>71964</v>
      </c>
      <c r="X512" s="1648"/>
      <c r="Y512" s="1644">
        <f t="shared" si="306"/>
        <v>71964</v>
      </c>
      <c r="AA512" s="596"/>
      <c r="AB512" s="596"/>
      <c r="AI512" s="2023">
        <f>W512-'Blocking-Step2'!W512</f>
        <v>0</v>
      </c>
      <c r="AJ512" s="2054">
        <f>O512-'Blocking-Step2'!O512</f>
        <v>0</v>
      </c>
    </row>
    <row r="513" spans="1:36">
      <c r="A513" s="1900" t="s">
        <v>1909</v>
      </c>
      <c r="C513" s="528">
        <f>'BD-Redesign'!L30</f>
        <v>271935.40402526245</v>
      </c>
      <c r="D513" s="528">
        <f t="shared" si="302"/>
        <v>1085171.1854546787</v>
      </c>
      <c r="E513" s="597"/>
      <c r="F513" s="1942"/>
      <c r="G513" s="1921"/>
      <c r="H513" s="1644"/>
      <c r="I513" s="1644"/>
      <c r="J513" s="597"/>
      <c r="K513" s="1942">
        <f t="shared" si="298"/>
        <v>0</v>
      </c>
      <c r="L513" s="1921" t="s">
        <v>495</v>
      </c>
      <c r="M513" s="1942">
        <f t="shared" si="299"/>
        <v>0</v>
      </c>
      <c r="N513" s="1921" t="s">
        <v>495</v>
      </c>
      <c r="O513" s="1942">
        <f t="shared" si="300"/>
        <v>-2.0670999999999999</v>
      </c>
      <c r="P513" s="1921" t="s">
        <v>495</v>
      </c>
      <c r="Q513" s="1942">
        <f t="shared" si="301"/>
        <v>-2.0670999999999999</v>
      </c>
      <c r="R513" s="1921" t="s">
        <v>495</v>
      </c>
      <c r="S513" s="1644">
        <f t="shared" si="303"/>
        <v>0</v>
      </c>
      <c r="T513" s="1648"/>
      <c r="U513" s="1644">
        <f t="shared" si="304"/>
        <v>0</v>
      </c>
      <c r="V513" s="1648"/>
      <c r="W513" s="1644">
        <f t="shared" si="305"/>
        <v>-22432</v>
      </c>
      <c r="X513" s="1648"/>
      <c r="Y513" s="1644">
        <f t="shared" si="306"/>
        <v>-22432</v>
      </c>
      <c r="AA513" s="596"/>
      <c r="AB513" s="596"/>
      <c r="AI513" s="2023">
        <f>W513-'Blocking-Step2'!W513</f>
        <v>0</v>
      </c>
      <c r="AJ513" s="2054">
        <f>O513-'Blocking-Step2'!O513</f>
        <v>0</v>
      </c>
    </row>
    <row r="514" spans="1:36">
      <c r="A514" s="1900" t="s">
        <v>261</v>
      </c>
      <c r="C514" s="528">
        <f>'BD-Redesign'!L31</f>
        <v>0</v>
      </c>
      <c r="D514" s="528">
        <f t="shared" si="302"/>
        <v>0</v>
      </c>
      <c r="F514" s="1901"/>
      <c r="G514" s="1902"/>
      <c r="H514" s="1644"/>
      <c r="I514" s="1644"/>
      <c r="K514" s="1901">
        <f t="shared" si="298"/>
        <v>-0.61</v>
      </c>
      <c r="L514" s="1902"/>
      <c r="M514" s="1901">
        <f t="shared" si="299"/>
        <v>0</v>
      </c>
      <c r="N514" s="1902"/>
      <c r="O514" s="1901">
        <f t="shared" si="300"/>
        <v>0</v>
      </c>
      <c r="P514" s="1902"/>
      <c r="Q514" s="1901">
        <f t="shared" si="301"/>
        <v>-0.61</v>
      </c>
      <c r="R514" s="1902"/>
      <c r="S514" s="1644">
        <f>ROUND($D514*K514,0)</f>
        <v>0</v>
      </c>
      <c r="T514" s="1643"/>
      <c r="U514" s="1644">
        <f>ROUND($D514*M514,0)</f>
        <v>0</v>
      </c>
      <c r="V514" s="1643"/>
      <c r="W514" s="1644">
        <f>ROUND($D514*O514,0)</f>
        <v>0</v>
      </c>
      <c r="X514" s="1643"/>
      <c r="Y514" s="1644">
        <f>ROUND($D514*Q514,0)</f>
        <v>0</v>
      </c>
      <c r="AA514" s="596"/>
      <c r="AB514" s="596"/>
      <c r="AI514" s="2023">
        <f>W514-'Blocking-Step2'!W514</f>
        <v>0</v>
      </c>
      <c r="AJ514" s="2054">
        <f>O514-'Blocking-Step2'!O514</f>
        <v>0</v>
      </c>
    </row>
    <row r="515" spans="1:36">
      <c r="A515" s="1116" t="s">
        <v>1158</v>
      </c>
      <c r="C515" s="528">
        <f>'BD-Redesign'!L32</f>
        <v>0</v>
      </c>
      <c r="D515" s="528">
        <f t="shared" si="302"/>
        <v>0</v>
      </c>
      <c r="F515" s="1943"/>
      <c r="G515" s="1921"/>
      <c r="H515" s="1644"/>
      <c r="I515" s="1644"/>
      <c r="K515" s="1943">
        <f t="shared" si="298"/>
        <v>0</v>
      </c>
      <c r="L515" s="1921" t="s">
        <v>495</v>
      </c>
      <c r="M515" s="1943">
        <f t="shared" si="299"/>
        <v>7.125</v>
      </c>
      <c r="N515" s="1921" t="s">
        <v>495</v>
      </c>
      <c r="O515" s="1943">
        <f t="shared" si="300"/>
        <v>0</v>
      </c>
      <c r="P515" s="1921" t="s">
        <v>495</v>
      </c>
      <c r="Q515" s="1943">
        <f t="shared" si="301"/>
        <v>7.125</v>
      </c>
      <c r="R515" s="1921" t="s">
        <v>495</v>
      </c>
      <c r="S515" s="1644">
        <f>ROUND($D515*K515/100,0)</f>
        <v>0</v>
      </c>
      <c r="T515" s="1648"/>
      <c r="U515" s="1644">
        <f>ROUND($D515*M515/100,0)</f>
        <v>0</v>
      </c>
      <c r="V515" s="1648"/>
      <c r="W515" s="1644">
        <f>ROUND($D515*O515/100,0)</f>
        <v>0</v>
      </c>
      <c r="X515" s="1648"/>
      <c r="Y515" s="1644">
        <f>ROUND($D515*Q515/100,0)</f>
        <v>0</v>
      </c>
      <c r="AA515" s="1109"/>
      <c r="AB515" s="1114"/>
      <c r="AI515" s="2023">
        <f>W515-'Blocking-Step2'!W515</f>
        <v>0</v>
      </c>
      <c r="AJ515" s="2054">
        <f>O515-'Blocking-Step2'!O515</f>
        <v>0</v>
      </c>
    </row>
    <row r="516" spans="1:36">
      <c r="A516" s="1900" t="s">
        <v>1240</v>
      </c>
      <c r="C516" s="584"/>
      <c r="D516" s="584"/>
      <c r="F516" s="1930"/>
      <c r="G516" s="597"/>
      <c r="H516" s="1644"/>
      <c r="I516" s="1644"/>
      <c r="K516" s="1930"/>
      <c r="L516" s="597"/>
      <c r="M516" s="1930"/>
      <c r="N516" s="597"/>
      <c r="O516" s="1931" t="str">
        <f>$O$43</f>
        <v>Tax Year 1 (1/1/2021)</v>
      </c>
      <c r="P516" s="597"/>
      <c r="Q516" s="1930">
        <f>$Q$979</f>
        <v>-1.6899999999999998E-2</v>
      </c>
      <c r="R516" s="597"/>
      <c r="S516" s="1645"/>
      <c r="T516" s="1645"/>
      <c r="U516" s="1645"/>
      <c r="V516" s="1645"/>
      <c r="W516" s="1645"/>
      <c r="X516" s="1645"/>
      <c r="Y516" s="1644">
        <f>Q516*SUM(Y506:Y509,Y515)</f>
        <v>-5600.6430999999993</v>
      </c>
      <c r="AI516" s="2023">
        <f>W516-'Blocking-Step2'!W516</f>
        <v>0</v>
      </c>
      <c r="AJ516" s="2054">
        <f>O516-'Blocking-Step2'!O516</f>
        <v>0</v>
      </c>
    </row>
    <row r="517" spans="1:36">
      <c r="A517" s="1900"/>
      <c r="C517" s="584"/>
      <c r="D517" s="584"/>
      <c r="F517" s="1930"/>
      <c r="G517" s="597"/>
      <c r="H517" s="1644"/>
      <c r="I517" s="1644"/>
      <c r="K517" s="1930"/>
      <c r="L517" s="597"/>
      <c r="M517" s="1930"/>
      <c r="N517" s="597"/>
      <c r="O517" s="1931">
        <f>$O$44</f>
        <v>0</v>
      </c>
      <c r="P517" s="597"/>
      <c r="Q517" s="1930">
        <f>$Q$980</f>
        <v>0</v>
      </c>
      <c r="R517" s="597"/>
      <c r="S517" s="1645"/>
      <c r="T517" s="1645"/>
      <c r="U517" s="1645"/>
      <c r="V517" s="1645"/>
      <c r="W517" s="1645"/>
      <c r="X517" s="1645"/>
      <c r="Y517" s="1644">
        <f>Q517*SUM(Y506:Y509,Y515)</f>
        <v>0</v>
      </c>
      <c r="AI517" s="2023">
        <f>W517-'Blocking-Step2'!W517</f>
        <v>0</v>
      </c>
      <c r="AJ517" s="2054">
        <f>O517-'Blocking-Step2'!O517</f>
        <v>0</v>
      </c>
    </row>
    <row r="518" spans="1:36">
      <c r="A518" s="1900" t="s">
        <v>1923</v>
      </c>
      <c r="C518" s="528">
        <f>SUM(C510:C513,C515)</f>
        <v>990400.5</v>
      </c>
      <c r="D518" s="528">
        <f>D536</f>
        <v>3952240.3804399925</v>
      </c>
      <c r="F518" s="1901"/>
      <c r="G518" s="1902"/>
      <c r="H518" s="1644"/>
      <c r="I518" s="1644"/>
      <c r="K518" s="1901"/>
      <c r="L518" s="1902"/>
      <c r="M518" s="1901"/>
      <c r="N518" s="1902"/>
      <c r="O518" s="1901"/>
      <c r="P518" s="1902"/>
      <c r="Q518" s="1901"/>
      <c r="R518" s="1902"/>
      <c r="S518" s="1644">
        <f>SUM(S505:S515)</f>
        <v>162107</v>
      </c>
      <c r="T518" s="1643"/>
      <c r="U518" s="1644">
        <f>SUM(U505:U515)</f>
        <v>128104</v>
      </c>
      <c r="V518" s="1643"/>
      <c r="W518" s="1644">
        <f>SUM(W505:W515)</f>
        <v>133756</v>
      </c>
      <c r="X518" s="1643"/>
      <c r="Y518" s="1644">
        <f>SUM(Y505:Y515)</f>
        <v>423968</v>
      </c>
      <c r="AA518" s="1109" t="s">
        <v>1743</v>
      </c>
      <c r="AB518" s="1499">
        <f>Y518/Y536-1</f>
        <v>-0.14448412938636312</v>
      </c>
      <c r="AI518" s="2023">
        <f>W518-'Blocking-Step2'!W518</f>
        <v>0</v>
      </c>
      <c r="AJ518" s="2054">
        <f>O518-'Blocking-Step2'!O518</f>
        <v>0</v>
      </c>
    </row>
    <row r="519" spans="1:36">
      <c r="A519" s="1900"/>
      <c r="C519" s="528"/>
      <c r="D519" s="528"/>
      <c r="F519" s="1901"/>
      <c r="G519" s="1902"/>
      <c r="H519" s="1644"/>
      <c r="I519" s="1644"/>
      <c r="K519" s="1901"/>
      <c r="L519" s="1902"/>
      <c r="M519" s="1901"/>
      <c r="N519" s="1902"/>
      <c r="O519" s="1901"/>
      <c r="P519" s="1902"/>
      <c r="Q519" s="1901"/>
      <c r="R519" s="1902"/>
      <c r="S519" s="1643"/>
      <c r="T519" s="1643"/>
      <c r="U519" s="1643"/>
      <c r="V519" s="1643"/>
      <c r="W519" s="1643"/>
      <c r="X519" s="1643"/>
      <c r="Y519" s="1644"/>
      <c r="AA519" s="1109"/>
      <c r="AB519" s="1114"/>
      <c r="AI519" s="2023">
        <f>W519-'Blocking-Step2'!W519</f>
        <v>0</v>
      </c>
      <c r="AJ519" s="2054">
        <f>O519-'Blocking-Step2'!O519</f>
        <v>0</v>
      </c>
    </row>
    <row r="520" spans="1:36">
      <c r="A520" s="1900" t="s">
        <v>240</v>
      </c>
      <c r="C520" s="528">
        <f>C505</f>
        <v>55.716666666666669</v>
      </c>
      <c r="D520" s="528">
        <f>C520*D851/C851</f>
        <v>157.84953632148375</v>
      </c>
      <c r="F520" s="1944">
        <f>F384</f>
        <v>54</v>
      </c>
      <c r="G520" s="597"/>
      <c r="H520" s="1644">
        <f t="shared" ref="H520:I522" si="307">ROUND($F520*C520,0)</f>
        <v>3009</v>
      </c>
      <c r="I520" s="1644">
        <f t="shared" si="307"/>
        <v>8524</v>
      </c>
      <c r="K520" s="1944">
        <f t="shared" ref="K520:K527" si="308">K384</f>
        <v>53</v>
      </c>
      <c r="L520" s="597"/>
      <c r="M520" s="1944">
        <f t="shared" ref="M520:M527" si="309">M384</f>
        <v>0</v>
      </c>
      <c r="N520" s="597"/>
      <c r="O520" s="1944">
        <f t="shared" ref="O520:O527" si="310">O384</f>
        <v>0</v>
      </c>
      <c r="P520" s="597"/>
      <c r="Q520" s="1944">
        <f t="shared" ref="Q520:Q527" si="311">Q384</f>
        <v>53</v>
      </c>
      <c r="R520" s="597"/>
      <c r="S520" s="1644">
        <f>ROUND($D520*K520,0)</f>
        <v>8366</v>
      </c>
      <c r="T520" s="1643"/>
      <c r="U520" s="1644">
        <f>ROUND($D520*M520,0)</f>
        <v>0</v>
      </c>
      <c r="V520" s="1643"/>
      <c r="W520" s="1644">
        <f>ROUND($D520*O520,0)</f>
        <v>0</v>
      </c>
      <c r="X520" s="1643"/>
      <c r="Y520" s="1644">
        <f>ROUND($D520*Q520,0)</f>
        <v>8366</v>
      </c>
      <c r="AI520" s="2023">
        <f>W520-'Blocking-Step2'!W520</f>
        <v>0</v>
      </c>
      <c r="AJ520" s="2054">
        <f>O520-'Blocking-Step2'!O520</f>
        <v>0</v>
      </c>
    </row>
    <row r="521" spans="1:36">
      <c r="A521" s="1900" t="s">
        <v>262</v>
      </c>
      <c r="C521" s="584">
        <v>0</v>
      </c>
      <c r="D521" s="528">
        <v>0</v>
      </c>
      <c r="F521" s="1944">
        <f>F385</f>
        <v>648</v>
      </c>
      <c r="G521" s="597"/>
      <c r="H521" s="1644">
        <f t="shared" si="307"/>
        <v>0</v>
      </c>
      <c r="I521" s="1644">
        <f t="shared" si="307"/>
        <v>0</v>
      </c>
      <c r="K521" s="1944">
        <f t="shared" si="308"/>
        <v>636</v>
      </c>
      <c r="L521" s="597"/>
      <c r="M521" s="1944">
        <f t="shared" si="309"/>
        <v>0</v>
      </c>
      <c r="N521" s="597"/>
      <c r="O521" s="1944">
        <f t="shared" si="310"/>
        <v>0</v>
      </c>
      <c r="P521" s="597"/>
      <c r="Q521" s="1944">
        <f t="shared" si="311"/>
        <v>636</v>
      </c>
      <c r="R521" s="597"/>
      <c r="S521" s="1644">
        <f t="shared" ref="S521:S525" si="312">ROUND($D521*K521,0)</f>
        <v>0</v>
      </c>
      <c r="T521" s="1643"/>
      <c r="U521" s="1644">
        <f t="shared" ref="U521:U525" si="313">ROUND($D521*M521,0)</f>
        <v>0</v>
      </c>
      <c r="V521" s="1643"/>
      <c r="W521" s="1644">
        <f t="shared" ref="W521:W525" si="314">ROUND($D521*O521,0)</f>
        <v>0</v>
      </c>
      <c r="X521" s="1643"/>
      <c r="Y521" s="1644">
        <f t="shared" ref="Y521:Y525" si="315">ROUND($D521*Q521,0)</f>
        <v>0</v>
      </c>
      <c r="AI521" s="2023">
        <f>W521-'Blocking-Step2'!W521</f>
        <v>0</v>
      </c>
      <c r="AJ521" s="2054">
        <f>O521-'Blocking-Step2'!O521</f>
        <v>0</v>
      </c>
    </row>
    <row r="522" spans="1:36">
      <c r="A522" s="1900" t="s">
        <v>1236</v>
      </c>
      <c r="C522" s="528">
        <v>0</v>
      </c>
      <c r="D522" s="528">
        <v>0</v>
      </c>
      <c r="F522" s="1944">
        <f>F386</f>
        <v>54</v>
      </c>
      <c r="G522" s="597"/>
      <c r="H522" s="1644">
        <f t="shared" si="307"/>
        <v>0</v>
      </c>
      <c r="I522" s="1644">
        <f t="shared" si="307"/>
        <v>0</v>
      </c>
      <c r="K522" s="1944">
        <f t="shared" si="308"/>
        <v>53</v>
      </c>
      <c r="L522" s="597"/>
      <c r="M522" s="1944">
        <f t="shared" si="309"/>
        <v>0</v>
      </c>
      <c r="N522" s="597"/>
      <c r="O522" s="1944">
        <f t="shared" si="310"/>
        <v>0</v>
      </c>
      <c r="P522" s="597"/>
      <c r="Q522" s="1944">
        <f t="shared" si="311"/>
        <v>53</v>
      </c>
      <c r="R522" s="597"/>
      <c r="S522" s="1644">
        <f t="shared" si="312"/>
        <v>0</v>
      </c>
      <c r="T522" s="1645"/>
      <c r="U522" s="1644">
        <f t="shared" si="313"/>
        <v>0</v>
      </c>
      <c r="V522" s="1645"/>
      <c r="W522" s="1644">
        <f t="shared" si="314"/>
        <v>0</v>
      </c>
      <c r="X522" s="1645"/>
      <c r="Y522" s="1644">
        <f t="shared" si="315"/>
        <v>0</v>
      </c>
      <c r="AI522" s="2023">
        <f>W522-'Blocking-Step2'!W522</f>
        <v>0</v>
      </c>
      <c r="AJ522" s="2054">
        <f>O522-'Blocking-Step2'!O522</f>
        <v>0</v>
      </c>
    </row>
    <row r="523" spans="1:36">
      <c r="A523" s="1900" t="s">
        <v>168</v>
      </c>
      <c r="C523" s="528">
        <f>'BD-Redesign'!L55</f>
        <v>5287.6844059405939</v>
      </c>
      <c r="D523" s="528">
        <f>ROUND(C523/$C$536*$D$536,0)</f>
        <v>21101</v>
      </c>
      <c r="F523" s="1944">
        <f>F387</f>
        <v>4.04</v>
      </c>
      <c r="G523" s="597"/>
      <c r="H523" s="1644">
        <f>ROUND($F523*C523,0)</f>
        <v>21362</v>
      </c>
      <c r="I523" s="1644">
        <f>ROUND($F523*D523,0)</f>
        <v>85248</v>
      </c>
      <c r="K523" s="1944">
        <f t="shared" si="308"/>
        <v>3.98</v>
      </c>
      <c r="L523" s="597"/>
      <c r="M523" s="1944">
        <f t="shared" si="309"/>
        <v>0</v>
      </c>
      <c r="N523" s="597"/>
      <c r="O523" s="1944">
        <f t="shared" si="310"/>
        <v>0</v>
      </c>
      <c r="P523" s="597"/>
      <c r="Q523" s="1944">
        <f t="shared" si="311"/>
        <v>3.98</v>
      </c>
      <c r="R523" s="597"/>
      <c r="S523" s="1644">
        <f t="shared" si="312"/>
        <v>83982</v>
      </c>
      <c r="T523" s="1643"/>
      <c r="U523" s="1644">
        <f t="shared" si="313"/>
        <v>0</v>
      </c>
      <c r="V523" s="1643"/>
      <c r="W523" s="1644">
        <f t="shared" si="314"/>
        <v>0</v>
      </c>
      <c r="X523" s="1643"/>
      <c r="Y523" s="1644">
        <f t="shared" si="315"/>
        <v>83982</v>
      </c>
      <c r="AI523" s="2023">
        <f>W523-'Blocking-Step2'!W523</f>
        <v>0</v>
      </c>
      <c r="AJ523" s="2054">
        <f>O523-'Blocking-Step2'!O523</f>
        <v>0</v>
      </c>
    </row>
    <row r="524" spans="1:36">
      <c r="A524" s="1900" t="s">
        <v>1645</v>
      </c>
      <c r="C524" s="528">
        <f>'BD-Redesign'!L56</f>
        <v>2252.7326732673264</v>
      </c>
      <c r="D524" s="528">
        <f t="shared" ref="D524:D525" si="316">ROUND(C524/$C$536*$D$536,0)</f>
        <v>8990</v>
      </c>
      <c r="F524" s="1944"/>
      <c r="G524" s="597"/>
      <c r="H524" s="1644"/>
      <c r="I524" s="1644"/>
      <c r="K524" s="1944">
        <f t="shared" si="308"/>
        <v>6.22</v>
      </c>
      <c r="L524" s="597"/>
      <c r="M524" s="1944">
        <f t="shared" si="309"/>
        <v>7.0100000000000007</v>
      </c>
      <c r="N524" s="597"/>
      <c r="O524" s="1944">
        <f t="shared" si="310"/>
        <v>0</v>
      </c>
      <c r="P524" s="597"/>
      <c r="Q524" s="1944">
        <f t="shared" si="311"/>
        <v>13.23</v>
      </c>
      <c r="R524" s="597"/>
      <c r="S524" s="1644">
        <f t="shared" si="312"/>
        <v>55918</v>
      </c>
      <c r="T524" s="1645"/>
      <c r="U524" s="1644">
        <f t="shared" si="313"/>
        <v>63020</v>
      </c>
      <c r="V524" s="1645"/>
      <c r="W524" s="1644">
        <f t="shared" si="314"/>
        <v>0</v>
      </c>
      <c r="X524" s="1645"/>
      <c r="Y524" s="1644">
        <f t="shared" si="315"/>
        <v>118938</v>
      </c>
      <c r="AI524" s="2023">
        <f>W524-'Blocking-Step2'!W524</f>
        <v>0</v>
      </c>
      <c r="AJ524" s="2054">
        <f>O524-'Blocking-Step2'!O524</f>
        <v>0</v>
      </c>
    </row>
    <row r="525" spans="1:36">
      <c r="A525" s="1900" t="s">
        <v>1646</v>
      </c>
      <c r="C525" s="528">
        <f>'BD-Redesign'!L57</f>
        <v>3034.9517326732675</v>
      </c>
      <c r="D525" s="528">
        <f t="shared" si="316"/>
        <v>12111</v>
      </c>
      <c r="F525" s="1944"/>
      <c r="G525" s="597"/>
      <c r="H525" s="1644"/>
      <c r="I525" s="1644"/>
      <c r="K525" s="1944">
        <f t="shared" si="308"/>
        <v>5.5</v>
      </c>
      <c r="L525" s="597"/>
      <c r="M525" s="1944">
        <f t="shared" si="309"/>
        <v>6.2100000000000009</v>
      </c>
      <c r="N525" s="597"/>
      <c r="O525" s="1944">
        <f t="shared" si="310"/>
        <v>0</v>
      </c>
      <c r="P525" s="597"/>
      <c r="Q525" s="1944">
        <f t="shared" si="311"/>
        <v>11.71</v>
      </c>
      <c r="R525" s="597"/>
      <c r="S525" s="1644">
        <f t="shared" si="312"/>
        <v>66611</v>
      </c>
      <c r="T525" s="1645"/>
      <c r="U525" s="1644">
        <f t="shared" si="313"/>
        <v>75209</v>
      </c>
      <c r="V525" s="1645"/>
      <c r="W525" s="1644">
        <f t="shared" si="314"/>
        <v>0</v>
      </c>
      <c r="X525" s="1645"/>
      <c r="Y525" s="1644">
        <f t="shared" si="315"/>
        <v>141820</v>
      </c>
      <c r="AI525" s="2023">
        <f>W525-'Blocking-Step2'!W525</f>
        <v>0</v>
      </c>
      <c r="AJ525" s="2054">
        <f>O525-'Blocking-Step2'!O525</f>
        <v>0</v>
      </c>
    </row>
    <row r="526" spans="1:36">
      <c r="A526" s="1900" t="s">
        <v>1647</v>
      </c>
      <c r="C526" s="528">
        <f>'BD-Redesign'!L59</f>
        <v>378828</v>
      </c>
      <c r="D526" s="528">
        <f>D536-D527</f>
        <v>1511731.3804399925</v>
      </c>
      <c r="F526" s="1943"/>
      <c r="G526" s="1921"/>
      <c r="H526" s="1644"/>
      <c r="I526" s="1644"/>
      <c r="K526" s="1943">
        <f t="shared" si="308"/>
        <v>0</v>
      </c>
      <c r="L526" s="1921" t="s">
        <v>495</v>
      </c>
      <c r="M526" s="1943">
        <f t="shared" si="309"/>
        <v>1.5747172373309999</v>
      </c>
      <c r="N526" s="1921" t="s">
        <v>495</v>
      </c>
      <c r="O526" s="1943">
        <f t="shared" si="310"/>
        <v>2.305570240802</v>
      </c>
      <c r="P526" s="1921" t="s">
        <v>495</v>
      </c>
      <c r="Q526" s="1943">
        <f t="shared" si="311"/>
        <v>3.8802874781329999</v>
      </c>
      <c r="R526" s="1921" t="s">
        <v>495</v>
      </c>
      <c r="S526" s="1644">
        <f>ROUND($D526*K526/100,0)</f>
        <v>0</v>
      </c>
      <c r="T526" s="1648"/>
      <c r="U526" s="1644">
        <f>ROUND($D526*M526/100,0)</f>
        <v>23805</v>
      </c>
      <c r="V526" s="1648"/>
      <c r="W526" s="1644">
        <f>ROUND($D526*O526/100,0)</f>
        <v>34854</v>
      </c>
      <c r="X526" s="1648"/>
      <c r="Y526" s="1644">
        <f>ROUND($D526*Q526/100,0)</f>
        <v>58660</v>
      </c>
      <c r="AI526" s="2023">
        <f>W526-'Blocking-Step2'!W526</f>
        <v>0</v>
      </c>
      <c r="AJ526" s="2054">
        <f>O526-'Blocking-Step2'!O526</f>
        <v>0</v>
      </c>
    </row>
    <row r="527" spans="1:36">
      <c r="A527" s="1900" t="s">
        <v>1648</v>
      </c>
      <c r="C527" s="528">
        <f>'BD-Redesign'!L60</f>
        <v>611572.5</v>
      </c>
      <c r="D527" s="528">
        <f>ROUND(C527/C536*D536,0)</f>
        <v>2440509</v>
      </c>
      <c r="F527" s="1943"/>
      <c r="G527" s="1921"/>
      <c r="H527" s="1644"/>
      <c r="I527" s="1644"/>
      <c r="K527" s="1943">
        <f t="shared" si="308"/>
        <v>0</v>
      </c>
      <c r="L527" s="1921" t="s">
        <v>495</v>
      </c>
      <c r="M527" s="1943">
        <f t="shared" si="309"/>
        <v>1.3935347233019999</v>
      </c>
      <c r="N527" s="1921" t="s">
        <v>495</v>
      </c>
      <c r="O527" s="1943">
        <f t="shared" si="310"/>
        <v>2.0403480007099999</v>
      </c>
      <c r="P527" s="1921" t="s">
        <v>495</v>
      </c>
      <c r="Q527" s="1943">
        <f t="shared" si="311"/>
        <v>3.4338827240119998</v>
      </c>
      <c r="R527" s="1921" t="s">
        <v>495</v>
      </c>
      <c r="S527" s="1644">
        <f>ROUND($D527*K527/100,0)</f>
        <v>0</v>
      </c>
      <c r="T527" s="1648"/>
      <c r="U527" s="1644">
        <f>ROUND($D527*M527/100,0)</f>
        <v>34009</v>
      </c>
      <c r="V527" s="1648"/>
      <c r="W527" s="1644">
        <f>ROUND($D527*O527/100,0)</f>
        <v>49795</v>
      </c>
      <c r="X527" s="1648"/>
      <c r="Y527" s="1644">
        <f>ROUND($D527*Q527/100,0)</f>
        <v>83804</v>
      </c>
      <c r="AI527" s="2023">
        <f>W527-'Blocking-Step2'!W527</f>
        <v>0</v>
      </c>
      <c r="AJ527" s="2054">
        <f>O527-'Blocking-Step2'!O527</f>
        <v>0</v>
      </c>
    </row>
    <row r="528" spans="1:36">
      <c r="A528" s="1900" t="s">
        <v>196</v>
      </c>
      <c r="C528" s="528">
        <f>(C524+C525)*C859/(C859+C860)</f>
        <v>2627.3123887994552</v>
      </c>
      <c r="D528" s="528">
        <f>ROUND(C528/C536*D536,0)</f>
        <v>10484</v>
      </c>
      <c r="F528" s="1944">
        <f>F392</f>
        <v>14.62</v>
      </c>
      <c r="G528" s="597"/>
      <c r="H528" s="1644">
        <f t="shared" ref="H528:I530" si="317">ROUND($F528*C528,0)</f>
        <v>38411</v>
      </c>
      <c r="I528" s="1644">
        <f t="shared" si="317"/>
        <v>153276</v>
      </c>
      <c r="K528" s="1944"/>
      <c r="L528" s="597"/>
      <c r="M528" s="1944"/>
      <c r="N528" s="597"/>
      <c r="O528" s="1944"/>
      <c r="P528" s="597"/>
      <c r="Q528" s="1944"/>
      <c r="R528" s="597"/>
      <c r="S528" s="1644"/>
      <c r="T528" s="1643"/>
      <c r="U528" s="1644"/>
      <c r="V528" s="1643"/>
      <c r="W528" s="1644"/>
      <c r="X528" s="1643"/>
      <c r="Y528" s="1644"/>
      <c r="AI528" s="2023">
        <f>W528-'Blocking-Step2'!W528</f>
        <v>0</v>
      </c>
      <c r="AJ528" s="2054">
        <f>O528-'Blocking-Step2'!O528</f>
        <v>0</v>
      </c>
    </row>
    <row r="529" spans="1:36">
      <c r="A529" s="1900" t="s">
        <v>161</v>
      </c>
      <c r="C529" s="528">
        <f>C524+C525-C528</f>
        <v>2660.3720171411387</v>
      </c>
      <c r="D529" s="528">
        <f>ROUND(C529/C536*D536,0)</f>
        <v>10616</v>
      </c>
      <c r="F529" s="1944">
        <f>F393</f>
        <v>10.91</v>
      </c>
      <c r="G529" s="597"/>
      <c r="H529" s="1644">
        <f t="shared" si="317"/>
        <v>29025</v>
      </c>
      <c r="I529" s="1644">
        <f t="shared" si="317"/>
        <v>115821</v>
      </c>
      <c r="K529" s="1944"/>
      <c r="L529" s="597"/>
      <c r="M529" s="1944"/>
      <c r="N529" s="597"/>
      <c r="O529" s="1944"/>
      <c r="P529" s="597"/>
      <c r="Q529" s="1944"/>
      <c r="R529" s="597"/>
      <c r="S529" s="1644"/>
      <c r="T529" s="1643"/>
      <c r="U529" s="1644"/>
      <c r="V529" s="1643"/>
      <c r="W529" s="1644"/>
      <c r="X529" s="1643"/>
      <c r="Y529" s="1644"/>
      <c r="AI529" s="2023">
        <f>W529-'Blocking-Step2'!W529</f>
        <v>0</v>
      </c>
      <c r="AJ529" s="2054">
        <f>O529-'Blocking-Step2'!O529</f>
        <v>0</v>
      </c>
    </row>
    <row r="530" spans="1:36">
      <c r="A530" s="1900" t="s">
        <v>261</v>
      </c>
      <c r="C530" s="528">
        <f>C514</f>
        <v>0</v>
      </c>
      <c r="D530" s="528">
        <f>D514</f>
        <v>0</v>
      </c>
      <c r="F530" s="1944">
        <f>F394</f>
        <v>-0.96</v>
      </c>
      <c r="G530" s="597"/>
      <c r="H530" s="1644">
        <f t="shared" si="317"/>
        <v>0</v>
      </c>
      <c r="I530" s="1644">
        <f t="shared" si="317"/>
        <v>0</v>
      </c>
      <c r="K530" s="1944">
        <f>K394</f>
        <v>-0.96</v>
      </c>
      <c r="L530" s="597"/>
      <c r="M530" s="1944">
        <f>M394</f>
        <v>0</v>
      </c>
      <c r="N530" s="597"/>
      <c r="O530" s="1944">
        <f>O394</f>
        <v>0</v>
      </c>
      <c r="P530" s="597"/>
      <c r="Q530" s="1944">
        <f>Q394</f>
        <v>-0.96</v>
      </c>
      <c r="R530" s="597"/>
      <c r="S530" s="1644">
        <f t="shared" ref="S530" si="318">ROUND($D530*K530,0)</f>
        <v>0</v>
      </c>
      <c r="T530" s="1643"/>
      <c r="U530" s="1644">
        <f t="shared" ref="U530" si="319">ROUND($D530*M530,0)</f>
        <v>0</v>
      </c>
      <c r="V530" s="1643"/>
      <c r="W530" s="1644">
        <f t="shared" ref="W530" si="320">ROUND($D530*O530,0)</f>
        <v>0</v>
      </c>
      <c r="X530" s="1643"/>
      <c r="Y530" s="1644">
        <f t="shared" ref="Y530" si="321">ROUND($D530*Q530,0)</f>
        <v>0</v>
      </c>
      <c r="AI530" s="2023">
        <f>W530-'Blocking-Step2'!W530</f>
        <v>0</v>
      </c>
      <c r="AJ530" s="2054">
        <f>O530-'Blocking-Step2'!O530</f>
        <v>0</v>
      </c>
    </row>
    <row r="531" spans="1:36">
      <c r="A531" s="1900" t="s">
        <v>1362</v>
      </c>
      <c r="C531" s="528">
        <f>(C526+C527)*C862/(C862+C863)</f>
        <v>466945.20143776794</v>
      </c>
      <c r="D531" s="528">
        <f>ROUND(C531/C536*D536,0)</f>
        <v>1863367</v>
      </c>
      <c r="F531" s="1943">
        <f>F395</f>
        <v>3.8127</v>
      </c>
      <c r="G531" s="1921" t="s">
        <v>495</v>
      </c>
      <c r="H531" s="1644">
        <f>ROUND($F531*C531/100,0)</f>
        <v>17803</v>
      </c>
      <c r="I531" s="1644">
        <f>ROUND($F531*D531/100,0)</f>
        <v>71045</v>
      </c>
      <c r="K531" s="1943"/>
      <c r="L531" s="1921"/>
      <c r="M531" s="1943"/>
      <c r="N531" s="1921"/>
      <c r="O531" s="1943"/>
      <c r="P531" s="1921"/>
      <c r="Q531" s="1943"/>
      <c r="R531" s="1921"/>
      <c r="S531" s="1648"/>
      <c r="T531" s="1648"/>
      <c r="U531" s="1648"/>
      <c r="V531" s="1648"/>
      <c r="W531" s="1648"/>
      <c r="X531" s="1648"/>
      <c r="Y531" s="1644"/>
      <c r="AI531" s="2023">
        <f>W531-'Blocking-Step2'!W531</f>
        <v>0</v>
      </c>
      <c r="AJ531" s="2054">
        <f>O531-'Blocking-Step2'!O531</f>
        <v>0</v>
      </c>
    </row>
    <row r="532" spans="1:36">
      <c r="A532" s="1900" t="s">
        <v>1363</v>
      </c>
      <c r="C532" s="528">
        <f>C526+C527-C531</f>
        <v>523455.29856223206</v>
      </c>
      <c r="D532" s="528">
        <f>D536-D531</f>
        <v>2088873.3804399925</v>
      </c>
      <c r="F532" s="1943">
        <f>F396</f>
        <v>3.5143</v>
      </c>
      <c r="G532" s="1921" t="s">
        <v>495</v>
      </c>
      <c r="H532" s="1644">
        <f>ROUND($F532*C532/100,0)</f>
        <v>18396</v>
      </c>
      <c r="I532" s="1644">
        <f>ROUND($F532*D532/100,0)</f>
        <v>73409</v>
      </c>
      <c r="K532" s="1943"/>
      <c r="L532" s="1921"/>
      <c r="M532" s="1943"/>
      <c r="N532" s="1921"/>
      <c r="O532" s="1943"/>
      <c r="P532" s="1921"/>
      <c r="Q532" s="1943"/>
      <c r="R532" s="1921"/>
      <c r="S532" s="1648"/>
      <c r="T532" s="1648"/>
      <c r="U532" s="1648"/>
      <c r="V532" s="1648"/>
      <c r="W532" s="1648"/>
      <c r="X532" s="1648"/>
      <c r="Y532" s="1644"/>
      <c r="AI532" s="2023">
        <f>W532-'Blocking-Step2'!W532</f>
        <v>0</v>
      </c>
      <c r="AJ532" s="2054">
        <f>O532-'Blocking-Step2'!O532</f>
        <v>0</v>
      </c>
    </row>
    <row r="533" spans="1:36">
      <c r="A533" s="1900" t="s">
        <v>246</v>
      </c>
      <c r="C533" s="529">
        <v>0</v>
      </c>
      <c r="D533" s="529">
        <v>0</v>
      </c>
      <c r="H533" s="1030">
        <v>0</v>
      </c>
      <c r="I533" s="1030">
        <v>0</v>
      </c>
      <c r="Y533" s="1030"/>
      <c r="AI533" s="2023">
        <f>W533-'Blocking-Step2'!W533</f>
        <v>0</v>
      </c>
      <c r="AJ533" s="2054">
        <f>O533-'Blocking-Step2'!O533</f>
        <v>0</v>
      </c>
    </row>
    <row r="534" spans="1:36">
      <c r="A534" s="1900" t="s">
        <v>1240</v>
      </c>
      <c r="C534" s="584"/>
      <c r="D534" s="584"/>
      <c r="F534" s="1930">
        <f t="shared" ref="F534" si="322">F398</f>
        <v>-3.61E-2</v>
      </c>
      <c r="G534" s="597"/>
      <c r="H534" s="1644">
        <f>SUM(H528:H529,H531:H532)*$F534</f>
        <v>-3741.2235000000001</v>
      </c>
      <c r="I534" s="1644">
        <f>SUM(I528:I529,I531:I532)*$F534</f>
        <v>-14929.1911</v>
      </c>
      <c r="K534" s="1930"/>
      <c r="L534" s="597"/>
      <c r="M534" s="1930"/>
      <c r="N534" s="597"/>
      <c r="O534" s="1931" t="str">
        <f>$O$43</f>
        <v>Tax Year 1 (1/1/2021)</v>
      </c>
      <c r="P534" s="597"/>
      <c r="Q534" s="1930">
        <f>$Q$687</f>
        <v>-1.52E-2</v>
      </c>
      <c r="R534" s="597"/>
      <c r="S534" s="1645"/>
      <c r="T534" s="1645"/>
      <c r="U534" s="1645"/>
      <c r="V534" s="1645"/>
      <c r="W534" s="1645"/>
      <c r="X534" s="1645"/>
      <c r="Y534" s="1644">
        <f>Q534*SUM(Y524:Y527)</f>
        <v>-6128.9744000000001</v>
      </c>
      <c r="AI534" s="2023">
        <f>W534-'Blocking-Step2'!W534</f>
        <v>0</v>
      </c>
      <c r="AJ534" s="2054">
        <f>O534-'Blocking-Step2'!O534</f>
        <v>0</v>
      </c>
    </row>
    <row r="535" spans="1:36">
      <c r="A535" s="1900"/>
      <c r="C535" s="584"/>
      <c r="D535" s="584"/>
      <c r="F535" s="1930"/>
      <c r="G535" s="597"/>
      <c r="H535" s="1644"/>
      <c r="I535" s="1644"/>
      <c r="K535" s="1930"/>
      <c r="L535" s="597"/>
      <c r="M535" s="1930"/>
      <c r="N535" s="597"/>
      <c r="O535" s="1931">
        <f>$O$44</f>
        <v>0</v>
      </c>
      <c r="P535" s="597"/>
      <c r="Q535" s="1930">
        <f>$Q$688</f>
        <v>0</v>
      </c>
      <c r="R535" s="597"/>
      <c r="S535" s="1645"/>
      <c r="T535" s="1645"/>
      <c r="U535" s="1645"/>
      <c r="V535" s="1645"/>
      <c r="W535" s="1645"/>
      <c r="X535" s="1645"/>
      <c r="Y535" s="1644">
        <f>Q535*SUM(Y524:Y527)</f>
        <v>0</v>
      </c>
      <c r="AI535" s="2023">
        <f>W535-'Blocking-Step2'!W535</f>
        <v>0</v>
      </c>
      <c r="AJ535" s="2054">
        <f>O535-'Blocking-Step2'!O535</f>
        <v>0</v>
      </c>
    </row>
    <row r="536" spans="1:36" ht="16.5" thickBot="1">
      <c r="A536" s="1900" t="s">
        <v>247</v>
      </c>
      <c r="C536" s="1949">
        <f>SUM(C531:C533)</f>
        <v>990400.5</v>
      </c>
      <c r="D536" s="1949">
        <f>C536*D867/C867</f>
        <v>3952240.3804399925</v>
      </c>
      <c r="F536" s="1939"/>
      <c r="H536" s="1647">
        <f>SUM(H520:H534)</f>
        <v>124264.77650000001</v>
      </c>
      <c r="I536" s="1647">
        <f>SUM(I520:I534)</f>
        <v>492393.8089</v>
      </c>
      <c r="K536" s="1939"/>
      <c r="M536" s="1939"/>
      <c r="O536" s="1939"/>
      <c r="Q536" s="1939"/>
      <c r="S536" s="1647">
        <f>SUM(S520:S533)</f>
        <v>214877</v>
      </c>
      <c r="U536" s="1647">
        <f>SUM(U520:U533)</f>
        <v>196043</v>
      </c>
      <c r="W536" s="1647">
        <f>SUM(W520:W533)</f>
        <v>84649</v>
      </c>
      <c r="Y536" s="1647">
        <f>SUM(Y520:Y533)</f>
        <v>495570</v>
      </c>
      <c r="AA536" s="1104" t="s">
        <v>1743</v>
      </c>
      <c r="AB536" s="1890">
        <f>Y536/I536-1</f>
        <v>6.4505098207785494E-3</v>
      </c>
      <c r="AI536" s="2023">
        <f>W536-'Blocking-Step2'!W536</f>
        <v>0</v>
      </c>
      <c r="AJ536" s="2054">
        <f>O536-'Blocking-Step2'!O536</f>
        <v>0</v>
      </c>
    </row>
    <row r="537" spans="1:36">
      <c r="AI537" s="2023">
        <f>W537-'Blocking-Step2'!W537</f>
        <v>0</v>
      </c>
      <c r="AJ537" s="2054">
        <f>O537-'Blocking-Step2'!O537</f>
        <v>0</v>
      </c>
    </row>
    <row r="538" spans="1:36">
      <c r="A538" s="1897" t="s">
        <v>1925</v>
      </c>
      <c r="C538" s="528"/>
      <c r="D538" s="528"/>
      <c r="E538" s="597"/>
      <c r="J538" s="597"/>
      <c r="AI538" s="2023">
        <f>W538-'Blocking-Step2'!W538</f>
        <v>0</v>
      </c>
      <c r="AJ538" s="2054">
        <f>O538-'Blocking-Step2'!O538</f>
        <v>0</v>
      </c>
    </row>
    <row r="539" spans="1:36">
      <c r="A539" s="1900" t="s">
        <v>240</v>
      </c>
      <c r="C539" s="528">
        <f t="shared" ref="C539:D549" si="323">C572+C605+C638</f>
        <v>63</v>
      </c>
      <c r="D539" s="528">
        <f t="shared" si="323"/>
        <v>69.151622418879057</v>
      </c>
      <c r="F539" s="1901"/>
      <c r="G539" s="1902"/>
      <c r="H539" s="1644"/>
      <c r="I539" s="1644"/>
      <c r="K539" s="1901">
        <f>K969</f>
        <v>53</v>
      </c>
      <c r="L539" s="1902"/>
      <c r="M539" s="1901">
        <f>M969</f>
        <v>0</v>
      </c>
      <c r="N539" s="1902"/>
      <c r="O539" s="1901">
        <f>O969</f>
        <v>0</v>
      </c>
      <c r="P539" s="1902"/>
      <c r="Q539" s="1901">
        <f>Q969</f>
        <v>53</v>
      </c>
      <c r="R539" s="1902"/>
      <c r="S539" s="1644">
        <f>ROUND($D539*K539,0)</f>
        <v>3665</v>
      </c>
      <c r="T539" s="1643"/>
      <c r="U539" s="1644">
        <f>ROUND($D539*M539,0)</f>
        <v>0</v>
      </c>
      <c r="V539" s="1643"/>
      <c r="W539" s="1644">
        <f>ROUND($D539*O539,0)</f>
        <v>0</v>
      </c>
      <c r="X539" s="1643"/>
      <c r="Y539" s="1644">
        <f>ROUND($D539*Q539,0)</f>
        <v>3665</v>
      </c>
      <c r="AA539" s="1109"/>
      <c r="AB539" s="1114"/>
      <c r="AI539" s="2023">
        <f>W539-'Blocking-Step2'!W539</f>
        <v>0</v>
      </c>
      <c r="AJ539" s="2054">
        <f>O539-'Blocking-Step2'!O539</f>
        <v>0</v>
      </c>
    </row>
    <row r="540" spans="1:36">
      <c r="A540" s="1900" t="s">
        <v>1910</v>
      </c>
      <c r="C540" s="528">
        <f t="shared" si="323"/>
        <v>22414.5</v>
      </c>
      <c r="D540" s="528">
        <f t="shared" si="323"/>
        <v>23181.405554894285</v>
      </c>
      <c r="E540" s="597"/>
      <c r="F540" s="1942"/>
      <c r="G540" s="1921"/>
      <c r="H540" s="1644"/>
      <c r="I540" s="1644"/>
      <c r="J540" s="597"/>
      <c r="K540" s="1942">
        <f>K961</f>
        <v>3.89</v>
      </c>
      <c r="L540" s="1921" t="s">
        <v>495</v>
      </c>
      <c r="M540" s="1942">
        <f>M961</f>
        <v>17.137528114911813</v>
      </c>
      <c r="N540" s="1921" t="s">
        <v>495</v>
      </c>
      <c r="O540" s="1942">
        <f>O961</f>
        <v>1.3496999999999999</v>
      </c>
      <c r="P540" s="1921" t="s">
        <v>495</v>
      </c>
      <c r="Q540" s="1942">
        <f>Q961</f>
        <v>22.377228114911812</v>
      </c>
      <c r="R540" s="1921" t="s">
        <v>495</v>
      </c>
      <c r="S540" s="1644">
        <f>ROUND($D540*K540/100,0)</f>
        <v>902</v>
      </c>
      <c r="T540" s="1648"/>
      <c r="U540" s="1644">
        <f>ROUND($D540*M540/100,0)</f>
        <v>3973</v>
      </c>
      <c r="V540" s="1648"/>
      <c r="W540" s="1644">
        <f>ROUND($D540*O540/100,0)</f>
        <v>313</v>
      </c>
      <c r="X540" s="1648"/>
      <c r="Y540" s="1644">
        <f>ROUND($D540*Q540/100,0)</f>
        <v>5187</v>
      </c>
      <c r="AA540" s="596"/>
      <c r="AB540" s="596"/>
      <c r="AI540" s="2023">
        <f>W540-'Blocking-Step2'!W540</f>
        <v>0</v>
      </c>
      <c r="AJ540" s="2054">
        <f>O540-'Blocking-Step2'!O540</f>
        <v>0</v>
      </c>
    </row>
    <row r="541" spans="1:36">
      <c r="A541" s="1900" t="s">
        <v>1911</v>
      </c>
      <c r="C541" s="528">
        <f t="shared" si="323"/>
        <v>29653.5</v>
      </c>
      <c r="D541" s="528">
        <f t="shared" si="323"/>
        <v>32182.25158153542</v>
      </c>
      <c r="E541" s="597"/>
      <c r="F541" s="1942"/>
      <c r="G541" s="1921"/>
      <c r="H541" s="1644"/>
      <c r="I541" s="1644"/>
      <c r="J541" s="597"/>
      <c r="K541" s="1942">
        <f t="shared" ref="K541:K547" si="324">K962</f>
        <v>3.89</v>
      </c>
      <c r="L541" s="1921" t="s">
        <v>495</v>
      </c>
      <c r="M541" s="1942">
        <f t="shared" ref="M541:M547" si="325">M962</f>
        <v>-1.0877975226579997</v>
      </c>
      <c r="N541" s="1921" t="s">
        <v>495</v>
      </c>
      <c r="O541" s="1942">
        <f t="shared" ref="O541:O547" si="326">O962</f>
        <v>1.3496999999999999</v>
      </c>
      <c r="P541" s="1921" t="s">
        <v>495</v>
      </c>
      <c r="Q541" s="1942">
        <f t="shared" ref="Q541:Q547" si="327">Q962</f>
        <v>4.1519024773420004</v>
      </c>
      <c r="R541" s="1921" t="s">
        <v>495</v>
      </c>
      <c r="S541" s="1644">
        <f t="shared" ref="S541:S547" si="328">ROUND($D541*K541/100,0)</f>
        <v>1252</v>
      </c>
      <c r="T541" s="1648"/>
      <c r="U541" s="1644">
        <f t="shared" ref="U541:U547" si="329">ROUND($D541*M541/100,0)</f>
        <v>-350</v>
      </c>
      <c r="V541" s="1648"/>
      <c r="W541" s="1644">
        <f t="shared" ref="W541:W547" si="330">ROUND($D541*O541/100,0)</f>
        <v>434</v>
      </c>
      <c r="X541" s="1648"/>
      <c r="Y541" s="1644">
        <f t="shared" ref="Y541:Y547" si="331">ROUND($D541*Q541/100,0)</f>
        <v>1336</v>
      </c>
      <c r="AA541" s="596"/>
      <c r="AB541" s="596"/>
      <c r="AI541" s="2023">
        <f>W541-'Blocking-Step2'!W541</f>
        <v>0</v>
      </c>
      <c r="AJ541" s="2054">
        <f>O541-'Blocking-Step2'!O541</f>
        <v>0</v>
      </c>
    </row>
    <row r="542" spans="1:36">
      <c r="A542" s="1900" t="s">
        <v>1912</v>
      </c>
      <c r="C542" s="528">
        <f t="shared" si="323"/>
        <v>49842</v>
      </c>
      <c r="D542" s="528">
        <f t="shared" si="323"/>
        <v>59234.229549653035</v>
      </c>
      <c r="E542" s="597"/>
      <c r="F542" s="1942"/>
      <c r="G542" s="1921"/>
      <c r="H542" s="1644"/>
      <c r="I542" s="1644"/>
      <c r="J542" s="597"/>
      <c r="K542" s="1942">
        <f t="shared" si="324"/>
        <v>3.89</v>
      </c>
      <c r="L542" s="1921" t="s">
        <v>495</v>
      </c>
      <c r="M542" s="1942">
        <f t="shared" si="325"/>
        <v>14.718500000000001</v>
      </c>
      <c r="N542" s="1921" t="s">
        <v>495</v>
      </c>
      <c r="O542" s="1942">
        <f t="shared" si="326"/>
        <v>1.1943999999999999</v>
      </c>
      <c r="P542" s="1921" t="s">
        <v>495</v>
      </c>
      <c r="Q542" s="1942">
        <f t="shared" si="327"/>
        <v>19.802900000000001</v>
      </c>
      <c r="R542" s="1921" t="s">
        <v>495</v>
      </c>
      <c r="S542" s="1644">
        <f t="shared" si="328"/>
        <v>2304</v>
      </c>
      <c r="T542" s="1648"/>
      <c r="U542" s="1644">
        <f t="shared" si="329"/>
        <v>8718</v>
      </c>
      <c r="V542" s="1648"/>
      <c r="W542" s="1644">
        <f t="shared" si="330"/>
        <v>707</v>
      </c>
      <c r="X542" s="1648"/>
      <c r="Y542" s="1644">
        <f t="shared" si="331"/>
        <v>11730</v>
      </c>
      <c r="AA542" s="596"/>
      <c r="AB542" s="596"/>
      <c r="AI542" s="2023">
        <f>W542-'Blocking-Step2'!W542</f>
        <v>0</v>
      </c>
      <c r="AJ542" s="2054">
        <f>O542-'Blocking-Step2'!O542</f>
        <v>0</v>
      </c>
    </row>
    <row r="543" spans="1:36">
      <c r="A543" s="1900" t="s">
        <v>1913</v>
      </c>
      <c r="C543" s="528">
        <f t="shared" si="323"/>
        <v>25704.5</v>
      </c>
      <c r="D543" s="528">
        <f t="shared" si="323"/>
        <v>26202.396718020587</v>
      </c>
      <c r="E543" s="597"/>
      <c r="F543" s="1942"/>
      <c r="G543" s="1921"/>
      <c r="H543" s="1644"/>
      <c r="I543" s="1644"/>
      <c r="J543" s="597"/>
      <c r="K543" s="1942">
        <f t="shared" si="324"/>
        <v>3.89</v>
      </c>
      <c r="L543" s="1921" t="s">
        <v>495</v>
      </c>
      <c r="M543" s="1942">
        <f t="shared" si="325"/>
        <v>-1.4102000000000001</v>
      </c>
      <c r="N543" s="1921" t="s">
        <v>495</v>
      </c>
      <c r="O543" s="1942">
        <f t="shared" si="326"/>
        <v>1.1943999999999999</v>
      </c>
      <c r="P543" s="1921" t="s">
        <v>495</v>
      </c>
      <c r="Q543" s="1942">
        <f t="shared" si="327"/>
        <v>3.6741999999999999</v>
      </c>
      <c r="R543" s="1921" t="s">
        <v>495</v>
      </c>
      <c r="S543" s="1644">
        <f t="shared" si="328"/>
        <v>1019</v>
      </c>
      <c r="T543" s="1648"/>
      <c r="U543" s="1644">
        <f t="shared" si="329"/>
        <v>-370</v>
      </c>
      <c r="V543" s="1648"/>
      <c r="W543" s="1644">
        <f t="shared" si="330"/>
        <v>313</v>
      </c>
      <c r="X543" s="1648"/>
      <c r="Y543" s="1644">
        <f t="shared" si="331"/>
        <v>963</v>
      </c>
      <c r="AA543" s="596"/>
      <c r="AB543" s="596"/>
      <c r="AI543" s="2023">
        <f>W543-'Blocking-Step2'!W543</f>
        <v>0</v>
      </c>
      <c r="AJ543" s="2054">
        <f>O543-'Blocking-Step2'!O543</f>
        <v>0</v>
      </c>
    </row>
    <row r="544" spans="1:36">
      <c r="A544" s="1900" t="s">
        <v>1906</v>
      </c>
      <c r="C544" s="528">
        <f t="shared" si="323"/>
        <v>28915.990030965484</v>
      </c>
      <c r="D544" s="528">
        <f t="shared" si="323"/>
        <v>30746.234881977271</v>
      </c>
      <c r="E544" s="597"/>
      <c r="F544" s="1942"/>
      <c r="G544" s="1921"/>
      <c r="H544" s="1644"/>
      <c r="I544" s="1644"/>
      <c r="J544" s="597"/>
      <c r="K544" s="1942">
        <f t="shared" si="324"/>
        <v>0</v>
      </c>
      <c r="L544" s="1921" t="s">
        <v>495</v>
      </c>
      <c r="M544" s="1942">
        <f t="shared" si="325"/>
        <v>0</v>
      </c>
      <c r="N544" s="1921" t="s">
        <v>495</v>
      </c>
      <c r="O544" s="1942">
        <f t="shared" si="326"/>
        <v>6</v>
      </c>
      <c r="P544" s="1921" t="s">
        <v>495</v>
      </c>
      <c r="Q544" s="1942">
        <f t="shared" si="327"/>
        <v>6</v>
      </c>
      <c r="R544" s="1921" t="s">
        <v>495</v>
      </c>
      <c r="S544" s="1644">
        <f t="shared" si="328"/>
        <v>0</v>
      </c>
      <c r="T544" s="1648"/>
      <c r="U544" s="1644">
        <f t="shared" si="329"/>
        <v>0</v>
      </c>
      <c r="V544" s="1648"/>
      <c r="W544" s="1644">
        <f t="shared" si="330"/>
        <v>1845</v>
      </c>
      <c r="X544" s="1648"/>
      <c r="Y544" s="1644">
        <f t="shared" si="331"/>
        <v>1845</v>
      </c>
      <c r="AA544" s="596"/>
      <c r="AB544" s="596"/>
      <c r="AI544" s="2023">
        <f>W544-'Blocking-Step2'!W544</f>
        <v>0</v>
      </c>
      <c r="AJ544" s="2054">
        <f>O544-'Blocking-Step2'!O544</f>
        <v>0</v>
      </c>
    </row>
    <row r="545" spans="1:36">
      <c r="A545" s="1900" t="s">
        <v>1907</v>
      </c>
      <c r="C545" s="528">
        <f t="shared" si="323"/>
        <v>23152.009969034516</v>
      </c>
      <c r="D545" s="528">
        <f t="shared" si="323"/>
        <v>24617.422254452438</v>
      </c>
      <c r="E545" s="597"/>
      <c r="F545" s="1942"/>
      <c r="G545" s="1921"/>
      <c r="H545" s="1644"/>
      <c r="I545" s="1644"/>
      <c r="J545" s="597"/>
      <c r="K545" s="1942">
        <f t="shared" si="324"/>
        <v>0</v>
      </c>
      <c r="L545" s="1921" t="s">
        <v>495</v>
      </c>
      <c r="M545" s="1942">
        <f t="shared" si="325"/>
        <v>0</v>
      </c>
      <c r="N545" s="1921" t="s">
        <v>495</v>
      </c>
      <c r="O545" s="1942">
        <f t="shared" si="326"/>
        <v>-2.3358000000000008</v>
      </c>
      <c r="P545" s="1921" t="s">
        <v>495</v>
      </c>
      <c r="Q545" s="1942">
        <f t="shared" si="327"/>
        <v>-2.3358000000000008</v>
      </c>
      <c r="R545" s="1921" t="s">
        <v>495</v>
      </c>
      <c r="S545" s="1644">
        <f t="shared" si="328"/>
        <v>0</v>
      </c>
      <c r="T545" s="1648"/>
      <c r="U545" s="1644">
        <f t="shared" si="329"/>
        <v>0</v>
      </c>
      <c r="V545" s="1648"/>
      <c r="W545" s="1644">
        <f t="shared" si="330"/>
        <v>-575</v>
      </c>
      <c r="X545" s="1648"/>
      <c r="Y545" s="1644">
        <f t="shared" si="331"/>
        <v>-575</v>
      </c>
      <c r="AA545" s="596"/>
      <c r="AB545" s="596"/>
      <c r="AI545" s="2023">
        <f>W545-'Blocking-Step2'!W545</f>
        <v>0</v>
      </c>
      <c r="AJ545" s="2054">
        <f>O545-'Blocking-Step2'!O545</f>
        <v>0</v>
      </c>
    </row>
    <row r="546" spans="1:36">
      <c r="A546" s="1900" t="s">
        <v>1908</v>
      </c>
      <c r="C546" s="528">
        <f t="shared" si="323"/>
        <v>41954.78683403114</v>
      </c>
      <c r="D546" s="528">
        <f t="shared" si="323"/>
        <v>47447.273439259698</v>
      </c>
      <c r="E546" s="597"/>
      <c r="F546" s="1942"/>
      <c r="G546" s="1921"/>
      <c r="H546" s="1644"/>
      <c r="I546" s="1644"/>
      <c r="J546" s="597"/>
      <c r="K546" s="1942">
        <f t="shared" si="324"/>
        <v>0</v>
      </c>
      <c r="L546" s="1921" t="s">
        <v>495</v>
      </c>
      <c r="M546" s="1942">
        <f t="shared" si="325"/>
        <v>0</v>
      </c>
      <c r="N546" s="1921" t="s">
        <v>495</v>
      </c>
      <c r="O546" s="1942">
        <f t="shared" si="326"/>
        <v>5.3097000000000003</v>
      </c>
      <c r="P546" s="1921" t="s">
        <v>495</v>
      </c>
      <c r="Q546" s="1942">
        <f t="shared" si="327"/>
        <v>5.3097000000000003</v>
      </c>
      <c r="R546" s="1921" t="s">
        <v>495</v>
      </c>
      <c r="S546" s="1644">
        <f t="shared" si="328"/>
        <v>0</v>
      </c>
      <c r="T546" s="1648"/>
      <c r="U546" s="1644">
        <f t="shared" si="329"/>
        <v>0</v>
      </c>
      <c r="V546" s="1648"/>
      <c r="W546" s="1644">
        <f t="shared" si="330"/>
        <v>2519</v>
      </c>
      <c r="X546" s="1648"/>
      <c r="Y546" s="1644">
        <f t="shared" si="331"/>
        <v>2519</v>
      </c>
      <c r="AA546" s="596"/>
      <c r="AB546" s="596"/>
      <c r="AI546" s="2023">
        <f>W546-'Blocking-Step2'!W546</f>
        <v>0</v>
      </c>
      <c r="AJ546" s="2054">
        <f>O546-'Blocking-Step2'!O546</f>
        <v>0</v>
      </c>
    </row>
    <row r="547" spans="1:36">
      <c r="A547" s="1900" t="s">
        <v>1909</v>
      </c>
      <c r="C547" s="528">
        <f t="shared" si="323"/>
        <v>33591.713165968853</v>
      </c>
      <c r="D547" s="528">
        <f t="shared" si="323"/>
        <v>37989.352828413917</v>
      </c>
      <c r="E547" s="597"/>
      <c r="F547" s="1942"/>
      <c r="G547" s="1921"/>
      <c r="H547" s="1644"/>
      <c r="I547" s="1644"/>
      <c r="J547" s="597"/>
      <c r="K547" s="1942">
        <f t="shared" si="324"/>
        <v>0</v>
      </c>
      <c r="L547" s="1921" t="s">
        <v>495</v>
      </c>
      <c r="M547" s="1942">
        <f t="shared" si="325"/>
        <v>0</v>
      </c>
      <c r="N547" s="1921" t="s">
        <v>495</v>
      </c>
      <c r="O547" s="1942">
        <f t="shared" si="326"/>
        <v>-2.0670999999999999</v>
      </c>
      <c r="P547" s="1921" t="s">
        <v>495</v>
      </c>
      <c r="Q547" s="1942">
        <f t="shared" si="327"/>
        <v>-2.0670999999999999</v>
      </c>
      <c r="R547" s="1921" t="s">
        <v>495</v>
      </c>
      <c r="S547" s="1644">
        <f t="shared" si="328"/>
        <v>0</v>
      </c>
      <c r="T547" s="1648"/>
      <c r="U547" s="1644">
        <f t="shared" si="329"/>
        <v>0</v>
      </c>
      <c r="V547" s="1648"/>
      <c r="W547" s="1644">
        <f t="shared" si="330"/>
        <v>-785</v>
      </c>
      <c r="X547" s="1648"/>
      <c r="Y547" s="1644">
        <f t="shared" si="331"/>
        <v>-785</v>
      </c>
      <c r="AA547" s="596"/>
      <c r="AB547" s="596"/>
      <c r="AI547" s="2023">
        <f>W547-'Blocking-Step2'!W547</f>
        <v>0</v>
      </c>
      <c r="AJ547" s="2054">
        <f>O547-'Blocking-Step2'!O547</f>
        <v>0</v>
      </c>
    </row>
    <row r="548" spans="1:36">
      <c r="A548" s="1900" t="s">
        <v>261</v>
      </c>
      <c r="C548" s="528">
        <f t="shared" si="323"/>
        <v>0</v>
      </c>
      <c r="D548" s="528">
        <f t="shared" si="323"/>
        <v>0</v>
      </c>
      <c r="F548" s="1901"/>
      <c r="G548" s="1902"/>
      <c r="H548" s="1644"/>
      <c r="I548" s="1644"/>
      <c r="K548" s="1901">
        <f>K996</f>
        <v>-0.61</v>
      </c>
      <c r="L548" s="1902"/>
      <c r="M548" s="1901">
        <f>M996</f>
        <v>0</v>
      </c>
      <c r="N548" s="1902"/>
      <c r="O548" s="1901">
        <f>O996</f>
        <v>0</v>
      </c>
      <c r="P548" s="1902"/>
      <c r="Q548" s="1901">
        <f>Q996</f>
        <v>-0.61</v>
      </c>
      <c r="R548" s="1902"/>
      <c r="S548" s="1644">
        <f>ROUND($D548*K548,0)</f>
        <v>0</v>
      </c>
      <c r="T548" s="1643"/>
      <c r="U548" s="1644">
        <f>ROUND($D548*M548,0)</f>
        <v>0</v>
      </c>
      <c r="V548" s="1643"/>
      <c r="W548" s="1644">
        <f>ROUND($D548*O548,0)</f>
        <v>0</v>
      </c>
      <c r="X548" s="1643"/>
      <c r="Y548" s="1644">
        <f>ROUND($D548*Q548,0)</f>
        <v>0</v>
      </c>
      <c r="AA548" s="596"/>
      <c r="AB548" s="596"/>
      <c r="AI548" s="2023">
        <f>W548-'Blocking-Step2'!W548</f>
        <v>0</v>
      </c>
      <c r="AJ548" s="2054">
        <f>O548-'Blocking-Step2'!O548</f>
        <v>0</v>
      </c>
    </row>
    <row r="549" spans="1:36">
      <c r="A549" s="1116" t="s">
        <v>1158</v>
      </c>
      <c r="C549" s="528">
        <f t="shared" si="323"/>
        <v>0</v>
      </c>
      <c r="D549" s="528">
        <f t="shared" si="323"/>
        <v>0</v>
      </c>
      <c r="F549" s="1943"/>
      <c r="G549" s="1921"/>
      <c r="H549" s="1644"/>
      <c r="I549" s="1644"/>
      <c r="K549" s="1943">
        <f>K1001</f>
        <v>0</v>
      </c>
      <c r="L549" s="1921" t="s">
        <v>495</v>
      </c>
      <c r="M549" s="1943">
        <f>M1001</f>
        <v>7.125</v>
      </c>
      <c r="N549" s="1921" t="s">
        <v>495</v>
      </c>
      <c r="O549" s="1943">
        <f>O1001</f>
        <v>0</v>
      </c>
      <c r="P549" s="1921" t="s">
        <v>495</v>
      </c>
      <c r="Q549" s="1943">
        <f>Q1001</f>
        <v>7.125</v>
      </c>
      <c r="R549" s="1921" t="s">
        <v>495</v>
      </c>
      <c r="S549" s="1644">
        <f>ROUND($D549*K549/100,0)</f>
        <v>0</v>
      </c>
      <c r="T549" s="1648"/>
      <c r="U549" s="1644">
        <f>ROUND($D549*M549/100,0)</f>
        <v>0</v>
      </c>
      <c r="V549" s="1648"/>
      <c r="W549" s="1644">
        <f>ROUND($D549*O549/100,0)</f>
        <v>0</v>
      </c>
      <c r="X549" s="1648"/>
      <c r="Y549" s="1644">
        <f>ROUND($D549*Q549/100,0)</f>
        <v>0</v>
      </c>
      <c r="AA549" s="1109"/>
      <c r="AB549" s="1114"/>
      <c r="AI549" s="2023">
        <f>W549-'Blocking-Step2'!W549</f>
        <v>0</v>
      </c>
      <c r="AJ549" s="2054">
        <f>O549-'Blocking-Step2'!O549</f>
        <v>0</v>
      </c>
    </row>
    <row r="550" spans="1:36">
      <c r="A550" s="1900" t="s">
        <v>1240</v>
      </c>
      <c r="C550" s="584"/>
      <c r="D550" s="584"/>
      <c r="F550" s="1930"/>
      <c r="G550" s="597"/>
      <c r="H550" s="1644"/>
      <c r="I550" s="1644"/>
      <c r="K550" s="1930"/>
      <c r="L550" s="597"/>
      <c r="M550" s="1930"/>
      <c r="N550" s="597"/>
      <c r="O550" s="1931" t="str">
        <f>$O$43</f>
        <v>Tax Year 1 (1/1/2021)</v>
      </c>
      <c r="P550" s="597"/>
      <c r="Q550" s="1930">
        <f>$Q$979</f>
        <v>-1.6899999999999998E-2</v>
      </c>
      <c r="R550" s="597"/>
      <c r="S550" s="1645"/>
      <c r="T550" s="1645"/>
      <c r="U550" s="1645"/>
      <c r="V550" s="1645"/>
      <c r="W550" s="1645"/>
      <c r="X550" s="1645"/>
      <c r="Y550" s="1644">
        <f>Q550*SUM(Y540:Y543,Y549)</f>
        <v>-324.75039999999996</v>
      </c>
      <c r="AI550" s="2023">
        <f>W550-'Blocking-Step2'!W550</f>
        <v>0</v>
      </c>
      <c r="AJ550" s="2054">
        <f>O550-'Blocking-Step2'!O550</f>
        <v>0</v>
      </c>
    </row>
    <row r="551" spans="1:36">
      <c r="A551" s="1900"/>
      <c r="C551" s="584"/>
      <c r="D551" s="584"/>
      <c r="F551" s="1930"/>
      <c r="G551" s="597"/>
      <c r="H551" s="1644"/>
      <c r="I551" s="1644"/>
      <c r="K551" s="1930"/>
      <c r="L551" s="597"/>
      <c r="M551" s="1930"/>
      <c r="N551" s="597"/>
      <c r="O551" s="1931">
        <f>$O$44</f>
        <v>0</v>
      </c>
      <c r="P551" s="597"/>
      <c r="Q551" s="1930">
        <f>$Q$980</f>
        <v>0</v>
      </c>
      <c r="R551" s="597"/>
      <c r="S551" s="1645"/>
      <c r="T551" s="1645"/>
      <c r="U551" s="1645"/>
      <c r="V551" s="1645"/>
      <c r="W551" s="1645"/>
      <c r="X551" s="1645"/>
      <c r="Y551" s="1644">
        <f>Q551*SUM(Y540:Y543,Y549)</f>
        <v>0</v>
      </c>
      <c r="AI551" s="2023">
        <f>W551-'Blocking-Step2'!W551</f>
        <v>0</v>
      </c>
      <c r="AJ551" s="2054">
        <f>O551-'Blocking-Step2'!O551</f>
        <v>0</v>
      </c>
    </row>
    <row r="552" spans="1:36">
      <c r="A552" s="1900" t="s">
        <v>1923</v>
      </c>
      <c r="C552" s="528">
        <f>SUM(C544:C547,C549)</f>
        <v>127614.5</v>
      </c>
      <c r="D552" s="528">
        <f>SUM(D544:D547,D549)</f>
        <v>140800.28340410333</v>
      </c>
      <c r="F552" s="1901"/>
      <c r="G552" s="1902"/>
      <c r="H552" s="1644"/>
      <c r="I552" s="1644"/>
      <c r="K552" s="1901"/>
      <c r="L552" s="1902"/>
      <c r="M552" s="1901"/>
      <c r="N552" s="1902"/>
      <c r="O552" s="1901"/>
      <c r="P552" s="1902"/>
      <c r="Q552" s="1901"/>
      <c r="R552" s="1902"/>
      <c r="S552" s="1644">
        <f>SUM(S539:S549)</f>
        <v>9142</v>
      </c>
      <c r="T552" s="1643"/>
      <c r="U552" s="1644">
        <f>SUM(U539:U549)</f>
        <v>11971</v>
      </c>
      <c r="V552" s="1643"/>
      <c r="W552" s="1644">
        <f>SUM(W539:W549)</f>
        <v>4771</v>
      </c>
      <c r="X552" s="1643"/>
      <c r="Y552" s="1644">
        <f>SUM(Y539:Y549)</f>
        <v>25885</v>
      </c>
      <c r="AA552" s="1109" t="s">
        <v>1743</v>
      </c>
      <c r="AB552" s="1499">
        <f>Y552/Y569-1</f>
        <v>-0.51930397964679009</v>
      </c>
      <c r="AI552" s="2023">
        <f>W552-'Blocking-Step2'!W552</f>
        <v>0</v>
      </c>
      <c r="AJ552" s="2054">
        <f>O552-'Blocking-Step2'!O552</f>
        <v>0</v>
      </c>
    </row>
    <row r="553" spans="1:36">
      <c r="A553" s="1900"/>
      <c r="C553" s="528"/>
      <c r="D553" s="528"/>
      <c r="F553" s="1901"/>
      <c r="G553" s="1902"/>
      <c r="H553" s="1644"/>
      <c r="I553" s="1644"/>
      <c r="K553" s="1901"/>
      <c r="L553" s="1902"/>
      <c r="M553" s="1901"/>
      <c r="N553" s="1902"/>
      <c r="O553" s="1901"/>
      <c r="P553" s="1902"/>
      <c r="Q553" s="1901"/>
      <c r="R553" s="1902"/>
      <c r="S553" s="1643"/>
      <c r="T553" s="1643"/>
      <c r="U553" s="1643"/>
      <c r="V553" s="1643"/>
      <c r="W553" s="1643"/>
      <c r="X553" s="1643"/>
      <c r="Y553" s="1644"/>
      <c r="AA553" s="1109"/>
      <c r="AB553" s="1114"/>
      <c r="AI553" s="2023">
        <f>W553-'Blocking-Step2'!W553</f>
        <v>0</v>
      </c>
      <c r="AJ553" s="2054">
        <f>O553-'Blocking-Step2'!O553</f>
        <v>0</v>
      </c>
    </row>
    <row r="554" spans="1:36">
      <c r="A554" s="1900" t="s">
        <v>240</v>
      </c>
      <c r="C554" s="528">
        <f t="shared" ref="C554:D566" si="332">C587+C620+C653</f>
        <v>63</v>
      </c>
      <c r="D554" s="528">
        <f t="shared" si="332"/>
        <v>69.151622418879057</v>
      </c>
      <c r="F554" s="1901">
        <f>F889</f>
        <v>54</v>
      </c>
      <c r="G554" s="1902"/>
      <c r="H554" s="1644">
        <f t="shared" ref="H554:I555" si="333">ROUND($F554*C554,0)</f>
        <v>3402</v>
      </c>
      <c r="I554" s="1644">
        <f t="shared" si="333"/>
        <v>3734</v>
      </c>
      <c r="K554" s="1901">
        <f>K889</f>
        <v>53</v>
      </c>
      <c r="L554" s="1902"/>
      <c r="M554" s="1901">
        <f>M889</f>
        <v>0</v>
      </c>
      <c r="N554" s="1902"/>
      <c r="O554" s="1901">
        <f>O889</f>
        <v>0</v>
      </c>
      <c r="P554" s="1902"/>
      <c r="Q554" s="1901">
        <f>Q889</f>
        <v>53</v>
      </c>
      <c r="R554" s="1902"/>
      <c r="S554" s="1644">
        <f t="shared" ref="S554:S558" si="334">ROUND($D554*K554,0)</f>
        <v>3665</v>
      </c>
      <c r="T554" s="1643"/>
      <c r="U554" s="1644">
        <f t="shared" ref="U554:U558" si="335">ROUND($D554*M554,0)</f>
        <v>0</v>
      </c>
      <c r="V554" s="1643"/>
      <c r="W554" s="1644">
        <f t="shared" ref="W554:W558" si="336">ROUND($D554*O554,0)</f>
        <v>0</v>
      </c>
      <c r="X554" s="1643"/>
      <c r="Y554" s="1644">
        <f t="shared" ref="Y554:Y558" si="337">ROUND($D554*Q554,0)</f>
        <v>3665</v>
      </c>
      <c r="AI554" s="2023">
        <f>W554-'Blocking-Step2'!W554</f>
        <v>0</v>
      </c>
      <c r="AJ554" s="2054">
        <f>O554-'Blocking-Step2'!O554</f>
        <v>0</v>
      </c>
    </row>
    <row r="555" spans="1:36">
      <c r="A555" s="1900" t="s">
        <v>262</v>
      </c>
      <c r="C555" s="528">
        <f t="shared" si="332"/>
        <v>0</v>
      </c>
      <c r="D555" s="528">
        <f t="shared" si="332"/>
        <v>0</v>
      </c>
      <c r="E555" s="597"/>
      <c r="F555" s="1901">
        <f>F890</f>
        <v>648</v>
      </c>
      <c r="G555" s="1902"/>
      <c r="H555" s="1644">
        <f t="shared" si="333"/>
        <v>0</v>
      </c>
      <c r="I555" s="1644">
        <f t="shared" si="333"/>
        <v>0</v>
      </c>
      <c r="J555" s="597"/>
      <c r="K555" s="1901">
        <f>K890</f>
        <v>636</v>
      </c>
      <c r="L555" s="1902"/>
      <c r="M555" s="1901">
        <f>M890</f>
        <v>0</v>
      </c>
      <c r="N555" s="1902"/>
      <c r="O555" s="1901">
        <f>O890</f>
        <v>0</v>
      </c>
      <c r="P555" s="1902"/>
      <c r="Q555" s="1901">
        <f>Q890</f>
        <v>636</v>
      </c>
      <c r="R555" s="1902"/>
      <c r="S555" s="1644">
        <f t="shared" si="334"/>
        <v>0</v>
      </c>
      <c r="T555" s="1645"/>
      <c r="U555" s="1644">
        <f t="shared" si="335"/>
        <v>0</v>
      </c>
      <c r="V555" s="1645"/>
      <c r="W555" s="1644">
        <f t="shared" si="336"/>
        <v>0</v>
      </c>
      <c r="X555" s="1645"/>
      <c r="Y555" s="1644">
        <f t="shared" si="337"/>
        <v>0</v>
      </c>
      <c r="AI555" s="2023">
        <f>W555-'Blocking-Step2'!W555</f>
        <v>0</v>
      </c>
      <c r="AJ555" s="2054">
        <f>O555-'Blocking-Step2'!O555</f>
        <v>0</v>
      </c>
    </row>
    <row r="556" spans="1:36">
      <c r="A556" s="1900" t="s">
        <v>168</v>
      </c>
      <c r="C556" s="528">
        <f t="shared" si="332"/>
        <v>2545.5</v>
      </c>
      <c r="D556" s="528">
        <f t="shared" si="332"/>
        <v>2794</v>
      </c>
      <c r="F556" s="1901">
        <f>F891</f>
        <v>4.04</v>
      </c>
      <c r="G556" s="1902"/>
      <c r="H556" s="1644">
        <f>ROUND($F556*C556,0)</f>
        <v>10284</v>
      </c>
      <c r="I556" s="1644">
        <f>ROUND($F556*D556,0)</f>
        <v>11288</v>
      </c>
      <c r="K556" s="1901">
        <f>K891</f>
        <v>3.98</v>
      </c>
      <c r="L556" s="1902"/>
      <c r="M556" s="1901">
        <f>M891</f>
        <v>0</v>
      </c>
      <c r="N556" s="1902"/>
      <c r="O556" s="1901">
        <f>O891</f>
        <v>0</v>
      </c>
      <c r="P556" s="1902"/>
      <c r="Q556" s="1901">
        <f>Q891</f>
        <v>3.98</v>
      </c>
      <c r="R556" s="1902"/>
      <c r="S556" s="1644">
        <f t="shared" si="334"/>
        <v>11120</v>
      </c>
      <c r="T556" s="1643"/>
      <c r="U556" s="1644">
        <f t="shared" si="335"/>
        <v>0</v>
      </c>
      <c r="V556" s="1643"/>
      <c r="W556" s="1644">
        <f t="shared" si="336"/>
        <v>0</v>
      </c>
      <c r="X556" s="1643"/>
      <c r="Y556" s="1644">
        <f t="shared" si="337"/>
        <v>11120</v>
      </c>
      <c r="AI556" s="2023">
        <f>W556-'Blocking-Step2'!W556</f>
        <v>0</v>
      </c>
      <c r="AJ556" s="2054">
        <f>O556-'Blocking-Step2'!O556</f>
        <v>0</v>
      </c>
    </row>
    <row r="557" spans="1:36">
      <c r="A557" s="1900" t="s">
        <v>1649</v>
      </c>
      <c r="C557" s="528">
        <f t="shared" si="332"/>
        <v>813.5</v>
      </c>
      <c r="D557" s="528">
        <f t="shared" si="332"/>
        <v>832</v>
      </c>
      <c r="F557" s="1944"/>
      <c r="G557" s="597"/>
      <c r="H557" s="1644"/>
      <c r="I557" s="1644"/>
      <c r="K557" s="1944">
        <f t="shared" ref="K557:K560" si="338">K892</f>
        <v>6.22</v>
      </c>
      <c r="L557" s="597"/>
      <c r="M557" s="1944">
        <f t="shared" ref="M557:M560" si="339">M892</f>
        <v>7.0100000000000007</v>
      </c>
      <c r="N557" s="597"/>
      <c r="O557" s="1944">
        <f t="shared" ref="O557:O560" si="340">O892</f>
        <v>0</v>
      </c>
      <c r="P557" s="597"/>
      <c r="Q557" s="1944">
        <f t="shared" ref="Q557:Q560" si="341">Q892</f>
        <v>13.23</v>
      </c>
      <c r="R557" s="597"/>
      <c r="S557" s="1644">
        <f t="shared" si="334"/>
        <v>5175</v>
      </c>
      <c r="T557" s="1645"/>
      <c r="U557" s="1644">
        <f t="shared" si="335"/>
        <v>5832</v>
      </c>
      <c r="V557" s="1645"/>
      <c r="W557" s="1644">
        <f t="shared" si="336"/>
        <v>0</v>
      </c>
      <c r="X557" s="1645"/>
      <c r="Y557" s="1644">
        <f t="shared" si="337"/>
        <v>11007</v>
      </c>
      <c r="AI557" s="2023">
        <f>W557-'Blocking-Step2'!W557</f>
        <v>0</v>
      </c>
      <c r="AJ557" s="2054">
        <f>O557-'Blocking-Step2'!O557</f>
        <v>0</v>
      </c>
    </row>
    <row r="558" spans="1:36">
      <c r="A558" s="1900" t="s">
        <v>1650</v>
      </c>
      <c r="C558" s="528">
        <f t="shared" si="332"/>
        <v>1732</v>
      </c>
      <c r="D558" s="528">
        <f t="shared" si="332"/>
        <v>1962</v>
      </c>
      <c r="F558" s="1944"/>
      <c r="G558" s="597"/>
      <c r="H558" s="1644"/>
      <c r="I558" s="1644"/>
      <c r="K558" s="1944">
        <f t="shared" si="338"/>
        <v>5.5</v>
      </c>
      <c r="L558" s="597"/>
      <c r="M558" s="1944">
        <f t="shared" si="339"/>
        <v>6.2100000000000009</v>
      </c>
      <c r="N558" s="597"/>
      <c r="O558" s="1944">
        <f t="shared" si="340"/>
        <v>0</v>
      </c>
      <c r="P558" s="597"/>
      <c r="Q558" s="1944">
        <f t="shared" si="341"/>
        <v>11.71</v>
      </c>
      <c r="R558" s="597"/>
      <c r="S558" s="1644">
        <f t="shared" si="334"/>
        <v>10791</v>
      </c>
      <c r="T558" s="1645"/>
      <c r="U558" s="1644">
        <f t="shared" si="335"/>
        <v>12184</v>
      </c>
      <c r="V558" s="1645"/>
      <c r="W558" s="1644">
        <f t="shared" si="336"/>
        <v>0</v>
      </c>
      <c r="X558" s="1645"/>
      <c r="Y558" s="1644">
        <f t="shared" si="337"/>
        <v>22975</v>
      </c>
      <c r="AI558" s="2023">
        <f>W558-'Blocking-Step2'!W558</f>
        <v>0</v>
      </c>
      <c r="AJ558" s="2054">
        <f>O558-'Blocking-Step2'!O558</f>
        <v>0</v>
      </c>
    </row>
    <row r="559" spans="1:36">
      <c r="A559" s="1900" t="s">
        <v>1647</v>
      </c>
      <c r="C559" s="528">
        <f t="shared" si="332"/>
        <v>52068</v>
      </c>
      <c r="D559" s="528">
        <f t="shared" si="332"/>
        <v>55363.283404103327</v>
      </c>
      <c r="F559" s="1943"/>
      <c r="G559" s="1921"/>
      <c r="H559" s="1644"/>
      <c r="I559" s="1644"/>
      <c r="K559" s="1943">
        <f t="shared" si="338"/>
        <v>0</v>
      </c>
      <c r="L559" s="1921" t="s">
        <v>495</v>
      </c>
      <c r="M559" s="1943">
        <f t="shared" si="339"/>
        <v>1.5747172373309999</v>
      </c>
      <c r="N559" s="1921" t="s">
        <v>495</v>
      </c>
      <c r="O559" s="1943">
        <f t="shared" si="340"/>
        <v>2.305570240802</v>
      </c>
      <c r="P559" s="1921" t="s">
        <v>495</v>
      </c>
      <c r="Q559" s="1943">
        <f t="shared" si="341"/>
        <v>3.8802874781329999</v>
      </c>
      <c r="R559" s="1921" t="s">
        <v>495</v>
      </c>
      <c r="S559" s="1644">
        <f>ROUND($D559*K559/100,0)</f>
        <v>0</v>
      </c>
      <c r="T559" s="1648"/>
      <c r="U559" s="1644">
        <f>ROUND($D559*M559/100,0)</f>
        <v>872</v>
      </c>
      <c r="V559" s="1648"/>
      <c r="W559" s="1644">
        <f>ROUND($D559*O559/100,0)</f>
        <v>1276</v>
      </c>
      <c r="X559" s="1648"/>
      <c r="Y559" s="1644">
        <f>ROUND($D559*Q559/100,0)</f>
        <v>2148</v>
      </c>
      <c r="AI559" s="2023">
        <f>W559-'Blocking-Step2'!W559</f>
        <v>0</v>
      </c>
      <c r="AJ559" s="2054">
        <f>O559-'Blocking-Step2'!O559</f>
        <v>0</v>
      </c>
    </row>
    <row r="560" spans="1:36">
      <c r="A560" s="1900" t="s">
        <v>1648</v>
      </c>
      <c r="C560" s="528">
        <f t="shared" si="332"/>
        <v>75546.5</v>
      </c>
      <c r="D560" s="528">
        <f t="shared" si="332"/>
        <v>85437</v>
      </c>
      <c r="F560" s="1943"/>
      <c r="G560" s="1921"/>
      <c r="H560" s="1644"/>
      <c r="I560" s="1644"/>
      <c r="K560" s="1943">
        <f t="shared" si="338"/>
        <v>0</v>
      </c>
      <c r="L560" s="1921" t="s">
        <v>495</v>
      </c>
      <c r="M560" s="1943">
        <f t="shared" si="339"/>
        <v>1.3935347233019999</v>
      </c>
      <c r="N560" s="1921" t="s">
        <v>495</v>
      </c>
      <c r="O560" s="1943">
        <f t="shared" si="340"/>
        <v>2.0403480007099999</v>
      </c>
      <c r="P560" s="1921" t="s">
        <v>495</v>
      </c>
      <c r="Q560" s="1943">
        <f t="shared" si="341"/>
        <v>3.4338827240119998</v>
      </c>
      <c r="R560" s="1921" t="s">
        <v>495</v>
      </c>
      <c r="S560" s="1644">
        <f>ROUND($D560*K560/100,0)</f>
        <v>0</v>
      </c>
      <c r="T560" s="1648"/>
      <c r="U560" s="1644">
        <f>ROUND($D560*M560/100,0)</f>
        <v>1191</v>
      </c>
      <c r="V560" s="1648"/>
      <c r="W560" s="1644">
        <f>ROUND($D560*O560/100,0)</f>
        <v>1743</v>
      </c>
      <c r="X560" s="1648"/>
      <c r="Y560" s="1644">
        <f>ROUND($D560*Q560/100,0)</f>
        <v>2934</v>
      </c>
      <c r="AI560" s="2023">
        <f>W560-'Blocking-Step2'!W560</f>
        <v>0</v>
      </c>
      <c r="AJ560" s="2054">
        <f>O560-'Blocking-Step2'!O560</f>
        <v>0</v>
      </c>
    </row>
    <row r="561" spans="1:36">
      <c r="A561" s="1900" t="s">
        <v>158</v>
      </c>
      <c r="C561" s="528">
        <f t="shared" si="332"/>
        <v>1160.9530573023851</v>
      </c>
      <c r="D561" s="528">
        <f t="shared" si="332"/>
        <v>1206</v>
      </c>
      <c r="F561" s="1901">
        <f t="shared" ref="F561:F565" si="342">F896</f>
        <v>14.62</v>
      </c>
      <c r="G561" s="1902"/>
      <c r="H561" s="1644">
        <f t="shared" ref="H561:I563" si="343">ROUND($F561*C561,0)</f>
        <v>16973</v>
      </c>
      <c r="I561" s="1644">
        <f t="shared" si="343"/>
        <v>17632</v>
      </c>
      <c r="K561" s="1901"/>
      <c r="L561" s="1902"/>
      <c r="M561" s="1901"/>
      <c r="N561" s="1902"/>
      <c r="O561" s="1901"/>
      <c r="P561" s="1902"/>
      <c r="Q561" s="1901"/>
      <c r="R561" s="1902"/>
      <c r="S561" s="1644"/>
      <c r="T561" s="1643"/>
      <c r="U561" s="1644"/>
      <c r="V561" s="1643"/>
      <c r="W561" s="1644"/>
      <c r="X561" s="1643"/>
      <c r="Y561" s="1644"/>
      <c r="AI561" s="2023">
        <f>W561-'Blocking-Step2'!W561</f>
        <v>0</v>
      </c>
      <c r="AJ561" s="2054">
        <f>O561-'Blocking-Step2'!O561</f>
        <v>0</v>
      </c>
    </row>
    <row r="562" spans="1:36">
      <c r="A562" s="1900" t="s">
        <v>165</v>
      </c>
      <c r="C562" s="528">
        <f t="shared" si="332"/>
        <v>1384.5469426976149</v>
      </c>
      <c r="D562" s="528">
        <f t="shared" si="332"/>
        <v>1588</v>
      </c>
      <c r="F562" s="1901">
        <f t="shared" si="342"/>
        <v>10.91</v>
      </c>
      <c r="G562" s="1902"/>
      <c r="H562" s="1644">
        <f t="shared" si="343"/>
        <v>15105</v>
      </c>
      <c r="I562" s="1644">
        <f t="shared" si="343"/>
        <v>17325</v>
      </c>
      <c r="K562" s="1901"/>
      <c r="L562" s="1902"/>
      <c r="M562" s="1901"/>
      <c r="N562" s="1902"/>
      <c r="O562" s="1901"/>
      <c r="P562" s="1902"/>
      <c r="Q562" s="1901"/>
      <c r="R562" s="1902"/>
      <c r="S562" s="1644"/>
      <c r="T562" s="1643"/>
      <c r="U562" s="1644"/>
      <c r="V562" s="1643"/>
      <c r="W562" s="1644"/>
      <c r="X562" s="1643"/>
      <c r="Y562" s="1644"/>
      <c r="AI562" s="2023">
        <f>W562-'Blocking-Step2'!W562</f>
        <v>0</v>
      </c>
      <c r="AJ562" s="2054">
        <f>O562-'Blocking-Step2'!O562</f>
        <v>0</v>
      </c>
    </row>
    <row r="563" spans="1:36">
      <c r="A563" s="1900" t="s">
        <v>261</v>
      </c>
      <c r="C563" s="528">
        <f t="shared" si="332"/>
        <v>0</v>
      </c>
      <c r="D563" s="528">
        <f t="shared" si="332"/>
        <v>0</v>
      </c>
      <c r="F563" s="1901">
        <f t="shared" si="342"/>
        <v>-0.96</v>
      </c>
      <c r="G563" s="1902"/>
      <c r="H563" s="1644">
        <f t="shared" si="343"/>
        <v>0</v>
      </c>
      <c r="I563" s="1644">
        <f t="shared" si="343"/>
        <v>0</v>
      </c>
      <c r="K563" s="1901">
        <f>K898</f>
        <v>-0.96</v>
      </c>
      <c r="L563" s="1902"/>
      <c r="M563" s="1901">
        <f>M898</f>
        <v>0</v>
      </c>
      <c r="N563" s="1902"/>
      <c r="O563" s="1901">
        <f>O898</f>
        <v>0</v>
      </c>
      <c r="P563" s="1902"/>
      <c r="Q563" s="1901">
        <f>Q898</f>
        <v>-0.96</v>
      </c>
      <c r="R563" s="1902"/>
      <c r="S563" s="1644">
        <f t="shared" ref="S563" si="344">ROUND($D563*K563,0)</f>
        <v>0</v>
      </c>
      <c r="T563" s="1643"/>
      <c r="U563" s="1644">
        <f t="shared" ref="U563" si="345">ROUND($D563*M563,0)</f>
        <v>0</v>
      </c>
      <c r="V563" s="1643"/>
      <c r="W563" s="1644">
        <f t="shared" ref="W563" si="346">ROUND($D563*O563,0)</f>
        <v>0</v>
      </c>
      <c r="X563" s="1643"/>
      <c r="Y563" s="1644">
        <f t="shared" ref="Y563" si="347">ROUND($D563*Q563,0)</f>
        <v>0</v>
      </c>
      <c r="AI563" s="2023">
        <f>W563-'Blocking-Step2'!W563</f>
        <v>0</v>
      </c>
      <c r="AJ563" s="2054">
        <f>O563-'Blocking-Step2'!O563</f>
        <v>0</v>
      </c>
    </row>
    <row r="564" spans="1:36">
      <c r="A564" s="1900" t="s">
        <v>1362</v>
      </c>
      <c r="C564" s="528">
        <f t="shared" si="332"/>
        <v>56207.204457290034</v>
      </c>
      <c r="D564" s="528">
        <f t="shared" si="332"/>
        <v>59699</v>
      </c>
      <c r="F564" s="1943">
        <f t="shared" si="342"/>
        <v>3.8127</v>
      </c>
      <c r="G564" s="1921" t="s">
        <v>495</v>
      </c>
      <c r="H564" s="1644">
        <f>ROUND($F564*C564/100,0)</f>
        <v>2143</v>
      </c>
      <c r="I564" s="1644">
        <f>ROUND($F564*D564/100,0)</f>
        <v>2276</v>
      </c>
      <c r="K564" s="1943"/>
      <c r="L564" s="1921"/>
      <c r="M564" s="1943"/>
      <c r="N564" s="1921"/>
      <c r="O564" s="1943"/>
      <c r="P564" s="1921"/>
      <c r="Q564" s="1943"/>
      <c r="R564" s="1921"/>
      <c r="S564" s="1648"/>
      <c r="T564" s="1648"/>
      <c r="U564" s="1648"/>
      <c r="V564" s="1648"/>
      <c r="W564" s="1648"/>
      <c r="X564" s="1648"/>
      <c r="Y564" s="1644"/>
      <c r="AI564" s="2023">
        <f>W564-'Blocking-Step2'!W564</f>
        <v>0</v>
      </c>
      <c r="AJ564" s="2054">
        <f>O564-'Blocking-Step2'!O564</f>
        <v>0</v>
      </c>
    </row>
    <row r="565" spans="1:36">
      <c r="A565" s="1900" t="s">
        <v>1363</v>
      </c>
      <c r="C565" s="528">
        <f t="shared" si="332"/>
        <v>71407.295542709966</v>
      </c>
      <c r="D565" s="528">
        <f t="shared" si="332"/>
        <v>81101.283404103335</v>
      </c>
      <c r="F565" s="1943">
        <f t="shared" si="342"/>
        <v>3.5143</v>
      </c>
      <c r="G565" s="1921" t="s">
        <v>495</v>
      </c>
      <c r="H565" s="1644">
        <f>ROUND($F565*C565/100,0)</f>
        <v>2509</v>
      </c>
      <c r="I565" s="1644">
        <f>ROUND($F565*D565/100,0)</f>
        <v>2850</v>
      </c>
      <c r="K565" s="1943"/>
      <c r="L565" s="1921"/>
      <c r="M565" s="1943"/>
      <c r="N565" s="1921"/>
      <c r="O565" s="1943"/>
      <c r="P565" s="1921"/>
      <c r="Q565" s="1943"/>
      <c r="R565" s="1921"/>
      <c r="S565" s="1648"/>
      <c r="T565" s="1648"/>
      <c r="U565" s="1648"/>
      <c r="V565" s="1648"/>
      <c r="W565" s="1648"/>
      <c r="X565" s="1648"/>
      <c r="Y565" s="1644"/>
      <c r="AI565" s="2023">
        <f>W565-'Blocking-Step2'!W565</f>
        <v>0</v>
      </c>
      <c r="AJ565" s="2054">
        <f>O565-'Blocking-Step2'!O565</f>
        <v>0</v>
      </c>
    </row>
    <row r="566" spans="1:36">
      <c r="A566" s="1900" t="s">
        <v>246</v>
      </c>
      <c r="C566" s="529">
        <f t="shared" si="332"/>
        <v>0</v>
      </c>
      <c r="D566" s="529">
        <f t="shared" si="332"/>
        <v>0</v>
      </c>
      <c r="H566" s="1030">
        <f>H599+H632+H665</f>
        <v>0</v>
      </c>
      <c r="I566" s="1030">
        <f>I599+I632+I665</f>
        <v>0</v>
      </c>
      <c r="Y566" s="1030"/>
      <c r="AI566" s="2023">
        <f>W566-'Blocking-Step2'!W566</f>
        <v>0</v>
      </c>
      <c r="AJ566" s="2054">
        <f>O566-'Blocking-Step2'!O566</f>
        <v>0</v>
      </c>
    </row>
    <row r="567" spans="1:36">
      <c r="A567" s="1900" t="s">
        <v>1240</v>
      </c>
      <c r="C567" s="584"/>
      <c r="D567" s="584"/>
      <c r="F567" s="1930">
        <f>F902</f>
        <v>-3.61E-2</v>
      </c>
      <c r="G567" s="597"/>
      <c r="H567" s="1644">
        <f>SUM(H561:H562,H564:H565)*$F567</f>
        <v>-1325.953</v>
      </c>
      <c r="I567" s="1644">
        <f>SUM(I561:I562,I564:I565)*$F567</f>
        <v>-1446.9963</v>
      </c>
      <c r="K567" s="1930"/>
      <c r="L567" s="597"/>
      <c r="M567" s="1930"/>
      <c r="N567" s="597"/>
      <c r="O567" s="1931" t="str">
        <f>$O$43</f>
        <v>Tax Year 1 (1/1/2021)</v>
      </c>
      <c r="P567" s="597"/>
      <c r="Q567" s="1930">
        <f>$Q$687</f>
        <v>-1.52E-2</v>
      </c>
      <c r="R567" s="597"/>
      <c r="S567" s="1645"/>
      <c r="T567" s="1645"/>
      <c r="U567" s="1645"/>
      <c r="V567" s="1645"/>
      <c r="W567" s="1645"/>
      <c r="X567" s="1645"/>
      <c r="Y567" s="1644">
        <f>Q567*SUM(Y557:Y560)</f>
        <v>-593.77279999999996</v>
      </c>
      <c r="AI567" s="2023">
        <f>W567-'Blocking-Step2'!W567</f>
        <v>0</v>
      </c>
      <c r="AJ567" s="2054">
        <f>O567-'Blocking-Step2'!O567</f>
        <v>0</v>
      </c>
    </row>
    <row r="568" spans="1:36">
      <c r="A568" s="1900"/>
      <c r="C568" s="584"/>
      <c r="D568" s="584"/>
      <c r="F568" s="1930"/>
      <c r="G568" s="597"/>
      <c r="H568" s="1644"/>
      <c r="I568" s="1644"/>
      <c r="K568" s="1930"/>
      <c r="L568" s="597"/>
      <c r="M568" s="1930"/>
      <c r="N568" s="597"/>
      <c r="O568" s="1931">
        <f>$O$44</f>
        <v>0</v>
      </c>
      <c r="P568" s="597"/>
      <c r="Q568" s="1930">
        <f>$Q$688</f>
        <v>0</v>
      </c>
      <c r="R568" s="597"/>
      <c r="S568" s="1645"/>
      <c r="T568" s="1645"/>
      <c r="U568" s="1645"/>
      <c r="V568" s="1645"/>
      <c r="W568" s="1645"/>
      <c r="X568" s="1645"/>
      <c r="Y568" s="1644">
        <f>Q568*SUM(Y557:Y560)</f>
        <v>0</v>
      </c>
      <c r="AI568" s="2023">
        <f>W568-'Blocking-Step2'!W568</f>
        <v>0</v>
      </c>
      <c r="AJ568" s="2054">
        <f>O568-'Blocking-Step2'!O568</f>
        <v>0</v>
      </c>
    </row>
    <row r="569" spans="1:36" ht="16.5" thickBot="1">
      <c r="A569" s="1900" t="s">
        <v>247</v>
      </c>
      <c r="C569" s="1949">
        <f>SUM(C564:C566)</f>
        <v>127614.5</v>
      </c>
      <c r="D569" s="1949">
        <f>SUM(D564:D566)</f>
        <v>140800.28340410333</v>
      </c>
      <c r="F569" s="1939"/>
      <c r="H569" s="1647">
        <f>SUM(H554:H567)</f>
        <v>49090.046999999999</v>
      </c>
      <c r="I569" s="1647">
        <f>SUM(I554:I567)</f>
        <v>53658.003700000001</v>
      </c>
      <c r="K569" s="1939"/>
      <c r="M569" s="1939"/>
      <c r="O569" s="1939"/>
      <c r="Q569" s="1939"/>
      <c r="S569" s="1647">
        <f>SUM(S554:S566)</f>
        <v>30751</v>
      </c>
      <c r="U569" s="1647">
        <f>SUM(U554:U566)</f>
        <v>20079</v>
      </c>
      <c r="W569" s="1647">
        <f>SUM(W554:W566)</f>
        <v>3019</v>
      </c>
      <c r="Y569" s="1647">
        <f>SUM(Y554:Y566)</f>
        <v>53849</v>
      </c>
      <c r="AA569" s="1104" t="s">
        <v>1743</v>
      </c>
      <c r="AB569" s="1890">
        <f>Y569/I569-1</f>
        <v>3.5595118496738465E-3</v>
      </c>
      <c r="AI569" s="2023">
        <f>W569-'Blocking-Step2'!W569</f>
        <v>0</v>
      </c>
      <c r="AJ569" s="2054">
        <f>O569-'Blocking-Step2'!O569</f>
        <v>0</v>
      </c>
    </row>
    <row r="570" spans="1:36" ht="16.5" hidden="1" thickTop="1">
      <c r="C570" s="528"/>
      <c r="D570" s="528"/>
      <c r="AI570" s="2023">
        <f>W570-'Blocking-Step2'!W570</f>
        <v>0</v>
      </c>
      <c r="AJ570" s="2054">
        <f>O570-'Blocking-Step2'!O570</f>
        <v>0</v>
      </c>
    </row>
    <row r="571" spans="1:36" hidden="1">
      <c r="A571" s="1897" t="s">
        <v>1926</v>
      </c>
      <c r="C571" s="528"/>
      <c r="D571" s="528"/>
      <c r="AI571" s="2023">
        <f>W571-'Blocking-Step2'!W571</f>
        <v>0</v>
      </c>
      <c r="AJ571" s="2054">
        <f>O571-'Blocking-Step2'!O571</f>
        <v>0</v>
      </c>
    </row>
    <row r="572" spans="1:36" hidden="1">
      <c r="A572" s="1900" t="s">
        <v>240</v>
      </c>
      <c r="C572" s="528">
        <f>'BD-Redesign'!F38</f>
        <v>7</v>
      </c>
      <c r="D572" s="528">
        <f>D587</f>
        <v>9.1516224188790556</v>
      </c>
      <c r="F572" s="1901"/>
      <c r="G572" s="1902"/>
      <c r="H572" s="1644"/>
      <c r="I572" s="1644"/>
      <c r="K572" s="1901">
        <f>K539</f>
        <v>53</v>
      </c>
      <c r="L572" s="1902"/>
      <c r="M572" s="1901">
        <f>M539</f>
        <v>0</v>
      </c>
      <c r="N572" s="1902"/>
      <c r="O572" s="1901">
        <f>O539</f>
        <v>0</v>
      </c>
      <c r="P572" s="1902"/>
      <c r="Q572" s="1901">
        <f t="shared" ref="Q572:Q582" si="348">Q539</f>
        <v>53</v>
      </c>
      <c r="R572" s="1902"/>
      <c r="S572" s="1644">
        <f>ROUND($D572*K572,0)</f>
        <v>485</v>
      </c>
      <c r="T572" s="1643"/>
      <c r="U572" s="1644">
        <f>ROUND($D572*M572,0)</f>
        <v>0</v>
      </c>
      <c r="V572" s="1643"/>
      <c r="W572" s="1644">
        <f>ROUND($D572*O572,0)</f>
        <v>0</v>
      </c>
      <c r="X572" s="1643"/>
      <c r="Y572" s="1644">
        <f>ROUND($D572*Q572,0)</f>
        <v>485</v>
      </c>
      <c r="AA572" s="1109"/>
      <c r="AB572" s="1114"/>
      <c r="AI572" s="2023">
        <f>W572-'Blocking-Step2'!W572</f>
        <v>0</v>
      </c>
      <c r="AJ572" s="2054">
        <f>O572-'Blocking-Step2'!O572</f>
        <v>0</v>
      </c>
    </row>
    <row r="573" spans="1:36" hidden="1">
      <c r="A573" s="1900" t="s">
        <v>1910</v>
      </c>
      <c r="C573" s="528">
        <f>'BD-Redesign'!F39</f>
        <v>1900</v>
      </c>
      <c r="D573" s="528">
        <f t="shared" ref="D573:D582" si="349">C573/$C$585*$D$585</f>
        <v>2469.8223468910705</v>
      </c>
      <c r="E573" s="597"/>
      <c r="F573" s="1942"/>
      <c r="G573" s="1921"/>
      <c r="H573" s="1644"/>
      <c r="I573" s="1644"/>
      <c r="J573" s="597"/>
      <c r="K573" s="1942">
        <f t="shared" ref="K573:K582" si="350">K540</f>
        <v>3.89</v>
      </c>
      <c r="L573" s="1921" t="s">
        <v>495</v>
      </c>
      <c r="M573" s="1942">
        <f t="shared" ref="M573:M582" si="351">M540</f>
        <v>17.137528114911813</v>
      </c>
      <c r="N573" s="1921" t="s">
        <v>495</v>
      </c>
      <c r="O573" s="1942">
        <f t="shared" ref="O573:O582" si="352">O540</f>
        <v>1.3496999999999999</v>
      </c>
      <c r="P573" s="1921" t="s">
        <v>495</v>
      </c>
      <c r="Q573" s="1942">
        <f t="shared" si="348"/>
        <v>22.377228114911812</v>
      </c>
      <c r="R573" s="1921" t="s">
        <v>495</v>
      </c>
      <c r="S573" s="1644">
        <f>ROUND($D573*K573/100,0)</f>
        <v>96</v>
      </c>
      <c r="T573" s="1648"/>
      <c r="U573" s="1644">
        <f>ROUND($D573*M573/100,0)</f>
        <v>423</v>
      </c>
      <c r="V573" s="1648"/>
      <c r="W573" s="1644">
        <f>ROUND($D573*O573/100,0)</f>
        <v>33</v>
      </c>
      <c r="X573" s="1648"/>
      <c r="Y573" s="1644">
        <f>ROUND($D573*Q573/100,0)</f>
        <v>553</v>
      </c>
      <c r="AA573" s="596"/>
      <c r="AB573" s="596"/>
      <c r="AI573" s="2023">
        <f>W573-'Blocking-Step2'!W573</f>
        <v>0</v>
      </c>
      <c r="AJ573" s="2054">
        <f>O573-'Blocking-Step2'!O573</f>
        <v>0</v>
      </c>
    </row>
    <row r="574" spans="1:36" hidden="1">
      <c r="A574" s="1900" t="s">
        <v>1911</v>
      </c>
      <c r="C574" s="528">
        <f>'BD-Redesign'!F40</f>
        <v>7729.5</v>
      </c>
      <c r="D574" s="528">
        <f t="shared" si="349"/>
        <v>10047.627279102384</v>
      </c>
      <c r="E574" s="597"/>
      <c r="F574" s="1942"/>
      <c r="G574" s="1921"/>
      <c r="H574" s="1644"/>
      <c r="I574" s="1644"/>
      <c r="J574" s="597"/>
      <c r="K574" s="1942">
        <f t="shared" si="350"/>
        <v>3.89</v>
      </c>
      <c r="L574" s="1921" t="s">
        <v>495</v>
      </c>
      <c r="M574" s="1942">
        <f t="shared" si="351"/>
        <v>-1.0877975226579997</v>
      </c>
      <c r="N574" s="1921" t="s">
        <v>495</v>
      </c>
      <c r="O574" s="1942">
        <f t="shared" si="352"/>
        <v>1.3496999999999999</v>
      </c>
      <c r="P574" s="1921" t="s">
        <v>495</v>
      </c>
      <c r="Q574" s="1942">
        <f t="shared" si="348"/>
        <v>4.1519024773420004</v>
      </c>
      <c r="R574" s="1921" t="s">
        <v>495</v>
      </c>
      <c r="S574" s="1644">
        <f t="shared" ref="S574:S580" si="353">ROUND($D574*K574/100,0)</f>
        <v>391</v>
      </c>
      <c r="T574" s="1648"/>
      <c r="U574" s="1644">
        <f t="shared" ref="U574:U580" si="354">ROUND($D574*M574/100,0)</f>
        <v>-109</v>
      </c>
      <c r="V574" s="1648"/>
      <c r="W574" s="1644">
        <f t="shared" ref="W574:W580" si="355">ROUND($D574*O574/100,0)</f>
        <v>136</v>
      </c>
      <c r="X574" s="1648"/>
      <c r="Y574" s="1644">
        <f t="shared" ref="Y574:Y580" si="356">ROUND($D574*Q574/100,0)</f>
        <v>417</v>
      </c>
      <c r="AA574" s="596"/>
      <c r="AB574" s="596"/>
      <c r="AI574" s="2023">
        <f>W574-'Blocking-Step2'!W574</f>
        <v>0</v>
      </c>
      <c r="AJ574" s="2054">
        <f>O574-'Blocking-Step2'!O574</f>
        <v>0</v>
      </c>
    </row>
    <row r="575" spans="1:36" hidden="1">
      <c r="A575" s="1900" t="s">
        <v>1912</v>
      </c>
      <c r="C575" s="528">
        <f>'BD-Redesign'!F41</f>
        <v>2874</v>
      </c>
      <c r="D575" s="528">
        <f t="shared" si="349"/>
        <v>3735.9312762973354</v>
      </c>
      <c r="E575" s="597"/>
      <c r="F575" s="1942"/>
      <c r="G575" s="1921"/>
      <c r="H575" s="1644"/>
      <c r="I575" s="1644"/>
      <c r="J575" s="597"/>
      <c r="K575" s="1942">
        <f t="shared" si="350"/>
        <v>3.89</v>
      </c>
      <c r="L575" s="1921" t="s">
        <v>495</v>
      </c>
      <c r="M575" s="1942">
        <f t="shared" si="351"/>
        <v>14.718500000000001</v>
      </c>
      <c r="N575" s="1921" t="s">
        <v>495</v>
      </c>
      <c r="O575" s="1942">
        <f t="shared" si="352"/>
        <v>1.1943999999999999</v>
      </c>
      <c r="P575" s="1921" t="s">
        <v>495</v>
      </c>
      <c r="Q575" s="1942">
        <f t="shared" si="348"/>
        <v>19.802900000000001</v>
      </c>
      <c r="R575" s="1921" t="s">
        <v>495</v>
      </c>
      <c r="S575" s="1644">
        <f t="shared" si="353"/>
        <v>145</v>
      </c>
      <c r="T575" s="1648"/>
      <c r="U575" s="1644">
        <f t="shared" si="354"/>
        <v>550</v>
      </c>
      <c r="V575" s="1648"/>
      <c r="W575" s="1644">
        <f t="shared" si="355"/>
        <v>45</v>
      </c>
      <c r="X575" s="1648"/>
      <c r="Y575" s="1644">
        <f t="shared" si="356"/>
        <v>740</v>
      </c>
      <c r="AA575" s="596"/>
      <c r="AB575" s="596"/>
      <c r="AI575" s="2023">
        <f>W575-'Blocking-Step2'!W575</f>
        <v>0</v>
      </c>
      <c r="AJ575" s="2054">
        <f>O575-'Blocking-Step2'!O575</f>
        <v>0</v>
      </c>
    </row>
    <row r="576" spans="1:36" hidden="1">
      <c r="A576" s="1900" t="s">
        <v>1913</v>
      </c>
      <c r="C576" s="528">
        <f>'BD-Redesign'!F42</f>
        <v>258.5</v>
      </c>
      <c r="D576" s="528">
        <f t="shared" si="349"/>
        <v>336.02582982702194</v>
      </c>
      <c r="E576" s="597"/>
      <c r="F576" s="1942"/>
      <c r="G576" s="1921"/>
      <c r="H576" s="1644"/>
      <c r="I576" s="1644"/>
      <c r="J576" s="597"/>
      <c r="K576" s="1942">
        <f t="shared" si="350"/>
        <v>3.89</v>
      </c>
      <c r="L576" s="1921" t="s">
        <v>495</v>
      </c>
      <c r="M576" s="1942">
        <f t="shared" si="351"/>
        <v>-1.4102000000000001</v>
      </c>
      <c r="N576" s="1921" t="s">
        <v>495</v>
      </c>
      <c r="O576" s="1942">
        <f t="shared" si="352"/>
        <v>1.1943999999999999</v>
      </c>
      <c r="P576" s="1921" t="s">
        <v>495</v>
      </c>
      <c r="Q576" s="1942">
        <f t="shared" si="348"/>
        <v>3.6741999999999999</v>
      </c>
      <c r="R576" s="1921" t="s">
        <v>495</v>
      </c>
      <c r="S576" s="1644">
        <f t="shared" si="353"/>
        <v>13</v>
      </c>
      <c r="T576" s="1648"/>
      <c r="U576" s="1644">
        <f t="shared" si="354"/>
        <v>-5</v>
      </c>
      <c r="V576" s="1648"/>
      <c r="W576" s="1644">
        <f t="shared" si="355"/>
        <v>4</v>
      </c>
      <c r="X576" s="1648"/>
      <c r="Y576" s="1644">
        <f t="shared" si="356"/>
        <v>12</v>
      </c>
      <c r="AA576" s="596"/>
      <c r="AB576" s="596"/>
      <c r="AI576" s="2023">
        <f>W576-'Blocking-Step2'!W576</f>
        <v>0</v>
      </c>
      <c r="AJ576" s="2054">
        <f>O576-'Blocking-Step2'!O576</f>
        <v>0</v>
      </c>
    </row>
    <row r="577" spans="1:36" hidden="1">
      <c r="A577" s="1900" t="s">
        <v>1906</v>
      </c>
      <c r="C577" s="528">
        <f>'BD-Redesign'!F43</f>
        <v>5347.7476761769631</v>
      </c>
      <c r="D577" s="528">
        <f t="shared" si="349"/>
        <v>6951.5719558719238</v>
      </c>
      <c r="E577" s="597"/>
      <c r="F577" s="1942"/>
      <c r="G577" s="1921"/>
      <c r="H577" s="1644"/>
      <c r="I577" s="1644"/>
      <c r="J577" s="597"/>
      <c r="K577" s="1942">
        <f t="shared" si="350"/>
        <v>0</v>
      </c>
      <c r="L577" s="1921" t="s">
        <v>495</v>
      </c>
      <c r="M577" s="1942">
        <f t="shared" si="351"/>
        <v>0</v>
      </c>
      <c r="N577" s="1921" t="s">
        <v>495</v>
      </c>
      <c r="O577" s="1942">
        <f t="shared" si="352"/>
        <v>6</v>
      </c>
      <c r="P577" s="1921" t="s">
        <v>495</v>
      </c>
      <c r="Q577" s="1942">
        <f t="shared" si="348"/>
        <v>6</v>
      </c>
      <c r="R577" s="1921" t="s">
        <v>495</v>
      </c>
      <c r="S577" s="1644">
        <f t="shared" si="353"/>
        <v>0</v>
      </c>
      <c r="T577" s="1648"/>
      <c r="U577" s="1644">
        <f t="shared" si="354"/>
        <v>0</v>
      </c>
      <c r="V577" s="1648"/>
      <c r="W577" s="1644">
        <f t="shared" si="355"/>
        <v>417</v>
      </c>
      <c r="X577" s="1648"/>
      <c r="Y577" s="1644">
        <f t="shared" si="356"/>
        <v>417</v>
      </c>
      <c r="AA577" s="596"/>
      <c r="AB577" s="596"/>
      <c r="AI577" s="2023">
        <f>W577-'Blocking-Step2'!W577</f>
        <v>0</v>
      </c>
      <c r="AJ577" s="2054">
        <f>O577-'Blocking-Step2'!O577</f>
        <v>0</v>
      </c>
    </row>
    <row r="578" spans="1:36" hidden="1">
      <c r="A578" s="1900" t="s">
        <v>1907</v>
      </c>
      <c r="C578" s="528">
        <f>'BD-Redesign'!F44</f>
        <v>4281.7523238230369</v>
      </c>
      <c r="D578" s="528">
        <f t="shared" si="349"/>
        <v>5565.8776701215311</v>
      </c>
      <c r="E578" s="597"/>
      <c r="F578" s="1942"/>
      <c r="G578" s="1921"/>
      <c r="H578" s="1644"/>
      <c r="I578" s="1644"/>
      <c r="J578" s="597"/>
      <c r="K578" s="1942">
        <f t="shared" si="350"/>
        <v>0</v>
      </c>
      <c r="L578" s="1921" t="s">
        <v>495</v>
      </c>
      <c r="M578" s="1942">
        <f t="shared" si="351"/>
        <v>0</v>
      </c>
      <c r="N578" s="1921" t="s">
        <v>495</v>
      </c>
      <c r="O578" s="1942">
        <f t="shared" si="352"/>
        <v>-2.3358000000000008</v>
      </c>
      <c r="P578" s="1921" t="s">
        <v>495</v>
      </c>
      <c r="Q578" s="1942">
        <f t="shared" si="348"/>
        <v>-2.3358000000000008</v>
      </c>
      <c r="R578" s="1921" t="s">
        <v>495</v>
      </c>
      <c r="S578" s="1644">
        <f t="shared" si="353"/>
        <v>0</v>
      </c>
      <c r="T578" s="1648"/>
      <c r="U578" s="1644">
        <f t="shared" si="354"/>
        <v>0</v>
      </c>
      <c r="V578" s="1648"/>
      <c r="W578" s="1644">
        <f t="shared" si="355"/>
        <v>-130</v>
      </c>
      <c r="X578" s="1648"/>
      <c r="Y578" s="1644">
        <f t="shared" si="356"/>
        <v>-130</v>
      </c>
      <c r="AA578" s="596"/>
      <c r="AB578" s="596"/>
      <c r="AI578" s="2023">
        <f>W578-'Blocking-Step2'!W578</f>
        <v>0</v>
      </c>
      <c r="AJ578" s="2054">
        <f>O578-'Blocking-Step2'!O578</f>
        <v>0</v>
      </c>
    </row>
    <row r="579" spans="1:36" hidden="1">
      <c r="A579" s="1900" t="s">
        <v>1908</v>
      </c>
      <c r="C579" s="528">
        <f>'BD-Redesign'!F45</f>
        <v>1739.6354530997805</v>
      </c>
      <c r="D579" s="528">
        <f t="shared" si="349"/>
        <v>2261.3634302683217</v>
      </c>
      <c r="E579" s="597"/>
      <c r="F579" s="1942"/>
      <c r="G579" s="1921"/>
      <c r="H579" s="1644"/>
      <c r="I579" s="1644"/>
      <c r="J579" s="597"/>
      <c r="K579" s="1942">
        <f t="shared" si="350"/>
        <v>0</v>
      </c>
      <c r="L579" s="1921" t="s">
        <v>495</v>
      </c>
      <c r="M579" s="1942">
        <f t="shared" si="351"/>
        <v>0</v>
      </c>
      <c r="N579" s="1921" t="s">
        <v>495</v>
      </c>
      <c r="O579" s="1942">
        <f t="shared" si="352"/>
        <v>5.3097000000000003</v>
      </c>
      <c r="P579" s="1921" t="s">
        <v>495</v>
      </c>
      <c r="Q579" s="1942">
        <f t="shared" si="348"/>
        <v>5.3097000000000003</v>
      </c>
      <c r="R579" s="1921" t="s">
        <v>495</v>
      </c>
      <c r="S579" s="1644">
        <f t="shared" si="353"/>
        <v>0</v>
      </c>
      <c r="T579" s="1648"/>
      <c r="U579" s="1644">
        <f t="shared" si="354"/>
        <v>0</v>
      </c>
      <c r="V579" s="1648"/>
      <c r="W579" s="1644">
        <f t="shared" si="355"/>
        <v>120</v>
      </c>
      <c r="X579" s="1648"/>
      <c r="Y579" s="1644">
        <f t="shared" si="356"/>
        <v>120</v>
      </c>
      <c r="AA579" s="596"/>
      <c r="AB579" s="596"/>
      <c r="AI579" s="2023">
        <f>W579-'Blocking-Step2'!W579</f>
        <v>0</v>
      </c>
      <c r="AJ579" s="2054">
        <f>O579-'Blocking-Step2'!O579</f>
        <v>0</v>
      </c>
    </row>
    <row r="580" spans="1:36" hidden="1">
      <c r="A580" s="1900" t="s">
        <v>1909</v>
      </c>
      <c r="C580" s="528">
        <f>'BD-Redesign'!F46</f>
        <v>1392.8645469002195</v>
      </c>
      <c r="D580" s="528">
        <f t="shared" si="349"/>
        <v>1810.5936758560356</v>
      </c>
      <c r="E580" s="597"/>
      <c r="F580" s="1942"/>
      <c r="G580" s="1921"/>
      <c r="H580" s="1644"/>
      <c r="I580" s="1644"/>
      <c r="J580" s="597"/>
      <c r="K580" s="1942">
        <f t="shared" si="350"/>
        <v>0</v>
      </c>
      <c r="L580" s="1921" t="s">
        <v>495</v>
      </c>
      <c r="M580" s="1942">
        <f t="shared" si="351"/>
        <v>0</v>
      </c>
      <c r="N580" s="1921" t="s">
        <v>495</v>
      </c>
      <c r="O580" s="1942">
        <f t="shared" si="352"/>
        <v>-2.0670999999999999</v>
      </c>
      <c r="P580" s="1921" t="s">
        <v>495</v>
      </c>
      <c r="Q580" s="1942">
        <f t="shared" si="348"/>
        <v>-2.0670999999999999</v>
      </c>
      <c r="R580" s="1921" t="s">
        <v>495</v>
      </c>
      <c r="S580" s="1644">
        <f t="shared" si="353"/>
        <v>0</v>
      </c>
      <c r="T580" s="1648"/>
      <c r="U580" s="1644">
        <f t="shared" si="354"/>
        <v>0</v>
      </c>
      <c r="V580" s="1648"/>
      <c r="W580" s="1644">
        <f t="shared" si="355"/>
        <v>-37</v>
      </c>
      <c r="X580" s="1648"/>
      <c r="Y580" s="1644">
        <f t="shared" si="356"/>
        <v>-37</v>
      </c>
      <c r="AA580" s="596"/>
      <c r="AB580" s="596"/>
      <c r="AI580" s="2023">
        <f>W580-'Blocking-Step2'!W580</f>
        <v>0</v>
      </c>
      <c r="AJ580" s="2054">
        <f>O580-'Blocking-Step2'!O580</f>
        <v>0</v>
      </c>
    </row>
    <row r="581" spans="1:36" hidden="1">
      <c r="A581" s="1900" t="s">
        <v>261</v>
      </c>
      <c r="C581" s="528">
        <f>'BD-Redesign'!F47</f>
        <v>0</v>
      </c>
      <c r="D581" s="528">
        <f t="shared" si="349"/>
        <v>0</v>
      </c>
      <c r="F581" s="1901"/>
      <c r="G581" s="1902"/>
      <c r="H581" s="1644"/>
      <c r="I581" s="1644"/>
      <c r="K581" s="1901">
        <f t="shared" si="350"/>
        <v>-0.61</v>
      </c>
      <c r="L581" s="1902"/>
      <c r="M581" s="1901">
        <f t="shared" si="351"/>
        <v>0</v>
      </c>
      <c r="N581" s="1902"/>
      <c r="O581" s="1901">
        <f t="shared" si="352"/>
        <v>0</v>
      </c>
      <c r="P581" s="1902"/>
      <c r="Q581" s="1901">
        <f t="shared" si="348"/>
        <v>-0.61</v>
      </c>
      <c r="R581" s="1902"/>
      <c r="S581" s="1644">
        <f>ROUND($D581*K581,0)</f>
        <v>0</v>
      </c>
      <c r="T581" s="1643"/>
      <c r="U581" s="1644">
        <f>ROUND($D581*M581,0)</f>
        <v>0</v>
      </c>
      <c r="V581" s="1643"/>
      <c r="W581" s="1644">
        <f>ROUND($D581*O581,0)</f>
        <v>0</v>
      </c>
      <c r="X581" s="1643"/>
      <c r="Y581" s="1644">
        <f>ROUND($D581*Q581,0)</f>
        <v>0</v>
      </c>
      <c r="AA581" s="596"/>
      <c r="AB581" s="596"/>
      <c r="AI581" s="2023">
        <f>W581-'Blocking-Step2'!W581</f>
        <v>0</v>
      </c>
      <c r="AJ581" s="2054">
        <f>O581-'Blocking-Step2'!O581</f>
        <v>0</v>
      </c>
    </row>
    <row r="582" spans="1:36" hidden="1">
      <c r="A582" s="1116" t="s">
        <v>1158</v>
      </c>
      <c r="C582" s="528">
        <f>'BD-Redesign'!F48</f>
        <v>0</v>
      </c>
      <c r="D582" s="528">
        <f t="shared" si="349"/>
        <v>0</v>
      </c>
      <c r="F582" s="1943"/>
      <c r="G582" s="1921"/>
      <c r="H582" s="1644"/>
      <c r="I582" s="1644"/>
      <c r="K582" s="1943">
        <f t="shared" si="350"/>
        <v>0</v>
      </c>
      <c r="L582" s="1921" t="s">
        <v>495</v>
      </c>
      <c r="M582" s="1943">
        <f t="shared" si="351"/>
        <v>7.125</v>
      </c>
      <c r="N582" s="1921" t="s">
        <v>495</v>
      </c>
      <c r="O582" s="1943">
        <f t="shared" si="352"/>
        <v>0</v>
      </c>
      <c r="P582" s="1921" t="s">
        <v>495</v>
      </c>
      <c r="Q582" s="1943">
        <f t="shared" si="348"/>
        <v>7.125</v>
      </c>
      <c r="R582" s="1921" t="s">
        <v>495</v>
      </c>
      <c r="S582" s="1644">
        <f>ROUND($D582*K582/100,0)</f>
        <v>0</v>
      </c>
      <c r="T582" s="1648"/>
      <c r="U582" s="1644">
        <f>ROUND($D582*M582/100,0)</f>
        <v>0</v>
      </c>
      <c r="V582" s="1648"/>
      <c r="W582" s="1644">
        <f>ROUND($D582*O582/100,0)</f>
        <v>0</v>
      </c>
      <c r="X582" s="1648"/>
      <c r="Y582" s="1644">
        <f>ROUND($D582*Q582/100,0)</f>
        <v>0</v>
      </c>
      <c r="AA582" s="1109"/>
      <c r="AB582" s="1114"/>
      <c r="AI582" s="2023">
        <f>W582-'Blocking-Step2'!W582</f>
        <v>0</v>
      </c>
      <c r="AJ582" s="2054">
        <f>O582-'Blocking-Step2'!O582</f>
        <v>0</v>
      </c>
    </row>
    <row r="583" spans="1:36" hidden="1">
      <c r="A583" s="1900" t="s">
        <v>1240</v>
      </c>
      <c r="C583" s="584"/>
      <c r="D583" s="584"/>
      <c r="F583" s="1930"/>
      <c r="G583" s="597"/>
      <c r="H583" s="1644"/>
      <c r="I583" s="1644"/>
      <c r="K583" s="1930"/>
      <c r="L583" s="597"/>
      <c r="M583" s="1930"/>
      <c r="N583" s="597"/>
      <c r="O583" s="1931" t="str">
        <f>$O$43</f>
        <v>Tax Year 1 (1/1/2021)</v>
      </c>
      <c r="P583" s="597"/>
      <c r="Q583" s="1930">
        <f>$Q$979</f>
        <v>-1.6899999999999998E-2</v>
      </c>
      <c r="R583" s="597"/>
      <c r="S583" s="1645"/>
      <c r="T583" s="1645"/>
      <c r="U583" s="1645"/>
      <c r="V583" s="1645"/>
      <c r="W583" s="1645"/>
      <c r="X583" s="1645"/>
      <c r="Y583" s="1644">
        <f>Q583*SUM(Y573:Y576,Y582)</f>
        <v>-29.101799999999997</v>
      </c>
      <c r="AI583" s="2023">
        <f>W583-'Blocking-Step2'!W583</f>
        <v>0</v>
      </c>
      <c r="AJ583" s="2054">
        <f>O583-'Blocking-Step2'!O583</f>
        <v>0</v>
      </c>
    </row>
    <row r="584" spans="1:36" hidden="1">
      <c r="A584" s="1900"/>
      <c r="C584" s="584"/>
      <c r="D584" s="584"/>
      <c r="F584" s="1930"/>
      <c r="G584" s="597"/>
      <c r="H584" s="1644"/>
      <c r="I584" s="1644"/>
      <c r="K584" s="1930"/>
      <c r="L584" s="597"/>
      <c r="M584" s="1930"/>
      <c r="N584" s="597"/>
      <c r="O584" s="1931">
        <f>$O$44</f>
        <v>0</v>
      </c>
      <c r="P584" s="597"/>
      <c r="Q584" s="1930">
        <f>$Q$980</f>
        <v>0</v>
      </c>
      <c r="R584" s="597"/>
      <c r="S584" s="1645"/>
      <c r="T584" s="1645"/>
      <c r="U584" s="1645"/>
      <c r="V584" s="1645"/>
      <c r="W584" s="1645"/>
      <c r="X584" s="1645"/>
      <c r="Y584" s="1644">
        <f>Q584*SUM(Y573:Y576,Y582)</f>
        <v>0</v>
      </c>
      <c r="AI584" s="2023">
        <f>W584-'Blocking-Step2'!W584</f>
        <v>0</v>
      </c>
      <c r="AJ584" s="2054">
        <f>O584-'Blocking-Step2'!O584</f>
        <v>0</v>
      </c>
    </row>
    <row r="585" spans="1:36" hidden="1">
      <c r="A585" s="1900" t="s">
        <v>1923</v>
      </c>
      <c r="C585" s="528">
        <f>SUM(C577:C580,C582)</f>
        <v>12762</v>
      </c>
      <c r="D585" s="528">
        <f>D602</f>
        <v>16589.406732117812</v>
      </c>
      <c r="F585" s="1901"/>
      <c r="G585" s="1902"/>
      <c r="H585" s="1644"/>
      <c r="I585" s="1644"/>
      <c r="K585" s="1901"/>
      <c r="L585" s="1902"/>
      <c r="M585" s="1901"/>
      <c r="N585" s="1902"/>
      <c r="O585" s="1901"/>
      <c r="P585" s="1902"/>
      <c r="Q585" s="1901"/>
      <c r="R585" s="1902"/>
      <c r="S585" s="1644">
        <f>SUM(S572:S582)</f>
        <v>1130</v>
      </c>
      <c r="T585" s="1643"/>
      <c r="U585" s="1644">
        <f>SUM(U572:U582)</f>
        <v>859</v>
      </c>
      <c r="V585" s="1643"/>
      <c r="W585" s="1644">
        <f>SUM(W572:W582)</f>
        <v>588</v>
      </c>
      <c r="X585" s="1643"/>
      <c r="Y585" s="1644">
        <f>SUM(Y572:Y582)</f>
        <v>2577</v>
      </c>
      <c r="AA585" s="1109" t="s">
        <v>1743</v>
      </c>
      <c r="AB585" s="1499">
        <f>Y585/Y602-1</f>
        <v>-0.35975155279503102</v>
      </c>
      <c r="AI585" s="2023">
        <f>W585-'Blocking-Step2'!W585</f>
        <v>0</v>
      </c>
      <c r="AJ585" s="2054">
        <f>O585-'Blocking-Step2'!O585</f>
        <v>0</v>
      </c>
    </row>
    <row r="586" spans="1:36" hidden="1">
      <c r="A586" s="1900"/>
      <c r="C586" s="528"/>
      <c r="D586" s="528"/>
      <c r="F586" s="1901"/>
      <c r="G586" s="1902"/>
      <c r="H586" s="1644"/>
      <c r="I586" s="1644"/>
      <c r="K586" s="1901"/>
      <c r="L586" s="1902"/>
      <c r="M586" s="1901"/>
      <c r="N586" s="1902"/>
      <c r="O586" s="1901"/>
      <c r="P586" s="1902"/>
      <c r="Q586" s="1901"/>
      <c r="R586" s="1902"/>
      <c r="S586" s="1643"/>
      <c r="T586" s="1643"/>
      <c r="U586" s="1643"/>
      <c r="V586" s="1643"/>
      <c r="W586" s="1643"/>
      <c r="X586" s="1643"/>
      <c r="Y586" s="1644"/>
      <c r="AA586" s="1109"/>
      <c r="AB586" s="1114"/>
      <c r="AI586" s="2023">
        <f>W586-'Blocking-Step2'!W586</f>
        <v>0</v>
      </c>
      <c r="AJ586" s="2054">
        <f>O586-'Blocking-Step2'!O586</f>
        <v>0</v>
      </c>
    </row>
    <row r="587" spans="1:36" hidden="1">
      <c r="A587" s="1950" t="s">
        <v>240</v>
      </c>
      <c r="C587" s="528">
        <f>C572</f>
        <v>7</v>
      </c>
      <c r="D587" s="528">
        <f>C587*D917/C917</f>
        <v>9.1516224188790556</v>
      </c>
      <c r="F587" s="1901">
        <f>F554</f>
        <v>54</v>
      </c>
      <c r="G587" s="1902"/>
      <c r="H587" s="1644">
        <f t="shared" ref="H587:I588" si="357">ROUND($F587*C587,0)</f>
        <v>378</v>
      </c>
      <c r="I587" s="1644">
        <f t="shared" si="357"/>
        <v>494</v>
      </c>
      <c r="K587" s="1901">
        <f t="shared" ref="K587:K593" si="358">K554</f>
        <v>53</v>
      </c>
      <c r="L587" s="1902"/>
      <c r="M587" s="1901">
        <f t="shared" ref="M587:M593" si="359">M554</f>
        <v>0</v>
      </c>
      <c r="N587" s="1902"/>
      <c r="O587" s="1901">
        <f t="shared" ref="O587:O593" si="360">O554</f>
        <v>0</v>
      </c>
      <c r="P587" s="1902"/>
      <c r="Q587" s="1901">
        <f t="shared" ref="Q587:Q593" si="361">Q554</f>
        <v>53</v>
      </c>
      <c r="R587" s="1902"/>
      <c r="S587" s="1644">
        <f t="shared" ref="S587:S591" si="362">ROUND($D587*K587,0)</f>
        <v>485</v>
      </c>
      <c r="T587" s="1643"/>
      <c r="U587" s="1644">
        <f t="shared" ref="U587:U591" si="363">ROUND($D587*M587,0)</f>
        <v>0</v>
      </c>
      <c r="V587" s="1643"/>
      <c r="W587" s="1644">
        <f t="shared" ref="W587:W591" si="364">ROUND($D587*O587,0)</f>
        <v>0</v>
      </c>
      <c r="X587" s="1643"/>
      <c r="Y587" s="1644">
        <f t="shared" ref="Y587:Y591" si="365">ROUND($D587*Q587,0)</f>
        <v>485</v>
      </c>
      <c r="AI587" s="2023">
        <f>W587-'Blocking-Step2'!W587</f>
        <v>0</v>
      </c>
      <c r="AJ587" s="2054">
        <f>O587-'Blocking-Step2'!O587</f>
        <v>0</v>
      </c>
    </row>
    <row r="588" spans="1:36" hidden="1">
      <c r="A588" s="1900" t="s">
        <v>262</v>
      </c>
      <c r="C588" s="584">
        <v>0</v>
      </c>
      <c r="D588" s="528">
        <v>0</v>
      </c>
      <c r="E588" s="597"/>
      <c r="F588" s="1901">
        <f>F555</f>
        <v>648</v>
      </c>
      <c r="G588" s="1902"/>
      <c r="H588" s="1644">
        <f t="shared" si="357"/>
        <v>0</v>
      </c>
      <c r="I588" s="1644">
        <f t="shared" si="357"/>
        <v>0</v>
      </c>
      <c r="J588" s="597"/>
      <c r="K588" s="1901">
        <f t="shared" si="358"/>
        <v>636</v>
      </c>
      <c r="L588" s="1902"/>
      <c r="M588" s="1901">
        <f t="shared" si="359"/>
        <v>0</v>
      </c>
      <c r="N588" s="1902"/>
      <c r="O588" s="1901">
        <f t="shared" si="360"/>
        <v>0</v>
      </c>
      <c r="P588" s="1902"/>
      <c r="Q588" s="1901">
        <f t="shared" si="361"/>
        <v>636</v>
      </c>
      <c r="R588" s="1902"/>
      <c r="S588" s="1644">
        <f t="shared" si="362"/>
        <v>0</v>
      </c>
      <c r="T588" s="1645"/>
      <c r="U588" s="1644">
        <f t="shared" si="363"/>
        <v>0</v>
      </c>
      <c r="V588" s="1645"/>
      <c r="W588" s="1644">
        <f t="shared" si="364"/>
        <v>0</v>
      </c>
      <c r="X588" s="1645"/>
      <c r="Y588" s="1644">
        <f t="shared" si="365"/>
        <v>0</v>
      </c>
      <c r="AI588" s="2023">
        <f>W588-'Blocking-Step2'!W588</f>
        <v>0</v>
      </c>
      <c r="AJ588" s="2054">
        <f>O588-'Blocking-Step2'!O588</f>
        <v>0</v>
      </c>
    </row>
    <row r="589" spans="1:36" hidden="1">
      <c r="A589" s="1900" t="s">
        <v>168</v>
      </c>
      <c r="C589" s="528">
        <f>'BD-Redesign'!F68</f>
        <v>139.5</v>
      </c>
      <c r="D589" s="528">
        <f>ROUND(C589/C602*D602,0)</f>
        <v>181</v>
      </c>
      <c r="F589" s="1901">
        <f>F556</f>
        <v>4.04</v>
      </c>
      <c r="G589" s="1902"/>
      <c r="H589" s="1644">
        <f>ROUND($F589*C589,0)</f>
        <v>564</v>
      </c>
      <c r="I589" s="1644">
        <f>ROUND($F589*D589,0)</f>
        <v>731</v>
      </c>
      <c r="K589" s="1901">
        <f t="shared" si="358"/>
        <v>3.98</v>
      </c>
      <c r="L589" s="1902"/>
      <c r="M589" s="1901">
        <f t="shared" si="359"/>
        <v>0</v>
      </c>
      <c r="N589" s="1902"/>
      <c r="O589" s="1901">
        <f t="shared" si="360"/>
        <v>0</v>
      </c>
      <c r="P589" s="1902"/>
      <c r="Q589" s="1901">
        <f t="shared" si="361"/>
        <v>3.98</v>
      </c>
      <c r="R589" s="1902"/>
      <c r="S589" s="1644">
        <f t="shared" si="362"/>
        <v>720</v>
      </c>
      <c r="T589" s="1643"/>
      <c r="U589" s="1644">
        <f t="shared" si="363"/>
        <v>0</v>
      </c>
      <c r="V589" s="1643"/>
      <c r="W589" s="1644">
        <f t="shared" si="364"/>
        <v>0</v>
      </c>
      <c r="X589" s="1643"/>
      <c r="Y589" s="1644">
        <f t="shared" si="365"/>
        <v>720</v>
      </c>
      <c r="AI589" s="2023">
        <f>W589-'Blocking-Step2'!W589</f>
        <v>0</v>
      </c>
      <c r="AJ589" s="2054">
        <f>O589-'Blocking-Step2'!O589</f>
        <v>0</v>
      </c>
    </row>
    <row r="590" spans="1:36" hidden="1">
      <c r="A590" s="1900" t="s">
        <v>1649</v>
      </c>
      <c r="C590" s="528">
        <f>'BD-Redesign'!F69</f>
        <v>38</v>
      </c>
      <c r="D590" s="528">
        <f>ROUND(C590/C592*D592,0)</f>
        <v>49</v>
      </c>
      <c r="F590" s="1944"/>
      <c r="G590" s="597"/>
      <c r="H590" s="1644"/>
      <c r="I590" s="1644"/>
      <c r="K590" s="1944">
        <f t="shared" si="358"/>
        <v>6.22</v>
      </c>
      <c r="L590" s="597"/>
      <c r="M590" s="1944">
        <f t="shared" si="359"/>
        <v>7.0100000000000007</v>
      </c>
      <c r="N590" s="597"/>
      <c r="O590" s="1944">
        <f t="shared" si="360"/>
        <v>0</v>
      </c>
      <c r="P590" s="597"/>
      <c r="Q590" s="1944">
        <f t="shared" si="361"/>
        <v>13.23</v>
      </c>
      <c r="R590" s="597"/>
      <c r="S590" s="1644">
        <f t="shared" si="362"/>
        <v>305</v>
      </c>
      <c r="T590" s="1645"/>
      <c r="U590" s="1644">
        <f t="shared" si="363"/>
        <v>343</v>
      </c>
      <c r="V590" s="1645"/>
      <c r="W590" s="1644">
        <f t="shared" si="364"/>
        <v>0</v>
      </c>
      <c r="X590" s="1645"/>
      <c r="Y590" s="1644">
        <f t="shared" si="365"/>
        <v>648</v>
      </c>
      <c r="AI590" s="2023">
        <f>W590-'Blocking-Step2'!W590</f>
        <v>0</v>
      </c>
      <c r="AJ590" s="2054">
        <f>O590-'Blocking-Step2'!O590</f>
        <v>0</v>
      </c>
    </row>
    <row r="591" spans="1:36" hidden="1">
      <c r="A591" s="1900" t="s">
        <v>1650</v>
      </c>
      <c r="C591" s="528">
        <f>'BD-Redesign'!F70</f>
        <v>101.5</v>
      </c>
      <c r="D591" s="528">
        <f>ROUND(C591/C593*D593,0)</f>
        <v>132</v>
      </c>
      <c r="F591" s="1944"/>
      <c r="G591" s="597"/>
      <c r="H591" s="1644"/>
      <c r="I591" s="1644"/>
      <c r="K591" s="1944">
        <f t="shared" si="358"/>
        <v>5.5</v>
      </c>
      <c r="L591" s="597"/>
      <c r="M591" s="1944">
        <f t="shared" si="359"/>
        <v>6.2100000000000009</v>
      </c>
      <c r="N591" s="597"/>
      <c r="O591" s="1944">
        <f t="shared" si="360"/>
        <v>0</v>
      </c>
      <c r="P591" s="597"/>
      <c r="Q591" s="1944">
        <f t="shared" si="361"/>
        <v>11.71</v>
      </c>
      <c r="R591" s="597"/>
      <c r="S591" s="1644">
        <f t="shared" si="362"/>
        <v>726</v>
      </c>
      <c r="T591" s="1645"/>
      <c r="U591" s="1644">
        <f t="shared" si="363"/>
        <v>820</v>
      </c>
      <c r="V591" s="1645"/>
      <c r="W591" s="1644">
        <f t="shared" si="364"/>
        <v>0</v>
      </c>
      <c r="X591" s="1645"/>
      <c r="Y591" s="1644">
        <f t="shared" si="365"/>
        <v>1546</v>
      </c>
      <c r="AI591" s="2023">
        <f>W591-'Blocking-Step2'!W591</f>
        <v>0</v>
      </c>
      <c r="AJ591" s="2054">
        <f>O591-'Blocking-Step2'!O591</f>
        <v>0</v>
      </c>
    </row>
    <row r="592" spans="1:36" hidden="1">
      <c r="A592" s="1900" t="s">
        <v>1647</v>
      </c>
      <c r="C592" s="528">
        <f>'BD-Redesign'!F72</f>
        <v>9629.5</v>
      </c>
      <c r="D592" s="528">
        <f>D602-D593</f>
        <v>12517.406732117812</v>
      </c>
      <c r="F592" s="1943"/>
      <c r="G592" s="1921"/>
      <c r="H592" s="1644"/>
      <c r="I592" s="1644"/>
      <c r="K592" s="1943">
        <f t="shared" si="358"/>
        <v>0</v>
      </c>
      <c r="L592" s="1921" t="s">
        <v>495</v>
      </c>
      <c r="M592" s="1943">
        <f t="shared" si="359"/>
        <v>1.5747172373309999</v>
      </c>
      <c r="N592" s="1921" t="s">
        <v>495</v>
      </c>
      <c r="O592" s="1943">
        <f t="shared" si="360"/>
        <v>2.305570240802</v>
      </c>
      <c r="P592" s="1921" t="s">
        <v>495</v>
      </c>
      <c r="Q592" s="1943">
        <f t="shared" si="361"/>
        <v>3.8802874781329999</v>
      </c>
      <c r="R592" s="1921" t="s">
        <v>495</v>
      </c>
      <c r="S592" s="1644">
        <f>ROUND($D592*K592/100,0)</f>
        <v>0</v>
      </c>
      <c r="T592" s="1648"/>
      <c r="U592" s="1644">
        <f>ROUND($D592*M592/100,0)</f>
        <v>197</v>
      </c>
      <c r="V592" s="1648"/>
      <c r="W592" s="1644">
        <f>ROUND($D592*O592/100,0)</f>
        <v>289</v>
      </c>
      <c r="X592" s="1648"/>
      <c r="Y592" s="1644">
        <f>ROUND($D592*Q592/100,0)</f>
        <v>486</v>
      </c>
      <c r="AI592" s="2023">
        <f>W592-'Blocking-Step2'!W592</f>
        <v>0</v>
      </c>
      <c r="AJ592" s="2054">
        <f>O592-'Blocking-Step2'!O592</f>
        <v>0</v>
      </c>
    </row>
    <row r="593" spans="1:36" hidden="1">
      <c r="A593" s="1900" t="s">
        <v>1648</v>
      </c>
      <c r="C593" s="528">
        <f>'BD-Redesign'!F73</f>
        <v>3132.5</v>
      </c>
      <c r="D593" s="528">
        <f>ROUND(C593/C602*D602,0)</f>
        <v>4072</v>
      </c>
      <c r="F593" s="1943"/>
      <c r="G593" s="1921"/>
      <c r="H593" s="1644"/>
      <c r="I593" s="1644"/>
      <c r="K593" s="1943">
        <f t="shared" si="358"/>
        <v>0</v>
      </c>
      <c r="L593" s="1921" t="s">
        <v>495</v>
      </c>
      <c r="M593" s="1943">
        <f t="shared" si="359"/>
        <v>1.3935347233019999</v>
      </c>
      <c r="N593" s="1921" t="s">
        <v>495</v>
      </c>
      <c r="O593" s="1943">
        <f t="shared" si="360"/>
        <v>2.0403480007099999</v>
      </c>
      <c r="P593" s="1921" t="s">
        <v>495</v>
      </c>
      <c r="Q593" s="1943">
        <f t="shared" si="361"/>
        <v>3.4338827240119998</v>
      </c>
      <c r="R593" s="1921" t="s">
        <v>495</v>
      </c>
      <c r="S593" s="1644">
        <f>ROUND($D593*K593/100,0)</f>
        <v>0</v>
      </c>
      <c r="T593" s="1648"/>
      <c r="U593" s="1644">
        <f>ROUND($D593*M593/100,0)</f>
        <v>57</v>
      </c>
      <c r="V593" s="1648"/>
      <c r="W593" s="1644">
        <f>ROUND($D593*O593/100,0)</f>
        <v>83</v>
      </c>
      <c r="X593" s="1648"/>
      <c r="Y593" s="1644">
        <f>ROUND($D593*Q593/100,0)</f>
        <v>140</v>
      </c>
      <c r="AI593" s="2023">
        <f>W593-'Blocking-Step2'!W593</f>
        <v>0</v>
      </c>
      <c r="AJ593" s="2054">
        <f>O593-'Blocking-Step2'!O593</f>
        <v>0</v>
      </c>
    </row>
    <row r="594" spans="1:36" hidden="1">
      <c r="A594" s="1900" t="s">
        <v>158</v>
      </c>
      <c r="C594" s="528">
        <f>(C590+C591)*C914/(C914+C915)</f>
        <v>117.62785174590704</v>
      </c>
      <c r="D594" s="528">
        <f>ROUND(C594/C602*D602,0)</f>
        <v>153</v>
      </c>
      <c r="F594" s="1901">
        <f>F561</f>
        <v>14.62</v>
      </c>
      <c r="G594" s="1902"/>
      <c r="H594" s="1644">
        <f t="shared" ref="H594:I596" si="366">ROUND($F594*C594,0)</f>
        <v>1720</v>
      </c>
      <c r="I594" s="1644">
        <f t="shared" si="366"/>
        <v>2237</v>
      </c>
      <c r="K594" s="1901"/>
      <c r="L594" s="1902"/>
      <c r="M594" s="1901"/>
      <c r="N594" s="1902"/>
      <c r="O594" s="1901"/>
      <c r="P594" s="1902"/>
      <c r="Q594" s="1901"/>
      <c r="R594" s="1902"/>
      <c r="S594" s="1644"/>
      <c r="T594" s="1643"/>
      <c r="U594" s="1644"/>
      <c r="V594" s="1643"/>
      <c r="W594" s="1644"/>
      <c r="X594" s="1643"/>
      <c r="Y594" s="1644"/>
      <c r="AI594" s="2023">
        <f>W594-'Blocking-Step2'!W594</f>
        <v>0</v>
      </c>
      <c r="AJ594" s="2054">
        <f>O594-'Blocking-Step2'!O594</f>
        <v>0</v>
      </c>
    </row>
    <row r="595" spans="1:36" hidden="1">
      <c r="A595" s="1900" t="s">
        <v>165</v>
      </c>
      <c r="C595" s="528">
        <f>C590+C591-C594</f>
        <v>21.872148254092963</v>
      </c>
      <c r="D595" s="528">
        <f>ROUND(C595/C602*D602,0)</f>
        <v>28</v>
      </c>
      <c r="F595" s="1901">
        <f>F562</f>
        <v>10.91</v>
      </c>
      <c r="G595" s="1902"/>
      <c r="H595" s="1644">
        <f t="shared" si="366"/>
        <v>239</v>
      </c>
      <c r="I595" s="1644">
        <f t="shared" si="366"/>
        <v>305</v>
      </c>
      <c r="K595" s="1901"/>
      <c r="L595" s="1902"/>
      <c r="M595" s="1901"/>
      <c r="N595" s="1902"/>
      <c r="O595" s="1901"/>
      <c r="P595" s="1902"/>
      <c r="Q595" s="1901"/>
      <c r="R595" s="1902"/>
      <c r="S595" s="1644"/>
      <c r="T595" s="1643"/>
      <c r="U595" s="1644"/>
      <c r="V595" s="1643"/>
      <c r="W595" s="1644"/>
      <c r="X595" s="1643"/>
      <c r="Y595" s="1644"/>
      <c r="AI595" s="2023">
        <f>W595-'Blocking-Step2'!W595</f>
        <v>0</v>
      </c>
      <c r="AJ595" s="2054">
        <f>O595-'Blocking-Step2'!O595</f>
        <v>0</v>
      </c>
    </row>
    <row r="596" spans="1:36" hidden="1">
      <c r="A596" s="1900" t="s">
        <v>261</v>
      </c>
      <c r="C596" s="528">
        <f>C581</f>
        <v>0</v>
      </c>
      <c r="D596" s="528">
        <f>D581</f>
        <v>0</v>
      </c>
      <c r="F596" s="1901">
        <f>F563</f>
        <v>-0.96</v>
      </c>
      <c r="G596" s="1902"/>
      <c r="H596" s="1644">
        <f t="shared" si="366"/>
        <v>0</v>
      </c>
      <c r="I596" s="1644">
        <f t="shared" si="366"/>
        <v>0</v>
      </c>
      <c r="K596" s="1901">
        <f>K563</f>
        <v>-0.96</v>
      </c>
      <c r="L596" s="1902"/>
      <c r="M596" s="1901">
        <f>M563</f>
        <v>0</v>
      </c>
      <c r="N596" s="1902"/>
      <c r="O596" s="1901">
        <f>O563</f>
        <v>0</v>
      </c>
      <c r="P596" s="1902"/>
      <c r="Q596" s="1901">
        <f>Q563</f>
        <v>-0.96</v>
      </c>
      <c r="R596" s="1902"/>
      <c r="S596" s="1644">
        <f t="shared" ref="S596" si="367">ROUND($D596*K596,0)</f>
        <v>0</v>
      </c>
      <c r="T596" s="1643"/>
      <c r="U596" s="1644">
        <f t="shared" ref="U596" si="368">ROUND($D596*M596,0)</f>
        <v>0</v>
      </c>
      <c r="V596" s="1643"/>
      <c r="W596" s="1644">
        <f t="shared" ref="W596" si="369">ROUND($D596*O596,0)</f>
        <v>0</v>
      </c>
      <c r="X596" s="1643"/>
      <c r="Y596" s="1644">
        <f t="shared" ref="Y596" si="370">ROUND($D596*Q596,0)</f>
        <v>0</v>
      </c>
      <c r="AI596" s="2023">
        <f>W596-'Blocking-Step2'!W596</f>
        <v>0</v>
      </c>
      <c r="AJ596" s="2054">
        <f>O596-'Blocking-Step2'!O596</f>
        <v>0</v>
      </c>
    </row>
    <row r="597" spans="1:36" hidden="1">
      <c r="A597" s="1900" t="s">
        <v>1362</v>
      </c>
      <c r="C597" s="528">
        <f>(C592+C593)*C917/(C917+C918)</f>
        <v>10170</v>
      </c>
      <c r="D597" s="528">
        <f>ROUND(C597/C602*D602,0)</f>
        <v>13220</v>
      </c>
      <c r="F597" s="1943">
        <f>F564</f>
        <v>3.8127</v>
      </c>
      <c r="G597" s="1921" t="s">
        <v>495</v>
      </c>
      <c r="H597" s="1644">
        <f>ROUND($F597*C597/100,0)</f>
        <v>388</v>
      </c>
      <c r="I597" s="1644">
        <f>ROUND($F597*D597/100,0)</f>
        <v>504</v>
      </c>
      <c r="K597" s="1943"/>
      <c r="L597" s="1921"/>
      <c r="M597" s="1943"/>
      <c r="N597" s="1921"/>
      <c r="O597" s="1943"/>
      <c r="P597" s="1921"/>
      <c r="Q597" s="1943"/>
      <c r="R597" s="1921"/>
      <c r="S597" s="1648"/>
      <c r="T597" s="1648"/>
      <c r="U597" s="1648"/>
      <c r="V597" s="1648"/>
      <c r="W597" s="1648"/>
      <c r="X597" s="1648"/>
      <c r="Y597" s="1644"/>
      <c r="AI597" s="2023">
        <f>W597-'Blocking-Step2'!W597</f>
        <v>0</v>
      </c>
      <c r="AJ597" s="2054">
        <f>O597-'Blocking-Step2'!O597</f>
        <v>0</v>
      </c>
    </row>
    <row r="598" spans="1:36" hidden="1">
      <c r="A598" s="1900" t="s">
        <v>1363</v>
      </c>
      <c r="C598" s="528">
        <f>C592+C593-C597</f>
        <v>2592</v>
      </c>
      <c r="D598" s="528">
        <f>D602-D597</f>
        <v>3369.4067321178118</v>
      </c>
      <c r="F598" s="1943">
        <f>F565</f>
        <v>3.5143</v>
      </c>
      <c r="G598" s="1921" t="s">
        <v>495</v>
      </c>
      <c r="H598" s="1644">
        <f>ROUND($F598*C598/100,0)</f>
        <v>91</v>
      </c>
      <c r="I598" s="1644">
        <f>ROUND($F598*D598/100,0)</f>
        <v>118</v>
      </c>
      <c r="K598" s="1943"/>
      <c r="L598" s="1921"/>
      <c r="M598" s="1943"/>
      <c r="N598" s="1921"/>
      <c r="O598" s="1943"/>
      <c r="P598" s="1921"/>
      <c r="Q598" s="1943"/>
      <c r="R598" s="1921"/>
      <c r="S598" s="1648"/>
      <c r="T598" s="1648"/>
      <c r="U598" s="1648"/>
      <c r="V598" s="1648"/>
      <c r="W598" s="1648"/>
      <c r="X598" s="1648"/>
      <c r="Y598" s="1644"/>
      <c r="AI598" s="2023">
        <f>W598-'Blocking-Step2'!W598</f>
        <v>0</v>
      </c>
      <c r="AJ598" s="2054">
        <f>O598-'Blocking-Step2'!O598</f>
        <v>0</v>
      </c>
    </row>
    <row r="599" spans="1:36" hidden="1">
      <c r="A599" s="1900" t="s">
        <v>246</v>
      </c>
      <c r="C599" s="529">
        <v>0</v>
      </c>
      <c r="D599" s="529">
        <v>0</v>
      </c>
      <c r="H599" s="1030">
        <v>0</v>
      </c>
      <c r="I599" s="1030">
        <v>0</v>
      </c>
      <c r="Y599" s="1030"/>
      <c r="AI599" s="2023">
        <f>W599-'Blocking-Step2'!W599</f>
        <v>0</v>
      </c>
      <c r="AJ599" s="2054">
        <f>O599-'Blocking-Step2'!O599</f>
        <v>0</v>
      </c>
    </row>
    <row r="600" spans="1:36" hidden="1">
      <c r="A600" s="1900" t="s">
        <v>1240</v>
      </c>
      <c r="C600" s="584"/>
      <c r="D600" s="584"/>
      <c r="F600" s="1930">
        <f>F567</f>
        <v>-3.61E-2</v>
      </c>
      <c r="G600" s="597"/>
      <c r="H600" s="1644">
        <f>SUM(H594:H595,H597:H598)*$F600</f>
        <v>-88.011799999999994</v>
      </c>
      <c r="I600" s="1644">
        <f>SUM(I594:I595,I597:I598)*$F600</f>
        <v>-114.2204</v>
      </c>
      <c r="K600" s="1930"/>
      <c r="L600" s="597"/>
      <c r="M600" s="1930"/>
      <c r="N600" s="597"/>
      <c r="O600" s="1931" t="str">
        <f>$O$43</f>
        <v>Tax Year 1 (1/1/2021)</v>
      </c>
      <c r="P600" s="597"/>
      <c r="Q600" s="1930">
        <f>$Q$687</f>
        <v>-1.52E-2</v>
      </c>
      <c r="R600" s="597"/>
      <c r="S600" s="1645"/>
      <c r="T600" s="1645"/>
      <c r="U600" s="1645"/>
      <c r="V600" s="1645"/>
      <c r="W600" s="1645"/>
      <c r="X600" s="1645"/>
      <c r="Y600" s="1644">
        <f>Q600*SUM(Y590:Y593)</f>
        <v>-42.863999999999997</v>
      </c>
      <c r="AI600" s="2023">
        <f>W600-'Blocking-Step2'!W600</f>
        <v>0</v>
      </c>
      <c r="AJ600" s="2054">
        <f>O600-'Blocking-Step2'!O600</f>
        <v>0</v>
      </c>
    </row>
    <row r="601" spans="1:36" hidden="1">
      <c r="A601" s="1900"/>
      <c r="C601" s="584"/>
      <c r="D601" s="584"/>
      <c r="F601" s="1930"/>
      <c r="G601" s="597"/>
      <c r="H601" s="1644"/>
      <c r="I601" s="1644"/>
      <c r="K601" s="1930"/>
      <c r="L601" s="597"/>
      <c r="M601" s="1930"/>
      <c r="N601" s="597"/>
      <c r="O601" s="1931">
        <f>$O$44</f>
        <v>0</v>
      </c>
      <c r="P601" s="597"/>
      <c r="Q601" s="1930">
        <f>$Q$688</f>
        <v>0</v>
      </c>
      <c r="R601" s="597"/>
      <c r="S601" s="1645"/>
      <c r="T601" s="1645"/>
      <c r="U601" s="1645"/>
      <c r="V601" s="1645"/>
      <c r="W601" s="1645"/>
      <c r="X601" s="1645"/>
      <c r="Y601" s="1644">
        <f>Q601*SUM(Y590:Y593)</f>
        <v>0</v>
      </c>
      <c r="AI601" s="2023">
        <f>W601-'Blocking-Step2'!W601</f>
        <v>0</v>
      </c>
      <c r="AJ601" s="2054">
        <f>O601-'Blocking-Step2'!O601</f>
        <v>0</v>
      </c>
    </row>
    <row r="602" spans="1:36" ht="16.5" hidden="1" thickBot="1">
      <c r="A602" s="1900" t="s">
        <v>247</v>
      </c>
      <c r="C602" s="1949">
        <f>SUM(C597:C599)</f>
        <v>12762</v>
      </c>
      <c r="D602" s="1949">
        <f>C602*D922/C922</f>
        <v>16589.406732117812</v>
      </c>
      <c r="F602" s="1939"/>
      <c r="H602" s="1647">
        <f>SUM(H587:H600)</f>
        <v>3291.9881999999998</v>
      </c>
      <c r="I602" s="1647">
        <f>SUM(I587:I600)</f>
        <v>4274.7795999999998</v>
      </c>
      <c r="K602" s="1939"/>
      <c r="M602" s="1939"/>
      <c r="O602" s="1939"/>
      <c r="Q602" s="1939"/>
      <c r="S602" s="1647">
        <f>SUM(S587:S599)</f>
        <v>2236</v>
      </c>
      <c r="U602" s="1647">
        <f>SUM(U587:U599)</f>
        <v>1417</v>
      </c>
      <c r="W602" s="1647">
        <f>SUM(W587:W599)</f>
        <v>372</v>
      </c>
      <c r="Y602" s="1647">
        <f>SUM(Y587:Y599)</f>
        <v>4025</v>
      </c>
      <c r="AA602" s="1104" t="s">
        <v>1743</v>
      </c>
      <c r="AB602" s="1890">
        <f>Y602/I602-1</f>
        <v>-5.8430989050289206E-2</v>
      </c>
      <c r="AI602" s="2023">
        <f>W602-'Blocking-Step2'!W602</f>
        <v>0</v>
      </c>
      <c r="AJ602" s="2054">
        <f>O602-'Blocking-Step2'!O602</f>
        <v>0</v>
      </c>
    </row>
    <row r="603" spans="1:36" ht="16.5" hidden="1" thickTop="1">
      <c r="C603" s="528"/>
      <c r="D603" s="528"/>
      <c r="AI603" s="2023">
        <f>W603-'Blocking-Step2'!W603</f>
        <v>0</v>
      </c>
      <c r="AJ603" s="2054">
        <f>O603-'Blocking-Step2'!O603</f>
        <v>0</v>
      </c>
    </row>
    <row r="604" spans="1:36" hidden="1">
      <c r="A604" s="1897" t="s">
        <v>1927</v>
      </c>
      <c r="C604" s="528"/>
      <c r="D604" s="528"/>
      <c r="E604" s="597"/>
      <c r="J604" s="597"/>
      <c r="AI604" s="2023">
        <f>W604-'Blocking-Step2'!W604</f>
        <v>0</v>
      </c>
      <c r="AJ604" s="2054">
        <f>O604-'Blocking-Step2'!O604</f>
        <v>0</v>
      </c>
    </row>
    <row r="605" spans="1:36" hidden="1">
      <c r="A605" s="1900" t="s">
        <v>240</v>
      </c>
      <c r="C605" s="528">
        <f>'BD-Redesign'!D38</f>
        <v>54</v>
      </c>
      <c r="D605" s="528">
        <f>D620</f>
        <v>54</v>
      </c>
      <c r="F605" s="1901"/>
      <c r="G605" s="1902"/>
      <c r="H605" s="1644"/>
      <c r="I605" s="1644"/>
      <c r="K605" s="1901">
        <f>K539</f>
        <v>53</v>
      </c>
      <c r="L605" s="1902"/>
      <c r="M605" s="1901">
        <f>M539</f>
        <v>0</v>
      </c>
      <c r="N605" s="1902"/>
      <c r="O605" s="1901">
        <f>O539</f>
        <v>0</v>
      </c>
      <c r="P605" s="1902"/>
      <c r="Q605" s="1901">
        <f t="shared" ref="Q605:Q615" si="371">Q539</f>
        <v>53</v>
      </c>
      <c r="R605" s="1902"/>
      <c r="S605" s="1644">
        <f>ROUND($D605*K605,0)</f>
        <v>2862</v>
      </c>
      <c r="T605" s="1643"/>
      <c r="U605" s="1644">
        <f>ROUND($D605*M605,0)</f>
        <v>0</v>
      </c>
      <c r="V605" s="1643"/>
      <c r="W605" s="1644">
        <f>ROUND($D605*O605,0)</f>
        <v>0</v>
      </c>
      <c r="X605" s="1643"/>
      <c r="Y605" s="1644">
        <f>ROUND($D605*Q605,0)</f>
        <v>2862</v>
      </c>
      <c r="AA605" s="1109"/>
      <c r="AB605" s="1114"/>
      <c r="AI605" s="2023">
        <f>W605-'Blocking-Step2'!W605</f>
        <v>0</v>
      </c>
      <c r="AJ605" s="2054">
        <f>O605-'Blocking-Step2'!O605</f>
        <v>0</v>
      </c>
    </row>
    <row r="606" spans="1:36" hidden="1">
      <c r="A606" s="1900" t="s">
        <v>1910</v>
      </c>
      <c r="C606" s="528">
        <f>'BD-Redesign'!D39</f>
        <v>20514.5</v>
      </c>
      <c r="D606" s="528">
        <f t="shared" ref="D606:D615" si="372">C606/$C$618*$D$618</f>
        <v>20711.583208003216</v>
      </c>
      <c r="E606" s="597"/>
      <c r="F606" s="1942"/>
      <c r="G606" s="1921"/>
      <c r="H606" s="1644"/>
      <c r="I606" s="1644"/>
      <c r="J606" s="597"/>
      <c r="K606" s="1942">
        <f t="shared" ref="K606:K615" si="373">K540</f>
        <v>3.89</v>
      </c>
      <c r="L606" s="1921" t="s">
        <v>495</v>
      </c>
      <c r="M606" s="1942">
        <f t="shared" ref="M606:M615" si="374">M540</f>
        <v>17.137528114911813</v>
      </c>
      <c r="N606" s="1921" t="s">
        <v>495</v>
      </c>
      <c r="O606" s="1942">
        <f t="shared" ref="O606:O615" si="375">O540</f>
        <v>1.3496999999999999</v>
      </c>
      <c r="P606" s="1921" t="s">
        <v>495</v>
      </c>
      <c r="Q606" s="1942">
        <f t="shared" si="371"/>
        <v>22.377228114911812</v>
      </c>
      <c r="R606" s="1921" t="s">
        <v>495</v>
      </c>
      <c r="S606" s="1644">
        <f>ROUND($D606*K606/100,0)</f>
        <v>806</v>
      </c>
      <c r="T606" s="1648"/>
      <c r="U606" s="1644">
        <f>ROUND($D606*M606/100,0)</f>
        <v>3549</v>
      </c>
      <c r="V606" s="1648"/>
      <c r="W606" s="1644">
        <f>ROUND($D606*O606/100,0)</f>
        <v>280</v>
      </c>
      <c r="X606" s="1648"/>
      <c r="Y606" s="1644">
        <f>ROUND($D606*Q606/100,0)</f>
        <v>4635</v>
      </c>
      <c r="AA606" s="596"/>
      <c r="AB606" s="596"/>
      <c r="AI606" s="2023">
        <f>W606-'Blocking-Step2'!W606</f>
        <v>0</v>
      </c>
      <c r="AJ606" s="2054">
        <f>O606-'Blocking-Step2'!O606</f>
        <v>0</v>
      </c>
    </row>
    <row r="607" spans="1:36" hidden="1">
      <c r="A607" s="1900" t="s">
        <v>1911</v>
      </c>
      <c r="C607" s="528">
        <f>'BD-Redesign'!D40</f>
        <v>21924</v>
      </c>
      <c r="D607" s="528">
        <f t="shared" si="372"/>
        <v>22134.624302433036</v>
      </c>
      <c r="E607" s="597"/>
      <c r="F607" s="1942"/>
      <c r="G607" s="1921"/>
      <c r="H607" s="1644"/>
      <c r="I607" s="1644"/>
      <c r="J607" s="597"/>
      <c r="K607" s="1942">
        <f t="shared" si="373"/>
        <v>3.89</v>
      </c>
      <c r="L607" s="1921" t="s">
        <v>495</v>
      </c>
      <c r="M607" s="1942">
        <f t="shared" si="374"/>
        <v>-1.0877975226579997</v>
      </c>
      <c r="N607" s="1921" t="s">
        <v>495</v>
      </c>
      <c r="O607" s="1942">
        <f t="shared" si="375"/>
        <v>1.3496999999999999</v>
      </c>
      <c r="P607" s="1921" t="s">
        <v>495</v>
      </c>
      <c r="Q607" s="1942">
        <f t="shared" si="371"/>
        <v>4.1519024773420004</v>
      </c>
      <c r="R607" s="1921" t="s">
        <v>495</v>
      </c>
      <c r="S607" s="1644">
        <f t="shared" ref="S607:S613" si="376">ROUND($D607*K607/100,0)</f>
        <v>861</v>
      </c>
      <c r="T607" s="1648"/>
      <c r="U607" s="1644">
        <f t="shared" ref="U607:U613" si="377">ROUND($D607*M607/100,0)</f>
        <v>-241</v>
      </c>
      <c r="V607" s="1648"/>
      <c r="W607" s="1644">
        <f t="shared" ref="W607:W613" si="378">ROUND($D607*O607/100,0)</f>
        <v>299</v>
      </c>
      <c r="X607" s="1648"/>
      <c r="Y607" s="1644">
        <f t="shared" ref="Y607:Y613" si="379">ROUND($D607*Q607/100,0)</f>
        <v>919</v>
      </c>
      <c r="AA607" s="596"/>
      <c r="AB607" s="596"/>
      <c r="AI607" s="2023">
        <f>W607-'Blocking-Step2'!W607</f>
        <v>0</v>
      </c>
      <c r="AJ607" s="2054">
        <f>O607-'Blocking-Step2'!O607</f>
        <v>0</v>
      </c>
    </row>
    <row r="608" spans="1:36" hidden="1">
      <c r="A608" s="1900" t="s">
        <v>1912</v>
      </c>
      <c r="C608" s="528">
        <f>'BD-Redesign'!D41</f>
        <v>43500.5</v>
      </c>
      <c r="D608" s="528">
        <f t="shared" si="372"/>
        <v>43918.410165480214</v>
      </c>
      <c r="E608" s="597"/>
      <c r="F608" s="1942"/>
      <c r="G608" s="1921"/>
      <c r="H608" s="1644"/>
      <c r="I608" s="1644"/>
      <c r="J608" s="597"/>
      <c r="K608" s="1942">
        <f t="shared" si="373"/>
        <v>3.89</v>
      </c>
      <c r="L608" s="1921" t="s">
        <v>495</v>
      </c>
      <c r="M608" s="1942">
        <f t="shared" si="374"/>
        <v>14.718500000000001</v>
      </c>
      <c r="N608" s="1921" t="s">
        <v>495</v>
      </c>
      <c r="O608" s="1942">
        <f t="shared" si="375"/>
        <v>1.1943999999999999</v>
      </c>
      <c r="P608" s="1921" t="s">
        <v>495</v>
      </c>
      <c r="Q608" s="1942">
        <f t="shared" si="371"/>
        <v>19.802900000000001</v>
      </c>
      <c r="R608" s="1921" t="s">
        <v>495</v>
      </c>
      <c r="S608" s="1644">
        <f t="shared" si="376"/>
        <v>1708</v>
      </c>
      <c r="T608" s="1648"/>
      <c r="U608" s="1644">
        <f t="shared" si="377"/>
        <v>6464</v>
      </c>
      <c r="V608" s="1648"/>
      <c r="W608" s="1644">
        <f t="shared" si="378"/>
        <v>525</v>
      </c>
      <c r="X608" s="1648"/>
      <c r="Y608" s="1644">
        <f t="shared" si="379"/>
        <v>8697</v>
      </c>
      <c r="AA608" s="596"/>
      <c r="AB608" s="596"/>
      <c r="AI608" s="2023">
        <f>W608-'Blocking-Step2'!W608</f>
        <v>0</v>
      </c>
      <c r="AJ608" s="2054">
        <f>O608-'Blocking-Step2'!O608</f>
        <v>0</v>
      </c>
    </row>
    <row r="609" spans="1:36" hidden="1">
      <c r="A609" s="1900" t="s">
        <v>1913</v>
      </c>
      <c r="C609" s="528">
        <f>'BD-Redesign'!D42</f>
        <v>25370.5</v>
      </c>
      <c r="D609" s="528">
        <f t="shared" si="372"/>
        <v>25614.234896226844</v>
      </c>
      <c r="E609" s="597"/>
      <c r="F609" s="1942"/>
      <c r="G609" s="1921"/>
      <c r="H609" s="1644"/>
      <c r="I609" s="1644"/>
      <c r="J609" s="597"/>
      <c r="K609" s="1942">
        <f t="shared" si="373"/>
        <v>3.89</v>
      </c>
      <c r="L609" s="1921" t="s">
        <v>495</v>
      </c>
      <c r="M609" s="1942">
        <f t="shared" si="374"/>
        <v>-1.4102000000000001</v>
      </c>
      <c r="N609" s="1921" t="s">
        <v>495</v>
      </c>
      <c r="O609" s="1942">
        <f t="shared" si="375"/>
        <v>1.1943999999999999</v>
      </c>
      <c r="P609" s="1921" t="s">
        <v>495</v>
      </c>
      <c r="Q609" s="1942">
        <f t="shared" si="371"/>
        <v>3.6741999999999999</v>
      </c>
      <c r="R609" s="1921" t="s">
        <v>495</v>
      </c>
      <c r="S609" s="1644">
        <f t="shared" si="376"/>
        <v>996</v>
      </c>
      <c r="T609" s="1648"/>
      <c r="U609" s="1644">
        <f t="shared" si="377"/>
        <v>-361</v>
      </c>
      <c r="V609" s="1648"/>
      <c r="W609" s="1644">
        <f t="shared" si="378"/>
        <v>306</v>
      </c>
      <c r="X609" s="1648"/>
      <c r="Y609" s="1644">
        <f t="shared" si="379"/>
        <v>941</v>
      </c>
      <c r="AA609" s="596"/>
      <c r="AB609" s="596"/>
      <c r="AI609" s="2023">
        <f>W609-'Blocking-Step2'!W609</f>
        <v>0</v>
      </c>
      <c r="AJ609" s="2054">
        <f>O609-'Blocking-Step2'!O609</f>
        <v>0</v>
      </c>
    </row>
    <row r="610" spans="1:36" hidden="1">
      <c r="A610" s="1900" t="s">
        <v>1906</v>
      </c>
      <c r="C610" s="528">
        <f>'BD-Redesign'!D43</f>
        <v>23568.242354788523</v>
      </c>
      <c r="D610" s="528">
        <f t="shared" si="372"/>
        <v>23794.662926105346</v>
      </c>
      <c r="E610" s="597"/>
      <c r="F610" s="1942"/>
      <c r="G610" s="1921"/>
      <c r="H610" s="1644"/>
      <c r="I610" s="1644"/>
      <c r="J610" s="597"/>
      <c r="K610" s="1942">
        <f t="shared" si="373"/>
        <v>0</v>
      </c>
      <c r="L610" s="1921" t="s">
        <v>495</v>
      </c>
      <c r="M610" s="1942">
        <f t="shared" si="374"/>
        <v>0</v>
      </c>
      <c r="N610" s="1921" t="s">
        <v>495</v>
      </c>
      <c r="O610" s="1942">
        <f t="shared" si="375"/>
        <v>6</v>
      </c>
      <c r="P610" s="1921" t="s">
        <v>495</v>
      </c>
      <c r="Q610" s="1942">
        <f t="shared" si="371"/>
        <v>6</v>
      </c>
      <c r="R610" s="1921" t="s">
        <v>495</v>
      </c>
      <c r="S610" s="1644">
        <f t="shared" si="376"/>
        <v>0</v>
      </c>
      <c r="T610" s="1648"/>
      <c r="U610" s="1644">
        <f t="shared" si="377"/>
        <v>0</v>
      </c>
      <c r="V610" s="1648"/>
      <c r="W610" s="1644">
        <f t="shared" si="378"/>
        <v>1428</v>
      </c>
      <c r="X610" s="1648"/>
      <c r="Y610" s="1644">
        <f t="shared" si="379"/>
        <v>1428</v>
      </c>
      <c r="AA610" s="596"/>
      <c r="AB610" s="596"/>
      <c r="AI610" s="2023">
        <f>W610-'Blocking-Step2'!W610</f>
        <v>0</v>
      </c>
      <c r="AJ610" s="2054">
        <f>O610-'Blocking-Step2'!O610</f>
        <v>0</v>
      </c>
    </row>
    <row r="611" spans="1:36" hidden="1">
      <c r="A611" s="1900" t="s">
        <v>1907</v>
      </c>
      <c r="C611" s="528">
        <f>'BD-Redesign'!D44</f>
        <v>18870.257645211477</v>
      </c>
      <c r="D611" s="528">
        <f t="shared" si="372"/>
        <v>19051.544584330906</v>
      </c>
      <c r="E611" s="597"/>
      <c r="F611" s="1942"/>
      <c r="G611" s="1921"/>
      <c r="H611" s="1644"/>
      <c r="I611" s="1644"/>
      <c r="J611" s="597"/>
      <c r="K611" s="1942">
        <f t="shared" si="373"/>
        <v>0</v>
      </c>
      <c r="L611" s="1921" t="s">
        <v>495</v>
      </c>
      <c r="M611" s="1942">
        <f t="shared" si="374"/>
        <v>0</v>
      </c>
      <c r="N611" s="1921" t="s">
        <v>495</v>
      </c>
      <c r="O611" s="1942">
        <f t="shared" si="375"/>
        <v>-2.3358000000000008</v>
      </c>
      <c r="P611" s="1921" t="s">
        <v>495</v>
      </c>
      <c r="Q611" s="1942">
        <f t="shared" si="371"/>
        <v>-2.3358000000000008</v>
      </c>
      <c r="R611" s="1921" t="s">
        <v>495</v>
      </c>
      <c r="S611" s="1644">
        <f t="shared" si="376"/>
        <v>0</v>
      </c>
      <c r="T611" s="1648"/>
      <c r="U611" s="1644">
        <f t="shared" si="377"/>
        <v>0</v>
      </c>
      <c r="V611" s="1648"/>
      <c r="W611" s="1644">
        <f t="shared" si="378"/>
        <v>-445</v>
      </c>
      <c r="X611" s="1648"/>
      <c r="Y611" s="1644">
        <f t="shared" si="379"/>
        <v>-445</v>
      </c>
      <c r="AA611" s="596"/>
      <c r="AB611" s="596"/>
      <c r="AI611" s="2023">
        <f>W611-'Blocking-Step2'!W611</f>
        <v>0</v>
      </c>
      <c r="AJ611" s="2054">
        <f>O611-'Blocking-Step2'!O611</f>
        <v>0</v>
      </c>
    </row>
    <row r="612" spans="1:36" hidden="1">
      <c r="A612" s="1900" t="s">
        <v>1908</v>
      </c>
      <c r="C612" s="528">
        <f>'BD-Redesign'!D45</f>
        <v>38247.544546028723</v>
      </c>
      <c r="D612" s="528">
        <f t="shared" si="372"/>
        <v>38614.989464373175</v>
      </c>
      <c r="E612" s="597"/>
      <c r="F612" s="1942"/>
      <c r="G612" s="1921"/>
      <c r="H612" s="1644"/>
      <c r="I612" s="1644"/>
      <c r="J612" s="597"/>
      <c r="K612" s="1942">
        <f t="shared" si="373"/>
        <v>0</v>
      </c>
      <c r="L612" s="1921" t="s">
        <v>495</v>
      </c>
      <c r="M612" s="1942">
        <f t="shared" si="374"/>
        <v>0</v>
      </c>
      <c r="N612" s="1921" t="s">
        <v>495</v>
      </c>
      <c r="O612" s="1942">
        <f t="shared" si="375"/>
        <v>5.3097000000000003</v>
      </c>
      <c r="P612" s="1921" t="s">
        <v>495</v>
      </c>
      <c r="Q612" s="1942">
        <f t="shared" si="371"/>
        <v>5.3097000000000003</v>
      </c>
      <c r="R612" s="1921" t="s">
        <v>495</v>
      </c>
      <c r="S612" s="1644">
        <f t="shared" si="376"/>
        <v>0</v>
      </c>
      <c r="T612" s="1648"/>
      <c r="U612" s="1644">
        <f t="shared" si="377"/>
        <v>0</v>
      </c>
      <c r="V612" s="1648"/>
      <c r="W612" s="1644">
        <f t="shared" si="378"/>
        <v>2050</v>
      </c>
      <c r="X612" s="1648"/>
      <c r="Y612" s="1644">
        <f t="shared" si="379"/>
        <v>2050</v>
      </c>
      <c r="AA612" s="596"/>
      <c r="AB612" s="596"/>
      <c r="AI612" s="2023">
        <f>W612-'Blocking-Step2'!W612</f>
        <v>0</v>
      </c>
      <c r="AJ612" s="2054">
        <f>O612-'Blocking-Step2'!O612</f>
        <v>0</v>
      </c>
    </row>
    <row r="613" spans="1:36" hidden="1">
      <c r="A613" s="1900" t="s">
        <v>1909</v>
      </c>
      <c r="C613" s="528">
        <f>'BD-Redesign'!D46</f>
        <v>30623.455453971277</v>
      </c>
      <c r="D613" s="528">
        <f t="shared" si="372"/>
        <v>30917.655597333884</v>
      </c>
      <c r="E613" s="597"/>
      <c r="F613" s="1942"/>
      <c r="G613" s="1921"/>
      <c r="H613" s="1644"/>
      <c r="I613" s="1644"/>
      <c r="J613" s="597"/>
      <c r="K613" s="1942">
        <f t="shared" si="373"/>
        <v>0</v>
      </c>
      <c r="L613" s="1921" t="s">
        <v>495</v>
      </c>
      <c r="M613" s="1942">
        <f t="shared" si="374"/>
        <v>0</v>
      </c>
      <c r="N613" s="1921" t="s">
        <v>495</v>
      </c>
      <c r="O613" s="1942">
        <f t="shared" si="375"/>
        <v>-2.0670999999999999</v>
      </c>
      <c r="P613" s="1921" t="s">
        <v>495</v>
      </c>
      <c r="Q613" s="1942">
        <f t="shared" si="371"/>
        <v>-2.0670999999999999</v>
      </c>
      <c r="R613" s="1921" t="s">
        <v>495</v>
      </c>
      <c r="S613" s="1644">
        <f t="shared" si="376"/>
        <v>0</v>
      </c>
      <c r="T613" s="1648"/>
      <c r="U613" s="1644">
        <f t="shared" si="377"/>
        <v>0</v>
      </c>
      <c r="V613" s="1648"/>
      <c r="W613" s="1644">
        <f t="shared" si="378"/>
        <v>-639</v>
      </c>
      <c r="X613" s="1648"/>
      <c r="Y613" s="1644">
        <f t="shared" si="379"/>
        <v>-639</v>
      </c>
      <c r="AA613" s="596"/>
      <c r="AB613" s="596"/>
      <c r="AI613" s="2023">
        <f>W613-'Blocking-Step2'!W613</f>
        <v>0</v>
      </c>
      <c r="AJ613" s="2054">
        <f>O613-'Blocking-Step2'!O613</f>
        <v>0</v>
      </c>
    </row>
    <row r="614" spans="1:36" hidden="1">
      <c r="A614" s="1900" t="s">
        <v>261</v>
      </c>
      <c r="C614" s="528">
        <f>'BD-Redesign'!D47</f>
        <v>0</v>
      </c>
      <c r="D614" s="528">
        <f t="shared" si="372"/>
        <v>0</v>
      </c>
      <c r="F614" s="1901"/>
      <c r="G614" s="1902"/>
      <c r="H614" s="1644"/>
      <c r="I614" s="1644"/>
      <c r="K614" s="1901">
        <f t="shared" si="373"/>
        <v>-0.61</v>
      </c>
      <c r="L614" s="1902"/>
      <c r="M614" s="1901">
        <f t="shared" si="374"/>
        <v>0</v>
      </c>
      <c r="N614" s="1902"/>
      <c r="O614" s="1901">
        <f t="shared" si="375"/>
        <v>0</v>
      </c>
      <c r="P614" s="1902"/>
      <c r="Q614" s="1901">
        <f t="shared" si="371"/>
        <v>-0.61</v>
      </c>
      <c r="R614" s="1902"/>
      <c r="S614" s="1644">
        <f>ROUND($D614*K614,0)</f>
        <v>0</v>
      </c>
      <c r="T614" s="1643"/>
      <c r="U614" s="1644">
        <f>ROUND($D614*M614,0)</f>
        <v>0</v>
      </c>
      <c r="V614" s="1643"/>
      <c r="W614" s="1644">
        <f>ROUND($D614*O614,0)</f>
        <v>0</v>
      </c>
      <c r="X614" s="1643"/>
      <c r="Y614" s="1644">
        <f>ROUND($D614*Q614,0)</f>
        <v>0</v>
      </c>
      <c r="AA614" s="596"/>
      <c r="AB614" s="596"/>
      <c r="AI614" s="2023">
        <f>W614-'Blocking-Step2'!W614</f>
        <v>0</v>
      </c>
      <c r="AJ614" s="2054">
        <f>O614-'Blocking-Step2'!O614</f>
        <v>0</v>
      </c>
    </row>
    <row r="615" spans="1:36" hidden="1">
      <c r="A615" s="1116" t="s">
        <v>1158</v>
      </c>
      <c r="C615" s="528">
        <f>'BD-Redesign'!D48</f>
        <v>0</v>
      </c>
      <c r="D615" s="528">
        <f t="shared" si="372"/>
        <v>0</v>
      </c>
      <c r="F615" s="1943"/>
      <c r="G615" s="1921"/>
      <c r="H615" s="1644"/>
      <c r="I615" s="1644"/>
      <c r="K615" s="1943">
        <f t="shared" si="373"/>
        <v>0</v>
      </c>
      <c r="L615" s="1921" t="s">
        <v>495</v>
      </c>
      <c r="M615" s="1943">
        <f t="shared" si="374"/>
        <v>7.125</v>
      </c>
      <c r="N615" s="1921" t="s">
        <v>495</v>
      </c>
      <c r="O615" s="1943">
        <f t="shared" si="375"/>
        <v>0</v>
      </c>
      <c r="P615" s="1921" t="s">
        <v>495</v>
      </c>
      <c r="Q615" s="1943">
        <f t="shared" si="371"/>
        <v>7.125</v>
      </c>
      <c r="R615" s="1921" t="s">
        <v>495</v>
      </c>
      <c r="S615" s="1644">
        <f>ROUND($D615*K615/100,0)</f>
        <v>0</v>
      </c>
      <c r="T615" s="1648"/>
      <c r="U615" s="1644">
        <f>ROUND($D615*M615/100,0)</f>
        <v>0</v>
      </c>
      <c r="V615" s="1648"/>
      <c r="W615" s="1644">
        <f>ROUND($D615*O615/100,0)</f>
        <v>0</v>
      </c>
      <c r="X615" s="1648"/>
      <c r="Y615" s="1644">
        <f>ROUND($D615*Q615/100,0)</f>
        <v>0</v>
      </c>
      <c r="AA615" s="1109"/>
      <c r="AB615" s="1114"/>
      <c r="AI615" s="2023">
        <f>W615-'Blocking-Step2'!W615</f>
        <v>0</v>
      </c>
      <c r="AJ615" s="2054">
        <f>O615-'Blocking-Step2'!O615</f>
        <v>0</v>
      </c>
    </row>
    <row r="616" spans="1:36" hidden="1">
      <c r="A616" s="1900" t="s">
        <v>1240</v>
      </c>
      <c r="C616" s="584"/>
      <c r="D616" s="584"/>
      <c r="F616" s="1930"/>
      <c r="G616" s="597"/>
      <c r="H616" s="1644"/>
      <c r="I616" s="1644"/>
      <c r="K616" s="1930"/>
      <c r="L616" s="597"/>
      <c r="M616" s="1930"/>
      <c r="N616" s="597"/>
      <c r="O616" s="1931" t="str">
        <f>$O$43</f>
        <v>Tax Year 1 (1/1/2021)</v>
      </c>
      <c r="P616" s="597"/>
      <c r="Q616" s="1930">
        <f>$Q$979</f>
        <v>-1.6899999999999998E-2</v>
      </c>
      <c r="R616" s="597"/>
      <c r="S616" s="1645"/>
      <c r="T616" s="1645"/>
      <c r="U616" s="1645"/>
      <c r="V616" s="1645"/>
      <c r="W616" s="1645"/>
      <c r="X616" s="1645"/>
      <c r="Y616" s="1644">
        <f>Q616*SUM(Y606:Y609,Y615)</f>
        <v>-256.7448</v>
      </c>
      <c r="AI616" s="2023">
        <f>W616-'Blocking-Step2'!W616</f>
        <v>0</v>
      </c>
      <c r="AJ616" s="2054">
        <f>O616-'Blocking-Step2'!O616</f>
        <v>0</v>
      </c>
    </row>
    <row r="617" spans="1:36" hidden="1">
      <c r="A617" s="1900"/>
      <c r="C617" s="584"/>
      <c r="D617" s="584"/>
      <c r="F617" s="1930"/>
      <c r="G617" s="597"/>
      <c r="H617" s="1644"/>
      <c r="I617" s="1644"/>
      <c r="K617" s="1930"/>
      <c r="L617" s="597"/>
      <c r="M617" s="1930"/>
      <c r="N617" s="597"/>
      <c r="O617" s="1931">
        <f>$O$44</f>
        <v>0</v>
      </c>
      <c r="P617" s="597"/>
      <c r="Q617" s="1930">
        <f>$Q$980</f>
        <v>0</v>
      </c>
      <c r="R617" s="597"/>
      <c r="S617" s="1645"/>
      <c r="T617" s="1645"/>
      <c r="U617" s="1645"/>
      <c r="V617" s="1645"/>
      <c r="W617" s="1645"/>
      <c r="X617" s="1645"/>
      <c r="Y617" s="1644">
        <f>Q617*SUM(Y606:Y609,Y615)</f>
        <v>0</v>
      </c>
      <c r="AI617" s="2023">
        <f>W617-'Blocking-Step2'!W617</f>
        <v>0</v>
      </c>
      <c r="AJ617" s="2054">
        <f>O617-'Blocking-Step2'!O617</f>
        <v>0</v>
      </c>
    </row>
    <row r="618" spans="1:36" hidden="1">
      <c r="A618" s="1900" t="s">
        <v>1923</v>
      </c>
      <c r="C618" s="528">
        <f>SUM(C610:C613,C615)</f>
        <v>111309.5</v>
      </c>
      <c r="D618" s="528">
        <f>D635</f>
        <v>112378.85257214331</v>
      </c>
      <c r="F618" s="1901"/>
      <c r="G618" s="1902"/>
      <c r="H618" s="1644"/>
      <c r="I618" s="1644"/>
      <c r="K618" s="1901"/>
      <c r="L618" s="1902"/>
      <c r="M618" s="1901"/>
      <c r="N618" s="1902"/>
      <c r="O618" s="1901"/>
      <c r="P618" s="1902"/>
      <c r="Q618" s="1901"/>
      <c r="R618" s="1902"/>
      <c r="S618" s="1644">
        <f>SUM(S605:S615)</f>
        <v>7233</v>
      </c>
      <c r="T618" s="1643"/>
      <c r="U618" s="1644">
        <f>SUM(U605:U615)</f>
        <v>9411</v>
      </c>
      <c r="V618" s="1643"/>
      <c r="W618" s="1644">
        <f>SUM(W605:W615)</f>
        <v>3804</v>
      </c>
      <c r="X618" s="1643"/>
      <c r="Y618" s="1644">
        <f>SUM(Y605:Y615)</f>
        <v>20448</v>
      </c>
      <c r="AA618" s="1109" t="s">
        <v>1743</v>
      </c>
      <c r="AB618" s="1499">
        <f>Y618/Y635-1</f>
        <v>-0.54518561355902051</v>
      </c>
      <c r="AI618" s="2023">
        <f>W618-'Blocking-Step2'!W618</f>
        <v>0</v>
      </c>
      <c r="AJ618" s="2054">
        <f>O618-'Blocking-Step2'!O618</f>
        <v>0</v>
      </c>
    </row>
    <row r="619" spans="1:36" hidden="1">
      <c r="A619" s="1900"/>
      <c r="C619" s="528"/>
      <c r="D619" s="528"/>
      <c r="F619" s="1901"/>
      <c r="G619" s="1902"/>
      <c r="H619" s="1644"/>
      <c r="I619" s="1644"/>
      <c r="K619" s="1901"/>
      <c r="L619" s="1902"/>
      <c r="M619" s="1901"/>
      <c r="N619" s="1902"/>
      <c r="O619" s="1901"/>
      <c r="P619" s="1902"/>
      <c r="Q619" s="1901"/>
      <c r="R619" s="1902"/>
      <c r="S619" s="1643"/>
      <c r="T619" s="1643"/>
      <c r="U619" s="1643"/>
      <c r="V619" s="1643"/>
      <c r="W619" s="1643"/>
      <c r="X619" s="1643"/>
      <c r="Y619" s="1644"/>
      <c r="AA619" s="1109"/>
      <c r="AB619" s="1114"/>
      <c r="AI619" s="2023">
        <f>W619-'Blocking-Step2'!W619</f>
        <v>0</v>
      </c>
      <c r="AJ619" s="2054">
        <f>O619-'Blocking-Step2'!O619</f>
        <v>0</v>
      </c>
    </row>
    <row r="620" spans="1:36" hidden="1">
      <c r="A620" s="1900" t="s">
        <v>240</v>
      </c>
      <c r="C620" s="528">
        <f>C605</f>
        <v>54</v>
      </c>
      <c r="D620" s="528">
        <f>C620*D925/C925</f>
        <v>54</v>
      </c>
      <c r="F620" s="1901">
        <f>F554</f>
        <v>54</v>
      </c>
      <c r="G620" s="1902"/>
      <c r="H620" s="1644">
        <f t="shared" ref="H620:I621" si="380">ROUND($F620*C620,0)</f>
        <v>2916</v>
      </c>
      <c r="I620" s="1644">
        <f t="shared" si="380"/>
        <v>2916</v>
      </c>
      <c r="K620" s="1901">
        <f t="shared" ref="K620:K626" si="381">K554</f>
        <v>53</v>
      </c>
      <c r="L620" s="1902"/>
      <c r="M620" s="1901">
        <f t="shared" ref="M620:M626" si="382">M554</f>
        <v>0</v>
      </c>
      <c r="N620" s="1902"/>
      <c r="O620" s="1901">
        <f t="shared" ref="O620:O626" si="383">O554</f>
        <v>0</v>
      </c>
      <c r="P620" s="1902"/>
      <c r="Q620" s="1901">
        <f t="shared" ref="Q620:Q626" si="384">Q554</f>
        <v>53</v>
      </c>
      <c r="R620" s="1902"/>
      <c r="S620" s="1644">
        <f t="shared" ref="S620:S624" si="385">ROUND($D620*K620,0)</f>
        <v>2862</v>
      </c>
      <c r="T620" s="1643"/>
      <c r="U620" s="1644">
        <f t="shared" ref="U620:U624" si="386">ROUND($D620*M620,0)</f>
        <v>0</v>
      </c>
      <c r="V620" s="1643"/>
      <c r="W620" s="1644">
        <f t="shared" ref="W620:W624" si="387">ROUND($D620*O620,0)</f>
        <v>0</v>
      </c>
      <c r="X620" s="1643"/>
      <c r="Y620" s="1644">
        <f t="shared" ref="Y620:Y624" si="388">ROUND($D620*Q620,0)</f>
        <v>2862</v>
      </c>
      <c r="AI620" s="2023">
        <f>W620-'Blocking-Step2'!W620</f>
        <v>0</v>
      </c>
      <c r="AJ620" s="2054">
        <f>O620-'Blocking-Step2'!O620</f>
        <v>0</v>
      </c>
    </row>
    <row r="621" spans="1:36" hidden="1">
      <c r="A621" s="1900" t="s">
        <v>262</v>
      </c>
      <c r="C621" s="584">
        <v>0</v>
      </c>
      <c r="D621" s="528">
        <v>0</v>
      </c>
      <c r="E621" s="597"/>
      <c r="F621" s="1901">
        <f>F555</f>
        <v>648</v>
      </c>
      <c r="G621" s="1902"/>
      <c r="H621" s="1644">
        <f t="shared" si="380"/>
        <v>0</v>
      </c>
      <c r="I621" s="1644">
        <f t="shared" si="380"/>
        <v>0</v>
      </c>
      <c r="J621" s="597"/>
      <c r="K621" s="1901">
        <f t="shared" si="381"/>
        <v>636</v>
      </c>
      <c r="L621" s="1902"/>
      <c r="M621" s="1901">
        <f t="shared" si="382"/>
        <v>0</v>
      </c>
      <c r="N621" s="1902"/>
      <c r="O621" s="1901">
        <f t="shared" si="383"/>
        <v>0</v>
      </c>
      <c r="P621" s="1902"/>
      <c r="Q621" s="1901">
        <f t="shared" si="384"/>
        <v>636</v>
      </c>
      <c r="R621" s="1902"/>
      <c r="S621" s="1644">
        <f t="shared" si="385"/>
        <v>0</v>
      </c>
      <c r="T621" s="1645"/>
      <c r="U621" s="1644">
        <f t="shared" si="386"/>
        <v>0</v>
      </c>
      <c r="V621" s="1645"/>
      <c r="W621" s="1644">
        <f t="shared" si="387"/>
        <v>0</v>
      </c>
      <c r="X621" s="1645"/>
      <c r="Y621" s="1644">
        <f t="shared" si="388"/>
        <v>0</v>
      </c>
      <c r="AI621" s="2023">
        <f>W621-'Blocking-Step2'!W621</f>
        <v>0</v>
      </c>
      <c r="AJ621" s="2054">
        <f>O621-'Blocking-Step2'!O621</f>
        <v>0</v>
      </c>
    </row>
    <row r="622" spans="1:36" hidden="1">
      <c r="A622" s="1900" t="s">
        <v>168</v>
      </c>
      <c r="C622" s="528">
        <f>'BD-Redesign'!D68</f>
        <v>2327</v>
      </c>
      <c r="D622" s="528">
        <f>ROUND(C622/C635*D635,0)</f>
        <v>2349</v>
      </c>
      <c r="F622" s="1901">
        <f>F556</f>
        <v>4.04</v>
      </c>
      <c r="G622" s="1902"/>
      <c r="H622" s="1644">
        <f>ROUND($F622*C622,0)</f>
        <v>9401</v>
      </c>
      <c r="I622" s="1644">
        <f>ROUND($F622*D622,0)</f>
        <v>9490</v>
      </c>
      <c r="K622" s="1901">
        <f t="shared" si="381"/>
        <v>3.98</v>
      </c>
      <c r="L622" s="1902"/>
      <c r="M622" s="1901">
        <f t="shared" si="382"/>
        <v>0</v>
      </c>
      <c r="N622" s="1902"/>
      <c r="O622" s="1901">
        <f t="shared" si="383"/>
        <v>0</v>
      </c>
      <c r="P622" s="1902"/>
      <c r="Q622" s="1901">
        <f t="shared" si="384"/>
        <v>3.98</v>
      </c>
      <c r="R622" s="1902"/>
      <c r="S622" s="1644">
        <f t="shared" si="385"/>
        <v>9349</v>
      </c>
      <c r="T622" s="1643"/>
      <c r="U622" s="1644">
        <f t="shared" si="386"/>
        <v>0</v>
      </c>
      <c r="V622" s="1643"/>
      <c r="W622" s="1644">
        <f t="shared" si="387"/>
        <v>0</v>
      </c>
      <c r="X622" s="1643"/>
      <c r="Y622" s="1644">
        <f t="shared" si="388"/>
        <v>9349</v>
      </c>
      <c r="AI622" s="2023">
        <f>W622-'Blocking-Step2'!W622</f>
        <v>0</v>
      </c>
      <c r="AJ622" s="2054">
        <f>O622-'Blocking-Step2'!O622</f>
        <v>0</v>
      </c>
    </row>
    <row r="623" spans="1:36" hidden="1">
      <c r="A623" s="1900" t="s">
        <v>1649</v>
      </c>
      <c r="C623" s="528">
        <f>'BD-Redesign'!D69</f>
        <v>775.5</v>
      </c>
      <c r="D623" s="528">
        <f>ROUND(C623/C625*D625,0)</f>
        <v>783</v>
      </c>
      <c r="F623" s="1944"/>
      <c r="G623" s="597"/>
      <c r="H623" s="1644"/>
      <c r="I623" s="1644"/>
      <c r="K623" s="1944">
        <f t="shared" si="381"/>
        <v>6.22</v>
      </c>
      <c r="L623" s="597"/>
      <c r="M623" s="1944">
        <f t="shared" si="382"/>
        <v>7.0100000000000007</v>
      </c>
      <c r="N623" s="597"/>
      <c r="O623" s="1944">
        <f t="shared" si="383"/>
        <v>0</v>
      </c>
      <c r="P623" s="597"/>
      <c r="Q623" s="1944">
        <f t="shared" si="384"/>
        <v>13.23</v>
      </c>
      <c r="R623" s="597"/>
      <c r="S623" s="1644">
        <f t="shared" si="385"/>
        <v>4870</v>
      </c>
      <c r="T623" s="1645"/>
      <c r="U623" s="1644">
        <f t="shared" si="386"/>
        <v>5489</v>
      </c>
      <c r="V623" s="1645"/>
      <c r="W623" s="1644">
        <f t="shared" si="387"/>
        <v>0</v>
      </c>
      <c r="X623" s="1645"/>
      <c r="Y623" s="1644">
        <f t="shared" si="388"/>
        <v>10359</v>
      </c>
      <c r="AI623" s="2023">
        <f>W623-'Blocking-Step2'!W623</f>
        <v>0</v>
      </c>
      <c r="AJ623" s="2054">
        <f>O623-'Blocking-Step2'!O623</f>
        <v>0</v>
      </c>
    </row>
    <row r="624" spans="1:36" hidden="1">
      <c r="A624" s="1900" t="s">
        <v>1650</v>
      </c>
      <c r="C624" s="528">
        <f>'BD-Redesign'!D70</f>
        <v>1551.5</v>
      </c>
      <c r="D624" s="528">
        <f>ROUND(C624/C626*D626,0)</f>
        <v>1566</v>
      </c>
      <c r="F624" s="1944"/>
      <c r="G624" s="597"/>
      <c r="H624" s="1644"/>
      <c r="I624" s="1644"/>
      <c r="K624" s="1944">
        <f t="shared" si="381"/>
        <v>5.5</v>
      </c>
      <c r="L624" s="597"/>
      <c r="M624" s="1944">
        <f t="shared" si="382"/>
        <v>6.2100000000000009</v>
      </c>
      <c r="N624" s="597"/>
      <c r="O624" s="1944">
        <f t="shared" si="383"/>
        <v>0</v>
      </c>
      <c r="P624" s="597"/>
      <c r="Q624" s="1944">
        <f t="shared" si="384"/>
        <v>11.71</v>
      </c>
      <c r="R624" s="597"/>
      <c r="S624" s="1644">
        <f t="shared" si="385"/>
        <v>8613</v>
      </c>
      <c r="T624" s="1645"/>
      <c r="U624" s="1644">
        <f t="shared" si="386"/>
        <v>9725</v>
      </c>
      <c r="V624" s="1645"/>
      <c r="W624" s="1644">
        <f t="shared" si="387"/>
        <v>0</v>
      </c>
      <c r="X624" s="1645"/>
      <c r="Y624" s="1644">
        <f t="shared" si="388"/>
        <v>18338</v>
      </c>
      <c r="AI624" s="2023">
        <f>W624-'Blocking-Step2'!W624</f>
        <v>0</v>
      </c>
      <c r="AJ624" s="2054">
        <f>O624-'Blocking-Step2'!O624</f>
        <v>0</v>
      </c>
    </row>
    <row r="625" spans="1:36" hidden="1">
      <c r="A625" s="1900" t="s">
        <v>1647</v>
      </c>
      <c r="C625" s="528">
        <f>'BD-Redesign'!D72</f>
        <v>42438.5</v>
      </c>
      <c r="D625" s="528">
        <f>D635-D626</f>
        <v>42845.852572143311</v>
      </c>
      <c r="F625" s="1943"/>
      <c r="G625" s="1921"/>
      <c r="H625" s="1644"/>
      <c r="I625" s="1644"/>
      <c r="K625" s="1943">
        <f t="shared" si="381"/>
        <v>0</v>
      </c>
      <c r="L625" s="1921" t="s">
        <v>495</v>
      </c>
      <c r="M625" s="1943">
        <f t="shared" si="382"/>
        <v>1.5747172373309999</v>
      </c>
      <c r="N625" s="1921" t="s">
        <v>495</v>
      </c>
      <c r="O625" s="1943">
        <f t="shared" si="383"/>
        <v>2.305570240802</v>
      </c>
      <c r="P625" s="1921" t="s">
        <v>495</v>
      </c>
      <c r="Q625" s="1943">
        <f t="shared" si="384"/>
        <v>3.8802874781329999</v>
      </c>
      <c r="R625" s="1921" t="s">
        <v>495</v>
      </c>
      <c r="S625" s="1644">
        <f>ROUND($D625*K625/100,0)</f>
        <v>0</v>
      </c>
      <c r="T625" s="1648"/>
      <c r="U625" s="1644">
        <f>ROUND($D625*M625/100,0)</f>
        <v>675</v>
      </c>
      <c r="V625" s="1648"/>
      <c r="W625" s="1644">
        <f>ROUND($D625*O625/100,0)</f>
        <v>988</v>
      </c>
      <c r="X625" s="1648"/>
      <c r="Y625" s="1644">
        <f>ROUND($D625*Q625/100,0)</f>
        <v>1663</v>
      </c>
      <c r="AI625" s="2023">
        <f>W625-'Blocking-Step2'!W625</f>
        <v>0</v>
      </c>
      <c r="AJ625" s="2054">
        <f>O625-'Blocking-Step2'!O625</f>
        <v>0</v>
      </c>
    </row>
    <row r="626" spans="1:36" hidden="1">
      <c r="A626" s="1900" t="s">
        <v>1648</v>
      </c>
      <c r="C626" s="528">
        <f>'BD-Redesign'!D73</f>
        <v>68871</v>
      </c>
      <c r="D626" s="528">
        <f>ROUND(C626/C635*D635,0)</f>
        <v>69533</v>
      </c>
      <c r="F626" s="1943"/>
      <c r="G626" s="1921"/>
      <c r="H626" s="1644"/>
      <c r="I626" s="1644"/>
      <c r="K626" s="1943">
        <f t="shared" si="381"/>
        <v>0</v>
      </c>
      <c r="L626" s="1921" t="s">
        <v>495</v>
      </c>
      <c r="M626" s="1943">
        <f t="shared" si="382"/>
        <v>1.3935347233019999</v>
      </c>
      <c r="N626" s="1921" t="s">
        <v>495</v>
      </c>
      <c r="O626" s="1943">
        <f t="shared" si="383"/>
        <v>2.0403480007099999</v>
      </c>
      <c r="P626" s="1921" t="s">
        <v>495</v>
      </c>
      <c r="Q626" s="1943">
        <f t="shared" si="384"/>
        <v>3.4338827240119998</v>
      </c>
      <c r="R626" s="1921" t="s">
        <v>495</v>
      </c>
      <c r="S626" s="1644">
        <f>ROUND($D626*K626/100,0)</f>
        <v>0</v>
      </c>
      <c r="T626" s="1648"/>
      <c r="U626" s="1644">
        <f>ROUND($D626*M626/100,0)</f>
        <v>969</v>
      </c>
      <c r="V626" s="1648"/>
      <c r="W626" s="1644">
        <f>ROUND($D626*O626/100,0)</f>
        <v>1419</v>
      </c>
      <c r="X626" s="1648"/>
      <c r="Y626" s="1644">
        <f>ROUND($D626*Q626/100,0)</f>
        <v>2388</v>
      </c>
      <c r="AI626" s="2023">
        <f>W626-'Blocking-Step2'!W626</f>
        <v>0</v>
      </c>
      <c r="AJ626" s="2054">
        <f>O626-'Blocking-Step2'!O626</f>
        <v>0</v>
      </c>
    </row>
    <row r="627" spans="1:36" hidden="1">
      <c r="A627" s="1900" t="s">
        <v>158</v>
      </c>
      <c r="C627" s="528">
        <f>(C623+C624)*C932/(C932+C933)</f>
        <v>1043.3252055564781</v>
      </c>
      <c r="D627" s="528">
        <f>ROUND(C627/C635*D635,0)</f>
        <v>1053</v>
      </c>
      <c r="F627" s="1901">
        <f>F561</f>
        <v>14.62</v>
      </c>
      <c r="G627" s="1902"/>
      <c r="H627" s="1644">
        <f t="shared" ref="H627:I629" si="389">ROUND($F627*C627,0)</f>
        <v>15253</v>
      </c>
      <c r="I627" s="1644">
        <f t="shared" si="389"/>
        <v>15395</v>
      </c>
      <c r="K627" s="1901"/>
      <c r="L627" s="1902"/>
      <c r="M627" s="1901"/>
      <c r="N627" s="1902"/>
      <c r="O627" s="1901"/>
      <c r="P627" s="1902"/>
      <c r="Q627" s="1901"/>
      <c r="R627" s="1902"/>
      <c r="S627" s="1644"/>
      <c r="T627" s="1643"/>
      <c r="U627" s="1644"/>
      <c r="V627" s="1643"/>
      <c r="W627" s="1644"/>
      <c r="X627" s="1643"/>
      <c r="Y627" s="1644"/>
      <c r="AI627" s="2023">
        <f>W627-'Blocking-Step2'!W627</f>
        <v>0</v>
      </c>
      <c r="AJ627" s="2054">
        <f>O627-'Blocking-Step2'!O627</f>
        <v>0</v>
      </c>
    </row>
    <row r="628" spans="1:36" hidden="1">
      <c r="A628" s="1900" t="s">
        <v>165</v>
      </c>
      <c r="C628" s="528">
        <f>C623+C624-C627</f>
        <v>1283.6747944435219</v>
      </c>
      <c r="D628" s="528">
        <f>ROUND(C628/C635*D635,0)</f>
        <v>1296</v>
      </c>
      <c r="F628" s="1901">
        <f>F562</f>
        <v>10.91</v>
      </c>
      <c r="G628" s="1902"/>
      <c r="H628" s="1644">
        <f t="shared" si="389"/>
        <v>14005</v>
      </c>
      <c r="I628" s="1644">
        <f t="shared" si="389"/>
        <v>14139</v>
      </c>
      <c r="K628" s="1901"/>
      <c r="L628" s="1902"/>
      <c r="M628" s="1901"/>
      <c r="N628" s="1902"/>
      <c r="O628" s="1901"/>
      <c r="P628" s="1902"/>
      <c r="Q628" s="1901"/>
      <c r="R628" s="1902"/>
      <c r="S628" s="1644"/>
      <c r="T628" s="1643"/>
      <c r="U628" s="1644"/>
      <c r="V628" s="1643"/>
      <c r="W628" s="1644"/>
      <c r="X628" s="1643"/>
      <c r="Y628" s="1644"/>
      <c r="AI628" s="2023">
        <f>W628-'Blocking-Step2'!W628</f>
        <v>0</v>
      </c>
      <c r="AJ628" s="2054">
        <f>O628-'Blocking-Step2'!O628</f>
        <v>0</v>
      </c>
    </row>
    <row r="629" spans="1:36" hidden="1">
      <c r="A629" s="1900" t="s">
        <v>261</v>
      </c>
      <c r="C629" s="528">
        <f>C614</f>
        <v>0</v>
      </c>
      <c r="D629" s="528">
        <f>D614</f>
        <v>0</v>
      </c>
      <c r="F629" s="1901">
        <f>F563</f>
        <v>-0.96</v>
      </c>
      <c r="G629" s="1902"/>
      <c r="H629" s="1644">
        <f t="shared" si="389"/>
        <v>0</v>
      </c>
      <c r="I629" s="1644">
        <f t="shared" si="389"/>
        <v>0</v>
      </c>
      <c r="K629" s="1901">
        <f>K563</f>
        <v>-0.96</v>
      </c>
      <c r="L629" s="1902"/>
      <c r="M629" s="1901">
        <f>M563</f>
        <v>0</v>
      </c>
      <c r="N629" s="1902"/>
      <c r="O629" s="1901">
        <f>O563</f>
        <v>0</v>
      </c>
      <c r="P629" s="1902"/>
      <c r="Q629" s="1901">
        <f>Q563</f>
        <v>-0.96</v>
      </c>
      <c r="R629" s="1902"/>
      <c r="S629" s="1644">
        <f t="shared" ref="S629" si="390">ROUND($D629*K629,0)</f>
        <v>0</v>
      </c>
      <c r="T629" s="1643"/>
      <c r="U629" s="1644">
        <f t="shared" ref="U629" si="391">ROUND($D629*M629,0)</f>
        <v>0</v>
      </c>
      <c r="V629" s="1643"/>
      <c r="W629" s="1644">
        <f t="shared" ref="W629" si="392">ROUND($D629*O629,0)</f>
        <v>0</v>
      </c>
      <c r="X629" s="1643"/>
      <c r="Y629" s="1644">
        <f t="shared" ref="Y629" si="393">ROUND($D629*Q629,0)</f>
        <v>0</v>
      </c>
      <c r="AI629" s="2023">
        <f>W629-'Blocking-Step2'!W629</f>
        <v>0</v>
      </c>
      <c r="AJ629" s="2054">
        <f>O629-'Blocking-Step2'!O629</f>
        <v>0</v>
      </c>
    </row>
    <row r="630" spans="1:36" hidden="1">
      <c r="A630" s="1900" t="s">
        <v>1362</v>
      </c>
      <c r="C630" s="528">
        <f>(C625+C626)*C935/(C935+C936)</f>
        <v>46037.204457290034</v>
      </c>
      <c r="D630" s="528">
        <f>ROUND(C630/C635*D635,0)</f>
        <v>46479</v>
      </c>
      <c r="F630" s="1943">
        <f>F564</f>
        <v>3.8127</v>
      </c>
      <c r="G630" s="1921" t="s">
        <v>495</v>
      </c>
      <c r="H630" s="1644">
        <f>ROUND($F630*C630/100,0)</f>
        <v>1755</v>
      </c>
      <c r="I630" s="1644">
        <f>ROUND($F630*D630/100,0)</f>
        <v>1772</v>
      </c>
      <c r="K630" s="1943"/>
      <c r="L630" s="1921"/>
      <c r="M630" s="1943"/>
      <c r="N630" s="1921"/>
      <c r="O630" s="1943"/>
      <c r="P630" s="1921"/>
      <c r="Q630" s="1943"/>
      <c r="R630" s="1921"/>
      <c r="S630" s="1648"/>
      <c r="T630" s="1648"/>
      <c r="U630" s="1648"/>
      <c r="V630" s="1648"/>
      <c r="W630" s="1648"/>
      <c r="X630" s="1648"/>
      <c r="Y630" s="1644"/>
      <c r="AI630" s="2023">
        <f>W630-'Blocking-Step2'!W630</f>
        <v>0</v>
      </c>
      <c r="AJ630" s="2054">
        <f>O630-'Blocking-Step2'!O630</f>
        <v>0</v>
      </c>
    </row>
    <row r="631" spans="1:36" hidden="1">
      <c r="A631" s="1900" t="s">
        <v>1363</v>
      </c>
      <c r="C631" s="528">
        <f>C625+C626-C630</f>
        <v>65272.295542709966</v>
      </c>
      <c r="D631" s="528">
        <f>D635-D630</f>
        <v>65899.852572143311</v>
      </c>
      <c r="F631" s="1943">
        <f>F565</f>
        <v>3.5143</v>
      </c>
      <c r="G631" s="1921" t="s">
        <v>495</v>
      </c>
      <c r="H631" s="1644">
        <f>ROUND($F631*C631/100,0)</f>
        <v>2294</v>
      </c>
      <c r="I631" s="1644">
        <f>ROUND($F631*D631/100,0)</f>
        <v>2316</v>
      </c>
      <c r="K631" s="1943"/>
      <c r="L631" s="1921"/>
      <c r="M631" s="1943"/>
      <c r="N631" s="1921"/>
      <c r="O631" s="1943"/>
      <c r="P631" s="1921"/>
      <c r="Q631" s="1943"/>
      <c r="R631" s="1921"/>
      <c r="S631" s="1648"/>
      <c r="T631" s="1648"/>
      <c r="U631" s="1648"/>
      <c r="V631" s="1648"/>
      <c r="W631" s="1648"/>
      <c r="X631" s="1648"/>
      <c r="Y631" s="1644"/>
      <c r="AI631" s="2023">
        <f>W631-'Blocking-Step2'!W631</f>
        <v>0</v>
      </c>
      <c r="AJ631" s="2054">
        <f>O631-'Blocking-Step2'!O631</f>
        <v>0</v>
      </c>
    </row>
    <row r="632" spans="1:36" hidden="1">
      <c r="A632" s="1900" t="s">
        <v>246</v>
      </c>
      <c r="C632" s="529">
        <v>0</v>
      </c>
      <c r="D632" s="529">
        <v>0</v>
      </c>
      <c r="H632" s="1030">
        <v>0</v>
      </c>
      <c r="I632" s="1030">
        <v>0</v>
      </c>
      <c r="Y632" s="1030"/>
      <c r="AI632" s="2023">
        <f>W632-'Blocking-Step2'!W632</f>
        <v>0</v>
      </c>
      <c r="AJ632" s="2054">
        <f>O632-'Blocking-Step2'!O632</f>
        <v>0</v>
      </c>
    </row>
    <row r="633" spans="1:36" hidden="1">
      <c r="A633" s="1900" t="s">
        <v>1240</v>
      </c>
      <c r="C633" s="584"/>
      <c r="D633" s="584"/>
      <c r="F633" s="1930">
        <f>F567</f>
        <v>-3.61E-2</v>
      </c>
      <c r="G633" s="597"/>
      <c r="H633" s="1644">
        <f>SUM(H627:H628,H630:H631)*$F633</f>
        <v>-1202.3827000000001</v>
      </c>
      <c r="I633" s="1644">
        <f>SUM(I627:I628,I630:I631)*$F633</f>
        <v>-1213.7542000000001</v>
      </c>
      <c r="K633" s="1930"/>
      <c r="L633" s="597"/>
      <c r="M633" s="1930"/>
      <c r="N633" s="597"/>
      <c r="O633" s="1931" t="str">
        <f>$O$43</f>
        <v>Tax Year 1 (1/1/2021)</v>
      </c>
      <c r="P633" s="597"/>
      <c r="Q633" s="1930">
        <f>$Q$687</f>
        <v>-1.52E-2</v>
      </c>
      <c r="R633" s="597"/>
      <c r="S633" s="1645"/>
      <c r="T633" s="1645"/>
      <c r="U633" s="1645"/>
      <c r="V633" s="1645"/>
      <c r="W633" s="1645"/>
      <c r="X633" s="1645"/>
      <c r="Y633" s="1644">
        <f>Q633*SUM(Y623:Y626)</f>
        <v>-497.76960000000003</v>
      </c>
      <c r="AI633" s="2023">
        <f>W633-'Blocking-Step2'!W633</f>
        <v>0</v>
      </c>
      <c r="AJ633" s="2054">
        <f>O633-'Blocking-Step2'!O633</f>
        <v>0</v>
      </c>
    </row>
    <row r="634" spans="1:36" hidden="1">
      <c r="A634" s="1900"/>
      <c r="C634" s="584"/>
      <c r="D634" s="584"/>
      <c r="F634" s="1930"/>
      <c r="G634" s="597"/>
      <c r="H634" s="1644"/>
      <c r="I634" s="1644"/>
      <c r="K634" s="1930"/>
      <c r="L634" s="597"/>
      <c r="M634" s="1930"/>
      <c r="N634" s="597"/>
      <c r="O634" s="1931">
        <f>$O$44</f>
        <v>0</v>
      </c>
      <c r="P634" s="597"/>
      <c r="Q634" s="1930">
        <f>$Q$688</f>
        <v>0</v>
      </c>
      <c r="R634" s="597"/>
      <c r="S634" s="1645"/>
      <c r="T634" s="1645"/>
      <c r="U634" s="1645"/>
      <c r="V634" s="1645"/>
      <c r="W634" s="1645"/>
      <c r="X634" s="1645"/>
      <c r="Y634" s="1644">
        <f>Q634*SUM(Y623:Y626)</f>
        <v>0</v>
      </c>
      <c r="AI634" s="2023">
        <f>W634-'Blocking-Step2'!W634</f>
        <v>0</v>
      </c>
      <c r="AJ634" s="2054">
        <f>O634-'Blocking-Step2'!O634</f>
        <v>0</v>
      </c>
    </row>
    <row r="635" spans="1:36" ht="16.5" hidden="1" thickBot="1">
      <c r="A635" s="1900" t="s">
        <v>247</v>
      </c>
      <c r="C635" s="1949">
        <f>SUM(C630:C632)</f>
        <v>111309.5</v>
      </c>
      <c r="D635" s="1949">
        <f>C635*D940/C940</f>
        <v>112378.85257214331</v>
      </c>
      <c r="F635" s="1939"/>
      <c r="H635" s="1647">
        <f>SUM(H620:H633)</f>
        <v>44421.617299999998</v>
      </c>
      <c r="I635" s="1647">
        <f>SUM(I620:I633)</f>
        <v>44814.245799999997</v>
      </c>
      <c r="K635" s="1939"/>
      <c r="M635" s="1939"/>
      <c r="O635" s="1939"/>
      <c r="Q635" s="1939"/>
      <c r="S635" s="1647">
        <f>SUM(S620:S632)</f>
        <v>25694</v>
      </c>
      <c r="U635" s="1647">
        <f>SUM(U620:U632)</f>
        <v>16858</v>
      </c>
      <c r="W635" s="1647">
        <f>SUM(W620:W632)</f>
        <v>2407</v>
      </c>
      <c r="Y635" s="1647">
        <f>SUM(Y620:Y632)</f>
        <v>44959</v>
      </c>
      <c r="AA635" s="1104" t="s">
        <v>1743</v>
      </c>
      <c r="AB635" s="1890">
        <f>Y635/I635-1</f>
        <v>3.2300934092703848E-3</v>
      </c>
      <c r="AI635" s="2023">
        <f>W635-'Blocking-Step2'!W635</f>
        <v>0</v>
      </c>
      <c r="AJ635" s="2054">
        <f>O635-'Blocking-Step2'!O635</f>
        <v>0</v>
      </c>
    </row>
    <row r="636" spans="1:36" ht="16.5" hidden="1" thickTop="1">
      <c r="C636" s="528"/>
      <c r="D636" s="528"/>
      <c r="AI636" s="2023">
        <f>W636-'Blocking-Step2'!W636</f>
        <v>0</v>
      </c>
      <c r="AJ636" s="2054">
        <f>O636-'Blocking-Step2'!O636</f>
        <v>0</v>
      </c>
    </row>
    <row r="637" spans="1:36" hidden="1">
      <c r="A637" s="1897" t="s">
        <v>1928</v>
      </c>
      <c r="C637" s="528"/>
      <c r="D637" s="528"/>
      <c r="AI637" s="2023">
        <f>W637-'Blocking-Step2'!W637</f>
        <v>0</v>
      </c>
      <c r="AJ637" s="2054">
        <f>O637-'Blocking-Step2'!O637</f>
        <v>0</v>
      </c>
    </row>
    <row r="638" spans="1:36" hidden="1">
      <c r="A638" s="1900" t="s">
        <v>240</v>
      </c>
      <c r="C638" s="528">
        <f>'BD-Redesign'!E38</f>
        <v>2</v>
      </c>
      <c r="D638" s="528">
        <f>D653</f>
        <v>6</v>
      </c>
      <c r="F638" s="1901"/>
      <c r="G638" s="1902"/>
      <c r="H638" s="1644"/>
      <c r="I638" s="1644"/>
      <c r="K638" s="1901">
        <f t="shared" ref="K638:K648" si="394">K539</f>
        <v>53</v>
      </c>
      <c r="L638" s="1902"/>
      <c r="M638" s="1901">
        <f t="shared" ref="M638:M648" si="395">M539</f>
        <v>0</v>
      </c>
      <c r="N638" s="1902"/>
      <c r="O638" s="1901">
        <f t="shared" ref="O638:O648" si="396">O539</f>
        <v>0</v>
      </c>
      <c r="P638" s="1902"/>
      <c r="Q638" s="1901">
        <f t="shared" ref="Q638:Q648" si="397">Q539</f>
        <v>53</v>
      </c>
      <c r="R638" s="1902"/>
      <c r="S638" s="1644">
        <f>ROUND($D638*K638,0)</f>
        <v>318</v>
      </c>
      <c r="T638" s="1643"/>
      <c r="U638" s="1644">
        <f>ROUND($D638*M638,0)</f>
        <v>0</v>
      </c>
      <c r="V638" s="1643"/>
      <c r="W638" s="1644">
        <f>ROUND($D638*O638,0)</f>
        <v>0</v>
      </c>
      <c r="X638" s="1643"/>
      <c r="Y638" s="1644">
        <f>ROUND($D638*Q638,0)</f>
        <v>318</v>
      </c>
      <c r="AA638" s="1109"/>
      <c r="AB638" s="1114"/>
      <c r="AI638" s="2023">
        <f>W638-'Blocking-Step2'!W638</f>
        <v>0</v>
      </c>
      <c r="AJ638" s="2054">
        <f>O638-'Blocking-Step2'!O638</f>
        <v>0</v>
      </c>
    </row>
    <row r="639" spans="1:36" hidden="1">
      <c r="A639" s="1900" t="s">
        <v>1910</v>
      </c>
      <c r="C639" s="528">
        <f>'BD-Redesign'!E39</f>
        <v>0</v>
      </c>
      <c r="D639" s="528">
        <f t="shared" ref="D639:D648" si="398">C639/$C$651*$D$651</f>
        <v>0</v>
      </c>
      <c r="E639" s="597"/>
      <c r="F639" s="1942"/>
      <c r="G639" s="1921"/>
      <c r="H639" s="1644"/>
      <c r="I639" s="1644"/>
      <c r="J639" s="597"/>
      <c r="K639" s="1942">
        <f t="shared" si="394"/>
        <v>3.89</v>
      </c>
      <c r="L639" s="1921" t="s">
        <v>495</v>
      </c>
      <c r="M639" s="1942">
        <f t="shared" si="395"/>
        <v>17.137528114911813</v>
      </c>
      <c r="N639" s="1921" t="s">
        <v>495</v>
      </c>
      <c r="O639" s="1942">
        <f t="shared" si="396"/>
        <v>1.3496999999999999</v>
      </c>
      <c r="P639" s="1921" t="s">
        <v>495</v>
      </c>
      <c r="Q639" s="1942">
        <f t="shared" si="397"/>
        <v>22.377228114911812</v>
      </c>
      <c r="R639" s="1921" t="s">
        <v>495</v>
      </c>
      <c r="S639" s="1644">
        <f>ROUND($D639*K639/100,0)</f>
        <v>0</v>
      </c>
      <c r="T639" s="1648"/>
      <c r="U639" s="1644">
        <f>ROUND($D639*M639/100,0)</f>
        <v>0</v>
      </c>
      <c r="V639" s="1648"/>
      <c r="W639" s="1644">
        <f>ROUND($D639*O639/100,0)</f>
        <v>0</v>
      </c>
      <c r="X639" s="1648"/>
      <c r="Y639" s="1644">
        <f>ROUND($D639*Q639/100,0)</f>
        <v>0</v>
      </c>
      <c r="AA639" s="596"/>
      <c r="AB639" s="596"/>
      <c r="AI639" s="2023">
        <f>W639-'Blocking-Step2'!W639</f>
        <v>0</v>
      </c>
      <c r="AJ639" s="2054">
        <f>O639-'Blocking-Step2'!O639</f>
        <v>0</v>
      </c>
    </row>
    <row r="640" spans="1:36" hidden="1">
      <c r="A640" s="1900" t="s">
        <v>1911</v>
      </c>
      <c r="C640" s="528">
        <f>'BD-Redesign'!E40</f>
        <v>0</v>
      </c>
      <c r="D640" s="528">
        <f t="shared" si="398"/>
        <v>0</v>
      </c>
      <c r="E640" s="597"/>
      <c r="F640" s="1942"/>
      <c r="G640" s="1921"/>
      <c r="H640" s="1644"/>
      <c r="I640" s="1644"/>
      <c r="J640" s="597"/>
      <c r="K640" s="1942">
        <f t="shared" si="394"/>
        <v>3.89</v>
      </c>
      <c r="L640" s="1921" t="s">
        <v>495</v>
      </c>
      <c r="M640" s="1942">
        <f t="shared" si="395"/>
        <v>-1.0877975226579997</v>
      </c>
      <c r="N640" s="1921" t="s">
        <v>495</v>
      </c>
      <c r="O640" s="1942">
        <f t="shared" si="396"/>
        <v>1.3496999999999999</v>
      </c>
      <c r="P640" s="1921" t="s">
        <v>495</v>
      </c>
      <c r="Q640" s="1942">
        <f t="shared" si="397"/>
        <v>4.1519024773420004</v>
      </c>
      <c r="R640" s="1921" t="s">
        <v>495</v>
      </c>
      <c r="S640" s="1644">
        <f t="shared" ref="S640:S646" si="399">ROUND($D640*K640/100,0)</f>
        <v>0</v>
      </c>
      <c r="T640" s="1648"/>
      <c r="U640" s="1644">
        <f t="shared" ref="U640:U646" si="400">ROUND($D640*M640/100,0)</f>
        <v>0</v>
      </c>
      <c r="V640" s="1648"/>
      <c r="W640" s="1644">
        <f t="shared" ref="W640:W646" si="401">ROUND($D640*O640/100,0)</f>
        <v>0</v>
      </c>
      <c r="X640" s="1648"/>
      <c r="Y640" s="1644">
        <f t="shared" ref="Y640:Y646" si="402">ROUND($D640*Q640/100,0)</f>
        <v>0</v>
      </c>
      <c r="AA640" s="596"/>
      <c r="AB640" s="596"/>
      <c r="AI640" s="2023">
        <f>W640-'Blocking-Step2'!W640</f>
        <v>0</v>
      </c>
      <c r="AJ640" s="2054">
        <f>O640-'Blocking-Step2'!O640</f>
        <v>0</v>
      </c>
    </row>
    <row r="641" spans="1:36" hidden="1">
      <c r="A641" s="1900" t="s">
        <v>1912</v>
      </c>
      <c r="C641" s="528">
        <f>'BD-Redesign'!E41</f>
        <v>3467.5</v>
      </c>
      <c r="D641" s="528">
        <f t="shared" si="398"/>
        <v>11579.888107875484</v>
      </c>
      <c r="E641" s="597"/>
      <c r="F641" s="1942"/>
      <c r="G641" s="1921"/>
      <c r="H641" s="1644"/>
      <c r="I641" s="1644"/>
      <c r="J641" s="597"/>
      <c r="K641" s="1942">
        <f t="shared" si="394"/>
        <v>3.89</v>
      </c>
      <c r="L641" s="1921" t="s">
        <v>495</v>
      </c>
      <c r="M641" s="1942">
        <f t="shared" si="395"/>
        <v>14.718500000000001</v>
      </c>
      <c r="N641" s="1921" t="s">
        <v>495</v>
      </c>
      <c r="O641" s="1942">
        <f t="shared" si="396"/>
        <v>1.1943999999999999</v>
      </c>
      <c r="P641" s="1921" t="s">
        <v>495</v>
      </c>
      <c r="Q641" s="1942">
        <f t="shared" si="397"/>
        <v>19.802900000000001</v>
      </c>
      <c r="R641" s="1921" t="s">
        <v>495</v>
      </c>
      <c r="S641" s="1644">
        <f t="shared" si="399"/>
        <v>450</v>
      </c>
      <c r="T641" s="1648"/>
      <c r="U641" s="1644">
        <f t="shared" si="400"/>
        <v>1704</v>
      </c>
      <c r="V641" s="1648"/>
      <c r="W641" s="1644">
        <f t="shared" si="401"/>
        <v>138</v>
      </c>
      <c r="X641" s="1648"/>
      <c r="Y641" s="1644">
        <f t="shared" si="402"/>
        <v>2293</v>
      </c>
      <c r="AA641" s="596"/>
      <c r="AB641" s="596"/>
      <c r="AI641" s="2023">
        <f>W641-'Blocking-Step2'!W641</f>
        <v>0</v>
      </c>
      <c r="AJ641" s="2054">
        <f>O641-'Blocking-Step2'!O641</f>
        <v>0</v>
      </c>
    </row>
    <row r="642" spans="1:36" hidden="1">
      <c r="A642" s="1900" t="s">
        <v>1913</v>
      </c>
      <c r="C642" s="528">
        <f>'BD-Redesign'!E42</f>
        <v>75.5</v>
      </c>
      <c r="D642" s="528">
        <f t="shared" si="398"/>
        <v>252.13599196671925</v>
      </c>
      <c r="E642" s="597"/>
      <c r="F642" s="1942"/>
      <c r="G642" s="1921"/>
      <c r="H642" s="1644"/>
      <c r="I642" s="1644"/>
      <c r="J642" s="597"/>
      <c r="K642" s="1942">
        <f t="shared" si="394"/>
        <v>3.89</v>
      </c>
      <c r="L642" s="1921" t="s">
        <v>495</v>
      </c>
      <c r="M642" s="1942">
        <f t="shared" si="395"/>
        <v>-1.4102000000000001</v>
      </c>
      <c r="N642" s="1921" t="s">
        <v>495</v>
      </c>
      <c r="O642" s="1942">
        <f t="shared" si="396"/>
        <v>1.1943999999999999</v>
      </c>
      <c r="P642" s="1921" t="s">
        <v>495</v>
      </c>
      <c r="Q642" s="1942">
        <f t="shared" si="397"/>
        <v>3.6741999999999999</v>
      </c>
      <c r="R642" s="1921" t="s">
        <v>495</v>
      </c>
      <c r="S642" s="1644">
        <f t="shared" si="399"/>
        <v>10</v>
      </c>
      <c r="T642" s="1648"/>
      <c r="U642" s="1644">
        <f t="shared" si="400"/>
        <v>-4</v>
      </c>
      <c r="V642" s="1648"/>
      <c r="W642" s="1644">
        <f t="shared" si="401"/>
        <v>3</v>
      </c>
      <c r="X642" s="1648"/>
      <c r="Y642" s="1644">
        <f t="shared" si="402"/>
        <v>9</v>
      </c>
      <c r="AA642" s="596"/>
      <c r="AB642" s="596"/>
      <c r="AI642" s="2023">
        <f>W642-'Blocking-Step2'!W642</f>
        <v>0</v>
      </c>
      <c r="AJ642" s="2054">
        <f>O642-'Blocking-Step2'!O642</f>
        <v>0</v>
      </c>
    </row>
    <row r="643" spans="1:36" hidden="1">
      <c r="A643" s="1900" t="s">
        <v>1906</v>
      </c>
      <c r="C643" s="528">
        <f>'BD-Redesign'!E43</f>
        <v>0</v>
      </c>
      <c r="D643" s="528">
        <f t="shared" si="398"/>
        <v>0</v>
      </c>
      <c r="E643" s="597"/>
      <c r="F643" s="1942"/>
      <c r="G643" s="1921"/>
      <c r="H643" s="1644"/>
      <c r="I643" s="1644"/>
      <c r="J643" s="597"/>
      <c r="K643" s="1942">
        <f t="shared" si="394"/>
        <v>0</v>
      </c>
      <c r="L643" s="1921" t="s">
        <v>495</v>
      </c>
      <c r="M643" s="1942">
        <f t="shared" si="395"/>
        <v>0</v>
      </c>
      <c r="N643" s="1921" t="s">
        <v>495</v>
      </c>
      <c r="O643" s="1942">
        <f t="shared" si="396"/>
        <v>6</v>
      </c>
      <c r="P643" s="1921" t="s">
        <v>495</v>
      </c>
      <c r="Q643" s="1942">
        <f t="shared" si="397"/>
        <v>6</v>
      </c>
      <c r="R643" s="1921" t="s">
        <v>495</v>
      </c>
      <c r="S643" s="1644">
        <f t="shared" si="399"/>
        <v>0</v>
      </c>
      <c r="T643" s="1648"/>
      <c r="U643" s="1644">
        <f t="shared" si="400"/>
        <v>0</v>
      </c>
      <c r="V643" s="1648"/>
      <c r="W643" s="1644">
        <f t="shared" si="401"/>
        <v>0</v>
      </c>
      <c r="X643" s="1648"/>
      <c r="Y643" s="1644">
        <f t="shared" si="402"/>
        <v>0</v>
      </c>
      <c r="AA643" s="596"/>
      <c r="AB643" s="596"/>
      <c r="AI643" s="2023">
        <f>W643-'Blocking-Step2'!W643</f>
        <v>0</v>
      </c>
      <c r="AJ643" s="2054">
        <f>O643-'Blocking-Step2'!O643</f>
        <v>0</v>
      </c>
    </row>
    <row r="644" spans="1:36" hidden="1">
      <c r="A644" s="1900" t="s">
        <v>1907</v>
      </c>
      <c r="C644" s="528">
        <f>'BD-Redesign'!E44</f>
        <v>0</v>
      </c>
      <c r="D644" s="528">
        <f t="shared" si="398"/>
        <v>0</v>
      </c>
      <c r="E644" s="597"/>
      <c r="F644" s="1942"/>
      <c r="G644" s="1921"/>
      <c r="H644" s="1644"/>
      <c r="I644" s="1644"/>
      <c r="J644" s="597"/>
      <c r="K644" s="1942">
        <f t="shared" si="394"/>
        <v>0</v>
      </c>
      <c r="L644" s="1921" t="s">
        <v>495</v>
      </c>
      <c r="M644" s="1942">
        <f t="shared" si="395"/>
        <v>0</v>
      </c>
      <c r="N644" s="1921" t="s">
        <v>495</v>
      </c>
      <c r="O644" s="1942">
        <f t="shared" si="396"/>
        <v>-2.3358000000000008</v>
      </c>
      <c r="P644" s="1921" t="s">
        <v>495</v>
      </c>
      <c r="Q644" s="1942">
        <f t="shared" si="397"/>
        <v>-2.3358000000000008</v>
      </c>
      <c r="R644" s="1921" t="s">
        <v>495</v>
      </c>
      <c r="S644" s="1644">
        <f t="shared" si="399"/>
        <v>0</v>
      </c>
      <c r="T644" s="1648"/>
      <c r="U644" s="1644">
        <f t="shared" si="400"/>
        <v>0</v>
      </c>
      <c r="V644" s="1648"/>
      <c r="W644" s="1644">
        <f t="shared" si="401"/>
        <v>0</v>
      </c>
      <c r="X644" s="1648"/>
      <c r="Y644" s="1644">
        <f t="shared" si="402"/>
        <v>0</v>
      </c>
      <c r="AA644" s="596"/>
      <c r="AB644" s="596"/>
      <c r="AI644" s="2023">
        <f>W644-'Blocking-Step2'!W644</f>
        <v>0</v>
      </c>
      <c r="AJ644" s="2054">
        <f>O644-'Blocking-Step2'!O644</f>
        <v>0</v>
      </c>
    </row>
    <row r="645" spans="1:36" hidden="1">
      <c r="A645" s="1900" t="s">
        <v>1908</v>
      </c>
      <c r="C645" s="528">
        <f>'BD-Redesign'!E45</f>
        <v>1967.6068349026409</v>
      </c>
      <c r="D645" s="528">
        <f t="shared" si="398"/>
        <v>6570.9205446182013</v>
      </c>
      <c r="E645" s="597"/>
      <c r="F645" s="1942"/>
      <c r="G645" s="1921"/>
      <c r="H645" s="1644"/>
      <c r="I645" s="1644"/>
      <c r="J645" s="597"/>
      <c r="K645" s="1942">
        <f t="shared" si="394"/>
        <v>0</v>
      </c>
      <c r="L645" s="1921" t="s">
        <v>495</v>
      </c>
      <c r="M645" s="1942">
        <f t="shared" si="395"/>
        <v>0</v>
      </c>
      <c r="N645" s="1921" t="s">
        <v>495</v>
      </c>
      <c r="O645" s="1942">
        <f t="shared" si="396"/>
        <v>5.3097000000000003</v>
      </c>
      <c r="P645" s="1921" t="s">
        <v>495</v>
      </c>
      <c r="Q645" s="1942">
        <f t="shared" si="397"/>
        <v>5.3097000000000003</v>
      </c>
      <c r="R645" s="1921" t="s">
        <v>495</v>
      </c>
      <c r="S645" s="1644">
        <f t="shared" si="399"/>
        <v>0</v>
      </c>
      <c r="T645" s="1648"/>
      <c r="U645" s="1644">
        <f t="shared" si="400"/>
        <v>0</v>
      </c>
      <c r="V645" s="1648"/>
      <c r="W645" s="1644">
        <f t="shared" si="401"/>
        <v>349</v>
      </c>
      <c r="X645" s="1648"/>
      <c r="Y645" s="1644">
        <f t="shared" si="402"/>
        <v>349</v>
      </c>
      <c r="AA645" s="596"/>
      <c r="AB645" s="596"/>
      <c r="AI645" s="2023">
        <f>W645-'Blocking-Step2'!W645</f>
        <v>0</v>
      </c>
      <c r="AJ645" s="2054">
        <f>O645-'Blocking-Step2'!O645</f>
        <v>0</v>
      </c>
    </row>
    <row r="646" spans="1:36" hidden="1">
      <c r="A646" s="1900" t="s">
        <v>1909</v>
      </c>
      <c r="C646" s="528">
        <f>'BD-Redesign'!E46</f>
        <v>1575.3931650973593</v>
      </c>
      <c r="D646" s="528">
        <f t="shared" si="398"/>
        <v>5261.1035552240028</v>
      </c>
      <c r="E646" s="597"/>
      <c r="F646" s="1942"/>
      <c r="G646" s="1921"/>
      <c r="H646" s="1644"/>
      <c r="I646" s="1644"/>
      <c r="J646" s="597"/>
      <c r="K646" s="1942">
        <f t="shared" si="394"/>
        <v>0</v>
      </c>
      <c r="L646" s="1921" t="s">
        <v>495</v>
      </c>
      <c r="M646" s="1942">
        <f t="shared" si="395"/>
        <v>0</v>
      </c>
      <c r="N646" s="1921" t="s">
        <v>495</v>
      </c>
      <c r="O646" s="1942">
        <f t="shared" si="396"/>
        <v>-2.0670999999999999</v>
      </c>
      <c r="P646" s="1921" t="s">
        <v>495</v>
      </c>
      <c r="Q646" s="1942">
        <f t="shared" si="397"/>
        <v>-2.0670999999999999</v>
      </c>
      <c r="R646" s="1921" t="s">
        <v>495</v>
      </c>
      <c r="S646" s="1644">
        <f t="shared" si="399"/>
        <v>0</v>
      </c>
      <c r="T646" s="1648"/>
      <c r="U646" s="1644">
        <f t="shared" si="400"/>
        <v>0</v>
      </c>
      <c r="V646" s="1648"/>
      <c r="W646" s="1644">
        <f t="shared" si="401"/>
        <v>-109</v>
      </c>
      <c r="X646" s="1648"/>
      <c r="Y646" s="1644">
        <f t="shared" si="402"/>
        <v>-109</v>
      </c>
      <c r="AA646" s="596"/>
      <c r="AB646" s="596"/>
      <c r="AI646" s="2023">
        <f>W646-'Blocking-Step2'!W646</f>
        <v>0</v>
      </c>
      <c r="AJ646" s="2054">
        <f>O646-'Blocking-Step2'!O646</f>
        <v>0</v>
      </c>
    </row>
    <row r="647" spans="1:36" hidden="1">
      <c r="A647" s="1900" t="s">
        <v>261</v>
      </c>
      <c r="C647" s="528">
        <f>'BD-Redesign'!E47</f>
        <v>0</v>
      </c>
      <c r="D647" s="528">
        <f t="shared" si="398"/>
        <v>0</v>
      </c>
      <c r="F647" s="1901"/>
      <c r="G647" s="1902"/>
      <c r="H647" s="1644"/>
      <c r="I647" s="1644"/>
      <c r="K647" s="1901">
        <f t="shared" si="394"/>
        <v>-0.61</v>
      </c>
      <c r="L647" s="1902"/>
      <c r="M647" s="1901">
        <f t="shared" si="395"/>
        <v>0</v>
      </c>
      <c r="N647" s="1902"/>
      <c r="O647" s="1901">
        <f t="shared" si="396"/>
        <v>0</v>
      </c>
      <c r="P647" s="1902"/>
      <c r="Q647" s="1901">
        <f t="shared" si="397"/>
        <v>-0.61</v>
      </c>
      <c r="R647" s="1902"/>
      <c r="S647" s="1644">
        <f>ROUND($D647*K647,0)</f>
        <v>0</v>
      </c>
      <c r="T647" s="1643"/>
      <c r="U647" s="1644">
        <f>ROUND($D647*M647,0)</f>
        <v>0</v>
      </c>
      <c r="V647" s="1643"/>
      <c r="W647" s="1644">
        <f>ROUND($D647*O647,0)</f>
        <v>0</v>
      </c>
      <c r="X647" s="1643"/>
      <c r="Y647" s="1644">
        <f>ROUND($D647*Q647,0)</f>
        <v>0</v>
      </c>
      <c r="AA647" s="596"/>
      <c r="AB647" s="596"/>
      <c r="AI647" s="2023">
        <f>W647-'Blocking-Step2'!W647</f>
        <v>0</v>
      </c>
      <c r="AJ647" s="2054">
        <f>O647-'Blocking-Step2'!O647</f>
        <v>0</v>
      </c>
    </row>
    <row r="648" spans="1:36" hidden="1">
      <c r="A648" s="1116" t="s">
        <v>1158</v>
      </c>
      <c r="C648" s="528">
        <f>'BD-Redesign'!E48</f>
        <v>0</v>
      </c>
      <c r="D648" s="528">
        <f t="shared" si="398"/>
        <v>0</v>
      </c>
      <c r="F648" s="1943"/>
      <c r="G648" s="1921"/>
      <c r="H648" s="1644"/>
      <c r="I648" s="1644"/>
      <c r="K648" s="1943">
        <f t="shared" si="394"/>
        <v>0</v>
      </c>
      <c r="L648" s="1921" t="s">
        <v>495</v>
      </c>
      <c r="M648" s="1943">
        <f t="shared" si="395"/>
        <v>7.125</v>
      </c>
      <c r="N648" s="1921" t="s">
        <v>495</v>
      </c>
      <c r="O648" s="1943">
        <f t="shared" si="396"/>
        <v>0</v>
      </c>
      <c r="P648" s="1921" t="s">
        <v>495</v>
      </c>
      <c r="Q648" s="1943">
        <f t="shared" si="397"/>
        <v>7.125</v>
      </c>
      <c r="R648" s="1921" t="s">
        <v>495</v>
      </c>
      <c r="S648" s="1644">
        <f>ROUND($D648*K648/100,0)</f>
        <v>0</v>
      </c>
      <c r="T648" s="1648"/>
      <c r="U648" s="1644">
        <f>ROUND($D648*M648/100,0)</f>
        <v>0</v>
      </c>
      <c r="V648" s="1648"/>
      <c r="W648" s="1644">
        <f>ROUND($D648*O648/100,0)</f>
        <v>0</v>
      </c>
      <c r="X648" s="1648"/>
      <c r="Y648" s="1644">
        <f>ROUND($D648*Q648/100,0)</f>
        <v>0</v>
      </c>
      <c r="AA648" s="1109"/>
      <c r="AB648" s="1114"/>
      <c r="AI648" s="2023">
        <f>W648-'Blocking-Step2'!W648</f>
        <v>0</v>
      </c>
      <c r="AJ648" s="2054">
        <f>O648-'Blocking-Step2'!O648</f>
        <v>0</v>
      </c>
    </row>
    <row r="649" spans="1:36" hidden="1">
      <c r="A649" s="1900" t="s">
        <v>1240</v>
      </c>
      <c r="C649" s="584"/>
      <c r="D649" s="584"/>
      <c r="F649" s="1930"/>
      <c r="G649" s="597"/>
      <c r="H649" s="1644"/>
      <c r="I649" s="1644"/>
      <c r="K649" s="1930"/>
      <c r="L649" s="597"/>
      <c r="M649" s="1930"/>
      <c r="N649" s="597"/>
      <c r="O649" s="1931" t="str">
        <f>$O$43</f>
        <v>Tax Year 1 (1/1/2021)</v>
      </c>
      <c r="P649" s="597"/>
      <c r="Q649" s="1930">
        <f>$Q$979</f>
        <v>-1.6899999999999998E-2</v>
      </c>
      <c r="R649" s="597"/>
      <c r="S649" s="1645"/>
      <c r="T649" s="1645"/>
      <c r="U649" s="1645"/>
      <c r="V649" s="1645"/>
      <c r="W649" s="1645"/>
      <c r="X649" s="1645"/>
      <c r="Y649" s="1644">
        <f>Q649*SUM(Y639:Y642,Y648)</f>
        <v>-38.903799999999997</v>
      </c>
      <c r="AI649" s="2023">
        <f>W649-'Blocking-Step2'!W649</f>
        <v>0</v>
      </c>
      <c r="AJ649" s="2054">
        <f>O649-'Blocking-Step2'!O649</f>
        <v>0</v>
      </c>
    </row>
    <row r="650" spans="1:36" hidden="1">
      <c r="A650" s="1900"/>
      <c r="C650" s="584"/>
      <c r="D650" s="584"/>
      <c r="F650" s="1930"/>
      <c r="G650" s="597"/>
      <c r="H650" s="1644"/>
      <c r="I650" s="1644"/>
      <c r="K650" s="1930"/>
      <c r="L650" s="597"/>
      <c r="M650" s="1930"/>
      <c r="N650" s="597"/>
      <c r="O650" s="1931">
        <f>$O$44</f>
        <v>0</v>
      </c>
      <c r="P650" s="597"/>
      <c r="Q650" s="1930">
        <f>$Q$980</f>
        <v>0</v>
      </c>
      <c r="R650" s="597"/>
      <c r="S650" s="1645"/>
      <c r="T650" s="1645"/>
      <c r="U650" s="1645"/>
      <c r="V650" s="1645"/>
      <c r="W650" s="1645"/>
      <c r="X650" s="1645"/>
      <c r="Y650" s="1644">
        <f>Q650*SUM(Y639:Y642,Y648)</f>
        <v>0</v>
      </c>
      <c r="AI650" s="2023">
        <f>W650-'Blocking-Step2'!W650</f>
        <v>0</v>
      </c>
      <c r="AJ650" s="2054">
        <f>O650-'Blocking-Step2'!O650</f>
        <v>0</v>
      </c>
    </row>
    <row r="651" spans="1:36" hidden="1">
      <c r="A651" s="1900" t="s">
        <v>1923</v>
      </c>
      <c r="C651" s="528">
        <f>SUM(C643:C646,C648)</f>
        <v>3543</v>
      </c>
      <c r="D651" s="528">
        <f>D668</f>
        <v>11832.024099842203</v>
      </c>
      <c r="F651" s="1901"/>
      <c r="G651" s="1902"/>
      <c r="H651" s="1644"/>
      <c r="I651" s="1644"/>
      <c r="K651" s="1901"/>
      <c r="L651" s="1902"/>
      <c r="M651" s="1901"/>
      <c r="N651" s="1902"/>
      <c r="O651" s="1901"/>
      <c r="P651" s="1902"/>
      <c r="Q651" s="1901"/>
      <c r="R651" s="1902"/>
      <c r="S651" s="1644">
        <f>SUM(S638:S648)</f>
        <v>778</v>
      </c>
      <c r="T651" s="1643"/>
      <c r="U651" s="1644">
        <f>SUM(U638:U648)</f>
        <v>1700</v>
      </c>
      <c r="V651" s="1643"/>
      <c r="W651" s="1644">
        <f>SUM(W638:W648)</f>
        <v>381</v>
      </c>
      <c r="X651" s="1643"/>
      <c r="Y651" s="1644">
        <f>SUM(Y638:Y648)</f>
        <v>2860</v>
      </c>
      <c r="AA651" s="1109" t="s">
        <v>1743</v>
      </c>
      <c r="AB651" s="1499">
        <f>Y651/Y668-1</f>
        <v>-0.41224825318536784</v>
      </c>
      <c r="AI651" s="2023">
        <f>W651-'Blocking-Step2'!W651</f>
        <v>0</v>
      </c>
      <c r="AJ651" s="2054">
        <f>O651-'Blocking-Step2'!O651</f>
        <v>0</v>
      </c>
    </row>
    <row r="652" spans="1:36" hidden="1">
      <c r="A652" s="1900"/>
      <c r="C652" s="528"/>
      <c r="D652" s="528"/>
      <c r="F652" s="1901"/>
      <c r="G652" s="1902"/>
      <c r="H652" s="1644"/>
      <c r="I652" s="1644"/>
      <c r="K652" s="1901"/>
      <c r="L652" s="1902"/>
      <c r="M652" s="1901"/>
      <c r="N652" s="1902"/>
      <c r="O652" s="1901"/>
      <c r="P652" s="1902"/>
      <c r="Q652" s="1901"/>
      <c r="R652" s="1902"/>
      <c r="S652" s="1643"/>
      <c r="T652" s="1643"/>
      <c r="U652" s="1643"/>
      <c r="V652" s="1643"/>
      <c r="W652" s="1643"/>
      <c r="X652" s="1643"/>
      <c r="Y652" s="1644"/>
      <c r="AA652" s="1109"/>
      <c r="AB652" s="1114"/>
      <c r="AI652" s="2023">
        <f>W652-'Blocking-Step2'!W652</f>
        <v>0</v>
      </c>
      <c r="AJ652" s="2054">
        <f>O652-'Blocking-Step2'!O652</f>
        <v>0</v>
      </c>
    </row>
    <row r="653" spans="1:36" hidden="1">
      <c r="A653" s="1950" t="s">
        <v>240</v>
      </c>
      <c r="C653" s="528">
        <f>C638</f>
        <v>2</v>
      </c>
      <c r="D653" s="528">
        <f>C653*D943/C943</f>
        <v>6</v>
      </c>
      <c r="F653" s="1901">
        <f>F554</f>
        <v>54</v>
      </c>
      <c r="G653" s="1902"/>
      <c r="H653" s="1644">
        <f t="shared" ref="H653:I654" si="403">ROUND($F653*C653,0)</f>
        <v>108</v>
      </c>
      <c r="I653" s="1644">
        <f t="shared" si="403"/>
        <v>324</v>
      </c>
      <c r="K653" s="1901">
        <f t="shared" ref="K653:K659" si="404">K554</f>
        <v>53</v>
      </c>
      <c r="L653" s="1902"/>
      <c r="M653" s="1901">
        <f t="shared" ref="M653:M659" si="405">M554</f>
        <v>0</v>
      </c>
      <c r="N653" s="1902"/>
      <c r="O653" s="1901">
        <f t="shared" ref="O653:O659" si="406">O554</f>
        <v>0</v>
      </c>
      <c r="P653" s="1902"/>
      <c r="Q653" s="1901">
        <f t="shared" ref="Q653:Q659" si="407">Q554</f>
        <v>53</v>
      </c>
      <c r="R653" s="1902"/>
      <c r="S653" s="1644">
        <f t="shared" ref="S653:S657" si="408">ROUND($D653*K653,0)</f>
        <v>318</v>
      </c>
      <c r="T653" s="1643"/>
      <c r="U653" s="1644">
        <f t="shared" ref="U653:U657" si="409">ROUND($D653*M653,0)</f>
        <v>0</v>
      </c>
      <c r="V653" s="1643"/>
      <c r="W653" s="1644">
        <f t="shared" ref="W653:W657" si="410">ROUND($D653*O653,0)</f>
        <v>0</v>
      </c>
      <c r="X653" s="1643"/>
      <c r="Y653" s="1644">
        <f t="shared" ref="Y653:Y657" si="411">ROUND($D653*Q653,0)</f>
        <v>318</v>
      </c>
      <c r="AI653" s="2023">
        <f>W653-'Blocking-Step2'!W653</f>
        <v>0</v>
      </c>
      <c r="AJ653" s="2054">
        <f>O653-'Blocking-Step2'!O653</f>
        <v>0</v>
      </c>
    </row>
    <row r="654" spans="1:36" hidden="1">
      <c r="A654" s="1900" t="s">
        <v>262</v>
      </c>
      <c r="C654" s="584">
        <v>0</v>
      </c>
      <c r="D654" s="528">
        <v>0</v>
      </c>
      <c r="E654" s="597"/>
      <c r="F654" s="1901">
        <f>F555</f>
        <v>648</v>
      </c>
      <c r="G654" s="1902"/>
      <c r="H654" s="1644">
        <f t="shared" si="403"/>
        <v>0</v>
      </c>
      <c r="I654" s="1644">
        <f t="shared" si="403"/>
        <v>0</v>
      </c>
      <c r="J654" s="597"/>
      <c r="K654" s="1901">
        <f t="shared" si="404"/>
        <v>636</v>
      </c>
      <c r="L654" s="1902"/>
      <c r="M654" s="1901">
        <f t="shared" si="405"/>
        <v>0</v>
      </c>
      <c r="N654" s="1902"/>
      <c r="O654" s="1901">
        <f t="shared" si="406"/>
        <v>0</v>
      </c>
      <c r="P654" s="1902"/>
      <c r="Q654" s="1901">
        <f t="shared" si="407"/>
        <v>636</v>
      </c>
      <c r="R654" s="1902"/>
      <c r="S654" s="1644">
        <f t="shared" si="408"/>
        <v>0</v>
      </c>
      <c r="T654" s="1645"/>
      <c r="U654" s="1644">
        <f t="shared" si="409"/>
        <v>0</v>
      </c>
      <c r="V654" s="1645"/>
      <c r="W654" s="1644">
        <f t="shared" si="410"/>
        <v>0</v>
      </c>
      <c r="X654" s="1645"/>
      <c r="Y654" s="1644">
        <f t="shared" si="411"/>
        <v>0</v>
      </c>
      <c r="AI654" s="2023">
        <f>W654-'Blocking-Step2'!W654</f>
        <v>0</v>
      </c>
      <c r="AJ654" s="2054">
        <f>O654-'Blocking-Step2'!O654</f>
        <v>0</v>
      </c>
    </row>
    <row r="655" spans="1:36" hidden="1">
      <c r="A655" s="1900" t="s">
        <v>168</v>
      </c>
      <c r="C655" s="528">
        <f>'BD-Redesign'!E68</f>
        <v>79</v>
      </c>
      <c r="D655" s="528">
        <f>ROUND(C655/C668*D668,0)</f>
        <v>264</v>
      </c>
      <c r="F655" s="1901">
        <f>F556</f>
        <v>4.04</v>
      </c>
      <c r="G655" s="1902"/>
      <c r="H655" s="1644">
        <f>ROUND($F655*C655,0)</f>
        <v>319</v>
      </c>
      <c r="I655" s="1644">
        <f>ROUND($F655*D655,0)</f>
        <v>1067</v>
      </c>
      <c r="K655" s="1901">
        <f t="shared" si="404"/>
        <v>3.98</v>
      </c>
      <c r="L655" s="1902"/>
      <c r="M655" s="1901">
        <f t="shared" si="405"/>
        <v>0</v>
      </c>
      <c r="N655" s="1902"/>
      <c r="O655" s="1901">
        <f t="shared" si="406"/>
        <v>0</v>
      </c>
      <c r="P655" s="1902"/>
      <c r="Q655" s="1901">
        <f t="shared" si="407"/>
        <v>3.98</v>
      </c>
      <c r="R655" s="1902"/>
      <c r="S655" s="1644">
        <f t="shared" si="408"/>
        <v>1051</v>
      </c>
      <c r="T655" s="1643"/>
      <c r="U655" s="1644">
        <f t="shared" si="409"/>
        <v>0</v>
      </c>
      <c r="V655" s="1643"/>
      <c r="W655" s="1644">
        <f t="shared" si="410"/>
        <v>0</v>
      </c>
      <c r="X655" s="1643"/>
      <c r="Y655" s="1644">
        <f t="shared" si="411"/>
        <v>1051</v>
      </c>
      <c r="AI655" s="2023">
        <f>W655-'Blocking-Step2'!W655</f>
        <v>0</v>
      </c>
      <c r="AJ655" s="2054">
        <f>O655-'Blocking-Step2'!O655</f>
        <v>0</v>
      </c>
    </row>
    <row r="656" spans="1:36" hidden="1">
      <c r="A656" s="1900" t="s">
        <v>1649</v>
      </c>
      <c r="C656" s="528">
        <f>'BD-Redesign'!E69</f>
        <v>0</v>
      </c>
      <c r="D656" s="528">
        <v>0</v>
      </c>
      <c r="F656" s="1944"/>
      <c r="G656" s="597"/>
      <c r="H656" s="1644"/>
      <c r="I656" s="1644"/>
      <c r="K656" s="1944">
        <f t="shared" si="404"/>
        <v>6.22</v>
      </c>
      <c r="L656" s="597"/>
      <c r="M656" s="1944">
        <f t="shared" si="405"/>
        <v>7.0100000000000007</v>
      </c>
      <c r="N656" s="597"/>
      <c r="O656" s="1944">
        <f t="shared" si="406"/>
        <v>0</v>
      </c>
      <c r="P656" s="597"/>
      <c r="Q656" s="1944">
        <f t="shared" si="407"/>
        <v>13.23</v>
      </c>
      <c r="R656" s="597"/>
      <c r="S656" s="1644">
        <f t="shared" si="408"/>
        <v>0</v>
      </c>
      <c r="T656" s="1645"/>
      <c r="U656" s="1644">
        <f t="shared" si="409"/>
        <v>0</v>
      </c>
      <c r="V656" s="1645"/>
      <c r="W656" s="1644">
        <f t="shared" si="410"/>
        <v>0</v>
      </c>
      <c r="X656" s="1645"/>
      <c r="Y656" s="1644">
        <f t="shared" si="411"/>
        <v>0</v>
      </c>
      <c r="AI656" s="2023">
        <f>W656-'Blocking-Step2'!W656</f>
        <v>0</v>
      </c>
      <c r="AJ656" s="2054">
        <f>O656-'Blocking-Step2'!O656</f>
        <v>0</v>
      </c>
    </row>
    <row r="657" spans="1:36" hidden="1">
      <c r="A657" s="1900" t="s">
        <v>1650</v>
      </c>
      <c r="C657" s="528">
        <f>'BD-Redesign'!E70</f>
        <v>79</v>
      </c>
      <c r="D657" s="528">
        <f>ROUND(C657/C659*D659,0)</f>
        <v>264</v>
      </c>
      <c r="F657" s="1944"/>
      <c r="G657" s="597"/>
      <c r="H657" s="1644"/>
      <c r="I657" s="1644"/>
      <c r="K657" s="1944">
        <f t="shared" si="404"/>
        <v>5.5</v>
      </c>
      <c r="L657" s="597"/>
      <c r="M657" s="1944">
        <f t="shared" si="405"/>
        <v>6.2100000000000009</v>
      </c>
      <c r="N657" s="597"/>
      <c r="O657" s="1944">
        <f t="shared" si="406"/>
        <v>0</v>
      </c>
      <c r="P657" s="597"/>
      <c r="Q657" s="1944">
        <f t="shared" si="407"/>
        <v>11.71</v>
      </c>
      <c r="R657" s="597"/>
      <c r="S657" s="1644">
        <f t="shared" si="408"/>
        <v>1452</v>
      </c>
      <c r="T657" s="1645"/>
      <c r="U657" s="1644">
        <f t="shared" si="409"/>
        <v>1639</v>
      </c>
      <c r="V657" s="1645"/>
      <c r="W657" s="1644">
        <f t="shared" si="410"/>
        <v>0</v>
      </c>
      <c r="X657" s="1645"/>
      <c r="Y657" s="1644">
        <f t="shared" si="411"/>
        <v>3091</v>
      </c>
      <c r="AI657" s="2023">
        <f>W657-'Blocking-Step2'!W657</f>
        <v>0</v>
      </c>
      <c r="AJ657" s="2054">
        <f>O657-'Blocking-Step2'!O657</f>
        <v>0</v>
      </c>
    </row>
    <row r="658" spans="1:36" hidden="1">
      <c r="A658" s="1900" t="s">
        <v>1647</v>
      </c>
      <c r="C658" s="528">
        <f>'BD-Redesign'!E72</f>
        <v>0</v>
      </c>
      <c r="D658" s="528">
        <f>D668-D659</f>
        <v>2.4099842203213484E-2</v>
      </c>
      <c r="F658" s="1943"/>
      <c r="G658" s="1921"/>
      <c r="H658" s="1644"/>
      <c r="I658" s="1644"/>
      <c r="K658" s="1943">
        <f t="shared" si="404"/>
        <v>0</v>
      </c>
      <c r="L658" s="1921" t="s">
        <v>495</v>
      </c>
      <c r="M658" s="1943">
        <f t="shared" si="405"/>
        <v>1.5747172373309999</v>
      </c>
      <c r="N658" s="1921" t="s">
        <v>495</v>
      </c>
      <c r="O658" s="1943">
        <f t="shared" si="406"/>
        <v>2.305570240802</v>
      </c>
      <c r="P658" s="1921" t="s">
        <v>495</v>
      </c>
      <c r="Q658" s="1943">
        <f t="shared" si="407"/>
        <v>3.8802874781329999</v>
      </c>
      <c r="R658" s="1921" t="s">
        <v>495</v>
      </c>
      <c r="S658" s="1644">
        <f>ROUND($D658*K658/100,0)</f>
        <v>0</v>
      </c>
      <c r="T658" s="1648"/>
      <c r="U658" s="1644">
        <f>ROUND($D658*M658/100,0)</f>
        <v>0</v>
      </c>
      <c r="V658" s="1648"/>
      <c r="W658" s="1644">
        <f>ROUND($D658*O658/100,0)</f>
        <v>0</v>
      </c>
      <c r="X658" s="1648"/>
      <c r="Y658" s="1644">
        <f>ROUND($D658*Q658/100,0)</f>
        <v>0</v>
      </c>
      <c r="AI658" s="2023">
        <f>W658-'Blocking-Step2'!W658</f>
        <v>0</v>
      </c>
      <c r="AJ658" s="2054">
        <f>O658-'Blocking-Step2'!O658</f>
        <v>0</v>
      </c>
    </row>
    <row r="659" spans="1:36" hidden="1">
      <c r="A659" s="1900" t="s">
        <v>1648</v>
      </c>
      <c r="C659" s="528">
        <f>'BD-Redesign'!E73</f>
        <v>3543</v>
      </c>
      <c r="D659" s="528">
        <f>ROUND(C659/C668*D668,0)</f>
        <v>11832</v>
      </c>
      <c r="F659" s="1943"/>
      <c r="G659" s="1921"/>
      <c r="H659" s="1644"/>
      <c r="I659" s="1644"/>
      <c r="K659" s="1943">
        <f t="shared" si="404"/>
        <v>0</v>
      </c>
      <c r="L659" s="1921" t="s">
        <v>495</v>
      </c>
      <c r="M659" s="1943">
        <f t="shared" si="405"/>
        <v>1.3935347233019999</v>
      </c>
      <c r="N659" s="1921" t="s">
        <v>495</v>
      </c>
      <c r="O659" s="1943">
        <f t="shared" si="406"/>
        <v>2.0403480007099999</v>
      </c>
      <c r="P659" s="1921" t="s">
        <v>495</v>
      </c>
      <c r="Q659" s="1943">
        <f t="shared" si="407"/>
        <v>3.4338827240119998</v>
      </c>
      <c r="R659" s="1921" t="s">
        <v>495</v>
      </c>
      <c r="S659" s="1644">
        <f>ROUND($D659*K659/100,0)</f>
        <v>0</v>
      </c>
      <c r="T659" s="1648"/>
      <c r="U659" s="1644">
        <f>ROUND($D659*M659/100,0)</f>
        <v>165</v>
      </c>
      <c r="V659" s="1648"/>
      <c r="W659" s="1644">
        <f>ROUND($D659*O659/100,0)</f>
        <v>241</v>
      </c>
      <c r="X659" s="1648"/>
      <c r="Y659" s="1644">
        <f>ROUND($D659*Q659/100,0)</f>
        <v>406</v>
      </c>
      <c r="AI659" s="2023">
        <f>W659-'Blocking-Step2'!W659</f>
        <v>0</v>
      </c>
      <c r="AJ659" s="2054">
        <f>O659-'Blocking-Step2'!O659</f>
        <v>0</v>
      </c>
    </row>
    <row r="660" spans="1:36" hidden="1">
      <c r="A660" s="1900" t="s">
        <v>158</v>
      </c>
      <c r="C660" s="528">
        <f>(C656+C657)*C950/(C950+C951)</f>
        <v>0</v>
      </c>
      <c r="D660" s="528">
        <f>ROUND(C660/C668*D668,0)</f>
        <v>0</v>
      </c>
      <c r="F660" s="1901">
        <f>F561</f>
        <v>14.62</v>
      </c>
      <c r="G660" s="1902"/>
      <c r="H660" s="1644">
        <f t="shared" ref="H660:I662" si="412">ROUND($F660*C660,0)</f>
        <v>0</v>
      </c>
      <c r="I660" s="1644">
        <f t="shared" si="412"/>
        <v>0</v>
      </c>
      <c r="K660" s="1901"/>
      <c r="L660" s="1902"/>
      <c r="M660" s="1901"/>
      <c r="N660" s="1902"/>
      <c r="O660" s="1901"/>
      <c r="P660" s="1902"/>
      <c r="Q660" s="1901"/>
      <c r="R660" s="1902"/>
      <c r="S660" s="1644"/>
      <c r="T660" s="1643"/>
      <c r="U660" s="1644"/>
      <c r="V660" s="1643"/>
      <c r="W660" s="1644"/>
      <c r="X660" s="1643"/>
      <c r="Y660" s="1644"/>
      <c r="AI660" s="2023">
        <f>W660-'Blocking-Step2'!W660</f>
        <v>0</v>
      </c>
      <c r="AJ660" s="2054">
        <f>O660-'Blocking-Step2'!O660</f>
        <v>0</v>
      </c>
    </row>
    <row r="661" spans="1:36" hidden="1">
      <c r="A661" s="1900" t="s">
        <v>165</v>
      </c>
      <c r="C661" s="528">
        <f>C656+C657-C660</f>
        <v>79</v>
      </c>
      <c r="D661" s="528">
        <f>ROUND(C661/C668*D668,0)</f>
        <v>264</v>
      </c>
      <c r="F661" s="1901">
        <f>F562</f>
        <v>10.91</v>
      </c>
      <c r="G661" s="1902"/>
      <c r="H661" s="1644">
        <f t="shared" si="412"/>
        <v>862</v>
      </c>
      <c r="I661" s="1644">
        <f t="shared" si="412"/>
        <v>2880</v>
      </c>
      <c r="K661" s="1901"/>
      <c r="L661" s="1902"/>
      <c r="M661" s="1901"/>
      <c r="N661" s="1902"/>
      <c r="O661" s="1901"/>
      <c r="P661" s="1902"/>
      <c r="Q661" s="1901"/>
      <c r="R661" s="1902"/>
      <c r="S661" s="1644"/>
      <c r="T661" s="1643"/>
      <c r="U661" s="1644"/>
      <c r="V661" s="1643"/>
      <c r="W661" s="1644"/>
      <c r="X661" s="1643"/>
      <c r="Y661" s="1644"/>
      <c r="AI661" s="2023">
        <f>W661-'Blocking-Step2'!W661</f>
        <v>0</v>
      </c>
      <c r="AJ661" s="2054">
        <f>O661-'Blocking-Step2'!O661</f>
        <v>0</v>
      </c>
    </row>
    <row r="662" spans="1:36" hidden="1">
      <c r="A662" s="1900" t="s">
        <v>261</v>
      </c>
      <c r="C662" s="528">
        <f>C647</f>
        <v>0</v>
      </c>
      <c r="D662" s="528">
        <f>D647</f>
        <v>0</v>
      </c>
      <c r="F662" s="1901">
        <f>F563</f>
        <v>-0.96</v>
      </c>
      <c r="G662" s="1902"/>
      <c r="H662" s="1644">
        <f t="shared" si="412"/>
        <v>0</v>
      </c>
      <c r="I662" s="1644">
        <f t="shared" si="412"/>
        <v>0</v>
      </c>
      <c r="K662" s="1901">
        <f>K563</f>
        <v>-0.96</v>
      </c>
      <c r="L662" s="1902"/>
      <c r="M662" s="1901">
        <f>M563</f>
        <v>0</v>
      </c>
      <c r="N662" s="1902"/>
      <c r="O662" s="1901">
        <f>O563</f>
        <v>0</v>
      </c>
      <c r="P662" s="1902"/>
      <c r="Q662" s="1901">
        <f>Q563</f>
        <v>-0.96</v>
      </c>
      <c r="R662" s="1902"/>
      <c r="S662" s="1644">
        <f t="shared" ref="S662" si="413">ROUND($D662*K662,0)</f>
        <v>0</v>
      </c>
      <c r="T662" s="1643"/>
      <c r="U662" s="1644">
        <f t="shared" ref="U662" si="414">ROUND($D662*M662,0)</f>
        <v>0</v>
      </c>
      <c r="V662" s="1643"/>
      <c r="W662" s="1644">
        <f t="shared" ref="W662" si="415">ROUND($D662*O662,0)</f>
        <v>0</v>
      </c>
      <c r="X662" s="1643"/>
      <c r="Y662" s="1644">
        <f t="shared" ref="Y662" si="416">ROUND($D662*Q662,0)</f>
        <v>0</v>
      </c>
      <c r="AI662" s="2023">
        <f>W662-'Blocking-Step2'!W662</f>
        <v>0</v>
      </c>
      <c r="AJ662" s="2054">
        <f>O662-'Blocking-Step2'!O662</f>
        <v>0</v>
      </c>
    </row>
    <row r="663" spans="1:36" hidden="1">
      <c r="A663" s="1900" t="s">
        <v>1362</v>
      </c>
      <c r="C663" s="528">
        <f>(C658+C659)*C953/(C953+C954)</f>
        <v>0</v>
      </c>
      <c r="D663" s="528">
        <f>ROUND(C663/C668*D668,0)</f>
        <v>0</v>
      </c>
      <c r="F663" s="1943">
        <f>F564</f>
        <v>3.8127</v>
      </c>
      <c r="G663" s="1921" t="s">
        <v>495</v>
      </c>
      <c r="H663" s="1644">
        <f>ROUND($F663*C663/100,0)</f>
        <v>0</v>
      </c>
      <c r="I663" s="1644">
        <f>ROUND($F663*D663/100,0)</f>
        <v>0</v>
      </c>
      <c r="K663" s="1943"/>
      <c r="L663" s="1921"/>
      <c r="M663" s="1943"/>
      <c r="N663" s="1921"/>
      <c r="O663" s="1943"/>
      <c r="P663" s="1921"/>
      <c r="Q663" s="1943"/>
      <c r="R663" s="1921"/>
      <c r="S663" s="1648"/>
      <c r="T663" s="1648"/>
      <c r="U663" s="1648"/>
      <c r="V663" s="1648"/>
      <c r="W663" s="1648"/>
      <c r="X663" s="1648"/>
      <c r="Y663" s="1644"/>
      <c r="AI663" s="2023">
        <f>W663-'Blocking-Step2'!W663</f>
        <v>0</v>
      </c>
      <c r="AJ663" s="2054">
        <f>O663-'Blocking-Step2'!O663</f>
        <v>0</v>
      </c>
    </row>
    <row r="664" spans="1:36" hidden="1">
      <c r="A664" s="1900" t="s">
        <v>1363</v>
      </c>
      <c r="C664" s="528">
        <f>C658+C659-C663</f>
        <v>3543</v>
      </c>
      <c r="D664" s="528">
        <f>D668-D663</f>
        <v>11832.024099842203</v>
      </c>
      <c r="F664" s="1943">
        <f>F565</f>
        <v>3.5143</v>
      </c>
      <c r="G664" s="1921" t="s">
        <v>495</v>
      </c>
      <c r="H664" s="1644">
        <f>ROUND($F664*C664/100,0)</f>
        <v>125</v>
      </c>
      <c r="I664" s="1644">
        <f>ROUND($F664*D664/100,0)</f>
        <v>416</v>
      </c>
      <c r="K664" s="1943"/>
      <c r="L664" s="1921"/>
      <c r="M664" s="1943"/>
      <c r="N664" s="1921"/>
      <c r="O664" s="1943"/>
      <c r="P664" s="1921"/>
      <c r="Q664" s="1943"/>
      <c r="R664" s="1921"/>
      <c r="S664" s="1648"/>
      <c r="T664" s="1648"/>
      <c r="U664" s="1648"/>
      <c r="V664" s="1648"/>
      <c r="W664" s="1648"/>
      <c r="X664" s="1648"/>
      <c r="Y664" s="1644"/>
      <c r="AI664" s="2023">
        <f>W664-'Blocking-Step2'!W664</f>
        <v>0</v>
      </c>
      <c r="AJ664" s="2054">
        <f>O664-'Blocking-Step2'!O664</f>
        <v>0</v>
      </c>
    </row>
    <row r="665" spans="1:36" hidden="1">
      <c r="A665" s="1900" t="s">
        <v>246</v>
      </c>
      <c r="C665" s="529">
        <v>0</v>
      </c>
      <c r="D665" s="529">
        <v>0</v>
      </c>
      <c r="H665" s="1030">
        <v>0</v>
      </c>
      <c r="I665" s="1030">
        <v>0</v>
      </c>
      <c r="Y665" s="1030"/>
      <c r="AI665" s="2023">
        <f>W665-'Blocking-Step2'!W665</f>
        <v>0</v>
      </c>
      <c r="AJ665" s="2054">
        <f>O665-'Blocking-Step2'!O665</f>
        <v>0</v>
      </c>
    </row>
    <row r="666" spans="1:36" hidden="1">
      <c r="A666" s="1900" t="s">
        <v>1240</v>
      </c>
      <c r="C666" s="584"/>
      <c r="D666" s="584"/>
      <c r="F666" s="1930">
        <f>F567</f>
        <v>-3.61E-2</v>
      </c>
      <c r="G666" s="597"/>
      <c r="H666" s="1644">
        <f>SUM(H660:H661,H663:H664)*$F666</f>
        <v>-35.630699999999997</v>
      </c>
      <c r="I666" s="1644">
        <f>SUM(I660:I661,I663:I664)*$F666</f>
        <v>-118.98560000000001</v>
      </c>
      <c r="K666" s="1930"/>
      <c r="L666" s="597"/>
      <c r="M666" s="1930"/>
      <c r="N666" s="597"/>
      <c r="O666" s="1931" t="str">
        <f>$O$43</f>
        <v>Tax Year 1 (1/1/2021)</v>
      </c>
      <c r="P666" s="597"/>
      <c r="Q666" s="1930">
        <f>$Q$687</f>
        <v>-1.52E-2</v>
      </c>
      <c r="R666" s="597"/>
      <c r="S666" s="1645"/>
      <c r="T666" s="1645"/>
      <c r="U666" s="1645"/>
      <c r="V666" s="1645"/>
      <c r="W666" s="1645"/>
      <c r="X666" s="1645"/>
      <c r="Y666" s="1644">
        <f>Q666*SUM(Y656:Y659)</f>
        <v>-53.154400000000003</v>
      </c>
      <c r="AI666" s="2023">
        <f>W666-'Blocking-Step2'!W666</f>
        <v>0</v>
      </c>
      <c r="AJ666" s="2054">
        <f>O666-'Blocking-Step2'!O666</f>
        <v>0</v>
      </c>
    </row>
    <row r="667" spans="1:36" hidden="1">
      <c r="A667" s="1900"/>
      <c r="C667" s="584"/>
      <c r="D667" s="584"/>
      <c r="F667" s="1930"/>
      <c r="G667" s="597"/>
      <c r="H667" s="1644"/>
      <c r="I667" s="1644"/>
      <c r="K667" s="1930"/>
      <c r="L667" s="597"/>
      <c r="M667" s="1930"/>
      <c r="N667" s="597"/>
      <c r="O667" s="1931">
        <f>$O$44</f>
        <v>0</v>
      </c>
      <c r="P667" s="597"/>
      <c r="Q667" s="1930">
        <f>$Q$688</f>
        <v>0</v>
      </c>
      <c r="R667" s="597"/>
      <c r="S667" s="1645"/>
      <c r="T667" s="1645"/>
      <c r="U667" s="1645"/>
      <c r="V667" s="1645"/>
      <c r="W667" s="1645"/>
      <c r="X667" s="1645"/>
      <c r="Y667" s="1644">
        <f>Q667*SUM(Y656:Y659)</f>
        <v>0</v>
      </c>
      <c r="AI667" s="2023">
        <f>W667-'Blocking-Step2'!W667</f>
        <v>0</v>
      </c>
      <c r="AJ667" s="2054">
        <f>O667-'Blocking-Step2'!O667</f>
        <v>0</v>
      </c>
    </row>
    <row r="668" spans="1:36" ht="16.5" hidden="1" thickBot="1">
      <c r="A668" s="1900" t="s">
        <v>247</v>
      </c>
      <c r="C668" s="1949">
        <f>SUM(C663:C665)</f>
        <v>3543</v>
      </c>
      <c r="D668" s="1949">
        <f>C668*D958/C958</f>
        <v>11832.024099842203</v>
      </c>
      <c r="F668" s="1939"/>
      <c r="H668" s="1647">
        <f>SUM(H653:H666)</f>
        <v>1378.3693000000001</v>
      </c>
      <c r="I668" s="1647">
        <f>SUM(I653:I666)</f>
        <v>4568.0144</v>
      </c>
      <c r="K668" s="1939"/>
      <c r="M668" s="1939"/>
      <c r="O668" s="1939"/>
      <c r="Q668" s="1939"/>
      <c r="S668" s="1647">
        <f>SUM(S653:S665)</f>
        <v>2821</v>
      </c>
      <c r="U668" s="1647">
        <f>SUM(U653:U665)</f>
        <v>1804</v>
      </c>
      <c r="W668" s="1647">
        <f>SUM(W653:W665)</f>
        <v>241</v>
      </c>
      <c r="Y668" s="1647">
        <f>SUM(Y653:Y665)</f>
        <v>4866</v>
      </c>
      <c r="AA668" s="1104" t="s">
        <v>1743</v>
      </c>
      <c r="AB668" s="1890">
        <f>Y668/I668-1</f>
        <v>6.5233069317820025E-2</v>
      </c>
      <c r="AI668" s="2023">
        <f>W668-'Blocking-Step2'!W668</f>
        <v>0</v>
      </c>
      <c r="AJ668" s="2054">
        <f>O668-'Blocking-Step2'!O668</f>
        <v>0</v>
      </c>
    </row>
    <row r="669" spans="1:36" ht="16.5" hidden="1" thickTop="1">
      <c r="AI669" s="2023">
        <f>W669-'Blocking-Step2'!W669</f>
        <v>0</v>
      </c>
      <c r="AJ669" s="2054">
        <f>O669-'Blocking-Step2'!O669</f>
        <v>0</v>
      </c>
    </row>
    <row r="670" spans="1:36" ht="16.5" thickTop="1">
      <c r="C670" s="528"/>
      <c r="D670" s="528"/>
      <c r="AI670" s="2023">
        <f>W670-'Blocking-Step2'!W670</f>
        <v>0</v>
      </c>
      <c r="AJ670" s="2054">
        <f>O670-'Blocking-Step2'!O670</f>
        <v>0</v>
      </c>
    </row>
    <row r="671" spans="1:36">
      <c r="A671" s="1897" t="s">
        <v>549</v>
      </c>
      <c r="C671" s="528"/>
      <c r="D671" s="528"/>
      <c r="AA671" s="1869" t="s">
        <v>2316</v>
      </c>
      <c r="AB671" s="2023">
        <f>D675+D759+D835+D891+D970+D971+D1066+D1067</f>
        <v>18932644</v>
      </c>
      <c r="AC671" s="2023">
        <f>D682+D766+D972+D1068</f>
        <v>815912</v>
      </c>
      <c r="AD671" s="2023">
        <f>AB671-AC671</f>
        <v>18116732</v>
      </c>
      <c r="AI671" s="2023">
        <f>W671-'Blocking-Step2'!W671</f>
        <v>0</v>
      </c>
      <c r="AJ671" s="2054">
        <f>O671-'Blocking-Step2'!O671</f>
        <v>0</v>
      </c>
    </row>
    <row r="672" spans="1:36">
      <c r="A672" s="1900" t="s">
        <v>240</v>
      </c>
      <c r="C672" s="528">
        <f t="shared" ref="C672:D686" si="417">C693+C714+C735</f>
        <v>157930.33333333372</v>
      </c>
      <c r="D672" s="528">
        <f t="shared" si="417"/>
        <v>157116</v>
      </c>
      <c r="F672" s="1901">
        <v>54</v>
      </c>
      <c r="G672" s="1902"/>
      <c r="H672" s="1644">
        <f t="shared" ref="H672:I682" si="418">ROUND($F672*C672,0)</f>
        <v>8528238</v>
      </c>
      <c r="I672" s="1644">
        <f t="shared" si="418"/>
        <v>8484264</v>
      </c>
      <c r="K672" s="1907">
        <f>Q672</f>
        <v>53</v>
      </c>
      <c r="L672" s="1110"/>
      <c r="M672" s="1907"/>
      <c r="N672" s="1110"/>
      <c r="O672" s="1907"/>
      <c r="P672" s="1902"/>
      <c r="Q672" s="1901">
        <f>ROUND(F672*(1+$AB$676),0)</f>
        <v>53</v>
      </c>
      <c r="R672" s="1902"/>
      <c r="S672" s="1629">
        <f>Y672</f>
        <v>8327148</v>
      </c>
      <c r="T672" s="1629"/>
      <c r="U672" s="1644">
        <f>ROUND($D672*M672,0)</f>
        <v>0</v>
      </c>
      <c r="V672" s="1629"/>
      <c r="W672" s="1644">
        <f>ROUND($D672*O672,0)</f>
        <v>0</v>
      </c>
      <c r="X672" s="1643"/>
      <c r="Y672" s="1644">
        <f>ROUND($D672*Q672,0)</f>
        <v>8327148</v>
      </c>
      <c r="AA672" s="1903" t="s">
        <v>1741</v>
      </c>
      <c r="AB672" s="1904">
        <f>Y690+Y772+Y848+Y904</f>
        <v>481351846</v>
      </c>
      <c r="AC672" s="1951">
        <v>1.0108285435</v>
      </c>
      <c r="AD672" s="1869" t="s">
        <v>2255</v>
      </c>
      <c r="AI672" s="2023">
        <f>W672-'Blocking-Step2'!W672</f>
        <v>0</v>
      </c>
      <c r="AJ672" s="2054">
        <f>O672-'Blocking-Step2'!O672</f>
        <v>0</v>
      </c>
    </row>
    <row r="673" spans="1:36">
      <c r="A673" s="1900" t="s">
        <v>262</v>
      </c>
      <c r="C673" s="528">
        <f t="shared" si="417"/>
        <v>0</v>
      </c>
      <c r="D673" s="528">
        <f t="shared" si="417"/>
        <v>0</v>
      </c>
      <c r="F673" s="1901">
        <v>648</v>
      </c>
      <c r="G673" s="1902"/>
      <c r="H673" s="1644">
        <f t="shared" si="418"/>
        <v>0</v>
      </c>
      <c r="I673" s="1644">
        <f t="shared" si="418"/>
        <v>0</v>
      </c>
      <c r="K673" s="1907">
        <f t="shared" ref="K673:K674" si="419">Q673</f>
        <v>636</v>
      </c>
      <c r="L673" s="1110"/>
      <c r="M673" s="1907"/>
      <c r="N673" s="1110"/>
      <c r="O673" s="1907"/>
      <c r="P673" s="1902"/>
      <c r="Q673" s="1901">
        <f>Q672*12</f>
        <v>636</v>
      </c>
      <c r="R673" s="1902"/>
      <c r="S673" s="1629">
        <f>MIN($S$690-S672-S682,Y673)</f>
        <v>0</v>
      </c>
      <c r="T673" s="1629"/>
      <c r="U673" s="1644">
        <f t="shared" ref="U673:W677" si="420">ROUND($D673*M673,0)</f>
        <v>0</v>
      </c>
      <c r="V673" s="1629"/>
      <c r="W673" s="1644">
        <f t="shared" si="420"/>
        <v>0</v>
      </c>
      <c r="X673" s="1643"/>
      <c r="Y673" s="1644">
        <f t="shared" ref="Y673:Y677" si="421">ROUND($D673*Q673,0)</f>
        <v>0</v>
      </c>
      <c r="AA673" s="1905" t="s">
        <v>1742</v>
      </c>
      <c r="AB673" s="1906">
        <f>AC672*AC673</f>
        <v>481351846.66240609</v>
      </c>
      <c r="AC673" s="1906">
        <f>'Blocking-Step2'!AC673*RateSpread!$Q$87</f>
        <v>476195344.6582765</v>
      </c>
      <c r="AD673" s="1906">
        <f>AB672+AB687+AB969-AC673-AC970</f>
        <v>-49.856113754212856</v>
      </c>
      <c r="AI673" s="2023">
        <f>W673-'Blocking-Step2'!W673</f>
        <v>0</v>
      </c>
      <c r="AJ673" s="2054">
        <f>O673-'Blocking-Step2'!O673</f>
        <v>0</v>
      </c>
    </row>
    <row r="674" spans="1:36">
      <c r="A674" s="1900" t="s">
        <v>1298</v>
      </c>
      <c r="C674" s="528">
        <f t="shared" si="417"/>
        <v>13.633333333333301</v>
      </c>
      <c r="D674" s="528">
        <f t="shared" si="417"/>
        <v>14</v>
      </c>
      <c r="F674" s="1944">
        <v>54</v>
      </c>
      <c r="G674" s="597"/>
      <c r="H674" s="1644">
        <f t="shared" si="418"/>
        <v>736</v>
      </c>
      <c r="I674" s="1644">
        <f t="shared" si="418"/>
        <v>756</v>
      </c>
      <c r="K674" s="1907">
        <f t="shared" si="419"/>
        <v>53</v>
      </c>
      <c r="L674" s="1110"/>
      <c r="M674" s="1907"/>
      <c r="N674" s="1110"/>
      <c r="O674" s="1907"/>
      <c r="P674" s="597"/>
      <c r="Q674" s="1901">
        <f>Q672</f>
        <v>53</v>
      </c>
      <c r="R674" s="597"/>
      <c r="S674" s="1629">
        <f>MIN($S$690-S672-S673-S682,Y674)</f>
        <v>742</v>
      </c>
      <c r="T674" s="1114"/>
      <c r="U674" s="1644">
        <f t="shared" si="420"/>
        <v>0</v>
      </c>
      <c r="V674" s="1114"/>
      <c r="W674" s="1644">
        <f t="shared" si="420"/>
        <v>0</v>
      </c>
      <c r="X674" s="1645"/>
      <c r="Y674" s="1644">
        <f t="shared" si="421"/>
        <v>742</v>
      </c>
      <c r="AA674" s="1908" t="s">
        <v>87</v>
      </c>
      <c r="AB674" s="1909">
        <f>AB673-AB672</f>
        <v>0.66240608692169189</v>
      </c>
      <c r="AD674" s="1933" t="s">
        <v>69</v>
      </c>
      <c r="AI674" s="2023">
        <f>W674-'Blocking-Step2'!W674</f>
        <v>0</v>
      </c>
      <c r="AJ674" s="2054">
        <f>O674-'Blocking-Step2'!O674</f>
        <v>0</v>
      </c>
    </row>
    <row r="675" spans="1:36">
      <c r="A675" s="1900" t="s">
        <v>168</v>
      </c>
      <c r="C675" s="528">
        <f t="shared" si="417"/>
        <v>16142756.858910916</v>
      </c>
      <c r="D675" s="528">
        <f t="shared" si="417"/>
        <v>15576842</v>
      </c>
      <c r="F675" s="1901">
        <v>4.04</v>
      </c>
      <c r="G675" s="1902"/>
      <c r="H675" s="1644">
        <f>ROUND($F675*C675,0)</f>
        <v>65216738</v>
      </c>
      <c r="I675" s="1644">
        <f>ROUND($F675*D675,0)</f>
        <v>62930442</v>
      </c>
      <c r="K675" s="1907">
        <f>Q675</f>
        <v>3.98</v>
      </c>
      <c r="L675" s="1110"/>
      <c r="M675" s="1907"/>
      <c r="N675" s="1110"/>
      <c r="O675" s="1907"/>
      <c r="P675" s="1902"/>
      <c r="Q675" s="1901">
        <f>ROUND(F675*(1+$AB$676),2)</f>
        <v>3.98</v>
      </c>
      <c r="R675" s="1902"/>
      <c r="S675" s="1629">
        <f>MIN($S$690-S672-S673-S674-S682,Y675)</f>
        <v>61995831</v>
      </c>
      <c r="T675" s="1629"/>
      <c r="U675" s="1644">
        <f t="shared" si="420"/>
        <v>0</v>
      </c>
      <c r="V675" s="1629"/>
      <c r="W675" s="1644">
        <f t="shared" si="420"/>
        <v>0</v>
      </c>
      <c r="X675" s="1643"/>
      <c r="Y675" s="1644">
        <f t="shared" si="421"/>
        <v>61995831</v>
      </c>
      <c r="AA675" s="1903" t="s">
        <v>1743</v>
      </c>
      <c r="AB675" s="1953">
        <f>AB672/(I690+I772+I848+I904)-1</f>
        <v>1.5582000714484456E-2</v>
      </c>
      <c r="AD675" s="1953">
        <f>AB972</f>
        <v>1.6665273506325295E-2</v>
      </c>
      <c r="AI675" s="2023">
        <f>W675-'Blocking-Step2'!W675</f>
        <v>0</v>
      </c>
      <c r="AJ675" s="2054">
        <f>O675-'Blocking-Step2'!O675</f>
        <v>0</v>
      </c>
    </row>
    <row r="676" spans="1:36">
      <c r="A676" s="1900" t="s">
        <v>1645</v>
      </c>
      <c r="C676" s="528">
        <f t="shared" si="417"/>
        <v>7196639.5007194839</v>
      </c>
      <c r="D676" s="528">
        <f t="shared" si="417"/>
        <v>6921590</v>
      </c>
      <c r="F676" s="1944"/>
      <c r="G676" s="597"/>
      <c r="H676" s="1644"/>
      <c r="I676" s="1644"/>
      <c r="K676" s="1142">
        <f>ROUND(S676/$D676,2)</f>
        <v>6.22</v>
      </c>
      <c r="L676" s="617"/>
      <c r="M676" s="1142">
        <f>Q676-K676-O676</f>
        <v>7.0100000000000007</v>
      </c>
      <c r="N676" s="617"/>
      <c r="O676" s="1142">
        <f>'Blocking-Step2'!O676</f>
        <v>0</v>
      </c>
      <c r="P676" s="597"/>
      <c r="Q676" s="1944">
        <f>ROUND(SUM(I680:I681,I764:I765,I840:I841,I896:I897)*(1+AB676)/(SUM(D680,D764,D840,D896)+SUM(D681,D765,D841,D897)/AB680),2)</f>
        <v>13.23</v>
      </c>
      <c r="R676" s="597"/>
      <c r="S676" s="1114">
        <f>MIN($S$690-SUM($S$672:$S$675,$S$682),SUM($Y$676:$Y$677))*$Y676/SUM($Y$676:$Y$677)</f>
        <v>43048182.486915708</v>
      </c>
      <c r="T676" s="1114"/>
      <c r="U676" s="1644">
        <f t="shared" si="420"/>
        <v>48520346</v>
      </c>
      <c r="V676" s="1114"/>
      <c r="W676" s="1644">
        <f t="shared" si="420"/>
        <v>0</v>
      </c>
      <c r="X676" s="1645"/>
      <c r="Y676" s="1644">
        <f t="shared" si="421"/>
        <v>91572636</v>
      </c>
      <c r="AA676" s="1905" t="s">
        <v>1744</v>
      </c>
      <c r="AB676" s="1953">
        <f>(AB673-I685-I682-I766-I842-I898)/(SUM(I672:I684,I756:I768,I832:I844,I889:I900)-SUM(I682,I766,I842,I898))-1</f>
        <v>-1.5547621021200886E-2</v>
      </c>
      <c r="AC676" s="1953">
        <f>AB673/(I690+I772+I848+I904)-1</f>
        <v>1.5582002112064508E-2</v>
      </c>
      <c r="AD676" s="1953">
        <f>AB973</f>
        <v>1.6667052456972087E-2</v>
      </c>
      <c r="AI676" s="2023">
        <f>W676-'Blocking-Step2'!W676</f>
        <v>0</v>
      </c>
      <c r="AJ676" s="2054">
        <f>O676-'Blocking-Step2'!O676</f>
        <v>0</v>
      </c>
    </row>
    <row r="677" spans="1:36">
      <c r="A677" s="1900" t="s">
        <v>1646</v>
      </c>
      <c r="C677" s="528">
        <f t="shared" si="417"/>
        <v>8946117.636377288</v>
      </c>
      <c r="D677" s="528">
        <f t="shared" si="417"/>
        <v>8655252</v>
      </c>
      <c r="F677" s="1944"/>
      <c r="G677" s="597"/>
      <c r="H677" s="1644"/>
      <c r="I677" s="1644"/>
      <c r="K677" s="1142">
        <f t="shared" ref="K677" si="422">ROUND(S677/$D677,2)</f>
        <v>5.5</v>
      </c>
      <c r="L677" s="617"/>
      <c r="M677" s="1142">
        <f t="shared" ref="M677:M679" si="423">Q677-K677-O677</f>
        <v>6.2100000000000009</v>
      </c>
      <c r="N677" s="617"/>
      <c r="O677" s="1142">
        <f>'Blocking-Step2'!O677</f>
        <v>0</v>
      </c>
      <c r="P677" s="597"/>
      <c r="Q677" s="1944">
        <f>ROUND(Q676/AB680,2)</f>
        <v>11.71</v>
      </c>
      <c r="R677" s="597"/>
      <c r="S677" s="1114">
        <f>MIN($S$690-SUM($S$672:$S$675,$S$682),SUM($Y$676:$Y$677))*$Y677/SUM($Y$676:$Y$677)</f>
        <v>47645919.930103898</v>
      </c>
      <c r="T677" s="1114"/>
      <c r="U677" s="1644">
        <f t="shared" si="420"/>
        <v>53749115</v>
      </c>
      <c r="V677" s="1114"/>
      <c r="W677" s="1644">
        <f t="shared" si="420"/>
        <v>0</v>
      </c>
      <c r="X677" s="1645"/>
      <c r="Y677" s="1644">
        <f t="shared" si="421"/>
        <v>101353001</v>
      </c>
      <c r="AA677" s="1903" t="s">
        <v>1678</v>
      </c>
      <c r="AB677" s="1910">
        <f>SUM(Y672:Y674,Y756:Y758,Y832:Y834,Y889:Y890)/SUM(I672:I674,I756:I758,I832:I834,I889:I890)-1</f>
        <v>-1.8518269293936407E-2</v>
      </c>
      <c r="AI677" s="2023">
        <f>W677-'Blocking-Step2'!W677</f>
        <v>0</v>
      </c>
      <c r="AJ677" s="2054">
        <f>O677-'Blocking-Step2'!O677</f>
        <v>0</v>
      </c>
    </row>
    <row r="678" spans="1:36">
      <c r="A678" s="1900" t="s">
        <v>1647</v>
      </c>
      <c r="C678" s="528">
        <f t="shared" si="417"/>
        <v>2104339921.2249358</v>
      </c>
      <c r="D678" s="528">
        <f t="shared" si="417"/>
        <v>2063156225.1889281</v>
      </c>
      <c r="F678" s="1943"/>
      <c r="G678" s="1921"/>
      <c r="H678" s="1644"/>
      <c r="I678" s="1644"/>
      <c r="K678" s="1924"/>
      <c r="L678" s="1921"/>
      <c r="M678" s="1924">
        <f t="shared" si="423"/>
        <v>1.5747172373309999</v>
      </c>
      <c r="N678" s="1921" t="s">
        <v>495</v>
      </c>
      <c r="O678" s="1922">
        <f>'Blocking-Step2'!O678</f>
        <v>2.305570240802</v>
      </c>
      <c r="P678" s="1921" t="s">
        <v>495</v>
      </c>
      <c r="Q678" s="1943">
        <f>ROUND((AB673-SUM(Y672:Y677,Y682,Y685,Y756:Y761,Y766,Y832:Y837,Y842,Y889:Y893,Y898))/SUM(D678,D762,D838,D894,(D679+D763+D839+D895)/$AB$680)*100,$AB$8)</f>
        <v>3.8802874781329999</v>
      </c>
      <c r="R678" s="1921" t="s">
        <v>495</v>
      </c>
      <c r="S678" s="1648"/>
      <c r="T678" s="1648"/>
      <c r="U678" s="1644">
        <f>ROUND($D678*M678/100,0)</f>
        <v>32488877</v>
      </c>
      <c r="V678" s="1648"/>
      <c r="W678" s="1644">
        <f>ROUND($D678*O678/100,0)</f>
        <v>47567516</v>
      </c>
      <c r="X678" s="1648"/>
      <c r="Y678" s="1644">
        <f>ROUND($D678*Q678/100,0)</f>
        <v>80056393</v>
      </c>
      <c r="AA678" s="1915" t="s">
        <v>1675</v>
      </c>
      <c r="AB678" s="1954">
        <f>SUM(Y675:Y677,Y759:Y761,Y835:Y837,Y891:Y893)/SUM(I675:I681,I759:I765,I835:I841,I891:I897)-1</f>
        <v>-1.6782187599127529E-2</v>
      </c>
      <c r="AI678" s="2023">
        <f>W678-'Blocking-Step2'!W678</f>
        <v>95.60028301179409</v>
      </c>
      <c r="AJ678" s="2054">
        <f>O678-'Blocking-Step2'!O678</f>
        <v>0</v>
      </c>
    </row>
    <row r="679" spans="1:36">
      <c r="A679" s="1900" t="s">
        <v>1648</v>
      </c>
      <c r="C679" s="528">
        <f t="shared" si="417"/>
        <v>3672776336.5082054</v>
      </c>
      <c r="D679" s="528">
        <f t="shared" si="417"/>
        <v>3526754594</v>
      </c>
      <c r="F679" s="1943"/>
      <c r="G679" s="1921"/>
      <c r="H679" s="1644"/>
      <c r="I679" s="1644"/>
      <c r="K679" s="1924"/>
      <c r="L679" s="1921"/>
      <c r="M679" s="1924">
        <f t="shared" si="423"/>
        <v>1.3935347233019999</v>
      </c>
      <c r="N679" s="1921" t="s">
        <v>495</v>
      </c>
      <c r="O679" s="1922">
        <f>'Blocking-Step2'!O679</f>
        <v>2.0403480007099999</v>
      </c>
      <c r="P679" s="1921" t="s">
        <v>495</v>
      </c>
      <c r="Q679" s="1943">
        <f>ROUND(Q678/$AB$680,$AB$8)</f>
        <v>3.4338827240119998</v>
      </c>
      <c r="R679" s="1921" t="s">
        <v>495</v>
      </c>
      <c r="S679" s="1648"/>
      <c r="T679" s="1648"/>
      <c r="U679" s="1644">
        <f>ROUND($D679*M679/100,0)</f>
        <v>49146550</v>
      </c>
      <c r="V679" s="1648"/>
      <c r="W679" s="1644">
        <f>ROUND($D679*O679/100,0)</f>
        <v>71958067</v>
      </c>
      <c r="X679" s="1648"/>
      <c r="Y679" s="1644">
        <f>ROUND($D679*Q679/100,0)</f>
        <v>121104617</v>
      </c>
      <c r="AA679" s="1898" t="s">
        <v>2182</v>
      </c>
      <c r="AB679" s="1955">
        <f>SUM(Y678:Y679,Y762:Y763,Y838:Y839,Y894:Y895)/SUM(I683:I684,I767:I768,I843:I844,I899:I900)-1</f>
        <v>-1.3849276314181092E-2</v>
      </c>
      <c r="AI679" s="2023">
        <f>W679-'Blocking-Step2'!W679</f>
        <v>863.18047244846821</v>
      </c>
      <c r="AJ679" s="2054">
        <f>O679-'Blocking-Step2'!O679</f>
        <v>0</v>
      </c>
    </row>
    <row r="680" spans="1:36">
      <c r="A680" s="1900" t="s">
        <v>196</v>
      </c>
      <c r="C680" s="528">
        <f t="shared" si="417"/>
        <v>7370533.2140903417</v>
      </c>
      <c r="D680" s="528">
        <f t="shared" si="417"/>
        <v>7107269</v>
      </c>
      <c r="F680" s="1901">
        <v>14.62</v>
      </c>
      <c r="G680" s="1902"/>
      <c r="H680" s="1644">
        <f t="shared" si="418"/>
        <v>107757196</v>
      </c>
      <c r="I680" s="1644">
        <f t="shared" si="418"/>
        <v>103908273</v>
      </c>
      <c r="K680" s="1907"/>
      <c r="L680" s="1110"/>
      <c r="M680" s="1907"/>
      <c r="N680" s="1110"/>
      <c r="O680" s="1907"/>
      <c r="P680" s="1902"/>
      <c r="Q680" s="1901"/>
      <c r="R680" s="1902"/>
      <c r="S680" s="1629"/>
      <c r="T680" s="1629"/>
      <c r="U680" s="1644"/>
      <c r="V680" s="1629"/>
      <c r="W680" s="1644"/>
      <c r="X680" s="1643"/>
      <c r="Y680" s="1644"/>
      <c r="AA680" s="1104" t="s">
        <v>2180</v>
      </c>
      <c r="AB680" s="1956">
        <v>1.1299999999999999</v>
      </c>
      <c r="AI680" s="2023">
        <f>W680-'Blocking-Step2'!W680</f>
        <v>0</v>
      </c>
      <c r="AJ680" s="2054">
        <f>O680-'Blocking-Step2'!O680</f>
        <v>0</v>
      </c>
    </row>
    <row r="681" spans="1:36">
      <c r="A681" s="1900" t="s">
        <v>161</v>
      </c>
      <c r="C681" s="528">
        <f t="shared" si="417"/>
        <v>8772223.9230064284</v>
      </c>
      <c r="D681" s="528">
        <f t="shared" si="417"/>
        <v>8469573</v>
      </c>
      <c r="F681" s="1901">
        <v>10.91</v>
      </c>
      <c r="G681" s="1902"/>
      <c r="H681" s="1644">
        <f t="shared" si="418"/>
        <v>95704963</v>
      </c>
      <c r="I681" s="1644">
        <f t="shared" si="418"/>
        <v>92403041</v>
      </c>
      <c r="K681" s="1907"/>
      <c r="L681" s="1110"/>
      <c r="M681" s="1907"/>
      <c r="N681" s="1110"/>
      <c r="O681" s="1907"/>
      <c r="P681" s="1902"/>
      <c r="Q681" s="1901"/>
      <c r="R681" s="1902"/>
      <c r="S681" s="1629"/>
      <c r="T681" s="1629"/>
      <c r="U681" s="1644"/>
      <c r="V681" s="1629"/>
      <c r="W681" s="1644"/>
      <c r="X681" s="1643"/>
      <c r="Y681" s="1644"/>
      <c r="AI681" s="2023">
        <f>W681-'Blocking-Step2'!W681</f>
        <v>0</v>
      </c>
      <c r="AJ681" s="2054">
        <f>O681-'Blocking-Step2'!O681</f>
        <v>0</v>
      </c>
    </row>
    <row r="682" spans="1:36">
      <c r="A682" s="1900" t="s">
        <v>261</v>
      </c>
      <c r="C682" s="528">
        <f t="shared" si="417"/>
        <v>572697.33333333302</v>
      </c>
      <c r="D682" s="528">
        <f t="shared" si="417"/>
        <v>569738</v>
      </c>
      <c r="F682" s="1901">
        <v>-0.96</v>
      </c>
      <c r="G682" s="1902"/>
      <c r="H682" s="1644">
        <f t="shared" si="418"/>
        <v>-549789</v>
      </c>
      <c r="I682" s="1644">
        <f t="shared" si="418"/>
        <v>-546948</v>
      </c>
      <c r="K682" s="1142">
        <f>Q682</f>
        <v>-0.96</v>
      </c>
      <c r="L682" s="617"/>
      <c r="M682" s="1142"/>
      <c r="N682" s="617"/>
      <c r="O682" s="1142"/>
      <c r="P682" s="1902"/>
      <c r="Q682" s="1901">
        <f>F682</f>
        <v>-0.96</v>
      </c>
      <c r="R682" s="1902"/>
      <c r="S682" s="1114">
        <f>Y682</f>
        <v>-546948</v>
      </c>
      <c r="T682" s="1629"/>
      <c r="U682" s="1644">
        <f t="shared" ref="U682:W682" si="424">ROUND($D682*M682,0)</f>
        <v>0</v>
      </c>
      <c r="V682" s="1629"/>
      <c r="W682" s="1644">
        <f t="shared" si="424"/>
        <v>0</v>
      </c>
      <c r="X682" s="1643"/>
      <c r="Y682" s="1644">
        <f t="shared" ref="Y682" si="425">ROUND($D682*Q682,0)</f>
        <v>-546948</v>
      </c>
      <c r="AA682" s="1109" t="s">
        <v>1938</v>
      </c>
      <c r="AB682" s="1917">
        <f>SUM(RateSpread!V23:V25,RateSpread!V29)*1000</f>
        <v>-6207425.7058982663</v>
      </c>
      <c r="AC682" s="1918">
        <f>ROUND(AB682/SUM(Y676:Y679,Y685,Y760:Y763,Y836:Y839,Y892:Y895),4)</f>
        <v>-1.52E-2</v>
      </c>
      <c r="AI682" s="2023">
        <f>W682-'Blocking-Step2'!W682</f>
        <v>0</v>
      </c>
      <c r="AJ682" s="2054">
        <f>O682-'Blocking-Step2'!O682</f>
        <v>0</v>
      </c>
    </row>
    <row r="683" spans="1:36">
      <c r="A683" s="1900" t="s">
        <v>1362</v>
      </c>
      <c r="C683" s="528">
        <f t="shared" si="417"/>
        <v>2582975621.7403913</v>
      </c>
      <c r="D683" s="528">
        <f t="shared" si="417"/>
        <v>2527546695.1889286</v>
      </c>
      <c r="F683" s="1943">
        <v>3.8127</v>
      </c>
      <c r="G683" s="1921" t="s">
        <v>495</v>
      </c>
      <c r="H683" s="1644">
        <f t="shared" ref="H683:I685" si="426">ROUND($F683*C683/100,0)</f>
        <v>98481112</v>
      </c>
      <c r="I683" s="1644">
        <f t="shared" si="426"/>
        <v>96367773</v>
      </c>
      <c r="K683" s="1106"/>
      <c r="L683" s="1921"/>
      <c r="M683" s="1106"/>
      <c r="N683" s="1921"/>
      <c r="O683" s="1106"/>
      <c r="P683" s="1921"/>
      <c r="Q683" s="1943"/>
      <c r="R683" s="1921"/>
      <c r="S683" s="1648"/>
      <c r="T683" s="1648"/>
      <c r="U683" s="1644"/>
      <c r="V683" s="1648"/>
      <c r="W683" s="1644"/>
      <c r="X683" s="1648"/>
      <c r="Y683" s="1644"/>
      <c r="AA683" s="1109" t="s">
        <v>1939</v>
      </c>
      <c r="AB683" s="1917">
        <v>0</v>
      </c>
      <c r="AC683" s="1918">
        <f>ROUND(AB683/SUM(Y676:Y679,Y685,Y760:Y763,Y836:Y839,Y892:Y895),4)</f>
        <v>0</v>
      </c>
      <c r="AI683" s="2023">
        <f>W683-'Blocking-Step2'!W683</f>
        <v>0</v>
      </c>
      <c r="AJ683" s="2054">
        <f>O683-'Blocking-Step2'!O683</f>
        <v>0</v>
      </c>
    </row>
    <row r="684" spans="1:36">
      <c r="A684" s="1900" t="s">
        <v>1363</v>
      </c>
      <c r="C684" s="528">
        <f t="shared" si="417"/>
        <v>3194140635.9927492</v>
      </c>
      <c r="D684" s="528">
        <f t="shared" si="417"/>
        <v>3062364124</v>
      </c>
      <c r="F684" s="1943">
        <v>3.5143</v>
      </c>
      <c r="G684" s="1921" t="s">
        <v>495</v>
      </c>
      <c r="H684" s="1644">
        <f t="shared" si="426"/>
        <v>112251684</v>
      </c>
      <c r="I684" s="1644">
        <f t="shared" si="426"/>
        <v>107620662</v>
      </c>
      <c r="K684" s="1106"/>
      <c r="L684" s="1921"/>
      <c r="M684" s="1106"/>
      <c r="N684" s="1921"/>
      <c r="O684" s="1106"/>
      <c r="P684" s="1921"/>
      <c r="Q684" s="1943"/>
      <c r="R684" s="1921"/>
      <c r="S684" s="1648"/>
      <c r="T684" s="1648"/>
      <c r="U684" s="1644"/>
      <c r="V684" s="1648"/>
      <c r="W684" s="1644"/>
      <c r="X684" s="1648"/>
      <c r="Y684" s="1644"/>
      <c r="AA684" s="1869" t="s">
        <v>1929</v>
      </c>
      <c r="AI684" s="2023">
        <f>W684-'Blocking-Step2'!W684</f>
        <v>0</v>
      </c>
      <c r="AJ684" s="2054">
        <f>O684-'Blocking-Step2'!O684</f>
        <v>0</v>
      </c>
    </row>
    <row r="685" spans="1:36">
      <c r="A685" s="1116" t="s">
        <v>1158</v>
      </c>
      <c r="C685" s="528">
        <f t="shared" si="417"/>
        <v>2072493</v>
      </c>
      <c r="D685" s="528">
        <f t="shared" si="417"/>
        <v>1977670</v>
      </c>
      <c r="F685" s="1943">
        <v>7.125</v>
      </c>
      <c r="G685" s="1921" t="s">
        <v>495</v>
      </c>
      <c r="H685" s="1644">
        <f t="shared" si="426"/>
        <v>147665</v>
      </c>
      <c r="I685" s="1644">
        <f t="shared" si="426"/>
        <v>140909</v>
      </c>
      <c r="K685" s="1924"/>
      <c r="L685" s="1921"/>
      <c r="M685" s="1924">
        <f>Q685</f>
        <v>7.125</v>
      </c>
      <c r="N685" s="1921" t="s">
        <v>495</v>
      </c>
      <c r="O685" s="1922"/>
      <c r="P685" s="1921" t="s">
        <v>495</v>
      </c>
      <c r="Q685" s="1943">
        <f>F685</f>
        <v>7.125</v>
      </c>
      <c r="R685" s="1921" t="s">
        <v>495</v>
      </c>
      <c r="S685" s="1114"/>
      <c r="T685" s="1648"/>
      <c r="U685" s="1644">
        <f>ROUND($D685*M685/100,0)</f>
        <v>140909</v>
      </c>
      <c r="V685" s="1648"/>
      <c r="W685" s="1644">
        <f>ROUND($D685*O685/100,0)</f>
        <v>0</v>
      </c>
      <c r="X685" s="1648"/>
      <c r="Y685" s="1644">
        <f>ROUND($D685*Q685/100,0)</f>
        <v>140909</v>
      </c>
      <c r="AA685" s="1890" t="s">
        <v>1930</v>
      </c>
      <c r="AB685" s="1917">
        <f>Y258+Y400+Y536+Y569</f>
        <v>30667133</v>
      </c>
      <c r="AI685" s="2023">
        <f>W685-'Blocking-Step2'!W685</f>
        <v>0</v>
      </c>
      <c r="AJ685" s="2054">
        <f>O685-'Blocking-Step2'!O685</f>
        <v>0</v>
      </c>
    </row>
    <row r="686" spans="1:36">
      <c r="A686" s="1900" t="s">
        <v>246</v>
      </c>
      <c r="C686" s="529">
        <f t="shared" si="417"/>
        <v>17677070</v>
      </c>
      <c r="D686" s="529">
        <f t="shared" si="417"/>
        <v>0</v>
      </c>
      <c r="H686" s="1030">
        <f>H707+H728+H749</f>
        <v>1707393.6474135239</v>
      </c>
      <c r="I686" s="1030">
        <f>I707+I728+I749</f>
        <v>0</v>
      </c>
      <c r="Y686" s="1030"/>
      <c r="AA686" s="1869" t="s">
        <v>1931</v>
      </c>
      <c r="AB686" s="1917">
        <f>Y238+Y382+Y518+Y552</f>
        <v>25007822</v>
      </c>
      <c r="AI686" s="2023">
        <f>W686-'Blocking-Step2'!W686</f>
        <v>0</v>
      </c>
      <c r="AJ686" s="2054">
        <f>O686-'Blocking-Step2'!O686</f>
        <v>0</v>
      </c>
    </row>
    <row r="687" spans="1:36">
      <c r="A687" s="1900" t="s">
        <v>1240</v>
      </c>
      <c r="C687" s="584"/>
      <c r="D687" s="584"/>
      <c r="F687" s="1930">
        <v>-3.61E-2</v>
      </c>
      <c r="G687" s="597"/>
      <c r="H687" s="1644">
        <f>SUM(H680:H681,H683:H685)*$F687</f>
        <v>-14957768.582</v>
      </c>
      <c r="I687" s="1644">
        <f>SUM(I680:I681,I683:I685)*$F687</f>
        <v>-14455907.753799999</v>
      </c>
      <c r="K687" s="1930"/>
      <c r="L687" s="597"/>
      <c r="M687" s="1930"/>
      <c r="N687" s="597"/>
      <c r="O687" s="1931" t="str">
        <f>$O$43</f>
        <v>Tax Year 1 (1/1/2021)</v>
      </c>
      <c r="P687" s="597"/>
      <c r="Q687" s="1930">
        <f>AC682</f>
        <v>-1.52E-2</v>
      </c>
      <c r="R687" s="597"/>
      <c r="S687" s="1645"/>
      <c r="T687" s="1645"/>
      <c r="U687" s="1645"/>
      <c r="V687" s="1645"/>
      <c r="W687" s="1645"/>
      <c r="X687" s="1645"/>
      <c r="Y687" s="1644">
        <f>Q687*SUM(Y676:Y679,Y685)</f>
        <v>-5992258.8512000004</v>
      </c>
      <c r="AB687" s="1917">
        <f>AB686-AB685</f>
        <v>-5659311</v>
      </c>
      <c r="AI687" s="2023">
        <f>W687-'Blocking-Step2'!W687</f>
        <v>0</v>
      </c>
      <c r="AJ687" s="2054">
        <f>O687-'Blocking-Step2'!O687</f>
        <v>0</v>
      </c>
    </row>
    <row r="688" spans="1:36">
      <c r="A688" s="1900"/>
      <c r="C688" s="584"/>
      <c r="D688" s="584"/>
      <c r="F688" s="1930"/>
      <c r="G688" s="597"/>
      <c r="H688" s="1644"/>
      <c r="I688" s="1644"/>
      <c r="K688" s="1930"/>
      <c r="L688" s="597"/>
      <c r="M688" s="1930"/>
      <c r="N688" s="597"/>
      <c r="O688" s="1931">
        <f>$O$44</f>
        <v>0</v>
      </c>
      <c r="P688" s="597"/>
      <c r="Q688" s="1930">
        <f>AC683</f>
        <v>0</v>
      </c>
      <c r="R688" s="597"/>
      <c r="S688" s="1645"/>
      <c r="T688" s="1645"/>
      <c r="U688" s="1645"/>
      <c r="V688" s="1645"/>
      <c r="W688" s="1645"/>
      <c r="X688" s="1645"/>
      <c r="Y688" s="1644">
        <f>Q688*SUM(Y676:Y679,Y685)</f>
        <v>0</v>
      </c>
      <c r="AA688" s="1932" t="s">
        <v>1940</v>
      </c>
      <c r="AB688" s="1932"/>
      <c r="AC688" s="1932"/>
      <c r="AD688" s="1932"/>
      <c r="AI688" s="2023">
        <f>W688-'Blocking-Step2'!W688</f>
        <v>0</v>
      </c>
      <c r="AJ688" s="2054">
        <f>O688-'Blocking-Step2'!O688</f>
        <v>0</v>
      </c>
    </row>
    <row r="689" spans="1:36">
      <c r="A689" s="1116" t="s">
        <v>1317</v>
      </c>
      <c r="C689" s="528">
        <f>C710+C731+C752</f>
        <v>26720</v>
      </c>
      <c r="D689" s="528">
        <f>D710+D731+D752</f>
        <v>25489</v>
      </c>
      <c r="F689" s="1930"/>
      <c r="G689" s="597"/>
      <c r="H689" s="1644"/>
      <c r="I689" s="1644"/>
      <c r="K689" s="1930"/>
      <c r="L689" s="597"/>
      <c r="M689" s="1930"/>
      <c r="N689" s="597"/>
      <c r="O689" s="1930"/>
      <c r="P689" s="597"/>
      <c r="Q689" s="1930"/>
      <c r="R689" s="597"/>
      <c r="S689" s="1645"/>
      <c r="T689" s="1645"/>
      <c r="U689" s="1645"/>
      <c r="V689" s="1645"/>
      <c r="W689" s="1645"/>
      <c r="X689" s="1645"/>
      <c r="Y689" s="1644"/>
      <c r="AA689" s="1933" t="s">
        <v>1660</v>
      </c>
      <c r="AB689" s="1933" t="s">
        <v>1661</v>
      </c>
      <c r="AC689" s="1933" t="s">
        <v>1662</v>
      </c>
      <c r="AD689" s="1933" t="s">
        <v>93</v>
      </c>
      <c r="AI689" s="2023">
        <f>W689-'Blocking-Step2'!W689</f>
        <v>0</v>
      </c>
      <c r="AJ689" s="2054">
        <f>O689-'Blocking-Step2'!O689</f>
        <v>0</v>
      </c>
    </row>
    <row r="690" spans="1:36" ht="16.5" thickBot="1">
      <c r="A690" s="1900" t="s">
        <v>247</v>
      </c>
      <c r="C690" s="1949">
        <f>SUM(C683:C689)</f>
        <v>5796892540.7331409</v>
      </c>
      <c r="D690" s="1949">
        <f>SUM(D683:D689)</f>
        <v>5591913978.1889286</v>
      </c>
      <c r="F690" s="1939"/>
      <c r="H690" s="1647">
        <f>SUM(H672:H687)</f>
        <v>474288168.06541353</v>
      </c>
      <c r="I690" s="1647">
        <f>SUM(I672:I687)</f>
        <v>456853264.24620003</v>
      </c>
      <c r="K690" s="1939"/>
      <c r="M690" s="1939"/>
      <c r="O690" s="1939"/>
      <c r="Q690" s="1939"/>
      <c r="S690" s="1154">
        <f>($Y690-$W690)*AA690/(AA690+AB690)</f>
        <v>160470875.41701961</v>
      </c>
      <c r="T690" s="1154"/>
      <c r="U690" s="1154">
        <f>Y690-S690-W690</f>
        <v>184007870.58298039</v>
      </c>
      <c r="V690" s="1154"/>
      <c r="W690" s="1154">
        <f>SUM(W672:W689)</f>
        <v>119525583</v>
      </c>
      <c r="Y690" s="1646">
        <f>SUM(Y672:Y686)</f>
        <v>464004329</v>
      </c>
      <c r="Z690" s="1936"/>
      <c r="AA690" s="1937">
        <f>('Unit Cost Target'!$E$87+'Unit Cost Target'!$E$123+'Unit Cost Target'!$E$129+'Unit Cost Target'!$E$75+'Unit Cost Target'!$E$81)</f>
        <v>173645002.8371194</v>
      </c>
      <c r="AB690" s="1937">
        <f>('Unit Cost Target'!$E$45+'Unit Cost Target'!$E$51)</f>
        <v>199114307.35577011</v>
      </c>
      <c r="AC690" s="1937">
        <f>('Unit Cost Target'!$E$33+'Unit Cost Target'!$E$39+'Unit Cost Target'!$E$63+'Unit Cost Target'!$E$69)</f>
        <v>127225403.61723401</v>
      </c>
      <c r="AD690" s="1937">
        <f>SUM(AA690:AC690)</f>
        <v>499984713.8101235</v>
      </c>
      <c r="AE690" s="1937">
        <f>AD690-'Unit Cost Target'!$E$21</f>
        <v>0</v>
      </c>
      <c r="AI690" s="2023">
        <f>W690-'Blocking-Step2'!W690</f>
        <v>958.7807554602623</v>
      </c>
      <c r="AJ690" s="2054">
        <f>O690-'Blocking-Step2'!O690</f>
        <v>0</v>
      </c>
    </row>
    <row r="691" spans="1:36" ht="16.5" hidden="1" thickTop="1">
      <c r="C691" s="528"/>
      <c r="D691" s="528"/>
      <c r="AA691" s="1938">
        <f>S690-SUM(S672:S689)</f>
        <v>0</v>
      </c>
      <c r="AB691" s="1938">
        <f>U690-SUM(U672:U689)</f>
        <v>-37926.417019605637</v>
      </c>
      <c r="AC691" s="1938">
        <f>W690-SUM(W672:W689)</f>
        <v>0</v>
      </c>
      <c r="AD691" s="1938">
        <f>SUM(AA691:AC691)</f>
        <v>-37926.417019605637</v>
      </c>
      <c r="AE691" s="1937">
        <f>AD690-AB672</f>
        <v>18632867.810123503</v>
      </c>
      <c r="AI691" s="2023">
        <f>W691-'Blocking-Step2'!W691</f>
        <v>0</v>
      </c>
      <c r="AJ691" s="2054">
        <f>O691-'Blocking-Step2'!O691</f>
        <v>0</v>
      </c>
    </row>
    <row r="692" spans="1:36" hidden="1">
      <c r="A692" s="1897" t="s">
        <v>908</v>
      </c>
      <c r="C692" s="528"/>
      <c r="D692" s="528"/>
      <c r="AA692" s="1937"/>
      <c r="AB692" s="1937"/>
      <c r="AC692" s="1937"/>
      <c r="AD692" s="1937"/>
      <c r="AI692" s="2023">
        <f>W692-'Blocking-Step2'!W692</f>
        <v>0</v>
      </c>
      <c r="AJ692" s="2054">
        <f>O692-'Blocking-Step2'!O692</f>
        <v>0</v>
      </c>
    </row>
    <row r="693" spans="1:36" hidden="1">
      <c r="A693" s="1900" t="s">
        <v>240</v>
      </c>
      <c r="C693" s="528">
        <f>'6'!H25</f>
        <v>3583.0333333333301</v>
      </c>
      <c r="D693" s="528">
        <f>Bill!P10</f>
        <v>3780</v>
      </c>
      <c r="F693" s="1944">
        <v>54</v>
      </c>
      <c r="G693" s="597"/>
      <c r="H693" s="1644">
        <f t="shared" ref="H693:I703" si="427">ROUND($F693*C693,0)</f>
        <v>193484</v>
      </c>
      <c r="I693" s="1644">
        <f t="shared" si="427"/>
        <v>204120</v>
      </c>
      <c r="K693" s="1944">
        <f t="shared" ref="K693:K700" si="428">K672</f>
        <v>53</v>
      </c>
      <c r="L693" s="597"/>
      <c r="M693" s="1944">
        <f t="shared" ref="M693:M700" si="429">M672</f>
        <v>0</v>
      </c>
      <c r="N693" s="597"/>
      <c r="O693" s="1944">
        <f t="shared" ref="O693:O700" si="430">O672</f>
        <v>0</v>
      </c>
      <c r="P693" s="597"/>
      <c r="Q693" s="1944">
        <f t="shared" ref="Q693:Q700" si="431">Q672</f>
        <v>53</v>
      </c>
      <c r="R693" s="597"/>
      <c r="S693" s="1644">
        <f>ROUND($D693*K693,0)</f>
        <v>200340</v>
      </c>
      <c r="T693" s="1643"/>
      <c r="U693" s="1644">
        <f>ROUND($D693*M693,0)</f>
        <v>0</v>
      </c>
      <c r="V693" s="1643"/>
      <c r="W693" s="1644">
        <f>ROUND($D693*O693,0)</f>
        <v>0</v>
      </c>
      <c r="X693" s="1645"/>
      <c r="Y693" s="1644">
        <f>ROUND($D693*Q693,0)</f>
        <v>200340</v>
      </c>
      <c r="AA693" s="1937"/>
      <c r="AB693" s="1937"/>
      <c r="AC693" s="1937"/>
      <c r="AD693" s="1937"/>
      <c r="AI693" s="2023">
        <f>W693-'Blocking-Step2'!W693</f>
        <v>0</v>
      </c>
      <c r="AJ693" s="2054">
        <f>O693-'Blocking-Step2'!O693</f>
        <v>0</v>
      </c>
    </row>
    <row r="694" spans="1:36" hidden="1">
      <c r="A694" s="1900" t="s">
        <v>262</v>
      </c>
      <c r="C694" s="584">
        <v>0</v>
      </c>
      <c r="D694" s="528">
        <f>ROUND(C694/C693*D693,0)</f>
        <v>0</v>
      </c>
      <c r="F694" s="1944">
        <v>648</v>
      </c>
      <c r="G694" s="597"/>
      <c r="H694" s="1644">
        <f t="shared" si="427"/>
        <v>0</v>
      </c>
      <c r="I694" s="1644">
        <f t="shared" si="427"/>
        <v>0</v>
      </c>
      <c r="K694" s="1944">
        <f t="shared" si="428"/>
        <v>636</v>
      </c>
      <c r="L694" s="597"/>
      <c r="M694" s="1944">
        <f t="shared" si="429"/>
        <v>0</v>
      </c>
      <c r="N694" s="597"/>
      <c r="O694" s="1944">
        <f t="shared" si="430"/>
        <v>0</v>
      </c>
      <c r="P694" s="597"/>
      <c r="Q694" s="1944">
        <f t="shared" si="431"/>
        <v>636</v>
      </c>
      <c r="R694" s="597"/>
      <c r="S694" s="1644">
        <f t="shared" ref="S694:S698" si="432">ROUND($D694*K694,0)</f>
        <v>0</v>
      </c>
      <c r="T694" s="1643"/>
      <c r="U694" s="1644">
        <f t="shared" ref="U694:U698" si="433">ROUND($D694*M694,0)</f>
        <v>0</v>
      </c>
      <c r="V694" s="1643"/>
      <c r="W694" s="1644">
        <f t="shared" ref="W694:W698" si="434">ROUND($D694*O694,0)</f>
        <v>0</v>
      </c>
      <c r="X694" s="1645"/>
      <c r="Y694" s="1644">
        <f t="shared" ref="Y694:Y698" si="435">ROUND($D694*Q694,0)</f>
        <v>0</v>
      </c>
      <c r="AI694" s="2023">
        <f>W694-'Blocking-Step2'!W694</f>
        <v>0</v>
      </c>
      <c r="AJ694" s="2054">
        <f>O694-'Blocking-Step2'!O694</f>
        <v>0</v>
      </c>
    </row>
    <row r="695" spans="1:36" hidden="1">
      <c r="A695" s="1900" t="s">
        <v>1298</v>
      </c>
      <c r="C695" s="528">
        <f>'6'!AB25</f>
        <v>0</v>
      </c>
      <c r="D695" s="528">
        <f>ROUND(C695/C693*D693,0)</f>
        <v>0</v>
      </c>
      <c r="F695" s="1944">
        <v>54</v>
      </c>
      <c r="G695" s="597"/>
      <c r="H695" s="1644">
        <f t="shared" si="427"/>
        <v>0</v>
      </c>
      <c r="I695" s="1644">
        <f t="shared" si="427"/>
        <v>0</v>
      </c>
      <c r="K695" s="1944">
        <f t="shared" si="428"/>
        <v>53</v>
      </c>
      <c r="L695" s="597"/>
      <c r="M695" s="1944">
        <f t="shared" si="429"/>
        <v>0</v>
      </c>
      <c r="N695" s="597"/>
      <c r="O695" s="1944">
        <f t="shared" si="430"/>
        <v>0</v>
      </c>
      <c r="P695" s="597"/>
      <c r="Q695" s="1944">
        <f t="shared" si="431"/>
        <v>53</v>
      </c>
      <c r="R695" s="597"/>
      <c r="S695" s="1644">
        <f t="shared" si="432"/>
        <v>0</v>
      </c>
      <c r="T695" s="1645"/>
      <c r="U695" s="1644">
        <f t="shared" si="433"/>
        <v>0</v>
      </c>
      <c r="V695" s="1645"/>
      <c r="W695" s="1644">
        <f t="shared" si="434"/>
        <v>0</v>
      </c>
      <c r="X695" s="1645"/>
      <c r="Y695" s="1644">
        <f t="shared" si="435"/>
        <v>0</v>
      </c>
      <c r="AI695" s="2023">
        <f>W695-'Blocking-Step2'!W695</f>
        <v>0</v>
      </c>
      <c r="AJ695" s="2054">
        <f>O695-'Blocking-Step2'!O695</f>
        <v>0</v>
      </c>
    </row>
    <row r="696" spans="1:36" hidden="1">
      <c r="A696" s="1900" t="s">
        <v>168</v>
      </c>
      <c r="C696" s="528">
        <f>'6'!J25</f>
        <v>299679.84158415801</v>
      </c>
      <c r="D696" s="528">
        <f>ROUND(C696/$C$711*$D$711,0)</f>
        <v>359920</v>
      </c>
      <c r="F696" s="1944">
        <v>4.04</v>
      </c>
      <c r="G696" s="597"/>
      <c r="H696" s="1644">
        <f>ROUND($F696*C696,0)</f>
        <v>1210707</v>
      </c>
      <c r="I696" s="1644">
        <f>ROUND($F696*D696,0)</f>
        <v>1454077</v>
      </c>
      <c r="K696" s="1944">
        <f t="shared" si="428"/>
        <v>3.98</v>
      </c>
      <c r="L696" s="597"/>
      <c r="M696" s="1944">
        <f t="shared" si="429"/>
        <v>0</v>
      </c>
      <c r="N696" s="597"/>
      <c r="O696" s="1944">
        <f t="shared" si="430"/>
        <v>0</v>
      </c>
      <c r="P696" s="597"/>
      <c r="Q696" s="1944">
        <f t="shared" si="431"/>
        <v>3.98</v>
      </c>
      <c r="R696" s="597"/>
      <c r="S696" s="1644">
        <f t="shared" si="432"/>
        <v>1432482</v>
      </c>
      <c r="T696" s="1643"/>
      <c r="U696" s="1644">
        <f t="shared" si="433"/>
        <v>0</v>
      </c>
      <c r="V696" s="1643"/>
      <c r="W696" s="1644">
        <f t="shared" si="434"/>
        <v>0</v>
      </c>
      <c r="X696" s="1645"/>
      <c r="Y696" s="1644">
        <f t="shared" si="435"/>
        <v>1432482</v>
      </c>
      <c r="AI696" s="2023">
        <f>W696-'Blocking-Step2'!W696</f>
        <v>0</v>
      </c>
      <c r="AJ696" s="2054">
        <f>O696-'Blocking-Step2'!O696</f>
        <v>0</v>
      </c>
    </row>
    <row r="697" spans="1:36" hidden="1">
      <c r="A697" s="1900" t="s">
        <v>1645</v>
      </c>
      <c r="C697" s="528">
        <f>'6'!L25+'6-may'!L25</f>
        <v>103225.47243554296</v>
      </c>
      <c r="D697" s="528">
        <f t="shared" ref="D697:D698" si="436">ROUND(C697/$C$711*$D$711,0)</f>
        <v>123975</v>
      </c>
      <c r="F697" s="1944"/>
      <c r="G697" s="597"/>
      <c r="H697" s="1644"/>
      <c r="I697" s="1644"/>
      <c r="K697" s="1944">
        <f t="shared" si="428"/>
        <v>6.22</v>
      </c>
      <c r="L697" s="597"/>
      <c r="M697" s="1944">
        <f t="shared" si="429"/>
        <v>7.0100000000000007</v>
      </c>
      <c r="N697" s="597"/>
      <c r="O697" s="1944">
        <f t="shared" si="430"/>
        <v>0</v>
      </c>
      <c r="P697" s="597"/>
      <c r="Q697" s="1944">
        <f t="shared" si="431"/>
        <v>13.23</v>
      </c>
      <c r="R697" s="597"/>
      <c r="S697" s="1644">
        <f t="shared" si="432"/>
        <v>771125</v>
      </c>
      <c r="T697" s="1645"/>
      <c r="U697" s="1644">
        <f t="shared" si="433"/>
        <v>869065</v>
      </c>
      <c r="V697" s="1645"/>
      <c r="W697" s="1644">
        <f t="shared" si="434"/>
        <v>0</v>
      </c>
      <c r="X697" s="1645"/>
      <c r="Y697" s="1644">
        <f t="shared" si="435"/>
        <v>1640189</v>
      </c>
      <c r="AI697" s="2023">
        <f>W697-'Blocking-Step2'!W697</f>
        <v>0</v>
      </c>
      <c r="AJ697" s="2054">
        <f>O697-'Blocking-Step2'!O697</f>
        <v>0</v>
      </c>
    </row>
    <row r="698" spans="1:36" hidden="1">
      <c r="A698" s="1900" t="s">
        <v>1646</v>
      </c>
      <c r="C698" s="528">
        <f>'6'!M25+'6-may'!M25</f>
        <v>196454.36991531623</v>
      </c>
      <c r="D698" s="528">
        <f t="shared" si="436"/>
        <v>235945</v>
      </c>
      <c r="F698" s="1944"/>
      <c r="G698" s="597"/>
      <c r="H698" s="1644"/>
      <c r="I698" s="1644"/>
      <c r="K698" s="1944">
        <f t="shared" si="428"/>
        <v>5.5</v>
      </c>
      <c r="L698" s="597"/>
      <c r="M698" s="1944">
        <f t="shared" si="429"/>
        <v>6.2100000000000009</v>
      </c>
      <c r="N698" s="597"/>
      <c r="O698" s="1944">
        <f t="shared" si="430"/>
        <v>0</v>
      </c>
      <c r="P698" s="597"/>
      <c r="Q698" s="1944">
        <f t="shared" si="431"/>
        <v>11.71</v>
      </c>
      <c r="R698" s="597"/>
      <c r="S698" s="1644">
        <f t="shared" si="432"/>
        <v>1297698</v>
      </c>
      <c r="T698" s="1645"/>
      <c r="U698" s="1644">
        <f t="shared" si="433"/>
        <v>1465218</v>
      </c>
      <c r="V698" s="1645"/>
      <c r="W698" s="1644">
        <f t="shared" si="434"/>
        <v>0</v>
      </c>
      <c r="X698" s="1645"/>
      <c r="Y698" s="1644">
        <f t="shared" si="435"/>
        <v>2762916</v>
      </c>
      <c r="AI698" s="2023">
        <f>W698-'Blocking-Step2'!W698</f>
        <v>0</v>
      </c>
      <c r="AJ698" s="2054">
        <f>O698-'Blocking-Step2'!O698</f>
        <v>0</v>
      </c>
    </row>
    <row r="699" spans="1:36" hidden="1">
      <c r="A699" s="1900" t="s">
        <v>1647</v>
      </c>
      <c r="C699" s="528">
        <f>'6'!P25+'6'!U25+TempRevMay!C324-TempRevMay!M324+'6-may'!P25+'6-may'!U25</f>
        <v>41751453.943650171</v>
      </c>
      <c r="D699" s="528">
        <f>D711-SUM(D700,D706:D710)</f>
        <v>56993222.034597188</v>
      </c>
      <c r="F699" s="1943"/>
      <c r="G699" s="1921"/>
      <c r="H699" s="1644"/>
      <c r="I699" s="1644"/>
      <c r="K699" s="1943">
        <f t="shared" si="428"/>
        <v>0</v>
      </c>
      <c r="L699" s="1921" t="s">
        <v>495</v>
      </c>
      <c r="M699" s="1943">
        <f t="shared" si="429"/>
        <v>1.5747172373309999</v>
      </c>
      <c r="N699" s="1921" t="s">
        <v>495</v>
      </c>
      <c r="O699" s="1943">
        <f t="shared" si="430"/>
        <v>2.305570240802</v>
      </c>
      <c r="P699" s="1921" t="s">
        <v>495</v>
      </c>
      <c r="Q699" s="1943">
        <f t="shared" si="431"/>
        <v>3.8802874781329999</v>
      </c>
      <c r="R699" s="1921" t="s">
        <v>495</v>
      </c>
      <c r="S699" s="1644">
        <f>ROUND($D699*K699/100,0)</f>
        <v>0</v>
      </c>
      <c r="T699" s="1648"/>
      <c r="U699" s="1644">
        <f>ROUND($D699*M699/100,0)</f>
        <v>897482</v>
      </c>
      <c r="V699" s="1648"/>
      <c r="W699" s="1644">
        <f>ROUND($D699*O699/100,0)</f>
        <v>1314019</v>
      </c>
      <c r="X699" s="1648"/>
      <c r="Y699" s="1644">
        <f>ROUND($D699*Q699/100,0)</f>
        <v>2211501</v>
      </c>
      <c r="AI699" s="2023">
        <f>W699-'Blocking-Step2'!W699</f>
        <v>0</v>
      </c>
      <c r="AJ699" s="2054">
        <f>O699-'Blocking-Step2'!O699</f>
        <v>0</v>
      </c>
    </row>
    <row r="700" spans="1:36" hidden="1">
      <c r="A700" s="1900" t="s">
        <v>1648</v>
      </c>
      <c r="C700" s="528">
        <f>'6'!Q25+'6'!V25+TempRevMay!C325-TempRevMay!M325+'6-may'!Q25+'6-may'!V25</f>
        <v>84462817.942580998</v>
      </c>
      <c r="D700" s="528">
        <f>ROUND(Energy!T10*(1-(D706+D710)/Energy!P10),0)</f>
        <v>95452005</v>
      </c>
      <c r="F700" s="1943"/>
      <c r="G700" s="1921"/>
      <c r="H700" s="1644"/>
      <c r="I700" s="1644"/>
      <c r="K700" s="1943">
        <f t="shared" si="428"/>
        <v>0</v>
      </c>
      <c r="L700" s="1921" t="s">
        <v>495</v>
      </c>
      <c r="M700" s="1943">
        <f t="shared" si="429"/>
        <v>1.3935347233019999</v>
      </c>
      <c r="N700" s="1921" t="s">
        <v>495</v>
      </c>
      <c r="O700" s="1943">
        <f t="shared" si="430"/>
        <v>2.0403480007099999</v>
      </c>
      <c r="P700" s="1921" t="s">
        <v>495</v>
      </c>
      <c r="Q700" s="1943">
        <f t="shared" si="431"/>
        <v>3.4338827240119998</v>
      </c>
      <c r="R700" s="1921" t="s">
        <v>495</v>
      </c>
      <c r="S700" s="1644">
        <f>ROUND($D700*K700/100,0)</f>
        <v>0</v>
      </c>
      <c r="T700" s="1648"/>
      <c r="U700" s="1644">
        <f>ROUND($D700*M700/100,0)</f>
        <v>1330157</v>
      </c>
      <c r="V700" s="1648"/>
      <c r="W700" s="1644">
        <f>ROUND($D700*O700/100,0)</f>
        <v>1947553</v>
      </c>
      <c r="X700" s="1648"/>
      <c r="Y700" s="1644">
        <f>ROUND($D700*Q700/100,0)</f>
        <v>3277710</v>
      </c>
      <c r="AI700" s="2023">
        <f>W700-'Blocking-Step2'!W700</f>
        <v>0</v>
      </c>
      <c r="AJ700" s="2054">
        <f>O700-'Blocking-Step2'!O700</f>
        <v>0</v>
      </c>
    </row>
    <row r="701" spans="1:36" hidden="1">
      <c r="A701" s="1900" t="s">
        <v>196</v>
      </c>
      <c r="C701" s="528">
        <f>'6'!L25</f>
        <v>125353.22640218861</v>
      </c>
      <c r="D701" s="528">
        <f>ROUND(C701/C711*D711,0)</f>
        <v>150551</v>
      </c>
      <c r="F701" s="1944">
        <v>14.62</v>
      </c>
      <c r="G701" s="597"/>
      <c r="H701" s="1644">
        <f t="shared" si="427"/>
        <v>1832664</v>
      </c>
      <c r="I701" s="1644">
        <f t="shared" si="427"/>
        <v>2201056</v>
      </c>
      <c r="K701" s="1944"/>
      <c r="L701" s="597"/>
      <c r="M701" s="1944"/>
      <c r="N701" s="597"/>
      <c r="O701" s="1944"/>
      <c r="P701" s="597"/>
      <c r="Q701" s="1944"/>
      <c r="R701" s="597"/>
      <c r="S701" s="1644"/>
      <c r="T701" s="1643"/>
      <c r="U701" s="1644"/>
      <c r="V701" s="1643"/>
      <c r="W701" s="1644"/>
      <c r="X701" s="1645"/>
      <c r="Y701" s="1644"/>
      <c r="AI701" s="2023">
        <f>W701-'Blocking-Step2'!W701</f>
        <v>0</v>
      </c>
      <c r="AJ701" s="2054">
        <f>O701-'Blocking-Step2'!O701</f>
        <v>0</v>
      </c>
    </row>
    <row r="702" spans="1:36" hidden="1">
      <c r="A702" s="1900" t="s">
        <v>161</v>
      </c>
      <c r="C702" s="528">
        <f>'6'!M25</f>
        <v>174326.6159486706</v>
      </c>
      <c r="D702" s="528">
        <f>ROUND(C702/C711*D711,0)</f>
        <v>209369</v>
      </c>
      <c r="F702" s="1944">
        <v>10.91</v>
      </c>
      <c r="G702" s="597"/>
      <c r="H702" s="1644">
        <f t="shared" si="427"/>
        <v>1901903</v>
      </c>
      <c r="I702" s="1644">
        <f t="shared" si="427"/>
        <v>2284216</v>
      </c>
      <c r="K702" s="1944"/>
      <c r="L702" s="597"/>
      <c r="M702" s="1944"/>
      <c r="N702" s="597"/>
      <c r="O702" s="1944"/>
      <c r="P702" s="597"/>
      <c r="Q702" s="1944"/>
      <c r="R702" s="597"/>
      <c r="S702" s="1644"/>
      <c r="T702" s="1643"/>
      <c r="U702" s="1644"/>
      <c r="V702" s="1643"/>
      <c r="W702" s="1644"/>
      <c r="X702" s="1645"/>
      <c r="Y702" s="1644"/>
      <c r="AI702" s="2023">
        <f>W702-'Blocking-Step2'!W702</f>
        <v>0</v>
      </c>
      <c r="AJ702" s="2054">
        <f>O702-'Blocking-Step2'!O702</f>
        <v>0</v>
      </c>
    </row>
    <row r="703" spans="1:36" hidden="1">
      <c r="A703" s="1900" t="s">
        <v>261</v>
      </c>
      <c r="C703" s="528">
        <f>'6'!N25</f>
        <v>24132</v>
      </c>
      <c r="D703" s="528">
        <f>ROUND(C703/C711*D711,0)</f>
        <v>28983</v>
      </c>
      <c r="F703" s="1944">
        <v>-0.96</v>
      </c>
      <c r="G703" s="597"/>
      <c r="H703" s="1644">
        <f t="shared" si="427"/>
        <v>-23167</v>
      </c>
      <c r="I703" s="1644">
        <f t="shared" si="427"/>
        <v>-27824</v>
      </c>
      <c r="K703" s="1944">
        <f>K682</f>
        <v>-0.96</v>
      </c>
      <c r="L703" s="597"/>
      <c r="M703" s="1944">
        <f>M682</f>
        <v>0</v>
      </c>
      <c r="N703" s="597"/>
      <c r="O703" s="1944">
        <f>O682</f>
        <v>0</v>
      </c>
      <c r="P703" s="597"/>
      <c r="Q703" s="1944">
        <f>Q682</f>
        <v>-0.96</v>
      </c>
      <c r="R703" s="597"/>
      <c r="S703" s="1644">
        <f t="shared" ref="S703" si="437">ROUND($D703*K703,0)</f>
        <v>-27824</v>
      </c>
      <c r="T703" s="1643"/>
      <c r="U703" s="1644">
        <f t="shared" ref="U703" si="438">ROUND($D703*M703,0)</f>
        <v>0</v>
      </c>
      <c r="V703" s="1643"/>
      <c r="W703" s="1644">
        <f t="shared" ref="W703" si="439">ROUND($D703*O703,0)</f>
        <v>0</v>
      </c>
      <c r="X703" s="1645"/>
      <c r="Y703" s="1644">
        <f t="shared" ref="Y703" si="440">ROUND($D703*Q703,0)</f>
        <v>-27824</v>
      </c>
      <c r="AI703" s="2023">
        <f>W703-'Blocking-Step2'!W703</f>
        <v>0</v>
      </c>
      <c r="AJ703" s="2054">
        <f>O703-'Blocking-Step2'!O703</f>
        <v>0</v>
      </c>
    </row>
    <row r="704" spans="1:36" hidden="1">
      <c r="A704" s="1900" t="s">
        <v>1362</v>
      </c>
      <c r="C704" s="528">
        <f>'6'!P25+'6'!U25+TempRev!C324-TempRev!M324</f>
        <v>50979480.334788077</v>
      </c>
      <c r="D704" s="528">
        <f>D711-SUM(D705:D710)</f>
        <v>66094782.034597188</v>
      </c>
      <c r="F704" s="1943">
        <v>3.8127</v>
      </c>
      <c r="G704" s="1921" t="s">
        <v>495</v>
      </c>
      <c r="H704" s="1644">
        <f t="shared" ref="H704:I706" si="441">ROUND($F704*C704/100,0)</f>
        <v>1943695</v>
      </c>
      <c r="I704" s="1644">
        <f t="shared" si="441"/>
        <v>2519996</v>
      </c>
      <c r="K704" s="1943"/>
      <c r="L704" s="1921"/>
      <c r="M704" s="1943"/>
      <c r="N704" s="1921"/>
      <c r="O704" s="1943"/>
      <c r="P704" s="1921"/>
      <c r="Q704" s="1943"/>
      <c r="R704" s="1921"/>
      <c r="S704" s="1644"/>
      <c r="T704" s="1648"/>
      <c r="U704" s="1644"/>
      <c r="V704" s="1648"/>
      <c r="W704" s="1644"/>
      <c r="X704" s="1648"/>
      <c r="Y704" s="1644"/>
      <c r="AI704" s="2023">
        <f>W704-'Blocking-Step2'!W704</f>
        <v>0</v>
      </c>
      <c r="AJ704" s="2054">
        <f>O704-'Blocking-Step2'!O704</f>
        <v>0</v>
      </c>
    </row>
    <row r="705" spans="1:36" hidden="1">
      <c r="A705" s="1900" t="s">
        <v>1363</v>
      </c>
      <c r="C705" s="528">
        <f>'6'!Q25+'6'!V25+TempRev!C325-TempRev!M325</f>
        <v>75234791.5514431</v>
      </c>
      <c r="D705" s="528">
        <f>ROUND(Energy!R10*(1-(D706+D710)/Energy!P10),0)</f>
        <v>86350445</v>
      </c>
      <c r="F705" s="1943">
        <v>3.5143</v>
      </c>
      <c r="G705" s="1921" t="s">
        <v>495</v>
      </c>
      <c r="H705" s="1644">
        <f t="shared" si="441"/>
        <v>2643976</v>
      </c>
      <c r="I705" s="1644">
        <f t="shared" si="441"/>
        <v>3034614</v>
      </c>
      <c r="K705" s="1943"/>
      <c r="L705" s="1921"/>
      <c r="M705" s="1943"/>
      <c r="N705" s="1921"/>
      <c r="O705" s="1943"/>
      <c r="P705" s="1921"/>
      <c r="Q705" s="1943"/>
      <c r="R705" s="1921"/>
      <c r="S705" s="1644"/>
      <c r="T705" s="1648"/>
      <c r="U705" s="1644"/>
      <c r="V705" s="1648"/>
      <c r="W705" s="1644"/>
      <c r="X705" s="1648"/>
      <c r="Y705" s="1644"/>
      <c r="AI705" s="2023">
        <f>W705-'Blocking-Step2'!W705</f>
        <v>0</v>
      </c>
      <c r="AJ705" s="2054">
        <f>O705-'Blocking-Step2'!O705</f>
        <v>0</v>
      </c>
    </row>
    <row r="706" spans="1:36" hidden="1">
      <c r="A706" s="1116" t="s">
        <v>1158</v>
      </c>
      <c r="C706" s="528">
        <f>'6'!S25</f>
        <v>0</v>
      </c>
      <c r="D706" s="528">
        <f>ROUND(C706/(C711-C707)*D711,0)</f>
        <v>0</v>
      </c>
      <c r="F706" s="1943">
        <v>7.125</v>
      </c>
      <c r="G706" s="1921" t="s">
        <v>495</v>
      </c>
      <c r="H706" s="1644">
        <f t="shared" si="441"/>
        <v>0</v>
      </c>
      <c r="I706" s="1644">
        <f t="shared" si="441"/>
        <v>0</v>
      </c>
      <c r="K706" s="1943">
        <f>K685</f>
        <v>0</v>
      </c>
      <c r="L706" s="1921" t="s">
        <v>495</v>
      </c>
      <c r="M706" s="1943">
        <f>M685</f>
        <v>7.125</v>
      </c>
      <c r="N706" s="1921" t="s">
        <v>495</v>
      </c>
      <c r="O706" s="1943">
        <f>O685</f>
        <v>0</v>
      </c>
      <c r="P706" s="1921" t="s">
        <v>495</v>
      </c>
      <c r="Q706" s="1943">
        <f>Q685</f>
        <v>7.125</v>
      </c>
      <c r="R706" s="1921" t="s">
        <v>495</v>
      </c>
      <c r="S706" s="1644">
        <f>ROUND($D706*K706/100,0)</f>
        <v>0</v>
      </c>
      <c r="T706" s="1648"/>
      <c r="U706" s="1644">
        <f>ROUND($D706*M706/100,0)</f>
        <v>0</v>
      </c>
      <c r="V706" s="1648"/>
      <c r="W706" s="1644">
        <f>ROUND($D706*O706/100,0)</f>
        <v>0</v>
      </c>
      <c r="X706" s="1648"/>
      <c r="Y706" s="1644">
        <f>ROUND($D706*Q706/100,0)</f>
        <v>0</v>
      </c>
      <c r="AI706" s="2023">
        <f>W706-'Blocking-Step2'!W706</f>
        <v>0</v>
      </c>
      <c r="AJ706" s="2054">
        <f>O706-'Blocking-Step2'!O706</f>
        <v>0</v>
      </c>
    </row>
    <row r="707" spans="1:36" hidden="1">
      <c r="A707" s="1900" t="s">
        <v>246</v>
      </c>
      <c r="C707" s="529">
        <f>'Table 2'!J18</f>
        <v>716029</v>
      </c>
      <c r="D707" s="529">
        <v>0</v>
      </c>
      <c r="H707" s="1030">
        <f>'Table 3'!F18</f>
        <v>57893</v>
      </c>
      <c r="I707" s="1030">
        <v>0</v>
      </c>
      <c r="Y707" s="1030">
        <v>0</v>
      </c>
      <c r="AI707" s="2023">
        <f>W707-'Blocking-Step2'!W707</f>
        <v>0</v>
      </c>
      <c r="AJ707" s="2054">
        <f>O707-'Blocking-Step2'!O707</f>
        <v>0</v>
      </c>
    </row>
    <row r="708" spans="1:36" hidden="1">
      <c r="A708" s="1900" t="s">
        <v>1240</v>
      </c>
      <c r="C708" s="584"/>
      <c r="D708" s="584"/>
      <c r="F708" s="1930">
        <v>-3.61E-2</v>
      </c>
      <c r="G708" s="597"/>
      <c r="H708" s="1644">
        <f>SUM(H701:H702,H704:H706)*$F708</f>
        <v>-300432.79180000001</v>
      </c>
      <c r="I708" s="1644">
        <f>SUM(I701:I702,I704:I706)*$F708</f>
        <v>-362439.7402</v>
      </c>
      <c r="K708" s="1930"/>
      <c r="L708" s="597"/>
      <c r="M708" s="1930"/>
      <c r="N708" s="597"/>
      <c r="O708" s="1931" t="str">
        <f>$O$43</f>
        <v>Tax Year 1 (1/1/2021)</v>
      </c>
      <c r="P708" s="597"/>
      <c r="Q708" s="1930">
        <f>$Q$687</f>
        <v>-1.52E-2</v>
      </c>
      <c r="R708" s="597"/>
      <c r="S708" s="1645"/>
      <c r="T708" s="1645"/>
      <c r="U708" s="1645"/>
      <c r="V708" s="1645"/>
      <c r="W708" s="1645"/>
      <c r="X708" s="1645"/>
      <c r="Y708" s="1644">
        <f>Q708*SUM(Y697:Y700,Y706)</f>
        <v>-150363.20319999999</v>
      </c>
      <c r="AI708" s="2023">
        <f>W708-'Blocking-Step2'!W708</f>
        <v>0</v>
      </c>
      <c r="AJ708" s="2054">
        <f>O708-'Blocking-Step2'!O708</f>
        <v>0</v>
      </c>
    </row>
    <row r="709" spans="1:36" hidden="1">
      <c r="A709" s="1900"/>
      <c r="C709" s="584"/>
      <c r="D709" s="584"/>
      <c r="F709" s="1930"/>
      <c r="G709" s="597"/>
      <c r="H709" s="1644"/>
      <c r="I709" s="1644"/>
      <c r="K709" s="1930"/>
      <c r="L709" s="597"/>
      <c r="M709" s="1930"/>
      <c r="N709" s="597"/>
      <c r="O709" s="1931">
        <f>$O$44</f>
        <v>0</v>
      </c>
      <c r="P709" s="597"/>
      <c r="Q709" s="1930">
        <f>$Q$688</f>
        <v>0</v>
      </c>
      <c r="R709" s="597"/>
      <c r="S709" s="1645"/>
      <c r="T709" s="1645"/>
      <c r="U709" s="1645"/>
      <c r="V709" s="1645"/>
      <c r="W709" s="1645"/>
      <c r="X709" s="1645"/>
      <c r="Y709" s="1644">
        <f>Q709*SUM(Y697:Y700,Y706)</f>
        <v>0</v>
      </c>
      <c r="AI709" s="2023">
        <f>W709-'Blocking-Step2'!W709</f>
        <v>0</v>
      </c>
      <c r="AJ709" s="2054">
        <f>O709-'Blocking-Step2'!O709</f>
        <v>0</v>
      </c>
    </row>
    <row r="710" spans="1:36" hidden="1">
      <c r="A710" s="1116" t="s">
        <v>1317</v>
      </c>
      <c r="C710" s="584">
        <f>'6'!AD25</f>
        <v>0</v>
      </c>
      <c r="D710" s="528">
        <f>ROUND(C710/(C711-C707)*D711,0)</f>
        <v>0</v>
      </c>
      <c r="F710" s="1930"/>
      <c r="G710" s="597"/>
      <c r="H710" s="1644"/>
      <c r="I710" s="1644"/>
      <c r="K710" s="1930"/>
      <c r="L710" s="597"/>
      <c r="M710" s="1930"/>
      <c r="N710" s="597"/>
      <c r="O710" s="1930"/>
      <c r="P710" s="597"/>
      <c r="Q710" s="1930"/>
      <c r="R710" s="597"/>
      <c r="S710" s="1645"/>
      <c r="T710" s="1645"/>
      <c r="U710" s="1645"/>
      <c r="V710" s="1645"/>
      <c r="W710" s="1645"/>
      <c r="X710" s="1645"/>
      <c r="Y710" s="1644"/>
      <c r="AI710" s="2023">
        <f>W710-'Blocking-Step2'!W710</f>
        <v>0</v>
      </c>
      <c r="AJ710" s="2054">
        <f>O710-'Blocking-Step2'!O710</f>
        <v>0</v>
      </c>
    </row>
    <row r="711" spans="1:36" ht="16.5" hidden="1" thickBot="1">
      <c r="A711" s="1900" t="s">
        <v>247</v>
      </c>
      <c r="C711" s="1949">
        <f>SUM(C704:C706,C707,C710)</f>
        <v>126930300.88623118</v>
      </c>
      <c r="D711" s="1949">
        <f>Energy!P10</f>
        <v>152445227.03459719</v>
      </c>
      <c r="F711" s="1939"/>
      <c r="H711" s="1647">
        <f>SUM(H693:H708)</f>
        <v>9460722.2082000002</v>
      </c>
      <c r="I711" s="1647">
        <f>SUM(I693:I708)</f>
        <v>11307815.2598</v>
      </c>
      <c r="K711" s="1939"/>
      <c r="M711" s="1939"/>
      <c r="O711" s="1939"/>
      <c r="Q711" s="1939"/>
      <c r="S711" s="1647">
        <f>SUM(S693:S707)</f>
        <v>3673821</v>
      </c>
      <c r="U711" s="1647">
        <f>SUM(U693:U707)</f>
        <v>4561922</v>
      </c>
      <c r="W711" s="1647">
        <f>SUM(W693:W707)</f>
        <v>3261572</v>
      </c>
      <c r="Y711" s="1647">
        <f>SUM(Y693:Y707)</f>
        <v>11497314</v>
      </c>
      <c r="AA711" s="1104" t="s">
        <v>1743</v>
      </c>
      <c r="AB711" s="1890">
        <f>Y711/I711-1</f>
        <v>1.6758209773171551E-2</v>
      </c>
      <c r="AI711" s="2023">
        <f>W711-'Blocking-Step2'!W711</f>
        <v>0</v>
      </c>
      <c r="AJ711" s="2054">
        <f>O711-'Blocking-Step2'!O711</f>
        <v>0</v>
      </c>
    </row>
    <row r="712" spans="1:36" ht="16.5" hidden="1" thickTop="1">
      <c r="AI712" s="2023">
        <f>W712-'Blocking-Step2'!W712</f>
        <v>0</v>
      </c>
      <c r="AJ712" s="2054">
        <f>O712-'Blocking-Step2'!O712</f>
        <v>0</v>
      </c>
    </row>
    <row r="713" spans="1:36" hidden="1">
      <c r="A713" s="1897" t="s">
        <v>551</v>
      </c>
      <c r="C713" s="528"/>
      <c r="D713" s="528"/>
      <c r="AI713" s="2023">
        <f>W713-'Blocking-Step2'!W713</f>
        <v>0</v>
      </c>
      <c r="AJ713" s="2054">
        <f>O713-'Blocking-Step2'!O713</f>
        <v>0</v>
      </c>
    </row>
    <row r="714" spans="1:36" hidden="1">
      <c r="A714" s="1900" t="s">
        <v>240</v>
      </c>
      <c r="C714" s="528">
        <f>'6'!H23</f>
        <v>142578.73333333369</v>
      </c>
      <c r="D714" s="528">
        <f>Bill!P31</f>
        <v>141468</v>
      </c>
      <c r="F714" s="1944">
        <v>54</v>
      </c>
      <c r="G714" s="597"/>
      <c r="H714" s="1644">
        <f t="shared" ref="H714:I724" si="442">ROUND($F714*C714,0)</f>
        <v>7699252</v>
      </c>
      <c r="I714" s="1644">
        <f t="shared" si="442"/>
        <v>7639272</v>
      </c>
      <c r="K714" s="1944">
        <f t="shared" ref="K714:K721" si="443">K672</f>
        <v>53</v>
      </c>
      <c r="L714" s="597"/>
      <c r="M714" s="1944">
        <f t="shared" ref="M714:M721" si="444">M672</f>
        <v>0</v>
      </c>
      <c r="N714" s="597"/>
      <c r="O714" s="1944">
        <f t="shared" ref="O714:O721" si="445">O672</f>
        <v>0</v>
      </c>
      <c r="P714" s="597"/>
      <c r="Q714" s="1944">
        <f t="shared" ref="Q714:Q721" si="446">Q672</f>
        <v>53</v>
      </c>
      <c r="R714" s="597"/>
      <c r="S714" s="1644">
        <f>ROUND($D714*K714,0)</f>
        <v>7497804</v>
      </c>
      <c r="T714" s="1643"/>
      <c r="U714" s="1644">
        <f>ROUND($D714*M714,0)</f>
        <v>0</v>
      </c>
      <c r="V714" s="1643"/>
      <c r="W714" s="1644">
        <f>ROUND($D714*O714,0)</f>
        <v>0</v>
      </c>
      <c r="X714" s="1645"/>
      <c r="Y714" s="1644">
        <f>ROUND($D714*Q714,0)</f>
        <v>7497804</v>
      </c>
      <c r="AI714" s="2023">
        <f>W714-'Blocking-Step2'!W714</f>
        <v>0</v>
      </c>
      <c r="AJ714" s="2054">
        <f>O714-'Blocking-Step2'!O714</f>
        <v>0</v>
      </c>
    </row>
    <row r="715" spans="1:36" hidden="1">
      <c r="A715" s="1900" t="s">
        <v>262</v>
      </c>
      <c r="C715" s="584">
        <v>0</v>
      </c>
      <c r="D715" s="528">
        <f>ROUND(C715/C714*D714,0)</f>
        <v>0</v>
      </c>
      <c r="F715" s="1944">
        <v>648</v>
      </c>
      <c r="G715" s="597"/>
      <c r="H715" s="1644">
        <f t="shared" si="442"/>
        <v>0</v>
      </c>
      <c r="I715" s="1644">
        <f t="shared" si="442"/>
        <v>0</v>
      </c>
      <c r="K715" s="1944">
        <f t="shared" si="443"/>
        <v>636</v>
      </c>
      <c r="L715" s="597"/>
      <c r="M715" s="1944">
        <f t="shared" si="444"/>
        <v>0</v>
      </c>
      <c r="N715" s="597"/>
      <c r="O715" s="1944">
        <f t="shared" si="445"/>
        <v>0</v>
      </c>
      <c r="P715" s="597"/>
      <c r="Q715" s="1944">
        <f t="shared" si="446"/>
        <v>636</v>
      </c>
      <c r="R715" s="597"/>
      <c r="S715" s="1644">
        <f t="shared" ref="S715:S719" si="447">ROUND($D715*K715,0)</f>
        <v>0</v>
      </c>
      <c r="T715" s="1643"/>
      <c r="U715" s="1644">
        <f t="shared" ref="U715:U719" si="448">ROUND($D715*M715,0)</f>
        <v>0</v>
      </c>
      <c r="V715" s="1643"/>
      <c r="W715" s="1644">
        <f t="shared" ref="W715:W719" si="449">ROUND($D715*O715,0)</f>
        <v>0</v>
      </c>
      <c r="X715" s="1645"/>
      <c r="Y715" s="1644">
        <f t="shared" ref="Y715:Y719" si="450">ROUND($D715*Q715,0)</f>
        <v>0</v>
      </c>
      <c r="AI715" s="2023">
        <f>W715-'Blocking-Step2'!W715</f>
        <v>0</v>
      </c>
      <c r="AJ715" s="2054">
        <f>O715-'Blocking-Step2'!O715</f>
        <v>0</v>
      </c>
    </row>
    <row r="716" spans="1:36" hidden="1">
      <c r="A716" s="1900" t="s">
        <v>1298</v>
      </c>
      <c r="C716" s="528">
        <f>'6'!AB23</f>
        <v>13.633333333333301</v>
      </c>
      <c r="D716" s="528">
        <f>ROUND(C716/C714*D714,0)</f>
        <v>14</v>
      </c>
      <c r="F716" s="1944">
        <v>54</v>
      </c>
      <c r="G716" s="597"/>
      <c r="H716" s="1644">
        <f t="shared" si="442"/>
        <v>736</v>
      </c>
      <c r="I716" s="1644">
        <f t="shared" si="442"/>
        <v>756</v>
      </c>
      <c r="K716" s="1944">
        <f t="shared" si="443"/>
        <v>53</v>
      </c>
      <c r="L716" s="597"/>
      <c r="M716" s="1944">
        <f t="shared" si="444"/>
        <v>0</v>
      </c>
      <c r="N716" s="597"/>
      <c r="O716" s="1944">
        <f t="shared" si="445"/>
        <v>0</v>
      </c>
      <c r="P716" s="597"/>
      <c r="Q716" s="1944">
        <f t="shared" si="446"/>
        <v>53</v>
      </c>
      <c r="R716" s="597"/>
      <c r="S716" s="1644">
        <f t="shared" si="447"/>
        <v>742</v>
      </c>
      <c r="T716" s="1645"/>
      <c r="U716" s="1644">
        <f t="shared" si="448"/>
        <v>0</v>
      </c>
      <c r="V716" s="1645"/>
      <c r="W716" s="1644">
        <f t="shared" si="449"/>
        <v>0</v>
      </c>
      <c r="X716" s="1645"/>
      <c r="Y716" s="1644">
        <f t="shared" si="450"/>
        <v>742</v>
      </c>
      <c r="AI716" s="2023">
        <f>W716-'Blocking-Step2'!W716</f>
        <v>0</v>
      </c>
      <c r="AJ716" s="2054">
        <f>O716-'Blocking-Step2'!O716</f>
        <v>0</v>
      </c>
    </row>
    <row r="717" spans="1:36" hidden="1">
      <c r="A717" s="1900" t="s">
        <v>168</v>
      </c>
      <c r="C717" s="528">
        <f>'6'!J23</f>
        <v>14000970.475247549</v>
      </c>
      <c r="D717" s="528">
        <f>ROUND(C717/$C$732*$D$732,0)</f>
        <v>13285763</v>
      </c>
      <c r="F717" s="1944">
        <v>4.04</v>
      </c>
      <c r="G717" s="597"/>
      <c r="H717" s="1644">
        <f>ROUND($F717*C717,0)</f>
        <v>56563921</v>
      </c>
      <c r="I717" s="1644">
        <f>ROUND($F717*D717,0)</f>
        <v>53674483</v>
      </c>
      <c r="K717" s="1944">
        <f t="shared" si="443"/>
        <v>3.98</v>
      </c>
      <c r="L717" s="597"/>
      <c r="M717" s="1944">
        <f t="shared" si="444"/>
        <v>0</v>
      </c>
      <c r="N717" s="597"/>
      <c r="O717" s="1944">
        <f t="shared" si="445"/>
        <v>0</v>
      </c>
      <c r="P717" s="597"/>
      <c r="Q717" s="1944">
        <f t="shared" si="446"/>
        <v>3.98</v>
      </c>
      <c r="R717" s="597"/>
      <c r="S717" s="1644">
        <f t="shared" si="447"/>
        <v>52877337</v>
      </c>
      <c r="T717" s="1643"/>
      <c r="U717" s="1644">
        <f t="shared" si="448"/>
        <v>0</v>
      </c>
      <c r="V717" s="1643"/>
      <c r="W717" s="1644">
        <f t="shared" si="449"/>
        <v>0</v>
      </c>
      <c r="X717" s="1645"/>
      <c r="Y717" s="1644">
        <f t="shared" si="450"/>
        <v>52877337</v>
      </c>
      <c r="AI717" s="2023">
        <f>W717-'Blocking-Step2'!W717</f>
        <v>0</v>
      </c>
      <c r="AJ717" s="2054">
        <f>O717-'Blocking-Step2'!O717</f>
        <v>0</v>
      </c>
    </row>
    <row r="718" spans="1:36" hidden="1">
      <c r="A718" s="1900" t="s">
        <v>1645</v>
      </c>
      <c r="C718" s="528">
        <f>'6'!L23</f>
        <v>6424044.8932969086</v>
      </c>
      <c r="D718" s="528">
        <f t="shared" ref="D718:D719" si="451">ROUND(C718/$C$732*$D$732,0)</f>
        <v>6095887</v>
      </c>
      <c r="F718" s="1944"/>
      <c r="G718" s="597"/>
      <c r="H718" s="1644"/>
      <c r="I718" s="1644"/>
      <c r="K718" s="1944">
        <f t="shared" si="443"/>
        <v>6.22</v>
      </c>
      <c r="L718" s="597"/>
      <c r="M718" s="1944">
        <f t="shared" si="444"/>
        <v>7.0100000000000007</v>
      </c>
      <c r="N718" s="597"/>
      <c r="O718" s="1944">
        <f t="shared" si="445"/>
        <v>0</v>
      </c>
      <c r="P718" s="597"/>
      <c r="Q718" s="1944">
        <f t="shared" si="446"/>
        <v>13.23</v>
      </c>
      <c r="R718" s="597"/>
      <c r="S718" s="1644">
        <f t="shared" si="447"/>
        <v>37916417</v>
      </c>
      <c r="T718" s="1645"/>
      <c r="U718" s="1644">
        <f t="shared" si="448"/>
        <v>42732168</v>
      </c>
      <c r="V718" s="1645"/>
      <c r="W718" s="1644">
        <f t="shared" si="449"/>
        <v>0</v>
      </c>
      <c r="X718" s="1645"/>
      <c r="Y718" s="1644">
        <f t="shared" si="450"/>
        <v>80648585</v>
      </c>
      <c r="AI718" s="2023">
        <f>W718-'Blocking-Step2'!W718</f>
        <v>0</v>
      </c>
      <c r="AJ718" s="2054">
        <f>O718-'Blocking-Step2'!O718</f>
        <v>0</v>
      </c>
    </row>
    <row r="719" spans="1:36" hidden="1">
      <c r="A719" s="1900" t="s">
        <v>1646</v>
      </c>
      <c r="C719" s="528">
        <f>'6'!M23</f>
        <v>7576925.8441796647</v>
      </c>
      <c r="D719" s="528">
        <f t="shared" si="451"/>
        <v>7189876</v>
      </c>
      <c r="F719" s="1944"/>
      <c r="G719" s="597"/>
      <c r="H719" s="1644"/>
      <c r="I719" s="1644"/>
      <c r="K719" s="1944">
        <f t="shared" si="443"/>
        <v>5.5</v>
      </c>
      <c r="L719" s="597"/>
      <c r="M719" s="1944">
        <f t="shared" si="444"/>
        <v>6.2100000000000009</v>
      </c>
      <c r="N719" s="597"/>
      <c r="O719" s="1944">
        <f t="shared" si="445"/>
        <v>0</v>
      </c>
      <c r="P719" s="597"/>
      <c r="Q719" s="1944">
        <f t="shared" si="446"/>
        <v>11.71</v>
      </c>
      <c r="R719" s="597"/>
      <c r="S719" s="1644">
        <f t="shared" si="447"/>
        <v>39544318</v>
      </c>
      <c r="T719" s="1645"/>
      <c r="U719" s="1644">
        <f t="shared" si="448"/>
        <v>44649130</v>
      </c>
      <c r="V719" s="1645"/>
      <c r="W719" s="1644">
        <f t="shared" si="449"/>
        <v>0</v>
      </c>
      <c r="X719" s="1645"/>
      <c r="Y719" s="1644">
        <f t="shared" si="450"/>
        <v>84193448</v>
      </c>
      <c r="AI719" s="2023">
        <f>W719-'Blocking-Step2'!W719</f>
        <v>0</v>
      </c>
      <c r="AJ719" s="2054">
        <f>O719-'Blocking-Step2'!O719</f>
        <v>0</v>
      </c>
    </row>
    <row r="720" spans="1:36" hidden="1">
      <c r="A720" s="1900" t="s">
        <v>1647</v>
      </c>
      <c r="C720" s="528">
        <f>'6'!P23+'6'!U23+TempRevMay!C333-TempRevMay!M333-TempRevMay!W333+'6-may'!P23+'6-may'!U23</f>
        <v>1838806321.3440943</v>
      </c>
      <c r="D720" s="528">
        <f>D732-SUM(D721,D727:D731)</f>
        <v>1770056466.9150953</v>
      </c>
      <c r="F720" s="1943"/>
      <c r="G720" s="1921"/>
      <c r="H720" s="1644"/>
      <c r="I720" s="1644"/>
      <c r="K720" s="1943">
        <f t="shared" si="443"/>
        <v>0</v>
      </c>
      <c r="L720" s="1921" t="s">
        <v>495</v>
      </c>
      <c r="M720" s="1943">
        <f t="shared" si="444"/>
        <v>1.5747172373309999</v>
      </c>
      <c r="N720" s="1921" t="s">
        <v>495</v>
      </c>
      <c r="O720" s="1943">
        <f t="shared" si="445"/>
        <v>2.305570240802</v>
      </c>
      <c r="P720" s="1921" t="s">
        <v>495</v>
      </c>
      <c r="Q720" s="1943">
        <f t="shared" si="446"/>
        <v>3.8802874781329999</v>
      </c>
      <c r="R720" s="1921" t="s">
        <v>495</v>
      </c>
      <c r="S720" s="1644">
        <f>ROUND($D720*K720/100,0)</f>
        <v>0</v>
      </c>
      <c r="T720" s="1648"/>
      <c r="U720" s="1644">
        <f>ROUND($D720*M720/100,0)</f>
        <v>27873384</v>
      </c>
      <c r="V720" s="1648"/>
      <c r="W720" s="1644">
        <f>ROUND($D720*O720/100,0)</f>
        <v>40809895</v>
      </c>
      <c r="X720" s="1648"/>
      <c r="Y720" s="1644">
        <f>ROUND($D720*Q720/100,0)</f>
        <v>68683279</v>
      </c>
      <c r="AI720" s="2023">
        <f>W720-'Blocking-Step2'!W720</f>
        <v>0</v>
      </c>
      <c r="AJ720" s="2054">
        <f>O720-'Blocking-Step2'!O720</f>
        <v>0</v>
      </c>
    </row>
    <row r="721" spans="1:36" hidden="1">
      <c r="A721" s="1900" t="s">
        <v>1648</v>
      </c>
      <c r="C721" s="528">
        <f>'6'!Q23+'6'!V23+TempRevMay!C334-TempRevMay!M334-TempRevMay!W334+'6-may'!Q23+'6-may'!V23</f>
        <v>3207450115.5028152</v>
      </c>
      <c r="D721" s="528">
        <f>ROUND(Energy!T31*(1-(D727+D731)/Energy!P31),0)</f>
        <v>3043808629</v>
      </c>
      <c r="F721" s="1943"/>
      <c r="G721" s="1921"/>
      <c r="H721" s="1644"/>
      <c r="I721" s="1644"/>
      <c r="K721" s="1943">
        <f t="shared" si="443"/>
        <v>0</v>
      </c>
      <c r="L721" s="1921" t="s">
        <v>495</v>
      </c>
      <c r="M721" s="1943">
        <f t="shared" si="444"/>
        <v>1.3935347233019999</v>
      </c>
      <c r="N721" s="1921" t="s">
        <v>495</v>
      </c>
      <c r="O721" s="1943">
        <f t="shared" si="445"/>
        <v>2.0403480007099999</v>
      </c>
      <c r="P721" s="1921" t="s">
        <v>495</v>
      </c>
      <c r="Q721" s="1943">
        <f t="shared" si="446"/>
        <v>3.4338827240119998</v>
      </c>
      <c r="R721" s="1921" t="s">
        <v>495</v>
      </c>
      <c r="S721" s="1644">
        <f>ROUND($D721*K721/100,0)</f>
        <v>0</v>
      </c>
      <c r="T721" s="1648"/>
      <c r="U721" s="1644">
        <f>ROUND($D721*M721/100,0)</f>
        <v>42416530</v>
      </c>
      <c r="V721" s="1648"/>
      <c r="W721" s="1644">
        <f>ROUND($D721*O721/100,0)</f>
        <v>62104289</v>
      </c>
      <c r="X721" s="1648"/>
      <c r="Y721" s="1644">
        <f>ROUND($D721*Q721/100,0)</f>
        <v>104520819</v>
      </c>
      <c r="AI721" s="2023">
        <f>W721-'Blocking-Step2'!W721</f>
        <v>0</v>
      </c>
      <c r="AJ721" s="2054">
        <f>O721-'Blocking-Step2'!O721</f>
        <v>0</v>
      </c>
    </row>
    <row r="722" spans="1:36" hidden="1">
      <c r="A722" s="1900" t="s">
        <v>196</v>
      </c>
      <c r="C722" s="528">
        <f>'6'!L23</f>
        <v>6424044.8932969086</v>
      </c>
      <c r="D722" s="528">
        <f>ROUND(C722/C732*D732,0)</f>
        <v>6095887</v>
      </c>
      <c r="F722" s="1944">
        <v>14.62</v>
      </c>
      <c r="G722" s="597"/>
      <c r="H722" s="1644">
        <f t="shared" si="442"/>
        <v>93919536</v>
      </c>
      <c r="I722" s="1644">
        <f t="shared" si="442"/>
        <v>89121868</v>
      </c>
      <c r="K722" s="1944"/>
      <c r="L722" s="597"/>
      <c r="M722" s="1944"/>
      <c r="N722" s="597"/>
      <c r="O722" s="1944"/>
      <c r="P722" s="597"/>
      <c r="Q722" s="1944"/>
      <c r="R722" s="597"/>
      <c r="S722" s="1644"/>
      <c r="T722" s="1643"/>
      <c r="U722" s="1644"/>
      <c r="V722" s="1643"/>
      <c r="W722" s="1644"/>
      <c r="X722" s="1645"/>
      <c r="Y722" s="1644"/>
      <c r="AI722" s="2023">
        <f>W722-'Blocking-Step2'!W722</f>
        <v>0</v>
      </c>
      <c r="AJ722" s="2054">
        <f>O722-'Blocking-Step2'!O722</f>
        <v>0</v>
      </c>
    </row>
    <row r="723" spans="1:36" hidden="1">
      <c r="A723" s="1900" t="s">
        <v>161</v>
      </c>
      <c r="C723" s="528">
        <f>'6'!M23</f>
        <v>7576925.8441796647</v>
      </c>
      <c r="D723" s="528">
        <f>ROUND(C723/C732*D732,0)</f>
        <v>7189876</v>
      </c>
      <c r="F723" s="1944">
        <v>10.91</v>
      </c>
      <c r="G723" s="597"/>
      <c r="H723" s="1644">
        <f t="shared" si="442"/>
        <v>82664261</v>
      </c>
      <c r="I723" s="1644">
        <f t="shared" si="442"/>
        <v>78441547</v>
      </c>
      <c r="K723" s="1944"/>
      <c r="L723" s="597"/>
      <c r="M723" s="1944"/>
      <c r="N723" s="597"/>
      <c r="O723" s="1944"/>
      <c r="P723" s="597"/>
      <c r="Q723" s="1944"/>
      <c r="R723" s="597"/>
      <c r="S723" s="1644"/>
      <c r="T723" s="1643"/>
      <c r="U723" s="1644"/>
      <c r="V723" s="1643"/>
      <c r="W723" s="1644"/>
      <c r="X723" s="1645"/>
      <c r="Y723" s="1644"/>
      <c r="AI723" s="2023">
        <f>W723-'Blocking-Step2'!W723</f>
        <v>0</v>
      </c>
      <c r="AJ723" s="2054">
        <f>O723-'Blocking-Step2'!O723</f>
        <v>0</v>
      </c>
    </row>
    <row r="724" spans="1:36" hidden="1">
      <c r="A724" s="1900" t="s">
        <v>261</v>
      </c>
      <c r="C724" s="528">
        <f>'6'!N23</f>
        <v>345279.625</v>
      </c>
      <c r="D724" s="528">
        <f>ROUND(C724/C732*D732,0)</f>
        <v>327642</v>
      </c>
      <c r="F724" s="1944">
        <v>-0.96</v>
      </c>
      <c r="G724" s="597"/>
      <c r="H724" s="1644">
        <f t="shared" si="442"/>
        <v>-331468</v>
      </c>
      <c r="I724" s="1644">
        <f t="shared" si="442"/>
        <v>-314536</v>
      </c>
      <c r="K724" s="1944">
        <f>K682</f>
        <v>-0.96</v>
      </c>
      <c r="L724" s="597"/>
      <c r="M724" s="1944">
        <f>M682</f>
        <v>0</v>
      </c>
      <c r="N724" s="597"/>
      <c r="O724" s="1944">
        <f>O682</f>
        <v>0</v>
      </c>
      <c r="P724" s="597"/>
      <c r="Q724" s="1944">
        <f>Q682</f>
        <v>-0.96</v>
      </c>
      <c r="R724" s="597"/>
      <c r="S724" s="1644">
        <f t="shared" ref="S724" si="452">ROUND($D724*K724,0)</f>
        <v>-314536</v>
      </c>
      <c r="T724" s="1643"/>
      <c r="U724" s="1644">
        <f t="shared" ref="U724" si="453">ROUND($D724*M724,0)</f>
        <v>0</v>
      </c>
      <c r="V724" s="1643"/>
      <c r="W724" s="1644">
        <f t="shared" ref="W724" si="454">ROUND($D724*O724,0)</f>
        <v>0</v>
      </c>
      <c r="X724" s="1645"/>
      <c r="Y724" s="1644">
        <f t="shared" ref="Y724" si="455">ROUND($D724*Q724,0)</f>
        <v>-314536</v>
      </c>
      <c r="AI724" s="2023">
        <f>W724-'Blocking-Step2'!W724</f>
        <v>0</v>
      </c>
      <c r="AJ724" s="2054">
        <f>O724-'Blocking-Step2'!O724</f>
        <v>0</v>
      </c>
    </row>
    <row r="725" spans="1:36" hidden="1">
      <c r="A725" s="1900" t="s">
        <v>1362</v>
      </c>
      <c r="C725" s="528">
        <f>'6'!P23+'6'!U23+TempRev!C333-TempRev!M333-TempRev!W333</f>
        <v>2260772296.4056034</v>
      </c>
      <c r="D725" s="528">
        <f>D732-SUM(D726:D731)</f>
        <v>2177285937.9150953</v>
      </c>
      <c r="F725" s="1943">
        <v>3.8127</v>
      </c>
      <c r="G725" s="1921" t="s">
        <v>495</v>
      </c>
      <c r="H725" s="1644">
        <f t="shared" ref="H725:I727" si="456">ROUND($F725*C725/100,0)</f>
        <v>86196465</v>
      </c>
      <c r="I725" s="1644">
        <f t="shared" si="456"/>
        <v>83013381</v>
      </c>
      <c r="K725" s="1943"/>
      <c r="L725" s="1921"/>
      <c r="M725" s="1943"/>
      <c r="N725" s="1921"/>
      <c r="O725" s="1943"/>
      <c r="P725" s="1921"/>
      <c r="Q725" s="1943"/>
      <c r="R725" s="1921"/>
      <c r="S725" s="1644"/>
      <c r="T725" s="1648"/>
      <c r="U725" s="1644"/>
      <c r="V725" s="1648"/>
      <c r="W725" s="1644"/>
      <c r="X725" s="1648"/>
      <c r="Y725" s="1644"/>
      <c r="AI725" s="2023">
        <f>W725-'Blocking-Step2'!W725</f>
        <v>0</v>
      </c>
      <c r="AJ725" s="2054">
        <f>O725-'Blocking-Step2'!O725</f>
        <v>0</v>
      </c>
    </row>
    <row r="726" spans="1:36" hidden="1">
      <c r="A726" s="1900" t="s">
        <v>1363</v>
      </c>
      <c r="C726" s="528">
        <f>'6'!Q23+'6'!V23+TempRev!C334-TempRev!M334-TempRev!W334</f>
        <v>2785484140.4413061</v>
      </c>
      <c r="D726" s="528">
        <f>ROUND(Energy!R31*(1-(D727+D731)/Energy!P31),0)</f>
        <v>2636579158</v>
      </c>
      <c r="F726" s="1943">
        <v>3.5143</v>
      </c>
      <c r="G726" s="1921" t="s">
        <v>495</v>
      </c>
      <c r="H726" s="1644">
        <f t="shared" si="456"/>
        <v>97890269</v>
      </c>
      <c r="I726" s="1644">
        <f t="shared" si="456"/>
        <v>92657301</v>
      </c>
      <c r="K726" s="1943"/>
      <c r="L726" s="1921"/>
      <c r="M726" s="1943"/>
      <c r="N726" s="1921"/>
      <c r="O726" s="1943"/>
      <c r="P726" s="1921"/>
      <c r="Q726" s="1943"/>
      <c r="R726" s="1921"/>
      <c r="S726" s="1644"/>
      <c r="T726" s="1648"/>
      <c r="U726" s="1644"/>
      <c r="V726" s="1648"/>
      <c r="W726" s="1644"/>
      <c r="X726" s="1648"/>
      <c r="Y726" s="1644"/>
      <c r="AI726" s="2023">
        <f>W726-'Blocking-Step2'!W726</f>
        <v>0</v>
      </c>
      <c r="AJ726" s="2054">
        <f>O726-'Blocking-Step2'!O726</f>
        <v>0</v>
      </c>
    </row>
    <row r="727" spans="1:36" hidden="1">
      <c r="A727" s="1116" t="s">
        <v>1158</v>
      </c>
      <c r="C727" s="528">
        <f>'6'!S23</f>
        <v>2064493</v>
      </c>
      <c r="D727" s="528">
        <f>ROUND(C727/(C732-C728)*D732,0)</f>
        <v>1969419</v>
      </c>
      <c r="F727" s="1943">
        <v>7.125</v>
      </c>
      <c r="G727" s="1921" t="s">
        <v>495</v>
      </c>
      <c r="H727" s="1644">
        <f t="shared" si="456"/>
        <v>147095</v>
      </c>
      <c r="I727" s="1644">
        <f t="shared" si="456"/>
        <v>140321</v>
      </c>
      <c r="K727" s="1943">
        <f>K685</f>
        <v>0</v>
      </c>
      <c r="L727" s="1921" t="s">
        <v>495</v>
      </c>
      <c r="M727" s="1943">
        <f>M685</f>
        <v>7.125</v>
      </c>
      <c r="N727" s="1921" t="s">
        <v>495</v>
      </c>
      <c r="O727" s="1943">
        <f>O685</f>
        <v>0</v>
      </c>
      <c r="P727" s="1921" t="s">
        <v>495</v>
      </c>
      <c r="Q727" s="1943">
        <f>Q685</f>
        <v>7.125</v>
      </c>
      <c r="R727" s="1921" t="s">
        <v>495</v>
      </c>
      <c r="S727" s="1644">
        <f>ROUND($D727*K727/100,0)</f>
        <v>0</v>
      </c>
      <c r="T727" s="1648"/>
      <c r="U727" s="1644">
        <f>ROUND($D727*M727/100,0)</f>
        <v>140321</v>
      </c>
      <c r="V727" s="1648"/>
      <c r="W727" s="1644">
        <f>ROUND($D727*O727/100,0)</f>
        <v>0</v>
      </c>
      <c r="X727" s="1648"/>
      <c r="Y727" s="1644">
        <f>ROUND($D727*Q727/100,0)</f>
        <v>140321</v>
      </c>
      <c r="AI727" s="2023">
        <f>W727-'Blocking-Step2'!W727</f>
        <v>0</v>
      </c>
      <c r="AJ727" s="2054">
        <f>O727-'Blocking-Step2'!O727</f>
        <v>0</v>
      </c>
    </row>
    <row r="728" spans="1:36" hidden="1">
      <c r="A728" s="1900" t="s">
        <v>246</v>
      </c>
      <c r="C728" s="529">
        <f>'Table 2'!J45</f>
        <v>26762696</v>
      </c>
      <c r="D728" s="529">
        <v>0</v>
      </c>
      <c r="H728" s="1030">
        <f>'Table 3'!F45</f>
        <v>2430886</v>
      </c>
      <c r="I728" s="1030">
        <v>0</v>
      </c>
      <c r="Y728" s="1030"/>
      <c r="AI728" s="2023">
        <f>W728-'Blocking-Step2'!W728</f>
        <v>0</v>
      </c>
      <c r="AJ728" s="2054">
        <f>O728-'Blocking-Step2'!O728</f>
        <v>0</v>
      </c>
    </row>
    <row r="729" spans="1:36" hidden="1">
      <c r="A729" s="1900" t="s">
        <v>1240</v>
      </c>
      <c r="C729" s="584"/>
      <c r="D729" s="584"/>
      <c r="F729" s="1930">
        <v>-3.61E-2</v>
      </c>
      <c r="G729" s="597"/>
      <c r="H729" s="1644">
        <f>SUM(H722:H723,H725:H727)*$F729</f>
        <v>-13025516.298599999</v>
      </c>
      <c r="I729" s="1644">
        <f>SUM(I722:I723,I725:I727)*$F729</f>
        <v>-12395816.489800001</v>
      </c>
      <c r="K729" s="1930"/>
      <c r="L729" s="597"/>
      <c r="M729" s="1930"/>
      <c r="N729" s="597"/>
      <c r="O729" s="1931" t="str">
        <f>$O$43</f>
        <v>Tax Year 1 (1/1/2021)</v>
      </c>
      <c r="P729" s="597"/>
      <c r="Q729" s="1930">
        <f>$Q$687</f>
        <v>-1.52E-2</v>
      </c>
      <c r="R729" s="597"/>
      <c r="S729" s="1645"/>
      <c r="T729" s="1645"/>
      <c r="U729" s="1645"/>
      <c r="V729" s="1645"/>
      <c r="W729" s="1645"/>
      <c r="X729" s="1645"/>
      <c r="Y729" s="1644">
        <f>Q729*SUM(Y718:Y721,Y727)</f>
        <v>-5140434.0703999996</v>
      </c>
      <c r="AI729" s="2023">
        <f>W729-'Blocking-Step2'!W729</f>
        <v>0</v>
      </c>
      <c r="AJ729" s="2054">
        <f>O729-'Blocking-Step2'!O729</f>
        <v>0</v>
      </c>
    </row>
    <row r="730" spans="1:36" hidden="1">
      <c r="A730" s="1900"/>
      <c r="C730" s="584"/>
      <c r="D730" s="584"/>
      <c r="F730" s="1930"/>
      <c r="G730" s="597"/>
      <c r="H730" s="1644"/>
      <c r="I730" s="1644"/>
      <c r="K730" s="1930"/>
      <c r="L730" s="597"/>
      <c r="M730" s="1930"/>
      <c r="N730" s="597"/>
      <c r="O730" s="1931">
        <f>$O$44</f>
        <v>0</v>
      </c>
      <c r="P730" s="597"/>
      <c r="Q730" s="1930">
        <f>$Q$688</f>
        <v>0</v>
      </c>
      <c r="R730" s="597"/>
      <c r="S730" s="1645"/>
      <c r="T730" s="1645"/>
      <c r="U730" s="1645"/>
      <c r="V730" s="1645"/>
      <c r="W730" s="1645"/>
      <c r="X730" s="1645"/>
      <c r="Y730" s="1644">
        <f>Q730*SUM(Y718:Y721,Y727)</f>
        <v>0</v>
      </c>
      <c r="AI730" s="2023">
        <f>W730-'Blocking-Step2'!W730</f>
        <v>0</v>
      </c>
      <c r="AJ730" s="2054">
        <f>O730-'Blocking-Step2'!O730</f>
        <v>0</v>
      </c>
    </row>
    <row r="731" spans="1:36" hidden="1">
      <c r="A731" s="1116" t="s">
        <v>1317</v>
      </c>
      <c r="C731" s="584">
        <f>'6'!AD23</f>
        <v>26720</v>
      </c>
      <c r="D731" s="528">
        <f>ROUND(C731/(C732-C728)*D732,0)</f>
        <v>25489</v>
      </c>
      <c r="F731" s="1930"/>
      <c r="G731" s="597"/>
      <c r="H731" s="1644"/>
      <c r="I731" s="1644"/>
      <c r="K731" s="1930"/>
      <c r="L731" s="597"/>
      <c r="M731" s="1930"/>
      <c r="N731" s="597"/>
      <c r="O731" s="1930"/>
      <c r="P731" s="597"/>
      <c r="Q731" s="1930"/>
      <c r="R731" s="597"/>
      <c r="S731" s="1645"/>
      <c r="T731" s="1645"/>
      <c r="U731" s="1645"/>
      <c r="V731" s="1645"/>
      <c r="W731" s="1645"/>
      <c r="X731" s="1645"/>
      <c r="Y731" s="1644"/>
      <c r="AI731" s="2023">
        <f>W731-'Blocking-Step2'!W731</f>
        <v>0</v>
      </c>
      <c r="AJ731" s="2054">
        <f>O731-'Blocking-Step2'!O731</f>
        <v>0</v>
      </c>
    </row>
    <row r="732" spans="1:36" ht="16.5" hidden="1" thickBot="1">
      <c r="A732" s="1900" t="s">
        <v>247</v>
      </c>
      <c r="C732" s="1949">
        <f>SUM(C725:C727,C728,C731)</f>
        <v>5075110345.8469095</v>
      </c>
      <c r="D732" s="1949">
        <f>Energy!P31</f>
        <v>4815860003.9150953</v>
      </c>
      <c r="F732" s="1939"/>
      <c r="H732" s="1647">
        <f>SUM(H714:H729)</f>
        <v>414155436.70139998</v>
      </c>
      <c r="I732" s="1647">
        <f>SUM(I714:I729)</f>
        <v>391978576.51020002</v>
      </c>
      <c r="K732" s="1939"/>
      <c r="M732" s="1939"/>
      <c r="O732" s="1939"/>
      <c r="Q732" s="1939"/>
      <c r="S732" s="1647">
        <f>SUM(S714:S728)</f>
        <v>137522082</v>
      </c>
      <c r="U732" s="1647">
        <f>SUM(U714:U728)</f>
        <v>157811533</v>
      </c>
      <c r="W732" s="1647">
        <f>SUM(W714:W728)</f>
        <v>102914184</v>
      </c>
      <c r="Y732" s="1647">
        <f>SUM(Y714:Y728)</f>
        <v>398247799</v>
      </c>
      <c r="AA732" s="1104" t="s">
        <v>1743</v>
      </c>
      <c r="AB732" s="1890">
        <f>Y732/I732-1</f>
        <v>1.5993788603487102E-2</v>
      </c>
      <c r="AI732" s="2023">
        <f>W732-'Blocking-Step2'!W732</f>
        <v>0</v>
      </c>
      <c r="AJ732" s="2054">
        <f>O732-'Blocking-Step2'!O732</f>
        <v>0</v>
      </c>
    </row>
    <row r="733" spans="1:36" ht="16.5" hidden="1" thickTop="1">
      <c r="AI733" s="2023">
        <f>W733-'Blocking-Step2'!W733</f>
        <v>0</v>
      </c>
      <c r="AJ733" s="2054">
        <f>O733-'Blocking-Step2'!O733</f>
        <v>0</v>
      </c>
    </row>
    <row r="734" spans="1:36" hidden="1">
      <c r="A734" s="1897" t="s">
        <v>550</v>
      </c>
      <c r="C734" s="528"/>
      <c r="D734" s="528"/>
      <c r="AI734" s="2023">
        <f>W734-'Blocking-Step2'!W734</f>
        <v>0</v>
      </c>
      <c r="AJ734" s="2054">
        <f>O734-'Blocking-Step2'!O734</f>
        <v>0</v>
      </c>
    </row>
    <row r="735" spans="1:36" hidden="1">
      <c r="A735" s="1900" t="s">
        <v>240</v>
      </c>
      <c r="C735" s="528">
        <f>'6'!H24</f>
        <v>11768.5666666667</v>
      </c>
      <c r="D735" s="528">
        <f>Bill!P56</f>
        <v>11868</v>
      </c>
      <c r="F735" s="1944">
        <v>54</v>
      </c>
      <c r="G735" s="597"/>
      <c r="H735" s="1644">
        <f t="shared" ref="H735:I745" si="457">ROUND($F735*C735,0)</f>
        <v>635503</v>
      </c>
      <c r="I735" s="1644">
        <f t="shared" si="457"/>
        <v>640872</v>
      </c>
      <c r="K735" s="1944">
        <f t="shared" ref="K735:K742" si="458">K672</f>
        <v>53</v>
      </c>
      <c r="L735" s="597"/>
      <c r="M735" s="1944">
        <f t="shared" ref="M735:M742" si="459">M672</f>
        <v>0</v>
      </c>
      <c r="N735" s="597"/>
      <c r="O735" s="1944">
        <f t="shared" ref="O735:O742" si="460">O672</f>
        <v>0</v>
      </c>
      <c r="P735" s="597"/>
      <c r="Q735" s="1944">
        <f t="shared" ref="Q735:Q742" si="461">Q672</f>
        <v>53</v>
      </c>
      <c r="R735" s="597"/>
      <c r="S735" s="1644">
        <f>ROUND($D735*K735,0)</f>
        <v>629004</v>
      </c>
      <c r="T735" s="1643"/>
      <c r="U735" s="1644">
        <f>ROUND($D735*M735,0)</f>
        <v>0</v>
      </c>
      <c r="V735" s="1643"/>
      <c r="W735" s="1644">
        <f>ROUND($D735*O735,0)</f>
        <v>0</v>
      </c>
      <c r="X735" s="1645"/>
      <c r="Y735" s="1644">
        <f>ROUND($D735*Q735,0)</f>
        <v>629004</v>
      </c>
      <c r="AI735" s="2023">
        <f>W735-'Blocking-Step2'!W735</f>
        <v>0</v>
      </c>
      <c r="AJ735" s="2054">
        <f>O735-'Blocking-Step2'!O735</f>
        <v>0</v>
      </c>
    </row>
    <row r="736" spans="1:36" hidden="1">
      <c r="A736" s="1900" t="s">
        <v>262</v>
      </c>
      <c r="C736" s="584">
        <v>0</v>
      </c>
      <c r="D736" s="528">
        <f>ROUND(C736/C735*D735,0)</f>
        <v>0</v>
      </c>
      <c r="F736" s="1944">
        <v>648</v>
      </c>
      <c r="G736" s="597"/>
      <c r="H736" s="1644">
        <f t="shared" si="457"/>
        <v>0</v>
      </c>
      <c r="I736" s="1644">
        <f t="shared" si="457"/>
        <v>0</v>
      </c>
      <c r="K736" s="1944">
        <f t="shared" si="458"/>
        <v>636</v>
      </c>
      <c r="L736" s="597"/>
      <c r="M736" s="1944">
        <f t="shared" si="459"/>
        <v>0</v>
      </c>
      <c r="N736" s="597"/>
      <c r="O736" s="1944">
        <f t="shared" si="460"/>
        <v>0</v>
      </c>
      <c r="P736" s="597"/>
      <c r="Q736" s="1944">
        <f t="shared" si="461"/>
        <v>636</v>
      </c>
      <c r="R736" s="597"/>
      <c r="S736" s="1644">
        <f t="shared" ref="S736:S740" si="462">ROUND($D736*K736,0)</f>
        <v>0</v>
      </c>
      <c r="T736" s="1643"/>
      <c r="U736" s="1644">
        <f t="shared" ref="U736:U740" si="463">ROUND($D736*M736,0)</f>
        <v>0</v>
      </c>
      <c r="V736" s="1643"/>
      <c r="W736" s="1644">
        <f t="shared" ref="W736:W740" si="464">ROUND($D736*O736,0)</f>
        <v>0</v>
      </c>
      <c r="X736" s="1645"/>
      <c r="Y736" s="1644">
        <f t="shared" ref="Y736:Y740" si="465">ROUND($D736*Q736,0)</f>
        <v>0</v>
      </c>
      <c r="AI736" s="2023">
        <f>W736-'Blocking-Step2'!W736</f>
        <v>0</v>
      </c>
      <c r="AJ736" s="2054">
        <f>O736-'Blocking-Step2'!O736</f>
        <v>0</v>
      </c>
    </row>
    <row r="737" spans="1:36" hidden="1">
      <c r="A737" s="1900" t="s">
        <v>1298</v>
      </c>
      <c r="C737" s="528">
        <f>'6'!AB24</f>
        <v>0</v>
      </c>
      <c r="D737" s="528">
        <f>ROUND(C737/C735*D735,0)</f>
        <v>0</v>
      </c>
      <c r="F737" s="1944">
        <v>54</v>
      </c>
      <c r="G737" s="597"/>
      <c r="H737" s="1644">
        <f t="shared" si="457"/>
        <v>0</v>
      </c>
      <c r="I737" s="1644">
        <f t="shared" si="457"/>
        <v>0</v>
      </c>
      <c r="K737" s="1944">
        <f t="shared" si="458"/>
        <v>53</v>
      </c>
      <c r="L737" s="597"/>
      <c r="M737" s="1944">
        <f t="shared" si="459"/>
        <v>0</v>
      </c>
      <c r="N737" s="597"/>
      <c r="O737" s="1944">
        <f t="shared" si="460"/>
        <v>0</v>
      </c>
      <c r="P737" s="597"/>
      <c r="Q737" s="1944">
        <f t="shared" si="461"/>
        <v>53</v>
      </c>
      <c r="R737" s="597"/>
      <c r="S737" s="1644">
        <f t="shared" si="462"/>
        <v>0</v>
      </c>
      <c r="T737" s="1645"/>
      <c r="U737" s="1644">
        <f t="shared" si="463"/>
        <v>0</v>
      </c>
      <c r="V737" s="1645"/>
      <c r="W737" s="1644">
        <f t="shared" si="464"/>
        <v>0</v>
      </c>
      <c r="X737" s="1645"/>
      <c r="Y737" s="1644">
        <f t="shared" si="465"/>
        <v>0</v>
      </c>
      <c r="AI737" s="2023">
        <f>W737-'Blocking-Step2'!W737</f>
        <v>0</v>
      </c>
      <c r="AJ737" s="2054">
        <f>O737-'Blocking-Step2'!O737</f>
        <v>0</v>
      </c>
    </row>
    <row r="738" spans="1:36" hidden="1">
      <c r="A738" s="1900" t="s">
        <v>168</v>
      </c>
      <c r="C738" s="528">
        <f>'6'!J24</f>
        <v>1842106.54207921</v>
      </c>
      <c r="D738" s="528">
        <f>ROUND(C738/$C$753*$D$753,0)</f>
        <v>1931159</v>
      </c>
      <c r="F738" s="1944">
        <v>4.04</v>
      </c>
      <c r="G738" s="597"/>
      <c r="H738" s="1644">
        <f>ROUND($F738*C738,0)</f>
        <v>7442110</v>
      </c>
      <c r="I738" s="1644">
        <f>ROUND($F738*D738,0)</f>
        <v>7801882</v>
      </c>
      <c r="K738" s="1944">
        <f t="shared" si="458"/>
        <v>3.98</v>
      </c>
      <c r="L738" s="597"/>
      <c r="M738" s="1944">
        <f t="shared" si="459"/>
        <v>0</v>
      </c>
      <c r="N738" s="597"/>
      <c r="O738" s="1944">
        <f t="shared" si="460"/>
        <v>0</v>
      </c>
      <c r="P738" s="597"/>
      <c r="Q738" s="1944">
        <f t="shared" si="461"/>
        <v>3.98</v>
      </c>
      <c r="R738" s="597"/>
      <c r="S738" s="1644">
        <f t="shared" si="462"/>
        <v>7686013</v>
      </c>
      <c r="T738" s="1643"/>
      <c r="U738" s="1644">
        <f t="shared" si="463"/>
        <v>0</v>
      </c>
      <c r="V738" s="1643"/>
      <c r="W738" s="1644">
        <f t="shared" si="464"/>
        <v>0</v>
      </c>
      <c r="X738" s="1645"/>
      <c r="Y738" s="1644">
        <f t="shared" si="465"/>
        <v>7686013</v>
      </c>
      <c r="AI738" s="2023">
        <f>W738-'Blocking-Step2'!W738</f>
        <v>0</v>
      </c>
      <c r="AJ738" s="2054">
        <f>O738-'Blocking-Step2'!O738</f>
        <v>0</v>
      </c>
    </row>
    <row r="739" spans="1:36" hidden="1">
      <c r="A739" s="1900" t="s">
        <v>1645</v>
      </c>
      <c r="C739" s="528">
        <f>'6'!L24+'6-may'!L24</f>
        <v>669369.13498703158</v>
      </c>
      <c r="D739" s="528">
        <f t="shared" ref="D739:D740" si="466">ROUND(C739/$C$753*$D$753,0)</f>
        <v>701728</v>
      </c>
      <c r="F739" s="1944"/>
      <c r="G739" s="597"/>
      <c r="H739" s="1644"/>
      <c r="I739" s="1644"/>
      <c r="K739" s="1944">
        <f t="shared" si="458"/>
        <v>6.22</v>
      </c>
      <c r="L739" s="597"/>
      <c r="M739" s="1944">
        <f t="shared" si="459"/>
        <v>7.0100000000000007</v>
      </c>
      <c r="N739" s="597"/>
      <c r="O739" s="1944">
        <f t="shared" si="460"/>
        <v>0</v>
      </c>
      <c r="P739" s="597"/>
      <c r="Q739" s="1944">
        <f t="shared" si="461"/>
        <v>13.23</v>
      </c>
      <c r="R739" s="597"/>
      <c r="S739" s="1644">
        <f t="shared" si="462"/>
        <v>4364748</v>
      </c>
      <c r="T739" s="1645"/>
      <c r="U739" s="1644">
        <f t="shared" si="463"/>
        <v>4919113</v>
      </c>
      <c r="V739" s="1645"/>
      <c r="W739" s="1644">
        <f t="shared" si="464"/>
        <v>0</v>
      </c>
      <c r="X739" s="1645"/>
      <c r="Y739" s="1644">
        <f t="shared" si="465"/>
        <v>9283861</v>
      </c>
      <c r="AI739" s="2023">
        <f>W739-'Blocking-Step2'!W739</f>
        <v>0</v>
      </c>
      <c r="AJ739" s="2054">
        <f>O739-'Blocking-Step2'!O739</f>
        <v>0</v>
      </c>
    </row>
    <row r="740" spans="1:36" hidden="1">
      <c r="A740" s="1900" t="s">
        <v>1646</v>
      </c>
      <c r="C740" s="528">
        <f>'6'!M24+'6-may'!M24</f>
        <v>1172737.4222823069</v>
      </c>
      <c r="D740" s="528">
        <f t="shared" si="466"/>
        <v>1229431</v>
      </c>
      <c r="F740" s="1944"/>
      <c r="G740" s="597"/>
      <c r="H740" s="1644"/>
      <c r="I740" s="1644"/>
      <c r="K740" s="1944">
        <f t="shared" si="458"/>
        <v>5.5</v>
      </c>
      <c r="L740" s="597"/>
      <c r="M740" s="1944">
        <f t="shared" si="459"/>
        <v>6.2100000000000009</v>
      </c>
      <c r="N740" s="597"/>
      <c r="O740" s="1944">
        <f t="shared" si="460"/>
        <v>0</v>
      </c>
      <c r="P740" s="597"/>
      <c r="Q740" s="1944">
        <f t="shared" si="461"/>
        <v>11.71</v>
      </c>
      <c r="R740" s="597"/>
      <c r="S740" s="1644">
        <f t="shared" si="462"/>
        <v>6761871</v>
      </c>
      <c r="T740" s="1645"/>
      <c r="U740" s="1644">
        <f t="shared" si="463"/>
        <v>7634767</v>
      </c>
      <c r="V740" s="1645"/>
      <c r="W740" s="1644">
        <f t="shared" si="464"/>
        <v>0</v>
      </c>
      <c r="X740" s="1645"/>
      <c r="Y740" s="1644">
        <f t="shared" si="465"/>
        <v>14396637</v>
      </c>
      <c r="AI740" s="2023">
        <f>W740-'Blocking-Step2'!W740</f>
        <v>0</v>
      </c>
      <c r="AJ740" s="2054">
        <f>O740-'Blocking-Step2'!O740</f>
        <v>0</v>
      </c>
    </row>
    <row r="741" spans="1:36" hidden="1">
      <c r="A741" s="1900" t="s">
        <v>1647</v>
      </c>
      <c r="C741" s="528">
        <f>'6'!P24+'6'!U24+'6-may'!P24+'6-may'!U24</f>
        <v>223782145.93719122</v>
      </c>
      <c r="D741" s="528">
        <f>D753-SUM(D742,D748:D752)</f>
        <v>236106536.23923564</v>
      </c>
      <c r="F741" s="1943"/>
      <c r="G741" s="1921"/>
      <c r="H741" s="1644"/>
      <c r="I741" s="1644"/>
      <c r="K741" s="1943">
        <f t="shared" si="458"/>
        <v>0</v>
      </c>
      <c r="L741" s="1921" t="s">
        <v>495</v>
      </c>
      <c r="M741" s="1943">
        <f t="shared" si="459"/>
        <v>1.5747172373309999</v>
      </c>
      <c r="N741" s="1921" t="s">
        <v>495</v>
      </c>
      <c r="O741" s="1943">
        <f t="shared" si="460"/>
        <v>2.305570240802</v>
      </c>
      <c r="P741" s="1921" t="s">
        <v>495</v>
      </c>
      <c r="Q741" s="1943">
        <f t="shared" si="461"/>
        <v>3.8802874781329999</v>
      </c>
      <c r="R741" s="1921" t="s">
        <v>495</v>
      </c>
      <c r="S741" s="1644">
        <f>ROUND($D741*K741/100,0)</f>
        <v>0</v>
      </c>
      <c r="T741" s="1648"/>
      <c r="U741" s="1644">
        <f>ROUND($D741*M741/100,0)</f>
        <v>3718010</v>
      </c>
      <c r="V741" s="1648"/>
      <c r="W741" s="1644">
        <f>ROUND($D741*O741/100,0)</f>
        <v>5443602</v>
      </c>
      <c r="X741" s="1648"/>
      <c r="Y741" s="1644">
        <f>ROUND($D741*Q741/100,0)</f>
        <v>9161612</v>
      </c>
      <c r="AI741" s="2023">
        <f>W741-'Blocking-Step2'!W741</f>
        <v>0</v>
      </c>
      <c r="AJ741" s="2054">
        <f>O741-'Blocking-Step2'!O741</f>
        <v>0</v>
      </c>
    </row>
    <row r="742" spans="1:36" hidden="1">
      <c r="A742" s="1900" t="s">
        <v>1648</v>
      </c>
      <c r="C742" s="528">
        <f>'6'!Q24+'6'!V24+'6-may'!Q24+'6-may'!V24</f>
        <v>380863403.06280875</v>
      </c>
      <c r="D742" s="528">
        <f>ROUND(Energy!T56*(1-(D748+D752)/Energy!P56),0)</f>
        <v>387493960</v>
      </c>
      <c r="F742" s="1943"/>
      <c r="G742" s="1921"/>
      <c r="H742" s="1644"/>
      <c r="I742" s="1644"/>
      <c r="K742" s="1943">
        <f t="shared" si="458"/>
        <v>0</v>
      </c>
      <c r="L742" s="1921" t="s">
        <v>495</v>
      </c>
      <c r="M742" s="1943">
        <f t="shared" si="459"/>
        <v>1.3935347233019999</v>
      </c>
      <c r="N742" s="1921" t="s">
        <v>495</v>
      </c>
      <c r="O742" s="1943">
        <f t="shared" si="460"/>
        <v>2.0403480007099999</v>
      </c>
      <c r="P742" s="1921" t="s">
        <v>495</v>
      </c>
      <c r="Q742" s="1943">
        <f t="shared" si="461"/>
        <v>3.4338827240119998</v>
      </c>
      <c r="R742" s="1921" t="s">
        <v>495</v>
      </c>
      <c r="S742" s="1644">
        <f>ROUND($D742*K742/100,0)</f>
        <v>0</v>
      </c>
      <c r="T742" s="1648"/>
      <c r="U742" s="1644">
        <f>ROUND($D742*M742/100,0)</f>
        <v>5399863</v>
      </c>
      <c r="V742" s="1648"/>
      <c r="W742" s="1644">
        <f>ROUND($D742*O742/100,0)</f>
        <v>7906225</v>
      </c>
      <c r="X742" s="1648"/>
      <c r="Y742" s="1644">
        <f>ROUND($D742*Q742/100,0)</f>
        <v>13306088</v>
      </c>
      <c r="AI742" s="2023">
        <f>W742-'Blocking-Step2'!W742</f>
        <v>0</v>
      </c>
      <c r="AJ742" s="2054">
        <f>O742-'Blocking-Step2'!O742</f>
        <v>0</v>
      </c>
    </row>
    <row r="743" spans="1:36" hidden="1">
      <c r="A743" s="1900" t="s">
        <v>196</v>
      </c>
      <c r="C743" s="528">
        <f>'6'!L24</f>
        <v>821135.09439124481</v>
      </c>
      <c r="D743" s="528">
        <f>ROUND(C743/C753*D753,0)</f>
        <v>860831</v>
      </c>
      <c r="F743" s="1944">
        <v>14.62</v>
      </c>
      <c r="G743" s="597"/>
      <c r="H743" s="1644">
        <f t="shared" si="457"/>
        <v>12004995</v>
      </c>
      <c r="I743" s="1644">
        <f t="shared" si="457"/>
        <v>12585349</v>
      </c>
      <c r="K743" s="1944"/>
      <c r="L743" s="597"/>
      <c r="M743" s="1944"/>
      <c r="N743" s="597"/>
      <c r="O743" s="1944"/>
      <c r="P743" s="597"/>
      <c r="Q743" s="1944"/>
      <c r="R743" s="597"/>
      <c r="S743" s="1644"/>
      <c r="T743" s="1643"/>
      <c r="U743" s="1644"/>
      <c r="V743" s="1643"/>
      <c r="W743" s="1644"/>
      <c r="X743" s="1645"/>
      <c r="Y743" s="1644"/>
      <c r="AI743" s="2023">
        <f>W743-'Blocking-Step2'!W743</f>
        <v>0</v>
      </c>
      <c r="AJ743" s="2054">
        <f>O743-'Blocking-Step2'!O743</f>
        <v>0</v>
      </c>
    </row>
    <row r="744" spans="1:36" hidden="1">
      <c r="A744" s="1900" t="s">
        <v>161</v>
      </c>
      <c r="C744" s="528">
        <f>'6'!M24</f>
        <v>1020971.4628780936</v>
      </c>
      <c r="D744" s="528">
        <f>ROUND(C744/C753*D753,0)</f>
        <v>1070328</v>
      </c>
      <c r="F744" s="1944">
        <v>10.91</v>
      </c>
      <c r="G744" s="597"/>
      <c r="H744" s="1644">
        <f t="shared" si="457"/>
        <v>11138799</v>
      </c>
      <c r="I744" s="1644">
        <f t="shared" si="457"/>
        <v>11677278</v>
      </c>
      <c r="K744" s="1944"/>
      <c r="L744" s="597"/>
      <c r="M744" s="1944"/>
      <c r="N744" s="597"/>
      <c r="O744" s="1944"/>
      <c r="P744" s="597"/>
      <c r="Q744" s="1944"/>
      <c r="R744" s="597"/>
      <c r="S744" s="1644"/>
      <c r="T744" s="1643"/>
      <c r="U744" s="1644"/>
      <c r="V744" s="1643"/>
      <c r="W744" s="1644"/>
      <c r="X744" s="1645"/>
      <c r="Y744" s="1644"/>
      <c r="AI744" s="2023">
        <f>W744-'Blocking-Step2'!W744</f>
        <v>0</v>
      </c>
      <c r="AJ744" s="2054">
        <f>O744-'Blocking-Step2'!O744</f>
        <v>0</v>
      </c>
    </row>
    <row r="745" spans="1:36" hidden="1">
      <c r="A745" s="1900" t="s">
        <v>261</v>
      </c>
      <c r="C745" s="528">
        <f>'6'!N24</f>
        <v>203285.70833333299</v>
      </c>
      <c r="D745" s="528">
        <f>ROUND(C745/C753*D753,0)</f>
        <v>213113</v>
      </c>
      <c r="F745" s="1944">
        <v>-0.96</v>
      </c>
      <c r="G745" s="597"/>
      <c r="H745" s="1644">
        <f t="shared" si="457"/>
        <v>-195154</v>
      </c>
      <c r="I745" s="1644">
        <f t="shared" si="457"/>
        <v>-204588</v>
      </c>
      <c r="K745" s="1944">
        <f>K682</f>
        <v>-0.96</v>
      </c>
      <c r="L745" s="597"/>
      <c r="M745" s="1944">
        <f>M682</f>
        <v>0</v>
      </c>
      <c r="N745" s="597"/>
      <c r="O745" s="1944">
        <f>O682</f>
        <v>0</v>
      </c>
      <c r="P745" s="597"/>
      <c r="Q745" s="1944">
        <f>Q682</f>
        <v>-0.96</v>
      </c>
      <c r="R745" s="597"/>
      <c r="S745" s="1644">
        <f t="shared" ref="S745" si="467">ROUND($D745*K745,0)</f>
        <v>-204588</v>
      </c>
      <c r="T745" s="1643"/>
      <c r="U745" s="1644">
        <f t="shared" ref="U745" si="468">ROUND($D745*M745,0)</f>
        <v>0</v>
      </c>
      <c r="V745" s="1643"/>
      <c r="W745" s="1644">
        <f t="shared" ref="W745" si="469">ROUND($D745*O745,0)</f>
        <v>0</v>
      </c>
      <c r="X745" s="1645"/>
      <c r="Y745" s="1644">
        <f t="shared" ref="Y745" si="470">ROUND($D745*Q745,0)</f>
        <v>-204588</v>
      </c>
      <c r="AI745" s="2023">
        <f>W745-'Blocking-Step2'!W745</f>
        <v>0</v>
      </c>
      <c r="AJ745" s="2054">
        <f>O745-'Blocking-Step2'!O745</f>
        <v>0</v>
      </c>
    </row>
    <row r="746" spans="1:36" hidden="1">
      <c r="A746" s="1900" t="s">
        <v>1362</v>
      </c>
      <c r="C746" s="528">
        <f>'6'!P24+'6'!U24</f>
        <v>271223845</v>
      </c>
      <c r="D746" s="528">
        <f>D753-SUM(D747:D752)</f>
        <v>284165975.23923564</v>
      </c>
      <c r="F746" s="1943">
        <v>3.8127</v>
      </c>
      <c r="G746" s="1921" t="s">
        <v>495</v>
      </c>
      <c r="H746" s="1644">
        <f t="shared" ref="H746:I748" si="471">ROUND($F746*C746/100,0)</f>
        <v>10340952</v>
      </c>
      <c r="I746" s="1644">
        <f t="shared" si="471"/>
        <v>10834396</v>
      </c>
      <c r="K746" s="1943"/>
      <c r="L746" s="1921"/>
      <c r="M746" s="1943"/>
      <c r="N746" s="1921"/>
      <c r="O746" s="1943"/>
      <c r="P746" s="1921"/>
      <c r="Q746" s="1943"/>
      <c r="R746" s="1921"/>
      <c r="S746" s="1644"/>
      <c r="T746" s="1648"/>
      <c r="U746" s="1644"/>
      <c r="V746" s="1648"/>
      <c r="W746" s="1644"/>
      <c r="X746" s="1648"/>
      <c r="Y746" s="1644"/>
      <c r="AI746" s="2023">
        <f>W746-'Blocking-Step2'!W746</f>
        <v>0</v>
      </c>
      <c r="AJ746" s="2054">
        <f>O746-'Blocking-Step2'!O746</f>
        <v>0</v>
      </c>
    </row>
    <row r="747" spans="1:36" hidden="1">
      <c r="A747" s="1900" t="s">
        <v>1363</v>
      </c>
      <c r="C747" s="528">
        <f>'6'!Q24+'6'!V24</f>
        <v>333421704</v>
      </c>
      <c r="D747" s="528">
        <f>ROUND(Energy!R56*(1-(D748+D752)/Energy!P56),0)</f>
        <v>339434521</v>
      </c>
      <c r="F747" s="1943">
        <v>3.5143</v>
      </c>
      <c r="G747" s="1921" t="s">
        <v>495</v>
      </c>
      <c r="H747" s="1644">
        <f t="shared" si="471"/>
        <v>11717439</v>
      </c>
      <c r="I747" s="1644">
        <f t="shared" si="471"/>
        <v>11928747</v>
      </c>
      <c r="K747" s="1943"/>
      <c r="L747" s="1921"/>
      <c r="M747" s="1943"/>
      <c r="N747" s="1921"/>
      <c r="O747" s="1943"/>
      <c r="P747" s="1921"/>
      <c r="Q747" s="1943"/>
      <c r="R747" s="1921"/>
      <c r="S747" s="1644"/>
      <c r="T747" s="1648"/>
      <c r="U747" s="1644"/>
      <c r="V747" s="1648"/>
      <c r="W747" s="1644"/>
      <c r="X747" s="1648"/>
      <c r="Y747" s="1644"/>
      <c r="AI747" s="2023">
        <f>W747-'Blocking-Step2'!W747</f>
        <v>0</v>
      </c>
      <c r="AJ747" s="2054">
        <f>O747-'Blocking-Step2'!O747</f>
        <v>0</v>
      </c>
    </row>
    <row r="748" spans="1:36" hidden="1">
      <c r="A748" s="1116" t="s">
        <v>1158</v>
      </c>
      <c r="C748" s="528">
        <f>'6'!S24</f>
        <v>8000</v>
      </c>
      <c r="D748" s="528">
        <f>ROUND(C748/(C753-C749)*D753,0)</f>
        <v>8251</v>
      </c>
      <c r="F748" s="1943">
        <v>7.125</v>
      </c>
      <c r="G748" s="1921" t="s">
        <v>495</v>
      </c>
      <c r="H748" s="1644">
        <f t="shared" si="471"/>
        <v>570</v>
      </c>
      <c r="I748" s="1644">
        <f t="shared" si="471"/>
        <v>588</v>
      </c>
      <c r="K748" s="1943">
        <f>K685</f>
        <v>0</v>
      </c>
      <c r="L748" s="1921" t="s">
        <v>495</v>
      </c>
      <c r="M748" s="1943">
        <f>M685</f>
        <v>7.125</v>
      </c>
      <c r="N748" s="1921" t="s">
        <v>495</v>
      </c>
      <c r="O748" s="1943">
        <f>O685</f>
        <v>0</v>
      </c>
      <c r="P748" s="1921" t="s">
        <v>495</v>
      </c>
      <c r="Q748" s="1943">
        <f>Q685</f>
        <v>7.125</v>
      </c>
      <c r="R748" s="1921" t="s">
        <v>495</v>
      </c>
      <c r="S748" s="1644">
        <f>ROUND($D748*K748/100,0)</f>
        <v>0</v>
      </c>
      <c r="T748" s="1648"/>
      <c r="U748" s="1644">
        <f>ROUND($D748*M748/100,0)</f>
        <v>588</v>
      </c>
      <c r="V748" s="1648"/>
      <c r="W748" s="1644">
        <f>ROUND($D748*O748/100,0)</f>
        <v>0</v>
      </c>
      <c r="X748" s="1648"/>
      <c r="Y748" s="1644">
        <f>ROUND($D748*Q748/100,0)</f>
        <v>588</v>
      </c>
      <c r="AI748" s="2023">
        <f>W748-'Blocking-Step2'!W748</f>
        <v>0</v>
      </c>
      <c r="AJ748" s="2054">
        <f>O748-'Blocking-Step2'!O748</f>
        <v>0</v>
      </c>
    </row>
    <row r="749" spans="1:36" hidden="1">
      <c r="A749" s="1900" t="s">
        <v>246</v>
      </c>
      <c r="C749" s="529">
        <f>'Table 2'!J83</f>
        <v>-9801655</v>
      </c>
      <c r="D749" s="529">
        <v>0</v>
      </c>
      <c r="H749" s="1030">
        <f>'Table 3'!F83</f>
        <v>-781385.35258647613</v>
      </c>
      <c r="I749" s="1030">
        <v>0</v>
      </c>
      <c r="Y749" s="1030">
        <v>0</v>
      </c>
      <c r="AI749" s="2023">
        <f>W749-'Blocking-Step2'!W749</f>
        <v>0</v>
      </c>
      <c r="AJ749" s="2054">
        <f>O749-'Blocking-Step2'!O749</f>
        <v>0</v>
      </c>
    </row>
    <row r="750" spans="1:36" hidden="1">
      <c r="A750" s="1900" t="s">
        <v>1240</v>
      </c>
      <c r="C750" s="584"/>
      <c r="D750" s="584"/>
      <c r="F750" s="1930">
        <v>-3.61E-2</v>
      </c>
      <c r="G750" s="597"/>
      <c r="H750" s="1644">
        <f>SUM(H743:H744,H746:H748)*$F750</f>
        <v>-1631819.4554999999</v>
      </c>
      <c r="I750" s="1644">
        <f>SUM(I743:I744,I746:I748)*$F750</f>
        <v>-1697651.5238000001</v>
      </c>
      <c r="K750" s="1930"/>
      <c r="L750" s="597"/>
      <c r="M750" s="1930"/>
      <c r="N750" s="597"/>
      <c r="O750" s="1931" t="str">
        <f>$O$43</f>
        <v>Tax Year 1 (1/1/2021)</v>
      </c>
      <c r="P750" s="597"/>
      <c r="Q750" s="1930">
        <f>$Q$687</f>
        <v>-1.52E-2</v>
      </c>
      <c r="R750" s="597"/>
      <c r="S750" s="1645"/>
      <c r="T750" s="1645"/>
      <c r="U750" s="1645"/>
      <c r="V750" s="1645"/>
      <c r="W750" s="1645"/>
      <c r="X750" s="1645"/>
      <c r="Y750" s="1644">
        <f>Q750*SUM(Y739:Y742,Y748)</f>
        <v>-701461.54720000003</v>
      </c>
      <c r="AI750" s="2023">
        <f>W750-'Blocking-Step2'!W750</f>
        <v>0</v>
      </c>
      <c r="AJ750" s="2054">
        <f>O750-'Blocking-Step2'!O750</f>
        <v>0</v>
      </c>
    </row>
    <row r="751" spans="1:36" hidden="1">
      <c r="A751" s="1900"/>
      <c r="C751" s="584"/>
      <c r="D751" s="584"/>
      <c r="F751" s="1930"/>
      <c r="G751" s="597"/>
      <c r="H751" s="1644"/>
      <c r="I751" s="1644"/>
      <c r="K751" s="1930"/>
      <c r="L751" s="597"/>
      <c r="M751" s="1930"/>
      <c r="N751" s="597"/>
      <c r="O751" s="1931">
        <f>$O$44</f>
        <v>0</v>
      </c>
      <c r="P751" s="597"/>
      <c r="Q751" s="1930">
        <f>$Q$688</f>
        <v>0</v>
      </c>
      <c r="R751" s="597"/>
      <c r="S751" s="1645"/>
      <c r="T751" s="1645"/>
      <c r="U751" s="1645"/>
      <c r="V751" s="1645"/>
      <c r="W751" s="1645"/>
      <c r="X751" s="1645"/>
      <c r="Y751" s="1644">
        <f>Q751*SUM(Y739:Y742,Y748)</f>
        <v>0</v>
      </c>
      <c r="AI751" s="2023">
        <f>W751-'Blocking-Step2'!W751</f>
        <v>0</v>
      </c>
      <c r="AJ751" s="2054">
        <f>O751-'Blocking-Step2'!O751</f>
        <v>0</v>
      </c>
    </row>
    <row r="752" spans="1:36" hidden="1">
      <c r="A752" s="1116" t="s">
        <v>1317</v>
      </c>
      <c r="C752" s="584">
        <f>'6'!AD24</f>
        <v>0</v>
      </c>
      <c r="D752" s="528">
        <f>ROUND(C752/(C753-C749)*D753,0)</f>
        <v>0</v>
      </c>
      <c r="F752" s="1930"/>
      <c r="G752" s="597"/>
      <c r="H752" s="1644"/>
      <c r="I752" s="1644"/>
      <c r="K752" s="1930"/>
      <c r="L752" s="597"/>
      <c r="M752" s="1930"/>
      <c r="N752" s="597"/>
      <c r="O752" s="1930"/>
      <c r="P752" s="597"/>
      <c r="Q752" s="1930"/>
      <c r="R752" s="597"/>
      <c r="S752" s="1645"/>
      <c r="T752" s="1645"/>
      <c r="U752" s="1645"/>
      <c r="V752" s="1645"/>
      <c r="W752" s="1645"/>
      <c r="X752" s="1645"/>
      <c r="Y752" s="1644"/>
      <c r="AI752" s="2023">
        <f>W752-'Blocking-Step2'!W752</f>
        <v>0</v>
      </c>
      <c r="AJ752" s="2054">
        <f>O752-'Blocking-Step2'!O752</f>
        <v>0</v>
      </c>
    </row>
    <row r="753" spans="1:36" ht="16.5" hidden="1" thickBot="1">
      <c r="A753" s="1900" t="s">
        <v>247</v>
      </c>
      <c r="C753" s="1949">
        <f>SUM(C746:C748,C749,C752)</f>
        <v>594851894</v>
      </c>
      <c r="D753" s="1949">
        <f>Energy!P56</f>
        <v>623608747.23923564</v>
      </c>
      <c r="F753" s="1939"/>
      <c r="H753" s="1647">
        <f>SUM(H735:H750)</f>
        <v>50672009.191913523</v>
      </c>
      <c r="I753" s="1647">
        <f>SUM(I735:I750)</f>
        <v>53566872.476199999</v>
      </c>
      <c r="K753" s="1939"/>
      <c r="M753" s="1939"/>
      <c r="O753" s="1939"/>
      <c r="Q753" s="1939"/>
      <c r="S753" s="1647">
        <f>SUM(S735:S749)</f>
        <v>19237048</v>
      </c>
      <c r="U753" s="1647">
        <f>SUM(U735:U749)</f>
        <v>21672341</v>
      </c>
      <c r="W753" s="1647">
        <f>SUM(W735:W749)</f>
        <v>13349827</v>
      </c>
      <c r="Y753" s="1647">
        <f>SUM(Y735:Y749)</f>
        <v>54259215</v>
      </c>
      <c r="AA753" s="1104" t="s">
        <v>1743</v>
      </c>
      <c r="AB753" s="1890">
        <f>Y753/I753-1</f>
        <v>1.2924826330072081E-2</v>
      </c>
      <c r="AI753" s="2023">
        <f>W753-'Blocking-Step2'!W753</f>
        <v>0</v>
      </c>
      <c r="AJ753" s="2054">
        <f>O753-'Blocking-Step2'!O753</f>
        <v>0</v>
      </c>
    </row>
    <row r="754" spans="1:36" ht="16.5" thickTop="1">
      <c r="C754" s="528"/>
      <c r="D754" s="528"/>
      <c r="AI754" s="2023">
        <f>W754-'Blocking-Step2'!W754</f>
        <v>0</v>
      </c>
      <c r="AJ754" s="2054">
        <f>O754-'Blocking-Step2'!O754</f>
        <v>0</v>
      </c>
    </row>
    <row r="755" spans="1:36">
      <c r="A755" s="1897" t="s">
        <v>979</v>
      </c>
      <c r="C755" s="528"/>
      <c r="D755" s="528"/>
      <c r="AI755" s="2023">
        <f>W755-'Blocking-Step2'!W755</f>
        <v>0</v>
      </c>
      <c r="AJ755" s="2054">
        <f>O755-'Blocking-Step2'!O755</f>
        <v>0</v>
      </c>
    </row>
    <row r="756" spans="1:36">
      <c r="A756" s="1900" t="s">
        <v>240</v>
      </c>
      <c r="C756" s="528">
        <f t="shared" ref="C756:D769" si="472">C775+C794+C813</f>
        <v>3423.7666666666673</v>
      </c>
      <c r="D756" s="528">
        <f t="shared" si="472"/>
        <v>4434</v>
      </c>
      <c r="F756" s="1901">
        <v>54</v>
      </c>
      <c r="G756" s="1902"/>
      <c r="H756" s="1644">
        <f t="shared" ref="H756:I766" si="473">ROUND($F756*C756,0)</f>
        <v>184883</v>
      </c>
      <c r="I756" s="1644">
        <f t="shared" si="473"/>
        <v>239436</v>
      </c>
      <c r="K756" s="1901">
        <f t="shared" ref="K756:K763" si="474">K672</f>
        <v>53</v>
      </c>
      <c r="L756" s="1902"/>
      <c r="M756" s="1901">
        <f t="shared" ref="M756:M763" si="475">M672</f>
        <v>0</v>
      </c>
      <c r="N756" s="1902"/>
      <c r="O756" s="1901">
        <f t="shared" ref="O756:O763" si="476">O672</f>
        <v>0</v>
      </c>
      <c r="P756" s="1902"/>
      <c r="Q756" s="1901">
        <f t="shared" ref="Q756:Q763" si="477">Q672</f>
        <v>53</v>
      </c>
      <c r="R756" s="1902"/>
      <c r="S756" s="1644">
        <f>ROUND($D756*K756,0)</f>
        <v>235002</v>
      </c>
      <c r="T756" s="1645"/>
      <c r="U756" s="1644">
        <f>ROUND($D756*M756,0)</f>
        <v>0</v>
      </c>
      <c r="V756" s="1645"/>
      <c r="W756" s="1644">
        <f>ROUND($D756*O756,0)</f>
        <v>0</v>
      </c>
      <c r="X756" s="1643"/>
      <c r="Y756" s="1644">
        <f>ROUND($D756*Q756,0)</f>
        <v>235002</v>
      </c>
      <c r="AI756" s="2023">
        <f>W756-'Blocking-Step2'!W756</f>
        <v>0</v>
      </c>
      <c r="AJ756" s="2054">
        <f>O756-'Blocking-Step2'!O756</f>
        <v>0</v>
      </c>
    </row>
    <row r="757" spans="1:36">
      <c r="A757" s="1900" t="s">
        <v>262</v>
      </c>
      <c r="C757" s="528">
        <f t="shared" si="472"/>
        <v>0</v>
      </c>
      <c r="D757" s="528">
        <f t="shared" si="472"/>
        <v>0</v>
      </c>
      <c r="F757" s="1901">
        <v>648</v>
      </c>
      <c r="G757" s="1902"/>
      <c r="H757" s="1644">
        <f t="shared" si="473"/>
        <v>0</v>
      </c>
      <c r="I757" s="1644">
        <f t="shared" si="473"/>
        <v>0</v>
      </c>
      <c r="K757" s="1901">
        <f t="shared" si="474"/>
        <v>636</v>
      </c>
      <c r="L757" s="1902"/>
      <c r="M757" s="1901">
        <f t="shared" si="475"/>
        <v>0</v>
      </c>
      <c r="N757" s="1902"/>
      <c r="O757" s="1901">
        <f t="shared" si="476"/>
        <v>0</v>
      </c>
      <c r="P757" s="1902"/>
      <c r="Q757" s="1901">
        <f t="shared" si="477"/>
        <v>636</v>
      </c>
      <c r="R757" s="1902"/>
      <c r="S757" s="1644">
        <f t="shared" ref="S757:S761" si="478">ROUND($D757*K757,0)</f>
        <v>0</v>
      </c>
      <c r="T757" s="1645"/>
      <c r="U757" s="1644">
        <f t="shared" ref="U757:Y761" si="479">ROUND($D757*M757,0)</f>
        <v>0</v>
      </c>
      <c r="V757" s="1645"/>
      <c r="W757" s="1644">
        <f t="shared" si="479"/>
        <v>0</v>
      </c>
      <c r="X757" s="1643"/>
      <c r="Y757" s="1644">
        <f t="shared" si="479"/>
        <v>0</v>
      </c>
      <c r="AI757" s="2023">
        <f>W757-'Blocking-Step2'!W757</f>
        <v>0</v>
      </c>
      <c r="AJ757" s="2054">
        <f>O757-'Blocking-Step2'!O757</f>
        <v>0</v>
      </c>
    </row>
    <row r="758" spans="1:36">
      <c r="A758" s="1900" t="s">
        <v>1298</v>
      </c>
      <c r="C758" s="528">
        <f t="shared" si="472"/>
        <v>0</v>
      </c>
      <c r="D758" s="528">
        <f t="shared" si="472"/>
        <v>0</v>
      </c>
      <c r="F758" s="1944">
        <v>54</v>
      </c>
      <c r="G758" s="597"/>
      <c r="H758" s="1644">
        <f t="shared" si="473"/>
        <v>0</v>
      </c>
      <c r="I758" s="1644">
        <f t="shared" si="473"/>
        <v>0</v>
      </c>
      <c r="K758" s="1944">
        <f t="shared" si="474"/>
        <v>53</v>
      </c>
      <c r="L758" s="597"/>
      <c r="M758" s="1944">
        <f t="shared" si="475"/>
        <v>0</v>
      </c>
      <c r="N758" s="597"/>
      <c r="O758" s="1944">
        <f t="shared" si="476"/>
        <v>0</v>
      </c>
      <c r="P758" s="597"/>
      <c r="Q758" s="1944">
        <f t="shared" si="477"/>
        <v>53</v>
      </c>
      <c r="R758" s="597"/>
      <c r="S758" s="1644">
        <f t="shared" si="478"/>
        <v>0</v>
      </c>
      <c r="T758" s="1645"/>
      <c r="U758" s="1644">
        <f t="shared" si="479"/>
        <v>0</v>
      </c>
      <c r="V758" s="1645"/>
      <c r="W758" s="1644">
        <f t="shared" si="479"/>
        <v>0</v>
      </c>
      <c r="X758" s="1645"/>
      <c r="Y758" s="1644">
        <f t="shared" si="479"/>
        <v>0</v>
      </c>
      <c r="AI758" s="2023">
        <f>W758-'Blocking-Step2'!W758</f>
        <v>0</v>
      </c>
      <c r="AJ758" s="2054">
        <f>O758-'Blocking-Step2'!O758</f>
        <v>0</v>
      </c>
    </row>
    <row r="759" spans="1:36">
      <c r="A759" s="1900" t="s">
        <v>168</v>
      </c>
      <c r="C759" s="528">
        <f t="shared" si="472"/>
        <v>383745.23267326731</v>
      </c>
      <c r="D759" s="528">
        <f t="shared" si="472"/>
        <v>505379</v>
      </c>
      <c r="F759" s="1901">
        <v>4.04</v>
      </c>
      <c r="G759" s="1902"/>
      <c r="H759" s="1644">
        <f>ROUND($F759*C759,0)</f>
        <v>1550331</v>
      </c>
      <c r="I759" s="1644">
        <f>ROUND($F759*D759,0)</f>
        <v>2041731</v>
      </c>
      <c r="K759" s="1901">
        <f t="shared" si="474"/>
        <v>3.98</v>
      </c>
      <c r="L759" s="1902"/>
      <c r="M759" s="1901">
        <f t="shared" si="475"/>
        <v>0</v>
      </c>
      <c r="N759" s="1902"/>
      <c r="O759" s="1901">
        <f t="shared" si="476"/>
        <v>0</v>
      </c>
      <c r="P759" s="1902"/>
      <c r="Q759" s="1901">
        <f t="shared" si="477"/>
        <v>3.98</v>
      </c>
      <c r="R759" s="1902"/>
      <c r="S759" s="1644">
        <f t="shared" si="478"/>
        <v>2011408</v>
      </c>
      <c r="T759" s="1645"/>
      <c r="U759" s="1644">
        <f t="shared" si="479"/>
        <v>0</v>
      </c>
      <c r="V759" s="1645"/>
      <c r="W759" s="1644">
        <f t="shared" si="479"/>
        <v>0</v>
      </c>
      <c r="X759" s="1643"/>
      <c r="Y759" s="1644">
        <f t="shared" si="479"/>
        <v>2011408</v>
      </c>
      <c r="AI759" s="2023">
        <f>W759-'Blocking-Step2'!W759</f>
        <v>0</v>
      </c>
      <c r="AJ759" s="2054">
        <f>O759-'Blocking-Step2'!O759</f>
        <v>0</v>
      </c>
    </row>
    <row r="760" spans="1:36">
      <c r="A760" s="1900" t="s">
        <v>1645</v>
      </c>
      <c r="C760" s="528">
        <f t="shared" si="472"/>
        <v>157278.49761986933</v>
      </c>
      <c r="D760" s="528">
        <f t="shared" si="472"/>
        <v>206980</v>
      </c>
      <c r="F760" s="1944"/>
      <c r="G760" s="597"/>
      <c r="H760" s="1644"/>
      <c r="I760" s="1644"/>
      <c r="K760" s="1944">
        <f t="shared" si="474"/>
        <v>6.22</v>
      </c>
      <c r="L760" s="597"/>
      <c r="M760" s="1944">
        <f t="shared" si="475"/>
        <v>7.0100000000000007</v>
      </c>
      <c r="N760" s="597"/>
      <c r="O760" s="1944">
        <f t="shared" si="476"/>
        <v>0</v>
      </c>
      <c r="P760" s="597"/>
      <c r="Q760" s="1944">
        <f t="shared" si="477"/>
        <v>13.23</v>
      </c>
      <c r="R760" s="597"/>
      <c r="S760" s="1644">
        <f t="shared" si="478"/>
        <v>1287416</v>
      </c>
      <c r="T760" s="1644"/>
      <c r="U760" s="1644">
        <f t="shared" si="479"/>
        <v>1450930</v>
      </c>
      <c r="V760" s="1644"/>
      <c r="W760" s="1644">
        <f t="shared" si="479"/>
        <v>0</v>
      </c>
      <c r="X760" s="1645"/>
      <c r="Y760" s="1644">
        <f t="shared" si="479"/>
        <v>2738345</v>
      </c>
      <c r="AI760" s="2023">
        <f>W760-'Blocking-Step2'!W760</f>
        <v>0</v>
      </c>
      <c r="AJ760" s="2054">
        <f>O760-'Blocking-Step2'!O760</f>
        <v>0</v>
      </c>
    </row>
    <row r="761" spans="1:36">
      <c r="A761" s="1900" t="s">
        <v>1646</v>
      </c>
      <c r="C761" s="528">
        <f t="shared" si="472"/>
        <v>226466.75962037957</v>
      </c>
      <c r="D761" s="528">
        <f t="shared" si="472"/>
        <v>298398</v>
      </c>
      <c r="F761" s="1944"/>
      <c r="G761" s="597"/>
      <c r="H761" s="1644"/>
      <c r="I761" s="1644"/>
      <c r="K761" s="1944">
        <f t="shared" si="474"/>
        <v>5.5</v>
      </c>
      <c r="L761" s="597"/>
      <c r="M761" s="1944">
        <f t="shared" si="475"/>
        <v>6.2100000000000009</v>
      </c>
      <c r="N761" s="597"/>
      <c r="O761" s="1944">
        <f t="shared" si="476"/>
        <v>0</v>
      </c>
      <c r="P761" s="597"/>
      <c r="Q761" s="1944">
        <f t="shared" si="477"/>
        <v>11.71</v>
      </c>
      <c r="R761" s="597"/>
      <c r="S761" s="1644">
        <f t="shared" si="478"/>
        <v>1641189</v>
      </c>
      <c r="T761" s="1644"/>
      <c r="U761" s="1644">
        <f t="shared" si="479"/>
        <v>1853052</v>
      </c>
      <c r="V761" s="1644"/>
      <c r="W761" s="1644">
        <f t="shared" si="479"/>
        <v>0</v>
      </c>
      <c r="X761" s="1645"/>
      <c r="Y761" s="1644">
        <f t="shared" si="479"/>
        <v>3494241</v>
      </c>
      <c r="AI761" s="2023">
        <f>W761-'Blocking-Step2'!W761</f>
        <v>0</v>
      </c>
      <c r="AJ761" s="2054">
        <f>O761-'Blocking-Step2'!O761</f>
        <v>0</v>
      </c>
    </row>
    <row r="762" spans="1:36">
      <c r="A762" s="1900" t="s">
        <v>1647</v>
      </c>
      <c r="C762" s="528">
        <f t="shared" si="472"/>
        <v>50086245.627021879</v>
      </c>
      <c r="D762" s="528">
        <f t="shared" si="472"/>
        <v>60590665.781530641</v>
      </c>
      <c r="F762" s="1943"/>
      <c r="G762" s="1921"/>
      <c r="H762" s="1644"/>
      <c r="I762" s="1644"/>
      <c r="K762" s="1943">
        <f t="shared" si="474"/>
        <v>0</v>
      </c>
      <c r="L762" s="1921" t="s">
        <v>495</v>
      </c>
      <c r="M762" s="1943">
        <f t="shared" si="475"/>
        <v>1.5747172373309999</v>
      </c>
      <c r="N762" s="1921" t="s">
        <v>495</v>
      </c>
      <c r="O762" s="1943">
        <f t="shared" si="476"/>
        <v>2.305570240802</v>
      </c>
      <c r="P762" s="1921" t="s">
        <v>495</v>
      </c>
      <c r="Q762" s="1943">
        <f t="shared" si="477"/>
        <v>3.8802874781329999</v>
      </c>
      <c r="R762" s="1921" t="s">
        <v>495</v>
      </c>
      <c r="S762" s="1644">
        <f>ROUND($D762*K762/100,0)</f>
        <v>0</v>
      </c>
      <c r="T762" s="1644"/>
      <c r="U762" s="1644">
        <f>ROUND($D762*M762/100,0)</f>
        <v>954132</v>
      </c>
      <c r="V762" s="1644"/>
      <c r="W762" s="1644">
        <f>ROUND($D762*O762/100,0)</f>
        <v>1396960</v>
      </c>
      <c r="X762" s="1648"/>
      <c r="Y762" s="1644">
        <f>ROUND($D762*Q762/100,0)</f>
        <v>2351092</v>
      </c>
      <c r="AI762" s="2023">
        <f>W762-'Blocking-Step2'!W762</f>
        <v>0</v>
      </c>
      <c r="AJ762" s="2054">
        <f>O762-'Blocking-Step2'!O762</f>
        <v>0</v>
      </c>
    </row>
    <row r="763" spans="1:36">
      <c r="A763" s="1900" t="s">
        <v>1648</v>
      </c>
      <c r="C763" s="528">
        <f t="shared" si="472"/>
        <v>79149936.007644281</v>
      </c>
      <c r="D763" s="528">
        <f t="shared" si="472"/>
        <v>109661557.70953687</v>
      </c>
      <c r="F763" s="1943"/>
      <c r="G763" s="1921"/>
      <c r="H763" s="1644"/>
      <c r="I763" s="1644"/>
      <c r="K763" s="1943">
        <f t="shared" si="474"/>
        <v>0</v>
      </c>
      <c r="L763" s="1921" t="s">
        <v>495</v>
      </c>
      <c r="M763" s="1943">
        <f t="shared" si="475"/>
        <v>1.3935347233019999</v>
      </c>
      <c r="N763" s="1921" t="s">
        <v>495</v>
      </c>
      <c r="O763" s="1943">
        <f t="shared" si="476"/>
        <v>2.0403480007099999</v>
      </c>
      <c r="P763" s="1921" t="s">
        <v>495</v>
      </c>
      <c r="Q763" s="1943">
        <f t="shared" si="477"/>
        <v>3.4338827240119998</v>
      </c>
      <c r="R763" s="1921" t="s">
        <v>495</v>
      </c>
      <c r="S763" s="1644">
        <f>ROUND($D763*K763/100,0)</f>
        <v>0</v>
      </c>
      <c r="T763" s="1644"/>
      <c r="U763" s="1644">
        <f>ROUND($D763*M763/100,0)</f>
        <v>1528172</v>
      </c>
      <c r="V763" s="1644"/>
      <c r="W763" s="1644">
        <f>ROUND($D763*O763/100,0)</f>
        <v>2237477</v>
      </c>
      <c r="X763" s="1648"/>
      <c r="Y763" s="1644">
        <f>ROUND($D763*Q763/100,0)</f>
        <v>3765649</v>
      </c>
      <c r="AI763" s="2023">
        <f>W763-'Blocking-Step2'!W763</f>
        <v>0</v>
      </c>
      <c r="AJ763" s="2054">
        <f>O763-'Blocking-Step2'!O763</f>
        <v>0</v>
      </c>
    </row>
    <row r="764" spans="1:36">
      <c r="A764" s="1900" t="s">
        <v>196</v>
      </c>
      <c r="C764" s="528">
        <f t="shared" si="472"/>
        <v>172978.83652530829</v>
      </c>
      <c r="D764" s="528">
        <f t="shared" si="472"/>
        <v>228131</v>
      </c>
      <c r="F764" s="1901">
        <v>14.62</v>
      </c>
      <c r="G764" s="1902"/>
      <c r="H764" s="1644">
        <f t="shared" si="473"/>
        <v>2528951</v>
      </c>
      <c r="I764" s="1644">
        <f t="shared" si="473"/>
        <v>3335275</v>
      </c>
      <c r="K764" s="1901"/>
      <c r="L764" s="1902"/>
      <c r="M764" s="1901"/>
      <c r="N764" s="1902"/>
      <c r="O764" s="1901"/>
      <c r="P764" s="1902"/>
      <c r="Q764" s="1901"/>
      <c r="R764" s="1902"/>
      <c r="S764" s="1644"/>
      <c r="T764" s="1645"/>
      <c r="U764" s="1644"/>
      <c r="V764" s="1645"/>
      <c r="W764" s="1644"/>
      <c r="X764" s="1643"/>
      <c r="Y764" s="1644"/>
      <c r="AI764" s="2023">
        <f>W764-'Blocking-Step2'!W764</f>
        <v>0</v>
      </c>
      <c r="AJ764" s="2054">
        <f>O764-'Blocking-Step2'!O764</f>
        <v>0</v>
      </c>
    </row>
    <row r="765" spans="1:36">
      <c r="A765" s="1900" t="s">
        <v>161</v>
      </c>
      <c r="C765" s="528">
        <f t="shared" si="472"/>
        <v>210766.42071494064</v>
      </c>
      <c r="D765" s="528">
        <f t="shared" si="472"/>
        <v>277248</v>
      </c>
      <c r="F765" s="1901">
        <v>10.91</v>
      </c>
      <c r="G765" s="1902"/>
      <c r="H765" s="1644">
        <f t="shared" si="473"/>
        <v>2299462</v>
      </c>
      <c r="I765" s="1644">
        <f t="shared" si="473"/>
        <v>3024776</v>
      </c>
      <c r="K765" s="1901"/>
      <c r="L765" s="1902"/>
      <c r="M765" s="1901"/>
      <c r="N765" s="1902"/>
      <c r="O765" s="1901"/>
      <c r="P765" s="1902"/>
      <c r="Q765" s="1901"/>
      <c r="R765" s="1902"/>
      <c r="S765" s="1644"/>
      <c r="T765" s="1645"/>
      <c r="U765" s="1644"/>
      <c r="V765" s="1645"/>
      <c r="W765" s="1644"/>
      <c r="X765" s="1643"/>
      <c r="Y765" s="1644"/>
      <c r="AI765" s="2023">
        <f>W765-'Blocking-Step2'!W765</f>
        <v>0</v>
      </c>
      <c r="AJ765" s="2054">
        <f>O765-'Blocking-Step2'!O765</f>
        <v>0</v>
      </c>
    </row>
    <row r="766" spans="1:36">
      <c r="A766" s="1900" t="s">
        <v>261</v>
      </c>
      <c r="C766" s="528">
        <f t="shared" si="472"/>
        <v>15842</v>
      </c>
      <c r="D766" s="528">
        <f t="shared" si="472"/>
        <v>26614</v>
      </c>
      <c r="F766" s="1901">
        <v>-0.96</v>
      </c>
      <c r="G766" s="1902"/>
      <c r="H766" s="1644">
        <f t="shared" si="473"/>
        <v>-15208</v>
      </c>
      <c r="I766" s="1644">
        <f t="shared" si="473"/>
        <v>-25549</v>
      </c>
      <c r="K766" s="1901">
        <f>K682</f>
        <v>-0.96</v>
      </c>
      <c r="L766" s="1902"/>
      <c r="M766" s="1901">
        <f>M682</f>
        <v>0</v>
      </c>
      <c r="N766" s="1902"/>
      <c r="O766" s="1901">
        <f>O682</f>
        <v>0</v>
      </c>
      <c r="P766" s="1902"/>
      <c r="Q766" s="1901">
        <f>Q682</f>
        <v>-0.96</v>
      </c>
      <c r="R766" s="1902"/>
      <c r="S766" s="1644">
        <f t="shared" ref="S766" si="480">ROUND($D766*K766,0)</f>
        <v>-25549</v>
      </c>
      <c r="T766" s="1644"/>
      <c r="U766" s="1644">
        <f t="shared" ref="U766:Y766" si="481">ROUND($D766*M766,0)</f>
        <v>0</v>
      </c>
      <c r="V766" s="1644"/>
      <c r="W766" s="1644">
        <f t="shared" si="481"/>
        <v>0</v>
      </c>
      <c r="X766" s="1643"/>
      <c r="Y766" s="1644">
        <f t="shared" si="481"/>
        <v>-25549</v>
      </c>
      <c r="AI766" s="2023">
        <f>W766-'Blocking-Step2'!W766</f>
        <v>0</v>
      </c>
      <c r="AJ766" s="2054">
        <f>O766-'Blocking-Step2'!O766</f>
        <v>0</v>
      </c>
    </row>
    <row r="767" spans="1:36">
      <c r="A767" s="1900" t="s">
        <v>1362</v>
      </c>
      <c r="C767" s="528">
        <f t="shared" si="472"/>
        <v>54977993.984188855</v>
      </c>
      <c r="D767" s="528">
        <f t="shared" si="472"/>
        <v>72856846.09838742</v>
      </c>
      <c r="F767" s="1943">
        <v>3.8127</v>
      </c>
      <c r="G767" s="1921" t="s">
        <v>495</v>
      </c>
      <c r="H767" s="1644">
        <f>ROUND($F767*C767/100,0)</f>
        <v>2096146</v>
      </c>
      <c r="I767" s="1644">
        <f>ROUND($F767*D767/100,0)</f>
        <v>2777813</v>
      </c>
      <c r="K767" s="1943"/>
      <c r="L767" s="1921"/>
      <c r="M767" s="1943"/>
      <c r="N767" s="1921"/>
      <c r="O767" s="1943"/>
      <c r="P767" s="1921"/>
      <c r="Q767" s="1943"/>
      <c r="R767" s="1921"/>
      <c r="S767" s="1648"/>
      <c r="T767" s="1648"/>
      <c r="U767" s="1648"/>
      <c r="V767" s="1648"/>
      <c r="W767" s="1648"/>
      <c r="X767" s="1648"/>
      <c r="Y767" s="1644"/>
      <c r="AI767" s="2023">
        <f>W767-'Blocking-Step2'!W767</f>
        <v>0</v>
      </c>
      <c r="AJ767" s="2054">
        <f>O767-'Blocking-Step2'!O767</f>
        <v>0</v>
      </c>
    </row>
    <row r="768" spans="1:36">
      <c r="A768" s="1900" t="s">
        <v>1363</v>
      </c>
      <c r="C768" s="528">
        <f t="shared" si="472"/>
        <v>74258187.650477305</v>
      </c>
      <c r="D768" s="528">
        <f t="shared" si="472"/>
        <v>97395377.392680094</v>
      </c>
      <c r="F768" s="1943">
        <v>3.5143</v>
      </c>
      <c r="G768" s="1921" t="s">
        <v>495</v>
      </c>
      <c r="H768" s="1644">
        <f>ROUND($F768*C768/100,0)</f>
        <v>2609655</v>
      </c>
      <c r="I768" s="1644">
        <f>ROUND($F768*D768/100,0)</f>
        <v>3422766</v>
      </c>
      <c r="K768" s="1943"/>
      <c r="L768" s="1921"/>
      <c r="M768" s="1943"/>
      <c r="N768" s="1921"/>
      <c r="O768" s="1943"/>
      <c r="P768" s="1921"/>
      <c r="Q768" s="1943"/>
      <c r="R768" s="1921"/>
      <c r="S768" s="1648"/>
      <c r="T768" s="1648"/>
      <c r="U768" s="1648"/>
      <c r="V768" s="1648"/>
      <c r="W768" s="1648"/>
      <c r="X768" s="1648"/>
      <c r="Y768" s="1644"/>
      <c r="AI768" s="2023">
        <f>W768-'Blocking-Step2'!W768</f>
        <v>0</v>
      </c>
      <c r="AJ768" s="2054">
        <f>O768-'Blocking-Step2'!O768</f>
        <v>0</v>
      </c>
    </row>
    <row r="769" spans="1:36">
      <c r="A769" s="1900" t="s">
        <v>246</v>
      </c>
      <c r="C769" s="529">
        <f t="shared" si="472"/>
        <v>638530</v>
      </c>
      <c r="D769" s="529">
        <f t="shared" si="472"/>
        <v>0</v>
      </c>
      <c r="H769" s="1030">
        <f>H788+H807+H826</f>
        <v>60083</v>
      </c>
      <c r="I769" s="1030">
        <f>I788+I807+I826</f>
        <v>0</v>
      </c>
      <c r="Y769" s="1030">
        <f>Y788+Y807+Y826</f>
        <v>0</v>
      </c>
      <c r="AI769" s="2023">
        <f>W769-'Blocking-Step2'!W769</f>
        <v>0</v>
      </c>
      <c r="AJ769" s="2054">
        <f>O769-'Blocking-Step2'!O769</f>
        <v>0</v>
      </c>
    </row>
    <row r="770" spans="1:36">
      <c r="A770" s="1900" t="s">
        <v>1240</v>
      </c>
      <c r="C770" s="584"/>
      <c r="D770" s="584"/>
      <c r="F770" s="1930">
        <v>-3.61E-2</v>
      </c>
      <c r="G770" s="597"/>
      <c r="H770" s="1644">
        <f>SUM(H764:H765,H767:H768)*$F770</f>
        <v>-344185.12540000002</v>
      </c>
      <c r="I770" s="1644">
        <f>SUM(I764:I765,I767:I768)*$F770</f>
        <v>-453438.74300000002</v>
      </c>
      <c r="K770" s="1930"/>
      <c r="L770" s="597"/>
      <c r="M770" s="1930"/>
      <c r="N770" s="597"/>
      <c r="O770" s="1931" t="str">
        <f>$O$43</f>
        <v>Tax Year 1 (1/1/2021)</v>
      </c>
      <c r="P770" s="597"/>
      <c r="Q770" s="1930">
        <f>$Q$687</f>
        <v>-1.52E-2</v>
      </c>
      <c r="R770" s="597"/>
      <c r="S770" s="1645"/>
      <c r="T770" s="1645"/>
      <c r="U770" s="1645"/>
      <c r="V770" s="1645"/>
      <c r="W770" s="1645"/>
      <c r="X770" s="1645"/>
      <c r="Y770" s="1644">
        <f>Q770*SUM(Y760:Y763)</f>
        <v>-187709.77040000001</v>
      </c>
      <c r="AI770" s="2023">
        <f>W770-'Blocking-Step2'!W770</f>
        <v>0</v>
      </c>
      <c r="AJ770" s="2054">
        <f>O770-'Blocking-Step2'!O770</f>
        <v>0</v>
      </c>
    </row>
    <row r="771" spans="1:36">
      <c r="A771" s="1900"/>
      <c r="C771" s="584"/>
      <c r="D771" s="584"/>
      <c r="F771" s="1930"/>
      <c r="G771" s="597"/>
      <c r="H771" s="1644"/>
      <c r="I771" s="1644"/>
      <c r="K771" s="1930"/>
      <c r="L771" s="597"/>
      <c r="M771" s="1930"/>
      <c r="N771" s="597"/>
      <c r="O771" s="1931">
        <f>$O$44</f>
        <v>0</v>
      </c>
      <c r="P771" s="597"/>
      <c r="Q771" s="1930">
        <f>$Q$688</f>
        <v>0</v>
      </c>
      <c r="R771" s="597"/>
      <c r="S771" s="1645"/>
      <c r="T771" s="1645"/>
      <c r="U771" s="1645"/>
      <c r="V771" s="1645"/>
      <c r="W771" s="1645"/>
      <c r="X771" s="1645"/>
      <c r="Y771" s="1644">
        <f>Q771*SUM(Y760:Y763)</f>
        <v>0</v>
      </c>
      <c r="AI771" s="2023">
        <f>W771-'Blocking-Step2'!W771</f>
        <v>0</v>
      </c>
      <c r="AJ771" s="2054">
        <f>O771-'Blocking-Step2'!O771</f>
        <v>0</v>
      </c>
    </row>
    <row r="772" spans="1:36" ht="16.5" thickBot="1">
      <c r="A772" s="1900" t="s">
        <v>247</v>
      </c>
      <c r="C772" s="1949">
        <f>SUM(C767:C769)</f>
        <v>129874711.63466616</v>
      </c>
      <c r="D772" s="1949">
        <f>SUM(D767:D769)</f>
        <v>170252223.49106753</v>
      </c>
      <c r="F772" s="1939"/>
      <c r="H772" s="1647">
        <f>SUM(H756:H770)</f>
        <v>10970117.874600001</v>
      </c>
      <c r="I772" s="1647">
        <f>SUM(I756:I770)</f>
        <v>14362809.256999999</v>
      </c>
      <c r="K772" s="1939"/>
      <c r="M772" s="1939"/>
      <c r="O772" s="1939"/>
      <c r="Q772" s="1939"/>
      <c r="S772" s="1647">
        <f>SUM(S756:S769)</f>
        <v>5149466</v>
      </c>
      <c r="U772" s="1647">
        <f>SUM(U756:U769)</f>
        <v>5786286</v>
      </c>
      <c r="W772" s="1647">
        <f>SUM(W756:W769)</f>
        <v>3634437</v>
      </c>
      <c r="Y772" s="1647">
        <f>SUM(Y756:Y769)</f>
        <v>14570188</v>
      </c>
      <c r="AA772" s="1104" t="s">
        <v>1743</v>
      </c>
      <c r="AB772" s="1890">
        <f>Y772/I772-1</f>
        <v>1.4438592011443152E-2</v>
      </c>
      <c r="AI772" s="2023">
        <f>W772-'Blocking-Step2'!W772</f>
        <v>0</v>
      </c>
      <c r="AJ772" s="2054">
        <f>O772-'Blocking-Step2'!O772</f>
        <v>0</v>
      </c>
    </row>
    <row r="773" spans="1:36" ht="16.5" hidden="1" thickTop="1">
      <c r="C773" s="528"/>
      <c r="D773" s="528"/>
      <c r="AI773" s="2023">
        <f>W773-'Blocking-Step2'!W773</f>
        <v>0</v>
      </c>
      <c r="AJ773" s="2054">
        <f>O773-'Blocking-Step2'!O773</f>
        <v>0</v>
      </c>
    </row>
    <row r="774" spans="1:36" hidden="1">
      <c r="A774" s="1897" t="s">
        <v>982</v>
      </c>
      <c r="C774" s="528"/>
      <c r="D774" s="528"/>
      <c r="AI774" s="2023">
        <f>W774-'Blocking-Step2'!W774</f>
        <v>0</v>
      </c>
      <c r="AJ774" s="2054">
        <f>O774-'Blocking-Step2'!O774</f>
        <v>0</v>
      </c>
    </row>
    <row r="775" spans="1:36" hidden="1">
      <c r="A775" s="1900" t="s">
        <v>240</v>
      </c>
      <c r="C775" s="528">
        <f>'6'!H29</f>
        <v>158.96666666666701</v>
      </c>
      <c r="D775" s="528">
        <f>Bill!P20</f>
        <v>204</v>
      </c>
      <c r="F775" s="1944">
        <v>54</v>
      </c>
      <c r="G775" s="597"/>
      <c r="H775" s="1644">
        <f t="shared" ref="H775:I785" si="482">ROUND($F775*C775,0)</f>
        <v>8584</v>
      </c>
      <c r="I775" s="1644">
        <f t="shared" si="482"/>
        <v>11016</v>
      </c>
      <c r="K775" s="1944">
        <f t="shared" ref="K775:K782" si="483">K756</f>
        <v>53</v>
      </c>
      <c r="L775" s="597"/>
      <c r="M775" s="1944">
        <f t="shared" ref="M775:M782" si="484">M756</f>
        <v>0</v>
      </c>
      <c r="N775" s="597"/>
      <c r="O775" s="1944">
        <f t="shared" ref="O775:O782" si="485">O756</f>
        <v>0</v>
      </c>
      <c r="P775" s="597"/>
      <c r="Q775" s="1944">
        <f t="shared" ref="Q775:Q782" si="486">Q756</f>
        <v>53</v>
      </c>
      <c r="R775" s="597"/>
      <c r="S775" s="1644">
        <f>ROUND($D775*K775,0)</f>
        <v>10812</v>
      </c>
      <c r="T775" s="1645"/>
      <c r="U775" s="1644">
        <f>ROUND($D775*M775,0)</f>
        <v>0</v>
      </c>
      <c r="V775" s="1645"/>
      <c r="W775" s="1644">
        <f>ROUND($D775*O775,0)</f>
        <v>0</v>
      </c>
      <c r="X775" s="1645"/>
      <c r="Y775" s="1644">
        <f>ROUND($D775*Q775,0)</f>
        <v>10812</v>
      </c>
      <c r="AI775" s="2023">
        <f>W775-'Blocking-Step2'!W775</f>
        <v>0</v>
      </c>
      <c r="AJ775" s="2054">
        <f>O775-'Blocking-Step2'!O775</f>
        <v>0</v>
      </c>
    </row>
    <row r="776" spans="1:36" hidden="1">
      <c r="A776" s="1900" t="s">
        <v>262</v>
      </c>
      <c r="C776" s="584">
        <v>0</v>
      </c>
      <c r="D776" s="528">
        <f>ROUND(C776/C775*D775,0)</f>
        <v>0</v>
      </c>
      <c r="F776" s="1944">
        <v>648</v>
      </c>
      <c r="G776" s="597"/>
      <c r="H776" s="1644">
        <f t="shared" si="482"/>
        <v>0</v>
      </c>
      <c r="I776" s="1644">
        <f t="shared" si="482"/>
        <v>0</v>
      </c>
      <c r="K776" s="1944">
        <f t="shared" si="483"/>
        <v>636</v>
      </c>
      <c r="L776" s="597"/>
      <c r="M776" s="1944">
        <f t="shared" si="484"/>
        <v>0</v>
      </c>
      <c r="N776" s="597"/>
      <c r="O776" s="1944">
        <f t="shared" si="485"/>
        <v>0</v>
      </c>
      <c r="P776" s="597"/>
      <c r="Q776" s="1944">
        <f t="shared" si="486"/>
        <v>636</v>
      </c>
      <c r="R776" s="597"/>
      <c r="S776" s="1644">
        <f t="shared" ref="S776:S780" si="487">ROUND($D776*K776,0)</f>
        <v>0</v>
      </c>
      <c r="T776" s="1645"/>
      <c r="U776" s="1644">
        <f t="shared" ref="U776:U780" si="488">ROUND($D776*M776,0)</f>
        <v>0</v>
      </c>
      <c r="V776" s="1645"/>
      <c r="W776" s="1644">
        <f t="shared" ref="W776:W780" si="489">ROUND($D776*O776,0)</f>
        <v>0</v>
      </c>
      <c r="X776" s="1645"/>
      <c r="Y776" s="1644">
        <f t="shared" ref="Y776:Y780" si="490">ROUND($D776*Q776,0)</f>
        <v>0</v>
      </c>
      <c r="AI776" s="2023">
        <f>W776-'Blocking-Step2'!W776</f>
        <v>0</v>
      </c>
      <c r="AJ776" s="2054">
        <f>O776-'Blocking-Step2'!O776</f>
        <v>0</v>
      </c>
    </row>
    <row r="777" spans="1:36" hidden="1">
      <c r="A777" s="1900" t="s">
        <v>1298</v>
      </c>
      <c r="C777" s="528">
        <v>0</v>
      </c>
      <c r="D777" s="528">
        <f>ROUND(C777/C775*D775,0)</f>
        <v>0</v>
      </c>
      <c r="F777" s="1944">
        <v>54</v>
      </c>
      <c r="G777" s="597"/>
      <c r="H777" s="1644">
        <f t="shared" si="482"/>
        <v>0</v>
      </c>
      <c r="I777" s="1644">
        <f t="shared" si="482"/>
        <v>0</v>
      </c>
      <c r="K777" s="1944">
        <f t="shared" si="483"/>
        <v>53</v>
      </c>
      <c r="L777" s="597"/>
      <c r="M777" s="1944">
        <f t="shared" si="484"/>
        <v>0</v>
      </c>
      <c r="N777" s="597"/>
      <c r="O777" s="1944">
        <f t="shared" si="485"/>
        <v>0</v>
      </c>
      <c r="P777" s="597"/>
      <c r="Q777" s="1944">
        <f t="shared" si="486"/>
        <v>53</v>
      </c>
      <c r="R777" s="597"/>
      <c r="S777" s="1644">
        <f t="shared" si="487"/>
        <v>0</v>
      </c>
      <c r="T777" s="1645"/>
      <c r="U777" s="1644">
        <f t="shared" si="488"/>
        <v>0</v>
      </c>
      <c r="V777" s="1645"/>
      <c r="W777" s="1644">
        <f t="shared" si="489"/>
        <v>0</v>
      </c>
      <c r="X777" s="1645"/>
      <c r="Y777" s="1644">
        <f t="shared" si="490"/>
        <v>0</v>
      </c>
      <c r="AI777" s="2023">
        <f>W777-'Blocking-Step2'!W777</f>
        <v>0</v>
      </c>
      <c r="AJ777" s="2054">
        <f>O777-'Blocking-Step2'!O777</f>
        <v>0</v>
      </c>
    </row>
    <row r="778" spans="1:36" hidden="1">
      <c r="A778" s="1900" t="s">
        <v>168</v>
      </c>
      <c r="C778" s="528">
        <f>'6'!J29</f>
        <v>11471.5346534653</v>
      </c>
      <c r="D778" s="528">
        <f>ROUND(C778/$C$791*$D$791,0)</f>
        <v>13836</v>
      </c>
      <c r="F778" s="1944">
        <v>4.04</v>
      </c>
      <c r="G778" s="597"/>
      <c r="H778" s="1644">
        <f>ROUND($F778*C778,0)</f>
        <v>46345</v>
      </c>
      <c r="I778" s="1644">
        <f>ROUND($F778*D778,0)</f>
        <v>55897</v>
      </c>
      <c r="K778" s="1944">
        <f t="shared" si="483"/>
        <v>3.98</v>
      </c>
      <c r="L778" s="597"/>
      <c r="M778" s="1944">
        <f t="shared" si="484"/>
        <v>0</v>
      </c>
      <c r="N778" s="597"/>
      <c r="O778" s="1944">
        <f t="shared" si="485"/>
        <v>0</v>
      </c>
      <c r="P778" s="597"/>
      <c r="Q778" s="1944">
        <f t="shared" si="486"/>
        <v>3.98</v>
      </c>
      <c r="R778" s="597"/>
      <c r="S778" s="1644">
        <f t="shared" si="487"/>
        <v>55067</v>
      </c>
      <c r="T778" s="1645"/>
      <c r="U778" s="1644">
        <f t="shared" si="488"/>
        <v>0</v>
      </c>
      <c r="V778" s="1645"/>
      <c r="W778" s="1644">
        <f t="shared" si="489"/>
        <v>0</v>
      </c>
      <c r="X778" s="1645"/>
      <c r="Y778" s="1644">
        <f t="shared" si="490"/>
        <v>55067</v>
      </c>
      <c r="AI778" s="2023">
        <f>W778-'Blocking-Step2'!W778</f>
        <v>0</v>
      </c>
      <c r="AJ778" s="2054">
        <f>O778-'Blocking-Step2'!O778</f>
        <v>0</v>
      </c>
    </row>
    <row r="779" spans="1:36" hidden="1">
      <c r="A779" s="1900" t="s">
        <v>1645</v>
      </c>
      <c r="C779" s="528">
        <f>'6'!L29+'6-may'!L29</f>
        <v>3464.7546487512086</v>
      </c>
      <c r="D779" s="528">
        <f t="shared" ref="D779:D780" si="491">ROUND(C779/$C$791*$D$791,0)</f>
        <v>4179</v>
      </c>
      <c r="F779" s="1944"/>
      <c r="G779" s="597"/>
      <c r="H779" s="1644"/>
      <c r="I779" s="1644"/>
      <c r="K779" s="1944">
        <f t="shared" si="483"/>
        <v>6.22</v>
      </c>
      <c r="L779" s="597"/>
      <c r="M779" s="1944">
        <f t="shared" si="484"/>
        <v>7.0100000000000007</v>
      </c>
      <c r="N779" s="597"/>
      <c r="O779" s="1944">
        <f t="shared" si="485"/>
        <v>0</v>
      </c>
      <c r="P779" s="597"/>
      <c r="Q779" s="1944">
        <f t="shared" si="486"/>
        <v>13.23</v>
      </c>
      <c r="R779" s="597"/>
      <c r="S779" s="1644">
        <f t="shared" si="487"/>
        <v>25993</v>
      </c>
      <c r="T779" s="1644"/>
      <c r="U779" s="1644">
        <f t="shared" si="488"/>
        <v>29295</v>
      </c>
      <c r="V779" s="1644"/>
      <c r="W779" s="1644">
        <f t="shared" si="489"/>
        <v>0</v>
      </c>
      <c r="X779" s="1645"/>
      <c r="Y779" s="1644">
        <f t="shared" si="490"/>
        <v>55288</v>
      </c>
      <c r="AI779" s="2023">
        <f>W779-'Blocking-Step2'!W779</f>
        <v>0</v>
      </c>
      <c r="AJ779" s="2054">
        <f>O779-'Blocking-Step2'!O779</f>
        <v>0</v>
      </c>
    </row>
    <row r="780" spans="1:36" hidden="1">
      <c r="A780" s="1900" t="s">
        <v>1646</v>
      </c>
      <c r="C780" s="528">
        <f>'6'!M29+'6-may'!M29</f>
        <v>8006.7795760529116</v>
      </c>
      <c r="D780" s="528">
        <f t="shared" si="491"/>
        <v>9657</v>
      </c>
      <c r="F780" s="1944"/>
      <c r="G780" s="597"/>
      <c r="H780" s="1644"/>
      <c r="I780" s="1644"/>
      <c r="K780" s="1944">
        <f t="shared" si="483"/>
        <v>5.5</v>
      </c>
      <c r="L780" s="597"/>
      <c r="M780" s="1944">
        <f t="shared" si="484"/>
        <v>6.2100000000000009</v>
      </c>
      <c r="N780" s="597"/>
      <c r="O780" s="1944">
        <f t="shared" si="485"/>
        <v>0</v>
      </c>
      <c r="P780" s="597"/>
      <c r="Q780" s="1944">
        <f t="shared" si="486"/>
        <v>11.71</v>
      </c>
      <c r="R780" s="597"/>
      <c r="S780" s="1644">
        <f t="shared" si="487"/>
        <v>53114</v>
      </c>
      <c r="T780" s="1644"/>
      <c r="U780" s="1644">
        <f t="shared" si="488"/>
        <v>59970</v>
      </c>
      <c r="V780" s="1644"/>
      <c r="W780" s="1644">
        <f t="shared" si="489"/>
        <v>0</v>
      </c>
      <c r="X780" s="1645"/>
      <c r="Y780" s="1644">
        <f t="shared" si="490"/>
        <v>113083</v>
      </c>
      <c r="AI780" s="2023">
        <f>W780-'Blocking-Step2'!W780</f>
        <v>0</v>
      </c>
      <c r="AJ780" s="2054">
        <f>O780-'Blocking-Step2'!O780</f>
        <v>0</v>
      </c>
    </row>
    <row r="781" spans="1:36" hidden="1">
      <c r="A781" s="1900" t="s">
        <v>1647</v>
      </c>
      <c r="C781" s="528">
        <f>'6'!P29+'6'!U29+TempRevMay!M324+'6-may'!P29+'6-may'!U29</f>
        <v>1076461.2380270492</v>
      </c>
      <c r="D781" s="528">
        <f>Energy!S20</f>
        <v>1454609.0476190476</v>
      </c>
      <c r="F781" s="1943"/>
      <c r="G781" s="1921"/>
      <c r="H781" s="1644"/>
      <c r="I781" s="1644"/>
      <c r="K781" s="1943">
        <f t="shared" si="483"/>
        <v>0</v>
      </c>
      <c r="L781" s="1921" t="s">
        <v>495</v>
      </c>
      <c r="M781" s="1943">
        <f t="shared" si="484"/>
        <v>1.5747172373309999</v>
      </c>
      <c r="N781" s="1921" t="s">
        <v>495</v>
      </c>
      <c r="O781" s="1943">
        <f t="shared" si="485"/>
        <v>2.305570240802</v>
      </c>
      <c r="P781" s="1921" t="s">
        <v>495</v>
      </c>
      <c r="Q781" s="1943">
        <f t="shared" si="486"/>
        <v>3.8802874781329999</v>
      </c>
      <c r="R781" s="1921" t="s">
        <v>495</v>
      </c>
      <c r="S781" s="1644">
        <f>ROUND($D781*K781/100,0)</f>
        <v>0</v>
      </c>
      <c r="T781" s="1644"/>
      <c r="U781" s="1644">
        <f>ROUND($D781*M781/100,0)</f>
        <v>22906</v>
      </c>
      <c r="V781" s="1644"/>
      <c r="W781" s="1644">
        <f>ROUND($D781*O781/100,0)</f>
        <v>33537</v>
      </c>
      <c r="X781" s="1648"/>
      <c r="Y781" s="1644">
        <f>ROUND($D781*Q781/100,0)</f>
        <v>56443</v>
      </c>
      <c r="AI781" s="2023">
        <f>W781-'Blocking-Step2'!W781</f>
        <v>0</v>
      </c>
      <c r="AJ781" s="2054">
        <f>O781-'Blocking-Step2'!O781</f>
        <v>0</v>
      </c>
    </row>
    <row r="782" spans="1:36" hidden="1">
      <c r="A782" s="1900" t="s">
        <v>1648</v>
      </c>
      <c r="C782" s="528">
        <f>'6'!Q29+'6'!V29+TempRevMay!M325+'6-may'!Q29+'6-may'!V29</f>
        <v>2694300.4670450641</v>
      </c>
      <c r="D782" s="528">
        <f>Energy!T20</f>
        <v>3119199.1373626376</v>
      </c>
      <c r="F782" s="1943"/>
      <c r="G782" s="1921"/>
      <c r="H782" s="1644"/>
      <c r="I782" s="1644"/>
      <c r="K782" s="1943">
        <f t="shared" si="483"/>
        <v>0</v>
      </c>
      <c r="L782" s="1921" t="s">
        <v>495</v>
      </c>
      <c r="M782" s="1943">
        <f t="shared" si="484"/>
        <v>1.3935347233019999</v>
      </c>
      <c r="N782" s="1921" t="s">
        <v>495</v>
      </c>
      <c r="O782" s="1943">
        <f t="shared" si="485"/>
        <v>2.0403480007099999</v>
      </c>
      <c r="P782" s="1921" t="s">
        <v>495</v>
      </c>
      <c r="Q782" s="1943">
        <f t="shared" si="486"/>
        <v>3.4338827240119998</v>
      </c>
      <c r="R782" s="1921" t="s">
        <v>495</v>
      </c>
      <c r="S782" s="1644">
        <f>ROUND($D782*K782/100,0)</f>
        <v>0</v>
      </c>
      <c r="T782" s="1644"/>
      <c r="U782" s="1644">
        <f>ROUND($D782*M782/100,0)</f>
        <v>43467</v>
      </c>
      <c r="V782" s="1644"/>
      <c r="W782" s="1644">
        <f>ROUND($D782*O782/100,0)</f>
        <v>63643</v>
      </c>
      <c r="X782" s="1648"/>
      <c r="Y782" s="1644">
        <f>ROUND($D782*Q782/100,0)</f>
        <v>107110</v>
      </c>
      <c r="AI782" s="2023">
        <f>W782-'Blocking-Step2'!W782</f>
        <v>0</v>
      </c>
      <c r="AJ782" s="2054">
        <f>O782-'Blocking-Step2'!O782</f>
        <v>0</v>
      </c>
    </row>
    <row r="783" spans="1:36" hidden="1">
      <c r="A783" s="1900" t="s">
        <v>196</v>
      </c>
      <c r="C783" s="528">
        <f>'6'!L29</f>
        <v>4259.2564979480203</v>
      </c>
      <c r="D783" s="528">
        <f>ROUND(C783/C791*D791,0)</f>
        <v>5137</v>
      </c>
      <c r="F783" s="1944">
        <v>14.62</v>
      </c>
      <c r="G783" s="597"/>
      <c r="H783" s="1644">
        <f t="shared" si="482"/>
        <v>62270</v>
      </c>
      <c r="I783" s="1644">
        <f t="shared" si="482"/>
        <v>75103</v>
      </c>
      <c r="K783" s="1944"/>
      <c r="L783" s="597"/>
      <c r="M783" s="1944"/>
      <c r="N783" s="597"/>
      <c r="O783" s="1944"/>
      <c r="P783" s="597"/>
      <c r="Q783" s="1944"/>
      <c r="R783" s="597"/>
      <c r="S783" s="1644"/>
      <c r="T783" s="1645"/>
      <c r="U783" s="1644"/>
      <c r="V783" s="1645"/>
      <c r="W783" s="1644"/>
      <c r="X783" s="1645"/>
      <c r="Y783" s="1644"/>
      <c r="AI783" s="2023">
        <f>W783-'Blocking-Step2'!W783</f>
        <v>0</v>
      </c>
      <c r="AJ783" s="2054">
        <f>O783-'Blocking-Step2'!O783</f>
        <v>0</v>
      </c>
    </row>
    <row r="784" spans="1:36" hidden="1">
      <c r="A784" s="1900" t="s">
        <v>161</v>
      </c>
      <c r="C784" s="528">
        <f>'6'!M29</f>
        <v>7212.2777268561003</v>
      </c>
      <c r="D784" s="528">
        <f>ROUND(C784/C791*D791,0)</f>
        <v>8699</v>
      </c>
      <c r="F784" s="1944">
        <v>10.91</v>
      </c>
      <c r="G784" s="597"/>
      <c r="H784" s="1644">
        <f t="shared" si="482"/>
        <v>78686</v>
      </c>
      <c r="I784" s="1644">
        <f t="shared" si="482"/>
        <v>94906</v>
      </c>
      <c r="K784" s="1944"/>
      <c r="L784" s="597"/>
      <c r="M784" s="1944"/>
      <c r="N784" s="597"/>
      <c r="O784" s="1944"/>
      <c r="P784" s="597"/>
      <c r="Q784" s="1944"/>
      <c r="R784" s="597"/>
      <c r="S784" s="1644"/>
      <c r="T784" s="1645"/>
      <c r="U784" s="1644"/>
      <c r="V784" s="1645"/>
      <c r="W784" s="1644"/>
      <c r="X784" s="1645"/>
      <c r="Y784" s="1644"/>
      <c r="AI784" s="2023">
        <f>W784-'Blocking-Step2'!W784</f>
        <v>0</v>
      </c>
      <c r="AJ784" s="2054">
        <f>O784-'Blocking-Step2'!O784</f>
        <v>0</v>
      </c>
    </row>
    <row r="785" spans="1:36" hidden="1">
      <c r="A785" s="1900" t="s">
        <v>261</v>
      </c>
      <c r="C785" s="528">
        <f>'6'!N29</f>
        <v>0</v>
      </c>
      <c r="D785" s="528">
        <f>ROUND(C785/C791*D791,0)</f>
        <v>0</v>
      </c>
      <c r="F785" s="1944">
        <v>-0.96</v>
      </c>
      <c r="G785" s="597"/>
      <c r="H785" s="1644">
        <f t="shared" si="482"/>
        <v>0</v>
      </c>
      <c r="I785" s="1644">
        <f t="shared" si="482"/>
        <v>0</v>
      </c>
      <c r="K785" s="1944">
        <f>K766</f>
        <v>-0.96</v>
      </c>
      <c r="L785" s="597"/>
      <c r="M785" s="1944">
        <f>M766</f>
        <v>0</v>
      </c>
      <c r="N785" s="597"/>
      <c r="O785" s="1944">
        <f>O766</f>
        <v>0</v>
      </c>
      <c r="P785" s="597"/>
      <c r="Q785" s="1944">
        <f>Q766</f>
        <v>-0.96</v>
      </c>
      <c r="R785" s="597"/>
      <c r="S785" s="1644">
        <f t="shared" ref="S785" si="492">ROUND($D785*K785,0)</f>
        <v>0</v>
      </c>
      <c r="T785" s="1644"/>
      <c r="U785" s="1644">
        <f t="shared" ref="U785" si="493">ROUND($D785*M785,0)</f>
        <v>0</v>
      </c>
      <c r="V785" s="1644"/>
      <c r="W785" s="1644">
        <f t="shared" ref="W785" si="494">ROUND($D785*O785,0)</f>
        <v>0</v>
      </c>
      <c r="X785" s="1645"/>
      <c r="Y785" s="1644">
        <f t="shared" ref="Y785" si="495">ROUND($D785*Q785,0)</f>
        <v>0</v>
      </c>
      <c r="AI785" s="2023">
        <f>W785-'Blocking-Step2'!W785</f>
        <v>0</v>
      </c>
      <c r="AJ785" s="2054">
        <f>O785-'Blocking-Step2'!O785</f>
        <v>0</v>
      </c>
    </row>
    <row r="786" spans="1:36" hidden="1">
      <c r="A786" s="1900" t="s">
        <v>1362</v>
      </c>
      <c r="C786" s="528">
        <f>'6'!P29+'6'!U29+TempRev!M324</f>
        <v>1331517.1683641539</v>
      </c>
      <c r="D786" s="528">
        <f>Energy!Q20</f>
        <v>1752959.0476190476</v>
      </c>
      <c r="F786" s="1943">
        <v>3.8127</v>
      </c>
      <c r="G786" s="1921" t="s">
        <v>495</v>
      </c>
      <c r="H786" s="1644">
        <f>ROUND($F786*C786/100,0)</f>
        <v>50767</v>
      </c>
      <c r="I786" s="1644">
        <f>ROUND($F786*D786/100,0)</f>
        <v>66835</v>
      </c>
      <c r="K786" s="1943"/>
      <c r="L786" s="1921"/>
      <c r="M786" s="1943"/>
      <c r="N786" s="1921"/>
      <c r="O786" s="1943"/>
      <c r="P786" s="1921"/>
      <c r="Q786" s="1943"/>
      <c r="R786" s="1921"/>
      <c r="S786" s="1648"/>
      <c r="T786" s="1648"/>
      <c r="U786" s="1648"/>
      <c r="V786" s="1648"/>
      <c r="W786" s="1648"/>
      <c r="X786" s="1648"/>
      <c r="Y786" s="1644"/>
      <c r="AI786" s="2023">
        <f>W786-'Blocking-Step2'!W786</f>
        <v>0</v>
      </c>
      <c r="AJ786" s="2054">
        <f>O786-'Blocking-Step2'!O786</f>
        <v>0</v>
      </c>
    </row>
    <row r="787" spans="1:36" hidden="1">
      <c r="A787" s="1900" t="s">
        <v>1363</v>
      </c>
      <c r="C787" s="528">
        <f>'6'!Q29+'6'!V29+TempRev!M325</f>
        <v>2439244.5367079591</v>
      </c>
      <c r="D787" s="528">
        <f>Energy!R20</f>
        <v>2820849.1373626376</v>
      </c>
      <c r="F787" s="1943">
        <v>3.5143</v>
      </c>
      <c r="G787" s="1921" t="s">
        <v>495</v>
      </c>
      <c r="H787" s="1644">
        <f>ROUND($F787*C787/100,0)</f>
        <v>85722</v>
      </c>
      <c r="I787" s="1644">
        <f>ROUND($F787*D787/100,0)</f>
        <v>99133</v>
      </c>
      <c r="K787" s="1943"/>
      <c r="L787" s="1921"/>
      <c r="M787" s="1943"/>
      <c r="N787" s="1921"/>
      <c r="O787" s="1943"/>
      <c r="P787" s="1921"/>
      <c r="Q787" s="1943"/>
      <c r="R787" s="1921"/>
      <c r="S787" s="1648"/>
      <c r="T787" s="1648"/>
      <c r="U787" s="1648"/>
      <c r="V787" s="1648"/>
      <c r="W787" s="1648"/>
      <c r="X787" s="1648"/>
      <c r="Y787" s="1644"/>
      <c r="AI787" s="2023">
        <f>W787-'Blocking-Step2'!W787</f>
        <v>0</v>
      </c>
      <c r="AJ787" s="2054">
        <f>O787-'Blocking-Step2'!O787</f>
        <v>0</v>
      </c>
    </row>
    <row r="788" spans="1:36" hidden="1">
      <c r="A788" s="1900" t="s">
        <v>246</v>
      </c>
      <c r="C788" s="529">
        <f>'Table 2'!J19</f>
        <v>21392</v>
      </c>
      <c r="D788" s="529">
        <v>0</v>
      </c>
      <c r="H788" s="1030">
        <f>'Table 3'!F19</f>
        <v>1984</v>
      </c>
      <c r="I788" s="1030">
        <v>0</v>
      </c>
      <c r="Y788" s="1030">
        <v>0</v>
      </c>
      <c r="AI788" s="2023">
        <f>W788-'Blocking-Step2'!W788</f>
        <v>0</v>
      </c>
      <c r="AJ788" s="2054">
        <f>O788-'Blocking-Step2'!O788</f>
        <v>0</v>
      </c>
    </row>
    <row r="789" spans="1:36" hidden="1">
      <c r="A789" s="1900" t="s">
        <v>1240</v>
      </c>
      <c r="C789" s="584"/>
      <c r="D789" s="584"/>
      <c r="F789" s="1930">
        <v>-3.61E-2</v>
      </c>
      <c r="G789" s="597"/>
      <c r="H789" s="1644">
        <f>SUM(H783:H784,H786:H787)*$F789</f>
        <v>-10015.764499999999</v>
      </c>
      <c r="I789" s="1644">
        <f>SUM(I783:I784,I786:I787)*$F789</f>
        <v>-12128.769700000001</v>
      </c>
      <c r="K789" s="1930"/>
      <c r="L789" s="597"/>
      <c r="M789" s="1930"/>
      <c r="N789" s="597"/>
      <c r="O789" s="1931" t="str">
        <f>$O$43</f>
        <v>Tax Year 1 (1/1/2021)</v>
      </c>
      <c r="P789" s="597"/>
      <c r="Q789" s="1930">
        <f>$Q$687</f>
        <v>-1.52E-2</v>
      </c>
      <c r="R789" s="597"/>
      <c r="S789" s="1645"/>
      <c r="T789" s="1645"/>
      <c r="U789" s="1645"/>
      <c r="V789" s="1645"/>
      <c r="W789" s="1645"/>
      <c r="X789" s="1645"/>
      <c r="Y789" s="1644">
        <f>Q789*SUM(Y779:Y782)</f>
        <v>-5045.2448000000004</v>
      </c>
      <c r="AI789" s="2023">
        <f>W789-'Blocking-Step2'!W789</f>
        <v>0</v>
      </c>
      <c r="AJ789" s="2054">
        <f>O789-'Blocking-Step2'!O789</f>
        <v>0</v>
      </c>
    </row>
    <row r="790" spans="1:36" hidden="1">
      <c r="A790" s="1900"/>
      <c r="C790" s="584"/>
      <c r="D790" s="584"/>
      <c r="F790" s="1930"/>
      <c r="G790" s="597"/>
      <c r="H790" s="1644"/>
      <c r="I790" s="1644"/>
      <c r="K790" s="1930"/>
      <c r="L790" s="597"/>
      <c r="M790" s="1930"/>
      <c r="N790" s="597"/>
      <c r="O790" s="1931">
        <f>$O$44</f>
        <v>0</v>
      </c>
      <c r="P790" s="597"/>
      <c r="Q790" s="1930">
        <f>$Q$688</f>
        <v>0</v>
      </c>
      <c r="R790" s="597"/>
      <c r="S790" s="1645"/>
      <c r="T790" s="1645"/>
      <c r="U790" s="1645"/>
      <c r="V790" s="1645"/>
      <c r="W790" s="1645"/>
      <c r="X790" s="1645"/>
      <c r="Y790" s="1644">
        <f>Q790*SUM(Y779:Y782)</f>
        <v>0</v>
      </c>
      <c r="AI790" s="2023">
        <f>W790-'Blocking-Step2'!W790</f>
        <v>0</v>
      </c>
      <c r="AJ790" s="2054">
        <f>O790-'Blocking-Step2'!O790</f>
        <v>0</v>
      </c>
    </row>
    <row r="791" spans="1:36" ht="16.5" hidden="1" thickBot="1">
      <c r="A791" s="1900" t="s">
        <v>247</v>
      </c>
      <c r="C791" s="1949">
        <f>SUM(C786:C788)</f>
        <v>3792153.7050721133</v>
      </c>
      <c r="D791" s="1949">
        <f>SUM(D786:D788)</f>
        <v>4573808.1849816851</v>
      </c>
      <c r="F791" s="1939"/>
      <c r="H791" s="1647">
        <f>SUM(H775:H789)</f>
        <v>324342.23550000001</v>
      </c>
      <c r="I791" s="1647">
        <f>SUM(I775:I789)</f>
        <v>390761.2303</v>
      </c>
      <c r="K791" s="1939"/>
      <c r="M791" s="1939"/>
      <c r="O791" s="1939"/>
      <c r="Q791" s="1939"/>
      <c r="S791" s="1647">
        <f>SUM(S775:S788)</f>
        <v>144986</v>
      </c>
      <c r="U791" s="1647">
        <f>SUM(U775:U788)</f>
        <v>155638</v>
      </c>
      <c r="W791" s="1647">
        <f>SUM(W775:W788)</f>
        <v>97180</v>
      </c>
      <c r="Y791" s="1647">
        <f>SUM(Y775:Y788)</f>
        <v>397803</v>
      </c>
      <c r="AA791" s="1104" t="s">
        <v>1743</v>
      </c>
      <c r="AB791" s="1890">
        <f>Y791/I791-1</f>
        <v>1.8020645739583285E-2</v>
      </c>
      <c r="AI791" s="2023">
        <f>W791-'Blocking-Step2'!W791</f>
        <v>0</v>
      </c>
      <c r="AJ791" s="2054">
        <f>O791-'Blocking-Step2'!O791</f>
        <v>0</v>
      </c>
    </row>
    <row r="792" spans="1:36" ht="16.5" hidden="1" thickTop="1">
      <c r="AI792" s="2023">
        <f>W792-'Blocking-Step2'!W792</f>
        <v>0</v>
      </c>
      <c r="AJ792" s="2054">
        <f>O792-'Blocking-Step2'!O792</f>
        <v>0</v>
      </c>
    </row>
    <row r="793" spans="1:36" hidden="1">
      <c r="A793" s="1897" t="s">
        <v>980</v>
      </c>
      <c r="C793" s="528"/>
      <c r="D793" s="528"/>
      <c r="AI793" s="2023">
        <f>W793-'Blocking-Step2'!W793</f>
        <v>0</v>
      </c>
      <c r="AJ793" s="2054">
        <f>O793-'Blocking-Step2'!O793</f>
        <v>0</v>
      </c>
    </row>
    <row r="794" spans="1:36" hidden="1">
      <c r="A794" s="1900" t="s">
        <v>240</v>
      </c>
      <c r="C794" s="528">
        <f>'6'!H27</f>
        <v>3192.8</v>
      </c>
      <c r="D794" s="528">
        <f>Bill!P46</f>
        <v>4032</v>
      </c>
      <c r="F794" s="1944">
        <v>54</v>
      </c>
      <c r="G794" s="597"/>
      <c r="H794" s="1644">
        <f t="shared" ref="H794:I804" si="496">ROUND($F794*C794,0)</f>
        <v>172411</v>
      </c>
      <c r="I794" s="1644">
        <f t="shared" si="496"/>
        <v>217728</v>
      </c>
      <c r="K794" s="1944">
        <f t="shared" ref="K794:K801" si="497">K756</f>
        <v>53</v>
      </c>
      <c r="L794" s="597"/>
      <c r="M794" s="1944">
        <f t="shared" ref="M794:M801" si="498">M756</f>
        <v>0</v>
      </c>
      <c r="N794" s="597"/>
      <c r="O794" s="1944">
        <f t="shared" ref="O794:O801" si="499">O756</f>
        <v>0</v>
      </c>
      <c r="P794" s="597"/>
      <c r="Q794" s="1944">
        <f t="shared" ref="Q794:Q801" si="500">Q756</f>
        <v>53</v>
      </c>
      <c r="R794" s="597"/>
      <c r="S794" s="1644">
        <f>ROUND($D794*K794,0)</f>
        <v>213696</v>
      </c>
      <c r="T794" s="1645"/>
      <c r="U794" s="1644">
        <f>ROUND($D794*M794,0)</f>
        <v>0</v>
      </c>
      <c r="V794" s="1645"/>
      <c r="W794" s="1644">
        <f>ROUND($D794*O794,0)</f>
        <v>0</v>
      </c>
      <c r="X794" s="1645"/>
      <c r="Y794" s="1644">
        <f>ROUND($D794*Q794,0)</f>
        <v>213696</v>
      </c>
      <c r="AI794" s="2023">
        <f>W794-'Blocking-Step2'!W794</f>
        <v>0</v>
      </c>
      <c r="AJ794" s="2054">
        <f>O794-'Blocking-Step2'!O794</f>
        <v>0</v>
      </c>
    </row>
    <row r="795" spans="1:36" hidden="1">
      <c r="A795" s="1900" t="s">
        <v>262</v>
      </c>
      <c r="C795" s="584">
        <v>0</v>
      </c>
      <c r="D795" s="528">
        <f>ROUND(C795/C794*D794,0)</f>
        <v>0</v>
      </c>
      <c r="F795" s="1944">
        <v>648</v>
      </c>
      <c r="G795" s="597"/>
      <c r="H795" s="1644">
        <f t="shared" si="496"/>
        <v>0</v>
      </c>
      <c r="I795" s="1644">
        <f t="shared" si="496"/>
        <v>0</v>
      </c>
      <c r="K795" s="1944">
        <f t="shared" si="497"/>
        <v>636</v>
      </c>
      <c r="L795" s="597"/>
      <c r="M795" s="1944">
        <f t="shared" si="498"/>
        <v>0</v>
      </c>
      <c r="N795" s="597"/>
      <c r="O795" s="1944">
        <f t="shared" si="499"/>
        <v>0</v>
      </c>
      <c r="P795" s="597"/>
      <c r="Q795" s="1944">
        <f t="shared" si="500"/>
        <v>636</v>
      </c>
      <c r="R795" s="597"/>
      <c r="S795" s="1644">
        <f t="shared" ref="S795:S799" si="501">ROUND($D795*K795,0)</f>
        <v>0</v>
      </c>
      <c r="T795" s="1645"/>
      <c r="U795" s="1644">
        <f t="shared" ref="U795:U799" si="502">ROUND($D795*M795,0)</f>
        <v>0</v>
      </c>
      <c r="V795" s="1645"/>
      <c r="W795" s="1644">
        <f t="shared" ref="W795:W799" si="503">ROUND($D795*O795,0)</f>
        <v>0</v>
      </c>
      <c r="X795" s="1645"/>
      <c r="Y795" s="1644">
        <f t="shared" ref="Y795:Y799" si="504">ROUND($D795*Q795,0)</f>
        <v>0</v>
      </c>
      <c r="AI795" s="2023">
        <f>W795-'Blocking-Step2'!W795</f>
        <v>0</v>
      </c>
      <c r="AJ795" s="2054">
        <f>O795-'Blocking-Step2'!O795</f>
        <v>0</v>
      </c>
    </row>
    <row r="796" spans="1:36" hidden="1">
      <c r="A796" s="1900" t="s">
        <v>1298</v>
      </c>
      <c r="C796" s="528">
        <v>0</v>
      </c>
      <c r="D796" s="528">
        <f>ROUND(C796/C794*D794,0)</f>
        <v>0</v>
      </c>
      <c r="F796" s="1944">
        <v>54</v>
      </c>
      <c r="G796" s="597"/>
      <c r="H796" s="1644">
        <f t="shared" si="496"/>
        <v>0</v>
      </c>
      <c r="I796" s="1644">
        <f t="shared" si="496"/>
        <v>0</v>
      </c>
      <c r="K796" s="1944">
        <f t="shared" si="497"/>
        <v>53</v>
      </c>
      <c r="L796" s="597"/>
      <c r="M796" s="1944">
        <f t="shared" si="498"/>
        <v>0</v>
      </c>
      <c r="N796" s="597"/>
      <c r="O796" s="1944">
        <f t="shared" si="499"/>
        <v>0</v>
      </c>
      <c r="P796" s="597"/>
      <c r="Q796" s="1944">
        <f t="shared" si="500"/>
        <v>53</v>
      </c>
      <c r="R796" s="597"/>
      <c r="S796" s="1644">
        <f t="shared" si="501"/>
        <v>0</v>
      </c>
      <c r="T796" s="1645"/>
      <c r="U796" s="1644">
        <f t="shared" si="502"/>
        <v>0</v>
      </c>
      <c r="V796" s="1645"/>
      <c r="W796" s="1644">
        <f t="shared" si="503"/>
        <v>0</v>
      </c>
      <c r="X796" s="1645"/>
      <c r="Y796" s="1644">
        <f t="shared" si="504"/>
        <v>0</v>
      </c>
      <c r="AI796" s="2023">
        <f>W796-'Blocking-Step2'!W796</f>
        <v>0</v>
      </c>
      <c r="AJ796" s="2054">
        <f>O796-'Blocking-Step2'!O796</f>
        <v>0</v>
      </c>
    </row>
    <row r="797" spans="1:36" hidden="1">
      <c r="A797" s="1900" t="s">
        <v>168</v>
      </c>
      <c r="C797" s="528">
        <f>'6'!J27</f>
        <v>364255.69801980199</v>
      </c>
      <c r="D797" s="528">
        <f>ROUND(C797/$C$810*$D$810,0)</f>
        <v>468930</v>
      </c>
      <c r="F797" s="1944">
        <v>4.04</v>
      </c>
      <c r="G797" s="597"/>
      <c r="H797" s="1644">
        <f>ROUND($F797*C797,0)</f>
        <v>1471593</v>
      </c>
      <c r="I797" s="1644">
        <f>ROUND($F797*D797,0)</f>
        <v>1894477</v>
      </c>
      <c r="K797" s="1944">
        <f t="shared" si="497"/>
        <v>3.98</v>
      </c>
      <c r="L797" s="597"/>
      <c r="M797" s="1944">
        <f t="shared" si="498"/>
        <v>0</v>
      </c>
      <c r="N797" s="597"/>
      <c r="O797" s="1944">
        <f t="shared" si="499"/>
        <v>0</v>
      </c>
      <c r="P797" s="597"/>
      <c r="Q797" s="1944">
        <f t="shared" si="500"/>
        <v>3.98</v>
      </c>
      <c r="R797" s="597"/>
      <c r="S797" s="1644">
        <f t="shared" si="501"/>
        <v>1866341</v>
      </c>
      <c r="T797" s="1645"/>
      <c r="U797" s="1644">
        <f t="shared" si="502"/>
        <v>0</v>
      </c>
      <c r="V797" s="1645"/>
      <c r="W797" s="1644">
        <f t="shared" si="503"/>
        <v>0</v>
      </c>
      <c r="X797" s="1645"/>
      <c r="Y797" s="1644">
        <f t="shared" si="504"/>
        <v>1866341</v>
      </c>
      <c r="AI797" s="2023">
        <f>W797-'Blocking-Step2'!W797</f>
        <v>0</v>
      </c>
      <c r="AJ797" s="2054">
        <f>O797-'Blocking-Step2'!O797</f>
        <v>0</v>
      </c>
    </row>
    <row r="798" spans="1:36" hidden="1">
      <c r="A798" s="1900" t="s">
        <v>1645</v>
      </c>
      <c r="C798" s="528">
        <f>'6'!L27+'6-may'!L27</f>
        <v>150690.92065663519</v>
      </c>
      <c r="D798" s="528">
        <f t="shared" ref="D798:D799" si="505">ROUND(C798/$C$810*$D$810,0)</f>
        <v>193994</v>
      </c>
      <c r="F798" s="1944"/>
      <c r="G798" s="597"/>
      <c r="H798" s="1644"/>
      <c r="I798" s="1644"/>
      <c r="K798" s="1944">
        <f t="shared" si="497"/>
        <v>6.22</v>
      </c>
      <c r="L798" s="597"/>
      <c r="M798" s="1944">
        <f t="shared" si="498"/>
        <v>7.0100000000000007</v>
      </c>
      <c r="N798" s="597"/>
      <c r="O798" s="1944">
        <f t="shared" si="499"/>
        <v>0</v>
      </c>
      <c r="P798" s="597"/>
      <c r="Q798" s="1944">
        <f t="shared" si="500"/>
        <v>13.23</v>
      </c>
      <c r="R798" s="597"/>
      <c r="S798" s="1644">
        <f t="shared" si="501"/>
        <v>1206643</v>
      </c>
      <c r="T798" s="1644"/>
      <c r="U798" s="1644">
        <f t="shared" si="502"/>
        <v>1359898</v>
      </c>
      <c r="V798" s="1644"/>
      <c r="W798" s="1644">
        <f t="shared" si="503"/>
        <v>0</v>
      </c>
      <c r="X798" s="1645"/>
      <c r="Y798" s="1644">
        <f t="shared" si="504"/>
        <v>2566541</v>
      </c>
      <c r="AI798" s="2023">
        <f>W798-'Blocking-Step2'!W798</f>
        <v>0</v>
      </c>
      <c r="AJ798" s="2054">
        <f>O798-'Blocking-Step2'!O798</f>
        <v>0</v>
      </c>
    </row>
    <row r="799" spans="1:36" hidden="1">
      <c r="A799" s="1900" t="s">
        <v>1646</v>
      </c>
      <c r="C799" s="528">
        <f>'6'!M27+'6-may'!M27</f>
        <v>213564.80074693981</v>
      </c>
      <c r="D799" s="528">
        <f t="shared" si="505"/>
        <v>274936</v>
      </c>
      <c r="F799" s="1944"/>
      <c r="G799" s="597"/>
      <c r="H799" s="1644"/>
      <c r="I799" s="1644"/>
      <c r="K799" s="1944">
        <f t="shared" si="497"/>
        <v>5.5</v>
      </c>
      <c r="L799" s="597"/>
      <c r="M799" s="1944">
        <f t="shared" si="498"/>
        <v>6.2100000000000009</v>
      </c>
      <c r="N799" s="597"/>
      <c r="O799" s="1944">
        <f t="shared" si="499"/>
        <v>0</v>
      </c>
      <c r="P799" s="597"/>
      <c r="Q799" s="1944">
        <f t="shared" si="500"/>
        <v>11.71</v>
      </c>
      <c r="R799" s="597"/>
      <c r="S799" s="1644">
        <f t="shared" si="501"/>
        <v>1512148</v>
      </c>
      <c r="T799" s="1644"/>
      <c r="U799" s="1644">
        <f t="shared" si="502"/>
        <v>1707353</v>
      </c>
      <c r="V799" s="1644"/>
      <c r="W799" s="1644">
        <f t="shared" si="503"/>
        <v>0</v>
      </c>
      <c r="X799" s="1645"/>
      <c r="Y799" s="1644">
        <f t="shared" si="504"/>
        <v>3219501</v>
      </c>
      <c r="AI799" s="2023">
        <f>W799-'Blocking-Step2'!W799</f>
        <v>0</v>
      </c>
      <c r="AJ799" s="2054">
        <f>O799-'Blocking-Step2'!O799</f>
        <v>0</v>
      </c>
    </row>
    <row r="800" spans="1:36" hidden="1">
      <c r="A800" s="1900" t="s">
        <v>1647</v>
      </c>
      <c r="C800" s="528">
        <f>'6'!P27+'6'!U27+TempRevMay!M333+'6-may'!P27+'6-may'!U27</f>
        <v>48125028.184217915</v>
      </c>
      <c r="D800" s="528">
        <f>Energy!S46</f>
        <v>56616651.067244932</v>
      </c>
      <c r="F800" s="1943"/>
      <c r="G800" s="1921"/>
      <c r="H800" s="1644"/>
      <c r="I800" s="1644"/>
      <c r="K800" s="1943">
        <f t="shared" si="497"/>
        <v>0</v>
      </c>
      <c r="L800" s="1921" t="s">
        <v>495</v>
      </c>
      <c r="M800" s="1943">
        <f t="shared" si="498"/>
        <v>1.5747172373309999</v>
      </c>
      <c r="N800" s="1921" t="s">
        <v>495</v>
      </c>
      <c r="O800" s="1943">
        <f t="shared" si="499"/>
        <v>2.305570240802</v>
      </c>
      <c r="P800" s="1921" t="s">
        <v>495</v>
      </c>
      <c r="Q800" s="1943">
        <f t="shared" si="500"/>
        <v>3.8802874781329999</v>
      </c>
      <c r="R800" s="1921" t="s">
        <v>495</v>
      </c>
      <c r="S800" s="1644">
        <f>ROUND($D800*K800/100,0)</f>
        <v>0</v>
      </c>
      <c r="T800" s="1644"/>
      <c r="U800" s="1644">
        <f>ROUND($D800*M800/100,0)</f>
        <v>891552</v>
      </c>
      <c r="V800" s="1644"/>
      <c r="W800" s="1644">
        <f>ROUND($D800*O800/100,0)</f>
        <v>1305337</v>
      </c>
      <c r="X800" s="1648"/>
      <c r="Y800" s="1644">
        <f>ROUND($D800*Q800/100,0)</f>
        <v>2196889</v>
      </c>
      <c r="AI800" s="2023">
        <f>W800-'Blocking-Step2'!W800</f>
        <v>0</v>
      </c>
      <c r="AJ800" s="2054">
        <f>O800-'Blocking-Step2'!O800</f>
        <v>0</v>
      </c>
    </row>
    <row r="801" spans="1:36" hidden="1">
      <c r="A801" s="1900" t="s">
        <v>1648</v>
      </c>
      <c r="C801" s="528">
        <f>'6'!Q27+'6'!V27+TempRevMay!M334+'6-may'!Q27+'6-may'!V27</f>
        <v>75109563.745376125</v>
      </c>
      <c r="D801" s="528">
        <f>Energy!T46</f>
        <v>102872324.73884089</v>
      </c>
      <c r="F801" s="1943"/>
      <c r="G801" s="1921"/>
      <c r="H801" s="1644"/>
      <c r="I801" s="1644"/>
      <c r="K801" s="1943">
        <f t="shared" si="497"/>
        <v>0</v>
      </c>
      <c r="L801" s="1921" t="s">
        <v>495</v>
      </c>
      <c r="M801" s="1943">
        <f t="shared" si="498"/>
        <v>1.3935347233019999</v>
      </c>
      <c r="N801" s="1921" t="s">
        <v>495</v>
      </c>
      <c r="O801" s="1943">
        <f t="shared" si="499"/>
        <v>2.0403480007099999</v>
      </c>
      <c r="P801" s="1921" t="s">
        <v>495</v>
      </c>
      <c r="Q801" s="1943">
        <f t="shared" si="500"/>
        <v>3.4338827240119998</v>
      </c>
      <c r="R801" s="1921" t="s">
        <v>495</v>
      </c>
      <c r="S801" s="1644">
        <f>ROUND($D801*K801/100,0)</f>
        <v>0</v>
      </c>
      <c r="T801" s="1644"/>
      <c r="U801" s="1644">
        <f>ROUND($D801*M801/100,0)</f>
        <v>1433562</v>
      </c>
      <c r="V801" s="1644"/>
      <c r="W801" s="1644">
        <f>ROUND($D801*O801/100,0)</f>
        <v>2098953</v>
      </c>
      <c r="X801" s="1648"/>
      <c r="Y801" s="1644">
        <f>ROUND($D801*Q801/100,0)</f>
        <v>3532515</v>
      </c>
      <c r="AI801" s="2023">
        <f>W801-'Blocking-Step2'!W801</f>
        <v>0</v>
      </c>
      <c r="AJ801" s="2054">
        <f>O801-'Blocking-Step2'!O801</f>
        <v>0</v>
      </c>
    </row>
    <row r="802" spans="1:36" hidden="1">
      <c r="A802" s="1900" t="s">
        <v>196</v>
      </c>
      <c r="C802" s="528">
        <f>'6'!L27</f>
        <v>164941.854309166</v>
      </c>
      <c r="D802" s="528">
        <f>ROUND(C802/C810*D810,0)</f>
        <v>212340</v>
      </c>
      <c r="F802" s="1944">
        <v>14.62</v>
      </c>
      <c r="G802" s="597"/>
      <c r="H802" s="1644">
        <f t="shared" si="496"/>
        <v>2411450</v>
      </c>
      <c r="I802" s="1644">
        <f t="shared" si="496"/>
        <v>3104411</v>
      </c>
      <c r="K802" s="1944"/>
      <c r="L802" s="597"/>
      <c r="M802" s="1944"/>
      <c r="N802" s="597"/>
      <c r="O802" s="1944"/>
      <c r="P802" s="597"/>
      <c r="Q802" s="1944"/>
      <c r="R802" s="597"/>
      <c r="S802" s="1644"/>
      <c r="T802" s="1645"/>
      <c r="U802" s="1644"/>
      <c r="V802" s="1645"/>
      <c r="W802" s="1644"/>
      <c r="X802" s="1645"/>
      <c r="Y802" s="1644"/>
      <c r="AI802" s="2023">
        <f>W802-'Blocking-Step2'!W802</f>
        <v>0</v>
      </c>
      <c r="AJ802" s="2054">
        <f>O802-'Blocking-Step2'!O802</f>
        <v>0</v>
      </c>
    </row>
    <row r="803" spans="1:36" hidden="1">
      <c r="A803" s="1900" t="s">
        <v>161</v>
      </c>
      <c r="C803" s="528">
        <f>'6'!M27</f>
        <v>199313.86709440901</v>
      </c>
      <c r="D803" s="528">
        <f>ROUND(C803/C810*D810,0)</f>
        <v>256590</v>
      </c>
      <c r="F803" s="1944">
        <v>10.91</v>
      </c>
      <c r="G803" s="597"/>
      <c r="H803" s="1644">
        <f t="shared" si="496"/>
        <v>2174514</v>
      </c>
      <c r="I803" s="1644">
        <f t="shared" si="496"/>
        <v>2799397</v>
      </c>
      <c r="K803" s="1944"/>
      <c r="L803" s="597"/>
      <c r="M803" s="1944"/>
      <c r="N803" s="597"/>
      <c r="O803" s="1944"/>
      <c r="P803" s="597"/>
      <c r="Q803" s="1944"/>
      <c r="R803" s="597"/>
      <c r="S803" s="1644"/>
      <c r="T803" s="1645"/>
      <c r="U803" s="1644"/>
      <c r="V803" s="1645"/>
      <c r="W803" s="1644"/>
      <c r="X803" s="1645"/>
      <c r="Y803" s="1644"/>
      <c r="AI803" s="2023">
        <f>W803-'Blocking-Step2'!W803</f>
        <v>0</v>
      </c>
      <c r="AJ803" s="2054">
        <f>O803-'Blocking-Step2'!O803</f>
        <v>0</v>
      </c>
    </row>
    <row r="804" spans="1:36" hidden="1">
      <c r="A804" s="1900" t="s">
        <v>261</v>
      </c>
      <c r="C804" s="528">
        <f>'6'!N27</f>
        <v>11785</v>
      </c>
      <c r="D804" s="528">
        <f>ROUND(C804/C810*D810,0)</f>
        <v>15172</v>
      </c>
      <c r="F804" s="1944">
        <v>-0.96</v>
      </c>
      <c r="G804" s="597"/>
      <c r="H804" s="1644">
        <f t="shared" si="496"/>
        <v>-11314</v>
      </c>
      <c r="I804" s="1644">
        <f t="shared" si="496"/>
        <v>-14565</v>
      </c>
      <c r="K804" s="1944">
        <f>K766</f>
        <v>-0.96</v>
      </c>
      <c r="L804" s="597"/>
      <c r="M804" s="1944">
        <f>M766</f>
        <v>0</v>
      </c>
      <c r="N804" s="597"/>
      <c r="O804" s="1944">
        <f>O766</f>
        <v>0</v>
      </c>
      <c r="P804" s="597"/>
      <c r="Q804" s="1944">
        <f>Q766</f>
        <v>-0.96</v>
      </c>
      <c r="R804" s="597"/>
      <c r="S804" s="1644">
        <f t="shared" ref="S804" si="506">ROUND($D804*K804,0)</f>
        <v>-14565</v>
      </c>
      <c r="T804" s="1644"/>
      <c r="U804" s="1644">
        <f t="shared" ref="U804" si="507">ROUND($D804*M804,0)</f>
        <v>0</v>
      </c>
      <c r="V804" s="1644"/>
      <c r="W804" s="1644">
        <f t="shared" ref="W804" si="508">ROUND($D804*O804,0)</f>
        <v>0</v>
      </c>
      <c r="X804" s="1645"/>
      <c r="Y804" s="1644">
        <f t="shared" ref="Y804" si="509">ROUND($D804*Q804,0)</f>
        <v>-14565</v>
      </c>
      <c r="AI804" s="2023">
        <f>W804-'Blocking-Step2'!W804</f>
        <v>0</v>
      </c>
      <c r="AJ804" s="2054">
        <f>O804-'Blocking-Step2'!O804</f>
        <v>0</v>
      </c>
    </row>
    <row r="805" spans="1:36" hidden="1">
      <c r="A805" s="1900" t="s">
        <v>1362</v>
      </c>
      <c r="C805" s="528">
        <f>'6'!P27+'6'!U27+TempRev!M333</f>
        <v>52584420.815824702</v>
      </c>
      <c r="D805" s="528">
        <f>Energy!Q46</f>
        <v>68150622.717435047</v>
      </c>
      <c r="F805" s="1943">
        <v>3.8127</v>
      </c>
      <c r="G805" s="1921" t="s">
        <v>495</v>
      </c>
      <c r="H805" s="1644">
        <f>ROUND($F805*C805/100,0)</f>
        <v>2004886</v>
      </c>
      <c r="I805" s="1644">
        <f>ROUND($F805*D805/100,0)</f>
        <v>2598379</v>
      </c>
      <c r="K805" s="1943"/>
      <c r="L805" s="1921"/>
      <c r="M805" s="1943"/>
      <c r="N805" s="1921"/>
      <c r="O805" s="1943"/>
      <c r="P805" s="1921"/>
      <c r="Q805" s="1943"/>
      <c r="R805" s="1921"/>
      <c r="S805" s="1648"/>
      <c r="T805" s="1648"/>
      <c r="U805" s="1648"/>
      <c r="V805" s="1648"/>
      <c r="W805" s="1648"/>
      <c r="X805" s="1648"/>
      <c r="Y805" s="1644"/>
      <c r="AI805" s="2023">
        <f>W805-'Blocking-Step2'!W805</f>
        <v>0</v>
      </c>
      <c r="AJ805" s="2054">
        <f>O805-'Blocking-Step2'!O805</f>
        <v>0</v>
      </c>
    </row>
    <row r="806" spans="1:36" hidden="1">
      <c r="A806" s="1900" t="s">
        <v>1363</v>
      </c>
      <c r="C806" s="528">
        <f>'6'!Q27+'6'!V27+TempRev!M334</f>
        <v>70650171.113769352</v>
      </c>
      <c r="D806" s="528">
        <f>Energy!R46</f>
        <v>91338353.088650778</v>
      </c>
      <c r="F806" s="1943">
        <v>3.5143</v>
      </c>
      <c r="G806" s="1921" t="s">
        <v>495</v>
      </c>
      <c r="H806" s="1644">
        <f>ROUND($F806*C806/100,0)</f>
        <v>2482859</v>
      </c>
      <c r="I806" s="1644">
        <f>ROUND($F806*D806/100,0)</f>
        <v>3209904</v>
      </c>
      <c r="K806" s="1943"/>
      <c r="L806" s="1921"/>
      <c r="M806" s="1943"/>
      <c r="N806" s="1921"/>
      <c r="O806" s="1943"/>
      <c r="P806" s="1921"/>
      <c r="Q806" s="1943"/>
      <c r="R806" s="1921"/>
      <c r="S806" s="1648"/>
      <c r="T806" s="1648"/>
      <c r="U806" s="1648"/>
      <c r="V806" s="1648"/>
      <c r="W806" s="1648"/>
      <c r="X806" s="1648"/>
      <c r="Y806" s="1644"/>
      <c r="AI806" s="2023">
        <f>W806-'Blocking-Step2'!W806</f>
        <v>0</v>
      </c>
      <c r="AJ806" s="2054">
        <f>O806-'Blocking-Step2'!O806</f>
        <v>0</v>
      </c>
    </row>
    <row r="807" spans="1:36" hidden="1">
      <c r="A807" s="1900" t="s">
        <v>246</v>
      </c>
      <c r="C807" s="529">
        <f>'Table 2'!J46</f>
        <v>653301</v>
      </c>
      <c r="D807" s="529">
        <v>0</v>
      </c>
      <c r="H807" s="1030">
        <f>'Table 3'!F46</f>
        <v>61273</v>
      </c>
      <c r="I807" s="1030">
        <v>0</v>
      </c>
      <c r="Y807" s="1030">
        <v>0</v>
      </c>
      <c r="AI807" s="2023">
        <f>W807-'Blocking-Step2'!W807</f>
        <v>0</v>
      </c>
      <c r="AJ807" s="2054">
        <f>O807-'Blocking-Step2'!O807</f>
        <v>0</v>
      </c>
    </row>
    <row r="808" spans="1:36" hidden="1">
      <c r="A808" s="1900" t="s">
        <v>1240</v>
      </c>
      <c r="C808" s="584"/>
      <c r="D808" s="584"/>
      <c r="F808" s="1930">
        <v>-3.61E-2</v>
      </c>
      <c r="G808" s="597"/>
      <c r="H808" s="1644">
        <f>SUM(H802:H803,H805:H806)*$F808</f>
        <v>-327560.89490000001</v>
      </c>
      <c r="I808" s="1644">
        <f>SUM(I802:I803,I805:I806)*$F808</f>
        <v>-422806.48509999999</v>
      </c>
      <c r="K808" s="1930"/>
      <c r="L808" s="597"/>
      <c r="M808" s="1930"/>
      <c r="N808" s="597"/>
      <c r="O808" s="1931" t="str">
        <f>$O$43</f>
        <v>Tax Year 1 (1/1/2021)</v>
      </c>
      <c r="P808" s="597"/>
      <c r="Q808" s="1930">
        <f>$Q$687</f>
        <v>-1.52E-2</v>
      </c>
      <c r="R808" s="597"/>
      <c r="S808" s="1645"/>
      <c r="T808" s="1645"/>
      <c r="U808" s="1645"/>
      <c r="V808" s="1645"/>
      <c r="W808" s="1645"/>
      <c r="X808" s="1645"/>
      <c r="Y808" s="1644">
        <f>Q808*SUM(Y798:Y801)</f>
        <v>-175034.77919999999</v>
      </c>
      <c r="AI808" s="2023">
        <f>W808-'Blocking-Step2'!W808</f>
        <v>0</v>
      </c>
      <c r="AJ808" s="2054">
        <f>O808-'Blocking-Step2'!O808</f>
        <v>0</v>
      </c>
    </row>
    <row r="809" spans="1:36" hidden="1">
      <c r="A809" s="1900"/>
      <c r="C809" s="584"/>
      <c r="D809" s="584"/>
      <c r="F809" s="1930"/>
      <c r="G809" s="597"/>
      <c r="H809" s="1644"/>
      <c r="I809" s="1644"/>
      <c r="K809" s="1930"/>
      <c r="L809" s="597"/>
      <c r="M809" s="1930"/>
      <c r="N809" s="597"/>
      <c r="O809" s="1931">
        <f>$O$44</f>
        <v>0</v>
      </c>
      <c r="P809" s="597"/>
      <c r="Q809" s="1930">
        <f>$Q$688</f>
        <v>0</v>
      </c>
      <c r="R809" s="597"/>
      <c r="S809" s="1645"/>
      <c r="T809" s="1645"/>
      <c r="U809" s="1645"/>
      <c r="V809" s="1645"/>
      <c r="W809" s="1645"/>
      <c r="X809" s="1645"/>
      <c r="Y809" s="1644">
        <f>Q809*SUM(Y798:Y801)</f>
        <v>0</v>
      </c>
      <c r="AI809" s="2023">
        <f>W809-'Blocking-Step2'!W809</f>
        <v>0</v>
      </c>
      <c r="AJ809" s="2054">
        <f>O809-'Blocking-Step2'!O809</f>
        <v>0</v>
      </c>
    </row>
    <row r="810" spans="1:36" ht="16.5" hidden="1" thickBot="1">
      <c r="A810" s="1900" t="s">
        <v>247</v>
      </c>
      <c r="C810" s="1949">
        <f>SUM(C805:C807)</f>
        <v>123887892.92959405</v>
      </c>
      <c r="D810" s="1949">
        <f>SUM(D805:D807)</f>
        <v>159488975.80608582</v>
      </c>
      <c r="F810" s="1939"/>
      <c r="H810" s="1647">
        <f>SUM(H794:H808)</f>
        <v>10440111.1051</v>
      </c>
      <c r="I810" s="1647">
        <f>SUM(I794:I808)</f>
        <v>13386924.514900001</v>
      </c>
      <c r="K810" s="1939"/>
      <c r="M810" s="1939"/>
      <c r="O810" s="1939"/>
      <c r="Q810" s="1939"/>
      <c r="S810" s="1647">
        <f>SUM(S794:S807)</f>
        <v>4784263</v>
      </c>
      <c r="U810" s="1647">
        <f>SUM(U794:U807)</f>
        <v>5392365</v>
      </c>
      <c r="W810" s="1647">
        <f>SUM(W794:W807)</f>
        <v>3404290</v>
      </c>
      <c r="Y810" s="1647">
        <f>SUM(Y794:Y807)</f>
        <v>13580918</v>
      </c>
      <c r="AA810" s="1104" t="s">
        <v>1743</v>
      </c>
      <c r="AB810" s="1890">
        <f>Y810/I810-1</f>
        <v>1.4491266077139686E-2</v>
      </c>
      <c r="AI810" s="2023">
        <f>W810-'Blocking-Step2'!W810</f>
        <v>0</v>
      </c>
      <c r="AJ810" s="2054">
        <f>O810-'Blocking-Step2'!O810</f>
        <v>0</v>
      </c>
    </row>
    <row r="811" spans="1:36" ht="16.5" hidden="1" thickTop="1">
      <c r="AI811" s="2023">
        <f>W811-'Blocking-Step2'!W811</f>
        <v>0</v>
      </c>
      <c r="AJ811" s="2054">
        <f>O811-'Blocking-Step2'!O811</f>
        <v>0</v>
      </c>
    </row>
    <row r="812" spans="1:36" hidden="1">
      <c r="A812" s="1897" t="s">
        <v>981</v>
      </c>
      <c r="C812" s="528"/>
      <c r="D812" s="528"/>
      <c r="AI812" s="2023">
        <f>W812-'Blocking-Step2'!W812</f>
        <v>0</v>
      </c>
      <c r="AJ812" s="2054">
        <f>O812-'Blocking-Step2'!O812</f>
        <v>0</v>
      </c>
    </row>
    <row r="813" spans="1:36" hidden="1">
      <c r="A813" s="1900" t="s">
        <v>240</v>
      </c>
      <c r="C813" s="528">
        <f>'6'!H28</f>
        <v>72</v>
      </c>
      <c r="D813" s="528">
        <f>Bill!P72</f>
        <v>198</v>
      </c>
      <c r="F813" s="1944">
        <v>54</v>
      </c>
      <c r="G813" s="597"/>
      <c r="H813" s="1644">
        <f t="shared" ref="H813:I823" si="510">ROUND($F813*C813,0)</f>
        <v>3888</v>
      </c>
      <c r="I813" s="1644">
        <f t="shared" si="510"/>
        <v>10692</v>
      </c>
      <c r="K813" s="1944">
        <f t="shared" ref="K813:K820" si="511">K756</f>
        <v>53</v>
      </c>
      <c r="L813" s="597"/>
      <c r="M813" s="1944">
        <f t="shared" ref="M813:M820" si="512">M756</f>
        <v>0</v>
      </c>
      <c r="N813" s="597"/>
      <c r="O813" s="1944">
        <f t="shared" ref="O813:O820" si="513">O756</f>
        <v>0</v>
      </c>
      <c r="P813" s="597"/>
      <c r="Q813" s="1944">
        <f t="shared" ref="Q813:Q820" si="514">Q756</f>
        <v>53</v>
      </c>
      <c r="R813" s="597"/>
      <c r="S813" s="1644">
        <f>ROUND($D813*K813,0)</f>
        <v>10494</v>
      </c>
      <c r="T813" s="1645"/>
      <c r="U813" s="1644">
        <f>ROUND($D813*M813,0)</f>
        <v>0</v>
      </c>
      <c r="V813" s="1645"/>
      <c r="W813" s="1644">
        <f>ROUND($D813*O813,0)</f>
        <v>0</v>
      </c>
      <c r="X813" s="1645"/>
      <c r="Y813" s="1644">
        <f>ROUND($D813*Q813,0)</f>
        <v>10494</v>
      </c>
      <c r="AI813" s="2023">
        <f>W813-'Blocking-Step2'!W813</f>
        <v>0</v>
      </c>
      <c r="AJ813" s="2054">
        <f>O813-'Blocking-Step2'!O813</f>
        <v>0</v>
      </c>
    </row>
    <row r="814" spans="1:36" hidden="1">
      <c r="A814" s="1900" t="s">
        <v>262</v>
      </c>
      <c r="C814" s="584">
        <v>0</v>
      </c>
      <c r="D814" s="528">
        <f>ROUND(C814/C813*D813,0)</f>
        <v>0</v>
      </c>
      <c r="F814" s="1944">
        <v>648</v>
      </c>
      <c r="G814" s="597"/>
      <c r="H814" s="1644">
        <f t="shared" si="510"/>
        <v>0</v>
      </c>
      <c r="I814" s="1644">
        <f t="shared" si="510"/>
        <v>0</v>
      </c>
      <c r="K814" s="1944">
        <f t="shared" si="511"/>
        <v>636</v>
      </c>
      <c r="L814" s="597"/>
      <c r="M814" s="1944">
        <f t="shared" si="512"/>
        <v>0</v>
      </c>
      <c r="N814" s="597"/>
      <c r="O814" s="1944">
        <f t="shared" si="513"/>
        <v>0</v>
      </c>
      <c r="P814" s="597"/>
      <c r="Q814" s="1944">
        <f t="shared" si="514"/>
        <v>636</v>
      </c>
      <c r="R814" s="597"/>
      <c r="S814" s="1644">
        <f t="shared" ref="S814:S818" si="515">ROUND($D814*K814,0)</f>
        <v>0</v>
      </c>
      <c r="T814" s="1645"/>
      <c r="U814" s="1644">
        <f t="shared" ref="U814:U818" si="516">ROUND($D814*M814,0)</f>
        <v>0</v>
      </c>
      <c r="V814" s="1645"/>
      <c r="W814" s="1644">
        <f t="shared" ref="W814:W818" si="517">ROUND($D814*O814,0)</f>
        <v>0</v>
      </c>
      <c r="X814" s="1645"/>
      <c r="Y814" s="1644">
        <f t="shared" ref="Y814:Y818" si="518">ROUND($D814*Q814,0)</f>
        <v>0</v>
      </c>
      <c r="AI814" s="2023">
        <f>W814-'Blocking-Step2'!W814</f>
        <v>0</v>
      </c>
      <c r="AJ814" s="2054">
        <f>O814-'Blocking-Step2'!O814</f>
        <v>0</v>
      </c>
    </row>
    <row r="815" spans="1:36" hidden="1">
      <c r="A815" s="1900" t="s">
        <v>1298</v>
      </c>
      <c r="C815" s="528">
        <v>0</v>
      </c>
      <c r="D815" s="528">
        <f>ROUND(C815/C813*D813,0)</f>
        <v>0</v>
      </c>
      <c r="F815" s="1944">
        <v>54</v>
      </c>
      <c r="G815" s="597"/>
      <c r="H815" s="1644">
        <f t="shared" si="510"/>
        <v>0</v>
      </c>
      <c r="I815" s="1644">
        <f t="shared" si="510"/>
        <v>0</v>
      </c>
      <c r="K815" s="1944">
        <f t="shared" si="511"/>
        <v>53</v>
      </c>
      <c r="L815" s="597"/>
      <c r="M815" s="1944">
        <f t="shared" si="512"/>
        <v>0</v>
      </c>
      <c r="N815" s="597"/>
      <c r="O815" s="1944">
        <f t="shared" si="513"/>
        <v>0</v>
      </c>
      <c r="P815" s="597"/>
      <c r="Q815" s="1944">
        <f t="shared" si="514"/>
        <v>53</v>
      </c>
      <c r="R815" s="597"/>
      <c r="S815" s="1644">
        <f t="shared" si="515"/>
        <v>0</v>
      </c>
      <c r="T815" s="1645"/>
      <c r="U815" s="1644">
        <f t="shared" si="516"/>
        <v>0</v>
      </c>
      <c r="V815" s="1645"/>
      <c r="W815" s="1644">
        <f t="shared" si="517"/>
        <v>0</v>
      </c>
      <c r="X815" s="1645"/>
      <c r="Y815" s="1644">
        <f t="shared" si="518"/>
        <v>0</v>
      </c>
      <c r="AI815" s="2023">
        <f>W815-'Blocking-Step2'!W815</f>
        <v>0</v>
      </c>
      <c r="AJ815" s="2054">
        <f>O815-'Blocking-Step2'!O815</f>
        <v>0</v>
      </c>
    </row>
    <row r="816" spans="1:36" hidden="1">
      <c r="A816" s="1900" t="s">
        <v>168</v>
      </c>
      <c r="C816" s="528">
        <f>'6'!J28</f>
        <v>8018</v>
      </c>
      <c r="D816" s="528">
        <f>ROUND(C816/$C$829*$D$829,0)</f>
        <v>22613</v>
      </c>
      <c r="F816" s="1944">
        <v>4.04</v>
      </c>
      <c r="G816" s="597"/>
      <c r="H816" s="1644">
        <f>ROUND($F816*C816,0)</f>
        <v>32393</v>
      </c>
      <c r="I816" s="1644">
        <f>ROUND($F816*D816,0)</f>
        <v>91357</v>
      </c>
      <c r="K816" s="1944">
        <f t="shared" si="511"/>
        <v>3.98</v>
      </c>
      <c r="L816" s="597"/>
      <c r="M816" s="1944">
        <f t="shared" si="512"/>
        <v>0</v>
      </c>
      <c r="N816" s="597"/>
      <c r="O816" s="1944">
        <f t="shared" si="513"/>
        <v>0</v>
      </c>
      <c r="P816" s="597"/>
      <c r="Q816" s="1944">
        <f t="shared" si="514"/>
        <v>3.98</v>
      </c>
      <c r="R816" s="597"/>
      <c r="S816" s="1644">
        <f t="shared" si="515"/>
        <v>90000</v>
      </c>
      <c r="T816" s="1645"/>
      <c r="U816" s="1644">
        <f t="shared" si="516"/>
        <v>0</v>
      </c>
      <c r="V816" s="1645"/>
      <c r="W816" s="1644">
        <f t="shared" si="517"/>
        <v>0</v>
      </c>
      <c r="X816" s="1645"/>
      <c r="Y816" s="1644">
        <f t="shared" si="518"/>
        <v>90000</v>
      </c>
      <c r="AI816" s="2023">
        <f>W816-'Blocking-Step2'!W816</f>
        <v>0</v>
      </c>
      <c r="AJ816" s="2054">
        <f>O816-'Blocking-Step2'!O816</f>
        <v>0</v>
      </c>
    </row>
    <row r="817" spans="1:36" hidden="1">
      <c r="A817" s="1900" t="s">
        <v>1645</v>
      </c>
      <c r="C817" s="528">
        <f>'6'!L28+'6-may'!L28</f>
        <v>3122.8223144829426</v>
      </c>
      <c r="D817" s="528">
        <f t="shared" ref="D817:D818" si="519">ROUND(C817/$C$829*$D$829,0)</f>
        <v>8807</v>
      </c>
      <c r="F817" s="1944"/>
      <c r="G817" s="597"/>
      <c r="H817" s="1644"/>
      <c r="I817" s="1644"/>
      <c r="K817" s="1944">
        <f t="shared" si="511"/>
        <v>6.22</v>
      </c>
      <c r="L817" s="597"/>
      <c r="M817" s="1944">
        <f t="shared" si="512"/>
        <v>7.0100000000000007</v>
      </c>
      <c r="N817" s="597"/>
      <c r="O817" s="1944">
        <f t="shared" si="513"/>
        <v>0</v>
      </c>
      <c r="P817" s="597"/>
      <c r="Q817" s="1944">
        <f t="shared" si="514"/>
        <v>13.23</v>
      </c>
      <c r="R817" s="597"/>
      <c r="S817" s="1644">
        <f t="shared" si="515"/>
        <v>54780</v>
      </c>
      <c r="T817" s="1644"/>
      <c r="U817" s="1644">
        <f t="shared" si="516"/>
        <v>61737</v>
      </c>
      <c r="V817" s="1644"/>
      <c r="W817" s="1644">
        <f t="shared" si="517"/>
        <v>0</v>
      </c>
      <c r="X817" s="1645"/>
      <c r="Y817" s="1644">
        <f t="shared" si="518"/>
        <v>116517</v>
      </c>
      <c r="AI817" s="2023">
        <f>W817-'Blocking-Step2'!W817</f>
        <v>0</v>
      </c>
      <c r="AJ817" s="2054">
        <f>O817-'Blocking-Step2'!O817</f>
        <v>0</v>
      </c>
    </row>
    <row r="818" spans="1:36" hidden="1">
      <c r="A818" s="1900" t="s">
        <v>1646</v>
      </c>
      <c r="C818" s="528">
        <f>'6'!M28+'6-may'!M28</f>
        <v>4895.1792973868469</v>
      </c>
      <c r="D818" s="528">
        <f t="shared" si="519"/>
        <v>13805</v>
      </c>
      <c r="F818" s="1944"/>
      <c r="G818" s="597"/>
      <c r="H818" s="1644"/>
      <c r="I818" s="1644"/>
      <c r="K818" s="1944">
        <f t="shared" si="511"/>
        <v>5.5</v>
      </c>
      <c r="L818" s="597"/>
      <c r="M818" s="1944">
        <f t="shared" si="512"/>
        <v>6.2100000000000009</v>
      </c>
      <c r="N818" s="597"/>
      <c r="O818" s="1944">
        <f t="shared" si="513"/>
        <v>0</v>
      </c>
      <c r="P818" s="597"/>
      <c r="Q818" s="1944">
        <f t="shared" si="514"/>
        <v>11.71</v>
      </c>
      <c r="R818" s="597"/>
      <c r="S818" s="1644">
        <f t="shared" si="515"/>
        <v>75928</v>
      </c>
      <c r="T818" s="1644"/>
      <c r="U818" s="1644">
        <f t="shared" si="516"/>
        <v>85729</v>
      </c>
      <c r="V818" s="1644"/>
      <c r="W818" s="1644">
        <f t="shared" si="517"/>
        <v>0</v>
      </c>
      <c r="X818" s="1645"/>
      <c r="Y818" s="1644">
        <f t="shared" si="518"/>
        <v>161657</v>
      </c>
      <c r="AI818" s="2023">
        <f>W818-'Blocking-Step2'!W818</f>
        <v>0</v>
      </c>
      <c r="AJ818" s="2054">
        <f>O818-'Blocking-Step2'!O818</f>
        <v>0</v>
      </c>
    </row>
    <row r="819" spans="1:36" hidden="1">
      <c r="A819" s="1900" t="s">
        <v>1647</v>
      </c>
      <c r="C819" s="528">
        <f>'6'!P28+'6'!U28+'6-may'!P28+'6-may'!U28</f>
        <v>884756.20477691339</v>
      </c>
      <c r="D819" s="528">
        <f>Energy!S72</f>
        <v>2519405.666666667</v>
      </c>
      <c r="F819" s="1943"/>
      <c r="G819" s="1921"/>
      <c r="H819" s="1644"/>
      <c r="I819" s="1644"/>
      <c r="K819" s="1943">
        <f t="shared" si="511"/>
        <v>0</v>
      </c>
      <c r="L819" s="1921" t="s">
        <v>495</v>
      </c>
      <c r="M819" s="1943">
        <f t="shared" si="512"/>
        <v>1.5747172373309999</v>
      </c>
      <c r="N819" s="1921" t="s">
        <v>495</v>
      </c>
      <c r="O819" s="1943">
        <f t="shared" si="513"/>
        <v>2.305570240802</v>
      </c>
      <c r="P819" s="1921" t="s">
        <v>495</v>
      </c>
      <c r="Q819" s="1943">
        <f t="shared" si="514"/>
        <v>3.8802874781329999</v>
      </c>
      <c r="R819" s="1921" t="s">
        <v>495</v>
      </c>
      <c r="S819" s="1644">
        <f>ROUND($D819*K819/100,0)</f>
        <v>0</v>
      </c>
      <c r="T819" s="1644"/>
      <c r="U819" s="1644">
        <f>ROUND($D819*M819/100,0)</f>
        <v>39674</v>
      </c>
      <c r="V819" s="1644"/>
      <c r="W819" s="1644">
        <f>ROUND($D819*O819/100,0)</f>
        <v>58087</v>
      </c>
      <c r="X819" s="1648"/>
      <c r="Y819" s="1644">
        <f>ROUND($D819*Q819/100,0)</f>
        <v>97760</v>
      </c>
      <c r="AI819" s="2023">
        <f>W819-'Blocking-Step2'!W819</f>
        <v>0</v>
      </c>
      <c r="AJ819" s="2054">
        <f>O819-'Blocking-Step2'!O819</f>
        <v>0</v>
      </c>
    </row>
    <row r="820" spans="1:36" hidden="1">
      <c r="A820" s="1900" t="s">
        <v>1648</v>
      </c>
      <c r="C820" s="528">
        <f>'6'!Q28+'6'!V28+'6-may'!Q28+'6-may'!V28</f>
        <v>1346071.7952230866</v>
      </c>
      <c r="D820" s="528">
        <f>Energy!T72</f>
        <v>3670033.833333333</v>
      </c>
      <c r="F820" s="1943"/>
      <c r="G820" s="1921"/>
      <c r="H820" s="1644"/>
      <c r="I820" s="1644"/>
      <c r="K820" s="1943">
        <f t="shared" si="511"/>
        <v>0</v>
      </c>
      <c r="L820" s="1921" t="s">
        <v>495</v>
      </c>
      <c r="M820" s="1943">
        <f t="shared" si="512"/>
        <v>1.3935347233019999</v>
      </c>
      <c r="N820" s="1921" t="s">
        <v>495</v>
      </c>
      <c r="O820" s="1943">
        <f t="shared" si="513"/>
        <v>2.0403480007099999</v>
      </c>
      <c r="P820" s="1921" t="s">
        <v>495</v>
      </c>
      <c r="Q820" s="1943">
        <f t="shared" si="514"/>
        <v>3.4338827240119998</v>
      </c>
      <c r="R820" s="1921" t="s">
        <v>495</v>
      </c>
      <c r="S820" s="1644">
        <f>ROUND($D820*K820/100,0)</f>
        <v>0</v>
      </c>
      <c r="T820" s="1644"/>
      <c r="U820" s="1644">
        <f>ROUND($D820*M820/100,0)</f>
        <v>51143</v>
      </c>
      <c r="V820" s="1644"/>
      <c r="W820" s="1644">
        <f>ROUND($D820*O820/100,0)</f>
        <v>74881</v>
      </c>
      <c r="X820" s="1648"/>
      <c r="Y820" s="1644">
        <f>ROUND($D820*Q820/100,0)</f>
        <v>126025</v>
      </c>
      <c r="AI820" s="2023">
        <f>W820-'Blocking-Step2'!W820</f>
        <v>0</v>
      </c>
      <c r="AJ820" s="2054">
        <f>O820-'Blocking-Step2'!O820</f>
        <v>0</v>
      </c>
    </row>
    <row r="821" spans="1:36" hidden="1">
      <c r="A821" s="1900" t="s">
        <v>196</v>
      </c>
      <c r="C821" s="528">
        <f>'6'!L28</f>
        <v>3777.72571819426</v>
      </c>
      <c r="D821" s="528">
        <f>ROUND(C821/C829*D829,0)</f>
        <v>10654</v>
      </c>
      <c r="F821" s="1944">
        <v>14.62</v>
      </c>
      <c r="G821" s="597"/>
      <c r="H821" s="1644">
        <f t="shared" si="510"/>
        <v>55230</v>
      </c>
      <c r="I821" s="1644">
        <f t="shared" si="510"/>
        <v>155761</v>
      </c>
      <c r="K821" s="1944"/>
      <c r="L821" s="597"/>
      <c r="M821" s="1944"/>
      <c r="N821" s="597"/>
      <c r="O821" s="1944"/>
      <c r="P821" s="597"/>
      <c r="Q821" s="1944"/>
      <c r="R821" s="597"/>
      <c r="S821" s="1644"/>
      <c r="T821" s="1645"/>
      <c r="U821" s="1644"/>
      <c r="V821" s="1645"/>
      <c r="W821" s="1644"/>
      <c r="X821" s="1645"/>
      <c r="Y821" s="1644"/>
      <c r="AI821" s="2023">
        <f>W821-'Blocking-Step2'!W821</f>
        <v>0</v>
      </c>
      <c r="AJ821" s="2054">
        <f>O821-'Blocking-Step2'!O821</f>
        <v>0</v>
      </c>
    </row>
    <row r="822" spans="1:36" hidden="1">
      <c r="A822" s="1900" t="s">
        <v>161</v>
      </c>
      <c r="C822" s="528">
        <f>'6'!M28</f>
        <v>4240.2758936755299</v>
      </c>
      <c r="D822" s="528">
        <f>ROUND(C822/C829*D829,0)</f>
        <v>11959</v>
      </c>
      <c r="F822" s="1944">
        <v>10.91</v>
      </c>
      <c r="G822" s="597"/>
      <c r="H822" s="1644">
        <f t="shared" si="510"/>
        <v>46261</v>
      </c>
      <c r="I822" s="1644">
        <f t="shared" si="510"/>
        <v>130473</v>
      </c>
      <c r="K822" s="1944"/>
      <c r="L822" s="597"/>
      <c r="M822" s="1944"/>
      <c r="N822" s="597"/>
      <c r="O822" s="1944"/>
      <c r="P822" s="597"/>
      <c r="Q822" s="1944"/>
      <c r="R822" s="597"/>
      <c r="S822" s="1644"/>
      <c r="T822" s="1645"/>
      <c r="U822" s="1644"/>
      <c r="V822" s="1645"/>
      <c r="W822" s="1644"/>
      <c r="X822" s="1645"/>
      <c r="Y822" s="1644"/>
      <c r="AI822" s="2023">
        <f>W822-'Blocking-Step2'!W822</f>
        <v>0</v>
      </c>
      <c r="AJ822" s="2054">
        <f>O822-'Blocking-Step2'!O822</f>
        <v>0</v>
      </c>
    </row>
    <row r="823" spans="1:36" hidden="1">
      <c r="A823" s="1900" t="s">
        <v>261</v>
      </c>
      <c r="C823" s="528">
        <f>'6'!N28</f>
        <v>4057</v>
      </c>
      <c r="D823" s="528">
        <f>ROUND(C823/C829*D829,0)</f>
        <v>11442</v>
      </c>
      <c r="F823" s="1944">
        <v>-0.96</v>
      </c>
      <c r="G823" s="597"/>
      <c r="H823" s="1644">
        <f t="shared" si="510"/>
        <v>-3895</v>
      </c>
      <c r="I823" s="1644">
        <f t="shared" si="510"/>
        <v>-10984</v>
      </c>
      <c r="K823" s="1944">
        <f>K766</f>
        <v>-0.96</v>
      </c>
      <c r="L823" s="597"/>
      <c r="M823" s="1944">
        <f>M766</f>
        <v>0</v>
      </c>
      <c r="N823" s="597"/>
      <c r="O823" s="1944">
        <f>O766</f>
        <v>0</v>
      </c>
      <c r="P823" s="597"/>
      <c r="Q823" s="1944">
        <f>Q766</f>
        <v>-0.96</v>
      </c>
      <c r="R823" s="597"/>
      <c r="S823" s="1644">
        <f t="shared" ref="S823" si="520">ROUND($D823*K823,0)</f>
        <v>-10984</v>
      </c>
      <c r="T823" s="1644"/>
      <c r="U823" s="1644">
        <f t="shared" ref="U823" si="521">ROUND($D823*M823,0)</f>
        <v>0</v>
      </c>
      <c r="V823" s="1644"/>
      <c r="W823" s="1644">
        <f t="shared" ref="W823" si="522">ROUND($D823*O823,0)</f>
        <v>0</v>
      </c>
      <c r="X823" s="1645"/>
      <c r="Y823" s="1644">
        <f t="shared" ref="Y823" si="523">ROUND($D823*Q823,0)</f>
        <v>-10984</v>
      </c>
      <c r="AI823" s="2023">
        <f>W823-'Blocking-Step2'!W823</f>
        <v>0</v>
      </c>
      <c r="AJ823" s="2054">
        <f>O823-'Blocking-Step2'!O823</f>
        <v>0</v>
      </c>
    </row>
    <row r="824" spans="1:36" hidden="1">
      <c r="A824" s="1900" t="s">
        <v>1362</v>
      </c>
      <c r="C824" s="528">
        <f>'6'!P28+'6'!U28</f>
        <v>1062056</v>
      </c>
      <c r="D824" s="528">
        <f>Energy!Q72</f>
        <v>2953264.3333333335</v>
      </c>
      <c r="F824" s="1943">
        <v>3.8127</v>
      </c>
      <c r="G824" s="1921" t="s">
        <v>495</v>
      </c>
      <c r="H824" s="1644">
        <f>ROUND($F824*C824/100,0)</f>
        <v>40493</v>
      </c>
      <c r="I824" s="1644">
        <f>ROUND($F824*D824/100,0)</f>
        <v>112599</v>
      </c>
      <c r="K824" s="1943"/>
      <c r="L824" s="1921"/>
      <c r="M824" s="1943"/>
      <c r="N824" s="1921"/>
      <c r="O824" s="1943"/>
      <c r="P824" s="1921"/>
      <c r="Q824" s="1943"/>
      <c r="R824" s="1921"/>
      <c r="S824" s="1648"/>
      <c r="T824" s="1648"/>
      <c r="U824" s="1648"/>
      <c r="V824" s="1648"/>
      <c r="W824" s="1648"/>
      <c r="X824" s="1648"/>
      <c r="Y824" s="1644"/>
      <c r="AI824" s="2023">
        <f>W824-'Blocking-Step2'!W824</f>
        <v>0</v>
      </c>
      <c r="AJ824" s="2054">
        <f>O824-'Blocking-Step2'!O824</f>
        <v>0</v>
      </c>
    </row>
    <row r="825" spans="1:36" hidden="1">
      <c r="A825" s="1900" t="s">
        <v>1363</v>
      </c>
      <c r="C825" s="528">
        <f>'6'!Q28+'6'!V28</f>
        <v>1168772</v>
      </c>
      <c r="D825" s="528">
        <f>Energy!R72</f>
        <v>3236175.1666666665</v>
      </c>
      <c r="F825" s="1943">
        <v>3.5143</v>
      </c>
      <c r="G825" s="1921" t="s">
        <v>495</v>
      </c>
      <c r="H825" s="1644">
        <f>ROUND($F825*C825/100,0)</f>
        <v>41074</v>
      </c>
      <c r="I825" s="1644">
        <f>ROUND($F825*D825/100,0)</f>
        <v>113729</v>
      </c>
      <c r="K825" s="1943"/>
      <c r="L825" s="1921"/>
      <c r="M825" s="1943"/>
      <c r="N825" s="1921"/>
      <c r="O825" s="1943"/>
      <c r="P825" s="1921"/>
      <c r="Q825" s="1943"/>
      <c r="R825" s="1921"/>
      <c r="S825" s="1648"/>
      <c r="T825" s="1648"/>
      <c r="U825" s="1648"/>
      <c r="V825" s="1648"/>
      <c r="W825" s="1648"/>
      <c r="X825" s="1648"/>
      <c r="Y825" s="1644"/>
      <c r="AI825" s="2023">
        <f>W825-'Blocking-Step2'!W825</f>
        <v>0</v>
      </c>
      <c r="AJ825" s="2054">
        <f>O825-'Blocking-Step2'!O825</f>
        <v>0</v>
      </c>
    </row>
    <row r="826" spans="1:36" hidden="1">
      <c r="A826" s="1900" t="s">
        <v>246</v>
      </c>
      <c r="C826" s="529">
        <f>'Table 2'!J84</f>
        <v>-36163</v>
      </c>
      <c r="D826" s="529">
        <v>0</v>
      </c>
      <c r="H826" s="1030">
        <f>'Table 3'!F84</f>
        <v>-3174</v>
      </c>
      <c r="I826" s="1030">
        <v>0</v>
      </c>
      <c r="Y826" s="1030">
        <v>0</v>
      </c>
      <c r="AI826" s="2023">
        <f>W826-'Blocking-Step2'!W826</f>
        <v>0</v>
      </c>
      <c r="AJ826" s="2054">
        <f>O826-'Blocking-Step2'!O826</f>
        <v>0</v>
      </c>
    </row>
    <row r="827" spans="1:36" hidden="1">
      <c r="A827" s="1900" t="s">
        <v>1240</v>
      </c>
      <c r="C827" s="584"/>
      <c r="D827" s="584"/>
      <c r="F827" s="1930">
        <v>-3.61E-2</v>
      </c>
      <c r="G827" s="597"/>
      <c r="H827" s="1644">
        <f>SUM(H821:H822,H824:H825)*$F827</f>
        <v>-6608.3937999999998</v>
      </c>
      <c r="I827" s="1644">
        <f>SUM(I821:I822,I824:I825)*$F827</f>
        <v>-18503.4882</v>
      </c>
      <c r="K827" s="1930"/>
      <c r="L827" s="597"/>
      <c r="M827" s="1930"/>
      <c r="N827" s="597"/>
      <c r="O827" s="1931" t="str">
        <f>$O$43</f>
        <v>Tax Year 1 (1/1/2021)</v>
      </c>
      <c r="P827" s="597"/>
      <c r="Q827" s="1930">
        <f>$Q$687</f>
        <v>-1.52E-2</v>
      </c>
      <c r="R827" s="597"/>
      <c r="S827" s="1645"/>
      <c r="T827" s="1645"/>
      <c r="U827" s="1645"/>
      <c r="V827" s="1645"/>
      <c r="W827" s="1645"/>
      <c r="X827" s="1645"/>
      <c r="Y827" s="1644">
        <f>Q827*SUM(Y817:Y820)</f>
        <v>-7629.7767999999996</v>
      </c>
      <c r="AI827" s="2023">
        <f>W827-'Blocking-Step2'!W827</f>
        <v>0</v>
      </c>
      <c r="AJ827" s="2054">
        <f>O827-'Blocking-Step2'!O827</f>
        <v>0</v>
      </c>
    </row>
    <row r="828" spans="1:36" hidden="1">
      <c r="A828" s="1900"/>
      <c r="C828" s="584"/>
      <c r="D828" s="584"/>
      <c r="F828" s="1930"/>
      <c r="G828" s="597"/>
      <c r="H828" s="1644"/>
      <c r="I828" s="1644"/>
      <c r="K828" s="1930"/>
      <c r="L828" s="597"/>
      <c r="M828" s="1930"/>
      <c r="N828" s="597"/>
      <c r="O828" s="1931">
        <f>$O$44</f>
        <v>0</v>
      </c>
      <c r="P828" s="597"/>
      <c r="Q828" s="1930">
        <f>$Q$688</f>
        <v>0</v>
      </c>
      <c r="R828" s="597"/>
      <c r="S828" s="1645"/>
      <c r="T828" s="1645"/>
      <c r="U828" s="1645"/>
      <c r="V828" s="1645"/>
      <c r="W828" s="1645"/>
      <c r="X828" s="1645"/>
      <c r="Y828" s="1644">
        <f>Q828*SUM(Y817:Y820)</f>
        <v>0</v>
      </c>
      <c r="AI828" s="2023">
        <f>W828-'Blocking-Step2'!W828</f>
        <v>0</v>
      </c>
      <c r="AJ828" s="2054">
        <f>O828-'Blocking-Step2'!O828</f>
        <v>0</v>
      </c>
    </row>
    <row r="829" spans="1:36" ht="16.5" hidden="1" thickBot="1">
      <c r="A829" s="1900" t="s">
        <v>247</v>
      </c>
      <c r="C829" s="1949">
        <f>SUM(C824:C826)</f>
        <v>2194665</v>
      </c>
      <c r="D829" s="1949">
        <f>SUM(D824:D826)</f>
        <v>6189439.5</v>
      </c>
      <c r="F829" s="1939"/>
      <c r="H829" s="1647">
        <f>SUM(H813:H827)</f>
        <v>205661.60620000001</v>
      </c>
      <c r="I829" s="1647">
        <f>SUM(I813:I827)</f>
        <v>585123.51179999998</v>
      </c>
      <c r="K829" s="1939"/>
      <c r="M829" s="1939"/>
      <c r="O829" s="1939"/>
      <c r="Q829" s="1939"/>
      <c r="S829" s="1647">
        <f>SUM(S813:S826)</f>
        <v>220218</v>
      </c>
      <c r="U829" s="1647">
        <f>SUM(U813:U826)</f>
        <v>238283</v>
      </c>
      <c r="W829" s="1647">
        <f>SUM(W813:W826)</f>
        <v>132968</v>
      </c>
      <c r="Y829" s="1647">
        <f>SUM(Y813:Y826)</f>
        <v>591469</v>
      </c>
      <c r="AA829" s="1104" t="s">
        <v>1743</v>
      </c>
      <c r="AB829" s="1890">
        <f>Y829/I829-1</f>
        <v>1.0844698720924084E-2</v>
      </c>
      <c r="AI829" s="2023">
        <f>W829-'Blocking-Step2'!W829</f>
        <v>0</v>
      </c>
      <c r="AJ829" s="2054">
        <f>O829-'Blocking-Step2'!O829</f>
        <v>0</v>
      </c>
    </row>
    <row r="830" spans="1:36" ht="16.5" thickTop="1">
      <c r="C830" s="528"/>
      <c r="D830" s="528"/>
      <c r="AI830" s="2023">
        <f>W830-'Blocking-Step2'!W830</f>
        <v>0</v>
      </c>
      <c r="AJ830" s="2054">
        <f>O830-'Blocking-Step2'!O830</f>
        <v>0</v>
      </c>
    </row>
    <row r="831" spans="1:36">
      <c r="A831" s="1897" t="s">
        <v>1558</v>
      </c>
      <c r="C831" s="528"/>
      <c r="D831" s="528"/>
      <c r="AI831" s="2023">
        <f>W831-'Blocking-Step2'!W831</f>
        <v>0</v>
      </c>
      <c r="AJ831" s="2054">
        <f>O831-'Blocking-Step2'!O831</f>
        <v>0</v>
      </c>
    </row>
    <row r="832" spans="1:36">
      <c r="A832" s="1900" t="s">
        <v>240</v>
      </c>
      <c r="C832" s="528">
        <f t="shared" ref="C832:D845" si="524">C851+C870</f>
        <v>220.73333333333335</v>
      </c>
      <c r="D832" s="528">
        <f t="shared" si="524"/>
        <v>611</v>
      </c>
      <c r="F832" s="1944">
        <v>54</v>
      </c>
      <c r="G832" s="597"/>
      <c r="H832" s="1644">
        <f t="shared" ref="H832:I842" si="525">ROUND($F832*C832,0)</f>
        <v>11920</v>
      </c>
      <c r="I832" s="1644">
        <f t="shared" si="525"/>
        <v>32994</v>
      </c>
      <c r="K832" s="1944">
        <f>K672</f>
        <v>53</v>
      </c>
      <c r="L832" s="597"/>
      <c r="M832" s="1944">
        <f>M672</f>
        <v>0</v>
      </c>
      <c r="N832" s="597"/>
      <c r="O832" s="1944">
        <f>O672</f>
        <v>0</v>
      </c>
      <c r="P832" s="597"/>
      <c r="Q832" s="1944">
        <f>Q672</f>
        <v>53</v>
      </c>
      <c r="R832" s="597"/>
      <c r="S832" s="1644">
        <f>ROUND($D832*K832,0)</f>
        <v>32383</v>
      </c>
      <c r="T832" s="1645"/>
      <c r="U832" s="1644">
        <f>ROUND($D832*M832,0)</f>
        <v>0</v>
      </c>
      <c r="V832" s="1645"/>
      <c r="W832" s="1644">
        <f>ROUND($D832*O832,0)</f>
        <v>0</v>
      </c>
      <c r="X832" s="1645"/>
      <c r="Y832" s="1644">
        <f>ROUND($D832*Q832,0)</f>
        <v>32383</v>
      </c>
      <c r="AI832" s="2023">
        <f>W832-'Blocking-Step2'!W832</f>
        <v>0</v>
      </c>
      <c r="AJ832" s="2054">
        <f>O832-'Blocking-Step2'!O832</f>
        <v>0</v>
      </c>
    </row>
    <row r="833" spans="1:36">
      <c r="A833" s="1900" t="s">
        <v>262</v>
      </c>
      <c r="C833" s="584">
        <f t="shared" si="524"/>
        <v>0</v>
      </c>
      <c r="D833" s="528">
        <f t="shared" si="524"/>
        <v>0</v>
      </c>
      <c r="F833" s="1944">
        <v>648</v>
      </c>
      <c r="G833" s="597"/>
      <c r="H833" s="1644">
        <f t="shared" si="525"/>
        <v>0</v>
      </c>
      <c r="I833" s="1644">
        <f t="shared" si="525"/>
        <v>0</v>
      </c>
      <c r="K833" s="1944">
        <f>K673</f>
        <v>636</v>
      </c>
      <c r="L833" s="597"/>
      <c r="M833" s="1944">
        <f>M673</f>
        <v>0</v>
      </c>
      <c r="N833" s="597"/>
      <c r="O833" s="1944">
        <f>O673</f>
        <v>0</v>
      </c>
      <c r="P833" s="597"/>
      <c r="Q833" s="1944">
        <f>Q673</f>
        <v>636</v>
      </c>
      <c r="R833" s="597"/>
      <c r="S833" s="1644">
        <f t="shared" ref="S833:S837" si="526">ROUND($D833*K833,0)</f>
        <v>0</v>
      </c>
      <c r="T833" s="1645"/>
      <c r="U833" s="1644">
        <f t="shared" ref="U833:Y837" si="527">ROUND($D833*M833,0)</f>
        <v>0</v>
      </c>
      <c r="V833" s="1645"/>
      <c r="W833" s="1644">
        <f t="shared" si="527"/>
        <v>0</v>
      </c>
      <c r="X833" s="1645"/>
      <c r="Y833" s="1644">
        <f t="shared" si="527"/>
        <v>0</v>
      </c>
      <c r="AI833" s="2023">
        <f>W833-'Blocking-Step2'!W833</f>
        <v>0</v>
      </c>
      <c r="AJ833" s="2054">
        <f>O833-'Blocking-Step2'!O833</f>
        <v>0</v>
      </c>
    </row>
    <row r="834" spans="1:36">
      <c r="A834" s="1900" t="s">
        <v>1236</v>
      </c>
      <c r="C834" s="528">
        <f t="shared" si="524"/>
        <v>21</v>
      </c>
      <c r="D834" s="528">
        <f t="shared" si="524"/>
        <v>59</v>
      </c>
      <c r="F834" s="1944">
        <v>2</v>
      </c>
      <c r="G834" s="597"/>
      <c r="H834" s="1644">
        <f t="shared" si="525"/>
        <v>42</v>
      </c>
      <c r="I834" s="1644">
        <f t="shared" si="525"/>
        <v>118</v>
      </c>
      <c r="K834" s="1944">
        <f>Q834</f>
        <v>2</v>
      </c>
      <c r="L834" s="597"/>
      <c r="M834" s="1944">
        <v>0</v>
      </c>
      <c r="N834" s="597"/>
      <c r="O834" s="1944">
        <v>0</v>
      </c>
      <c r="P834" s="597"/>
      <c r="Q834" s="1944">
        <f>F834</f>
        <v>2</v>
      </c>
      <c r="R834" s="597"/>
      <c r="S834" s="1644">
        <f t="shared" si="526"/>
        <v>118</v>
      </c>
      <c r="T834" s="1645"/>
      <c r="U834" s="1644">
        <f t="shared" si="527"/>
        <v>0</v>
      </c>
      <c r="V834" s="1645"/>
      <c r="W834" s="1644">
        <f t="shared" si="527"/>
        <v>0</v>
      </c>
      <c r="X834" s="1645"/>
      <c r="Y834" s="1644">
        <f t="shared" si="527"/>
        <v>118</v>
      </c>
      <c r="AI834" s="2023">
        <f>W834-'Blocking-Step2'!W834</f>
        <v>0</v>
      </c>
      <c r="AJ834" s="2054">
        <f>O834-'Blocking-Step2'!O834</f>
        <v>0</v>
      </c>
    </row>
    <row r="835" spans="1:36">
      <c r="A835" s="1900" t="s">
        <v>168</v>
      </c>
      <c r="C835" s="528">
        <f t="shared" si="524"/>
        <v>25513.264851485168</v>
      </c>
      <c r="D835" s="528">
        <f t="shared" si="524"/>
        <v>94165</v>
      </c>
      <c r="F835" s="1944">
        <v>4.04</v>
      </c>
      <c r="G835" s="597"/>
      <c r="H835" s="1644">
        <f>ROUND($F835*C835,0)</f>
        <v>103074</v>
      </c>
      <c r="I835" s="1644">
        <f>ROUND($F835*D835,0)</f>
        <v>380427</v>
      </c>
      <c r="K835" s="1944">
        <f>K675</f>
        <v>3.98</v>
      </c>
      <c r="L835" s="597"/>
      <c r="M835" s="1944">
        <f>M675</f>
        <v>0</v>
      </c>
      <c r="N835" s="597"/>
      <c r="O835" s="1944">
        <f>O675</f>
        <v>0</v>
      </c>
      <c r="P835" s="597"/>
      <c r="Q835" s="1944">
        <f>Q675</f>
        <v>3.98</v>
      </c>
      <c r="R835" s="597"/>
      <c r="S835" s="1644">
        <f t="shared" si="526"/>
        <v>374777</v>
      </c>
      <c r="T835" s="1645"/>
      <c r="U835" s="1644">
        <f t="shared" si="527"/>
        <v>0</v>
      </c>
      <c r="V835" s="1645"/>
      <c r="W835" s="1644">
        <f t="shared" si="527"/>
        <v>0</v>
      </c>
      <c r="X835" s="1645"/>
      <c r="Y835" s="1644">
        <f t="shared" si="527"/>
        <v>374777</v>
      </c>
      <c r="AI835" s="2023">
        <f>W835-'Blocking-Step2'!W835</f>
        <v>0</v>
      </c>
      <c r="AJ835" s="2054">
        <f>O835-'Blocking-Step2'!O835</f>
        <v>0</v>
      </c>
    </row>
    <row r="836" spans="1:36">
      <c r="A836" s="1900" t="s">
        <v>1645</v>
      </c>
      <c r="C836" s="528">
        <f t="shared" si="524"/>
        <v>11239.792072758026</v>
      </c>
      <c r="D836" s="528">
        <f t="shared" si="524"/>
        <v>40576</v>
      </c>
      <c r="F836" s="1944"/>
      <c r="G836" s="597"/>
      <c r="H836" s="1644"/>
      <c r="I836" s="1644"/>
      <c r="K836" s="1944">
        <f>K676</f>
        <v>6.22</v>
      </c>
      <c r="L836" s="597"/>
      <c r="M836" s="1944">
        <f>M676</f>
        <v>7.0100000000000007</v>
      </c>
      <c r="N836" s="597"/>
      <c r="O836" s="1944">
        <f>O676</f>
        <v>0</v>
      </c>
      <c r="P836" s="597"/>
      <c r="Q836" s="1944">
        <f>Q676</f>
        <v>13.23</v>
      </c>
      <c r="R836" s="597"/>
      <c r="S836" s="1644">
        <f t="shared" si="526"/>
        <v>252383</v>
      </c>
      <c r="T836" s="1644"/>
      <c r="U836" s="1644">
        <f t="shared" si="527"/>
        <v>284438</v>
      </c>
      <c r="V836" s="1644"/>
      <c r="W836" s="1644">
        <f t="shared" si="527"/>
        <v>0</v>
      </c>
      <c r="X836" s="1645"/>
      <c r="Y836" s="1644">
        <f t="shared" si="527"/>
        <v>536820</v>
      </c>
      <c r="AI836" s="2023">
        <f>W836-'Blocking-Step2'!W836</f>
        <v>0</v>
      </c>
      <c r="AJ836" s="2054">
        <f>O836-'Blocking-Step2'!O836</f>
        <v>0</v>
      </c>
    </row>
    <row r="837" spans="1:36">
      <c r="A837" s="1900" t="s">
        <v>1646</v>
      </c>
      <c r="C837" s="528">
        <f t="shared" si="524"/>
        <v>14273.476505122684</v>
      </c>
      <c r="D837" s="528">
        <f t="shared" si="524"/>
        <v>53589</v>
      </c>
      <c r="F837" s="1944"/>
      <c r="G837" s="597"/>
      <c r="H837" s="1644"/>
      <c r="I837" s="1644"/>
      <c r="K837" s="1944">
        <f>K677</f>
        <v>5.5</v>
      </c>
      <c r="L837" s="597"/>
      <c r="M837" s="1944">
        <f>M677</f>
        <v>6.2100000000000009</v>
      </c>
      <c r="N837" s="597"/>
      <c r="O837" s="1944">
        <f>O677</f>
        <v>0</v>
      </c>
      <c r="P837" s="597"/>
      <c r="Q837" s="1944">
        <f>Q677</f>
        <v>11.71</v>
      </c>
      <c r="R837" s="597"/>
      <c r="S837" s="1644">
        <f t="shared" si="526"/>
        <v>294740</v>
      </c>
      <c r="T837" s="1644"/>
      <c r="U837" s="1644">
        <f t="shared" si="527"/>
        <v>332788</v>
      </c>
      <c r="V837" s="1644"/>
      <c r="W837" s="1644">
        <f t="shared" si="527"/>
        <v>0</v>
      </c>
      <c r="X837" s="1645"/>
      <c r="Y837" s="1644">
        <f t="shared" si="527"/>
        <v>627527</v>
      </c>
      <c r="AI837" s="2023">
        <f>W837-'Blocking-Step2'!W837</f>
        <v>0</v>
      </c>
      <c r="AJ837" s="2054">
        <f>O837-'Blocking-Step2'!O837</f>
        <v>0</v>
      </c>
    </row>
    <row r="838" spans="1:36">
      <c r="A838" s="1900" t="s">
        <v>1647</v>
      </c>
      <c r="C838" s="528">
        <f t="shared" si="524"/>
        <v>2917301.8660099008</v>
      </c>
      <c r="D838" s="528">
        <f t="shared" si="524"/>
        <v>8593598.8227068186</v>
      </c>
      <c r="F838" s="1943"/>
      <c r="G838" s="1921"/>
      <c r="H838" s="1644"/>
      <c r="I838" s="1644"/>
      <c r="K838" s="1943">
        <f>K678</f>
        <v>0</v>
      </c>
      <c r="L838" s="1921" t="s">
        <v>495</v>
      </c>
      <c r="M838" s="1943">
        <f>M678</f>
        <v>1.5747172373309999</v>
      </c>
      <c r="N838" s="1921" t="s">
        <v>495</v>
      </c>
      <c r="O838" s="1943">
        <f>O678</f>
        <v>2.305570240802</v>
      </c>
      <c r="P838" s="1921" t="s">
        <v>495</v>
      </c>
      <c r="Q838" s="1943">
        <f>Q678</f>
        <v>3.8802874781329999</v>
      </c>
      <c r="R838" s="1921" t="s">
        <v>495</v>
      </c>
      <c r="S838" s="1644">
        <f>ROUND($D838*K838/100,0)</f>
        <v>0</v>
      </c>
      <c r="T838" s="1644"/>
      <c r="U838" s="1644">
        <f>ROUND($D838*M838/100,0)</f>
        <v>135325</v>
      </c>
      <c r="V838" s="1644"/>
      <c r="W838" s="1644">
        <f>ROUND($D838*O838/100,0)</f>
        <v>198131</v>
      </c>
      <c r="X838" s="1648"/>
      <c r="Y838" s="1644">
        <f>ROUND($D838*Q838/100,0)</f>
        <v>333456</v>
      </c>
      <c r="AI838" s="2023">
        <f>W838-'Blocking-Step2'!W838</f>
        <v>0</v>
      </c>
      <c r="AJ838" s="2054">
        <f>O838-'Blocking-Step2'!O838</f>
        <v>0</v>
      </c>
    </row>
    <row r="839" spans="1:36">
      <c r="A839" s="1900" t="s">
        <v>1648</v>
      </c>
      <c r="C839" s="528">
        <f t="shared" si="524"/>
        <v>3833312.1309039872</v>
      </c>
      <c r="D839" s="528">
        <f t="shared" si="524"/>
        <v>15566357.794983968</v>
      </c>
      <c r="F839" s="1943"/>
      <c r="G839" s="1921"/>
      <c r="H839" s="1644"/>
      <c r="I839" s="1644"/>
      <c r="K839" s="1943">
        <f>K679</f>
        <v>0</v>
      </c>
      <c r="L839" s="1921" t="s">
        <v>495</v>
      </c>
      <c r="M839" s="1943">
        <f>M679</f>
        <v>1.3935347233019999</v>
      </c>
      <c r="N839" s="1921" t="s">
        <v>495</v>
      </c>
      <c r="O839" s="1943">
        <f>O679</f>
        <v>2.0403480007099999</v>
      </c>
      <c r="P839" s="1921" t="s">
        <v>495</v>
      </c>
      <c r="Q839" s="1943">
        <f>Q679</f>
        <v>3.4338827240119998</v>
      </c>
      <c r="R839" s="1921" t="s">
        <v>495</v>
      </c>
      <c r="S839" s="1644">
        <f>ROUND($D839*K839/100,0)</f>
        <v>0</v>
      </c>
      <c r="T839" s="1644"/>
      <c r="U839" s="1644">
        <f>ROUND($D839*M839/100,0)</f>
        <v>216923</v>
      </c>
      <c r="V839" s="1644"/>
      <c r="W839" s="1644">
        <f>ROUND($D839*O839/100,0)</f>
        <v>317608</v>
      </c>
      <c r="X839" s="1648"/>
      <c r="Y839" s="1644">
        <f>ROUND($D839*Q839/100,0)</f>
        <v>534530</v>
      </c>
      <c r="AI839" s="2023">
        <f>W839-'Blocking-Step2'!W839</f>
        <v>0</v>
      </c>
      <c r="AJ839" s="2054">
        <f>O839-'Blocking-Step2'!O839</f>
        <v>0</v>
      </c>
    </row>
    <row r="840" spans="1:36">
      <c r="A840" s="1900" t="s">
        <v>196</v>
      </c>
      <c r="C840" s="528">
        <f t="shared" si="524"/>
        <v>12796.58755129959</v>
      </c>
      <c r="D840" s="528">
        <f t="shared" si="524"/>
        <v>46788</v>
      </c>
      <c r="F840" s="1944">
        <v>14.62</v>
      </c>
      <c r="G840" s="597"/>
      <c r="H840" s="1644">
        <f t="shared" si="525"/>
        <v>187086</v>
      </c>
      <c r="I840" s="1644">
        <f t="shared" si="525"/>
        <v>684041</v>
      </c>
      <c r="K840" s="1944"/>
      <c r="L840" s="597"/>
      <c r="M840" s="1944"/>
      <c r="N840" s="597"/>
      <c r="O840" s="1944"/>
      <c r="P840" s="597"/>
      <c r="Q840" s="1944"/>
      <c r="R840" s="597"/>
      <c r="S840" s="1644"/>
      <c r="T840" s="1645"/>
      <c r="U840" s="1644"/>
      <c r="V840" s="1645"/>
      <c r="W840" s="1644"/>
      <c r="X840" s="1645"/>
      <c r="Y840" s="1644"/>
      <c r="AI840" s="2023">
        <f>W840-'Blocking-Step2'!W840</f>
        <v>0</v>
      </c>
      <c r="AJ840" s="2054">
        <f>O840-'Blocking-Step2'!O840</f>
        <v>0</v>
      </c>
    </row>
    <row r="841" spans="1:36">
      <c r="A841" s="1900" t="s">
        <v>161</v>
      </c>
      <c r="C841" s="528">
        <f t="shared" si="524"/>
        <v>12716.681026581118</v>
      </c>
      <c r="D841" s="528">
        <f t="shared" si="524"/>
        <v>47377</v>
      </c>
      <c r="F841" s="1944">
        <v>10.91</v>
      </c>
      <c r="G841" s="597"/>
      <c r="H841" s="1644">
        <f t="shared" si="525"/>
        <v>138739</v>
      </c>
      <c r="I841" s="1644">
        <f t="shared" si="525"/>
        <v>516883</v>
      </c>
      <c r="K841" s="1944"/>
      <c r="L841" s="597"/>
      <c r="M841" s="1944"/>
      <c r="N841" s="597"/>
      <c r="O841" s="1944"/>
      <c r="P841" s="597"/>
      <c r="Q841" s="1944"/>
      <c r="R841" s="597"/>
      <c r="S841" s="1644"/>
      <c r="T841" s="1645"/>
      <c r="U841" s="1644"/>
      <c r="V841" s="1645"/>
      <c r="W841" s="1644"/>
      <c r="X841" s="1645"/>
      <c r="Y841" s="1644"/>
      <c r="AI841" s="2023">
        <f>W841-'Blocking-Step2'!W841</f>
        <v>0</v>
      </c>
      <c r="AJ841" s="2054">
        <f>O841-'Blocking-Step2'!O841</f>
        <v>0</v>
      </c>
    </row>
    <row r="842" spans="1:36">
      <c r="A842" s="1900" t="s">
        <v>261</v>
      </c>
      <c r="C842" s="528">
        <f t="shared" si="524"/>
        <v>0</v>
      </c>
      <c r="D842" s="528">
        <f t="shared" si="524"/>
        <v>0</v>
      </c>
      <c r="F842" s="1944">
        <v>-0.96</v>
      </c>
      <c r="G842" s="597"/>
      <c r="H842" s="1644">
        <f t="shared" si="525"/>
        <v>0</v>
      </c>
      <c r="I842" s="1644">
        <f t="shared" si="525"/>
        <v>0</v>
      </c>
      <c r="K842" s="1944">
        <f>K682</f>
        <v>-0.96</v>
      </c>
      <c r="L842" s="597"/>
      <c r="M842" s="1944">
        <f>M682</f>
        <v>0</v>
      </c>
      <c r="N842" s="597"/>
      <c r="O842" s="1944">
        <f>O682</f>
        <v>0</v>
      </c>
      <c r="P842" s="597"/>
      <c r="Q842" s="1944">
        <f>Q682</f>
        <v>-0.96</v>
      </c>
      <c r="R842" s="597"/>
      <c r="S842" s="1644">
        <f t="shared" ref="S842" si="528">ROUND($D842*K842,0)</f>
        <v>0</v>
      </c>
      <c r="T842" s="1644"/>
      <c r="U842" s="1644">
        <f t="shared" ref="U842:Y842" si="529">ROUND($D842*M842,0)</f>
        <v>0</v>
      </c>
      <c r="V842" s="1644"/>
      <c r="W842" s="1644">
        <f t="shared" si="529"/>
        <v>0</v>
      </c>
      <c r="X842" s="1645"/>
      <c r="Y842" s="1644">
        <f t="shared" si="529"/>
        <v>0</v>
      </c>
      <c r="AI842" s="2023">
        <f>W842-'Blocking-Step2'!W842</f>
        <v>0</v>
      </c>
      <c r="AJ842" s="2054">
        <f>O842-'Blocking-Step2'!O842</f>
        <v>0</v>
      </c>
    </row>
    <row r="843" spans="1:36">
      <c r="A843" s="1900" t="s">
        <v>1362</v>
      </c>
      <c r="C843" s="528">
        <f t="shared" si="524"/>
        <v>3253739.3356775618</v>
      </c>
      <c r="D843" s="528">
        <f t="shared" si="524"/>
        <v>10344290.948182104</v>
      </c>
      <c r="F843" s="1943">
        <v>3.8127</v>
      </c>
      <c r="G843" s="1921" t="s">
        <v>495</v>
      </c>
      <c r="H843" s="1644">
        <f>ROUND($F843*C843/100,0)</f>
        <v>124055</v>
      </c>
      <c r="I843" s="1644">
        <f>ROUND($F843*D843/100,0)</f>
        <v>394397</v>
      </c>
      <c r="K843" s="1943"/>
      <c r="L843" s="1921"/>
      <c r="M843" s="1943"/>
      <c r="N843" s="1921"/>
      <c r="O843" s="1943"/>
      <c r="P843" s="1921"/>
      <c r="Q843" s="1943"/>
      <c r="R843" s="1921"/>
      <c r="S843" s="1648"/>
      <c r="T843" s="1648"/>
      <c r="U843" s="1648"/>
      <c r="V843" s="1648"/>
      <c r="W843" s="1648"/>
      <c r="X843" s="1648"/>
      <c r="Y843" s="1644"/>
      <c r="AI843" s="2023">
        <f>W843-'Blocking-Step2'!W843</f>
        <v>0</v>
      </c>
      <c r="AJ843" s="2054">
        <f>O843-'Blocking-Step2'!O843</f>
        <v>0</v>
      </c>
    </row>
    <row r="844" spans="1:36">
      <c r="A844" s="1900" t="s">
        <v>1363</v>
      </c>
      <c r="C844" s="528">
        <f t="shared" si="524"/>
        <v>3496874.6612363262</v>
      </c>
      <c r="D844" s="528">
        <f t="shared" si="524"/>
        <v>13815665.669508683</v>
      </c>
      <c r="F844" s="1943">
        <v>3.5143</v>
      </c>
      <c r="G844" s="1921" t="s">
        <v>495</v>
      </c>
      <c r="H844" s="1644">
        <f>ROUND($F844*C844/100,0)</f>
        <v>122891</v>
      </c>
      <c r="I844" s="1644">
        <f>ROUND($F844*D844/100,0)</f>
        <v>485524</v>
      </c>
      <c r="K844" s="1943"/>
      <c r="L844" s="1921"/>
      <c r="M844" s="1943"/>
      <c r="N844" s="1921"/>
      <c r="O844" s="1943"/>
      <c r="P844" s="1921"/>
      <c r="Q844" s="1943"/>
      <c r="R844" s="1921"/>
      <c r="S844" s="1648"/>
      <c r="T844" s="1648"/>
      <c r="U844" s="1648"/>
      <c r="V844" s="1648"/>
      <c r="W844" s="1648"/>
      <c r="X844" s="1648"/>
      <c r="Y844" s="1644"/>
      <c r="AI844" s="2023">
        <f>W844-'Blocking-Step2'!W844</f>
        <v>0</v>
      </c>
      <c r="AJ844" s="2054">
        <f>O844-'Blocking-Step2'!O844</f>
        <v>0</v>
      </c>
    </row>
    <row r="845" spans="1:36">
      <c r="A845" s="1900" t="s">
        <v>246</v>
      </c>
      <c r="C845" s="529">
        <f t="shared" si="524"/>
        <v>20121</v>
      </c>
      <c r="D845" s="529">
        <f t="shared" si="524"/>
        <v>0</v>
      </c>
      <c r="H845" s="1030">
        <f>H864+H883</f>
        <v>2719</v>
      </c>
      <c r="I845" s="1030">
        <v>0</v>
      </c>
      <c r="Y845" s="1030">
        <v>0</v>
      </c>
      <c r="AI845" s="2023">
        <f>W845-'Blocking-Step2'!W845</f>
        <v>0</v>
      </c>
      <c r="AJ845" s="2054">
        <f>O845-'Blocking-Step2'!O845</f>
        <v>0</v>
      </c>
    </row>
    <row r="846" spans="1:36">
      <c r="A846" s="1900" t="s">
        <v>1240</v>
      </c>
      <c r="C846" s="584"/>
      <c r="D846" s="584"/>
      <c r="F846" s="1930">
        <v>-3.61E-2</v>
      </c>
      <c r="G846" s="597"/>
      <c r="H846" s="1644">
        <f>SUM(H840:H841,H843:H844)*$F846</f>
        <v>-20677.033100000001</v>
      </c>
      <c r="I846" s="1644">
        <f>SUM(I840:I841,I843:I844)*$F846</f>
        <v>-75118.504499999995</v>
      </c>
      <c r="K846" s="1930"/>
      <c r="L846" s="597"/>
      <c r="M846" s="1930"/>
      <c r="N846" s="597"/>
      <c r="O846" s="1931" t="str">
        <f>$O$43</f>
        <v>Tax Year 1 (1/1/2021)</v>
      </c>
      <c r="P846" s="597"/>
      <c r="Q846" s="1930">
        <f>$Q$687</f>
        <v>-1.52E-2</v>
      </c>
      <c r="R846" s="597"/>
      <c r="S846" s="1645"/>
      <c r="T846" s="1645"/>
      <c r="U846" s="1645"/>
      <c r="V846" s="1645"/>
      <c r="W846" s="1645"/>
      <c r="X846" s="1645"/>
      <c r="Y846" s="1644">
        <f>Q846*SUM(Y836:Y839)</f>
        <v>-30891.461599999999</v>
      </c>
      <c r="AI846" s="2023">
        <f>W846-'Blocking-Step2'!W846</f>
        <v>0</v>
      </c>
      <c r="AJ846" s="2054">
        <f>O846-'Blocking-Step2'!O846</f>
        <v>0</v>
      </c>
    </row>
    <row r="847" spans="1:36">
      <c r="A847" s="1900"/>
      <c r="C847" s="584"/>
      <c r="D847" s="584"/>
      <c r="F847" s="1930"/>
      <c r="G847" s="597"/>
      <c r="H847" s="1644"/>
      <c r="I847" s="1644"/>
      <c r="K847" s="1930"/>
      <c r="L847" s="597"/>
      <c r="M847" s="1930"/>
      <c r="N847" s="597"/>
      <c r="O847" s="1931">
        <f>$O$44</f>
        <v>0</v>
      </c>
      <c r="P847" s="597"/>
      <c r="Q847" s="1930">
        <f>$Q$688</f>
        <v>0</v>
      </c>
      <c r="R847" s="597"/>
      <c r="S847" s="1645"/>
      <c r="T847" s="1645"/>
      <c r="U847" s="1645"/>
      <c r="V847" s="1645"/>
      <c r="W847" s="1645"/>
      <c r="X847" s="1645"/>
      <c r="Y847" s="1644">
        <f>Q847*SUM(Y836:Y839)</f>
        <v>0</v>
      </c>
      <c r="AI847" s="2023">
        <f>W847-'Blocking-Step2'!W847</f>
        <v>0</v>
      </c>
      <c r="AJ847" s="2054">
        <f>O847-'Blocking-Step2'!O847</f>
        <v>0</v>
      </c>
    </row>
    <row r="848" spans="1:36" ht="16.5" thickBot="1">
      <c r="A848" s="1900" t="s">
        <v>247</v>
      </c>
      <c r="C848" s="1949">
        <f>SUM(C843:C845)</f>
        <v>6770734.9969138876</v>
      </c>
      <c r="D848" s="1949">
        <f>SUM(D843:D845)</f>
        <v>24159956.617690787</v>
      </c>
      <c r="F848" s="1939"/>
      <c r="H848" s="1647">
        <f>SUM(H832:H846)</f>
        <v>669848.9669</v>
      </c>
      <c r="I848" s="1647">
        <f>SUM(I832:I846)</f>
        <v>2419265.4955000002</v>
      </c>
      <c r="K848" s="1939"/>
      <c r="M848" s="1939"/>
      <c r="O848" s="1939"/>
      <c r="Q848" s="1939"/>
      <c r="S848" s="1647">
        <f>SUM(S832:S845)</f>
        <v>954401</v>
      </c>
      <c r="U848" s="1647">
        <f>SUM(U832:U845)</f>
        <v>969474</v>
      </c>
      <c r="W848" s="1647">
        <f>SUM(W832:W845)</f>
        <v>515739</v>
      </c>
      <c r="Y848" s="1647">
        <f>SUM(Y832:Y845)</f>
        <v>2439611</v>
      </c>
      <c r="AA848" s="1104" t="s">
        <v>1743</v>
      </c>
      <c r="AB848" s="1890">
        <f>Y848/I848-1</f>
        <v>8.409785754330823E-3</v>
      </c>
      <c r="AI848" s="2023">
        <f>W848-'Blocking-Step2'!W848</f>
        <v>0</v>
      </c>
      <c r="AJ848" s="2054">
        <f>O848-'Blocking-Step2'!O848</f>
        <v>0</v>
      </c>
    </row>
    <row r="849" spans="1:36" ht="16.5" hidden="1" thickTop="1">
      <c r="AI849" s="2023">
        <f>W849-'Blocking-Step2'!W849</f>
        <v>0</v>
      </c>
      <c r="AJ849" s="2054">
        <f>O849-'Blocking-Step2'!O849</f>
        <v>0</v>
      </c>
    </row>
    <row r="850" spans="1:36" hidden="1">
      <c r="A850" s="1897" t="s">
        <v>1238</v>
      </c>
      <c r="C850" s="528"/>
      <c r="D850" s="528"/>
      <c r="AI850" s="2023">
        <f>W850-'Blocking-Step2'!W850</f>
        <v>0</v>
      </c>
      <c r="AJ850" s="2054">
        <f>O850-'Blocking-Step2'!O850</f>
        <v>0</v>
      </c>
    </row>
    <row r="851" spans="1:36" hidden="1">
      <c r="A851" s="1900" t="s">
        <v>240</v>
      </c>
      <c r="C851" s="528">
        <f>'6'!H31</f>
        <v>215.66666666666669</v>
      </c>
      <c r="D851" s="528">
        <f>Bill!P50</f>
        <v>611</v>
      </c>
      <c r="F851" s="1944">
        <v>54</v>
      </c>
      <c r="G851" s="597"/>
      <c r="H851" s="1644">
        <f t="shared" ref="H851:I861" si="530">ROUND($F851*C851,0)</f>
        <v>11646</v>
      </c>
      <c r="I851" s="1644">
        <f t="shared" si="530"/>
        <v>32994</v>
      </c>
      <c r="K851" s="1944">
        <f>K832</f>
        <v>53</v>
      </c>
      <c r="L851" s="597"/>
      <c r="M851" s="1944">
        <f>M832</f>
        <v>0</v>
      </c>
      <c r="N851" s="597"/>
      <c r="O851" s="1944">
        <f>O832</f>
        <v>0</v>
      </c>
      <c r="P851" s="597"/>
      <c r="Q851" s="1944">
        <f t="shared" ref="Q851:Q858" si="531">Q832</f>
        <v>53</v>
      </c>
      <c r="R851" s="597"/>
      <c r="S851" s="1644">
        <f>ROUND($D851*K851,0)</f>
        <v>32383</v>
      </c>
      <c r="T851" s="1645"/>
      <c r="U851" s="1644">
        <f>ROUND($D851*M851,0)</f>
        <v>0</v>
      </c>
      <c r="V851" s="1645"/>
      <c r="W851" s="1644">
        <f>ROUND($D851*O851,0)</f>
        <v>0</v>
      </c>
      <c r="X851" s="1645"/>
      <c r="Y851" s="1644">
        <f>ROUND($D851*Q851,0)</f>
        <v>32383</v>
      </c>
      <c r="AI851" s="2023">
        <f>W851-'Blocking-Step2'!W851</f>
        <v>0</v>
      </c>
      <c r="AJ851" s="2054">
        <f>O851-'Blocking-Step2'!O851</f>
        <v>0</v>
      </c>
    </row>
    <row r="852" spans="1:36" hidden="1">
      <c r="A852" s="1900" t="s">
        <v>262</v>
      </c>
      <c r="C852" s="584">
        <v>0</v>
      </c>
      <c r="D852" s="528">
        <f>ROUND(C852/C851*D851,0)</f>
        <v>0</v>
      </c>
      <c r="F852" s="1944">
        <v>648</v>
      </c>
      <c r="G852" s="597"/>
      <c r="H852" s="1644">
        <f t="shared" si="530"/>
        <v>0</v>
      </c>
      <c r="I852" s="1644">
        <f t="shared" si="530"/>
        <v>0</v>
      </c>
      <c r="K852" s="1944">
        <f t="shared" ref="K852:K858" si="532">K833</f>
        <v>636</v>
      </c>
      <c r="L852" s="597"/>
      <c r="M852" s="1944">
        <f t="shared" ref="M852:M858" si="533">M833</f>
        <v>0</v>
      </c>
      <c r="N852" s="597"/>
      <c r="O852" s="1944">
        <f t="shared" ref="O852:O858" si="534">O833</f>
        <v>0</v>
      </c>
      <c r="P852" s="597"/>
      <c r="Q852" s="1944">
        <f t="shared" si="531"/>
        <v>636</v>
      </c>
      <c r="R852" s="597"/>
      <c r="S852" s="1644">
        <f t="shared" ref="S852:S856" si="535">ROUND($D852*K852,0)</f>
        <v>0</v>
      </c>
      <c r="T852" s="1645"/>
      <c r="U852" s="1644">
        <f t="shared" ref="U852:U856" si="536">ROUND($D852*M852,0)</f>
        <v>0</v>
      </c>
      <c r="V852" s="1645"/>
      <c r="W852" s="1644">
        <f t="shared" ref="W852:W856" si="537">ROUND($D852*O852,0)</f>
        <v>0</v>
      </c>
      <c r="X852" s="1645"/>
      <c r="Y852" s="1644">
        <f t="shared" ref="Y852:Y856" si="538">ROUND($D852*Q852,0)</f>
        <v>0</v>
      </c>
      <c r="AI852" s="2023">
        <f>W852-'Blocking-Step2'!W852</f>
        <v>0</v>
      </c>
      <c r="AJ852" s="2054">
        <f>O852-'Blocking-Step2'!O852</f>
        <v>0</v>
      </c>
    </row>
    <row r="853" spans="1:36" hidden="1">
      <c r="A853" s="1900" t="s">
        <v>1236</v>
      </c>
      <c r="C853" s="528">
        <f>'6'!I31</f>
        <v>21</v>
      </c>
      <c r="D853" s="528">
        <f>ROUND(C853/C851*D851,0)</f>
        <v>59</v>
      </c>
      <c r="F853" s="1944">
        <v>2</v>
      </c>
      <c r="G853" s="597"/>
      <c r="H853" s="1644">
        <f t="shared" si="530"/>
        <v>42</v>
      </c>
      <c r="I853" s="1644">
        <f t="shared" si="530"/>
        <v>118</v>
      </c>
      <c r="K853" s="1944">
        <f t="shared" si="532"/>
        <v>2</v>
      </c>
      <c r="L853" s="597"/>
      <c r="M853" s="1944">
        <f t="shared" si="533"/>
        <v>0</v>
      </c>
      <c r="N853" s="597"/>
      <c r="O853" s="1944">
        <f t="shared" si="534"/>
        <v>0</v>
      </c>
      <c r="P853" s="597"/>
      <c r="Q853" s="1944">
        <f t="shared" si="531"/>
        <v>2</v>
      </c>
      <c r="R853" s="597"/>
      <c r="S853" s="1644">
        <f t="shared" si="535"/>
        <v>118</v>
      </c>
      <c r="T853" s="1645"/>
      <c r="U853" s="1644">
        <f t="shared" si="536"/>
        <v>0</v>
      </c>
      <c r="V853" s="1645"/>
      <c r="W853" s="1644">
        <f t="shared" si="537"/>
        <v>0</v>
      </c>
      <c r="X853" s="1645"/>
      <c r="Y853" s="1644">
        <f t="shared" si="538"/>
        <v>118</v>
      </c>
      <c r="AI853" s="2023">
        <f>W853-'Blocking-Step2'!W853</f>
        <v>0</v>
      </c>
      <c r="AJ853" s="2054">
        <f>O853-'Blocking-Step2'!O853</f>
        <v>0</v>
      </c>
    </row>
    <row r="854" spans="1:36" hidden="1">
      <c r="A854" s="1900" t="s">
        <v>168</v>
      </c>
      <c r="C854" s="528">
        <f>'6'!J31</f>
        <v>23596.9975247525</v>
      </c>
      <c r="D854" s="528">
        <f>ROUND(C854/$C$867*$D$867,0)</f>
        <v>94165</v>
      </c>
      <c r="F854" s="1944">
        <v>4.04</v>
      </c>
      <c r="G854" s="597"/>
      <c r="H854" s="1644">
        <f>ROUND($F854*C854,0)</f>
        <v>95332</v>
      </c>
      <c r="I854" s="1644">
        <f>ROUND($F854*D854,0)</f>
        <v>380427</v>
      </c>
      <c r="K854" s="1944">
        <f t="shared" si="532"/>
        <v>3.98</v>
      </c>
      <c r="L854" s="597"/>
      <c r="M854" s="1944">
        <f t="shared" si="533"/>
        <v>0</v>
      </c>
      <c r="N854" s="597"/>
      <c r="O854" s="1944">
        <f t="shared" si="534"/>
        <v>0</v>
      </c>
      <c r="P854" s="597"/>
      <c r="Q854" s="1944">
        <f t="shared" si="531"/>
        <v>3.98</v>
      </c>
      <c r="R854" s="597"/>
      <c r="S854" s="1644">
        <f t="shared" si="535"/>
        <v>374777</v>
      </c>
      <c r="T854" s="1645"/>
      <c r="U854" s="1644">
        <f t="shared" si="536"/>
        <v>0</v>
      </c>
      <c r="V854" s="1645"/>
      <c r="W854" s="1644">
        <f t="shared" si="537"/>
        <v>0</v>
      </c>
      <c r="X854" s="1645"/>
      <c r="Y854" s="1644">
        <f t="shared" si="538"/>
        <v>374777</v>
      </c>
      <c r="AI854" s="2023">
        <f>W854-'Blocking-Step2'!W854</f>
        <v>0</v>
      </c>
      <c r="AJ854" s="2054">
        <f>O854-'Blocking-Step2'!O854</f>
        <v>0</v>
      </c>
    </row>
    <row r="855" spans="1:36" hidden="1">
      <c r="A855" s="1900" t="s">
        <v>1645</v>
      </c>
      <c r="C855" s="528">
        <f>'6'!L31+'6-may'!L31</f>
        <v>10167.939131581556</v>
      </c>
      <c r="D855" s="528">
        <f t="shared" ref="D855:D856" si="539">ROUND(C855/$C$867*$D$867,0)</f>
        <v>40576</v>
      </c>
      <c r="F855" s="1944"/>
      <c r="G855" s="597"/>
      <c r="H855" s="1644"/>
      <c r="I855" s="1644"/>
      <c r="K855" s="1944">
        <f t="shared" si="532"/>
        <v>6.22</v>
      </c>
      <c r="L855" s="597"/>
      <c r="M855" s="1944">
        <f t="shared" si="533"/>
        <v>7.0100000000000007</v>
      </c>
      <c r="N855" s="597"/>
      <c r="O855" s="1944">
        <f t="shared" si="534"/>
        <v>0</v>
      </c>
      <c r="P855" s="597"/>
      <c r="Q855" s="1944">
        <f t="shared" si="531"/>
        <v>13.23</v>
      </c>
      <c r="R855" s="597"/>
      <c r="S855" s="1644">
        <f t="shared" si="535"/>
        <v>252383</v>
      </c>
      <c r="T855" s="1644"/>
      <c r="U855" s="1644">
        <f t="shared" si="536"/>
        <v>284438</v>
      </c>
      <c r="V855" s="1644"/>
      <c r="W855" s="1644">
        <f t="shared" si="537"/>
        <v>0</v>
      </c>
      <c r="X855" s="1645"/>
      <c r="Y855" s="1644">
        <f t="shared" si="538"/>
        <v>536820</v>
      </c>
      <c r="AI855" s="2023">
        <f>W855-'Blocking-Step2'!W855</f>
        <v>0</v>
      </c>
      <c r="AJ855" s="2054">
        <f>O855-'Blocking-Step2'!O855</f>
        <v>0</v>
      </c>
    </row>
    <row r="856" spans="1:36" hidden="1">
      <c r="A856" s="1900" t="s">
        <v>1646</v>
      </c>
      <c r="C856" s="528">
        <f>'6'!M31+'6-may'!M31</f>
        <v>13429.063122904536</v>
      </c>
      <c r="D856" s="528">
        <f t="shared" si="539"/>
        <v>53589</v>
      </c>
      <c r="F856" s="1944"/>
      <c r="G856" s="597"/>
      <c r="H856" s="1644"/>
      <c r="I856" s="1644"/>
      <c r="K856" s="1944">
        <f t="shared" si="532"/>
        <v>5.5</v>
      </c>
      <c r="L856" s="597"/>
      <c r="M856" s="1944">
        <f t="shared" si="533"/>
        <v>6.2100000000000009</v>
      </c>
      <c r="N856" s="597"/>
      <c r="O856" s="1944">
        <f t="shared" si="534"/>
        <v>0</v>
      </c>
      <c r="P856" s="597"/>
      <c r="Q856" s="1944">
        <f t="shared" si="531"/>
        <v>11.71</v>
      </c>
      <c r="R856" s="597"/>
      <c r="S856" s="1644">
        <f t="shared" si="535"/>
        <v>294740</v>
      </c>
      <c r="T856" s="1644"/>
      <c r="U856" s="1644">
        <f t="shared" si="536"/>
        <v>332788</v>
      </c>
      <c r="V856" s="1644"/>
      <c r="W856" s="1644">
        <f t="shared" si="537"/>
        <v>0</v>
      </c>
      <c r="X856" s="1645"/>
      <c r="Y856" s="1644">
        <f t="shared" si="538"/>
        <v>627527</v>
      </c>
      <c r="AI856" s="2023">
        <f>W856-'Blocking-Step2'!W856</f>
        <v>0</v>
      </c>
      <c r="AJ856" s="2054">
        <f>O856-'Blocking-Step2'!O856</f>
        <v>0</v>
      </c>
    </row>
    <row r="857" spans="1:36" hidden="1">
      <c r="A857" s="1900" t="s">
        <v>1647</v>
      </c>
      <c r="C857" s="528">
        <f>'6'!P31+'6'!U31+TempRevMay!W333+'6-may'!P31+'6-may'!U31</f>
        <v>2502935.8660099008</v>
      </c>
      <c r="D857" s="528">
        <f>Energy!S50</f>
        <v>8593598.8227068186</v>
      </c>
      <c r="F857" s="1943"/>
      <c r="G857" s="1921"/>
      <c r="H857" s="1644"/>
      <c r="I857" s="1644"/>
      <c r="K857" s="1943">
        <f t="shared" si="532"/>
        <v>0</v>
      </c>
      <c r="L857" s="1921" t="s">
        <v>495</v>
      </c>
      <c r="M857" s="1943">
        <f t="shared" si="533"/>
        <v>1.5747172373309999</v>
      </c>
      <c r="N857" s="1921" t="s">
        <v>495</v>
      </c>
      <c r="O857" s="1943">
        <f t="shared" si="534"/>
        <v>2.305570240802</v>
      </c>
      <c r="P857" s="1921" t="s">
        <v>495</v>
      </c>
      <c r="Q857" s="1943">
        <f t="shared" si="531"/>
        <v>3.8802874781329999</v>
      </c>
      <c r="R857" s="1921" t="s">
        <v>495</v>
      </c>
      <c r="S857" s="1644">
        <f>ROUND($D857*K857/100,0)</f>
        <v>0</v>
      </c>
      <c r="T857" s="1644"/>
      <c r="U857" s="1644">
        <f>ROUND($D857*M857/100,0)</f>
        <v>135325</v>
      </c>
      <c r="V857" s="1644"/>
      <c r="W857" s="1644">
        <f>ROUND($D857*O857/100,0)</f>
        <v>198131</v>
      </c>
      <c r="X857" s="1648"/>
      <c r="Y857" s="1644">
        <f>ROUND($D857*Q857/100,0)</f>
        <v>333456</v>
      </c>
      <c r="AI857" s="2023">
        <f>W857-'Blocking-Step2'!W857</f>
        <v>0</v>
      </c>
      <c r="AJ857" s="2054">
        <f>O857-'Blocking-Step2'!O857</f>
        <v>0</v>
      </c>
    </row>
    <row r="858" spans="1:36" hidden="1">
      <c r="A858" s="1900" t="s">
        <v>1648</v>
      </c>
      <c r="C858" s="528">
        <f>'6'!Q31+'6'!V31+TempRevMay!W334+'6-may'!Q31+'6-may'!V31</f>
        <v>3519434.1309039872</v>
      </c>
      <c r="D858" s="528">
        <f>Energy!T50</f>
        <v>15566357.794983968</v>
      </c>
      <c r="F858" s="1943"/>
      <c r="G858" s="1921"/>
      <c r="H858" s="1644"/>
      <c r="I858" s="1644"/>
      <c r="K858" s="1943">
        <f t="shared" si="532"/>
        <v>0</v>
      </c>
      <c r="L858" s="1921" t="s">
        <v>495</v>
      </c>
      <c r="M858" s="1943">
        <f t="shared" si="533"/>
        <v>1.3935347233019999</v>
      </c>
      <c r="N858" s="1921" t="s">
        <v>495</v>
      </c>
      <c r="O858" s="1943">
        <f t="shared" si="534"/>
        <v>2.0403480007099999</v>
      </c>
      <c r="P858" s="1921" t="s">
        <v>495</v>
      </c>
      <c r="Q858" s="1943">
        <f t="shared" si="531"/>
        <v>3.4338827240119998</v>
      </c>
      <c r="R858" s="1921" t="s">
        <v>495</v>
      </c>
      <c r="S858" s="1644">
        <f>ROUND($D858*K858/100,0)</f>
        <v>0</v>
      </c>
      <c r="T858" s="1644"/>
      <c r="U858" s="1644">
        <f>ROUND($D858*M858/100,0)</f>
        <v>216923</v>
      </c>
      <c r="V858" s="1644"/>
      <c r="W858" s="1644">
        <f>ROUND($D858*O858/100,0)</f>
        <v>317608</v>
      </c>
      <c r="X858" s="1648"/>
      <c r="Y858" s="1644">
        <f>ROUND($D858*Q858/100,0)</f>
        <v>534530</v>
      </c>
      <c r="AI858" s="2023">
        <f>W858-'Blocking-Step2'!W858</f>
        <v>0</v>
      </c>
      <c r="AJ858" s="2054">
        <f>O858-'Blocking-Step2'!O858</f>
        <v>0</v>
      </c>
    </row>
    <row r="859" spans="1:36" hidden="1">
      <c r="A859" s="1900" t="s">
        <v>196</v>
      </c>
      <c r="C859" s="528">
        <f>'6'!L31</f>
        <v>11724.73461012312</v>
      </c>
      <c r="D859" s="528">
        <f>ROUND(C859/C867*D867,0)</f>
        <v>46788</v>
      </c>
      <c r="F859" s="1944">
        <v>14.62</v>
      </c>
      <c r="G859" s="597"/>
      <c r="H859" s="1644">
        <f t="shared" si="530"/>
        <v>171416</v>
      </c>
      <c r="I859" s="1644">
        <f t="shared" si="530"/>
        <v>684041</v>
      </c>
      <c r="K859" s="1944"/>
      <c r="L859" s="597"/>
      <c r="M859" s="1944"/>
      <c r="N859" s="597"/>
      <c r="O859" s="1944"/>
      <c r="P859" s="597"/>
      <c r="Q859" s="1944"/>
      <c r="R859" s="597"/>
      <c r="S859" s="1644"/>
      <c r="T859" s="1645"/>
      <c r="U859" s="1644"/>
      <c r="V859" s="1645"/>
      <c r="W859" s="1644"/>
      <c r="X859" s="1645"/>
      <c r="Y859" s="1644"/>
      <c r="AI859" s="2023">
        <f>W859-'Blocking-Step2'!W859</f>
        <v>0</v>
      </c>
      <c r="AJ859" s="2054">
        <f>O859-'Blocking-Step2'!O859</f>
        <v>0</v>
      </c>
    </row>
    <row r="860" spans="1:36" hidden="1">
      <c r="A860" s="1900" t="s">
        <v>161</v>
      </c>
      <c r="C860" s="528">
        <f>'6'!M31</f>
        <v>11872.26764436297</v>
      </c>
      <c r="D860" s="528">
        <f>ROUND(C860/C867*D867,0)</f>
        <v>47377</v>
      </c>
      <c r="F860" s="1944">
        <v>10.91</v>
      </c>
      <c r="G860" s="597"/>
      <c r="H860" s="1644">
        <f t="shared" si="530"/>
        <v>129526</v>
      </c>
      <c r="I860" s="1644">
        <f t="shared" si="530"/>
        <v>516883</v>
      </c>
      <c r="K860" s="1944"/>
      <c r="L860" s="597"/>
      <c r="M860" s="1944"/>
      <c r="N860" s="597"/>
      <c r="O860" s="1944"/>
      <c r="P860" s="597"/>
      <c r="Q860" s="1944"/>
      <c r="R860" s="597"/>
      <c r="S860" s="1644"/>
      <c r="T860" s="1645"/>
      <c r="U860" s="1644"/>
      <c r="V860" s="1645"/>
      <c r="W860" s="1644"/>
      <c r="X860" s="1645"/>
      <c r="Y860" s="1644"/>
      <c r="AI860" s="2023">
        <f>W860-'Blocking-Step2'!W860</f>
        <v>0</v>
      </c>
      <c r="AJ860" s="2054">
        <f>O860-'Blocking-Step2'!O860</f>
        <v>0</v>
      </c>
    </row>
    <row r="861" spans="1:36" hidden="1">
      <c r="A861" s="1900" t="s">
        <v>261</v>
      </c>
      <c r="C861" s="528">
        <f>'6'!N31</f>
        <v>0</v>
      </c>
      <c r="D861" s="528">
        <f>ROUND(C861/C867*D867,0)</f>
        <v>0</v>
      </c>
      <c r="F861" s="1944">
        <v>-0.96</v>
      </c>
      <c r="G861" s="597"/>
      <c r="H861" s="1644">
        <f t="shared" si="530"/>
        <v>0</v>
      </c>
      <c r="I861" s="1644">
        <f t="shared" si="530"/>
        <v>0</v>
      </c>
      <c r="K861" s="1944">
        <f>K842</f>
        <v>-0.96</v>
      </c>
      <c r="L861" s="597"/>
      <c r="M861" s="1944">
        <f>M842</f>
        <v>0</v>
      </c>
      <c r="N861" s="597"/>
      <c r="O861" s="1944">
        <f>O842</f>
        <v>0</v>
      </c>
      <c r="P861" s="597"/>
      <c r="Q861" s="1944">
        <f>Q842</f>
        <v>-0.96</v>
      </c>
      <c r="R861" s="597"/>
      <c r="S861" s="1644">
        <f t="shared" ref="S861" si="540">ROUND($D861*K861,0)</f>
        <v>0</v>
      </c>
      <c r="T861" s="1644"/>
      <c r="U861" s="1644">
        <f t="shared" ref="U861" si="541">ROUND($D861*M861,0)</f>
        <v>0</v>
      </c>
      <c r="V861" s="1644"/>
      <c r="W861" s="1644">
        <f t="shared" ref="W861" si="542">ROUND($D861*O861,0)</f>
        <v>0</v>
      </c>
      <c r="X861" s="1645"/>
      <c r="Y861" s="1644">
        <f t="shared" ref="Y861" si="543">ROUND($D861*Q861,0)</f>
        <v>0</v>
      </c>
      <c r="AI861" s="2023">
        <f>W861-'Blocking-Step2'!W861</f>
        <v>0</v>
      </c>
      <c r="AJ861" s="2054">
        <f>O861-'Blocking-Step2'!O861</f>
        <v>0</v>
      </c>
    </row>
    <row r="862" spans="1:36" hidden="1">
      <c r="A862" s="1900" t="s">
        <v>1362</v>
      </c>
      <c r="C862" s="528">
        <f>'6'!P31+'6'!U31+TempRev!W333</f>
        <v>2839373.3356775618</v>
      </c>
      <c r="D862" s="528">
        <f>Energy!Q50</f>
        <v>10344290.948182104</v>
      </c>
      <c r="F862" s="1943">
        <v>3.8127</v>
      </c>
      <c r="G862" s="1921" t="s">
        <v>495</v>
      </c>
      <c r="H862" s="1644">
        <f>ROUND($F862*C862/100,0)</f>
        <v>108257</v>
      </c>
      <c r="I862" s="1644">
        <f>ROUND($F862*D862/100,0)</f>
        <v>394397</v>
      </c>
      <c r="K862" s="1943"/>
      <c r="L862" s="1921"/>
      <c r="M862" s="1943"/>
      <c r="N862" s="1921"/>
      <c r="O862" s="1943"/>
      <c r="P862" s="1921"/>
      <c r="Q862" s="1943"/>
      <c r="R862" s="1921"/>
      <c r="S862" s="1648"/>
      <c r="T862" s="1648"/>
      <c r="U862" s="1648"/>
      <c r="V862" s="1648"/>
      <c r="W862" s="1648"/>
      <c r="X862" s="1648"/>
      <c r="Y862" s="1644"/>
      <c r="AI862" s="2023">
        <f>W862-'Blocking-Step2'!W862</f>
        <v>0</v>
      </c>
      <c r="AJ862" s="2054">
        <f>O862-'Blocking-Step2'!O862</f>
        <v>0</v>
      </c>
    </row>
    <row r="863" spans="1:36" hidden="1">
      <c r="A863" s="1900" t="s">
        <v>1363</v>
      </c>
      <c r="C863" s="528">
        <f>'6'!Q31+'6'!V31+TempRev!W334</f>
        <v>3182996.6612363262</v>
      </c>
      <c r="D863" s="528">
        <f>Energy!R50</f>
        <v>13815665.669508683</v>
      </c>
      <c r="F863" s="1943">
        <v>3.5143</v>
      </c>
      <c r="G863" s="1921" t="s">
        <v>495</v>
      </c>
      <c r="H863" s="1644">
        <f>ROUND($F863*C863/100,0)</f>
        <v>111860</v>
      </c>
      <c r="I863" s="1644">
        <f>ROUND($F863*D863/100,0)</f>
        <v>485524</v>
      </c>
      <c r="K863" s="1943"/>
      <c r="L863" s="1921"/>
      <c r="M863" s="1943"/>
      <c r="N863" s="1921"/>
      <c r="O863" s="1943"/>
      <c r="P863" s="1921"/>
      <c r="Q863" s="1943"/>
      <c r="R863" s="1921"/>
      <c r="S863" s="1648"/>
      <c r="T863" s="1648"/>
      <c r="U863" s="1648"/>
      <c r="V863" s="1648"/>
      <c r="W863" s="1648"/>
      <c r="X863" s="1648"/>
      <c r="Y863" s="1644"/>
      <c r="AI863" s="2023">
        <f>W863-'Blocking-Step2'!W863</f>
        <v>0</v>
      </c>
      <c r="AJ863" s="2054">
        <f>O863-'Blocking-Step2'!O863</f>
        <v>0</v>
      </c>
    </row>
    <row r="864" spans="1:36" hidden="1">
      <c r="A864" s="1900" t="s">
        <v>246</v>
      </c>
      <c r="C864" s="529">
        <f>'Table 2'!J47</f>
        <v>31926</v>
      </c>
      <c r="D864" s="529">
        <v>0</v>
      </c>
      <c r="H864" s="1030">
        <f>'Table 3'!F47</f>
        <v>3599</v>
      </c>
      <c r="I864" s="1030">
        <v>0</v>
      </c>
      <c r="Y864" s="1030">
        <v>0</v>
      </c>
      <c r="AI864" s="2023">
        <f>W864-'Blocking-Step2'!W864</f>
        <v>0</v>
      </c>
      <c r="AJ864" s="2054">
        <f>O864-'Blocking-Step2'!O864</f>
        <v>0</v>
      </c>
    </row>
    <row r="865" spans="1:36" hidden="1">
      <c r="A865" s="1900" t="s">
        <v>1240</v>
      </c>
      <c r="C865" s="584"/>
      <c r="D865" s="584"/>
      <c r="F865" s="1930">
        <v>-3.61E-2</v>
      </c>
      <c r="G865" s="597"/>
      <c r="H865" s="1644">
        <f>SUM(H859:H860,H862:H863)*$F865</f>
        <v>-18810.229899999998</v>
      </c>
      <c r="I865" s="1644">
        <f>SUM(I859:I860,I862:I863)*$F865</f>
        <v>-75118.504499999995</v>
      </c>
      <c r="K865" s="1930"/>
      <c r="L865" s="597"/>
      <c r="M865" s="1930"/>
      <c r="N865" s="597"/>
      <c r="O865" s="1931" t="str">
        <f>$O$43</f>
        <v>Tax Year 1 (1/1/2021)</v>
      </c>
      <c r="P865" s="597"/>
      <c r="Q865" s="1930">
        <f>$Q$687</f>
        <v>-1.52E-2</v>
      </c>
      <c r="R865" s="597"/>
      <c r="S865" s="1645"/>
      <c r="T865" s="1645"/>
      <c r="U865" s="1645"/>
      <c r="V865" s="1645"/>
      <c r="W865" s="1645"/>
      <c r="X865" s="1645"/>
      <c r="Y865" s="1644">
        <f>Q865*SUM(Y855:Y858)</f>
        <v>-30891.461599999999</v>
      </c>
      <c r="AI865" s="2023">
        <f>W865-'Blocking-Step2'!W865</f>
        <v>0</v>
      </c>
      <c r="AJ865" s="2054">
        <f>O865-'Blocking-Step2'!O865</f>
        <v>0</v>
      </c>
    </row>
    <row r="866" spans="1:36" hidden="1">
      <c r="A866" s="1900"/>
      <c r="C866" s="584"/>
      <c r="D866" s="584"/>
      <c r="F866" s="1930"/>
      <c r="G866" s="597"/>
      <c r="H866" s="1644"/>
      <c r="I866" s="1644"/>
      <c r="K866" s="1930"/>
      <c r="L866" s="597"/>
      <c r="M866" s="1930"/>
      <c r="N866" s="597"/>
      <c r="O866" s="1931">
        <f>$O$44</f>
        <v>0</v>
      </c>
      <c r="P866" s="597"/>
      <c r="Q866" s="1930">
        <f>$Q$688</f>
        <v>0</v>
      </c>
      <c r="R866" s="597"/>
      <c r="S866" s="1645"/>
      <c r="T866" s="1645"/>
      <c r="U866" s="1645"/>
      <c r="V866" s="1645"/>
      <c r="W866" s="1645"/>
      <c r="X866" s="1645"/>
      <c r="Y866" s="1644">
        <f>Q866*SUM(Y855:Y858)</f>
        <v>0</v>
      </c>
      <c r="AI866" s="2023">
        <f>W866-'Blocking-Step2'!W866</f>
        <v>0</v>
      </c>
      <c r="AJ866" s="2054">
        <f>O866-'Blocking-Step2'!O866</f>
        <v>0</v>
      </c>
    </row>
    <row r="867" spans="1:36" ht="16.5" hidden="1" thickBot="1">
      <c r="A867" s="1900" t="s">
        <v>247</v>
      </c>
      <c r="C867" s="1949">
        <f>SUM(C862:C864)</f>
        <v>6054295.9969138876</v>
      </c>
      <c r="D867" s="1949">
        <f>SUM(D862:D864)</f>
        <v>24159956.617690787</v>
      </c>
      <c r="F867" s="1939"/>
      <c r="H867" s="1647">
        <f>SUM(H851:H865)</f>
        <v>612867.77009999997</v>
      </c>
      <c r="I867" s="1647">
        <f>SUM(I851:I865)</f>
        <v>2419265.4955000002</v>
      </c>
      <c r="K867" s="1939"/>
      <c r="M867" s="1939"/>
      <c r="O867" s="1939"/>
      <c r="Q867" s="1939"/>
      <c r="S867" s="1647">
        <f>SUM(S851:S864)</f>
        <v>954401</v>
      </c>
      <c r="U867" s="1647">
        <f>SUM(U851:U864)</f>
        <v>969474</v>
      </c>
      <c r="W867" s="1647">
        <f>SUM(W851:W864)</f>
        <v>515739</v>
      </c>
      <c r="Y867" s="1647">
        <f>SUM(Y851:Y864)</f>
        <v>2439611</v>
      </c>
      <c r="AA867" s="1104" t="s">
        <v>1743</v>
      </c>
      <c r="AB867" s="1890">
        <f>Y867/I867-1</f>
        <v>8.409785754330823E-3</v>
      </c>
      <c r="AI867" s="2023">
        <f>W867-'Blocking-Step2'!W867</f>
        <v>0</v>
      </c>
      <c r="AJ867" s="2054">
        <f>O867-'Blocking-Step2'!O867</f>
        <v>0</v>
      </c>
    </row>
    <row r="868" spans="1:36" ht="16.5" hidden="1" thickTop="1">
      <c r="AI868" s="2023">
        <f>W868-'Blocking-Step2'!W868</f>
        <v>0</v>
      </c>
      <c r="AJ868" s="2054">
        <f>O868-'Blocking-Step2'!O868</f>
        <v>0</v>
      </c>
    </row>
    <row r="869" spans="1:36" hidden="1">
      <c r="A869" s="1897" t="s">
        <v>1559</v>
      </c>
      <c r="C869" s="528"/>
      <c r="D869" s="528"/>
      <c r="AI869" s="2023">
        <f>W869-'Blocking-Step2'!W869</f>
        <v>0</v>
      </c>
      <c r="AJ869" s="2054">
        <f>O869-'Blocking-Step2'!O869</f>
        <v>0</v>
      </c>
    </row>
    <row r="870" spans="1:36" hidden="1">
      <c r="A870" s="1900" t="s">
        <v>240</v>
      </c>
      <c r="C870" s="528">
        <f>'6'!H32</f>
        <v>5.06666666666667</v>
      </c>
      <c r="D870" s="528">
        <v>0</v>
      </c>
      <c r="F870" s="1944">
        <v>54</v>
      </c>
      <c r="G870" s="597"/>
      <c r="H870" s="1644">
        <f t="shared" ref="H870:I880" si="544">ROUND($F870*C870,0)</f>
        <v>274</v>
      </c>
      <c r="I870" s="1644">
        <f t="shared" si="544"/>
        <v>0</v>
      </c>
      <c r="K870" s="1944">
        <f t="shared" ref="K870:K877" si="545">K832</f>
        <v>53</v>
      </c>
      <c r="L870" s="597"/>
      <c r="M870" s="1944">
        <f>M832</f>
        <v>0</v>
      </c>
      <c r="N870" s="597"/>
      <c r="O870" s="1944">
        <f>O832</f>
        <v>0</v>
      </c>
      <c r="P870" s="597"/>
      <c r="Q870" s="1944">
        <f t="shared" ref="Q870:Q877" si="546">Q832</f>
        <v>53</v>
      </c>
      <c r="R870" s="597"/>
      <c r="S870" s="1644">
        <f>ROUND($D870*K870,0)</f>
        <v>0</v>
      </c>
      <c r="T870" s="1645"/>
      <c r="U870" s="1644">
        <f>ROUND($D870*M870,0)</f>
        <v>0</v>
      </c>
      <c r="V870" s="1645"/>
      <c r="W870" s="1644">
        <f>ROUND($D870*O870,0)</f>
        <v>0</v>
      </c>
      <c r="X870" s="1645"/>
      <c r="Y870" s="1644">
        <f>ROUND($D870*Q870,0)</f>
        <v>0</v>
      </c>
      <c r="AI870" s="2023">
        <f>W870-'Blocking-Step2'!W870</f>
        <v>0</v>
      </c>
      <c r="AJ870" s="2054">
        <f>O870-'Blocking-Step2'!O870</f>
        <v>0</v>
      </c>
    </row>
    <row r="871" spans="1:36" hidden="1">
      <c r="A871" s="1900" t="s">
        <v>262</v>
      </c>
      <c r="C871" s="584">
        <v>0</v>
      </c>
      <c r="D871" s="528">
        <f>ROUND(C871/C870*D870,0)</f>
        <v>0</v>
      </c>
      <c r="F871" s="1944">
        <v>648</v>
      </c>
      <c r="G871" s="597"/>
      <c r="H871" s="1644">
        <f t="shared" si="544"/>
        <v>0</v>
      </c>
      <c r="I871" s="1644">
        <f t="shared" si="544"/>
        <v>0</v>
      </c>
      <c r="K871" s="1944">
        <f t="shared" si="545"/>
        <v>636</v>
      </c>
      <c r="L871" s="597"/>
      <c r="M871" s="1944">
        <f t="shared" ref="M871:M877" si="547">M833</f>
        <v>0</v>
      </c>
      <c r="N871" s="597"/>
      <c r="O871" s="1944">
        <f t="shared" ref="O871:O877" si="548">O833</f>
        <v>0</v>
      </c>
      <c r="P871" s="597"/>
      <c r="Q871" s="1944">
        <f t="shared" si="546"/>
        <v>636</v>
      </c>
      <c r="R871" s="597"/>
      <c r="S871" s="1644">
        <f t="shared" ref="S871:S875" si="549">ROUND($D871*K871,0)</f>
        <v>0</v>
      </c>
      <c r="T871" s="1645"/>
      <c r="U871" s="1644">
        <f t="shared" ref="U871:U875" si="550">ROUND($D871*M871,0)</f>
        <v>0</v>
      </c>
      <c r="V871" s="1645"/>
      <c r="W871" s="1644">
        <f t="shared" ref="W871:W875" si="551">ROUND($D871*O871,0)</f>
        <v>0</v>
      </c>
      <c r="X871" s="1645"/>
      <c r="Y871" s="1644">
        <f t="shared" ref="Y871:Y875" si="552">ROUND($D871*Q871,0)</f>
        <v>0</v>
      </c>
      <c r="AI871" s="2023">
        <f>W871-'Blocking-Step2'!W871</f>
        <v>0</v>
      </c>
      <c r="AJ871" s="2054">
        <f>O871-'Blocking-Step2'!O871</f>
        <v>0</v>
      </c>
    </row>
    <row r="872" spans="1:36" hidden="1">
      <c r="A872" s="1900" t="s">
        <v>1236</v>
      </c>
      <c r="C872" s="528">
        <f>'6'!I32</f>
        <v>0</v>
      </c>
      <c r="D872" s="528">
        <f>ROUND(C872/C870*D870,0)</f>
        <v>0</v>
      </c>
      <c r="F872" s="1944">
        <v>2</v>
      </c>
      <c r="G872" s="597"/>
      <c r="H872" s="1644">
        <f t="shared" si="544"/>
        <v>0</v>
      </c>
      <c r="I872" s="1644">
        <f t="shared" si="544"/>
        <v>0</v>
      </c>
      <c r="K872" s="1944">
        <f t="shared" si="545"/>
        <v>2</v>
      </c>
      <c r="L872" s="597"/>
      <c r="M872" s="1944">
        <f t="shared" si="547"/>
        <v>0</v>
      </c>
      <c r="N872" s="597"/>
      <c r="O872" s="1944">
        <f t="shared" si="548"/>
        <v>0</v>
      </c>
      <c r="P872" s="597"/>
      <c r="Q872" s="1944">
        <f t="shared" si="546"/>
        <v>2</v>
      </c>
      <c r="R872" s="597"/>
      <c r="S872" s="1644">
        <f t="shared" si="549"/>
        <v>0</v>
      </c>
      <c r="T872" s="1645"/>
      <c r="U872" s="1644">
        <f t="shared" si="550"/>
        <v>0</v>
      </c>
      <c r="V872" s="1645"/>
      <c r="W872" s="1644">
        <f t="shared" si="551"/>
        <v>0</v>
      </c>
      <c r="X872" s="1645"/>
      <c r="Y872" s="1644">
        <f t="shared" si="552"/>
        <v>0</v>
      </c>
      <c r="AI872" s="2023">
        <f>W872-'Blocking-Step2'!W872</f>
        <v>0</v>
      </c>
      <c r="AJ872" s="2054">
        <f>O872-'Blocking-Step2'!O872</f>
        <v>0</v>
      </c>
    </row>
    <row r="873" spans="1:36" hidden="1">
      <c r="A873" s="1900" t="s">
        <v>168</v>
      </c>
      <c r="C873" s="528">
        <f>'6'!J32</f>
        <v>1916.26732673267</v>
      </c>
      <c r="D873" s="528">
        <f>ROUND(C873/C886*D886,0)</f>
        <v>0</v>
      </c>
      <c r="F873" s="1944">
        <v>4.04</v>
      </c>
      <c r="G873" s="597"/>
      <c r="H873" s="1644">
        <f>ROUND($F873*C873,0)</f>
        <v>7742</v>
      </c>
      <c r="I873" s="1644">
        <f>ROUND($F873*D873,0)</f>
        <v>0</v>
      </c>
      <c r="K873" s="1944">
        <f t="shared" si="545"/>
        <v>3.98</v>
      </c>
      <c r="L873" s="597"/>
      <c r="M873" s="1944">
        <f t="shared" si="547"/>
        <v>0</v>
      </c>
      <c r="N873" s="597"/>
      <c r="O873" s="1944">
        <f t="shared" si="548"/>
        <v>0</v>
      </c>
      <c r="P873" s="597"/>
      <c r="Q873" s="1944">
        <f t="shared" si="546"/>
        <v>3.98</v>
      </c>
      <c r="R873" s="597"/>
      <c r="S873" s="1644">
        <f t="shared" si="549"/>
        <v>0</v>
      </c>
      <c r="T873" s="1645"/>
      <c r="U873" s="1644">
        <f t="shared" si="550"/>
        <v>0</v>
      </c>
      <c r="V873" s="1645"/>
      <c r="W873" s="1644">
        <f t="shared" si="551"/>
        <v>0</v>
      </c>
      <c r="X873" s="1645"/>
      <c r="Y873" s="1644">
        <f t="shared" si="552"/>
        <v>0</v>
      </c>
      <c r="AI873" s="2023">
        <f>W873-'Blocking-Step2'!W873</f>
        <v>0</v>
      </c>
      <c r="AJ873" s="2054">
        <f>O873-'Blocking-Step2'!O873</f>
        <v>0</v>
      </c>
    </row>
    <row r="874" spans="1:36" hidden="1">
      <c r="A874" s="1900" t="s">
        <v>1645</v>
      </c>
      <c r="C874" s="528">
        <f>'6'!L32+'6-may'!L32</f>
        <v>1071.85294117647</v>
      </c>
      <c r="D874" s="528"/>
      <c r="F874" s="1944"/>
      <c r="G874" s="597"/>
      <c r="H874" s="1644"/>
      <c r="I874" s="1644"/>
      <c r="K874" s="1944">
        <f t="shared" si="545"/>
        <v>6.22</v>
      </c>
      <c r="L874" s="597"/>
      <c r="M874" s="1944">
        <f t="shared" si="547"/>
        <v>7.0100000000000007</v>
      </c>
      <c r="N874" s="597"/>
      <c r="O874" s="1944">
        <f t="shared" si="548"/>
        <v>0</v>
      </c>
      <c r="P874" s="597"/>
      <c r="Q874" s="1944">
        <f t="shared" si="546"/>
        <v>13.23</v>
      </c>
      <c r="R874" s="597"/>
      <c r="S874" s="1644">
        <f t="shared" si="549"/>
        <v>0</v>
      </c>
      <c r="T874" s="1644"/>
      <c r="U874" s="1644">
        <f t="shared" si="550"/>
        <v>0</v>
      </c>
      <c r="V874" s="1644"/>
      <c r="W874" s="1644">
        <f t="shared" si="551"/>
        <v>0</v>
      </c>
      <c r="X874" s="1645"/>
      <c r="Y874" s="1644">
        <f t="shared" si="552"/>
        <v>0</v>
      </c>
      <c r="AI874" s="2023">
        <f>W874-'Blocking-Step2'!W874</f>
        <v>0</v>
      </c>
      <c r="AJ874" s="2054">
        <f>O874-'Blocking-Step2'!O874</f>
        <v>0</v>
      </c>
    </row>
    <row r="875" spans="1:36" hidden="1">
      <c r="A875" s="1900" t="s">
        <v>1646</v>
      </c>
      <c r="C875" s="528">
        <f>'6'!M32+'6-may'!M32</f>
        <v>844.41338221814897</v>
      </c>
      <c r="D875" s="528"/>
      <c r="F875" s="1944"/>
      <c r="G875" s="597"/>
      <c r="H875" s="1644"/>
      <c r="I875" s="1644"/>
      <c r="K875" s="1944">
        <f t="shared" si="545"/>
        <v>5.5</v>
      </c>
      <c r="L875" s="597"/>
      <c r="M875" s="1944">
        <f t="shared" si="547"/>
        <v>6.2100000000000009</v>
      </c>
      <c r="N875" s="597"/>
      <c r="O875" s="1944">
        <f t="shared" si="548"/>
        <v>0</v>
      </c>
      <c r="P875" s="597"/>
      <c r="Q875" s="1944">
        <f t="shared" si="546"/>
        <v>11.71</v>
      </c>
      <c r="R875" s="597"/>
      <c r="S875" s="1644">
        <f t="shared" si="549"/>
        <v>0</v>
      </c>
      <c r="T875" s="1644"/>
      <c r="U875" s="1644">
        <f t="shared" si="550"/>
        <v>0</v>
      </c>
      <c r="V875" s="1644"/>
      <c r="W875" s="1644">
        <f t="shared" si="551"/>
        <v>0</v>
      </c>
      <c r="X875" s="1645"/>
      <c r="Y875" s="1644">
        <f t="shared" si="552"/>
        <v>0</v>
      </c>
      <c r="AI875" s="2023">
        <f>W875-'Blocking-Step2'!W875</f>
        <v>0</v>
      </c>
      <c r="AJ875" s="2054">
        <f>O875-'Blocking-Step2'!O875</f>
        <v>0</v>
      </c>
    </row>
    <row r="876" spans="1:36" hidden="1">
      <c r="A876" s="1900" t="s">
        <v>1647</v>
      </c>
      <c r="C876" s="528">
        <f>'6'!P32+'6'!U32+'6-may'!P32+'6-may'!U32</f>
        <v>414366</v>
      </c>
      <c r="D876" s="528"/>
      <c r="F876" s="1943"/>
      <c r="G876" s="1921"/>
      <c r="H876" s="1644"/>
      <c r="I876" s="1644"/>
      <c r="K876" s="1943">
        <f t="shared" si="545"/>
        <v>0</v>
      </c>
      <c r="L876" s="1921" t="s">
        <v>495</v>
      </c>
      <c r="M876" s="1943">
        <f t="shared" si="547"/>
        <v>1.5747172373309999</v>
      </c>
      <c r="N876" s="1921" t="s">
        <v>495</v>
      </c>
      <c r="O876" s="1943">
        <f t="shared" si="548"/>
        <v>2.305570240802</v>
      </c>
      <c r="P876" s="1921" t="s">
        <v>495</v>
      </c>
      <c r="Q876" s="1943">
        <f t="shared" si="546"/>
        <v>3.8802874781329999</v>
      </c>
      <c r="R876" s="1921" t="s">
        <v>495</v>
      </c>
      <c r="S876" s="1644">
        <f>ROUND($D876*K876/100,0)</f>
        <v>0</v>
      </c>
      <c r="T876" s="1644"/>
      <c r="U876" s="1644">
        <f>ROUND($D876*M876/100,0)</f>
        <v>0</v>
      </c>
      <c r="V876" s="1644"/>
      <c r="W876" s="1644">
        <f>ROUND($D876*O876/100,0)</f>
        <v>0</v>
      </c>
      <c r="X876" s="1648"/>
      <c r="Y876" s="1644">
        <f>ROUND($D876*Q876/100,0)</f>
        <v>0</v>
      </c>
      <c r="AI876" s="2023">
        <f>W876-'Blocking-Step2'!W876</f>
        <v>0</v>
      </c>
      <c r="AJ876" s="2054">
        <f>O876-'Blocking-Step2'!O876</f>
        <v>0</v>
      </c>
    </row>
    <row r="877" spans="1:36" hidden="1">
      <c r="A877" s="1900" t="s">
        <v>1648</v>
      </c>
      <c r="C877" s="528">
        <f>'6'!Q32+'6'!V32+'6-may'!Q32+'6-may'!V32</f>
        <v>313878</v>
      </c>
      <c r="D877" s="528"/>
      <c r="F877" s="1943"/>
      <c r="G877" s="1921"/>
      <c r="H877" s="1644"/>
      <c r="I877" s="1644"/>
      <c r="K877" s="1943">
        <f t="shared" si="545"/>
        <v>0</v>
      </c>
      <c r="L877" s="1921" t="s">
        <v>495</v>
      </c>
      <c r="M877" s="1943">
        <f t="shared" si="547"/>
        <v>1.3935347233019999</v>
      </c>
      <c r="N877" s="1921" t="s">
        <v>495</v>
      </c>
      <c r="O877" s="1943">
        <f t="shared" si="548"/>
        <v>2.0403480007099999</v>
      </c>
      <c r="P877" s="1921" t="s">
        <v>495</v>
      </c>
      <c r="Q877" s="1943">
        <f t="shared" si="546"/>
        <v>3.4338827240119998</v>
      </c>
      <c r="R877" s="1921" t="s">
        <v>495</v>
      </c>
      <c r="S877" s="1644">
        <f>ROUND($D877*K877/100,0)</f>
        <v>0</v>
      </c>
      <c r="T877" s="1644"/>
      <c r="U877" s="1644">
        <f>ROUND($D877*M877/100,0)</f>
        <v>0</v>
      </c>
      <c r="V877" s="1644"/>
      <c r="W877" s="1644">
        <f>ROUND($D877*O877/100,0)</f>
        <v>0</v>
      </c>
      <c r="X877" s="1648"/>
      <c r="Y877" s="1644">
        <f>ROUND($D877*Q877/100,0)</f>
        <v>0</v>
      </c>
      <c r="AI877" s="2023">
        <f>W877-'Blocking-Step2'!W877</f>
        <v>0</v>
      </c>
      <c r="AJ877" s="2054">
        <f>O877-'Blocking-Step2'!O877</f>
        <v>0</v>
      </c>
    </row>
    <row r="878" spans="1:36" hidden="1">
      <c r="A878" s="1900" t="s">
        <v>196</v>
      </c>
      <c r="C878" s="528">
        <f>'6'!L32</f>
        <v>1071.85294117647</v>
      </c>
      <c r="D878" s="528">
        <f>ROUND(C878/C886*D886,0)</f>
        <v>0</v>
      </c>
      <c r="F878" s="1944">
        <v>14.62</v>
      </c>
      <c r="G878" s="597"/>
      <c r="H878" s="1644">
        <f t="shared" si="544"/>
        <v>15670</v>
      </c>
      <c r="I878" s="1644">
        <f t="shared" si="544"/>
        <v>0</v>
      </c>
      <c r="K878" s="1944"/>
      <c r="L878" s="597"/>
      <c r="M878" s="1944"/>
      <c r="N878" s="597"/>
      <c r="O878" s="1944"/>
      <c r="P878" s="597"/>
      <c r="Q878" s="1944"/>
      <c r="R878" s="597"/>
      <c r="S878" s="1644"/>
      <c r="T878" s="1645"/>
      <c r="U878" s="1644"/>
      <c r="V878" s="1645"/>
      <c r="W878" s="1644"/>
      <c r="X878" s="1645"/>
      <c r="Y878" s="1644"/>
      <c r="AI878" s="2023">
        <f>W878-'Blocking-Step2'!W878</f>
        <v>0</v>
      </c>
      <c r="AJ878" s="2054">
        <f>O878-'Blocking-Step2'!O878</f>
        <v>0</v>
      </c>
    </row>
    <row r="879" spans="1:36" hidden="1">
      <c r="A879" s="1900" t="s">
        <v>161</v>
      </c>
      <c r="C879" s="528">
        <f>'6'!M32</f>
        <v>844.41338221814897</v>
      </c>
      <c r="D879" s="528">
        <f>ROUND(C879/C886*D886,0)</f>
        <v>0</v>
      </c>
      <c r="F879" s="1944">
        <v>10.91</v>
      </c>
      <c r="G879" s="597"/>
      <c r="H879" s="1644">
        <f t="shared" si="544"/>
        <v>9213</v>
      </c>
      <c r="I879" s="1644">
        <f t="shared" si="544"/>
        <v>0</v>
      </c>
      <c r="K879" s="1944"/>
      <c r="L879" s="597"/>
      <c r="M879" s="1944"/>
      <c r="N879" s="597"/>
      <c r="O879" s="1944"/>
      <c r="P879" s="597"/>
      <c r="Q879" s="1944"/>
      <c r="R879" s="597"/>
      <c r="S879" s="1644"/>
      <c r="T879" s="1645"/>
      <c r="U879" s="1644"/>
      <c r="V879" s="1645"/>
      <c r="W879" s="1644"/>
      <c r="X879" s="1645"/>
      <c r="Y879" s="1644"/>
      <c r="AI879" s="2023">
        <f>W879-'Blocking-Step2'!W879</f>
        <v>0</v>
      </c>
      <c r="AJ879" s="2054">
        <f>O879-'Blocking-Step2'!O879</f>
        <v>0</v>
      </c>
    </row>
    <row r="880" spans="1:36" hidden="1">
      <c r="A880" s="1900" t="s">
        <v>261</v>
      </c>
      <c r="C880" s="528">
        <f>'6'!N32</f>
        <v>0</v>
      </c>
      <c r="D880" s="528">
        <f>ROUND(C880/C886*D886,0)</f>
        <v>0</v>
      </c>
      <c r="F880" s="1944">
        <v>-0.96</v>
      </c>
      <c r="G880" s="597"/>
      <c r="H880" s="1644">
        <f t="shared" si="544"/>
        <v>0</v>
      </c>
      <c r="I880" s="1644">
        <f t="shared" si="544"/>
        <v>0</v>
      </c>
      <c r="K880" s="1944">
        <f>K842</f>
        <v>-0.96</v>
      </c>
      <c r="L880" s="597"/>
      <c r="M880" s="1944">
        <f>M842</f>
        <v>0</v>
      </c>
      <c r="N880" s="597"/>
      <c r="O880" s="1944">
        <f>O842</f>
        <v>0</v>
      </c>
      <c r="P880" s="597"/>
      <c r="Q880" s="1944">
        <f>Q842</f>
        <v>-0.96</v>
      </c>
      <c r="R880" s="597"/>
      <c r="S880" s="1644">
        <f t="shared" ref="S880" si="553">ROUND($D880*K880,0)</f>
        <v>0</v>
      </c>
      <c r="T880" s="1644"/>
      <c r="U880" s="1644">
        <f t="shared" ref="U880" si="554">ROUND($D880*M880,0)</f>
        <v>0</v>
      </c>
      <c r="V880" s="1644"/>
      <c r="W880" s="1644">
        <f t="shared" ref="W880" si="555">ROUND($D880*O880,0)</f>
        <v>0</v>
      </c>
      <c r="X880" s="1645"/>
      <c r="Y880" s="1644">
        <f t="shared" ref="Y880" si="556">ROUND($D880*Q880,0)</f>
        <v>0</v>
      </c>
      <c r="AI880" s="2023">
        <f>W880-'Blocking-Step2'!W880</f>
        <v>0</v>
      </c>
      <c r="AJ880" s="2054">
        <f>O880-'Blocking-Step2'!O880</f>
        <v>0</v>
      </c>
    </row>
    <row r="881" spans="1:36" hidden="1">
      <c r="A881" s="1900" t="s">
        <v>1362</v>
      </c>
      <c r="C881" s="528">
        <f>'6'!P32+'6'!U32</f>
        <v>414366</v>
      </c>
      <c r="D881" s="528">
        <v>0</v>
      </c>
      <c r="F881" s="1943">
        <v>3.8127</v>
      </c>
      <c r="G881" s="1921" t="s">
        <v>495</v>
      </c>
      <c r="H881" s="1644">
        <f>ROUND($F881*C881/100,0)</f>
        <v>15799</v>
      </c>
      <c r="I881" s="1644">
        <f>ROUND($F881*D881/100,0)</f>
        <v>0</v>
      </c>
      <c r="K881" s="1943"/>
      <c r="L881" s="1921"/>
      <c r="M881" s="1943"/>
      <c r="N881" s="1921"/>
      <c r="O881" s="1943"/>
      <c r="P881" s="1921"/>
      <c r="Q881" s="1943"/>
      <c r="R881" s="1921"/>
      <c r="S881" s="1648"/>
      <c r="T881" s="1648"/>
      <c r="U881" s="1648"/>
      <c r="V881" s="1648"/>
      <c r="W881" s="1648"/>
      <c r="X881" s="1648"/>
      <c r="Y881" s="1644"/>
      <c r="AI881" s="2023">
        <f>W881-'Blocking-Step2'!W881</f>
        <v>0</v>
      </c>
      <c r="AJ881" s="2054">
        <f>O881-'Blocking-Step2'!O881</f>
        <v>0</v>
      </c>
    </row>
    <row r="882" spans="1:36" hidden="1">
      <c r="A882" s="1900" t="s">
        <v>1363</v>
      </c>
      <c r="C882" s="528">
        <f>'6'!Q32+'6'!V32</f>
        <v>313878</v>
      </c>
      <c r="D882" s="528">
        <v>0</v>
      </c>
      <c r="F882" s="1943">
        <v>3.5143</v>
      </c>
      <c r="G882" s="1921" t="s">
        <v>495</v>
      </c>
      <c r="H882" s="1644">
        <f>ROUND($F882*C882/100,0)</f>
        <v>11031</v>
      </c>
      <c r="I882" s="1644">
        <f>ROUND($F882*D882/100,0)</f>
        <v>0</v>
      </c>
      <c r="K882" s="1943"/>
      <c r="L882" s="1921"/>
      <c r="M882" s="1943"/>
      <c r="N882" s="1921"/>
      <c r="O882" s="1943"/>
      <c r="P882" s="1921"/>
      <c r="Q882" s="1943"/>
      <c r="R882" s="1921"/>
      <c r="S882" s="1648"/>
      <c r="T882" s="1648"/>
      <c r="U882" s="1648"/>
      <c r="V882" s="1648"/>
      <c r="W882" s="1648"/>
      <c r="X882" s="1648"/>
      <c r="Y882" s="1644"/>
      <c r="AI882" s="2023">
        <f>W882-'Blocking-Step2'!W882</f>
        <v>0</v>
      </c>
      <c r="AJ882" s="2054">
        <f>O882-'Blocking-Step2'!O882</f>
        <v>0</v>
      </c>
    </row>
    <row r="883" spans="1:36" hidden="1">
      <c r="A883" s="1900" t="s">
        <v>246</v>
      </c>
      <c r="C883" s="529">
        <f>'Table 2'!J85</f>
        <v>-11805</v>
      </c>
      <c r="D883" s="529">
        <v>0</v>
      </c>
      <c r="H883" s="1030">
        <f>'Table 3'!F85</f>
        <v>-880</v>
      </c>
      <c r="I883" s="1030">
        <v>0</v>
      </c>
      <c r="Y883" s="1030">
        <v>0</v>
      </c>
      <c r="AI883" s="2023">
        <f>W883-'Blocking-Step2'!W883</f>
        <v>0</v>
      </c>
      <c r="AJ883" s="2054">
        <f>O883-'Blocking-Step2'!O883</f>
        <v>0</v>
      </c>
    </row>
    <row r="884" spans="1:36" hidden="1">
      <c r="A884" s="1900" t="s">
        <v>1240</v>
      </c>
      <c r="C884" s="584"/>
      <c r="D884" s="584"/>
      <c r="F884" s="1930">
        <v>-3.61E-2</v>
      </c>
      <c r="G884" s="597"/>
      <c r="H884" s="1644">
        <f>SUM(H878:H879,H881:H882)*$F884</f>
        <v>-1866.8393000000001</v>
      </c>
      <c r="I884" s="1644">
        <f>SUM(I878:I879,I881:I882)*$F884</f>
        <v>0</v>
      </c>
      <c r="K884" s="1930"/>
      <c r="L884" s="597"/>
      <c r="M884" s="1930"/>
      <c r="N884" s="597"/>
      <c r="O884" s="1931" t="str">
        <f>$O$43</f>
        <v>Tax Year 1 (1/1/2021)</v>
      </c>
      <c r="P884" s="597"/>
      <c r="Q884" s="1930">
        <f>$Q$687</f>
        <v>-1.52E-2</v>
      </c>
      <c r="R884" s="597"/>
      <c r="S884" s="1645"/>
      <c r="T884" s="1645"/>
      <c r="U884" s="1645"/>
      <c r="V884" s="1645"/>
      <c r="W884" s="1645"/>
      <c r="X884" s="1645"/>
      <c r="Y884" s="1644">
        <f>Q884*SUM(Y874:Y877)</f>
        <v>0</v>
      </c>
      <c r="AI884" s="2023">
        <f>W884-'Blocking-Step2'!W884</f>
        <v>0</v>
      </c>
      <c r="AJ884" s="2054">
        <f>O884-'Blocking-Step2'!O884</f>
        <v>0</v>
      </c>
    </row>
    <row r="885" spans="1:36" hidden="1">
      <c r="A885" s="1900"/>
      <c r="C885" s="584"/>
      <c r="D885" s="584"/>
      <c r="F885" s="1930"/>
      <c r="G885" s="597"/>
      <c r="H885" s="1644"/>
      <c r="I885" s="1644"/>
      <c r="K885" s="1930"/>
      <c r="L885" s="597"/>
      <c r="M885" s="1930"/>
      <c r="N885" s="597"/>
      <c r="O885" s="1931">
        <f>$O$44</f>
        <v>0</v>
      </c>
      <c r="P885" s="597"/>
      <c r="Q885" s="1930">
        <f>$Q$688</f>
        <v>0</v>
      </c>
      <c r="R885" s="597"/>
      <c r="S885" s="1645"/>
      <c r="T885" s="1645"/>
      <c r="U885" s="1645"/>
      <c r="V885" s="1645"/>
      <c r="W885" s="1645"/>
      <c r="X885" s="1645"/>
      <c r="Y885" s="1644">
        <f>Q885*SUM(Y874:Y877)</f>
        <v>0</v>
      </c>
      <c r="AI885" s="2023">
        <f>W885-'Blocking-Step2'!W885</f>
        <v>0</v>
      </c>
      <c r="AJ885" s="2054">
        <f>O885-'Blocking-Step2'!O885</f>
        <v>0</v>
      </c>
    </row>
    <row r="886" spans="1:36" ht="16.5" hidden="1" thickBot="1">
      <c r="A886" s="1900" t="s">
        <v>247</v>
      </c>
      <c r="C886" s="1949">
        <f>SUM(C881:C883)</f>
        <v>716439</v>
      </c>
      <c r="D886" s="1949">
        <f>SUM(D881:D883)</f>
        <v>0</v>
      </c>
      <c r="F886" s="1939"/>
      <c r="H886" s="1647">
        <f>SUM(H870:H884)</f>
        <v>56982.1607</v>
      </c>
      <c r="I886" s="1647">
        <f>SUM(I870:I884)</f>
        <v>0</v>
      </c>
      <c r="K886" s="1939"/>
      <c r="M886" s="1939"/>
      <c r="O886" s="1939"/>
      <c r="Q886" s="1939"/>
      <c r="S886" s="1647">
        <f>SUM(S870:S883)</f>
        <v>0</v>
      </c>
      <c r="U886" s="1647">
        <f>SUM(U870:U883)</f>
        <v>0</v>
      </c>
      <c r="W886" s="1647">
        <f>SUM(W870:W883)</f>
        <v>0</v>
      </c>
      <c r="Y886" s="1647">
        <f>SUM(Y870:Y883)</f>
        <v>0</v>
      </c>
      <c r="AA886" s="1104" t="s">
        <v>1743</v>
      </c>
      <c r="AB886" s="1890"/>
      <c r="AI886" s="2023">
        <f>W886-'Blocking-Step2'!W886</f>
        <v>0</v>
      </c>
      <c r="AJ886" s="2054">
        <f>O886-'Blocking-Step2'!O886</f>
        <v>0</v>
      </c>
    </row>
    <row r="887" spans="1:36" ht="16.5" thickTop="1">
      <c r="AI887" s="2023">
        <f>W887-'Blocking-Step2'!W887</f>
        <v>0</v>
      </c>
      <c r="AJ887" s="2054">
        <f>O887-'Blocking-Step2'!O887</f>
        <v>0</v>
      </c>
    </row>
    <row r="888" spans="1:36">
      <c r="A888" s="1897" t="s">
        <v>764</v>
      </c>
      <c r="C888" s="528"/>
      <c r="D888" s="528"/>
      <c r="E888" s="597"/>
      <c r="J888" s="597"/>
      <c r="AI888" s="2023">
        <f>W888-'Blocking-Step2'!W888</f>
        <v>0</v>
      </c>
      <c r="AJ888" s="2054">
        <f>O888-'Blocking-Step2'!O888</f>
        <v>0</v>
      </c>
    </row>
    <row r="889" spans="1:36">
      <c r="A889" s="1900" t="s">
        <v>240</v>
      </c>
      <c r="C889" s="528">
        <f t="shared" ref="C889:D901" si="557">C907+C925+C943</f>
        <v>186</v>
      </c>
      <c r="D889" s="528">
        <f t="shared" si="557"/>
        <v>192</v>
      </c>
      <c r="F889" s="1901">
        <v>54</v>
      </c>
      <c r="G889" s="1902"/>
      <c r="H889" s="1644">
        <f t="shared" ref="H889:I898" si="558">ROUND($F889*C889,0)</f>
        <v>10044</v>
      </c>
      <c r="I889" s="1644">
        <f t="shared" si="558"/>
        <v>10368</v>
      </c>
      <c r="K889" s="1901">
        <f>K672</f>
        <v>53</v>
      </c>
      <c r="L889" s="1902"/>
      <c r="M889" s="1901">
        <f>M672</f>
        <v>0</v>
      </c>
      <c r="N889" s="1902"/>
      <c r="O889" s="1901">
        <f>O672</f>
        <v>0</v>
      </c>
      <c r="P889" s="1902"/>
      <c r="Q889" s="1901">
        <f>Q672</f>
        <v>53</v>
      </c>
      <c r="R889" s="1902"/>
      <c r="S889" s="1644">
        <f>ROUND($D889*K889,0)</f>
        <v>10176</v>
      </c>
      <c r="T889" s="1645"/>
      <c r="U889" s="1644">
        <f>ROUND($D889*M889,0)</f>
        <v>0</v>
      </c>
      <c r="V889" s="1645"/>
      <c r="W889" s="1644">
        <f>ROUND($D889*O889,0)</f>
        <v>0</v>
      </c>
      <c r="X889" s="1643"/>
      <c r="Y889" s="1644">
        <f>ROUND($D889*Q889,0)</f>
        <v>10176</v>
      </c>
      <c r="AI889" s="2023">
        <f>W889-'Blocking-Step2'!W889</f>
        <v>0</v>
      </c>
      <c r="AJ889" s="2054">
        <f>O889-'Blocking-Step2'!O889</f>
        <v>0</v>
      </c>
    </row>
    <row r="890" spans="1:36">
      <c r="A890" s="1900" t="s">
        <v>262</v>
      </c>
      <c r="C890" s="528">
        <f t="shared" si="557"/>
        <v>0</v>
      </c>
      <c r="D890" s="528">
        <f t="shared" si="557"/>
        <v>0</v>
      </c>
      <c r="E890" s="597"/>
      <c r="F890" s="1901">
        <v>648</v>
      </c>
      <c r="G890" s="1902"/>
      <c r="H890" s="1644">
        <f t="shared" si="558"/>
        <v>0</v>
      </c>
      <c r="I890" s="1644">
        <f t="shared" si="558"/>
        <v>0</v>
      </c>
      <c r="J890" s="597"/>
      <c r="K890" s="1901">
        <f>K673</f>
        <v>636</v>
      </c>
      <c r="L890" s="1902"/>
      <c r="M890" s="1901">
        <f>M673</f>
        <v>0</v>
      </c>
      <c r="N890" s="1902"/>
      <c r="O890" s="1901">
        <f>O673</f>
        <v>0</v>
      </c>
      <c r="P890" s="1902"/>
      <c r="Q890" s="1901">
        <f>Q673</f>
        <v>636</v>
      </c>
      <c r="R890" s="1902"/>
      <c r="S890" s="1644">
        <f t="shared" ref="S890:S893" si="559">ROUND($D890*K890,0)</f>
        <v>0</v>
      </c>
      <c r="T890" s="1645"/>
      <c r="U890" s="1644">
        <f t="shared" ref="U890:Y893" si="560">ROUND($D890*M890,0)</f>
        <v>0</v>
      </c>
      <c r="V890" s="1645"/>
      <c r="W890" s="1644">
        <f t="shared" si="560"/>
        <v>0</v>
      </c>
      <c r="X890" s="1643"/>
      <c r="Y890" s="1644">
        <f t="shared" si="560"/>
        <v>0</v>
      </c>
      <c r="AI890" s="2023">
        <f>W890-'Blocking-Step2'!W890</f>
        <v>0</v>
      </c>
      <c r="AJ890" s="2054">
        <f>O890-'Blocking-Step2'!O890</f>
        <v>0</v>
      </c>
    </row>
    <row r="891" spans="1:36">
      <c r="A891" s="1900" t="s">
        <v>168</v>
      </c>
      <c r="C891" s="528">
        <f t="shared" si="557"/>
        <v>14257</v>
      </c>
      <c r="D891" s="528">
        <f t="shared" si="557"/>
        <v>14844</v>
      </c>
      <c r="F891" s="1901">
        <v>4.04</v>
      </c>
      <c r="G891" s="1902"/>
      <c r="H891" s="1644">
        <f>ROUND($F891*C891,0)</f>
        <v>57598</v>
      </c>
      <c r="I891" s="1644">
        <f>ROUND($F891*D891,0)</f>
        <v>59970</v>
      </c>
      <c r="K891" s="1901">
        <f>K675</f>
        <v>3.98</v>
      </c>
      <c r="L891" s="1902"/>
      <c r="M891" s="1901">
        <f>M675</f>
        <v>0</v>
      </c>
      <c r="N891" s="1902"/>
      <c r="O891" s="1901">
        <f>O675</f>
        <v>0</v>
      </c>
      <c r="P891" s="1902"/>
      <c r="Q891" s="1901">
        <f>Q675</f>
        <v>3.98</v>
      </c>
      <c r="R891" s="1902"/>
      <c r="S891" s="1644">
        <f t="shared" si="559"/>
        <v>59079</v>
      </c>
      <c r="T891" s="1645"/>
      <c r="U891" s="1644">
        <f t="shared" si="560"/>
        <v>0</v>
      </c>
      <c r="V891" s="1645"/>
      <c r="W891" s="1644">
        <f t="shared" si="560"/>
        <v>0</v>
      </c>
      <c r="X891" s="1643"/>
      <c r="Y891" s="1644">
        <f t="shared" si="560"/>
        <v>59079</v>
      </c>
      <c r="AI891" s="2023">
        <f>W891-'Blocking-Step2'!W891</f>
        <v>0</v>
      </c>
      <c r="AJ891" s="2054">
        <f>O891-'Blocking-Step2'!O891</f>
        <v>0</v>
      </c>
    </row>
    <row r="892" spans="1:36">
      <c r="A892" s="1900" t="s">
        <v>1649</v>
      </c>
      <c r="C892" s="528">
        <f t="shared" si="557"/>
        <v>4160.3301148008668</v>
      </c>
      <c r="D892" s="528">
        <f t="shared" si="557"/>
        <v>4915</v>
      </c>
      <c r="F892" s="1944"/>
      <c r="G892" s="597"/>
      <c r="H892" s="1644"/>
      <c r="I892" s="1644"/>
      <c r="K892" s="1944">
        <f>K676</f>
        <v>6.22</v>
      </c>
      <c r="L892" s="597"/>
      <c r="M892" s="1944">
        <f>M676</f>
        <v>7.0100000000000007</v>
      </c>
      <c r="N892" s="597"/>
      <c r="O892" s="1944">
        <f>O676</f>
        <v>0</v>
      </c>
      <c r="P892" s="597"/>
      <c r="Q892" s="1944">
        <f>Q676</f>
        <v>13.23</v>
      </c>
      <c r="R892" s="597"/>
      <c r="S892" s="1644">
        <f t="shared" si="559"/>
        <v>30571</v>
      </c>
      <c r="T892" s="1644"/>
      <c r="U892" s="1644">
        <f t="shared" si="560"/>
        <v>34454</v>
      </c>
      <c r="V892" s="1644"/>
      <c r="W892" s="1644">
        <f t="shared" si="560"/>
        <v>0</v>
      </c>
      <c r="X892" s="1645"/>
      <c r="Y892" s="1644">
        <f t="shared" si="560"/>
        <v>65025</v>
      </c>
      <c r="AI892" s="2023">
        <f>W892-'Blocking-Step2'!W892</f>
        <v>0</v>
      </c>
      <c r="AJ892" s="2054">
        <f>O892-'Blocking-Step2'!O892</f>
        <v>0</v>
      </c>
    </row>
    <row r="893" spans="1:36">
      <c r="A893" s="1900" t="s">
        <v>1650</v>
      </c>
      <c r="C893" s="528">
        <f t="shared" si="557"/>
        <v>7102.6696538572614</v>
      </c>
      <c r="D893" s="528">
        <f t="shared" si="557"/>
        <v>6971</v>
      </c>
      <c r="F893" s="1944"/>
      <c r="G893" s="597"/>
      <c r="H893" s="1644"/>
      <c r="I893" s="1644"/>
      <c r="K893" s="1944">
        <f>K677</f>
        <v>5.5</v>
      </c>
      <c r="L893" s="597"/>
      <c r="M893" s="1944">
        <f>M677</f>
        <v>6.2100000000000009</v>
      </c>
      <c r="N893" s="597"/>
      <c r="O893" s="1944">
        <f>O677</f>
        <v>0</v>
      </c>
      <c r="P893" s="597"/>
      <c r="Q893" s="1944">
        <f>Q677</f>
        <v>11.71</v>
      </c>
      <c r="R893" s="597"/>
      <c r="S893" s="1644">
        <f t="shared" si="559"/>
        <v>38341</v>
      </c>
      <c r="T893" s="1644"/>
      <c r="U893" s="1644">
        <f t="shared" si="560"/>
        <v>43290</v>
      </c>
      <c r="V893" s="1644"/>
      <c r="W893" s="1644">
        <f t="shared" si="560"/>
        <v>0</v>
      </c>
      <c r="X893" s="1645"/>
      <c r="Y893" s="1644">
        <f t="shared" si="560"/>
        <v>81630</v>
      </c>
      <c r="AI893" s="2023">
        <f>W893-'Blocking-Step2'!W893</f>
        <v>0</v>
      </c>
      <c r="AJ893" s="2054">
        <f>O893-'Blocking-Step2'!O893</f>
        <v>0</v>
      </c>
    </row>
    <row r="894" spans="1:36">
      <c r="A894" s="1900" t="s">
        <v>1647</v>
      </c>
      <c r="C894" s="528">
        <f t="shared" si="557"/>
        <v>1116494.5635641532</v>
      </c>
      <c r="D894" s="528">
        <f t="shared" si="557"/>
        <v>1281170</v>
      </c>
      <c r="F894" s="1943"/>
      <c r="G894" s="1921"/>
      <c r="H894" s="1644"/>
      <c r="I894" s="1644"/>
      <c r="K894" s="1943">
        <f>K678</f>
        <v>0</v>
      </c>
      <c r="L894" s="1921" t="s">
        <v>495</v>
      </c>
      <c r="M894" s="1943">
        <f>M678</f>
        <v>1.5747172373309999</v>
      </c>
      <c r="N894" s="1921" t="s">
        <v>495</v>
      </c>
      <c r="O894" s="1943">
        <f>O678</f>
        <v>2.305570240802</v>
      </c>
      <c r="P894" s="1921" t="s">
        <v>495</v>
      </c>
      <c r="Q894" s="1943">
        <f>Q678</f>
        <v>3.8802874781329999</v>
      </c>
      <c r="R894" s="1921" t="s">
        <v>495</v>
      </c>
      <c r="S894" s="1644">
        <f>ROUND($D894*K894/100,0)</f>
        <v>0</v>
      </c>
      <c r="T894" s="1644"/>
      <c r="U894" s="1644">
        <f>ROUND($D894*M894/100,0)</f>
        <v>20175</v>
      </c>
      <c r="V894" s="1644"/>
      <c r="W894" s="1644">
        <f>ROUND($D894*O894/100,0)</f>
        <v>29538</v>
      </c>
      <c r="X894" s="1648"/>
      <c r="Y894" s="1644">
        <f>ROUND($D894*Q894/100,0)</f>
        <v>49713</v>
      </c>
      <c r="AI894" s="2023">
        <f>W894-'Blocking-Step2'!W894</f>
        <v>0</v>
      </c>
      <c r="AJ894" s="2054">
        <f>O894-'Blocking-Step2'!O894</f>
        <v>0</v>
      </c>
    </row>
    <row r="895" spans="1:36">
      <c r="A895" s="1900" t="s">
        <v>1648</v>
      </c>
      <c r="C895" s="528">
        <f t="shared" si="557"/>
        <v>2191180.143108299</v>
      </c>
      <c r="D895" s="528">
        <f t="shared" si="557"/>
        <v>2099521</v>
      </c>
      <c r="F895" s="1943"/>
      <c r="G895" s="1921"/>
      <c r="H895" s="1644"/>
      <c r="I895" s="1644"/>
      <c r="K895" s="1943">
        <f>K679</f>
        <v>0</v>
      </c>
      <c r="L895" s="1921" t="s">
        <v>495</v>
      </c>
      <c r="M895" s="1943">
        <f>M679</f>
        <v>1.3935347233019999</v>
      </c>
      <c r="N895" s="1921" t="s">
        <v>495</v>
      </c>
      <c r="O895" s="1943">
        <f>O679</f>
        <v>2.0403480007099999</v>
      </c>
      <c r="P895" s="1921" t="s">
        <v>495</v>
      </c>
      <c r="Q895" s="1943">
        <f>Q679</f>
        <v>3.4338827240119998</v>
      </c>
      <c r="R895" s="1921" t="s">
        <v>495</v>
      </c>
      <c r="S895" s="1644">
        <f>ROUND($D895*K895/100,0)</f>
        <v>0</v>
      </c>
      <c r="T895" s="1644"/>
      <c r="U895" s="1644">
        <f>ROUND($D895*M895/100,0)</f>
        <v>29258</v>
      </c>
      <c r="V895" s="1644"/>
      <c r="W895" s="1644">
        <f>ROUND($D895*O895/100,0)</f>
        <v>42838</v>
      </c>
      <c r="X895" s="1648"/>
      <c r="Y895" s="1644">
        <f>ROUND($D895*Q895/100,0)</f>
        <v>72095</v>
      </c>
      <c r="AI895" s="2023">
        <f>W895-'Blocking-Step2'!W895</f>
        <v>0</v>
      </c>
      <c r="AJ895" s="2054">
        <f>O895-'Blocking-Step2'!O895</f>
        <v>0</v>
      </c>
    </row>
    <row r="896" spans="1:36">
      <c r="A896" s="1900" t="s">
        <v>158</v>
      </c>
      <c r="C896" s="528">
        <f t="shared" si="557"/>
        <v>5006.6367989056098</v>
      </c>
      <c r="D896" s="528">
        <f t="shared" si="557"/>
        <v>5072</v>
      </c>
      <c r="F896" s="1901">
        <v>14.62</v>
      </c>
      <c r="G896" s="1902"/>
      <c r="H896" s="1644">
        <f t="shared" si="558"/>
        <v>73197</v>
      </c>
      <c r="I896" s="1644">
        <f t="shared" si="558"/>
        <v>74153</v>
      </c>
      <c r="K896" s="1901"/>
      <c r="L896" s="1902"/>
      <c r="M896" s="1901"/>
      <c r="N896" s="1902"/>
      <c r="O896" s="1901"/>
      <c r="P896" s="1902"/>
      <c r="Q896" s="1901"/>
      <c r="R896" s="1902"/>
      <c r="S896" s="1644"/>
      <c r="T896" s="1645"/>
      <c r="U896" s="1644"/>
      <c r="V896" s="1645"/>
      <c r="W896" s="1644"/>
      <c r="X896" s="1643"/>
      <c r="Y896" s="1644"/>
      <c r="AI896" s="2023">
        <f>W896-'Blocking-Step2'!W896</f>
        <v>0</v>
      </c>
      <c r="AJ896" s="2054">
        <f>O896-'Blocking-Step2'!O896</f>
        <v>0</v>
      </c>
    </row>
    <row r="897" spans="1:36">
      <c r="A897" s="1900" t="s">
        <v>165</v>
      </c>
      <c r="C897" s="528">
        <f t="shared" si="557"/>
        <v>6256.3629697525175</v>
      </c>
      <c r="D897" s="528">
        <f t="shared" si="557"/>
        <v>6688</v>
      </c>
      <c r="F897" s="1901">
        <v>10.91</v>
      </c>
      <c r="G897" s="1902"/>
      <c r="H897" s="1644">
        <f t="shared" si="558"/>
        <v>68257</v>
      </c>
      <c r="I897" s="1644">
        <f t="shared" si="558"/>
        <v>72966</v>
      </c>
      <c r="K897" s="1901"/>
      <c r="L897" s="1902"/>
      <c r="M897" s="1901"/>
      <c r="N897" s="1902"/>
      <c r="O897" s="1901"/>
      <c r="P897" s="1902"/>
      <c r="Q897" s="1901"/>
      <c r="R897" s="1902"/>
      <c r="S897" s="1644"/>
      <c r="T897" s="1645"/>
      <c r="U897" s="1644"/>
      <c r="V897" s="1645"/>
      <c r="W897" s="1644"/>
      <c r="X897" s="1643"/>
      <c r="Y897" s="1644"/>
      <c r="AI897" s="2023">
        <f>W897-'Blocking-Step2'!W897</f>
        <v>0</v>
      </c>
      <c r="AJ897" s="2054">
        <f>O897-'Blocking-Step2'!O897</f>
        <v>0</v>
      </c>
    </row>
    <row r="898" spans="1:36">
      <c r="A898" s="1900" t="s">
        <v>261</v>
      </c>
      <c r="C898" s="528">
        <f t="shared" si="557"/>
        <v>0</v>
      </c>
      <c r="D898" s="528">
        <f t="shared" si="557"/>
        <v>0</v>
      </c>
      <c r="F898" s="1901">
        <v>-0.96</v>
      </c>
      <c r="G898" s="1902"/>
      <c r="H898" s="1644">
        <f t="shared" si="558"/>
        <v>0</v>
      </c>
      <c r="I898" s="1644">
        <f t="shared" si="558"/>
        <v>0</v>
      </c>
      <c r="K898" s="1901">
        <f>K682</f>
        <v>-0.96</v>
      </c>
      <c r="L898" s="1902"/>
      <c r="M898" s="1901">
        <f>M682</f>
        <v>0</v>
      </c>
      <c r="N898" s="1902"/>
      <c r="O898" s="1901">
        <f>O682</f>
        <v>0</v>
      </c>
      <c r="P898" s="1902"/>
      <c r="Q898" s="1901">
        <f>Q682</f>
        <v>-0.96</v>
      </c>
      <c r="R898" s="1902"/>
      <c r="S898" s="1644">
        <f t="shared" ref="S898" si="561">ROUND($D898*K898,0)</f>
        <v>0</v>
      </c>
      <c r="T898" s="1644"/>
      <c r="U898" s="1644">
        <f t="shared" ref="U898:Y898" si="562">ROUND($D898*M898,0)</f>
        <v>0</v>
      </c>
      <c r="V898" s="1644"/>
      <c r="W898" s="1644">
        <f t="shared" si="562"/>
        <v>0</v>
      </c>
      <c r="X898" s="1643"/>
      <c r="Y898" s="1644">
        <f t="shared" si="562"/>
        <v>0</v>
      </c>
      <c r="AI898" s="2023">
        <f>W898-'Blocking-Step2'!W898</f>
        <v>0</v>
      </c>
      <c r="AJ898" s="2054">
        <f>O898-'Blocking-Step2'!O898</f>
        <v>0</v>
      </c>
    </row>
    <row r="899" spans="1:36">
      <c r="A899" s="1900" t="s">
        <v>1362</v>
      </c>
      <c r="C899" s="528">
        <f t="shared" si="557"/>
        <v>1374894.8539157421</v>
      </c>
      <c r="D899" s="528">
        <f t="shared" si="557"/>
        <v>1563144</v>
      </c>
      <c r="F899" s="1943">
        <v>3.8127</v>
      </c>
      <c r="G899" s="1921" t="s">
        <v>495</v>
      </c>
      <c r="H899" s="1644">
        <f>ROUND($F899*C899/100,0)</f>
        <v>52421</v>
      </c>
      <c r="I899" s="1644">
        <f>ROUND($F899*D899/100,0)</f>
        <v>59598</v>
      </c>
      <c r="K899" s="1943"/>
      <c r="L899" s="1921"/>
      <c r="M899" s="1943"/>
      <c r="N899" s="1921"/>
      <c r="O899" s="1943"/>
      <c r="P899" s="1921"/>
      <c r="Q899" s="1943"/>
      <c r="R899" s="1921"/>
      <c r="S899" s="1648"/>
      <c r="T899" s="1648"/>
      <c r="U899" s="1648"/>
      <c r="V899" s="1648"/>
      <c r="W899" s="1648"/>
      <c r="X899" s="1648"/>
      <c r="Y899" s="1644"/>
      <c r="AI899" s="2023">
        <f>W899-'Blocking-Step2'!W899</f>
        <v>0</v>
      </c>
      <c r="AJ899" s="2054">
        <f>O899-'Blocking-Step2'!O899</f>
        <v>0</v>
      </c>
    </row>
    <row r="900" spans="1:36">
      <c r="A900" s="1900" t="s">
        <v>1363</v>
      </c>
      <c r="C900" s="528">
        <f t="shared" si="557"/>
        <v>1932779.8527567103</v>
      </c>
      <c r="D900" s="528">
        <f t="shared" si="557"/>
        <v>1817547</v>
      </c>
      <c r="F900" s="1943">
        <v>3.5143</v>
      </c>
      <c r="G900" s="1921" t="s">
        <v>495</v>
      </c>
      <c r="H900" s="1644">
        <f>ROUND($F900*C900/100,0)</f>
        <v>67924</v>
      </c>
      <c r="I900" s="1644">
        <f>ROUND($F900*D900/100,0)</f>
        <v>63874</v>
      </c>
      <c r="K900" s="1943"/>
      <c r="L900" s="1921"/>
      <c r="M900" s="1943"/>
      <c r="N900" s="1921"/>
      <c r="O900" s="1943"/>
      <c r="P900" s="1921"/>
      <c r="Q900" s="1943"/>
      <c r="R900" s="1921"/>
      <c r="S900" s="1648"/>
      <c r="T900" s="1648"/>
      <c r="U900" s="1648"/>
      <c r="V900" s="1648"/>
      <c r="W900" s="1648"/>
      <c r="X900" s="1648"/>
      <c r="Y900" s="1644"/>
      <c r="AI900" s="2023">
        <f>W900-'Blocking-Step2'!W900</f>
        <v>0</v>
      </c>
      <c r="AJ900" s="2054">
        <f>O900-'Blocking-Step2'!O900</f>
        <v>0</v>
      </c>
    </row>
    <row r="901" spans="1:36">
      <c r="A901" s="1900" t="s">
        <v>246</v>
      </c>
      <c r="C901" s="529">
        <f t="shared" si="557"/>
        <v>17379</v>
      </c>
      <c r="D901" s="529">
        <f t="shared" si="557"/>
        <v>0</v>
      </c>
      <c r="H901" s="1030">
        <f>H919+H937+H955</f>
        <v>1831</v>
      </c>
      <c r="I901" s="1030">
        <f>I919+I937+I955</f>
        <v>0</v>
      </c>
      <c r="Y901" s="1030">
        <f>Y919+Y937+Y955</f>
        <v>0</v>
      </c>
      <c r="AI901" s="2023">
        <f>W901-'Blocking-Step2'!W901</f>
        <v>0</v>
      </c>
      <c r="AJ901" s="2054">
        <f>O901-'Blocking-Step2'!O901</f>
        <v>0</v>
      </c>
    </row>
    <row r="902" spans="1:36">
      <c r="A902" s="1900" t="s">
        <v>1240</v>
      </c>
      <c r="C902" s="584"/>
      <c r="D902" s="584"/>
      <c r="F902" s="1930">
        <v>-3.61E-2</v>
      </c>
      <c r="G902" s="597"/>
      <c r="H902" s="1644">
        <f>SUM(H896:H897,H899:H900)*$F902</f>
        <v>-9450.9439000000002</v>
      </c>
      <c r="I902" s="1644">
        <f>SUM(I896:I897,I899:I900)*$F902</f>
        <v>-9768.3351000000002</v>
      </c>
      <c r="K902" s="1930"/>
      <c r="L902" s="597"/>
      <c r="M902" s="1930"/>
      <c r="N902" s="597"/>
      <c r="O902" s="1931" t="str">
        <f>$O$43</f>
        <v>Tax Year 1 (1/1/2021)</v>
      </c>
      <c r="P902" s="597"/>
      <c r="Q902" s="1930">
        <f>$Q$687</f>
        <v>-1.52E-2</v>
      </c>
      <c r="R902" s="597"/>
      <c r="S902" s="1645"/>
      <c r="T902" s="1645"/>
      <c r="U902" s="1645"/>
      <c r="V902" s="1645"/>
      <c r="W902" s="1645"/>
      <c r="X902" s="1645"/>
      <c r="Y902" s="1644">
        <f>Q902*SUM(Y892:Y895)</f>
        <v>-4080.6376</v>
      </c>
      <c r="AI902" s="2023">
        <f>W902-'Blocking-Step2'!W902</f>
        <v>0</v>
      </c>
      <c r="AJ902" s="2054">
        <f>O902-'Blocking-Step2'!O902</f>
        <v>0</v>
      </c>
    </row>
    <row r="903" spans="1:36">
      <c r="A903" s="1900"/>
      <c r="C903" s="584"/>
      <c r="D903" s="584"/>
      <c r="F903" s="1930"/>
      <c r="G903" s="597"/>
      <c r="H903" s="1644"/>
      <c r="I903" s="1644"/>
      <c r="K903" s="1930"/>
      <c r="L903" s="597"/>
      <c r="M903" s="1930"/>
      <c r="N903" s="597"/>
      <c r="O903" s="1931">
        <f>$O$44</f>
        <v>0</v>
      </c>
      <c r="P903" s="597"/>
      <c r="Q903" s="1930">
        <f>$Q$688</f>
        <v>0</v>
      </c>
      <c r="R903" s="597"/>
      <c r="S903" s="1645"/>
      <c r="T903" s="1645"/>
      <c r="U903" s="1645"/>
      <c r="V903" s="1645"/>
      <c r="W903" s="1645"/>
      <c r="X903" s="1645"/>
      <c r="Y903" s="1644">
        <f>Q903*SUM(Y892:Y895)</f>
        <v>0</v>
      </c>
      <c r="AI903" s="2023">
        <f>W903-'Blocking-Step2'!W903</f>
        <v>0</v>
      </c>
      <c r="AJ903" s="2054">
        <f>O903-'Blocking-Step2'!O903</f>
        <v>0</v>
      </c>
    </row>
    <row r="904" spans="1:36" ht="16.5" thickBot="1">
      <c r="A904" s="1900" t="s">
        <v>247</v>
      </c>
      <c r="C904" s="1949">
        <f>SUM(C899:C901)</f>
        <v>3325053.7066724524</v>
      </c>
      <c r="D904" s="1949">
        <f>SUM(D899:D901)</f>
        <v>3380691</v>
      </c>
      <c r="F904" s="1939"/>
      <c r="H904" s="1647">
        <f>SUM(H889:H902)</f>
        <v>321821.05609999999</v>
      </c>
      <c r="I904" s="1647">
        <f>SUM(I889:I902)</f>
        <v>331160.66489999997</v>
      </c>
      <c r="K904" s="1939"/>
      <c r="M904" s="1939"/>
      <c r="O904" s="1939"/>
      <c r="Q904" s="1939"/>
      <c r="S904" s="1647">
        <f>SUM(S889:S901)</f>
        <v>138167</v>
      </c>
      <c r="U904" s="1647">
        <f>SUM(U889:U901)</f>
        <v>127177</v>
      </c>
      <c r="W904" s="1647">
        <f>SUM(W889:W901)</f>
        <v>72376</v>
      </c>
      <c r="Y904" s="1647">
        <f>SUM(Y889:Y901)</f>
        <v>337718</v>
      </c>
      <c r="AA904" s="1104" t="s">
        <v>1743</v>
      </c>
      <c r="AB904" s="1890">
        <f>Y904/I904-1</f>
        <v>1.9801068771196473E-2</v>
      </c>
      <c r="AI904" s="2023">
        <f>W904-'Blocking-Step2'!W904</f>
        <v>0</v>
      </c>
      <c r="AJ904" s="2054">
        <f>O904-'Blocking-Step2'!O904</f>
        <v>0</v>
      </c>
    </row>
    <row r="905" spans="1:36" ht="16.5" hidden="1" thickTop="1">
      <c r="C905" s="528"/>
      <c r="D905" s="528"/>
      <c r="AI905" s="2023">
        <f>W905-'Blocking-Step2'!W905</f>
        <v>0</v>
      </c>
      <c r="AJ905" s="2054">
        <f>O905-'Blocking-Step2'!O905</f>
        <v>0</v>
      </c>
    </row>
    <row r="906" spans="1:36" hidden="1">
      <c r="A906" s="1897" t="s">
        <v>983</v>
      </c>
      <c r="C906" s="528"/>
      <c r="D906" s="528"/>
      <c r="AI906" s="2023">
        <f>W906-'Blocking-Step2'!W906</f>
        <v>0</v>
      </c>
      <c r="AJ906" s="2054">
        <f>O906-'Blocking-Step2'!O906</f>
        <v>0</v>
      </c>
    </row>
    <row r="907" spans="1:36" hidden="1">
      <c r="A907" s="1950" t="s">
        <v>240</v>
      </c>
      <c r="C907" s="528">
        <f>'6'!H37</f>
        <v>14</v>
      </c>
      <c r="D907" s="528">
        <f>Bill!P12</f>
        <v>12</v>
      </c>
      <c r="F907" s="1901">
        <v>54</v>
      </c>
      <c r="G907" s="1902"/>
      <c r="H907" s="1644">
        <f t="shared" ref="H907:I916" si="563">ROUND($F907*C907,0)</f>
        <v>756</v>
      </c>
      <c r="I907" s="1644">
        <f t="shared" si="563"/>
        <v>648</v>
      </c>
      <c r="K907" s="1901">
        <f t="shared" ref="K907:K913" si="564">K889</f>
        <v>53</v>
      </c>
      <c r="L907" s="1902"/>
      <c r="M907" s="1901">
        <f t="shared" ref="M907:M913" si="565">M889</f>
        <v>0</v>
      </c>
      <c r="N907" s="1902"/>
      <c r="O907" s="1901">
        <f t="shared" ref="O907:O913" si="566">O889</f>
        <v>0</v>
      </c>
      <c r="P907" s="1902"/>
      <c r="Q907" s="1901">
        <f t="shared" ref="Q907:Q913" si="567">Q889</f>
        <v>53</v>
      </c>
      <c r="R907" s="1902"/>
      <c r="S907" s="1644">
        <f>ROUND($D907*K907,0)</f>
        <v>636</v>
      </c>
      <c r="T907" s="1645"/>
      <c r="U907" s="1644">
        <f>ROUND($D907*M907,0)</f>
        <v>0</v>
      </c>
      <c r="V907" s="1645"/>
      <c r="W907" s="1644">
        <f>ROUND($D907*O907,0)</f>
        <v>0</v>
      </c>
      <c r="X907" s="1643"/>
      <c r="Y907" s="1644">
        <f>ROUND($D907*Q907,0)</f>
        <v>636</v>
      </c>
      <c r="AI907" s="2023">
        <f>W907-'Blocking-Step2'!W907</f>
        <v>0</v>
      </c>
      <c r="AJ907" s="2054">
        <f>O907-'Blocking-Step2'!O907</f>
        <v>0</v>
      </c>
    </row>
    <row r="908" spans="1:36" hidden="1">
      <c r="A908" s="1900" t="s">
        <v>262</v>
      </c>
      <c r="C908" s="528">
        <v>0</v>
      </c>
      <c r="D908" s="528">
        <f>ROUND(C908/C907*D907,0)</f>
        <v>0</v>
      </c>
      <c r="E908" s="597"/>
      <c r="F908" s="1901">
        <v>648</v>
      </c>
      <c r="G908" s="1902"/>
      <c r="H908" s="1644">
        <f t="shared" si="563"/>
        <v>0</v>
      </c>
      <c r="I908" s="1644">
        <f t="shared" si="563"/>
        <v>0</v>
      </c>
      <c r="J908" s="597"/>
      <c r="K908" s="1901">
        <f t="shared" si="564"/>
        <v>636</v>
      </c>
      <c r="L908" s="1902"/>
      <c r="M908" s="1901">
        <f t="shared" si="565"/>
        <v>0</v>
      </c>
      <c r="N908" s="1902"/>
      <c r="O908" s="1901">
        <f t="shared" si="566"/>
        <v>0</v>
      </c>
      <c r="P908" s="1902"/>
      <c r="Q908" s="1901">
        <f t="shared" si="567"/>
        <v>636</v>
      </c>
      <c r="R908" s="1902"/>
      <c r="S908" s="1644">
        <f t="shared" ref="S908:S911" si="568">ROUND($D908*K908,0)</f>
        <v>0</v>
      </c>
      <c r="T908" s="1645"/>
      <c r="U908" s="1644">
        <f t="shared" ref="U908:U911" si="569">ROUND($D908*M908,0)</f>
        <v>0</v>
      </c>
      <c r="V908" s="1645"/>
      <c r="W908" s="1644">
        <f t="shared" ref="W908:W911" si="570">ROUND($D908*O908,0)</f>
        <v>0</v>
      </c>
      <c r="X908" s="1643"/>
      <c r="Y908" s="1644">
        <f t="shared" ref="Y908:Y911" si="571">ROUND($D908*Q908,0)</f>
        <v>0</v>
      </c>
      <c r="AI908" s="2023">
        <f>W908-'Blocking-Step2'!W908</f>
        <v>0</v>
      </c>
      <c r="AJ908" s="2054">
        <f>O908-'Blocking-Step2'!O908</f>
        <v>0</v>
      </c>
    </row>
    <row r="909" spans="1:36" hidden="1">
      <c r="A909" s="1900" t="s">
        <v>168</v>
      </c>
      <c r="C909" s="528">
        <f>'6'!J37</f>
        <v>279</v>
      </c>
      <c r="D909" s="528">
        <f>ROUND(C909/C922*D922,0)</f>
        <v>363</v>
      </c>
      <c r="F909" s="1901">
        <v>4.04</v>
      </c>
      <c r="G909" s="1902"/>
      <c r="H909" s="1644">
        <f>ROUND($F909*C909,0)</f>
        <v>1127</v>
      </c>
      <c r="I909" s="1644">
        <f>ROUND($F909*D909,0)</f>
        <v>1467</v>
      </c>
      <c r="K909" s="1901">
        <f t="shared" si="564"/>
        <v>3.98</v>
      </c>
      <c r="L909" s="1902"/>
      <c r="M909" s="1901">
        <f t="shared" si="565"/>
        <v>0</v>
      </c>
      <c r="N909" s="1902"/>
      <c r="O909" s="1901">
        <f t="shared" si="566"/>
        <v>0</v>
      </c>
      <c r="P909" s="1902"/>
      <c r="Q909" s="1901">
        <f t="shared" si="567"/>
        <v>3.98</v>
      </c>
      <c r="R909" s="1902"/>
      <c r="S909" s="1644">
        <f t="shared" si="568"/>
        <v>1445</v>
      </c>
      <c r="T909" s="1645"/>
      <c r="U909" s="1644">
        <f t="shared" si="569"/>
        <v>0</v>
      </c>
      <c r="V909" s="1645"/>
      <c r="W909" s="1644">
        <f t="shared" si="570"/>
        <v>0</v>
      </c>
      <c r="X909" s="1643"/>
      <c r="Y909" s="1644">
        <f t="shared" si="571"/>
        <v>1445</v>
      </c>
      <c r="AI909" s="2023">
        <f>W909-'Blocking-Step2'!W909</f>
        <v>0</v>
      </c>
      <c r="AJ909" s="2054">
        <f>O909-'Blocking-Step2'!O909</f>
        <v>0</v>
      </c>
    </row>
    <row r="910" spans="1:36" hidden="1">
      <c r="A910" s="1900" t="s">
        <v>1649</v>
      </c>
      <c r="C910" s="528">
        <f>'6'!L37+'6-may'!L37</f>
        <v>58.024799757320203</v>
      </c>
      <c r="D910" s="528">
        <f>ROUND(C910/C912*D912,0)</f>
        <v>77</v>
      </c>
      <c r="F910" s="1944"/>
      <c r="G910" s="597"/>
      <c r="H910" s="1644"/>
      <c r="I910" s="1644"/>
      <c r="K910" s="1944">
        <f t="shared" si="564"/>
        <v>6.22</v>
      </c>
      <c r="L910" s="597"/>
      <c r="M910" s="1944">
        <f t="shared" si="565"/>
        <v>7.0100000000000007</v>
      </c>
      <c r="N910" s="597"/>
      <c r="O910" s="1944">
        <f t="shared" si="566"/>
        <v>0</v>
      </c>
      <c r="P910" s="597"/>
      <c r="Q910" s="1944">
        <f t="shared" si="567"/>
        <v>13.23</v>
      </c>
      <c r="R910" s="597"/>
      <c r="S910" s="1644">
        <f t="shared" si="568"/>
        <v>479</v>
      </c>
      <c r="T910" s="1644"/>
      <c r="U910" s="1644">
        <f t="shared" si="569"/>
        <v>540</v>
      </c>
      <c r="V910" s="1644"/>
      <c r="W910" s="1644">
        <f t="shared" si="570"/>
        <v>0</v>
      </c>
      <c r="X910" s="1645"/>
      <c r="Y910" s="1644">
        <f t="shared" si="571"/>
        <v>1019</v>
      </c>
      <c r="AI910" s="2023">
        <f>W910-'Blocking-Step2'!W910</f>
        <v>0</v>
      </c>
      <c r="AJ910" s="2054">
        <f>O910-'Blocking-Step2'!O910</f>
        <v>0</v>
      </c>
    </row>
    <row r="911" spans="1:36" hidden="1">
      <c r="A911" s="1900" t="s">
        <v>1650</v>
      </c>
      <c r="C911" s="528">
        <f>'6'!M37+'6-may'!M37</f>
        <v>11.97507610801749</v>
      </c>
      <c r="D911" s="528">
        <f>ROUND(C911/C913*D913,0)</f>
        <v>15</v>
      </c>
      <c r="F911" s="1944"/>
      <c r="G911" s="597"/>
      <c r="H911" s="1644"/>
      <c r="I911" s="1644"/>
      <c r="K911" s="1944">
        <f t="shared" si="564"/>
        <v>5.5</v>
      </c>
      <c r="L911" s="597"/>
      <c r="M911" s="1944">
        <f t="shared" si="565"/>
        <v>6.2100000000000009</v>
      </c>
      <c r="N911" s="597"/>
      <c r="O911" s="1944">
        <f t="shared" si="566"/>
        <v>0</v>
      </c>
      <c r="P911" s="597"/>
      <c r="Q911" s="1944">
        <f t="shared" si="567"/>
        <v>11.71</v>
      </c>
      <c r="R911" s="597"/>
      <c r="S911" s="1644">
        <f t="shared" si="568"/>
        <v>83</v>
      </c>
      <c r="T911" s="1644"/>
      <c r="U911" s="1644">
        <f t="shared" si="569"/>
        <v>93</v>
      </c>
      <c r="V911" s="1644"/>
      <c r="W911" s="1644">
        <f t="shared" si="570"/>
        <v>0</v>
      </c>
      <c r="X911" s="1645"/>
      <c r="Y911" s="1644">
        <f t="shared" si="571"/>
        <v>176</v>
      </c>
      <c r="AI911" s="2023">
        <f>W911-'Blocking-Step2'!W911</f>
        <v>0</v>
      </c>
      <c r="AJ911" s="2054">
        <f>O911-'Blocking-Step2'!O911</f>
        <v>0</v>
      </c>
    </row>
    <row r="912" spans="1:36" hidden="1">
      <c r="A912" s="1900" t="s">
        <v>1647</v>
      </c>
      <c r="C912" s="528">
        <f>'6'!P37+'6'!U37+'6-may'!P37+'6-may'!U37</f>
        <v>19258.837638376383</v>
      </c>
      <c r="D912" s="528">
        <f>Energy!S12</f>
        <v>25685</v>
      </c>
      <c r="F912" s="1943"/>
      <c r="G912" s="1921"/>
      <c r="H912" s="1644"/>
      <c r="I912" s="1644"/>
      <c r="K912" s="1943">
        <f t="shared" si="564"/>
        <v>0</v>
      </c>
      <c r="L912" s="1921" t="s">
        <v>495</v>
      </c>
      <c r="M912" s="1943">
        <f t="shared" si="565"/>
        <v>1.5747172373309999</v>
      </c>
      <c r="N912" s="1921" t="s">
        <v>495</v>
      </c>
      <c r="O912" s="1943">
        <f t="shared" si="566"/>
        <v>2.305570240802</v>
      </c>
      <c r="P912" s="1921" t="s">
        <v>495</v>
      </c>
      <c r="Q912" s="1943">
        <f t="shared" si="567"/>
        <v>3.8802874781329999</v>
      </c>
      <c r="R912" s="1921" t="s">
        <v>495</v>
      </c>
      <c r="S912" s="1644">
        <f>ROUND($D912*K912/100,0)</f>
        <v>0</v>
      </c>
      <c r="T912" s="1644"/>
      <c r="U912" s="1644">
        <f>ROUND($D912*M912/100,0)</f>
        <v>404</v>
      </c>
      <c r="V912" s="1644"/>
      <c r="W912" s="1644">
        <f>ROUND($D912*O912/100,0)</f>
        <v>592</v>
      </c>
      <c r="X912" s="1648"/>
      <c r="Y912" s="1644">
        <f>ROUND($D912*Q912/100,0)</f>
        <v>997</v>
      </c>
      <c r="AI912" s="2023">
        <f>W912-'Blocking-Step2'!W912</f>
        <v>0</v>
      </c>
      <c r="AJ912" s="2054">
        <f>O912-'Blocking-Step2'!O912</f>
        <v>0</v>
      </c>
    </row>
    <row r="913" spans="1:36" hidden="1">
      <c r="A913" s="1900" t="s">
        <v>1648</v>
      </c>
      <c r="C913" s="528">
        <f>'6'!Q37+'6'!V37+'6-may'!Q37+'6-may'!V37</f>
        <v>6265.1623616236157</v>
      </c>
      <c r="D913" s="528">
        <f>Energy!T12</f>
        <v>7681</v>
      </c>
      <c r="F913" s="1943"/>
      <c r="G913" s="1921"/>
      <c r="H913" s="1644"/>
      <c r="I913" s="1644"/>
      <c r="K913" s="1943">
        <f t="shared" si="564"/>
        <v>0</v>
      </c>
      <c r="L913" s="1921" t="s">
        <v>495</v>
      </c>
      <c r="M913" s="1943">
        <f t="shared" si="565"/>
        <v>1.3935347233019999</v>
      </c>
      <c r="N913" s="1921" t="s">
        <v>495</v>
      </c>
      <c r="O913" s="1943">
        <f t="shared" si="566"/>
        <v>2.0403480007099999</v>
      </c>
      <c r="P913" s="1921" t="s">
        <v>495</v>
      </c>
      <c r="Q913" s="1943">
        <f t="shared" si="567"/>
        <v>3.4338827240119998</v>
      </c>
      <c r="R913" s="1921" t="s">
        <v>495</v>
      </c>
      <c r="S913" s="1644">
        <f>ROUND($D913*K913/100,0)</f>
        <v>0</v>
      </c>
      <c r="T913" s="1644"/>
      <c r="U913" s="1644">
        <f>ROUND($D913*M913/100,0)</f>
        <v>107</v>
      </c>
      <c r="V913" s="1644"/>
      <c r="W913" s="1644">
        <f>ROUND($D913*O913/100,0)</f>
        <v>157</v>
      </c>
      <c r="X913" s="1648"/>
      <c r="Y913" s="1644">
        <f>ROUND($D913*Q913/100,0)</f>
        <v>264</v>
      </c>
      <c r="AI913" s="2023">
        <f>W913-'Blocking-Step2'!W913</f>
        <v>0</v>
      </c>
      <c r="AJ913" s="2054">
        <f>O913-'Blocking-Step2'!O913</f>
        <v>0</v>
      </c>
    </row>
    <row r="914" spans="1:36" hidden="1">
      <c r="A914" s="1900" t="s">
        <v>158</v>
      </c>
      <c r="C914" s="528">
        <f>'6'!L37</f>
        <v>59.024623803009597</v>
      </c>
      <c r="D914" s="528">
        <f>ROUND(C914/C922*D922,0)</f>
        <v>77</v>
      </c>
      <c r="F914" s="1901">
        <v>14.62</v>
      </c>
      <c r="G914" s="1902"/>
      <c r="H914" s="1644">
        <f t="shared" si="563"/>
        <v>863</v>
      </c>
      <c r="I914" s="1644">
        <f t="shared" si="563"/>
        <v>1126</v>
      </c>
      <c r="K914" s="1901"/>
      <c r="L914" s="1902"/>
      <c r="M914" s="1901"/>
      <c r="N914" s="1902"/>
      <c r="O914" s="1901"/>
      <c r="P914" s="1902"/>
      <c r="Q914" s="1901"/>
      <c r="R914" s="1902"/>
      <c r="S914" s="1644"/>
      <c r="T914" s="1645"/>
      <c r="U914" s="1644"/>
      <c r="V914" s="1645"/>
      <c r="W914" s="1644"/>
      <c r="X914" s="1643"/>
      <c r="Y914" s="1644"/>
      <c r="AI914" s="2023">
        <f>W914-'Blocking-Step2'!W914</f>
        <v>0</v>
      </c>
      <c r="AJ914" s="2054">
        <f>O914-'Blocking-Step2'!O914</f>
        <v>0</v>
      </c>
    </row>
    <row r="915" spans="1:36" hidden="1">
      <c r="A915" s="1900" t="s">
        <v>165</v>
      </c>
      <c r="C915" s="528">
        <f>'6'!M37</f>
        <v>10.975252062328099</v>
      </c>
      <c r="D915" s="528">
        <f>ROUND(C915/C922*D922,0)</f>
        <v>14</v>
      </c>
      <c r="F915" s="1901">
        <v>10.91</v>
      </c>
      <c r="G915" s="1902"/>
      <c r="H915" s="1644">
        <f t="shared" si="563"/>
        <v>120</v>
      </c>
      <c r="I915" s="1644">
        <f t="shared" si="563"/>
        <v>153</v>
      </c>
      <c r="K915" s="1901"/>
      <c r="L915" s="1902"/>
      <c r="M915" s="1901"/>
      <c r="N915" s="1902"/>
      <c r="O915" s="1901"/>
      <c r="P915" s="1902"/>
      <c r="Q915" s="1901"/>
      <c r="R915" s="1902"/>
      <c r="S915" s="1644"/>
      <c r="T915" s="1645"/>
      <c r="U915" s="1644"/>
      <c r="V915" s="1645"/>
      <c r="W915" s="1644"/>
      <c r="X915" s="1643"/>
      <c r="Y915" s="1644"/>
      <c r="AI915" s="2023">
        <f>W915-'Blocking-Step2'!W915</f>
        <v>0</v>
      </c>
      <c r="AJ915" s="2054">
        <f>O915-'Blocking-Step2'!O915</f>
        <v>0</v>
      </c>
    </row>
    <row r="916" spans="1:36" hidden="1">
      <c r="A916" s="1900" t="s">
        <v>261</v>
      </c>
      <c r="C916" s="528">
        <f>'6'!N37</f>
        <v>0</v>
      </c>
      <c r="D916" s="528">
        <f>ROUND(C916/C922*D922,0)</f>
        <v>0</v>
      </c>
      <c r="F916" s="1901">
        <v>-0.96</v>
      </c>
      <c r="G916" s="1902"/>
      <c r="H916" s="1644">
        <f t="shared" si="563"/>
        <v>0</v>
      </c>
      <c r="I916" s="1644">
        <f t="shared" si="563"/>
        <v>0</v>
      </c>
      <c r="K916" s="1901">
        <f>K898</f>
        <v>-0.96</v>
      </c>
      <c r="L916" s="1902"/>
      <c r="M916" s="1901">
        <f>M898</f>
        <v>0</v>
      </c>
      <c r="N916" s="1902"/>
      <c r="O916" s="1901">
        <f>O898</f>
        <v>0</v>
      </c>
      <c r="P916" s="1902"/>
      <c r="Q916" s="1901">
        <f>Q898</f>
        <v>-0.96</v>
      </c>
      <c r="R916" s="1902"/>
      <c r="S916" s="1644">
        <f t="shared" ref="S916" si="572">ROUND($D916*K916,0)</f>
        <v>0</v>
      </c>
      <c r="T916" s="1644"/>
      <c r="U916" s="1644">
        <f t="shared" ref="U916" si="573">ROUND($D916*M916,0)</f>
        <v>0</v>
      </c>
      <c r="V916" s="1644"/>
      <c r="W916" s="1644">
        <f t="shared" ref="W916" si="574">ROUND($D916*O916,0)</f>
        <v>0</v>
      </c>
      <c r="X916" s="1643"/>
      <c r="Y916" s="1644">
        <f t="shared" ref="Y916" si="575">ROUND($D916*Q916,0)</f>
        <v>0</v>
      </c>
      <c r="AI916" s="2023">
        <f>W916-'Blocking-Step2'!W916</f>
        <v>0</v>
      </c>
      <c r="AJ916" s="2054">
        <f>O916-'Blocking-Step2'!O916</f>
        <v>0</v>
      </c>
    </row>
    <row r="917" spans="1:36" hidden="1">
      <c r="A917" s="1900" t="s">
        <v>1362</v>
      </c>
      <c r="C917" s="528">
        <f>'6'!P37+'6'!U37</f>
        <v>20340</v>
      </c>
      <c r="D917" s="528">
        <f>Energy!Q12</f>
        <v>26592</v>
      </c>
      <c r="F917" s="1943">
        <v>3.8127</v>
      </c>
      <c r="G917" s="1921" t="s">
        <v>495</v>
      </c>
      <c r="H917" s="1644">
        <f>ROUND($F917*C917/100,0)</f>
        <v>776</v>
      </c>
      <c r="I917" s="1644">
        <f>ROUND($F917*D917/100,0)</f>
        <v>1014</v>
      </c>
      <c r="K917" s="1943"/>
      <c r="L917" s="1921"/>
      <c r="M917" s="1943"/>
      <c r="N917" s="1921"/>
      <c r="O917" s="1943"/>
      <c r="P917" s="1921"/>
      <c r="Q917" s="1943"/>
      <c r="R917" s="1921"/>
      <c r="S917" s="1648"/>
      <c r="T917" s="1648"/>
      <c r="U917" s="1648"/>
      <c r="V917" s="1648"/>
      <c r="W917" s="1648"/>
      <c r="X917" s="1648"/>
      <c r="Y917" s="1644"/>
      <c r="AI917" s="2023">
        <f>W917-'Blocking-Step2'!W917</f>
        <v>0</v>
      </c>
      <c r="AJ917" s="2054">
        <f>O917-'Blocking-Step2'!O917</f>
        <v>0</v>
      </c>
    </row>
    <row r="918" spans="1:36" hidden="1">
      <c r="A918" s="1900" t="s">
        <v>1363</v>
      </c>
      <c r="C918" s="528">
        <f>'6'!Q37+'6'!V37</f>
        <v>5184</v>
      </c>
      <c r="D918" s="528">
        <f>Energy!R12</f>
        <v>6774</v>
      </c>
      <c r="F918" s="1943">
        <v>3.5143</v>
      </c>
      <c r="G918" s="1921" t="s">
        <v>495</v>
      </c>
      <c r="H918" s="1644">
        <f>ROUND($F918*C918/100,0)</f>
        <v>182</v>
      </c>
      <c r="I918" s="1644">
        <f>ROUND($F918*D918/100,0)</f>
        <v>238</v>
      </c>
      <c r="K918" s="1943"/>
      <c r="L918" s="1921"/>
      <c r="M918" s="1943"/>
      <c r="N918" s="1921"/>
      <c r="O918" s="1943"/>
      <c r="P918" s="1921"/>
      <c r="Q918" s="1943"/>
      <c r="R918" s="1921"/>
      <c r="S918" s="1648"/>
      <c r="T918" s="1648"/>
      <c r="U918" s="1648"/>
      <c r="V918" s="1648"/>
      <c r="W918" s="1648"/>
      <c r="X918" s="1648"/>
      <c r="Y918" s="1644"/>
      <c r="AI918" s="2023">
        <f>W918-'Blocking-Step2'!W918</f>
        <v>0</v>
      </c>
      <c r="AJ918" s="2054">
        <f>O918-'Blocking-Step2'!O918</f>
        <v>0</v>
      </c>
    </row>
    <row r="919" spans="1:36" hidden="1">
      <c r="A919" s="1900" t="s">
        <v>246</v>
      </c>
      <c r="C919" s="529">
        <f>'Table 2'!J22</f>
        <v>144</v>
      </c>
      <c r="D919" s="529">
        <v>0</v>
      </c>
      <c r="H919" s="1030">
        <f>'Table 3'!F22</f>
        <v>23</v>
      </c>
      <c r="I919" s="1030">
        <v>0</v>
      </c>
      <c r="Y919" s="1030">
        <v>0</v>
      </c>
      <c r="AI919" s="2023">
        <f>W919-'Blocking-Step2'!W919</f>
        <v>0</v>
      </c>
      <c r="AJ919" s="2054">
        <f>O919-'Blocking-Step2'!O919</f>
        <v>0</v>
      </c>
    </row>
    <row r="920" spans="1:36" hidden="1">
      <c r="A920" s="1900" t="s">
        <v>1240</v>
      </c>
      <c r="C920" s="584"/>
      <c r="D920" s="584"/>
      <c r="F920" s="1930">
        <v>-3.61E-2</v>
      </c>
      <c r="G920" s="597"/>
      <c r="H920" s="1644">
        <f>SUM(H914:H915,H917:H918)*$F920</f>
        <v>-70.070099999999996</v>
      </c>
      <c r="I920" s="1644">
        <f>SUM(I914:I915,I917:I918)*$F920</f>
        <v>-91.369100000000003</v>
      </c>
      <c r="K920" s="1930"/>
      <c r="L920" s="597"/>
      <c r="M920" s="1930"/>
      <c r="N920" s="597"/>
      <c r="O920" s="1931" t="str">
        <f>$O$43</f>
        <v>Tax Year 1 (1/1/2021)</v>
      </c>
      <c r="P920" s="597"/>
      <c r="Q920" s="1930">
        <f>$Q$687</f>
        <v>-1.52E-2</v>
      </c>
      <c r="R920" s="597"/>
      <c r="S920" s="1645"/>
      <c r="T920" s="1645"/>
      <c r="U920" s="1645"/>
      <c r="V920" s="1645"/>
      <c r="W920" s="1645"/>
      <c r="X920" s="1645"/>
      <c r="Y920" s="1644">
        <f>Q920*SUM(Y910:Y913)</f>
        <v>-37.331200000000003</v>
      </c>
      <c r="AI920" s="2023">
        <f>W920-'Blocking-Step2'!W920</f>
        <v>0</v>
      </c>
      <c r="AJ920" s="2054">
        <f>O920-'Blocking-Step2'!O920</f>
        <v>0</v>
      </c>
    </row>
    <row r="921" spans="1:36" hidden="1">
      <c r="A921" s="1900"/>
      <c r="C921" s="584"/>
      <c r="D921" s="584"/>
      <c r="F921" s="1930"/>
      <c r="G921" s="597"/>
      <c r="H921" s="1644"/>
      <c r="I921" s="1644"/>
      <c r="K921" s="1930"/>
      <c r="L921" s="597"/>
      <c r="M921" s="1930"/>
      <c r="N921" s="597"/>
      <c r="O921" s="1931">
        <f>$O$44</f>
        <v>0</v>
      </c>
      <c r="P921" s="597"/>
      <c r="Q921" s="1930">
        <f>$Q$688</f>
        <v>0</v>
      </c>
      <c r="R921" s="597"/>
      <c r="S921" s="1645"/>
      <c r="T921" s="1645"/>
      <c r="U921" s="1645"/>
      <c r="V921" s="1645"/>
      <c r="W921" s="1645"/>
      <c r="X921" s="1645"/>
      <c r="Y921" s="1644">
        <f>Q921*SUM(Y910:Y913)</f>
        <v>0</v>
      </c>
      <c r="AI921" s="2023">
        <f>W921-'Blocking-Step2'!W921</f>
        <v>0</v>
      </c>
      <c r="AJ921" s="2054">
        <f>O921-'Blocking-Step2'!O921</f>
        <v>0</v>
      </c>
    </row>
    <row r="922" spans="1:36" ht="16.5" hidden="1" thickBot="1">
      <c r="A922" s="1900" t="s">
        <v>247</v>
      </c>
      <c r="C922" s="1949">
        <f>SUM(C917:C919)</f>
        <v>25668</v>
      </c>
      <c r="D922" s="1949">
        <f>SUM(D917:D919)</f>
        <v>33366</v>
      </c>
      <c r="F922" s="1939"/>
      <c r="H922" s="1647">
        <f>SUM(H907:H920)</f>
        <v>3776.9299000000001</v>
      </c>
      <c r="I922" s="1647">
        <f>SUM(I907:I920)</f>
        <v>4554.6309000000001</v>
      </c>
      <c r="K922" s="1939"/>
      <c r="M922" s="1939"/>
      <c r="O922" s="1939"/>
      <c r="Q922" s="1939"/>
      <c r="S922" s="1647">
        <f>SUM(S907:S919)</f>
        <v>2643</v>
      </c>
      <c r="U922" s="1647">
        <f>SUM(U907:U919)</f>
        <v>1144</v>
      </c>
      <c r="W922" s="1647">
        <f>SUM(W907:W919)</f>
        <v>749</v>
      </c>
      <c r="Y922" s="1647">
        <f>SUM(Y907:Y919)</f>
        <v>4537</v>
      </c>
      <c r="AA922" s="1104" t="s">
        <v>1743</v>
      </c>
      <c r="AB922" s="1890">
        <f>Y922/I922-1</f>
        <v>-3.8709832667230826E-3</v>
      </c>
      <c r="AI922" s="2023">
        <f>W922-'Blocking-Step2'!W922</f>
        <v>0</v>
      </c>
      <c r="AJ922" s="2054">
        <f>O922-'Blocking-Step2'!O922</f>
        <v>0</v>
      </c>
    </row>
    <row r="923" spans="1:36" ht="16.5" hidden="1" thickTop="1">
      <c r="C923" s="528"/>
      <c r="D923" s="528"/>
      <c r="AI923" s="2023">
        <f>W923-'Blocking-Step2'!W923</f>
        <v>0</v>
      </c>
      <c r="AJ923" s="2054">
        <f>O923-'Blocking-Step2'!O923</f>
        <v>0</v>
      </c>
    </row>
    <row r="924" spans="1:36" hidden="1">
      <c r="A924" s="1897" t="s">
        <v>555</v>
      </c>
      <c r="C924" s="528"/>
      <c r="D924" s="528"/>
      <c r="E924" s="597"/>
      <c r="J924" s="597"/>
      <c r="AI924" s="2023">
        <f>W924-'Blocking-Step2'!W924</f>
        <v>0</v>
      </c>
      <c r="AJ924" s="2054">
        <f>O924-'Blocking-Step2'!O924</f>
        <v>0</v>
      </c>
    </row>
    <row r="925" spans="1:36" hidden="1">
      <c r="A925" s="1900" t="s">
        <v>240</v>
      </c>
      <c r="C925" s="528">
        <f>'6'!H35</f>
        <v>168</v>
      </c>
      <c r="D925" s="528">
        <f>Bill!P33</f>
        <v>168</v>
      </c>
      <c r="F925" s="1901">
        <v>54</v>
      </c>
      <c r="G925" s="1902"/>
      <c r="H925" s="1644">
        <f t="shared" ref="H925:I934" si="576">ROUND($F925*C925,0)</f>
        <v>9072</v>
      </c>
      <c r="I925" s="1644">
        <f t="shared" si="576"/>
        <v>9072</v>
      </c>
      <c r="K925" s="1901">
        <f t="shared" ref="K925:K931" si="577">K889</f>
        <v>53</v>
      </c>
      <c r="L925" s="1902"/>
      <c r="M925" s="1901">
        <f t="shared" ref="M925:M931" si="578">M889</f>
        <v>0</v>
      </c>
      <c r="N925" s="1902"/>
      <c r="O925" s="1901">
        <f t="shared" ref="O925:O931" si="579">O889</f>
        <v>0</v>
      </c>
      <c r="P925" s="1902"/>
      <c r="Q925" s="1901">
        <f t="shared" ref="Q925:Q931" si="580">Q889</f>
        <v>53</v>
      </c>
      <c r="R925" s="1902"/>
      <c r="S925" s="1644">
        <f>ROUND($D925*K925,0)</f>
        <v>8904</v>
      </c>
      <c r="T925" s="1645"/>
      <c r="U925" s="1644">
        <f>ROUND($D925*M925,0)</f>
        <v>0</v>
      </c>
      <c r="V925" s="1645"/>
      <c r="W925" s="1644">
        <f>ROUND($D925*O925,0)</f>
        <v>0</v>
      </c>
      <c r="X925" s="1643"/>
      <c r="Y925" s="1644">
        <f>ROUND($D925*Q925,0)</f>
        <v>8904</v>
      </c>
      <c r="AI925" s="2023">
        <f>W925-'Blocking-Step2'!W925</f>
        <v>0</v>
      </c>
      <c r="AJ925" s="2054">
        <f>O925-'Blocking-Step2'!O925</f>
        <v>0</v>
      </c>
    </row>
    <row r="926" spans="1:36" hidden="1">
      <c r="A926" s="1900" t="s">
        <v>262</v>
      </c>
      <c r="C926" s="528">
        <v>0</v>
      </c>
      <c r="D926" s="528">
        <f>ROUND(C926/C925*D925,0)</f>
        <v>0</v>
      </c>
      <c r="E926" s="597"/>
      <c r="F926" s="1901">
        <v>648</v>
      </c>
      <c r="G926" s="1902"/>
      <c r="H926" s="1644">
        <f t="shared" si="576"/>
        <v>0</v>
      </c>
      <c r="I926" s="1644">
        <f t="shared" si="576"/>
        <v>0</v>
      </c>
      <c r="J926" s="597"/>
      <c r="K926" s="1901">
        <f t="shared" si="577"/>
        <v>636</v>
      </c>
      <c r="L926" s="1902"/>
      <c r="M926" s="1901">
        <f t="shared" si="578"/>
        <v>0</v>
      </c>
      <c r="N926" s="1902"/>
      <c r="O926" s="1901">
        <f t="shared" si="579"/>
        <v>0</v>
      </c>
      <c r="P926" s="1902"/>
      <c r="Q926" s="1901">
        <f t="shared" si="580"/>
        <v>636</v>
      </c>
      <c r="R926" s="1902"/>
      <c r="S926" s="1644">
        <f t="shared" ref="S926:S929" si="581">ROUND($D926*K926,0)</f>
        <v>0</v>
      </c>
      <c r="T926" s="1645"/>
      <c r="U926" s="1644">
        <f t="shared" ref="U926:U929" si="582">ROUND($D926*M926,0)</f>
        <v>0</v>
      </c>
      <c r="V926" s="1645"/>
      <c r="W926" s="1644">
        <f t="shared" ref="W926:W929" si="583">ROUND($D926*O926,0)</f>
        <v>0</v>
      </c>
      <c r="X926" s="1643"/>
      <c r="Y926" s="1644">
        <f t="shared" ref="Y926:Y929" si="584">ROUND($D926*Q926,0)</f>
        <v>0</v>
      </c>
      <c r="AI926" s="2023">
        <f>W926-'Blocking-Step2'!W926</f>
        <v>0</v>
      </c>
      <c r="AJ926" s="2054">
        <f>O926-'Blocking-Step2'!O926</f>
        <v>0</v>
      </c>
    </row>
    <row r="927" spans="1:36" hidden="1">
      <c r="A927" s="1900" t="s">
        <v>168</v>
      </c>
      <c r="C927" s="528">
        <f>'6'!J35</f>
        <v>13820</v>
      </c>
      <c r="D927" s="528">
        <f>ROUND(C927/C940*D940,0)</f>
        <v>13953</v>
      </c>
      <c r="F927" s="1901">
        <v>4.04</v>
      </c>
      <c r="G927" s="1902"/>
      <c r="H927" s="1644">
        <f>ROUND($F927*C927,0)</f>
        <v>55833</v>
      </c>
      <c r="I927" s="1644">
        <f>ROUND($F927*D927,0)</f>
        <v>56370</v>
      </c>
      <c r="K927" s="1901">
        <f t="shared" si="577"/>
        <v>3.98</v>
      </c>
      <c r="L927" s="1902"/>
      <c r="M927" s="1901">
        <f t="shared" si="578"/>
        <v>0</v>
      </c>
      <c r="N927" s="1902"/>
      <c r="O927" s="1901">
        <f t="shared" si="579"/>
        <v>0</v>
      </c>
      <c r="P927" s="1902"/>
      <c r="Q927" s="1901">
        <f t="shared" si="580"/>
        <v>3.98</v>
      </c>
      <c r="R927" s="1902"/>
      <c r="S927" s="1644">
        <f t="shared" si="581"/>
        <v>55533</v>
      </c>
      <c r="T927" s="1645"/>
      <c r="U927" s="1644">
        <f t="shared" si="582"/>
        <v>0</v>
      </c>
      <c r="V927" s="1645"/>
      <c r="W927" s="1644">
        <f t="shared" si="583"/>
        <v>0</v>
      </c>
      <c r="X927" s="1643"/>
      <c r="Y927" s="1644">
        <f t="shared" si="584"/>
        <v>55533</v>
      </c>
      <c r="AI927" s="2023">
        <f>W927-'Blocking-Step2'!W927</f>
        <v>0</v>
      </c>
      <c r="AJ927" s="2054">
        <f>O927-'Blocking-Step2'!O927</f>
        <v>0</v>
      </c>
    </row>
    <row r="928" spans="1:36" hidden="1">
      <c r="A928" s="1900" t="s">
        <v>1649</v>
      </c>
      <c r="C928" s="528">
        <f>'6'!L35+'6-may'!L35</f>
        <v>4102.3053150435462</v>
      </c>
      <c r="D928" s="528">
        <f>ROUND(C928/C930*D930,0)</f>
        <v>4665</v>
      </c>
      <c r="F928" s="1944"/>
      <c r="G928" s="597"/>
      <c r="H928" s="1644"/>
      <c r="I928" s="1644"/>
      <c r="K928" s="1944">
        <f t="shared" si="577"/>
        <v>6.22</v>
      </c>
      <c r="L928" s="597"/>
      <c r="M928" s="1944">
        <f t="shared" si="578"/>
        <v>7.0100000000000007</v>
      </c>
      <c r="N928" s="597"/>
      <c r="O928" s="1944">
        <f t="shared" si="579"/>
        <v>0</v>
      </c>
      <c r="P928" s="597"/>
      <c r="Q928" s="1944">
        <f t="shared" si="580"/>
        <v>13.23</v>
      </c>
      <c r="R928" s="597"/>
      <c r="S928" s="1644">
        <f t="shared" si="581"/>
        <v>29016</v>
      </c>
      <c r="T928" s="1644"/>
      <c r="U928" s="1644">
        <f t="shared" si="582"/>
        <v>32702</v>
      </c>
      <c r="V928" s="1644"/>
      <c r="W928" s="1644">
        <f t="shared" si="583"/>
        <v>0</v>
      </c>
      <c r="X928" s="1645"/>
      <c r="Y928" s="1644">
        <f t="shared" si="584"/>
        <v>61718</v>
      </c>
      <c r="AI928" s="2023">
        <f>W928-'Blocking-Step2'!W928</f>
        <v>0</v>
      </c>
      <c r="AJ928" s="2054">
        <f>O928-'Blocking-Step2'!O928</f>
        <v>0</v>
      </c>
    </row>
    <row r="929" spans="1:36" hidden="1">
      <c r="A929" s="1900" t="s">
        <v>1650</v>
      </c>
      <c r="C929" s="528">
        <f>'6'!M35+'6-may'!M35</f>
        <v>6932.6945777492438</v>
      </c>
      <c r="D929" s="528">
        <f>ROUND(C929/C931*D931,0)</f>
        <v>6610</v>
      </c>
      <c r="F929" s="1944"/>
      <c r="G929" s="597"/>
      <c r="H929" s="1644"/>
      <c r="I929" s="1644"/>
      <c r="K929" s="1944">
        <f t="shared" si="577"/>
        <v>5.5</v>
      </c>
      <c r="L929" s="597"/>
      <c r="M929" s="1944">
        <f t="shared" si="578"/>
        <v>6.2100000000000009</v>
      </c>
      <c r="N929" s="597"/>
      <c r="O929" s="1944">
        <f t="shared" si="579"/>
        <v>0</v>
      </c>
      <c r="P929" s="597"/>
      <c r="Q929" s="1944">
        <f t="shared" si="580"/>
        <v>11.71</v>
      </c>
      <c r="R929" s="597"/>
      <c r="S929" s="1644">
        <f t="shared" si="581"/>
        <v>36355</v>
      </c>
      <c r="T929" s="1644"/>
      <c r="U929" s="1644">
        <f t="shared" si="582"/>
        <v>41048</v>
      </c>
      <c r="V929" s="1644"/>
      <c r="W929" s="1644">
        <f t="shared" si="583"/>
        <v>0</v>
      </c>
      <c r="X929" s="1645"/>
      <c r="Y929" s="1644">
        <f t="shared" si="584"/>
        <v>77403</v>
      </c>
      <c r="AI929" s="2023">
        <f>W929-'Blocking-Step2'!W929</f>
        <v>0</v>
      </c>
      <c r="AJ929" s="2054">
        <f>O929-'Blocking-Step2'!O929</f>
        <v>0</v>
      </c>
    </row>
    <row r="930" spans="1:36" hidden="1">
      <c r="A930" s="1900" t="s">
        <v>1647</v>
      </c>
      <c r="C930" s="528">
        <f>'6'!P35+'6'!U35+'6-may'!P35+'6-may'!U35+TempRevMay!C341</f>
        <v>1097235.7259257769</v>
      </c>
      <c r="D930" s="528">
        <f>Energy!S33</f>
        <v>1247725</v>
      </c>
      <c r="F930" s="1943"/>
      <c r="G930" s="1921"/>
      <c r="H930" s="1644"/>
      <c r="I930" s="1644"/>
      <c r="K930" s="1943">
        <f t="shared" si="577"/>
        <v>0</v>
      </c>
      <c r="L930" s="1921" t="s">
        <v>495</v>
      </c>
      <c r="M930" s="1943">
        <f t="shared" si="578"/>
        <v>1.5747172373309999</v>
      </c>
      <c r="N930" s="1921" t="s">
        <v>495</v>
      </c>
      <c r="O930" s="1943">
        <f t="shared" si="579"/>
        <v>2.305570240802</v>
      </c>
      <c r="P930" s="1921" t="s">
        <v>495</v>
      </c>
      <c r="Q930" s="1943">
        <f t="shared" si="580"/>
        <v>3.8802874781329999</v>
      </c>
      <c r="R930" s="1921" t="s">
        <v>495</v>
      </c>
      <c r="S930" s="1644">
        <f>ROUND($D930*K930/100,0)</f>
        <v>0</v>
      </c>
      <c r="T930" s="1644"/>
      <c r="U930" s="1644">
        <f>ROUND($D930*M930/100,0)</f>
        <v>19648</v>
      </c>
      <c r="V930" s="1644"/>
      <c r="W930" s="1644">
        <f>ROUND($D930*O930/100,0)</f>
        <v>28767</v>
      </c>
      <c r="X930" s="1648"/>
      <c r="Y930" s="1644">
        <f>ROUND($D930*Q930/100,0)</f>
        <v>48415</v>
      </c>
      <c r="AI930" s="2023">
        <f>W930-'Blocking-Step2'!W930</f>
        <v>0</v>
      </c>
      <c r="AJ930" s="2054">
        <f>O930-'Blocking-Step2'!O930</f>
        <v>0</v>
      </c>
    </row>
    <row r="931" spans="1:36" hidden="1">
      <c r="A931" s="1900" t="s">
        <v>1648</v>
      </c>
      <c r="C931" s="528">
        <f>'6'!Q35+'6'!V35+'6-may'!Q35+'6-may'!V35+TempRevMay!C342</f>
        <v>2177828.9807466753</v>
      </c>
      <c r="D931" s="528">
        <f>Energy!T33</f>
        <v>2076320</v>
      </c>
      <c r="F931" s="1943"/>
      <c r="G931" s="1921"/>
      <c r="H931" s="1644"/>
      <c r="I931" s="1644"/>
      <c r="K931" s="1943">
        <f t="shared" si="577"/>
        <v>0</v>
      </c>
      <c r="L931" s="1921" t="s">
        <v>495</v>
      </c>
      <c r="M931" s="1943">
        <f t="shared" si="578"/>
        <v>1.3935347233019999</v>
      </c>
      <c r="N931" s="1921" t="s">
        <v>495</v>
      </c>
      <c r="O931" s="1943">
        <f t="shared" si="579"/>
        <v>2.0403480007099999</v>
      </c>
      <c r="P931" s="1921" t="s">
        <v>495</v>
      </c>
      <c r="Q931" s="1943">
        <f t="shared" si="580"/>
        <v>3.4338827240119998</v>
      </c>
      <c r="R931" s="1921" t="s">
        <v>495</v>
      </c>
      <c r="S931" s="1644">
        <f>ROUND($D931*K931/100,0)</f>
        <v>0</v>
      </c>
      <c r="T931" s="1644"/>
      <c r="U931" s="1644">
        <f>ROUND($D931*M931/100,0)</f>
        <v>28934</v>
      </c>
      <c r="V931" s="1644"/>
      <c r="W931" s="1644">
        <f>ROUND($D931*O931/100,0)</f>
        <v>42364</v>
      </c>
      <c r="X931" s="1648"/>
      <c r="Y931" s="1644">
        <f>ROUND($D931*Q931/100,0)</f>
        <v>71298</v>
      </c>
      <c r="AI931" s="2023">
        <f>W931-'Blocking-Step2'!W931</f>
        <v>0</v>
      </c>
      <c r="AJ931" s="2054">
        <f>O931-'Blocking-Step2'!O931</f>
        <v>0</v>
      </c>
    </row>
    <row r="932" spans="1:36" hidden="1">
      <c r="A932" s="1900" t="s">
        <v>158</v>
      </c>
      <c r="C932" s="528">
        <f>'6'!L35</f>
        <v>4947.6121751026003</v>
      </c>
      <c r="D932" s="528">
        <f>ROUND(C932/C940*D940,0)</f>
        <v>4995</v>
      </c>
      <c r="F932" s="1901">
        <v>14.62</v>
      </c>
      <c r="G932" s="1902"/>
      <c r="H932" s="1644">
        <f t="shared" si="576"/>
        <v>72334</v>
      </c>
      <c r="I932" s="1644">
        <f t="shared" si="576"/>
        <v>73027</v>
      </c>
      <c r="K932" s="1901"/>
      <c r="L932" s="1902"/>
      <c r="M932" s="1901"/>
      <c r="N932" s="1902"/>
      <c r="O932" s="1901"/>
      <c r="P932" s="1902"/>
      <c r="Q932" s="1901"/>
      <c r="R932" s="1902"/>
      <c r="S932" s="1644"/>
      <c r="T932" s="1645"/>
      <c r="U932" s="1644"/>
      <c r="V932" s="1645"/>
      <c r="W932" s="1644"/>
      <c r="X932" s="1643"/>
      <c r="Y932" s="1644"/>
      <c r="AI932" s="2023">
        <f>W932-'Blocking-Step2'!W932</f>
        <v>0</v>
      </c>
      <c r="AJ932" s="2054">
        <f>O932-'Blocking-Step2'!O932</f>
        <v>0</v>
      </c>
    </row>
    <row r="933" spans="1:36" hidden="1">
      <c r="A933" s="1900" t="s">
        <v>165</v>
      </c>
      <c r="C933" s="528">
        <f>'6'!M35</f>
        <v>6087.3877176901897</v>
      </c>
      <c r="D933" s="528">
        <f>ROUND(C933/C940*D940,0)</f>
        <v>6146</v>
      </c>
      <c r="F933" s="1901">
        <v>10.91</v>
      </c>
      <c r="G933" s="1902"/>
      <c r="H933" s="1644">
        <f t="shared" si="576"/>
        <v>66413</v>
      </c>
      <c r="I933" s="1644">
        <f t="shared" si="576"/>
        <v>67053</v>
      </c>
      <c r="K933" s="1901"/>
      <c r="L933" s="1902"/>
      <c r="M933" s="1901"/>
      <c r="N933" s="1902"/>
      <c r="O933" s="1901"/>
      <c r="P933" s="1902"/>
      <c r="Q933" s="1901"/>
      <c r="R933" s="1902"/>
      <c r="S933" s="1644"/>
      <c r="T933" s="1645"/>
      <c r="U933" s="1644"/>
      <c r="V933" s="1645"/>
      <c r="W933" s="1644"/>
      <c r="X933" s="1643"/>
      <c r="Y933" s="1644"/>
      <c r="AI933" s="2023">
        <f>W933-'Blocking-Step2'!W933</f>
        <v>0</v>
      </c>
      <c r="AJ933" s="2054">
        <f>O933-'Blocking-Step2'!O933</f>
        <v>0</v>
      </c>
    </row>
    <row r="934" spans="1:36" hidden="1">
      <c r="A934" s="1900" t="s">
        <v>261</v>
      </c>
      <c r="C934" s="528">
        <f>'6'!N35</f>
        <v>0</v>
      </c>
      <c r="D934" s="528">
        <f>ROUND(C934/C940*D940,0)</f>
        <v>0</v>
      </c>
      <c r="F934" s="1901">
        <v>-0.96</v>
      </c>
      <c r="G934" s="1902"/>
      <c r="H934" s="1644">
        <f t="shared" si="576"/>
        <v>0</v>
      </c>
      <c r="I934" s="1644">
        <f t="shared" si="576"/>
        <v>0</v>
      </c>
      <c r="K934" s="1901">
        <f>K898</f>
        <v>-0.96</v>
      </c>
      <c r="L934" s="1902"/>
      <c r="M934" s="1901">
        <f>M898</f>
        <v>0</v>
      </c>
      <c r="N934" s="1902"/>
      <c r="O934" s="1901">
        <f>O898</f>
        <v>0</v>
      </c>
      <c r="P934" s="1902"/>
      <c r="Q934" s="1901">
        <f>Q898</f>
        <v>-0.96</v>
      </c>
      <c r="R934" s="1902"/>
      <c r="S934" s="1644">
        <f t="shared" ref="S934" si="585">ROUND($D934*K934,0)</f>
        <v>0</v>
      </c>
      <c r="T934" s="1644"/>
      <c r="U934" s="1644">
        <f t="shared" ref="U934" si="586">ROUND($D934*M934,0)</f>
        <v>0</v>
      </c>
      <c r="V934" s="1644"/>
      <c r="W934" s="1644">
        <f t="shared" ref="W934" si="587">ROUND($D934*O934,0)</f>
        <v>0</v>
      </c>
      <c r="X934" s="1643"/>
      <c r="Y934" s="1644">
        <f t="shared" ref="Y934" si="588">ROUND($D934*Q934,0)</f>
        <v>0</v>
      </c>
      <c r="AI934" s="2023">
        <f>W934-'Blocking-Step2'!W934</f>
        <v>0</v>
      </c>
      <c r="AJ934" s="2054">
        <f>O934-'Blocking-Step2'!O934</f>
        <v>0</v>
      </c>
    </row>
    <row r="935" spans="1:36" hidden="1">
      <c r="A935" s="1900" t="s">
        <v>1362</v>
      </c>
      <c r="C935" s="528">
        <f>'6'!P35+'6'!U35+TempRev!C341</f>
        <v>1354554.8539157421</v>
      </c>
      <c r="D935" s="528">
        <f>Energy!Q33</f>
        <v>1526852</v>
      </c>
      <c r="F935" s="1943">
        <v>3.8127</v>
      </c>
      <c r="G935" s="1921" t="s">
        <v>495</v>
      </c>
      <c r="H935" s="1644">
        <f>ROUND($F935*C935/100,0)</f>
        <v>51645</v>
      </c>
      <c r="I935" s="1644">
        <f>ROUND($F935*D935/100,0)</f>
        <v>58214</v>
      </c>
      <c r="K935" s="1943"/>
      <c r="L935" s="1921"/>
      <c r="M935" s="1943"/>
      <c r="N935" s="1921"/>
      <c r="O935" s="1943"/>
      <c r="P935" s="1921"/>
      <c r="Q935" s="1943"/>
      <c r="R935" s="1921"/>
      <c r="S935" s="1648"/>
      <c r="T935" s="1648"/>
      <c r="U935" s="1648"/>
      <c r="V935" s="1648"/>
      <c r="W935" s="1648"/>
      <c r="X935" s="1648"/>
      <c r="Y935" s="1644"/>
      <c r="AI935" s="2023">
        <f>W935-'Blocking-Step2'!W935</f>
        <v>0</v>
      </c>
      <c r="AJ935" s="2054">
        <f>O935-'Blocking-Step2'!O935</f>
        <v>0</v>
      </c>
    </row>
    <row r="936" spans="1:36" hidden="1">
      <c r="A936" s="1900" t="s">
        <v>1363</v>
      </c>
      <c r="C936" s="528">
        <f>'6'!Q35+'6'!V35+TempRev!C342</f>
        <v>1920509.8527567103</v>
      </c>
      <c r="D936" s="528">
        <f>Energy!R33</f>
        <v>1797193</v>
      </c>
      <c r="F936" s="1943">
        <v>3.5143</v>
      </c>
      <c r="G936" s="1921" t="s">
        <v>495</v>
      </c>
      <c r="H936" s="1644">
        <f>ROUND($F936*C936/100,0)</f>
        <v>67492</v>
      </c>
      <c r="I936" s="1644">
        <f>ROUND($F936*D936/100,0)</f>
        <v>63159</v>
      </c>
      <c r="K936" s="1943"/>
      <c r="L936" s="1921"/>
      <c r="M936" s="1943"/>
      <c r="N936" s="1921"/>
      <c r="O936" s="1943"/>
      <c r="P936" s="1921"/>
      <c r="Q936" s="1943"/>
      <c r="R936" s="1921"/>
      <c r="S936" s="1648"/>
      <c r="T936" s="1648"/>
      <c r="U936" s="1648"/>
      <c r="V936" s="1648"/>
      <c r="W936" s="1648"/>
      <c r="X936" s="1648"/>
      <c r="Y936" s="1644"/>
      <c r="AI936" s="2023">
        <f>W936-'Blocking-Step2'!W936</f>
        <v>0</v>
      </c>
      <c r="AJ936" s="2054">
        <f>O936-'Blocking-Step2'!O936</f>
        <v>0</v>
      </c>
    </row>
    <row r="937" spans="1:36" hidden="1">
      <c r="A937" s="1900" t="s">
        <v>246</v>
      </c>
      <c r="C937" s="529">
        <f>'Table 2'!J51</f>
        <v>17350</v>
      </c>
      <c r="D937" s="529">
        <v>0</v>
      </c>
      <c r="H937" s="1030">
        <f>'Table 3'!F51</f>
        <v>1850</v>
      </c>
      <c r="I937" s="1030">
        <v>0</v>
      </c>
      <c r="Y937" s="1030">
        <v>0</v>
      </c>
      <c r="AI937" s="2023">
        <f>W937-'Blocking-Step2'!W937</f>
        <v>0</v>
      </c>
      <c r="AJ937" s="2054">
        <f>O937-'Blocking-Step2'!O937</f>
        <v>0</v>
      </c>
    </row>
    <row r="938" spans="1:36" hidden="1">
      <c r="A938" s="1900" t="s">
        <v>1240</v>
      </c>
      <c r="C938" s="584"/>
      <c r="D938" s="584"/>
      <c r="F938" s="1930">
        <v>-3.61E-2</v>
      </c>
      <c r="G938" s="597"/>
      <c r="H938" s="1644">
        <f>SUM(H932:H933,H935:H936)*$F938</f>
        <v>-9309.6124</v>
      </c>
      <c r="I938" s="1644">
        <f>SUM(I932:I933,I935:I936)*$F938</f>
        <v>-9438.4532999999992</v>
      </c>
      <c r="K938" s="1930"/>
      <c r="L938" s="597"/>
      <c r="M938" s="1930"/>
      <c r="N938" s="597"/>
      <c r="O938" s="1931" t="str">
        <f>$O$43</f>
        <v>Tax Year 1 (1/1/2021)</v>
      </c>
      <c r="P938" s="597"/>
      <c r="Q938" s="1930">
        <f>$Q$687</f>
        <v>-1.52E-2</v>
      </c>
      <c r="R938" s="597"/>
      <c r="S938" s="1645"/>
      <c r="T938" s="1645"/>
      <c r="U938" s="1645"/>
      <c r="V938" s="1645"/>
      <c r="W938" s="1645"/>
      <c r="X938" s="1645"/>
      <c r="Y938" s="1644">
        <f>Q938*SUM(Y928:Y931)</f>
        <v>-3934.2768000000001</v>
      </c>
      <c r="AI938" s="2023">
        <f>W938-'Blocking-Step2'!W938</f>
        <v>0</v>
      </c>
      <c r="AJ938" s="2054">
        <f>O938-'Blocking-Step2'!O938</f>
        <v>0</v>
      </c>
    </row>
    <row r="939" spans="1:36" hidden="1">
      <c r="A939" s="1900"/>
      <c r="C939" s="584"/>
      <c r="D939" s="584"/>
      <c r="F939" s="1930"/>
      <c r="G939" s="597"/>
      <c r="H939" s="1644"/>
      <c r="I939" s="1644"/>
      <c r="K939" s="1930"/>
      <c r="L939" s="597"/>
      <c r="M939" s="1930"/>
      <c r="N939" s="597"/>
      <c r="O939" s="1931">
        <f>$O$44</f>
        <v>0</v>
      </c>
      <c r="P939" s="597"/>
      <c r="Q939" s="1930">
        <f>$Q$688</f>
        <v>0</v>
      </c>
      <c r="R939" s="597"/>
      <c r="S939" s="1645"/>
      <c r="T939" s="1645"/>
      <c r="U939" s="1645"/>
      <c r="V939" s="1645"/>
      <c r="W939" s="1645"/>
      <c r="X939" s="1645"/>
      <c r="Y939" s="1644">
        <f>Q939*SUM(Y928:Y931)</f>
        <v>0</v>
      </c>
      <c r="AI939" s="2023">
        <f>W939-'Blocking-Step2'!W939</f>
        <v>0</v>
      </c>
      <c r="AJ939" s="2054">
        <f>O939-'Blocking-Step2'!O939</f>
        <v>0</v>
      </c>
    </row>
    <row r="940" spans="1:36" ht="16.5" hidden="1" thickBot="1">
      <c r="A940" s="1900" t="s">
        <v>247</v>
      </c>
      <c r="C940" s="1949">
        <f>SUM(C935:C937)</f>
        <v>3292414.7066724524</v>
      </c>
      <c r="D940" s="1949">
        <f>SUM(D935:D937)</f>
        <v>3324045</v>
      </c>
      <c r="F940" s="1939"/>
      <c r="H940" s="1647">
        <f>SUM(H925:H938)</f>
        <v>315329.38760000002</v>
      </c>
      <c r="I940" s="1647">
        <f>SUM(I925:I938)</f>
        <v>317456.54670000001</v>
      </c>
      <c r="K940" s="1939"/>
      <c r="M940" s="1939"/>
      <c r="O940" s="1939"/>
      <c r="Q940" s="1939"/>
      <c r="S940" s="1647">
        <f>SUM(S925:S937)</f>
        <v>129808</v>
      </c>
      <c r="U940" s="1647">
        <f>SUM(U925:U937)</f>
        <v>122332</v>
      </c>
      <c r="W940" s="1647">
        <f>SUM(W925:W937)</f>
        <v>71131</v>
      </c>
      <c r="Y940" s="1647">
        <f>SUM(Y925:Y937)</f>
        <v>323271</v>
      </c>
      <c r="AA940" s="1104" t="s">
        <v>1743</v>
      </c>
      <c r="AB940" s="1890">
        <f>Y940/I940-1</f>
        <v>1.8315745447501142E-2</v>
      </c>
      <c r="AI940" s="2023">
        <f>W940-'Blocking-Step2'!W940</f>
        <v>0</v>
      </c>
      <c r="AJ940" s="2054">
        <f>O940-'Blocking-Step2'!O940</f>
        <v>0</v>
      </c>
    </row>
    <row r="941" spans="1:36" ht="16.5" hidden="1" thickTop="1">
      <c r="C941" s="528"/>
      <c r="D941" s="528"/>
      <c r="AI941" s="2023">
        <f>W941-'Blocking-Step2'!W941</f>
        <v>0</v>
      </c>
      <c r="AJ941" s="2054">
        <f>O941-'Blocking-Step2'!O941</f>
        <v>0</v>
      </c>
    </row>
    <row r="942" spans="1:36" hidden="1">
      <c r="A942" s="1897" t="s">
        <v>556</v>
      </c>
      <c r="C942" s="528"/>
      <c r="D942" s="528"/>
      <c r="AI942" s="2023">
        <f>W942-'Blocking-Step2'!W942</f>
        <v>0</v>
      </c>
      <c r="AJ942" s="2054">
        <f>O942-'Blocking-Step2'!O942</f>
        <v>0</v>
      </c>
    </row>
    <row r="943" spans="1:36" hidden="1">
      <c r="A943" s="1950" t="s">
        <v>240</v>
      </c>
      <c r="C943" s="528">
        <f>'6'!H36</f>
        <v>4</v>
      </c>
      <c r="D943" s="528">
        <f>Bill!P58</f>
        <v>12</v>
      </c>
      <c r="F943" s="1901">
        <v>54</v>
      </c>
      <c r="G943" s="1902"/>
      <c r="H943" s="1644">
        <f t="shared" ref="H943:I952" si="589">ROUND($F943*C943,0)</f>
        <v>216</v>
      </c>
      <c r="I943" s="1644">
        <f t="shared" si="589"/>
        <v>648</v>
      </c>
      <c r="K943" s="1901">
        <f t="shared" ref="K943:K949" si="590">K889</f>
        <v>53</v>
      </c>
      <c r="L943" s="1902"/>
      <c r="M943" s="1901">
        <f t="shared" ref="M943:M949" si="591">M889</f>
        <v>0</v>
      </c>
      <c r="N943" s="1902"/>
      <c r="O943" s="1901">
        <f t="shared" ref="O943:O949" si="592">O889</f>
        <v>0</v>
      </c>
      <c r="P943" s="1902"/>
      <c r="Q943" s="1901">
        <f t="shared" ref="Q943:Q949" si="593">Q889</f>
        <v>53</v>
      </c>
      <c r="R943" s="1902"/>
      <c r="S943" s="1644">
        <f>ROUND($D943*K943,0)</f>
        <v>636</v>
      </c>
      <c r="T943" s="1645"/>
      <c r="U943" s="1644">
        <f>ROUND($D943*M943,0)</f>
        <v>0</v>
      </c>
      <c r="V943" s="1645"/>
      <c r="W943" s="1644">
        <f>ROUND($D943*O943,0)</f>
        <v>0</v>
      </c>
      <c r="X943" s="1643"/>
      <c r="Y943" s="1644">
        <f>ROUND($D943*Q943,0)</f>
        <v>636</v>
      </c>
      <c r="AI943" s="2023">
        <f>W943-'Blocking-Step2'!W943</f>
        <v>0</v>
      </c>
      <c r="AJ943" s="2054">
        <f>O943-'Blocking-Step2'!O943</f>
        <v>0</v>
      </c>
    </row>
    <row r="944" spans="1:36" hidden="1">
      <c r="A944" s="1900" t="s">
        <v>262</v>
      </c>
      <c r="C944" s="528">
        <v>0</v>
      </c>
      <c r="D944" s="528">
        <f>ROUND(C944/C943*D943,0)</f>
        <v>0</v>
      </c>
      <c r="E944" s="597"/>
      <c r="F944" s="1901">
        <v>648</v>
      </c>
      <c r="G944" s="1902"/>
      <c r="H944" s="1644">
        <f t="shared" si="589"/>
        <v>0</v>
      </c>
      <c r="I944" s="1644">
        <f t="shared" si="589"/>
        <v>0</v>
      </c>
      <c r="J944" s="597"/>
      <c r="K944" s="1901">
        <f t="shared" si="590"/>
        <v>636</v>
      </c>
      <c r="L944" s="1902"/>
      <c r="M944" s="1901">
        <f t="shared" si="591"/>
        <v>0</v>
      </c>
      <c r="N944" s="1902"/>
      <c r="O944" s="1901">
        <f t="shared" si="592"/>
        <v>0</v>
      </c>
      <c r="P944" s="1902"/>
      <c r="Q944" s="1901">
        <f t="shared" si="593"/>
        <v>636</v>
      </c>
      <c r="R944" s="1902"/>
      <c r="S944" s="1644">
        <f t="shared" ref="S944:S947" si="594">ROUND($D944*K944,0)</f>
        <v>0</v>
      </c>
      <c r="T944" s="1645"/>
      <c r="U944" s="1644">
        <f t="shared" ref="U944:U947" si="595">ROUND($D944*M944,0)</f>
        <v>0</v>
      </c>
      <c r="V944" s="1645"/>
      <c r="W944" s="1644">
        <f t="shared" ref="W944:W947" si="596">ROUND($D944*O944,0)</f>
        <v>0</v>
      </c>
      <c r="X944" s="1643"/>
      <c r="Y944" s="1644">
        <f t="shared" ref="Y944:Y947" si="597">ROUND($D944*Q944,0)</f>
        <v>0</v>
      </c>
      <c r="AI944" s="2023">
        <f>W944-'Blocking-Step2'!W944</f>
        <v>0</v>
      </c>
      <c r="AJ944" s="2054">
        <f>O944-'Blocking-Step2'!O944</f>
        <v>0</v>
      </c>
    </row>
    <row r="945" spans="1:36" hidden="1">
      <c r="A945" s="1900" t="s">
        <v>168</v>
      </c>
      <c r="C945" s="528">
        <f>'6'!J36</f>
        <v>158</v>
      </c>
      <c r="D945" s="528">
        <f>ROUND(C945/C958*D958,0)</f>
        <v>528</v>
      </c>
      <c r="F945" s="1901">
        <v>4.04</v>
      </c>
      <c r="G945" s="1902"/>
      <c r="H945" s="1644">
        <f>ROUND($F945*C945,0)</f>
        <v>638</v>
      </c>
      <c r="I945" s="1644">
        <f>ROUND($F945*D945,0)</f>
        <v>2133</v>
      </c>
      <c r="K945" s="1901">
        <f t="shared" si="590"/>
        <v>3.98</v>
      </c>
      <c r="L945" s="1902"/>
      <c r="M945" s="1901">
        <f t="shared" si="591"/>
        <v>0</v>
      </c>
      <c r="N945" s="1902"/>
      <c r="O945" s="1901">
        <f t="shared" si="592"/>
        <v>0</v>
      </c>
      <c r="P945" s="1902"/>
      <c r="Q945" s="1901">
        <f t="shared" si="593"/>
        <v>3.98</v>
      </c>
      <c r="R945" s="1902"/>
      <c r="S945" s="1644">
        <f t="shared" si="594"/>
        <v>2101</v>
      </c>
      <c r="T945" s="1645"/>
      <c r="U945" s="1644">
        <f t="shared" si="595"/>
        <v>0</v>
      </c>
      <c r="V945" s="1645"/>
      <c r="W945" s="1644">
        <f t="shared" si="596"/>
        <v>0</v>
      </c>
      <c r="X945" s="1643"/>
      <c r="Y945" s="1644">
        <f t="shared" si="597"/>
        <v>2101</v>
      </c>
      <c r="AI945" s="2023">
        <f>W945-'Blocking-Step2'!W945</f>
        <v>0</v>
      </c>
      <c r="AJ945" s="2054">
        <f>O945-'Blocking-Step2'!O945</f>
        <v>0</v>
      </c>
    </row>
    <row r="946" spans="1:36" hidden="1">
      <c r="A946" s="1900" t="s">
        <v>1649</v>
      </c>
      <c r="C946" s="528">
        <f>'6'!L36+'6-may'!L36</f>
        <v>0</v>
      </c>
      <c r="D946" s="528">
        <f>ROUND(D948*D947/D949,0)</f>
        <v>173</v>
      </c>
      <c r="F946" s="1944"/>
      <c r="G946" s="597"/>
      <c r="H946" s="1644"/>
      <c r="I946" s="1644"/>
      <c r="K946" s="1944">
        <f t="shared" si="590"/>
        <v>6.22</v>
      </c>
      <c r="L946" s="597"/>
      <c r="M946" s="1944">
        <f t="shared" si="591"/>
        <v>7.0100000000000007</v>
      </c>
      <c r="N946" s="597"/>
      <c r="O946" s="1944">
        <f t="shared" si="592"/>
        <v>0</v>
      </c>
      <c r="P946" s="597"/>
      <c r="Q946" s="1944">
        <f t="shared" si="593"/>
        <v>13.23</v>
      </c>
      <c r="R946" s="597"/>
      <c r="S946" s="1644">
        <f t="shared" si="594"/>
        <v>1076</v>
      </c>
      <c r="T946" s="1644"/>
      <c r="U946" s="1644">
        <f t="shared" si="595"/>
        <v>1213</v>
      </c>
      <c r="V946" s="1644"/>
      <c r="W946" s="1644">
        <f t="shared" si="596"/>
        <v>0</v>
      </c>
      <c r="X946" s="1645"/>
      <c r="Y946" s="1644">
        <f t="shared" si="597"/>
        <v>2289</v>
      </c>
      <c r="AI946" s="2023">
        <f>W946-'Blocking-Step2'!W946</f>
        <v>0</v>
      </c>
      <c r="AJ946" s="2054">
        <f>O946-'Blocking-Step2'!O946</f>
        <v>0</v>
      </c>
    </row>
    <row r="947" spans="1:36" hidden="1">
      <c r="A947" s="1900" t="s">
        <v>1650</v>
      </c>
      <c r="C947" s="528">
        <f>'6'!M36+'6-may'!M36</f>
        <v>158</v>
      </c>
      <c r="D947" s="528">
        <f>ROUND(C947/C949*D949,0)</f>
        <v>346</v>
      </c>
      <c r="F947" s="1944"/>
      <c r="G947" s="597"/>
      <c r="H947" s="1644"/>
      <c r="I947" s="1644"/>
      <c r="K947" s="1944">
        <f t="shared" si="590"/>
        <v>5.5</v>
      </c>
      <c r="L947" s="597"/>
      <c r="M947" s="1944">
        <f t="shared" si="591"/>
        <v>6.2100000000000009</v>
      </c>
      <c r="N947" s="597"/>
      <c r="O947" s="1944">
        <f t="shared" si="592"/>
        <v>0</v>
      </c>
      <c r="P947" s="597"/>
      <c r="Q947" s="1944">
        <f t="shared" si="593"/>
        <v>11.71</v>
      </c>
      <c r="R947" s="597"/>
      <c r="S947" s="1644">
        <f t="shared" si="594"/>
        <v>1903</v>
      </c>
      <c r="T947" s="1644"/>
      <c r="U947" s="1644">
        <f t="shared" si="595"/>
        <v>2149</v>
      </c>
      <c r="V947" s="1644"/>
      <c r="W947" s="1644">
        <f t="shared" si="596"/>
        <v>0</v>
      </c>
      <c r="X947" s="1645"/>
      <c r="Y947" s="1644">
        <f t="shared" si="597"/>
        <v>4052</v>
      </c>
      <c r="AI947" s="2023">
        <f>W947-'Blocking-Step2'!W947</f>
        <v>0</v>
      </c>
      <c r="AJ947" s="2054">
        <f>O947-'Blocking-Step2'!O947</f>
        <v>0</v>
      </c>
    </row>
    <row r="948" spans="1:36" hidden="1">
      <c r="A948" s="1900" t="s">
        <v>1647</v>
      </c>
      <c r="C948" s="528">
        <f>'6'!P36+'6'!U36+'6-may'!P36+'6-may'!U36</f>
        <v>0</v>
      </c>
      <c r="D948" s="528">
        <f>Energy!S58</f>
        <v>7760</v>
      </c>
      <c r="F948" s="1943"/>
      <c r="G948" s="1921"/>
      <c r="H948" s="1644"/>
      <c r="I948" s="1644"/>
      <c r="K948" s="1943">
        <f t="shared" si="590"/>
        <v>0</v>
      </c>
      <c r="L948" s="1921" t="s">
        <v>495</v>
      </c>
      <c r="M948" s="1943">
        <f t="shared" si="591"/>
        <v>1.5747172373309999</v>
      </c>
      <c r="N948" s="1921" t="s">
        <v>495</v>
      </c>
      <c r="O948" s="1943">
        <f t="shared" si="592"/>
        <v>2.305570240802</v>
      </c>
      <c r="P948" s="1921" t="s">
        <v>495</v>
      </c>
      <c r="Q948" s="1943">
        <f t="shared" si="593"/>
        <v>3.8802874781329999</v>
      </c>
      <c r="R948" s="1921" t="s">
        <v>495</v>
      </c>
      <c r="S948" s="1644">
        <f>ROUND($D948*K948/100,0)</f>
        <v>0</v>
      </c>
      <c r="T948" s="1644"/>
      <c r="U948" s="1644">
        <f>ROUND($D948*M948/100,0)</f>
        <v>122</v>
      </c>
      <c r="V948" s="1644"/>
      <c r="W948" s="1644">
        <f>ROUND($D948*O948/100,0)</f>
        <v>179</v>
      </c>
      <c r="X948" s="1648"/>
      <c r="Y948" s="1644">
        <f>ROUND($D948*Q948/100,0)</f>
        <v>301</v>
      </c>
      <c r="AI948" s="2023">
        <f>W948-'Blocking-Step2'!W948</f>
        <v>0</v>
      </c>
      <c r="AJ948" s="2054">
        <f>O948-'Blocking-Step2'!O948</f>
        <v>0</v>
      </c>
    </row>
    <row r="949" spans="1:36" hidden="1">
      <c r="A949" s="1900" t="s">
        <v>1648</v>
      </c>
      <c r="C949" s="528">
        <f>'6'!Q36+'6'!V36+'6-may'!Q36+'6-may'!V36</f>
        <v>7086</v>
      </c>
      <c r="D949" s="528">
        <f>Energy!T58</f>
        <v>15520</v>
      </c>
      <c r="F949" s="1943"/>
      <c r="G949" s="1921"/>
      <c r="H949" s="1644"/>
      <c r="I949" s="1644"/>
      <c r="K949" s="1943">
        <f t="shared" si="590"/>
        <v>0</v>
      </c>
      <c r="L949" s="1921" t="s">
        <v>495</v>
      </c>
      <c r="M949" s="1943">
        <f t="shared" si="591"/>
        <v>1.3935347233019999</v>
      </c>
      <c r="N949" s="1921" t="s">
        <v>495</v>
      </c>
      <c r="O949" s="1943">
        <f t="shared" si="592"/>
        <v>2.0403480007099999</v>
      </c>
      <c r="P949" s="1921" t="s">
        <v>495</v>
      </c>
      <c r="Q949" s="1943">
        <f t="shared" si="593"/>
        <v>3.4338827240119998</v>
      </c>
      <c r="R949" s="1921" t="s">
        <v>495</v>
      </c>
      <c r="S949" s="1644">
        <f>ROUND($D949*K949/100,0)</f>
        <v>0</v>
      </c>
      <c r="T949" s="1644"/>
      <c r="U949" s="1644">
        <f>ROUND($D949*M949/100,0)</f>
        <v>216</v>
      </c>
      <c r="V949" s="1644"/>
      <c r="W949" s="1644">
        <f>ROUND($D949*O949/100,0)</f>
        <v>317</v>
      </c>
      <c r="X949" s="1648"/>
      <c r="Y949" s="1644">
        <f>ROUND($D949*Q949/100,0)</f>
        <v>533</v>
      </c>
      <c r="AI949" s="2023">
        <f>W949-'Blocking-Step2'!W949</f>
        <v>0</v>
      </c>
      <c r="AJ949" s="2054">
        <f>O949-'Blocking-Step2'!O949</f>
        <v>0</v>
      </c>
    </row>
    <row r="950" spans="1:36" hidden="1">
      <c r="A950" s="1900" t="s">
        <v>158</v>
      </c>
      <c r="C950" s="528">
        <f>'6'!L36</f>
        <v>0</v>
      </c>
      <c r="D950" s="528">
        <f>ROUND(C950/C958*D958,0)</f>
        <v>0</v>
      </c>
      <c r="F950" s="1901">
        <v>14.62</v>
      </c>
      <c r="G950" s="1902"/>
      <c r="H950" s="1644">
        <f t="shared" si="589"/>
        <v>0</v>
      </c>
      <c r="I950" s="1644">
        <f t="shared" si="589"/>
        <v>0</v>
      </c>
      <c r="K950" s="1901"/>
      <c r="L950" s="1902"/>
      <c r="M950" s="1901"/>
      <c r="N950" s="1902"/>
      <c r="O950" s="1901"/>
      <c r="P950" s="1902"/>
      <c r="Q950" s="1901"/>
      <c r="R950" s="1902"/>
      <c r="S950" s="1644"/>
      <c r="T950" s="1645"/>
      <c r="U950" s="1644"/>
      <c r="V950" s="1645"/>
      <c r="W950" s="1644"/>
      <c r="X950" s="1643"/>
      <c r="Y950" s="1644"/>
      <c r="AI950" s="2023">
        <f>W950-'Blocking-Step2'!W950</f>
        <v>0</v>
      </c>
      <c r="AJ950" s="2054">
        <f>O950-'Blocking-Step2'!O950</f>
        <v>0</v>
      </c>
    </row>
    <row r="951" spans="1:36" hidden="1">
      <c r="A951" s="1900" t="s">
        <v>165</v>
      </c>
      <c r="C951" s="528">
        <f>'6'!M36</f>
        <v>158</v>
      </c>
      <c r="D951" s="528">
        <f>ROUND(C951/C958*D958,0)</f>
        <v>528</v>
      </c>
      <c r="F951" s="1901">
        <v>10.91</v>
      </c>
      <c r="G951" s="1902"/>
      <c r="H951" s="1644">
        <f t="shared" si="589"/>
        <v>1724</v>
      </c>
      <c r="I951" s="1644">
        <f t="shared" si="589"/>
        <v>5760</v>
      </c>
      <c r="K951" s="1901"/>
      <c r="L951" s="1902"/>
      <c r="M951" s="1901"/>
      <c r="N951" s="1902"/>
      <c r="O951" s="1901"/>
      <c r="P951" s="1902"/>
      <c r="Q951" s="1901"/>
      <c r="R951" s="1902"/>
      <c r="S951" s="1644"/>
      <c r="T951" s="1645"/>
      <c r="U951" s="1644"/>
      <c r="V951" s="1645"/>
      <c r="W951" s="1644"/>
      <c r="X951" s="1643"/>
      <c r="Y951" s="1644"/>
      <c r="AI951" s="2023">
        <f>W951-'Blocking-Step2'!W951</f>
        <v>0</v>
      </c>
      <c r="AJ951" s="2054">
        <f>O951-'Blocking-Step2'!O951</f>
        <v>0</v>
      </c>
    </row>
    <row r="952" spans="1:36" hidden="1">
      <c r="A952" s="1900" t="s">
        <v>261</v>
      </c>
      <c r="C952" s="528">
        <f>'6'!N36</f>
        <v>0</v>
      </c>
      <c r="D952" s="528">
        <f>ROUND(C952/C958*D958,0)</f>
        <v>0</v>
      </c>
      <c r="F952" s="1901">
        <v>-0.96</v>
      </c>
      <c r="G952" s="1902"/>
      <c r="H952" s="1644">
        <f t="shared" si="589"/>
        <v>0</v>
      </c>
      <c r="I952" s="1644">
        <f t="shared" si="589"/>
        <v>0</v>
      </c>
      <c r="K952" s="1901">
        <f>K898</f>
        <v>-0.96</v>
      </c>
      <c r="L952" s="1902"/>
      <c r="M952" s="1901">
        <f>M898</f>
        <v>0</v>
      </c>
      <c r="N952" s="1902"/>
      <c r="O952" s="1901">
        <f>O898</f>
        <v>0</v>
      </c>
      <c r="P952" s="1902"/>
      <c r="Q952" s="1901">
        <f>Q898</f>
        <v>-0.96</v>
      </c>
      <c r="R952" s="1902"/>
      <c r="S952" s="1644">
        <f t="shared" ref="S952" si="598">ROUND($D952*K952,0)</f>
        <v>0</v>
      </c>
      <c r="T952" s="1644"/>
      <c r="U952" s="1644">
        <f t="shared" ref="U952" si="599">ROUND($D952*M952,0)</f>
        <v>0</v>
      </c>
      <c r="V952" s="1644"/>
      <c r="W952" s="1644">
        <f t="shared" ref="W952" si="600">ROUND($D952*O952,0)</f>
        <v>0</v>
      </c>
      <c r="X952" s="1643"/>
      <c r="Y952" s="1644">
        <f t="shared" ref="Y952" si="601">ROUND($D952*Q952,0)</f>
        <v>0</v>
      </c>
      <c r="AI952" s="2023">
        <f>W952-'Blocking-Step2'!W952</f>
        <v>0</v>
      </c>
      <c r="AJ952" s="2054">
        <f>O952-'Blocking-Step2'!O952</f>
        <v>0</v>
      </c>
    </row>
    <row r="953" spans="1:36" hidden="1">
      <c r="A953" s="1900" t="s">
        <v>1362</v>
      </c>
      <c r="C953" s="528">
        <f>'6'!P36+'6'!U36</f>
        <v>0</v>
      </c>
      <c r="D953" s="528">
        <f>Energy!Q58</f>
        <v>9700</v>
      </c>
      <c r="F953" s="1943">
        <v>3.8127</v>
      </c>
      <c r="G953" s="1921" t="s">
        <v>495</v>
      </c>
      <c r="H953" s="1644">
        <f>ROUND($F953*C953/100,0)</f>
        <v>0</v>
      </c>
      <c r="I953" s="1644">
        <f>ROUND($F953*D953/100,0)</f>
        <v>370</v>
      </c>
      <c r="K953" s="1943"/>
      <c r="L953" s="1921"/>
      <c r="M953" s="1943"/>
      <c r="N953" s="1921"/>
      <c r="O953" s="1943"/>
      <c r="P953" s="1921"/>
      <c r="Q953" s="1943"/>
      <c r="R953" s="1921"/>
      <c r="S953" s="1648"/>
      <c r="T953" s="1648"/>
      <c r="U953" s="1648"/>
      <c r="V953" s="1648"/>
      <c r="W953" s="1648"/>
      <c r="X953" s="1648"/>
      <c r="Y953" s="1644"/>
      <c r="AI953" s="2023">
        <f>W953-'Blocking-Step2'!W953</f>
        <v>0</v>
      </c>
      <c r="AJ953" s="2054">
        <f>O953-'Blocking-Step2'!O953</f>
        <v>0</v>
      </c>
    </row>
    <row r="954" spans="1:36" hidden="1">
      <c r="A954" s="1900" t="s">
        <v>1363</v>
      </c>
      <c r="C954" s="528">
        <f>'6'!Q36+'6'!V36</f>
        <v>7086</v>
      </c>
      <c r="D954" s="528">
        <f>Energy!R58</f>
        <v>13580</v>
      </c>
      <c r="F954" s="1943">
        <v>3.5143</v>
      </c>
      <c r="G954" s="1921" t="s">
        <v>495</v>
      </c>
      <c r="H954" s="1644">
        <f>ROUND($F954*C954/100,0)</f>
        <v>249</v>
      </c>
      <c r="I954" s="1644">
        <f>ROUND($F954*D954/100,0)</f>
        <v>477</v>
      </c>
      <c r="K954" s="1943"/>
      <c r="L954" s="1921"/>
      <c r="M954" s="1943"/>
      <c r="N954" s="1921"/>
      <c r="O954" s="1943"/>
      <c r="P954" s="1921"/>
      <c r="Q954" s="1943"/>
      <c r="R954" s="1921"/>
      <c r="S954" s="1648"/>
      <c r="T954" s="1648"/>
      <c r="U954" s="1648"/>
      <c r="V954" s="1648"/>
      <c r="W954" s="1648"/>
      <c r="X954" s="1648"/>
      <c r="Y954" s="1644"/>
      <c r="AI954" s="2023">
        <f>W954-'Blocking-Step2'!W954</f>
        <v>0</v>
      </c>
      <c r="AJ954" s="2054">
        <f>O954-'Blocking-Step2'!O954</f>
        <v>0</v>
      </c>
    </row>
    <row r="955" spans="1:36" hidden="1">
      <c r="A955" s="1900" t="s">
        <v>246</v>
      </c>
      <c r="C955" s="529">
        <f>'Table 2'!J88</f>
        <v>-115</v>
      </c>
      <c r="D955" s="529">
        <v>0</v>
      </c>
      <c r="H955" s="1030">
        <f>'Table 3'!F88</f>
        <v>-42</v>
      </c>
      <c r="I955" s="1030">
        <v>0</v>
      </c>
      <c r="Y955" s="1030">
        <v>0</v>
      </c>
      <c r="AI955" s="2023">
        <f>W955-'Blocking-Step2'!W955</f>
        <v>0</v>
      </c>
      <c r="AJ955" s="2054">
        <f>O955-'Blocking-Step2'!O955</f>
        <v>0</v>
      </c>
    </row>
    <row r="956" spans="1:36" hidden="1">
      <c r="A956" s="1900" t="s">
        <v>1240</v>
      </c>
      <c r="C956" s="584"/>
      <c r="D956" s="584"/>
      <c r="F956" s="1930">
        <v>-3.61E-2</v>
      </c>
      <c r="G956" s="597"/>
      <c r="H956" s="1644">
        <f>SUM(H950:H951,H953:H954)*$F956</f>
        <v>-71.225300000000004</v>
      </c>
      <c r="I956" s="1644">
        <f>SUM(I950:I951,I953:I954)*$F956</f>
        <v>-238.5127</v>
      </c>
      <c r="K956" s="1952">
        <f>K902</f>
        <v>0</v>
      </c>
      <c r="L956" s="597"/>
      <c r="M956" s="1952">
        <f>M902</f>
        <v>0</v>
      </c>
      <c r="N956" s="597"/>
      <c r="O956" s="1931" t="str">
        <f>$O$43</f>
        <v>Tax Year 1 (1/1/2021)</v>
      </c>
      <c r="P956" s="597"/>
      <c r="Q956" s="1930">
        <f>$Q$687</f>
        <v>-1.52E-2</v>
      </c>
      <c r="R956" s="597"/>
      <c r="S956" s="1645"/>
      <c r="T956" s="1645"/>
      <c r="U956" s="1645"/>
      <c r="V956" s="1645"/>
      <c r="W956" s="1645"/>
      <c r="X956" s="1645"/>
      <c r="Y956" s="1644">
        <f>Q956*SUM(Y946:Y949)</f>
        <v>-109.06</v>
      </c>
      <c r="AI956" s="2023">
        <f>W956-'Blocking-Step2'!W956</f>
        <v>0</v>
      </c>
      <c r="AJ956" s="2054">
        <f>O956-'Blocking-Step2'!O956</f>
        <v>0</v>
      </c>
    </row>
    <row r="957" spans="1:36" hidden="1">
      <c r="A957" s="1900"/>
      <c r="C957" s="584"/>
      <c r="D957" s="584"/>
      <c r="F957" s="1930"/>
      <c r="G957" s="597"/>
      <c r="H957" s="1644"/>
      <c r="I957" s="1644"/>
      <c r="K957" s="1952"/>
      <c r="L957" s="597"/>
      <c r="M957" s="1952"/>
      <c r="N957" s="597"/>
      <c r="O957" s="1931">
        <f>$O$44</f>
        <v>0</v>
      </c>
      <c r="P957" s="597"/>
      <c r="Q957" s="1930">
        <f>$Q$688</f>
        <v>0</v>
      </c>
      <c r="R957" s="597"/>
      <c r="S957" s="1645"/>
      <c r="T957" s="1645"/>
      <c r="U957" s="1645"/>
      <c r="V957" s="1645"/>
      <c r="W957" s="1645"/>
      <c r="X957" s="1645"/>
      <c r="Y957" s="1644">
        <f>Q957*SUM(Y946:Y949)</f>
        <v>0</v>
      </c>
      <c r="AI957" s="2023">
        <f>W957-'Blocking-Step2'!W957</f>
        <v>0</v>
      </c>
      <c r="AJ957" s="2054">
        <f>O957-'Blocking-Step2'!O957</f>
        <v>0</v>
      </c>
    </row>
    <row r="958" spans="1:36" ht="16.5" hidden="1" thickBot="1">
      <c r="A958" s="1900" t="s">
        <v>247</v>
      </c>
      <c r="C958" s="1949">
        <f>SUM(C953:C955)</f>
        <v>6971</v>
      </c>
      <c r="D958" s="1949">
        <f>SUM(D953:D955)</f>
        <v>23280</v>
      </c>
      <c r="F958" s="1939"/>
      <c r="H958" s="1647">
        <f>SUM(H943:H956)</f>
        <v>2713.7746999999999</v>
      </c>
      <c r="I958" s="1647">
        <f>SUM(I943:I956)</f>
        <v>9149.4873000000007</v>
      </c>
      <c r="K958" s="1939"/>
      <c r="M958" s="1939"/>
      <c r="O958" s="1939"/>
      <c r="Q958" s="1939"/>
      <c r="S958" s="1647">
        <f>SUM(S943:S955)</f>
        <v>5716</v>
      </c>
      <c r="U958" s="1647">
        <f>SUM(U943:U955)</f>
        <v>3700</v>
      </c>
      <c r="W958" s="1647">
        <f>SUM(W943:W955)</f>
        <v>496</v>
      </c>
      <c r="Y958" s="1647">
        <f>SUM(Y943:Y955)</f>
        <v>9912</v>
      </c>
      <c r="AA958" s="1104" t="s">
        <v>1743</v>
      </c>
      <c r="AB958" s="1890">
        <f>Y958/I958-1</f>
        <v>8.333939104981325E-2</v>
      </c>
      <c r="AI958" s="2023">
        <f>W958-'Blocking-Step2'!W958</f>
        <v>0</v>
      </c>
      <c r="AJ958" s="2054">
        <f>O958-'Blocking-Step2'!O958</f>
        <v>0</v>
      </c>
    </row>
    <row r="959" spans="1:36" ht="16.5" thickTop="1">
      <c r="C959" s="528"/>
      <c r="D959" s="528"/>
      <c r="AI959" s="2023">
        <f>W959-'Blocking-Step2'!W959</f>
        <v>0</v>
      </c>
      <c r="AJ959" s="2054">
        <f>O959-'Blocking-Step2'!O959</f>
        <v>0</v>
      </c>
    </row>
    <row r="960" spans="1:36">
      <c r="A960" s="1897" t="s">
        <v>552</v>
      </c>
      <c r="C960" s="528"/>
      <c r="D960" s="528"/>
      <c r="F960" s="1943"/>
      <c r="G960" s="1957"/>
      <c r="K960" s="1943"/>
      <c r="L960" s="1957"/>
      <c r="M960" s="1943"/>
      <c r="N960" s="1957"/>
      <c r="O960" s="1943"/>
      <c r="P960" s="1957"/>
      <c r="Q960" s="1943"/>
      <c r="R960" s="1957"/>
      <c r="S960" s="1645"/>
      <c r="T960" s="1645"/>
      <c r="U960" s="1645"/>
      <c r="V960" s="1645"/>
      <c r="W960" s="1645"/>
      <c r="X960" s="1645"/>
      <c r="AE960" s="1869" t="s">
        <v>2312</v>
      </c>
      <c r="AG960" s="1869" t="s">
        <v>93</v>
      </c>
      <c r="AI960" s="2023">
        <f>W960-'Blocking-Step2'!W960</f>
        <v>0</v>
      </c>
      <c r="AJ960" s="2054">
        <f>O960-'Blocking-Step2'!O960</f>
        <v>0</v>
      </c>
    </row>
    <row r="961" spans="1:36">
      <c r="A961" s="1900" t="s">
        <v>1910</v>
      </c>
      <c r="C961" s="528">
        <f t="shared" ref="C961:D968" si="602">C985+C1009+C1033</f>
        <v>19779189.087820396</v>
      </c>
      <c r="D961" s="528">
        <f t="shared" si="602"/>
        <v>44585441.124639124</v>
      </c>
      <c r="E961" s="597"/>
      <c r="F961" s="1942"/>
      <c r="G961" s="1921"/>
      <c r="H961" s="1644"/>
      <c r="I961" s="1644"/>
      <c r="J961" s="597"/>
      <c r="K961" s="1923">
        <f>ROUND((S982-SUM(S969:S972))/SUM($D$961:$D$964)*100,4)</f>
        <v>3.89</v>
      </c>
      <c r="L961" s="1921" t="s">
        <v>495</v>
      </c>
      <c r="M961" s="1924">
        <f>Q961-K961-O961</f>
        <v>17.137528114911813</v>
      </c>
      <c r="N961" s="1921" t="s">
        <v>495</v>
      </c>
      <c r="O961" s="1920">
        <f>'Blocking-Step2'!O961</f>
        <v>1.3496999999999999</v>
      </c>
      <c r="P961" s="1921" t="s">
        <v>495</v>
      </c>
      <c r="Q961" s="1942">
        <f>AA961*(1+AB961)</f>
        <v>22.377228114911812</v>
      </c>
      <c r="R961" s="1921" t="s">
        <v>495</v>
      </c>
      <c r="S961" s="1644">
        <f>ROUND($D961*K961/100,0)</f>
        <v>1734374</v>
      </c>
      <c r="T961" s="1648"/>
      <c r="U961" s="1644">
        <f>ROUND($D961*M961/100,0)</f>
        <v>7640843</v>
      </c>
      <c r="V961" s="1648"/>
      <c r="W961" s="1644">
        <f>ROUND($D961*O961/100,0)</f>
        <v>601770</v>
      </c>
      <c r="X961" s="1648"/>
      <c r="Y961" s="1644">
        <f>ROUND($D961*Q961/100,0)</f>
        <v>9976986</v>
      </c>
      <c r="AA961" s="1942">
        <f>'BD-Redesign'!B7*100</f>
        <v>22</v>
      </c>
      <c r="AB961" s="1890">
        <f>RateSpread!Q30</f>
        <v>1.7146732495991589E-2</v>
      </c>
      <c r="AE961" s="1869">
        <f>O961+O965</f>
        <v>7.3497000000000003</v>
      </c>
      <c r="AG961" s="1869">
        <f>Q961+Q965</f>
        <v>28.377228114911812</v>
      </c>
      <c r="AI961" s="2023">
        <f>W961-'Blocking-Step2'!W961</f>
        <v>0</v>
      </c>
      <c r="AJ961" s="2054">
        <f>O961-'Blocking-Step2'!O961</f>
        <v>0</v>
      </c>
    </row>
    <row r="962" spans="1:36">
      <c r="A962" s="1900" t="s">
        <v>1911</v>
      </c>
      <c r="C962" s="528">
        <f t="shared" si="602"/>
        <v>35655696.16045028</v>
      </c>
      <c r="D962" s="528">
        <f t="shared" si="602"/>
        <v>80754202</v>
      </c>
      <c r="E962" s="597"/>
      <c r="F962" s="1942"/>
      <c r="G962" s="1921"/>
      <c r="H962" s="1644"/>
      <c r="I962" s="1644"/>
      <c r="J962" s="597"/>
      <c r="K962" s="1923">
        <f>$K$961</f>
        <v>3.89</v>
      </c>
      <c r="L962" s="1921" t="s">
        <v>495</v>
      </c>
      <c r="M962" s="1924">
        <f t="shared" ref="M962:M964" si="603">Q962-K962-O962</f>
        <v>-1.0877975226579997</v>
      </c>
      <c r="N962" s="1921" t="s">
        <v>495</v>
      </c>
      <c r="O962" s="1920">
        <f>'Blocking-Step2'!O962</f>
        <v>1.3496999999999999</v>
      </c>
      <c r="P962" s="1921" t="s">
        <v>495</v>
      </c>
      <c r="Q962" s="1942">
        <f>ROUND((AB970-SUM(Y961,Y963,Y965:Y977,Y1057,Y1059,Y1061:Y1068))/(D962+D1058+(D964+D1060)/AB976)*100,$AB$8)</f>
        <v>4.1519024773420004</v>
      </c>
      <c r="R962" s="1921" t="s">
        <v>495</v>
      </c>
      <c r="S962" s="1644">
        <f t="shared" ref="S962:S964" si="604">ROUND($D962*K962/100,0)</f>
        <v>3141338</v>
      </c>
      <c r="T962" s="1648"/>
      <c r="U962" s="1644">
        <f t="shared" ref="U962:U964" si="605">ROUND($D962*M962/100,0)</f>
        <v>-878442</v>
      </c>
      <c r="V962" s="1648"/>
      <c r="W962" s="1644">
        <f t="shared" ref="W962:Y968" si="606">ROUND($D962*O962/100,0)</f>
        <v>1089939</v>
      </c>
      <c r="X962" s="1648"/>
      <c r="Y962" s="1644">
        <f t="shared" si="606"/>
        <v>3352836</v>
      </c>
      <c r="AA962" s="1942">
        <f>'BD-Redesign'!B8*100</f>
        <v>4.325922505952053</v>
      </c>
      <c r="AE962" s="1869">
        <f>O962+O965</f>
        <v>7.3497000000000003</v>
      </c>
      <c r="AG962" s="1869">
        <f>Q962+Q965</f>
        <v>10.151902477342</v>
      </c>
      <c r="AI962" s="2023">
        <f>W962-'Blocking-Step2'!W962</f>
        <v>0</v>
      </c>
      <c r="AJ962" s="2054">
        <f>O962-'Blocking-Step2'!O962</f>
        <v>0</v>
      </c>
    </row>
    <row r="963" spans="1:36">
      <c r="A963" s="1900" t="s">
        <v>1912</v>
      </c>
      <c r="C963" s="528">
        <f t="shared" si="602"/>
        <v>34405474.716320619</v>
      </c>
      <c r="D963" s="528">
        <f t="shared" si="602"/>
        <v>73546803</v>
      </c>
      <c r="E963" s="597"/>
      <c r="F963" s="1942"/>
      <c r="G963" s="1921"/>
      <c r="H963" s="1644"/>
      <c r="I963" s="1644"/>
      <c r="J963" s="597"/>
      <c r="K963" s="1923">
        <f t="shared" ref="K963:K964" si="607">$K$961</f>
        <v>3.89</v>
      </c>
      <c r="L963" s="1921" t="s">
        <v>495</v>
      </c>
      <c r="M963" s="1924">
        <f t="shared" si="603"/>
        <v>14.718500000000001</v>
      </c>
      <c r="N963" s="1921" t="s">
        <v>495</v>
      </c>
      <c r="O963" s="1920">
        <f>'Blocking-Step2'!O963</f>
        <v>1.1943999999999999</v>
      </c>
      <c r="P963" s="1921" t="s">
        <v>495</v>
      </c>
      <c r="Q963" s="1942">
        <f>ROUND(Q961/$AB$976,4)</f>
        <v>19.802900000000001</v>
      </c>
      <c r="R963" s="1921" t="s">
        <v>495</v>
      </c>
      <c r="S963" s="1644">
        <f t="shared" si="604"/>
        <v>2860971</v>
      </c>
      <c r="T963" s="1648"/>
      <c r="U963" s="1644">
        <f t="shared" si="605"/>
        <v>10824986</v>
      </c>
      <c r="V963" s="1648"/>
      <c r="W963" s="1644">
        <f t="shared" si="606"/>
        <v>878443</v>
      </c>
      <c r="X963" s="1648"/>
      <c r="Y963" s="1644">
        <f t="shared" si="606"/>
        <v>14564400</v>
      </c>
      <c r="AA963" s="1942">
        <f>'BD-Redesign'!B9*100</f>
        <v>19.469000000000001</v>
      </c>
      <c r="AE963" s="1869">
        <f>O963+O965</f>
        <v>7.1943999999999999</v>
      </c>
      <c r="AG963" s="1869">
        <f>Q963+Q965</f>
        <v>25.802900000000001</v>
      </c>
      <c r="AI963" s="2023">
        <f>W963-'Blocking-Step2'!W963</f>
        <v>0</v>
      </c>
      <c r="AJ963" s="2054">
        <f>O963-'Blocking-Step2'!O963</f>
        <v>0</v>
      </c>
    </row>
    <row r="964" spans="1:36">
      <c r="A964" s="1900" t="s">
        <v>1913</v>
      </c>
      <c r="C964" s="528">
        <f t="shared" si="602"/>
        <v>72036642.888999879</v>
      </c>
      <c r="D964" s="528">
        <f t="shared" si="602"/>
        <v>153778261</v>
      </c>
      <c r="E964" s="597"/>
      <c r="F964" s="1942"/>
      <c r="G964" s="1921"/>
      <c r="H964" s="1644"/>
      <c r="I964" s="1644"/>
      <c r="J964" s="597"/>
      <c r="K964" s="1923">
        <f t="shared" si="607"/>
        <v>3.89</v>
      </c>
      <c r="L964" s="1921" t="s">
        <v>495</v>
      </c>
      <c r="M964" s="1924">
        <f t="shared" si="603"/>
        <v>-1.4102000000000001</v>
      </c>
      <c r="N964" s="1921" t="s">
        <v>495</v>
      </c>
      <c r="O964" s="1920">
        <f>'Blocking-Step2'!O964</f>
        <v>1.1943999999999999</v>
      </c>
      <c r="P964" s="1921" t="s">
        <v>495</v>
      </c>
      <c r="Q964" s="1942">
        <f>ROUND(Q962/$AB$976,4)</f>
        <v>3.6741999999999999</v>
      </c>
      <c r="R964" s="1921" t="s">
        <v>495</v>
      </c>
      <c r="S964" s="1644">
        <f t="shared" si="604"/>
        <v>5981974</v>
      </c>
      <c r="T964" s="1648"/>
      <c r="U964" s="1644">
        <f t="shared" si="605"/>
        <v>-2168581</v>
      </c>
      <c r="V964" s="1648"/>
      <c r="W964" s="1644">
        <f t="shared" si="606"/>
        <v>1836728</v>
      </c>
      <c r="X964" s="1648"/>
      <c r="Y964" s="1644">
        <f t="shared" si="606"/>
        <v>5650121</v>
      </c>
      <c r="AA964" s="1942">
        <f>'BD-Redesign'!B10*100</f>
        <v>3.8282999999999996</v>
      </c>
      <c r="AE964" s="1869">
        <f>O964+O965</f>
        <v>7.1943999999999999</v>
      </c>
      <c r="AG964" s="1869">
        <f>Q964+Q965</f>
        <v>9.674199999999999</v>
      </c>
      <c r="AI964" s="2023">
        <f>W964-'Blocking-Step2'!W964</f>
        <v>0</v>
      </c>
      <c r="AJ964" s="2054">
        <f>O964-'Blocking-Step2'!O964</f>
        <v>0</v>
      </c>
    </row>
    <row r="965" spans="1:36">
      <c r="A965" s="1900" t="s">
        <v>1906</v>
      </c>
      <c r="C965" s="528">
        <f t="shared" si="602"/>
        <v>28929914.642585691</v>
      </c>
      <c r="D965" s="528">
        <f t="shared" si="602"/>
        <v>65422495.124639124</v>
      </c>
      <c r="E965" s="597"/>
      <c r="F965" s="1942"/>
      <c r="G965" s="1921"/>
      <c r="H965" s="1644"/>
      <c r="I965" s="1644"/>
      <c r="J965" s="597"/>
      <c r="K965" s="1923"/>
      <c r="L965" s="1921"/>
      <c r="M965" s="1923"/>
      <c r="N965" s="1921"/>
      <c r="O965" s="1920">
        <f>'Blocking-Step2'!O965</f>
        <v>6</v>
      </c>
      <c r="P965" s="1921" t="s">
        <v>495</v>
      </c>
      <c r="Q965" s="1942">
        <f>AA965*AB965</f>
        <v>6</v>
      </c>
      <c r="R965" s="1921" t="s">
        <v>495</v>
      </c>
      <c r="S965" s="1648"/>
      <c r="T965" s="1648"/>
      <c r="U965" s="1648"/>
      <c r="V965" s="1648"/>
      <c r="W965" s="1648">
        <f t="shared" ref="W965:W968" si="608">Y965-S965-U965</f>
        <v>3925350</v>
      </c>
      <c r="X965" s="1648"/>
      <c r="Y965" s="1644">
        <f t="shared" si="606"/>
        <v>3925350</v>
      </c>
      <c r="AA965" s="1942">
        <f>'BD-Redesign'!B11*100</f>
        <v>6</v>
      </c>
      <c r="AB965" s="1869">
        <v>1</v>
      </c>
      <c r="AE965" s="1869">
        <f>O966-O965</f>
        <v>-8.3358000000000008</v>
      </c>
      <c r="AG965" s="1869">
        <f>Q966-Q965</f>
        <v>-8.3358000000000008</v>
      </c>
      <c r="AI965" s="2023">
        <f>W965-'Blocking-Step2'!W965</f>
        <v>0</v>
      </c>
      <c r="AJ965" s="2054">
        <f>O965-'Blocking-Step2'!O965</f>
        <v>0</v>
      </c>
    </row>
    <row r="966" spans="1:36">
      <c r="A966" s="1900" t="s">
        <v>1907</v>
      </c>
      <c r="C966" s="528">
        <f t="shared" si="602"/>
        <v>26504970.605684984</v>
      </c>
      <c r="D966" s="528">
        <f t="shared" si="602"/>
        <v>59917149</v>
      </c>
      <c r="E966" s="597"/>
      <c r="F966" s="1942"/>
      <c r="G966" s="1921"/>
      <c r="H966" s="1644"/>
      <c r="I966" s="1644"/>
      <c r="J966" s="597"/>
      <c r="K966" s="1923"/>
      <c r="L966" s="1921"/>
      <c r="M966" s="1923"/>
      <c r="N966" s="1921"/>
      <c r="O966" s="1920">
        <f>'Blocking-Step2'!O966</f>
        <v>-2.3358000000000008</v>
      </c>
      <c r="P966" s="1921" t="s">
        <v>495</v>
      </c>
      <c r="Q966" s="1942">
        <f>Q965-AB977</f>
        <v>-2.3358000000000008</v>
      </c>
      <c r="R966" s="1921" t="s">
        <v>495</v>
      </c>
      <c r="S966" s="1648"/>
      <c r="T966" s="1648"/>
      <c r="U966" s="1648"/>
      <c r="V966" s="1648"/>
      <c r="W966" s="1648">
        <f t="shared" si="608"/>
        <v>-1399545</v>
      </c>
      <c r="X966" s="1648"/>
      <c r="Y966" s="1644">
        <f t="shared" si="606"/>
        <v>-1399545</v>
      </c>
      <c r="AA966" s="1942">
        <f>'BD-Redesign'!B12*100</f>
        <v>-2.3357999999999999</v>
      </c>
      <c r="AE966" s="1869">
        <f>O968-O967</f>
        <v>-7.3768000000000002</v>
      </c>
      <c r="AG966" s="1869">
        <f>Q968-Q967</f>
        <v>-7.3768000000000002</v>
      </c>
      <c r="AI966" s="2023">
        <f>W966-'Blocking-Step2'!W966</f>
        <v>0</v>
      </c>
      <c r="AJ966" s="2054">
        <f>O966-'Blocking-Step2'!O966</f>
        <v>0</v>
      </c>
    </row>
    <row r="967" spans="1:36">
      <c r="A967" s="1900" t="s">
        <v>1908</v>
      </c>
      <c r="C967" s="528">
        <f t="shared" si="602"/>
        <v>58020904.957487509</v>
      </c>
      <c r="D967" s="528">
        <f t="shared" si="602"/>
        <v>124025012</v>
      </c>
      <c r="E967" s="597"/>
      <c r="F967" s="1942"/>
      <c r="G967" s="1921"/>
      <c r="H967" s="1644"/>
      <c r="I967" s="1644"/>
      <c r="J967" s="597"/>
      <c r="K967" s="1923"/>
      <c r="L967" s="1921"/>
      <c r="M967" s="1923"/>
      <c r="N967" s="1921"/>
      <c r="O967" s="1920">
        <f>'Blocking-Step2'!O967</f>
        <v>5.3097000000000003</v>
      </c>
      <c r="P967" s="1921" t="s">
        <v>495</v>
      </c>
      <c r="Q967" s="1942">
        <f>ROUND(Q965/$AB$976,4)</f>
        <v>5.3097000000000003</v>
      </c>
      <c r="R967" s="1921" t="s">
        <v>495</v>
      </c>
      <c r="S967" s="1648"/>
      <c r="T967" s="1648"/>
      <c r="U967" s="1648"/>
      <c r="V967" s="1648"/>
      <c r="W967" s="1648">
        <f t="shared" si="608"/>
        <v>6585356</v>
      </c>
      <c r="X967" s="1648"/>
      <c r="Y967" s="1644">
        <f t="shared" si="606"/>
        <v>6585356</v>
      </c>
      <c r="AA967" s="1942">
        <f>'BD-Redesign'!B13*100</f>
        <v>5.3096999999999994</v>
      </c>
      <c r="AI967" s="2023">
        <f>W967-'Blocking-Step2'!W967</f>
        <v>0</v>
      </c>
      <c r="AJ967" s="2054">
        <f>O967-'Blocking-Step2'!O967</f>
        <v>0</v>
      </c>
    </row>
    <row r="968" spans="1:36">
      <c r="A968" s="1900" t="s">
        <v>1909</v>
      </c>
      <c r="C968" s="528">
        <f t="shared" si="602"/>
        <v>48421212.647832997</v>
      </c>
      <c r="D968" s="528">
        <f t="shared" si="602"/>
        <v>103300051</v>
      </c>
      <c r="E968" s="597"/>
      <c r="F968" s="1942"/>
      <c r="G968" s="1921"/>
      <c r="H968" s="1644"/>
      <c r="I968" s="1644"/>
      <c r="J968" s="597"/>
      <c r="K968" s="1923"/>
      <c r="L968" s="1921"/>
      <c r="M968" s="1923"/>
      <c r="N968" s="1921"/>
      <c r="O968" s="1920">
        <f>'Blocking-Step2'!O968</f>
        <v>-2.0670999999999999</v>
      </c>
      <c r="P968" s="1921" t="s">
        <v>495</v>
      </c>
      <c r="Q968" s="1942">
        <f>ROUND(Q966/$AB$976,4)</f>
        <v>-2.0670999999999999</v>
      </c>
      <c r="R968" s="1921" t="s">
        <v>495</v>
      </c>
      <c r="S968" s="1648"/>
      <c r="T968" s="1648"/>
      <c r="U968" s="1648"/>
      <c r="V968" s="1648"/>
      <c r="W968" s="1648">
        <f t="shared" si="608"/>
        <v>-2135315</v>
      </c>
      <c r="X968" s="1648"/>
      <c r="Y968" s="1644">
        <f t="shared" si="606"/>
        <v>-2135315</v>
      </c>
      <c r="AA968" s="1942">
        <f>'BD-Redesign'!B14*100</f>
        <v>-2.0670999999999999</v>
      </c>
      <c r="AI968" s="2023">
        <f>W968-'Blocking-Step2'!W968</f>
        <v>0</v>
      </c>
      <c r="AJ968" s="2054">
        <f>O968-'Blocking-Step2'!O968</f>
        <v>0</v>
      </c>
    </row>
    <row r="969" spans="1:36">
      <c r="A969" s="1900" t="s">
        <v>240</v>
      </c>
      <c r="C969" s="528">
        <f>C993+C1017+C1041</f>
        <v>30591.066666666738</v>
      </c>
      <c r="D969" s="528">
        <f>D993+D1017+D1041</f>
        <v>31870</v>
      </c>
      <c r="F969" s="1901">
        <v>54</v>
      </c>
      <c r="G969" s="1902"/>
      <c r="H969" s="1644">
        <f t="shared" ref="H969:I972" si="609">ROUND($F969*C969,0)</f>
        <v>1651918</v>
      </c>
      <c r="I969" s="1644">
        <f t="shared" si="609"/>
        <v>1720980</v>
      </c>
      <c r="K969" s="1901">
        <f>Q969</f>
        <v>53</v>
      </c>
      <c r="L969" s="1902"/>
      <c r="M969" s="1901"/>
      <c r="N969" s="1902"/>
      <c r="O969" s="1901"/>
      <c r="P969" s="1902"/>
      <c r="Q969" s="1901">
        <f>Q672</f>
        <v>53</v>
      </c>
      <c r="R969" s="1902"/>
      <c r="S969" s="1643">
        <f>Y969</f>
        <v>1689110</v>
      </c>
      <c r="T969" s="1643"/>
      <c r="U969" s="1643"/>
      <c r="V969" s="1643"/>
      <c r="W969" s="1643"/>
      <c r="X969" s="1643"/>
      <c r="Y969" s="1644">
        <f>ROUND($D969*Q969,0)</f>
        <v>1689110</v>
      </c>
      <c r="AA969" s="1903" t="s">
        <v>1741</v>
      </c>
      <c r="AB969" s="1904">
        <f>Y982+Y1076+Y1164</f>
        <v>46939470</v>
      </c>
      <c r="AC969" s="1953">
        <f>AC672</f>
        <v>1.0108285435</v>
      </c>
      <c r="AI969" s="2023">
        <f>W969-'Blocking-Step2'!W969</f>
        <v>0</v>
      </c>
      <c r="AJ969" s="2054">
        <f>O969-'Blocking-Step2'!O969</f>
        <v>0</v>
      </c>
    </row>
    <row r="970" spans="1:36">
      <c r="A970" s="1900" t="s">
        <v>157</v>
      </c>
      <c r="C970" s="528">
        <f t="shared" ref="C970:D978" si="610">C994+C1018+C1042</f>
        <v>1056197.9999999977</v>
      </c>
      <c r="D970" s="528">
        <f t="shared" si="610"/>
        <v>1149761</v>
      </c>
      <c r="E970" s="597"/>
      <c r="F970" s="1901">
        <v>6.52</v>
      </c>
      <c r="G970" s="1902"/>
      <c r="H970" s="1644">
        <f t="shared" si="609"/>
        <v>6886411</v>
      </c>
      <c r="I970" s="1644">
        <f t="shared" si="609"/>
        <v>7496442</v>
      </c>
      <c r="J970" s="597"/>
      <c r="K970" s="1901"/>
      <c r="L970" s="1902"/>
      <c r="M970" s="1901"/>
      <c r="N970" s="1902"/>
      <c r="O970" s="1901"/>
      <c r="P970" s="1902"/>
      <c r="Q970" s="1901"/>
      <c r="R970" s="1902"/>
      <c r="S970" s="1643"/>
      <c r="T970" s="1643"/>
      <c r="U970" s="1643"/>
      <c r="V970" s="1643"/>
      <c r="W970" s="1643"/>
      <c r="X970" s="1643"/>
      <c r="Y970" s="1644"/>
      <c r="AA970" s="1905" t="s">
        <v>1742</v>
      </c>
      <c r="AB970" s="1906">
        <f>AC969*AC970</f>
        <v>46939552.134211428</v>
      </c>
      <c r="AC970" s="1906">
        <f>'Blocking-Step2'!AC970*RateSpread!$Q$87</f>
        <v>46436710.197837256</v>
      </c>
      <c r="AI970" s="2023">
        <f>W970-'Blocking-Step2'!W970</f>
        <v>0</v>
      </c>
      <c r="AJ970" s="2054">
        <f>O970-'Blocking-Step2'!O970</f>
        <v>0</v>
      </c>
    </row>
    <row r="971" spans="1:36">
      <c r="A971" s="1900" t="s">
        <v>162</v>
      </c>
      <c r="C971" s="528">
        <f t="shared" si="610"/>
        <v>1254506.3692870212</v>
      </c>
      <c r="D971" s="528">
        <f t="shared" si="610"/>
        <v>1365599</v>
      </c>
      <c r="E971" s="597"/>
      <c r="F971" s="1901">
        <v>5.47</v>
      </c>
      <c r="G971" s="1902"/>
      <c r="H971" s="1644">
        <f t="shared" si="609"/>
        <v>6862150</v>
      </c>
      <c r="I971" s="1644">
        <f t="shared" si="609"/>
        <v>7469827</v>
      </c>
      <c r="J971" s="597"/>
      <c r="K971" s="1901"/>
      <c r="L971" s="1902"/>
      <c r="M971" s="1901"/>
      <c r="N971" s="1902"/>
      <c r="O971" s="1901"/>
      <c r="P971" s="1902"/>
      <c r="Q971" s="1901"/>
      <c r="R971" s="1902"/>
      <c r="S971" s="1643"/>
      <c r="T971" s="1643"/>
      <c r="U971" s="1643"/>
      <c r="V971" s="1643"/>
      <c r="W971" s="1643"/>
      <c r="X971" s="1643"/>
      <c r="Y971" s="1644"/>
      <c r="AA971" s="1908" t="s">
        <v>87</v>
      </c>
      <c r="AB971" s="1909">
        <f>AB970-AB969</f>
        <v>82.134211428463459</v>
      </c>
      <c r="AC971" s="1869" t="s">
        <v>2310</v>
      </c>
      <c r="AI971" s="2023">
        <f>W971-'Blocking-Step2'!W971</f>
        <v>0</v>
      </c>
      <c r="AJ971" s="2054">
        <f>O971-'Blocking-Step2'!O971</f>
        <v>0</v>
      </c>
    </row>
    <row r="972" spans="1:36">
      <c r="A972" s="1900" t="s">
        <v>261</v>
      </c>
      <c r="C972" s="528">
        <f t="shared" si="610"/>
        <v>188556.63934426199</v>
      </c>
      <c r="D972" s="528">
        <f t="shared" si="610"/>
        <v>203454</v>
      </c>
      <c r="E972" s="597"/>
      <c r="F972" s="1901">
        <v>-0.61</v>
      </c>
      <c r="G972" s="1902"/>
      <c r="H972" s="1644">
        <f t="shared" si="609"/>
        <v>-115020</v>
      </c>
      <c r="I972" s="1644">
        <f t="shared" si="609"/>
        <v>-124107</v>
      </c>
      <c r="J972" s="597"/>
      <c r="K972" s="1901">
        <f>Q972</f>
        <v>-0.61</v>
      </c>
      <c r="L972" s="1902"/>
      <c r="M972" s="1901"/>
      <c r="N972" s="1902"/>
      <c r="O972" s="1901"/>
      <c r="P972" s="1902"/>
      <c r="Q972" s="1901">
        <f>F972</f>
        <v>-0.61</v>
      </c>
      <c r="R972" s="1902"/>
      <c r="S972" s="1643">
        <f>Y972</f>
        <v>-124107</v>
      </c>
      <c r="T972" s="1643"/>
      <c r="U972" s="1643"/>
      <c r="V972" s="1643"/>
      <c r="W972" s="1643"/>
      <c r="X972" s="1643"/>
      <c r="Y972" s="1644">
        <f>ROUND($D972*Q972,0)</f>
        <v>-124107</v>
      </c>
      <c r="AA972" s="1903" t="s">
        <v>1743</v>
      </c>
      <c r="AB972" s="1958">
        <f>AB969/(I982+I1076+I1164)-1</f>
        <v>1.6665273506325295E-2</v>
      </c>
      <c r="AC972" s="2036">
        <v>1.0529999999999999</v>
      </c>
      <c r="AI972" s="2023">
        <f>W972-'Blocking-Step2'!W972</f>
        <v>0</v>
      </c>
      <c r="AJ972" s="2054">
        <f>O972-'Blocking-Step2'!O972</f>
        <v>0</v>
      </c>
    </row>
    <row r="973" spans="1:36">
      <c r="A973" s="1900" t="s">
        <v>188</v>
      </c>
      <c r="C973" s="528">
        <f t="shared" si="610"/>
        <v>72211859.805493146</v>
      </c>
      <c r="D973" s="528">
        <f t="shared" si="610"/>
        <v>79326838.124639124</v>
      </c>
      <c r="E973" s="597"/>
      <c r="F973" s="1920">
        <v>11.926600000000001</v>
      </c>
      <c r="G973" s="1921" t="s">
        <v>495</v>
      </c>
      <c r="H973" s="1644">
        <f t="shared" ref="H973:I977" si="611">ROUND($F973*C973/100,0)</f>
        <v>8612420</v>
      </c>
      <c r="I973" s="1644">
        <f t="shared" si="611"/>
        <v>9460995</v>
      </c>
      <c r="J973" s="597"/>
      <c r="K973" s="1920"/>
      <c r="L973" s="1921"/>
      <c r="M973" s="1920"/>
      <c r="N973" s="1921"/>
      <c r="O973" s="1920"/>
      <c r="P973" s="1921"/>
      <c r="Q973" s="1920"/>
      <c r="R973" s="1921"/>
      <c r="S973" s="1648"/>
      <c r="T973" s="1648"/>
      <c r="U973" s="1648"/>
      <c r="V973" s="1648"/>
      <c r="W973" s="1648"/>
      <c r="X973" s="1648"/>
      <c r="Y973" s="1644"/>
      <c r="AA973" s="1905" t="s">
        <v>1744</v>
      </c>
      <c r="AB973" s="1953">
        <f>AB970/(I982+I1076+I1164)-1</f>
        <v>1.6667052456972087E-2</v>
      </c>
      <c r="AC973" s="1644">
        <f>RateSpread!AH30*1000</f>
        <v>-1806.5579846888795</v>
      </c>
      <c r="AI973" s="2023">
        <f>W973-'Blocking-Step2'!W973</f>
        <v>0</v>
      </c>
      <c r="AJ973" s="2054">
        <f>O973-'Blocking-Step2'!O973</f>
        <v>0</v>
      </c>
    </row>
    <row r="974" spans="1:36">
      <c r="A974" s="1900" t="s">
        <v>189</v>
      </c>
      <c r="C974" s="528">
        <f t="shared" si="610"/>
        <v>63753636.726301193</v>
      </c>
      <c r="D974" s="528">
        <f t="shared" si="610"/>
        <v>70006450</v>
      </c>
      <c r="E974" s="597"/>
      <c r="F974" s="1920">
        <v>3.5908000000000002</v>
      </c>
      <c r="G974" s="1921" t="s">
        <v>495</v>
      </c>
      <c r="H974" s="1644">
        <f t="shared" si="611"/>
        <v>2289266</v>
      </c>
      <c r="I974" s="1644">
        <f t="shared" si="611"/>
        <v>2513792</v>
      </c>
      <c r="J974" s="597"/>
      <c r="K974" s="1920"/>
      <c r="L974" s="1921"/>
      <c r="M974" s="1920"/>
      <c r="N974" s="1921"/>
      <c r="O974" s="1920"/>
      <c r="P974" s="1921"/>
      <c r="Q974" s="1920"/>
      <c r="R974" s="1921"/>
      <c r="S974" s="1648"/>
      <c r="T974" s="1648"/>
      <c r="U974" s="1648"/>
      <c r="V974" s="1648"/>
      <c r="W974" s="1648"/>
      <c r="X974" s="1648"/>
      <c r="Y974" s="1644"/>
      <c r="AA974" s="1915" t="s">
        <v>1751</v>
      </c>
      <c r="AB974" s="1954">
        <f>(AB970-Y969-Y1065-Y1153-Y977)/SUM(I970:I976,I1066:I1072,I1154:I1160)-1</f>
        <v>-1.5485862391729999E-2</v>
      </c>
      <c r="AI974" s="2023">
        <f>W974-'Blocking-Step2'!W974</f>
        <v>0</v>
      </c>
      <c r="AJ974" s="2054">
        <f>O974-'Blocking-Step2'!O974</f>
        <v>0</v>
      </c>
    </row>
    <row r="975" spans="1:36">
      <c r="A975" s="1900" t="s">
        <v>163</v>
      </c>
      <c r="C975" s="528">
        <f t="shared" si="610"/>
        <v>101525113.29458006</v>
      </c>
      <c r="D975" s="528">
        <f t="shared" si="610"/>
        <v>110209144</v>
      </c>
      <c r="E975" s="597"/>
      <c r="F975" s="1920">
        <v>9.9693000000000005</v>
      </c>
      <c r="G975" s="1921" t="s">
        <v>495</v>
      </c>
      <c r="H975" s="1644">
        <f t="shared" si="611"/>
        <v>10121343</v>
      </c>
      <c r="I975" s="1644">
        <f t="shared" si="611"/>
        <v>10987080</v>
      </c>
      <c r="J975" s="597"/>
      <c r="K975" s="1920"/>
      <c r="L975" s="1921"/>
      <c r="M975" s="1920"/>
      <c r="N975" s="1921"/>
      <c r="O975" s="1920"/>
      <c r="P975" s="1921"/>
      <c r="Q975" s="1920"/>
      <c r="R975" s="1921"/>
      <c r="S975" s="1648"/>
      <c r="T975" s="1648"/>
      <c r="U975" s="1648"/>
      <c r="V975" s="1648"/>
      <c r="W975" s="1648"/>
      <c r="X975" s="1648"/>
      <c r="Y975" s="1644"/>
      <c r="AA975" s="1104" t="s">
        <v>1743</v>
      </c>
      <c r="AB975" s="1890">
        <f>Y982/I982-1</f>
        <v>2.6754731146503508E-2</v>
      </c>
      <c r="AI975" s="2023">
        <f>W975-'Blocking-Step2'!W975</f>
        <v>0</v>
      </c>
      <c r="AJ975" s="2054">
        <f>O975-'Blocking-Step2'!O975</f>
        <v>0</v>
      </c>
    </row>
    <row r="976" spans="1:36">
      <c r="A976" s="1900" t="s">
        <v>164</v>
      </c>
      <c r="C976" s="528">
        <f t="shared" si="610"/>
        <v>85966694.527216792</v>
      </c>
      <c r="D976" s="528">
        <f t="shared" si="610"/>
        <v>93122275</v>
      </c>
      <c r="E976" s="597"/>
      <c r="F976" s="1920">
        <v>3.0059999999999998</v>
      </c>
      <c r="G976" s="1921" t="s">
        <v>495</v>
      </c>
      <c r="H976" s="1644">
        <f t="shared" si="611"/>
        <v>2584159</v>
      </c>
      <c r="I976" s="1644">
        <f t="shared" si="611"/>
        <v>2799256</v>
      </c>
      <c r="J976" s="597"/>
      <c r="K976" s="1920"/>
      <c r="L976" s="1921"/>
      <c r="M976" s="1920"/>
      <c r="N976" s="1921"/>
      <c r="O976" s="1920"/>
      <c r="P976" s="1921"/>
      <c r="Q976" s="1920"/>
      <c r="R976" s="1921"/>
      <c r="S976" s="1648"/>
      <c r="T976" s="1648"/>
      <c r="U976" s="1648"/>
      <c r="V976" s="1648"/>
      <c r="W976" s="1648"/>
      <c r="X976" s="1648"/>
      <c r="Y976" s="1644"/>
      <c r="AA976" s="1109" t="s">
        <v>2180</v>
      </c>
      <c r="AB976" s="1959">
        <v>1.1299999999999999</v>
      </c>
      <c r="AI976" s="2023">
        <f>W976-'Blocking-Step2'!W976</f>
        <v>0</v>
      </c>
      <c r="AJ976" s="2054">
        <f>O976-'Blocking-Step2'!O976</f>
        <v>0</v>
      </c>
    </row>
    <row r="977" spans="1:36">
      <c r="A977" s="1116" t="s">
        <v>1158</v>
      </c>
      <c r="C977" s="528">
        <f t="shared" si="610"/>
        <v>26996026</v>
      </c>
      <c r="D977" s="528">
        <f t="shared" si="610"/>
        <v>29568815</v>
      </c>
      <c r="F977" s="1943">
        <v>7.125</v>
      </c>
      <c r="G977" s="1921" t="s">
        <v>495</v>
      </c>
      <c r="H977" s="1644">
        <f t="shared" si="611"/>
        <v>1923467</v>
      </c>
      <c r="I977" s="1644">
        <f t="shared" si="611"/>
        <v>2106778</v>
      </c>
      <c r="K977" s="1923"/>
      <c r="L977" s="1921" t="s">
        <v>495</v>
      </c>
      <c r="M977" s="1923">
        <f>Q977</f>
        <v>7.125</v>
      </c>
      <c r="N977" s="1921" t="s">
        <v>495</v>
      </c>
      <c r="O977" s="1920"/>
      <c r="P977" s="1921" t="s">
        <v>495</v>
      </c>
      <c r="Q977" s="1943">
        <f>F977</f>
        <v>7.125</v>
      </c>
      <c r="R977" s="1921" t="s">
        <v>495</v>
      </c>
      <c r="S977" s="1648"/>
      <c r="T977" s="1648"/>
      <c r="U977" s="1648">
        <f>Y977</f>
        <v>2106778</v>
      </c>
      <c r="V977" s="1648"/>
      <c r="W977" s="1648"/>
      <c r="X977" s="1648"/>
      <c r="Y977" s="1644">
        <f t="shared" ref="Y977" si="612">ROUND($D977*Q977/100,0)</f>
        <v>2106778</v>
      </c>
      <c r="AA977" s="1109" t="s">
        <v>1757</v>
      </c>
      <c r="AB977" s="1959">
        <f>F973-F974</f>
        <v>8.3358000000000008</v>
      </c>
      <c r="AI977" s="2023">
        <f>W977-'Blocking-Step2'!W977</f>
        <v>0</v>
      </c>
      <c r="AJ977" s="2054">
        <f>O977-'Blocking-Step2'!O977</f>
        <v>0</v>
      </c>
    </row>
    <row r="978" spans="1:36">
      <c r="A978" s="1900" t="s">
        <v>246</v>
      </c>
      <c r="C978" s="529">
        <f t="shared" si="610"/>
        <v>662780</v>
      </c>
      <c r="D978" s="529">
        <f t="shared" si="610"/>
        <v>0</v>
      </c>
      <c r="H978" s="1030">
        <f>H1002+H1026+H1050</f>
        <v>97502</v>
      </c>
      <c r="I978" s="1030">
        <f t="shared" ref="I978" si="613">I1002+I1026+I1050</f>
        <v>0</v>
      </c>
      <c r="Y978" s="1030"/>
      <c r="AA978" s="1109" t="s">
        <v>1938</v>
      </c>
      <c r="AB978" s="1917">
        <f>SUM(RateSpread!V26:V28,RateSpread!V42*'Blocking-Step1'!Y1899/('Blocking-Step1'!Y1899+'Blocking-Step1'!Y1917))*1000</f>
        <v>-605003.82213649945</v>
      </c>
      <c r="AC978" s="1918">
        <f>ROUND(AB978/SUM(Y961:Y964,Y977,Y1057:Y1060,Y1889:Y1892)*AC972,4)</f>
        <v>-1.6899999999999998E-2</v>
      </c>
      <c r="AI978" s="2023">
        <f>W978-'Blocking-Step2'!W978</f>
        <v>0</v>
      </c>
      <c r="AJ978" s="2054">
        <f>O978-'Blocking-Step2'!O978</f>
        <v>0</v>
      </c>
    </row>
    <row r="979" spans="1:36">
      <c r="A979" s="1900" t="s">
        <v>1240</v>
      </c>
      <c r="C979" s="584"/>
      <c r="D979" s="584"/>
      <c r="F979" s="1930">
        <v>-4.99E-2</v>
      </c>
      <c r="G979" s="597"/>
      <c r="H979" s="1644">
        <f>SUM(H973:H977)*$F979</f>
        <v>-1273979.6845</v>
      </c>
      <c r="I979" s="1644">
        <f>SUM(I973:I977)*$F979</f>
        <v>-1390608.2598999999</v>
      </c>
      <c r="K979" s="1930"/>
      <c r="L979" s="597"/>
      <c r="M979" s="1930"/>
      <c r="N979" s="597"/>
      <c r="O979" s="1931" t="str">
        <f>$O$43</f>
        <v>Tax Year 1 (1/1/2021)</v>
      </c>
      <c r="P979" s="597"/>
      <c r="Q979" s="1930">
        <f>AC978</f>
        <v>-1.6899999999999998E-2</v>
      </c>
      <c r="R979" s="597"/>
      <c r="S979" s="1645"/>
      <c r="T979" s="1645"/>
      <c r="U979" s="1645"/>
      <c r="V979" s="1645"/>
      <c r="W979" s="1645"/>
      <c r="X979" s="1645"/>
      <c r="Y979" s="1644">
        <f>Q979*SUM(Y961:Y964,Y977)</f>
        <v>-602503.94489999989</v>
      </c>
      <c r="AA979" s="1109" t="s">
        <v>1939</v>
      </c>
      <c r="AB979" s="1917">
        <v>0</v>
      </c>
      <c r="AC979" s="1918">
        <f>ROUND(AB979/SUM(Y961:Y964,Y977,Y1057:Y1060,Y1889:Y1892)*AC972,4)</f>
        <v>0</v>
      </c>
      <c r="AI979" s="2023">
        <f>W979-'Blocking-Step2'!W979</f>
        <v>0</v>
      </c>
      <c r="AJ979" s="2054">
        <f>O979-'Blocking-Step2'!O979</f>
        <v>0</v>
      </c>
    </row>
    <row r="980" spans="1:36">
      <c r="A980" s="1900"/>
      <c r="C980" s="584"/>
      <c r="D980" s="584"/>
      <c r="F980" s="1930"/>
      <c r="G980" s="597"/>
      <c r="H980" s="1644"/>
      <c r="I980" s="1644"/>
      <c r="K980" s="1930"/>
      <c r="L980" s="597"/>
      <c r="M980" s="1930"/>
      <c r="N980" s="597"/>
      <c r="O980" s="1931">
        <f>$O$44</f>
        <v>0</v>
      </c>
      <c r="P980" s="597"/>
      <c r="Q980" s="1930">
        <f>AC979</f>
        <v>0</v>
      </c>
      <c r="R980" s="597"/>
      <c r="S980" s="1645"/>
      <c r="T980" s="1645"/>
      <c r="U980" s="1645"/>
      <c r="V980" s="1645"/>
      <c r="W980" s="1645"/>
      <c r="X980" s="1645"/>
      <c r="Y980" s="1644">
        <f>Q980*SUM(Y961:Y964,Y977)</f>
        <v>0</v>
      </c>
      <c r="AI980" s="2023">
        <f>W980-'Blocking-Step2'!W980</f>
        <v>0</v>
      </c>
      <c r="AJ980" s="2054">
        <f>O980-'Blocking-Step2'!O980</f>
        <v>0</v>
      </c>
    </row>
    <row r="981" spans="1:36">
      <c r="A981" s="1116" t="s">
        <v>1317</v>
      </c>
      <c r="C981" s="584">
        <f t="shared" ref="C981:D981" si="614">C1005+C1029+C1053</f>
        <v>-1494890</v>
      </c>
      <c r="D981" s="584">
        <f t="shared" si="614"/>
        <v>-1649518</v>
      </c>
      <c r="F981" s="1930"/>
      <c r="G981" s="597"/>
      <c r="H981" s="1644"/>
      <c r="I981" s="1644"/>
      <c r="K981" s="1930"/>
      <c r="L981" s="597"/>
      <c r="M981" s="1930"/>
      <c r="N981" s="597"/>
      <c r="O981" s="1930"/>
      <c r="P981" s="597"/>
      <c r="Q981" s="1930"/>
      <c r="R981" s="597"/>
      <c r="S981" s="1645"/>
      <c r="T981" s="1645"/>
      <c r="U981" s="1645"/>
      <c r="V981" s="1645"/>
      <c r="W981" s="1645"/>
      <c r="X981" s="1645"/>
      <c r="Y981" s="1644"/>
      <c r="AA981" s="1933" t="s">
        <v>1660</v>
      </c>
      <c r="AB981" s="1933" t="s">
        <v>1661</v>
      </c>
      <c r="AC981" s="1933" t="s">
        <v>1662</v>
      </c>
      <c r="AD981" s="1933" t="s">
        <v>93</v>
      </c>
      <c r="AI981" s="2023">
        <f>W981-'Blocking-Step2'!W981</f>
        <v>0</v>
      </c>
      <c r="AJ981" s="2054">
        <f>O981-'Blocking-Step2'!O981</f>
        <v>0</v>
      </c>
    </row>
    <row r="982" spans="1:36" ht="16.5" thickBot="1">
      <c r="A982" s="1900" t="s">
        <v>247</v>
      </c>
      <c r="C982" s="1949">
        <f>SUM(C973:C981)</f>
        <v>349621220.3535912</v>
      </c>
      <c r="D982" s="1949">
        <f>SUM(D973:D981)</f>
        <v>380584004.12463915</v>
      </c>
      <c r="F982" s="1939"/>
      <c r="H982" s="1647">
        <f>SUM(H969:H979)</f>
        <v>39639636.315499999</v>
      </c>
      <c r="I982" s="1647">
        <f>SUM(I969:I979)</f>
        <v>43040434.740099996</v>
      </c>
      <c r="K982" s="1939"/>
      <c r="M982" s="1939"/>
      <c r="O982" s="1939"/>
      <c r="Q982" s="1939"/>
      <c r="S982" s="1154">
        <f>($Y982-$W982)*AA982/(AA982+AB982)</f>
        <v>15283753.112740947</v>
      </c>
      <c r="T982" s="1154"/>
      <c r="U982" s="1154">
        <f>Y982-S982-W982</f>
        <v>17525490.887259051</v>
      </c>
      <c r="V982" s="1154"/>
      <c r="W982" s="1154">
        <f>SUM(W961:W981)</f>
        <v>11382726</v>
      </c>
      <c r="Y982" s="1646">
        <f>SUM(Y961:Y978)</f>
        <v>44191970</v>
      </c>
      <c r="Z982" s="1936"/>
      <c r="AA982" s="1937">
        <f>'Unit Cost Target'!$E$87+'Unit Cost Target'!$E$123+'Unit Cost Target'!$E$129+'Unit Cost Target'!$E$75+'Unit Cost Target'!$E$81</f>
        <v>173645002.8371194</v>
      </c>
      <c r="AB982" s="1937">
        <f>'Unit Cost Target'!$E$45+'Unit Cost Target'!$E$51</f>
        <v>199114307.35577011</v>
      </c>
      <c r="AC982" s="1937">
        <f>'Unit Cost Target'!$E$33+'Unit Cost Target'!$E$39+'Unit Cost Target'!$E$63+'Unit Cost Target'!$E$69</f>
        <v>127225403.61723401</v>
      </c>
      <c r="AD982" s="1937">
        <f>SUM(AA982:AC982)</f>
        <v>499984713.8101235</v>
      </c>
      <c r="AE982" s="1937">
        <f>AD982-'Unit Cost Target'!$E$21</f>
        <v>0</v>
      </c>
      <c r="AI982" s="2023">
        <f>W982-'Blocking-Step2'!W982</f>
        <v>-152.40292946249247</v>
      </c>
      <c r="AJ982" s="2054">
        <f>O982-'Blocking-Step2'!O982</f>
        <v>0</v>
      </c>
    </row>
    <row r="983" spans="1:36" ht="16.5" hidden="1" thickTop="1">
      <c r="C983" s="528"/>
      <c r="D983" s="528"/>
      <c r="AA983" s="1937">
        <f>S982-SUM(S961:S981)</f>
        <v>93.112740946933627</v>
      </c>
      <c r="AB983" s="1937">
        <f>U982-SUM(U961:U981)</f>
        <v>-93.112740948796272</v>
      </c>
      <c r="AC983" s="1937">
        <f>W982-SUM(W961:W981)</f>
        <v>0</v>
      </c>
      <c r="AD983" s="1937">
        <f>SUM(AA983:AC983)</f>
        <v>-1.862645149230957E-9</v>
      </c>
      <c r="AE983" s="1937"/>
      <c r="AI983" s="2023">
        <f>W983-'Blocking-Step2'!W983</f>
        <v>0</v>
      </c>
      <c r="AJ983" s="2054">
        <f>O983-'Blocking-Step2'!O983</f>
        <v>0</v>
      </c>
    </row>
    <row r="984" spans="1:36" hidden="1">
      <c r="A984" s="1897" t="s">
        <v>909</v>
      </c>
      <c r="C984" s="528"/>
      <c r="D984" s="528"/>
      <c r="F984" s="1943"/>
      <c r="G984" s="1957"/>
      <c r="K984" s="1943"/>
      <c r="L984" s="1957"/>
      <c r="M984" s="1943"/>
      <c r="N984" s="1957"/>
      <c r="O984" s="1943"/>
      <c r="P984" s="1957"/>
      <c r="Q984" s="1943"/>
      <c r="R984" s="1957"/>
      <c r="S984" s="1645"/>
      <c r="T984" s="1645"/>
      <c r="U984" s="1645"/>
      <c r="V984" s="1645"/>
      <c r="W984" s="1645"/>
      <c r="X984" s="1645"/>
      <c r="AI984" s="2023">
        <f>W984-'Blocking-Step2'!W984</f>
        <v>0</v>
      </c>
      <c r="AJ984" s="2054">
        <f>O984-'Blocking-Step2'!O984</f>
        <v>0</v>
      </c>
    </row>
    <row r="985" spans="1:36" hidden="1">
      <c r="A985" s="1900" t="s">
        <v>1910</v>
      </c>
      <c r="C985" s="528">
        <f>'BD-Redesign'!F7</f>
        <v>195834</v>
      </c>
      <c r="D985" s="528">
        <f>D1006-SUM(D986:D988,D1001:D1005)</f>
        <v>476420</v>
      </c>
      <c r="E985" s="597"/>
      <c r="F985" s="1942"/>
      <c r="G985" s="1921"/>
      <c r="H985" s="1644"/>
      <c r="I985" s="1644"/>
      <c r="J985" s="597"/>
      <c r="K985" s="1942">
        <f>K961</f>
        <v>3.89</v>
      </c>
      <c r="L985" s="1921" t="s">
        <v>495</v>
      </c>
      <c r="M985" s="1942">
        <f>M961</f>
        <v>17.137528114911813</v>
      </c>
      <c r="N985" s="1921" t="s">
        <v>495</v>
      </c>
      <c r="O985" s="1942">
        <f>O961</f>
        <v>1.3496999999999999</v>
      </c>
      <c r="P985" s="1921" t="s">
        <v>495</v>
      </c>
      <c r="Q985" s="1942">
        <f t="shared" ref="Q985:Q993" si="615">Q961</f>
        <v>22.377228114911812</v>
      </c>
      <c r="R985" s="1921" t="s">
        <v>495</v>
      </c>
      <c r="S985" s="1644">
        <f>ROUND($D985*K985/100,0)</f>
        <v>18533</v>
      </c>
      <c r="T985" s="1648"/>
      <c r="U985" s="1644">
        <f>ROUND($D985*M985/100,0)</f>
        <v>81647</v>
      </c>
      <c r="V985" s="1648"/>
      <c r="W985" s="1644">
        <f>ROUND($D985*O985/100,0)</f>
        <v>6430</v>
      </c>
      <c r="X985" s="1648"/>
      <c r="Y985" s="1644">
        <f>ROUND($D985*Q985/100,0)</f>
        <v>106610</v>
      </c>
      <c r="AI985" s="2023">
        <f>W985-'Blocking-Step2'!W985</f>
        <v>0</v>
      </c>
      <c r="AJ985" s="2054">
        <f>O985-'Blocking-Step2'!O985</f>
        <v>0</v>
      </c>
    </row>
    <row r="986" spans="1:36" hidden="1">
      <c r="A986" s="1900" t="s">
        <v>1911</v>
      </c>
      <c r="C986" s="528">
        <f>'BD-Redesign'!F8</f>
        <v>1401051</v>
      </c>
      <c r="D986" s="528">
        <f>ROUND(C986/(C985+C986)*(Energy!S11*(1-1/Energy!P11*('Blocking-Step1'!D1001+'Blocking-Step1'!D1005))),0)</f>
        <v>3408441</v>
      </c>
      <c r="E986" s="597"/>
      <c r="F986" s="1942"/>
      <c r="G986" s="1921"/>
      <c r="H986" s="1644"/>
      <c r="I986" s="1644"/>
      <c r="J986" s="597"/>
      <c r="K986" s="1942">
        <f t="shared" ref="K986:K993" si="616">K962</f>
        <v>3.89</v>
      </c>
      <c r="L986" s="1921" t="s">
        <v>495</v>
      </c>
      <c r="M986" s="1942">
        <f t="shared" ref="M986:M993" si="617">M962</f>
        <v>-1.0877975226579997</v>
      </c>
      <c r="N986" s="1921" t="s">
        <v>495</v>
      </c>
      <c r="O986" s="1942">
        <f t="shared" ref="O986:O993" si="618">O962</f>
        <v>1.3496999999999999</v>
      </c>
      <c r="P986" s="1921" t="s">
        <v>495</v>
      </c>
      <c r="Q986" s="1942">
        <f t="shared" si="615"/>
        <v>4.1519024773420004</v>
      </c>
      <c r="R986" s="1921" t="s">
        <v>495</v>
      </c>
      <c r="S986" s="1644">
        <f t="shared" ref="S986:S992" si="619">ROUND($D986*K986/100,0)</f>
        <v>132588</v>
      </c>
      <c r="T986" s="1648"/>
      <c r="U986" s="1644">
        <f t="shared" ref="U986:U992" si="620">ROUND($D986*M986/100,0)</f>
        <v>-37077</v>
      </c>
      <c r="V986" s="1648"/>
      <c r="W986" s="1644">
        <f t="shared" ref="W986:Y992" si="621">ROUND($D986*O986/100,0)</f>
        <v>46004</v>
      </c>
      <c r="X986" s="1648"/>
      <c r="Y986" s="1644">
        <f t="shared" si="621"/>
        <v>141515</v>
      </c>
      <c r="AI986" s="2023">
        <f>W986-'Blocking-Step2'!W986</f>
        <v>0</v>
      </c>
      <c r="AJ986" s="2054">
        <f>O986-'Blocking-Step2'!O986</f>
        <v>0</v>
      </c>
    </row>
    <row r="987" spans="1:36" hidden="1">
      <c r="A987" s="1900" t="s">
        <v>1912</v>
      </c>
      <c r="C987" s="528">
        <f>'BD-Redesign'!F9</f>
        <v>338106.98885443184</v>
      </c>
      <c r="D987" s="528">
        <f>ROUND(C987/(C987+C988)*(Energy!T11*(1-1/Energy!P11*('Blocking-Step1'!D1001+'Blocking-Step1'!D1005))),0)</f>
        <v>714796</v>
      </c>
      <c r="E987" s="597"/>
      <c r="F987" s="1942"/>
      <c r="G987" s="1921"/>
      <c r="H987" s="1644"/>
      <c r="I987" s="1644"/>
      <c r="J987" s="597"/>
      <c r="K987" s="1942">
        <f t="shared" si="616"/>
        <v>3.89</v>
      </c>
      <c r="L987" s="1921" t="s">
        <v>495</v>
      </c>
      <c r="M987" s="1942">
        <f t="shared" si="617"/>
        <v>14.718500000000001</v>
      </c>
      <c r="N987" s="1921" t="s">
        <v>495</v>
      </c>
      <c r="O987" s="1942">
        <f t="shared" si="618"/>
        <v>1.1943999999999999</v>
      </c>
      <c r="P987" s="1921" t="s">
        <v>495</v>
      </c>
      <c r="Q987" s="1942">
        <f t="shared" si="615"/>
        <v>19.802900000000001</v>
      </c>
      <c r="R987" s="1921" t="s">
        <v>495</v>
      </c>
      <c r="S987" s="1644">
        <f t="shared" si="619"/>
        <v>27806</v>
      </c>
      <c r="T987" s="1648"/>
      <c r="U987" s="1644">
        <f t="shared" si="620"/>
        <v>105207</v>
      </c>
      <c r="V987" s="1648"/>
      <c r="W987" s="1644">
        <f t="shared" si="621"/>
        <v>8538</v>
      </c>
      <c r="X987" s="1648"/>
      <c r="Y987" s="1644">
        <f t="shared" si="621"/>
        <v>141550</v>
      </c>
      <c r="AI987" s="2023">
        <f>W987-'Blocking-Step2'!W987</f>
        <v>0</v>
      </c>
      <c r="AJ987" s="2054">
        <f>O987-'Blocking-Step2'!O987</f>
        <v>0</v>
      </c>
    </row>
    <row r="988" spans="1:36" hidden="1">
      <c r="A988" s="1900" t="s">
        <v>1913</v>
      </c>
      <c r="C988" s="528">
        <f>'BD-Redesign'!F10</f>
        <v>2623727.011145568</v>
      </c>
      <c r="D988" s="528">
        <f>ROUND(C988/(C987+C988)*(Energy!T11*(1-1/Energy!P11*('Blocking-Step1'!D1001+'Blocking-Step1'!D1005))),0)</f>
        <v>5546852</v>
      </c>
      <c r="E988" s="597"/>
      <c r="F988" s="1942"/>
      <c r="G988" s="1921"/>
      <c r="H988" s="1644"/>
      <c r="I988" s="1644"/>
      <c r="J988" s="597"/>
      <c r="K988" s="1942">
        <f t="shared" si="616"/>
        <v>3.89</v>
      </c>
      <c r="L988" s="1921" t="s">
        <v>495</v>
      </c>
      <c r="M988" s="1942">
        <f t="shared" si="617"/>
        <v>-1.4102000000000001</v>
      </c>
      <c r="N988" s="1921" t="s">
        <v>495</v>
      </c>
      <c r="O988" s="1942">
        <f t="shared" si="618"/>
        <v>1.1943999999999999</v>
      </c>
      <c r="P988" s="1921" t="s">
        <v>495</v>
      </c>
      <c r="Q988" s="1942">
        <f t="shared" si="615"/>
        <v>3.6741999999999999</v>
      </c>
      <c r="R988" s="1921" t="s">
        <v>495</v>
      </c>
      <c r="S988" s="1644">
        <f t="shared" si="619"/>
        <v>215773</v>
      </c>
      <c r="T988" s="1648"/>
      <c r="U988" s="1644">
        <f t="shared" si="620"/>
        <v>-78222</v>
      </c>
      <c r="V988" s="1648"/>
      <c r="W988" s="1644">
        <f t="shared" si="621"/>
        <v>66252</v>
      </c>
      <c r="X988" s="1648"/>
      <c r="Y988" s="1644">
        <f t="shared" si="621"/>
        <v>203802</v>
      </c>
      <c r="AI988" s="2023">
        <f>W988-'Blocking-Step2'!W988</f>
        <v>0</v>
      </c>
      <c r="AJ988" s="2054">
        <f>O988-'Blocking-Step2'!O988</f>
        <v>0</v>
      </c>
    </row>
    <row r="989" spans="1:36" hidden="1">
      <c r="A989" s="1900" t="s">
        <v>1906</v>
      </c>
      <c r="C989" s="528">
        <f>'BD-Redesign'!F11</f>
        <v>830941</v>
      </c>
      <c r="D989" s="528">
        <f>D1006-SUM(D990:D992,D1001:D1005)</f>
        <v>2021492</v>
      </c>
      <c r="E989" s="597"/>
      <c r="F989" s="1942"/>
      <c r="G989" s="1921"/>
      <c r="H989" s="1644"/>
      <c r="I989" s="1644"/>
      <c r="J989" s="597"/>
      <c r="K989" s="1942">
        <f t="shared" si="616"/>
        <v>0</v>
      </c>
      <c r="L989" s="1921" t="s">
        <v>495</v>
      </c>
      <c r="M989" s="1942">
        <f t="shared" si="617"/>
        <v>0</v>
      </c>
      <c r="N989" s="1921" t="s">
        <v>495</v>
      </c>
      <c r="O989" s="1942">
        <f t="shared" si="618"/>
        <v>6</v>
      </c>
      <c r="P989" s="1921" t="s">
        <v>495</v>
      </c>
      <c r="Q989" s="1942">
        <f t="shared" si="615"/>
        <v>6</v>
      </c>
      <c r="R989" s="1921" t="s">
        <v>495</v>
      </c>
      <c r="S989" s="1644">
        <f t="shared" si="619"/>
        <v>0</v>
      </c>
      <c r="T989" s="1648"/>
      <c r="U989" s="1644">
        <f t="shared" si="620"/>
        <v>0</v>
      </c>
      <c r="V989" s="1648"/>
      <c r="W989" s="1644">
        <f t="shared" si="621"/>
        <v>121290</v>
      </c>
      <c r="X989" s="1648"/>
      <c r="Y989" s="1644">
        <f t="shared" si="621"/>
        <v>121290</v>
      </c>
      <c r="AI989" s="2023">
        <f>W989-'Blocking-Step2'!W989</f>
        <v>0</v>
      </c>
      <c r="AJ989" s="2054">
        <f>O989-'Blocking-Step2'!O989</f>
        <v>0</v>
      </c>
    </row>
    <row r="990" spans="1:36" hidden="1">
      <c r="A990" s="1900" t="s">
        <v>1907</v>
      </c>
      <c r="C990" s="528">
        <f>'BD-Redesign'!F12</f>
        <v>765944</v>
      </c>
      <c r="D990" s="528">
        <f>ROUND(C990/(C989+C990)*(Energy!S11*(1-1/Energy!P11*('Blocking-Step1'!D1001+'Blocking-Step1'!D1005))),0)</f>
        <v>1863369</v>
      </c>
      <c r="E990" s="597"/>
      <c r="F990" s="1942"/>
      <c r="G990" s="1921"/>
      <c r="H990" s="1644"/>
      <c r="I990" s="1644"/>
      <c r="J990" s="597"/>
      <c r="K990" s="1942">
        <f t="shared" si="616"/>
        <v>0</v>
      </c>
      <c r="L990" s="1921" t="s">
        <v>495</v>
      </c>
      <c r="M990" s="1942">
        <f t="shared" si="617"/>
        <v>0</v>
      </c>
      <c r="N990" s="1921" t="s">
        <v>495</v>
      </c>
      <c r="O990" s="1942">
        <f t="shared" si="618"/>
        <v>-2.3358000000000008</v>
      </c>
      <c r="P990" s="1921" t="s">
        <v>495</v>
      </c>
      <c r="Q990" s="1942">
        <f t="shared" si="615"/>
        <v>-2.3358000000000008</v>
      </c>
      <c r="R990" s="1921" t="s">
        <v>495</v>
      </c>
      <c r="S990" s="1644">
        <f t="shared" si="619"/>
        <v>0</v>
      </c>
      <c r="T990" s="1648"/>
      <c r="U990" s="1644">
        <f t="shared" si="620"/>
        <v>0</v>
      </c>
      <c r="V990" s="1648"/>
      <c r="W990" s="1644">
        <f t="shared" si="621"/>
        <v>-43525</v>
      </c>
      <c r="X990" s="1648"/>
      <c r="Y990" s="1644">
        <f t="shared" si="621"/>
        <v>-43525</v>
      </c>
      <c r="AI990" s="2023">
        <f>W990-'Blocking-Step2'!W990</f>
        <v>0</v>
      </c>
      <c r="AJ990" s="2054">
        <f>O990-'Blocking-Step2'!O990</f>
        <v>0</v>
      </c>
    </row>
    <row r="991" spans="1:36" hidden="1">
      <c r="A991" s="1900" t="s">
        <v>1908</v>
      </c>
      <c r="C991" s="528">
        <f>'BD-Redesign'!F13</f>
        <v>1469173.5</v>
      </c>
      <c r="D991" s="528">
        <f>ROUND(C991/(C991+C992)*(Energy!T11*(1-1/Energy!P11*('Blocking-Step1'!D1001+'Blocking-Step1'!D1005))),0)</f>
        <v>3105997</v>
      </c>
      <c r="E991" s="597"/>
      <c r="F991" s="1942"/>
      <c r="G991" s="1921"/>
      <c r="H991" s="1644"/>
      <c r="I991" s="1644"/>
      <c r="J991" s="597"/>
      <c r="K991" s="1942">
        <f t="shared" si="616"/>
        <v>0</v>
      </c>
      <c r="L991" s="1921" t="s">
        <v>495</v>
      </c>
      <c r="M991" s="1942">
        <f t="shared" si="617"/>
        <v>0</v>
      </c>
      <c r="N991" s="1921" t="s">
        <v>495</v>
      </c>
      <c r="O991" s="1942">
        <f t="shared" si="618"/>
        <v>5.3097000000000003</v>
      </c>
      <c r="P991" s="1921" t="s">
        <v>495</v>
      </c>
      <c r="Q991" s="1942">
        <f t="shared" si="615"/>
        <v>5.3097000000000003</v>
      </c>
      <c r="R991" s="1921" t="s">
        <v>495</v>
      </c>
      <c r="S991" s="1644">
        <f t="shared" si="619"/>
        <v>0</v>
      </c>
      <c r="T991" s="1648"/>
      <c r="U991" s="1644">
        <f t="shared" si="620"/>
        <v>0</v>
      </c>
      <c r="V991" s="1648"/>
      <c r="W991" s="1644">
        <f t="shared" si="621"/>
        <v>164919</v>
      </c>
      <c r="X991" s="1648"/>
      <c r="Y991" s="1644">
        <f t="shared" si="621"/>
        <v>164919</v>
      </c>
      <c r="AI991" s="2023">
        <f>W991-'Blocking-Step2'!W991</f>
        <v>0</v>
      </c>
      <c r="AJ991" s="2054">
        <f>O991-'Blocking-Step2'!O991</f>
        <v>0</v>
      </c>
    </row>
    <row r="992" spans="1:36" hidden="1">
      <c r="A992" s="1900" t="s">
        <v>1909</v>
      </c>
      <c r="C992" s="528">
        <f>'BD-Redesign'!F14</f>
        <v>1492660.5</v>
      </c>
      <c r="D992" s="528">
        <f>ROUND(C992/(C991+C992)*(Energy!T11*(1-1/Energy!P11*('Blocking-Step1'!D1001+'Blocking-Step1'!D1005))),0)</f>
        <v>3155651</v>
      </c>
      <c r="E992" s="597"/>
      <c r="F992" s="1942"/>
      <c r="G992" s="1921"/>
      <c r="H992" s="1644"/>
      <c r="I992" s="1644"/>
      <c r="J992" s="597"/>
      <c r="K992" s="1942">
        <f t="shared" si="616"/>
        <v>0</v>
      </c>
      <c r="L992" s="1921" t="s">
        <v>495</v>
      </c>
      <c r="M992" s="1942">
        <f t="shared" si="617"/>
        <v>0</v>
      </c>
      <c r="N992" s="1921" t="s">
        <v>495</v>
      </c>
      <c r="O992" s="1942">
        <f t="shared" si="618"/>
        <v>-2.0670999999999999</v>
      </c>
      <c r="P992" s="1921" t="s">
        <v>495</v>
      </c>
      <c r="Q992" s="1942">
        <f t="shared" si="615"/>
        <v>-2.0670999999999999</v>
      </c>
      <c r="R992" s="1921" t="s">
        <v>495</v>
      </c>
      <c r="S992" s="1644">
        <f t="shared" si="619"/>
        <v>0</v>
      </c>
      <c r="T992" s="1648"/>
      <c r="U992" s="1644">
        <f t="shared" si="620"/>
        <v>0</v>
      </c>
      <c r="V992" s="1648"/>
      <c r="W992" s="1644">
        <f t="shared" si="621"/>
        <v>-65230</v>
      </c>
      <c r="X992" s="1648"/>
      <c r="Y992" s="1644">
        <f t="shared" si="621"/>
        <v>-65230</v>
      </c>
      <c r="AI992" s="2023">
        <f>W992-'Blocking-Step2'!W992</f>
        <v>0</v>
      </c>
      <c r="AJ992" s="2054">
        <f>O992-'Blocking-Step2'!O992</f>
        <v>0</v>
      </c>
    </row>
    <row r="993" spans="1:36" hidden="1">
      <c r="A993" s="1900" t="s">
        <v>240</v>
      </c>
      <c r="C993" s="528">
        <f>'6A'!H18</f>
        <v>336.86666666666702</v>
      </c>
      <c r="D993" s="528">
        <f>Bill!P11</f>
        <v>348</v>
      </c>
      <c r="F993" s="1944">
        <v>54</v>
      </c>
      <c r="G993" s="597"/>
      <c r="H993" s="1644">
        <f t="shared" ref="H993:I996" si="622">ROUND($F993*C993,0)</f>
        <v>18191</v>
      </c>
      <c r="I993" s="1644">
        <f t="shared" si="622"/>
        <v>18792</v>
      </c>
      <c r="K993" s="1901">
        <f t="shared" si="616"/>
        <v>53</v>
      </c>
      <c r="L993" s="1902"/>
      <c r="M993" s="1901">
        <f t="shared" si="617"/>
        <v>0</v>
      </c>
      <c r="N993" s="1902"/>
      <c r="O993" s="1901">
        <f t="shared" si="618"/>
        <v>0</v>
      </c>
      <c r="P993" s="1902"/>
      <c r="Q993" s="1901">
        <f t="shared" si="615"/>
        <v>53</v>
      </c>
      <c r="R993" s="1902"/>
      <c r="S993" s="1644">
        <f>ROUND($D993*K993,0)</f>
        <v>18444</v>
      </c>
      <c r="T993" s="1643"/>
      <c r="U993" s="1644">
        <f>ROUND($D993*M993,0)</f>
        <v>0</v>
      </c>
      <c r="V993" s="1643"/>
      <c r="W993" s="1644">
        <f>ROUND($D993*O993,0)</f>
        <v>0</v>
      </c>
      <c r="X993" s="1643"/>
      <c r="Y993" s="1644">
        <f>ROUND($D993*Q993,0)</f>
        <v>18444</v>
      </c>
      <c r="AI993" s="2023">
        <f>W993-'Blocking-Step2'!W993</f>
        <v>0</v>
      </c>
      <c r="AJ993" s="2054">
        <f>O993-'Blocking-Step2'!O993</f>
        <v>0</v>
      </c>
    </row>
    <row r="994" spans="1:36" hidden="1">
      <c r="A994" s="1900" t="s">
        <v>157</v>
      </c>
      <c r="C994" s="528">
        <f>'6A'!J18</f>
        <v>10419.506134969301</v>
      </c>
      <c r="D994" s="528">
        <f>ROUND(C994/C1006*D1006,0)</f>
        <v>11530</v>
      </c>
      <c r="F994" s="1944">
        <v>6.52</v>
      </c>
      <c r="G994" s="597"/>
      <c r="H994" s="1644">
        <f t="shared" si="622"/>
        <v>67935</v>
      </c>
      <c r="I994" s="1644">
        <f t="shared" si="622"/>
        <v>75176</v>
      </c>
      <c r="K994" s="1944"/>
      <c r="L994" s="597"/>
      <c r="M994" s="1944"/>
      <c r="N994" s="597"/>
      <c r="O994" s="1944"/>
      <c r="P994" s="597"/>
      <c r="Q994" s="1944"/>
      <c r="R994" s="597"/>
      <c r="S994" s="1644"/>
      <c r="T994" s="1645"/>
      <c r="U994" s="1644"/>
      <c r="V994" s="1645"/>
      <c r="W994" s="1644"/>
      <c r="X994" s="1645"/>
      <c r="Y994" s="1644"/>
      <c r="AI994" s="2023">
        <f>W994-'Blocking-Step2'!W994</f>
        <v>0</v>
      </c>
      <c r="AJ994" s="2054">
        <f>O994-'Blocking-Step2'!O994</f>
        <v>0</v>
      </c>
    </row>
    <row r="995" spans="1:36" hidden="1">
      <c r="A995" s="1900" t="s">
        <v>162</v>
      </c>
      <c r="C995" s="528">
        <f>'6A'!K18</f>
        <v>12416.2285191956</v>
      </c>
      <c r="D995" s="528">
        <f>ROUND(C995/C1006*D1006,0)</f>
        <v>13740</v>
      </c>
      <c r="F995" s="1944">
        <v>5.47</v>
      </c>
      <c r="G995" s="597"/>
      <c r="H995" s="1644">
        <f t="shared" si="622"/>
        <v>67917</v>
      </c>
      <c r="I995" s="1644">
        <f t="shared" si="622"/>
        <v>75158</v>
      </c>
      <c r="K995" s="1944"/>
      <c r="L995" s="597"/>
      <c r="M995" s="1944"/>
      <c r="N995" s="597"/>
      <c r="O995" s="1944"/>
      <c r="P995" s="597"/>
      <c r="Q995" s="1944"/>
      <c r="R995" s="597"/>
      <c r="S995" s="1644"/>
      <c r="T995" s="1645"/>
      <c r="U995" s="1644"/>
      <c r="V995" s="1645"/>
      <c r="W995" s="1644"/>
      <c r="X995" s="1645"/>
      <c r="Y995" s="1644"/>
      <c r="AI995" s="2023">
        <f>W995-'Blocking-Step2'!W995</f>
        <v>0</v>
      </c>
      <c r="AJ995" s="2054">
        <f>O995-'Blocking-Step2'!O995</f>
        <v>0</v>
      </c>
    </row>
    <row r="996" spans="1:36" hidden="1">
      <c r="A996" s="1900" t="s">
        <v>261</v>
      </c>
      <c r="C996" s="528">
        <f>'6A'!L18</f>
        <v>0</v>
      </c>
      <c r="D996" s="528">
        <f>ROUND(C996/C1006*D1006,0)</f>
        <v>0</v>
      </c>
      <c r="E996" s="597"/>
      <c r="F996" s="1944">
        <v>-0.61</v>
      </c>
      <c r="G996" s="597"/>
      <c r="H996" s="1644">
        <f t="shared" si="622"/>
        <v>0</v>
      </c>
      <c r="I996" s="1644">
        <f t="shared" si="622"/>
        <v>0</v>
      </c>
      <c r="J996" s="597"/>
      <c r="K996" s="1944">
        <f t="shared" ref="K996" si="623">K972</f>
        <v>-0.61</v>
      </c>
      <c r="L996" s="597"/>
      <c r="M996" s="1944">
        <f t="shared" ref="M996" si="624">M972</f>
        <v>0</v>
      </c>
      <c r="N996" s="597"/>
      <c r="O996" s="1944">
        <f t="shared" ref="O996" si="625">O972</f>
        <v>0</v>
      </c>
      <c r="P996" s="597"/>
      <c r="Q996" s="1944">
        <f t="shared" ref="Q996" si="626">Q972</f>
        <v>-0.61</v>
      </c>
      <c r="R996" s="597"/>
      <c r="S996" s="1644">
        <f>ROUND($D996*K996,0)</f>
        <v>0</v>
      </c>
      <c r="T996" s="1645"/>
      <c r="U996" s="1644">
        <f>ROUND($D996*M996,0)</f>
        <v>0</v>
      </c>
      <c r="V996" s="1645"/>
      <c r="W996" s="1644">
        <f>ROUND($D996*O996,0)</f>
        <v>0</v>
      </c>
      <c r="X996" s="1645"/>
      <c r="Y996" s="1644">
        <f>ROUND($D996*Q996,0)</f>
        <v>0</v>
      </c>
      <c r="AI996" s="2023">
        <f>W996-'Blocking-Step2'!W996</f>
        <v>0</v>
      </c>
      <c r="AJ996" s="2054">
        <f>O996-'Blocking-Step2'!O996</f>
        <v>0</v>
      </c>
    </row>
    <row r="997" spans="1:36" hidden="1">
      <c r="A997" s="1900" t="s">
        <v>188</v>
      </c>
      <c r="C997" s="528">
        <f>'6A'!N18+'6A'!U18</f>
        <v>2029544</v>
      </c>
      <c r="D997" s="528">
        <f>D1006-SUM(D998:D1005)</f>
        <v>2379892</v>
      </c>
      <c r="E997" s="597"/>
      <c r="F997" s="1942">
        <v>11.926600000000001</v>
      </c>
      <c r="G997" s="1921" t="s">
        <v>495</v>
      </c>
      <c r="H997" s="1644">
        <f t="shared" ref="H997:I1001" si="627">ROUND($F997*C997/100,0)</f>
        <v>242056</v>
      </c>
      <c r="I997" s="1644">
        <f t="shared" si="627"/>
        <v>283840</v>
      </c>
      <c r="J997" s="597"/>
      <c r="K997" s="1942"/>
      <c r="L997" s="1921"/>
      <c r="M997" s="1942"/>
      <c r="N997" s="1921"/>
      <c r="O997" s="1942"/>
      <c r="P997" s="1921"/>
      <c r="Q997" s="1942"/>
      <c r="R997" s="1921"/>
      <c r="S997" s="1644"/>
      <c r="T997" s="1648"/>
      <c r="U997" s="1644"/>
      <c r="V997" s="1648"/>
      <c r="W997" s="1644"/>
      <c r="X997" s="1648"/>
      <c r="Y997" s="1644"/>
      <c r="AI997" s="2023">
        <f>W997-'Blocking-Step2'!W997</f>
        <v>0</v>
      </c>
      <c r="AJ997" s="2054">
        <f>O997-'Blocking-Step2'!O997</f>
        <v>0</v>
      </c>
    </row>
    <row r="998" spans="1:36" hidden="1">
      <c r="A998" s="1900" t="s">
        <v>189</v>
      </c>
      <c r="C998" s="528">
        <f>'6A'!O18+'6A'!V18</f>
        <v>1892228</v>
      </c>
      <c r="D998" s="528">
        <f>ROUND(C998/(C997+C998)*(Energy!Q11*(1-1/Energy!P11*('Blocking-Step1'!D1001+'Blocking-Step1'!D1005))),0)</f>
        <v>2218872</v>
      </c>
      <c r="E998" s="597"/>
      <c r="F998" s="1942">
        <v>3.5908000000000002</v>
      </c>
      <c r="G998" s="1921" t="s">
        <v>495</v>
      </c>
      <c r="H998" s="1644">
        <f t="shared" si="627"/>
        <v>67946</v>
      </c>
      <c r="I998" s="1644">
        <f t="shared" si="627"/>
        <v>79675</v>
      </c>
      <c r="J998" s="597"/>
      <c r="K998" s="1942"/>
      <c r="L998" s="1921"/>
      <c r="M998" s="1942"/>
      <c r="N998" s="1921"/>
      <c r="O998" s="1942"/>
      <c r="P998" s="1921"/>
      <c r="Q998" s="1942"/>
      <c r="R998" s="1921"/>
      <c r="S998" s="1644"/>
      <c r="T998" s="1648"/>
      <c r="U998" s="1644"/>
      <c r="V998" s="1648"/>
      <c r="W998" s="1644"/>
      <c r="X998" s="1648"/>
      <c r="Y998" s="1644"/>
      <c r="AI998" s="2023">
        <f>W998-'Blocking-Step2'!W998</f>
        <v>0</v>
      </c>
      <c r="AJ998" s="2054">
        <f>O998-'Blocking-Step2'!O998</f>
        <v>0</v>
      </c>
    </row>
    <row r="999" spans="1:36" hidden="1">
      <c r="A999" s="1900" t="s">
        <v>163</v>
      </c>
      <c r="C999" s="528">
        <f>'6A'!P18+'6A'!W18</f>
        <v>2570685</v>
      </c>
      <c r="D999" s="528">
        <f>ROUND(C999/(C999+C1000)*(Energy!R11*(1-1/Energy!P11*('Blocking-Step1'!D1001+'Blocking-Step1'!D1005))),0)</f>
        <v>2744885</v>
      </c>
      <c r="E999" s="597"/>
      <c r="F999" s="1942">
        <v>9.9693000000000005</v>
      </c>
      <c r="G999" s="1921" t="s">
        <v>495</v>
      </c>
      <c r="H999" s="1644">
        <f t="shared" si="627"/>
        <v>256279</v>
      </c>
      <c r="I999" s="1644">
        <f t="shared" si="627"/>
        <v>273646</v>
      </c>
      <c r="J999" s="597"/>
      <c r="K999" s="1942"/>
      <c r="L999" s="1921"/>
      <c r="M999" s="1942"/>
      <c r="N999" s="1921"/>
      <c r="O999" s="1942"/>
      <c r="P999" s="1921"/>
      <c r="Q999" s="1942"/>
      <c r="R999" s="1921"/>
      <c r="S999" s="1644"/>
      <c r="T999" s="1648"/>
      <c r="U999" s="1644"/>
      <c r="V999" s="1648"/>
      <c r="W999" s="1644"/>
      <c r="X999" s="1648"/>
      <c r="Y999" s="1644"/>
      <c r="AI999" s="2023">
        <f>W999-'Blocking-Step2'!W999</f>
        <v>0</v>
      </c>
      <c r="AJ999" s="2054">
        <f>O999-'Blocking-Step2'!O999</f>
        <v>0</v>
      </c>
    </row>
    <row r="1000" spans="1:36" hidden="1">
      <c r="A1000" s="1900" t="s">
        <v>164</v>
      </c>
      <c r="C1000" s="528">
        <f>'6A'!Q18+'6A'!X18</f>
        <v>2624981</v>
      </c>
      <c r="D1000" s="528">
        <f>ROUND(C1000/(C999+C1000)*(Energy!R11*(1-1/Energy!P11*('Blocking-Step1'!D1001+'Blocking-Step1'!D1005))),0)</f>
        <v>2802860</v>
      </c>
      <c r="E1000" s="597"/>
      <c r="F1000" s="1942">
        <v>3.0059999999999998</v>
      </c>
      <c r="G1000" s="1921" t="s">
        <v>495</v>
      </c>
      <c r="H1000" s="1644">
        <f t="shared" si="627"/>
        <v>78907</v>
      </c>
      <c r="I1000" s="1644">
        <f t="shared" si="627"/>
        <v>84254</v>
      </c>
      <c r="J1000" s="597"/>
      <c r="K1000" s="1942"/>
      <c r="L1000" s="1921"/>
      <c r="M1000" s="1942"/>
      <c r="N1000" s="1921"/>
      <c r="O1000" s="1942"/>
      <c r="P1000" s="1921"/>
      <c r="Q1000" s="1942"/>
      <c r="R1000" s="1921"/>
      <c r="S1000" s="1644"/>
      <c r="T1000" s="1648"/>
      <c r="U1000" s="1644"/>
      <c r="V1000" s="1648"/>
      <c r="W1000" s="1644"/>
      <c r="X1000" s="1648"/>
      <c r="Y1000" s="1644"/>
      <c r="AI1000" s="2023">
        <f>W1000-'Blocking-Step2'!W1000</f>
        <v>0</v>
      </c>
      <c r="AJ1000" s="2054">
        <f>O1000-'Blocking-Step2'!O1000</f>
        <v>0</v>
      </c>
    </row>
    <row r="1001" spans="1:36" hidden="1">
      <c r="A1001" s="1116" t="s">
        <v>1158</v>
      </c>
      <c r="C1001" s="528">
        <f>'6A'!S18</f>
        <v>0</v>
      </c>
      <c r="D1001" s="528">
        <f>ROUND(C1001/(C1006-C1002)*D1006,0)</f>
        <v>0</v>
      </c>
      <c r="F1001" s="1943">
        <v>7.125</v>
      </c>
      <c r="G1001" s="1921" t="s">
        <v>495</v>
      </c>
      <c r="H1001" s="1644">
        <f t="shared" si="627"/>
        <v>0</v>
      </c>
      <c r="I1001" s="1644">
        <f t="shared" si="627"/>
        <v>0</v>
      </c>
      <c r="K1001" s="1943">
        <f t="shared" ref="K1001" si="628">K977</f>
        <v>0</v>
      </c>
      <c r="L1001" s="1921" t="s">
        <v>495</v>
      </c>
      <c r="M1001" s="1943">
        <f t="shared" ref="M1001" si="629">M977</f>
        <v>7.125</v>
      </c>
      <c r="N1001" s="1921" t="s">
        <v>495</v>
      </c>
      <c r="O1001" s="1943">
        <f t="shared" ref="O1001" si="630">O977</f>
        <v>0</v>
      </c>
      <c r="P1001" s="1921" t="s">
        <v>495</v>
      </c>
      <c r="Q1001" s="1943">
        <f t="shared" ref="Q1001" si="631">Q977</f>
        <v>7.125</v>
      </c>
      <c r="R1001" s="1921" t="s">
        <v>495</v>
      </c>
      <c r="S1001" s="1644">
        <f t="shared" ref="S1001" si="632">ROUND($D1001*K1001/100,0)</f>
        <v>0</v>
      </c>
      <c r="T1001" s="1648"/>
      <c r="U1001" s="1644">
        <f t="shared" ref="U1001" si="633">ROUND($D1001*M1001/100,0)</f>
        <v>0</v>
      </c>
      <c r="V1001" s="1648"/>
      <c r="W1001" s="1644">
        <f t="shared" ref="W1001:Y1001" si="634">ROUND($D1001*O1001/100,0)</f>
        <v>0</v>
      </c>
      <c r="X1001" s="1648"/>
      <c r="Y1001" s="1644">
        <f t="shared" si="634"/>
        <v>0</v>
      </c>
      <c r="AI1001" s="2023">
        <f>W1001-'Blocking-Step2'!W1001</f>
        <v>0</v>
      </c>
      <c r="AJ1001" s="2054">
        <f>O1001-'Blocking-Step2'!O1001</f>
        <v>0</v>
      </c>
    </row>
    <row r="1002" spans="1:36" hidden="1">
      <c r="A1002" s="1900" t="s">
        <v>246</v>
      </c>
      <c r="C1002" s="529">
        <f>'Table 2'!J20</f>
        <v>51579</v>
      </c>
      <c r="D1002" s="529">
        <v>0</v>
      </c>
      <c r="H1002" s="1030">
        <f>'Table 3'!F20</f>
        <v>4715</v>
      </c>
      <c r="I1002" s="1030">
        <v>0</v>
      </c>
      <c r="Y1002" s="1030"/>
      <c r="AI1002" s="2023">
        <f>W1002-'Blocking-Step2'!W1002</f>
        <v>0</v>
      </c>
      <c r="AJ1002" s="2054">
        <f>O1002-'Blocking-Step2'!O1002</f>
        <v>0</v>
      </c>
    </row>
    <row r="1003" spans="1:36" hidden="1">
      <c r="A1003" s="1900" t="s">
        <v>1240</v>
      </c>
      <c r="C1003" s="584"/>
      <c r="D1003" s="584"/>
      <c r="F1003" s="1930">
        <v>-4.99E-2</v>
      </c>
      <c r="G1003" s="597"/>
      <c r="H1003" s="1644">
        <f>SUM(H997:H1001)*$F1003</f>
        <v>-32194.8812</v>
      </c>
      <c r="I1003" s="1644">
        <f>SUM(I997:I1001)*$F1003</f>
        <v>-35998.608500000002</v>
      </c>
      <c r="K1003" s="1930"/>
      <c r="L1003" s="597"/>
      <c r="M1003" s="1930"/>
      <c r="N1003" s="597"/>
      <c r="O1003" s="1931" t="str">
        <f>$O$43</f>
        <v>Tax Year 1 (1/1/2021)</v>
      </c>
      <c r="P1003" s="597"/>
      <c r="Q1003" s="1930">
        <f>$Q$979</f>
        <v>-1.6899999999999998E-2</v>
      </c>
      <c r="R1003" s="597"/>
      <c r="S1003" s="1645"/>
      <c r="T1003" s="1645"/>
      <c r="U1003" s="1645"/>
      <c r="V1003" s="1645"/>
      <c r="W1003" s="1645"/>
      <c r="X1003" s="1645"/>
      <c r="Y1003" s="1644">
        <f>Q1003*SUM(Y985:Y988,Y1001)</f>
        <v>-10029.761299999998</v>
      </c>
      <c r="AI1003" s="2023">
        <f>W1003-'Blocking-Step2'!W1003</f>
        <v>0</v>
      </c>
      <c r="AJ1003" s="2054">
        <f>O1003-'Blocking-Step2'!O1003</f>
        <v>0</v>
      </c>
    </row>
    <row r="1004" spans="1:36" hidden="1">
      <c r="A1004" s="1900"/>
      <c r="C1004" s="584"/>
      <c r="D1004" s="584"/>
      <c r="F1004" s="1930"/>
      <c r="G1004" s="597"/>
      <c r="H1004" s="1644"/>
      <c r="I1004" s="1644"/>
      <c r="K1004" s="1930"/>
      <c r="L1004" s="597"/>
      <c r="M1004" s="1930"/>
      <c r="N1004" s="597"/>
      <c r="O1004" s="1931">
        <f>$O$44</f>
        <v>0</v>
      </c>
      <c r="P1004" s="597"/>
      <c r="Q1004" s="1930">
        <f>$Q$980</f>
        <v>0</v>
      </c>
      <c r="R1004" s="597"/>
      <c r="S1004" s="1645"/>
      <c r="T1004" s="1645"/>
      <c r="U1004" s="1645"/>
      <c r="V1004" s="1645"/>
      <c r="W1004" s="1645"/>
      <c r="X1004" s="1645"/>
      <c r="Y1004" s="1644">
        <f>Q1004*SUM(Y985:Y988,Y1001)</f>
        <v>0</v>
      </c>
      <c r="AI1004" s="2023">
        <f>W1004-'Blocking-Step2'!W1004</f>
        <v>0</v>
      </c>
      <c r="AJ1004" s="2054">
        <f>O1004-'Blocking-Step2'!O1004</f>
        <v>0</v>
      </c>
    </row>
    <row r="1005" spans="1:36" hidden="1">
      <c r="A1005" s="1116" t="s">
        <v>1317</v>
      </c>
      <c r="C1005" s="584">
        <f>'6A'!AE18</f>
        <v>0</v>
      </c>
      <c r="D1005" s="528">
        <f>ROUND(C1005/(C1006-C1002)*D1006,0)</f>
        <v>0</v>
      </c>
      <c r="F1005" s="1930"/>
      <c r="G1005" s="597"/>
      <c r="H1005" s="1644"/>
      <c r="I1005" s="1644"/>
      <c r="K1005" s="1930"/>
      <c r="L1005" s="597"/>
      <c r="M1005" s="1930"/>
      <c r="N1005" s="597"/>
      <c r="O1005" s="1930"/>
      <c r="P1005" s="597"/>
      <c r="Q1005" s="1930"/>
      <c r="R1005" s="597"/>
      <c r="S1005" s="1645"/>
      <c r="T1005" s="1645"/>
      <c r="U1005" s="1645"/>
      <c r="V1005" s="1645"/>
      <c r="W1005" s="1645"/>
      <c r="X1005" s="1645"/>
      <c r="Y1005" s="1644"/>
      <c r="AI1005" s="2023">
        <f>W1005-'Blocking-Step2'!W1005</f>
        <v>0</v>
      </c>
      <c r="AJ1005" s="2054">
        <f>O1005-'Blocking-Step2'!O1005</f>
        <v>0</v>
      </c>
    </row>
    <row r="1006" spans="1:36" ht="16.5" hidden="1" thickBot="1">
      <c r="A1006" s="1900" t="s">
        <v>247</v>
      </c>
      <c r="C1006" s="1949">
        <f>SUM(C997:C1005)</f>
        <v>9169017</v>
      </c>
      <c r="D1006" s="1949">
        <f>Energy!P11</f>
        <v>10146509</v>
      </c>
      <c r="E1006" s="597"/>
      <c r="F1006" s="1939"/>
      <c r="H1006" s="1647">
        <f>SUM(H993:H1003)</f>
        <v>771751.11880000005</v>
      </c>
      <c r="I1006" s="1647">
        <f>SUM(I993:I1003)</f>
        <v>854542.39150000003</v>
      </c>
      <c r="J1006" s="597"/>
      <c r="K1006" s="1939"/>
      <c r="M1006" s="1939"/>
      <c r="O1006" s="1939"/>
      <c r="Q1006" s="1939"/>
      <c r="S1006" s="1647">
        <f>SUM(S985:S1002)</f>
        <v>413144</v>
      </c>
      <c r="U1006" s="1647">
        <f>SUM(U985:U1002)</f>
        <v>71555</v>
      </c>
      <c r="W1006" s="1647">
        <f>SUM(W985:W1002)</f>
        <v>304678</v>
      </c>
      <c r="Y1006" s="1647">
        <f>SUM(Y985:Y1002)</f>
        <v>789375</v>
      </c>
      <c r="AA1006" s="1104" t="s">
        <v>1743</v>
      </c>
      <c r="AB1006" s="1890">
        <f>Y1006/I1006-1</f>
        <v>-7.6259986804879332E-2</v>
      </c>
      <c r="AI1006" s="2023">
        <f>W1006-'Blocking-Step2'!W1006</f>
        <v>0</v>
      </c>
      <c r="AJ1006" s="2054">
        <f>O1006-'Blocking-Step2'!O1006</f>
        <v>0</v>
      </c>
    </row>
    <row r="1007" spans="1:36" ht="16.5" hidden="1" thickTop="1">
      <c r="E1007" s="597"/>
      <c r="J1007" s="597"/>
      <c r="AI1007" s="2023">
        <f>W1007-'Blocking-Step2'!W1007</f>
        <v>0</v>
      </c>
      <c r="AJ1007" s="2054">
        <f>O1007-'Blocking-Step2'!O1007</f>
        <v>0</v>
      </c>
    </row>
    <row r="1008" spans="1:36" hidden="1">
      <c r="A1008" s="1897" t="s">
        <v>554</v>
      </c>
      <c r="C1008" s="528"/>
      <c r="D1008" s="528"/>
      <c r="F1008" s="1943"/>
      <c r="G1008" s="1957"/>
      <c r="K1008" s="1943"/>
      <c r="L1008" s="1957"/>
      <c r="M1008" s="1943"/>
      <c r="N1008" s="1957"/>
      <c r="O1008" s="1943"/>
      <c r="P1008" s="1957"/>
      <c r="Q1008" s="1943"/>
      <c r="R1008" s="1957"/>
      <c r="S1008" s="1645"/>
      <c r="T1008" s="1645"/>
      <c r="U1008" s="1645"/>
      <c r="V1008" s="1645"/>
      <c r="W1008" s="1645"/>
      <c r="X1008" s="1645"/>
      <c r="AI1008" s="2023">
        <f>W1008-'Blocking-Step2'!W1008</f>
        <v>0</v>
      </c>
      <c r="AJ1008" s="2054">
        <f>O1008-'Blocking-Step2'!O1008</f>
        <v>0</v>
      </c>
    </row>
    <row r="1009" spans="1:36" hidden="1">
      <c r="A1009" s="1900" t="s">
        <v>1910</v>
      </c>
      <c r="C1009" s="528">
        <f>'BD-Redesign'!D7/('BD-Redesign'!D7+'BD-Redesign'!D8)*('Blocking-Step1'!C1013+'Blocking-Step1'!C1014)</f>
        <v>16432592.288788307</v>
      </c>
      <c r="D1009" s="528">
        <f>D1030-SUM(D1010:D1012,D1025:D1029)</f>
        <v>36693479.025227547</v>
      </c>
      <c r="E1009" s="597"/>
      <c r="F1009" s="1942"/>
      <c r="G1009" s="1921"/>
      <c r="H1009" s="1644"/>
      <c r="I1009" s="1644"/>
      <c r="J1009" s="597"/>
      <c r="K1009" s="1942">
        <f>K961</f>
        <v>3.89</v>
      </c>
      <c r="L1009" s="1921" t="s">
        <v>495</v>
      </c>
      <c r="M1009" s="1942">
        <f>M961</f>
        <v>17.137528114911813</v>
      </c>
      <c r="N1009" s="1921" t="s">
        <v>495</v>
      </c>
      <c r="O1009" s="1942">
        <f>O961</f>
        <v>1.3496999999999999</v>
      </c>
      <c r="P1009" s="1921" t="s">
        <v>495</v>
      </c>
      <c r="Q1009" s="1942">
        <f t="shared" ref="Q1009:Q1017" si="635">Q961</f>
        <v>22.377228114911812</v>
      </c>
      <c r="R1009" s="1921" t="s">
        <v>495</v>
      </c>
      <c r="S1009" s="1644">
        <f>ROUND($D1009*K1009/100,0)</f>
        <v>1427376</v>
      </c>
      <c r="T1009" s="1648"/>
      <c r="U1009" s="1644">
        <f>ROUND($D1009*M1009/100,0)</f>
        <v>6288355</v>
      </c>
      <c r="V1009" s="1648"/>
      <c r="W1009" s="1644">
        <f>ROUND($D1009*O1009/100,0)</f>
        <v>495252</v>
      </c>
      <c r="X1009" s="1648"/>
      <c r="Y1009" s="1644">
        <f>ROUND($D1009*Q1009/100,0)</f>
        <v>8210984</v>
      </c>
      <c r="AI1009" s="2023">
        <f>W1009-'Blocking-Step2'!W1009</f>
        <v>0</v>
      </c>
      <c r="AJ1009" s="2054">
        <f>O1009-'Blocking-Step2'!O1009</f>
        <v>0</v>
      </c>
    </row>
    <row r="1010" spans="1:36" hidden="1">
      <c r="A1010" s="1900" t="s">
        <v>1911</v>
      </c>
      <c r="C1010" s="528">
        <f>C1013+C1014-C1009</f>
        <v>27155370.959482368</v>
      </c>
      <c r="D1010" s="528">
        <f>ROUND(C1010/(C1009+C1010)*(Energy!S32*(1-1/Energy!P32*('Blocking-Step1'!D1025+'Blocking-Step1'!D1029))),0)</f>
        <v>60637118</v>
      </c>
      <c r="E1010" s="597"/>
      <c r="F1010" s="1942"/>
      <c r="G1010" s="1921"/>
      <c r="H1010" s="1644"/>
      <c r="I1010" s="1644"/>
      <c r="J1010" s="597"/>
      <c r="K1010" s="1942">
        <f t="shared" ref="K1010:K1017" si="636">K962</f>
        <v>3.89</v>
      </c>
      <c r="L1010" s="1921" t="s">
        <v>495</v>
      </c>
      <c r="M1010" s="1942">
        <f t="shared" ref="M1010:M1017" si="637">M962</f>
        <v>-1.0877975226579997</v>
      </c>
      <c r="N1010" s="1921" t="s">
        <v>495</v>
      </c>
      <c r="O1010" s="1942">
        <f t="shared" ref="O1010:O1017" si="638">O962</f>
        <v>1.3496999999999999</v>
      </c>
      <c r="P1010" s="1921" t="s">
        <v>495</v>
      </c>
      <c r="Q1010" s="1942">
        <f t="shared" si="635"/>
        <v>4.1519024773420004</v>
      </c>
      <c r="R1010" s="1921" t="s">
        <v>495</v>
      </c>
      <c r="S1010" s="1644">
        <f t="shared" ref="S1010:S1016" si="639">ROUND($D1010*K1010/100,0)</f>
        <v>2358784</v>
      </c>
      <c r="T1010" s="1648"/>
      <c r="U1010" s="1644">
        <f t="shared" ref="U1010:U1016" si="640">ROUND($D1010*M1010/100,0)</f>
        <v>-659609</v>
      </c>
      <c r="V1010" s="1648"/>
      <c r="W1010" s="1644">
        <f t="shared" ref="W1010:W1016" si="641">ROUND($D1010*O1010/100,0)</f>
        <v>818419</v>
      </c>
      <c r="X1010" s="1648"/>
      <c r="Y1010" s="1644">
        <f t="shared" ref="Y1010:Y1016" si="642">ROUND($D1010*Q1010/100,0)</f>
        <v>2517594</v>
      </c>
      <c r="AI1010" s="2023">
        <f>W1010-'Blocking-Step2'!W1010</f>
        <v>0</v>
      </c>
      <c r="AJ1010" s="2054">
        <f>O1010-'Blocking-Step2'!O1010</f>
        <v>0</v>
      </c>
    </row>
    <row r="1011" spans="1:36" hidden="1">
      <c r="A1011" s="1900" t="s">
        <v>1912</v>
      </c>
      <c r="C1011" s="528">
        <f>'BD-Redesign'!D9/('BD-Redesign'!D9+'BD-Redesign'!D10)*('Blocking-Step1'!C1015+'Blocking-Step1'!C1016)</f>
        <v>28847444.946726855</v>
      </c>
      <c r="D1011" s="528">
        <f>ROUND(C1011/(C1011+C1012)*(Energy!T32*(1-1/Energy!P32*('Blocking-Step1'!D1025+'Blocking-Step1'!D1029))),0)</f>
        <v>61197596</v>
      </c>
      <c r="E1011" s="597"/>
      <c r="F1011" s="1942"/>
      <c r="G1011" s="1921"/>
      <c r="H1011" s="1644"/>
      <c r="I1011" s="1644"/>
      <c r="J1011" s="597"/>
      <c r="K1011" s="1942">
        <f t="shared" si="636"/>
        <v>3.89</v>
      </c>
      <c r="L1011" s="1921" t="s">
        <v>495</v>
      </c>
      <c r="M1011" s="1942">
        <f t="shared" si="637"/>
        <v>14.718500000000001</v>
      </c>
      <c r="N1011" s="1921" t="s">
        <v>495</v>
      </c>
      <c r="O1011" s="1942">
        <f t="shared" si="638"/>
        <v>1.1943999999999999</v>
      </c>
      <c r="P1011" s="1921" t="s">
        <v>495</v>
      </c>
      <c r="Q1011" s="1942">
        <f t="shared" si="635"/>
        <v>19.802900000000001</v>
      </c>
      <c r="R1011" s="1921" t="s">
        <v>495</v>
      </c>
      <c r="S1011" s="1644">
        <f t="shared" si="639"/>
        <v>2380586</v>
      </c>
      <c r="T1011" s="1648"/>
      <c r="U1011" s="1644">
        <f t="shared" si="640"/>
        <v>9007368</v>
      </c>
      <c r="V1011" s="1648"/>
      <c r="W1011" s="1644">
        <f t="shared" si="641"/>
        <v>730944</v>
      </c>
      <c r="X1011" s="1648"/>
      <c r="Y1011" s="1644">
        <f t="shared" si="642"/>
        <v>12118899</v>
      </c>
      <c r="AI1011" s="2023">
        <f>W1011-'Blocking-Step2'!W1011</f>
        <v>0</v>
      </c>
      <c r="AJ1011" s="2054">
        <f>O1011-'Blocking-Step2'!O1011</f>
        <v>0</v>
      </c>
    </row>
    <row r="1012" spans="1:36" hidden="1">
      <c r="A1012" s="1900" t="s">
        <v>1913</v>
      </c>
      <c r="C1012" s="528">
        <f>C1015+C1016-C1011</f>
        <v>60315072.658593655</v>
      </c>
      <c r="D1012" s="528">
        <f>ROUND(C1012/(C1011+C1012)*(Energy!T32*(1-1/Energy!P32*('Blocking-Step1'!D1025+'Blocking-Step1'!D1029))),0)</f>
        <v>127953706</v>
      </c>
      <c r="E1012" s="597"/>
      <c r="F1012" s="1942"/>
      <c r="G1012" s="1921"/>
      <c r="H1012" s="1644"/>
      <c r="I1012" s="1644"/>
      <c r="J1012" s="597"/>
      <c r="K1012" s="1942">
        <f t="shared" si="636"/>
        <v>3.89</v>
      </c>
      <c r="L1012" s="1921" t="s">
        <v>495</v>
      </c>
      <c r="M1012" s="1942">
        <f t="shared" si="637"/>
        <v>-1.4102000000000001</v>
      </c>
      <c r="N1012" s="1921" t="s">
        <v>495</v>
      </c>
      <c r="O1012" s="1942">
        <f t="shared" si="638"/>
        <v>1.1943999999999999</v>
      </c>
      <c r="P1012" s="1921" t="s">
        <v>495</v>
      </c>
      <c r="Q1012" s="1942">
        <f t="shared" si="635"/>
        <v>3.6741999999999999</v>
      </c>
      <c r="R1012" s="1921" t="s">
        <v>495</v>
      </c>
      <c r="S1012" s="1644">
        <f t="shared" si="639"/>
        <v>4977399</v>
      </c>
      <c r="T1012" s="1648"/>
      <c r="U1012" s="1644">
        <f t="shared" si="640"/>
        <v>-1804403</v>
      </c>
      <c r="V1012" s="1648"/>
      <c r="W1012" s="1644">
        <f t="shared" si="641"/>
        <v>1528279</v>
      </c>
      <c r="X1012" s="1648"/>
      <c r="Y1012" s="1644">
        <f t="shared" si="642"/>
        <v>4701275</v>
      </c>
      <c r="AI1012" s="2023">
        <f>W1012-'Blocking-Step2'!W1012</f>
        <v>0</v>
      </c>
      <c r="AJ1012" s="2054">
        <f>O1012-'Blocking-Step2'!O1012</f>
        <v>0</v>
      </c>
    </row>
    <row r="1013" spans="1:36" hidden="1">
      <c r="A1013" s="1900" t="s">
        <v>1906</v>
      </c>
      <c r="C1013" s="528">
        <f>'BD-Redesign'!D11+TempRevMay!C336-TempRevMay!M336-TempRevMay!W336</f>
        <v>22652511.642585691</v>
      </c>
      <c r="D1013" s="528">
        <f>D1030-SUM(D1014:D1016,D1025:D1029)</f>
        <v>50582370.025227547</v>
      </c>
      <c r="E1013" s="597"/>
      <c r="F1013" s="1942"/>
      <c r="G1013" s="1921"/>
      <c r="H1013" s="1644"/>
      <c r="I1013" s="1644"/>
      <c r="J1013" s="597"/>
      <c r="K1013" s="1942">
        <f t="shared" si="636"/>
        <v>0</v>
      </c>
      <c r="L1013" s="1921" t="s">
        <v>495</v>
      </c>
      <c r="M1013" s="1942">
        <f t="shared" si="637"/>
        <v>0</v>
      </c>
      <c r="N1013" s="1921" t="s">
        <v>495</v>
      </c>
      <c r="O1013" s="1942">
        <f t="shared" si="638"/>
        <v>6</v>
      </c>
      <c r="P1013" s="1921" t="s">
        <v>495</v>
      </c>
      <c r="Q1013" s="1942">
        <f t="shared" si="635"/>
        <v>6</v>
      </c>
      <c r="R1013" s="1921" t="s">
        <v>495</v>
      </c>
      <c r="S1013" s="1644">
        <f t="shared" si="639"/>
        <v>0</v>
      </c>
      <c r="T1013" s="1648"/>
      <c r="U1013" s="1644">
        <f t="shared" si="640"/>
        <v>0</v>
      </c>
      <c r="V1013" s="1648"/>
      <c r="W1013" s="1644">
        <f t="shared" si="641"/>
        <v>3034942</v>
      </c>
      <c r="X1013" s="1648"/>
      <c r="Y1013" s="1644">
        <f t="shared" si="642"/>
        <v>3034942</v>
      </c>
      <c r="AI1013" s="2023">
        <f>W1013-'Blocking-Step2'!W1013</f>
        <v>0</v>
      </c>
      <c r="AJ1013" s="2054">
        <f>O1013-'Blocking-Step2'!O1013</f>
        <v>0</v>
      </c>
    </row>
    <row r="1014" spans="1:36" hidden="1">
      <c r="A1014" s="1900" t="s">
        <v>1907</v>
      </c>
      <c r="C1014" s="528">
        <f>'BD-Redesign'!D12+TempRevMay!C337-TempRevMay!M337-TempRevMay!W337</f>
        <v>20935451.605684984</v>
      </c>
      <c r="D1014" s="528">
        <f>ROUND(C1014/(C1013+C1014)*(Energy!S32*(1-1/Energy!P32*('Blocking-Step1'!D1025+'Blocking-Step1'!D1029))),0)</f>
        <v>46748227</v>
      </c>
      <c r="E1014" s="597"/>
      <c r="F1014" s="1942"/>
      <c r="G1014" s="1921"/>
      <c r="H1014" s="1644"/>
      <c r="I1014" s="1644"/>
      <c r="J1014" s="597"/>
      <c r="K1014" s="1942">
        <f t="shared" si="636"/>
        <v>0</v>
      </c>
      <c r="L1014" s="1921" t="s">
        <v>495</v>
      </c>
      <c r="M1014" s="1942">
        <f t="shared" si="637"/>
        <v>0</v>
      </c>
      <c r="N1014" s="1921" t="s">
        <v>495</v>
      </c>
      <c r="O1014" s="1942">
        <f t="shared" si="638"/>
        <v>-2.3358000000000008</v>
      </c>
      <c r="P1014" s="1921" t="s">
        <v>495</v>
      </c>
      <c r="Q1014" s="1942">
        <f t="shared" si="635"/>
        <v>-2.3358000000000008</v>
      </c>
      <c r="R1014" s="1921" t="s">
        <v>495</v>
      </c>
      <c r="S1014" s="1644">
        <f t="shared" si="639"/>
        <v>0</v>
      </c>
      <c r="T1014" s="1648"/>
      <c r="U1014" s="1644">
        <f t="shared" si="640"/>
        <v>0</v>
      </c>
      <c r="V1014" s="1648"/>
      <c r="W1014" s="1644">
        <f t="shared" si="641"/>
        <v>-1091945</v>
      </c>
      <c r="X1014" s="1648"/>
      <c r="Y1014" s="1644">
        <f t="shared" si="642"/>
        <v>-1091945</v>
      </c>
      <c r="AI1014" s="2023">
        <f>W1014-'Blocking-Step2'!W1014</f>
        <v>0</v>
      </c>
      <c r="AJ1014" s="2054">
        <f>O1014-'Blocking-Step2'!O1014</f>
        <v>0</v>
      </c>
    </row>
    <row r="1015" spans="1:36" hidden="1">
      <c r="A1015" s="1900" t="s">
        <v>1908</v>
      </c>
      <c r="C1015" s="528">
        <f>'BD-Redesign'!D13+TempRevMay!C338-TempRevMay!M338-TempRevMay!W338</f>
        <v>47718230.957487509</v>
      </c>
      <c r="D1015" s="528">
        <f>ROUND(C1015/(C1015+C1016)*(Energy!T32*(1-1/Energy!P32*('Blocking-Step1'!D1025+'Blocking-Step1'!D1029))),0)</f>
        <v>101230492</v>
      </c>
      <c r="E1015" s="597"/>
      <c r="F1015" s="1942"/>
      <c r="G1015" s="1921"/>
      <c r="H1015" s="1644"/>
      <c r="I1015" s="1644"/>
      <c r="J1015" s="597"/>
      <c r="K1015" s="1942">
        <f t="shared" si="636"/>
        <v>0</v>
      </c>
      <c r="L1015" s="1921" t="s">
        <v>495</v>
      </c>
      <c r="M1015" s="1942">
        <f t="shared" si="637"/>
        <v>0</v>
      </c>
      <c r="N1015" s="1921" t="s">
        <v>495</v>
      </c>
      <c r="O1015" s="1942">
        <f t="shared" si="638"/>
        <v>5.3097000000000003</v>
      </c>
      <c r="P1015" s="1921" t="s">
        <v>495</v>
      </c>
      <c r="Q1015" s="1942">
        <f t="shared" si="635"/>
        <v>5.3097000000000003</v>
      </c>
      <c r="R1015" s="1921" t="s">
        <v>495</v>
      </c>
      <c r="S1015" s="1644">
        <f t="shared" si="639"/>
        <v>0</v>
      </c>
      <c r="T1015" s="1648"/>
      <c r="U1015" s="1644">
        <f t="shared" si="640"/>
        <v>0</v>
      </c>
      <c r="V1015" s="1648"/>
      <c r="W1015" s="1644">
        <f t="shared" si="641"/>
        <v>5375035</v>
      </c>
      <c r="X1015" s="1648"/>
      <c r="Y1015" s="1644">
        <f t="shared" si="642"/>
        <v>5375035</v>
      </c>
      <c r="AI1015" s="2023">
        <f>W1015-'Blocking-Step2'!W1015</f>
        <v>0</v>
      </c>
      <c r="AJ1015" s="2054">
        <f>O1015-'Blocking-Step2'!O1015</f>
        <v>0</v>
      </c>
    </row>
    <row r="1016" spans="1:36" hidden="1">
      <c r="A1016" s="1900" t="s">
        <v>1909</v>
      </c>
      <c r="C1016" s="528">
        <f>'BD-Redesign'!D14+TempRevMay!C339-TempRevMay!M339-TempRevMay!W339</f>
        <v>41444286.647832997</v>
      </c>
      <c r="D1016" s="528">
        <f>ROUND(C1016/(C1015+C1016)*(Energy!T32*(1-1/Energy!P32*('Blocking-Step1'!D1025+'Blocking-Step1'!D1029))),0)</f>
        <v>87920810</v>
      </c>
      <c r="E1016" s="597"/>
      <c r="F1016" s="1942"/>
      <c r="G1016" s="1921"/>
      <c r="H1016" s="1644"/>
      <c r="I1016" s="1644"/>
      <c r="J1016" s="597"/>
      <c r="K1016" s="1942">
        <f t="shared" si="636"/>
        <v>0</v>
      </c>
      <c r="L1016" s="1921" t="s">
        <v>495</v>
      </c>
      <c r="M1016" s="1942">
        <f t="shared" si="637"/>
        <v>0</v>
      </c>
      <c r="N1016" s="1921" t="s">
        <v>495</v>
      </c>
      <c r="O1016" s="1942">
        <f t="shared" si="638"/>
        <v>-2.0670999999999999</v>
      </c>
      <c r="P1016" s="1921" t="s">
        <v>495</v>
      </c>
      <c r="Q1016" s="1942">
        <f t="shared" si="635"/>
        <v>-2.0670999999999999</v>
      </c>
      <c r="R1016" s="1921" t="s">
        <v>495</v>
      </c>
      <c r="S1016" s="1644">
        <f t="shared" si="639"/>
        <v>0</v>
      </c>
      <c r="T1016" s="1648"/>
      <c r="U1016" s="1644">
        <f t="shared" si="640"/>
        <v>0</v>
      </c>
      <c r="V1016" s="1648"/>
      <c r="W1016" s="1644">
        <f t="shared" si="641"/>
        <v>-1817411</v>
      </c>
      <c r="X1016" s="1648"/>
      <c r="Y1016" s="1644">
        <f t="shared" si="642"/>
        <v>-1817411</v>
      </c>
      <c r="AI1016" s="2023">
        <f>W1016-'Blocking-Step2'!W1016</f>
        <v>0</v>
      </c>
      <c r="AJ1016" s="2054">
        <f>O1016-'Blocking-Step2'!O1016</f>
        <v>0</v>
      </c>
    </row>
    <row r="1017" spans="1:36" hidden="1">
      <c r="A1017" s="1900" t="s">
        <v>240</v>
      </c>
      <c r="C1017" s="528">
        <f>'6A'!H16</f>
        <v>27150.133333333401</v>
      </c>
      <c r="D1017" s="528">
        <f>Bill!P32</f>
        <v>28366</v>
      </c>
      <c r="F1017" s="1944">
        <v>54</v>
      </c>
      <c r="G1017" s="597"/>
      <c r="H1017" s="1644">
        <f t="shared" ref="H1017:I1020" si="643">ROUND($F1017*C1017,0)</f>
        <v>1466107</v>
      </c>
      <c r="I1017" s="1644">
        <f t="shared" si="643"/>
        <v>1531764</v>
      </c>
      <c r="K1017" s="1944">
        <f t="shared" si="636"/>
        <v>53</v>
      </c>
      <c r="L1017" s="597"/>
      <c r="M1017" s="1944">
        <f t="shared" si="637"/>
        <v>0</v>
      </c>
      <c r="N1017" s="597"/>
      <c r="O1017" s="1944">
        <f t="shared" si="638"/>
        <v>0</v>
      </c>
      <c r="P1017" s="597"/>
      <c r="Q1017" s="1944">
        <f t="shared" si="635"/>
        <v>53</v>
      </c>
      <c r="R1017" s="597"/>
      <c r="S1017" s="1644">
        <f>ROUND($D1017*K1017,0)</f>
        <v>1503398</v>
      </c>
      <c r="T1017" s="1643"/>
      <c r="U1017" s="1644">
        <f>ROUND($D1017*M1017,0)</f>
        <v>0</v>
      </c>
      <c r="V1017" s="1643"/>
      <c r="W1017" s="1644">
        <f>ROUND($D1017*O1017,0)</f>
        <v>0</v>
      </c>
      <c r="X1017" s="1645"/>
      <c r="Y1017" s="1644">
        <f>ROUND($D1017*Q1017,0)</f>
        <v>1503398</v>
      </c>
      <c r="AI1017" s="2023">
        <f>W1017-'Blocking-Step2'!W1017</f>
        <v>0</v>
      </c>
      <c r="AJ1017" s="2054">
        <f>O1017-'Blocking-Step2'!O1017</f>
        <v>0</v>
      </c>
    </row>
    <row r="1018" spans="1:36" hidden="1">
      <c r="A1018" s="1900" t="s">
        <v>157</v>
      </c>
      <c r="C1018" s="528">
        <f>'6A'!J16</f>
        <v>874539.542944783</v>
      </c>
      <c r="D1018" s="528">
        <f>ROUND(C1018/C1030*D1030,0)</f>
        <v>939725</v>
      </c>
      <c r="F1018" s="1944">
        <v>6.52</v>
      </c>
      <c r="G1018" s="597"/>
      <c r="H1018" s="1644">
        <f t="shared" si="643"/>
        <v>5701998</v>
      </c>
      <c r="I1018" s="1644">
        <f t="shared" si="643"/>
        <v>6127007</v>
      </c>
      <c r="K1018" s="1944"/>
      <c r="L1018" s="597"/>
      <c r="M1018" s="1944"/>
      <c r="N1018" s="597"/>
      <c r="O1018" s="1944"/>
      <c r="P1018" s="597"/>
      <c r="Q1018" s="1944"/>
      <c r="R1018" s="597"/>
      <c r="S1018" s="1644"/>
      <c r="T1018" s="1645"/>
      <c r="U1018" s="1644"/>
      <c r="V1018" s="1645"/>
      <c r="W1018" s="1644"/>
      <c r="X1018" s="1645"/>
      <c r="Y1018" s="1644"/>
      <c r="AI1018" s="2023">
        <f>W1018-'Blocking-Step2'!W1018</f>
        <v>0</v>
      </c>
      <c r="AJ1018" s="2054">
        <f>O1018-'Blocking-Step2'!O1018</f>
        <v>0</v>
      </c>
    </row>
    <row r="1019" spans="1:36" hidden="1">
      <c r="A1019" s="1900" t="s">
        <v>162</v>
      </c>
      <c r="C1019" s="528">
        <f>'6A'!K16</f>
        <v>1039150.685557588</v>
      </c>
      <c r="D1019" s="528">
        <f>ROUND(C1019/C1030*D1030,0)</f>
        <v>1116605</v>
      </c>
      <c r="F1019" s="1944">
        <v>5.47</v>
      </c>
      <c r="G1019" s="597"/>
      <c r="H1019" s="1644">
        <f t="shared" si="643"/>
        <v>5684154</v>
      </c>
      <c r="I1019" s="1644">
        <f t="shared" si="643"/>
        <v>6107829</v>
      </c>
      <c r="K1019" s="1944"/>
      <c r="L1019" s="597"/>
      <c r="M1019" s="1944"/>
      <c r="N1019" s="597"/>
      <c r="O1019" s="1944"/>
      <c r="P1019" s="597"/>
      <c r="Q1019" s="1944"/>
      <c r="R1019" s="597"/>
      <c r="S1019" s="1644"/>
      <c r="T1019" s="1645"/>
      <c r="U1019" s="1644"/>
      <c r="V1019" s="1645"/>
      <c r="W1019" s="1644"/>
      <c r="X1019" s="1645"/>
      <c r="Y1019" s="1644"/>
      <c r="AI1019" s="2023">
        <f>W1019-'Blocking-Step2'!W1019</f>
        <v>0</v>
      </c>
      <c r="AJ1019" s="2054">
        <f>O1019-'Blocking-Step2'!O1019</f>
        <v>0</v>
      </c>
    </row>
    <row r="1020" spans="1:36" hidden="1">
      <c r="A1020" s="1900" t="s">
        <v>261</v>
      </c>
      <c r="C1020" s="528">
        <f>'6A'!L16</f>
        <v>178611.63934426199</v>
      </c>
      <c r="D1020" s="528">
        <f>ROUND(C1020/C1030*D1030,0)</f>
        <v>191925</v>
      </c>
      <c r="F1020" s="1944">
        <v>-0.61</v>
      </c>
      <c r="G1020" s="597"/>
      <c r="H1020" s="1644">
        <f t="shared" si="643"/>
        <v>-108953</v>
      </c>
      <c r="I1020" s="1644">
        <f t="shared" si="643"/>
        <v>-117074</v>
      </c>
      <c r="K1020" s="1944">
        <f t="shared" ref="K1020" si="644">K972</f>
        <v>-0.61</v>
      </c>
      <c r="L1020" s="597"/>
      <c r="M1020" s="1944">
        <f t="shared" ref="M1020" si="645">M972</f>
        <v>0</v>
      </c>
      <c r="N1020" s="597"/>
      <c r="O1020" s="1944">
        <f t="shared" ref="O1020" si="646">O972</f>
        <v>0</v>
      </c>
      <c r="P1020" s="597"/>
      <c r="Q1020" s="1944">
        <f t="shared" ref="Q1020" si="647">Q972</f>
        <v>-0.61</v>
      </c>
      <c r="R1020" s="597"/>
      <c r="S1020" s="1644">
        <f>ROUND($D1020*K1020,0)</f>
        <v>-117074</v>
      </c>
      <c r="T1020" s="1645"/>
      <c r="U1020" s="1644">
        <f>ROUND($D1020*M1020,0)</f>
        <v>0</v>
      </c>
      <c r="V1020" s="1645"/>
      <c r="W1020" s="1644">
        <f>ROUND($D1020*O1020,0)</f>
        <v>0</v>
      </c>
      <c r="X1020" s="1645"/>
      <c r="Y1020" s="1644">
        <f>ROUND($D1020*Q1020,0)</f>
        <v>-117074</v>
      </c>
      <c r="AI1020" s="2023">
        <f>W1020-'Blocking-Step2'!W1020</f>
        <v>0</v>
      </c>
      <c r="AJ1020" s="2054">
        <f>O1020-'Blocking-Step2'!O1020</f>
        <v>0</v>
      </c>
    </row>
    <row r="1021" spans="1:36" hidden="1">
      <c r="A1021" s="1900" t="s">
        <v>188</v>
      </c>
      <c r="C1021" s="528">
        <f>'6A'!N16+'6A'!U16+TempRev!C336-TempRev!M336-TempRev!W336</f>
        <v>56775991.805493139</v>
      </c>
      <c r="D1021" s="528">
        <f>D1030-SUM(D1022:D1029)</f>
        <v>61555077.025227547</v>
      </c>
      <c r="F1021" s="1942">
        <v>11.926600000000001</v>
      </c>
      <c r="G1021" s="1921" t="s">
        <v>495</v>
      </c>
      <c r="H1021" s="1644">
        <f t="shared" ref="H1021:I1025" si="648">ROUND($F1021*C1021/100,0)</f>
        <v>6771445</v>
      </c>
      <c r="I1021" s="1644">
        <f t="shared" si="648"/>
        <v>7341428</v>
      </c>
      <c r="K1021" s="1942"/>
      <c r="L1021" s="1921"/>
      <c r="M1021" s="1942"/>
      <c r="N1021" s="1921"/>
      <c r="O1021" s="1942"/>
      <c r="P1021" s="1921"/>
      <c r="Q1021" s="1942"/>
      <c r="R1021" s="1921"/>
      <c r="S1021" s="1644"/>
      <c r="T1021" s="1648"/>
      <c r="U1021" s="1644"/>
      <c r="V1021" s="1648"/>
      <c r="W1021" s="1644"/>
      <c r="X1021" s="1648"/>
      <c r="Y1021" s="1644"/>
      <c r="AI1021" s="2023">
        <f>W1021-'Blocking-Step2'!W1021</f>
        <v>0</v>
      </c>
      <c r="AJ1021" s="2054">
        <f>O1021-'Blocking-Step2'!O1021</f>
        <v>0</v>
      </c>
    </row>
    <row r="1022" spans="1:36" hidden="1">
      <c r="A1022" s="1900" t="s">
        <v>189</v>
      </c>
      <c r="C1022" s="528">
        <f>'6A'!O16+'6A'!V16+TempRev!C337-TempRev!M337-TempRev!W337</f>
        <v>50614516.726301193</v>
      </c>
      <c r="D1022" s="528">
        <f>ROUND(C1022/(C1021+C1022)*(Energy!Q32*(1-1/Energy!P32*('Blocking-Step1'!D1025+'Blocking-Step1'!D1029))),0)</f>
        <v>54874963</v>
      </c>
      <c r="E1022" s="597"/>
      <c r="F1022" s="1942">
        <v>3.5908000000000002</v>
      </c>
      <c r="G1022" s="1921" t="s">
        <v>495</v>
      </c>
      <c r="H1022" s="1644">
        <f t="shared" si="648"/>
        <v>1817466</v>
      </c>
      <c r="I1022" s="1644">
        <f t="shared" si="648"/>
        <v>1970450</v>
      </c>
      <c r="J1022" s="597"/>
      <c r="K1022" s="1942"/>
      <c r="L1022" s="1921"/>
      <c r="M1022" s="1942"/>
      <c r="N1022" s="1921"/>
      <c r="O1022" s="1942"/>
      <c r="P1022" s="1921"/>
      <c r="Q1022" s="1942"/>
      <c r="R1022" s="1921"/>
      <c r="S1022" s="1644"/>
      <c r="T1022" s="1648"/>
      <c r="U1022" s="1644"/>
      <c r="V1022" s="1648"/>
      <c r="W1022" s="1644"/>
      <c r="X1022" s="1648"/>
      <c r="Y1022" s="1644"/>
      <c r="AI1022" s="2023">
        <f>W1022-'Blocking-Step2'!W1022</f>
        <v>0</v>
      </c>
      <c r="AJ1022" s="2054">
        <f>O1022-'Blocking-Step2'!O1022</f>
        <v>0</v>
      </c>
    </row>
    <row r="1023" spans="1:36" hidden="1">
      <c r="A1023" s="1900" t="s">
        <v>163</v>
      </c>
      <c r="C1023" s="528">
        <f>'6A'!P16+'6A'!W16+TempRev!C338-TempRev!M338-TempRev!W338</f>
        <v>83800827.294580057</v>
      </c>
      <c r="D1023" s="528">
        <f>ROUND(C1023/(C1023+C1024)*(Energy!R32*(1-1/Energy!P32*('Blocking-Step1'!D1025+'Blocking-Step1'!D1029))),0)</f>
        <v>90299396</v>
      </c>
      <c r="F1023" s="1942">
        <v>9.9693000000000005</v>
      </c>
      <c r="G1023" s="1921" t="s">
        <v>495</v>
      </c>
      <c r="H1023" s="1644">
        <f t="shared" si="648"/>
        <v>8354356</v>
      </c>
      <c r="I1023" s="1644">
        <f t="shared" si="648"/>
        <v>9002218</v>
      </c>
      <c r="K1023" s="1942"/>
      <c r="L1023" s="1921"/>
      <c r="M1023" s="1942"/>
      <c r="N1023" s="1921"/>
      <c r="O1023" s="1942"/>
      <c r="P1023" s="1921"/>
      <c r="Q1023" s="1942"/>
      <c r="R1023" s="1921"/>
      <c r="S1023" s="1644"/>
      <c r="T1023" s="1648"/>
      <c r="U1023" s="1644"/>
      <c r="V1023" s="1648"/>
      <c r="W1023" s="1644"/>
      <c r="X1023" s="1648"/>
      <c r="Y1023" s="1644"/>
      <c r="AI1023" s="2023">
        <f>W1023-'Blocking-Step2'!W1023</f>
        <v>0</v>
      </c>
      <c r="AJ1023" s="2054">
        <f>O1023-'Blocking-Step2'!O1023</f>
        <v>0</v>
      </c>
    </row>
    <row r="1024" spans="1:36" hidden="1">
      <c r="A1024" s="1900" t="s">
        <v>164</v>
      </c>
      <c r="C1024" s="528">
        <f>'6A'!Q16+'6A'!X16+TempRev!C339-TempRev!M339-TempRev!W339</f>
        <v>74012924.527216792</v>
      </c>
      <c r="D1024" s="528">
        <f>ROUND(C1024/(C1023+C1024)*(Energy!R32*(1-1/Energy!P32*('Blocking-Step1'!D1025+'Blocking-Step1'!D1029))),0)</f>
        <v>79752463</v>
      </c>
      <c r="E1024" s="597"/>
      <c r="F1024" s="1942">
        <v>3.0059999999999998</v>
      </c>
      <c r="G1024" s="1921" t="s">
        <v>495</v>
      </c>
      <c r="H1024" s="1644">
        <f t="shared" si="648"/>
        <v>2224829</v>
      </c>
      <c r="I1024" s="1644">
        <f t="shared" si="648"/>
        <v>2397359</v>
      </c>
      <c r="J1024" s="597"/>
      <c r="K1024" s="1942"/>
      <c r="L1024" s="1921"/>
      <c r="M1024" s="1942"/>
      <c r="N1024" s="1921"/>
      <c r="O1024" s="1942"/>
      <c r="P1024" s="1921"/>
      <c r="Q1024" s="1942"/>
      <c r="R1024" s="1921"/>
      <c r="S1024" s="1644"/>
      <c r="T1024" s="1648"/>
      <c r="U1024" s="1644"/>
      <c r="V1024" s="1648"/>
      <c r="W1024" s="1644"/>
      <c r="X1024" s="1648"/>
      <c r="Y1024" s="1644"/>
      <c r="AI1024" s="2023">
        <f>W1024-'Blocking-Step2'!W1024</f>
        <v>0</v>
      </c>
      <c r="AJ1024" s="2054">
        <f>O1024-'Blocking-Step2'!O1024</f>
        <v>0</v>
      </c>
    </row>
    <row r="1025" spans="1:36" hidden="1">
      <c r="A1025" s="1116" t="s">
        <v>1158</v>
      </c>
      <c r="C1025" s="528">
        <f>'6A'!S16</f>
        <v>20238626</v>
      </c>
      <c r="D1025" s="528">
        <f>ROUND(C1025/(C1030-C1026)*D1030,0)</f>
        <v>21862394</v>
      </c>
      <c r="F1025" s="1943">
        <v>7.125</v>
      </c>
      <c r="G1025" s="1921" t="s">
        <v>495</v>
      </c>
      <c r="H1025" s="1644">
        <f t="shared" si="648"/>
        <v>1442002</v>
      </c>
      <c r="I1025" s="1644">
        <f t="shared" si="648"/>
        <v>1557696</v>
      </c>
      <c r="K1025" s="1943">
        <f t="shared" ref="K1025" si="649">K977</f>
        <v>0</v>
      </c>
      <c r="L1025" s="1921" t="s">
        <v>495</v>
      </c>
      <c r="M1025" s="1943">
        <f t="shared" ref="M1025" si="650">M977</f>
        <v>7.125</v>
      </c>
      <c r="N1025" s="1921" t="s">
        <v>495</v>
      </c>
      <c r="O1025" s="1943">
        <f t="shared" ref="O1025" si="651">O977</f>
        <v>0</v>
      </c>
      <c r="P1025" s="1921" t="s">
        <v>495</v>
      </c>
      <c r="Q1025" s="1943">
        <f t="shared" ref="Q1025" si="652">Q977</f>
        <v>7.125</v>
      </c>
      <c r="R1025" s="1921" t="s">
        <v>495</v>
      </c>
      <c r="S1025" s="1644">
        <f t="shared" ref="S1025" si="653">ROUND($D1025*K1025/100,0)</f>
        <v>0</v>
      </c>
      <c r="T1025" s="1648"/>
      <c r="U1025" s="1644">
        <f t="shared" ref="U1025" si="654">ROUND($D1025*M1025/100,0)</f>
        <v>1557696</v>
      </c>
      <c r="V1025" s="1648"/>
      <c r="W1025" s="1644">
        <f t="shared" ref="W1025" si="655">ROUND($D1025*O1025/100,0)</f>
        <v>0</v>
      </c>
      <c r="X1025" s="1648"/>
      <c r="Y1025" s="1644">
        <f t="shared" ref="Y1025" si="656">ROUND($D1025*Q1025/100,0)</f>
        <v>1557696</v>
      </c>
      <c r="AI1025" s="2023">
        <f>W1025-'Blocking-Step2'!W1025</f>
        <v>0</v>
      </c>
      <c r="AJ1025" s="2054">
        <f>O1025-'Blocking-Step2'!O1025</f>
        <v>0</v>
      </c>
    </row>
    <row r="1026" spans="1:36" hidden="1">
      <c r="A1026" s="1900" t="s">
        <v>246</v>
      </c>
      <c r="C1026" s="529">
        <f>'Table 2'!J48</f>
        <v>1507907</v>
      </c>
      <c r="D1026" s="529">
        <v>0</v>
      </c>
      <c r="H1026" s="1030">
        <f>'Table 3'!F48</f>
        <v>190811</v>
      </c>
      <c r="I1026" s="1030">
        <v>0</v>
      </c>
      <c r="Y1026" s="1030"/>
      <c r="AI1026" s="2023">
        <f>W1026-'Blocking-Step2'!W1026</f>
        <v>0</v>
      </c>
      <c r="AJ1026" s="2054">
        <f>O1026-'Blocking-Step2'!O1026</f>
        <v>0</v>
      </c>
    </row>
    <row r="1027" spans="1:36" hidden="1">
      <c r="A1027" s="1900" t="s">
        <v>1240</v>
      </c>
      <c r="C1027" s="584"/>
      <c r="D1027" s="584"/>
      <c r="F1027" s="1930">
        <v>-4.99E-2</v>
      </c>
      <c r="G1027" s="597"/>
      <c r="H1027" s="1644">
        <f>SUM(H1021:H1025)*$F$1027</f>
        <v>-1028443.8902</v>
      </c>
      <c r="I1027" s="1644">
        <f>SUM(I1021:I1025)*$F$1027</f>
        <v>-1111230.6348999999</v>
      </c>
      <c r="K1027" s="1930"/>
      <c r="L1027" s="597"/>
      <c r="M1027" s="1930"/>
      <c r="N1027" s="597"/>
      <c r="O1027" s="1931" t="str">
        <f>$O$43</f>
        <v>Tax Year 1 (1/1/2021)</v>
      </c>
      <c r="P1027" s="597"/>
      <c r="Q1027" s="1930">
        <f>$Q$979</f>
        <v>-1.6899999999999998E-2</v>
      </c>
      <c r="R1027" s="597"/>
      <c r="S1027" s="1645"/>
      <c r="T1027" s="1645"/>
      <c r="U1027" s="1645"/>
      <c r="V1027" s="1645"/>
      <c r="W1027" s="1645"/>
      <c r="X1027" s="1645"/>
      <c r="Y1027" s="1644">
        <f>Q1027*SUM(Y1009:Y1012,Y1025)</f>
        <v>-491898.97119999997</v>
      </c>
      <c r="AI1027" s="2023">
        <f>W1027-'Blocking-Step2'!W1027</f>
        <v>0</v>
      </c>
      <c r="AJ1027" s="2054">
        <f>O1027-'Blocking-Step2'!O1027</f>
        <v>0</v>
      </c>
    </row>
    <row r="1028" spans="1:36" hidden="1">
      <c r="A1028" s="1900"/>
      <c r="C1028" s="584"/>
      <c r="D1028" s="584"/>
      <c r="F1028" s="1930"/>
      <c r="G1028" s="597"/>
      <c r="H1028" s="1644"/>
      <c r="I1028" s="1644"/>
      <c r="K1028" s="1930"/>
      <c r="L1028" s="597"/>
      <c r="M1028" s="1930"/>
      <c r="N1028" s="597"/>
      <c r="O1028" s="1931">
        <f>$O$44</f>
        <v>0</v>
      </c>
      <c r="P1028" s="597"/>
      <c r="Q1028" s="1930">
        <f>$Q$980</f>
        <v>0</v>
      </c>
      <c r="R1028" s="597"/>
      <c r="S1028" s="1645"/>
      <c r="T1028" s="1645"/>
      <c r="U1028" s="1645"/>
      <c r="V1028" s="1645"/>
      <c r="W1028" s="1645"/>
      <c r="X1028" s="1645"/>
      <c r="Y1028" s="1644">
        <f>Q1028*SUM(Y1009:Y1012,Y1025)</f>
        <v>0</v>
      </c>
      <c r="AI1028" s="2023">
        <f>W1028-'Blocking-Step2'!W1028</f>
        <v>0</v>
      </c>
      <c r="AJ1028" s="2054">
        <f>O1028-'Blocking-Step2'!O1028</f>
        <v>0</v>
      </c>
    </row>
    <row r="1029" spans="1:36" hidden="1">
      <c r="A1029" s="1116" t="s">
        <v>1317</v>
      </c>
      <c r="C1029" s="584">
        <f>'6A'!AE16</f>
        <v>-918722</v>
      </c>
      <c r="D1029" s="528">
        <f>ROUND(C1029/(C1030-C1026)*D1030,0)</f>
        <v>-992432</v>
      </c>
      <c r="F1029" s="1930"/>
      <c r="G1029" s="597"/>
      <c r="H1029" s="1644"/>
      <c r="I1029" s="1644"/>
      <c r="K1029" s="1930"/>
      <c r="L1029" s="597"/>
      <c r="M1029" s="1930"/>
      <c r="N1029" s="597"/>
      <c r="O1029" s="1930"/>
      <c r="P1029" s="597"/>
      <c r="Q1029" s="1930"/>
      <c r="R1029" s="597"/>
      <c r="S1029" s="1645"/>
      <c r="T1029" s="1645"/>
      <c r="U1029" s="1645"/>
      <c r="V1029" s="1645"/>
      <c r="W1029" s="1645"/>
      <c r="X1029" s="1645"/>
      <c r="Y1029" s="1644"/>
      <c r="AI1029" s="2023">
        <f>W1029-'Blocking-Step2'!W1029</f>
        <v>0</v>
      </c>
      <c r="AJ1029" s="2054">
        <f>O1029-'Blocking-Step2'!O1029</f>
        <v>0</v>
      </c>
    </row>
    <row r="1030" spans="1:36" ht="16.5" hidden="1" thickBot="1">
      <c r="A1030" s="1900" t="s">
        <v>247</v>
      </c>
      <c r="C1030" s="1949">
        <f>SUM(C1021:C1029)</f>
        <v>286032071.3535912</v>
      </c>
      <c r="D1030" s="1949">
        <f>Energy!P32</f>
        <v>307351861.02522755</v>
      </c>
      <c r="F1030" s="1939"/>
      <c r="H1030" s="1647">
        <f>SUM(H1017:H1027)</f>
        <v>32515771.1098</v>
      </c>
      <c r="I1030" s="1647">
        <f>SUM(I1017:I1027)</f>
        <v>34807446.365099996</v>
      </c>
      <c r="K1030" s="1939"/>
      <c r="M1030" s="1939"/>
      <c r="O1030" s="1939"/>
      <c r="Q1030" s="1939"/>
      <c r="S1030" s="1647">
        <f>SUM(S1009:S1026)</f>
        <v>12530469</v>
      </c>
      <c r="U1030" s="1647">
        <f>SUM(U1009:U1026)</f>
        <v>14389407</v>
      </c>
      <c r="W1030" s="1647">
        <f>SUM(W1009:W1026)</f>
        <v>9073515</v>
      </c>
      <c r="Y1030" s="1647">
        <f>SUM(Y1009:Y1026)</f>
        <v>35993393</v>
      </c>
      <c r="AA1030" s="1104" t="s">
        <v>1743</v>
      </c>
      <c r="AB1030" s="1890">
        <f>Y1030/I1030-1</f>
        <v>3.4071635777599196E-2</v>
      </c>
      <c r="AI1030" s="2023">
        <f>W1030-'Blocking-Step2'!W1030</f>
        <v>0</v>
      </c>
      <c r="AJ1030" s="2054">
        <f>O1030-'Blocking-Step2'!O1030</f>
        <v>0</v>
      </c>
    </row>
    <row r="1031" spans="1:36" ht="16.5" hidden="1" thickTop="1">
      <c r="C1031" s="528"/>
      <c r="D1031" s="528"/>
      <c r="AI1031" s="2023">
        <f>W1031-'Blocking-Step2'!W1031</f>
        <v>0</v>
      </c>
      <c r="AJ1031" s="2054">
        <f>O1031-'Blocking-Step2'!O1031</f>
        <v>0</v>
      </c>
    </row>
    <row r="1032" spans="1:36" hidden="1">
      <c r="A1032" s="1897" t="s">
        <v>553</v>
      </c>
      <c r="C1032" s="528"/>
      <c r="D1032" s="528"/>
      <c r="F1032" s="1943"/>
      <c r="G1032" s="1957"/>
      <c r="K1032" s="1943"/>
      <c r="L1032" s="1957"/>
      <c r="M1032" s="1943"/>
      <c r="N1032" s="1957"/>
      <c r="O1032" s="1943"/>
      <c r="P1032" s="1957"/>
      <c r="Q1032" s="1943"/>
      <c r="R1032" s="1957"/>
      <c r="S1032" s="1645"/>
      <c r="T1032" s="1645"/>
      <c r="U1032" s="1645"/>
      <c r="V1032" s="1645"/>
      <c r="W1032" s="1645"/>
      <c r="X1032" s="1645"/>
      <c r="AI1032" s="2023">
        <f>W1032-'Blocking-Step2'!W1032</f>
        <v>0</v>
      </c>
      <c r="AJ1032" s="2054">
        <f>O1032-'Blocking-Step2'!O1032</f>
        <v>0</v>
      </c>
    </row>
    <row r="1033" spans="1:36" hidden="1">
      <c r="A1033" s="1900" t="s">
        <v>1910</v>
      </c>
      <c r="C1033" s="528">
        <f>'BD-Redesign'!E7</f>
        <v>3150762.7990320884</v>
      </c>
      <c r="D1033" s="528">
        <f>D1054-SUM(D1034:D1036,D1049:D1053)</f>
        <v>7415542.099411577</v>
      </c>
      <c r="E1033" s="597"/>
      <c r="F1033" s="1942"/>
      <c r="G1033" s="1921"/>
      <c r="H1033" s="1644"/>
      <c r="I1033" s="1644"/>
      <c r="J1033" s="597"/>
      <c r="K1033" s="1942">
        <f t="shared" ref="K1033:K1041" si="657">K961</f>
        <v>3.89</v>
      </c>
      <c r="L1033" s="1921" t="s">
        <v>495</v>
      </c>
      <c r="M1033" s="1942">
        <f>M961</f>
        <v>17.137528114911813</v>
      </c>
      <c r="N1033" s="1921" t="s">
        <v>495</v>
      </c>
      <c r="O1033" s="1942">
        <f>O961</f>
        <v>1.3496999999999999</v>
      </c>
      <c r="P1033" s="1921" t="s">
        <v>495</v>
      </c>
      <c r="Q1033" s="1942">
        <f t="shared" ref="Q1033:Q1041" si="658">Q961</f>
        <v>22.377228114911812</v>
      </c>
      <c r="R1033" s="1921" t="s">
        <v>495</v>
      </c>
      <c r="S1033" s="1644">
        <f>ROUND($D1033*K1033/100,0)</f>
        <v>288465</v>
      </c>
      <c r="T1033" s="1648"/>
      <c r="U1033" s="1644">
        <f>ROUND($D1033*M1033/100,0)</f>
        <v>1270841</v>
      </c>
      <c r="V1033" s="1648"/>
      <c r="W1033" s="1644">
        <f>ROUND($D1033*O1033/100,0)</f>
        <v>100088</v>
      </c>
      <c r="X1033" s="1648"/>
      <c r="Y1033" s="1644">
        <f>ROUND($D1033*Q1033/100,0)</f>
        <v>1659393</v>
      </c>
      <c r="AI1033" s="2023">
        <f>W1033-'Blocking-Step2'!W1033</f>
        <v>0</v>
      </c>
      <c r="AJ1033" s="2054">
        <f>O1033-'Blocking-Step2'!O1033</f>
        <v>0</v>
      </c>
    </row>
    <row r="1034" spans="1:36" hidden="1">
      <c r="A1034" s="1900" t="s">
        <v>1911</v>
      </c>
      <c r="C1034" s="528">
        <f>'BD-Redesign'!E8</f>
        <v>7099274.2009679126</v>
      </c>
      <c r="D1034" s="528">
        <f>ROUND(C1034/(C1033+C1034)*(Energy!S57*(1-1/Energy!P57*('Blocking-Step1'!D1049+'Blocking-Step1'!D1053))),0)</f>
        <v>16708643</v>
      </c>
      <c r="E1034" s="597"/>
      <c r="F1034" s="1942"/>
      <c r="G1034" s="1921"/>
      <c r="H1034" s="1644"/>
      <c r="I1034" s="1644"/>
      <c r="J1034" s="597"/>
      <c r="K1034" s="1942">
        <f t="shared" si="657"/>
        <v>3.89</v>
      </c>
      <c r="L1034" s="1921" t="s">
        <v>495</v>
      </c>
      <c r="M1034" s="1942">
        <f t="shared" ref="M1034:M1041" si="659">M962</f>
        <v>-1.0877975226579997</v>
      </c>
      <c r="N1034" s="1921" t="s">
        <v>495</v>
      </c>
      <c r="O1034" s="1942">
        <f t="shared" ref="O1034:O1041" si="660">O962</f>
        <v>1.3496999999999999</v>
      </c>
      <c r="P1034" s="1921" t="s">
        <v>495</v>
      </c>
      <c r="Q1034" s="1942">
        <f t="shared" si="658"/>
        <v>4.1519024773420004</v>
      </c>
      <c r="R1034" s="1921" t="s">
        <v>495</v>
      </c>
      <c r="S1034" s="1644">
        <f t="shared" ref="S1034:S1040" si="661">ROUND($D1034*K1034/100,0)</f>
        <v>649966</v>
      </c>
      <c r="T1034" s="1648"/>
      <c r="U1034" s="1644">
        <f t="shared" ref="U1034:U1040" si="662">ROUND($D1034*M1034/100,0)</f>
        <v>-181756</v>
      </c>
      <c r="V1034" s="1648"/>
      <c r="W1034" s="1644">
        <f t="shared" ref="W1034:W1040" si="663">ROUND($D1034*O1034/100,0)</f>
        <v>225517</v>
      </c>
      <c r="X1034" s="1648"/>
      <c r="Y1034" s="1644">
        <f t="shared" ref="Y1034:Y1040" si="664">ROUND($D1034*Q1034/100,0)</f>
        <v>693727</v>
      </c>
      <c r="AI1034" s="2023">
        <f>W1034-'Blocking-Step2'!W1034</f>
        <v>0</v>
      </c>
      <c r="AJ1034" s="2054">
        <f>O1034-'Blocking-Step2'!O1034</f>
        <v>0</v>
      </c>
    </row>
    <row r="1035" spans="1:36" hidden="1">
      <c r="A1035" s="1900" t="s">
        <v>1912</v>
      </c>
      <c r="C1035" s="528">
        <f>'BD-Redesign'!E9</f>
        <v>5219922.7807393372</v>
      </c>
      <c r="D1035" s="528">
        <f>ROUND(C1035/(C1035+C1036)*(Energy!T57*(1-1/Energy!P57*('Blocking-Step1'!D1049+'Blocking-Step1'!D1053))),0)</f>
        <v>11634411</v>
      </c>
      <c r="E1035" s="597"/>
      <c r="F1035" s="1942"/>
      <c r="G1035" s="1921"/>
      <c r="H1035" s="1644"/>
      <c r="I1035" s="1644"/>
      <c r="J1035" s="597"/>
      <c r="K1035" s="1942">
        <f t="shared" si="657"/>
        <v>3.89</v>
      </c>
      <c r="L1035" s="1921" t="s">
        <v>495</v>
      </c>
      <c r="M1035" s="1942">
        <f t="shared" si="659"/>
        <v>14.718500000000001</v>
      </c>
      <c r="N1035" s="1921" t="s">
        <v>495</v>
      </c>
      <c r="O1035" s="1942">
        <f t="shared" si="660"/>
        <v>1.1943999999999999</v>
      </c>
      <c r="P1035" s="1921" t="s">
        <v>495</v>
      </c>
      <c r="Q1035" s="1942">
        <f t="shared" si="658"/>
        <v>19.802900000000001</v>
      </c>
      <c r="R1035" s="1921" t="s">
        <v>495</v>
      </c>
      <c r="S1035" s="1644">
        <f t="shared" si="661"/>
        <v>452579</v>
      </c>
      <c r="T1035" s="1648"/>
      <c r="U1035" s="1644">
        <f t="shared" si="662"/>
        <v>1712411</v>
      </c>
      <c r="V1035" s="1648"/>
      <c r="W1035" s="1644">
        <f t="shared" si="663"/>
        <v>138961</v>
      </c>
      <c r="X1035" s="1648"/>
      <c r="Y1035" s="1644">
        <f t="shared" si="664"/>
        <v>2303951</v>
      </c>
      <c r="AI1035" s="2023">
        <f>W1035-'Blocking-Step2'!W1035</f>
        <v>0</v>
      </c>
      <c r="AJ1035" s="2054">
        <f>O1035-'Blocking-Step2'!O1035</f>
        <v>0</v>
      </c>
    </row>
    <row r="1036" spans="1:36" hidden="1">
      <c r="A1036" s="1900" t="s">
        <v>1913</v>
      </c>
      <c r="C1036" s="528">
        <f>'BD-Redesign'!E10</f>
        <v>9097843.2192606572</v>
      </c>
      <c r="D1036" s="528">
        <f>ROUND(C1036/(C1035+C1036)*(Energy!T57*(1-1/Energy!P57*('Blocking-Step1'!D1049+'Blocking-Step1'!D1053))),0)</f>
        <v>20277703</v>
      </c>
      <c r="E1036" s="597"/>
      <c r="F1036" s="1942"/>
      <c r="G1036" s="1921"/>
      <c r="H1036" s="1644"/>
      <c r="I1036" s="1644"/>
      <c r="J1036" s="597"/>
      <c r="K1036" s="1942">
        <f t="shared" si="657"/>
        <v>3.89</v>
      </c>
      <c r="L1036" s="1921" t="s">
        <v>495</v>
      </c>
      <c r="M1036" s="1942">
        <f t="shared" si="659"/>
        <v>-1.4102000000000001</v>
      </c>
      <c r="N1036" s="1921" t="s">
        <v>495</v>
      </c>
      <c r="O1036" s="1942">
        <f t="shared" si="660"/>
        <v>1.1943999999999999</v>
      </c>
      <c r="P1036" s="1921" t="s">
        <v>495</v>
      </c>
      <c r="Q1036" s="1942">
        <f t="shared" si="658"/>
        <v>3.6741999999999999</v>
      </c>
      <c r="R1036" s="1921" t="s">
        <v>495</v>
      </c>
      <c r="S1036" s="1644">
        <f t="shared" si="661"/>
        <v>788803</v>
      </c>
      <c r="T1036" s="1648"/>
      <c r="U1036" s="1644">
        <f t="shared" si="662"/>
        <v>-285956</v>
      </c>
      <c r="V1036" s="1648"/>
      <c r="W1036" s="1644">
        <f t="shared" si="663"/>
        <v>242197</v>
      </c>
      <c r="X1036" s="1648"/>
      <c r="Y1036" s="1644">
        <f t="shared" si="664"/>
        <v>745043</v>
      </c>
      <c r="AI1036" s="2023">
        <f>W1036-'Blocking-Step2'!W1036</f>
        <v>0</v>
      </c>
      <c r="AJ1036" s="2054">
        <f>O1036-'Blocking-Step2'!O1036</f>
        <v>0</v>
      </c>
    </row>
    <row r="1037" spans="1:36" hidden="1">
      <c r="A1037" s="1900" t="s">
        <v>1906</v>
      </c>
      <c r="C1037" s="528">
        <f>'BD-Redesign'!E11</f>
        <v>5446462</v>
      </c>
      <c r="D1037" s="528">
        <f>D1054-SUM(D1038:D1040,D1049:D1053)</f>
        <v>12818633.099411577</v>
      </c>
      <c r="E1037" s="597"/>
      <c r="F1037" s="1942"/>
      <c r="G1037" s="1921"/>
      <c r="H1037" s="1644"/>
      <c r="I1037" s="1644"/>
      <c r="J1037" s="597"/>
      <c r="K1037" s="1942">
        <f t="shared" si="657"/>
        <v>0</v>
      </c>
      <c r="L1037" s="1921" t="s">
        <v>495</v>
      </c>
      <c r="M1037" s="1942">
        <f t="shared" si="659"/>
        <v>0</v>
      </c>
      <c r="N1037" s="1921" t="s">
        <v>495</v>
      </c>
      <c r="O1037" s="1942">
        <f t="shared" si="660"/>
        <v>6</v>
      </c>
      <c r="P1037" s="1921" t="s">
        <v>495</v>
      </c>
      <c r="Q1037" s="1942">
        <f t="shared" si="658"/>
        <v>6</v>
      </c>
      <c r="R1037" s="1921" t="s">
        <v>495</v>
      </c>
      <c r="S1037" s="1644">
        <f t="shared" si="661"/>
        <v>0</v>
      </c>
      <c r="T1037" s="1648"/>
      <c r="U1037" s="1644">
        <f t="shared" si="662"/>
        <v>0</v>
      </c>
      <c r="V1037" s="1648"/>
      <c r="W1037" s="1644">
        <f t="shared" si="663"/>
        <v>769118</v>
      </c>
      <c r="X1037" s="1648"/>
      <c r="Y1037" s="1644">
        <f t="shared" si="664"/>
        <v>769118</v>
      </c>
      <c r="AI1037" s="2023">
        <f>W1037-'Blocking-Step2'!W1037</f>
        <v>0</v>
      </c>
      <c r="AJ1037" s="2054">
        <f>O1037-'Blocking-Step2'!O1037</f>
        <v>0</v>
      </c>
    </row>
    <row r="1038" spans="1:36" hidden="1">
      <c r="A1038" s="1900" t="s">
        <v>1907</v>
      </c>
      <c r="C1038" s="528">
        <f>'BD-Redesign'!E12</f>
        <v>4803575</v>
      </c>
      <c r="D1038" s="528">
        <f>ROUND(C1038/(C1037+C1038)*(Energy!S57*(1-1/Energy!P57*('Blocking-Step1'!D1049+'Blocking-Step1'!D1053))),0)</f>
        <v>11305553</v>
      </c>
      <c r="E1038" s="597"/>
      <c r="F1038" s="1942"/>
      <c r="G1038" s="1921"/>
      <c r="H1038" s="1644"/>
      <c r="I1038" s="1644"/>
      <c r="J1038" s="597"/>
      <c r="K1038" s="1942">
        <f t="shared" si="657"/>
        <v>0</v>
      </c>
      <c r="L1038" s="1921" t="s">
        <v>495</v>
      </c>
      <c r="M1038" s="1942">
        <f t="shared" si="659"/>
        <v>0</v>
      </c>
      <c r="N1038" s="1921" t="s">
        <v>495</v>
      </c>
      <c r="O1038" s="1942">
        <f t="shared" si="660"/>
        <v>-2.3358000000000008</v>
      </c>
      <c r="P1038" s="1921" t="s">
        <v>495</v>
      </c>
      <c r="Q1038" s="1942">
        <f t="shared" si="658"/>
        <v>-2.3358000000000008</v>
      </c>
      <c r="R1038" s="1921" t="s">
        <v>495</v>
      </c>
      <c r="S1038" s="1644">
        <f t="shared" si="661"/>
        <v>0</v>
      </c>
      <c r="T1038" s="1648"/>
      <c r="U1038" s="1644">
        <f t="shared" si="662"/>
        <v>0</v>
      </c>
      <c r="V1038" s="1648"/>
      <c r="W1038" s="1644">
        <f t="shared" si="663"/>
        <v>-264075</v>
      </c>
      <c r="X1038" s="1648"/>
      <c r="Y1038" s="1644">
        <f t="shared" si="664"/>
        <v>-264075</v>
      </c>
      <c r="AI1038" s="2023">
        <f>W1038-'Blocking-Step2'!W1038</f>
        <v>0</v>
      </c>
      <c r="AJ1038" s="2054">
        <f>O1038-'Blocking-Step2'!O1038</f>
        <v>0</v>
      </c>
    </row>
    <row r="1039" spans="1:36" hidden="1">
      <c r="A1039" s="1900" t="s">
        <v>1908</v>
      </c>
      <c r="C1039" s="528">
        <f>'BD-Redesign'!E13</f>
        <v>8833500.5</v>
      </c>
      <c r="D1039" s="528">
        <f>ROUND(C1039/(C1039+C1040)*(Energy!T57*(1-1/Energy!P57*('Blocking-Step1'!D1049+'Blocking-Step1'!D1053))),0)</f>
        <v>19688523</v>
      </c>
      <c r="E1039" s="597"/>
      <c r="F1039" s="1942"/>
      <c r="G1039" s="1921"/>
      <c r="H1039" s="1644"/>
      <c r="I1039" s="1644"/>
      <c r="J1039" s="597"/>
      <c r="K1039" s="1942">
        <f t="shared" si="657"/>
        <v>0</v>
      </c>
      <c r="L1039" s="1921" t="s">
        <v>495</v>
      </c>
      <c r="M1039" s="1942">
        <f t="shared" si="659"/>
        <v>0</v>
      </c>
      <c r="N1039" s="1921" t="s">
        <v>495</v>
      </c>
      <c r="O1039" s="1942">
        <f t="shared" si="660"/>
        <v>5.3097000000000003</v>
      </c>
      <c r="P1039" s="1921" t="s">
        <v>495</v>
      </c>
      <c r="Q1039" s="1942">
        <f t="shared" si="658"/>
        <v>5.3097000000000003</v>
      </c>
      <c r="R1039" s="1921" t="s">
        <v>495</v>
      </c>
      <c r="S1039" s="1644">
        <f t="shared" si="661"/>
        <v>0</v>
      </c>
      <c r="T1039" s="1648"/>
      <c r="U1039" s="1644">
        <f t="shared" si="662"/>
        <v>0</v>
      </c>
      <c r="V1039" s="1648"/>
      <c r="W1039" s="1644">
        <f t="shared" si="663"/>
        <v>1045402</v>
      </c>
      <c r="X1039" s="1648"/>
      <c r="Y1039" s="1644">
        <f t="shared" si="664"/>
        <v>1045402</v>
      </c>
      <c r="AI1039" s="2023">
        <f>W1039-'Blocking-Step2'!W1039</f>
        <v>0</v>
      </c>
      <c r="AJ1039" s="2054">
        <f>O1039-'Blocking-Step2'!O1039</f>
        <v>0</v>
      </c>
    </row>
    <row r="1040" spans="1:36" hidden="1">
      <c r="A1040" s="1900" t="s">
        <v>1909</v>
      </c>
      <c r="C1040" s="528">
        <f>'BD-Redesign'!E14</f>
        <v>5484265.5</v>
      </c>
      <c r="D1040" s="528">
        <f>ROUND(C1040/(C1039+C1040)*(Energy!T57*(1-1/Energy!P57*('Blocking-Step1'!D1049+'Blocking-Step1'!D1053))),0)</f>
        <v>12223590</v>
      </c>
      <c r="E1040" s="597"/>
      <c r="F1040" s="1942"/>
      <c r="G1040" s="1921"/>
      <c r="H1040" s="1644"/>
      <c r="I1040" s="1644"/>
      <c r="J1040" s="597"/>
      <c r="K1040" s="1942">
        <f t="shared" si="657"/>
        <v>0</v>
      </c>
      <c r="L1040" s="1921" t="s">
        <v>495</v>
      </c>
      <c r="M1040" s="1942">
        <f t="shared" si="659"/>
        <v>0</v>
      </c>
      <c r="N1040" s="1921" t="s">
        <v>495</v>
      </c>
      <c r="O1040" s="1942">
        <f t="shared" si="660"/>
        <v>-2.0670999999999999</v>
      </c>
      <c r="P1040" s="1921" t="s">
        <v>495</v>
      </c>
      <c r="Q1040" s="1942">
        <f t="shared" si="658"/>
        <v>-2.0670999999999999</v>
      </c>
      <c r="R1040" s="1921" t="s">
        <v>495</v>
      </c>
      <c r="S1040" s="1644">
        <f t="shared" si="661"/>
        <v>0</v>
      </c>
      <c r="T1040" s="1648"/>
      <c r="U1040" s="1644">
        <f t="shared" si="662"/>
        <v>0</v>
      </c>
      <c r="V1040" s="1648"/>
      <c r="W1040" s="1644">
        <f t="shared" si="663"/>
        <v>-252674</v>
      </c>
      <c r="X1040" s="1648"/>
      <c r="Y1040" s="1644">
        <f t="shared" si="664"/>
        <v>-252674</v>
      </c>
      <c r="AI1040" s="2023">
        <f>W1040-'Blocking-Step2'!W1040</f>
        <v>0</v>
      </c>
      <c r="AJ1040" s="2054">
        <f>O1040-'Blocking-Step2'!O1040</f>
        <v>0</v>
      </c>
    </row>
    <row r="1041" spans="1:36" hidden="1">
      <c r="A1041" s="1900" t="s">
        <v>240</v>
      </c>
      <c r="C1041" s="528">
        <f>'6A'!H17</f>
        <v>3104.0666666666698</v>
      </c>
      <c r="D1041" s="528">
        <f>Bill!P57</f>
        <v>3156</v>
      </c>
      <c r="F1041" s="1944">
        <v>54</v>
      </c>
      <c r="G1041" s="597"/>
      <c r="H1041" s="1644">
        <f t="shared" ref="H1041:I1044" si="665">ROUND($F1041*C1041,0)</f>
        <v>167620</v>
      </c>
      <c r="I1041" s="1644">
        <f t="shared" si="665"/>
        <v>170424</v>
      </c>
      <c r="K1041" s="1944">
        <f t="shared" si="657"/>
        <v>53</v>
      </c>
      <c r="L1041" s="597"/>
      <c r="M1041" s="1944">
        <f t="shared" si="659"/>
        <v>0</v>
      </c>
      <c r="N1041" s="597"/>
      <c r="O1041" s="1944">
        <f t="shared" si="660"/>
        <v>0</v>
      </c>
      <c r="P1041" s="597"/>
      <c r="Q1041" s="1944">
        <f t="shared" si="658"/>
        <v>53</v>
      </c>
      <c r="R1041" s="597"/>
      <c r="S1041" s="1644">
        <f>ROUND($D1041*K1041,0)</f>
        <v>167268</v>
      </c>
      <c r="T1041" s="1643"/>
      <c r="U1041" s="1644">
        <f>ROUND($D1041*M1041,0)</f>
        <v>0</v>
      </c>
      <c r="V1041" s="1643"/>
      <c r="W1041" s="1644">
        <f>ROUND($D1041*O1041,0)</f>
        <v>0</v>
      </c>
      <c r="X1041" s="1645"/>
      <c r="Y1041" s="1644">
        <f>ROUND($D1041*Q1041,0)</f>
        <v>167268</v>
      </c>
      <c r="AI1041" s="2023">
        <f>W1041-'Blocking-Step2'!W1041</f>
        <v>0</v>
      </c>
      <c r="AJ1041" s="2054">
        <f>O1041-'Blocking-Step2'!O1041</f>
        <v>0</v>
      </c>
    </row>
    <row r="1042" spans="1:36" hidden="1">
      <c r="A1042" s="1900" t="s">
        <v>157</v>
      </c>
      <c r="C1042" s="528">
        <f>'6A'!J17</f>
        <v>171238.95092024549</v>
      </c>
      <c r="D1042" s="528">
        <f>ROUND(C1042/C1054*D1054,0)</f>
        <v>198506</v>
      </c>
      <c r="F1042" s="1944">
        <v>6.52</v>
      </c>
      <c r="G1042" s="597"/>
      <c r="H1042" s="1644">
        <f t="shared" si="665"/>
        <v>1116478</v>
      </c>
      <c r="I1042" s="1644">
        <f t="shared" si="665"/>
        <v>1294259</v>
      </c>
      <c r="K1042" s="1944"/>
      <c r="L1042" s="597"/>
      <c r="M1042" s="1944"/>
      <c r="N1042" s="597"/>
      <c r="O1042" s="1944"/>
      <c r="P1042" s="597"/>
      <c r="Q1042" s="1944"/>
      <c r="R1042" s="597"/>
      <c r="S1042" s="1644"/>
      <c r="T1042" s="1645"/>
      <c r="U1042" s="1644"/>
      <c r="V1042" s="1645"/>
      <c r="W1042" s="1644"/>
      <c r="X1042" s="1645"/>
      <c r="Y1042" s="1644"/>
      <c r="AI1042" s="2023">
        <f>W1042-'Blocking-Step2'!W1042</f>
        <v>0</v>
      </c>
      <c r="AJ1042" s="2054">
        <f>O1042-'Blocking-Step2'!O1042</f>
        <v>0</v>
      </c>
    </row>
    <row r="1043" spans="1:36" hidden="1">
      <c r="A1043" s="1900" t="s">
        <v>162</v>
      </c>
      <c r="C1043" s="528">
        <f>'6A'!K17</f>
        <v>202939.45521023759</v>
      </c>
      <c r="D1043" s="528">
        <f>ROUND(C1043/C1054*D1054,0)</f>
        <v>235254</v>
      </c>
      <c r="F1043" s="1944">
        <v>5.47</v>
      </c>
      <c r="G1043" s="597"/>
      <c r="H1043" s="1644">
        <f t="shared" si="665"/>
        <v>1110079</v>
      </c>
      <c r="I1043" s="1644">
        <f t="shared" si="665"/>
        <v>1286839</v>
      </c>
      <c r="K1043" s="1944"/>
      <c r="L1043" s="597"/>
      <c r="M1043" s="1944"/>
      <c r="N1043" s="597"/>
      <c r="O1043" s="1944"/>
      <c r="P1043" s="597"/>
      <c r="Q1043" s="1944"/>
      <c r="R1043" s="597"/>
      <c r="S1043" s="1644"/>
      <c r="T1043" s="1645"/>
      <c r="U1043" s="1644"/>
      <c r="V1043" s="1645"/>
      <c r="W1043" s="1644"/>
      <c r="X1043" s="1645"/>
      <c r="Y1043" s="1644"/>
      <c r="AI1043" s="2023">
        <f>W1043-'Blocking-Step2'!W1043</f>
        <v>0</v>
      </c>
      <c r="AJ1043" s="2054">
        <f>O1043-'Blocking-Step2'!O1043</f>
        <v>0</v>
      </c>
    </row>
    <row r="1044" spans="1:36" hidden="1">
      <c r="A1044" s="1900" t="s">
        <v>261</v>
      </c>
      <c r="C1044" s="528">
        <f>'6A'!L17</f>
        <v>9945</v>
      </c>
      <c r="D1044" s="528">
        <f>ROUND(C1044/C1054*D1054,0)</f>
        <v>11529</v>
      </c>
      <c r="E1044" s="597"/>
      <c r="F1044" s="1944">
        <v>-0.61</v>
      </c>
      <c r="G1044" s="597"/>
      <c r="H1044" s="1644">
        <f t="shared" si="665"/>
        <v>-6066</v>
      </c>
      <c r="I1044" s="1644">
        <f t="shared" si="665"/>
        <v>-7033</v>
      </c>
      <c r="J1044" s="597"/>
      <c r="K1044" s="1944">
        <f t="shared" ref="K1044" si="666">K972</f>
        <v>-0.61</v>
      </c>
      <c r="L1044" s="597"/>
      <c r="M1044" s="1944">
        <f t="shared" ref="M1044" si="667">M972</f>
        <v>0</v>
      </c>
      <c r="N1044" s="597"/>
      <c r="O1044" s="1944">
        <f t="shared" ref="O1044" si="668">O972</f>
        <v>0</v>
      </c>
      <c r="P1044" s="597"/>
      <c r="Q1044" s="1944">
        <f t="shared" ref="Q1044" si="669">Q972</f>
        <v>-0.61</v>
      </c>
      <c r="R1044" s="597"/>
      <c r="S1044" s="1644">
        <f>ROUND($D1044*K1044,0)</f>
        <v>-7033</v>
      </c>
      <c r="T1044" s="1645"/>
      <c r="U1044" s="1644">
        <f>ROUND($D1044*M1044,0)</f>
        <v>0</v>
      </c>
      <c r="V1044" s="1645"/>
      <c r="W1044" s="1644">
        <f>ROUND($D1044*O1044,0)</f>
        <v>0</v>
      </c>
      <c r="X1044" s="1645"/>
      <c r="Y1044" s="1644">
        <f>ROUND($D1044*Q1044,0)</f>
        <v>-7033</v>
      </c>
      <c r="AI1044" s="2023">
        <f>W1044-'Blocking-Step2'!W1044</f>
        <v>0</v>
      </c>
      <c r="AJ1044" s="2054">
        <f>O1044-'Blocking-Step2'!O1044</f>
        <v>0</v>
      </c>
    </row>
    <row r="1045" spans="1:36" hidden="1">
      <c r="A1045" s="1900" t="s">
        <v>188</v>
      </c>
      <c r="C1045" s="528">
        <f>'6A'!N17+'6A'!U17</f>
        <v>13406324</v>
      </c>
      <c r="D1045" s="528">
        <f>D1054-SUM(D1046:D1053)</f>
        <v>15391869.099411577</v>
      </c>
      <c r="E1045" s="597"/>
      <c r="F1045" s="1942">
        <v>11.926600000000001</v>
      </c>
      <c r="G1045" s="1921" t="s">
        <v>495</v>
      </c>
      <c r="H1045" s="1644">
        <f t="shared" ref="H1045:I1049" si="670">ROUND($F1045*C1045/100,0)</f>
        <v>1598919</v>
      </c>
      <c r="I1045" s="1644">
        <f t="shared" si="670"/>
        <v>1835727</v>
      </c>
      <c r="J1045" s="597"/>
      <c r="K1045" s="1942"/>
      <c r="L1045" s="1921"/>
      <c r="M1045" s="1942"/>
      <c r="N1045" s="1921"/>
      <c r="O1045" s="1942"/>
      <c r="P1045" s="1921"/>
      <c r="Q1045" s="1942"/>
      <c r="R1045" s="1921"/>
      <c r="S1045" s="1644"/>
      <c r="T1045" s="1648"/>
      <c r="U1045" s="1644"/>
      <c r="V1045" s="1648"/>
      <c r="W1045" s="1644"/>
      <c r="X1045" s="1648"/>
      <c r="Y1045" s="1644"/>
      <c r="AI1045" s="2023">
        <f>W1045-'Blocking-Step2'!W1045</f>
        <v>0</v>
      </c>
      <c r="AJ1045" s="2054">
        <f>O1045-'Blocking-Step2'!O1045</f>
        <v>0</v>
      </c>
    </row>
    <row r="1046" spans="1:36" hidden="1">
      <c r="A1046" s="1900" t="s">
        <v>189</v>
      </c>
      <c r="C1046" s="528">
        <f>'6A'!O17+'6A'!V17</f>
        <v>11246892</v>
      </c>
      <c r="D1046" s="528">
        <f>ROUND(C1046/(C1045+C1046)*(Energy!Q57*(1-1/Energy!P57*('Blocking-Step1'!D1049+'Blocking-Step1'!D1053))),0)</f>
        <v>12912615</v>
      </c>
      <c r="E1046" s="597"/>
      <c r="F1046" s="1942">
        <v>3.5908000000000002</v>
      </c>
      <c r="G1046" s="1921" t="s">
        <v>495</v>
      </c>
      <c r="H1046" s="1644">
        <f t="shared" si="670"/>
        <v>403853</v>
      </c>
      <c r="I1046" s="1644">
        <f t="shared" si="670"/>
        <v>463666</v>
      </c>
      <c r="J1046" s="597"/>
      <c r="K1046" s="1942"/>
      <c r="L1046" s="1921"/>
      <c r="M1046" s="1942"/>
      <c r="N1046" s="1921"/>
      <c r="O1046" s="1942"/>
      <c r="P1046" s="1921"/>
      <c r="Q1046" s="1942"/>
      <c r="R1046" s="1921"/>
      <c r="S1046" s="1644"/>
      <c r="T1046" s="1648"/>
      <c r="U1046" s="1644"/>
      <c r="V1046" s="1648"/>
      <c r="W1046" s="1644"/>
      <c r="X1046" s="1648"/>
      <c r="Y1046" s="1644"/>
      <c r="AI1046" s="2023">
        <f>W1046-'Blocking-Step2'!W1046</f>
        <v>0</v>
      </c>
      <c r="AJ1046" s="2054">
        <f>O1046-'Blocking-Step2'!O1046</f>
        <v>0</v>
      </c>
    </row>
    <row r="1047" spans="1:36" hidden="1">
      <c r="A1047" s="1900" t="s">
        <v>163</v>
      </c>
      <c r="C1047" s="528">
        <f>'6A'!P17+'6A'!W17</f>
        <v>15153601</v>
      </c>
      <c r="D1047" s="528">
        <f>ROUND(C1047/(C1047+C1048)*(Energy!R57*(1-1/Energy!P57*('Blocking-Step1'!D1049+'Blocking-Step1'!D1053))),0)</f>
        <v>17164863</v>
      </c>
      <c r="E1047" s="597"/>
      <c r="F1047" s="1942">
        <v>9.9693000000000005</v>
      </c>
      <c r="G1047" s="1921" t="s">
        <v>495</v>
      </c>
      <c r="H1047" s="1644">
        <f t="shared" si="670"/>
        <v>1510708</v>
      </c>
      <c r="I1047" s="1644">
        <f t="shared" si="670"/>
        <v>1711217</v>
      </c>
      <c r="J1047" s="597"/>
      <c r="K1047" s="1942"/>
      <c r="L1047" s="1921"/>
      <c r="M1047" s="1942"/>
      <c r="N1047" s="1921"/>
      <c r="O1047" s="1942"/>
      <c r="P1047" s="1921"/>
      <c r="Q1047" s="1942"/>
      <c r="R1047" s="1921"/>
      <c r="S1047" s="1644"/>
      <c r="T1047" s="1648"/>
      <c r="U1047" s="1644"/>
      <c r="V1047" s="1648"/>
      <c r="W1047" s="1644"/>
      <c r="X1047" s="1648"/>
      <c r="Y1047" s="1644"/>
      <c r="AI1047" s="2023">
        <f>W1047-'Blocking-Step2'!W1047</f>
        <v>0</v>
      </c>
      <c r="AJ1047" s="2054">
        <f>O1047-'Blocking-Step2'!O1047</f>
        <v>0</v>
      </c>
    </row>
    <row r="1048" spans="1:36" hidden="1">
      <c r="A1048" s="1900" t="s">
        <v>164</v>
      </c>
      <c r="C1048" s="528">
        <f>'6A'!Q17+'6A'!X17</f>
        <v>9328789</v>
      </c>
      <c r="D1048" s="528">
        <f>ROUND(C1048/(C1047+C1048)*(Energy!R57*(1-1/Energy!P57*('Blocking-Step1'!D1049+'Blocking-Step1'!D1053))),0)</f>
        <v>10566952</v>
      </c>
      <c r="E1048" s="597"/>
      <c r="F1048" s="1942">
        <v>3.0059999999999998</v>
      </c>
      <c r="G1048" s="1921" t="s">
        <v>495</v>
      </c>
      <c r="H1048" s="1644">
        <f t="shared" si="670"/>
        <v>280423</v>
      </c>
      <c r="I1048" s="1644">
        <f t="shared" si="670"/>
        <v>317643</v>
      </c>
      <c r="J1048" s="597"/>
      <c r="K1048" s="1942"/>
      <c r="L1048" s="1921"/>
      <c r="M1048" s="1942"/>
      <c r="N1048" s="1921"/>
      <c r="O1048" s="1942"/>
      <c r="P1048" s="1921"/>
      <c r="Q1048" s="1942"/>
      <c r="R1048" s="1921"/>
      <c r="S1048" s="1644"/>
      <c r="T1048" s="1648"/>
      <c r="U1048" s="1644"/>
      <c r="V1048" s="1648"/>
      <c r="W1048" s="1644"/>
      <c r="X1048" s="1648"/>
      <c r="Y1048" s="1644"/>
      <c r="AI1048" s="2023">
        <f>W1048-'Blocking-Step2'!W1048</f>
        <v>0</v>
      </c>
      <c r="AJ1048" s="2054">
        <f>O1048-'Blocking-Step2'!O1048</f>
        <v>0</v>
      </c>
    </row>
    <row r="1049" spans="1:36" hidden="1">
      <c r="A1049" s="1116" t="s">
        <v>1158</v>
      </c>
      <c r="C1049" s="528">
        <f>'6A'!S17</f>
        <v>6757400</v>
      </c>
      <c r="D1049" s="528">
        <f>ROUND(C1049/(C1054-C1050)*D1054,0)</f>
        <v>7706421</v>
      </c>
      <c r="F1049" s="1943">
        <v>7.125</v>
      </c>
      <c r="G1049" s="1921" t="s">
        <v>495</v>
      </c>
      <c r="H1049" s="1644">
        <f t="shared" si="670"/>
        <v>481465</v>
      </c>
      <c r="I1049" s="1644">
        <f t="shared" si="670"/>
        <v>549082</v>
      </c>
      <c r="K1049" s="1943">
        <f t="shared" ref="K1049" si="671">K977</f>
        <v>0</v>
      </c>
      <c r="L1049" s="1921" t="s">
        <v>495</v>
      </c>
      <c r="M1049" s="1943">
        <f t="shared" ref="M1049" si="672">M977</f>
        <v>7.125</v>
      </c>
      <c r="N1049" s="1921" t="s">
        <v>495</v>
      </c>
      <c r="O1049" s="1943">
        <f t="shared" ref="O1049" si="673">O977</f>
        <v>0</v>
      </c>
      <c r="P1049" s="1921" t="s">
        <v>495</v>
      </c>
      <c r="Q1049" s="1943">
        <f t="shared" ref="Q1049" si="674">Q977</f>
        <v>7.125</v>
      </c>
      <c r="R1049" s="1921" t="s">
        <v>495</v>
      </c>
      <c r="S1049" s="1644">
        <f t="shared" ref="S1049" si="675">ROUND($D1049*K1049/100,0)</f>
        <v>0</v>
      </c>
      <c r="T1049" s="1648"/>
      <c r="U1049" s="1644">
        <f t="shared" ref="U1049" si="676">ROUND($D1049*M1049/100,0)</f>
        <v>549082</v>
      </c>
      <c r="V1049" s="1648"/>
      <c r="W1049" s="1644">
        <f t="shared" ref="W1049" si="677">ROUND($D1049*O1049/100,0)</f>
        <v>0</v>
      </c>
      <c r="X1049" s="1648"/>
      <c r="Y1049" s="1644">
        <f t="shared" ref="Y1049" si="678">ROUND($D1049*Q1049/100,0)</f>
        <v>549082</v>
      </c>
      <c r="AI1049" s="2023">
        <f>W1049-'Blocking-Step2'!W1049</f>
        <v>0</v>
      </c>
      <c r="AJ1049" s="2054">
        <f>O1049-'Blocking-Step2'!O1049</f>
        <v>0</v>
      </c>
    </row>
    <row r="1050" spans="1:36" hidden="1">
      <c r="A1050" s="1900" t="s">
        <v>246</v>
      </c>
      <c r="C1050" s="529">
        <f>'Table 2'!J86</f>
        <v>-896706</v>
      </c>
      <c r="D1050" s="529">
        <v>0</v>
      </c>
      <c r="H1050" s="1030">
        <f>'Table 3'!F86</f>
        <v>-98024</v>
      </c>
      <c r="I1050" s="1030">
        <v>0</v>
      </c>
      <c r="Y1050" s="1030"/>
      <c r="AI1050" s="2023">
        <f>W1050-'Blocking-Step2'!W1050</f>
        <v>0</v>
      </c>
      <c r="AJ1050" s="2054">
        <f>O1050-'Blocking-Step2'!O1050</f>
        <v>0</v>
      </c>
    </row>
    <row r="1051" spans="1:36" hidden="1">
      <c r="A1051" s="1900" t="s">
        <v>1240</v>
      </c>
      <c r="C1051" s="584"/>
      <c r="D1051" s="584"/>
      <c r="F1051" s="1930">
        <v>-4.99E-2</v>
      </c>
      <c r="G1051" s="597"/>
      <c r="H1051" s="1644">
        <f>SUM(H1045:H1049)*$F1051</f>
        <v>-213340.86319999999</v>
      </c>
      <c r="I1051" s="1644">
        <f>SUM(I1045:I1049)*$F1051</f>
        <v>-243379.0165</v>
      </c>
      <c r="K1051" s="1930"/>
      <c r="L1051" s="597"/>
      <c r="M1051" s="1930"/>
      <c r="N1051" s="597"/>
      <c r="O1051" s="1931" t="str">
        <f>$O$43</f>
        <v>Tax Year 1 (1/1/2021)</v>
      </c>
      <c r="P1051" s="597"/>
      <c r="Q1051" s="1930">
        <f>$Q$979</f>
        <v>-1.6899999999999998E-2</v>
      </c>
      <c r="R1051" s="597"/>
      <c r="S1051" s="1645"/>
      <c r="T1051" s="1645"/>
      <c r="U1051" s="1645"/>
      <c r="V1051" s="1645"/>
      <c r="W1051" s="1645"/>
      <c r="X1051" s="1645"/>
      <c r="Y1051" s="1644">
        <f>Q1051*SUM(Y1033:Y1036,Y1049)</f>
        <v>-100575.21239999999</v>
      </c>
      <c r="AI1051" s="2023">
        <f>W1051-'Blocking-Step2'!W1051</f>
        <v>0</v>
      </c>
      <c r="AJ1051" s="2054">
        <f>O1051-'Blocking-Step2'!O1051</f>
        <v>0</v>
      </c>
    </row>
    <row r="1052" spans="1:36" hidden="1">
      <c r="A1052" s="1900"/>
      <c r="C1052" s="584"/>
      <c r="D1052" s="584"/>
      <c r="F1052" s="1930"/>
      <c r="G1052" s="597"/>
      <c r="H1052" s="1644"/>
      <c r="I1052" s="1644"/>
      <c r="K1052" s="1930"/>
      <c r="L1052" s="597"/>
      <c r="M1052" s="1930"/>
      <c r="N1052" s="597"/>
      <c r="O1052" s="1931">
        <f>$O$44</f>
        <v>0</v>
      </c>
      <c r="P1052" s="597"/>
      <c r="Q1052" s="1930">
        <f>$Q$980</f>
        <v>0</v>
      </c>
      <c r="R1052" s="597"/>
      <c r="S1052" s="1645"/>
      <c r="T1052" s="1645"/>
      <c r="U1052" s="1645"/>
      <c r="V1052" s="1645"/>
      <c r="W1052" s="1645"/>
      <c r="X1052" s="1645"/>
      <c r="Y1052" s="1644">
        <f>Q1052*SUM(Y1033:Y1036,Y1049)</f>
        <v>0</v>
      </c>
      <c r="AI1052" s="2023">
        <f>W1052-'Blocking-Step2'!W1052</f>
        <v>0</v>
      </c>
      <c r="AJ1052" s="2054">
        <f>O1052-'Blocking-Step2'!O1052</f>
        <v>0</v>
      </c>
    </row>
    <row r="1053" spans="1:36" hidden="1">
      <c r="A1053" s="1116" t="s">
        <v>1317</v>
      </c>
      <c r="C1053" s="584">
        <f>'6A'!AE17</f>
        <v>-576168</v>
      </c>
      <c r="D1053" s="528">
        <f>ROUND(C1053/(C1054-C1050)*D1054,0)</f>
        <v>-657086</v>
      </c>
      <c r="F1053" s="1930"/>
      <c r="G1053" s="597"/>
      <c r="H1053" s="1644"/>
      <c r="I1053" s="1644"/>
      <c r="K1053" s="1930"/>
      <c r="L1053" s="597"/>
      <c r="M1053" s="1930"/>
      <c r="N1053" s="597"/>
      <c r="O1053" s="1930"/>
      <c r="P1053" s="597"/>
      <c r="Q1053" s="1930"/>
      <c r="R1053" s="597"/>
      <c r="S1053" s="1645"/>
      <c r="T1053" s="1645"/>
      <c r="U1053" s="1645"/>
      <c r="V1053" s="1645"/>
      <c r="W1053" s="1645"/>
      <c r="X1053" s="1645"/>
      <c r="Y1053" s="1644"/>
      <c r="AI1053" s="2023">
        <f>W1053-'Blocking-Step2'!W1053</f>
        <v>0</v>
      </c>
      <c r="AJ1053" s="2054">
        <f>O1053-'Blocking-Step2'!O1053</f>
        <v>0</v>
      </c>
    </row>
    <row r="1054" spans="1:36" ht="16.5" hidden="1" thickBot="1">
      <c r="A1054" s="1900" t="s">
        <v>247</v>
      </c>
      <c r="C1054" s="1949">
        <f>SUM(C1045:C1053)</f>
        <v>54420132</v>
      </c>
      <c r="D1054" s="1949">
        <f>Energy!P57</f>
        <v>63085634.099411577</v>
      </c>
      <c r="E1054" s="597"/>
      <c r="F1054" s="1939"/>
      <c r="H1054" s="1647">
        <f>SUM(H1041:H1051)</f>
        <v>6352114.1368000004</v>
      </c>
      <c r="I1054" s="1647">
        <f>SUM(I1041:I1051)</f>
        <v>7378444.9835000001</v>
      </c>
      <c r="J1054" s="597"/>
      <c r="K1054" s="1939"/>
      <c r="M1054" s="1939"/>
      <c r="O1054" s="1939"/>
      <c r="Q1054" s="1939"/>
      <c r="S1054" s="1647">
        <f>SUM(S1033:S1050)</f>
        <v>2340048</v>
      </c>
      <c r="U1054" s="1647">
        <f>SUM(U1033:U1050)</f>
        <v>3064622</v>
      </c>
      <c r="W1054" s="1647">
        <f>SUM(W1033:W1050)</f>
        <v>2004534</v>
      </c>
      <c r="Y1054" s="1647">
        <f>SUM(Y1033:Y1050)</f>
        <v>7409202</v>
      </c>
      <c r="AA1054" s="1104" t="s">
        <v>1743</v>
      </c>
      <c r="AB1054" s="1890">
        <f>Y1054/I1054-1</f>
        <v>4.1684957425012215E-3</v>
      </c>
      <c r="AI1054" s="2023">
        <f>W1054-'Blocking-Step2'!W1054</f>
        <v>0</v>
      </c>
      <c r="AJ1054" s="2054">
        <f>O1054-'Blocking-Step2'!O1054</f>
        <v>0</v>
      </c>
    </row>
    <row r="1055" spans="1:36" ht="16.5" thickTop="1">
      <c r="C1055" s="528"/>
      <c r="D1055" s="528"/>
      <c r="AI1055" s="2023">
        <f>W1055-'Blocking-Step2'!W1055</f>
        <v>0</v>
      </c>
      <c r="AJ1055" s="2054">
        <f>O1055-'Blocking-Step2'!O1055</f>
        <v>0</v>
      </c>
    </row>
    <row r="1056" spans="1:36">
      <c r="A1056" s="1897" t="s">
        <v>985</v>
      </c>
      <c r="C1056" s="528"/>
      <c r="D1056" s="528"/>
      <c r="F1056" s="1943"/>
      <c r="G1056" s="1957"/>
      <c r="K1056" s="1943"/>
      <c r="L1056" s="1957"/>
      <c r="M1056" s="1943"/>
      <c r="N1056" s="1957"/>
      <c r="O1056" s="1943"/>
      <c r="P1056" s="1957"/>
      <c r="Q1056" s="1943"/>
      <c r="R1056" s="1957"/>
      <c r="S1056" s="1645"/>
      <c r="T1056" s="1645"/>
      <c r="U1056" s="1645"/>
      <c r="V1056" s="1645"/>
      <c r="W1056" s="1645"/>
      <c r="X1056" s="1645"/>
      <c r="AI1056" s="2023">
        <f>W1056-'Blocking-Step2'!W1056</f>
        <v>0</v>
      </c>
      <c r="AJ1056" s="2054">
        <f>O1056-'Blocking-Step2'!O1056</f>
        <v>0</v>
      </c>
    </row>
    <row r="1057" spans="1:36">
      <c r="A1057" s="1900" t="s">
        <v>1910</v>
      </c>
      <c r="C1057" s="528">
        <f t="shared" ref="C1057:D1072" si="679">C1079+C1101+C1123</f>
        <v>519342.45261118939</v>
      </c>
      <c r="D1057" s="528">
        <f t="shared" si="679"/>
        <v>1790597.1011697315</v>
      </c>
      <c r="E1057" s="597"/>
      <c r="F1057" s="1942"/>
      <c r="G1057" s="1921"/>
      <c r="H1057" s="1644"/>
      <c r="I1057" s="1644"/>
      <c r="J1057" s="597"/>
      <c r="K1057" s="1942">
        <f>K961</f>
        <v>3.89</v>
      </c>
      <c r="L1057" s="1921" t="s">
        <v>495</v>
      </c>
      <c r="M1057" s="1942">
        <f>M961</f>
        <v>17.137528114911813</v>
      </c>
      <c r="N1057" s="1921" t="s">
        <v>495</v>
      </c>
      <c r="O1057" s="1942">
        <f>O961</f>
        <v>1.3496999999999999</v>
      </c>
      <c r="P1057" s="1921" t="s">
        <v>495</v>
      </c>
      <c r="Q1057" s="1942">
        <f t="shared" ref="Q1057:Q1065" si="680">Q961</f>
        <v>22.377228114911812</v>
      </c>
      <c r="R1057" s="1921" t="s">
        <v>495</v>
      </c>
      <c r="S1057" s="1644">
        <f>ROUND($D1057*K1057/100,0)</f>
        <v>69654</v>
      </c>
      <c r="T1057" s="1648"/>
      <c r="U1057" s="1644">
        <f>ROUND($D1057*M1057/100,0)</f>
        <v>306864</v>
      </c>
      <c r="V1057" s="1648"/>
      <c r="W1057" s="1644">
        <f>ROUND($D1057*O1057/100,0)</f>
        <v>24168</v>
      </c>
      <c r="X1057" s="1648"/>
      <c r="Y1057" s="1644">
        <f>ROUND($D1057*Q1057/100,0)</f>
        <v>400686</v>
      </c>
      <c r="AI1057" s="2023">
        <f>W1057-'Blocking-Step2'!W1057</f>
        <v>0</v>
      </c>
      <c r="AJ1057" s="2054">
        <f>O1057-'Blocking-Step2'!O1057</f>
        <v>0</v>
      </c>
    </row>
    <row r="1058" spans="1:36">
      <c r="A1058" s="1900" t="s">
        <v>1911</v>
      </c>
      <c r="C1058" s="528">
        <f t="shared" si="679"/>
        <v>1065674.9503393981</v>
      </c>
      <c r="D1058" s="528">
        <f t="shared" si="679"/>
        <v>3521773</v>
      </c>
      <c r="E1058" s="597"/>
      <c r="F1058" s="1942"/>
      <c r="G1058" s="1921"/>
      <c r="H1058" s="1644"/>
      <c r="I1058" s="1644"/>
      <c r="J1058" s="597"/>
      <c r="K1058" s="1942">
        <f t="shared" ref="K1058:K1065" si="681">K962</f>
        <v>3.89</v>
      </c>
      <c r="L1058" s="1921" t="s">
        <v>495</v>
      </c>
      <c r="M1058" s="1942">
        <f t="shared" ref="M1058:M1065" si="682">M962</f>
        <v>-1.0877975226579997</v>
      </c>
      <c r="N1058" s="1921" t="s">
        <v>495</v>
      </c>
      <c r="O1058" s="1942">
        <f t="shared" ref="O1058:O1065" si="683">O962</f>
        <v>1.3496999999999999</v>
      </c>
      <c r="P1058" s="1921" t="s">
        <v>495</v>
      </c>
      <c r="Q1058" s="1942">
        <f t="shared" si="680"/>
        <v>4.1519024773420004</v>
      </c>
      <c r="R1058" s="1921" t="s">
        <v>495</v>
      </c>
      <c r="S1058" s="1644">
        <f t="shared" ref="S1058:S1064" si="684">ROUND($D1058*K1058/100,0)</f>
        <v>136997</v>
      </c>
      <c r="T1058" s="1648"/>
      <c r="U1058" s="1644">
        <f t="shared" ref="U1058:U1064" si="685">ROUND($D1058*M1058/100,0)</f>
        <v>-38310</v>
      </c>
      <c r="V1058" s="1648"/>
      <c r="W1058" s="1644">
        <f t="shared" ref="W1058:W1064" si="686">ROUND($D1058*O1058/100,0)</f>
        <v>47533</v>
      </c>
      <c r="X1058" s="1648"/>
      <c r="Y1058" s="1644">
        <f t="shared" ref="Y1058:Y1064" si="687">ROUND($D1058*Q1058/100,0)</f>
        <v>146221</v>
      </c>
      <c r="AI1058" s="2023">
        <f>W1058-'Blocking-Step2'!W1058</f>
        <v>0</v>
      </c>
      <c r="AJ1058" s="2054">
        <f>O1058-'Blocking-Step2'!O1058</f>
        <v>0</v>
      </c>
    </row>
    <row r="1059" spans="1:36">
      <c r="A1059" s="1900" t="s">
        <v>1912</v>
      </c>
      <c r="C1059" s="528">
        <f t="shared" si="679"/>
        <v>1569625.3669775294</v>
      </c>
      <c r="D1059" s="528">
        <f t="shared" si="679"/>
        <v>5330608</v>
      </c>
      <c r="E1059" s="597"/>
      <c r="F1059" s="1942"/>
      <c r="G1059" s="1921"/>
      <c r="H1059" s="1644"/>
      <c r="I1059" s="1644"/>
      <c r="J1059" s="597"/>
      <c r="K1059" s="1942">
        <f t="shared" si="681"/>
        <v>3.89</v>
      </c>
      <c r="L1059" s="1921" t="s">
        <v>495</v>
      </c>
      <c r="M1059" s="1942">
        <f t="shared" si="682"/>
        <v>14.718500000000001</v>
      </c>
      <c r="N1059" s="1921" t="s">
        <v>495</v>
      </c>
      <c r="O1059" s="1942">
        <f t="shared" si="683"/>
        <v>1.1943999999999999</v>
      </c>
      <c r="P1059" s="1921" t="s">
        <v>495</v>
      </c>
      <c r="Q1059" s="1942">
        <f t="shared" si="680"/>
        <v>19.802900000000001</v>
      </c>
      <c r="R1059" s="1921" t="s">
        <v>495</v>
      </c>
      <c r="S1059" s="1644">
        <f t="shared" si="684"/>
        <v>207361</v>
      </c>
      <c r="T1059" s="1648"/>
      <c r="U1059" s="1644">
        <f t="shared" si="685"/>
        <v>784586</v>
      </c>
      <c r="V1059" s="1648"/>
      <c r="W1059" s="1644">
        <f t="shared" si="686"/>
        <v>63669</v>
      </c>
      <c r="X1059" s="1648"/>
      <c r="Y1059" s="1644">
        <f t="shared" si="687"/>
        <v>1055615</v>
      </c>
      <c r="AI1059" s="2023">
        <f>W1059-'Blocking-Step2'!W1059</f>
        <v>0</v>
      </c>
      <c r="AJ1059" s="2054">
        <f>O1059-'Blocking-Step2'!O1059</f>
        <v>0</v>
      </c>
    </row>
    <row r="1060" spans="1:36">
      <c r="A1060" s="1900" t="s">
        <v>1913</v>
      </c>
      <c r="C1060" s="528">
        <f t="shared" si="679"/>
        <v>4146826.5803954229</v>
      </c>
      <c r="D1060" s="528">
        <f t="shared" si="679"/>
        <v>12790668</v>
      </c>
      <c r="E1060" s="597"/>
      <c r="F1060" s="1942"/>
      <c r="G1060" s="1921"/>
      <c r="H1060" s="1644"/>
      <c r="I1060" s="1644"/>
      <c r="J1060" s="597"/>
      <c r="K1060" s="1942">
        <f t="shared" si="681"/>
        <v>3.89</v>
      </c>
      <c r="L1060" s="1921" t="s">
        <v>495</v>
      </c>
      <c r="M1060" s="1942">
        <f t="shared" si="682"/>
        <v>-1.4102000000000001</v>
      </c>
      <c r="N1060" s="1921" t="s">
        <v>495</v>
      </c>
      <c r="O1060" s="1942">
        <f t="shared" si="683"/>
        <v>1.1943999999999999</v>
      </c>
      <c r="P1060" s="1921" t="s">
        <v>495</v>
      </c>
      <c r="Q1060" s="1942">
        <f t="shared" si="680"/>
        <v>3.6741999999999999</v>
      </c>
      <c r="R1060" s="1921" t="s">
        <v>495</v>
      </c>
      <c r="S1060" s="1644">
        <f t="shared" si="684"/>
        <v>497557</v>
      </c>
      <c r="T1060" s="1648"/>
      <c r="U1060" s="1644">
        <f t="shared" si="685"/>
        <v>-180374</v>
      </c>
      <c r="V1060" s="1648"/>
      <c r="W1060" s="1644">
        <f t="shared" si="686"/>
        <v>152772</v>
      </c>
      <c r="X1060" s="1648"/>
      <c r="Y1060" s="1644">
        <f t="shared" si="687"/>
        <v>469955</v>
      </c>
      <c r="AI1060" s="2023">
        <f>W1060-'Blocking-Step2'!W1060</f>
        <v>0</v>
      </c>
      <c r="AJ1060" s="2054">
        <f>O1060-'Blocking-Step2'!O1060</f>
        <v>0</v>
      </c>
    </row>
    <row r="1061" spans="1:36">
      <c r="A1061" s="1900" t="s">
        <v>1906</v>
      </c>
      <c r="C1061" s="528">
        <f t="shared" si="679"/>
        <v>935529.56781097292</v>
      </c>
      <c r="D1061" s="528">
        <f t="shared" si="679"/>
        <v>3345042.1011697315</v>
      </c>
      <c r="E1061" s="597"/>
      <c r="F1061" s="1942"/>
      <c r="G1061" s="1921"/>
      <c r="H1061" s="1644"/>
      <c r="I1061" s="1644"/>
      <c r="J1061" s="597"/>
      <c r="K1061" s="1942">
        <f t="shared" si="681"/>
        <v>0</v>
      </c>
      <c r="L1061" s="1921" t="s">
        <v>495</v>
      </c>
      <c r="M1061" s="1942">
        <f t="shared" si="682"/>
        <v>0</v>
      </c>
      <c r="N1061" s="1921" t="s">
        <v>495</v>
      </c>
      <c r="O1061" s="1942">
        <f t="shared" si="683"/>
        <v>6</v>
      </c>
      <c r="P1061" s="1921" t="s">
        <v>495</v>
      </c>
      <c r="Q1061" s="1942">
        <f t="shared" si="680"/>
        <v>6</v>
      </c>
      <c r="R1061" s="1921" t="s">
        <v>495</v>
      </c>
      <c r="S1061" s="1644">
        <f t="shared" si="684"/>
        <v>0</v>
      </c>
      <c r="T1061" s="1648"/>
      <c r="U1061" s="1644">
        <f t="shared" si="685"/>
        <v>0</v>
      </c>
      <c r="V1061" s="1648"/>
      <c r="W1061" s="1644">
        <f t="shared" si="686"/>
        <v>200703</v>
      </c>
      <c r="X1061" s="1648"/>
      <c r="Y1061" s="1644">
        <f t="shared" si="687"/>
        <v>200703</v>
      </c>
      <c r="AI1061" s="2023">
        <f>W1061-'Blocking-Step2'!W1061</f>
        <v>0</v>
      </c>
      <c r="AJ1061" s="2054">
        <f>O1061-'Blocking-Step2'!O1061</f>
        <v>0</v>
      </c>
    </row>
    <row r="1062" spans="1:36">
      <c r="A1062" s="1900" t="s">
        <v>1907</v>
      </c>
      <c r="C1062" s="528">
        <f t="shared" si="679"/>
        <v>649487.83513961465</v>
      </c>
      <c r="D1062" s="528">
        <f t="shared" si="679"/>
        <v>1967328</v>
      </c>
      <c r="E1062" s="597"/>
      <c r="F1062" s="1942"/>
      <c r="G1062" s="1921"/>
      <c r="H1062" s="1644"/>
      <c r="I1062" s="1644"/>
      <c r="J1062" s="597"/>
      <c r="K1062" s="1942">
        <f t="shared" si="681"/>
        <v>0</v>
      </c>
      <c r="L1062" s="1921" t="s">
        <v>495</v>
      </c>
      <c r="M1062" s="1942">
        <f t="shared" si="682"/>
        <v>0</v>
      </c>
      <c r="N1062" s="1921" t="s">
        <v>495</v>
      </c>
      <c r="O1062" s="1942">
        <f t="shared" si="683"/>
        <v>-2.3358000000000008</v>
      </c>
      <c r="P1062" s="1921" t="s">
        <v>495</v>
      </c>
      <c r="Q1062" s="1942">
        <f t="shared" si="680"/>
        <v>-2.3358000000000008</v>
      </c>
      <c r="R1062" s="1921" t="s">
        <v>495</v>
      </c>
      <c r="S1062" s="1644">
        <f t="shared" si="684"/>
        <v>0</v>
      </c>
      <c r="T1062" s="1648"/>
      <c r="U1062" s="1644">
        <f t="shared" si="685"/>
        <v>0</v>
      </c>
      <c r="V1062" s="1648"/>
      <c r="W1062" s="1644">
        <f t="shared" si="686"/>
        <v>-45953</v>
      </c>
      <c r="X1062" s="1648"/>
      <c r="Y1062" s="1644">
        <f t="shared" si="687"/>
        <v>-45953</v>
      </c>
      <c r="AI1062" s="2023">
        <f>W1062-'Blocking-Step2'!W1062</f>
        <v>0</v>
      </c>
      <c r="AJ1062" s="2054">
        <f>O1062-'Blocking-Step2'!O1062</f>
        <v>0</v>
      </c>
    </row>
    <row r="1063" spans="1:36">
      <c r="A1063" s="1900" t="s">
        <v>1908</v>
      </c>
      <c r="C1063" s="528">
        <f t="shared" si="679"/>
        <v>3267750.5148829855</v>
      </c>
      <c r="D1063" s="528">
        <f t="shared" si="679"/>
        <v>10972800</v>
      </c>
      <c r="E1063" s="597"/>
      <c r="F1063" s="1942"/>
      <c r="G1063" s="1921"/>
      <c r="H1063" s="1644"/>
      <c r="I1063" s="1644"/>
      <c r="J1063" s="597"/>
      <c r="K1063" s="1942">
        <f t="shared" si="681"/>
        <v>0</v>
      </c>
      <c r="L1063" s="1921" t="s">
        <v>495</v>
      </c>
      <c r="M1063" s="1942">
        <f t="shared" si="682"/>
        <v>0</v>
      </c>
      <c r="N1063" s="1921" t="s">
        <v>495</v>
      </c>
      <c r="O1063" s="1942">
        <f t="shared" si="683"/>
        <v>5.3097000000000003</v>
      </c>
      <c r="P1063" s="1921" t="s">
        <v>495</v>
      </c>
      <c r="Q1063" s="1942">
        <f t="shared" si="680"/>
        <v>5.3097000000000003</v>
      </c>
      <c r="R1063" s="1921" t="s">
        <v>495</v>
      </c>
      <c r="S1063" s="1644">
        <f t="shared" si="684"/>
        <v>0</v>
      </c>
      <c r="T1063" s="1648"/>
      <c r="U1063" s="1644">
        <f t="shared" si="685"/>
        <v>0</v>
      </c>
      <c r="V1063" s="1648"/>
      <c r="W1063" s="1644">
        <f t="shared" si="686"/>
        <v>582623</v>
      </c>
      <c r="X1063" s="1648"/>
      <c r="Y1063" s="1644">
        <f t="shared" si="687"/>
        <v>582623</v>
      </c>
      <c r="AI1063" s="2023">
        <f>W1063-'Blocking-Step2'!W1063</f>
        <v>0</v>
      </c>
      <c r="AJ1063" s="2054">
        <f>O1063-'Blocking-Step2'!O1063</f>
        <v>0</v>
      </c>
    </row>
    <row r="1064" spans="1:36">
      <c r="A1064" s="1900" t="s">
        <v>1909</v>
      </c>
      <c r="C1064" s="528">
        <f t="shared" si="679"/>
        <v>2448701.432489967</v>
      </c>
      <c r="D1064" s="528">
        <f t="shared" si="679"/>
        <v>7148476</v>
      </c>
      <c r="E1064" s="597"/>
      <c r="F1064" s="1942"/>
      <c r="G1064" s="1921"/>
      <c r="H1064" s="1644"/>
      <c r="I1064" s="1644"/>
      <c r="J1064" s="597"/>
      <c r="K1064" s="1942">
        <f t="shared" si="681"/>
        <v>0</v>
      </c>
      <c r="L1064" s="1921" t="s">
        <v>495</v>
      </c>
      <c r="M1064" s="1942">
        <f t="shared" si="682"/>
        <v>0</v>
      </c>
      <c r="N1064" s="1921" t="s">
        <v>495</v>
      </c>
      <c r="O1064" s="1942">
        <f t="shared" si="683"/>
        <v>-2.0670999999999999</v>
      </c>
      <c r="P1064" s="1921" t="s">
        <v>495</v>
      </c>
      <c r="Q1064" s="1942">
        <f t="shared" si="680"/>
        <v>-2.0670999999999999</v>
      </c>
      <c r="R1064" s="1921" t="s">
        <v>495</v>
      </c>
      <c r="S1064" s="1644">
        <f t="shared" si="684"/>
        <v>0</v>
      </c>
      <c r="T1064" s="1648"/>
      <c r="U1064" s="1644">
        <f t="shared" si="685"/>
        <v>0</v>
      </c>
      <c r="V1064" s="1648"/>
      <c r="W1064" s="1644">
        <f t="shared" si="686"/>
        <v>-147766</v>
      </c>
      <c r="X1064" s="1648"/>
      <c r="Y1064" s="1644">
        <f t="shared" si="687"/>
        <v>-147766</v>
      </c>
      <c r="AI1064" s="2023">
        <f>W1064-'Blocking-Step2'!W1064</f>
        <v>0</v>
      </c>
      <c r="AJ1064" s="2054">
        <f>O1064-'Blocking-Step2'!O1064</f>
        <v>0</v>
      </c>
    </row>
    <row r="1065" spans="1:36">
      <c r="A1065" s="1900" t="s">
        <v>240</v>
      </c>
      <c r="C1065" s="528">
        <f t="shared" si="679"/>
        <v>1245.7333333333333</v>
      </c>
      <c r="D1065" s="528">
        <f t="shared" si="679"/>
        <v>1797</v>
      </c>
      <c r="F1065" s="1901">
        <v>54</v>
      </c>
      <c r="G1065" s="1902"/>
      <c r="H1065" s="1644">
        <f t="shared" ref="H1065:I1068" si="688">ROUND($F1065*C1065,0)</f>
        <v>67270</v>
      </c>
      <c r="I1065" s="1644">
        <f t="shared" si="688"/>
        <v>97038</v>
      </c>
      <c r="K1065" s="1901">
        <f t="shared" si="681"/>
        <v>53</v>
      </c>
      <c r="L1065" s="1902"/>
      <c r="M1065" s="1901">
        <f t="shared" si="682"/>
        <v>0</v>
      </c>
      <c r="N1065" s="1902"/>
      <c r="O1065" s="1901">
        <f t="shared" si="683"/>
        <v>0</v>
      </c>
      <c r="P1065" s="1902"/>
      <c r="Q1065" s="1901">
        <f t="shared" si="680"/>
        <v>53</v>
      </c>
      <c r="R1065" s="1902"/>
      <c r="S1065" s="1644">
        <f>ROUND($D1065*K1065,0)</f>
        <v>95241</v>
      </c>
      <c r="T1065" s="1643"/>
      <c r="U1065" s="1644">
        <f>ROUND($D1065*M1065,0)</f>
        <v>0</v>
      </c>
      <c r="V1065" s="1643"/>
      <c r="W1065" s="1644">
        <f>ROUND($D1065*O1065,0)</f>
        <v>0</v>
      </c>
      <c r="X1065" s="1643"/>
      <c r="Y1065" s="1644">
        <f>ROUND($D1065*Q1065,0)</f>
        <v>95241</v>
      </c>
      <c r="AI1065" s="2023">
        <f>W1065-'Blocking-Step2'!W1065</f>
        <v>0</v>
      </c>
      <c r="AJ1065" s="2054">
        <f>O1065-'Blocking-Step2'!O1065</f>
        <v>0</v>
      </c>
    </row>
    <row r="1066" spans="1:36">
      <c r="A1066" s="1900" t="s">
        <v>157</v>
      </c>
      <c r="C1066" s="528">
        <f t="shared" si="679"/>
        <v>58468.518404907991</v>
      </c>
      <c r="D1066" s="528">
        <f t="shared" si="679"/>
        <v>93220</v>
      </c>
      <c r="E1066" s="597"/>
      <c r="F1066" s="1901">
        <v>6.52</v>
      </c>
      <c r="G1066" s="1902"/>
      <c r="H1066" s="1644">
        <f t="shared" si="688"/>
        <v>381215</v>
      </c>
      <c r="I1066" s="1644">
        <f t="shared" si="688"/>
        <v>607794</v>
      </c>
      <c r="J1066" s="597"/>
      <c r="K1066" s="1901"/>
      <c r="L1066" s="1902"/>
      <c r="M1066" s="1901"/>
      <c r="N1066" s="1902"/>
      <c r="O1066" s="1901"/>
      <c r="P1066" s="1902"/>
      <c r="Q1066" s="1901"/>
      <c r="R1066" s="1902"/>
      <c r="S1066" s="1644"/>
      <c r="T1066" s="1645"/>
      <c r="U1066" s="1644"/>
      <c r="V1066" s="1645"/>
      <c r="W1066" s="1644"/>
      <c r="X1066" s="1643"/>
      <c r="Y1066" s="1644"/>
      <c r="AI1066" s="2023">
        <f>W1066-'Blocking-Step2'!W1066</f>
        <v>0</v>
      </c>
      <c r="AJ1066" s="2054">
        <f>O1066-'Blocking-Step2'!O1066</f>
        <v>0</v>
      </c>
    </row>
    <row r="1067" spans="1:36">
      <c r="A1067" s="1900" t="s">
        <v>162</v>
      </c>
      <c r="C1067" s="528">
        <f t="shared" si="679"/>
        <v>83822.155393053035</v>
      </c>
      <c r="D1067" s="528">
        <f t="shared" si="679"/>
        <v>132834</v>
      </c>
      <c r="E1067" s="597"/>
      <c r="F1067" s="1901">
        <v>5.47</v>
      </c>
      <c r="G1067" s="1902"/>
      <c r="H1067" s="1644">
        <f t="shared" si="688"/>
        <v>458507</v>
      </c>
      <c r="I1067" s="1644">
        <f t="shared" si="688"/>
        <v>726602</v>
      </c>
      <c r="J1067" s="597"/>
      <c r="K1067" s="1901"/>
      <c r="L1067" s="1902"/>
      <c r="M1067" s="1901"/>
      <c r="N1067" s="1902"/>
      <c r="O1067" s="1901"/>
      <c r="P1067" s="1902"/>
      <c r="Q1067" s="1901"/>
      <c r="R1067" s="1902"/>
      <c r="S1067" s="1644"/>
      <c r="T1067" s="1645"/>
      <c r="U1067" s="1644"/>
      <c r="V1067" s="1645"/>
      <c r="W1067" s="1644"/>
      <c r="X1067" s="1643"/>
      <c r="Y1067" s="1644"/>
      <c r="AI1067" s="2023">
        <f>W1067-'Blocking-Step2'!W1067</f>
        <v>0</v>
      </c>
      <c r="AJ1067" s="2054">
        <f>O1067-'Blocking-Step2'!O1067</f>
        <v>0</v>
      </c>
    </row>
    <row r="1068" spans="1:36">
      <c r="A1068" s="1900" t="s">
        <v>261</v>
      </c>
      <c r="C1068" s="528">
        <f t="shared" si="679"/>
        <v>6358</v>
      </c>
      <c r="D1068" s="528">
        <f t="shared" si="679"/>
        <v>16106</v>
      </c>
      <c r="E1068" s="597"/>
      <c r="F1068" s="1901">
        <v>-0.61</v>
      </c>
      <c r="G1068" s="1902"/>
      <c r="H1068" s="1644">
        <f t="shared" si="688"/>
        <v>-3878</v>
      </c>
      <c r="I1068" s="1644">
        <f t="shared" si="688"/>
        <v>-9825</v>
      </c>
      <c r="J1068" s="597"/>
      <c r="K1068" s="1901">
        <f t="shared" ref="K1068" si="689">K972</f>
        <v>-0.61</v>
      </c>
      <c r="L1068" s="1902"/>
      <c r="M1068" s="1901">
        <f t="shared" ref="M1068" si="690">M972</f>
        <v>0</v>
      </c>
      <c r="N1068" s="1902"/>
      <c r="O1068" s="1901">
        <f t="shared" ref="O1068" si="691">O972</f>
        <v>0</v>
      </c>
      <c r="P1068" s="1902"/>
      <c r="Q1068" s="1901">
        <f>Q972</f>
        <v>-0.61</v>
      </c>
      <c r="R1068" s="1902"/>
      <c r="S1068" s="1644">
        <f>ROUND($D1068*K1068,0)</f>
        <v>-9825</v>
      </c>
      <c r="T1068" s="1645"/>
      <c r="U1068" s="1644">
        <f>ROUND($D1068*M1068,0)</f>
        <v>0</v>
      </c>
      <c r="V1068" s="1645"/>
      <c r="W1068" s="1644">
        <f>ROUND($D1068*O1068,0)</f>
        <v>0</v>
      </c>
      <c r="X1068" s="1643"/>
      <c r="Y1068" s="1644">
        <f>ROUND($D1068*Q1068,0)</f>
        <v>-9825</v>
      </c>
      <c r="AI1068" s="2023">
        <f>W1068-'Blocking-Step2'!W1068</f>
        <v>0</v>
      </c>
      <c r="AJ1068" s="2054">
        <f>O1068-'Blocking-Step2'!O1068</f>
        <v>0</v>
      </c>
    </row>
    <row r="1069" spans="1:36">
      <c r="A1069" s="1900" t="s">
        <v>188</v>
      </c>
      <c r="C1069" s="528">
        <f t="shared" si="679"/>
        <v>2381003.0114695355</v>
      </c>
      <c r="D1069" s="528">
        <f t="shared" si="679"/>
        <v>4206143.1011697315</v>
      </c>
      <c r="E1069" s="597"/>
      <c r="F1069" s="1920">
        <v>11.926600000000001</v>
      </c>
      <c r="G1069" s="1921" t="s">
        <v>495</v>
      </c>
      <c r="H1069" s="1644">
        <f t="shared" ref="H1069:I1072" si="692">ROUND($F1069*C1069/100,0)</f>
        <v>283973</v>
      </c>
      <c r="I1069" s="1644">
        <f t="shared" si="692"/>
        <v>501650</v>
      </c>
      <c r="J1069" s="597"/>
      <c r="K1069" s="1920"/>
      <c r="L1069" s="1921"/>
      <c r="M1069" s="1920"/>
      <c r="N1069" s="1921"/>
      <c r="O1069" s="1920"/>
      <c r="P1069" s="1921"/>
      <c r="Q1069" s="1920"/>
      <c r="R1069" s="1921"/>
      <c r="S1069" s="1648"/>
      <c r="T1069" s="1648"/>
      <c r="U1069" s="1648"/>
      <c r="V1069" s="1648"/>
      <c r="W1069" s="1648"/>
      <c r="X1069" s="1648"/>
      <c r="Y1069" s="1644"/>
      <c r="AI1069" s="2023">
        <f>W1069-'Blocking-Step2'!W1069</f>
        <v>0</v>
      </c>
      <c r="AJ1069" s="2054">
        <f>O1069-'Blocking-Step2'!O1069</f>
        <v>0</v>
      </c>
    </row>
    <row r="1070" spans="1:36">
      <c r="A1070" s="1900" t="s">
        <v>189</v>
      </c>
      <c r="C1070" s="528">
        <f t="shared" si="679"/>
        <v>1615823.0636627364</v>
      </c>
      <c r="D1070" s="528">
        <f t="shared" si="679"/>
        <v>2416795</v>
      </c>
      <c r="E1070" s="597"/>
      <c r="F1070" s="1920">
        <v>3.5908000000000002</v>
      </c>
      <c r="G1070" s="1921" t="s">
        <v>495</v>
      </c>
      <c r="H1070" s="1644">
        <f t="shared" si="692"/>
        <v>58021</v>
      </c>
      <c r="I1070" s="1644">
        <f t="shared" si="692"/>
        <v>86782</v>
      </c>
      <c r="J1070" s="597"/>
      <c r="K1070" s="1920"/>
      <c r="L1070" s="1921"/>
      <c r="M1070" s="1920"/>
      <c r="N1070" s="1921"/>
      <c r="O1070" s="1920"/>
      <c r="P1070" s="1921"/>
      <c r="Q1070" s="1920"/>
      <c r="R1070" s="1921"/>
      <c r="S1070" s="1648"/>
      <c r="T1070" s="1648"/>
      <c r="U1070" s="1648"/>
      <c r="V1070" s="1648"/>
      <c r="W1070" s="1648"/>
      <c r="X1070" s="1648"/>
      <c r="Y1070" s="1644"/>
      <c r="AI1070" s="2023">
        <f>W1070-'Blocking-Step2'!W1070</f>
        <v>0</v>
      </c>
      <c r="AJ1070" s="2054">
        <f>O1070-'Blocking-Step2'!O1070</f>
        <v>0</v>
      </c>
    </row>
    <row r="1071" spans="1:36">
      <c r="A1071" s="1900" t="s">
        <v>163</v>
      </c>
      <c r="C1071" s="528">
        <f t="shared" si="679"/>
        <v>6019457.0712244231</v>
      </c>
      <c r="D1071" s="528">
        <f t="shared" si="679"/>
        <v>10109190</v>
      </c>
      <c r="E1071" s="597"/>
      <c r="F1071" s="1920">
        <v>9.9693000000000005</v>
      </c>
      <c r="G1071" s="1921" t="s">
        <v>495</v>
      </c>
      <c r="H1071" s="1644">
        <f t="shared" si="692"/>
        <v>600098</v>
      </c>
      <c r="I1071" s="1644">
        <f t="shared" si="692"/>
        <v>1007815</v>
      </c>
      <c r="J1071" s="597"/>
      <c r="K1071" s="1920"/>
      <c r="L1071" s="1921"/>
      <c r="M1071" s="1920"/>
      <c r="N1071" s="1921"/>
      <c r="O1071" s="1920"/>
      <c r="P1071" s="1921"/>
      <c r="Q1071" s="1920"/>
      <c r="R1071" s="1921"/>
      <c r="S1071" s="1648"/>
      <c r="T1071" s="1648"/>
      <c r="U1071" s="1648"/>
      <c r="V1071" s="1648"/>
      <c r="W1071" s="1648"/>
      <c r="X1071" s="1648"/>
      <c r="Y1071" s="1644"/>
      <c r="AI1071" s="2023">
        <f>W1071-'Blocking-Step2'!W1071</f>
        <v>0</v>
      </c>
      <c r="AJ1071" s="2054">
        <f>O1071-'Blocking-Step2'!O1071</f>
        <v>0</v>
      </c>
    </row>
    <row r="1072" spans="1:36">
      <c r="A1072" s="1900" t="s">
        <v>164</v>
      </c>
      <c r="C1072" s="528">
        <f t="shared" si="679"/>
        <v>4575664.2039668448</v>
      </c>
      <c r="D1072" s="528">
        <f t="shared" si="679"/>
        <v>6701518</v>
      </c>
      <c r="E1072" s="597"/>
      <c r="F1072" s="1920">
        <v>3.0059999999999998</v>
      </c>
      <c r="G1072" s="1921" t="s">
        <v>495</v>
      </c>
      <c r="H1072" s="1644">
        <f t="shared" si="692"/>
        <v>137544</v>
      </c>
      <c r="I1072" s="1644">
        <f t="shared" si="692"/>
        <v>201448</v>
      </c>
      <c r="J1072" s="597"/>
      <c r="K1072" s="1920"/>
      <c r="L1072" s="1921"/>
      <c r="M1072" s="1920"/>
      <c r="N1072" s="1921"/>
      <c r="O1072" s="1920"/>
      <c r="P1072" s="1921"/>
      <c r="Q1072" s="1920"/>
      <c r="R1072" s="1921"/>
      <c r="S1072" s="1648"/>
      <c r="T1072" s="1648"/>
      <c r="U1072" s="1648"/>
      <c r="V1072" s="1648"/>
      <c r="W1072" s="1648"/>
      <c r="X1072" s="1648"/>
      <c r="Y1072" s="1644"/>
      <c r="AI1072" s="2023">
        <f>W1072-'Blocking-Step2'!W1072</f>
        <v>0</v>
      </c>
      <c r="AJ1072" s="2054">
        <f>O1072-'Blocking-Step2'!O1072</f>
        <v>0</v>
      </c>
    </row>
    <row r="1073" spans="1:36">
      <c r="A1073" s="1900" t="s">
        <v>246</v>
      </c>
      <c r="C1073" s="529">
        <f t="shared" ref="C1073:D1073" si="693">C1095+C1117+C1139</f>
        <v>-9687</v>
      </c>
      <c r="D1073" s="529">
        <f t="shared" si="693"/>
        <v>0</v>
      </c>
      <c r="H1073" s="1030">
        <f>H1095+H1117+H1139</f>
        <v>-430</v>
      </c>
      <c r="I1073" s="1030">
        <f t="shared" ref="I1073" si="694">I1095+I1117+I1139</f>
        <v>0</v>
      </c>
      <c r="Y1073" s="1030"/>
      <c r="AI1073" s="2023">
        <f>W1073-'Blocking-Step2'!W1073</f>
        <v>0</v>
      </c>
      <c r="AJ1073" s="2054">
        <f>O1073-'Blocking-Step2'!O1073</f>
        <v>0</v>
      </c>
    </row>
    <row r="1074" spans="1:36">
      <c r="A1074" s="1900" t="s">
        <v>1240</v>
      </c>
      <c r="C1074" s="584"/>
      <c r="D1074" s="584"/>
      <c r="F1074" s="1930">
        <v>-4.99E-2</v>
      </c>
      <c r="G1074" s="597"/>
      <c r="H1074" s="1644">
        <f>SUM(H1069:H1072)*$F1074</f>
        <v>-53873.8364</v>
      </c>
      <c r="I1074" s="1644">
        <f>SUM(I1069:I1072)*$F1074</f>
        <v>-89704.980500000005</v>
      </c>
      <c r="K1074" s="1930"/>
      <c r="L1074" s="597"/>
      <c r="M1074" s="1930"/>
      <c r="N1074" s="597"/>
      <c r="O1074" s="1931" t="str">
        <f>$O$43</f>
        <v>Tax Year 1 (1/1/2021)</v>
      </c>
      <c r="P1074" s="597"/>
      <c r="Q1074" s="1930">
        <f>$Q$979</f>
        <v>-1.6899999999999998E-2</v>
      </c>
      <c r="R1074" s="597"/>
      <c r="S1074" s="1645"/>
      <c r="T1074" s="1645"/>
      <c r="U1074" s="1645"/>
      <c r="V1074" s="1645"/>
      <c r="W1074" s="1645"/>
      <c r="X1074" s="1645"/>
      <c r="Y1074" s="1644">
        <f>Q1074*SUM(Y1057:Y1060)</f>
        <v>-35024.861299999997</v>
      </c>
      <c r="AI1074" s="2023">
        <f>W1074-'Blocking-Step2'!W1074</f>
        <v>0</v>
      </c>
      <c r="AJ1074" s="2054">
        <f>O1074-'Blocking-Step2'!O1074</f>
        <v>0</v>
      </c>
    </row>
    <row r="1075" spans="1:36">
      <c r="A1075" s="1900"/>
      <c r="C1075" s="584"/>
      <c r="D1075" s="584"/>
      <c r="F1075" s="1930"/>
      <c r="G1075" s="597"/>
      <c r="H1075" s="1644"/>
      <c r="I1075" s="1644"/>
      <c r="K1075" s="1930"/>
      <c r="L1075" s="597"/>
      <c r="M1075" s="1930"/>
      <c r="N1075" s="597"/>
      <c r="O1075" s="1931">
        <f>$O$44</f>
        <v>0</v>
      </c>
      <c r="P1075" s="597"/>
      <c r="Q1075" s="1930">
        <f>$Q$980</f>
        <v>0</v>
      </c>
      <c r="R1075" s="597"/>
      <c r="S1075" s="1645"/>
      <c r="T1075" s="1645"/>
      <c r="U1075" s="1645"/>
      <c r="V1075" s="1645"/>
      <c r="W1075" s="1645"/>
      <c r="X1075" s="1645"/>
      <c r="Y1075" s="1644">
        <f>Q1075*SUM(Y1057:Y1060)</f>
        <v>0</v>
      </c>
      <c r="AI1075" s="2023">
        <f>W1075-'Blocking-Step2'!W1075</f>
        <v>0</v>
      </c>
      <c r="AJ1075" s="2054">
        <f>O1075-'Blocking-Step2'!O1075</f>
        <v>0</v>
      </c>
    </row>
    <row r="1076" spans="1:36" ht="16.5" thickBot="1">
      <c r="A1076" s="1900" t="s">
        <v>247</v>
      </c>
      <c r="C1076" s="1949">
        <f>SUM(C1069:C1073)</f>
        <v>14582260.350323539</v>
      </c>
      <c r="D1076" s="1949">
        <f>SUM(D1069:D1073)</f>
        <v>23433646.101169731</v>
      </c>
      <c r="F1076" s="1939"/>
      <c r="H1076" s="1647">
        <f>SUM(H1065:H1074)</f>
        <v>1928446.1636000001</v>
      </c>
      <c r="I1076" s="1647">
        <f>SUM(I1065:I1074)</f>
        <v>3129599.0194999999</v>
      </c>
      <c r="K1076" s="1939"/>
      <c r="M1076" s="1939"/>
      <c r="O1076" s="1939"/>
      <c r="Q1076" s="1939"/>
      <c r="S1076" s="1647">
        <f>SUM(S1057:S1073)</f>
        <v>996985</v>
      </c>
      <c r="U1076" s="1647">
        <f>SUM(U1057:U1073)</f>
        <v>872766</v>
      </c>
      <c r="W1076" s="1647">
        <f>SUM(W1057:W1073)</f>
        <v>877749</v>
      </c>
      <c r="Y1076" s="1647">
        <f>SUM(Y1057:Y1073)</f>
        <v>2747500</v>
      </c>
      <c r="AA1076" s="1104" t="s">
        <v>1743</v>
      </c>
      <c r="AB1076" s="1890">
        <f>Y1076/I1076-1</f>
        <v>-0.12209200511605667</v>
      </c>
      <c r="AI1076" s="2023">
        <f>W1076-'Blocking-Step2'!W1076</f>
        <v>0</v>
      </c>
      <c r="AJ1076" s="2054">
        <f>O1076-'Blocking-Step2'!O1076</f>
        <v>0</v>
      </c>
    </row>
    <row r="1077" spans="1:36" ht="16.5" hidden="1" thickTop="1">
      <c r="C1077" s="528"/>
      <c r="D1077" s="528"/>
      <c r="Y1077" s="1645"/>
      <c r="AI1077" s="2023">
        <f>W1077-'Blocking-Step2'!W1077</f>
        <v>0</v>
      </c>
      <c r="AJ1077" s="2054">
        <f>O1077-'Blocking-Step2'!O1077</f>
        <v>0</v>
      </c>
    </row>
    <row r="1078" spans="1:36" hidden="1">
      <c r="A1078" s="1897" t="s">
        <v>988</v>
      </c>
      <c r="C1078" s="528"/>
      <c r="D1078" s="528"/>
      <c r="F1078" s="1943"/>
      <c r="G1078" s="1957"/>
      <c r="K1078" s="1943"/>
      <c r="L1078" s="1957"/>
      <c r="M1078" s="1943"/>
      <c r="N1078" s="1957"/>
      <c r="O1078" s="1943"/>
      <c r="P1078" s="1957"/>
      <c r="Q1078" s="1943"/>
      <c r="R1078" s="1957"/>
      <c r="S1078" s="1645"/>
      <c r="T1078" s="1645"/>
      <c r="U1078" s="1645"/>
      <c r="V1078" s="1645"/>
      <c r="W1078" s="1645"/>
      <c r="X1078" s="1645"/>
      <c r="Y1078" s="1637"/>
      <c r="AI1078" s="2023">
        <f>W1078-'Blocking-Step2'!W1078</f>
        <v>0</v>
      </c>
      <c r="AJ1078" s="2054">
        <f>O1078-'Blocking-Step2'!O1078</f>
        <v>0</v>
      </c>
    </row>
    <row r="1079" spans="1:36" hidden="1">
      <c r="A1079" s="1900" t="s">
        <v>1910</v>
      </c>
      <c r="C1079" s="528">
        <f>'BD-Redesign'!J7</f>
        <v>0</v>
      </c>
      <c r="D1079" s="528">
        <v>0</v>
      </c>
      <c r="E1079" s="597"/>
      <c r="F1079" s="1942"/>
      <c r="G1079" s="1921"/>
      <c r="H1079" s="1644"/>
      <c r="I1079" s="1644"/>
      <c r="J1079" s="597"/>
      <c r="K1079" s="1942">
        <f>K1057</f>
        <v>3.89</v>
      </c>
      <c r="L1079" s="1921" t="s">
        <v>495</v>
      </c>
      <c r="M1079" s="1942">
        <f>M1057</f>
        <v>17.137528114911813</v>
      </c>
      <c r="N1079" s="1921" t="s">
        <v>495</v>
      </c>
      <c r="O1079" s="1942">
        <f>O1057</f>
        <v>1.3496999999999999</v>
      </c>
      <c r="P1079" s="1921" t="s">
        <v>495</v>
      </c>
      <c r="Q1079" s="1942">
        <f t="shared" ref="Q1079:Q1087" si="695">Q1057</f>
        <v>22.377228114911812</v>
      </c>
      <c r="R1079" s="1921" t="s">
        <v>495</v>
      </c>
      <c r="S1079" s="1644">
        <f>ROUND($D1079*K1079/100,0)</f>
        <v>0</v>
      </c>
      <c r="T1079" s="1648"/>
      <c r="U1079" s="1644">
        <f>ROUND($D1079*M1079/100,0)</f>
        <v>0</v>
      </c>
      <c r="V1079" s="1648"/>
      <c r="W1079" s="1644">
        <f>ROUND($D1079*O1079/100,0)</f>
        <v>0</v>
      </c>
      <c r="X1079" s="1648"/>
      <c r="Y1079" s="1644">
        <f>ROUND($D1079*Q1079/100,0)</f>
        <v>0</v>
      </c>
      <c r="AI1079" s="2023">
        <f>W1079-'Blocking-Step2'!W1079</f>
        <v>0</v>
      </c>
      <c r="AJ1079" s="2054">
        <f>O1079-'Blocking-Step2'!O1079</f>
        <v>0</v>
      </c>
    </row>
    <row r="1080" spans="1:36" hidden="1">
      <c r="A1080" s="1900" t="s">
        <v>1911</v>
      </c>
      <c r="C1080" s="528">
        <f>'BD-Redesign'!J8</f>
        <v>0</v>
      </c>
      <c r="D1080" s="528">
        <v>0</v>
      </c>
      <c r="E1080" s="597"/>
      <c r="F1080" s="1942"/>
      <c r="G1080" s="1921"/>
      <c r="H1080" s="1644"/>
      <c r="I1080" s="1644"/>
      <c r="J1080" s="597"/>
      <c r="K1080" s="1942">
        <f t="shared" ref="K1080:K1087" si="696">K1058</f>
        <v>3.89</v>
      </c>
      <c r="L1080" s="1921" t="s">
        <v>495</v>
      </c>
      <c r="M1080" s="1942">
        <f t="shared" ref="M1080:M1087" si="697">M1058</f>
        <v>-1.0877975226579997</v>
      </c>
      <c r="N1080" s="1921" t="s">
        <v>495</v>
      </c>
      <c r="O1080" s="1942">
        <f t="shared" ref="O1080:O1087" si="698">O1058</f>
        <v>1.3496999999999999</v>
      </c>
      <c r="P1080" s="1921" t="s">
        <v>495</v>
      </c>
      <c r="Q1080" s="1942">
        <f t="shared" si="695"/>
        <v>4.1519024773420004</v>
      </c>
      <c r="R1080" s="1921" t="s">
        <v>495</v>
      </c>
      <c r="S1080" s="1644">
        <f t="shared" ref="S1080:S1086" si="699">ROUND($D1080*K1080/100,0)</f>
        <v>0</v>
      </c>
      <c r="T1080" s="1648"/>
      <c r="U1080" s="1644">
        <f t="shared" ref="U1080:U1086" si="700">ROUND($D1080*M1080/100,0)</f>
        <v>0</v>
      </c>
      <c r="V1080" s="1648"/>
      <c r="W1080" s="1644">
        <f t="shared" ref="W1080:W1086" si="701">ROUND($D1080*O1080/100,0)</f>
        <v>0</v>
      </c>
      <c r="X1080" s="1648"/>
      <c r="Y1080" s="1644">
        <f t="shared" ref="Y1080:Y1086" si="702">ROUND($D1080*Q1080/100,0)</f>
        <v>0</v>
      </c>
      <c r="AI1080" s="2023">
        <f>W1080-'Blocking-Step2'!W1080</f>
        <v>0</v>
      </c>
      <c r="AJ1080" s="2054">
        <f>O1080-'Blocking-Step2'!O1080</f>
        <v>0</v>
      </c>
    </row>
    <row r="1081" spans="1:36" hidden="1">
      <c r="A1081" s="1900" t="s">
        <v>1912</v>
      </c>
      <c r="C1081" s="528">
        <f>'BD-Redesign'!J9</f>
        <v>689.99085923217501</v>
      </c>
      <c r="D1081" s="528">
        <v>0</v>
      </c>
      <c r="E1081" s="597"/>
      <c r="F1081" s="1942"/>
      <c r="G1081" s="1921"/>
      <c r="H1081" s="1644"/>
      <c r="I1081" s="1644"/>
      <c r="J1081" s="597"/>
      <c r="K1081" s="1942">
        <f t="shared" si="696"/>
        <v>3.89</v>
      </c>
      <c r="L1081" s="1921" t="s">
        <v>495</v>
      </c>
      <c r="M1081" s="1942">
        <f t="shared" si="697"/>
        <v>14.718500000000001</v>
      </c>
      <c r="N1081" s="1921" t="s">
        <v>495</v>
      </c>
      <c r="O1081" s="1942">
        <f t="shared" si="698"/>
        <v>1.1943999999999999</v>
      </c>
      <c r="P1081" s="1921" t="s">
        <v>495</v>
      </c>
      <c r="Q1081" s="1942">
        <f t="shared" si="695"/>
        <v>19.802900000000001</v>
      </c>
      <c r="R1081" s="1921" t="s">
        <v>495</v>
      </c>
      <c r="S1081" s="1644">
        <f t="shared" si="699"/>
        <v>0</v>
      </c>
      <c r="T1081" s="1648"/>
      <c r="U1081" s="1644">
        <f t="shared" si="700"/>
        <v>0</v>
      </c>
      <c r="V1081" s="1648"/>
      <c r="W1081" s="1644">
        <f t="shared" si="701"/>
        <v>0</v>
      </c>
      <c r="X1081" s="1648"/>
      <c r="Y1081" s="1644">
        <f t="shared" si="702"/>
        <v>0</v>
      </c>
      <c r="AI1081" s="2023">
        <f>W1081-'Blocking-Step2'!W1081</f>
        <v>0</v>
      </c>
      <c r="AJ1081" s="2054">
        <f>O1081-'Blocking-Step2'!O1081</f>
        <v>0</v>
      </c>
    </row>
    <row r="1082" spans="1:36" hidden="1">
      <c r="A1082" s="1900" t="s">
        <v>1913</v>
      </c>
      <c r="C1082" s="528">
        <f>'BD-Redesign'!J10</f>
        <v>2323.0091407678251</v>
      </c>
      <c r="D1082" s="528">
        <v>0</v>
      </c>
      <c r="E1082" s="597"/>
      <c r="F1082" s="1942"/>
      <c r="G1082" s="1921"/>
      <c r="H1082" s="1644"/>
      <c r="I1082" s="1644"/>
      <c r="J1082" s="597"/>
      <c r="K1082" s="1942">
        <f t="shared" si="696"/>
        <v>3.89</v>
      </c>
      <c r="L1082" s="1921" t="s">
        <v>495</v>
      </c>
      <c r="M1082" s="1942">
        <f t="shared" si="697"/>
        <v>-1.4102000000000001</v>
      </c>
      <c r="N1082" s="1921" t="s">
        <v>495</v>
      </c>
      <c r="O1082" s="1942">
        <f t="shared" si="698"/>
        <v>1.1943999999999999</v>
      </c>
      <c r="P1082" s="1921" t="s">
        <v>495</v>
      </c>
      <c r="Q1082" s="1942">
        <f t="shared" si="695"/>
        <v>3.6741999999999999</v>
      </c>
      <c r="R1082" s="1921" t="s">
        <v>495</v>
      </c>
      <c r="S1082" s="1644">
        <f t="shared" si="699"/>
        <v>0</v>
      </c>
      <c r="T1082" s="1648"/>
      <c r="U1082" s="1644">
        <f t="shared" si="700"/>
        <v>0</v>
      </c>
      <c r="V1082" s="1648"/>
      <c r="W1082" s="1644">
        <f t="shared" si="701"/>
        <v>0</v>
      </c>
      <c r="X1082" s="1648"/>
      <c r="Y1082" s="1644">
        <f t="shared" si="702"/>
        <v>0</v>
      </c>
      <c r="AI1082" s="2023">
        <f>W1082-'Blocking-Step2'!W1082</f>
        <v>0</v>
      </c>
      <c r="AJ1082" s="2054">
        <f>O1082-'Blocking-Step2'!O1082</f>
        <v>0</v>
      </c>
    </row>
    <row r="1083" spans="1:36" hidden="1">
      <c r="A1083" s="1900" t="s">
        <v>1906</v>
      </c>
      <c r="C1083" s="528">
        <f>'BD-Redesign'!J11</f>
        <v>0</v>
      </c>
      <c r="D1083" s="528">
        <v>0</v>
      </c>
      <c r="E1083" s="597"/>
      <c r="F1083" s="1942"/>
      <c r="G1083" s="1921"/>
      <c r="H1083" s="1644"/>
      <c r="I1083" s="1644"/>
      <c r="J1083" s="597"/>
      <c r="K1083" s="1942">
        <f t="shared" si="696"/>
        <v>0</v>
      </c>
      <c r="L1083" s="1921" t="s">
        <v>495</v>
      </c>
      <c r="M1083" s="1942">
        <f t="shared" si="697"/>
        <v>0</v>
      </c>
      <c r="N1083" s="1921" t="s">
        <v>495</v>
      </c>
      <c r="O1083" s="1942">
        <f t="shared" si="698"/>
        <v>6</v>
      </c>
      <c r="P1083" s="1921" t="s">
        <v>495</v>
      </c>
      <c r="Q1083" s="1942">
        <f t="shared" si="695"/>
        <v>6</v>
      </c>
      <c r="R1083" s="1921" t="s">
        <v>495</v>
      </c>
      <c r="S1083" s="1644">
        <f t="shared" si="699"/>
        <v>0</v>
      </c>
      <c r="T1083" s="1648"/>
      <c r="U1083" s="1644">
        <f t="shared" si="700"/>
        <v>0</v>
      </c>
      <c r="V1083" s="1648"/>
      <c r="W1083" s="1644">
        <f t="shared" si="701"/>
        <v>0</v>
      </c>
      <c r="X1083" s="1648"/>
      <c r="Y1083" s="1644">
        <f t="shared" si="702"/>
        <v>0</v>
      </c>
      <c r="AI1083" s="2023">
        <f>W1083-'Blocking-Step2'!W1083</f>
        <v>0</v>
      </c>
      <c r="AJ1083" s="2054">
        <f>O1083-'Blocking-Step2'!O1083</f>
        <v>0</v>
      </c>
    </row>
    <row r="1084" spans="1:36" hidden="1">
      <c r="A1084" s="1900" t="s">
        <v>1907</v>
      </c>
      <c r="C1084" s="528">
        <f>'BD-Redesign'!J12</f>
        <v>0</v>
      </c>
      <c r="D1084" s="528">
        <v>0</v>
      </c>
      <c r="E1084" s="597"/>
      <c r="F1084" s="1942"/>
      <c r="G1084" s="1921"/>
      <c r="H1084" s="1644"/>
      <c r="I1084" s="1644"/>
      <c r="J1084" s="597"/>
      <c r="K1084" s="1942">
        <f t="shared" si="696"/>
        <v>0</v>
      </c>
      <c r="L1084" s="1921" t="s">
        <v>495</v>
      </c>
      <c r="M1084" s="1942">
        <f t="shared" si="697"/>
        <v>0</v>
      </c>
      <c r="N1084" s="1921" t="s">
        <v>495</v>
      </c>
      <c r="O1084" s="1942">
        <f t="shared" si="698"/>
        <v>-2.3358000000000008</v>
      </c>
      <c r="P1084" s="1921" t="s">
        <v>495</v>
      </c>
      <c r="Q1084" s="1942">
        <f t="shared" si="695"/>
        <v>-2.3358000000000008</v>
      </c>
      <c r="R1084" s="1921" t="s">
        <v>495</v>
      </c>
      <c r="S1084" s="1644">
        <f t="shared" si="699"/>
        <v>0</v>
      </c>
      <c r="T1084" s="1648"/>
      <c r="U1084" s="1644">
        <f t="shared" si="700"/>
        <v>0</v>
      </c>
      <c r="V1084" s="1648"/>
      <c r="W1084" s="1644">
        <f t="shared" si="701"/>
        <v>0</v>
      </c>
      <c r="X1084" s="1648"/>
      <c r="Y1084" s="1644">
        <f t="shared" si="702"/>
        <v>0</v>
      </c>
      <c r="AI1084" s="2023">
        <f>W1084-'Blocking-Step2'!W1084</f>
        <v>0</v>
      </c>
      <c r="AJ1084" s="2054">
        <f>O1084-'Blocking-Step2'!O1084</f>
        <v>0</v>
      </c>
    </row>
    <row r="1085" spans="1:36" hidden="1">
      <c r="A1085" s="1900" t="s">
        <v>1908</v>
      </c>
      <c r="C1085" s="528">
        <f>'BD-Redesign'!J13</f>
        <v>1005</v>
      </c>
      <c r="D1085" s="528">
        <v>0</v>
      </c>
      <c r="E1085" s="597"/>
      <c r="F1085" s="1942"/>
      <c r="G1085" s="1921"/>
      <c r="H1085" s="1644"/>
      <c r="I1085" s="1644"/>
      <c r="J1085" s="597"/>
      <c r="K1085" s="1942">
        <f t="shared" si="696"/>
        <v>0</v>
      </c>
      <c r="L1085" s="1921" t="s">
        <v>495</v>
      </c>
      <c r="M1085" s="1942">
        <f t="shared" si="697"/>
        <v>0</v>
      </c>
      <c r="N1085" s="1921" t="s">
        <v>495</v>
      </c>
      <c r="O1085" s="1942">
        <f t="shared" si="698"/>
        <v>5.3097000000000003</v>
      </c>
      <c r="P1085" s="1921" t="s">
        <v>495</v>
      </c>
      <c r="Q1085" s="1942">
        <f t="shared" si="695"/>
        <v>5.3097000000000003</v>
      </c>
      <c r="R1085" s="1921" t="s">
        <v>495</v>
      </c>
      <c r="S1085" s="1644">
        <f t="shared" si="699"/>
        <v>0</v>
      </c>
      <c r="T1085" s="1648"/>
      <c r="U1085" s="1644">
        <f t="shared" si="700"/>
        <v>0</v>
      </c>
      <c r="V1085" s="1648"/>
      <c r="W1085" s="1644">
        <f t="shared" si="701"/>
        <v>0</v>
      </c>
      <c r="X1085" s="1648"/>
      <c r="Y1085" s="1644">
        <f t="shared" si="702"/>
        <v>0</v>
      </c>
      <c r="AI1085" s="2023">
        <f>W1085-'Blocking-Step2'!W1085</f>
        <v>0</v>
      </c>
      <c r="AJ1085" s="2054">
        <f>O1085-'Blocking-Step2'!O1085</f>
        <v>0</v>
      </c>
    </row>
    <row r="1086" spans="1:36" hidden="1">
      <c r="A1086" s="1900" t="s">
        <v>1909</v>
      </c>
      <c r="C1086" s="528">
        <f>'BD-Redesign'!J14</f>
        <v>2008</v>
      </c>
      <c r="D1086" s="528">
        <v>0</v>
      </c>
      <c r="E1086" s="597"/>
      <c r="F1086" s="1942"/>
      <c r="G1086" s="1921"/>
      <c r="H1086" s="1644"/>
      <c r="I1086" s="1644"/>
      <c r="J1086" s="597"/>
      <c r="K1086" s="1942">
        <f t="shared" si="696"/>
        <v>0</v>
      </c>
      <c r="L1086" s="1921" t="s">
        <v>495</v>
      </c>
      <c r="M1086" s="1942">
        <f t="shared" si="697"/>
        <v>0</v>
      </c>
      <c r="N1086" s="1921" t="s">
        <v>495</v>
      </c>
      <c r="O1086" s="1942">
        <f t="shared" si="698"/>
        <v>-2.0670999999999999</v>
      </c>
      <c r="P1086" s="1921" t="s">
        <v>495</v>
      </c>
      <c r="Q1086" s="1942">
        <f t="shared" si="695"/>
        <v>-2.0670999999999999</v>
      </c>
      <c r="R1086" s="1921" t="s">
        <v>495</v>
      </c>
      <c r="S1086" s="1644">
        <f t="shared" si="699"/>
        <v>0</v>
      </c>
      <c r="T1086" s="1648"/>
      <c r="U1086" s="1644">
        <f t="shared" si="700"/>
        <v>0</v>
      </c>
      <c r="V1086" s="1648"/>
      <c r="W1086" s="1644">
        <f t="shared" si="701"/>
        <v>0</v>
      </c>
      <c r="X1086" s="1648"/>
      <c r="Y1086" s="1644">
        <f t="shared" si="702"/>
        <v>0</v>
      </c>
      <c r="AI1086" s="2023">
        <f>W1086-'Blocking-Step2'!W1086</f>
        <v>0</v>
      </c>
      <c r="AJ1086" s="2054">
        <f>O1086-'Blocking-Step2'!O1086</f>
        <v>0</v>
      </c>
    </row>
    <row r="1087" spans="1:36" hidden="1">
      <c r="A1087" s="1900" t="s">
        <v>240</v>
      </c>
      <c r="C1087" s="528">
        <f>'6A'!H22</f>
        <v>20.233333333333299</v>
      </c>
      <c r="D1087" s="528">
        <f>Bill!P21</f>
        <v>12</v>
      </c>
      <c r="F1087" s="1944">
        <v>54</v>
      </c>
      <c r="G1087" s="597"/>
      <c r="H1087" s="1644">
        <f t="shared" ref="H1087:I1090" si="703">ROUND($F1087*C1087,0)</f>
        <v>1093</v>
      </c>
      <c r="I1087" s="1644">
        <f t="shared" si="703"/>
        <v>648</v>
      </c>
      <c r="K1087" s="1944">
        <f t="shared" si="696"/>
        <v>53</v>
      </c>
      <c r="L1087" s="597"/>
      <c r="M1087" s="1944">
        <f t="shared" si="697"/>
        <v>0</v>
      </c>
      <c r="N1087" s="597"/>
      <c r="O1087" s="1944">
        <f t="shared" si="698"/>
        <v>0</v>
      </c>
      <c r="P1087" s="597"/>
      <c r="Q1087" s="1944">
        <f t="shared" si="695"/>
        <v>53</v>
      </c>
      <c r="R1087" s="597"/>
      <c r="S1087" s="1644">
        <f>ROUND($D1087*K1087,0)</f>
        <v>636</v>
      </c>
      <c r="T1087" s="1643"/>
      <c r="U1087" s="1644">
        <f>ROUND($D1087*M1087,0)</f>
        <v>0</v>
      </c>
      <c r="V1087" s="1643"/>
      <c r="W1087" s="1644">
        <f>ROUND($D1087*O1087,0)</f>
        <v>0</v>
      </c>
      <c r="X1087" s="1645"/>
      <c r="Y1087" s="1644">
        <f>ROUND($D1087*Q1087,0)</f>
        <v>636</v>
      </c>
      <c r="AI1087" s="2023">
        <f>W1087-'Blocking-Step2'!W1087</f>
        <v>0</v>
      </c>
      <c r="AJ1087" s="2054">
        <f>O1087-'Blocking-Step2'!O1087</f>
        <v>0</v>
      </c>
    </row>
    <row r="1088" spans="1:36" hidden="1">
      <c r="A1088" s="1900" t="s">
        <v>157</v>
      </c>
      <c r="C1088" s="528">
        <f>'6A'!J22</f>
        <v>374.33282208588997</v>
      </c>
      <c r="D1088" s="528">
        <f>ROUND(C1088/C1098*D1098,0)</f>
        <v>0</v>
      </c>
      <c r="F1088" s="1944">
        <v>6.52</v>
      </c>
      <c r="G1088" s="597"/>
      <c r="H1088" s="1644">
        <f t="shared" si="703"/>
        <v>2441</v>
      </c>
      <c r="I1088" s="1644">
        <f t="shared" si="703"/>
        <v>0</v>
      </c>
      <c r="K1088" s="1944"/>
      <c r="L1088" s="597"/>
      <c r="M1088" s="1944"/>
      <c r="N1088" s="597"/>
      <c r="O1088" s="1944"/>
      <c r="P1088" s="597"/>
      <c r="Q1088" s="1944"/>
      <c r="R1088" s="597"/>
      <c r="S1088" s="1644"/>
      <c r="T1088" s="1645"/>
      <c r="U1088" s="1644"/>
      <c r="V1088" s="1645"/>
      <c r="W1088" s="1644"/>
      <c r="X1088" s="1645"/>
      <c r="Y1088" s="1644"/>
      <c r="AI1088" s="2023">
        <f>W1088-'Blocking-Step2'!W1088</f>
        <v>0</v>
      </c>
      <c r="AJ1088" s="2054">
        <f>O1088-'Blocking-Step2'!O1088</f>
        <v>0</v>
      </c>
    </row>
    <row r="1089" spans="1:36" hidden="1">
      <c r="A1089" s="1900" t="s">
        <v>162</v>
      </c>
      <c r="C1089" s="528">
        <f>'6A'!K22</f>
        <v>275.03473491773298</v>
      </c>
      <c r="D1089" s="528">
        <f>ROUND(C1089/C1098*D1098,0)</f>
        <v>0</v>
      </c>
      <c r="F1089" s="1944">
        <v>5.47</v>
      </c>
      <c r="G1089" s="597"/>
      <c r="H1089" s="1644">
        <f t="shared" si="703"/>
        <v>1504</v>
      </c>
      <c r="I1089" s="1644">
        <f t="shared" si="703"/>
        <v>0</v>
      </c>
      <c r="K1089" s="1944"/>
      <c r="L1089" s="597"/>
      <c r="M1089" s="1944"/>
      <c r="N1089" s="597"/>
      <c r="O1089" s="1944"/>
      <c r="P1089" s="597"/>
      <c r="Q1089" s="1944"/>
      <c r="R1089" s="597"/>
      <c r="S1089" s="1644"/>
      <c r="T1089" s="1645"/>
      <c r="U1089" s="1644"/>
      <c r="V1089" s="1645"/>
      <c r="W1089" s="1644"/>
      <c r="X1089" s="1645"/>
      <c r="Y1089" s="1644"/>
      <c r="AI1089" s="2023">
        <f>W1089-'Blocking-Step2'!W1089</f>
        <v>0</v>
      </c>
      <c r="AJ1089" s="2054">
        <f>O1089-'Blocking-Step2'!O1089</f>
        <v>0</v>
      </c>
    </row>
    <row r="1090" spans="1:36" hidden="1">
      <c r="A1090" s="1900" t="s">
        <v>261</v>
      </c>
      <c r="C1090" s="528">
        <f>'6A'!L22</f>
        <v>0</v>
      </c>
      <c r="D1090" s="528">
        <f>ROUND(C1090/C1098*D1098,0)</f>
        <v>0</v>
      </c>
      <c r="E1090" s="597"/>
      <c r="F1090" s="1944">
        <v>-0.61</v>
      </c>
      <c r="G1090" s="597"/>
      <c r="H1090" s="1644">
        <f t="shared" si="703"/>
        <v>0</v>
      </c>
      <c r="I1090" s="1644">
        <f t="shared" si="703"/>
        <v>0</v>
      </c>
      <c r="J1090" s="597"/>
      <c r="K1090" s="1944">
        <f>K1068</f>
        <v>-0.61</v>
      </c>
      <c r="L1090" s="597"/>
      <c r="M1090" s="1944">
        <f>M1068</f>
        <v>0</v>
      </c>
      <c r="N1090" s="597"/>
      <c r="O1090" s="1944">
        <f>O1068</f>
        <v>0</v>
      </c>
      <c r="P1090" s="597"/>
      <c r="Q1090" s="1944">
        <f>Q1068</f>
        <v>-0.61</v>
      </c>
      <c r="R1090" s="597"/>
      <c r="S1090" s="1644">
        <f>ROUND($D1090*K1090,0)</f>
        <v>0</v>
      </c>
      <c r="T1090" s="1645"/>
      <c r="U1090" s="1644">
        <f>ROUND($D1090*M1090,0)</f>
        <v>0</v>
      </c>
      <c r="V1090" s="1645"/>
      <c r="W1090" s="1644">
        <f>ROUND($D1090*O1090,0)</f>
        <v>0</v>
      </c>
      <c r="X1090" s="1645"/>
      <c r="Y1090" s="1644">
        <f>ROUND($D1090*Q1090,0)</f>
        <v>0</v>
      </c>
      <c r="AI1090" s="2023">
        <f>W1090-'Blocking-Step2'!W1090</f>
        <v>0</v>
      </c>
      <c r="AJ1090" s="2054">
        <f>O1090-'Blocking-Step2'!O1090</f>
        <v>0</v>
      </c>
    </row>
    <row r="1091" spans="1:36" hidden="1">
      <c r="A1091" s="1900" t="s">
        <v>188</v>
      </c>
      <c r="C1091" s="528">
        <f>'6A'!N22</f>
        <v>0</v>
      </c>
      <c r="D1091" s="528">
        <f>D1098-SUM(D1092:D1095)</f>
        <v>0</v>
      </c>
      <c r="E1091" s="597"/>
      <c r="F1091" s="1942">
        <v>11.926600000000001</v>
      </c>
      <c r="G1091" s="1921" t="s">
        <v>495</v>
      </c>
      <c r="H1091" s="1644">
        <f t="shared" ref="H1091:I1094" si="704">ROUND($F1091*C1091/100,0)</f>
        <v>0</v>
      </c>
      <c r="I1091" s="1644">
        <f t="shared" si="704"/>
        <v>0</v>
      </c>
      <c r="J1091" s="597"/>
      <c r="K1091" s="1942"/>
      <c r="L1091" s="1921"/>
      <c r="M1091" s="1942"/>
      <c r="N1091" s="1921"/>
      <c r="O1091" s="1942"/>
      <c r="P1091" s="1921"/>
      <c r="Q1091" s="1942"/>
      <c r="R1091" s="1921"/>
      <c r="S1091" s="1648"/>
      <c r="T1091" s="1648"/>
      <c r="U1091" s="1648"/>
      <c r="V1091" s="1648"/>
      <c r="W1091" s="1648"/>
      <c r="X1091" s="1648"/>
      <c r="Y1091" s="1644"/>
      <c r="AI1091" s="2023">
        <f>W1091-'Blocking-Step2'!W1091</f>
        <v>0</v>
      </c>
      <c r="AJ1091" s="2054">
        <f>O1091-'Blocking-Step2'!O1091</f>
        <v>0</v>
      </c>
    </row>
    <row r="1092" spans="1:36" hidden="1">
      <c r="A1092" s="1900" t="s">
        <v>189</v>
      </c>
      <c r="C1092" s="528">
        <f>'6A'!O22</f>
        <v>0</v>
      </c>
      <c r="D1092" s="528">
        <f>IF((C1091+C1092)=0,0,ROUND(C1092/(C1091+C1092)*Energy!Q21,0))</f>
        <v>0</v>
      </c>
      <c r="E1092" s="597"/>
      <c r="F1092" s="1942">
        <v>3.5908000000000002</v>
      </c>
      <c r="G1092" s="1921" t="s">
        <v>495</v>
      </c>
      <c r="H1092" s="1644">
        <f t="shared" si="704"/>
        <v>0</v>
      </c>
      <c r="I1092" s="1644">
        <f t="shared" si="704"/>
        <v>0</v>
      </c>
      <c r="J1092" s="597"/>
      <c r="K1092" s="1942"/>
      <c r="L1092" s="1921"/>
      <c r="M1092" s="1942"/>
      <c r="N1092" s="1921"/>
      <c r="O1092" s="1942"/>
      <c r="P1092" s="1921"/>
      <c r="Q1092" s="1942"/>
      <c r="R1092" s="1921"/>
      <c r="S1092" s="1648"/>
      <c r="T1092" s="1648"/>
      <c r="U1092" s="1648"/>
      <c r="V1092" s="1648"/>
      <c r="W1092" s="1648"/>
      <c r="X1092" s="1648"/>
      <c r="Y1092" s="1644"/>
      <c r="AI1092" s="2023">
        <f>W1092-'Blocking-Step2'!W1092</f>
        <v>0</v>
      </c>
      <c r="AJ1092" s="2054">
        <f>O1092-'Blocking-Step2'!O1092</f>
        <v>0</v>
      </c>
    </row>
    <row r="1093" spans="1:36" hidden="1">
      <c r="A1093" s="1900" t="s">
        <v>163</v>
      </c>
      <c r="C1093" s="528">
        <f>'6A'!P22</f>
        <v>2010</v>
      </c>
      <c r="D1093" s="528">
        <f>ROUND(C1093/(C1093+C1094)*Energy!R21,0)</f>
        <v>0</v>
      </c>
      <c r="E1093" s="597"/>
      <c r="F1093" s="1942">
        <v>9.9693000000000005</v>
      </c>
      <c r="G1093" s="1921" t="s">
        <v>495</v>
      </c>
      <c r="H1093" s="1644">
        <f t="shared" si="704"/>
        <v>200</v>
      </c>
      <c r="I1093" s="1644">
        <f t="shared" si="704"/>
        <v>0</v>
      </c>
      <c r="J1093" s="597"/>
      <c r="K1093" s="1942"/>
      <c r="L1093" s="1921"/>
      <c r="M1093" s="1942"/>
      <c r="N1093" s="1921"/>
      <c r="O1093" s="1942"/>
      <c r="P1093" s="1921"/>
      <c r="Q1093" s="1942"/>
      <c r="R1093" s="1921"/>
      <c r="S1093" s="1648"/>
      <c r="T1093" s="1648"/>
      <c r="U1093" s="1648"/>
      <c r="V1093" s="1648"/>
      <c r="W1093" s="1648"/>
      <c r="X1093" s="1648"/>
      <c r="Y1093" s="1644"/>
      <c r="AI1093" s="2023">
        <f>W1093-'Blocking-Step2'!W1093</f>
        <v>0</v>
      </c>
      <c r="AJ1093" s="2054">
        <f>O1093-'Blocking-Step2'!O1093</f>
        <v>0</v>
      </c>
    </row>
    <row r="1094" spans="1:36" hidden="1">
      <c r="A1094" s="1900" t="s">
        <v>164</v>
      </c>
      <c r="C1094" s="528">
        <f>'6A'!Q22</f>
        <v>4016</v>
      </c>
      <c r="D1094" s="528">
        <f>ROUND(C1094/(C1093+C1094)*Energy!R21,0)</f>
        <v>0</v>
      </c>
      <c r="E1094" s="597"/>
      <c r="F1094" s="1942">
        <v>3.0059999999999998</v>
      </c>
      <c r="G1094" s="1921" t="s">
        <v>495</v>
      </c>
      <c r="H1094" s="1644">
        <f t="shared" si="704"/>
        <v>121</v>
      </c>
      <c r="I1094" s="1644">
        <f t="shared" si="704"/>
        <v>0</v>
      </c>
      <c r="J1094" s="597"/>
      <c r="K1094" s="1942"/>
      <c r="L1094" s="1921"/>
      <c r="M1094" s="1942"/>
      <c r="N1094" s="1921"/>
      <c r="O1094" s="1942"/>
      <c r="P1094" s="1921"/>
      <c r="Q1094" s="1942"/>
      <c r="R1094" s="1921"/>
      <c r="S1094" s="1648"/>
      <c r="T1094" s="1648"/>
      <c r="U1094" s="1648"/>
      <c r="V1094" s="1648"/>
      <c r="W1094" s="1648"/>
      <c r="X1094" s="1648"/>
      <c r="Y1094" s="1644"/>
      <c r="AI1094" s="2023">
        <f>W1094-'Blocking-Step2'!W1094</f>
        <v>0</v>
      </c>
      <c r="AJ1094" s="2054">
        <f>O1094-'Blocking-Step2'!O1094</f>
        <v>0</v>
      </c>
    </row>
    <row r="1095" spans="1:36" hidden="1">
      <c r="A1095" s="1900" t="s">
        <v>246</v>
      </c>
      <c r="C1095" s="529">
        <f>'Table 2'!J21</f>
        <v>34</v>
      </c>
      <c r="D1095" s="529">
        <v>0</v>
      </c>
      <c r="H1095" s="1030">
        <f>'Table 3'!F21</f>
        <v>33</v>
      </c>
      <c r="I1095" s="1030">
        <v>0</v>
      </c>
      <c r="Y1095" s="1030"/>
      <c r="AI1095" s="2023">
        <f>W1095-'Blocking-Step2'!W1095</f>
        <v>0</v>
      </c>
      <c r="AJ1095" s="2054">
        <f>O1095-'Blocking-Step2'!O1095</f>
        <v>0</v>
      </c>
    </row>
    <row r="1096" spans="1:36" hidden="1">
      <c r="A1096" s="1900" t="s">
        <v>1240</v>
      </c>
      <c r="C1096" s="584"/>
      <c r="D1096" s="584"/>
      <c r="F1096" s="1930">
        <v>-4.99E-2</v>
      </c>
      <c r="G1096" s="597"/>
      <c r="H1096" s="1644">
        <f>SUM(H1091:H1094)*$F1096</f>
        <v>-16.017900000000001</v>
      </c>
      <c r="I1096" s="1644">
        <f>SUM(I1091:I1094)*$F1096</f>
        <v>0</v>
      </c>
      <c r="K1096" s="1930"/>
      <c r="L1096" s="597"/>
      <c r="M1096" s="1930"/>
      <c r="N1096" s="597"/>
      <c r="O1096" s="1931" t="str">
        <f>$O$43</f>
        <v>Tax Year 1 (1/1/2021)</v>
      </c>
      <c r="P1096" s="597"/>
      <c r="Q1096" s="1930">
        <f>$Q$979</f>
        <v>-1.6899999999999998E-2</v>
      </c>
      <c r="R1096" s="597"/>
      <c r="S1096" s="1645"/>
      <c r="T1096" s="1645"/>
      <c r="U1096" s="1645"/>
      <c r="V1096" s="1645"/>
      <c r="W1096" s="1645"/>
      <c r="X1096" s="1645"/>
      <c r="Y1096" s="1644">
        <f>Q1096*SUM(Y1079:Y1082)</f>
        <v>0</v>
      </c>
      <c r="AI1096" s="2023">
        <f>W1096-'Blocking-Step2'!W1096</f>
        <v>0</v>
      </c>
      <c r="AJ1096" s="2054">
        <f>O1096-'Blocking-Step2'!O1096</f>
        <v>0</v>
      </c>
    </row>
    <row r="1097" spans="1:36" hidden="1">
      <c r="A1097" s="1900"/>
      <c r="C1097" s="584"/>
      <c r="D1097" s="584"/>
      <c r="F1097" s="1930"/>
      <c r="G1097" s="597"/>
      <c r="H1097" s="1644"/>
      <c r="I1097" s="1644"/>
      <c r="K1097" s="1930"/>
      <c r="L1097" s="597"/>
      <c r="M1097" s="1930"/>
      <c r="N1097" s="597"/>
      <c r="O1097" s="1931">
        <f>$O$44</f>
        <v>0</v>
      </c>
      <c r="P1097" s="597"/>
      <c r="Q1097" s="1930">
        <f>$Q$980</f>
        <v>0</v>
      </c>
      <c r="R1097" s="597"/>
      <c r="S1097" s="1645"/>
      <c r="T1097" s="1645"/>
      <c r="U1097" s="1645"/>
      <c r="V1097" s="1645"/>
      <c r="W1097" s="1645"/>
      <c r="X1097" s="1645"/>
      <c r="Y1097" s="1644">
        <f>Q1097*SUM(Y1079:Y1082)</f>
        <v>0</v>
      </c>
      <c r="AI1097" s="2023">
        <f>W1097-'Blocking-Step2'!W1097</f>
        <v>0</v>
      </c>
      <c r="AJ1097" s="2054">
        <f>O1097-'Blocking-Step2'!O1097</f>
        <v>0</v>
      </c>
    </row>
    <row r="1098" spans="1:36" ht="16.5" hidden="1" thickBot="1">
      <c r="A1098" s="1900" t="s">
        <v>247</v>
      </c>
      <c r="C1098" s="1949">
        <f>SUM(C1091:C1095)</f>
        <v>6060</v>
      </c>
      <c r="D1098" s="1949">
        <f>Energy!P21</f>
        <v>0</v>
      </c>
      <c r="E1098" s="597"/>
      <c r="F1098" s="1939"/>
      <c r="H1098" s="1647">
        <f>SUM(H1087:H1096)</f>
        <v>5375.9821000000002</v>
      </c>
      <c r="I1098" s="1647">
        <f>SUM(I1087:I1096)</f>
        <v>648</v>
      </c>
      <c r="J1098" s="597"/>
      <c r="K1098" s="1939"/>
      <c r="M1098" s="1939"/>
      <c r="O1098" s="1939"/>
      <c r="Q1098" s="1939"/>
      <c r="S1098" s="1647">
        <f>SUM(S1079:S1095)</f>
        <v>636</v>
      </c>
      <c r="U1098" s="1647">
        <f>SUM(U1079:U1095)</f>
        <v>0</v>
      </c>
      <c r="W1098" s="1647">
        <f>SUM(W1079:W1095)</f>
        <v>0</v>
      </c>
      <c r="Y1098" s="1647">
        <f>SUM(Y1079:Y1095)</f>
        <v>636</v>
      </c>
      <c r="AA1098" s="1104" t="s">
        <v>1743</v>
      </c>
      <c r="AB1098" s="1890">
        <f>Y1098/I1098-1</f>
        <v>-1.851851851851849E-2</v>
      </c>
      <c r="AI1098" s="2023">
        <f>W1098-'Blocking-Step2'!W1098</f>
        <v>0</v>
      </c>
      <c r="AJ1098" s="2054">
        <f>O1098-'Blocking-Step2'!O1098</f>
        <v>0</v>
      </c>
    </row>
    <row r="1099" spans="1:36" ht="16.5" hidden="1" thickTop="1">
      <c r="E1099" s="597"/>
      <c r="J1099" s="597"/>
      <c r="AI1099" s="2023">
        <f>W1099-'Blocking-Step2'!W1099</f>
        <v>0</v>
      </c>
      <c r="AJ1099" s="2054">
        <f>O1099-'Blocking-Step2'!O1099</f>
        <v>0</v>
      </c>
    </row>
    <row r="1100" spans="1:36" hidden="1">
      <c r="A1100" s="1897" t="s">
        <v>986</v>
      </c>
      <c r="C1100" s="528"/>
      <c r="D1100" s="528"/>
      <c r="F1100" s="1943"/>
      <c r="G1100" s="1957"/>
      <c r="K1100" s="1943"/>
      <c r="L1100" s="1957"/>
      <c r="M1100" s="1943"/>
      <c r="N1100" s="1957"/>
      <c r="O1100" s="1943"/>
      <c r="P1100" s="1957"/>
      <c r="Q1100" s="1943"/>
      <c r="R1100" s="1957"/>
      <c r="S1100" s="1645"/>
      <c r="T1100" s="1645"/>
      <c r="U1100" s="1645"/>
      <c r="V1100" s="1645"/>
      <c r="W1100" s="1645"/>
      <c r="X1100" s="1645"/>
      <c r="AI1100" s="2023">
        <f>W1100-'Blocking-Step2'!W1100</f>
        <v>0</v>
      </c>
      <c r="AJ1100" s="2054">
        <f>O1100-'Blocking-Step2'!O1100</f>
        <v>0</v>
      </c>
    </row>
    <row r="1101" spans="1:36" hidden="1">
      <c r="A1101" s="1900" t="s">
        <v>1910</v>
      </c>
      <c r="C1101" s="528">
        <f>'BD-Redesign'!H7/('BD-Redesign'!H7+'BD-Redesign'!H8)*('Blocking-Step1'!C1105+'Blocking-Step1'!C1106)</f>
        <v>285974.95261118939</v>
      </c>
      <c r="D1101" s="528">
        <f>D1120-SUM(D1102:D1104)</f>
        <v>662525.0242466554</v>
      </c>
      <c r="E1101" s="597"/>
      <c r="F1101" s="1942"/>
      <c r="G1101" s="1921"/>
      <c r="H1101" s="1644"/>
      <c r="I1101" s="1644"/>
      <c r="J1101" s="597"/>
      <c r="K1101" s="1942">
        <f t="shared" ref="K1101:K1109" si="705">K1057</f>
        <v>3.89</v>
      </c>
      <c r="L1101" s="1921" t="s">
        <v>495</v>
      </c>
      <c r="M1101" s="1942">
        <f>M1057</f>
        <v>17.137528114911813</v>
      </c>
      <c r="N1101" s="1921" t="s">
        <v>495</v>
      </c>
      <c r="O1101" s="1942">
        <f>O1057</f>
        <v>1.3496999999999999</v>
      </c>
      <c r="P1101" s="1921" t="s">
        <v>495</v>
      </c>
      <c r="Q1101" s="1942">
        <f t="shared" ref="Q1101:Q1109" si="706">Q1057</f>
        <v>22.377228114911812</v>
      </c>
      <c r="R1101" s="1921" t="s">
        <v>495</v>
      </c>
      <c r="S1101" s="1644">
        <f>ROUND($D1101*K1101/100,0)</f>
        <v>25772</v>
      </c>
      <c r="T1101" s="1648"/>
      <c r="U1101" s="1644">
        <f>ROUND($D1101*M1101/100,0)</f>
        <v>113540</v>
      </c>
      <c r="V1101" s="1648"/>
      <c r="W1101" s="1644">
        <f>ROUND($D1101*O1101/100,0)</f>
        <v>8942</v>
      </c>
      <c r="X1101" s="1648"/>
      <c r="Y1101" s="1644">
        <f>ROUND($D1101*Q1101/100,0)</f>
        <v>148255</v>
      </c>
      <c r="AI1101" s="2023">
        <f>W1101-'Blocking-Step2'!W1101</f>
        <v>0</v>
      </c>
      <c r="AJ1101" s="2054">
        <f>O1101-'Blocking-Step2'!O1101</f>
        <v>0</v>
      </c>
    </row>
    <row r="1102" spans="1:36" hidden="1">
      <c r="A1102" s="1900" t="s">
        <v>1911</v>
      </c>
      <c r="C1102" s="528">
        <f>C1105+C1106-C1101</f>
        <v>647385.45033939811</v>
      </c>
      <c r="D1102" s="528">
        <f>ROUND(C1102/(C1101+C1102)*(Energy!S47*(1-1/Energy!P47)),0)</f>
        <v>1499810</v>
      </c>
      <c r="E1102" s="597"/>
      <c r="F1102" s="1942"/>
      <c r="G1102" s="1921"/>
      <c r="H1102" s="1644"/>
      <c r="I1102" s="1644"/>
      <c r="J1102" s="597"/>
      <c r="K1102" s="1942">
        <f t="shared" si="705"/>
        <v>3.89</v>
      </c>
      <c r="L1102" s="1921" t="s">
        <v>495</v>
      </c>
      <c r="M1102" s="1942">
        <f t="shared" ref="M1102:M1109" si="707">M1058</f>
        <v>-1.0877975226579997</v>
      </c>
      <c r="N1102" s="1921" t="s">
        <v>495</v>
      </c>
      <c r="O1102" s="1942">
        <f t="shared" ref="O1102:O1109" si="708">O1058</f>
        <v>1.3496999999999999</v>
      </c>
      <c r="P1102" s="1921" t="s">
        <v>495</v>
      </c>
      <c r="Q1102" s="1942">
        <f t="shared" si="706"/>
        <v>4.1519024773420004</v>
      </c>
      <c r="R1102" s="1921" t="s">
        <v>495</v>
      </c>
      <c r="S1102" s="1644">
        <f t="shared" ref="S1102:S1108" si="709">ROUND($D1102*K1102/100,0)</f>
        <v>58343</v>
      </c>
      <c r="T1102" s="1648"/>
      <c r="U1102" s="1644">
        <f t="shared" ref="U1102:U1108" si="710">ROUND($D1102*M1102/100,0)</f>
        <v>-16315</v>
      </c>
      <c r="V1102" s="1648"/>
      <c r="W1102" s="1644">
        <f t="shared" ref="W1102:W1108" si="711">ROUND($D1102*O1102/100,0)</f>
        <v>20243</v>
      </c>
      <c r="X1102" s="1648"/>
      <c r="Y1102" s="1644">
        <f t="shared" ref="Y1102:Y1108" si="712">ROUND($D1102*Q1102/100,0)</f>
        <v>62271</v>
      </c>
      <c r="AI1102" s="2023">
        <f>W1102-'Blocking-Step2'!W1102</f>
        <v>0</v>
      </c>
      <c r="AJ1102" s="2054">
        <f>O1102-'Blocking-Step2'!O1102</f>
        <v>0</v>
      </c>
    </row>
    <row r="1103" spans="1:36" hidden="1">
      <c r="A1103" s="1900" t="s">
        <v>1912</v>
      </c>
      <c r="C1103" s="528">
        <f>'BD-Redesign'!H9/('BD-Redesign'!H9+'BD-Redesign'!H10)*('Blocking-Step1'!C1107+'Blocking-Step1'!C1108)</f>
        <v>1066590.8753472201</v>
      </c>
      <c r="D1103" s="528">
        <f>ROUND(C1103/(C1103+C1104)*(Energy!T47*(1-1/Energy!P47)),0)</f>
        <v>2661792</v>
      </c>
      <c r="E1103" s="597"/>
      <c r="F1103" s="1942"/>
      <c r="G1103" s="1921"/>
      <c r="H1103" s="1644"/>
      <c r="I1103" s="1644"/>
      <c r="J1103" s="597"/>
      <c r="K1103" s="1942">
        <f t="shared" si="705"/>
        <v>3.89</v>
      </c>
      <c r="L1103" s="1921" t="s">
        <v>495</v>
      </c>
      <c r="M1103" s="1942">
        <f t="shared" si="707"/>
        <v>14.718500000000001</v>
      </c>
      <c r="N1103" s="1921" t="s">
        <v>495</v>
      </c>
      <c r="O1103" s="1942">
        <f t="shared" si="708"/>
        <v>1.1943999999999999</v>
      </c>
      <c r="P1103" s="1921" t="s">
        <v>495</v>
      </c>
      <c r="Q1103" s="1942">
        <f t="shared" si="706"/>
        <v>19.802900000000001</v>
      </c>
      <c r="R1103" s="1921" t="s">
        <v>495</v>
      </c>
      <c r="S1103" s="1644">
        <f t="shared" si="709"/>
        <v>103544</v>
      </c>
      <c r="T1103" s="1648"/>
      <c r="U1103" s="1644">
        <f t="shared" si="710"/>
        <v>391776</v>
      </c>
      <c r="V1103" s="1648"/>
      <c r="W1103" s="1644">
        <f t="shared" si="711"/>
        <v>31792</v>
      </c>
      <c r="X1103" s="1648"/>
      <c r="Y1103" s="1644">
        <f t="shared" si="712"/>
        <v>527112</v>
      </c>
      <c r="AI1103" s="2023">
        <f>W1103-'Blocking-Step2'!W1103</f>
        <v>0</v>
      </c>
      <c r="AJ1103" s="2054">
        <f>O1103-'Blocking-Step2'!O1103</f>
        <v>0</v>
      </c>
    </row>
    <row r="1104" spans="1:36" hidden="1">
      <c r="A1104" s="1900" t="s">
        <v>1913</v>
      </c>
      <c r="C1104" s="528">
        <f>C1107+C1108-C1103</f>
        <v>3275666.5720257321</v>
      </c>
      <c r="D1104" s="528">
        <f>ROUND(C1104/(C1103+C1104)*(Energy!T47*(1-1/Energy!P47)),0)</f>
        <v>8174779</v>
      </c>
      <c r="E1104" s="597"/>
      <c r="F1104" s="1942"/>
      <c r="G1104" s="1921"/>
      <c r="H1104" s="1644"/>
      <c r="I1104" s="1644"/>
      <c r="J1104" s="597"/>
      <c r="K1104" s="1942">
        <f t="shared" si="705"/>
        <v>3.89</v>
      </c>
      <c r="L1104" s="1921" t="s">
        <v>495</v>
      </c>
      <c r="M1104" s="1942">
        <f t="shared" si="707"/>
        <v>-1.4102000000000001</v>
      </c>
      <c r="N1104" s="1921" t="s">
        <v>495</v>
      </c>
      <c r="O1104" s="1942">
        <f t="shared" si="708"/>
        <v>1.1943999999999999</v>
      </c>
      <c r="P1104" s="1921" t="s">
        <v>495</v>
      </c>
      <c r="Q1104" s="1942">
        <f t="shared" si="706"/>
        <v>3.6741999999999999</v>
      </c>
      <c r="R1104" s="1921" t="s">
        <v>495</v>
      </c>
      <c r="S1104" s="1644">
        <f t="shared" si="709"/>
        <v>317999</v>
      </c>
      <c r="T1104" s="1648"/>
      <c r="U1104" s="1644">
        <f t="shared" si="710"/>
        <v>-115281</v>
      </c>
      <c r="V1104" s="1648"/>
      <c r="W1104" s="1644">
        <f t="shared" si="711"/>
        <v>97640</v>
      </c>
      <c r="X1104" s="1648"/>
      <c r="Y1104" s="1644">
        <f t="shared" si="712"/>
        <v>300358</v>
      </c>
      <c r="AI1104" s="2023">
        <f>W1104-'Blocking-Step2'!W1104</f>
        <v>0</v>
      </c>
      <c r="AJ1104" s="2054">
        <f>O1104-'Blocking-Step2'!O1104</f>
        <v>0</v>
      </c>
    </row>
    <row r="1105" spans="1:36" hidden="1">
      <c r="A1105" s="1900" t="s">
        <v>1906</v>
      </c>
      <c r="C1105" s="528">
        <f>'BD-Redesign'!H11+TempRevMay!M336</f>
        <v>467669.56781097292</v>
      </c>
      <c r="D1105" s="528">
        <f>D1120-SUM(D1106:D1108)</f>
        <v>1083460.0242466554</v>
      </c>
      <c r="E1105" s="597"/>
      <c r="F1105" s="1942"/>
      <c r="G1105" s="1921"/>
      <c r="H1105" s="1644"/>
      <c r="I1105" s="1644"/>
      <c r="J1105" s="597"/>
      <c r="K1105" s="1942">
        <f t="shared" si="705"/>
        <v>0</v>
      </c>
      <c r="L1105" s="1921" t="s">
        <v>495</v>
      </c>
      <c r="M1105" s="1942">
        <f t="shared" si="707"/>
        <v>0</v>
      </c>
      <c r="N1105" s="1921" t="s">
        <v>495</v>
      </c>
      <c r="O1105" s="1942">
        <f t="shared" si="708"/>
        <v>6</v>
      </c>
      <c r="P1105" s="1921" t="s">
        <v>495</v>
      </c>
      <c r="Q1105" s="1942">
        <f t="shared" si="706"/>
        <v>6</v>
      </c>
      <c r="R1105" s="1921" t="s">
        <v>495</v>
      </c>
      <c r="S1105" s="1644">
        <f t="shared" si="709"/>
        <v>0</v>
      </c>
      <c r="T1105" s="1648"/>
      <c r="U1105" s="1644">
        <f t="shared" si="710"/>
        <v>0</v>
      </c>
      <c r="V1105" s="1648"/>
      <c r="W1105" s="1644">
        <f t="shared" si="711"/>
        <v>65008</v>
      </c>
      <c r="X1105" s="1648"/>
      <c r="Y1105" s="1644">
        <f t="shared" si="712"/>
        <v>65008</v>
      </c>
      <c r="AI1105" s="2023">
        <f>W1105-'Blocking-Step2'!W1105</f>
        <v>0</v>
      </c>
      <c r="AJ1105" s="2054">
        <f>O1105-'Blocking-Step2'!O1105</f>
        <v>0</v>
      </c>
    </row>
    <row r="1106" spans="1:36" hidden="1">
      <c r="A1106" s="1900" t="s">
        <v>1907</v>
      </c>
      <c r="C1106" s="528">
        <f>'BD-Redesign'!H12+TempRevMay!M337</f>
        <v>465690.83513961465</v>
      </c>
      <c r="D1106" s="528">
        <f>ROUND(C1106/(C1105+C1106)*(Energy!S47*(1-1/Energy!P47)),0)</f>
        <v>1078875</v>
      </c>
      <c r="E1106" s="597"/>
      <c r="F1106" s="1942"/>
      <c r="G1106" s="1921"/>
      <c r="H1106" s="1644"/>
      <c r="I1106" s="1644"/>
      <c r="J1106" s="597"/>
      <c r="K1106" s="1942">
        <f t="shared" si="705"/>
        <v>0</v>
      </c>
      <c r="L1106" s="1921" t="s">
        <v>495</v>
      </c>
      <c r="M1106" s="1942">
        <f t="shared" si="707"/>
        <v>0</v>
      </c>
      <c r="N1106" s="1921" t="s">
        <v>495</v>
      </c>
      <c r="O1106" s="1942">
        <f t="shared" si="708"/>
        <v>-2.3358000000000008</v>
      </c>
      <c r="P1106" s="1921" t="s">
        <v>495</v>
      </c>
      <c r="Q1106" s="1942">
        <f t="shared" si="706"/>
        <v>-2.3358000000000008</v>
      </c>
      <c r="R1106" s="1921" t="s">
        <v>495</v>
      </c>
      <c r="S1106" s="1644">
        <f t="shared" si="709"/>
        <v>0</v>
      </c>
      <c r="T1106" s="1648"/>
      <c r="U1106" s="1644">
        <f t="shared" si="710"/>
        <v>0</v>
      </c>
      <c r="V1106" s="1648"/>
      <c r="W1106" s="1644">
        <f t="shared" si="711"/>
        <v>-25200</v>
      </c>
      <c r="X1106" s="1648"/>
      <c r="Y1106" s="1644">
        <f t="shared" si="712"/>
        <v>-25200</v>
      </c>
      <c r="AI1106" s="2023">
        <f>W1106-'Blocking-Step2'!W1106</f>
        <v>0</v>
      </c>
      <c r="AJ1106" s="2054">
        <f>O1106-'Blocking-Step2'!O1106</f>
        <v>0</v>
      </c>
    </row>
    <row r="1107" spans="1:36" hidden="1">
      <c r="A1107" s="1900" t="s">
        <v>1908</v>
      </c>
      <c r="C1107" s="528">
        <f>'BD-Redesign'!H13+TempRevMay!M338</f>
        <v>2265620.0148829855</v>
      </c>
      <c r="D1107" s="528">
        <f>ROUND(C1107/(C1107+C1108)*(Energy!T47*(1-1/Energy!P47)),0)</f>
        <v>5654099</v>
      </c>
      <c r="E1107" s="597"/>
      <c r="F1107" s="1942"/>
      <c r="G1107" s="1921"/>
      <c r="H1107" s="1644"/>
      <c r="I1107" s="1644"/>
      <c r="J1107" s="597"/>
      <c r="K1107" s="1942">
        <f t="shared" si="705"/>
        <v>0</v>
      </c>
      <c r="L1107" s="1921" t="s">
        <v>495</v>
      </c>
      <c r="M1107" s="1942">
        <f t="shared" si="707"/>
        <v>0</v>
      </c>
      <c r="N1107" s="1921" t="s">
        <v>495</v>
      </c>
      <c r="O1107" s="1942">
        <f t="shared" si="708"/>
        <v>5.3097000000000003</v>
      </c>
      <c r="P1107" s="1921" t="s">
        <v>495</v>
      </c>
      <c r="Q1107" s="1942">
        <f t="shared" si="706"/>
        <v>5.3097000000000003</v>
      </c>
      <c r="R1107" s="1921" t="s">
        <v>495</v>
      </c>
      <c r="S1107" s="1644">
        <f t="shared" si="709"/>
        <v>0</v>
      </c>
      <c r="T1107" s="1648"/>
      <c r="U1107" s="1644">
        <f t="shared" si="710"/>
        <v>0</v>
      </c>
      <c r="V1107" s="1648"/>
      <c r="W1107" s="1644">
        <f t="shared" si="711"/>
        <v>300216</v>
      </c>
      <c r="X1107" s="1648"/>
      <c r="Y1107" s="1644">
        <f t="shared" si="712"/>
        <v>300216</v>
      </c>
      <c r="AI1107" s="2023">
        <f>W1107-'Blocking-Step2'!W1107</f>
        <v>0</v>
      </c>
      <c r="AJ1107" s="2054">
        <f>O1107-'Blocking-Step2'!O1107</f>
        <v>0</v>
      </c>
    </row>
    <row r="1108" spans="1:36" hidden="1">
      <c r="A1108" s="1900" t="s">
        <v>1909</v>
      </c>
      <c r="C1108" s="528">
        <f>'BD-Redesign'!H14+TempRevMay!M339</f>
        <v>2076637.4324899667</v>
      </c>
      <c r="D1108" s="528">
        <f>ROUND(C1108/(C1107+C1108)*(Energy!T47*(1-1/Energy!P47)),0)</f>
        <v>5182472</v>
      </c>
      <c r="E1108" s="597"/>
      <c r="F1108" s="1942"/>
      <c r="G1108" s="1921"/>
      <c r="H1108" s="1644"/>
      <c r="I1108" s="1644"/>
      <c r="J1108" s="597"/>
      <c r="K1108" s="1942">
        <f t="shared" si="705"/>
        <v>0</v>
      </c>
      <c r="L1108" s="1921" t="s">
        <v>495</v>
      </c>
      <c r="M1108" s="1942">
        <f t="shared" si="707"/>
        <v>0</v>
      </c>
      <c r="N1108" s="1921" t="s">
        <v>495</v>
      </c>
      <c r="O1108" s="1942">
        <f t="shared" si="708"/>
        <v>-2.0670999999999999</v>
      </c>
      <c r="P1108" s="1921" t="s">
        <v>495</v>
      </c>
      <c r="Q1108" s="1942">
        <f t="shared" si="706"/>
        <v>-2.0670999999999999</v>
      </c>
      <c r="R1108" s="1921" t="s">
        <v>495</v>
      </c>
      <c r="S1108" s="1644">
        <f t="shared" si="709"/>
        <v>0</v>
      </c>
      <c r="T1108" s="1648"/>
      <c r="U1108" s="1644">
        <f t="shared" si="710"/>
        <v>0</v>
      </c>
      <c r="V1108" s="1648"/>
      <c r="W1108" s="1644">
        <f t="shared" si="711"/>
        <v>-107127</v>
      </c>
      <c r="X1108" s="1648"/>
      <c r="Y1108" s="1644">
        <f t="shared" si="712"/>
        <v>-107127</v>
      </c>
      <c r="AI1108" s="2023">
        <f>W1108-'Blocking-Step2'!W1108</f>
        <v>0</v>
      </c>
      <c r="AJ1108" s="2054">
        <f>O1108-'Blocking-Step2'!O1108</f>
        <v>0</v>
      </c>
    </row>
    <row r="1109" spans="1:36" hidden="1">
      <c r="A1109" s="1900" t="s">
        <v>240</v>
      </c>
      <c r="C1109" s="528">
        <f>'6A'!H20</f>
        <v>1069.5</v>
      </c>
      <c r="D1109" s="528">
        <f>Bill!P47</f>
        <v>1356</v>
      </c>
      <c r="F1109" s="1944">
        <v>54</v>
      </c>
      <c r="G1109" s="597"/>
      <c r="H1109" s="1644">
        <f t="shared" ref="H1109:I1112" si="713">ROUND($F1109*C1109,0)</f>
        <v>57753</v>
      </c>
      <c r="I1109" s="1644">
        <f t="shared" si="713"/>
        <v>73224</v>
      </c>
      <c r="K1109" s="1944">
        <f t="shared" si="705"/>
        <v>53</v>
      </c>
      <c r="L1109" s="597"/>
      <c r="M1109" s="1944">
        <f t="shared" si="707"/>
        <v>0</v>
      </c>
      <c r="N1109" s="597"/>
      <c r="O1109" s="1944">
        <f t="shared" si="708"/>
        <v>0</v>
      </c>
      <c r="P1109" s="597"/>
      <c r="Q1109" s="1944">
        <f t="shared" si="706"/>
        <v>53</v>
      </c>
      <c r="R1109" s="597"/>
      <c r="S1109" s="1644">
        <f>ROUND($D1109*K1109,0)</f>
        <v>71868</v>
      </c>
      <c r="T1109" s="1643"/>
      <c r="U1109" s="1644">
        <f>ROUND($D1109*M1109,0)</f>
        <v>0</v>
      </c>
      <c r="V1109" s="1643"/>
      <c r="W1109" s="1644">
        <f>ROUND($D1109*O1109,0)</f>
        <v>0</v>
      </c>
      <c r="X1109" s="1645"/>
      <c r="Y1109" s="1644">
        <f>ROUND($D1109*Q1109,0)</f>
        <v>71868</v>
      </c>
      <c r="AI1109" s="2023">
        <f>W1109-'Blocking-Step2'!W1109</f>
        <v>0</v>
      </c>
      <c r="AJ1109" s="2054">
        <f>O1109-'Blocking-Step2'!O1109</f>
        <v>0</v>
      </c>
    </row>
    <row r="1110" spans="1:36" hidden="1">
      <c r="A1110" s="1900" t="s">
        <v>157</v>
      </c>
      <c r="C1110" s="528">
        <f>'6A'!J20</f>
        <v>42357.259202453999</v>
      </c>
      <c r="D1110" s="528">
        <f>ROUND(C1110/C1120*D1120,0)</f>
        <v>51962</v>
      </c>
      <c r="F1110" s="1944">
        <v>6.52</v>
      </c>
      <c r="G1110" s="597"/>
      <c r="H1110" s="1644">
        <f t="shared" si="713"/>
        <v>276169</v>
      </c>
      <c r="I1110" s="1644">
        <f t="shared" si="713"/>
        <v>338792</v>
      </c>
      <c r="K1110" s="1944"/>
      <c r="L1110" s="597"/>
      <c r="M1110" s="1944"/>
      <c r="N1110" s="597"/>
      <c r="O1110" s="1944"/>
      <c r="P1110" s="597"/>
      <c r="Q1110" s="1944"/>
      <c r="R1110" s="597"/>
      <c r="S1110" s="1644"/>
      <c r="T1110" s="1645"/>
      <c r="U1110" s="1644"/>
      <c r="V1110" s="1645"/>
      <c r="W1110" s="1644"/>
      <c r="X1110" s="1645"/>
      <c r="Y1110" s="1644"/>
      <c r="AI1110" s="2023">
        <f>W1110-'Blocking-Step2'!W1110</f>
        <v>0</v>
      </c>
      <c r="AJ1110" s="2054">
        <f>O1110-'Blocking-Step2'!O1110</f>
        <v>0</v>
      </c>
    </row>
    <row r="1111" spans="1:36" hidden="1">
      <c r="A1111" s="1900" t="s">
        <v>162</v>
      </c>
      <c r="C1111" s="528">
        <f>'6A'!K20</f>
        <v>61796.045703839103</v>
      </c>
      <c r="D1111" s="528">
        <f>ROUND(C1111/C1120*D1120,0)</f>
        <v>75809</v>
      </c>
      <c r="F1111" s="1944">
        <v>5.47</v>
      </c>
      <c r="G1111" s="597"/>
      <c r="H1111" s="1644">
        <f t="shared" si="713"/>
        <v>338024</v>
      </c>
      <c r="I1111" s="1644">
        <f t="shared" si="713"/>
        <v>414675</v>
      </c>
      <c r="K1111" s="1944"/>
      <c r="L1111" s="597"/>
      <c r="M1111" s="1944"/>
      <c r="N1111" s="597"/>
      <c r="O1111" s="1944"/>
      <c r="P1111" s="597"/>
      <c r="Q1111" s="1944"/>
      <c r="R1111" s="597"/>
      <c r="S1111" s="1644"/>
      <c r="T1111" s="1645"/>
      <c r="U1111" s="1644"/>
      <c r="V1111" s="1645"/>
      <c r="W1111" s="1644"/>
      <c r="X1111" s="1645"/>
      <c r="Y1111" s="1644"/>
      <c r="AI1111" s="2023">
        <f>W1111-'Blocking-Step2'!W1111</f>
        <v>0</v>
      </c>
      <c r="AJ1111" s="2054">
        <f>O1111-'Blocking-Step2'!O1111</f>
        <v>0</v>
      </c>
    </row>
    <row r="1112" spans="1:36" hidden="1">
      <c r="A1112" s="1900" t="s">
        <v>261</v>
      </c>
      <c r="C1112" s="528">
        <f>'6A'!L20</f>
        <v>403</v>
      </c>
      <c r="D1112" s="528">
        <f>ROUND(C1112/C1120*D1120,0)</f>
        <v>494</v>
      </c>
      <c r="F1112" s="1944">
        <v>-0.61</v>
      </c>
      <c r="G1112" s="597"/>
      <c r="H1112" s="1644">
        <f t="shared" si="713"/>
        <v>-246</v>
      </c>
      <c r="I1112" s="1644">
        <f t="shared" si="713"/>
        <v>-301</v>
      </c>
      <c r="K1112" s="1944">
        <f>K1068</f>
        <v>-0.61</v>
      </c>
      <c r="L1112" s="597"/>
      <c r="M1112" s="1944">
        <f>M1068</f>
        <v>0</v>
      </c>
      <c r="N1112" s="597"/>
      <c r="O1112" s="1944">
        <f>O1068</f>
        <v>0</v>
      </c>
      <c r="P1112" s="597"/>
      <c r="Q1112" s="1944">
        <f>Q1068</f>
        <v>-0.61</v>
      </c>
      <c r="R1112" s="597"/>
      <c r="S1112" s="1644">
        <f>ROUND($D1112*K1112,0)</f>
        <v>-301</v>
      </c>
      <c r="T1112" s="1645"/>
      <c r="U1112" s="1644">
        <f>ROUND($D1112*M1112,0)</f>
        <v>0</v>
      </c>
      <c r="V1112" s="1645"/>
      <c r="W1112" s="1644">
        <f>ROUND($D1112*O1112,0)</f>
        <v>0</v>
      </c>
      <c r="X1112" s="1645"/>
      <c r="Y1112" s="1644">
        <f>ROUND($D1112*Q1112,0)</f>
        <v>-301</v>
      </c>
      <c r="AI1112" s="2023">
        <f>W1112-'Blocking-Step2'!W1112</f>
        <v>0</v>
      </c>
      <c r="AJ1112" s="2054">
        <f>O1112-'Blocking-Step2'!O1112</f>
        <v>0</v>
      </c>
    </row>
    <row r="1113" spans="1:36" hidden="1">
      <c r="A1113" s="1900" t="s">
        <v>188</v>
      </c>
      <c r="C1113" s="528">
        <f>'6A'!N20+TempRev!M336</f>
        <v>1234808.0114695358</v>
      </c>
      <c r="D1113" s="528">
        <f>D1120-SUM(D1114:D1117)</f>
        <v>1401861.0242466554</v>
      </c>
      <c r="F1113" s="1942">
        <v>11.926600000000001</v>
      </c>
      <c r="G1113" s="1921" t="s">
        <v>495</v>
      </c>
      <c r="H1113" s="1644">
        <f t="shared" ref="H1113:I1116" si="714">ROUND($F1113*C1113/100,0)</f>
        <v>147271</v>
      </c>
      <c r="I1113" s="1644">
        <f t="shared" si="714"/>
        <v>167194</v>
      </c>
      <c r="K1113" s="1942"/>
      <c r="L1113" s="1921"/>
      <c r="M1113" s="1942"/>
      <c r="N1113" s="1921"/>
      <c r="O1113" s="1942"/>
      <c r="P1113" s="1921"/>
      <c r="Q1113" s="1942"/>
      <c r="R1113" s="1921"/>
      <c r="S1113" s="1648"/>
      <c r="T1113" s="1648"/>
      <c r="U1113" s="1648"/>
      <c r="V1113" s="1648"/>
      <c r="W1113" s="1648"/>
      <c r="X1113" s="1648"/>
      <c r="Y1113" s="1644"/>
      <c r="AI1113" s="2023">
        <f>W1113-'Blocking-Step2'!W1113</f>
        <v>0</v>
      </c>
      <c r="AJ1113" s="2054">
        <f>O1113-'Blocking-Step2'!O1113</f>
        <v>0</v>
      </c>
    </row>
    <row r="1114" spans="1:36" hidden="1">
      <c r="A1114" s="1900" t="s">
        <v>189</v>
      </c>
      <c r="C1114" s="528">
        <f>'6A'!O20+TempRev!M337</f>
        <v>1171710.0636627364</v>
      </c>
      <c r="D1114" s="528">
        <f>ROUND(C1114/(C1113+C1114)*Energy!Q47,0)</f>
        <v>1330227</v>
      </c>
      <c r="E1114" s="597"/>
      <c r="F1114" s="1942">
        <v>3.5908000000000002</v>
      </c>
      <c r="G1114" s="1921" t="s">
        <v>495</v>
      </c>
      <c r="H1114" s="1644">
        <f t="shared" si="714"/>
        <v>42074</v>
      </c>
      <c r="I1114" s="1644">
        <f t="shared" si="714"/>
        <v>47766</v>
      </c>
      <c r="J1114" s="597"/>
      <c r="K1114" s="1942"/>
      <c r="L1114" s="1921"/>
      <c r="M1114" s="1942"/>
      <c r="N1114" s="1921"/>
      <c r="O1114" s="1942"/>
      <c r="P1114" s="1921"/>
      <c r="Q1114" s="1942"/>
      <c r="R1114" s="1921"/>
      <c r="S1114" s="1648"/>
      <c r="T1114" s="1648"/>
      <c r="U1114" s="1648"/>
      <c r="V1114" s="1648"/>
      <c r="W1114" s="1648"/>
      <c r="X1114" s="1648"/>
      <c r="Y1114" s="1644"/>
      <c r="AI1114" s="2023">
        <f>W1114-'Blocking-Step2'!W1114</f>
        <v>0</v>
      </c>
      <c r="AJ1114" s="2054">
        <f>O1114-'Blocking-Step2'!O1114</f>
        <v>0</v>
      </c>
    </row>
    <row r="1115" spans="1:36" hidden="1">
      <c r="A1115" s="1900" t="s">
        <v>163</v>
      </c>
      <c r="C1115" s="528">
        <f>'6A'!P20+TempRev!M338</f>
        <v>4225671.0712244231</v>
      </c>
      <c r="D1115" s="528">
        <f>ROUND(C1115/(C1115+C1116)*Energy!R47,0)</f>
        <v>5333865</v>
      </c>
      <c r="F1115" s="1942">
        <v>9.9693000000000005</v>
      </c>
      <c r="G1115" s="1921" t="s">
        <v>495</v>
      </c>
      <c r="H1115" s="1644">
        <f t="shared" si="714"/>
        <v>421270</v>
      </c>
      <c r="I1115" s="1644">
        <f t="shared" si="714"/>
        <v>531749</v>
      </c>
      <c r="K1115" s="1942"/>
      <c r="L1115" s="1921"/>
      <c r="M1115" s="1942"/>
      <c r="N1115" s="1921"/>
      <c r="O1115" s="1942"/>
      <c r="P1115" s="1921"/>
      <c r="Q1115" s="1942"/>
      <c r="R1115" s="1921"/>
      <c r="S1115" s="1648"/>
      <c r="T1115" s="1648"/>
      <c r="U1115" s="1648"/>
      <c r="V1115" s="1648"/>
      <c r="W1115" s="1648"/>
      <c r="X1115" s="1648"/>
      <c r="Y1115" s="1644"/>
      <c r="AI1115" s="2023">
        <f>W1115-'Blocking-Step2'!W1115</f>
        <v>0</v>
      </c>
      <c r="AJ1115" s="2054">
        <f>O1115-'Blocking-Step2'!O1115</f>
        <v>0</v>
      </c>
    </row>
    <row r="1116" spans="1:36" hidden="1">
      <c r="A1116" s="1900" t="s">
        <v>164</v>
      </c>
      <c r="C1116" s="528">
        <f>'6A'!Q20+TempRev!M339</f>
        <v>3908055.2039668453</v>
      </c>
      <c r="D1116" s="528">
        <f>ROUND(C1116/(C1115+C1116)*Energy!R47,0)</f>
        <v>4932953</v>
      </c>
      <c r="E1116" s="597"/>
      <c r="F1116" s="1942">
        <v>3.0059999999999998</v>
      </c>
      <c r="G1116" s="1921" t="s">
        <v>495</v>
      </c>
      <c r="H1116" s="1644">
        <f t="shared" si="714"/>
        <v>117476</v>
      </c>
      <c r="I1116" s="1644">
        <f t="shared" si="714"/>
        <v>148285</v>
      </c>
      <c r="J1116" s="597"/>
      <c r="K1116" s="1942"/>
      <c r="L1116" s="1921"/>
      <c r="M1116" s="1942"/>
      <c r="N1116" s="1921"/>
      <c r="O1116" s="1942"/>
      <c r="P1116" s="1921"/>
      <c r="Q1116" s="1942"/>
      <c r="R1116" s="1921"/>
      <c r="S1116" s="1648"/>
      <c r="T1116" s="1648"/>
      <c r="U1116" s="1648"/>
      <c r="V1116" s="1648"/>
      <c r="W1116" s="1648"/>
      <c r="X1116" s="1648"/>
      <c r="Y1116" s="1644"/>
      <c r="AI1116" s="2023">
        <f>W1116-'Blocking-Step2'!W1116</f>
        <v>0</v>
      </c>
      <c r="AJ1116" s="2054">
        <f>O1116-'Blocking-Step2'!O1116</f>
        <v>0</v>
      </c>
    </row>
    <row r="1117" spans="1:36" hidden="1">
      <c r="A1117" s="1900" t="s">
        <v>246</v>
      </c>
      <c r="C1117" s="529">
        <f>'Table 2'!J49</f>
        <v>55861</v>
      </c>
      <c r="D1117" s="529">
        <v>0</v>
      </c>
      <c r="H1117" s="1030">
        <f>'Table 3'!F49</f>
        <v>8044</v>
      </c>
      <c r="I1117" s="1030">
        <v>0</v>
      </c>
      <c r="Y1117" s="1030"/>
      <c r="AI1117" s="2023">
        <f>W1117-'Blocking-Step2'!W1117</f>
        <v>0</v>
      </c>
      <c r="AJ1117" s="2054">
        <f>O1117-'Blocking-Step2'!O1117</f>
        <v>0</v>
      </c>
    </row>
    <row r="1118" spans="1:36" hidden="1">
      <c r="A1118" s="1900" t="s">
        <v>1240</v>
      </c>
      <c r="C1118" s="584"/>
      <c r="D1118" s="584"/>
      <c r="F1118" s="1930">
        <v>-4.99E-2</v>
      </c>
      <c r="G1118" s="597"/>
      <c r="H1118" s="1644">
        <f>SUM(H1113:H1116)*$F1118</f>
        <v>-36331.740899999997</v>
      </c>
      <c r="I1118" s="1644">
        <f>SUM(I1113:I1116)*$F1118</f>
        <v>-44660.200599999996</v>
      </c>
      <c r="K1118" s="1930"/>
      <c r="L1118" s="597"/>
      <c r="M1118" s="1930"/>
      <c r="N1118" s="597"/>
      <c r="O1118" s="1931" t="str">
        <f>$O$43</f>
        <v>Tax Year 1 (1/1/2021)</v>
      </c>
      <c r="P1118" s="597"/>
      <c r="Q1118" s="1930">
        <f>$Q$979</f>
        <v>-1.6899999999999998E-2</v>
      </c>
      <c r="R1118" s="597"/>
      <c r="S1118" s="1645"/>
      <c r="T1118" s="1645"/>
      <c r="U1118" s="1645"/>
      <c r="V1118" s="1645"/>
      <c r="W1118" s="1645"/>
      <c r="X1118" s="1645"/>
      <c r="Y1118" s="1644">
        <f>Q1118*SUM(Y1101:Y1104)</f>
        <v>-17542.132399999999</v>
      </c>
      <c r="AI1118" s="2023">
        <f>W1118-'Blocking-Step2'!W1118</f>
        <v>0</v>
      </c>
      <c r="AJ1118" s="2054">
        <f>O1118-'Blocking-Step2'!O1118</f>
        <v>0</v>
      </c>
    </row>
    <row r="1119" spans="1:36" hidden="1">
      <c r="A1119" s="1900"/>
      <c r="C1119" s="584"/>
      <c r="D1119" s="584"/>
      <c r="F1119" s="1930"/>
      <c r="G1119" s="597"/>
      <c r="H1119" s="1644"/>
      <c r="I1119" s="1644"/>
      <c r="K1119" s="1930"/>
      <c r="L1119" s="597"/>
      <c r="M1119" s="1930"/>
      <c r="N1119" s="597"/>
      <c r="O1119" s="1931">
        <f>$O$44</f>
        <v>0</v>
      </c>
      <c r="P1119" s="597"/>
      <c r="Q1119" s="1930">
        <f>$Q$980</f>
        <v>0</v>
      </c>
      <c r="R1119" s="597"/>
      <c r="S1119" s="1645"/>
      <c r="T1119" s="1645"/>
      <c r="U1119" s="1645"/>
      <c r="V1119" s="1645"/>
      <c r="W1119" s="1645"/>
      <c r="X1119" s="1645"/>
      <c r="Y1119" s="1644">
        <f>Q1119*SUM(Y1101:Y1104)</f>
        <v>0</v>
      </c>
      <c r="AI1119" s="2023">
        <f>W1119-'Blocking-Step2'!W1119</f>
        <v>0</v>
      </c>
      <c r="AJ1119" s="2054">
        <f>O1119-'Blocking-Step2'!O1119</f>
        <v>0</v>
      </c>
    </row>
    <row r="1120" spans="1:36" ht="16.5" hidden="1" thickBot="1">
      <c r="A1120" s="1900" t="s">
        <v>247</v>
      </c>
      <c r="C1120" s="1949">
        <f>SUM(C1113:C1117)</f>
        <v>10596105.350323541</v>
      </c>
      <c r="D1120" s="1949">
        <f>Energy!P47</f>
        <v>12998906.024246655</v>
      </c>
      <c r="F1120" s="1939"/>
      <c r="H1120" s="1647">
        <f>SUM(H1109:H1118)</f>
        <v>1371503.2590999999</v>
      </c>
      <c r="I1120" s="1647">
        <f>SUM(I1109:I1118)</f>
        <v>1676723.7993999999</v>
      </c>
      <c r="K1120" s="1939"/>
      <c r="M1120" s="1939"/>
      <c r="O1120" s="1939"/>
      <c r="Q1120" s="1939"/>
      <c r="S1120" s="1647">
        <f>SUM(S1101:S1117)</f>
        <v>577225</v>
      </c>
      <c r="U1120" s="1647">
        <f>SUM(U1101:U1117)</f>
        <v>373720</v>
      </c>
      <c r="W1120" s="1647">
        <f>SUM(W1101:W1117)</f>
        <v>391514</v>
      </c>
      <c r="Y1120" s="1647">
        <f>SUM(Y1101:Y1117)</f>
        <v>1342460</v>
      </c>
      <c r="AA1120" s="1104" t="s">
        <v>1743</v>
      </c>
      <c r="AB1120" s="1890">
        <f>Y1120/I1120-1</f>
        <v>-0.19935531392803818</v>
      </c>
      <c r="AI1120" s="2023">
        <f>W1120-'Blocking-Step2'!W1120</f>
        <v>0</v>
      </c>
      <c r="AJ1120" s="2054">
        <f>O1120-'Blocking-Step2'!O1120</f>
        <v>0</v>
      </c>
    </row>
    <row r="1121" spans="1:36" ht="16.5" hidden="1" thickTop="1">
      <c r="C1121" s="528"/>
      <c r="D1121" s="528"/>
      <c r="AI1121" s="2023">
        <f>W1121-'Blocking-Step2'!W1121</f>
        <v>0</v>
      </c>
      <c r="AJ1121" s="2054">
        <f>O1121-'Blocking-Step2'!O1121</f>
        <v>0</v>
      </c>
    </row>
    <row r="1122" spans="1:36" hidden="1">
      <c r="A1122" s="1897" t="s">
        <v>987</v>
      </c>
      <c r="C1122" s="528"/>
      <c r="D1122" s="528"/>
      <c r="F1122" s="1943"/>
      <c r="G1122" s="1957"/>
      <c r="K1122" s="1943"/>
      <c r="L1122" s="1957"/>
      <c r="M1122" s="1943"/>
      <c r="N1122" s="1957"/>
      <c r="O1122" s="1943"/>
      <c r="P1122" s="1957"/>
      <c r="Q1122" s="1943"/>
      <c r="R1122" s="1957"/>
      <c r="S1122" s="1645"/>
      <c r="T1122" s="1645"/>
      <c r="U1122" s="1645"/>
      <c r="V1122" s="1645"/>
      <c r="W1122" s="1645"/>
      <c r="X1122" s="1645"/>
      <c r="AI1122" s="2023">
        <f>W1122-'Blocking-Step2'!W1122</f>
        <v>0</v>
      </c>
      <c r="AJ1122" s="2054">
        <f>O1122-'Blocking-Step2'!O1122</f>
        <v>0</v>
      </c>
    </row>
    <row r="1123" spans="1:36" hidden="1">
      <c r="A1123" s="1900" t="s">
        <v>1910</v>
      </c>
      <c r="C1123" s="528">
        <f>'BD-Redesign'!I7</f>
        <v>233367.5</v>
      </c>
      <c r="D1123" s="528">
        <f>D1142-SUM(D1124:D1126)</f>
        <v>1128072.0769230761</v>
      </c>
      <c r="E1123" s="597"/>
      <c r="F1123" s="1942"/>
      <c r="G1123" s="1921"/>
      <c r="H1123" s="1644"/>
      <c r="I1123" s="1644"/>
      <c r="J1123" s="597"/>
      <c r="K1123" s="1942">
        <f>K1057</f>
        <v>3.89</v>
      </c>
      <c r="L1123" s="1921" t="s">
        <v>495</v>
      </c>
      <c r="M1123" s="1942">
        <f>M1057</f>
        <v>17.137528114911813</v>
      </c>
      <c r="N1123" s="1921" t="s">
        <v>495</v>
      </c>
      <c r="O1123" s="1942">
        <f>O1057</f>
        <v>1.3496999999999999</v>
      </c>
      <c r="P1123" s="1921" t="s">
        <v>495</v>
      </c>
      <c r="Q1123" s="1942">
        <f t="shared" ref="Q1123:Q1131" si="715">Q1057</f>
        <v>22.377228114911812</v>
      </c>
      <c r="R1123" s="1921" t="s">
        <v>495</v>
      </c>
      <c r="S1123" s="1644">
        <f>ROUND($D1123*K1123/100,0)</f>
        <v>43882</v>
      </c>
      <c r="T1123" s="1648"/>
      <c r="U1123" s="1644">
        <f>ROUND($D1123*M1123/100,0)</f>
        <v>193324</v>
      </c>
      <c r="V1123" s="1648"/>
      <c r="W1123" s="1644">
        <f>ROUND($D1123*O1123/100,0)</f>
        <v>15226</v>
      </c>
      <c r="X1123" s="1648"/>
      <c r="Y1123" s="1644">
        <f>ROUND($D1123*Q1123/100,0)</f>
        <v>252431</v>
      </c>
      <c r="AI1123" s="2023">
        <f>W1123-'Blocking-Step2'!W1123</f>
        <v>0</v>
      </c>
      <c r="AJ1123" s="2054">
        <f>O1123-'Blocking-Step2'!O1123</f>
        <v>0</v>
      </c>
    </row>
    <row r="1124" spans="1:36" hidden="1">
      <c r="A1124" s="1900" t="s">
        <v>1911</v>
      </c>
      <c r="C1124" s="528">
        <f>'BD-Redesign'!I8</f>
        <v>418289.5</v>
      </c>
      <c r="D1124" s="528">
        <f>ROUND(C1124/(C1123+C1124)*(Energy!S73*(1-1/Energy!P73)),0)</f>
        <v>2021963</v>
      </c>
      <c r="E1124" s="597"/>
      <c r="F1124" s="1942"/>
      <c r="G1124" s="1921"/>
      <c r="H1124" s="1644"/>
      <c r="I1124" s="1644"/>
      <c r="J1124" s="597"/>
      <c r="K1124" s="1942">
        <f t="shared" ref="K1124:K1131" si="716">K1058</f>
        <v>3.89</v>
      </c>
      <c r="L1124" s="1921" t="s">
        <v>495</v>
      </c>
      <c r="M1124" s="1942">
        <f t="shared" ref="M1124:M1131" si="717">M1058</f>
        <v>-1.0877975226579997</v>
      </c>
      <c r="N1124" s="1921" t="s">
        <v>495</v>
      </c>
      <c r="O1124" s="1942">
        <f t="shared" ref="O1124:O1131" si="718">O1058</f>
        <v>1.3496999999999999</v>
      </c>
      <c r="P1124" s="1921" t="s">
        <v>495</v>
      </c>
      <c r="Q1124" s="1942">
        <f t="shared" si="715"/>
        <v>4.1519024773420004</v>
      </c>
      <c r="R1124" s="1921" t="s">
        <v>495</v>
      </c>
      <c r="S1124" s="1644">
        <f t="shared" ref="S1124:S1130" si="719">ROUND($D1124*K1124/100,0)</f>
        <v>78654</v>
      </c>
      <c r="T1124" s="1648"/>
      <c r="U1124" s="1644">
        <f t="shared" ref="U1124:U1130" si="720">ROUND($D1124*M1124/100,0)</f>
        <v>-21995</v>
      </c>
      <c r="V1124" s="1648"/>
      <c r="W1124" s="1644">
        <f t="shared" ref="W1124:W1130" si="721">ROUND($D1124*O1124/100,0)</f>
        <v>27290</v>
      </c>
      <c r="X1124" s="1648"/>
      <c r="Y1124" s="1644">
        <f t="shared" ref="Y1124:Y1130" si="722">ROUND($D1124*Q1124/100,0)</f>
        <v>83950</v>
      </c>
      <c r="AI1124" s="2023">
        <f>W1124-'Blocking-Step2'!W1124</f>
        <v>0</v>
      </c>
      <c r="AJ1124" s="2054">
        <f>O1124-'Blocking-Step2'!O1124</f>
        <v>0</v>
      </c>
    </row>
    <row r="1125" spans="1:36" hidden="1">
      <c r="A1125" s="1900" t="s">
        <v>1912</v>
      </c>
      <c r="C1125" s="528">
        <f>'BD-Redesign'!I9</f>
        <v>502344.50077107706</v>
      </c>
      <c r="D1125" s="528">
        <f>ROUND(C1125/(C1125+C1126)*(Energy!T73*(1-1/Energy!P73)),0)</f>
        <v>2668816</v>
      </c>
      <c r="E1125" s="597"/>
      <c r="F1125" s="1942"/>
      <c r="G1125" s="1921"/>
      <c r="H1125" s="1644"/>
      <c r="I1125" s="1644"/>
      <c r="J1125" s="597"/>
      <c r="K1125" s="1942">
        <f t="shared" si="716"/>
        <v>3.89</v>
      </c>
      <c r="L1125" s="1921" t="s">
        <v>495</v>
      </c>
      <c r="M1125" s="1942">
        <f t="shared" si="717"/>
        <v>14.718500000000001</v>
      </c>
      <c r="N1125" s="1921" t="s">
        <v>495</v>
      </c>
      <c r="O1125" s="1942">
        <f t="shared" si="718"/>
        <v>1.1943999999999999</v>
      </c>
      <c r="P1125" s="1921" t="s">
        <v>495</v>
      </c>
      <c r="Q1125" s="1942">
        <f t="shared" si="715"/>
        <v>19.802900000000001</v>
      </c>
      <c r="R1125" s="1921" t="s">
        <v>495</v>
      </c>
      <c r="S1125" s="1644">
        <f t="shared" si="719"/>
        <v>103817</v>
      </c>
      <c r="T1125" s="1648"/>
      <c r="U1125" s="1644">
        <f t="shared" si="720"/>
        <v>392810</v>
      </c>
      <c r="V1125" s="1648"/>
      <c r="W1125" s="1644">
        <f t="shared" si="721"/>
        <v>31876</v>
      </c>
      <c r="X1125" s="1648"/>
      <c r="Y1125" s="1644">
        <f t="shared" si="722"/>
        <v>528503</v>
      </c>
      <c r="AI1125" s="2023">
        <f>W1125-'Blocking-Step2'!W1125</f>
        <v>0</v>
      </c>
      <c r="AJ1125" s="2054">
        <f>O1125-'Blocking-Step2'!O1125</f>
        <v>0</v>
      </c>
    </row>
    <row r="1126" spans="1:36" hidden="1">
      <c r="A1126" s="1900" t="s">
        <v>1913</v>
      </c>
      <c r="C1126" s="528">
        <f>'BD-Redesign'!I10</f>
        <v>868836.999228923</v>
      </c>
      <c r="D1126" s="528">
        <f>ROUND(C1126/(C1125+C1126)*(Energy!T73*(1-1/Energy!P73)),0)</f>
        <v>4615889</v>
      </c>
      <c r="E1126" s="597"/>
      <c r="F1126" s="1942"/>
      <c r="G1126" s="1921"/>
      <c r="H1126" s="1644"/>
      <c r="I1126" s="1644"/>
      <c r="J1126" s="597"/>
      <c r="K1126" s="1942">
        <f t="shared" si="716"/>
        <v>3.89</v>
      </c>
      <c r="L1126" s="1921" t="s">
        <v>495</v>
      </c>
      <c r="M1126" s="1942">
        <f t="shared" si="717"/>
        <v>-1.4102000000000001</v>
      </c>
      <c r="N1126" s="1921" t="s">
        <v>495</v>
      </c>
      <c r="O1126" s="1942">
        <f t="shared" si="718"/>
        <v>1.1943999999999999</v>
      </c>
      <c r="P1126" s="1921" t="s">
        <v>495</v>
      </c>
      <c r="Q1126" s="1942">
        <f t="shared" si="715"/>
        <v>3.6741999999999999</v>
      </c>
      <c r="R1126" s="1921" t="s">
        <v>495</v>
      </c>
      <c r="S1126" s="1644">
        <f t="shared" si="719"/>
        <v>179558</v>
      </c>
      <c r="T1126" s="1648"/>
      <c r="U1126" s="1644">
        <f t="shared" si="720"/>
        <v>-65093</v>
      </c>
      <c r="V1126" s="1648"/>
      <c r="W1126" s="1644">
        <f t="shared" si="721"/>
        <v>55132</v>
      </c>
      <c r="X1126" s="1648"/>
      <c r="Y1126" s="1644">
        <f t="shared" si="722"/>
        <v>169597</v>
      </c>
      <c r="AI1126" s="2023">
        <f>W1126-'Blocking-Step2'!W1126</f>
        <v>0</v>
      </c>
      <c r="AJ1126" s="2054">
        <f>O1126-'Blocking-Step2'!O1126</f>
        <v>0</v>
      </c>
    </row>
    <row r="1127" spans="1:36" hidden="1">
      <c r="A1127" s="1900" t="s">
        <v>1906</v>
      </c>
      <c r="C1127" s="528">
        <f>'BD-Redesign'!I11</f>
        <v>467860</v>
      </c>
      <c r="D1127" s="528">
        <f>D1142-SUM(D1128:D1130)</f>
        <v>2261582.0769230761</v>
      </c>
      <c r="E1127" s="597"/>
      <c r="F1127" s="1942"/>
      <c r="G1127" s="1921"/>
      <c r="H1127" s="1644"/>
      <c r="I1127" s="1644"/>
      <c r="J1127" s="597"/>
      <c r="K1127" s="1942">
        <f t="shared" si="716"/>
        <v>0</v>
      </c>
      <c r="L1127" s="1921" t="s">
        <v>495</v>
      </c>
      <c r="M1127" s="1942">
        <f t="shared" si="717"/>
        <v>0</v>
      </c>
      <c r="N1127" s="1921" t="s">
        <v>495</v>
      </c>
      <c r="O1127" s="1942">
        <f t="shared" si="718"/>
        <v>6</v>
      </c>
      <c r="P1127" s="1921" t="s">
        <v>495</v>
      </c>
      <c r="Q1127" s="1942">
        <f t="shared" si="715"/>
        <v>6</v>
      </c>
      <c r="R1127" s="1921" t="s">
        <v>495</v>
      </c>
      <c r="S1127" s="1644">
        <f t="shared" si="719"/>
        <v>0</v>
      </c>
      <c r="T1127" s="1648"/>
      <c r="U1127" s="1644">
        <f t="shared" si="720"/>
        <v>0</v>
      </c>
      <c r="V1127" s="1648"/>
      <c r="W1127" s="1644">
        <f t="shared" si="721"/>
        <v>135695</v>
      </c>
      <c r="X1127" s="1648"/>
      <c r="Y1127" s="1644">
        <f t="shared" si="722"/>
        <v>135695</v>
      </c>
      <c r="AI1127" s="2023">
        <f>W1127-'Blocking-Step2'!W1127</f>
        <v>0</v>
      </c>
      <c r="AJ1127" s="2054">
        <f>O1127-'Blocking-Step2'!O1127</f>
        <v>0</v>
      </c>
    </row>
    <row r="1128" spans="1:36" hidden="1">
      <c r="A1128" s="1900" t="s">
        <v>1907</v>
      </c>
      <c r="C1128" s="528">
        <f>'BD-Redesign'!I12</f>
        <v>183797</v>
      </c>
      <c r="D1128" s="528">
        <f>ROUND(C1128/(C1127+C1128)*(Energy!S73*(1-1/Energy!P73)),0)</f>
        <v>888453</v>
      </c>
      <c r="E1128" s="597"/>
      <c r="F1128" s="1942"/>
      <c r="G1128" s="1921"/>
      <c r="H1128" s="1644"/>
      <c r="I1128" s="1644"/>
      <c r="J1128" s="597"/>
      <c r="K1128" s="1942">
        <f t="shared" si="716"/>
        <v>0</v>
      </c>
      <c r="L1128" s="1921" t="s">
        <v>495</v>
      </c>
      <c r="M1128" s="1942">
        <f t="shared" si="717"/>
        <v>0</v>
      </c>
      <c r="N1128" s="1921" t="s">
        <v>495</v>
      </c>
      <c r="O1128" s="1942">
        <f t="shared" si="718"/>
        <v>-2.3358000000000008</v>
      </c>
      <c r="P1128" s="1921" t="s">
        <v>495</v>
      </c>
      <c r="Q1128" s="1942">
        <f t="shared" si="715"/>
        <v>-2.3358000000000008</v>
      </c>
      <c r="R1128" s="1921" t="s">
        <v>495</v>
      </c>
      <c r="S1128" s="1644">
        <f t="shared" si="719"/>
        <v>0</v>
      </c>
      <c r="T1128" s="1648"/>
      <c r="U1128" s="1644">
        <f t="shared" si="720"/>
        <v>0</v>
      </c>
      <c r="V1128" s="1648"/>
      <c r="W1128" s="1644">
        <f t="shared" si="721"/>
        <v>-20752</v>
      </c>
      <c r="X1128" s="1648"/>
      <c r="Y1128" s="1644">
        <f t="shared" si="722"/>
        <v>-20752</v>
      </c>
      <c r="AI1128" s="2023">
        <f>W1128-'Blocking-Step2'!W1128</f>
        <v>0</v>
      </c>
      <c r="AJ1128" s="2054">
        <f>O1128-'Blocking-Step2'!O1128</f>
        <v>0</v>
      </c>
    </row>
    <row r="1129" spans="1:36" hidden="1">
      <c r="A1129" s="1900" t="s">
        <v>1908</v>
      </c>
      <c r="C1129" s="528">
        <f>'BD-Redesign'!I13</f>
        <v>1001125.5</v>
      </c>
      <c r="D1129" s="528">
        <f>ROUND(C1129/(C1129+C1130)*(Energy!T73*(1-1/Energy!P73)),0)</f>
        <v>5318701</v>
      </c>
      <c r="E1129" s="597"/>
      <c r="F1129" s="1942"/>
      <c r="G1129" s="1921"/>
      <c r="H1129" s="1644"/>
      <c r="I1129" s="1644"/>
      <c r="J1129" s="597"/>
      <c r="K1129" s="1942">
        <f t="shared" si="716"/>
        <v>0</v>
      </c>
      <c r="L1129" s="1921" t="s">
        <v>495</v>
      </c>
      <c r="M1129" s="1942">
        <f t="shared" si="717"/>
        <v>0</v>
      </c>
      <c r="N1129" s="1921" t="s">
        <v>495</v>
      </c>
      <c r="O1129" s="1942">
        <f t="shared" si="718"/>
        <v>5.3097000000000003</v>
      </c>
      <c r="P1129" s="1921" t="s">
        <v>495</v>
      </c>
      <c r="Q1129" s="1942">
        <f t="shared" si="715"/>
        <v>5.3097000000000003</v>
      </c>
      <c r="R1129" s="1921" t="s">
        <v>495</v>
      </c>
      <c r="S1129" s="1644">
        <f t="shared" si="719"/>
        <v>0</v>
      </c>
      <c r="T1129" s="1648"/>
      <c r="U1129" s="1644">
        <f t="shared" si="720"/>
        <v>0</v>
      </c>
      <c r="V1129" s="1648"/>
      <c r="W1129" s="1644">
        <f t="shared" si="721"/>
        <v>282407</v>
      </c>
      <c r="X1129" s="1648"/>
      <c r="Y1129" s="1644">
        <f t="shared" si="722"/>
        <v>282407</v>
      </c>
      <c r="AI1129" s="2023">
        <f>W1129-'Blocking-Step2'!W1129</f>
        <v>0</v>
      </c>
      <c r="AJ1129" s="2054">
        <f>O1129-'Blocking-Step2'!O1129</f>
        <v>0</v>
      </c>
    </row>
    <row r="1130" spans="1:36" hidden="1">
      <c r="A1130" s="1900" t="s">
        <v>1909</v>
      </c>
      <c r="C1130" s="528">
        <f>'BD-Redesign'!I14</f>
        <v>370056</v>
      </c>
      <c r="D1130" s="528">
        <f>ROUND(C1130/(C1129+C1130)*(Energy!T73*(1-1/Energy!P73)),0)</f>
        <v>1966004</v>
      </c>
      <c r="E1130" s="597"/>
      <c r="F1130" s="1942"/>
      <c r="G1130" s="1921"/>
      <c r="H1130" s="1644"/>
      <c r="I1130" s="1644"/>
      <c r="J1130" s="597"/>
      <c r="K1130" s="1942">
        <f t="shared" si="716"/>
        <v>0</v>
      </c>
      <c r="L1130" s="1921" t="s">
        <v>495</v>
      </c>
      <c r="M1130" s="1942">
        <f t="shared" si="717"/>
        <v>0</v>
      </c>
      <c r="N1130" s="1921" t="s">
        <v>495</v>
      </c>
      <c r="O1130" s="1942">
        <f t="shared" si="718"/>
        <v>-2.0670999999999999</v>
      </c>
      <c r="P1130" s="1921" t="s">
        <v>495</v>
      </c>
      <c r="Q1130" s="1942">
        <f t="shared" si="715"/>
        <v>-2.0670999999999999</v>
      </c>
      <c r="R1130" s="1921" t="s">
        <v>495</v>
      </c>
      <c r="S1130" s="1644">
        <f t="shared" si="719"/>
        <v>0</v>
      </c>
      <c r="T1130" s="1648"/>
      <c r="U1130" s="1644">
        <f t="shared" si="720"/>
        <v>0</v>
      </c>
      <c r="V1130" s="1648"/>
      <c r="W1130" s="1644">
        <f t="shared" si="721"/>
        <v>-40639</v>
      </c>
      <c r="X1130" s="1648"/>
      <c r="Y1130" s="1644">
        <f t="shared" si="722"/>
        <v>-40639</v>
      </c>
      <c r="AI1130" s="2023">
        <f>W1130-'Blocking-Step2'!W1130</f>
        <v>0</v>
      </c>
      <c r="AJ1130" s="2054">
        <f>O1130-'Blocking-Step2'!O1130</f>
        <v>0</v>
      </c>
    </row>
    <row r="1131" spans="1:36" hidden="1">
      <c r="A1131" s="1900" t="s">
        <v>240</v>
      </c>
      <c r="C1131" s="528">
        <f>'6A'!H21</f>
        <v>156</v>
      </c>
      <c r="D1131" s="528">
        <f>Bill!P73</f>
        <v>429</v>
      </c>
      <c r="F1131" s="1944">
        <v>54</v>
      </c>
      <c r="G1131" s="597"/>
      <c r="H1131" s="1644">
        <f t="shared" ref="H1131:I1134" si="723">ROUND($F1131*C1131,0)</f>
        <v>8424</v>
      </c>
      <c r="I1131" s="1644">
        <f t="shared" si="723"/>
        <v>23166</v>
      </c>
      <c r="K1131" s="1944">
        <f t="shared" si="716"/>
        <v>53</v>
      </c>
      <c r="L1131" s="597"/>
      <c r="M1131" s="1944">
        <f t="shared" si="717"/>
        <v>0</v>
      </c>
      <c r="N1131" s="597"/>
      <c r="O1131" s="1944">
        <f t="shared" si="718"/>
        <v>0</v>
      </c>
      <c r="P1131" s="597"/>
      <c r="Q1131" s="1944">
        <f t="shared" si="715"/>
        <v>53</v>
      </c>
      <c r="R1131" s="597"/>
      <c r="S1131" s="1644">
        <f>ROUND($D1131*K1131,0)</f>
        <v>22737</v>
      </c>
      <c r="T1131" s="1643"/>
      <c r="U1131" s="1644">
        <f>ROUND($D1131*M1131,0)</f>
        <v>0</v>
      </c>
      <c r="V1131" s="1643"/>
      <c r="W1131" s="1644">
        <f>ROUND($D1131*O1131,0)</f>
        <v>0</v>
      </c>
      <c r="X1131" s="1645"/>
      <c r="Y1131" s="1644">
        <f>ROUND($D1131*Q1131,0)</f>
        <v>22737</v>
      </c>
      <c r="AI1131" s="2023">
        <f>W1131-'Blocking-Step2'!W1131</f>
        <v>0</v>
      </c>
      <c r="AJ1131" s="2054">
        <f>O1131-'Blocking-Step2'!O1131</f>
        <v>0</v>
      </c>
    </row>
    <row r="1132" spans="1:36" hidden="1">
      <c r="A1132" s="1900" t="s">
        <v>157</v>
      </c>
      <c r="C1132" s="528">
        <f>'6A'!J21</f>
        <v>15736.926380368101</v>
      </c>
      <c r="D1132" s="528">
        <f>ROUND(C1132/C1142*D1142,0)</f>
        <v>41258</v>
      </c>
      <c r="F1132" s="1944">
        <v>6.52</v>
      </c>
      <c r="G1132" s="597"/>
      <c r="H1132" s="1644">
        <f t="shared" si="723"/>
        <v>102605</v>
      </c>
      <c r="I1132" s="1644">
        <f t="shared" si="723"/>
        <v>269002</v>
      </c>
      <c r="K1132" s="1944"/>
      <c r="L1132" s="597"/>
      <c r="M1132" s="1944"/>
      <c r="N1132" s="597"/>
      <c r="O1132" s="1944"/>
      <c r="P1132" s="597"/>
      <c r="Q1132" s="1944"/>
      <c r="R1132" s="597"/>
      <c r="S1132" s="1644"/>
      <c r="T1132" s="1645"/>
      <c r="U1132" s="1644"/>
      <c r="V1132" s="1645"/>
      <c r="W1132" s="1644"/>
      <c r="X1132" s="1645"/>
      <c r="Y1132" s="1644"/>
      <c r="AI1132" s="2023">
        <f>W1132-'Blocking-Step2'!W1132</f>
        <v>0</v>
      </c>
      <c r="AJ1132" s="2054">
        <f>O1132-'Blocking-Step2'!O1132</f>
        <v>0</v>
      </c>
    </row>
    <row r="1133" spans="1:36" hidden="1">
      <c r="A1133" s="1900" t="s">
        <v>162</v>
      </c>
      <c r="C1133" s="528">
        <f>'6A'!K21</f>
        <v>21751.0749542962</v>
      </c>
      <c r="D1133" s="528">
        <f>ROUND(C1133/C1142*D1142,0)</f>
        <v>57025</v>
      </c>
      <c r="F1133" s="1944">
        <v>5.47</v>
      </c>
      <c r="G1133" s="597"/>
      <c r="H1133" s="1644">
        <f t="shared" si="723"/>
        <v>118978</v>
      </c>
      <c r="I1133" s="1644">
        <f t="shared" si="723"/>
        <v>311927</v>
      </c>
      <c r="K1133" s="1944"/>
      <c r="L1133" s="597"/>
      <c r="M1133" s="1944"/>
      <c r="N1133" s="597"/>
      <c r="O1133" s="1944"/>
      <c r="P1133" s="597"/>
      <c r="Q1133" s="1944"/>
      <c r="R1133" s="597"/>
      <c r="S1133" s="1644"/>
      <c r="T1133" s="1645"/>
      <c r="U1133" s="1644"/>
      <c r="V1133" s="1645"/>
      <c r="W1133" s="1644"/>
      <c r="X1133" s="1645"/>
      <c r="Y1133" s="1644"/>
      <c r="AI1133" s="2023">
        <f>W1133-'Blocking-Step2'!W1133</f>
        <v>0</v>
      </c>
      <c r="AJ1133" s="2054">
        <f>O1133-'Blocking-Step2'!O1133</f>
        <v>0</v>
      </c>
    </row>
    <row r="1134" spans="1:36" hidden="1">
      <c r="A1134" s="1900" t="s">
        <v>261</v>
      </c>
      <c r="C1134" s="528">
        <f>'6A'!L21</f>
        <v>5955</v>
      </c>
      <c r="D1134" s="528">
        <f>ROUND(C1134/C1142*D1142,0)</f>
        <v>15612</v>
      </c>
      <c r="E1134" s="597"/>
      <c r="F1134" s="1944">
        <v>-0.61</v>
      </c>
      <c r="G1134" s="597"/>
      <c r="H1134" s="1644">
        <f t="shared" si="723"/>
        <v>-3633</v>
      </c>
      <c r="I1134" s="1644">
        <f t="shared" si="723"/>
        <v>-9523</v>
      </c>
      <c r="J1134" s="597"/>
      <c r="K1134" s="1944">
        <f>K1068</f>
        <v>-0.61</v>
      </c>
      <c r="L1134" s="597"/>
      <c r="M1134" s="1944">
        <f>M1068</f>
        <v>0</v>
      </c>
      <c r="N1134" s="597"/>
      <c r="O1134" s="1944">
        <f>O1068</f>
        <v>0</v>
      </c>
      <c r="P1134" s="597"/>
      <c r="Q1134" s="1944">
        <f>Q1068</f>
        <v>-0.61</v>
      </c>
      <c r="R1134" s="597"/>
      <c r="S1134" s="1644">
        <f>ROUND($D1134*K1134,0)</f>
        <v>-9523</v>
      </c>
      <c r="T1134" s="1645"/>
      <c r="U1134" s="1644">
        <f>ROUND($D1134*M1134,0)</f>
        <v>0</v>
      </c>
      <c r="V1134" s="1645"/>
      <c r="W1134" s="1644">
        <f>ROUND($D1134*O1134,0)</f>
        <v>0</v>
      </c>
      <c r="X1134" s="1645"/>
      <c r="Y1134" s="1644">
        <f>ROUND($D1134*Q1134,0)</f>
        <v>-9523</v>
      </c>
      <c r="AI1134" s="2023">
        <f>W1134-'Blocking-Step2'!W1134</f>
        <v>0</v>
      </c>
      <c r="AJ1134" s="2054">
        <f>O1134-'Blocking-Step2'!O1134</f>
        <v>0</v>
      </c>
    </row>
    <row r="1135" spans="1:36" hidden="1">
      <c r="A1135" s="1900" t="s">
        <v>188</v>
      </c>
      <c r="C1135" s="528">
        <f>'6A'!N21</f>
        <v>1146195</v>
      </c>
      <c r="D1135" s="528">
        <f>D1142-SUM(D1136:D1139)</f>
        <v>2804282.0769230761</v>
      </c>
      <c r="E1135" s="597"/>
      <c r="F1135" s="1942">
        <v>11.926600000000001</v>
      </c>
      <c r="G1135" s="1921" t="s">
        <v>495</v>
      </c>
      <c r="H1135" s="1644">
        <f t="shared" ref="H1135:I1138" si="724">ROUND($F1135*C1135/100,0)</f>
        <v>136702</v>
      </c>
      <c r="I1135" s="1644">
        <f t="shared" si="724"/>
        <v>334456</v>
      </c>
      <c r="J1135" s="597"/>
      <c r="K1135" s="1942"/>
      <c r="L1135" s="1921"/>
      <c r="M1135" s="1942"/>
      <c r="N1135" s="1921"/>
      <c r="O1135" s="1942"/>
      <c r="P1135" s="1921"/>
      <c r="Q1135" s="1942"/>
      <c r="R1135" s="1921"/>
      <c r="S1135" s="1648"/>
      <c r="T1135" s="1648"/>
      <c r="U1135" s="1648"/>
      <c r="V1135" s="1648"/>
      <c r="W1135" s="1648"/>
      <c r="X1135" s="1648"/>
      <c r="Y1135" s="1644"/>
      <c r="AI1135" s="2023">
        <f>W1135-'Blocking-Step2'!W1135</f>
        <v>0</v>
      </c>
      <c r="AJ1135" s="2054">
        <f>O1135-'Blocking-Step2'!O1135</f>
        <v>0</v>
      </c>
    </row>
    <row r="1136" spans="1:36" hidden="1">
      <c r="A1136" s="1900" t="s">
        <v>189</v>
      </c>
      <c r="C1136" s="528">
        <f>'6A'!O21</f>
        <v>444113</v>
      </c>
      <c r="D1136" s="528">
        <f>ROUND(C1136/(C1135+C1136)*Energy!Q73,0)</f>
        <v>1086568</v>
      </c>
      <c r="E1136" s="597"/>
      <c r="F1136" s="1942">
        <v>3.5908000000000002</v>
      </c>
      <c r="G1136" s="1921" t="s">
        <v>495</v>
      </c>
      <c r="H1136" s="1644">
        <f t="shared" si="724"/>
        <v>15947</v>
      </c>
      <c r="I1136" s="1644">
        <f t="shared" si="724"/>
        <v>39016</v>
      </c>
      <c r="J1136" s="597"/>
      <c r="K1136" s="1942"/>
      <c r="L1136" s="1921"/>
      <c r="M1136" s="1942"/>
      <c r="N1136" s="1921"/>
      <c r="O1136" s="1942"/>
      <c r="P1136" s="1921"/>
      <c r="Q1136" s="1942"/>
      <c r="R1136" s="1921"/>
      <c r="S1136" s="1648"/>
      <c r="T1136" s="1648"/>
      <c r="U1136" s="1648"/>
      <c r="V1136" s="1648"/>
      <c r="W1136" s="1648"/>
      <c r="X1136" s="1648"/>
      <c r="Y1136" s="1644"/>
      <c r="AI1136" s="2023">
        <f>W1136-'Blocking-Step2'!W1136</f>
        <v>0</v>
      </c>
      <c r="AJ1136" s="2054">
        <f>O1136-'Blocking-Step2'!O1136</f>
        <v>0</v>
      </c>
    </row>
    <row r="1137" spans="1:36" hidden="1">
      <c r="A1137" s="1900" t="s">
        <v>163</v>
      </c>
      <c r="C1137" s="528">
        <f>'6A'!P21</f>
        <v>1791776</v>
      </c>
      <c r="D1137" s="528">
        <f>ROUND(C1137/(C1137+C1138)*Energy!R73,0)</f>
        <v>4775325</v>
      </c>
      <c r="E1137" s="597"/>
      <c r="F1137" s="1942">
        <v>9.9693000000000005</v>
      </c>
      <c r="G1137" s="1921" t="s">
        <v>495</v>
      </c>
      <c r="H1137" s="1644">
        <f t="shared" si="724"/>
        <v>178628</v>
      </c>
      <c r="I1137" s="1644">
        <f t="shared" si="724"/>
        <v>476066</v>
      </c>
      <c r="J1137" s="597"/>
      <c r="K1137" s="1942"/>
      <c r="L1137" s="1921"/>
      <c r="M1137" s="1942"/>
      <c r="N1137" s="1921"/>
      <c r="O1137" s="1942"/>
      <c r="P1137" s="1921"/>
      <c r="Q1137" s="1942"/>
      <c r="R1137" s="1921"/>
      <c r="S1137" s="1648"/>
      <c r="T1137" s="1648"/>
      <c r="U1137" s="1648"/>
      <c r="V1137" s="1648"/>
      <c r="W1137" s="1648"/>
      <c r="X1137" s="1648"/>
      <c r="Y1137" s="1644"/>
      <c r="AI1137" s="2023">
        <f>W1137-'Blocking-Step2'!W1137</f>
        <v>0</v>
      </c>
      <c r="AJ1137" s="2054">
        <f>O1137-'Blocking-Step2'!O1137</f>
        <v>0</v>
      </c>
    </row>
    <row r="1138" spans="1:36" hidden="1">
      <c r="A1138" s="1900" t="s">
        <v>164</v>
      </c>
      <c r="C1138" s="528">
        <f>'6A'!Q21</f>
        <v>663593</v>
      </c>
      <c r="D1138" s="528">
        <f>ROUND(C1138/(C1137+C1138)*Energy!R73,0)</f>
        <v>1768565</v>
      </c>
      <c r="E1138" s="597"/>
      <c r="F1138" s="1942">
        <v>3.0059999999999998</v>
      </c>
      <c r="G1138" s="1921" t="s">
        <v>495</v>
      </c>
      <c r="H1138" s="1644">
        <f t="shared" si="724"/>
        <v>19948</v>
      </c>
      <c r="I1138" s="1644">
        <f t="shared" si="724"/>
        <v>53163</v>
      </c>
      <c r="J1138" s="597"/>
      <c r="K1138" s="1942"/>
      <c r="L1138" s="1921"/>
      <c r="M1138" s="1942"/>
      <c r="N1138" s="1921"/>
      <c r="O1138" s="1942"/>
      <c r="P1138" s="1921"/>
      <c r="Q1138" s="1942"/>
      <c r="R1138" s="1921"/>
      <c r="S1138" s="1648"/>
      <c r="T1138" s="1648"/>
      <c r="U1138" s="1648"/>
      <c r="V1138" s="1648"/>
      <c r="W1138" s="1648"/>
      <c r="X1138" s="1648"/>
      <c r="Y1138" s="1644"/>
      <c r="AI1138" s="2023">
        <f>W1138-'Blocking-Step2'!W1138</f>
        <v>0</v>
      </c>
      <c r="AJ1138" s="2054">
        <f>O1138-'Blocking-Step2'!O1138</f>
        <v>0</v>
      </c>
    </row>
    <row r="1139" spans="1:36" hidden="1">
      <c r="A1139" s="1900" t="s">
        <v>246</v>
      </c>
      <c r="C1139" s="529">
        <f>'Table 2'!J87</f>
        <v>-65582</v>
      </c>
      <c r="D1139" s="529">
        <v>0</v>
      </c>
      <c r="H1139" s="1030">
        <f>'Table 3'!F87</f>
        <v>-8507</v>
      </c>
      <c r="I1139" s="1030">
        <v>0</v>
      </c>
      <c r="Y1139" s="1030"/>
      <c r="AI1139" s="2023">
        <f>W1139-'Blocking-Step2'!W1139</f>
        <v>0</v>
      </c>
      <c r="AJ1139" s="2054">
        <f>O1139-'Blocking-Step2'!O1139</f>
        <v>0</v>
      </c>
    </row>
    <row r="1140" spans="1:36" hidden="1">
      <c r="A1140" s="1900" t="s">
        <v>1240</v>
      </c>
      <c r="C1140" s="584"/>
      <c r="D1140" s="584"/>
      <c r="F1140" s="1930">
        <v>-4.99E-2</v>
      </c>
      <c r="G1140" s="597"/>
      <c r="H1140" s="1644">
        <f>SUM(H1135:H1138)*$F1140</f>
        <v>-17526.127499999999</v>
      </c>
      <c r="I1140" s="1644">
        <f>SUM(I1135:I1138)*$F1140</f>
        <v>-45044.779900000001</v>
      </c>
      <c r="K1140" s="1930"/>
      <c r="L1140" s="597"/>
      <c r="M1140" s="1930"/>
      <c r="N1140" s="597"/>
      <c r="O1140" s="1931" t="str">
        <f>$O$43</f>
        <v>Tax Year 1 (1/1/2021)</v>
      </c>
      <c r="P1140" s="597"/>
      <c r="Q1140" s="1930">
        <f>$Q$979</f>
        <v>-1.6899999999999998E-2</v>
      </c>
      <c r="R1140" s="597"/>
      <c r="S1140" s="1645"/>
      <c r="T1140" s="1645"/>
      <c r="U1140" s="1645"/>
      <c r="V1140" s="1645"/>
      <c r="W1140" s="1645"/>
      <c r="X1140" s="1645"/>
      <c r="Y1140" s="1644">
        <f>Q1140*SUM(Y1123:Y1126)</f>
        <v>-17482.728899999998</v>
      </c>
      <c r="AI1140" s="2023">
        <f>W1140-'Blocking-Step2'!W1140</f>
        <v>0</v>
      </c>
      <c r="AJ1140" s="2054">
        <f>O1140-'Blocking-Step2'!O1140</f>
        <v>0</v>
      </c>
    </row>
    <row r="1141" spans="1:36" hidden="1">
      <c r="A1141" s="1900"/>
      <c r="C1141" s="584"/>
      <c r="D1141" s="584"/>
      <c r="F1141" s="1930"/>
      <c r="G1141" s="597"/>
      <c r="H1141" s="1644"/>
      <c r="I1141" s="1644"/>
      <c r="K1141" s="1930"/>
      <c r="L1141" s="597"/>
      <c r="M1141" s="1930"/>
      <c r="N1141" s="597"/>
      <c r="O1141" s="1931">
        <f>$O$44</f>
        <v>0</v>
      </c>
      <c r="P1141" s="597"/>
      <c r="Q1141" s="1930">
        <f>$Q$980</f>
        <v>0</v>
      </c>
      <c r="R1141" s="597"/>
      <c r="S1141" s="1645"/>
      <c r="T1141" s="1645"/>
      <c r="U1141" s="1645"/>
      <c r="V1141" s="1645"/>
      <c r="W1141" s="1645"/>
      <c r="X1141" s="1645"/>
      <c r="Y1141" s="1644">
        <f>Q1141*SUM(Y1123:Y1126)</f>
        <v>0</v>
      </c>
      <c r="AI1141" s="2023">
        <f>W1141-'Blocking-Step2'!W1141</f>
        <v>0</v>
      </c>
      <c r="AJ1141" s="2054">
        <f>O1141-'Blocking-Step2'!O1141</f>
        <v>0</v>
      </c>
    </row>
    <row r="1142" spans="1:36" ht="16.5" hidden="1" thickBot="1">
      <c r="A1142" s="1900" t="s">
        <v>247</v>
      </c>
      <c r="C1142" s="1949">
        <f>SUM(C1135:C1139)</f>
        <v>3980095</v>
      </c>
      <c r="D1142" s="1949">
        <f>Energy!P73</f>
        <v>10434740.076923076</v>
      </c>
      <c r="E1142" s="597"/>
      <c r="F1142" s="1939"/>
      <c r="H1142" s="1647">
        <f>SUM(H1131:H1140)</f>
        <v>551565.87250000006</v>
      </c>
      <c r="I1142" s="1647">
        <f>SUM(I1131:I1140)</f>
        <v>1452228.2201</v>
      </c>
      <c r="J1142" s="597"/>
      <c r="K1142" s="1939"/>
      <c r="M1142" s="1939"/>
      <c r="O1142" s="1939"/>
      <c r="Q1142" s="1939"/>
      <c r="S1142" s="1647">
        <f>SUM(S1123:S1139)</f>
        <v>419125</v>
      </c>
      <c r="U1142" s="1647">
        <f>SUM(U1123:U1139)</f>
        <v>499046</v>
      </c>
      <c r="W1142" s="1647">
        <f>SUM(W1123:W1139)</f>
        <v>486235</v>
      </c>
      <c r="Y1142" s="1647">
        <f>SUM(Y1123:Y1139)</f>
        <v>1404406</v>
      </c>
      <c r="AA1142" s="1104" t="s">
        <v>1743</v>
      </c>
      <c r="AB1142" s="1890">
        <f>Y1142/I1142-1</f>
        <v>-3.293023743658352E-2</v>
      </c>
      <c r="AI1142" s="2023">
        <f>W1142-'Blocking-Step2'!W1142</f>
        <v>0</v>
      </c>
      <c r="AJ1142" s="2054">
        <f>O1142-'Blocking-Step2'!O1142</f>
        <v>0</v>
      </c>
    </row>
    <row r="1143" spans="1:36" ht="16.5" thickTop="1">
      <c r="E1143" s="597"/>
      <c r="J1143" s="597"/>
      <c r="AI1143" s="2023">
        <f>W1143-'Blocking-Step2'!W1143</f>
        <v>0</v>
      </c>
      <c r="AJ1143" s="2054">
        <f>O1143-'Blocking-Step2'!O1143</f>
        <v>0</v>
      </c>
    </row>
    <row r="1144" spans="1:36">
      <c r="A1144" s="1897" t="s">
        <v>1555</v>
      </c>
      <c r="C1144" s="528"/>
      <c r="D1144" s="528"/>
      <c r="F1144" s="1943"/>
      <c r="G1144" s="1957"/>
      <c r="K1144" s="1943"/>
      <c r="L1144" s="1957"/>
      <c r="M1144" s="1943"/>
      <c r="N1144" s="1957"/>
      <c r="O1144" s="1943"/>
      <c r="P1144" s="1957"/>
      <c r="Q1144" s="1943"/>
      <c r="R1144" s="1957"/>
      <c r="S1144" s="1645"/>
      <c r="T1144" s="1645"/>
      <c r="U1144" s="1645"/>
      <c r="V1144" s="1645"/>
      <c r="W1144" s="1645"/>
      <c r="X1144" s="1645"/>
      <c r="AI1144" s="2023">
        <f>W1144-'Blocking-Step2'!W1144</f>
        <v>0</v>
      </c>
      <c r="AJ1144" s="2054">
        <f>O1144-'Blocking-Step2'!O1144</f>
        <v>0</v>
      </c>
    </row>
    <row r="1145" spans="1:36">
      <c r="A1145" s="1900" t="s">
        <v>1910</v>
      </c>
      <c r="C1145" s="528">
        <f>'BD-Redesign'!L7/('BD-Redesign'!L7+'BD-Redesign'!L8)*('Blocking-Step1'!C1149+'Blocking-Step1'!C1150)</f>
        <v>13322.339107795206</v>
      </c>
      <c r="D1145" s="528">
        <f>D1164-SUM(D1146:D1148)</f>
        <v>0</v>
      </c>
      <c r="E1145" s="597"/>
      <c r="F1145" s="1942"/>
      <c r="G1145" s="1921"/>
      <c r="H1145" s="1644"/>
      <c r="I1145" s="1644"/>
      <c r="J1145" s="597"/>
      <c r="K1145" s="1942">
        <f>K961</f>
        <v>3.89</v>
      </c>
      <c r="L1145" s="1921" t="s">
        <v>495</v>
      </c>
      <c r="M1145" s="1942">
        <f>M961</f>
        <v>17.137528114911813</v>
      </c>
      <c r="N1145" s="1921" t="s">
        <v>495</v>
      </c>
      <c r="O1145" s="1942">
        <f>O961</f>
        <v>1.3496999999999999</v>
      </c>
      <c r="P1145" s="1921" t="s">
        <v>495</v>
      </c>
      <c r="Q1145" s="1942">
        <f t="shared" ref="Q1145:Q1153" si="725">Q961</f>
        <v>22.377228114911812</v>
      </c>
      <c r="R1145" s="1921" t="s">
        <v>495</v>
      </c>
      <c r="S1145" s="1644">
        <f>ROUND($D1145*K1145/100,0)</f>
        <v>0</v>
      </c>
      <c r="T1145" s="1648"/>
      <c r="U1145" s="1644">
        <f>ROUND($D1145*M1145/100,0)</f>
        <v>0</v>
      </c>
      <c r="V1145" s="1648"/>
      <c r="W1145" s="1644">
        <f>ROUND($D1145*O1145/100,0)</f>
        <v>0</v>
      </c>
      <c r="X1145" s="1648"/>
      <c r="Y1145" s="1644">
        <f>ROUND($D1145*Q1145/100,0)</f>
        <v>0</v>
      </c>
      <c r="AI1145" s="2023">
        <f>W1145-'Blocking-Step2'!W1145</f>
        <v>0</v>
      </c>
      <c r="AJ1145" s="2054">
        <f>O1145-'Blocking-Step2'!O1145</f>
        <v>0</v>
      </c>
    </row>
    <row r="1146" spans="1:36">
      <c r="A1146" s="1900" t="s">
        <v>1911</v>
      </c>
      <c r="C1146" s="528">
        <f>C1149+C1150-C1145</f>
        <v>53605.44143337437</v>
      </c>
      <c r="D1146" s="528">
        <v>0</v>
      </c>
      <c r="E1146" s="597"/>
      <c r="F1146" s="1942"/>
      <c r="G1146" s="1921"/>
      <c r="H1146" s="1644"/>
      <c r="I1146" s="1644"/>
      <c r="J1146" s="597"/>
      <c r="K1146" s="1942">
        <f t="shared" ref="K1146:K1152" si="726">K962</f>
        <v>3.89</v>
      </c>
      <c r="L1146" s="1921" t="s">
        <v>495</v>
      </c>
      <c r="M1146" s="1942">
        <f t="shared" ref="M1146:M1152" si="727">M962</f>
        <v>-1.0877975226579997</v>
      </c>
      <c r="N1146" s="1921" t="s">
        <v>495</v>
      </c>
      <c r="O1146" s="1942">
        <f t="shared" ref="O1146:O1152" si="728">O962</f>
        <v>1.3496999999999999</v>
      </c>
      <c r="P1146" s="1921" t="s">
        <v>495</v>
      </c>
      <c r="Q1146" s="1942">
        <f t="shared" si="725"/>
        <v>4.1519024773420004</v>
      </c>
      <c r="R1146" s="1921" t="s">
        <v>495</v>
      </c>
      <c r="S1146" s="1644">
        <f t="shared" ref="S1146:S1152" si="729">ROUND($D1146*K1146/100,0)</f>
        <v>0</v>
      </c>
      <c r="T1146" s="1648"/>
      <c r="U1146" s="1644">
        <f t="shared" ref="U1146:U1152" si="730">ROUND($D1146*M1146/100,0)</f>
        <v>0</v>
      </c>
      <c r="V1146" s="1648"/>
      <c r="W1146" s="1644">
        <f t="shared" ref="W1146:W1152" si="731">ROUND($D1146*O1146/100,0)</f>
        <v>0</v>
      </c>
      <c r="X1146" s="1648"/>
      <c r="Y1146" s="1644">
        <f t="shared" ref="Y1146:Y1152" si="732">ROUND($D1146*Q1146/100,0)</f>
        <v>0</v>
      </c>
      <c r="AI1146" s="2023">
        <f>W1146-'Blocking-Step2'!W1146</f>
        <v>0</v>
      </c>
      <c r="AJ1146" s="2054">
        <f>O1146-'Blocking-Step2'!O1146</f>
        <v>0</v>
      </c>
    </row>
    <row r="1147" spans="1:36">
      <c r="A1147" s="1900" t="s">
        <v>1912</v>
      </c>
      <c r="C1147" s="528">
        <f>'BD-Redesign'!L9/('BD-Redesign'!L9+'BD-Redesign'!L10)*('Blocking-Step1'!C1151+'Blocking-Step1'!C1152)</f>
        <v>13895.672297448593</v>
      </c>
      <c r="D1147" s="528">
        <v>0</v>
      </c>
      <c r="E1147" s="597"/>
      <c r="F1147" s="1942"/>
      <c r="G1147" s="1921"/>
      <c r="H1147" s="1644"/>
      <c r="I1147" s="1644"/>
      <c r="J1147" s="597"/>
      <c r="K1147" s="1942">
        <f t="shared" si="726"/>
        <v>3.89</v>
      </c>
      <c r="L1147" s="1921" t="s">
        <v>495</v>
      </c>
      <c r="M1147" s="1942">
        <f t="shared" si="727"/>
        <v>14.718500000000001</v>
      </c>
      <c r="N1147" s="1921" t="s">
        <v>495</v>
      </c>
      <c r="O1147" s="1942">
        <f t="shared" si="728"/>
        <v>1.1943999999999999</v>
      </c>
      <c r="P1147" s="1921" t="s">
        <v>495</v>
      </c>
      <c r="Q1147" s="1942">
        <f t="shared" si="725"/>
        <v>19.802900000000001</v>
      </c>
      <c r="R1147" s="1921" t="s">
        <v>495</v>
      </c>
      <c r="S1147" s="1644">
        <f t="shared" si="729"/>
        <v>0</v>
      </c>
      <c r="T1147" s="1648"/>
      <c r="U1147" s="1644">
        <f t="shared" si="730"/>
        <v>0</v>
      </c>
      <c r="V1147" s="1648"/>
      <c r="W1147" s="1644">
        <f t="shared" si="731"/>
        <v>0</v>
      </c>
      <c r="X1147" s="1648"/>
      <c r="Y1147" s="1644">
        <f t="shared" si="732"/>
        <v>0</v>
      </c>
      <c r="AI1147" s="2023">
        <f>W1147-'Blocking-Step2'!W1147</f>
        <v>0</v>
      </c>
      <c r="AJ1147" s="2054">
        <f>O1147-'Blocking-Step2'!O1147</f>
        <v>0</v>
      </c>
    </row>
    <row r="1148" spans="1:36">
      <c r="A1148" s="1900" t="s">
        <v>1913</v>
      </c>
      <c r="C1148" s="528">
        <f>C1151+C1152-C1147</f>
        <v>68636.435521739491</v>
      </c>
      <c r="D1148" s="528">
        <v>0</v>
      </c>
      <c r="E1148" s="597"/>
      <c r="F1148" s="1942"/>
      <c r="G1148" s="1921"/>
      <c r="H1148" s="1644"/>
      <c r="I1148" s="1644"/>
      <c r="J1148" s="597"/>
      <c r="K1148" s="1942">
        <f t="shared" si="726"/>
        <v>3.89</v>
      </c>
      <c r="L1148" s="1921" t="s">
        <v>495</v>
      </c>
      <c r="M1148" s="1942">
        <f t="shared" si="727"/>
        <v>-1.4102000000000001</v>
      </c>
      <c r="N1148" s="1921" t="s">
        <v>495</v>
      </c>
      <c r="O1148" s="1942">
        <f t="shared" si="728"/>
        <v>1.1943999999999999</v>
      </c>
      <c r="P1148" s="1921" t="s">
        <v>495</v>
      </c>
      <c r="Q1148" s="1942">
        <f t="shared" si="725"/>
        <v>3.6741999999999999</v>
      </c>
      <c r="R1148" s="1921" t="s">
        <v>495</v>
      </c>
      <c r="S1148" s="1644">
        <f t="shared" si="729"/>
        <v>0</v>
      </c>
      <c r="T1148" s="1648"/>
      <c r="U1148" s="1644">
        <f t="shared" si="730"/>
        <v>0</v>
      </c>
      <c r="V1148" s="1648"/>
      <c r="W1148" s="1644">
        <f t="shared" si="731"/>
        <v>0</v>
      </c>
      <c r="X1148" s="1648"/>
      <c r="Y1148" s="1644">
        <f t="shared" si="732"/>
        <v>0</v>
      </c>
      <c r="AI1148" s="2023">
        <f>W1148-'Blocking-Step2'!W1148</f>
        <v>0</v>
      </c>
      <c r="AJ1148" s="2054">
        <f>O1148-'Blocking-Step2'!O1148</f>
        <v>0</v>
      </c>
    </row>
    <row r="1149" spans="1:36">
      <c r="A1149" s="1900" t="s">
        <v>1906</v>
      </c>
      <c r="C1149" s="528">
        <f>'BD-Redesign'!L11+TempRevMay!W336</f>
        <v>34787.289603337464</v>
      </c>
      <c r="D1149" s="528">
        <f>D1164-SUM(D1150:D1152)</f>
        <v>0</v>
      </c>
      <c r="E1149" s="597"/>
      <c r="F1149" s="1942"/>
      <c r="G1149" s="1921"/>
      <c r="H1149" s="1644"/>
      <c r="I1149" s="1644"/>
      <c r="J1149" s="597"/>
      <c r="K1149" s="1942">
        <f t="shared" si="726"/>
        <v>0</v>
      </c>
      <c r="L1149" s="1921" t="s">
        <v>495</v>
      </c>
      <c r="M1149" s="1942">
        <f t="shared" si="727"/>
        <v>0</v>
      </c>
      <c r="N1149" s="1921" t="s">
        <v>495</v>
      </c>
      <c r="O1149" s="1942">
        <f t="shared" si="728"/>
        <v>6</v>
      </c>
      <c r="P1149" s="1921" t="s">
        <v>495</v>
      </c>
      <c r="Q1149" s="1942">
        <f t="shared" si="725"/>
        <v>6</v>
      </c>
      <c r="R1149" s="1921" t="s">
        <v>495</v>
      </c>
      <c r="S1149" s="1644">
        <f t="shared" si="729"/>
        <v>0</v>
      </c>
      <c r="T1149" s="1648"/>
      <c r="U1149" s="1644">
        <f t="shared" si="730"/>
        <v>0</v>
      </c>
      <c r="V1149" s="1648"/>
      <c r="W1149" s="1644">
        <f t="shared" si="731"/>
        <v>0</v>
      </c>
      <c r="X1149" s="1648"/>
      <c r="Y1149" s="1644">
        <f t="shared" si="732"/>
        <v>0</v>
      </c>
      <c r="AI1149" s="2023">
        <f>W1149-'Blocking-Step2'!W1149</f>
        <v>0</v>
      </c>
      <c r="AJ1149" s="2054">
        <f>O1149-'Blocking-Step2'!O1149</f>
        <v>0</v>
      </c>
    </row>
    <row r="1150" spans="1:36">
      <c r="A1150" s="1900" t="s">
        <v>1907</v>
      </c>
      <c r="C1150" s="528">
        <f>'BD-Redesign'!L12+TempRevMay!W337</f>
        <v>32140.490937832117</v>
      </c>
      <c r="D1150" s="528">
        <v>0</v>
      </c>
      <c r="E1150" s="597"/>
      <c r="F1150" s="1942"/>
      <c r="G1150" s="1921"/>
      <c r="H1150" s="1644"/>
      <c r="I1150" s="1644"/>
      <c r="J1150" s="597"/>
      <c r="K1150" s="1942">
        <f t="shared" si="726"/>
        <v>0</v>
      </c>
      <c r="L1150" s="1921" t="s">
        <v>495</v>
      </c>
      <c r="M1150" s="1942">
        <f t="shared" si="727"/>
        <v>0</v>
      </c>
      <c r="N1150" s="1921" t="s">
        <v>495</v>
      </c>
      <c r="O1150" s="1942">
        <f t="shared" si="728"/>
        <v>-2.3358000000000008</v>
      </c>
      <c r="P1150" s="1921" t="s">
        <v>495</v>
      </c>
      <c r="Q1150" s="1942">
        <f t="shared" si="725"/>
        <v>-2.3358000000000008</v>
      </c>
      <c r="R1150" s="1921" t="s">
        <v>495</v>
      </c>
      <c r="S1150" s="1644">
        <f t="shared" si="729"/>
        <v>0</v>
      </c>
      <c r="T1150" s="1648"/>
      <c r="U1150" s="1644">
        <f t="shared" si="730"/>
        <v>0</v>
      </c>
      <c r="V1150" s="1648"/>
      <c r="W1150" s="1644">
        <f t="shared" si="731"/>
        <v>0</v>
      </c>
      <c r="X1150" s="1648"/>
      <c r="Y1150" s="1644">
        <f t="shared" si="732"/>
        <v>0</v>
      </c>
      <c r="AI1150" s="2023">
        <f>W1150-'Blocking-Step2'!W1150</f>
        <v>0</v>
      </c>
      <c r="AJ1150" s="2054">
        <f>O1150-'Blocking-Step2'!O1150</f>
        <v>0</v>
      </c>
    </row>
    <row r="1151" spans="1:36">
      <c r="A1151" s="1900" t="s">
        <v>1908</v>
      </c>
      <c r="C1151" s="528">
        <f>'BD-Redesign'!L13+TempRevMay!W338</f>
        <v>40510.527629505144</v>
      </c>
      <c r="D1151" s="528">
        <v>0</v>
      </c>
      <c r="E1151" s="597"/>
      <c r="F1151" s="1942"/>
      <c r="G1151" s="1921"/>
      <c r="H1151" s="1644"/>
      <c r="I1151" s="1644"/>
      <c r="J1151" s="597"/>
      <c r="K1151" s="1942">
        <f t="shared" si="726"/>
        <v>0</v>
      </c>
      <c r="L1151" s="1921" t="s">
        <v>495</v>
      </c>
      <c r="M1151" s="1942">
        <f t="shared" si="727"/>
        <v>0</v>
      </c>
      <c r="N1151" s="1921" t="s">
        <v>495</v>
      </c>
      <c r="O1151" s="1942">
        <f t="shared" si="728"/>
        <v>5.3097000000000003</v>
      </c>
      <c r="P1151" s="1921" t="s">
        <v>495</v>
      </c>
      <c r="Q1151" s="1942">
        <f t="shared" si="725"/>
        <v>5.3097000000000003</v>
      </c>
      <c r="R1151" s="1921" t="s">
        <v>495</v>
      </c>
      <c r="S1151" s="1644">
        <f t="shared" si="729"/>
        <v>0</v>
      </c>
      <c r="T1151" s="1648"/>
      <c r="U1151" s="1644">
        <f t="shared" si="730"/>
        <v>0</v>
      </c>
      <c r="V1151" s="1648"/>
      <c r="W1151" s="1644">
        <f t="shared" si="731"/>
        <v>0</v>
      </c>
      <c r="X1151" s="1648"/>
      <c r="Y1151" s="1644">
        <f t="shared" si="732"/>
        <v>0</v>
      </c>
      <c r="AI1151" s="2023">
        <f>W1151-'Blocking-Step2'!W1151</f>
        <v>0</v>
      </c>
      <c r="AJ1151" s="2054">
        <f>O1151-'Blocking-Step2'!O1151</f>
        <v>0</v>
      </c>
    </row>
    <row r="1152" spans="1:36">
      <c r="A1152" s="1900" t="s">
        <v>1909</v>
      </c>
      <c r="C1152" s="528">
        <f>'BD-Redesign'!L14+TempRevMay!W339</f>
        <v>42021.580189682936</v>
      </c>
      <c r="D1152" s="528">
        <v>0</v>
      </c>
      <c r="E1152" s="597"/>
      <c r="F1152" s="1942"/>
      <c r="G1152" s="1921"/>
      <c r="H1152" s="1644"/>
      <c r="I1152" s="1644"/>
      <c r="J1152" s="597"/>
      <c r="K1152" s="1942">
        <f t="shared" si="726"/>
        <v>0</v>
      </c>
      <c r="L1152" s="1921" t="s">
        <v>495</v>
      </c>
      <c r="M1152" s="1942">
        <f t="shared" si="727"/>
        <v>0</v>
      </c>
      <c r="N1152" s="1921" t="s">
        <v>495</v>
      </c>
      <c r="O1152" s="1942">
        <f t="shared" si="728"/>
        <v>-2.0670999999999999</v>
      </c>
      <c r="P1152" s="1921" t="s">
        <v>495</v>
      </c>
      <c r="Q1152" s="1942">
        <f t="shared" si="725"/>
        <v>-2.0670999999999999</v>
      </c>
      <c r="R1152" s="1921" t="s">
        <v>495</v>
      </c>
      <c r="S1152" s="1644">
        <f t="shared" si="729"/>
        <v>0</v>
      </c>
      <c r="T1152" s="1648"/>
      <c r="U1152" s="1644">
        <f t="shared" si="730"/>
        <v>0</v>
      </c>
      <c r="V1152" s="1648"/>
      <c r="W1152" s="1644">
        <f t="shared" si="731"/>
        <v>0</v>
      </c>
      <c r="X1152" s="1648"/>
      <c r="Y1152" s="1644">
        <f t="shared" si="732"/>
        <v>0</v>
      </c>
      <c r="AI1152" s="2023">
        <f>W1152-'Blocking-Step2'!W1152</f>
        <v>0</v>
      </c>
      <c r="AJ1152" s="2054">
        <f>O1152-'Blocking-Step2'!O1152</f>
        <v>0</v>
      </c>
    </row>
    <row r="1153" spans="1:36">
      <c r="A1153" s="1900" t="s">
        <v>240</v>
      </c>
      <c r="C1153" s="528">
        <f>'6A'!H24</f>
        <v>14.6</v>
      </c>
      <c r="D1153" s="528">
        <v>0</v>
      </c>
      <c r="F1153" s="1944">
        <v>54</v>
      </c>
      <c r="G1153" s="597"/>
      <c r="H1153" s="1644">
        <f t="shared" ref="H1153:I1156" si="733">ROUND($F1153*C1153,0)</f>
        <v>788</v>
      </c>
      <c r="I1153" s="1644">
        <f t="shared" si="733"/>
        <v>0</v>
      </c>
      <c r="K1153" s="1944">
        <f>K969</f>
        <v>53</v>
      </c>
      <c r="L1153" s="597"/>
      <c r="M1153" s="1944">
        <f>M969</f>
        <v>0</v>
      </c>
      <c r="N1153" s="597"/>
      <c r="O1153" s="1944">
        <f>O969</f>
        <v>0</v>
      </c>
      <c r="P1153" s="597"/>
      <c r="Q1153" s="1944">
        <f t="shared" si="725"/>
        <v>53</v>
      </c>
      <c r="R1153" s="597"/>
      <c r="S1153" s="1644">
        <f>ROUND($D1153*K1153,0)</f>
        <v>0</v>
      </c>
      <c r="T1153" s="1643"/>
      <c r="U1153" s="1644">
        <f>ROUND($D1153*M1153,0)</f>
        <v>0</v>
      </c>
      <c r="V1153" s="1643"/>
      <c r="W1153" s="1644">
        <f>ROUND($D1153*O1153,0)</f>
        <v>0</v>
      </c>
      <c r="X1153" s="1645"/>
      <c r="Y1153" s="1644">
        <f>ROUND($D1153*Q1153,0)</f>
        <v>0</v>
      </c>
      <c r="AI1153" s="2023">
        <f>W1153-'Blocking-Step2'!W1153</f>
        <v>0</v>
      </c>
      <c r="AJ1153" s="2054">
        <f>O1153-'Blocking-Step2'!O1153</f>
        <v>0</v>
      </c>
    </row>
    <row r="1154" spans="1:36">
      <c r="A1154" s="1900" t="s">
        <v>157</v>
      </c>
      <c r="C1154" s="528">
        <f>'6A'!J24</f>
        <v>610.87423312883402</v>
      </c>
      <c r="D1154" s="528">
        <f>ROUND(C1154/C1164*D1164,0)</f>
        <v>0</v>
      </c>
      <c r="F1154" s="1944">
        <v>6.52</v>
      </c>
      <c r="G1154" s="597"/>
      <c r="H1154" s="1644">
        <f t="shared" si="733"/>
        <v>3983</v>
      </c>
      <c r="I1154" s="1644">
        <f t="shared" si="733"/>
        <v>0</v>
      </c>
      <c r="K1154" s="1944"/>
      <c r="L1154" s="597"/>
      <c r="M1154" s="1944"/>
      <c r="N1154" s="597"/>
      <c r="O1154" s="1944"/>
      <c r="P1154" s="597"/>
      <c r="Q1154" s="1944"/>
      <c r="R1154" s="597"/>
      <c r="S1154" s="1644"/>
      <c r="T1154" s="1645"/>
      <c r="U1154" s="1644"/>
      <c r="V1154" s="1645"/>
      <c r="W1154" s="1644"/>
      <c r="X1154" s="1645"/>
      <c r="Y1154" s="1644"/>
      <c r="AI1154" s="2023">
        <f>W1154-'Blocking-Step2'!W1154</f>
        <v>0</v>
      </c>
      <c r="AJ1154" s="2054">
        <f>O1154-'Blocking-Step2'!O1154</f>
        <v>0</v>
      </c>
    </row>
    <row r="1155" spans="1:36">
      <c r="A1155" s="1900" t="s">
        <v>162</v>
      </c>
      <c r="C1155" s="528">
        <f>'6A'!K24</f>
        <v>476.79341864716599</v>
      </c>
      <c r="D1155" s="528">
        <f>ROUND(C1155/C1164*D1164,0)</f>
        <v>0</v>
      </c>
      <c r="F1155" s="1944">
        <v>5.47</v>
      </c>
      <c r="G1155" s="597"/>
      <c r="H1155" s="1644">
        <f t="shared" si="733"/>
        <v>2608</v>
      </c>
      <c r="I1155" s="1644">
        <f t="shared" si="733"/>
        <v>0</v>
      </c>
      <c r="K1155" s="1944"/>
      <c r="L1155" s="597"/>
      <c r="M1155" s="1944"/>
      <c r="N1155" s="597"/>
      <c r="O1155" s="1944"/>
      <c r="P1155" s="597"/>
      <c r="Q1155" s="1944"/>
      <c r="R1155" s="597"/>
      <c r="S1155" s="1644"/>
      <c r="T1155" s="1645"/>
      <c r="U1155" s="1644"/>
      <c r="V1155" s="1645"/>
      <c r="W1155" s="1644"/>
      <c r="X1155" s="1645"/>
      <c r="Y1155" s="1644"/>
      <c r="AI1155" s="2023">
        <f>W1155-'Blocking-Step2'!W1155</f>
        <v>0</v>
      </c>
      <c r="AJ1155" s="2054">
        <f>O1155-'Blocking-Step2'!O1155</f>
        <v>0</v>
      </c>
    </row>
    <row r="1156" spans="1:36">
      <c r="A1156" s="1900" t="s">
        <v>261</v>
      </c>
      <c r="C1156" s="528">
        <f>'6A'!L24</f>
        <v>0</v>
      </c>
      <c r="D1156" s="528">
        <f>ROUND(C1156/C1164*D1164,0)</f>
        <v>0</v>
      </c>
      <c r="F1156" s="1944">
        <v>-0.61</v>
      </c>
      <c r="G1156" s="597"/>
      <c r="H1156" s="1644">
        <f t="shared" si="733"/>
        <v>0</v>
      </c>
      <c r="I1156" s="1644">
        <f t="shared" si="733"/>
        <v>0</v>
      </c>
      <c r="K1156" s="1944">
        <f>K972</f>
        <v>-0.61</v>
      </c>
      <c r="L1156" s="597"/>
      <c r="M1156" s="1944">
        <f>M972</f>
        <v>0</v>
      </c>
      <c r="N1156" s="597"/>
      <c r="O1156" s="1944">
        <f>O972</f>
        <v>0</v>
      </c>
      <c r="P1156" s="597"/>
      <c r="Q1156" s="1944">
        <f>Q972</f>
        <v>-0.61</v>
      </c>
      <c r="R1156" s="597"/>
      <c r="S1156" s="1644">
        <f>ROUND($D1156*K1156,0)</f>
        <v>0</v>
      </c>
      <c r="T1156" s="1645"/>
      <c r="U1156" s="1644">
        <f>ROUND($D1156*M1156,0)</f>
        <v>0</v>
      </c>
      <c r="V1156" s="1645"/>
      <c r="W1156" s="1644">
        <f>ROUND($D1156*O1156,0)</f>
        <v>0</v>
      </c>
      <c r="X1156" s="1645"/>
      <c r="Y1156" s="1644">
        <f>ROUND($D1156*Q1156,0)</f>
        <v>0</v>
      </c>
      <c r="AI1156" s="2023">
        <f>W1156-'Blocking-Step2'!W1156</f>
        <v>0</v>
      </c>
      <c r="AJ1156" s="2054">
        <f>O1156-'Blocking-Step2'!O1156</f>
        <v>0</v>
      </c>
    </row>
    <row r="1157" spans="1:36">
      <c r="A1157" s="1900" t="s">
        <v>188</v>
      </c>
      <c r="C1157" s="528">
        <f>'6A'!N24+TempRev!W336</f>
        <v>76746.183037327341</v>
      </c>
      <c r="D1157" s="528">
        <f>D1164-SUM(D1158:D1161)</f>
        <v>0</v>
      </c>
      <c r="F1157" s="1942">
        <v>11.926600000000001</v>
      </c>
      <c r="G1157" s="1921" t="s">
        <v>495</v>
      </c>
      <c r="H1157" s="1644">
        <f t="shared" ref="H1157:I1160" si="734">ROUND($F1157*C1157/100,0)</f>
        <v>9153</v>
      </c>
      <c r="I1157" s="1644">
        <f t="shared" si="734"/>
        <v>0</v>
      </c>
      <c r="K1157" s="1942"/>
      <c r="L1157" s="1921"/>
      <c r="M1157" s="1942"/>
      <c r="N1157" s="1921"/>
      <c r="O1157" s="1942"/>
      <c r="P1157" s="1921"/>
      <c r="Q1157" s="1942"/>
      <c r="R1157" s="1921"/>
      <c r="S1157" s="1648"/>
      <c r="T1157" s="1648"/>
      <c r="U1157" s="1648"/>
      <c r="V1157" s="1648"/>
      <c r="W1157" s="1648"/>
      <c r="X1157" s="1648"/>
      <c r="Y1157" s="1644"/>
      <c r="AI1157" s="2023">
        <f>W1157-'Blocking-Step2'!W1157</f>
        <v>0</v>
      </c>
      <c r="AJ1157" s="2054">
        <f>O1157-'Blocking-Step2'!O1157</f>
        <v>0</v>
      </c>
    </row>
    <row r="1158" spans="1:36">
      <c r="A1158" s="1900" t="s">
        <v>189</v>
      </c>
      <c r="C1158" s="528">
        <f>'6A'!O24+TempRev!W337</f>
        <v>70349.781849994804</v>
      </c>
      <c r="D1158" s="528">
        <v>0</v>
      </c>
      <c r="E1158" s="597"/>
      <c r="F1158" s="1942">
        <v>3.5908000000000002</v>
      </c>
      <c r="G1158" s="1921" t="s">
        <v>495</v>
      </c>
      <c r="H1158" s="1644">
        <f t="shared" si="734"/>
        <v>2526</v>
      </c>
      <c r="I1158" s="1644">
        <f t="shared" si="734"/>
        <v>0</v>
      </c>
      <c r="J1158" s="597"/>
      <c r="K1158" s="1942"/>
      <c r="L1158" s="1921"/>
      <c r="M1158" s="1942"/>
      <c r="N1158" s="1921"/>
      <c r="O1158" s="1942"/>
      <c r="P1158" s="1921"/>
      <c r="Q1158" s="1942"/>
      <c r="R1158" s="1921"/>
      <c r="S1158" s="1648"/>
      <c r="T1158" s="1648"/>
      <c r="U1158" s="1648"/>
      <c r="V1158" s="1648"/>
      <c r="W1158" s="1648"/>
      <c r="X1158" s="1648"/>
      <c r="Y1158" s="1644"/>
      <c r="AI1158" s="2023">
        <f>W1158-'Blocking-Step2'!W1158</f>
        <v>0</v>
      </c>
      <c r="AJ1158" s="2054">
        <f>O1158-'Blocking-Step2'!O1158</f>
        <v>0</v>
      </c>
    </row>
    <row r="1159" spans="1:36">
      <c r="A1159" s="1900" t="s">
        <v>163</v>
      </c>
      <c r="C1159" s="528">
        <f>'6A'!P24+TempRev!W338</f>
        <v>73676.63419551526</v>
      </c>
      <c r="D1159" s="528">
        <v>0</v>
      </c>
      <c r="F1159" s="1942">
        <v>9.9693000000000005</v>
      </c>
      <c r="G1159" s="1921" t="s">
        <v>495</v>
      </c>
      <c r="H1159" s="1644">
        <f t="shared" si="734"/>
        <v>7345</v>
      </c>
      <c r="I1159" s="1644">
        <f t="shared" si="734"/>
        <v>0</v>
      </c>
      <c r="K1159" s="1942"/>
      <c r="L1159" s="1921"/>
      <c r="M1159" s="1942"/>
      <c r="N1159" s="1921"/>
      <c r="O1159" s="1942"/>
      <c r="P1159" s="1921"/>
      <c r="Q1159" s="1942"/>
      <c r="R1159" s="1921"/>
      <c r="S1159" s="1648"/>
      <c r="T1159" s="1648"/>
      <c r="U1159" s="1648"/>
      <c r="V1159" s="1648"/>
      <c r="W1159" s="1648"/>
      <c r="X1159" s="1648"/>
      <c r="Y1159" s="1644"/>
      <c r="AI1159" s="2023">
        <f>W1159-'Blocking-Step2'!W1159</f>
        <v>0</v>
      </c>
      <c r="AJ1159" s="2054">
        <f>O1159-'Blocking-Step2'!O1159</f>
        <v>0</v>
      </c>
    </row>
    <row r="1160" spans="1:36">
      <c r="A1160" s="1900" t="s">
        <v>164</v>
      </c>
      <c r="C1160" s="528">
        <f>'6A'!Q24+TempRev!W339</f>
        <v>77835.789277520249</v>
      </c>
      <c r="D1160" s="528">
        <v>0</v>
      </c>
      <c r="E1160" s="597"/>
      <c r="F1160" s="1942">
        <v>3.0059999999999998</v>
      </c>
      <c r="G1160" s="1921" t="s">
        <v>495</v>
      </c>
      <c r="H1160" s="1644">
        <f t="shared" si="734"/>
        <v>2340</v>
      </c>
      <c r="I1160" s="1644">
        <f t="shared" si="734"/>
        <v>0</v>
      </c>
      <c r="J1160" s="597"/>
      <c r="K1160" s="1942"/>
      <c r="L1160" s="1921"/>
      <c r="M1160" s="1942"/>
      <c r="N1160" s="1921"/>
      <c r="O1160" s="1942"/>
      <c r="P1160" s="1921"/>
      <c r="Q1160" s="1942"/>
      <c r="R1160" s="1921"/>
      <c r="S1160" s="1648"/>
      <c r="T1160" s="1648"/>
      <c r="U1160" s="1648"/>
      <c r="V1160" s="1648"/>
      <c r="W1160" s="1648"/>
      <c r="X1160" s="1648"/>
      <c r="Y1160" s="1644"/>
      <c r="AI1160" s="2023">
        <f>W1160-'Blocking-Step2'!W1160</f>
        <v>0</v>
      </c>
      <c r="AJ1160" s="2054">
        <f>O1160-'Blocking-Step2'!O1160</f>
        <v>0</v>
      </c>
    </row>
    <row r="1161" spans="1:36">
      <c r="A1161" s="1900" t="s">
        <v>246</v>
      </c>
      <c r="C1161" s="529">
        <f>'Table 2'!J50</f>
        <v>1583</v>
      </c>
      <c r="D1161" s="529">
        <v>0</v>
      </c>
      <c r="H1161" s="1030">
        <f>'Table 3'!F50</f>
        <v>163</v>
      </c>
      <c r="I1161" s="1030">
        <v>0</v>
      </c>
      <c r="Y1161" s="1030"/>
      <c r="AI1161" s="2023">
        <f>W1161-'Blocking-Step2'!W1161</f>
        <v>0</v>
      </c>
      <c r="AJ1161" s="2054">
        <f>O1161-'Blocking-Step2'!O1161</f>
        <v>0</v>
      </c>
    </row>
    <row r="1162" spans="1:36">
      <c r="A1162" s="1900" t="s">
        <v>1240</v>
      </c>
      <c r="C1162" s="584"/>
      <c r="D1162" s="584"/>
      <c r="F1162" s="1930">
        <v>-4.99E-2</v>
      </c>
      <c r="G1162" s="597"/>
      <c r="H1162" s="1644">
        <f>SUM(H1157:H1160)*$F1162</f>
        <v>-1066.0636</v>
      </c>
      <c r="I1162" s="1644">
        <f>SUM(I1157:I1160)*$F1162</f>
        <v>0</v>
      </c>
      <c r="K1162" s="1930"/>
      <c r="L1162" s="597"/>
      <c r="M1162" s="1930"/>
      <c r="N1162" s="597"/>
      <c r="O1162" s="1931" t="str">
        <f>$O$43</f>
        <v>Tax Year 1 (1/1/2021)</v>
      </c>
      <c r="P1162" s="597"/>
      <c r="Q1162" s="1930">
        <f>$Q$979</f>
        <v>-1.6899999999999998E-2</v>
      </c>
      <c r="R1162" s="597"/>
      <c r="S1162" s="1645"/>
      <c r="T1162" s="1645"/>
      <c r="U1162" s="1645"/>
      <c r="V1162" s="1645"/>
      <c r="W1162" s="1645"/>
      <c r="X1162" s="1645"/>
      <c r="Y1162" s="1644">
        <f>Q1162*SUM(Y1145:Y1148)</f>
        <v>0</v>
      </c>
      <c r="AI1162" s="2023">
        <f>W1162-'Blocking-Step2'!W1162</f>
        <v>0</v>
      </c>
      <c r="AJ1162" s="2054">
        <f>O1162-'Blocking-Step2'!O1162</f>
        <v>0</v>
      </c>
    </row>
    <row r="1163" spans="1:36">
      <c r="A1163" s="1900"/>
      <c r="C1163" s="584"/>
      <c r="D1163" s="584"/>
      <c r="F1163" s="1930"/>
      <c r="G1163" s="597"/>
      <c r="H1163" s="1644"/>
      <c r="I1163" s="1644"/>
      <c r="K1163" s="1930"/>
      <c r="L1163" s="597"/>
      <c r="M1163" s="1930"/>
      <c r="N1163" s="597"/>
      <c r="O1163" s="1931">
        <f>$O$44</f>
        <v>0</v>
      </c>
      <c r="P1163" s="597"/>
      <c r="Q1163" s="1930">
        <f>$Q$980</f>
        <v>0</v>
      </c>
      <c r="R1163" s="597"/>
      <c r="S1163" s="1645"/>
      <c r="T1163" s="1645"/>
      <c r="U1163" s="1645"/>
      <c r="V1163" s="1645"/>
      <c r="W1163" s="1645"/>
      <c r="X1163" s="1645"/>
      <c r="Y1163" s="1644">
        <f>Q1163*SUM(Y1145:Y1148)</f>
        <v>0</v>
      </c>
      <c r="AI1163" s="2023">
        <f>W1163-'Blocking-Step2'!W1163</f>
        <v>0</v>
      </c>
      <c r="AJ1163" s="2054">
        <f>O1163-'Blocking-Step2'!O1163</f>
        <v>0</v>
      </c>
    </row>
    <row r="1164" spans="1:36" ht="16.5" thickBot="1">
      <c r="A1164" s="1900" t="s">
        <v>247</v>
      </c>
      <c r="C1164" s="1949">
        <f>SUM(C1157:C1161)</f>
        <v>300191.38836035767</v>
      </c>
      <c r="D1164" s="1949">
        <v>0</v>
      </c>
      <c r="F1164" s="1939"/>
      <c r="H1164" s="1647">
        <f>SUM(H1153:H1162)</f>
        <v>27839.936399999999</v>
      </c>
      <c r="I1164" s="1647">
        <f>SUM(I1153:I1162)</f>
        <v>0</v>
      </c>
      <c r="K1164" s="1939"/>
      <c r="M1164" s="1939"/>
      <c r="O1164" s="1939"/>
      <c r="Q1164" s="1939"/>
      <c r="S1164" s="1647">
        <f>SUM(S1145:S1161)</f>
        <v>0</v>
      </c>
      <c r="U1164" s="1647">
        <f>SUM(U1145:U1161)</f>
        <v>0</v>
      </c>
      <c r="W1164" s="1647">
        <f>SUM(W1145:W1161)</f>
        <v>0</v>
      </c>
      <c r="Y1164" s="1647">
        <f>SUM(Y1145:Y1161)</f>
        <v>0</v>
      </c>
      <c r="AA1164" s="1104" t="s">
        <v>1743</v>
      </c>
      <c r="AB1164" s="1890"/>
      <c r="AI1164" s="2023">
        <f>W1164-'Blocking-Step2'!W1164</f>
        <v>0</v>
      </c>
      <c r="AJ1164" s="2054">
        <f>O1164-'Blocking-Step2'!O1164</f>
        <v>0</v>
      </c>
    </row>
    <row r="1165" spans="1:36" ht="16.5" thickTop="1">
      <c r="C1165" s="528"/>
      <c r="D1165" s="528"/>
      <c r="AI1165" s="2023">
        <f>W1165-'Blocking-Step2'!W1165</f>
        <v>0</v>
      </c>
      <c r="AJ1165" s="2054">
        <f>O1165-'Blocking-Step2'!O1165</f>
        <v>0</v>
      </c>
    </row>
    <row r="1166" spans="1:36">
      <c r="A1166" s="1897" t="s">
        <v>910</v>
      </c>
      <c r="C1166" s="528"/>
      <c r="D1166" s="528"/>
      <c r="AA1166" s="596"/>
      <c r="AB1166" s="596"/>
      <c r="AI1166" s="2023">
        <f>W1166-'Blocking-Step2'!W1166</f>
        <v>0</v>
      </c>
      <c r="AJ1166" s="2054">
        <f>O1166-'Blocking-Step2'!O1166</f>
        <v>0</v>
      </c>
    </row>
    <row r="1167" spans="1:36">
      <c r="A1167" s="1960" t="s">
        <v>264</v>
      </c>
      <c r="C1167" s="528"/>
      <c r="D1167" s="528"/>
      <c r="H1167" s="1644"/>
      <c r="I1167" s="1644"/>
      <c r="Y1167" s="1644"/>
      <c r="AA1167" s="1109"/>
      <c r="AB1167" s="1114"/>
      <c r="AI1167" s="2023">
        <f>W1167-'Blocking-Step2'!W1167</f>
        <v>0</v>
      </c>
      <c r="AJ1167" s="2054">
        <f>O1167-'Blocking-Step2'!O1167</f>
        <v>0</v>
      </c>
    </row>
    <row r="1168" spans="1:36">
      <c r="A1168" s="1900" t="s">
        <v>265</v>
      </c>
      <c r="B1168" s="1869">
        <v>29</v>
      </c>
      <c r="C1168" s="528">
        <f>C1210+C1252+C1294+C1336</f>
        <v>0</v>
      </c>
      <c r="D1168" s="528">
        <f>D1210+D1252+D1294+D1336</f>
        <v>0</v>
      </c>
      <c r="F1168" s="1901">
        <v>5.68</v>
      </c>
      <c r="G1168" s="1902"/>
      <c r="H1168" s="1644">
        <f t="shared" ref="H1168:I1171" si="735">ROUND($F1168*C1168,0)</f>
        <v>0</v>
      </c>
      <c r="I1168" s="1644">
        <f t="shared" si="735"/>
        <v>0</v>
      </c>
      <c r="K1168" s="1901"/>
      <c r="L1168" s="1902"/>
      <c r="M1168" s="1901"/>
      <c r="N1168" s="1902"/>
      <c r="O1168" s="1901"/>
      <c r="P1168" s="1902"/>
      <c r="Q1168" s="1901"/>
      <c r="R1168" s="1902"/>
      <c r="S1168" s="1643"/>
      <c r="T1168" s="1643"/>
      <c r="U1168" s="1643"/>
      <c r="V1168" s="1643"/>
      <c r="W1168" s="1643"/>
      <c r="X1168" s="1643"/>
      <c r="Y1168" s="1644"/>
      <c r="AA1168" s="1109"/>
      <c r="AB1168" s="1114"/>
      <c r="AI1168" s="2023">
        <f>W1168-'Blocking-Step2'!W1168</f>
        <v>0</v>
      </c>
      <c r="AJ1168" s="2054">
        <f>O1168-'Blocking-Step2'!O1168</f>
        <v>0</v>
      </c>
    </row>
    <row r="1169" spans="1:36">
      <c r="A1169" s="1900" t="s">
        <v>266</v>
      </c>
      <c r="B1169" s="1869">
        <v>1</v>
      </c>
      <c r="C1169" s="528">
        <f t="shared" ref="C1169:C1171" si="736">C1211+C1253+C1295+C1337</f>
        <v>37029.915140415185</v>
      </c>
      <c r="D1169" s="528">
        <f>D1211+D1253+D1295+D1337</f>
        <v>36084</v>
      </c>
      <c r="F1169" s="1901">
        <v>16.38</v>
      </c>
      <c r="G1169" s="1902"/>
      <c r="H1169" s="1644">
        <f t="shared" si="735"/>
        <v>606550</v>
      </c>
      <c r="I1169" s="1644">
        <f t="shared" si="735"/>
        <v>591056</v>
      </c>
      <c r="K1169" s="1901"/>
      <c r="L1169" s="1902"/>
      <c r="M1169" s="1901"/>
      <c r="N1169" s="1902"/>
      <c r="O1169" s="1901"/>
      <c r="P1169" s="1902"/>
      <c r="Q1169" s="1901"/>
      <c r="R1169" s="1902"/>
      <c r="S1169" s="1643"/>
      <c r="T1169" s="1643"/>
      <c r="U1169" s="1643"/>
      <c r="V1169" s="1643"/>
      <c r="W1169" s="1643"/>
      <c r="X1169" s="1643"/>
      <c r="Y1169" s="1644"/>
      <c r="AA1169" s="1945"/>
      <c r="AB1169" s="1114"/>
      <c r="AI1169" s="2023">
        <f>W1169-'Blocking-Step2'!W1169</f>
        <v>0</v>
      </c>
      <c r="AJ1169" s="2054">
        <f>O1169-'Blocking-Step2'!O1169</f>
        <v>0</v>
      </c>
    </row>
    <row r="1170" spans="1:36">
      <c r="A1170" s="1900" t="s">
        <v>267</v>
      </c>
      <c r="B1170" s="1869">
        <v>40</v>
      </c>
      <c r="C1170" s="528">
        <f t="shared" si="736"/>
        <v>0</v>
      </c>
      <c r="D1170" s="528">
        <f>D1212+D1254+D1296+D1338</f>
        <v>0</v>
      </c>
      <c r="F1170" s="1901">
        <v>8.0500000000000007</v>
      </c>
      <c r="G1170" s="1902"/>
      <c r="H1170" s="1644">
        <f t="shared" si="735"/>
        <v>0</v>
      </c>
      <c r="I1170" s="1644">
        <f t="shared" si="735"/>
        <v>0</v>
      </c>
      <c r="K1170" s="1901"/>
      <c r="L1170" s="1902"/>
      <c r="M1170" s="1901"/>
      <c r="N1170" s="1902"/>
      <c r="O1170" s="1901"/>
      <c r="P1170" s="1902"/>
      <c r="Q1170" s="1901"/>
      <c r="R1170" s="1902"/>
      <c r="S1170" s="1643"/>
      <c r="T1170" s="1643"/>
      <c r="U1170" s="1643"/>
      <c r="V1170" s="1643"/>
      <c r="W1170" s="1643"/>
      <c r="X1170" s="1643"/>
      <c r="Y1170" s="1644"/>
      <c r="AA1170" s="1109"/>
      <c r="AB1170" s="1946"/>
      <c r="AI1170" s="2023">
        <f>W1170-'Blocking-Step2'!W1170</f>
        <v>0</v>
      </c>
      <c r="AJ1170" s="2054">
        <f>O1170-'Blocking-Step2'!O1170</f>
        <v>0</v>
      </c>
    </row>
    <row r="1171" spans="1:36">
      <c r="A1171" s="1900" t="s">
        <v>268</v>
      </c>
      <c r="B1171" s="1869">
        <v>2</v>
      </c>
      <c r="C1171" s="528">
        <f t="shared" si="736"/>
        <v>9098.6105302464457</v>
      </c>
      <c r="D1171" s="528">
        <f>D1213+D1255+D1297+D1339</f>
        <v>8903</v>
      </c>
      <c r="F1171" s="1901">
        <v>26.78</v>
      </c>
      <c r="G1171" s="1902"/>
      <c r="H1171" s="1644">
        <f t="shared" si="735"/>
        <v>243661</v>
      </c>
      <c r="I1171" s="1644">
        <f t="shared" si="735"/>
        <v>238422</v>
      </c>
      <c r="K1171" s="1901"/>
      <c r="L1171" s="1902"/>
      <c r="M1171" s="1901"/>
      <c r="N1171" s="1902"/>
      <c r="O1171" s="1901"/>
      <c r="P1171" s="1902"/>
      <c r="Q1171" s="1901"/>
      <c r="R1171" s="1902"/>
      <c r="S1171" s="1643"/>
      <c r="T1171" s="1643"/>
      <c r="U1171" s="1643"/>
      <c r="V1171" s="1643"/>
      <c r="W1171" s="1643"/>
      <c r="X1171" s="1643"/>
      <c r="Y1171" s="1644"/>
      <c r="AA1171" s="1109"/>
      <c r="AB1171" s="1946"/>
      <c r="AI1171" s="2023">
        <f>W1171-'Blocking-Step2'!W1171</f>
        <v>0</v>
      </c>
      <c r="AJ1171" s="2054">
        <f>O1171-'Blocking-Step2'!O1171</f>
        <v>0</v>
      </c>
    </row>
    <row r="1172" spans="1:36">
      <c r="A1172" s="1960" t="s">
        <v>269</v>
      </c>
      <c r="C1172" s="528"/>
      <c r="D1172" s="528"/>
      <c r="H1172" s="1644"/>
      <c r="I1172" s="1644"/>
      <c r="Y1172" s="1644"/>
      <c r="AA1172" s="1109"/>
      <c r="AB1172" s="1946"/>
      <c r="AI1172" s="2023">
        <f>W1172-'Blocking-Step2'!W1172</f>
        <v>0</v>
      </c>
      <c r="AJ1172" s="2054">
        <f>O1172-'Blocking-Step2'!O1172</f>
        <v>0</v>
      </c>
    </row>
    <row r="1173" spans="1:36">
      <c r="A1173" s="1900" t="s">
        <v>270</v>
      </c>
      <c r="B1173" s="1869">
        <v>3</v>
      </c>
      <c r="C1173" s="528">
        <f t="shared" ref="C1173:D1183" si="737">C1215+C1257+C1299+C1341</f>
        <v>3544.3636986301349</v>
      </c>
      <c r="D1173" s="528">
        <f t="shared" si="737"/>
        <v>3408</v>
      </c>
      <c r="F1173" s="1901">
        <v>14.6</v>
      </c>
      <c r="G1173" s="1902"/>
      <c r="H1173" s="1644">
        <f t="shared" ref="H1173:I1183" si="738">ROUND($F1173*C1173,0)</f>
        <v>51748</v>
      </c>
      <c r="I1173" s="1644">
        <f t="shared" si="738"/>
        <v>49757</v>
      </c>
      <c r="K1173" s="1901"/>
      <c r="L1173" s="1902"/>
      <c r="M1173" s="1901"/>
      <c r="N1173" s="1902"/>
      <c r="O1173" s="1901"/>
      <c r="P1173" s="1902"/>
      <c r="Q1173" s="1901"/>
      <c r="R1173" s="1902"/>
      <c r="S1173" s="1643"/>
      <c r="T1173" s="1643"/>
      <c r="U1173" s="1643"/>
      <c r="V1173" s="1643"/>
      <c r="W1173" s="1643"/>
      <c r="X1173" s="1643"/>
      <c r="Y1173" s="1644"/>
      <c r="AA1173" s="1109"/>
      <c r="AB1173" s="1946"/>
      <c r="AI1173" s="2023">
        <f>W1173-'Blocking-Step2'!W1173</f>
        <v>0</v>
      </c>
      <c r="AJ1173" s="2054">
        <f>O1173-'Blocking-Step2'!O1173</f>
        <v>0</v>
      </c>
    </row>
    <row r="1174" spans="1:36">
      <c r="A1174" s="1900" t="s">
        <v>271</v>
      </c>
      <c r="B1174" s="1869">
        <v>4</v>
      </c>
      <c r="C1174" s="528">
        <f t="shared" si="737"/>
        <v>1432.432542927228</v>
      </c>
      <c r="D1174" s="528">
        <f t="shared" si="737"/>
        <v>1393</v>
      </c>
      <c r="F1174" s="1901">
        <v>12.23</v>
      </c>
      <c r="G1174" s="1902"/>
      <c r="H1174" s="1644">
        <f t="shared" si="738"/>
        <v>17519</v>
      </c>
      <c r="I1174" s="1644">
        <f t="shared" si="738"/>
        <v>17036</v>
      </c>
      <c r="K1174" s="1901"/>
      <c r="L1174" s="1902"/>
      <c r="M1174" s="1901"/>
      <c r="N1174" s="1902"/>
      <c r="O1174" s="1901"/>
      <c r="P1174" s="1902"/>
      <c r="Q1174" s="1901"/>
      <c r="R1174" s="1902"/>
      <c r="S1174" s="1643"/>
      <c r="T1174" s="1643"/>
      <c r="U1174" s="1643"/>
      <c r="V1174" s="1643"/>
      <c r="W1174" s="1643"/>
      <c r="X1174" s="1643"/>
      <c r="Y1174" s="1644"/>
      <c r="AI1174" s="2023">
        <f>W1174-'Blocking-Step2'!W1174</f>
        <v>0</v>
      </c>
      <c r="AJ1174" s="2054">
        <f>O1174-'Blocking-Step2'!O1174</f>
        <v>0</v>
      </c>
    </row>
    <row r="1175" spans="1:36">
      <c r="A1175" s="1900" t="s">
        <v>272</v>
      </c>
      <c r="B1175" s="1869">
        <v>5</v>
      </c>
      <c r="C1175" s="528">
        <f t="shared" si="737"/>
        <v>22685.572721396195</v>
      </c>
      <c r="D1175" s="528">
        <f t="shared" si="737"/>
        <v>21807</v>
      </c>
      <c r="F1175" s="1901">
        <v>15.47</v>
      </c>
      <c r="G1175" s="1902"/>
      <c r="H1175" s="1644">
        <f t="shared" si="738"/>
        <v>350946</v>
      </c>
      <c r="I1175" s="1644">
        <f t="shared" si="738"/>
        <v>337354</v>
      </c>
      <c r="K1175" s="1901"/>
      <c r="L1175" s="1902"/>
      <c r="M1175" s="1901"/>
      <c r="N1175" s="1902"/>
      <c r="O1175" s="1901"/>
      <c r="P1175" s="1902"/>
      <c r="Q1175" s="1901"/>
      <c r="R1175" s="1902"/>
      <c r="S1175" s="1643"/>
      <c r="T1175" s="1643"/>
      <c r="U1175" s="1643"/>
      <c r="V1175" s="1643"/>
      <c r="W1175" s="1643"/>
      <c r="X1175" s="1643"/>
      <c r="Y1175" s="1644"/>
      <c r="AI1175" s="2023">
        <f>W1175-'Blocking-Step2'!W1175</f>
        <v>0</v>
      </c>
      <c r="AJ1175" s="2054">
        <f>O1175-'Blocking-Step2'!O1175</f>
        <v>0</v>
      </c>
    </row>
    <row r="1176" spans="1:36">
      <c r="A1176" s="1900" t="s">
        <v>273</v>
      </c>
      <c r="B1176" s="1869">
        <v>6</v>
      </c>
      <c r="C1176" s="528">
        <f t="shared" si="737"/>
        <v>17865.860255447038</v>
      </c>
      <c r="D1176" s="528">
        <f t="shared" si="737"/>
        <v>17345</v>
      </c>
      <c r="F1176" s="1901">
        <v>13.31</v>
      </c>
      <c r="G1176" s="1902"/>
      <c r="H1176" s="1644">
        <f t="shared" si="738"/>
        <v>237795</v>
      </c>
      <c r="I1176" s="1644">
        <f t="shared" si="738"/>
        <v>230862</v>
      </c>
      <c r="K1176" s="1901"/>
      <c r="L1176" s="1902"/>
      <c r="M1176" s="1901"/>
      <c r="N1176" s="1902"/>
      <c r="O1176" s="1901"/>
      <c r="P1176" s="1902"/>
      <c r="Q1176" s="1901"/>
      <c r="R1176" s="1902"/>
      <c r="S1176" s="1643"/>
      <c r="T1176" s="1643"/>
      <c r="U1176" s="1643"/>
      <c r="V1176" s="1643"/>
      <c r="W1176" s="1643"/>
      <c r="X1176" s="1643"/>
      <c r="Y1176" s="1644"/>
      <c r="AI1176" s="2023">
        <f>W1176-'Blocking-Step2'!W1176</f>
        <v>0</v>
      </c>
      <c r="AJ1176" s="2054">
        <f>O1176-'Blocking-Step2'!O1176</f>
        <v>0</v>
      </c>
    </row>
    <row r="1177" spans="1:36">
      <c r="A1177" s="1900" t="s">
        <v>274</v>
      </c>
      <c r="B1177" s="1869">
        <v>7</v>
      </c>
      <c r="C1177" s="528">
        <f t="shared" si="737"/>
        <v>3186.1654676258945</v>
      </c>
      <c r="D1177" s="528">
        <f t="shared" si="737"/>
        <v>3018</v>
      </c>
      <c r="F1177" s="1901">
        <v>19.46</v>
      </c>
      <c r="G1177" s="1902"/>
      <c r="H1177" s="1644">
        <f t="shared" si="738"/>
        <v>62003</v>
      </c>
      <c r="I1177" s="1644">
        <f t="shared" si="738"/>
        <v>58730</v>
      </c>
      <c r="K1177" s="1901"/>
      <c r="L1177" s="1902"/>
      <c r="M1177" s="1901"/>
      <c r="N1177" s="1902"/>
      <c r="O1177" s="1901"/>
      <c r="P1177" s="1902"/>
      <c r="Q1177" s="1901"/>
      <c r="R1177" s="1902"/>
      <c r="S1177" s="1643"/>
      <c r="T1177" s="1643"/>
      <c r="U1177" s="1643"/>
      <c r="V1177" s="1643"/>
      <c r="W1177" s="1643"/>
      <c r="X1177" s="1643"/>
      <c r="Y1177" s="1644"/>
      <c r="AI1177" s="2023">
        <f>W1177-'Blocking-Step2'!W1177</f>
        <v>0</v>
      </c>
      <c r="AJ1177" s="2054">
        <f>O1177-'Blocking-Step2'!O1177</f>
        <v>0</v>
      </c>
    </row>
    <row r="1178" spans="1:36">
      <c r="A1178" s="1900" t="s">
        <v>275</v>
      </c>
      <c r="B1178" s="1869">
        <v>8</v>
      </c>
      <c r="C1178" s="528">
        <f t="shared" si="737"/>
        <v>2284.6351430239388</v>
      </c>
      <c r="D1178" s="528">
        <f t="shared" si="737"/>
        <v>2209</v>
      </c>
      <c r="F1178" s="1901">
        <v>17.13</v>
      </c>
      <c r="G1178" s="1902"/>
      <c r="H1178" s="1644">
        <f t="shared" si="738"/>
        <v>39136</v>
      </c>
      <c r="I1178" s="1644">
        <f t="shared" si="738"/>
        <v>37840</v>
      </c>
      <c r="K1178" s="1901"/>
      <c r="L1178" s="1902"/>
      <c r="M1178" s="1901"/>
      <c r="N1178" s="1902"/>
      <c r="O1178" s="1901"/>
      <c r="P1178" s="1902"/>
      <c r="Q1178" s="1901"/>
      <c r="R1178" s="1902"/>
      <c r="S1178" s="1643"/>
      <c r="T1178" s="1643"/>
      <c r="U1178" s="1643"/>
      <c r="V1178" s="1643"/>
      <c r="W1178" s="1643"/>
      <c r="X1178" s="1643"/>
      <c r="Y1178" s="1644"/>
      <c r="AI1178" s="2023">
        <f>W1178-'Blocking-Step2'!W1178</f>
        <v>0</v>
      </c>
      <c r="AJ1178" s="2054">
        <f>O1178-'Blocking-Step2'!O1178</f>
        <v>0</v>
      </c>
    </row>
    <row r="1179" spans="1:36">
      <c r="A1179" s="1900" t="s">
        <v>276</v>
      </c>
      <c r="B1179" s="1869">
        <v>9</v>
      </c>
      <c r="C1179" s="528">
        <f t="shared" si="737"/>
        <v>96.233507356430906</v>
      </c>
      <c r="D1179" s="528">
        <f t="shared" si="737"/>
        <v>90</v>
      </c>
      <c r="F1179" s="1901">
        <v>21.07</v>
      </c>
      <c r="G1179" s="1902"/>
      <c r="H1179" s="1644">
        <f t="shared" si="738"/>
        <v>2028</v>
      </c>
      <c r="I1179" s="1644">
        <f t="shared" si="738"/>
        <v>1896</v>
      </c>
      <c r="K1179" s="1901"/>
      <c r="L1179" s="1902"/>
      <c r="M1179" s="1901"/>
      <c r="N1179" s="1902"/>
      <c r="O1179" s="1901"/>
      <c r="P1179" s="1902"/>
      <c r="Q1179" s="1901"/>
      <c r="R1179" s="1902"/>
      <c r="S1179" s="1643"/>
      <c r="T1179" s="1643"/>
      <c r="U1179" s="1643"/>
      <c r="V1179" s="1643"/>
      <c r="W1179" s="1643"/>
      <c r="X1179" s="1643"/>
      <c r="Y1179" s="1644"/>
      <c r="AI1179" s="2023">
        <f>W1179-'Blocking-Step2'!W1179</f>
        <v>0</v>
      </c>
      <c r="AJ1179" s="2054">
        <f>O1179-'Blocking-Step2'!O1179</f>
        <v>0</v>
      </c>
    </row>
    <row r="1180" spans="1:36">
      <c r="A1180" s="1900" t="s">
        <v>277</v>
      </c>
      <c r="B1180" s="1869">
        <v>10</v>
      </c>
      <c r="C1180" s="528">
        <f t="shared" si="737"/>
        <v>3256.3994045087184</v>
      </c>
      <c r="D1180" s="528">
        <f t="shared" si="737"/>
        <v>3084</v>
      </c>
      <c r="F1180" s="1901">
        <v>23.51</v>
      </c>
      <c r="G1180" s="1902"/>
      <c r="H1180" s="1644">
        <f t="shared" si="738"/>
        <v>76558</v>
      </c>
      <c r="I1180" s="1644">
        <f t="shared" si="738"/>
        <v>72505</v>
      </c>
      <c r="K1180" s="1901"/>
      <c r="L1180" s="1902"/>
      <c r="M1180" s="1901"/>
      <c r="N1180" s="1902"/>
      <c r="O1180" s="1901"/>
      <c r="P1180" s="1902"/>
      <c r="Q1180" s="1901"/>
      <c r="R1180" s="1902"/>
      <c r="S1180" s="1643"/>
      <c r="T1180" s="1643"/>
      <c r="U1180" s="1643"/>
      <c r="V1180" s="1643"/>
      <c r="W1180" s="1643"/>
      <c r="X1180" s="1643"/>
      <c r="Y1180" s="1644"/>
      <c r="AI1180" s="2023">
        <f>W1180-'Blocking-Step2'!W1180</f>
        <v>0</v>
      </c>
      <c r="AJ1180" s="2054">
        <f>O1180-'Blocking-Step2'!O1180</f>
        <v>0</v>
      </c>
    </row>
    <row r="1181" spans="1:36">
      <c r="A1181" s="1900" t="s">
        <v>278</v>
      </c>
      <c r="B1181" s="1869">
        <v>11</v>
      </c>
      <c r="C1181" s="528">
        <f t="shared" si="737"/>
        <v>3903.236457842675</v>
      </c>
      <c r="D1181" s="528">
        <f t="shared" si="737"/>
        <v>3792</v>
      </c>
      <c r="F1181" s="1901">
        <v>21.23</v>
      </c>
      <c r="G1181" s="1902"/>
      <c r="H1181" s="1644">
        <f t="shared" si="738"/>
        <v>82866</v>
      </c>
      <c r="I1181" s="1644">
        <f t="shared" si="738"/>
        <v>80504</v>
      </c>
      <c r="K1181" s="1901"/>
      <c r="L1181" s="1902"/>
      <c r="M1181" s="1901"/>
      <c r="N1181" s="1902"/>
      <c r="O1181" s="1901"/>
      <c r="P1181" s="1902"/>
      <c r="Q1181" s="1901"/>
      <c r="R1181" s="1902"/>
      <c r="S1181" s="1643"/>
      <c r="T1181" s="1643"/>
      <c r="U1181" s="1643"/>
      <c r="V1181" s="1643"/>
      <c r="W1181" s="1643"/>
      <c r="X1181" s="1643"/>
      <c r="Y1181" s="1644"/>
      <c r="AI1181" s="2023">
        <f>W1181-'Blocking-Step2'!W1181</f>
        <v>0</v>
      </c>
      <c r="AJ1181" s="2054">
        <f>O1181-'Blocking-Step2'!O1181</f>
        <v>0</v>
      </c>
    </row>
    <row r="1182" spans="1:36">
      <c r="A1182" s="1900" t="s">
        <v>279</v>
      </c>
      <c r="B1182" s="1869">
        <v>12</v>
      </c>
      <c r="C1182" s="528">
        <f t="shared" si="737"/>
        <v>2083.0886925795062</v>
      </c>
      <c r="D1182" s="528">
        <f t="shared" si="737"/>
        <v>1972</v>
      </c>
      <c r="F1182" s="1901">
        <v>28.3</v>
      </c>
      <c r="G1182" s="1902"/>
      <c r="H1182" s="1644">
        <f t="shared" si="738"/>
        <v>58951</v>
      </c>
      <c r="I1182" s="1644">
        <f t="shared" si="738"/>
        <v>55808</v>
      </c>
      <c r="K1182" s="1901"/>
      <c r="L1182" s="1902"/>
      <c r="M1182" s="1901"/>
      <c r="N1182" s="1902"/>
      <c r="O1182" s="1901"/>
      <c r="P1182" s="1902"/>
      <c r="Q1182" s="1901"/>
      <c r="R1182" s="1902"/>
      <c r="S1182" s="1643"/>
      <c r="T1182" s="1643"/>
      <c r="U1182" s="1643"/>
      <c r="V1182" s="1643"/>
      <c r="W1182" s="1643"/>
      <c r="X1182" s="1643"/>
      <c r="Y1182" s="1644"/>
      <c r="AI1182" s="2023">
        <f>W1182-'Blocking-Step2'!W1182</f>
        <v>0</v>
      </c>
      <c r="AJ1182" s="2054">
        <f>O1182-'Blocking-Step2'!O1182</f>
        <v>0</v>
      </c>
    </row>
    <row r="1183" spans="1:36">
      <c r="A1183" s="1900" t="s">
        <v>280</v>
      </c>
      <c r="B1183" s="1869">
        <v>13</v>
      </c>
      <c r="C1183" s="528">
        <f t="shared" si="737"/>
        <v>2142.9330511735266</v>
      </c>
      <c r="D1183" s="528">
        <f t="shared" si="737"/>
        <v>2067</v>
      </c>
      <c r="F1183" s="1901">
        <v>25.99</v>
      </c>
      <c r="G1183" s="1902"/>
      <c r="H1183" s="1644">
        <f t="shared" si="738"/>
        <v>55695</v>
      </c>
      <c r="I1183" s="1644">
        <f t="shared" si="738"/>
        <v>53721</v>
      </c>
      <c r="K1183" s="1901"/>
      <c r="L1183" s="1902"/>
      <c r="M1183" s="1901"/>
      <c r="N1183" s="1902"/>
      <c r="O1183" s="1901"/>
      <c r="P1183" s="1902"/>
      <c r="Q1183" s="1901"/>
      <c r="R1183" s="1902"/>
      <c r="S1183" s="1643"/>
      <c r="T1183" s="1643"/>
      <c r="U1183" s="1643"/>
      <c r="V1183" s="1643"/>
      <c r="W1183" s="1643"/>
      <c r="X1183" s="1643"/>
      <c r="Y1183" s="1644"/>
      <c r="AI1183" s="2023">
        <f>W1183-'Blocking-Step2'!W1183</f>
        <v>0</v>
      </c>
      <c r="AJ1183" s="2054">
        <f>O1183-'Blocking-Step2'!O1183</f>
        <v>0</v>
      </c>
    </row>
    <row r="1184" spans="1:36">
      <c r="A1184" s="1960" t="s">
        <v>281</v>
      </c>
      <c r="C1184" s="528"/>
      <c r="D1184" s="528"/>
      <c r="H1184" s="1644"/>
      <c r="I1184" s="1644"/>
      <c r="Y1184" s="1644"/>
      <c r="AI1184" s="2023">
        <f>W1184-'Blocking-Step2'!W1184</f>
        <v>0</v>
      </c>
      <c r="AJ1184" s="2054">
        <f>O1184-'Blocking-Step2'!O1184</f>
        <v>0</v>
      </c>
    </row>
    <row r="1185" spans="1:36">
      <c r="A1185" s="1900" t="s">
        <v>274</v>
      </c>
      <c r="B1185" s="1869">
        <v>14</v>
      </c>
      <c r="C1185" s="528">
        <f t="shared" ref="C1185:D1190" si="739">C1227+C1269+C1311+C1353</f>
        <v>4218.9188078108982</v>
      </c>
      <c r="D1185" s="528">
        <f t="shared" si="739"/>
        <v>4104</v>
      </c>
      <c r="F1185" s="1901">
        <v>19.46</v>
      </c>
      <c r="G1185" s="1902"/>
      <c r="H1185" s="1644">
        <f t="shared" ref="H1185:I1190" si="740">ROUND($F1185*C1185,0)</f>
        <v>82100</v>
      </c>
      <c r="I1185" s="1644">
        <f t="shared" si="740"/>
        <v>79864</v>
      </c>
      <c r="K1185" s="1901"/>
      <c r="L1185" s="1902"/>
      <c r="M1185" s="1901"/>
      <c r="N1185" s="1902"/>
      <c r="O1185" s="1901"/>
      <c r="P1185" s="1902"/>
      <c r="Q1185" s="1901"/>
      <c r="R1185" s="1902"/>
      <c r="S1185" s="1643"/>
      <c r="T1185" s="1643"/>
      <c r="U1185" s="1643"/>
      <c r="V1185" s="1643"/>
      <c r="W1185" s="1643"/>
      <c r="X1185" s="1643"/>
      <c r="Y1185" s="1644"/>
      <c r="AI1185" s="2023">
        <f>W1185-'Blocking-Step2'!W1185</f>
        <v>0</v>
      </c>
      <c r="AJ1185" s="2054">
        <f>O1185-'Blocking-Step2'!O1185</f>
        <v>0</v>
      </c>
    </row>
    <row r="1186" spans="1:36">
      <c r="A1186" s="1900" t="s">
        <v>275</v>
      </c>
      <c r="B1186" s="1869">
        <v>15</v>
      </c>
      <c r="C1186" s="528">
        <f t="shared" si="739"/>
        <v>4637.4354932866354</v>
      </c>
      <c r="D1186" s="528">
        <f t="shared" si="739"/>
        <v>4494</v>
      </c>
      <c r="F1186" s="1901">
        <v>17.13</v>
      </c>
      <c r="G1186" s="1902"/>
      <c r="H1186" s="1644">
        <f t="shared" si="740"/>
        <v>79439</v>
      </c>
      <c r="I1186" s="1644">
        <f t="shared" si="740"/>
        <v>76982</v>
      </c>
      <c r="K1186" s="1901"/>
      <c r="L1186" s="1902"/>
      <c r="M1186" s="1901"/>
      <c r="N1186" s="1902"/>
      <c r="O1186" s="1901"/>
      <c r="P1186" s="1902"/>
      <c r="Q1186" s="1901"/>
      <c r="R1186" s="1902"/>
      <c r="S1186" s="1643"/>
      <c r="T1186" s="1643"/>
      <c r="U1186" s="1643"/>
      <c r="V1186" s="1643"/>
      <c r="W1186" s="1643"/>
      <c r="X1186" s="1643"/>
      <c r="Y1186" s="1644"/>
      <c r="AI1186" s="2023">
        <f>W1186-'Blocking-Step2'!W1186</f>
        <v>0</v>
      </c>
      <c r="AJ1186" s="2054">
        <f>O1186-'Blocking-Step2'!O1186</f>
        <v>0</v>
      </c>
    </row>
    <row r="1187" spans="1:36">
      <c r="A1187" s="1900" t="s">
        <v>277</v>
      </c>
      <c r="B1187" s="1869">
        <v>16</v>
      </c>
      <c r="C1187" s="528">
        <f t="shared" si="739"/>
        <v>943.19906422798852</v>
      </c>
      <c r="D1187" s="528">
        <f t="shared" si="739"/>
        <v>906</v>
      </c>
      <c r="F1187" s="1901">
        <v>23.51</v>
      </c>
      <c r="G1187" s="1902"/>
      <c r="H1187" s="1644">
        <f t="shared" si="740"/>
        <v>22175</v>
      </c>
      <c r="I1187" s="1644">
        <f t="shared" si="740"/>
        <v>21300</v>
      </c>
      <c r="K1187" s="1901"/>
      <c r="L1187" s="1902"/>
      <c r="M1187" s="1901"/>
      <c r="N1187" s="1902"/>
      <c r="O1187" s="1901"/>
      <c r="P1187" s="1902"/>
      <c r="Q1187" s="1901"/>
      <c r="R1187" s="1902"/>
      <c r="S1187" s="1643"/>
      <c r="T1187" s="1643"/>
      <c r="U1187" s="1643"/>
      <c r="V1187" s="1643"/>
      <c r="W1187" s="1643"/>
      <c r="X1187" s="1643"/>
      <c r="Y1187" s="1644"/>
      <c r="AI1187" s="2023">
        <f>W1187-'Blocking-Step2'!W1187</f>
        <v>0</v>
      </c>
      <c r="AJ1187" s="2054">
        <f>O1187-'Blocking-Step2'!O1187</f>
        <v>0</v>
      </c>
    </row>
    <row r="1188" spans="1:36">
      <c r="A1188" s="1900" t="s">
        <v>278</v>
      </c>
      <c r="B1188" s="1869">
        <v>17</v>
      </c>
      <c r="C1188" s="528">
        <f t="shared" si="739"/>
        <v>1248.0325011775799</v>
      </c>
      <c r="D1188" s="528">
        <f t="shared" si="739"/>
        <v>1206</v>
      </c>
      <c r="F1188" s="1901">
        <v>21.23</v>
      </c>
      <c r="G1188" s="1902"/>
      <c r="H1188" s="1644">
        <f t="shared" si="740"/>
        <v>26496</v>
      </c>
      <c r="I1188" s="1644">
        <f t="shared" si="740"/>
        <v>25603</v>
      </c>
      <c r="K1188" s="1901"/>
      <c r="L1188" s="1902"/>
      <c r="M1188" s="1901"/>
      <c r="N1188" s="1902"/>
      <c r="O1188" s="1901"/>
      <c r="P1188" s="1902"/>
      <c r="Q1188" s="1901"/>
      <c r="R1188" s="1902"/>
      <c r="S1188" s="1643"/>
      <c r="T1188" s="1643"/>
      <c r="U1188" s="1643"/>
      <c r="V1188" s="1643"/>
      <c r="W1188" s="1643"/>
      <c r="X1188" s="1643"/>
      <c r="Y1188" s="1644"/>
      <c r="AI1188" s="2023">
        <f>W1188-'Blocking-Step2'!W1188</f>
        <v>0</v>
      </c>
      <c r="AJ1188" s="2054">
        <f>O1188-'Blocking-Step2'!O1188</f>
        <v>0</v>
      </c>
    </row>
    <row r="1189" spans="1:36">
      <c r="A1189" s="1900" t="s">
        <v>279</v>
      </c>
      <c r="B1189" s="1869">
        <v>18</v>
      </c>
      <c r="C1189" s="528">
        <f t="shared" si="739"/>
        <v>8440.1773851590024</v>
      </c>
      <c r="D1189" s="528">
        <f t="shared" si="739"/>
        <v>8226</v>
      </c>
      <c r="F1189" s="1901">
        <v>28.3</v>
      </c>
      <c r="G1189" s="1902"/>
      <c r="H1189" s="1644">
        <f t="shared" si="740"/>
        <v>238857</v>
      </c>
      <c r="I1189" s="1644">
        <f t="shared" si="740"/>
        <v>232796</v>
      </c>
      <c r="K1189" s="1901"/>
      <c r="L1189" s="1902"/>
      <c r="M1189" s="1901"/>
      <c r="N1189" s="1902"/>
      <c r="O1189" s="1901"/>
      <c r="P1189" s="1902"/>
      <c r="Q1189" s="1901"/>
      <c r="R1189" s="1902"/>
      <c r="S1189" s="1643"/>
      <c r="T1189" s="1643"/>
      <c r="U1189" s="1643"/>
      <c r="V1189" s="1643"/>
      <c r="W1189" s="1643"/>
      <c r="X1189" s="1643"/>
      <c r="Y1189" s="1644"/>
      <c r="AI1189" s="2023">
        <f>W1189-'Blocking-Step2'!W1189</f>
        <v>0</v>
      </c>
      <c r="AJ1189" s="2054">
        <f>O1189-'Blocking-Step2'!O1189</f>
        <v>0</v>
      </c>
    </row>
    <row r="1190" spans="1:36">
      <c r="A1190" s="1900" t="s">
        <v>280</v>
      </c>
      <c r="B1190" s="1869">
        <v>19</v>
      </c>
      <c r="C1190" s="528">
        <f t="shared" si="739"/>
        <v>9563.0681031165896</v>
      </c>
      <c r="D1190" s="528">
        <f t="shared" si="739"/>
        <v>9308</v>
      </c>
      <c r="F1190" s="1901">
        <v>25.99</v>
      </c>
      <c r="G1190" s="1902"/>
      <c r="H1190" s="1644">
        <f t="shared" si="740"/>
        <v>248544</v>
      </c>
      <c r="I1190" s="1644">
        <f t="shared" si="740"/>
        <v>241915</v>
      </c>
      <c r="K1190" s="1901"/>
      <c r="L1190" s="1902"/>
      <c r="M1190" s="1901"/>
      <c r="N1190" s="1902"/>
      <c r="O1190" s="1901"/>
      <c r="P1190" s="1902"/>
      <c r="Q1190" s="1901"/>
      <c r="R1190" s="1902"/>
      <c r="S1190" s="1643"/>
      <c r="T1190" s="1643"/>
      <c r="U1190" s="1643"/>
      <c r="V1190" s="1643"/>
      <c r="W1190" s="1643"/>
      <c r="X1190" s="1643"/>
      <c r="Y1190" s="1644"/>
      <c r="AI1190" s="2023">
        <f>W1190-'Blocking-Step2'!W1190</f>
        <v>0</v>
      </c>
      <c r="AJ1190" s="2054">
        <f>O1190-'Blocking-Step2'!O1190</f>
        <v>0</v>
      </c>
    </row>
    <row r="1191" spans="1:36">
      <c r="A1191" s="1960" t="s">
        <v>289</v>
      </c>
      <c r="C1191" s="528"/>
      <c r="D1191" s="528"/>
      <c r="AI1191" s="2023">
        <f>W1191-'Blocking-Step2'!W1191</f>
        <v>0</v>
      </c>
      <c r="AJ1191" s="2054">
        <f>O1191-'Blocking-Step2'!O1191</f>
        <v>0</v>
      </c>
    </row>
    <row r="1192" spans="1:36">
      <c r="A1192" s="1900" t="s">
        <v>290</v>
      </c>
      <c r="B1192" s="1869">
        <v>20</v>
      </c>
      <c r="C1192" s="528">
        <f t="shared" ref="C1192:D1199" si="741">C1234+C1276+C1318+C1360</f>
        <v>0</v>
      </c>
      <c r="D1192" s="528">
        <f t="shared" si="741"/>
        <v>0</v>
      </c>
      <c r="F1192" s="1901">
        <v>29.4</v>
      </c>
      <c r="G1192" s="1902"/>
      <c r="H1192" s="1644">
        <f t="shared" ref="H1192:I1199" si="742">ROUND($F1192*C1192,0)</f>
        <v>0</v>
      </c>
      <c r="I1192" s="1644">
        <f t="shared" si="742"/>
        <v>0</v>
      </c>
      <c r="K1192" s="1901"/>
      <c r="L1192" s="1902"/>
      <c r="M1192" s="1901"/>
      <c r="N1192" s="1902"/>
      <c r="O1192" s="1901"/>
      <c r="P1192" s="1902"/>
      <c r="Q1192" s="1901"/>
      <c r="R1192" s="1902"/>
      <c r="S1192" s="1643"/>
      <c r="T1192" s="1643"/>
      <c r="U1192" s="1643"/>
      <c r="V1192" s="1643"/>
      <c r="W1192" s="1643"/>
      <c r="X1192" s="1643"/>
      <c r="Y1192" s="1644"/>
      <c r="AI1192" s="2023">
        <f>W1192-'Blocking-Step2'!W1192</f>
        <v>0</v>
      </c>
      <c r="AJ1192" s="2054">
        <f>O1192-'Blocking-Step2'!O1192</f>
        <v>0</v>
      </c>
    </row>
    <row r="1193" spans="1:36">
      <c r="A1193" s="1900" t="s">
        <v>291</v>
      </c>
      <c r="B1193" s="1869">
        <v>21</v>
      </c>
      <c r="C1193" s="528">
        <f t="shared" si="741"/>
        <v>294.36622303809088</v>
      </c>
      <c r="D1193" s="528">
        <f t="shared" si="741"/>
        <v>280</v>
      </c>
      <c r="F1193" s="1901">
        <v>21.79</v>
      </c>
      <c r="G1193" s="1902"/>
      <c r="H1193" s="1644">
        <f t="shared" si="742"/>
        <v>6414</v>
      </c>
      <c r="I1193" s="1644">
        <f t="shared" si="742"/>
        <v>6101</v>
      </c>
      <c r="K1193" s="1901"/>
      <c r="L1193" s="1902"/>
      <c r="M1193" s="1901"/>
      <c r="N1193" s="1902"/>
      <c r="O1193" s="1901"/>
      <c r="P1193" s="1902"/>
      <c r="Q1193" s="1901"/>
      <c r="R1193" s="1902"/>
      <c r="S1193" s="1643"/>
      <c r="T1193" s="1643"/>
      <c r="U1193" s="1643"/>
      <c r="V1193" s="1643"/>
      <c r="W1193" s="1643"/>
      <c r="X1193" s="1643"/>
      <c r="Y1193" s="1644"/>
      <c r="AI1193" s="2023">
        <f>W1193-'Blocking-Step2'!W1193</f>
        <v>0</v>
      </c>
      <c r="AJ1193" s="2054">
        <f>O1193-'Blocking-Step2'!O1193</f>
        <v>0</v>
      </c>
    </row>
    <row r="1194" spans="1:36">
      <c r="A1194" s="1900" t="s">
        <v>292</v>
      </c>
      <c r="B1194" s="1869">
        <v>22</v>
      </c>
      <c r="C1194" s="528">
        <f t="shared" si="741"/>
        <v>108</v>
      </c>
      <c r="D1194" s="528">
        <f t="shared" si="741"/>
        <v>108</v>
      </c>
      <c r="F1194" s="1901">
        <v>34.340000000000003</v>
      </c>
      <c r="G1194" s="1902"/>
      <c r="H1194" s="1644">
        <f t="shared" si="742"/>
        <v>3709</v>
      </c>
      <c r="I1194" s="1644">
        <f t="shared" si="742"/>
        <v>3709</v>
      </c>
      <c r="K1194" s="1901"/>
      <c r="L1194" s="1902"/>
      <c r="M1194" s="1901"/>
      <c r="N1194" s="1902"/>
      <c r="O1194" s="1901"/>
      <c r="P1194" s="1902"/>
      <c r="Q1194" s="1901"/>
      <c r="R1194" s="1902"/>
      <c r="S1194" s="1643"/>
      <c r="T1194" s="1643"/>
      <c r="U1194" s="1643"/>
      <c r="V1194" s="1643"/>
      <c r="W1194" s="1643"/>
      <c r="X1194" s="1643"/>
      <c r="Y1194" s="1644"/>
      <c r="AI1194" s="2023">
        <f>W1194-'Blocking-Step2'!W1194</f>
        <v>0</v>
      </c>
      <c r="AJ1194" s="2054">
        <f>O1194-'Blocking-Step2'!O1194</f>
        <v>0</v>
      </c>
    </row>
    <row r="1195" spans="1:36">
      <c r="A1195" s="1900" t="s">
        <v>293</v>
      </c>
      <c r="B1195" s="1869">
        <v>23</v>
      </c>
      <c r="C1195" s="528">
        <f t="shared" si="741"/>
        <v>96</v>
      </c>
      <c r="D1195" s="528">
        <f t="shared" si="741"/>
        <v>94</v>
      </c>
      <c r="F1195" s="1901">
        <v>27.43</v>
      </c>
      <c r="G1195" s="1902"/>
      <c r="H1195" s="1644">
        <f t="shared" si="742"/>
        <v>2633</v>
      </c>
      <c r="I1195" s="1644">
        <f t="shared" si="742"/>
        <v>2578</v>
      </c>
      <c r="K1195" s="1901"/>
      <c r="L1195" s="1902"/>
      <c r="M1195" s="1901"/>
      <c r="N1195" s="1902"/>
      <c r="O1195" s="1901"/>
      <c r="P1195" s="1902"/>
      <c r="Q1195" s="1901"/>
      <c r="R1195" s="1902"/>
      <c r="S1195" s="1643"/>
      <c r="T1195" s="1643"/>
      <c r="U1195" s="1643"/>
      <c r="V1195" s="1643"/>
      <c r="W1195" s="1643"/>
      <c r="X1195" s="1643"/>
      <c r="Y1195" s="1644"/>
      <c r="AI1195" s="2023">
        <f>W1195-'Blocking-Step2'!W1195</f>
        <v>0</v>
      </c>
      <c r="AJ1195" s="2054">
        <f>O1195-'Blocking-Step2'!O1195</f>
        <v>0</v>
      </c>
    </row>
    <row r="1196" spans="1:36">
      <c r="A1196" s="1900" t="s">
        <v>294</v>
      </c>
      <c r="B1196" s="1869">
        <v>24</v>
      </c>
      <c r="C1196" s="528">
        <f t="shared" si="741"/>
        <v>326.76669392204963</v>
      </c>
      <c r="D1196" s="528">
        <f t="shared" si="741"/>
        <v>304</v>
      </c>
      <c r="F1196" s="1901">
        <v>36.69</v>
      </c>
      <c r="G1196" s="1902"/>
      <c r="H1196" s="1644">
        <f t="shared" si="742"/>
        <v>11989</v>
      </c>
      <c r="I1196" s="1644">
        <f t="shared" si="742"/>
        <v>11154</v>
      </c>
      <c r="K1196" s="1901"/>
      <c r="L1196" s="1902"/>
      <c r="M1196" s="1901"/>
      <c r="N1196" s="1902"/>
      <c r="O1196" s="1901"/>
      <c r="P1196" s="1902"/>
      <c r="Q1196" s="1901"/>
      <c r="R1196" s="1902"/>
      <c r="S1196" s="1643"/>
      <c r="T1196" s="1643"/>
      <c r="U1196" s="1643"/>
      <c r="V1196" s="1643"/>
      <c r="W1196" s="1643"/>
      <c r="X1196" s="1643"/>
      <c r="Y1196" s="1644"/>
      <c r="AI1196" s="2023">
        <f>W1196-'Blocking-Step2'!W1196</f>
        <v>0</v>
      </c>
      <c r="AJ1196" s="2054">
        <f>O1196-'Blocking-Step2'!O1196</f>
        <v>0</v>
      </c>
    </row>
    <row r="1197" spans="1:36">
      <c r="A1197" s="1900" t="s">
        <v>297</v>
      </c>
      <c r="B1197" s="1869">
        <v>25</v>
      </c>
      <c r="C1197" s="528">
        <f t="shared" si="741"/>
        <v>573.43304172274532</v>
      </c>
      <c r="D1197" s="528">
        <f t="shared" si="741"/>
        <v>553</v>
      </c>
      <c r="F1197" s="1901">
        <v>29.72</v>
      </c>
      <c r="G1197" s="1902"/>
      <c r="H1197" s="1644">
        <f t="shared" si="742"/>
        <v>17042</v>
      </c>
      <c r="I1197" s="1644">
        <f t="shared" si="742"/>
        <v>16435</v>
      </c>
      <c r="K1197" s="1901"/>
      <c r="L1197" s="1902"/>
      <c r="M1197" s="1901"/>
      <c r="N1197" s="1902"/>
      <c r="O1197" s="1901"/>
      <c r="P1197" s="1902"/>
      <c r="Q1197" s="1901"/>
      <c r="R1197" s="1902"/>
      <c r="S1197" s="1643"/>
      <c r="T1197" s="1643"/>
      <c r="U1197" s="1643"/>
      <c r="V1197" s="1643"/>
      <c r="W1197" s="1643"/>
      <c r="X1197" s="1643"/>
      <c r="Y1197" s="1644"/>
      <c r="AI1197" s="2023">
        <f>W1197-'Blocking-Step2'!W1197</f>
        <v>0</v>
      </c>
      <c r="AJ1197" s="2054">
        <f>O1197-'Blocking-Step2'!O1197</f>
        <v>0</v>
      </c>
    </row>
    <row r="1198" spans="1:36">
      <c r="A1198" s="1900" t="s">
        <v>298</v>
      </c>
      <c r="B1198" s="1869">
        <v>26</v>
      </c>
      <c r="C1198" s="528">
        <f t="shared" si="741"/>
        <v>12</v>
      </c>
      <c r="D1198" s="528">
        <f t="shared" si="741"/>
        <v>12</v>
      </c>
      <c r="F1198" s="1901">
        <v>57.58</v>
      </c>
      <c r="G1198" s="1902"/>
      <c r="H1198" s="1644">
        <f t="shared" si="742"/>
        <v>691</v>
      </c>
      <c r="I1198" s="1644">
        <f t="shared" si="742"/>
        <v>691</v>
      </c>
      <c r="K1198" s="1901"/>
      <c r="L1198" s="1902"/>
      <c r="M1198" s="1901"/>
      <c r="N1198" s="1902"/>
      <c r="O1198" s="1901"/>
      <c r="P1198" s="1902"/>
      <c r="Q1198" s="1901"/>
      <c r="R1198" s="1902"/>
      <c r="S1198" s="1643"/>
      <c r="T1198" s="1643"/>
      <c r="U1198" s="1643"/>
      <c r="V1198" s="1643"/>
      <c r="W1198" s="1643"/>
      <c r="X1198" s="1643"/>
      <c r="Y1198" s="1644"/>
      <c r="AI1198" s="2023">
        <f>W1198-'Blocking-Step2'!W1198</f>
        <v>0</v>
      </c>
      <c r="AJ1198" s="2054">
        <f>O1198-'Blocking-Step2'!O1198</f>
        <v>0</v>
      </c>
    </row>
    <row r="1199" spans="1:36">
      <c r="A1199" s="1900" t="s">
        <v>300</v>
      </c>
      <c r="B1199" s="1869">
        <v>27</v>
      </c>
      <c r="C1199" s="528">
        <f t="shared" si="741"/>
        <v>33.733401221995898</v>
      </c>
      <c r="D1199" s="528">
        <f t="shared" si="741"/>
        <v>33</v>
      </c>
      <c r="F1199" s="1901">
        <v>49.1</v>
      </c>
      <c r="G1199" s="1902"/>
      <c r="H1199" s="1644">
        <f t="shared" si="742"/>
        <v>1656</v>
      </c>
      <c r="I1199" s="1644">
        <f t="shared" si="742"/>
        <v>1620</v>
      </c>
      <c r="K1199" s="1901"/>
      <c r="L1199" s="1902"/>
      <c r="M1199" s="1901"/>
      <c r="N1199" s="1902"/>
      <c r="O1199" s="1901"/>
      <c r="P1199" s="1902"/>
      <c r="Q1199" s="1901"/>
      <c r="R1199" s="1902"/>
      <c r="S1199" s="1643"/>
      <c r="T1199" s="1643"/>
      <c r="U1199" s="1643"/>
      <c r="V1199" s="1643"/>
      <c r="W1199" s="1643"/>
      <c r="X1199" s="1643"/>
      <c r="Y1199" s="1644"/>
      <c r="AI1199" s="2023">
        <f>W1199-'Blocking-Step2'!W1199</f>
        <v>0</v>
      </c>
      <c r="AJ1199" s="2054">
        <f>O1199-'Blocking-Step2'!O1199</f>
        <v>0</v>
      </c>
    </row>
    <row r="1200" spans="1:36">
      <c r="A1200" s="1900" t="s">
        <v>130</v>
      </c>
      <c r="C1200" s="528">
        <f>SUM(C1168:C1199)</f>
        <v>139104.57732785653</v>
      </c>
      <c r="D1200" s="528">
        <f>SUM(D1168:D1199)</f>
        <v>134800</v>
      </c>
      <c r="H1200" s="1644">
        <f>SUM(H1168:H1199)</f>
        <v>2627201</v>
      </c>
      <c r="I1200" s="1644">
        <f>SUM(I1168:I1199)</f>
        <v>2546239</v>
      </c>
      <c r="Y1200" s="1644"/>
      <c r="AI1200" s="2023">
        <f>W1200-'Blocking-Step2'!W1200</f>
        <v>0</v>
      </c>
      <c r="AJ1200" s="2054">
        <f>O1200-'Blocking-Step2'!O1200</f>
        <v>0</v>
      </c>
    </row>
    <row r="1201" spans="1:36">
      <c r="A1201" s="1900" t="s">
        <v>36</v>
      </c>
      <c r="C1201" s="1027">
        <f t="shared" ref="C1201:D1202" si="743">C1243+C1285+C1327+C1369</f>
        <v>10821359.950480232</v>
      </c>
      <c r="D1201" s="1027">
        <f t="shared" si="743"/>
        <v>10497984.469308628</v>
      </c>
      <c r="H1201" s="1644"/>
      <c r="I1201" s="1644"/>
      <c r="Y1201" s="1644"/>
      <c r="AI1201" s="2023">
        <f>W1201-'Blocking-Step2'!W1201</f>
        <v>0</v>
      </c>
      <c r="AJ1201" s="2054">
        <f>O1201-'Blocking-Step2'!O1201</f>
        <v>0</v>
      </c>
    </row>
    <row r="1202" spans="1:36">
      <c r="A1202" s="1900" t="s">
        <v>136</v>
      </c>
      <c r="C1202" s="1028">
        <f t="shared" si="743"/>
        <v>21913</v>
      </c>
      <c r="D1202" s="1028">
        <f t="shared" si="743"/>
        <v>0</v>
      </c>
      <c r="F1202" s="1961"/>
      <c r="H1202" s="1649">
        <f>H1244+H1286+H1328+H1370</f>
        <v>7198</v>
      </c>
      <c r="I1202" s="1649">
        <f t="shared" ref="I1202" si="744">I1244+I1286+I1328+I1370</f>
        <v>0</v>
      </c>
      <c r="K1202" s="1961"/>
      <c r="M1202" s="1961"/>
      <c r="O1202" s="1961"/>
      <c r="Q1202" s="1961"/>
      <c r="Y1202" s="1649"/>
      <c r="AI1202" s="2023">
        <f>W1202-'Blocking-Step2'!W1202</f>
        <v>0</v>
      </c>
      <c r="AJ1202" s="2054">
        <f>O1202-'Blocking-Step2'!O1202</f>
        <v>0</v>
      </c>
    </row>
    <row r="1203" spans="1:36">
      <c r="A1203" s="1900" t="s">
        <v>1240</v>
      </c>
      <c r="C1203" s="584"/>
      <c r="D1203" s="584"/>
      <c r="F1203" s="1930">
        <v>-1.9800000000000002E-2</v>
      </c>
      <c r="G1203" s="597"/>
      <c r="H1203" s="1644">
        <f>H1200*$F1203</f>
        <v>-52018.579800000007</v>
      </c>
      <c r="I1203" s="1644">
        <f>I1200*$F1203</f>
        <v>-50415.532200000001</v>
      </c>
      <c r="K1203" s="1930"/>
      <c r="L1203" s="597"/>
      <c r="M1203" s="1930"/>
      <c r="N1203" s="597"/>
      <c r="O1203" s="1931" t="str">
        <f>$O$43</f>
        <v>Tax Year 1 (1/1/2021)</v>
      </c>
      <c r="P1203" s="597"/>
      <c r="Q1203" s="1930">
        <f>$AC$1203</f>
        <v>-1.0200000000000001E-2</v>
      </c>
      <c r="R1203" s="597"/>
      <c r="S1203" s="1645"/>
      <c r="T1203" s="1645"/>
      <c r="U1203" s="1645"/>
      <c r="V1203" s="1645"/>
      <c r="W1203" s="1645"/>
      <c r="X1203" s="1645"/>
      <c r="Y1203" s="1644">
        <f>Q1203*Y1206</f>
        <v>-14109.322079573956</v>
      </c>
      <c r="AA1203" s="1109" t="s">
        <v>1938</v>
      </c>
      <c r="AB1203" s="1917">
        <f>RateSpread!V56*1000</f>
        <v>-14075.85709050729</v>
      </c>
      <c r="AC1203" s="1918">
        <f>ROUND(AB1203/Y1206,4)</f>
        <v>-1.0200000000000001E-2</v>
      </c>
      <c r="AI1203" s="2023">
        <f>W1203-'Blocking-Step2'!W1203</f>
        <v>0</v>
      </c>
      <c r="AJ1203" s="2054">
        <f>O1203-'Blocking-Step2'!O1203</f>
        <v>0</v>
      </c>
    </row>
    <row r="1204" spans="1:36">
      <c r="A1204" s="1900"/>
      <c r="C1204" s="584"/>
      <c r="D1204" s="584"/>
      <c r="F1204" s="1930"/>
      <c r="G1204" s="597"/>
      <c r="H1204" s="1644"/>
      <c r="I1204" s="1644"/>
      <c r="K1204" s="1930"/>
      <c r="L1204" s="597"/>
      <c r="M1204" s="1930"/>
      <c r="N1204" s="597"/>
      <c r="O1204" s="1931">
        <f>$O$44</f>
        <v>0</v>
      </c>
      <c r="P1204" s="597"/>
      <c r="Q1204" s="1930">
        <f>$AC$1204</f>
        <v>0</v>
      </c>
      <c r="R1204" s="597"/>
      <c r="S1204" s="1645"/>
      <c r="T1204" s="1645"/>
      <c r="U1204" s="1645"/>
      <c r="V1204" s="1645"/>
      <c r="W1204" s="1645"/>
      <c r="X1204" s="1645"/>
      <c r="Y1204" s="1644">
        <f>Q1204*Y1206</f>
        <v>0</v>
      </c>
      <c r="AA1204" s="1109" t="s">
        <v>1939</v>
      </c>
      <c r="AB1204" s="1917">
        <v>0</v>
      </c>
      <c r="AC1204" s="1918">
        <f>ROUND(AB1204/Y1206,4)</f>
        <v>0</v>
      </c>
      <c r="AI1204" s="2023">
        <f>W1204-'Blocking-Step2'!W1204</f>
        <v>0</v>
      </c>
      <c r="AJ1204" s="2054">
        <f>O1204-'Blocking-Step2'!O1204</f>
        <v>0</v>
      </c>
    </row>
    <row r="1205" spans="1:36">
      <c r="A1205" s="1900" t="s">
        <v>141</v>
      </c>
      <c r="C1205" s="528">
        <f t="shared" ref="C1205:D1205" si="745">C1247+C1289+C1331+C1373</f>
        <v>6725.8333333333267</v>
      </c>
      <c r="D1205" s="528">
        <f t="shared" si="745"/>
        <v>6491</v>
      </c>
      <c r="AI1205" s="2023">
        <f>W1205-'Blocking-Step2'!W1205</f>
        <v>0</v>
      </c>
      <c r="AJ1205" s="2054">
        <f>O1205-'Blocking-Step2'!O1205</f>
        <v>0</v>
      </c>
    </row>
    <row r="1206" spans="1:36" ht="16.5" thickBot="1">
      <c r="A1206" s="1900" t="s">
        <v>302</v>
      </c>
      <c r="C1206" s="1029">
        <f>C1201+C1202</f>
        <v>10843272.950480232</v>
      </c>
      <c r="D1206" s="1029">
        <f>D1201+D1202</f>
        <v>10497984.469308628</v>
      </c>
      <c r="F1206" s="1935"/>
      <c r="H1206" s="1646">
        <f>SUM(H1200:H1203)</f>
        <v>2582380.4202000001</v>
      </c>
      <c r="I1206" s="1646">
        <f>SUM(I1200:I1203)</f>
        <v>2495823.4678000002</v>
      </c>
      <c r="K1206" s="1935"/>
      <c r="M1206" s="1935"/>
      <c r="O1206" s="1935"/>
      <c r="Q1206" s="1935"/>
      <c r="S1206" s="1637">
        <f>$Y1206*AA$1797/$AD$1797</f>
        <v>1014928.942939517</v>
      </c>
      <c r="U1206" s="1637">
        <f>$Y1206*AB$1797/$AD$1797</f>
        <v>150130.99724791467</v>
      </c>
      <c r="W1206" s="1637">
        <f>Y1206-S1206-U1206</f>
        <v>218206.93035903457</v>
      </c>
      <c r="Y1206" s="1646">
        <f>RateSpread!M56*1000</f>
        <v>1383266.8705464662</v>
      </c>
      <c r="AA1206" s="1104" t="s">
        <v>1743</v>
      </c>
      <c r="AB1206" s="1890">
        <f>Y1206/I1206-1</f>
        <v>-0.44576734356706005</v>
      </c>
      <c r="AI1206" s="2023">
        <f>W1206-'Blocking-Step2'!W1206</f>
        <v>0</v>
      </c>
      <c r="AJ1206" s="2054">
        <f>O1206-'Blocking-Step2'!O1206</f>
        <v>0</v>
      </c>
    </row>
    <row r="1207" spans="1:36" ht="16.5" hidden="1" thickTop="1">
      <c r="E1207" s="597"/>
      <c r="J1207" s="597"/>
      <c r="AI1207" s="2023">
        <f>W1207-'Blocking-Step2'!W1207</f>
        <v>0</v>
      </c>
      <c r="AJ1207" s="2054">
        <f>O1207-'Blocking-Step2'!O1207</f>
        <v>0</v>
      </c>
    </row>
    <row r="1208" spans="1:36" hidden="1">
      <c r="A1208" s="1897" t="s">
        <v>911</v>
      </c>
      <c r="C1208" s="528"/>
      <c r="D1208" s="528"/>
      <c r="AI1208" s="2023">
        <f>W1208-'Blocking-Step2'!W1208</f>
        <v>0</v>
      </c>
      <c r="AJ1208" s="2054">
        <f>O1208-'Blocking-Step2'!O1208</f>
        <v>0</v>
      </c>
    </row>
    <row r="1209" spans="1:36" hidden="1">
      <c r="A1209" s="1960" t="s">
        <v>264</v>
      </c>
      <c r="C1209" s="528" t="s">
        <v>428</v>
      </c>
      <c r="D1209" s="528"/>
      <c r="H1209" s="1644"/>
      <c r="I1209" s="1644"/>
      <c r="Y1209" s="1644"/>
      <c r="AI1209" s="2023">
        <f>W1209-'Blocking-Step2'!W1209</f>
        <v>0</v>
      </c>
      <c r="AJ1209" s="2054">
        <f>O1209-'Blocking-Step2'!O1209</f>
        <v>0</v>
      </c>
    </row>
    <row r="1210" spans="1:36" hidden="1">
      <c r="A1210" s="1900" t="s">
        <v>265</v>
      </c>
      <c r="B1210" s="1869">
        <v>29</v>
      </c>
      <c r="C1210" s="528">
        <f>SUMIFS('7'!$M$2:$M$85,'7'!$C$2:$C$85,B1210,'7'!$A$2:$A$85,$C$1209)</f>
        <v>0</v>
      </c>
      <c r="D1210" s="528">
        <f>ROUND(C1210/$C$1243*$D$1243,0)</f>
        <v>0</v>
      </c>
      <c r="F1210" s="1901">
        <v>5.68</v>
      </c>
      <c r="G1210" s="1902"/>
      <c r="H1210" s="1644">
        <f t="shared" ref="H1210:I1213" si="746">ROUND($F1210*C1210,0)</f>
        <v>0</v>
      </c>
      <c r="I1210" s="1644">
        <f t="shared" si="746"/>
        <v>0</v>
      </c>
      <c r="K1210" s="1901"/>
      <c r="L1210" s="1902"/>
      <c r="M1210" s="1901"/>
      <c r="N1210" s="1902"/>
      <c r="O1210" s="1901"/>
      <c r="P1210" s="1902"/>
      <c r="Q1210" s="1901"/>
      <c r="R1210" s="1902"/>
      <c r="S1210" s="1643"/>
      <c r="T1210" s="1643"/>
      <c r="U1210" s="1643"/>
      <c r="V1210" s="1643"/>
      <c r="W1210" s="1643"/>
      <c r="X1210" s="1643"/>
      <c r="Y1210" s="1644"/>
      <c r="AI1210" s="2023">
        <f>W1210-'Blocking-Step2'!W1210</f>
        <v>0</v>
      </c>
      <c r="AJ1210" s="2054">
        <f>O1210-'Blocking-Step2'!O1210</f>
        <v>0</v>
      </c>
    </row>
    <row r="1211" spans="1:36" hidden="1">
      <c r="A1211" s="1900" t="s">
        <v>266</v>
      </c>
      <c r="B1211" s="1869">
        <v>1</v>
      </c>
      <c r="C1211" s="528">
        <f>SUMIFS('7'!$M$2:$M$85,'7'!$C$2:$C$85,B1211,'7'!$A$2:$A$85,$C$1209)+SUMIFS('7'!$M$2:$M$85,'7'!$C$2:$C$85,28,'7'!$A$2:$A$85,$C$1209)</f>
        <v>12068.206959707</v>
      </c>
      <c r="D1211" s="528">
        <f>ROUND(C1211/$C$1243*$D$1243,0)</f>
        <v>11765</v>
      </c>
      <c r="F1211" s="1901">
        <v>16.38</v>
      </c>
      <c r="G1211" s="1902"/>
      <c r="H1211" s="1644">
        <f t="shared" si="746"/>
        <v>197677</v>
      </c>
      <c r="I1211" s="1644">
        <f t="shared" si="746"/>
        <v>192711</v>
      </c>
      <c r="K1211" s="1901"/>
      <c r="L1211" s="1902"/>
      <c r="M1211" s="1901"/>
      <c r="N1211" s="1902"/>
      <c r="O1211" s="1901"/>
      <c r="P1211" s="1902"/>
      <c r="Q1211" s="1901"/>
      <c r="R1211" s="1902"/>
      <c r="S1211" s="1643"/>
      <c r="T1211" s="1643"/>
      <c r="U1211" s="1643"/>
      <c r="V1211" s="1643"/>
      <c r="W1211" s="1643"/>
      <c r="X1211" s="1643"/>
      <c r="Y1211" s="1644"/>
      <c r="AI1211" s="2023">
        <f>W1211-'Blocking-Step2'!W1211</f>
        <v>0</v>
      </c>
      <c r="AJ1211" s="2054">
        <f>O1211-'Blocking-Step2'!O1211</f>
        <v>0</v>
      </c>
    </row>
    <row r="1212" spans="1:36" hidden="1">
      <c r="A1212" s="1900" t="s">
        <v>267</v>
      </c>
      <c r="B1212" s="1869">
        <v>40</v>
      </c>
      <c r="C1212" s="528">
        <f>SUMIFS('7'!$M$2:$M$85,'7'!$C$2:$C$85,B1212,'7'!$A$2:$A$85,$C$1209)</f>
        <v>0</v>
      </c>
      <c r="D1212" s="528">
        <f>ROUND(C1212/$C$1243*$D$1243,0)</f>
        <v>0</v>
      </c>
      <c r="F1212" s="1901">
        <v>8.0500000000000007</v>
      </c>
      <c r="G1212" s="1902"/>
      <c r="H1212" s="1644">
        <f t="shared" si="746"/>
        <v>0</v>
      </c>
      <c r="I1212" s="1644">
        <f t="shared" si="746"/>
        <v>0</v>
      </c>
      <c r="K1212" s="1901"/>
      <c r="L1212" s="1902"/>
      <c r="M1212" s="1901"/>
      <c r="N1212" s="1902"/>
      <c r="O1212" s="1901"/>
      <c r="P1212" s="1902"/>
      <c r="Q1212" s="1901"/>
      <c r="R1212" s="1902"/>
      <c r="S1212" s="1643"/>
      <c r="T1212" s="1643"/>
      <c r="U1212" s="1643"/>
      <c r="V1212" s="1643"/>
      <c r="W1212" s="1643"/>
      <c r="X1212" s="1643"/>
      <c r="Y1212" s="1644"/>
      <c r="AI1212" s="2023">
        <f>W1212-'Blocking-Step2'!W1212</f>
        <v>0</v>
      </c>
      <c r="AJ1212" s="2054">
        <f>O1212-'Blocking-Step2'!O1212</f>
        <v>0</v>
      </c>
    </row>
    <row r="1213" spans="1:36" hidden="1">
      <c r="A1213" s="1900" t="s">
        <v>268</v>
      </c>
      <c r="B1213" s="1869">
        <v>2</v>
      </c>
      <c r="C1213" s="528">
        <f>SUMIFS('7'!$M$2:$M$85,'7'!$C$2:$C$85,B1213,'7'!$A$2:$A$85,$C$1209)</f>
        <v>762.60156833457802</v>
      </c>
      <c r="D1213" s="528">
        <f>ROUND(C1213/$C$1243*$D$1243,0)</f>
        <v>743</v>
      </c>
      <c r="F1213" s="1901">
        <v>26.78</v>
      </c>
      <c r="G1213" s="1902"/>
      <c r="H1213" s="1644">
        <f t="shared" si="746"/>
        <v>20422</v>
      </c>
      <c r="I1213" s="1644">
        <f t="shared" si="746"/>
        <v>19898</v>
      </c>
      <c r="K1213" s="1901"/>
      <c r="L1213" s="1902"/>
      <c r="M1213" s="1901"/>
      <c r="N1213" s="1902"/>
      <c r="O1213" s="1901"/>
      <c r="P1213" s="1902"/>
      <c r="Q1213" s="1901"/>
      <c r="R1213" s="1902"/>
      <c r="S1213" s="1643"/>
      <c r="T1213" s="1643"/>
      <c r="U1213" s="1643"/>
      <c r="V1213" s="1643"/>
      <c r="W1213" s="1643"/>
      <c r="X1213" s="1643"/>
      <c r="Y1213" s="1644"/>
      <c r="AI1213" s="2023">
        <f>W1213-'Blocking-Step2'!W1213</f>
        <v>0</v>
      </c>
      <c r="AJ1213" s="2054">
        <f>O1213-'Blocking-Step2'!O1213</f>
        <v>0</v>
      </c>
    </row>
    <row r="1214" spans="1:36" hidden="1">
      <c r="A1214" s="1960" t="s">
        <v>269</v>
      </c>
      <c r="C1214" s="528"/>
      <c r="D1214" s="528"/>
      <c r="H1214" s="1644"/>
      <c r="I1214" s="1644"/>
      <c r="Y1214" s="1644"/>
      <c r="AI1214" s="2023">
        <f>W1214-'Blocking-Step2'!W1214</f>
        <v>0</v>
      </c>
      <c r="AJ1214" s="2054">
        <f>O1214-'Blocking-Step2'!O1214</f>
        <v>0</v>
      </c>
    </row>
    <row r="1215" spans="1:36" hidden="1">
      <c r="A1215" s="1900" t="s">
        <v>270</v>
      </c>
      <c r="B1215" s="1869">
        <v>3</v>
      </c>
      <c r="C1215" s="528">
        <f>SUMIFS('7'!$M$2:$M$85,'7'!$C$2:$C$85,B1215,'7'!$A$2:$A$85,$C$1209)</f>
        <v>2326.39726027397</v>
      </c>
      <c r="D1215" s="528">
        <f t="shared" ref="D1215:D1225" si="747">ROUND(C1215/$C$1243*$D$1243,0)</f>
        <v>2268</v>
      </c>
      <c r="F1215" s="1901">
        <v>14.6</v>
      </c>
      <c r="G1215" s="1902"/>
      <c r="H1215" s="1644">
        <f t="shared" ref="H1215:I1225" si="748">ROUND($F1215*C1215,0)</f>
        <v>33965</v>
      </c>
      <c r="I1215" s="1644">
        <f t="shared" si="748"/>
        <v>33113</v>
      </c>
      <c r="K1215" s="1901"/>
      <c r="L1215" s="1902"/>
      <c r="M1215" s="1901"/>
      <c r="N1215" s="1902"/>
      <c r="O1215" s="1901"/>
      <c r="P1215" s="1902"/>
      <c r="Q1215" s="1901"/>
      <c r="R1215" s="1902"/>
      <c r="S1215" s="1643"/>
      <c r="T1215" s="1643"/>
      <c r="U1215" s="1643"/>
      <c r="V1215" s="1643"/>
      <c r="W1215" s="1643"/>
      <c r="X1215" s="1643"/>
      <c r="Y1215" s="1644"/>
      <c r="AI1215" s="2023">
        <f>W1215-'Blocking-Step2'!W1215</f>
        <v>0</v>
      </c>
      <c r="AJ1215" s="2054">
        <f>O1215-'Blocking-Step2'!O1215</f>
        <v>0</v>
      </c>
    </row>
    <row r="1216" spans="1:36" hidden="1">
      <c r="A1216" s="1900" t="s">
        <v>271</v>
      </c>
      <c r="B1216" s="1869">
        <v>4</v>
      </c>
      <c r="C1216" s="528">
        <f>SUMIFS('7'!$M$2:$M$85,'7'!$C$2:$C$85,B1216,'7'!$A$2:$A$85,$C$1209)</f>
        <v>838.19869174161897</v>
      </c>
      <c r="D1216" s="528">
        <f t="shared" si="747"/>
        <v>817</v>
      </c>
      <c r="F1216" s="1901">
        <v>12.23</v>
      </c>
      <c r="G1216" s="1902"/>
      <c r="H1216" s="1644">
        <f t="shared" si="748"/>
        <v>10251</v>
      </c>
      <c r="I1216" s="1644">
        <f t="shared" si="748"/>
        <v>9992</v>
      </c>
      <c r="K1216" s="1901"/>
      <c r="L1216" s="1902"/>
      <c r="M1216" s="1901"/>
      <c r="N1216" s="1902"/>
      <c r="O1216" s="1901"/>
      <c r="P1216" s="1902"/>
      <c r="Q1216" s="1901"/>
      <c r="R1216" s="1902"/>
      <c r="S1216" s="1643"/>
      <c r="T1216" s="1643"/>
      <c r="U1216" s="1643"/>
      <c r="V1216" s="1643"/>
      <c r="W1216" s="1643"/>
      <c r="X1216" s="1643"/>
      <c r="Y1216" s="1644"/>
      <c r="AI1216" s="2023">
        <f>W1216-'Blocking-Step2'!W1216</f>
        <v>0</v>
      </c>
      <c r="AJ1216" s="2054">
        <f>O1216-'Blocking-Step2'!O1216</f>
        <v>0</v>
      </c>
    </row>
    <row r="1217" spans="1:36" hidden="1">
      <c r="A1217" s="1900" t="s">
        <v>272</v>
      </c>
      <c r="B1217" s="1869">
        <v>5</v>
      </c>
      <c r="C1217" s="528">
        <f>SUMIFS('7'!$M$2:$M$85,'7'!$C$2:$C$85,B1217,'7'!$A$2:$A$85,$C$1209)</f>
        <v>8663.8209437621099</v>
      </c>
      <c r="D1217" s="528">
        <f t="shared" si="747"/>
        <v>8446</v>
      </c>
      <c r="F1217" s="1901">
        <v>15.47</v>
      </c>
      <c r="G1217" s="1902"/>
      <c r="H1217" s="1644">
        <f t="shared" si="748"/>
        <v>134029</v>
      </c>
      <c r="I1217" s="1644">
        <f t="shared" si="748"/>
        <v>130660</v>
      </c>
      <c r="K1217" s="1901"/>
      <c r="L1217" s="1902"/>
      <c r="M1217" s="1901"/>
      <c r="N1217" s="1902"/>
      <c r="O1217" s="1901"/>
      <c r="P1217" s="1902"/>
      <c r="Q1217" s="1901"/>
      <c r="R1217" s="1902"/>
      <c r="S1217" s="1643"/>
      <c r="T1217" s="1643"/>
      <c r="U1217" s="1643"/>
      <c r="V1217" s="1643"/>
      <c r="W1217" s="1643"/>
      <c r="X1217" s="1643"/>
      <c r="Y1217" s="1644"/>
      <c r="AI1217" s="2023">
        <f>W1217-'Blocking-Step2'!W1217</f>
        <v>0</v>
      </c>
      <c r="AJ1217" s="2054">
        <f>O1217-'Blocking-Step2'!O1217</f>
        <v>0</v>
      </c>
    </row>
    <row r="1218" spans="1:36" hidden="1">
      <c r="A1218" s="1900" t="s">
        <v>273</v>
      </c>
      <c r="B1218" s="1869">
        <v>6</v>
      </c>
      <c r="C1218" s="528">
        <f>SUMIFS('7'!$M$2:$M$85,'7'!$C$2:$C$85,B1218,'7'!$A$2:$A$85,$C$1209)</f>
        <v>7765.4440270473397</v>
      </c>
      <c r="D1218" s="528">
        <f t="shared" si="747"/>
        <v>7570</v>
      </c>
      <c r="F1218" s="1901">
        <v>13.31</v>
      </c>
      <c r="G1218" s="1902"/>
      <c r="H1218" s="1644">
        <f t="shared" si="748"/>
        <v>103358</v>
      </c>
      <c r="I1218" s="1644">
        <f t="shared" si="748"/>
        <v>100757</v>
      </c>
      <c r="K1218" s="1901"/>
      <c r="L1218" s="1902"/>
      <c r="M1218" s="1901"/>
      <c r="N1218" s="1902"/>
      <c r="O1218" s="1901"/>
      <c r="P1218" s="1902"/>
      <c r="Q1218" s="1901"/>
      <c r="R1218" s="1902"/>
      <c r="S1218" s="1643"/>
      <c r="T1218" s="1643"/>
      <c r="U1218" s="1643"/>
      <c r="V1218" s="1643"/>
      <c r="W1218" s="1643"/>
      <c r="X1218" s="1643"/>
      <c r="Y1218" s="1644"/>
      <c r="AI1218" s="2023">
        <f>W1218-'Blocking-Step2'!W1218</f>
        <v>0</v>
      </c>
      <c r="AJ1218" s="2054">
        <f>O1218-'Blocking-Step2'!O1218</f>
        <v>0</v>
      </c>
    </row>
    <row r="1219" spans="1:36" hidden="1">
      <c r="A1219" s="1900" t="s">
        <v>274</v>
      </c>
      <c r="B1219" s="1869">
        <v>7</v>
      </c>
      <c r="C1219" s="528">
        <f>SUMIFS('7'!$M$2:$M$85,'7'!$C$2:$C$85,B1219,'7'!$A$2:$A$85,$C$1209)</f>
        <v>1029.5328879753299</v>
      </c>
      <c r="D1219" s="528">
        <f t="shared" si="747"/>
        <v>1004</v>
      </c>
      <c r="F1219" s="1901">
        <v>19.46</v>
      </c>
      <c r="G1219" s="1902"/>
      <c r="H1219" s="1644">
        <f t="shared" si="748"/>
        <v>20035</v>
      </c>
      <c r="I1219" s="1644">
        <f t="shared" si="748"/>
        <v>19538</v>
      </c>
      <c r="K1219" s="1901"/>
      <c r="L1219" s="1902"/>
      <c r="M1219" s="1901"/>
      <c r="N1219" s="1902"/>
      <c r="O1219" s="1901"/>
      <c r="P1219" s="1902"/>
      <c r="Q1219" s="1901"/>
      <c r="R1219" s="1902"/>
      <c r="S1219" s="1643"/>
      <c r="T1219" s="1643"/>
      <c r="U1219" s="1643"/>
      <c r="V1219" s="1643"/>
      <c r="W1219" s="1643"/>
      <c r="X1219" s="1643"/>
      <c r="Y1219" s="1644"/>
      <c r="AI1219" s="2023">
        <f>W1219-'Blocking-Step2'!W1219</f>
        <v>0</v>
      </c>
      <c r="AJ1219" s="2054">
        <f>O1219-'Blocking-Step2'!O1219</f>
        <v>0</v>
      </c>
    </row>
    <row r="1220" spans="1:36" hidden="1">
      <c r="A1220" s="1900" t="s">
        <v>275</v>
      </c>
      <c r="B1220" s="1869">
        <v>8</v>
      </c>
      <c r="C1220" s="528">
        <f>SUMIFS('7'!$M$2:$M$85,'7'!$C$2:$C$85,B1220,'7'!$A$2:$A$85,$C$1209)</f>
        <v>448.83537653239898</v>
      </c>
      <c r="D1220" s="528">
        <f t="shared" si="747"/>
        <v>438</v>
      </c>
      <c r="F1220" s="1901">
        <v>17.13</v>
      </c>
      <c r="G1220" s="1902"/>
      <c r="H1220" s="1644">
        <f t="shared" si="748"/>
        <v>7689</v>
      </c>
      <c r="I1220" s="1644">
        <f t="shared" si="748"/>
        <v>7503</v>
      </c>
      <c r="K1220" s="1901"/>
      <c r="L1220" s="1902"/>
      <c r="M1220" s="1901"/>
      <c r="N1220" s="1902"/>
      <c r="O1220" s="1901"/>
      <c r="P1220" s="1902"/>
      <c r="Q1220" s="1901"/>
      <c r="R1220" s="1902"/>
      <c r="S1220" s="1643"/>
      <c r="T1220" s="1643"/>
      <c r="U1220" s="1643"/>
      <c r="V1220" s="1643"/>
      <c r="W1220" s="1643"/>
      <c r="X1220" s="1643"/>
      <c r="Y1220" s="1644"/>
      <c r="AI1220" s="2023">
        <f>W1220-'Blocking-Step2'!W1220</f>
        <v>0</v>
      </c>
      <c r="AJ1220" s="2054">
        <f>O1220-'Blocking-Step2'!O1220</f>
        <v>0</v>
      </c>
    </row>
    <row r="1221" spans="1:36" hidden="1">
      <c r="A1221" s="1900" t="s">
        <v>276</v>
      </c>
      <c r="B1221" s="1869">
        <v>9</v>
      </c>
      <c r="C1221" s="528">
        <f>SUMIFS('7'!$M$2:$M$85,'7'!$C$2:$C$85,B1221,'7'!$A$2:$A$85,$C$1209)</f>
        <v>72.233507356430906</v>
      </c>
      <c r="D1221" s="528">
        <f t="shared" si="747"/>
        <v>70</v>
      </c>
      <c r="F1221" s="1901">
        <v>21.07</v>
      </c>
      <c r="G1221" s="1902"/>
      <c r="H1221" s="1644">
        <f t="shared" si="748"/>
        <v>1522</v>
      </c>
      <c r="I1221" s="1644">
        <f t="shared" si="748"/>
        <v>1475</v>
      </c>
      <c r="K1221" s="1901"/>
      <c r="L1221" s="1902"/>
      <c r="M1221" s="1901"/>
      <c r="N1221" s="1902"/>
      <c r="O1221" s="1901"/>
      <c r="P1221" s="1902"/>
      <c r="Q1221" s="1901"/>
      <c r="R1221" s="1902"/>
      <c r="S1221" s="1643"/>
      <c r="T1221" s="1643"/>
      <c r="U1221" s="1643"/>
      <c r="V1221" s="1643"/>
      <c r="W1221" s="1643"/>
      <c r="X1221" s="1643"/>
      <c r="Y1221" s="1644"/>
      <c r="AI1221" s="2023">
        <f>W1221-'Blocking-Step2'!W1221</f>
        <v>0</v>
      </c>
      <c r="AJ1221" s="2054">
        <f>O1221-'Blocking-Step2'!O1221</f>
        <v>0</v>
      </c>
    </row>
    <row r="1222" spans="1:36" hidden="1">
      <c r="A1222" s="1900" t="s">
        <v>277</v>
      </c>
      <c r="B1222" s="1869">
        <v>10</v>
      </c>
      <c r="C1222" s="528">
        <f>SUMIFS('7'!$M$2:$M$85,'7'!$C$2:$C$85,B1222,'7'!$A$2:$A$85,$C$1209)</f>
        <v>430.90131858783502</v>
      </c>
      <c r="D1222" s="528">
        <f t="shared" si="747"/>
        <v>420</v>
      </c>
      <c r="F1222" s="1901">
        <v>23.51</v>
      </c>
      <c r="G1222" s="1902"/>
      <c r="H1222" s="1644">
        <f t="shared" si="748"/>
        <v>10130</v>
      </c>
      <c r="I1222" s="1644">
        <f t="shared" si="748"/>
        <v>9874</v>
      </c>
      <c r="K1222" s="1901"/>
      <c r="L1222" s="1902"/>
      <c r="M1222" s="1901"/>
      <c r="N1222" s="1902"/>
      <c r="O1222" s="1901"/>
      <c r="P1222" s="1902"/>
      <c r="Q1222" s="1901"/>
      <c r="R1222" s="1902"/>
      <c r="S1222" s="1643"/>
      <c r="T1222" s="1643"/>
      <c r="U1222" s="1643"/>
      <c r="V1222" s="1643"/>
      <c r="W1222" s="1643"/>
      <c r="X1222" s="1643"/>
      <c r="Y1222" s="1644"/>
      <c r="AI1222" s="2023">
        <f>W1222-'Blocking-Step2'!W1222</f>
        <v>0</v>
      </c>
      <c r="AJ1222" s="2054">
        <f>O1222-'Blocking-Step2'!O1222</f>
        <v>0</v>
      </c>
    </row>
    <row r="1223" spans="1:36" hidden="1">
      <c r="A1223" s="1900" t="s">
        <v>278</v>
      </c>
      <c r="B1223" s="1869">
        <v>11</v>
      </c>
      <c r="C1223" s="528">
        <f>SUMIFS('7'!$M$2:$M$85,'7'!$C$2:$C$85,B1223,'7'!$A$2:$A$85,$C$1209)</f>
        <v>447.55204898728198</v>
      </c>
      <c r="D1223" s="528">
        <f t="shared" si="747"/>
        <v>436</v>
      </c>
      <c r="F1223" s="1901">
        <v>21.23</v>
      </c>
      <c r="G1223" s="1902"/>
      <c r="H1223" s="1644">
        <f t="shared" si="748"/>
        <v>9502</v>
      </c>
      <c r="I1223" s="1644">
        <f t="shared" si="748"/>
        <v>9256</v>
      </c>
      <c r="K1223" s="1901"/>
      <c r="L1223" s="1902"/>
      <c r="M1223" s="1901"/>
      <c r="N1223" s="1902"/>
      <c r="O1223" s="1901"/>
      <c r="P1223" s="1902"/>
      <c r="Q1223" s="1901"/>
      <c r="R1223" s="1902"/>
      <c r="S1223" s="1643"/>
      <c r="T1223" s="1643"/>
      <c r="U1223" s="1643"/>
      <c r="V1223" s="1643"/>
      <c r="W1223" s="1643"/>
      <c r="X1223" s="1643"/>
      <c r="Y1223" s="1644"/>
      <c r="AI1223" s="2023">
        <f>W1223-'Blocking-Step2'!W1223</f>
        <v>0</v>
      </c>
      <c r="AJ1223" s="2054">
        <f>O1223-'Blocking-Step2'!O1223</f>
        <v>0</v>
      </c>
    </row>
    <row r="1224" spans="1:36" hidden="1">
      <c r="A1224" s="1900" t="s">
        <v>279</v>
      </c>
      <c r="B1224" s="1869">
        <v>12</v>
      </c>
      <c r="C1224" s="528">
        <f>SUMIFS('7'!$M$2:$M$85,'7'!$C$2:$C$85,B1224,'7'!$A$2:$A$85,$C$1209)</f>
        <v>444</v>
      </c>
      <c r="D1224" s="528">
        <f t="shared" si="747"/>
        <v>433</v>
      </c>
      <c r="F1224" s="1901">
        <v>28.3</v>
      </c>
      <c r="G1224" s="1902"/>
      <c r="H1224" s="1644">
        <f t="shared" si="748"/>
        <v>12565</v>
      </c>
      <c r="I1224" s="1644">
        <f t="shared" si="748"/>
        <v>12254</v>
      </c>
      <c r="K1224" s="1901"/>
      <c r="L1224" s="1902"/>
      <c r="M1224" s="1901"/>
      <c r="N1224" s="1902"/>
      <c r="O1224" s="1901"/>
      <c r="P1224" s="1902"/>
      <c r="Q1224" s="1901"/>
      <c r="R1224" s="1902"/>
      <c r="S1224" s="1643"/>
      <c r="T1224" s="1643"/>
      <c r="U1224" s="1643"/>
      <c r="V1224" s="1643"/>
      <c r="W1224" s="1643"/>
      <c r="X1224" s="1643"/>
      <c r="Y1224" s="1644"/>
      <c r="AI1224" s="2023">
        <f>W1224-'Blocking-Step2'!W1224</f>
        <v>0</v>
      </c>
      <c r="AJ1224" s="2054">
        <f>O1224-'Blocking-Step2'!O1224</f>
        <v>0</v>
      </c>
    </row>
    <row r="1225" spans="1:36" hidden="1">
      <c r="A1225" s="1900" t="s">
        <v>280</v>
      </c>
      <c r="B1225" s="1869">
        <v>13</v>
      </c>
      <c r="C1225" s="528">
        <f>SUMIFS('7'!$M$2:$M$85,'7'!$C$2:$C$85,B1225,'7'!$A$2:$A$85,$C$1209)</f>
        <v>272.66641015775298</v>
      </c>
      <c r="D1225" s="528">
        <f t="shared" si="747"/>
        <v>266</v>
      </c>
      <c r="F1225" s="1901">
        <v>25.99</v>
      </c>
      <c r="G1225" s="1902"/>
      <c r="H1225" s="1644">
        <f t="shared" si="748"/>
        <v>7087</v>
      </c>
      <c r="I1225" s="1644">
        <f t="shared" si="748"/>
        <v>6913</v>
      </c>
      <c r="K1225" s="1901"/>
      <c r="L1225" s="1902"/>
      <c r="M1225" s="1901"/>
      <c r="N1225" s="1902"/>
      <c r="O1225" s="1901"/>
      <c r="P1225" s="1902"/>
      <c r="Q1225" s="1901"/>
      <c r="R1225" s="1902"/>
      <c r="S1225" s="1643"/>
      <c r="T1225" s="1643"/>
      <c r="U1225" s="1643"/>
      <c r="V1225" s="1643"/>
      <c r="W1225" s="1643"/>
      <c r="X1225" s="1643"/>
      <c r="Y1225" s="1644"/>
      <c r="AI1225" s="2023">
        <f>W1225-'Blocking-Step2'!W1225</f>
        <v>0</v>
      </c>
      <c r="AJ1225" s="2054">
        <f>O1225-'Blocking-Step2'!O1225</f>
        <v>0</v>
      </c>
    </row>
    <row r="1226" spans="1:36" hidden="1">
      <c r="A1226" s="1960" t="s">
        <v>281</v>
      </c>
      <c r="C1226" s="528"/>
      <c r="D1226" s="528"/>
      <c r="H1226" s="1644"/>
      <c r="I1226" s="1644"/>
      <c r="Y1226" s="1644"/>
      <c r="AI1226" s="2023">
        <f>W1226-'Blocking-Step2'!W1226</f>
        <v>0</v>
      </c>
      <c r="AJ1226" s="2054">
        <f>O1226-'Blocking-Step2'!O1226</f>
        <v>0</v>
      </c>
    </row>
    <row r="1227" spans="1:36" hidden="1">
      <c r="A1227" s="1900" t="s">
        <v>274</v>
      </c>
      <c r="B1227" s="1869">
        <v>14</v>
      </c>
      <c r="C1227" s="528">
        <f>SUMIFS('7'!$M$2:$M$85,'7'!$C$2:$C$85,B1227,'7'!$A$2:$A$85,$C$1209)</f>
        <v>1019.1341212744099</v>
      </c>
      <c r="D1227" s="528">
        <f t="shared" ref="D1227:D1232" si="749">ROUND(C1227/$C$1243*$D$1243,0)</f>
        <v>993</v>
      </c>
      <c r="F1227" s="1901">
        <v>19.46</v>
      </c>
      <c r="G1227" s="1902"/>
      <c r="H1227" s="1644">
        <f t="shared" ref="H1227:I1232" si="750">ROUND($F1227*C1227,0)</f>
        <v>19832</v>
      </c>
      <c r="I1227" s="1644">
        <f t="shared" si="750"/>
        <v>19324</v>
      </c>
      <c r="K1227" s="1901"/>
      <c r="L1227" s="1902"/>
      <c r="M1227" s="1901"/>
      <c r="N1227" s="1902"/>
      <c r="O1227" s="1901"/>
      <c r="P1227" s="1902"/>
      <c r="Q1227" s="1901"/>
      <c r="R1227" s="1902"/>
      <c r="S1227" s="1643"/>
      <c r="T1227" s="1643"/>
      <c r="U1227" s="1643"/>
      <c r="V1227" s="1643"/>
      <c r="W1227" s="1643"/>
      <c r="X1227" s="1643"/>
      <c r="Y1227" s="1644"/>
      <c r="AI1227" s="2023">
        <f>W1227-'Blocking-Step2'!W1227</f>
        <v>0</v>
      </c>
      <c r="AJ1227" s="2054">
        <f>O1227-'Blocking-Step2'!O1227</f>
        <v>0</v>
      </c>
    </row>
    <row r="1228" spans="1:36" hidden="1">
      <c r="A1228" s="1900" t="s">
        <v>275</v>
      </c>
      <c r="B1228" s="1869">
        <v>15</v>
      </c>
      <c r="C1228" s="528">
        <f>SUMIFS('7'!$M$2:$M$85,'7'!$C$2:$C$85,B1228,'7'!$A$2:$A$85,$C$1209)</f>
        <v>990.43432574430801</v>
      </c>
      <c r="D1228" s="528">
        <f t="shared" si="749"/>
        <v>966</v>
      </c>
      <c r="F1228" s="1901">
        <v>17.13</v>
      </c>
      <c r="G1228" s="1902"/>
      <c r="H1228" s="1644">
        <f t="shared" si="750"/>
        <v>16966</v>
      </c>
      <c r="I1228" s="1644">
        <f t="shared" si="750"/>
        <v>16548</v>
      </c>
      <c r="K1228" s="1901"/>
      <c r="L1228" s="1902"/>
      <c r="M1228" s="1901"/>
      <c r="N1228" s="1902"/>
      <c r="O1228" s="1901"/>
      <c r="P1228" s="1902"/>
      <c r="Q1228" s="1901"/>
      <c r="R1228" s="1902"/>
      <c r="S1228" s="1643"/>
      <c r="T1228" s="1643"/>
      <c r="U1228" s="1643"/>
      <c r="V1228" s="1643"/>
      <c r="W1228" s="1643"/>
      <c r="X1228" s="1643"/>
      <c r="Y1228" s="1644"/>
      <c r="AI1228" s="2023">
        <f>W1228-'Blocking-Step2'!W1228</f>
        <v>0</v>
      </c>
      <c r="AJ1228" s="2054">
        <f>O1228-'Blocking-Step2'!O1228</f>
        <v>0</v>
      </c>
    </row>
    <row r="1229" spans="1:36" hidden="1">
      <c r="A1229" s="1900" t="s">
        <v>277</v>
      </c>
      <c r="B1229" s="1869">
        <v>16</v>
      </c>
      <c r="C1229" s="528">
        <f>SUMIFS('7'!$M$2:$M$85,'7'!$C$2:$C$85,B1229,'7'!$A$2:$A$85,$C$1209)</f>
        <v>115.83283709059999</v>
      </c>
      <c r="D1229" s="528">
        <f t="shared" si="749"/>
        <v>113</v>
      </c>
      <c r="F1229" s="1901">
        <v>23.51</v>
      </c>
      <c r="G1229" s="1902"/>
      <c r="H1229" s="1644">
        <f t="shared" si="750"/>
        <v>2723</v>
      </c>
      <c r="I1229" s="1644">
        <f t="shared" si="750"/>
        <v>2657</v>
      </c>
      <c r="K1229" s="1901"/>
      <c r="L1229" s="1902"/>
      <c r="M1229" s="1901"/>
      <c r="N1229" s="1902"/>
      <c r="O1229" s="1901"/>
      <c r="P1229" s="1902"/>
      <c r="Q1229" s="1901"/>
      <c r="R1229" s="1902"/>
      <c r="S1229" s="1643"/>
      <c r="T1229" s="1643"/>
      <c r="U1229" s="1643"/>
      <c r="V1229" s="1643"/>
      <c r="W1229" s="1643"/>
      <c r="X1229" s="1643"/>
      <c r="Y1229" s="1644"/>
      <c r="AI1229" s="2023">
        <f>W1229-'Blocking-Step2'!W1229</f>
        <v>0</v>
      </c>
      <c r="AJ1229" s="2054">
        <f>O1229-'Blocking-Step2'!O1229</f>
        <v>0</v>
      </c>
    </row>
    <row r="1230" spans="1:36" hidden="1">
      <c r="A1230" s="1900" t="s">
        <v>278</v>
      </c>
      <c r="B1230" s="1869">
        <v>17</v>
      </c>
      <c r="C1230" s="528">
        <f>SUMIFS('7'!$M$2:$M$85,'7'!$C$2:$C$85,B1230,'7'!$A$2:$A$85,$C$1209)</f>
        <v>108</v>
      </c>
      <c r="D1230" s="528">
        <f t="shared" si="749"/>
        <v>105</v>
      </c>
      <c r="F1230" s="1901">
        <v>21.23</v>
      </c>
      <c r="G1230" s="1902"/>
      <c r="H1230" s="1644">
        <f t="shared" si="750"/>
        <v>2293</v>
      </c>
      <c r="I1230" s="1644">
        <f t="shared" si="750"/>
        <v>2229</v>
      </c>
      <c r="K1230" s="1901"/>
      <c r="L1230" s="1902"/>
      <c r="M1230" s="1901"/>
      <c r="N1230" s="1902"/>
      <c r="O1230" s="1901"/>
      <c r="P1230" s="1902"/>
      <c r="Q1230" s="1901"/>
      <c r="R1230" s="1902"/>
      <c r="S1230" s="1643"/>
      <c r="T1230" s="1643"/>
      <c r="U1230" s="1643"/>
      <c r="V1230" s="1643"/>
      <c r="W1230" s="1643"/>
      <c r="X1230" s="1643"/>
      <c r="Y1230" s="1644"/>
      <c r="AI1230" s="2023">
        <f>W1230-'Blocking-Step2'!W1230</f>
        <v>0</v>
      </c>
      <c r="AJ1230" s="2054">
        <f>O1230-'Blocking-Step2'!O1230</f>
        <v>0</v>
      </c>
    </row>
    <row r="1231" spans="1:36" hidden="1">
      <c r="A1231" s="1900" t="s">
        <v>279</v>
      </c>
      <c r="B1231" s="1869">
        <v>18</v>
      </c>
      <c r="C1231" s="528">
        <f>SUMIFS('7'!$M$2:$M$85,'7'!$C$2:$C$85,B1231,'7'!$A$2:$A$85,$C$1209)</f>
        <v>427.00035335689</v>
      </c>
      <c r="D1231" s="528">
        <f t="shared" si="749"/>
        <v>416</v>
      </c>
      <c r="F1231" s="1901">
        <v>28.3</v>
      </c>
      <c r="G1231" s="1902"/>
      <c r="H1231" s="1644">
        <f t="shared" si="750"/>
        <v>12084</v>
      </c>
      <c r="I1231" s="1644">
        <f t="shared" si="750"/>
        <v>11773</v>
      </c>
      <c r="K1231" s="1901"/>
      <c r="L1231" s="1902"/>
      <c r="M1231" s="1901"/>
      <c r="N1231" s="1902"/>
      <c r="O1231" s="1901"/>
      <c r="P1231" s="1902"/>
      <c r="Q1231" s="1901"/>
      <c r="R1231" s="1902"/>
      <c r="S1231" s="1643"/>
      <c r="T1231" s="1643"/>
      <c r="U1231" s="1643"/>
      <c r="V1231" s="1643"/>
      <c r="W1231" s="1643"/>
      <c r="X1231" s="1643"/>
      <c r="Y1231" s="1644"/>
      <c r="AI1231" s="2023">
        <f>W1231-'Blocking-Step2'!W1231</f>
        <v>0</v>
      </c>
      <c r="AJ1231" s="2054">
        <f>O1231-'Blocking-Step2'!O1231</f>
        <v>0</v>
      </c>
    </row>
    <row r="1232" spans="1:36" hidden="1">
      <c r="A1232" s="1900" t="s">
        <v>280</v>
      </c>
      <c r="B1232" s="1869">
        <v>19</v>
      </c>
      <c r="C1232" s="528">
        <f>SUMIFS('7'!$M$2:$M$85,'7'!$C$2:$C$85,B1232,'7'!$A$2:$A$85,$C$1209)</f>
        <v>593.96614082339397</v>
      </c>
      <c r="D1232" s="528">
        <f t="shared" si="749"/>
        <v>579</v>
      </c>
      <c r="F1232" s="1901">
        <v>25.99</v>
      </c>
      <c r="G1232" s="1902"/>
      <c r="H1232" s="1644">
        <f t="shared" si="750"/>
        <v>15437</v>
      </c>
      <c r="I1232" s="1644">
        <f t="shared" si="750"/>
        <v>15048</v>
      </c>
      <c r="K1232" s="1901"/>
      <c r="L1232" s="1902"/>
      <c r="M1232" s="1901"/>
      <c r="N1232" s="1902"/>
      <c r="O1232" s="1901"/>
      <c r="P1232" s="1902"/>
      <c r="Q1232" s="1901"/>
      <c r="R1232" s="1902"/>
      <c r="S1232" s="1643"/>
      <c r="T1232" s="1643"/>
      <c r="U1232" s="1643"/>
      <c r="V1232" s="1643"/>
      <c r="W1232" s="1643"/>
      <c r="X1232" s="1643"/>
      <c r="Y1232" s="1644"/>
      <c r="AI1232" s="2023">
        <f>W1232-'Blocking-Step2'!W1232</f>
        <v>0</v>
      </c>
      <c r="AJ1232" s="2054">
        <f>O1232-'Blocking-Step2'!O1232</f>
        <v>0</v>
      </c>
    </row>
    <row r="1233" spans="1:36" hidden="1">
      <c r="A1233" s="1960" t="s">
        <v>289</v>
      </c>
      <c r="C1233" s="528"/>
      <c r="D1233" s="528"/>
      <c r="AI1233" s="2023">
        <f>W1233-'Blocking-Step2'!W1233</f>
        <v>0</v>
      </c>
      <c r="AJ1233" s="2054">
        <f>O1233-'Blocking-Step2'!O1233</f>
        <v>0</v>
      </c>
    </row>
    <row r="1234" spans="1:36" hidden="1">
      <c r="A1234" s="1900" t="s">
        <v>290</v>
      </c>
      <c r="B1234" s="1869">
        <v>20</v>
      </c>
      <c r="C1234" s="528">
        <f>SUMIFS('7'!$M$2:$M$85,'7'!$C$2:$C$85,B1234,'7'!$A$2:$A$85,$C$1209)</f>
        <v>0</v>
      </c>
      <c r="D1234" s="528">
        <f t="shared" ref="D1234:D1241" si="751">ROUND(C1234/$C$1243*$D$1243,0)</f>
        <v>0</v>
      </c>
      <c r="F1234" s="1901">
        <v>29.4</v>
      </c>
      <c r="G1234" s="1902"/>
      <c r="H1234" s="1644">
        <f t="shared" ref="H1234:I1241" si="752">ROUND($F1234*C1234,0)</f>
        <v>0</v>
      </c>
      <c r="I1234" s="1644">
        <f t="shared" si="752"/>
        <v>0</v>
      </c>
      <c r="K1234" s="1901"/>
      <c r="L1234" s="1902"/>
      <c r="M1234" s="1901"/>
      <c r="N1234" s="1902"/>
      <c r="O1234" s="1901"/>
      <c r="P1234" s="1902"/>
      <c r="Q1234" s="1901"/>
      <c r="R1234" s="1902"/>
      <c r="S1234" s="1643"/>
      <c r="T1234" s="1643"/>
      <c r="U1234" s="1643"/>
      <c r="V1234" s="1643"/>
      <c r="W1234" s="1643"/>
      <c r="X1234" s="1643"/>
      <c r="Y1234" s="1644"/>
      <c r="AI1234" s="2023">
        <f>W1234-'Blocking-Step2'!W1234</f>
        <v>0</v>
      </c>
      <c r="AJ1234" s="2054">
        <f>O1234-'Blocking-Step2'!O1234</f>
        <v>0</v>
      </c>
    </row>
    <row r="1235" spans="1:36" hidden="1">
      <c r="A1235" s="1900" t="s">
        <v>291</v>
      </c>
      <c r="B1235" s="1869">
        <v>21</v>
      </c>
      <c r="C1235" s="528">
        <f>SUMIFS('7'!$M$2:$M$85,'7'!$C$2:$C$85,B1235,'7'!$A$2:$A$85,$C$1209)</f>
        <v>0</v>
      </c>
      <c r="D1235" s="528">
        <f t="shared" si="751"/>
        <v>0</v>
      </c>
      <c r="F1235" s="1901">
        <v>21.79</v>
      </c>
      <c r="G1235" s="1902"/>
      <c r="H1235" s="1644">
        <f t="shared" si="752"/>
        <v>0</v>
      </c>
      <c r="I1235" s="1644">
        <f t="shared" si="752"/>
        <v>0</v>
      </c>
      <c r="K1235" s="1901"/>
      <c r="L1235" s="1902"/>
      <c r="M1235" s="1901"/>
      <c r="N1235" s="1902"/>
      <c r="O1235" s="1901"/>
      <c r="P1235" s="1902"/>
      <c r="Q1235" s="1901"/>
      <c r="R1235" s="1902"/>
      <c r="S1235" s="1643"/>
      <c r="T1235" s="1643"/>
      <c r="U1235" s="1643"/>
      <c r="V1235" s="1643"/>
      <c r="W1235" s="1643"/>
      <c r="X1235" s="1643"/>
      <c r="Y1235" s="1644"/>
      <c r="AI1235" s="2023">
        <f>W1235-'Blocking-Step2'!W1235</f>
        <v>0</v>
      </c>
      <c r="AJ1235" s="2054">
        <f>O1235-'Blocking-Step2'!O1235</f>
        <v>0</v>
      </c>
    </row>
    <row r="1236" spans="1:36" hidden="1">
      <c r="A1236" s="1900" t="s">
        <v>292</v>
      </c>
      <c r="B1236" s="1869">
        <v>22</v>
      </c>
      <c r="C1236" s="528">
        <f>SUMIFS('7'!$M$2:$M$85,'7'!$C$2:$C$85,B1236,'7'!$A$2:$A$85,$C$1209)</f>
        <v>0</v>
      </c>
      <c r="D1236" s="528">
        <f t="shared" si="751"/>
        <v>0</v>
      </c>
      <c r="F1236" s="1901">
        <v>34.340000000000003</v>
      </c>
      <c r="G1236" s="1902"/>
      <c r="H1236" s="1644">
        <f t="shared" si="752"/>
        <v>0</v>
      </c>
      <c r="I1236" s="1644">
        <f t="shared" si="752"/>
        <v>0</v>
      </c>
      <c r="K1236" s="1901"/>
      <c r="L1236" s="1902"/>
      <c r="M1236" s="1901"/>
      <c r="N1236" s="1902"/>
      <c r="O1236" s="1901"/>
      <c r="P1236" s="1902"/>
      <c r="Q1236" s="1901"/>
      <c r="R1236" s="1902"/>
      <c r="S1236" s="1643"/>
      <c r="T1236" s="1643"/>
      <c r="U1236" s="1643"/>
      <c r="V1236" s="1643"/>
      <c r="W1236" s="1643"/>
      <c r="X1236" s="1643"/>
      <c r="Y1236" s="1644"/>
      <c r="AI1236" s="2023">
        <f>W1236-'Blocking-Step2'!W1236</f>
        <v>0</v>
      </c>
      <c r="AJ1236" s="2054">
        <f>O1236-'Blocking-Step2'!O1236</f>
        <v>0</v>
      </c>
    </row>
    <row r="1237" spans="1:36" hidden="1">
      <c r="A1237" s="1900" t="s">
        <v>293</v>
      </c>
      <c r="B1237" s="1869">
        <v>23</v>
      </c>
      <c r="C1237" s="528">
        <f>SUMIFS('7'!$M$2:$M$85,'7'!$C$2:$C$85,B1237,'7'!$A$2:$A$85,$C$1209)</f>
        <v>0</v>
      </c>
      <c r="D1237" s="528">
        <f t="shared" si="751"/>
        <v>0</v>
      </c>
      <c r="F1237" s="1901">
        <v>27.43</v>
      </c>
      <c r="G1237" s="1902"/>
      <c r="H1237" s="1644">
        <f t="shared" si="752"/>
        <v>0</v>
      </c>
      <c r="I1237" s="1644">
        <f t="shared" si="752"/>
        <v>0</v>
      </c>
      <c r="K1237" s="1901"/>
      <c r="L1237" s="1902"/>
      <c r="M1237" s="1901"/>
      <c r="N1237" s="1902"/>
      <c r="O1237" s="1901"/>
      <c r="P1237" s="1902"/>
      <c r="Q1237" s="1901"/>
      <c r="R1237" s="1902"/>
      <c r="S1237" s="1643"/>
      <c r="T1237" s="1643"/>
      <c r="U1237" s="1643"/>
      <c r="V1237" s="1643"/>
      <c r="W1237" s="1643"/>
      <c r="X1237" s="1643"/>
      <c r="Y1237" s="1644"/>
      <c r="AI1237" s="2023">
        <f>W1237-'Blocking-Step2'!W1237</f>
        <v>0</v>
      </c>
      <c r="AJ1237" s="2054">
        <f>O1237-'Blocking-Step2'!O1237</f>
        <v>0</v>
      </c>
    </row>
    <row r="1238" spans="1:36" hidden="1">
      <c r="A1238" s="1900" t="s">
        <v>294</v>
      </c>
      <c r="B1238" s="1869">
        <v>24</v>
      </c>
      <c r="C1238" s="528">
        <f>SUMIFS('7'!$M$2:$M$85,'7'!$C$2:$C$85,B1238,'7'!$A$2:$A$85,$C$1209)</f>
        <v>0</v>
      </c>
      <c r="D1238" s="528">
        <f t="shared" si="751"/>
        <v>0</v>
      </c>
      <c r="F1238" s="1901">
        <v>36.69</v>
      </c>
      <c r="G1238" s="1902"/>
      <c r="H1238" s="1644">
        <f t="shared" si="752"/>
        <v>0</v>
      </c>
      <c r="I1238" s="1644">
        <f t="shared" si="752"/>
        <v>0</v>
      </c>
      <c r="K1238" s="1901"/>
      <c r="L1238" s="1902"/>
      <c r="M1238" s="1901"/>
      <c r="N1238" s="1902"/>
      <c r="O1238" s="1901"/>
      <c r="P1238" s="1902"/>
      <c r="Q1238" s="1901"/>
      <c r="R1238" s="1902"/>
      <c r="S1238" s="1643"/>
      <c r="T1238" s="1643"/>
      <c r="U1238" s="1643"/>
      <c r="V1238" s="1643"/>
      <c r="W1238" s="1643"/>
      <c r="X1238" s="1643"/>
      <c r="Y1238" s="1644"/>
      <c r="AI1238" s="2023">
        <f>W1238-'Blocking-Step2'!W1238</f>
        <v>0</v>
      </c>
      <c r="AJ1238" s="2054">
        <f>O1238-'Blocking-Step2'!O1238</f>
        <v>0</v>
      </c>
    </row>
    <row r="1239" spans="1:36" hidden="1">
      <c r="A1239" s="1900" t="s">
        <v>297</v>
      </c>
      <c r="B1239" s="1869">
        <v>25</v>
      </c>
      <c r="C1239" s="528">
        <f>SUMIFS('7'!$M$2:$M$85,'7'!$C$2:$C$85,B1239,'7'!$A$2:$A$85,$C$1209)</f>
        <v>0</v>
      </c>
      <c r="D1239" s="528">
        <f t="shared" si="751"/>
        <v>0</v>
      </c>
      <c r="F1239" s="1901">
        <v>29.72</v>
      </c>
      <c r="G1239" s="1902"/>
      <c r="H1239" s="1644">
        <f t="shared" si="752"/>
        <v>0</v>
      </c>
      <c r="I1239" s="1644">
        <f t="shared" si="752"/>
        <v>0</v>
      </c>
      <c r="K1239" s="1901"/>
      <c r="L1239" s="1902"/>
      <c r="M1239" s="1901"/>
      <c r="N1239" s="1902"/>
      <c r="O1239" s="1901"/>
      <c r="P1239" s="1902"/>
      <c r="Q1239" s="1901"/>
      <c r="R1239" s="1902"/>
      <c r="S1239" s="1643"/>
      <c r="T1239" s="1643"/>
      <c r="U1239" s="1643"/>
      <c r="V1239" s="1643"/>
      <c r="W1239" s="1643"/>
      <c r="X1239" s="1643"/>
      <c r="Y1239" s="1644"/>
      <c r="AI1239" s="2023">
        <f>W1239-'Blocking-Step2'!W1239</f>
        <v>0</v>
      </c>
      <c r="AJ1239" s="2054">
        <f>O1239-'Blocking-Step2'!O1239</f>
        <v>0</v>
      </c>
    </row>
    <row r="1240" spans="1:36" hidden="1">
      <c r="A1240" s="1900" t="s">
        <v>298</v>
      </c>
      <c r="B1240" s="1869">
        <v>26</v>
      </c>
      <c r="C1240" s="528">
        <f>SUMIFS('7'!$M$2:$M$85,'7'!$C$2:$C$85,B1240,'7'!$A$2:$A$85,$C$1209)</f>
        <v>0</v>
      </c>
      <c r="D1240" s="528">
        <f t="shared" si="751"/>
        <v>0</v>
      </c>
      <c r="F1240" s="1901">
        <v>57.58</v>
      </c>
      <c r="G1240" s="1902"/>
      <c r="H1240" s="1644">
        <f t="shared" si="752"/>
        <v>0</v>
      </c>
      <c r="I1240" s="1644">
        <f t="shared" si="752"/>
        <v>0</v>
      </c>
      <c r="K1240" s="1901"/>
      <c r="L1240" s="1902"/>
      <c r="M1240" s="1901"/>
      <c r="N1240" s="1902"/>
      <c r="O1240" s="1901"/>
      <c r="P1240" s="1902"/>
      <c r="Q1240" s="1901"/>
      <c r="R1240" s="1902"/>
      <c r="S1240" s="1643"/>
      <c r="T1240" s="1643"/>
      <c r="U1240" s="1643"/>
      <c r="V1240" s="1643"/>
      <c r="W1240" s="1643"/>
      <c r="X1240" s="1643"/>
      <c r="Y1240" s="1644"/>
      <c r="AI1240" s="2023">
        <f>W1240-'Blocking-Step2'!W1240</f>
        <v>0</v>
      </c>
      <c r="AJ1240" s="2054">
        <f>O1240-'Blocking-Step2'!O1240</f>
        <v>0</v>
      </c>
    </row>
    <row r="1241" spans="1:36" hidden="1">
      <c r="A1241" s="1900" t="s">
        <v>300</v>
      </c>
      <c r="B1241" s="1869">
        <v>27</v>
      </c>
      <c r="C1241" s="528">
        <f>SUMIFS('7'!$M$2:$M$85,'7'!$C$2:$C$85,B1241,'7'!$A$2:$A$85,$C$1209)</f>
        <v>0</v>
      </c>
      <c r="D1241" s="528">
        <f t="shared" si="751"/>
        <v>0</v>
      </c>
      <c r="F1241" s="1901">
        <v>49.1</v>
      </c>
      <c r="G1241" s="1902"/>
      <c r="H1241" s="1644">
        <f t="shared" si="752"/>
        <v>0</v>
      </c>
      <c r="I1241" s="1644">
        <f t="shared" si="752"/>
        <v>0</v>
      </c>
      <c r="K1241" s="1901"/>
      <c r="L1241" s="1902"/>
      <c r="M1241" s="1901"/>
      <c r="N1241" s="1902"/>
      <c r="O1241" s="1901"/>
      <c r="P1241" s="1902"/>
      <c r="Q1241" s="1901"/>
      <c r="R1241" s="1902"/>
      <c r="S1241" s="1643"/>
      <c r="T1241" s="1643"/>
      <c r="U1241" s="1643"/>
      <c r="V1241" s="1643"/>
      <c r="W1241" s="1643"/>
      <c r="X1241" s="1643"/>
      <c r="Y1241" s="1644"/>
      <c r="AI1241" s="2023">
        <f>W1241-'Blocking-Step2'!W1241</f>
        <v>0</v>
      </c>
      <c r="AJ1241" s="2054">
        <f>O1241-'Blocking-Step2'!O1241</f>
        <v>0</v>
      </c>
    </row>
    <row r="1242" spans="1:36" hidden="1">
      <c r="A1242" s="1900" t="s">
        <v>130</v>
      </c>
      <c r="C1242" s="528">
        <f>SUM(C1210:C1241)</f>
        <v>38824.758778753254</v>
      </c>
      <c r="D1242" s="528">
        <f>SUM(D1210:D1241)</f>
        <v>37848</v>
      </c>
      <c r="H1242" s="1644">
        <f>SUM(H1210:H1241)</f>
        <v>637567</v>
      </c>
      <c r="I1242" s="1644">
        <f>SUM(I1210:I1241)</f>
        <v>621523</v>
      </c>
      <c r="Y1242" s="1644"/>
      <c r="AI1242" s="2023">
        <f>W1242-'Blocking-Step2'!W1242</f>
        <v>0</v>
      </c>
      <c r="AJ1242" s="2054">
        <f>O1242-'Blocking-Step2'!O1242</f>
        <v>0</v>
      </c>
    </row>
    <row r="1243" spans="1:36" hidden="1">
      <c r="A1243" s="1900" t="s">
        <v>36</v>
      </c>
      <c r="C1243" s="1027">
        <f>'7'!N91</f>
        <v>2246900.6861753906</v>
      </c>
      <c r="D1243" s="1027">
        <f>D1248</f>
        <v>2190362.1297112624</v>
      </c>
      <c r="H1243" s="1644"/>
      <c r="I1243" s="1644"/>
      <c r="Y1243" s="1644"/>
      <c r="AI1243" s="2023">
        <f>W1243-'Blocking-Step2'!W1243</f>
        <v>0</v>
      </c>
      <c r="AJ1243" s="2054">
        <f>O1243-'Blocking-Step2'!O1243</f>
        <v>0</v>
      </c>
    </row>
    <row r="1244" spans="1:36" hidden="1">
      <c r="A1244" s="1900" t="s">
        <v>136</v>
      </c>
      <c r="C1244" s="1028">
        <f>'Table 2'!J23</f>
        <v>12711</v>
      </c>
      <c r="D1244" s="1028">
        <v>0</v>
      </c>
      <c r="F1244" s="1961"/>
      <c r="H1244" s="1649">
        <f>'Table 3'!F23</f>
        <v>3843</v>
      </c>
      <c r="I1244" s="1030">
        <v>0</v>
      </c>
      <c r="K1244" s="1961"/>
      <c r="M1244" s="1961"/>
      <c r="O1244" s="1961"/>
      <c r="Q1244" s="1961"/>
      <c r="Y1244" s="1030"/>
      <c r="AI1244" s="2023">
        <f>W1244-'Blocking-Step2'!W1244</f>
        <v>0</v>
      </c>
      <c r="AJ1244" s="2054">
        <f>O1244-'Blocking-Step2'!O1244</f>
        <v>0</v>
      </c>
    </row>
    <row r="1245" spans="1:36" hidden="1">
      <c r="A1245" s="1900" t="s">
        <v>1240</v>
      </c>
      <c r="C1245" s="584"/>
      <c r="D1245" s="584"/>
      <c r="F1245" s="1930">
        <v>-1.9800000000000002E-2</v>
      </c>
      <c r="G1245" s="597"/>
      <c r="H1245" s="1644">
        <f>H1242*$F1245</f>
        <v>-12623.8266</v>
      </c>
      <c r="I1245" s="1644">
        <f>I1242*$F1245</f>
        <v>-12306.155400000001</v>
      </c>
      <c r="K1245" s="1930"/>
      <c r="L1245" s="597"/>
      <c r="M1245" s="1930"/>
      <c r="N1245" s="597"/>
      <c r="O1245" s="1931" t="str">
        <f>$O$43</f>
        <v>Tax Year 1 (1/1/2021)</v>
      </c>
      <c r="P1245" s="597"/>
      <c r="Q1245" s="1930">
        <f>$AC$1203</f>
        <v>-1.0200000000000001E-2</v>
      </c>
      <c r="R1245" s="597"/>
      <c r="S1245" s="1645"/>
      <c r="T1245" s="1645"/>
      <c r="U1245" s="1645"/>
      <c r="V1245" s="1645"/>
      <c r="W1245" s="1645"/>
      <c r="X1245" s="1645"/>
      <c r="Y1245" s="1644">
        <f>Q1245*Y1248</f>
        <v>-3444.0082752887861</v>
      </c>
      <c r="AI1245" s="2023">
        <f>W1245-'Blocking-Step2'!W1245</f>
        <v>0</v>
      </c>
      <c r="AJ1245" s="2054">
        <f>O1245-'Blocking-Step2'!O1245</f>
        <v>0</v>
      </c>
    </row>
    <row r="1246" spans="1:36" hidden="1">
      <c r="A1246" s="1900"/>
      <c r="C1246" s="584"/>
      <c r="D1246" s="584"/>
      <c r="F1246" s="1930"/>
      <c r="G1246" s="597"/>
      <c r="H1246" s="1644"/>
      <c r="I1246" s="1644"/>
      <c r="K1246" s="1930"/>
      <c r="L1246" s="597"/>
      <c r="M1246" s="1930"/>
      <c r="N1246" s="597"/>
      <c r="O1246" s="1931">
        <f>$O$44</f>
        <v>0</v>
      </c>
      <c r="P1246" s="597"/>
      <c r="Q1246" s="1930">
        <f>$AC$1204</f>
        <v>0</v>
      </c>
      <c r="R1246" s="597"/>
      <c r="S1246" s="1645"/>
      <c r="T1246" s="1645"/>
      <c r="U1246" s="1645"/>
      <c r="V1246" s="1645"/>
      <c r="W1246" s="1645"/>
      <c r="X1246" s="1645"/>
      <c r="Y1246" s="1644">
        <f>Q1246*Y1248</f>
        <v>0</v>
      </c>
      <c r="AI1246" s="2023">
        <f>W1246-'Blocking-Step2'!W1246</f>
        <v>0</v>
      </c>
      <c r="AJ1246" s="2054">
        <f>O1246-'Blocking-Step2'!O1246</f>
        <v>0</v>
      </c>
    </row>
    <row r="1247" spans="1:36" hidden="1">
      <c r="A1247" s="1900" t="s">
        <v>141</v>
      </c>
      <c r="C1247" s="528">
        <f>'Table 2'!F23</f>
        <v>2277.3333333333298</v>
      </c>
      <c r="D1247" s="528">
        <f>ROUND(Bill!P13/12,0)</f>
        <v>2205</v>
      </c>
      <c r="AI1247" s="2023">
        <f>W1247-'Blocking-Step2'!W1247</f>
        <v>0</v>
      </c>
      <c r="AJ1247" s="2054">
        <f>O1247-'Blocking-Step2'!O1247</f>
        <v>0</v>
      </c>
    </row>
    <row r="1248" spans="1:36" ht="16.5" hidden="1" thickBot="1">
      <c r="A1248" s="1900" t="s">
        <v>302</v>
      </c>
      <c r="C1248" s="1029">
        <f>C1243+C1244</f>
        <v>2259611.6861753906</v>
      </c>
      <c r="D1248" s="1029">
        <f>Energy!P13</f>
        <v>2190362.1297112624</v>
      </c>
      <c r="F1248" s="1935"/>
      <c r="H1248" s="1646">
        <f>SUM(H1242:H1245)</f>
        <v>628786.17339999997</v>
      </c>
      <c r="I1248" s="1646">
        <f>SUM(I1242:I1245)</f>
        <v>609216.84459999995</v>
      </c>
      <c r="K1248" s="1935"/>
      <c r="M1248" s="1935"/>
      <c r="O1248" s="1935"/>
      <c r="Q1248" s="1935"/>
      <c r="S1248" s="1646">
        <f>$Y1248/$Y$1206*S1206</f>
        <v>247738.59853792097</v>
      </c>
      <c r="U1248" s="1646">
        <f>$Y1248/$Y$1206*U1206</f>
        <v>36646.154505730083</v>
      </c>
      <c r="W1248" s="1646">
        <f>Y1248-S1248-U1248</f>
        <v>53263.117082700483</v>
      </c>
      <c r="Y1248" s="1646">
        <f>$Y$1206/$I$1206*I1248</f>
        <v>337647.87012635154</v>
      </c>
      <c r="AA1248" s="1104" t="s">
        <v>1743</v>
      </c>
      <c r="AB1248" s="1890">
        <f>Y1248/I1248-1</f>
        <v>-0.44576734356706005</v>
      </c>
      <c r="AI1248" s="2023">
        <f>W1248-'Blocking-Step2'!W1248</f>
        <v>0</v>
      </c>
      <c r="AJ1248" s="2054">
        <f>O1248-'Blocking-Step2'!O1248</f>
        <v>0</v>
      </c>
    </row>
    <row r="1249" spans="1:36" ht="16.5" hidden="1" thickTop="1">
      <c r="E1249" s="597"/>
      <c r="J1249" s="597"/>
      <c r="AI1249" s="2023">
        <f>W1249-'Blocking-Step2'!W1249</f>
        <v>0</v>
      </c>
      <c r="AJ1249" s="2054">
        <f>O1249-'Blocking-Step2'!O1249</f>
        <v>0</v>
      </c>
    </row>
    <row r="1250" spans="1:36" hidden="1">
      <c r="A1250" s="1897" t="s">
        <v>914</v>
      </c>
      <c r="C1250" s="528"/>
      <c r="D1250" s="528"/>
      <c r="AI1250" s="2023">
        <f>W1250-'Blocking-Step2'!W1250</f>
        <v>0</v>
      </c>
      <c r="AJ1250" s="2054">
        <f>O1250-'Blocking-Step2'!O1250</f>
        <v>0</v>
      </c>
    </row>
    <row r="1251" spans="1:36" hidden="1">
      <c r="A1251" s="1960" t="s">
        <v>264</v>
      </c>
      <c r="C1251" s="528" t="s">
        <v>429</v>
      </c>
      <c r="D1251" s="528"/>
      <c r="H1251" s="1644"/>
      <c r="I1251" s="1644"/>
      <c r="Y1251" s="1644"/>
      <c r="AI1251" s="2023">
        <f>W1251-'Blocking-Step2'!W1251</f>
        <v>0</v>
      </c>
      <c r="AJ1251" s="2054">
        <f>O1251-'Blocking-Step2'!O1251</f>
        <v>0</v>
      </c>
    </row>
    <row r="1252" spans="1:36" hidden="1">
      <c r="A1252" s="1900" t="s">
        <v>265</v>
      </c>
      <c r="B1252" s="1869">
        <v>29</v>
      </c>
      <c r="C1252" s="528">
        <f>SUMIFS('7'!$M$2:$M$85,'7'!$C$2:$C$85,B1252,'7'!$A$2:$A$85,$C$1251)</f>
        <v>0</v>
      </c>
      <c r="D1252" s="528">
        <f>ROUND(C1252/$C$1285*$D$1285,0)</f>
        <v>0</v>
      </c>
      <c r="F1252" s="1901">
        <v>5.68</v>
      </c>
      <c r="G1252" s="1902"/>
      <c r="H1252" s="1644">
        <f t="shared" ref="H1252:I1255" si="753">ROUND($F1252*C1252,0)</f>
        <v>0</v>
      </c>
      <c r="I1252" s="1644">
        <f t="shared" si="753"/>
        <v>0</v>
      </c>
      <c r="K1252" s="1901"/>
      <c r="L1252" s="1902"/>
      <c r="M1252" s="1901"/>
      <c r="N1252" s="1902"/>
      <c r="O1252" s="1901"/>
      <c r="P1252" s="1902"/>
      <c r="Q1252" s="1901"/>
      <c r="R1252" s="1902"/>
      <c r="S1252" s="1643"/>
      <c r="T1252" s="1643"/>
      <c r="U1252" s="1643"/>
      <c r="V1252" s="1643"/>
      <c r="W1252" s="1643"/>
      <c r="X1252" s="1643"/>
      <c r="Y1252" s="1644"/>
      <c r="AI1252" s="2023">
        <f>W1252-'Blocking-Step2'!W1252</f>
        <v>0</v>
      </c>
      <c r="AJ1252" s="2054">
        <f>O1252-'Blocking-Step2'!O1252</f>
        <v>0</v>
      </c>
    </row>
    <row r="1253" spans="1:36" hidden="1">
      <c r="A1253" s="1900" t="s">
        <v>266</v>
      </c>
      <c r="B1253" s="1869">
        <v>1</v>
      </c>
      <c r="C1253" s="528">
        <f>SUMIFS('7'!$M$2:$M$85,'7'!$C$2:$C$85,B1253,'7'!$A$2:$A$85,$C$1251)+SUMIFS('7'!$M$2:$M$85,'7'!$C$2:$C$85,28,'7'!$A$2:$A$85,$C$1251)</f>
        <v>21854.609890109899</v>
      </c>
      <c r="D1253" s="528">
        <f t="shared" ref="D1253:D1255" si="754">ROUND(C1253/$C$1285*$D$1285,0)</f>
        <v>21101</v>
      </c>
      <c r="F1253" s="1901">
        <v>16.38</v>
      </c>
      <c r="G1253" s="1902"/>
      <c r="H1253" s="1644">
        <f t="shared" si="753"/>
        <v>357979</v>
      </c>
      <c r="I1253" s="1644">
        <f t="shared" si="753"/>
        <v>345634</v>
      </c>
      <c r="K1253" s="1901"/>
      <c r="L1253" s="1902"/>
      <c r="M1253" s="1901"/>
      <c r="N1253" s="1902"/>
      <c r="O1253" s="1901"/>
      <c r="P1253" s="1902"/>
      <c r="Q1253" s="1901"/>
      <c r="R1253" s="1902"/>
      <c r="S1253" s="1643"/>
      <c r="T1253" s="1643"/>
      <c r="U1253" s="1643"/>
      <c r="V1253" s="1643"/>
      <c r="W1253" s="1643"/>
      <c r="X1253" s="1643"/>
      <c r="Y1253" s="1644"/>
      <c r="AI1253" s="2023">
        <f>W1253-'Blocking-Step2'!W1253</f>
        <v>0</v>
      </c>
      <c r="AJ1253" s="2054">
        <f>O1253-'Blocking-Step2'!O1253</f>
        <v>0</v>
      </c>
    </row>
    <row r="1254" spans="1:36" hidden="1">
      <c r="A1254" s="1900" t="s">
        <v>267</v>
      </c>
      <c r="B1254" s="1869">
        <v>40</v>
      </c>
      <c r="C1254" s="528">
        <f>SUMIFS('7'!$M$2:$M$85,'7'!$C$2:$C$85,B1254,'7'!$A$2:$A$85,$C$1251)</f>
        <v>0</v>
      </c>
      <c r="D1254" s="528">
        <f t="shared" si="754"/>
        <v>0</v>
      </c>
      <c r="F1254" s="1901">
        <v>8.0500000000000007</v>
      </c>
      <c r="G1254" s="1902"/>
      <c r="H1254" s="1644">
        <f t="shared" si="753"/>
        <v>0</v>
      </c>
      <c r="I1254" s="1644">
        <f t="shared" si="753"/>
        <v>0</v>
      </c>
      <c r="K1254" s="1901"/>
      <c r="L1254" s="1902"/>
      <c r="M1254" s="1901"/>
      <c r="N1254" s="1902"/>
      <c r="O1254" s="1901"/>
      <c r="P1254" s="1902"/>
      <c r="Q1254" s="1901"/>
      <c r="R1254" s="1902"/>
      <c r="S1254" s="1643"/>
      <c r="T1254" s="1643"/>
      <c r="U1254" s="1643"/>
      <c r="V1254" s="1643"/>
      <c r="W1254" s="1643"/>
      <c r="X1254" s="1643"/>
      <c r="Y1254" s="1644"/>
      <c r="AI1254" s="2023">
        <f>W1254-'Blocking-Step2'!W1254</f>
        <v>0</v>
      </c>
      <c r="AJ1254" s="2054">
        <f>O1254-'Blocking-Step2'!O1254</f>
        <v>0</v>
      </c>
    </row>
    <row r="1255" spans="1:36" hidden="1">
      <c r="A1255" s="1900" t="s">
        <v>268</v>
      </c>
      <c r="B1255" s="1869">
        <v>2</v>
      </c>
      <c r="C1255" s="528">
        <f>SUMIFS('7'!$M$2:$M$85,'7'!$C$2:$C$85,B1255,'7'!$A$2:$A$85,$C$1251)</f>
        <v>6704.2098581030596</v>
      </c>
      <c r="D1255" s="528">
        <f t="shared" si="754"/>
        <v>6473</v>
      </c>
      <c r="F1255" s="1901">
        <v>26.78</v>
      </c>
      <c r="G1255" s="1902"/>
      <c r="H1255" s="1644">
        <f t="shared" si="753"/>
        <v>179539</v>
      </c>
      <c r="I1255" s="1644">
        <f t="shared" si="753"/>
        <v>173347</v>
      </c>
      <c r="K1255" s="1901"/>
      <c r="L1255" s="1902"/>
      <c r="M1255" s="1901"/>
      <c r="N1255" s="1902"/>
      <c r="O1255" s="1901"/>
      <c r="P1255" s="1902"/>
      <c r="Q1255" s="1901"/>
      <c r="R1255" s="1902"/>
      <c r="S1255" s="1643"/>
      <c r="T1255" s="1643"/>
      <c r="U1255" s="1643"/>
      <c r="V1255" s="1643"/>
      <c r="W1255" s="1643"/>
      <c r="X1255" s="1643"/>
      <c r="Y1255" s="1644"/>
      <c r="AI1255" s="2023">
        <f>W1255-'Blocking-Step2'!W1255</f>
        <v>0</v>
      </c>
      <c r="AJ1255" s="2054">
        <f>O1255-'Blocking-Step2'!O1255</f>
        <v>0</v>
      </c>
    </row>
    <row r="1256" spans="1:36" hidden="1">
      <c r="A1256" s="1960" t="s">
        <v>269</v>
      </c>
      <c r="C1256" s="528"/>
      <c r="D1256" s="528"/>
      <c r="H1256" s="1644"/>
      <c r="I1256" s="1644"/>
      <c r="K1256" s="1901"/>
      <c r="M1256" s="1901"/>
      <c r="O1256" s="1901"/>
      <c r="Q1256" s="1901"/>
      <c r="Y1256" s="1644"/>
      <c r="AI1256" s="2023">
        <f>W1256-'Blocking-Step2'!W1256</f>
        <v>0</v>
      </c>
      <c r="AJ1256" s="2054">
        <f>O1256-'Blocking-Step2'!O1256</f>
        <v>0</v>
      </c>
    </row>
    <row r="1257" spans="1:36" hidden="1">
      <c r="A1257" s="1900" t="s">
        <v>270</v>
      </c>
      <c r="B1257" s="1869">
        <v>3</v>
      </c>
      <c r="C1257" s="528">
        <f>SUMIFS('7'!$M$2:$M$85,'7'!$C$2:$C$85,B1257,'7'!$A$2:$A$85,$C$1251)</f>
        <v>967.46575342465803</v>
      </c>
      <c r="D1257" s="528">
        <f t="shared" ref="D1257:D1267" si="755">ROUND(C1257/$C$1285*$D$1285,0)</f>
        <v>934</v>
      </c>
      <c r="F1257" s="1901">
        <v>14.6</v>
      </c>
      <c r="G1257" s="1902"/>
      <c r="H1257" s="1644">
        <f t="shared" ref="H1257:I1267" si="756">ROUND($F1257*C1257,0)</f>
        <v>14125</v>
      </c>
      <c r="I1257" s="1644">
        <f t="shared" si="756"/>
        <v>13636</v>
      </c>
      <c r="K1257" s="1901"/>
      <c r="L1257" s="1902"/>
      <c r="M1257" s="1901"/>
      <c r="N1257" s="1902"/>
      <c r="O1257" s="1901"/>
      <c r="P1257" s="1902"/>
      <c r="Q1257" s="1901"/>
      <c r="R1257" s="1902"/>
      <c r="S1257" s="1643"/>
      <c r="T1257" s="1643"/>
      <c r="U1257" s="1643"/>
      <c r="V1257" s="1643"/>
      <c r="W1257" s="1643"/>
      <c r="X1257" s="1643"/>
      <c r="Y1257" s="1644"/>
      <c r="AI1257" s="2023">
        <f>W1257-'Blocking-Step2'!W1257</f>
        <v>0</v>
      </c>
      <c r="AJ1257" s="2054">
        <f>O1257-'Blocking-Step2'!O1257</f>
        <v>0</v>
      </c>
    </row>
    <row r="1258" spans="1:36" hidden="1">
      <c r="A1258" s="1900" t="s">
        <v>271</v>
      </c>
      <c r="B1258" s="1869">
        <v>4</v>
      </c>
      <c r="C1258" s="528">
        <f>SUMIFS('7'!$M$2:$M$85,'7'!$C$2:$C$85,B1258,'7'!$A$2:$A$85,$C$1251)</f>
        <v>534.23385118560896</v>
      </c>
      <c r="D1258" s="528">
        <f t="shared" si="755"/>
        <v>516</v>
      </c>
      <c r="F1258" s="1901">
        <v>12.23</v>
      </c>
      <c r="G1258" s="1902"/>
      <c r="H1258" s="1644">
        <f t="shared" si="756"/>
        <v>6534</v>
      </c>
      <c r="I1258" s="1644">
        <f t="shared" si="756"/>
        <v>6311</v>
      </c>
      <c r="K1258" s="1901"/>
      <c r="L1258" s="1902"/>
      <c r="M1258" s="1901"/>
      <c r="N1258" s="1902"/>
      <c r="O1258" s="1901"/>
      <c r="P1258" s="1902"/>
      <c r="Q1258" s="1901"/>
      <c r="R1258" s="1902"/>
      <c r="S1258" s="1643"/>
      <c r="T1258" s="1643"/>
      <c r="U1258" s="1643"/>
      <c r="V1258" s="1643"/>
      <c r="W1258" s="1643"/>
      <c r="X1258" s="1643"/>
      <c r="Y1258" s="1644"/>
      <c r="AI1258" s="2023">
        <f>W1258-'Blocking-Step2'!W1258</f>
        <v>0</v>
      </c>
      <c r="AJ1258" s="2054">
        <f>O1258-'Blocking-Step2'!O1258</f>
        <v>0</v>
      </c>
    </row>
    <row r="1259" spans="1:36" hidden="1">
      <c r="A1259" s="1900" t="s">
        <v>272</v>
      </c>
      <c r="B1259" s="1869">
        <v>5</v>
      </c>
      <c r="C1259" s="528">
        <f>SUMIFS('7'!$M$2:$M$85,'7'!$C$2:$C$85,B1259,'7'!$A$2:$A$85,$C$1251)</f>
        <v>11633.5837104072</v>
      </c>
      <c r="D1259" s="528">
        <f t="shared" si="755"/>
        <v>11232</v>
      </c>
      <c r="F1259" s="1901">
        <v>15.47</v>
      </c>
      <c r="G1259" s="1902"/>
      <c r="H1259" s="1644">
        <f t="shared" si="756"/>
        <v>179972</v>
      </c>
      <c r="I1259" s="1644">
        <f t="shared" si="756"/>
        <v>173759</v>
      </c>
      <c r="K1259" s="1901"/>
      <c r="L1259" s="1902"/>
      <c r="M1259" s="1901"/>
      <c r="N1259" s="1902"/>
      <c r="O1259" s="1901"/>
      <c r="P1259" s="1902"/>
      <c r="Q1259" s="1901"/>
      <c r="R1259" s="1902"/>
      <c r="S1259" s="1643"/>
      <c r="T1259" s="1643"/>
      <c r="U1259" s="1643"/>
      <c r="V1259" s="1643"/>
      <c r="W1259" s="1643"/>
      <c r="X1259" s="1643"/>
      <c r="Y1259" s="1644"/>
      <c r="AI1259" s="2023">
        <f>W1259-'Blocking-Step2'!W1259</f>
        <v>0</v>
      </c>
      <c r="AJ1259" s="2054">
        <f>O1259-'Blocking-Step2'!O1259</f>
        <v>0</v>
      </c>
    </row>
    <row r="1260" spans="1:36" hidden="1">
      <c r="A1260" s="1900" t="s">
        <v>273</v>
      </c>
      <c r="B1260" s="1869">
        <v>6</v>
      </c>
      <c r="C1260" s="528">
        <f>SUMIFS('7'!$M$2:$M$85,'7'!$C$2:$C$85,B1260,'7'!$A$2:$A$85,$C$1251)</f>
        <v>9374.8159278737803</v>
      </c>
      <c r="D1260" s="528">
        <f t="shared" si="755"/>
        <v>9051</v>
      </c>
      <c r="F1260" s="1901">
        <v>13.31</v>
      </c>
      <c r="G1260" s="1902"/>
      <c r="H1260" s="1644">
        <f t="shared" si="756"/>
        <v>124779</v>
      </c>
      <c r="I1260" s="1644">
        <f t="shared" si="756"/>
        <v>120469</v>
      </c>
      <c r="K1260" s="1901"/>
      <c r="L1260" s="1902"/>
      <c r="M1260" s="1901"/>
      <c r="N1260" s="1902"/>
      <c r="O1260" s="1901"/>
      <c r="P1260" s="1902"/>
      <c r="Q1260" s="1901"/>
      <c r="R1260" s="1902"/>
      <c r="S1260" s="1643"/>
      <c r="T1260" s="1643"/>
      <c r="U1260" s="1643"/>
      <c r="V1260" s="1643"/>
      <c r="W1260" s="1643"/>
      <c r="X1260" s="1643"/>
      <c r="Y1260" s="1644"/>
      <c r="AI1260" s="2023">
        <f>W1260-'Blocking-Step2'!W1260</f>
        <v>0</v>
      </c>
      <c r="AJ1260" s="2054">
        <f>O1260-'Blocking-Step2'!O1260</f>
        <v>0</v>
      </c>
    </row>
    <row r="1261" spans="1:36" hidden="1">
      <c r="A1261" s="1900" t="s">
        <v>274</v>
      </c>
      <c r="B1261" s="1869">
        <v>7</v>
      </c>
      <c r="C1261" s="528">
        <f>SUMIFS('7'!$M$2:$M$85,'7'!$C$2:$C$85,B1261,'7'!$A$2:$A$85,$C$1251)</f>
        <v>1431.1330935251799</v>
      </c>
      <c r="D1261" s="528">
        <f t="shared" si="755"/>
        <v>1382</v>
      </c>
      <c r="F1261" s="1901">
        <v>19.46</v>
      </c>
      <c r="G1261" s="1902"/>
      <c r="H1261" s="1644">
        <f t="shared" si="756"/>
        <v>27850</v>
      </c>
      <c r="I1261" s="1644">
        <f t="shared" si="756"/>
        <v>26894</v>
      </c>
      <c r="K1261" s="1901"/>
      <c r="L1261" s="1902"/>
      <c r="M1261" s="1901"/>
      <c r="N1261" s="1902"/>
      <c r="O1261" s="1901"/>
      <c r="P1261" s="1902"/>
      <c r="Q1261" s="1901"/>
      <c r="R1261" s="1902"/>
      <c r="S1261" s="1643"/>
      <c r="T1261" s="1643"/>
      <c r="U1261" s="1643"/>
      <c r="V1261" s="1643"/>
      <c r="W1261" s="1643"/>
      <c r="X1261" s="1643"/>
      <c r="Y1261" s="1644"/>
      <c r="AI1261" s="2023">
        <f>W1261-'Blocking-Step2'!W1261</f>
        <v>0</v>
      </c>
      <c r="AJ1261" s="2054">
        <f>O1261-'Blocking-Step2'!O1261</f>
        <v>0</v>
      </c>
    </row>
    <row r="1262" spans="1:36" hidden="1">
      <c r="A1262" s="1900" t="s">
        <v>275</v>
      </c>
      <c r="B1262" s="1869">
        <v>8</v>
      </c>
      <c r="C1262" s="528">
        <f>SUMIFS('7'!$M$2:$M$85,'7'!$C$2:$C$85,B1262,'7'!$A$2:$A$85,$C$1251)</f>
        <v>1655.7997664915399</v>
      </c>
      <c r="D1262" s="528">
        <f t="shared" si="755"/>
        <v>1599</v>
      </c>
      <c r="F1262" s="1901">
        <v>17.13</v>
      </c>
      <c r="G1262" s="1902"/>
      <c r="H1262" s="1644">
        <f t="shared" si="756"/>
        <v>28364</v>
      </c>
      <c r="I1262" s="1644">
        <f t="shared" si="756"/>
        <v>27391</v>
      </c>
      <c r="K1262" s="1901"/>
      <c r="L1262" s="1902"/>
      <c r="M1262" s="1901"/>
      <c r="N1262" s="1902"/>
      <c r="O1262" s="1901"/>
      <c r="P1262" s="1902"/>
      <c r="Q1262" s="1901"/>
      <c r="R1262" s="1902"/>
      <c r="S1262" s="1643"/>
      <c r="T1262" s="1643"/>
      <c r="U1262" s="1643"/>
      <c r="V1262" s="1643"/>
      <c r="W1262" s="1643"/>
      <c r="X1262" s="1643"/>
      <c r="Y1262" s="1644"/>
      <c r="AI1262" s="2023">
        <f>W1262-'Blocking-Step2'!W1262</f>
        <v>0</v>
      </c>
      <c r="AJ1262" s="2054">
        <f>O1262-'Blocking-Step2'!O1262</f>
        <v>0</v>
      </c>
    </row>
    <row r="1263" spans="1:36" hidden="1">
      <c r="A1263" s="1900" t="s">
        <v>276</v>
      </c>
      <c r="B1263" s="1869">
        <v>9</v>
      </c>
      <c r="C1263" s="528">
        <f>SUMIFS('7'!$M$2:$M$85,'7'!$C$2:$C$85,B1263,'7'!$A$2:$A$85,$C$1251)</f>
        <v>0</v>
      </c>
      <c r="D1263" s="528">
        <f t="shared" si="755"/>
        <v>0</v>
      </c>
      <c r="F1263" s="1901">
        <v>21.07</v>
      </c>
      <c r="G1263" s="1902"/>
      <c r="H1263" s="1644">
        <f t="shared" si="756"/>
        <v>0</v>
      </c>
      <c r="I1263" s="1644">
        <f t="shared" si="756"/>
        <v>0</v>
      </c>
      <c r="K1263" s="1901"/>
      <c r="L1263" s="1902"/>
      <c r="M1263" s="1901"/>
      <c r="N1263" s="1902"/>
      <c r="O1263" s="1901"/>
      <c r="P1263" s="1902"/>
      <c r="Q1263" s="1901"/>
      <c r="R1263" s="1902"/>
      <c r="S1263" s="1643"/>
      <c r="T1263" s="1643"/>
      <c r="U1263" s="1643"/>
      <c r="V1263" s="1643"/>
      <c r="W1263" s="1643"/>
      <c r="X1263" s="1643"/>
      <c r="Y1263" s="1644"/>
      <c r="AI1263" s="2023">
        <f>W1263-'Blocking-Step2'!W1263</f>
        <v>0</v>
      </c>
      <c r="AJ1263" s="2054">
        <f>O1263-'Blocking-Step2'!O1263</f>
        <v>0</v>
      </c>
    </row>
    <row r="1264" spans="1:36" hidden="1">
      <c r="A1264" s="1900" t="s">
        <v>277</v>
      </c>
      <c r="B1264" s="1869">
        <v>10</v>
      </c>
      <c r="C1264" s="528">
        <f>SUMIFS('7'!$M$2:$M$85,'7'!$C$2:$C$85,B1264,'7'!$A$2:$A$85,$C$1251)</f>
        <v>1981.86601446193</v>
      </c>
      <c r="D1264" s="528">
        <f t="shared" si="755"/>
        <v>1913</v>
      </c>
      <c r="F1264" s="1901">
        <v>23.51</v>
      </c>
      <c r="G1264" s="1902"/>
      <c r="H1264" s="1644">
        <f t="shared" si="756"/>
        <v>46594</v>
      </c>
      <c r="I1264" s="1644">
        <f t="shared" si="756"/>
        <v>44975</v>
      </c>
      <c r="K1264" s="1901"/>
      <c r="L1264" s="1902"/>
      <c r="M1264" s="1901"/>
      <c r="N1264" s="1902"/>
      <c r="O1264" s="1901"/>
      <c r="P1264" s="1902"/>
      <c r="Q1264" s="1901"/>
      <c r="R1264" s="1902"/>
      <c r="S1264" s="1643"/>
      <c r="T1264" s="1643"/>
      <c r="U1264" s="1643"/>
      <c r="V1264" s="1643"/>
      <c r="W1264" s="1643"/>
      <c r="X1264" s="1643"/>
      <c r="Y1264" s="1644"/>
      <c r="AI1264" s="2023">
        <f>W1264-'Blocking-Step2'!W1264</f>
        <v>0</v>
      </c>
      <c r="AJ1264" s="2054">
        <f>O1264-'Blocking-Step2'!O1264</f>
        <v>0</v>
      </c>
    </row>
    <row r="1265" spans="1:36" hidden="1">
      <c r="A1265" s="1900" t="s">
        <v>278</v>
      </c>
      <c r="B1265" s="1869">
        <v>11</v>
      </c>
      <c r="C1265" s="528">
        <f>SUMIFS('7'!$M$2:$M$85,'7'!$C$2:$C$85,B1265,'7'!$A$2:$A$85,$C$1251)</f>
        <v>3148.3509185115399</v>
      </c>
      <c r="D1265" s="528">
        <f t="shared" si="755"/>
        <v>3040</v>
      </c>
      <c r="F1265" s="1901">
        <v>21.23</v>
      </c>
      <c r="G1265" s="1902"/>
      <c r="H1265" s="1644">
        <f t="shared" si="756"/>
        <v>66839</v>
      </c>
      <c r="I1265" s="1644">
        <f t="shared" si="756"/>
        <v>64539</v>
      </c>
      <c r="K1265" s="1901"/>
      <c r="L1265" s="1902"/>
      <c r="M1265" s="1901"/>
      <c r="N1265" s="1902"/>
      <c r="O1265" s="1901"/>
      <c r="P1265" s="1902"/>
      <c r="Q1265" s="1901"/>
      <c r="R1265" s="1902"/>
      <c r="S1265" s="1643"/>
      <c r="T1265" s="1643"/>
      <c r="U1265" s="1643"/>
      <c r="V1265" s="1643"/>
      <c r="W1265" s="1643"/>
      <c r="X1265" s="1643"/>
      <c r="Y1265" s="1644"/>
      <c r="AI1265" s="2023">
        <f>W1265-'Blocking-Step2'!W1265</f>
        <v>0</v>
      </c>
      <c r="AJ1265" s="2054">
        <f>O1265-'Blocking-Step2'!O1265</f>
        <v>0</v>
      </c>
    </row>
    <row r="1266" spans="1:36" hidden="1">
      <c r="A1266" s="1900" t="s">
        <v>279</v>
      </c>
      <c r="B1266" s="1869">
        <v>12</v>
      </c>
      <c r="C1266" s="528">
        <f>SUMIFS('7'!$M$2:$M$85,'7'!$C$2:$C$85,B1266,'7'!$A$2:$A$85,$C$1251)</f>
        <v>999.25053003533606</v>
      </c>
      <c r="D1266" s="528">
        <f t="shared" si="755"/>
        <v>965</v>
      </c>
      <c r="F1266" s="1901">
        <v>28.3</v>
      </c>
      <c r="G1266" s="1902"/>
      <c r="H1266" s="1644">
        <f t="shared" si="756"/>
        <v>28279</v>
      </c>
      <c r="I1266" s="1644">
        <f t="shared" si="756"/>
        <v>27310</v>
      </c>
      <c r="K1266" s="1901"/>
      <c r="L1266" s="1902"/>
      <c r="M1266" s="1901"/>
      <c r="N1266" s="1902"/>
      <c r="O1266" s="1901"/>
      <c r="P1266" s="1902"/>
      <c r="Q1266" s="1901"/>
      <c r="R1266" s="1902"/>
      <c r="S1266" s="1643"/>
      <c r="T1266" s="1643"/>
      <c r="U1266" s="1643"/>
      <c r="V1266" s="1643"/>
      <c r="W1266" s="1643"/>
      <c r="X1266" s="1643"/>
      <c r="Y1266" s="1644"/>
      <c r="AI1266" s="2023">
        <f>W1266-'Blocking-Step2'!W1266</f>
        <v>0</v>
      </c>
      <c r="AJ1266" s="2054">
        <f>O1266-'Blocking-Step2'!O1266</f>
        <v>0</v>
      </c>
    </row>
    <row r="1267" spans="1:36" hidden="1">
      <c r="A1267" s="1900" t="s">
        <v>280</v>
      </c>
      <c r="B1267" s="1869">
        <v>13</v>
      </c>
      <c r="C1267" s="528">
        <f>SUMIFS('7'!$M$2:$M$85,'7'!$C$2:$C$85,B1267,'7'!$A$2:$A$85,$C$1251)</f>
        <v>1681.83339746056</v>
      </c>
      <c r="D1267" s="528">
        <f t="shared" si="755"/>
        <v>1624</v>
      </c>
      <c r="F1267" s="1901">
        <v>25.99</v>
      </c>
      <c r="G1267" s="1902"/>
      <c r="H1267" s="1644">
        <f t="shared" si="756"/>
        <v>43711</v>
      </c>
      <c r="I1267" s="1644">
        <f t="shared" si="756"/>
        <v>42208</v>
      </c>
      <c r="K1267" s="1901"/>
      <c r="L1267" s="1902"/>
      <c r="M1267" s="1901"/>
      <c r="N1267" s="1902"/>
      <c r="O1267" s="1901"/>
      <c r="P1267" s="1902"/>
      <c r="Q1267" s="1901"/>
      <c r="R1267" s="1902"/>
      <c r="S1267" s="1643"/>
      <c r="T1267" s="1643"/>
      <c r="U1267" s="1643"/>
      <c r="V1267" s="1643"/>
      <c r="W1267" s="1643"/>
      <c r="X1267" s="1643"/>
      <c r="Y1267" s="1644"/>
      <c r="AI1267" s="2023">
        <f>W1267-'Blocking-Step2'!W1267</f>
        <v>0</v>
      </c>
      <c r="AJ1267" s="2054">
        <f>O1267-'Blocking-Step2'!O1267</f>
        <v>0</v>
      </c>
    </row>
    <row r="1268" spans="1:36" hidden="1">
      <c r="A1268" s="1960" t="s">
        <v>281</v>
      </c>
      <c r="C1268" s="528"/>
      <c r="D1268" s="528"/>
      <c r="H1268" s="1644"/>
      <c r="I1268" s="1644"/>
      <c r="K1268" s="1901"/>
      <c r="M1268" s="1901"/>
      <c r="O1268" s="1901"/>
      <c r="Q1268" s="1901"/>
      <c r="Y1268" s="1644"/>
      <c r="AI1268" s="2023">
        <f>W1268-'Blocking-Step2'!W1268</f>
        <v>0</v>
      </c>
      <c r="AJ1268" s="2054">
        <f>O1268-'Blocking-Step2'!O1268</f>
        <v>0</v>
      </c>
    </row>
    <row r="1269" spans="1:36" hidden="1">
      <c r="A1269" s="1900" t="s">
        <v>274</v>
      </c>
      <c r="B1269" s="1869">
        <v>14</v>
      </c>
      <c r="C1269" s="528">
        <f>SUMIFS('7'!$M$2:$M$85,'7'!$C$2:$C$85,B1269,'7'!$A$2:$A$85,$C$1251)</f>
        <v>2911.1181911613598</v>
      </c>
      <c r="D1269" s="528">
        <f t="shared" ref="D1269:D1274" si="757">ROUND(C1269/$C$1285*$D$1285,0)</f>
        <v>2811</v>
      </c>
      <c r="F1269" s="1901">
        <v>19.46</v>
      </c>
      <c r="G1269" s="1902"/>
      <c r="H1269" s="1644">
        <f t="shared" ref="H1269:I1274" si="758">ROUND($F1269*C1269,0)</f>
        <v>56650</v>
      </c>
      <c r="I1269" s="1644">
        <f t="shared" si="758"/>
        <v>54702</v>
      </c>
      <c r="K1269" s="1901"/>
      <c r="L1269" s="1902"/>
      <c r="M1269" s="1901"/>
      <c r="N1269" s="1902"/>
      <c r="O1269" s="1901"/>
      <c r="P1269" s="1902"/>
      <c r="Q1269" s="1901"/>
      <c r="R1269" s="1902"/>
      <c r="S1269" s="1643"/>
      <c r="T1269" s="1643"/>
      <c r="U1269" s="1643"/>
      <c r="V1269" s="1643"/>
      <c r="W1269" s="1643"/>
      <c r="X1269" s="1643"/>
      <c r="Y1269" s="1644"/>
      <c r="AI1269" s="2023">
        <f>W1269-'Blocking-Step2'!W1269</f>
        <v>0</v>
      </c>
      <c r="AJ1269" s="2054">
        <f>O1269-'Blocking-Step2'!O1269</f>
        <v>0</v>
      </c>
    </row>
    <row r="1270" spans="1:36" hidden="1">
      <c r="A1270" s="1900" t="s">
        <v>275</v>
      </c>
      <c r="B1270" s="1869">
        <v>15</v>
      </c>
      <c r="C1270" s="528">
        <f>SUMIFS('7'!$M$2:$M$85,'7'!$C$2:$C$85,B1270,'7'!$A$2:$A$85,$C$1251)</f>
        <v>3562.9678925861099</v>
      </c>
      <c r="D1270" s="528">
        <f t="shared" si="757"/>
        <v>3440</v>
      </c>
      <c r="F1270" s="1901">
        <v>17.13</v>
      </c>
      <c r="G1270" s="1902"/>
      <c r="H1270" s="1644">
        <f t="shared" si="758"/>
        <v>61034</v>
      </c>
      <c r="I1270" s="1644">
        <f t="shared" si="758"/>
        <v>58927</v>
      </c>
      <c r="K1270" s="1901"/>
      <c r="L1270" s="1902"/>
      <c r="M1270" s="1901"/>
      <c r="N1270" s="1902"/>
      <c r="O1270" s="1901"/>
      <c r="P1270" s="1902"/>
      <c r="Q1270" s="1901"/>
      <c r="R1270" s="1902"/>
      <c r="S1270" s="1643"/>
      <c r="T1270" s="1643"/>
      <c r="U1270" s="1643"/>
      <c r="V1270" s="1643"/>
      <c r="W1270" s="1643"/>
      <c r="X1270" s="1643"/>
      <c r="Y1270" s="1644"/>
      <c r="AI1270" s="2023">
        <f>W1270-'Blocking-Step2'!W1270</f>
        <v>0</v>
      </c>
      <c r="AJ1270" s="2054">
        <f>O1270-'Blocking-Step2'!O1270</f>
        <v>0</v>
      </c>
    </row>
    <row r="1271" spans="1:36" hidden="1">
      <c r="A1271" s="1900" t="s">
        <v>277</v>
      </c>
      <c r="B1271" s="1869">
        <v>16</v>
      </c>
      <c r="C1271" s="528">
        <f>SUMIFS('7'!$M$2:$M$85,'7'!$C$2:$C$85,B1271,'7'!$A$2:$A$85,$C$1251)</f>
        <v>732.46618460229695</v>
      </c>
      <c r="D1271" s="528">
        <f t="shared" si="757"/>
        <v>707</v>
      </c>
      <c r="F1271" s="1901">
        <v>23.51</v>
      </c>
      <c r="G1271" s="1902"/>
      <c r="H1271" s="1644">
        <f t="shared" si="758"/>
        <v>17220</v>
      </c>
      <c r="I1271" s="1644">
        <f t="shared" si="758"/>
        <v>16622</v>
      </c>
      <c r="K1271" s="1901"/>
      <c r="L1271" s="1902"/>
      <c r="M1271" s="1901"/>
      <c r="N1271" s="1902"/>
      <c r="O1271" s="1901"/>
      <c r="P1271" s="1902"/>
      <c r="Q1271" s="1901"/>
      <c r="R1271" s="1902"/>
      <c r="S1271" s="1643"/>
      <c r="T1271" s="1643"/>
      <c r="U1271" s="1643"/>
      <c r="V1271" s="1643"/>
      <c r="W1271" s="1643"/>
      <c r="X1271" s="1643"/>
      <c r="Y1271" s="1644"/>
      <c r="AI1271" s="2023">
        <f>W1271-'Blocking-Step2'!W1271</f>
        <v>0</v>
      </c>
      <c r="AJ1271" s="2054">
        <f>O1271-'Blocking-Step2'!O1271</f>
        <v>0</v>
      </c>
    </row>
    <row r="1272" spans="1:36" hidden="1">
      <c r="A1272" s="1900" t="s">
        <v>278</v>
      </c>
      <c r="B1272" s="1869">
        <v>17</v>
      </c>
      <c r="C1272" s="528">
        <f>SUMIFS('7'!$M$2:$M$85,'7'!$C$2:$C$85,B1272,'7'!$A$2:$A$85,$C$1251)</f>
        <v>1140.0325011775799</v>
      </c>
      <c r="D1272" s="528">
        <f t="shared" si="757"/>
        <v>1101</v>
      </c>
      <c r="F1272" s="1901">
        <v>21.23</v>
      </c>
      <c r="G1272" s="1902"/>
      <c r="H1272" s="1644">
        <f t="shared" si="758"/>
        <v>24203</v>
      </c>
      <c r="I1272" s="1644">
        <f t="shared" si="758"/>
        <v>23374</v>
      </c>
      <c r="K1272" s="1901"/>
      <c r="L1272" s="1902"/>
      <c r="M1272" s="1901"/>
      <c r="N1272" s="1902"/>
      <c r="O1272" s="1901"/>
      <c r="P1272" s="1902"/>
      <c r="Q1272" s="1901"/>
      <c r="R1272" s="1902"/>
      <c r="S1272" s="1643"/>
      <c r="T1272" s="1643"/>
      <c r="U1272" s="1643"/>
      <c r="V1272" s="1643"/>
      <c r="W1272" s="1643"/>
      <c r="X1272" s="1643"/>
      <c r="Y1272" s="1644"/>
      <c r="AI1272" s="2023">
        <f>W1272-'Blocking-Step2'!W1272</f>
        <v>0</v>
      </c>
      <c r="AJ1272" s="2054">
        <f>O1272-'Blocking-Step2'!O1272</f>
        <v>0</v>
      </c>
    </row>
    <row r="1273" spans="1:36" hidden="1">
      <c r="A1273" s="1900" t="s">
        <v>279</v>
      </c>
      <c r="B1273" s="1869">
        <v>18</v>
      </c>
      <c r="C1273" s="528">
        <f>SUMIFS('7'!$M$2:$M$85,'7'!$C$2:$C$85,B1273,'7'!$A$2:$A$85,$C$1251)</f>
        <v>6225.63356890459</v>
      </c>
      <c r="D1273" s="528">
        <f t="shared" si="757"/>
        <v>6011</v>
      </c>
      <c r="F1273" s="1901">
        <v>28.3</v>
      </c>
      <c r="G1273" s="1902"/>
      <c r="H1273" s="1644">
        <f t="shared" si="758"/>
        <v>176185</v>
      </c>
      <c r="I1273" s="1644">
        <f t="shared" si="758"/>
        <v>170111</v>
      </c>
      <c r="K1273" s="1901"/>
      <c r="L1273" s="1902"/>
      <c r="M1273" s="1901"/>
      <c r="N1273" s="1902"/>
      <c r="O1273" s="1901"/>
      <c r="P1273" s="1902"/>
      <c r="Q1273" s="1901"/>
      <c r="R1273" s="1902"/>
      <c r="S1273" s="1643"/>
      <c r="T1273" s="1643"/>
      <c r="U1273" s="1643"/>
      <c r="V1273" s="1643"/>
      <c r="W1273" s="1643"/>
      <c r="X1273" s="1643"/>
      <c r="Y1273" s="1644"/>
      <c r="AI1273" s="2023">
        <f>W1273-'Blocking-Step2'!W1273</f>
        <v>0</v>
      </c>
      <c r="AJ1273" s="2054">
        <f>O1273-'Blocking-Step2'!O1273</f>
        <v>0</v>
      </c>
    </row>
    <row r="1274" spans="1:36" hidden="1">
      <c r="A1274" s="1900" t="s">
        <v>280</v>
      </c>
      <c r="B1274" s="1869">
        <v>19</v>
      </c>
      <c r="C1274" s="528">
        <f>SUMIFS('7'!$M$2:$M$85,'7'!$C$2:$C$85,B1274,'7'!$A$2:$A$85,$C$1251)</f>
        <v>7943.3012697191298</v>
      </c>
      <c r="D1274" s="528">
        <f t="shared" si="757"/>
        <v>7669</v>
      </c>
      <c r="F1274" s="1901">
        <v>25.99</v>
      </c>
      <c r="G1274" s="1902"/>
      <c r="H1274" s="1644">
        <f t="shared" si="758"/>
        <v>206446</v>
      </c>
      <c r="I1274" s="1644">
        <f t="shared" si="758"/>
        <v>199317</v>
      </c>
      <c r="K1274" s="1901"/>
      <c r="L1274" s="1902"/>
      <c r="M1274" s="1901"/>
      <c r="N1274" s="1902"/>
      <c r="O1274" s="1901"/>
      <c r="P1274" s="1902"/>
      <c r="Q1274" s="1901"/>
      <c r="R1274" s="1902"/>
      <c r="S1274" s="1643"/>
      <c r="T1274" s="1643"/>
      <c r="U1274" s="1643"/>
      <c r="V1274" s="1643"/>
      <c r="W1274" s="1643"/>
      <c r="X1274" s="1643"/>
      <c r="Y1274" s="1644"/>
      <c r="AI1274" s="2023">
        <f>W1274-'Blocking-Step2'!W1274</f>
        <v>0</v>
      </c>
      <c r="AJ1274" s="2054">
        <f>O1274-'Blocking-Step2'!O1274</f>
        <v>0</v>
      </c>
    </row>
    <row r="1275" spans="1:36" hidden="1">
      <c r="A1275" s="1960" t="s">
        <v>289</v>
      </c>
      <c r="C1275" s="528"/>
      <c r="D1275" s="528"/>
      <c r="K1275" s="1901"/>
      <c r="M1275" s="1901"/>
      <c r="O1275" s="1901"/>
      <c r="Q1275" s="1901"/>
      <c r="AI1275" s="2023">
        <f>W1275-'Blocking-Step2'!W1275</f>
        <v>0</v>
      </c>
      <c r="AJ1275" s="2054">
        <f>O1275-'Blocking-Step2'!O1275</f>
        <v>0</v>
      </c>
    </row>
    <row r="1276" spans="1:36" hidden="1">
      <c r="A1276" s="1900" t="s">
        <v>290</v>
      </c>
      <c r="B1276" s="1869">
        <v>20</v>
      </c>
      <c r="C1276" s="528">
        <f>SUMIFS('7'!$M$2:$M$85,'7'!$C$2:$C$85,B1276,'7'!$A$2:$A$85,$C$1251)</f>
        <v>0</v>
      </c>
      <c r="D1276" s="528">
        <f t="shared" ref="D1276:D1283" si="759">ROUND(C1276/$C$1285*$D$1285,0)</f>
        <v>0</v>
      </c>
      <c r="F1276" s="1901">
        <v>29.4</v>
      </c>
      <c r="G1276" s="1902"/>
      <c r="H1276" s="1644">
        <f t="shared" ref="H1276:I1283" si="760">ROUND($F1276*C1276,0)</f>
        <v>0</v>
      </c>
      <c r="I1276" s="1644">
        <f t="shared" si="760"/>
        <v>0</v>
      </c>
      <c r="K1276" s="1901"/>
      <c r="L1276" s="1902"/>
      <c r="M1276" s="1901"/>
      <c r="N1276" s="1902"/>
      <c r="O1276" s="1901"/>
      <c r="P1276" s="1902"/>
      <c r="Q1276" s="1901"/>
      <c r="R1276" s="1902"/>
      <c r="S1276" s="1643"/>
      <c r="T1276" s="1643"/>
      <c r="U1276" s="1643"/>
      <c r="V1276" s="1643"/>
      <c r="W1276" s="1643"/>
      <c r="X1276" s="1643"/>
      <c r="Y1276" s="1644"/>
      <c r="AI1276" s="2023">
        <f>W1276-'Blocking-Step2'!W1276</f>
        <v>0</v>
      </c>
      <c r="AJ1276" s="2054">
        <f>O1276-'Blocking-Step2'!O1276</f>
        <v>0</v>
      </c>
    </row>
    <row r="1277" spans="1:36" hidden="1">
      <c r="A1277" s="1900" t="s">
        <v>291</v>
      </c>
      <c r="B1277" s="1869">
        <v>21</v>
      </c>
      <c r="C1277" s="528">
        <f>SUMIFS('7'!$M$2:$M$85,'7'!$C$2:$C$85,B1277,'7'!$A$2:$A$85,$C$1251)</f>
        <v>264</v>
      </c>
      <c r="D1277" s="528">
        <f t="shared" si="759"/>
        <v>255</v>
      </c>
      <c r="F1277" s="1901">
        <v>21.79</v>
      </c>
      <c r="G1277" s="1902"/>
      <c r="H1277" s="1644">
        <f t="shared" si="760"/>
        <v>5753</v>
      </c>
      <c r="I1277" s="1644">
        <f t="shared" si="760"/>
        <v>5556</v>
      </c>
      <c r="K1277" s="1901"/>
      <c r="L1277" s="1902"/>
      <c r="M1277" s="1901"/>
      <c r="N1277" s="1902"/>
      <c r="O1277" s="1901"/>
      <c r="P1277" s="1902"/>
      <c r="Q1277" s="1901"/>
      <c r="R1277" s="1902"/>
      <c r="S1277" s="1643"/>
      <c r="T1277" s="1643"/>
      <c r="U1277" s="1643"/>
      <c r="V1277" s="1643"/>
      <c r="W1277" s="1643"/>
      <c r="X1277" s="1643"/>
      <c r="Y1277" s="1644"/>
      <c r="AI1277" s="2023">
        <f>W1277-'Blocking-Step2'!W1277</f>
        <v>0</v>
      </c>
      <c r="AJ1277" s="2054">
        <f>O1277-'Blocking-Step2'!O1277</f>
        <v>0</v>
      </c>
    </row>
    <row r="1278" spans="1:36" hidden="1">
      <c r="A1278" s="1900" t="s">
        <v>292</v>
      </c>
      <c r="B1278" s="1869">
        <v>22</v>
      </c>
      <c r="C1278" s="528">
        <f>SUMIFS('7'!$M$2:$M$85,'7'!$C$2:$C$85,B1278,'7'!$A$2:$A$85,$C$1251)</f>
        <v>72</v>
      </c>
      <c r="D1278" s="528">
        <f t="shared" si="759"/>
        <v>70</v>
      </c>
      <c r="F1278" s="1901">
        <v>34.340000000000003</v>
      </c>
      <c r="G1278" s="1902"/>
      <c r="H1278" s="1644">
        <f t="shared" si="760"/>
        <v>2472</v>
      </c>
      <c r="I1278" s="1644">
        <f t="shared" si="760"/>
        <v>2404</v>
      </c>
      <c r="K1278" s="1901"/>
      <c r="L1278" s="1902"/>
      <c r="M1278" s="1901"/>
      <c r="N1278" s="1902"/>
      <c r="O1278" s="1901"/>
      <c r="P1278" s="1902"/>
      <c r="Q1278" s="1901"/>
      <c r="R1278" s="1902"/>
      <c r="S1278" s="1643"/>
      <c r="T1278" s="1643"/>
      <c r="U1278" s="1643"/>
      <c r="V1278" s="1643"/>
      <c r="W1278" s="1643"/>
      <c r="X1278" s="1643"/>
      <c r="Y1278" s="1644"/>
      <c r="AI1278" s="2023">
        <f>W1278-'Blocking-Step2'!W1278</f>
        <v>0</v>
      </c>
      <c r="AJ1278" s="2054">
        <f>O1278-'Blocking-Step2'!O1278</f>
        <v>0</v>
      </c>
    </row>
    <row r="1279" spans="1:36" hidden="1">
      <c r="A1279" s="1900" t="s">
        <v>293</v>
      </c>
      <c r="B1279" s="1869">
        <v>23</v>
      </c>
      <c r="C1279" s="528">
        <f>SUMIFS('7'!$M$2:$M$85,'7'!$C$2:$C$85,B1279,'7'!$A$2:$A$85,$C$1251)</f>
        <v>84</v>
      </c>
      <c r="D1279" s="528">
        <f t="shared" si="759"/>
        <v>81</v>
      </c>
      <c r="F1279" s="1901">
        <v>27.43</v>
      </c>
      <c r="G1279" s="1902"/>
      <c r="H1279" s="1644">
        <f t="shared" si="760"/>
        <v>2304</v>
      </c>
      <c r="I1279" s="1644">
        <f t="shared" si="760"/>
        <v>2222</v>
      </c>
      <c r="K1279" s="1901"/>
      <c r="L1279" s="1902"/>
      <c r="M1279" s="1901"/>
      <c r="N1279" s="1902"/>
      <c r="O1279" s="1901"/>
      <c r="P1279" s="1902"/>
      <c r="Q1279" s="1901"/>
      <c r="R1279" s="1902"/>
      <c r="S1279" s="1643"/>
      <c r="T1279" s="1643"/>
      <c r="U1279" s="1643"/>
      <c r="V1279" s="1643"/>
      <c r="W1279" s="1643"/>
      <c r="X1279" s="1643"/>
      <c r="Y1279" s="1644"/>
      <c r="AI1279" s="2023">
        <f>W1279-'Blocking-Step2'!W1279</f>
        <v>0</v>
      </c>
      <c r="AJ1279" s="2054">
        <f>O1279-'Blocking-Step2'!O1279</f>
        <v>0</v>
      </c>
    </row>
    <row r="1280" spans="1:36" hidden="1">
      <c r="A1280" s="1900" t="s">
        <v>294</v>
      </c>
      <c r="B1280" s="1869">
        <v>24</v>
      </c>
      <c r="C1280" s="528">
        <f>SUMIFS('7'!$M$2:$M$85,'7'!$C$2:$C$85,B1280,'7'!$A$2:$A$85,$C$1251)</f>
        <v>252</v>
      </c>
      <c r="D1280" s="528">
        <f t="shared" si="759"/>
        <v>243</v>
      </c>
      <c r="F1280" s="1901">
        <v>36.69</v>
      </c>
      <c r="G1280" s="1902"/>
      <c r="H1280" s="1644">
        <f t="shared" si="760"/>
        <v>9246</v>
      </c>
      <c r="I1280" s="1644">
        <f t="shared" si="760"/>
        <v>8916</v>
      </c>
      <c r="K1280" s="1901"/>
      <c r="L1280" s="1902"/>
      <c r="M1280" s="1901"/>
      <c r="N1280" s="1902"/>
      <c r="O1280" s="1901"/>
      <c r="P1280" s="1902"/>
      <c r="Q1280" s="1901"/>
      <c r="R1280" s="1902"/>
      <c r="S1280" s="1643"/>
      <c r="T1280" s="1643"/>
      <c r="U1280" s="1643"/>
      <c r="V1280" s="1643"/>
      <c r="W1280" s="1643"/>
      <c r="X1280" s="1643"/>
      <c r="Y1280" s="1644"/>
      <c r="AI1280" s="2023">
        <f>W1280-'Blocking-Step2'!W1280</f>
        <v>0</v>
      </c>
      <c r="AJ1280" s="2054">
        <f>O1280-'Blocking-Step2'!O1280</f>
        <v>0</v>
      </c>
    </row>
    <row r="1281" spans="1:36" hidden="1">
      <c r="A1281" s="1900" t="s">
        <v>297</v>
      </c>
      <c r="B1281" s="1869">
        <v>25</v>
      </c>
      <c r="C1281" s="528">
        <f>SUMIFS('7'!$M$2:$M$85,'7'!$C$2:$C$85,B1281,'7'!$A$2:$A$85,$C$1251)</f>
        <v>563.06628532974401</v>
      </c>
      <c r="D1281" s="528">
        <f t="shared" si="759"/>
        <v>544</v>
      </c>
      <c r="F1281" s="1901">
        <v>29.72</v>
      </c>
      <c r="G1281" s="1902"/>
      <c r="H1281" s="1644">
        <f t="shared" si="760"/>
        <v>16734</v>
      </c>
      <c r="I1281" s="1644">
        <f t="shared" si="760"/>
        <v>16168</v>
      </c>
      <c r="K1281" s="1901"/>
      <c r="L1281" s="1902"/>
      <c r="M1281" s="1901"/>
      <c r="N1281" s="1902"/>
      <c r="O1281" s="1901"/>
      <c r="P1281" s="1902"/>
      <c r="Q1281" s="1901"/>
      <c r="R1281" s="1902"/>
      <c r="S1281" s="1643"/>
      <c r="T1281" s="1643"/>
      <c r="U1281" s="1643"/>
      <c r="V1281" s="1643"/>
      <c r="W1281" s="1643"/>
      <c r="X1281" s="1643"/>
      <c r="Y1281" s="1644"/>
      <c r="AI1281" s="2023">
        <f>W1281-'Blocking-Step2'!W1281</f>
        <v>0</v>
      </c>
      <c r="AJ1281" s="2054">
        <f>O1281-'Blocking-Step2'!O1281</f>
        <v>0</v>
      </c>
    </row>
    <row r="1282" spans="1:36" hidden="1">
      <c r="A1282" s="1900" t="s">
        <v>298</v>
      </c>
      <c r="B1282" s="1869">
        <v>26</v>
      </c>
      <c r="C1282" s="528">
        <f>SUMIFS('7'!$M$2:$M$85,'7'!$C$2:$C$85,B1282,'7'!$A$2:$A$85,$C$1251)</f>
        <v>12</v>
      </c>
      <c r="D1282" s="528">
        <f t="shared" si="759"/>
        <v>12</v>
      </c>
      <c r="F1282" s="1901">
        <v>57.58</v>
      </c>
      <c r="G1282" s="1902"/>
      <c r="H1282" s="1644">
        <f t="shared" si="760"/>
        <v>691</v>
      </c>
      <c r="I1282" s="1644">
        <f t="shared" si="760"/>
        <v>691</v>
      </c>
      <c r="K1282" s="1901"/>
      <c r="L1282" s="1902"/>
      <c r="M1282" s="1901"/>
      <c r="N1282" s="1902"/>
      <c r="O1282" s="1901"/>
      <c r="P1282" s="1902"/>
      <c r="Q1282" s="1901"/>
      <c r="R1282" s="1902"/>
      <c r="S1282" s="1643"/>
      <c r="T1282" s="1643"/>
      <c r="U1282" s="1643"/>
      <c r="V1282" s="1643"/>
      <c r="W1282" s="1643"/>
      <c r="X1282" s="1643"/>
      <c r="Y1282" s="1644"/>
      <c r="AI1282" s="2023">
        <f>W1282-'Blocking-Step2'!W1282</f>
        <v>0</v>
      </c>
      <c r="AJ1282" s="2054">
        <f>O1282-'Blocking-Step2'!O1282</f>
        <v>0</v>
      </c>
    </row>
    <row r="1283" spans="1:36" hidden="1">
      <c r="A1283" s="1900" t="s">
        <v>300</v>
      </c>
      <c r="B1283" s="1869">
        <v>27</v>
      </c>
      <c r="C1283" s="528">
        <f>SUMIFS('7'!$M$2:$M$85,'7'!$C$2:$C$85,B1283,'7'!$A$2:$A$85,$C$1251)</f>
        <v>33.733401221995898</v>
      </c>
      <c r="D1283" s="528">
        <f t="shared" si="759"/>
        <v>33</v>
      </c>
      <c r="F1283" s="1901">
        <v>49.1</v>
      </c>
      <c r="G1283" s="1902"/>
      <c r="H1283" s="1644">
        <f t="shared" si="760"/>
        <v>1656</v>
      </c>
      <c r="I1283" s="1644">
        <f t="shared" si="760"/>
        <v>1620</v>
      </c>
      <c r="K1283" s="1901"/>
      <c r="L1283" s="1902"/>
      <c r="M1283" s="1901"/>
      <c r="N1283" s="1902"/>
      <c r="O1283" s="1901"/>
      <c r="P1283" s="1902"/>
      <c r="Q1283" s="1901"/>
      <c r="R1283" s="1902"/>
      <c r="S1283" s="1643"/>
      <c r="T1283" s="1643"/>
      <c r="U1283" s="1643"/>
      <c r="V1283" s="1643"/>
      <c r="W1283" s="1643"/>
      <c r="X1283" s="1643"/>
      <c r="Y1283" s="1644"/>
      <c r="AI1283" s="2023">
        <f>W1283-'Blocking-Step2'!W1283</f>
        <v>0</v>
      </c>
      <c r="AJ1283" s="2054">
        <f>O1283-'Blocking-Step2'!O1283</f>
        <v>0</v>
      </c>
    </row>
    <row r="1284" spans="1:36" hidden="1">
      <c r="A1284" s="1900" t="s">
        <v>130</v>
      </c>
      <c r="C1284" s="528">
        <f>SUM(C1252:C1283)</f>
        <v>85763.472006293101</v>
      </c>
      <c r="D1284" s="528">
        <f>SUM(D1252:D1283)</f>
        <v>82807</v>
      </c>
      <c r="H1284" s="1644">
        <f>SUM(H1252:H1283)</f>
        <v>1685159</v>
      </c>
      <c r="I1284" s="1644">
        <f>SUM(I1252:I1283)</f>
        <v>1627103</v>
      </c>
      <c r="Y1284" s="1644"/>
      <c r="AI1284" s="2023">
        <f>W1284-'Blocking-Step2'!W1284</f>
        <v>0</v>
      </c>
      <c r="AJ1284" s="2054">
        <f>O1284-'Blocking-Step2'!O1284</f>
        <v>0</v>
      </c>
    </row>
    <row r="1285" spans="1:36" hidden="1">
      <c r="A1285" s="1900" t="s">
        <v>36</v>
      </c>
      <c r="C1285" s="1027">
        <f>'7'!N88</f>
        <v>7238624.0497356383</v>
      </c>
      <c r="D1285" s="1027">
        <f>D1290</f>
        <v>6988898.6263882052</v>
      </c>
      <c r="H1285" s="1644"/>
      <c r="I1285" s="1644"/>
      <c r="Y1285" s="1644"/>
      <c r="AI1285" s="2023">
        <f>W1285-'Blocking-Step2'!W1285</f>
        <v>0</v>
      </c>
      <c r="AJ1285" s="2054">
        <f>O1285-'Blocking-Step2'!O1285</f>
        <v>0</v>
      </c>
    </row>
    <row r="1286" spans="1:36" hidden="1">
      <c r="A1286" s="1900" t="s">
        <v>136</v>
      </c>
      <c r="C1286" s="1028">
        <f>'Table 2'!J52</f>
        <v>38396</v>
      </c>
      <c r="D1286" s="1028">
        <v>0</v>
      </c>
      <c r="F1286" s="1961"/>
      <c r="H1286" s="1030">
        <f>'Table 3'!F52</f>
        <v>9758</v>
      </c>
      <c r="I1286" s="1030">
        <v>0</v>
      </c>
      <c r="K1286" s="1961"/>
      <c r="M1286" s="1961"/>
      <c r="O1286" s="1961"/>
      <c r="Q1286" s="1961"/>
      <c r="Y1286" s="1030"/>
      <c r="AI1286" s="2023">
        <f>W1286-'Blocking-Step2'!W1286</f>
        <v>0</v>
      </c>
      <c r="AJ1286" s="2054">
        <f>O1286-'Blocking-Step2'!O1286</f>
        <v>0</v>
      </c>
    </row>
    <row r="1287" spans="1:36" hidden="1">
      <c r="A1287" s="1900" t="s">
        <v>1240</v>
      </c>
      <c r="C1287" s="584"/>
      <c r="D1287" s="584"/>
      <c r="F1287" s="1930">
        <v>-1.9800000000000002E-2</v>
      </c>
      <c r="G1287" s="597"/>
      <c r="H1287" s="1644">
        <f>H1284*$F1287</f>
        <v>-33366.148200000003</v>
      </c>
      <c r="I1287" s="1644">
        <f>I1284*$F1287</f>
        <v>-32216.639400000004</v>
      </c>
      <c r="K1287" s="1930"/>
      <c r="L1287" s="597"/>
      <c r="M1287" s="1930"/>
      <c r="N1287" s="597"/>
      <c r="O1287" s="1931" t="str">
        <f>$O$43</f>
        <v>Tax Year 1 (1/1/2021)</v>
      </c>
      <c r="P1287" s="597"/>
      <c r="Q1287" s="1930">
        <f>$AC$1203</f>
        <v>-1.0200000000000001E-2</v>
      </c>
      <c r="R1287" s="597"/>
      <c r="S1287" s="1645"/>
      <c r="T1287" s="1645"/>
      <c r="U1287" s="1645"/>
      <c r="V1287" s="1645"/>
      <c r="W1287" s="1645"/>
      <c r="X1287" s="1645"/>
      <c r="Y1287" s="1644">
        <f>Q1287*Y1290</f>
        <v>-9016.1686643088178</v>
      </c>
      <c r="AI1287" s="2023">
        <f>W1287-'Blocking-Step2'!W1287</f>
        <v>0</v>
      </c>
      <c r="AJ1287" s="2054">
        <f>O1287-'Blocking-Step2'!O1287</f>
        <v>0</v>
      </c>
    </row>
    <row r="1288" spans="1:36" hidden="1">
      <c r="A1288" s="1900"/>
      <c r="C1288" s="584"/>
      <c r="D1288" s="584"/>
      <c r="F1288" s="1930"/>
      <c r="G1288" s="597"/>
      <c r="H1288" s="1644"/>
      <c r="I1288" s="1644"/>
      <c r="K1288" s="1930"/>
      <c r="L1288" s="597"/>
      <c r="M1288" s="1930"/>
      <c r="N1288" s="597"/>
      <c r="O1288" s="1931">
        <f>$O$44</f>
        <v>0</v>
      </c>
      <c r="P1288" s="597"/>
      <c r="Q1288" s="1930">
        <f>$AC$1204</f>
        <v>0</v>
      </c>
      <c r="R1288" s="597"/>
      <c r="S1288" s="1645"/>
      <c r="T1288" s="1645"/>
      <c r="U1288" s="1645"/>
      <c r="V1288" s="1645"/>
      <c r="W1288" s="1645"/>
      <c r="X1288" s="1645"/>
      <c r="Y1288" s="1644">
        <f>Q1288*Y1290</f>
        <v>0</v>
      </c>
      <c r="AI1288" s="2023">
        <f>W1288-'Blocking-Step2'!W1288</f>
        <v>0</v>
      </c>
      <c r="AJ1288" s="2054">
        <f>O1288-'Blocking-Step2'!O1288</f>
        <v>0</v>
      </c>
    </row>
    <row r="1289" spans="1:36" hidden="1">
      <c r="A1289" s="1900" t="s">
        <v>141</v>
      </c>
      <c r="C1289" s="528">
        <f>'Table 2'!F52</f>
        <v>3860.5833333333298</v>
      </c>
      <c r="D1289" s="528">
        <f>ROUND(Bill!P34/12,0)</f>
        <v>3720</v>
      </c>
      <c r="AI1289" s="2023">
        <f>W1289-'Blocking-Step2'!W1289</f>
        <v>0</v>
      </c>
      <c r="AJ1289" s="2054">
        <f>O1289-'Blocking-Step2'!O1289</f>
        <v>0</v>
      </c>
    </row>
    <row r="1290" spans="1:36" ht="16.5" hidden="1" thickBot="1">
      <c r="A1290" s="1900" t="s">
        <v>302</v>
      </c>
      <c r="C1290" s="1029">
        <f>C1285+C1286</f>
        <v>7277020.0497356383</v>
      </c>
      <c r="D1290" s="1029">
        <f>Energy!P34</f>
        <v>6988898.6263882052</v>
      </c>
      <c r="F1290" s="1935"/>
      <c r="H1290" s="1646">
        <f>SUM(H1284:H1287)</f>
        <v>1661550.8518000001</v>
      </c>
      <c r="I1290" s="1646">
        <f>SUM(I1284:I1287)</f>
        <v>1594886.3606</v>
      </c>
      <c r="K1290" s="1935"/>
      <c r="M1290" s="1935"/>
      <c r="O1290" s="1935"/>
      <c r="Q1290" s="1935"/>
      <c r="S1290" s="1637">
        <f>$Y1290/$Y$1206*S1248</f>
        <v>158310.44018132109</v>
      </c>
      <c r="U1290" s="1637">
        <f>$Y1290/$Y$1206*U1248</f>
        <v>23417.7027116217</v>
      </c>
      <c r="W1290" s="1637">
        <f>Y1290-S1290-U1290</f>
        <v>702209.96145105897</v>
      </c>
      <c r="Y1290" s="1646">
        <f>$Y$1206/$I$1206*I1290</f>
        <v>883938.10434400174</v>
      </c>
      <c r="AA1290" s="1104" t="s">
        <v>1743</v>
      </c>
      <c r="AB1290" s="1890">
        <f>Y1290/I1290-1</f>
        <v>-0.44576734356706005</v>
      </c>
      <c r="AI1290" s="2023">
        <f>W1290-'Blocking-Step2'!W1290</f>
        <v>0</v>
      </c>
      <c r="AJ1290" s="2054">
        <f>O1290-'Blocking-Step2'!O1290</f>
        <v>0</v>
      </c>
    </row>
    <row r="1291" spans="1:36" ht="16.5" hidden="1" thickTop="1">
      <c r="E1291" s="597"/>
      <c r="J1291" s="597"/>
      <c r="AI1291" s="2023">
        <f>W1291-'Blocking-Step2'!W1291</f>
        <v>0</v>
      </c>
      <c r="AJ1291" s="2054">
        <f>O1291-'Blocking-Step2'!O1291</f>
        <v>0</v>
      </c>
    </row>
    <row r="1292" spans="1:36" hidden="1">
      <c r="A1292" s="1897" t="s">
        <v>912</v>
      </c>
      <c r="C1292" s="528"/>
      <c r="D1292" s="528"/>
      <c r="AI1292" s="2023">
        <f>W1292-'Blocking-Step2'!W1292</f>
        <v>0</v>
      </c>
      <c r="AJ1292" s="2054">
        <f>O1292-'Blocking-Step2'!O1292</f>
        <v>0</v>
      </c>
    </row>
    <row r="1293" spans="1:36" hidden="1">
      <c r="A1293" s="1960" t="s">
        <v>264</v>
      </c>
      <c r="C1293" s="528" t="s">
        <v>438</v>
      </c>
      <c r="D1293" s="528"/>
      <c r="H1293" s="1644"/>
      <c r="I1293" s="1644"/>
      <c r="Y1293" s="1644"/>
      <c r="AI1293" s="2023">
        <f>W1293-'Blocking-Step2'!W1293</f>
        <v>0</v>
      </c>
      <c r="AJ1293" s="2054">
        <f>O1293-'Blocking-Step2'!O1293</f>
        <v>0</v>
      </c>
    </row>
    <row r="1294" spans="1:36" hidden="1">
      <c r="A1294" s="1900" t="s">
        <v>265</v>
      </c>
      <c r="B1294" s="1869">
        <v>29</v>
      </c>
      <c r="C1294" s="528">
        <f>SUMIFS('7'!$M$2:$M$85,'7'!$C$2:$C$85,B1294,'7'!$A$2:$A$85,$C$1293)</f>
        <v>0</v>
      </c>
      <c r="D1294" s="528">
        <f>ROUND(C1294/$C$1327*$D$1327,0)</f>
        <v>0</v>
      </c>
      <c r="F1294" s="1901">
        <v>5.68</v>
      </c>
      <c r="G1294" s="1902"/>
      <c r="H1294" s="1644">
        <f t="shared" ref="H1294:I1297" si="761">ROUND($F1294*C1294,0)</f>
        <v>0</v>
      </c>
      <c r="I1294" s="1644">
        <f t="shared" si="761"/>
        <v>0</v>
      </c>
      <c r="K1294" s="1901"/>
      <c r="L1294" s="1902"/>
      <c r="M1294" s="1901"/>
      <c r="N1294" s="1902"/>
      <c r="O1294" s="1901"/>
      <c r="P1294" s="1902"/>
      <c r="Q1294" s="1901"/>
      <c r="R1294" s="1902"/>
      <c r="S1294" s="1643"/>
      <c r="T1294" s="1643"/>
      <c r="U1294" s="1643"/>
      <c r="V1294" s="1643"/>
      <c r="W1294" s="1643"/>
      <c r="X1294" s="1643"/>
      <c r="Y1294" s="1644"/>
      <c r="AI1294" s="2023">
        <f>W1294-'Blocking-Step2'!W1294</f>
        <v>0</v>
      </c>
      <c r="AJ1294" s="2054">
        <f>O1294-'Blocking-Step2'!O1294</f>
        <v>0</v>
      </c>
    </row>
    <row r="1295" spans="1:36" hidden="1">
      <c r="A1295" s="1900" t="s">
        <v>266</v>
      </c>
      <c r="B1295" s="1869">
        <v>1</v>
      </c>
      <c r="C1295" s="528">
        <f>SUMIFS('7'!$M$2:$M$85,'7'!$C$2:$C$85,B1295,'7'!$A$2:$A$85,$C$1293)+SUMIFS('7'!$M$2:$M$85,'7'!$C$2:$C$85,28,'7'!$A$2:$A$85,$C$1293)</f>
        <v>2928.8315018315002</v>
      </c>
      <c r="D1295" s="528">
        <f t="shared" ref="D1295:D1297" si="762">ROUND(C1295/$C$1327*$D$1327,0)</f>
        <v>3072</v>
      </c>
      <c r="F1295" s="1901">
        <v>16.38</v>
      </c>
      <c r="G1295" s="1902"/>
      <c r="H1295" s="1644">
        <f t="shared" si="761"/>
        <v>47974</v>
      </c>
      <c r="I1295" s="1644">
        <f t="shared" si="761"/>
        <v>50319</v>
      </c>
      <c r="K1295" s="1901"/>
      <c r="L1295" s="1902"/>
      <c r="M1295" s="1901"/>
      <c r="N1295" s="1902"/>
      <c r="O1295" s="1901"/>
      <c r="P1295" s="1902"/>
      <c r="Q1295" s="1901"/>
      <c r="R1295" s="1902"/>
      <c r="S1295" s="1643"/>
      <c r="T1295" s="1643"/>
      <c r="U1295" s="1643"/>
      <c r="V1295" s="1643"/>
      <c r="W1295" s="1643"/>
      <c r="X1295" s="1643"/>
      <c r="Y1295" s="1644"/>
      <c r="AI1295" s="2023">
        <f>W1295-'Blocking-Step2'!W1295</f>
        <v>0</v>
      </c>
      <c r="AJ1295" s="2054">
        <f>O1295-'Blocking-Step2'!O1295</f>
        <v>0</v>
      </c>
    </row>
    <row r="1296" spans="1:36" hidden="1">
      <c r="A1296" s="1900" t="s">
        <v>267</v>
      </c>
      <c r="B1296" s="1869">
        <v>40</v>
      </c>
      <c r="C1296" s="528">
        <f>SUMIFS('7'!$M$2:$M$85,'7'!$C$2:$C$85,B1296,'7'!$A$2:$A$85,$C$1293)</f>
        <v>0</v>
      </c>
      <c r="D1296" s="528">
        <f t="shared" si="762"/>
        <v>0</v>
      </c>
      <c r="F1296" s="1901">
        <v>8.0500000000000007</v>
      </c>
      <c r="G1296" s="1902"/>
      <c r="H1296" s="1644">
        <f t="shared" si="761"/>
        <v>0</v>
      </c>
      <c r="I1296" s="1644">
        <f t="shared" si="761"/>
        <v>0</v>
      </c>
      <c r="K1296" s="1901"/>
      <c r="L1296" s="1902"/>
      <c r="M1296" s="1901"/>
      <c r="N1296" s="1902"/>
      <c r="O1296" s="1901"/>
      <c r="P1296" s="1902"/>
      <c r="Q1296" s="1901"/>
      <c r="R1296" s="1902"/>
      <c r="S1296" s="1643"/>
      <c r="T1296" s="1643"/>
      <c r="U1296" s="1643"/>
      <c r="V1296" s="1643"/>
      <c r="W1296" s="1643"/>
      <c r="X1296" s="1643"/>
      <c r="Y1296" s="1644"/>
      <c r="AI1296" s="2023">
        <f>W1296-'Blocking-Step2'!W1296</f>
        <v>0</v>
      </c>
      <c r="AJ1296" s="2054">
        <f>O1296-'Blocking-Step2'!O1296</f>
        <v>0</v>
      </c>
    </row>
    <row r="1297" spans="1:36" hidden="1">
      <c r="A1297" s="1900" t="s">
        <v>268</v>
      </c>
      <c r="B1297" s="1869">
        <v>2</v>
      </c>
      <c r="C1297" s="528">
        <f>SUMIFS('7'!$M$2:$M$85,'7'!$C$2:$C$85,B1297,'7'!$A$2:$A$85,$C$1293)</f>
        <v>1525.76624346527</v>
      </c>
      <c r="D1297" s="528">
        <f t="shared" si="762"/>
        <v>1600</v>
      </c>
      <c r="F1297" s="1901">
        <v>26.78</v>
      </c>
      <c r="G1297" s="1902"/>
      <c r="H1297" s="1644">
        <f t="shared" si="761"/>
        <v>40860</v>
      </c>
      <c r="I1297" s="1644">
        <f t="shared" si="761"/>
        <v>42848</v>
      </c>
      <c r="K1297" s="1901"/>
      <c r="L1297" s="1902"/>
      <c r="M1297" s="1901"/>
      <c r="N1297" s="1902"/>
      <c r="O1297" s="1901"/>
      <c r="P1297" s="1902"/>
      <c r="Q1297" s="1901"/>
      <c r="R1297" s="1902"/>
      <c r="S1297" s="1643"/>
      <c r="T1297" s="1643"/>
      <c r="U1297" s="1643"/>
      <c r="V1297" s="1643"/>
      <c r="W1297" s="1643"/>
      <c r="X1297" s="1643"/>
      <c r="Y1297" s="1644"/>
      <c r="AI1297" s="2023">
        <f>W1297-'Blocking-Step2'!W1297</f>
        <v>0</v>
      </c>
      <c r="AJ1297" s="2054">
        <f>O1297-'Blocking-Step2'!O1297</f>
        <v>0</v>
      </c>
    </row>
    <row r="1298" spans="1:36" hidden="1">
      <c r="A1298" s="1960" t="s">
        <v>269</v>
      </c>
      <c r="C1298" s="528"/>
      <c r="D1298" s="528"/>
      <c r="H1298" s="1644"/>
      <c r="I1298" s="1644"/>
      <c r="K1298" s="1901"/>
      <c r="M1298" s="1901"/>
      <c r="O1298" s="1901"/>
      <c r="Q1298" s="1901"/>
      <c r="Y1298" s="1644"/>
      <c r="AI1298" s="2023">
        <f>W1298-'Blocking-Step2'!W1298</f>
        <v>0</v>
      </c>
      <c r="AJ1298" s="2054">
        <f>O1298-'Blocking-Step2'!O1298</f>
        <v>0</v>
      </c>
    </row>
    <row r="1299" spans="1:36" hidden="1">
      <c r="A1299" s="1900" t="s">
        <v>270</v>
      </c>
      <c r="B1299" s="1869">
        <v>3</v>
      </c>
      <c r="C1299" s="528">
        <f>SUMIFS('7'!$M$2:$M$85,'7'!$C$2:$C$85,B1299,'7'!$A$2:$A$85,$C$1293)</f>
        <v>0</v>
      </c>
      <c r="D1299" s="528">
        <f t="shared" ref="D1299:D1309" si="763">ROUND(C1299/$C$1327*$D$1327,0)</f>
        <v>0</v>
      </c>
      <c r="F1299" s="1901">
        <v>14.6</v>
      </c>
      <c r="G1299" s="1902"/>
      <c r="H1299" s="1644">
        <f t="shared" ref="H1299:I1309" si="764">ROUND($F1299*C1299,0)</f>
        <v>0</v>
      </c>
      <c r="I1299" s="1644">
        <f t="shared" si="764"/>
        <v>0</v>
      </c>
      <c r="K1299" s="1901"/>
      <c r="L1299" s="1902"/>
      <c r="M1299" s="1901"/>
      <c r="N1299" s="1902"/>
      <c r="O1299" s="1901"/>
      <c r="P1299" s="1902"/>
      <c r="Q1299" s="1901"/>
      <c r="R1299" s="1902"/>
      <c r="S1299" s="1643"/>
      <c r="T1299" s="1643"/>
      <c r="U1299" s="1643"/>
      <c r="V1299" s="1643"/>
      <c r="W1299" s="1643"/>
      <c r="X1299" s="1643"/>
      <c r="Y1299" s="1644"/>
      <c r="AI1299" s="2023">
        <f>W1299-'Blocking-Step2'!W1299</f>
        <v>0</v>
      </c>
      <c r="AJ1299" s="2054">
        <f>O1299-'Blocking-Step2'!O1299</f>
        <v>0</v>
      </c>
    </row>
    <row r="1300" spans="1:36" hidden="1">
      <c r="A1300" s="1900" t="s">
        <v>271</v>
      </c>
      <c r="B1300" s="1869">
        <v>4</v>
      </c>
      <c r="C1300" s="528">
        <f>SUMIFS('7'!$M$2:$M$85,'7'!$C$2:$C$85,B1300,'7'!$A$2:$A$85,$C$1293)</f>
        <v>48</v>
      </c>
      <c r="D1300" s="528">
        <f t="shared" si="763"/>
        <v>50</v>
      </c>
      <c r="F1300" s="1901">
        <v>12.23</v>
      </c>
      <c r="G1300" s="1902"/>
      <c r="H1300" s="1644">
        <f t="shared" si="764"/>
        <v>587</v>
      </c>
      <c r="I1300" s="1644">
        <f t="shared" si="764"/>
        <v>612</v>
      </c>
      <c r="K1300" s="1901"/>
      <c r="L1300" s="1902"/>
      <c r="M1300" s="1901"/>
      <c r="N1300" s="1902"/>
      <c r="O1300" s="1901"/>
      <c r="P1300" s="1902"/>
      <c r="Q1300" s="1901"/>
      <c r="R1300" s="1902"/>
      <c r="S1300" s="1643"/>
      <c r="T1300" s="1643"/>
      <c r="U1300" s="1643"/>
      <c r="V1300" s="1643"/>
      <c r="W1300" s="1643"/>
      <c r="X1300" s="1643"/>
      <c r="Y1300" s="1644"/>
      <c r="AI1300" s="2023">
        <f>W1300-'Blocking-Step2'!W1300</f>
        <v>0</v>
      </c>
      <c r="AJ1300" s="2054">
        <f>O1300-'Blocking-Step2'!O1300</f>
        <v>0</v>
      </c>
    </row>
    <row r="1301" spans="1:36" hidden="1">
      <c r="A1301" s="1900" t="s">
        <v>272</v>
      </c>
      <c r="B1301" s="1869">
        <v>5</v>
      </c>
      <c r="C1301" s="528">
        <f>SUMIFS('7'!$M$2:$M$85,'7'!$C$2:$C$85,B1301,'7'!$A$2:$A$85,$C$1293)</f>
        <v>737.599870717518</v>
      </c>
      <c r="D1301" s="528">
        <f t="shared" si="763"/>
        <v>774</v>
      </c>
      <c r="F1301" s="1901">
        <v>15.47</v>
      </c>
      <c r="G1301" s="1902"/>
      <c r="H1301" s="1644">
        <f t="shared" si="764"/>
        <v>11411</v>
      </c>
      <c r="I1301" s="1644">
        <f t="shared" si="764"/>
        <v>11974</v>
      </c>
      <c r="K1301" s="1901"/>
      <c r="L1301" s="1902"/>
      <c r="M1301" s="1901"/>
      <c r="N1301" s="1902"/>
      <c r="O1301" s="1901"/>
      <c r="P1301" s="1902"/>
      <c r="Q1301" s="1901"/>
      <c r="R1301" s="1902"/>
      <c r="S1301" s="1643"/>
      <c r="T1301" s="1643"/>
      <c r="U1301" s="1643"/>
      <c r="V1301" s="1643"/>
      <c r="W1301" s="1643"/>
      <c r="X1301" s="1643"/>
      <c r="Y1301" s="1644"/>
      <c r="AI1301" s="2023">
        <f>W1301-'Blocking-Step2'!W1301</f>
        <v>0</v>
      </c>
      <c r="AJ1301" s="2054">
        <f>O1301-'Blocking-Step2'!O1301</f>
        <v>0</v>
      </c>
    </row>
    <row r="1302" spans="1:36" hidden="1">
      <c r="A1302" s="1900" t="s">
        <v>273</v>
      </c>
      <c r="B1302" s="1869">
        <v>6</v>
      </c>
      <c r="C1302" s="528">
        <f>SUMIFS('7'!$M$2:$M$85,'7'!$C$2:$C$85,B1302,'7'!$A$2:$A$85,$C$1293)</f>
        <v>563.13373403456001</v>
      </c>
      <c r="D1302" s="528">
        <f t="shared" si="763"/>
        <v>591</v>
      </c>
      <c r="F1302" s="1901">
        <v>13.31</v>
      </c>
      <c r="G1302" s="1902"/>
      <c r="H1302" s="1644">
        <f t="shared" si="764"/>
        <v>7495</v>
      </c>
      <c r="I1302" s="1644">
        <f t="shared" si="764"/>
        <v>7866</v>
      </c>
      <c r="K1302" s="1901"/>
      <c r="L1302" s="1902"/>
      <c r="M1302" s="1901"/>
      <c r="N1302" s="1902"/>
      <c r="O1302" s="1901"/>
      <c r="P1302" s="1902"/>
      <c r="Q1302" s="1901"/>
      <c r="R1302" s="1902"/>
      <c r="S1302" s="1643"/>
      <c r="T1302" s="1643"/>
      <c r="U1302" s="1643"/>
      <c r="V1302" s="1643"/>
      <c r="W1302" s="1643"/>
      <c r="X1302" s="1643"/>
      <c r="Y1302" s="1644"/>
      <c r="AI1302" s="2023">
        <f>W1302-'Blocking-Step2'!W1302</f>
        <v>0</v>
      </c>
      <c r="AJ1302" s="2054">
        <f>O1302-'Blocking-Step2'!O1302</f>
        <v>0</v>
      </c>
    </row>
    <row r="1303" spans="1:36" hidden="1">
      <c r="A1303" s="1900" t="s">
        <v>274</v>
      </c>
      <c r="B1303" s="1869">
        <v>7</v>
      </c>
      <c r="C1303" s="528">
        <f>SUMIFS('7'!$M$2:$M$85,'7'!$C$2:$C$85,B1303,'7'!$A$2:$A$85,$C$1293)</f>
        <v>156</v>
      </c>
      <c r="D1303" s="528">
        <f t="shared" si="763"/>
        <v>164</v>
      </c>
      <c r="F1303" s="1901">
        <v>19.46</v>
      </c>
      <c r="G1303" s="1902"/>
      <c r="H1303" s="1644">
        <f t="shared" si="764"/>
        <v>3036</v>
      </c>
      <c r="I1303" s="1644">
        <f t="shared" si="764"/>
        <v>3191</v>
      </c>
      <c r="K1303" s="1901"/>
      <c r="L1303" s="1902"/>
      <c r="M1303" s="1901"/>
      <c r="N1303" s="1902"/>
      <c r="O1303" s="1901"/>
      <c r="P1303" s="1902"/>
      <c r="Q1303" s="1901"/>
      <c r="R1303" s="1902"/>
      <c r="S1303" s="1643"/>
      <c r="T1303" s="1643"/>
      <c r="U1303" s="1643"/>
      <c r="V1303" s="1643"/>
      <c r="W1303" s="1643"/>
      <c r="X1303" s="1643"/>
      <c r="Y1303" s="1644"/>
      <c r="AI1303" s="2023">
        <f>W1303-'Blocking-Step2'!W1303</f>
        <v>0</v>
      </c>
      <c r="AJ1303" s="2054">
        <f>O1303-'Blocking-Step2'!O1303</f>
        <v>0</v>
      </c>
    </row>
    <row r="1304" spans="1:36" hidden="1">
      <c r="A1304" s="1900" t="s">
        <v>275</v>
      </c>
      <c r="B1304" s="1869">
        <v>8</v>
      </c>
      <c r="C1304" s="528">
        <f>SUMIFS('7'!$M$2:$M$85,'7'!$C$2:$C$85,B1304,'7'!$A$2:$A$85,$C$1293)</f>
        <v>108</v>
      </c>
      <c r="D1304" s="528">
        <f t="shared" si="763"/>
        <v>113</v>
      </c>
      <c r="F1304" s="1901">
        <v>17.13</v>
      </c>
      <c r="G1304" s="1902"/>
      <c r="H1304" s="1644">
        <f t="shared" si="764"/>
        <v>1850</v>
      </c>
      <c r="I1304" s="1644">
        <f t="shared" si="764"/>
        <v>1936</v>
      </c>
      <c r="K1304" s="1901"/>
      <c r="L1304" s="1902"/>
      <c r="M1304" s="1901"/>
      <c r="N1304" s="1902"/>
      <c r="O1304" s="1901"/>
      <c r="P1304" s="1902"/>
      <c r="Q1304" s="1901"/>
      <c r="R1304" s="1902"/>
      <c r="S1304" s="1643"/>
      <c r="T1304" s="1643"/>
      <c r="U1304" s="1643"/>
      <c r="V1304" s="1643"/>
      <c r="W1304" s="1643"/>
      <c r="X1304" s="1643"/>
      <c r="Y1304" s="1644"/>
      <c r="AI1304" s="2023">
        <f>W1304-'Blocking-Step2'!W1304</f>
        <v>0</v>
      </c>
      <c r="AJ1304" s="2054">
        <f>O1304-'Blocking-Step2'!O1304</f>
        <v>0</v>
      </c>
    </row>
    <row r="1305" spans="1:36" hidden="1">
      <c r="A1305" s="1900" t="s">
        <v>276</v>
      </c>
      <c r="B1305" s="1869">
        <v>9</v>
      </c>
      <c r="C1305" s="528">
        <f>SUMIFS('7'!$M$2:$M$85,'7'!$C$2:$C$85,B1305,'7'!$A$2:$A$85,$C$1293)</f>
        <v>0</v>
      </c>
      <c r="D1305" s="528">
        <f t="shared" si="763"/>
        <v>0</v>
      </c>
      <c r="F1305" s="1901">
        <v>21.07</v>
      </c>
      <c r="G1305" s="1902"/>
      <c r="H1305" s="1644">
        <f t="shared" si="764"/>
        <v>0</v>
      </c>
      <c r="I1305" s="1644">
        <f t="shared" si="764"/>
        <v>0</v>
      </c>
      <c r="K1305" s="1901"/>
      <c r="L1305" s="1902"/>
      <c r="M1305" s="1901"/>
      <c r="N1305" s="1902"/>
      <c r="O1305" s="1901"/>
      <c r="P1305" s="1902"/>
      <c r="Q1305" s="1901"/>
      <c r="R1305" s="1902"/>
      <c r="S1305" s="1643"/>
      <c r="T1305" s="1643"/>
      <c r="U1305" s="1643"/>
      <c r="V1305" s="1643"/>
      <c r="W1305" s="1643"/>
      <c r="X1305" s="1643"/>
      <c r="Y1305" s="1644"/>
      <c r="AI1305" s="2023">
        <f>W1305-'Blocking-Step2'!W1305</f>
        <v>0</v>
      </c>
      <c r="AJ1305" s="2054">
        <f>O1305-'Blocking-Step2'!O1305</f>
        <v>0</v>
      </c>
    </row>
    <row r="1306" spans="1:36" hidden="1">
      <c r="A1306" s="1900" t="s">
        <v>277</v>
      </c>
      <c r="B1306" s="1869">
        <v>10</v>
      </c>
      <c r="C1306" s="528">
        <f>SUMIFS('7'!$M$2:$M$85,'7'!$C$2:$C$85,B1306,'7'!$A$2:$A$85,$C$1293)</f>
        <v>256.199914929817</v>
      </c>
      <c r="D1306" s="528">
        <f t="shared" si="763"/>
        <v>269</v>
      </c>
      <c r="F1306" s="1901">
        <v>23.51</v>
      </c>
      <c r="G1306" s="1902"/>
      <c r="H1306" s="1644">
        <f t="shared" si="764"/>
        <v>6023</v>
      </c>
      <c r="I1306" s="1644">
        <f t="shared" si="764"/>
        <v>6324</v>
      </c>
      <c r="K1306" s="1901"/>
      <c r="L1306" s="1902"/>
      <c r="M1306" s="1901"/>
      <c r="N1306" s="1902"/>
      <c r="O1306" s="1901"/>
      <c r="P1306" s="1902"/>
      <c r="Q1306" s="1901"/>
      <c r="R1306" s="1902"/>
      <c r="S1306" s="1643"/>
      <c r="T1306" s="1643"/>
      <c r="U1306" s="1643"/>
      <c r="V1306" s="1643"/>
      <c r="W1306" s="1643"/>
      <c r="X1306" s="1643"/>
      <c r="Y1306" s="1644"/>
      <c r="AI1306" s="2023">
        <f>W1306-'Blocking-Step2'!W1306</f>
        <v>0</v>
      </c>
      <c r="AJ1306" s="2054">
        <f>O1306-'Blocking-Step2'!O1306</f>
        <v>0</v>
      </c>
    </row>
    <row r="1307" spans="1:36" hidden="1">
      <c r="A1307" s="1900" t="s">
        <v>278</v>
      </c>
      <c r="B1307" s="1869">
        <v>11</v>
      </c>
      <c r="C1307" s="528">
        <f>SUMIFS('7'!$M$2:$M$85,'7'!$C$2:$C$85,B1307,'7'!$A$2:$A$85,$C$1293)</f>
        <v>276</v>
      </c>
      <c r="D1307" s="528">
        <f t="shared" si="763"/>
        <v>290</v>
      </c>
      <c r="F1307" s="1901">
        <v>21.23</v>
      </c>
      <c r="G1307" s="1902"/>
      <c r="H1307" s="1644">
        <f t="shared" si="764"/>
        <v>5859</v>
      </c>
      <c r="I1307" s="1644">
        <f t="shared" si="764"/>
        <v>6157</v>
      </c>
      <c r="K1307" s="1901"/>
      <c r="L1307" s="1902"/>
      <c r="M1307" s="1901"/>
      <c r="N1307" s="1902"/>
      <c r="O1307" s="1901"/>
      <c r="P1307" s="1902"/>
      <c r="Q1307" s="1901"/>
      <c r="R1307" s="1902"/>
      <c r="S1307" s="1643"/>
      <c r="T1307" s="1643"/>
      <c r="U1307" s="1643"/>
      <c r="V1307" s="1643"/>
      <c r="W1307" s="1643"/>
      <c r="X1307" s="1643"/>
      <c r="Y1307" s="1644"/>
      <c r="AI1307" s="2023">
        <f>W1307-'Blocking-Step2'!W1307</f>
        <v>0</v>
      </c>
      <c r="AJ1307" s="2054">
        <f>O1307-'Blocking-Step2'!O1307</f>
        <v>0</v>
      </c>
    </row>
    <row r="1308" spans="1:36" hidden="1">
      <c r="A1308" s="1900" t="s">
        <v>279</v>
      </c>
      <c r="B1308" s="1869">
        <v>12</v>
      </c>
      <c r="C1308" s="528">
        <f>SUMIFS('7'!$M$2:$M$85,'7'!$C$2:$C$85,B1308,'7'!$A$2:$A$85,$C$1293)</f>
        <v>215.4</v>
      </c>
      <c r="D1308" s="528">
        <f t="shared" si="763"/>
        <v>226</v>
      </c>
      <c r="F1308" s="1901">
        <v>28.3</v>
      </c>
      <c r="G1308" s="1902"/>
      <c r="H1308" s="1644">
        <f t="shared" si="764"/>
        <v>6096</v>
      </c>
      <c r="I1308" s="1644">
        <f t="shared" si="764"/>
        <v>6396</v>
      </c>
      <c r="K1308" s="1901"/>
      <c r="L1308" s="1902"/>
      <c r="M1308" s="1901"/>
      <c r="N1308" s="1902"/>
      <c r="O1308" s="1901"/>
      <c r="P1308" s="1902"/>
      <c r="Q1308" s="1901"/>
      <c r="R1308" s="1902"/>
      <c r="S1308" s="1643"/>
      <c r="T1308" s="1643"/>
      <c r="U1308" s="1643"/>
      <c r="V1308" s="1643"/>
      <c r="W1308" s="1643"/>
      <c r="X1308" s="1643"/>
      <c r="Y1308" s="1644"/>
      <c r="AI1308" s="2023">
        <f>W1308-'Blocking-Step2'!W1308</f>
        <v>0</v>
      </c>
      <c r="AJ1308" s="2054">
        <f>O1308-'Blocking-Step2'!O1308</f>
        <v>0</v>
      </c>
    </row>
    <row r="1309" spans="1:36" hidden="1">
      <c r="A1309" s="1900" t="s">
        <v>280</v>
      </c>
      <c r="B1309" s="1869">
        <v>13</v>
      </c>
      <c r="C1309" s="528">
        <f>SUMIFS('7'!$M$2:$M$85,'7'!$C$2:$C$85,B1309,'7'!$A$2:$A$85,$C$1293)</f>
        <v>96</v>
      </c>
      <c r="D1309" s="528">
        <f t="shared" si="763"/>
        <v>101</v>
      </c>
      <c r="F1309" s="1901">
        <v>25.99</v>
      </c>
      <c r="G1309" s="1902"/>
      <c r="H1309" s="1644">
        <f t="shared" si="764"/>
        <v>2495</v>
      </c>
      <c r="I1309" s="1644">
        <f t="shared" si="764"/>
        <v>2625</v>
      </c>
      <c r="K1309" s="1901"/>
      <c r="L1309" s="1902"/>
      <c r="M1309" s="1901"/>
      <c r="N1309" s="1902"/>
      <c r="O1309" s="1901"/>
      <c r="P1309" s="1902"/>
      <c r="Q1309" s="1901"/>
      <c r="R1309" s="1902"/>
      <c r="S1309" s="1643"/>
      <c r="T1309" s="1643"/>
      <c r="U1309" s="1643"/>
      <c r="V1309" s="1643"/>
      <c r="W1309" s="1643"/>
      <c r="X1309" s="1643"/>
      <c r="Y1309" s="1644"/>
      <c r="AI1309" s="2023">
        <f>W1309-'Blocking-Step2'!W1309</f>
        <v>0</v>
      </c>
      <c r="AJ1309" s="2054">
        <f>O1309-'Blocking-Step2'!O1309</f>
        <v>0</v>
      </c>
    </row>
    <row r="1310" spans="1:36" hidden="1">
      <c r="A1310" s="1960" t="s">
        <v>281</v>
      </c>
      <c r="C1310" s="528"/>
      <c r="D1310" s="528"/>
      <c r="H1310" s="1644"/>
      <c r="I1310" s="1644"/>
      <c r="K1310" s="1901"/>
      <c r="M1310" s="1901"/>
      <c r="O1310" s="1901"/>
      <c r="Q1310" s="1901"/>
      <c r="Y1310" s="1644"/>
      <c r="AI1310" s="2023">
        <f>W1310-'Blocking-Step2'!W1310</f>
        <v>0</v>
      </c>
      <c r="AJ1310" s="2054">
        <f>O1310-'Blocking-Step2'!O1310</f>
        <v>0</v>
      </c>
    </row>
    <row r="1311" spans="1:36" hidden="1">
      <c r="A1311" s="1900" t="s">
        <v>274</v>
      </c>
      <c r="B1311" s="1869">
        <v>14</v>
      </c>
      <c r="C1311" s="528">
        <f>SUMIFS('7'!$M$2:$M$85,'7'!$C$2:$C$85,B1311,'7'!$A$2:$A$85,$C$1293)</f>
        <v>276.66649537512802</v>
      </c>
      <c r="D1311" s="528">
        <f t="shared" ref="D1311:D1316" si="765">ROUND(C1311/$C$1327*$D$1327,0)</f>
        <v>290</v>
      </c>
      <c r="F1311" s="1901">
        <v>19.46</v>
      </c>
      <c r="G1311" s="1902"/>
      <c r="H1311" s="1644">
        <f t="shared" ref="H1311:I1316" si="766">ROUND($F1311*C1311,0)</f>
        <v>5384</v>
      </c>
      <c r="I1311" s="1644">
        <f t="shared" si="766"/>
        <v>5643</v>
      </c>
      <c r="K1311" s="1901"/>
      <c r="L1311" s="1902"/>
      <c r="M1311" s="1901"/>
      <c r="N1311" s="1902"/>
      <c r="O1311" s="1901"/>
      <c r="P1311" s="1902"/>
      <c r="Q1311" s="1901"/>
      <c r="R1311" s="1902"/>
      <c r="S1311" s="1643"/>
      <c r="T1311" s="1643"/>
      <c r="U1311" s="1643"/>
      <c r="V1311" s="1643"/>
      <c r="W1311" s="1643"/>
      <c r="X1311" s="1643"/>
      <c r="Y1311" s="1644"/>
      <c r="AI1311" s="2023">
        <f>W1311-'Blocking-Step2'!W1311</f>
        <v>0</v>
      </c>
      <c r="AJ1311" s="2054">
        <f>O1311-'Blocking-Step2'!O1311</f>
        <v>0</v>
      </c>
    </row>
    <row r="1312" spans="1:36" hidden="1">
      <c r="A1312" s="1900" t="s">
        <v>275</v>
      </c>
      <c r="B1312" s="1869">
        <v>15</v>
      </c>
      <c r="C1312" s="528">
        <f>SUMIFS('7'!$M$2:$M$85,'7'!$C$2:$C$85,B1312,'7'!$A$2:$A$85,$C$1293)</f>
        <v>84.033274956217198</v>
      </c>
      <c r="D1312" s="528">
        <f t="shared" si="765"/>
        <v>88</v>
      </c>
      <c r="F1312" s="1901">
        <v>17.13</v>
      </c>
      <c r="G1312" s="1902"/>
      <c r="H1312" s="1644">
        <f t="shared" si="766"/>
        <v>1439</v>
      </c>
      <c r="I1312" s="1644">
        <f t="shared" si="766"/>
        <v>1507</v>
      </c>
      <c r="K1312" s="1901"/>
      <c r="L1312" s="1902"/>
      <c r="M1312" s="1901"/>
      <c r="N1312" s="1902"/>
      <c r="O1312" s="1901"/>
      <c r="P1312" s="1902"/>
      <c r="Q1312" s="1901"/>
      <c r="R1312" s="1902"/>
      <c r="S1312" s="1643"/>
      <c r="T1312" s="1643"/>
      <c r="U1312" s="1643"/>
      <c r="V1312" s="1643"/>
      <c r="W1312" s="1643"/>
      <c r="X1312" s="1643"/>
      <c r="Y1312" s="1644"/>
      <c r="AI1312" s="2023">
        <f>W1312-'Blocking-Step2'!W1312</f>
        <v>0</v>
      </c>
      <c r="AJ1312" s="2054">
        <f>O1312-'Blocking-Step2'!O1312</f>
        <v>0</v>
      </c>
    </row>
    <row r="1313" spans="1:36" hidden="1">
      <c r="A1313" s="1900" t="s">
        <v>277</v>
      </c>
      <c r="B1313" s="1869">
        <v>16</v>
      </c>
      <c r="C1313" s="528">
        <f>SUMIFS('7'!$M$2:$M$85,'7'!$C$2:$C$85,B1313,'7'!$A$2:$A$85,$C$1293)</f>
        <v>36</v>
      </c>
      <c r="D1313" s="528">
        <f t="shared" si="765"/>
        <v>38</v>
      </c>
      <c r="F1313" s="1901">
        <v>23.51</v>
      </c>
      <c r="G1313" s="1902"/>
      <c r="H1313" s="1644">
        <f t="shared" si="766"/>
        <v>846</v>
      </c>
      <c r="I1313" s="1644">
        <f t="shared" si="766"/>
        <v>893</v>
      </c>
      <c r="K1313" s="1901"/>
      <c r="L1313" s="1902"/>
      <c r="M1313" s="1901"/>
      <c r="N1313" s="1902"/>
      <c r="O1313" s="1901"/>
      <c r="P1313" s="1902"/>
      <c r="Q1313" s="1901"/>
      <c r="R1313" s="1902"/>
      <c r="S1313" s="1643"/>
      <c r="T1313" s="1643"/>
      <c r="U1313" s="1643"/>
      <c r="V1313" s="1643"/>
      <c r="W1313" s="1643"/>
      <c r="X1313" s="1643"/>
      <c r="Y1313" s="1644"/>
      <c r="AI1313" s="2023">
        <f>W1313-'Blocking-Step2'!W1313</f>
        <v>0</v>
      </c>
      <c r="AJ1313" s="2054">
        <f>O1313-'Blocking-Step2'!O1313</f>
        <v>0</v>
      </c>
    </row>
    <row r="1314" spans="1:36" hidden="1">
      <c r="A1314" s="1900" t="s">
        <v>278</v>
      </c>
      <c r="B1314" s="1869">
        <v>17</v>
      </c>
      <c r="C1314" s="528">
        <f>SUMIFS('7'!$M$2:$M$85,'7'!$C$2:$C$85,B1314,'7'!$A$2:$A$85,$C$1293)</f>
        <v>0</v>
      </c>
      <c r="D1314" s="528">
        <f t="shared" si="765"/>
        <v>0</v>
      </c>
      <c r="F1314" s="1901">
        <v>21.23</v>
      </c>
      <c r="G1314" s="1902"/>
      <c r="H1314" s="1644">
        <f t="shared" si="766"/>
        <v>0</v>
      </c>
      <c r="I1314" s="1644">
        <f t="shared" si="766"/>
        <v>0</v>
      </c>
      <c r="K1314" s="1901"/>
      <c r="L1314" s="1902"/>
      <c r="M1314" s="1901"/>
      <c r="N1314" s="1902"/>
      <c r="O1314" s="1901"/>
      <c r="P1314" s="1902"/>
      <c r="Q1314" s="1901"/>
      <c r="R1314" s="1902"/>
      <c r="S1314" s="1643"/>
      <c r="T1314" s="1643"/>
      <c r="U1314" s="1643"/>
      <c r="V1314" s="1643"/>
      <c r="W1314" s="1643"/>
      <c r="X1314" s="1643"/>
      <c r="Y1314" s="1644"/>
      <c r="AI1314" s="2023">
        <f>W1314-'Blocking-Step2'!W1314</f>
        <v>0</v>
      </c>
      <c r="AJ1314" s="2054">
        <f>O1314-'Blocking-Step2'!O1314</f>
        <v>0</v>
      </c>
    </row>
    <row r="1315" spans="1:36" hidden="1">
      <c r="A1315" s="1900" t="s">
        <v>279</v>
      </c>
      <c r="B1315" s="1869">
        <v>18</v>
      </c>
      <c r="C1315" s="528">
        <f>SUMIFS('7'!$M$2:$M$85,'7'!$C$2:$C$85,B1315,'7'!$A$2:$A$85,$C$1293)</f>
        <v>1450.7102473498201</v>
      </c>
      <c r="D1315" s="528">
        <f t="shared" si="765"/>
        <v>1522</v>
      </c>
      <c r="F1315" s="1901">
        <v>28.3</v>
      </c>
      <c r="G1315" s="1902"/>
      <c r="H1315" s="1644">
        <f t="shared" si="766"/>
        <v>41055</v>
      </c>
      <c r="I1315" s="1644">
        <f t="shared" si="766"/>
        <v>43073</v>
      </c>
      <c r="K1315" s="1901"/>
      <c r="L1315" s="1902"/>
      <c r="M1315" s="1901"/>
      <c r="N1315" s="1902"/>
      <c r="O1315" s="1901"/>
      <c r="P1315" s="1902"/>
      <c r="Q1315" s="1901"/>
      <c r="R1315" s="1902"/>
      <c r="S1315" s="1643"/>
      <c r="T1315" s="1643"/>
      <c r="U1315" s="1643"/>
      <c r="V1315" s="1643"/>
      <c r="W1315" s="1643"/>
      <c r="X1315" s="1643"/>
      <c r="Y1315" s="1644"/>
      <c r="AI1315" s="2023">
        <f>W1315-'Blocking-Step2'!W1315</f>
        <v>0</v>
      </c>
      <c r="AJ1315" s="2054">
        <f>O1315-'Blocking-Step2'!O1315</f>
        <v>0</v>
      </c>
    </row>
    <row r="1316" spans="1:36" hidden="1">
      <c r="A1316" s="1900" t="s">
        <v>280</v>
      </c>
      <c r="B1316" s="1869">
        <v>19</v>
      </c>
      <c r="C1316" s="528">
        <f>SUMIFS('7'!$M$2:$M$85,'7'!$C$2:$C$85,B1316,'7'!$A$2:$A$85,$C$1293)</f>
        <v>959.43401308195496</v>
      </c>
      <c r="D1316" s="528">
        <f t="shared" si="765"/>
        <v>1006</v>
      </c>
      <c r="F1316" s="1901">
        <v>25.99</v>
      </c>
      <c r="G1316" s="1902"/>
      <c r="H1316" s="1644">
        <f t="shared" si="766"/>
        <v>24936</v>
      </c>
      <c r="I1316" s="1644">
        <f t="shared" si="766"/>
        <v>26146</v>
      </c>
      <c r="K1316" s="1901"/>
      <c r="L1316" s="1902"/>
      <c r="M1316" s="1901"/>
      <c r="N1316" s="1902"/>
      <c r="O1316" s="1901"/>
      <c r="P1316" s="1902"/>
      <c r="Q1316" s="1901"/>
      <c r="R1316" s="1902"/>
      <c r="S1316" s="1643"/>
      <c r="T1316" s="1643"/>
      <c r="U1316" s="1643"/>
      <c r="V1316" s="1643"/>
      <c r="W1316" s="1643"/>
      <c r="X1316" s="1643"/>
      <c r="Y1316" s="1644"/>
      <c r="AI1316" s="2023">
        <f>W1316-'Blocking-Step2'!W1316</f>
        <v>0</v>
      </c>
      <c r="AJ1316" s="2054">
        <f>O1316-'Blocking-Step2'!O1316</f>
        <v>0</v>
      </c>
    </row>
    <row r="1317" spans="1:36" hidden="1">
      <c r="A1317" s="1960" t="s">
        <v>289</v>
      </c>
      <c r="C1317" s="528"/>
      <c r="D1317" s="528"/>
      <c r="K1317" s="1901"/>
      <c r="M1317" s="1901"/>
      <c r="O1317" s="1901"/>
      <c r="Q1317" s="1901"/>
      <c r="AI1317" s="2023">
        <f>W1317-'Blocking-Step2'!W1317</f>
        <v>0</v>
      </c>
      <c r="AJ1317" s="2054">
        <f>O1317-'Blocking-Step2'!O1317</f>
        <v>0</v>
      </c>
    </row>
    <row r="1318" spans="1:36" hidden="1">
      <c r="A1318" s="1900" t="s">
        <v>290</v>
      </c>
      <c r="B1318" s="1869">
        <v>20</v>
      </c>
      <c r="C1318" s="528">
        <f>SUMIFS('7'!$M$2:$M$85,'7'!$C$2:$C$85,B1318,'7'!$A$2:$A$85,$C$1293)</f>
        <v>0</v>
      </c>
      <c r="D1318" s="528">
        <f t="shared" ref="D1318:D1325" si="767">ROUND(C1318/$C$1327*$D$1327,0)</f>
        <v>0</v>
      </c>
      <c r="F1318" s="1901">
        <v>29.4</v>
      </c>
      <c r="G1318" s="1902"/>
      <c r="H1318" s="1644">
        <f t="shared" ref="H1318:I1325" si="768">ROUND($F1318*C1318,0)</f>
        <v>0</v>
      </c>
      <c r="I1318" s="1644">
        <f t="shared" si="768"/>
        <v>0</v>
      </c>
      <c r="K1318" s="1901"/>
      <c r="L1318" s="1902"/>
      <c r="M1318" s="1901"/>
      <c r="N1318" s="1902"/>
      <c r="O1318" s="1901"/>
      <c r="P1318" s="1902"/>
      <c r="Q1318" s="1901"/>
      <c r="R1318" s="1902"/>
      <c r="S1318" s="1643"/>
      <c r="T1318" s="1643"/>
      <c r="U1318" s="1643"/>
      <c r="V1318" s="1643"/>
      <c r="W1318" s="1643"/>
      <c r="X1318" s="1643"/>
      <c r="Y1318" s="1644"/>
      <c r="AI1318" s="2023">
        <f>W1318-'Blocking-Step2'!W1318</f>
        <v>0</v>
      </c>
      <c r="AJ1318" s="2054">
        <f>O1318-'Blocking-Step2'!O1318</f>
        <v>0</v>
      </c>
    </row>
    <row r="1319" spans="1:36" hidden="1">
      <c r="A1319" s="1900" t="s">
        <v>291</v>
      </c>
      <c r="B1319" s="1869">
        <v>21</v>
      </c>
      <c r="C1319" s="528">
        <f>SUMIFS('7'!$M$2:$M$85,'7'!$C$2:$C$85,B1319,'7'!$A$2:$A$85,$C$1293)</f>
        <v>0</v>
      </c>
      <c r="D1319" s="528">
        <f t="shared" si="767"/>
        <v>0</v>
      </c>
      <c r="F1319" s="1901">
        <v>21.79</v>
      </c>
      <c r="G1319" s="1902"/>
      <c r="H1319" s="1644">
        <f t="shared" si="768"/>
        <v>0</v>
      </c>
      <c r="I1319" s="1644">
        <f t="shared" si="768"/>
        <v>0</v>
      </c>
      <c r="K1319" s="1901"/>
      <c r="L1319" s="1902"/>
      <c r="M1319" s="1901"/>
      <c r="N1319" s="1902"/>
      <c r="O1319" s="1901"/>
      <c r="P1319" s="1902"/>
      <c r="Q1319" s="1901"/>
      <c r="R1319" s="1902"/>
      <c r="S1319" s="1643"/>
      <c r="T1319" s="1643"/>
      <c r="U1319" s="1643"/>
      <c r="V1319" s="1643"/>
      <c r="W1319" s="1643"/>
      <c r="X1319" s="1643"/>
      <c r="Y1319" s="1644"/>
      <c r="AI1319" s="2023">
        <f>W1319-'Blocking-Step2'!W1319</f>
        <v>0</v>
      </c>
      <c r="AJ1319" s="2054">
        <f>O1319-'Blocking-Step2'!O1319</f>
        <v>0</v>
      </c>
    </row>
    <row r="1320" spans="1:36" hidden="1">
      <c r="A1320" s="1900" t="s">
        <v>292</v>
      </c>
      <c r="B1320" s="1869">
        <v>22</v>
      </c>
      <c r="C1320" s="528">
        <f>SUMIFS('7'!$M$2:$M$85,'7'!$C$2:$C$85,B1320,'7'!$A$2:$A$85,$C$1293)</f>
        <v>36</v>
      </c>
      <c r="D1320" s="528">
        <f t="shared" si="767"/>
        <v>38</v>
      </c>
      <c r="F1320" s="1901">
        <v>34.340000000000003</v>
      </c>
      <c r="G1320" s="1902"/>
      <c r="H1320" s="1644">
        <f t="shared" si="768"/>
        <v>1236</v>
      </c>
      <c r="I1320" s="1644">
        <f t="shared" si="768"/>
        <v>1305</v>
      </c>
      <c r="K1320" s="1901"/>
      <c r="L1320" s="1902"/>
      <c r="M1320" s="1901"/>
      <c r="N1320" s="1902"/>
      <c r="O1320" s="1901"/>
      <c r="P1320" s="1902"/>
      <c r="Q1320" s="1901"/>
      <c r="R1320" s="1902"/>
      <c r="S1320" s="1643"/>
      <c r="T1320" s="1643"/>
      <c r="U1320" s="1643"/>
      <c r="V1320" s="1643"/>
      <c r="W1320" s="1643"/>
      <c r="X1320" s="1643"/>
      <c r="Y1320" s="1644"/>
      <c r="AI1320" s="2023">
        <f>W1320-'Blocking-Step2'!W1320</f>
        <v>0</v>
      </c>
      <c r="AJ1320" s="2054">
        <f>O1320-'Blocking-Step2'!O1320</f>
        <v>0</v>
      </c>
    </row>
    <row r="1321" spans="1:36" hidden="1">
      <c r="A1321" s="1900" t="s">
        <v>293</v>
      </c>
      <c r="B1321" s="1869">
        <v>23</v>
      </c>
      <c r="C1321" s="528">
        <f>SUMIFS('7'!$M$2:$M$85,'7'!$C$2:$C$85,B1321,'7'!$A$2:$A$85,$C$1293)</f>
        <v>12</v>
      </c>
      <c r="D1321" s="528">
        <f t="shared" si="767"/>
        <v>13</v>
      </c>
      <c r="F1321" s="1901">
        <v>27.43</v>
      </c>
      <c r="G1321" s="1902"/>
      <c r="H1321" s="1644">
        <f t="shared" si="768"/>
        <v>329</v>
      </c>
      <c r="I1321" s="1644">
        <f t="shared" si="768"/>
        <v>357</v>
      </c>
      <c r="K1321" s="1901"/>
      <c r="L1321" s="1902"/>
      <c r="M1321" s="1901"/>
      <c r="N1321" s="1902"/>
      <c r="O1321" s="1901"/>
      <c r="P1321" s="1902"/>
      <c r="Q1321" s="1901"/>
      <c r="R1321" s="1902"/>
      <c r="S1321" s="1643"/>
      <c r="T1321" s="1643"/>
      <c r="U1321" s="1643"/>
      <c r="V1321" s="1643"/>
      <c r="W1321" s="1643"/>
      <c r="X1321" s="1643"/>
      <c r="Y1321" s="1644"/>
      <c r="AI1321" s="2023">
        <f>W1321-'Blocking-Step2'!W1321</f>
        <v>0</v>
      </c>
      <c r="AJ1321" s="2054">
        <f>O1321-'Blocking-Step2'!O1321</f>
        <v>0</v>
      </c>
    </row>
    <row r="1322" spans="1:36" hidden="1">
      <c r="A1322" s="1900" t="s">
        <v>294</v>
      </c>
      <c r="B1322" s="1869">
        <v>24</v>
      </c>
      <c r="C1322" s="528">
        <f>SUMIFS('7'!$M$2:$M$85,'7'!$C$2:$C$85,B1322,'7'!$A$2:$A$85,$C$1293)</f>
        <v>0</v>
      </c>
      <c r="D1322" s="528">
        <f t="shared" si="767"/>
        <v>0</v>
      </c>
      <c r="F1322" s="1901">
        <v>36.69</v>
      </c>
      <c r="G1322" s="1902"/>
      <c r="H1322" s="1644">
        <f t="shared" si="768"/>
        <v>0</v>
      </c>
      <c r="I1322" s="1644">
        <f t="shared" si="768"/>
        <v>0</v>
      </c>
      <c r="K1322" s="1901"/>
      <c r="L1322" s="1902"/>
      <c r="M1322" s="1901"/>
      <c r="N1322" s="1902"/>
      <c r="O1322" s="1901"/>
      <c r="P1322" s="1902"/>
      <c r="Q1322" s="1901"/>
      <c r="R1322" s="1902"/>
      <c r="S1322" s="1643"/>
      <c r="T1322" s="1643"/>
      <c r="U1322" s="1643"/>
      <c r="V1322" s="1643"/>
      <c r="W1322" s="1643"/>
      <c r="X1322" s="1643"/>
      <c r="Y1322" s="1644"/>
      <c r="AI1322" s="2023">
        <f>W1322-'Blocking-Step2'!W1322</f>
        <v>0</v>
      </c>
      <c r="AJ1322" s="2054">
        <f>O1322-'Blocking-Step2'!O1322</f>
        <v>0</v>
      </c>
    </row>
    <row r="1323" spans="1:36" hidden="1">
      <c r="A1323" s="1900" t="s">
        <v>297</v>
      </c>
      <c r="B1323" s="1869">
        <v>25</v>
      </c>
      <c r="C1323" s="528">
        <f>SUMIFS('7'!$M$2:$M$85,'7'!$C$2:$C$85,B1323,'7'!$A$2:$A$85,$C$1293)</f>
        <v>0</v>
      </c>
      <c r="D1323" s="528">
        <f t="shared" si="767"/>
        <v>0</v>
      </c>
      <c r="F1323" s="1901">
        <v>29.72</v>
      </c>
      <c r="G1323" s="1902"/>
      <c r="H1323" s="1644">
        <f t="shared" si="768"/>
        <v>0</v>
      </c>
      <c r="I1323" s="1644">
        <f t="shared" si="768"/>
        <v>0</v>
      </c>
      <c r="K1323" s="1901"/>
      <c r="L1323" s="1902"/>
      <c r="M1323" s="1901"/>
      <c r="N1323" s="1902"/>
      <c r="O1323" s="1901"/>
      <c r="P1323" s="1902"/>
      <c r="Q1323" s="1901"/>
      <c r="R1323" s="1902"/>
      <c r="S1323" s="1643"/>
      <c r="T1323" s="1643"/>
      <c r="U1323" s="1643"/>
      <c r="V1323" s="1643"/>
      <c r="W1323" s="1643"/>
      <c r="X1323" s="1643"/>
      <c r="Y1323" s="1644"/>
      <c r="AI1323" s="2023">
        <f>W1323-'Blocking-Step2'!W1323</f>
        <v>0</v>
      </c>
      <c r="AJ1323" s="2054">
        <f>O1323-'Blocking-Step2'!O1323</f>
        <v>0</v>
      </c>
    </row>
    <row r="1324" spans="1:36" hidden="1">
      <c r="A1324" s="1900" t="s">
        <v>298</v>
      </c>
      <c r="B1324" s="1869">
        <v>26</v>
      </c>
      <c r="C1324" s="528">
        <f>SUMIFS('7'!$M$2:$M$85,'7'!$C$2:$C$85,B1324,'7'!$A$2:$A$85,$C$1293)</f>
        <v>0</v>
      </c>
      <c r="D1324" s="528">
        <f t="shared" si="767"/>
        <v>0</v>
      </c>
      <c r="F1324" s="1901">
        <v>57.58</v>
      </c>
      <c r="G1324" s="1902"/>
      <c r="H1324" s="1644">
        <f t="shared" si="768"/>
        <v>0</v>
      </c>
      <c r="I1324" s="1644">
        <f t="shared" si="768"/>
        <v>0</v>
      </c>
      <c r="K1324" s="1901"/>
      <c r="L1324" s="1902"/>
      <c r="M1324" s="1901"/>
      <c r="N1324" s="1902"/>
      <c r="O1324" s="1901"/>
      <c r="P1324" s="1902"/>
      <c r="Q1324" s="1901"/>
      <c r="R1324" s="1902"/>
      <c r="S1324" s="1643"/>
      <c r="T1324" s="1643"/>
      <c r="U1324" s="1643"/>
      <c r="V1324" s="1643"/>
      <c r="W1324" s="1643"/>
      <c r="X1324" s="1643"/>
      <c r="Y1324" s="1644"/>
      <c r="AI1324" s="2023">
        <f>W1324-'Blocking-Step2'!W1324</f>
        <v>0</v>
      </c>
      <c r="AJ1324" s="2054">
        <f>O1324-'Blocking-Step2'!O1324</f>
        <v>0</v>
      </c>
    </row>
    <row r="1325" spans="1:36" hidden="1">
      <c r="A1325" s="1900" t="s">
        <v>300</v>
      </c>
      <c r="B1325" s="1869">
        <v>27</v>
      </c>
      <c r="C1325" s="528">
        <f>SUMIFS('7'!$M$2:$M$85,'7'!$C$2:$C$85,B1325,'7'!$A$2:$A$85,$C$1293)</f>
        <v>0</v>
      </c>
      <c r="D1325" s="528">
        <f t="shared" si="767"/>
        <v>0</v>
      </c>
      <c r="F1325" s="1901">
        <v>49.1</v>
      </c>
      <c r="G1325" s="1902"/>
      <c r="H1325" s="1644">
        <f t="shared" si="768"/>
        <v>0</v>
      </c>
      <c r="I1325" s="1644">
        <f t="shared" si="768"/>
        <v>0</v>
      </c>
      <c r="K1325" s="1901"/>
      <c r="L1325" s="1902"/>
      <c r="M1325" s="1901"/>
      <c r="N1325" s="1902"/>
      <c r="O1325" s="1901"/>
      <c r="P1325" s="1902"/>
      <c r="Q1325" s="1901"/>
      <c r="R1325" s="1902"/>
      <c r="S1325" s="1643"/>
      <c r="T1325" s="1643"/>
      <c r="U1325" s="1643"/>
      <c r="V1325" s="1643"/>
      <c r="W1325" s="1643"/>
      <c r="X1325" s="1643"/>
      <c r="Y1325" s="1644"/>
      <c r="AI1325" s="2023">
        <f>W1325-'Blocking-Step2'!W1325</f>
        <v>0</v>
      </c>
      <c r="AJ1325" s="2054">
        <f>O1325-'Blocking-Step2'!O1325</f>
        <v>0</v>
      </c>
    </row>
    <row r="1326" spans="1:36" hidden="1">
      <c r="A1326" s="1900" t="s">
        <v>130</v>
      </c>
      <c r="C1326" s="528">
        <f>SUM(C1294:C1325)</f>
        <v>9765.7752957417852</v>
      </c>
      <c r="D1326" s="528">
        <f>SUM(D1294:D1325)</f>
        <v>10245</v>
      </c>
      <c r="H1326" s="1644">
        <f>SUM(H1294:H1325)</f>
        <v>208911</v>
      </c>
      <c r="I1326" s="1644">
        <f>SUM(I1294:I1325)</f>
        <v>219172</v>
      </c>
      <c r="Y1326" s="1644"/>
      <c r="AI1326" s="2023">
        <f>W1326-'Blocking-Step2'!W1326</f>
        <v>0</v>
      </c>
      <c r="AJ1326" s="2054">
        <f>O1326-'Blocking-Step2'!O1326</f>
        <v>0</v>
      </c>
    </row>
    <row r="1327" spans="1:36" hidden="1">
      <c r="A1327" s="1900" t="s">
        <v>36</v>
      </c>
      <c r="C1327" s="1027">
        <f>'7'!N89</f>
        <v>974055.11834088468</v>
      </c>
      <c r="D1327" s="1027">
        <f>D1332</f>
        <v>1021723.7132091596</v>
      </c>
      <c r="H1327" s="1644"/>
      <c r="I1327" s="1644"/>
      <c r="Y1327" s="1644"/>
      <c r="AI1327" s="2023">
        <f>W1327-'Blocking-Step2'!W1327</f>
        <v>0</v>
      </c>
      <c r="AJ1327" s="2054">
        <f>O1327-'Blocking-Step2'!O1327</f>
        <v>0</v>
      </c>
    </row>
    <row r="1328" spans="1:36" hidden="1">
      <c r="A1328" s="1900" t="s">
        <v>136</v>
      </c>
      <c r="C1328" s="1028">
        <f>'Table 2'!J89</f>
        <v>-15790</v>
      </c>
      <c r="D1328" s="1028">
        <v>0</v>
      </c>
      <c r="F1328" s="1961"/>
      <c r="H1328" s="1649">
        <f>'Table 3'!F89</f>
        <v>-3114</v>
      </c>
      <c r="I1328" s="1030">
        <v>0</v>
      </c>
      <c r="K1328" s="1961"/>
      <c r="M1328" s="1961"/>
      <c r="O1328" s="1961"/>
      <c r="Q1328" s="1961"/>
      <c r="Y1328" s="1030"/>
      <c r="AI1328" s="2023">
        <f>W1328-'Blocking-Step2'!W1328</f>
        <v>0</v>
      </c>
      <c r="AJ1328" s="2054">
        <f>O1328-'Blocking-Step2'!O1328</f>
        <v>0</v>
      </c>
    </row>
    <row r="1329" spans="1:36" hidden="1">
      <c r="A1329" s="1900" t="s">
        <v>1240</v>
      </c>
      <c r="C1329" s="584"/>
      <c r="D1329" s="584"/>
      <c r="F1329" s="1930">
        <v>-1.9800000000000002E-2</v>
      </c>
      <c r="G1329" s="597"/>
      <c r="H1329" s="1644">
        <f>H1326*$F1329</f>
        <v>-4136.4378000000006</v>
      </c>
      <c r="I1329" s="1644">
        <f>I1326*$F1329</f>
        <v>-4339.6056000000008</v>
      </c>
      <c r="K1329" s="1930"/>
      <c r="L1329" s="597"/>
      <c r="M1329" s="1930"/>
      <c r="N1329" s="597"/>
      <c r="O1329" s="1931" t="str">
        <f>$O$43</f>
        <v>Tax Year 1 (1/1/2021)</v>
      </c>
      <c r="P1329" s="597"/>
      <c r="Q1329" s="1930">
        <f>$AC$1203</f>
        <v>-1.0200000000000001E-2</v>
      </c>
      <c r="R1329" s="597"/>
      <c r="S1329" s="1645"/>
      <c r="T1329" s="1645"/>
      <c r="U1329" s="1645"/>
      <c r="V1329" s="1645"/>
      <c r="W1329" s="1645"/>
      <c r="X1329" s="1645"/>
      <c r="Y1329" s="1644">
        <f>Q1329*Y1332</f>
        <v>-1214.4847120888428</v>
      </c>
      <c r="AI1329" s="2023">
        <f>W1329-'Blocking-Step2'!W1329</f>
        <v>0</v>
      </c>
      <c r="AJ1329" s="2054">
        <f>O1329-'Blocking-Step2'!O1329</f>
        <v>0</v>
      </c>
    </row>
    <row r="1330" spans="1:36" hidden="1">
      <c r="A1330" s="1900"/>
      <c r="C1330" s="584"/>
      <c r="D1330" s="584"/>
      <c r="F1330" s="1930"/>
      <c r="G1330" s="597"/>
      <c r="H1330" s="1644"/>
      <c r="I1330" s="1644"/>
      <c r="K1330" s="1930"/>
      <c r="L1330" s="597"/>
      <c r="M1330" s="1930"/>
      <c r="N1330" s="597"/>
      <c r="O1330" s="1931">
        <f>$O$44</f>
        <v>0</v>
      </c>
      <c r="P1330" s="597"/>
      <c r="Q1330" s="1930">
        <f>$AC$1204</f>
        <v>0</v>
      </c>
      <c r="R1330" s="597"/>
      <c r="S1330" s="1645"/>
      <c r="T1330" s="1645"/>
      <c r="U1330" s="1645"/>
      <c r="V1330" s="1645"/>
      <c r="W1330" s="1645"/>
      <c r="X1330" s="1645"/>
      <c r="Y1330" s="1644">
        <f>Q1330*Y1332</f>
        <v>0</v>
      </c>
      <c r="AI1330" s="2023">
        <f>W1330-'Blocking-Step2'!W1330</f>
        <v>0</v>
      </c>
      <c r="AJ1330" s="2054">
        <f>O1330-'Blocking-Step2'!O1330</f>
        <v>0</v>
      </c>
    </row>
    <row r="1331" spans="1:36" hidden="1">
      <c r="A1331" s="1900" t="s">
        <v>141</v>
      </c>
      <c r="C1331" s="528">
        <f>'Table 2'!F89</f>
        <v>394</v>
      </c>
      <c r="D1331" s="528">
        <f>ROUND(Bill!P59/12,0)</f>
        <v>403</v>
      </c>
      <c r="AI1331" s="2023">
        <f>W1331-'Blocking-Step2'!W1331</f>
        <v>0</v>
      </c>
      <c r="AJ1331" s="2054">
        <f>O1331-'Blocking-Step2'!O1331</f>
        <v>0</v>
      </c>
    </row>
    <row r="1332" spans="1:36" ht="16.5" hidden="1" thickBot="1">
      <c r="A1332" s="1900" t="s">
        <v>302</v>
      </c>
      <c r="C1332" s="1029">
        <f>C1327+C1328</f>
        <v>958265.11834088468</v>
      </c>
      <c r="D1332" s="1029">
        <f>Energy!P59</f>
        <v>1021723.7132091596</v>
      </c>
      <c r="F1332" s="1935"/>
      <c r="H1332" s="1646">
        <f>SUM(H1326:H1329)</f>
        <v>201660.56219999999</v>
      </c>
      <c r="I1332" s="1646">
        <f>SUM(I1326:I1329)</f>
        <v>214832.39439999999</v>
      </c>
      <c r="K1332" s="1935"/>
      <c r="M1332" s="1935"/>
      <c r="O1332" s="1935"/>
      <c r="Q1332" s="1935"/>
      <c r="S1332" s="1637">
        <f>$Y1332/$Y$1206*S1290</f>
        <v>13626.849559456323</v>
      </c>
      <c r="U1332" s="1637">
        <f>$Y1332/$Y$1206*U1290</f>
        <v>2015.7199456577137</v>
      </c>
      <c r="W1332" s="1637">
        <f>Y1332-S1332-U1332</f>
        <v>103424.55913104702</v>
      </c>
      <c r="Y1332" s="1646">
        <f>$Y$1206/$I$1206*I1332</f>
        <v>119067.12863616105</v>
      </c>
      <c r="AA1332" s="1104" t="s">
        <v>1743</v>
      </c>
      <c r="AB1332" s="1890">
        <f>Y1332/I1332-1</f>
        <v>-0.44576734356706005</v>
      </c>
      <c r="AI1332" s="2023">
        <f>W1332-'Blocking-Step2'!W1332</f>
        <v>0</v>
      </c>
      <c r="AJ1332" s="2054">
        <f>O1332-'Blocking-Step2'!O1332</f>
        <v>0</v>
      </c>
    </row>
    <row r="1333" spans="1:36" ht="16.5" hidden="1" thickTop="1">
      <c r="E1333" s="597"/>
      <c r="J1333" s="597"/>
      <c r="AI1333" s="2023">
        <f>W1333-'Blocking-Step2'!W1333</f>
        <v>0</v>
      </c>
      <c r="AJ1333" s="2054">
        <f>O1333-'Blocking-Step2'!O1333</f>
        <v>0</v>
      </c>
    </row>
    <row r="1334" spans="1:36" hidden="1">
      <c r="A1334" s="1897" t="s">
        <v>913</v>
      </c>
      <c r="C1334" s="528"/>
      <c r="D1334" s="528"/>
      <c r="AI1334" s="2023">
        <f>W1334-'Blocking-Step2'!W1334</f>
        <v>0</v>
      </c>
      <c r="AJ1334" s="2054">
        <f>O1334-'Blocking-Step2'!O1334</f>
        <v>0</v>
      </c>
    </row>
    <row r="1335" spans="1:36" hidden="1">
      <c r="A1335" s="1960" t="s">
        <v>264</v>
      </c>
      <c r="C1335" s="528" t="s">
        <v>441</v>
      </c>
      <c r="D1335" s="528"/>
      <c r="H1335" s="1644"/>
      <c r="I1335" s="1644"/>
      <c r="Y1335" s="1644"/>
      <c r="AI1335" s="2023">
        <f>W1335-'Blocking-Step2'!W1335</f>
        <v>0</v>
      </c>
      <c r="AJ1335" s="2054">
        <f>O1335-'Blocking-Step2'!O1335</f>
        <v>0</v>
      </c>
    </row>
    <row r="1336" spans="1:36" hidden="1">
      <c r="A1336" s="1900" t="s">
        <v>265</v>
      </c>
      <c r="B1336" s="1869">
        <v>29</v>
      </c>
      <c r="C1336" s="528">
        <f>SUMIFS('7'!$M$2:$M$85,'7'!$C$2:$C$85,B1336,'7'!$A$2:$A$85,$C$1335)</f>
        <v>0</v>
      </c>
      <c r="D1336" s="528">
        <f>ROUND(C1336/$C$1369*$D$1369,0)</f>
        <v>0</v>
      </c>
      <c r="F1336" s="1901">
        <v>5.68</v>
      </c>
      <c r="G1336" s="1902"/>
      <c r="H1336" s="1644">
        <f t="shared" ref="H1336:I1339" si="769">ROUND($F1336*C1336,0)</f>
        <v>0</v>
      </c>
      <c r="I1336" s="1644">
        <f t="shared" si="769"/>
        <v>0</v>
      </c>
      <c r="K1336" s="1901"/>
      <c r="L1336" s="1902"/>
      <c r="M1336" s="1901"/>
      <c r="N1336" s="1902"/>
      <c r="O1336" s="1901"/>
      <c r="P1336" s="1902"/>
      <c r="Q1336" s="1901"/>
      <c r="R1336" s="1902"/>
      <c r="S1336" s="1643"/>
      <c r="T1336" s="1643"/>
      <c r="U1336" s="1643"/>
      <c r="V1336" s="1643"/>
      <c r="W1336" s="1643"/>
      <c r="X1336" s="1643"/>
      <c r="Y1336" s="1644"/>
      <c r="AI1336" s="2023">
        <f>W1336-'Blocking-Step2'!W1336</f>
        <v>0</v>
      </c>
      <c r="AJ1336" s="2054">
        <f>O1336-'Blocking-Step2'!O1336</f>
        <v>0</v>
      </c>
    </row>
    <row r="1337" spans="1:36" hidden="1">
      <c r="A1337" s="1900" t="s">
        <v>266</v>
      </c>
      <c r="B1337" s="1869">
        <v>1</v>
      </c>
      <c r="C1337" s="528">
        <f>SUMIFS('7'!$M$2:$M$85,'7'!$C$2:$C$85,B1337,'7'!$A$2:$A$85,$C$1335)+SUMIFS('7'!$M$2:$M$85,'7'!$C$2:$C$85,28,'7'!$A$2:$A$85,$C$1335)</f>
        <v>178.26678876678901</v>
      </c>
      <c r="D1337" s="528">
        <f t="shared" ref="D1337:D1339" si="770">ROUND(C1337/$C$1369*$D$1369,0)</f>
        <v>146</v>
      </c>
      <c r="F1337" s="1901">
        <v>16.38</v>
      </c>
      <c r="G1337" s="1902"/>
      <c r="H1337" s="1644">
        <f t="shared" si="769"/>
        <v>2920</v>
      </c>
      <c r="I1337" s="1644">
        <f t="shared" si="769"/>
        <v>2391</v>
      </c>
      <c r="K1337" s="1901"/>
      <c r="L1337" s="1902"/>
      <c r="M1337" s="1901"/>
      <c r="N1337" s="1902"/>
      <c r="O1337" s="1901"/>
      <c r="P1337" s="1902"/>
      <c r="Q1337" s="1901"/>
      <c r="R1337" s="1902"/>
      <c r="S1337" s="1643"/>
      <c r="T1337" s="1643"/>
      <c r="U1337" s="1643"/>
      <c r="V1337" s="1643"/>
      <c r="W1337" s="1643"/>
      <c r="X1337" s="1643"/>
      <c r="Y1337" s="1644"/>
      <c r="AI1337" s="2023">
        <f>W1337-'Blocking-Step2'!W1337</f>
        <v>0</v>
      </c>
      <c r="AJ1337" s="2054">
        <f>O1337-'Blocking-Step2'!O1337</f>
        <v>0</v>
      </c>
    </row>
    <row r="1338" spans="1:36" hidden="1">
      <c r="A1338" s="1900" t="s">
        <v>267</v>
      </c>
      <c r="B1338" s="1869">
        <v>40</v>
      </c>
      <c r="C1338" s="528">
        <f>SUMIFS('7'!$M$2:$M$85,'7'!$C$2:$C$85,B1338,'7'!$A$2:$A$85,$C$1335)</f>
        <v>0</v>
      </c>
      <c r="D1338" s="528">
        <f t="shared" si="770"/>
        <v>0</v>
      </c>
      <c r="F1338" s="1901">
        <v>8.0500000000000007</v>
      </c>
      <c r="G1338" s="1902"/>
      <c r="H1338" s="1644">
        <f t="shared" si="769"/>
        <v>0</v>
      </c>
      <c r="I1338" s="1644">
        <f t="shared" si="769"/>
        <v>0</v>
      </c>
      <c r="K1338" s="1901"/>
      <c r="L1338" s="1902"/>
      <c r="M1338" s="1901"/>
      <c r="N1338" s="1902"/>
      <c r="O1338" s="1901"/>
      <c r="P1338" s="1902"/>
      <c r="Q1338" s="1901"/>
      <c r="R1338" s="1902"/>
      <c r="S1338" s="1643"/>
      <c r="T1338" s="1643"/>
      <c r="U1338" s="1643"/>
      <c r="V1338" s="1643"/>
      <c r="W1338" s="1643"/>
      <c r="X1338" s="1643"/>
      <c r="Y1338" s="1644"/>
      <c r="AI1338" s="2023">
        <f>W1338-'Blocking-Step2'!W1338</f>
        <v>0</v>
      </c>
      <c r="AJ1338" s="2054">
        <f>O1338-'Blocking-Step2'!O1338</f>
        <v>0</v>
      </c>
    </row>
    <row r="1339" spans="1:36" hidden="1">
      <c r="A1339" s="1900" t="s">
        <v>268</v>
      </c>
      <c r="B1339" s="1869">
        <v>2</v>
      </c>
      <c r="C1339" s="528">
        <f>SUMIFS('7'!$M$2:$M$85,'7'!$C$2:$C$85,B1339,'7'!$A$2:$A$85,$C$1335)</f>
        <v>106.03286034353999</v>
      </c>
      <c r="D1339" s="528">
        <f t="shared" si="770"/>
        <v>87</v>
      </c>
      <c r="F1339" s="1901">
        <v>26.78</v>
      </c>
      <c r="G1339" s="1902"/>
      <c r="H1339" s="1644">
        <f t="shared" si="769"/>
        <v>2840</v>
      </c>
      <c r="I1339" s="1644">
        <f t="shared" si="769"/>
        <v>2330</v>
      </c>
      <c r="K1339" s="1901"/>
      <c r="L1339" s="1902"/>
      <c r="M1339" s="1901"/>
      <c r="N1339" s="1902"/>
      <c r="O1339" s="1901"/>
      <c r="P1339" s="1902"/>
      <c r="Q1339" s="1901"/>
      <c r="R1339" s="1902"/>
      <c r="S1339" s="1643"/>
      <c r="T1339" s="1643"/>
      <c r="U1339" s="1643"/>
      <c r="V1339" s="1643"/>
      <c r="W1339" s="1643"/>
      <c r="X1339" s="1643"/>
      <c r="Y1339" s="1644"/>
      <c r="AI1339" s="2023">
        <f>W1339-'Blocking-Step2'!W1339</f>
        <v>0</v>
      </c>
      <c r="AJ1339" s="2054">
        <f>O1339-'Blocking-Step2'!O1339</f>
        <v>0</v>
      </c>
    </row>
    <row r="1340" spans="1:36" hidden="1">
      <c r="A1340" s="1960" t="s">
        <v>269</v>
      </c>
      <c r="C1340" s="528"/>
      <c r="D1340" s="528"/>
      <c r="H1340" s="1644"/>
      <c r="I1340" s="1644"/>
      <c r="K1340" s="1901"/>
      <c r="M1340" s="1901"/>
      <c r="O1340" s="1901"/>
      <c r="Q1340" s="1901"/>
      <c r="Y1340" s="1644"/>
      <c r="AI1340" s="2023">
        <f>W1340-'Blocking-Step2'!W1340</f>
        <v>0</v>
      </c>
      <c r="AJ1340" s="2054">
        <f>O1340-'Blocking-Step2'!O1340</f>
        <v>0</v>
      </c>
    </row>
    <row r="1341" spans="1:36" hidden="1">
      <c r="A1341" s="1900" t="s">
        <v>270</v>
      </c>
      <c r="B1341" s="1869">
        <v>3</v>
      </c>
      <c r="C1341" s="528">
        <f>SUMIFS('7'!$M$2:$M$85,'7'!$C$2:$C$85,B1341,'7'!$A$2:$A$85,$C$1335)</f>
        <v>250.50068493150701</v>
      </c>
      <c r="D1341" s="528">
        <f t="shared" ref="D1341:D1351" si="771">ROUND(C1341/$C$1369*$D$1369,0)</f>
        <v>206</v>
      </c>
      <c r="F1341" s="1901">
        <v>14.6</v>
      </c>
      <c r="G1341" s="1902"/>
      <c r="H1341" s="1644">
        <f t="shared" ref="H1341:I1351" si="772">ROUND($F1341*C1341,0)</f>
        <v>3657</v>
      </c>
      <c r="I1341" s="1644">
        <f t="shared" si="772"/>
        <v>3008</v>
      </c>
      <c r="K1341" s="1901"/>
      <c r="L1341" s="1902"/>
      <c r="M1341" s="1901"/>
      <c r="N1341" s="1902"/>
      <c r="O1341" s="1901"/>
      <c r="P1341" s="1902"/>
      <c r="Q1341" s="1901"/>
      <c r="R1341" s="1902"/>
      <c r="S1341" s="1643"/>
      <c r="T1341" s="1643"/>
      <c r="U1341" s="1643"/>
      <c r="V1341" s="1643"/>
      <c r="W1341" s="1643"/>
      <c r="X1341" s="1643"/>
      <c r="Y1341" s="1644"/>
      <c r="AI1341" s="2023">
        <f>W1341-'Blocking-Step2'!W1341</f>
        <v>0</v>
      </c>
      <c r="AJ1341" s="2054">
        <f>O1341-'Blocking-Step2'!O1341</f>
        <v>0</v>
      </c>
    </row>
    <row r="1342" spans="1:36" hidden="1">
      <c r="A1342" s="1900" t="s">
        <v>271</v>
      </c>
      <c r="B1342" s="1869">
        <v>4</v>
      </c>
      <c r="C1342" s="528">
        <f>SUMIFS('7'!$M$2:$M$85,'7'!$C$2:$C$85,B1342,'7'!$A$2:$A$85,$C$1335)</f>
        <v>12</v>
      </c>
      <c r="D1342" s="528">
        <f t="shared" si="771"/>
        <v>10</v>
      </c>
      <c r="F1342" s="1901">
        <v>12.23</v>
      </c>
      <c r="G1342" s="1902"/>
      <c r="H1342" s="1644">
        <f t="shared" si="772"/>
        <v>147</v>
      </c>
      <c r="I1342" s="1644">
        <f t="shared" si="772"/>
        <v>122</v>
      </c>
      <c r="K1342" s="1901"/>
      <c r="L1342" s="1902"/>
      <c r="M1342" s="1901"/>
      <c r="N1342" s="1902"/>
      <c r="O1342" s="1901"/>
      <c r="P1342" s="1902"/>
      <c r="Q1342" s="1901"/>
      <c r="R1342" s="1902"/>
      <c r="S1342" s="1643"/>
      <c r="T1342" s="1643"/>
      <c r="U1342" s="1643"/>
      <c r="V1342" s="1643"/>
      <c r="W1342" s="1643"/>
      <c r="X1342" s="1643"/>
      <c r="Y1342" s="1644"/>
      <c r="AI1342" s="2023">
        <f>W1342-'Blocking-Step2'!W1342</f>
        <v>0</v>
      </c>
      <c r="AJ1342" s="2054">
        <f>O1342-'Blocking-Step2'!O1342</f>
        <v>0</v>
      </c>
    </row>
    <row r="1343" spans="1:36" hidden="1">
      <c r="A1343" s="1900" t="s">
        <v>272</v>
      </c>
      <c r="B1343" s="1869">
        <v>5</v>
      </c>
      <c r="C1343" s="528">
        <f>SUMIFS('7'!$M$2:$M$85,'7'!$C$2:$C$85,B1343,'7'!$A$2:$A$85,$C$1335)</f>
        <v>1650.56819650937</v>
      </c>
      <c r="D1343" s="528">
        <f t="shared" si="771"/>
        <v>1355</v>
      </c>
      <c r="F1343" s="1901">
        <v>15.47</v>
      </c>
      <c r="G1343" s="1902"/>
      <c r="H1343" s="1644">
        <f t="shared" si="772"/>
        <v>25534</v>
      </c>
      <c r="I1343" s="1644">
        <f t="shared" si="772"/>
        <v>20962</v>
      </c>
      <c r="K1343" s="1901"/>
      <c r="L1343" s="1902"/>
      <c r="M1343" s="1901"/>
      <c r="N1343" s="1902"/>
      <c r="O1343" s="1901"/>
      <c r="P1343" s="1902"/>
      <c r="Q1343" s="1901"/>
      <c r="R1343" s="1902"/>
      <c r="S1343" s="1643"/>
      <c r="T1343" s="1643"/>
      <c r="U1343" s="1643"/>
      <c r="V1343" s="1643"/>
      <c r="W1343" s="1643"/>
      <c r="X1343" s="1643"/>
      <c r="Y1343" s="1644"/>
      <c r="AI1343" s="2023">
        <f>W1343-'Blocking-Step2'!W1343</f>
        <v>0</v>
      </c>
      <c r="AJ1343" s="2054">
        <f>O1343-'Blocking-Step2'!O1343</f>
        <v>0</v>
      </c>
    </row>
    <row r="1344" spans="1:36" hidden="1">
      <c r="A1344" s="1900" t="s">
        <v>273</v>
      </c>
      <c r="B1344" s="1869">
        <v>6</v>
      </c>
      <c r="C1344" s="528">
        <f>SUMIFS('7'!$M$2:$M$85,'7'!$C$2:$C$85,B1344,'7'!$A$2:$A$85,$C$1335)</f>
        <v>162.46656649136</v>
      </c>
      <c r="D1344" s="528">
        <f t="shared" si="771"/>
        <v>133</v>
      </c>
      <c r="F1344" s="1901">
        <v>13.31</v>
      </c>
      <c r="G1344" s="1902"/>
      <c r="H1344" s="1644">
        <f t="shared" si="772"/>
        <v>2162</v>
      </c>
      <c r="I1344" s="1644">
        <f t="shared" si="772"/>
        <v>1770</v>
      </c>
      <c r="K1344" s="1901"/>
      <c r="L1344" s="1902"/>
      <c r="M1344" s="1901"/>
      <c r="N1344" s="1902"/>
      <c r="O1344" s="1901"/>
      <c r="P1344" s="1902"/>
      <c r="Q1344" s="1901"/>
      <c r="R1344" s="1902"/>
      <c r="S1344" s="1643"/>
      <c r="T1344" s="1643"/>
      <c r="U1344" s="1643"/>
      <c r="V1344" s="1643"/>
      <c r="W1344" s="1643"/>
      <c r="X1344" s="1643"/>
      <c r="Y1344" s="1644"/>
      <c r="AI1344" s="2023">
        <f>W1344-'Blocking-Step2'!W1344</f>
        <v>0</v>
      </c>
      <c r="AJ1344" s="2054">
        <f>O1344-'Blocking-Step2'!O1344</f>
        <v>0</v>
      </c>
    </row>
    <row r="1345" spans="1:36" hidden="1">
      <c r="A1345" s="1900" t="s">
        <v>274</v>
      </c>
      <c r="B1345" s="1869">
        <v>7</v>
      </c>
      <c r="C1345" s="528">
        <f>SUMIFS('7'!$M$2:$M$85,'7'!$C$2:$C$85,B1345,'7'!$A$2:$A$85,$C$1335)</f>
        <v>569.49948612538503</v>
      </c>
      <c r="D1345" s="528">
        <f t="shared" si="771"/>
        <v>468</v>
      </c>
      <c r="F1345" s="1901">
        <v>19.46</v>
      </c>
      <c r="G1345" s="1902"/>
      <c r="H1345" s="1644">
        <f t="shared" si="772"/>
        <v>11082</v>
      </c>
      <c r="I1345" s="1644">
        <f t="shared" si="772"/>
        <v>9107</v>
      </c>
      <c r="K1345" s="1901"/>
      <c r="L1345" s="1902"/>
      <c r="M1345" s="1901"/>
      <c r="N1345" s="1902"/>
      <c r="O1345" s="1901"/>
      <c r="P1345" s="1902"/>
      <c r="Q1345" s="1901"/>
      <c r="R1345" s="1902"/>
      <c r="S1345" s="1643"/>
      <c r="T1345" s="1643"/>
      <c r="U1345" s="1643"/>
      <c r="V1345" s="1643"/>
      <c r="W1345" s="1643"/>
      <c r="X1345" s="1643"/>
      <c r="Y1345" s="1644"/>
      <c r="AI1345" s="2023">
        <f>W1345-'Blocking-Step2'!W1345</f>
        <v>0</v>
      </c>
      <c r="AJ1345" s="2054">
        <f>O1345-'Blocking-Step2'!O1345</f>
        <v>0</v>
      </c>
    </row>
    <row r="1346" spans="1:36" hidden="1">
      <c r="A1346" s="1900" t="s">
        <v>275</v>
      </c>
      <c r="B1346" s="1869">
        <v>8</v>
      </c>
      <c r="C1346" s="528">
        <f>SUMIFS('7'!$M$2:$M$85,'7'!$C$2:$C$85,B1346,'7'!$A$2:$A$85,$C$1335)</f>
        <v>72</v>
      </c>
      <c r="D1346" s="528">
        <f t="shared" si="771"/>
        <v>59</v>
      </c>
      <c r="F1346" s="1901">
        <v>17.13</v>
      </c>
      <c r="G1346" s="1902"/>
      <c r="H1346" s="1644">
        <f t="shared" si="772"/>
        <v>1233</v>
      </c>
      <c r="I1346" s="1644">
        <f t="shared" si="772"/>
        <v>1011</v>
      </c>
      <c r="K1346" s="1901"/>
      <c r="L1346" s="1902"/>
      <c r="M1346" s="1901"/>
      <c r="N1346" s="1902"/>
      <c r="O1346" s="1901"/>
      <c r="P1346" s="1902"/>
      <c r="Q1346" s="1901"/>
      <c r="R1346" s="1902"/>
      <c r="S1346" s="1643"/>
      <c r="T1346" s="1643"/>
      <c r="U1346" s="1643"/>
      <c r="V1346" s="1643"/>
      <c r="W1346" s="1643"/>
      <c r="X1346" s="1643"/>
      <c r="Y1346" s="1644"/>
      <c r="AI1346" s="2023">
        <f>W1346-'Blocking-Step2'!W1346</f>
        <v>0</v>
      </c>
      <c r="AJ1346" s="2054">
        <f>O1346-'Blocking-Step2'!O1346</f>
        <v>0</v>
      </c>
    </row>
    <row r="1347" spans="1:36" hidden="1">
      <c r="A1347" s="1900" t="s">
        <v>276</v>
      </c>
      <c r="B1347" s="1869">
        <v>9</v>
      </c>
      <c r="C1347" s="528">
        <f>SUMIFS('7'!$M$2:$M$85,'7'!$C$2:$C$85,B1347,'7'!$A$2:$A$85,$C$1335)</f>
        <v>24</v>
      </c>
      <c r="D1347" s="528">
        <f t="shared" si="771"/>
        <v>20</v>
      </c>
      <c r="F1347" s="1901">
        <v>21.07</v>
      </c>
      <c r="G1347" s="1902"/>
      <c r="H1347" s="1644">
        <f t="shared" si="772"/>
        <v>506</v>
      </c>
      <c r="I1347" s="1644">
        <f t="shared" si="772"/>
        <v>421</v>
      </c>
      <c r="K1347" s="1901"/>
      <c r="L1347" s="1902"/>
      <c r="M1347" s="1901"/>
      <c r="N1347" s="1902"/>
      <c r="O1347" s="1901"/>
      <c r="P1347" s="1902"/>
      <c r="Q1347" s="1901"/>
      <c r="R1347" s="1902"/>
      <c r="S1347" s="1643"/>
      <c r="T1347" s="1643"/>
      <c r="U1347" s="1643"/>
      <c r="V1347" s="1643"/>
      <c r="W1347" s="1643"/>
      <c r="X1347" s="1643"/>
      <c r="Y1347" s="1644"/>
      <c r="AI1347" s="2023">
        <f>W1347-'Blocking-Step2'!W1347</f>
        <v>0</v>
      </c>
      <c r="AJ1347" s="2054">
        <f>O1347-'Blocking-Step2'!O1347</f>
        <v>0</v>
      </c>
    </row>
    <row r="1348" spans="1:36" hidden="1">
      <c r="A1348" s="1900" t="s">
        <v>277</v>
      </c>
      <c r="B1348" s="1869">
        <v>10</v>
      </c>
      <c r="C1348" s="528">
        <f>SUMIFS('7'!$M$2:$M$85,'7'!$C$2:$C$85,B1348,'7'!$A$2:$A$85,$C$1335)</f>
        <v>587.43215652913602</v>
      </c>
      <c r="D1348" s="528">
        <f t="shared" si="771"/>
        <v>482</v>
      </c>
      <c r="F1348" s="1901">
        <v>23.51</v>
      </c>
      <c r="G1348" s="1902"/>
      <c r="H1348" s="1644">
        <f t="shared" si="772"/>
        <v>13811</v>
      </c>
      <c r="I1348" s="1644">
        <f t="shared" si="772"/>
        <v>11332</v>
      </c>
      <c r="K1348" s="1901"/>
      <c r="L1348" s="1902"/>
      <c r="M1348" s="1901"/>
      <c r="N1348" s="1902"/>
      <c r="O1348" s="1901"/>
      <c r="P1348" s="1902"/>
      <c r="Q1348" s="1901"/>
      <c r="R1348" s="1902"/>
      <c r="S1348" s="1643"/>
      <c r="T1348" s="1643"/>
      <c r="U1348" s="1643"/>
      <c r="V1348" s="1643"/>
      <c r="W1348" s="1643"/>
      <c r="X1348" s="1643"/>
      <c r="Y1348" s="1644"/>
      <c r="AI1348" s="2023">
        <f>W1348-'Blocking-Step2'!W1348</f>
        <v>0</v>
      </c>
      <c r="AJ1348" s="2054">
        <f>O1348-'Blocking-Step2'!O1348</f>
        <v>0</v>
      </c>
    </row>
    <row r="1349" spans="1:36" hidden="1">
      <c r="A1349" s="1900" t="s">
        <v>278</v>
      </c>
      <c r="B1349" s="1869">
        <v>11</v>
      </c>
      <c r="C1349" s="528">
        <f>SUMIFS('7'!$M$2:$M$85,'7'!$C$2:$C$85,B1349,'7'!$A$2:$A$85,$C$1335)</f>
        <v>31.333490343853001</v>
      </c>
      <c r="D1349" s="528">
        <f t="shared" si="771"/>
        <v>26</v>
      </c>
      <c r="F1349" s="1901">
        <v>21.23</v>
      </c>
      <c r="G1349" s="1902"/>
      <c r="H1349" s="1644">
        <f t="shared" si="772"/>
        <v>665</v>
      </c>
      <c r="I1349" s="1644">
        <f t="shared" si="772"/>
        <v>552</v>
      </c>
      <c r="K1349" s="1901"/>
      <c r="L1349" s="1902"/>
      <c r="M1349" s="1901"/>
      <c r="N1349" s="1902"/>
      <c r="O1349" s="1901"/>
      <c r="P1349" s="1902"/>
      <c r="Q1349" s="1901"/>
      <c r="R1349" s="1902"/>
      <c r="S1349" s="1643"/>
      <c r="T1349" s="1643"/>
      <c r="U1349" s="1643"/>
      <c r="V1349" s="1643"/>
      <c r="W1349" s="1643"/>
      <c r="X1349" s="1643"/>
      <c r="Y1349" s="1644"/>
      <c r="AI1349" s="2023">
        <f>W1349-'Blocking-Step2'!W1349</f>
        <v>0</v>
      </c>
      <c r="AJ1349" s="2054">
        <f>O1349-'Blocking-Step2'!O1349</f>
        <v>0</v>
      </c>
    </row>
    <row r="1350" spans="1:36" hidden="1">
      <c r="A1350" s="1900" t="s">
        <v>279</v>
      </c>
      <c r="B1350" s="1869">
        <v>12</v>
      </c>
      <c r="C1350" s="528">
        <f>SUMIFS('7'!$M$2:$M$85,'7'!$C$2:$C$85,B1350,'7'!$A$2:$A$85,$C$1335)</f>
        <v>424.43816254416998</v>
      </c>
      <c r="D1350" s="528">
        <f t="shared" si="771"/>
        <v>348</v>
      </c>
      <c r="F1350" s="1901">
        <v>28.3</v>
      </c>
      <c r="G1350" s="1902"/>
      <c r="H1350" s="1644">
        <f t="shared" si="772"/>
        <v>12012</v>
      </c>
      <c r="I1350" s="1644">
        <f t="shared" si="772"/>
        <v>9848</v>
      </c>
      <c r="K1350" s="1901"/>
      <c r="L1350" s="1902"/>
      <c r="M1350" s="1901"/>
      <c r="N1350" s="1902"/>
      <c r="O1350" s="1901"/>
      <c r="P1350" s="1902"/>
      <c r="Q1350" s="1901"/>
      <c r="R1350" s="1902"/>
      <c r="S1350" s="1643"/>
      <c r="T1350" s="1643"/>
      <c r="U1350" s="1643"/>
      <c r="V1350" s="1643"/>
      <c r="W1350" s="1643"/>
      <c r="X1350" s="1643"/>
      <c r="Y1350" s="1644"/>
      <c r="AI1350" s="2023">
        <f>W1350-'Blocking-Step2'!W1350</f>
        <v>0</v>
      </c>
      <c r="AJ1350" s="2054">
        <f>O1350-'Blocking-Step2'!O1350</f>
        <v>0</v>
      </c>
    </row>
    <row r="1351" spans="1:36" hidden="1">
      <c r="A1351" s="1900" t="s">
        <v>280</v>
      </c>
      <c r="B1351" s="1869">
        <v>13</v>
      </c>
      <c r="C1351" s="528">
        <f>SUMIFS('7'!$M$2:$M$85,'7'!$C$2:$C$85,B1351,'7'!$A$2:$A$85,$C$1335)</f>
        <v>92.433243555213593</v>
      </c>
      <c r="D1351" s="528">
        <f t="shared" si="771"/>
        <v>76</v>
      </c>
      <c r="F1351" s="1901">
        <v>25.99</v>
      </c>
      <c r="G1351" s="1902"/>
      <c r="H1351" s="1644">
        <f t="shared" si="772"/>
        <v>2402</v>
      </c>
      <c r="I1351" s="1644">
        <f t="shared" si="772"/>
        <v>1975</v>
      </c>
      <c r="K1351" s="1901"/>
      <c r="L1351" s="1902"/>
      <c r="M1351" s="1901"/>
      <c r="N1351" s="1902"/>
      <c r="O1351" s="1901"/>
      <c r="P1351" s="1902"/>
      <c r="Q1351" s="1901"/>
      <c r="R1351" s="1902"/>
      <c r="S1351" s="1643"/>
      <c r="T1351" s="1643"/>
      <c r="U1351" s="1643"/>
      <c r="V1351" s="1643"/>
      <c r="W1351" s="1643"/>
      <c r="X1351" s="1643"/>
      <c r="Y1351" s="1644"/>
      <c r="AI1351" s="2023">
        <f>W1351-'Blocking-Step2'!W1351</f>
        <v>0</v>
      </c>
      <c r="AJ1351" s="2054">
        <f>O1351-'Blocking-Step2'!O1351</f>
        <v>0</v>
      </c>
    </row>
    <row r="1352" spans="1:36" hidden="1">
      <c r="A1352" s="1960" t="s">
        <v>281</v>
      </c>
      <c r="C1352" s="528"/>
      <c r="D1352" s="528"/>
      <c r="H1352" s="1644"/>
      <c r="I1352" s="1644"/>
      <c r="K1352" s="1901"/>
      <c r="M1352" s="1901"/>
      <c r="O1352" s="1901"/>
      <c r="Q1352" s="1901"/>
      <c r="Y1352" s="1644"/>
      <c r="AI1352" s="2023">
        <f>W1352-'Blocking-Step2'!W1352</f>
        <v>0</v>
      </c>
      <c r="AJ1352" s="2054">
        <f>O1352-'Blocking-Step2'!O1352</f>
        <v>0</v>
      </c>
    </row>
    <row r="1353" spans="1:36" hidden="1">
      <c r="A1353" s="1900" t="s">
        <v>274</v>
      </c>
      <c r="B1353" s="1869">
        <v>14</v>
      </c>
      <c r="C1353" s="528">
        <f>SUMIFS('7'!$M$2:$M$85,'7'!$C$2:$C$85,B1353,'7'!$A$2:$A$85,$C$1335)</f>
        <v>12</v>
      </c>
      <c r="D1353" s="528">
        <f t="shared" ref="D1353:D1358" si="773">ROUND(C1353/$C$1369*$D$1369,0)</f>
        <v>10</v>
      </c>
      <c r="F1353" s="1901">
        <v>19.46</v>
      </c>
      <c r="G1353" s="1902"/>
      <c r="H1353" s="1644">
        <f t="shared" ref="H1353:I1358" si="774">ROUND($F1353*C1353,0)</f>
        <v>234</v>
      </c>
      <c r="I1353" s="1644">
        <f t="shared" si="774"/>
        <v>195</v>
      </c>
      <c r="K1353" s="1901"/>
      <c r="L1353" s="1902"/>
      <c r="M1353" s="1901"/>
      <c r="N1353" s="1902"/>
      <c r="O1353" s="1901"/>
      <c r="P1353" s="1902"/>
      <c r="Q1353" s="1901"/>
      <c r="R1353" s="1902"/>
      <c r="S1353" s="1643"/>
      <c r="T1353" s="1643"/>
      <c r="U1353" s="1643"/>
      <c r="V1353" s="1643"/>
      <c r="W1353" s="1643"/>
      <c r="X1353" s="1643"/>
      <c r="Y1353" s="1644"/>
      <c r="AI1353" s="2023">
        <f>W1353-'Blocking-Step2'!W1353</f>
        <v>0</v>
      </c>
      <c r="AJ1353" s="2054">
        <f>O1353-'Blocking-Step2'!O1353</f>
        <v>0</v>
      </c>
    </row>
    <row r="1354" spans="1:36" hidden="1">
      <c r="A1354" s="1900" t="s">
        <v>275</v>
      </c>
      <c r="B1354" s="1869">
        <v>15</v>
      </c>
      <c r="C1354" s="528">
        <f>SUMIFS('7'!$M$2:$M$85,'7'!$C$2:$C$85,B1354,'7'!$A$2:$A$85,$C$1335)</f>
        <v>0</v>
      </c>
      <c r="D1354" s="528">
        <f t="shared" si="773"/>
        <v>0</v>
      </c>
      <c r="F1354" s="1901">
        <v>17.13</v>
      </c>
      <c r="G1354" s="1902"/>
      <c r="H1354" s="1644">
        <f t="shared" si="774"/>
        <v>0</v>
      </c>
      <c r="I1354" s="1644">
        <f t="shared" si="774"/>
        <v>0</v>
      </c>
      <c r="K1354" s="1901"/>
      <c r="L1354" s="1902"/>
      <c r="M1354" s="1901"/>
      <c r="N1354" s="1902"/>
      <c r="O1354" s="1901"/>
      <c r="P1354" s="1902"/>
      <c r="Q1354" s="1901"/>
      <c r="R1354" s="1902"/>
      <c r="S1354" s="1643"/>
      <c r="T1354" s="1643"/>
      <c r="U1354" s="1643"/>
      <c r="V1354" s="1643"/>
      <c r="W1354" s="1643"/>
      <c r="X1354" s="1643"/>
      <c r="Y1354" s="1644"/>
      <c r="AI1354" s="2023">
        <f>W1354-'Blocking-Step2'!W1354</f>
        <v>0</v>
      </c>
      <c r="AJ1354" s="2054">
        <f>O1354-'Blocking-Step2'!O1354</f>
        <v>0</v>
      </c>
    </row>
    <row r="1355" spans="1:36" hidden="1">
      <c r="A1355" s="1900" t="s">
        <v>277</v>
      </c>
      <c r="B1355" s="1869">
        <v>16</v>
      </c>
      <c r="C1355" s="528">
        <f>SUMIFS('7'!$M$2:$M$85,'7'!$C$2:$C$85,B1355,'7'!$A$2:$A$85,$C$1335)</f>
        <v>58.900042535091501</v>
      </c>
      <c r="D1355" s="528">
        <f t="shared" si="773"/>
        <v>48</v>
      </c>
      <c r="F1355" s="1901">
        <v>23.51</v>
      </c>
      <c r="G1355" s="1902"/>
      <c r="H1355" s="1644">
        <f t="shared" si="774"/>
        <v>1385</v>
      </c>
      <c r="I1355" s="1644">
        <f t="shared" si="774"/>
        <v>1128</v>
      </c>
      <c r="K1355" s="1901"/>
      <c r="L1355" s="1902"/>
      <c r="M1355" s="1901"/>
      <c r="N1355" s="1902"/>
      <c r="O1355" s="1901"/>
      <c r="P1355" s="1902"/>
      <c r="Q1355" s="1901"/>
      <c r="R1355" s="1902"/>
      <c r="S1355" s="1643"/>
      <c r="T1355" s="1643"/>
      <c r="U1355" s="1643"/>
      <c r="V1355" s="1643"/>
      <c r="W1355" s="1643"/>
      <c r="X1355" s="1643"/>
      <c r="Y1355" s="1644"/>
      <c r="AI1355" s="2023">
        <f>W1355-'Blocking-Step2'!W1355</f>
        <v>0</v>
      </c>
      <c r="AJ1355" s="2054">
        <f>O1355-'Blocking-Step2'!O1355</f>
        <v>0</v>
      </c>
    </row>
    <row r="1356" spans="1:36" hidden="1">
      <c r="A1356" s="1900" t="s">
        <v>278</v>
      </c>
      <c r="B1356" s="1869">
        <v>17</v>
      </c>
      <c r="C1356" s="528">
        <f>SUMIFS('7'!$M$2:$M$85,'7'!$C$2:$C$85,B1356,'7'!$A$2:$A$85,$C$1335)</f>
        <v>0</v>
      </c>
      <c r="D1356" s="528">
        <f t="shared" si="773"/>
        <v>0</v>
      </c>
      <c r="F1356" s="1901">
        <v>21.23</v>
      </c>
      <c r="G1356" s="1902"/>
      <c r="H1356" s="1644">
        <f t="shared" si="774"/>
        <v>0</v>
      </c>
      <c r="I1356" s="1644">
        <f t="shared" si="774"/>
        <v>0</v>
      </c>
      <c r="K1356" s="1901"/>
      <c r="L1356" s="1902"/>
      <c r="M1356" s="1901"/>
      <c r="N1356" s="1902"/>
      <c r="O1356" s="1901"/>
      <c r="P1356" s="1902"/>
      <c r="Q1356" s="1901"/>
      <c r="R1356" s="1902"/>
      <c r="S1356" s="1643"/>
      <c r="T1356" s="1643"/>
      <c r="U1356" s="1643"/>
      <c r="V1356" s="1643"/>
      <c r="W1356" s="1643"/>
      <c r="X1356" s="1643"/>
      <c r="Y1356" s="1644"/>
      <c r="AI1356" s="2023">
        <f>W1356-'Blocking-Step2'!W1356</f>
        <v>0</v>
      </c>
      <c r="AJ1356" s="2054">
        <f>O1356-'Blocking-Step2'!O1356</f>
        <v>0</v>
      </c>
    </row>
    <row r="1357" spans="1:36" hidden="1">
      <c r="A1357" s="1900" t="s">
        <v>279</v>
      </c>
      <c r="B1357" s="1869">
        <v>18</v>
      </c>
      <c r="C1357" s="528">
        <f>SUMIFS('7'!$M$2:$M$85,'7'!$C$2:$C$85,B1357,'7'!$A$2:$A$85,$C$1335)</f>
        <v>336.83321554770299</v>
      </c>
      <c r="D1357" s="528">
        <f t="shared" si="773"/>
        <v>277</v>
      </c>
      <c r="F1357" s="1901">
        <v>28.3</v>
      </c>
      <c r="G1357" s="1902"/>
      <c r="H1357" s="1644">
        <f t="shared" si="774"/>
        <v>9532</v>
      </c>
      <c r="I1357" s="1644">
        <f t="shared" si="774"/>
        <v>7839</v>
      </c>
      <c r="K1357" s="1901"/>
      <c r="L1357" s="1902"/>
      <c r="M1357" s="1901"/>
      <c r="N1357" s="1902"/>
      <c r="O1357" s="1901"/>
      <c r="P1357" s="1902"/>
      <c r="Q1357" s="1901"/>
      <c r="R1357" s="1902"/>
      <c r="S1357" s="1643"/>
      <c r="T1357" s="1643"/>
      <c r="U1357" s="1643"/>
      <c r="V1357" s="1643"/>
      <c r="W1357" s="1643"/>
      <c r="X1357" s="1643"/>
      <c r="Y1357" s="1644"/>
      <c r="AI1357" s="2023">
        <f>W1357-'Blocking-Step2'!W1357</f>
        <v>0</v>
      </c>
      <c r="AJ1357" s="2054">
        <f>O1357-'Blocking-Step2'!O1357</f>
        <v>0</v>
      </c>
    </row>
    <row r="1358" spans="1:36" hidden="1">
      <c r="A1358" s="1900" t="s">
        <v>280</v>
      </c>
      <c r="B1358" s="1869">
        <v>19</v>
      </c>
      <c r="C1358" s="528">
        <f>SUMIFS('7'!$M$2:$M$85,'7'!$C$2:$C$85,B1358,'7'!$A$2:$A$85,$C$1335)</f>
        <v>66.366679492112397</v>
      </c>
      <c r="D1358" s="528">
        <f t="shared" si="773"/>
        <v>54</v>
      </c>
      <c r="F1358" s="1901">
        <v>25.99</v>
      </c>
      <c r="G1358" s="1902"/>
      <c r="H1358" s="1644">
        <f t="shared" si="774"/>
        <v>1725</v>
      </c>
      <c r="I1358" s="1644">
        <f t="shared" si="774"/>
        <v>1403</v>
      </c>
      <c r="K1358" s="1901"/>
      <c r="L1358" s="1902"/>
      <c r="M1358" s="1901"/>
      <c r="N1358" s="1902"/>
      <c r="O1358" s="1901"/>
      <c r="P1358" s="1902"/>
      <c r="Q1358" s="1901"/>
      <c r="R1358" s="1902"/>
      <c r="S1358" s="1643"/>
      <c r="T1358" s="1643"/>
      <c r="U1358" s="1643"/>
      <c r="V1358" s="1643"/>
      <c r="W1358" s="1643"/>
      <c r="X1358" s="1643"/>
      <c r="Y1358" s="1644"/>
      <c r="AI1358" s="2023">
        <f>W1358-'Blocking-Step2'!W1358</f>
        <v>0</v>
      </c>
      <c r="AJ1358" s="2054">
        <f>O1358-'Blocking-Step2'!O1358</f>
        <v>0</v>
      </c>
    </row>
    <row r="1359" spans="1:36" hidden="1">
      <c r="A1359" s="1960" t="s">
        <v>289</v>
      </c>
      <c r="C1359" s="528"/>
      <c r="D1359" s="528"/>
      <c r="K1359" s="1901"/>
      <c r="M1359" s="1901"/>
      <c r="O1359" s="1901"/>
      <c r="Q1359" s="1901"/>
      <c r="AI1359" s="2023">
        <f>W1359-'Blocking-Step2'!W1359</f>
        <v>0</v>
      </c>
      <c r="AJ1359" s="2054">
        <f>O1359-'Blocking-Step2'!O1359</f>
        <v>0</v>
      </c>
    </row>
    <row r="1360" spans="1:36" hidden="1">
      <c r="A1360" s="1900" t="s">
        <v>290</v>
      </c>
      <c r="B1360" s="1869">
        <v>20</v>
      </c>
      <c r="C1360" s="528">
        <f>SUMIFS('7'!$M$2:$M$85,'7'!$C$2:$C$85,B1360,'7'!$A$2:$A$85,$C$1335)</f>
        <v>0</v>
      </c>
      <c r="D1360" s="528">
        <f t="shared" ref="D1360:D1367" si="775">ROUND(C1360/$C$1369*$D$1369,0)</f>
        <v>0</v>
      </c>
      <c r="F1360" s="1901">
        <v>29.4</v>
      </c>
      <c r="G1360" s="1902"/>
      <c r="H1360" s="1644">
        <f t="shared" ref="H1360:I1367" si="776">ROUND($F1360*C1360,0)</f>
        <v>0</v>
      </c>
      <c r="I1360" s="1644">
        <f t="shared" si="776"/>
        <v>0</v>
      </c>
      <c r="K1360" s="1901"/>
      <c r="L1360" s="1902"/>
      <c r="M1360" s="1901"/>
      <c r="N1360" s="1902"/>
      <c r="O1360" s="1901"/>
      <c r="P1360" s="1902"/>
      <c r="Q1360" s="1901"/>
      <c r="R1360" s="1902"/>
      <c r="S1360" s="1643"/>
      <c r="T1360" s="1643"/>
      <c r="U1360" s="1643"/>
      <c r="V1360" s="1643"/>
      <c r="W1360" s="1643"/>
      <c r="X1360" s="1643"/>
      <c r="Y1360" s="1644"/>
      <c r="AI1360" s="2023">
        <f>W1360-'Blocking-Step2'!W1360</f>
        <v>0</v>
      </c>
      <c r="AJ1360" s="2054">
        <f>O1360-'Blocking-Step2'!O1360</f>
        <v>0</v>
      </c>
    </row>
    <row r="1361" spans="1:36" hidden="1">
      <c r="A1361" s="1900" t="s">
        <v>291</v>
      </c>
      <c r="B1361" s="1869">
        <v>21</v>
      </c>
      <c r="C1361" s="528">
        <f>SUMIFS('7'!$M$2:$M$85,'7'!$C$2:$C$85,B1361,'7'!$A$2:$A$85,$C$1335)</f>
        <v>30.366223038090901</v>
      </c>
      <c r="D1361" s="528">
        <f t="shared" si="775"/>
        <v>25</v>
      </c>
      <c r="F1361" s="1901">
        <v>21.79</v>
      </c>
      <c r="G1361" s="1902"/>
      <c r="H1361" s="1644">
        <f t="shared" si="776"/>
        <v>662</v>
      </c>
      <c r="I1361" s="1644">
        <f t="shared" si="776"/>
        <v>545</v>
      </c>
      <c r="K1361" s="1901"/>
      <c r="L1361" s="1902"/>
      <c r="M1361" s="1901"/>
      <c r="N1361" s="1902"/>
      <c r="O1361" s="1901"/>
      <c r="P1361" s="1902"/>
      <c r="Q1361" s="1901"/>
      <c r="R1361" s="1902"/>
      <c r="S1361" s="1643"/>
      <c r="T1361" s="1643"/>
      <c r="U1361" s="1643"/>
      <c r="V1361" s="1643"/>
      <c r="W1361" s="1643"/>
      <c r="X1361" s="1643"/>
      <c r="Y1361" s="1644"/>
      <c r="AI1361" s="2023">
        <f>W1361-'Blocking-Step2'!W1361</f>
        <v>0</v>
      </c>
      <c r="AJ1361" s="2054">
        <f>O1361-'Blocking-Step2'!O1361</f>
        <v>0</v>
      </c>
    </row>
    <row r="1362" spans="1:36" hidden="1">
      <c r="A1362" s="1900" t="s">
        <v>292</v>
      </c>
      <c r="B1362" s="1869">
        <v>22</v>
      </c>
      <c r="C1362" s="528">
        <f>SUMIFS('7'!$M$2:$M$85,'7'!$C$2:$C$85,B1362,'7'!$A$2:$A$85,$C$1335)</f>
        <v>0</v>
      </c>
      <c r="D1362" s="528">
        <f t="shared" si="775"/>
        <v>0</v>
      </c>
      <c r="F1362" s="1901">
        <v>34.340000000000003</v>
      </c>
      <c r="G1362" s="1902"/>
      <c r="H1362" s="1644">
        <f t="shared" si="776"/>
        <v>0</v>
      </c>
      <c r="I1362" s="1644">
        <f t="shared" si="776"/>
        <v>0</v>
      </c>
      <c r="K1362" s="1901"/>
      <c r="L1362" s="1902"/>
      <c r="M1362" s="1901"/>
      <c r="N1362" s="1902"/>
      <c r="O1362" s="1901"/>
      <c r="P1362" s="1902"/>
      <c r="Q1362" s="1901"/>
      <c r="R1362" s="1902"/>
      <c r="S1362" s="1643"/>
      <c r="T1362" s="1643"/>
      <c r="U1362" s="1643"/>
      <c r="V1362" s="1643"/>
      <c r="W1362" s="1643"/>
      <c r="X1362" s="1643"/>
      <c r="Y1362" s="1644"/>
      <c r="AI1362" s="2023">
        <f>W1362-'Blocking-Step2'!W1362</f>
        <v>0</v>
      </c>
      <c r="AJ1362" s="2054">
        <f>O1362-'Blocking-Step2'!O1362</f>
        <v>0</v>
      </c>
    </row>
    <row r="1363" spans="1:36" hidden="1">
      <c r="A1363" s="1900" t="s">
        <v>293</v>
      </c>
      <c r="B1363" s="1869">
        <v>23</v>
      </c>
      <c r="C1363" s="528">
        <f>SUMIFS('7'!$M$2:$M$85,'7'!$C$2:$C$85,B1363,'7'!$A$2:$A$85,$C$1335)</f>
        <v>0</v>
      </c>
      <c r="D1363" s="528">
        <f t="shared" si="775"/>
        <v>0</v>
      </c>
      <c r="F1363" s="1901">
        <v>27.43</v>
      </c>
      <c r="G1363" s="1902"/>
      <c r="H1363" s="1644">
        <f t="shared" si="776"/>
        <v>0</v>
      </c>
      <c r="I1363" s="1644">
        <f t="shared" si="776"/>
        <v>0</v>
      </c>
      <c r="K1363" s="1901"/>
      <c r="L1363" s="1902"/>
      <c r="M1363" s="1901"/>
      <c r="N1363" s="1902"/>
      <c r="O1363" s="1901"/>
      <c r="P1363" s="1902"/>
      <c r="Q1363" s="1901"/>
      <c r="R1363" s="1902"/>
      <c r="S1363" s="1643"/>
      <c r="T1363" s="1643"/>
      <c r="U1363" s="1643"/>
      <c r="V1363" s="1643"/>
      <c r="W1363" s="1643"/>
      <c r="X1363" s="1643"/>
      <c r="Y1363" s="1644"/>
      <c r="AI1363" s="2023">
        <f>W1363-'Blocking-Step2'!W1363</f>
        <v>0</v>
      </c>
      <c r="AJ1363" s="2054">
        <f>O1363-'Blocking-Step2'!O1363</f>
        <v>0</v>
      </c>
    </row>
    <row r="1364" spans="1:36" hidden="1">
      <c r="A1364" s="1900" t="s">
        <v>294</v>
      </c>
      <c r="B1364" s="1869">
        <v>24</v>
      </c>
      <c r="C1364" s="528">
        <f>SUMIFS('7'!$M$2:$M$85,'7'!$C$2:$C$85,B1364,'7'!$A$2:$A$85,$C$1335)</f>
        <v>74.766693922049598</v>
      </c>
      <c r="D1364" s="528">
        <f>ROUND(C1364/$C$1369*$D$1369,0)</f>
        <v>61</v>
      </c>
      <c r="F1364" s="1901">
        <v>36.69</v>
      </c>
      <c r="G1364" s="1902"/>
      <c r="H1364" s="1644">
        <f t="shared" si="776"/>
        <v>2743</v>
      </c>
      <c r="I1364" s="1644">
        <f t="shared" si="776"/>
        <v>2238</v>
      </c>
      <c r="K1364" s="1901"/>
      <c r="L1364" s="1902"/>
      <c r="M1364" s="1901"/>
      <c r="N1364" s="1902"/>
      <c r="O1364" s="1901"/>
      <c r="P1364" s="1902"/>
      <c r="Q1364" s="1901"/>
      <c r="R1364" s="1902"/>
      <c r="S1364" s="1643"/>
      <c r="T1364" s="1643"/>
      <c r="U1364" s="1643"/>
      <c r="V1364" s="1643"/>
      <c r="W1364" s="1643"/>
      <c r="X1364" s="1643"/>
      <c r="Y1364" s="1644"/>
      <c r="AI1364" s="2023">
        <f>W1364-'Blocking-Step2'!W1364</f>
        <v>0</v>
      </c>
      <c r="AJ1364" s="2054">
        <f>O1364-'Blocking-Step2'!O1364</f>
        <v>0</v>
      </c>
    </row>
    <row r="1365" spans="1:36" hidden="1">
      <c r="A1365" s="1900" t="s">
        <v>297</v>
      </c>
      <c r="B1365" s="1869">
        <v>25</v>
      </c>
      <c r="C1365" s="528">
        <f>SUMIFS('7'!$M$2:$M$85,'7'!$C$2:$C$85,B1365,'7'!$A$2:$A$85,$C$1335)</f>
        <v>10.3667563930013</v>
      </c>
      <c r="D1365" s="528">
        <f t="shared" si="775"/>
        <v>9</v>
      </c>
      <c r="F1365" s="1901">
        <v>29.72</v>
      </c>
      <c r="G1365" s="1902"/>
      <c r="H1365" s="1644">
        <f t="shared" si="776"/>
        <v>308</v>
      </c>
      <c r="I1365" s="1644">
        <f t="shared" si="776"/>
        <v>267</v>
      </c>
      <c r="K1365" s="1901"/>
      <c r="L1365" s="1902"/>
      <c r="M1365" s="1901"/>
      <c r="N1365" s="1902"/>
      <c r="O1365" s="1901"/>
      <c r="P1365" s="1902"/>
      <c r="Q1365" s="1901"/>
      <c r="R1365" s="1902"/>
      <c r="S1365" s="1643"/>
      <c r="T1365" s="1643"/>
      <c r="U1365" s="1643"/>
      <c r="V1365" s="1643"/>
      <c r="W1365" s="1643"/>
      <c r="X1365" s="1643"/>
      <c r="Y1365" s="1644"/>
      <c r="AI1365" s="2023">
        <f>W1365-'Blocking-Step2'!W1365</f>
        <v>0</v>
      </c>
      <c r="AJ1365" s="2054">
        <f>O1365-'Blocking-Step2'!O1365</f>
        <v>0</v>
      </c>
    </row>
    <row r="1366" spans="1:36" hidden="1">
      <c r="A1366" s="1900" t="s">
        <v>298</v>
      </c>
      <c r="B1366" s="1869">
        <v>26</v>
      </c>
      <c r="C1366" s="528">
        <f>SUMIFS('7'!$M$2:$M$85,'7'!$C$2:$C$85,B1366,'7'!$A$2:$A$85,$C$1335)</f>
        <v>0</v>
      </c>
      <c r="D1366" s="528">
        <f t="shared" si="775"/>
        <v>0</v>
      </c>
      <c r="F1366" s="1901">
        <v>57.58</v>
      </c>
      <c r="G1366" s="1902"/>
      <c r="H1366" s="1644">
        <f t="shared" si="776"/>
        <v>0</v>
      </c>
      <c r="I1366" s="1644">
        <f t="shared" si="776"/>
        <v>0</v>
      </c>
      <c r="K1366" s="1901"/>
      <c r="L1366" s="1902"/>
      <c r="M1366" s="1901"/>
      <c r="N1366" s="1902"/>
      <c r="O1366" s="1901"/>
      <c r="P1366" s="1902"/>
      <c r="Q1366" s="1901"/>
      <c r="R1366" s="1902"/>
      <c r="S1366" s="1643"/>
      <c r="T1366" s="1643"/>
      <c r="U1366" s="1643"/>
      <c r="V1366" s="1643"/>
      <c r="W1366" s="1643"/>
      <c r="X1366" s="1643"/>
      <c r="Y1366" s="1644"/>
      <c r="AI1366" s="2023">
        <f>W1366-'Blocking-Step2'!W1366</f>
        <v>0</v>
      </c>
      <c r="AJ1366" s="2054">
        <f>O1366-'Blocking-Step2'!O1366</f>
        <v>0</v>
      </c>
    </row>
    <row r="1367" spans="1:36" hidden="1">
      <c r="A1367" s="1900" t="s">
        <v>300</v>
      </c>
      <c r="B1367" s="1869">
        <v>27</v>
      </c>
      <c r="C1367" s="528">
        <f>SUMIFS('7'!$M$2:$M$85,'7'!$C$2:$C$85,B1367,'7'!$A$2:$A$85,$C$1335)</f>
        <v>0</v>
      </c>
      <c r="D1367" s="528">
        <f t="shared" si="775"/>
        <v>0</v>
      </c>
      <c r="F1367" s="1901">
        <v>49.1</v>
      </c>
      <c r="G1367" s="1902"/>
      <c r="H1367" s="1644">
        <f t="shared" si="776"/>
        <v>0</v>
      </c>
      <c r="I1367" s="1644">
        <f t="shared" si="776"/>
        <v>0</v>
      </c>
      <c r="K1367" s="1901"/>
      <c r="L1367" s="1902"/>
      <c r="M1367" s="1901"/>
      <c r="N1367" s="1902"/>
      <c r="O1367" s="1901"/>
      <c r="P1367" s="1902"/>
      <c r="Q1367" s="1901"/>
      <c r="R1367" s="1902"/>
      <c r="S1367" s="1643"/>
      <c r="T1367" s="1643"/>
      <c r="U1367" s="1643"/>
      <c r="V1367" s="1643"/>
      <c r="W1367" s="1643"/>
      <c r="X1367" s="1643"/>
      <c r="Y1367" s="1644"/>
      <c r="AI1367" s="2023">
        <f>W1367-'Blocking-Step2'!W1367</f>
        <v>0</v>
      </c>
      <c r="AJ1367" s="2054">
        <f>O1367-'Blocking-Step2'!O1367</f>
        <v>0</v>
      </c>
    </row>
    <row r="1368" spans="1:36" hidden="1">
      <c r="A1368" s="1900" t="s">
        <v>130</v>
      </c>
      <c r="C1368" s="528">
        <f>SUM(C1336:C1367)</f>
        <v>4750.5712470683729</v>
      </c>
      <c r="D1368" s="528">
        <f>SUM(D1336:D1367)</f>
        <v>3900</v>
      </c>
      <c r="H1368" s="1644">
        <f>SUM(H1336:H1367)</f>
        <v>95560</v>
      </c>
      <c r="I1368" s="1644">
        <f>SUM(I1336:I1367)</f>
        <v>78444</v>
      </c>
      <c r="Y1368" s="1644"/>
      <c r="AI1368" s="2023">
        <f>W1368-'Blocking-Step2'!W1368</f>
        <v>0</v>
      </c>
      <c r="AJ1368" s="2054">
        <f>O1368-'Blocking-Step2'!O1368</f>
        <v>0</v>
      </c>
    </row>
    <row r="1369" spans="1:36" hidden="1">
      <c r="A1369" s="1900" t="s">
        <v>36</v>
      </c>
      <c r="C1369" s="1027">
        <f>'7'!N90</f>
        <v>361780.09622831794</v>
      </c>
      <c r="D1369" s="1027">
        <f>D1374</f>
        <v>297000</v>
      </c>
      <c r="H1369" s="1644"/>
      <c r="I1369" s="1644"/>
      <c r="Y1369" s="1644"/>
      <c r="AI1369" s="2023">
        <f>W1369-'Blocking-Step2'!W1369</f>
        <v>0</v>
      </c>
      <c r="AJ1369" s="2054">
        <f>O1369-'Blocking-Step2'!O1369</f>
        <v>0</v>
      </c>
    </row>
    <row r="1370" spans="1:36" hidden="1">
      <c r="A1370" s="1900" t="s">
        <v>136</v>
      </c>
      <c r="C1370" s="1028">
        <f>'Table 2'!J136</f>
        <v>-13404</v>
      </c>
      <c r="D1370" s="1028">
        <v>0</v>
      </c>
      <c r="F1370" s="1961"/>
      <c r="H1370" s="1649">
        <f>'Table 3'!F136</f>
        <v>-3289</v>
      </c>
      <c r="I1370" s="1030">
        <v>0</v>
      </c>
      <c r="K1370" s="1961"/>
      <c r="M1370" s="1961"/>
      <c r="O1370" s="1961"/>
      <c r="Q1370" s="1961"/>
      <c r="Y1370" s="1030"/>
      <c r="AI1370" s="2023">
        <f>W1370-'Blocking-Step2'!W1370</f>
        <v>0</v>
      </c>
      <c r="AJ1370" s="2054">
        <f>O1370-'Blocking-Step2'!O1370</f>
        <v>0</v>
      </c>
    </row>
    <row r="1371" spans="1:36" hidden="1">
      <c r="A1371" s="1900" t="s">
        <v>1240</v>
      </c>
      <c r="C1371" s="584"/>
      <c r="D1371" s="584"/>
      <c r="F1371" s="1930">
        <v>-1.9800000000000002E-2</v>
      </c>
      <c r="G1371" s="597"/>
      <c r="H1371" s="1644">
        <f>H1368*$F1371</f>
        <v>-1892.0880000000002</v>
      </c>
      <c r="I1371" s="1644">
        <f>I1368*$F1371</f>
        <v>-1553.1912000000002</v>
      </c>
      <c r="K1371" s="1930"/>
      <c r="L1371" s="597"/>
      <c r="M1371" s="1930"/>
      <c r="N1371" s="597"/>
      <c r="O1371" s="1931" t="str">
        <f>$O$43</f>
        <v>Tax Year 1 (1/1/2021)</v>
      </c>
      <c r="P1371" s="597"/>
      <c r="Q1371" s="1930">
        <f>$AC$1203</f>
        <v>-1.0200000000000001E-2</v>
      </c>
      <c r="R1371" s="597"/>
      <c r="S1371" s="1645"/>
      <c r="T1371" s="1645"/>
      <c r="U1371" s="1645"/>
      <c r="V1371" s="1645"/>
      <c r="W1371" s="1645"/>
      <c r="X1371" s="1645"/>
      <c r="Y1371" s="1644">
        <f>Q1371*Y1374</f>
        <v>-434.67705160831304</v>
      </c>
      <c r="AI1371" s="2023">
        <f>W1371-'Blocking-Step2'!W1371</f>
        <v>0</v>
      </c>
      <c r="AJ1371" s="2054">
        <f>O1371-'Blocking-Step2'!O1371</f>
        <v>0</v>
      </c>
    </row>
    <row r="1372" spans="1:36" hidden="1">
      <c r="A1372" s="1900"/>
      <c r="C1372" s="584"/>
      <c r="D1372" s="584"/>
      <c r="F1372" s="1930"/>
      <c r="G1372" s="597"/>
      <c r="H1372" s="1644"/>
      <c r="I1372" s="1644"/>
      <c r="K1372" s="1930"/>
      <c r="L1372" s="597"/>
      <c r="M1372" s="1930"/>
      <c r="N1372" s="597"/>
      <c r="O1372" s="1931">
        <f>$O$44</f>
        <v>0</v>
      </c>
      <c r="P1372" s="597"/>
      <c r="Q1372" s="1930">
        <f>$AC$1204</f>
        <v>0</v>
      </c>
      <c r="R1372" s="597"/>
      <c r="S1372" s="1645"/>
      <c r="T1372" s="1645"/>
      <c r="U1372" s="1645"/>
      <c r="V1372" s="1645"/>
      <c r="W1372" s="1645"/>
      <c r="X1372" s="1645"/>
      <c r="Y1372" s="1644">
        <f>Q1372*Y1374</f>
        <v>0</v>
      </c>
      <c r="AI1372" s="2023">
        <f>W1372-'Blocking-Step2'!W1372</f>
        <v>0</v>
      </c>
      <c r="AJ1372" s="2054">
        <f>O1372-'Blocking-Step2'!O1372</f>
        <v>0</v>
      </c>
    </row>
    <row r="1373" spans="1:36" hidden="1">
      <c r="A1373" s="1900" t="s">
        <v>141</v>
      </c>
      <c r="C1373" s="528">
        <f>'Table 2'!F136</f>
        <v>193.916666666667</v>
      </c>
      <c r="D1373" s="528">
        <f>ROUND(Bill!P85/12,0)</f>
        <v>163</v>
      </c>
      <c r="AI1373" s="2023">
        <f>W1373-'Blocking-Step2'!W1373</f>
        <v>0</v>
      </c>
      <c r="AJ1373" s="2054">
        <f>O1373-'Blocking-Step2'!O1373</f>
        <v>0</v>
      </c>
    </row>
    <row r="1374" spans="1:36" ht="16.5" hidden="1" thickBot="1">
      <c r="A1374" s="1900" t="s">
        <v>302</v>
      </c>
      <c r="C1374" s="1029">
        <f>C1369+C1370</f>
        <v>348376.09622831794</v>
      </c>
      <c r="D1374" s="1029">
        <f>Energy!P85</f>
        <v>297000</v>
      </c>
      <c r="F1374" s="1935"/>
      <c r="H1374" s="1646">
        <f>SUM(H1368:H1371)</f>
        <v>90378.911999999997</v>
      </c>
      <c r="I1374" s="1646">
        <f>SUM(I1368:I1371)</f>
        <v>76890.808799999999</v>
      </c>
      <c r="K1374" s="1935"/>
      <c r="M1374" s="1935"/>
      <c r="O1374" s="1935"/>
      <c r="Q1374" s="1935"/>
      <c r="S1374" s="1637">
        <f>$Y1374/$Y$1206*S1332</f>
        <v>419.81313884595738</v>
      </c>
      <c r="U1374" s="1637">
        <f>$Y1374/$Y$1206*U1332</f>
        <v>62.09987963312701</v>
      </c>
      <c r="W1374" s="1637">
        <f>Y1374-S1374-U1374</f>
        <v>42133.48419802219</v>
      </c>
      <c r="Y1374" s="1646">
        <f>$Y$1206/$I$1206*I1374</f>
        <v>42615.397216501275</v>
      </c>
      <c r="AA1374" s="1104" t="s">
        <v>1743</v>
      </c>
      <c r="AB1374" s="1890">
        <f>Y1374/I1374-1</f>
        <v>-0.44576734356706005</v>
      </c>
      <c r="AI1374" s="2023">
        <f>W1374-'Blocking-Step2'!W1374</f>
        <v>0</v>
      </c>
      <c r="AJ1374" s="2054">
        <f>O1374-'Blocking-Step2'!O1374</f>
        <v>0</v>
      </c>
    </row>
    <row r="1375" spans="1:36" ht="16.5" thickTop="1">
      <c r="C1375" s="528"/>
      <c r="D1375" s="528"/>
      <c r="AI1375" s="2023">
        <f>W1375-'Blocking-Step2'!W1375</f>
        <v>0</v>
      </c>
      <c r="AJ1375" s="2054">
        <f>O1375-'Blocking-Step2'!O1375</f>
        <v>0</v>
      </c>
    </row>
    <row r="1376" spans="1:36">
      <c r="A1376" s="1897" t="s">
        <v>557</v>
      </c>
      <c r="C1376" s="528"/>
      <c r="D1376" s="528"/>
      <c r="AI1376" s="2023">
        <f>W1376-'Blocking-Step2'!W1376</f>
        <v>0</v>
      </c>
      <c r="AJ1376" s="2054">
        <f>O1376-'Blocking-Step2'!O1376</f>
        <v>0</v>
      </c>
    </row>
    <row r="1377" spans="1:36">
      <c r="A1377" s="1900" t="s">
        <v>240</v>
      </c>
      <c r="C1377" s="528">
        <f t="shared" ref="C1377:D1391" si="777">C1399+C1419</f>
        <v>2791.4995714285697</v>
      </c>
      <c r="D1377" s="528">
        <f t="shared" si="777"/>
        <v>2823</v>
      </c>
      <c r="F1377" s="1901">
        <v>70</v>
      </c>
      <c r="G1377" s="1902"/>
      <c r="H1377" s="1644">
        <f t="shared" ref="H1377:I1387" si="778">ROUND($F1377*C1377,0)</f>
        <v>195405</v>
      </c>
      <c r="I1377" s="1644">
        <f t="shared" si="778"/>
        <v>197610</v>
      </c>
      <c r="K1377" s="1901">
        <f>Q1377</f>
        <v>70</v>
      </c>
      <c r="L1377" s="1902"/>
      <c r="M1377" s="1901"/>
      <c r="N1377" s="1902"/>
      <c r="O1377" s="1901"/>
      <c r="P1377" s="1902"/>
      <c r="Q1377" s="1901">
        <f>ROUND(F1377*(1+$AB$1381),0)</f>
        <v>70</v>
      </c>
      <c r="R1377" s="1902"/>
      <c r="S1377" s="1643">
        <f>Y1377</f>
        <v>197610</v>
      </c>
      <c r="T1377" s="1643"/>
      <c r="U1377" s="1645"/>
      <c r="V1377" s="1645"/>
      <c r="W1377" s="1645"/>
      <c r="X1377" s="1643"/>
      <c r="Y1377" s="1644">
        <f>ROUND($D1377*Q1377,0)</f>
        <v>197610</v>
      </c>
      <c r="AA1377" s="1903" t="s">
        <v>1741</v>
      </c>
      <c r="AB1377" s="1904">
        <f>Y1394+Y1456+Y1476</f>
        <v>147246153</v>
      </c>
      <c r="AI1377" s="2023">
        <f>W1377-'Blocking-Step2'!W1377</f>
        <v>0</v>
      </c>
      <c r="AJ1377" s="2054">
        <f>O1377-'Blocking-Step2'!O1377</f>
        <v>0</v>
      </c>
    </row>
    <row r="1378" spans="1:36">
      <c r="A1378" s="1900" t="s">
        <v>168</v>
      </c>
      <c r="C1378" s="528">
        <f t="shared" si="777"/>
        <v>4200189.0693277307</v>
      </c>
      <c r="D1378" s="528">
        <f t="shared" si="777"/>
        <v>4249794</v>
      </c>
      <c r="F1378" s="1901">
        <v>4.76</v>
      </c>
      <c r="G1378" s="1902"/>
      <c r="H1378" s="1644">
        <f>ROUND($F1378*C1378,0)</f>
        <v>19992900</v>
      </c>
      <c r="I1378" s="1644">
        <f>ROUND($F1378*D1378,0)</f>
        <v>20229019</v>
      </c>
      <c r="K1378" s="1901">
        <f>Q1378</f>
        <v>4.78</v>
      </c>
      <c r="L1378" s="1902"/>
      <c r="M1378" s="1901"/>
      <c r="N1378" s="1902"/>
      <c r="O1378" s="1901"/>
      <c r="P1378" s="1902"/>
      <c r="Q1378" s="1901">
        <f>ROUND(F1378*(1+$AB$1381),2)</f>
        <v>4.78</v>
      </c>
      <c r="R1378" s="1902"/>
      <c r="S1378" s="1643">
        <f>MIN(S1394-S1377-S1387,Y1378)</f>
        <v>20314015</v>
      </c>
      <c r="T1378" s="1643"/>
      <c r="U1378" s="1645"/>
      <c r="V1378" s="1645"/>
      <c r="W1378" s="1645"/>
      <c r="X1378" s="1643"/>
      <c r="Y1378" s="1644">
        <f t="shared" ref="Y1378:Y1380" si="779">ROUND($D1378*Q1378,0)</f>
        <v>20314015</v>
      </c>
      <c r="AA1378" s="1905" t="s">
        <v>1742</v>
      </c>
      <c r="AB1378" s="1906">
        <f>'Blocking-Step2'!AB1378*RateSpread!$Q$87</f>
        <v>147246152.90009663</v>
      </c>
      <c r="AI1378" s="2023">
        <f>W1378-'Blocking-Step2'!W1378</f>
        <v>0</v>
      </c>
      <c r="AJ1378" s="2054">
        <f>O1378-'Blocking-Step2'!O1378</f>
        <v>0</v>
      </c>
    </row>
    <row r="1379" spans="1:36">
      <c r="A1379" s="1900" t="s">
        <v>1651</v>
      </c>
      <c r="C1379" s="528">
        <f t="shared" si="777"/>
        <v>1425364.3681954143</v>
      </c>
      <c r="D1379" s="528">
        <f t="shared" si="777"/>
        <v>1442193</v>
      </c>
      <c r="F1379" s="1944"/>
      <c r="G1379" s="597"/>
      <c r="H1379" s="1644"/>
      <c r="I1379" s="1644"/>
      <c r="K1379" s="1944">
        <f>ROUND(S1379/$D1379,2)</f>
        <v>7.09</v>
      </c>
      <c r="L1379" s="597"/>
      <c r="M1379" s="1944">
        <f>Q1379-K1379</f>
        <v>8.5400000000000009</v>
      </c>
      <c r="N1379" s="597"/>
      <c r="O1379" s="1944"/>
      <c r="P1379" s="597"/>
      <c r="Q1379" s="1944">
        <f>ROUND(F1385*(1+$AB$1381),2)</f>
        <v>15.63</v>
      </c>
      <c r="R1379" s="597"/>
      <c r="S1379" s="1645">
        <f>MIN($S$1394-$S$1377-$S$1378-$S$1387,$Y$1379+$Y$1380)*$Y1379/SUM($Y$1379:$Y$1380)</f>
        <v>10228839.222438905</v>
      </c>
      <c r="T1379" s="1645"/>
      <c r="U1379" s="1644">
        <f t="shared" ref="U1379:U1380" si="780">ROUND($D1379*M1379,0)</f>
        <v>12316328</v>
      </c>
      <c r="V1379" s="1644"/>
      <c r="W1379" s="1644">
        <f t="shared" ref="W1379:W1380" si="781">ROUND($D1379*O1379,0)</f>
        <v>0</v>
      </c>
      <c r="X1379" s="1645"/>
      <c r="Y1379" s="1644">
        <f t="shared" si="779"/>
        <v>22541477</v>
      </c>
      <c r="AA1379" s="1908" t="s">
        <v>87</v>
      </c>
      <c r="AB1379" s="1909">
        <f>AB1378-AB1377</f>
        <v>-9.9903374910354614E-2</v>
      </c>
      <c r="AI1379" s="2023">
        <f>W1379-'Blocking-Step2'!W1379</f>
        <v>0</v>
      </c>
      <c r="AJ1379" s="2054">
        <f>O1379-'Blocking-Step2'!O1379</f>
        <v>0</v>
      </c>
    </row>
    <row r="1380" spans="1:36">
      <c r="A1380" s="1900" t="s">
        <v>1652</v>
      </c>
      <c r="C1380" s="528">
        <f t="shared" si="777"/>
        <v>2567346.9177186969</v>
      </c>
      <c r="D1380" s="528">
        <f t="shared" si="777"/>
        <v>2597774</v>
      </c>
      <c r="F1380" s="1944"/>
      <c r="G1380" s="597"/>
      <c r="H1380" s="1644"/>
      <c r="I1380" s="1644"/>
      <c r="K1380" s="1944">
        <f>ROUND(S1380/$D1380,2)</f>
        <v>6.28</v>
      </c>
      <c r="L1380" s="597"/>
      <c r="M1380" s="1944">
        <f>Q1380-K1380</f>
        <v>7.55</v>
      </c>
      <c r="N1380" s="597"/>
      <c r="O1380" s="1944"/>
      <c r="P1380" s="597"/>
      <c r="Q1380" s="1944">
        <f>ROUND(Q1379/$AB$1385,2)</f>
        <v>13.83</v>
      </c>
      <c r="R1380" s="597"/>
      <c r="S1380" s="1645">
        <f>MIN($S$1394-$S$1377-$S$1378-$S$1387,$Y$1379+$Y$1380)*$Y1380/SUM($Y$1379:$Y$1380)</f>
        <v>16302999.830763359</v>
      </c>
      <c r="T1380" s="1645"/>
      <c r="U1380" s="1644">
        <f t="shared" si="780"/>
        <v>19613194</v>
      </c>
      <c r="V1380" s="1644"/>
      <c r="W1380" s="1644">
        <f t="shared" si="781"/>
        <v>0</v>
      </c>
      <c r="X1380" s="1645"/>
      <c r="Y1380" s="1644">
        <f t="shared" si="779"/>
        <v>35927214</v>
      </c>
      <c r="AA1380" s="1903" t="s">
        <v>1743</v>
      </c>
      <c r="AB1380" s="1958">
        <f>AB1377/(I1394+I1456+I1476)-1</f>
        <v>4.7025368885111885E-3</v>
      </c>
      <c r="AI1380" s="2023">
        <f>W1380-'Blocking-Step2'!W1380</f>
        <v>0</v>
      </c>
      <c r="AJ1380" s="2054">
        <f>O1380-'Blocking-Step2'!O1380</f>
        <v>0</v>
      </c>
    </row>
    <row r="1381" spans="1:36">
      <c r="A1381" s="1900" t="s">
        <v>1532</v>
      </c>
      <c r="C1381" s="528">
        <f t="shared" si="777"/>
        <v>185154109.36040783</v>
      </c>
      <c r="D1381" s="528">
        <f t="shared" si="777"/>
        <v>186186148.05356526</v>
      </c>
      <c r="F1381" s="1943"/>
      <c r="G1381" s="1921"/>
      <c r="H1381" s="1644"/>
      <c r="I1381" s="1644"/>
      <c r="K1381" s="1923"/>
      <c r="L1381" s="1921"/>
      <c r="M1381" s="1923">
        <f>Q1381-O1381</f>
        <v>1.3503076530939992</v>
      </c>
      <c r="N1381" s="1921" t="s">
        <v>495</v>
      </c>
      <c r="O1381" s="1920">
        <f>'Blocking-Step2'!O1381</f>
        <v>4.4476704152740005</v>
      </c>
      <c r="P1381" s="1921" t="s">
        <v>495</v>
      </c>
      <c r="Q1381" s="1943">
        <f>ROUND((AB1378-SUM(Y1377:Y1380,Y1387,Y1439:Y1442,Y1449,Y1459:Y1462,Y1469))/(D1381+D1443+D1463+(D1383+D1445+D1465)*AB1384+1/AB1385*(D1382+D1444+D1464+(D1384+D1446+D1466)*AB1384))*100,$AB$8)</f>
        <v>5.7979780683679998</v>
      </c>
      <c r="R1381" s="1921" t="s">
        <v>495</v>
      </c>
      <c r="S1381" s="1648"/>
      <c r="T1381" s="1648"/>
      <c r="U1381" s="1644">
        <f>ROUND($D1381*M1381/100,0)</f>
        <v>2514086</v>
      </c>
      <c r="V1381" s="1644"/>
      <c r="W1381" s="1644">
        <f>ROUND($D1381*O1381/100,0)</f>
        <v>8280946</v>
      </c>
      <c r="X1381" s="1648"/>
      <c r="Y1381" s="1644">
        <f>ROUND($D1381*Q1381/100,0)</f>
        <v>10795032</v>
      </c>
      <c r="AA1381" s="1905" t="s">
        <v>1744</v>
      </c>
      <c r="AB1381" s="1953">
        <f>AB1378/(I1394+I1456+I1476)-1</f>
        <v>4.7025362068420229E-3</v>
      </c>
      <c r="AI1381" s="2023">
        <f>W1381-'Blocking-Step2'!W1381</f>
        <v>1926564.9457503567</v>
      </c>
      <c r="AJ1381" s="2054">
        <f>O1381-'Blocking-Step2'!O1381</f>
        <v>0</v>
      </c>
    </row>
    <row r="1382" spans="1:36">
      <c r="A1382" s="1900" t="s">
        <v>1653</v>
      </c>
      <c r="C1382" s="528">
        <f t="shared" si="777"/>
        <v>268735247.57796174</v>
      </c>
      <c r="D1382" s="528">
        <f t="shared" si="777"/>
        <v>270238556</v>
      </c>
      <c r="F1382" s="1943"/>
      <c r="G1382" s="1921"/>
      <c r="H1382" s="1644"/>
      <c r="I1382" s="1644"/>
      <c r="K1382" s="1923"/>
      <c r="L1382" s="1921"/>
      <c r="M1382" s="1923">
        <f t="shared" ref="M1382:M1384" si="782">Q1382-O1382</f>
        <v>1.3579342062780002</v>
      </c>
      <c r="N1382" s="1921" t="s">
        <v>495</v>
      </c>
      <c r="O1382" s="1920">
        <f>'Blocking-Step2'!O1382</f>
        <v>3.7730198365260001</v>
      </c>
      <c r="P1382" s="1921" t="s">
        <v>495</v>
      </c>
      <c r="Q1382" s="1943">
        <f>ROUND(Q1381/$AB$1385,$AB$8)</f>
        <v>5.1309540428040004</v>
      </c>
      <c r="R1382" s="1921" t="s">
        <v>495</v>
      </c>
      <c r="S1382" s="1648"/>
      <c r="T1382" s="1648"/>
      <c r="U1382" s="1644">
        <f t="shared" ref="U1382:U1383" si="783">ROUND($D1382*M1382/100,0)</f>
        <v>3669662</v>
      </c>
      <c r="V1382" s="1644"/>
      <c r="W1382" s="1644">
        <f t="shared" ref="W1382:W1384" si="784">ROUND($D1382*O1382/100,0)</f>
        <v>10196154</v>
      </c>
      <c r="X1382" s="1648"/>
      <c r="Y1382" s="1644">
        <f t="shared" ref="Y1382:Y1384" si="785">ROUND($D1382*Q1382/100,0)</f>
        <v>13865816</v>
      </c>
      <c r="AA1382" s="1905" t="s">
        <v>1751</v>
      </c>
      <c r="AB1382" s="1953">
        <f>(AB1378-Y1377-Y1439-Y1459)/SUM(I1378:I1390,I1440:I1452,I1460:I1472)-1</f>
        <v>-2.3268546025523529E-2</v>
      </c>
      <c r="AI1382" s="2023">
        <f>W1382-'Blocking-Step2'!W1382</f>
        <v>2034188.1625415999</v>
      </c>
      <c r="AJ1382" s="2054">
        <f>O1382-'Blocking-Step2'!O1382</f>
        <v>0</v>
      </c>
    </row>
    <row r="1383" spans="1:36">
      <c r="A1383" s="1900" t="s">
        <v>1533</v>
      </c>
      <c r="C1383" s="528">
        <f t="shared" si="777"/>
        <v>521811126.72784448</v>
      </c>
      <c r="D1383" s="528">
        <f t="shared" si="777"/>
        <v>524787623</v>
      </c>
      <c r="F1383" s="1943"/>
      <c r="G1383" s="1921"/>
      <c r="H1383" s="1644"/>
      <c r="I1383" s="1644"/>
      <c r="K1383" s="1923"/>
      <c r="L1383" s="1921"/>
      <c r="M1383" s="1923">
        <f t="shared" si="782"/>
        <v>1.3829047660919997</v>
      </c>
      <c r="N1383" s="1921" t="s">
        <v>495</v>
      </c>
      <c r="O1383" s="1920">
        <f>'Blocking-Step2'!O1383</f>
        <v>1.5641055047420001</v>
      </c>
      <c r="P1383" s="1921" t="s">
        <v>495</v>
      </c>
      <c r="Q1383" s="1943">
        <f>ROUND(Q1381*$AB$1384,$AB$8)</f>
        <v>2.9470102708339998</v>
      </c>
      <c r="R1383" s="1921" t="s">
        <v>495</v>
      </c>
      <c r="S1383" s="1648"/>
      <c r="T1383" s="1648"/>
      <c r="U1383" s="1644">
        <f t="shared" si="783"/>
        <v>7257313</v>
      </c>
      <c r="V1383" s="1644"/>
      <c r="W1383" s="1644">
        <f t="shared" si="784"/>
        <v>8208232</v>
      </c>
      <c r="X1383" s="1648"/>
      <c r="Y1383" s="1644">
        <f t="shared" si="785"/>
        <v>15465545</v>
      </c>
      <c r="AA1383" s="1915" t="s">
        <v>1678</v>
      </c>
      <c r="AB1383" s="1962">
        <f>(Y1377+Y1439+Y1459)/(I1377+I1439+I1459)-1</f>
        <v>0</v>
      </c>
      <c r="AI1383" s="2023">
        <f>W1383-'Blocking-Step2'!W1383</f>
        <v>-895397.45806612447</v>
      </c>
      <c r="AJ1383" s="2054">
        <f>O1383-'Blocking-Step2'!O1383</f>
        <v>0</v>
      </c>
    </row>
    <row r="1384" spans="1:36">
      <c r="A1384" s="1900" t="s">
        <v>2177</v>
      </c>
      <c r="C1384" s="528">
        <f t="shared" si="777"/>
        <v>970674891.32886767</v>
      </c>
      <c r="D1384" s="528">
        <f t="shared" si="777"/>
        <v>976265495</v>
      </c>
      <c r="F1384" s="1943"/>
      <c r="G1384" s="1921"/>
      <c r="H1384" s="1644"/>
      <c r="I1384" s="1644"/>
      <c r="K1384" s="1923"/>
      <c r="L1384" s="1921"/>
      <c r="M1384" s="1923">
        <f t="shared" si="782"/>
        <v>1.3867812089310003</v>
      </c>
      <c r="N1384" s="1921" t="s">
        <v>495</v>
      </c>
      <c r="O1384" s="1920">
        <f>'Blocking-Step2'!O1384</f>
        <v>1.2211924820729998</v>
      </c>
      <c r="P1384" s="1921" t="s">
        <v>495</v>
      </c>
      <c r="Q1384" s="1943">
        <f>ROUND(Q1383/$AB$1385,$AB$8)</f>
        <v>2.6079736910040001</v>
      </c>
      <c r="R1384" s="1921" t="s">
        <v>495</v>
      </c>
      <c r="S1384" s="1648"/>
      <c r="T1384" s="1656"/>
      <c r="U1384" s="1644">
        <f>ROUND($D1384*M1384/100,0)</f>
        <v>13538666</v>
      </c>
      <c r="V1384" s="1644"/>
      <c r="W1384" s="1644">
        <f t="shared" si="784"/>
        <v>11922081</v>
      </c>
      <c r="X1384" s="1648"/>
      <c r="Y1384" s="1644">
        <f t="shared" si="785"/>
        <v>25460747</v>
      </c>
      <c r="AA1384" s="1898" t="s">
        <v>2178</v>
      </c>
      <c r="AB1384" s="1955">
        <f>'Large Profile'!C11/'Large Profile'!C10</f>
        <v>0.50828241088242498</v>
      </c>
      <c r="AI1384" s="2023">
        <f>W1384-'Blocking-Step2'!W1384</f>
        <v>-3065118.071492333</v>
      </c>
      <c r="AJ1384" s="2054">
        <f>O1384-'Blocking-Step2'!O1384</f>
        <v>0</v>
      </c>
    </row>
    <row r="1385" spans="1:36">
      <c r="A1385" s="1900" t="s">
        <v>18</v>
      </c>
      <c r="C1385" s="528">
        <f t="shared" si="777"/>
        <v>1763929.8329048851</v>
      </c>
      <c r="D1385" s="528">
        <f t="shared" si="777"/>
        <v>1784756</v>
      </c>
      <c r="F1385" s="1901">
        <v>15.56</v>
      </c>
      <c r="G1385" s="1902"/>
      <c r="H1385" s="1644">
        <f t="shared" si="778"/>
        <v>27446748</v>
      </c>
      <c r="I1385" s="1644">
        <f t="shared" si="778"/>
        <v>27770803</v>
      </c>
      <c r="K1385" s="1901"/>
      <c r="L1385" s="1902"/>
      <c r="M1385" s="1901"/>
      <c r="N1385" s="1902"/>
      <c r="O1385" s="1901"/>
      <c r="P1385" s="1902"/>
      <c r="Q1385" s="1901"/>
      <c r="R1385" s="1902"/>
      <c r="S1385" s="1643"/>
      <c r="T1385" s="1643"/>
      <c r="U1385" s="1645"/>
      <c r="V1385" s="1645"/>
      <c r="W1385" s="1645"/>
      <c r="X1385" s="1643"/>
      <c r="Y1385" s="1644"/>
      <c r="AA1385" s="1898" t="s">
        <v>1756</v>
      </c>
      <c r="AB1385" s="1899">
        <v>1.1299999999999999</v>
      </c>
      <c r="AI1385" s="2023">
        <f>W1385-'Blocking-Step2'!W1385</f>
        <v>0</v>
      </c>
      <c r="AJ1385" s="2054">
        <f>O1385-'Blocking-Step2'!O1385</f>
        <v>0</v>
      </c>
    </row>
    <row r="1386" spans="1:36">
      <c r="A1386" s="1900" t="s">
        <v>166</v>
      </c>
      <c r="C1386" s="528">
        <f t="shared" si="777"/>
        <v>2327490.8087578244</v>
      </c>
      <c r="D1386" s="528">
        <f t="shared" si="777"/>
        <v>2355074</v>
      </c>
      <c r="F1386" s="1901">
        <v>11.19</v>
      </c>
      <c r="G1386" s="1902"/>
      <c r="H1386" s="1644">
        <f t="shared" si="778"/>
        <v>26044622</v>
      </c>
      <c r="I1386" s="1644">
        <f t="shared" si="778"/>
        <v>26353278</v>
      </c>
      <c r="K1386" s="1901"/>
      <c r="L1386" s="1902"/>
      <c r="M1386" s="1901"/>
      <c r="N1386" s="1902"/>
      <c r="O1386" s="1901"/>
      <c r="P1386" s="1902"/>
      <c r="Q1386" s="1901"/>
      <c r="R1386" s="1902"/>
      <c r="S1386" s="1643"/>
      <c r="T1386" s="1643"/>
      <c r="U1386" s="1645"/>
      <c r="V1386" s="1645"/>
      <c r="W1386" s="1645"/>
      <c r="X1386" s="1643"/>
      <c r="Y1386" s="1644"/>
      <c r="AA1386" s="1109" t="s">
        <v>1938</v>
      </c>
      <c r="AB1386" s="1917">
        <f>RateSpread!V34*1000</f>
        <v>-1872225.5748982576</v>
      </c>
      <c r="AC1386" s="1918">
        <f>ROUND(AB1386/SUM(Y1379:Y1384,Y1441:Y1446,Y1461:Y1466),4)</f>
        <v>-1.46E-2</v>
      </c>
      <c r="AI1386" s="2023">
        <f>W1386-'Blocking-Step2'!W1386</f>
        <v>0</v>
      </c>
      <c r="AJ1386" s="2054">
        <f>O1386-'Blocking-Step2'!O1386</f>
        <v>0</v>
      </c>
    </row>
    <row r="1387" spans="1:36">
      <c r="A1387" s="1900" t="s">
        <v>261</v>
      </c>
      <c r="C1387" s="528">
        <f t="shared" si="777"/>
        <v>1864418.008849557</v>
      </c>
      <c r="D1387" s="528">
        <f t="shared" si="777"/>
        <v>1886120</v>
      </c>
      <c r="F1387" s="1901">
        <v>-1.1299999999999999</v>
      </c>
      <c r="G1387" s="1902"/>
      <c r="H1387" s="1644">
        <f t="shared" si="778"/>
        <v>-2106792</v>
      </c>
      <c r="I1387" s="1644">
        <f t="shared" si="778"/>
        <v>-2131316</v>
      </c>
      <c r="K1387" s="1944">
        <f>Q1387</f>
        <v>-1.1299999999999999</v>
      </c>
      <c r="L1387" s="597"/>
      <c r="M1387" s="1944"/>
      <c r="N1387" s="597"/>
      <c r="O1387" s="1944"/>
      <c r="P1387" s="1902"/>
      <c r="Q1387" s="1901">
        <f>F1387</f>
        <v>-1.1299999999999999</v>
      </c>
      <c r="R1387" s="1902"/>
      <c r="S1387" s="1643">
        <f>Y1387</f>
        <v>-2131316</v>
      </c>
      <c r="T1387" s="1643"/>
      <c r="U1387" s="1644">
        <f t="shared" ref="U1387" si="786">ROUND($D1387*M1387,0)</f>
        <v>0</v>
      </c>
      <c r="V1387" s="1644"/>
      <c r="W1387" s="1644">
        <f t="shared" ref="W1387" si="787">ROUND($D1387*O1387,0)</f>
        <v>0</v>
      </c>
      <c r="X1387" s="1643"/>
      <c r="Y1387" s="1644">
        <f>ROUND($D1387*Q1387,0)</f>
        <v>-2131316</v>
      </c>
      <c r="AA1387" s="1109" t="s">
        <v>1939</v>
      </c>
      <c r="AB1387" s="1917">
        <v>0</v>
      </c>
      <c r="AC1387" s="1918">
        <f>ROUND(AB1387/SUM(Y1379:Y1384,Y1441:Y1446,Y1461:Y1466),4)</f>
        <v>0</v>
      </c>
      <c r="AI1387" s="2023">
        <f>W1387-'Blocking-Step2'!W1387</f>
        <v>0</v>
      </c>
      <c r="AJ1387" s="2054">
        <f>O1387-'Blocking-Step2'!O1387</f>
        <v>0</v>
      </c>
    </row>
    <row r="1388" spans="1:36">
      <c r="A1388" s="1900" t="s">
        <v>188</v>
      </c>
      <c r="C1388" s="528">
        <f t="shared" si="777"/>
        <v>232225090.33673632</v>
      </c>
      <c r="D1388" s="528">
        <f t="shared" si="777"/>
        <v>233519498.05356526</v>
      </c>
      <c r="F1388" s="1963">
        <v>5.0473999999999997</v>
      </c>
      <c r="G1388" s="1921" t="s">
        <v>495</v>
      </c>
      <c r="H1388" s="1644">
        <f t="shared" ref="H1388:I1390" si="788">ROUND($F1388*C1388/100,0)</f>
        <v>11721329</v>
      </c>
      <c r="I1388" s="1644">
        <f t="shared" si="788"/>
        <v>11786663</v>
      </c>
      <c r="K1388" s="1963"/>
      <c r="L1388" s="1921"/>
      <c r="M1388" s="1963"/>
      <c r="N1388" s="1921"/>
      <c r="O1388" s="1963"/>
      <c r="P1388" s="1921"/>
      <c r="Q1388" s="1963"/>
      <c r="R1388" s="1921"/>
      <c r="S1388" s="1648"/>
      <c r="T1388" s="1648"/>
      <c r="U1388" s="1648"/>
      <c r="V1388" s="1648"/>
      <c r="W1388" s="1648"/>
      <c r="X1388" s="1648"/>
      <c r="Y1388" s="1644"/>
      <c r="AA1388" s="1915"/>
      <c r="AB1388" s="1962"/>
      <c r="AI1388" s="2023">
        <f>W1388-'Blocking-Step2'!W1388</f>
        <v>0</v>
      </c>
      <c r="AJ1388" s="2054">
        <f>O1388-'Blocking-Step2'!O1388</f>
        <v>0</v>
      </c>
    </row>
    <row r="1389" spans="1:36">
      <c r="A1389" s="1900" t="s">
        <v>163</v>
      </c>
      <c r="C1389" s="528">
        <f t="shared" si="777"/>
        <v>544895526.36305022</v>
      </c>
      <c r="D1389" s="528">
        <f t="shared" si="777"/>
        <v>547943680</v>
      </c>
      <c r="F1389" s="1963">
        <v>3.9510999999999998</v>
      </c>
      <c r="G1389" s="1921" t="s">
        <v>495</v>
      </c>
      <c r="H1389" s="1644">
        <f t="shared" si="788"/>
        <v>21529367</v>
      </c>
      <c r="I1389" s="1644">
        <f t="shared" si="788"/>
        <v>21649803</v>
      </c>
      <c r="K1389" s="1963"/>
      <c r="L1389" s="1921"/>
      <c r="M1389" s="1963"/>
      <c r="N1389" s="1921"/>
      <c r="O1389" s="1963"/>
      <c r="P1389" s="1921"/>
      <c r="Q1389" s="1963"/>
      <c r="R1389" s="1921"/>
      <c r="S1389" s="1648"/>
      <c r="T1389" s="1648"/>
      <c r="U1389" s="1648"/>
      <c r="V1389" s="1648"/>
      <c r="W1389" s="1648"/>
      <c r="X1389" s="1648"/>
      <c r="Y1389" s="1644"/>
      <c r="AI1389" s="2023">
        <f>W1389-'Blocking-Step2'!W1389</f>
        <v>0</v>
      </c>
      <c r="AJ1389" s="2054">
        <f>O1389-'Blocking-Step2'!O1389</f>
        <v>0</v>
      </c>
    </row>
    <row r="1390" spans="1:36">
      <c r="A1390" s="1900" t="s">
        <v>249</v>
      </c>
      <c r="C1390" s="528">
        <f t="shared" si="777"/>
        <v>1169254758.2952952</v>
      </c>
      <c r="D1390" s="528">
        <f t="shared" si="777"/>
        <v>1176014644</v>
      </c>
      <c r="F1390" s="1963">
        <v>3.4001999999999999</v>
      </c>
      <c r="G1390" s="1921" t="s">
        <v>495</v>
      </c>
      <c r="H1390" s="1644">
        <f t="shared" si="788"/>
        <v>39757000</v>
      </c>
      <c r="I1390" s="1644">
        <f t="shared" si="788"/>
        <v>39986850</v>
      </c>
      <c r="K1390" s="1963"/>
      <c r="L1390" s="1921"/>
      <c r="M1390" s="1963"/>
      <c r="N1390" s="1921"/>
      <c r="O1390" s="1963"/>
      <c r="P1390" s="1921"/>
      <c r="Q1390" s="1963"/>
      <c r="R1390" s="1921"/>
      <c r="S1390" s="1648"/>
      <c r="T1390" s="1648"/>
      <c r="U1390" s="1648"/>
      <c r="V1390" s="1648"/>
      <c r="W1390" s="1648"/>
      <c r="X1390" s="1648"/>
      <c r="Y1390" s="1644"/>
      <c r="AA1390" s="1104" t="s">
        <v>1743</v>
      </c>
      <c r="AB1390" s="1890">
        <f>Y1394/I1394-1</f>
        <v>4.5803817416414372E-3</v>
      </c>
      <c r="AI1390" s="2023">
        <f>W1390-'Blocking-Step2'!W1390</f>
        <v>0</v>
      </c>
      <c r="AJ1390" s="2054">
        <f>O1390-'Blocking-Step2'!O1390</f>
        <v>0</v>
      </c>
    </row>
    <row r="1391" spans="1:36">
      <c r="A1391" s="1900" t="s">
        <v>246</v>
      </c>
      <c r="C1391" s="529">
        <f t="shared" si="777"/>
        <v>-11458760</v>
      </c>
      <c r="D1391" s="529">
        <f t="shared" si="777"/>
        <v>0</v>
      </c>
      <c r="H1391" s="1030">
        <f>H1413+H1433</f>
        <v>-736380</v>
      </c>
      <c r="I1391" s="1030">
        <f>I1413+I1433</f>
        <v>0</v>
      </c>
      <c r="U1391" s="1648"/>
      <c r="W1391" s="1648"/>
      <c r="Y1391" s="1030">
        <f>Y1413+Y1433</f>
        <v>0</v>
      </c>
      <c r="AI1391" s="2023">
        <f>W1391-'Blocking-Step2'!W1391</f>
        <v>0</v>
      </c>
      <c r="AJ1391" s="2054">
        <f>O1391-'Blocking-Step2'!O1391</f>
        <v>0</v>
      </c>
    </row>
    <row r="1392" spans="1:36">
      <c r="A1392" s="1900" t="s">
        <v>1240</v>
      </c>
      <c r="C1392" s="584"/>
      <c r="D1392" s="584"/>
      <c r="F1392" s="1930">
        <v>-3.1800000000000002E-2</v>
      </c>
      <c r="G1392" s="597"/>
      <c r="H1392" s="1644">
        <f>SUM(H1385:H1386,H1388:H1390)*$F1392</f>
        <v>-4022670.2988000005</v>
      </c>
      <c r="I1392" s="1644">
        <f>SUM(I1385:I1386,I1388:I1390)*$F1392</f>
        <v>-4056007.2246000003</v>
      </c>
      <c r="K1392" s="1930"/>
      <c r="L1392" s="597"/>
      <c r="M1392" s="1930"/>
      <c r="N1392" s="597"/>
      <c r="O1392" s="1931" t="str">
        <f>$O$43</f>
        <v>Tax Year 1 (1/1/2021)</v>
      </c>
      <c r="P1392" s="597"/>
      <c r="Q1392" s="1930">
        <f>AC1386</f>
        <v>-1.46E-2</v>
      </c>
      <c r="R1392" s="597"/>
      <c r="S1392" s="1645"/>
      <c r="T1392" s="1645"/>
      <c r="U1392" s="1645"/>
      <c r="V1392" s="1645"/>
      <c r="W1392" s="1645"/>
      <c r="X1392" s="1645"/>
      <c r="Y1392" s="1644">
        <f>Q1392*SUM(Y1379:Y1384)</f>
        <v>-1811215.1326000001</v>
      </c>
      <c r="AA1392" s="1932" t="s">
        <v>1940</v>
      </c>
      <c r="AB1392" s="1932"/>
      <c r="AC1392" s="1932"/>
      <c r="AD1392" s="1932"/>
      <c r="AI1392" s="2023">
        <f>W1392-'Blocking-Step2'!W1392</f>
        <v>0</v>
      </c>
      <c r="AJ1392" s="2054">
        <f>O1392-'Blocking-Step2'!O1392</f>
        <v>0</v>
      </c>
    </row>
    <row r="1393" spans="1:36">
      <c r="A1393" s="1900"/>
      <c r="C1393" s="584"/>
      <c r="D1393" s="584"/>
      <c r="F1393" s="1930"/>
      <c r="G1393" s="597"/>
      <c r="H1393" s="1644"/>
      <c r="I1393" s="1644"/>
      <c r="K1393" s="1930"/>
      <c r="L1393" s="597"/>
      <c r="M1393" s="1930"/>
      <c r="N1393" s="597"/>
      <c r="O1393" s="1931">
        <f>$O$44</f>
        <v>0</v>
      </c>
      <c r="P1393" s="597"/>
      <c r="Q1393" s="1930">
        <f>AC1387</f>
        <v>0</v>
      </c>
      <c r="R1393" s="597"/>
      <c r="S1393" s="1645"/>
      <c r="T1393" s="1645"/>
      <c r="U1393" s="1645"/>
      <c r="V1393" s="1645"/>
      <c r="W1393" s="1645"/>
      <c r="X1393" s="1645"/>
      <c r="Y1393" s="1644">
        <f>Q1393*SUM(Y1379:Y1384)</f>
        <v>0</v>
      </c>
      <c r="AA1393" s="1933" t="s">
        <v>1660</v>
      </c>
      <c r="AB1393" s="1933" t="s">
        <v>1661</v>
      </c>
      <c r="AC1393" s="1933" t="s">
        <v>1662</v>
      </c>
      <c r="AD1393" s="1933" t="s">
        <v>93</v>
      </c>
      <c r="AI1393" s="2023">
        <f>W1393-'Blocking-Step2'!W1393</f>
        <v>0</v>
      </c>
      <c r="AJ1393" s="2054">
        <f>O1393-'Blocking-Step2'!O1393</f>
        <v>0</v>
      </c>
    </row>
    <row r="1394" spans="1:36" ht="16.5" thickBot="1">
      <c r="A1394" s="1900" t="s">
        <v>247</v>
      </c>
      <c r="C1394" s="1949">
        <f>SUM(C1388:C1391)</f>
        <v>1934916614.9950819</v>
      </c>
      <c r="D1394" s="1949">
        <f>SUM(D1388:D1391)</f>
        <v>1957477822.0535653</v>
      </c>
      <c r="F1394" s="1939"/>
      <c r="H1394" s="1647">
        <f>SUM(H1377:H1392)</f>
        <v>139821528.70120001</v>
      </c>
      <c r="I1394" s="1647">
        <f>SUM(I1377:I1392)</f>
        <v>141786702.77540001</v>
      </c>
      <c r="K1394" s="1939"/>
      <c r="M1394" s="1939"/>
      <c r="O1394" s="1935"/>
      <c r="Q1394" s="1935"/>
      <c r="S1394" s="1154">
        <f>($Y1394-$W1394)*AA1394/(AA1394+AB1394)</f>
        <v>44912148.053202264</v>
      </c>
      <c r="T1394" s="1154"/>
      <c r="U1394" s="1154">
        <f>Y1394-S1394-W1394</f>
        <v>58916578.946797729</v>
      </c>
      <c r="V1394" s="1154"/>
      <c r="W1394" s="1154">
        <f>SUM(W1377:W1393)</f>
        <v>38607413</v>
      </c>
      <c r="Y1394" s="1646">
        <f>SUM(Y1377:Y1391)</f>
        <v>142436140</v>
      </c>
      <c r="Z1394" s="1936"/>
      <c r="AA1394" s="1937">
        <f>'Unit Cost Target'!$F$87+'Unit Cost Target'!$F$123+'Unit Cost Target'!$F$129+'Unit Cost Target'!$F$75+'Unit Cost Target'!$F$81</f>
        <v>44578067.846668616</v>
      </c>
      <c r="AB1394" s="1937">
        <f>'Unit Cost Target'!$F$45+'Unit Cost Target'!$F$51</f>
        <v>58478326.408988006</v>
      </c>
      <c r="AC1394" s="1937">
        <f>'Unit Cost Target'!$F$33+'Unit Cost Target'!$F$39+'Unit Cost Target'!$F$63+'Unit Cost Target'!$F$69</f>
        <v>41132879.428334646</v>
      </c>
      <c r="AD1394" s="1937">
        <f>SUM(AA1394:AC1394)</f>
        <v>144189273.68399128</v>
      </c>
      <c r="AE1394" s="1937">
        <f>AD1394-'Unit Cost Target'!$F$21</f>
        <v>0</v>
      </c>
      <c r="AI1394" s="2023">
        <f>W1394-'Blocking-Step2'!W1394</f>
        <v>237.57873350381851</v>
      </c>
      <c r="AJ1394" s="2054">
        <f>O1394-'Blocking-Step2'!O1394</f>
        <v>0</v>
      </c>
    </row>
    <row r="1395" spans="1:36" ht="16.5" hidden="1" thickTop="1">
      <c r="M1395" s="1964" t="s">
        <v>2309</v>
      </c>
      <c r="O1395" s="1869">
        <f>ROUND(SUM(W1381,W1383)/SUM(D1381,D1383)*100,4)</f>
        <v>2.3191999999999999</v>
      </c>
      <c r="P1395" s="1921" t="s">
        <v>495</v>
      </c>
      <c r="AA1395" s="1937">
        <f>S1394-SUM(S1377:S1393)</f>
        <v>0</v>
      </c>
      <c r="AB1395" s="1937">
        <f>U1394-SUM(U1377:U1393)</f>
        <v>7329.9467977285385</v>
      </c>
      <c r="AC1395" s="1937">
        <f>W1394-SUM(W1377:W1393)</f>
        <v>0</v>
      </c>
      <c r="AD1395" s="1937">
        <f>SUM(AA1395:AC1395)</f>
        <v>7329.9467977285385</v>
      </c>
      <c r="AE1395" s="1937"/>
      <c r="AI1395" s="2023">
        <f>W1395-'Blocking-Step2'!W1395</f>
        <v>0</v>
      </c>
      <c r="AJ1395" s="2054">
        <f>O1395-'Blocking-Step2'!O1395</f>
        <v>0.14500000000000002</v>
      </c>
    </row>
    <row r="1396" spans="1:36" hidden="1">
      <c r="M1396" s="1964" t="s">
        <v>2309</v>
      </c>
      <c r="O1396" s="1869">
        <f>ROUND(SUM(W1382,W1384)/SUM(D1382,D1384)*100,4)</f>
        <v>1.7744</v>
      </c>
      <c r="P1396" s="1921" t="s">
        <v>495</v>
      </c>
      <c r="AA1396" s="1937"/>
      <c r="AB1396" s="1937"/>
      <c r="AC1396" s="1937"/>
      <c r="AD1396" s="1937"/>
      <c r="AE1396" s="1937"/>
      <c r="AI1396" s="2023">
        <f>W1396-'Blocking-Step2'!W1396</f>
        <v>0</v>
      </c>
      <c r="AJ1396" s="2054">
        <f>O1396-'Blocking-Step2'!O1396</f>
        <v>-8.2699999999999996E-2</v>
      </c>
    </row>
    <row r="1397" spans="1:36" hidden="1">
      <c r="AA1397" s="1937"/>
      <c r="AB1397" s="1937"/>
      <c r="AC1397" s="1937"/>
      <c r="AD1397" s="1937"/>
      <c r="AE1397" s="1937"/>
      <c r="AI1397" s="2023">
        <f>W1397-'Blocking-Step2'!W1397</f>
        <v>0</v>
      </c>
      <c r="AJ1397" s="2054">
        <f>O1397-'Blocking-Step2'!O1397</f>
        <v>0</v>
      </c>
    </row>
    <row r="1398" spans="1:36" hidden="1">
      <c r="A1398" s="1897" t="s">
        <v>558</v>
      </c>
      <c r="AI1398" s="2023">
        <f>W1398-'Blocking-Step2'!W1398</f>
        <v>0</v>
      </c>
      <c r="AJ1398" s="2054">
        <f>O1398-'Blocking-Step2'!O1398</f>
        <v>0</v>
      </c>
    </row>
    <row r="1399" spans="1:36" hidden="1">
      <c r="A1399" s="1900" t="s">
        <v>240</v>
      </c>
      <c r="C1399" s="528">
        <f>'8'!G10</f>
        <v>1541.43314285714</v>
      </c>
      <c r="D1399" s="528">
        <f>Bill!P35</f>
        <v>1587</v>
      </c>
      <c r="F1399" s="1944">
        <v>70</v>
      </c>
      <c r="G1399" s="597"/>
      <c r="H1399" s="1644">
        <f t="shared" ref="H1399:I1409" si="789">ROUND($F1399*C1399,0)</f>
        <v>107900</v>
      </c>
      <c r="I1399" s="1644">
        <f t="shared" si="789"/>
        <v>111090</v>
      </c>
      <c r="K1399" s="1944">
        <f t="shared" ref="K1399:K1406" si="790">K1377</f>
        <v>70</v>
      </c>
      <c r="L1399" s="597"/>
      <c r="M1399" s="1944">
        <f t="shared" ref="M1399:M1406" si="791">M1377</f>
        <v>0</v>
      </c>
      <c r="N1399" s="597"/>
      <c r="O1399" s="1944">
        <f t="shared" ref="O1399:O1406" si="792">O1377</f>
        <v>0</v>
      </c>
      <c r="P1399" s="597"/>
      <c r="Q1399" s="1944">
        <f t="shared" ref="Q1399:Q1406" si="793">Q1377</f>
        <v>70</v>
      </c>
      <c r="R1399" s="597"/>
      <c r="S1399" s="1645">
        <f>Y1399</f>
        <v>111090</v>
      </c>
      <c r="T1399" s="1645"/>
      <c r="U1399" s="1645"/>
      <c r="V1399" s="1645"/>
      <c r="W1399" s="1645"/>
      <c r="X1399" s="1645"/>
      <c r="Y1399" s="1644">
        <f>ROUND($D1399*Q1399,0)</f>
        <v>111090</v>
      </c>
      <c r="Z1399" s="1878" t="s">
        <v>251</v>
      </c>
      <c r="AI1399" s="2023">
        <f>W1399-'Blocking-Step2'!W1399</f>
        <v>0</v>
      </c>
      <c r="AJ1399" s="2054">
        <f>O1399-'Blocking-Step2'!O1399</f>
        <v>0</v>
      </c>
    </row>
    <row r="1400" spans="1:36" hidden="1">
      <c r="A1400" s="1900" t="s">
        <v>168</v>
      </c>
      <c r="C1400" s="528">
        <f>'8'!H10</f>
        <v>1960629.3991596601</v>
      </c>
      <c r="D1400" s="528">
        <f>ROUND(C1400/C1416*D1416,0)</f>
        <v>1975309</v>
      </c>
      <c r="F1400" s="1944">
        <v>4.76</v>
      </c>
      <c r="G1400" s="597"/>
      <c r="H1400" s="1644">
        <f>ROUND($F1400*C1400,0)</f>
        <v>9332596</v>
      </c>
      <c r="I1400" s="1644">
        <f>ROUND($F1400*D1400,0)</f>
        <v>9402471</v>
      </c>
      <c r="K1400" s="1944">
        <f t="shared" si="790"/>
        <v>4.78</v>
      </c>
      <c r="L1400" s="597"/>
      <c r="M1400" s="1944">
        <f t="shared" si="791"/>
        <v>0</v>
      </c>
      <c r="N1400" s="597"/>
      <c r="O1400" s="1944">
        <f t="shared" si="792"/>
        <v>0</v>
      </c>
      <c r="P1400" s="597"/>
      <c r="Q1400" s="1944">
        <f t="shared" si="793"/>
        <v>4.78</v>
      </c>
      <c r="R1400" s="597"/>
      <c r="S1400" s="1645">
        <f>Y1400</f>
        <v>9441977</v>
      </c>
      <c r="T1400" s="1645"/>
      <c r="U1400" s="1645"/>
      <c r="V1400" s="1645"/>
      <c r="W1400" s="1645"/>
      <c r="X1400" s="1645"/>
      <c r="Y1400" s="1644">
        <f t="shared" ref="Y1400:Y1402" si="794">ROUND($D1400*Q1400,0)</f>
        <v>9441977</v>
      </c>
      <c r="AI1400" s="2023">
        <f>W1400-'Blocking-Step2'!W1400</f>
        <v>0</v>
      </c>
      <c r="AJ1400" s="2054">
        <f>O1400-'Blocking-Step2'!O1400</f>
        <v>0</v>
      </c>
    </row>
    <row r="1401" spans="1:36" hidden="1">
      <c r="A1401" s="1900" t="s">
        <v>1651</v>
      </c>
      <c r="C1401" s="528">
        <f>C1407*Z1401</f>
        <v>665999.77967805869</v>
      </c>
      <c r="D1401" s="528">
        <f>ROUND(C1401/C1416*D1416,0)</f>
        <v>670986</v>
      </c>
      <c r="F1401" s="1944"/>
      <c r="G1401" s="597"/>
      <c r="H1401" s="1644"/>
      <c r="I1401" s="1644"/>
      <c r="K1401" s="1944">
        <f t="shared" si="790"/>
        <v>7.09</v>
      </c>
      <c r="L1401" s="597"/>
      <c r="M1401" s="1944">
        <f t="shared" si="791"/>
        <v>8.5400000000000009</v>
      </c>
      <c r="N1401" s="597"/>
      <c r="O1401" s="1944">
        <f t="shared" si="792"/>
        <v>0</v>
      </c>
      <c r="P1401" s="597"/>
      <c r="Q1401" s="1944">
        <f t="shared" si="793"/>
        <v>15.63</v>
      </c>
      <c r="R1401" s="597"/>
      <c r="S1401" s="1644">
        <f t="shared" ref="S1401:S1402" si="795">ROUND($D1401*K1401,0)</f>
        <v>4757291</v>
      </c>
      <c r="T1401" s="1644"/>
      <c r="U1401" s="1644">
        <f t="shared" ref="U1401:U1402" si="796">ROUND($D1401*M1401,0)</f>
        <v>5730220</v>
      </c>
      <c r="V1401" s="1644"/>
      <c r="W1401" s="1644">
        <f t="shared" ref="W1401:W1402" si="797">ROUND($D1401*O1401,0)</f>
        <v>0</v>
      </c>
      <c r="X1401" s="1645"/>
      <c r="Y1401" s="1644">
        <f t="shared" si="794"/>
        <v>10487511</v>
      </c>
      <c r="Z1401" s="1878">
        <f>'Large Profile'!L9</f>
        <v>0.8080618296749863</v>
      </c>
      <c r="AI1401" s="2023">
        <f>W1401-'Blocking-Step2'!W1401</f>
        <v>0</v>
      </c>
      <c r="AJ1401" s="2054">
        <f>O1401-'Blocking-Step2'!O1401</f>
        <v>0</v>
      </c>
    </row>
    <row r="1402" spans="1:36" hidden="1">
      <c r="A1402" s="1900" t="s">
        <v>1652</v>
      </c>
      <c r="C1402" s="528">
        <f>C1408*Z1402</f>
        <v>1185414.0959307961</v>
      </c>
      <c r="D1402" s="528">
        <f>ROUND(C1402/C1416*D1416,0)</f>
        <v>1194290</v>
      </c>
      <c r="F1402" s="1944"/>
      <c r="G1402" s="597"/>
      <c r="H1402" s="1644"/>
      <c r="I1402" s="1644"/>
      <c r="K1402" s="1944">
        <f t="shared" si="790"/>
        <v>6.28</v>
      </c>
      <c r="L1402" s="597"/>
      <c r="M1402" s="1944">
        <f t="shared" si="791"/>
        <v>7.55</v>
      </c>
      <c r="N1402" s="597"/>
      <c r="O1402" s="1944">
        <f t="shared" si="792"/>
        <v>0</v>
      </c>
      <c r="P1402" s="597"/>
      <c r="Q1402" s="1944">
        <f t="shared" si="793"/>
        <v>13.83</v>
      </c>
      <c r="R1402" s="597"/>
      <c r="S1402" s="1644">
        <f t="shared" si="795"/>
        <v>7500141</v>
      </c>
      <c r="T1402" s="1644"/>
      <c r="U1402" s="1644">
        <f t="shared" si="796"/>
        <v>9016890</v>
      </c>
      <c r="V1402" s="1644"/>
      <c r="W1402" s="1644">
        <f t="shared" si="797"/>
        <v>0</v>
      </c>
      <c r="X1402" s="1645"/>
      <c r="Y1402" s="1644">
        <f t="shared" si="794"/>
        <v>16517031</v>
      </c>
      <c r="Z1402" s="1878">
        <f>'Large Profile'!P9</f>
        <v>1.1030535149949241</v>
      </c>
      <c r="AI1402" s="2023">
        <f>W1402-'Blocking-Step2'!W1402</f>
        <v>0</v>
      </c>
      <c r="AJ1402" s="2054">
        <f>O1402-'Blocking-Step2'!O1402</f>
        <v>0</v>
      </c>
    </row>
    <row r="1403" spans="1:36" hidden="1">
      <c r="A1403" s="1900" t="s">
        <v>1532</v>
      </c>
      <c r="C1403" s="528">
        <f>C1410*Z1403</f>
        <v>87099065.8190483</v>
      </c>
      <c r="D1403" s="528">
        <f>D1416-SUM(D1404:D1406,D1413)</f>
        <v>88216247.274568319</v>
      </c>
      <c r="F1403" s="1943"/>
      <c r="G1403" s="1921"/>
      <c r="H1403" s="1644"/>
      <c r="I1403" s="1644"/>
      <c r="K1403" s="1943">
        <f t="shared" si="790"/>
        <v>0</v>
      </c>
      <c r="L1403" s="1921" t="s">
        <v>495</v>
      </c>
      <c r="M1403" s="1943">
        <f t="shared" si="791"/>
        <v>1.3503076530939992</v>
      </c>
      <c r="N1403" s="1921" t="s">
        <v>495</v>
      </c>
      <c r="O1403" s="1943">
        <f t="shared" si="792"/>
        <v>4.4476704152740005</v>
      </c>
      <c r="P1403" s="1921" t="s">
        <v>495</v>
      </c>
      <c r="Q1403" s="1943">
        <f t="shared" si="793"/>
        <v>5.7979780683679998</v>
      </c>
      <c r="R1403" s="1921" t="s">
        <v>495</v>
      </c>
      <c r="S1403" s="1644">
        <f>ROUND($D1403*K1403/100,0)</f>
        <v>0</v>
      </c>
      <c r="T1403" s="1644"/>
      <c r="U1403" s="1644">
        <f>ROUND($D1403*M1403/100,0)</f>
        <v>1191191</v>
      </c>
      <c r="V1403" s="1644"/>
      <c r="W1403" s="1644">
        <f>ROUND($D1403*O1403/100,0)</f>
        <v>3923568</v>
      </c>
      <c r="X1403" s="1648"/>
      <c r="Y1403" s="1644">
        <f>ROUND($D1403*Q1403/100,0)</f>
        <v>5114759</v>
      </c>
      <c r="Z1403" s="1878">
        <f>'Large Profile'!M9</f>
        <v>0.79730449923359459</v>
      </c>
      <c r="AI1403" s="2023">
        <f>W1403-'Blocking-Step2'!W1403</f>
        <v>0</v>
      </c>
      <c r="AJ1403" s="2054">
        <f>O1403-'Blocking-Step2'!O1403</f>
        <v>0</v>
      </c>
    </row>
    <row r="1404" spans="1:36" hidden="1">
      <c r="A1404" s="1900" t="s">
        <v>1653</v>
      </c>
      <c r="C1404" s="528">
        <f>C1411*Z1404</f>
        <v>126810760.2110763</v>
      </c>
      <c r="D1404" s="528">
        <f>ROUND(C1404/(C1416-C1413)*D1416,0)</f>
        <v>128437305</v>
      </c>
      <c r="F1404" s="1943"/>
      <c r="G1404" s="1921"/>
      <c r="H1404" s="1644"/>
      <c r="I1404" s="1644"/>
      <c r="K1404" s="1943">
        <f t="shared" si="790"/>
        <v>0</v>
      </c>
      <c r="L1404" s="1921" t="s">
        <v>495</v>
      </c>
      <c r="M1404" s="1943">
        <f t="shared" si="791"/>
        <v>1.3579342062780002</v>
      </c>
      <c r="N1404" s="1921" t="s">
        <v>495</v>
      </c>
      <c r="O1404" s="1943">
        <f t="shared" si="792"/>
        <v>3.7730198365260001</v>
      </c>
      <c r="P1404" s="1921" t="s">
        <v>495</v>
      </c>
      <c r="Q1404" s="1943">
        <f t="shared" si="793"/>
        <v>5.1309540428040004</v>
      </c>
      <c r="R1404" s="1921" t="s">
        <v>495</v>
      </c>
      <c r="S1404" s="1644">
        <f t="shared" ref="S1404:W1406" si="798">ROUND($D1404*K1404/100,0)</f>
        <v>0</v>
      </c>
      <c r="T1404" s="1644"/>
      <c r="U1404" s="1644">
        <f t="shared" si="798"/>
        <v>1744094</v>
      </c>
      <c r="V1404" s="1644"/>
      <c r="W1404" s="1644">
        <f t="shared" si="798"/>
        <v>4845965</v>
      </c>
      <c r="X1404" s="1648"/>
      <c r="Y1404" s="1644">
        <f t="shared" ref="Y1404:Y1406" si="799">ROUND($D1404*Q1404/100,0)</f>
        <v>6590059</v>
      </c>
      <c r="Z1404" s="1878">
        <f>'Large Profile'!Q9</f>
        <v>0.49318673869770435</v>
      </c>
      <c r="AI1404" s="2023">
        <f>W1404-'Blocking-Step2'!W1404</f>
        <v>0</v>
      </c>
      <c r="AJ1404" s="2054">
        <f>O1404-'Blocking-Step2'!O1404</f>
        <v>0</v>
      </c>
    </row>
    <row r="1405" spans="1:36" hidden="1">
      <c r="A1405" s="1900" t="s">
        <v>1533</v>
      </c>
      <c r="C1405" s="528">
        <f>SUM(C1410:C1412)*Z1405</f>
        <v>250429218.18203184</v>
      </c>
      <c r="D1405" s="528">
        <f>ROUND(C1405/(C1416-C1413)*D1416,0)</f>
        <v>253641362</v>
      </c>
      <c r="F1405" s="1943"/>
      <c r="G1405" s="1921"/>
      <c r="H1405" s="1644"/>
      <c r="I1405" s="1644"/>
      <c r="K1405" s="1943">
        <f t="shared" si="790"/>
        <v>0</v>
      </c>
      <c r="L1405" s="1921" t="s">
        <v>495</v>
      </c>
      <c r="M1405" s="1943">
        <f t="shared" si="791"/>
        <v>1.3829047660919997</v>
      </c>
      <c r="N1405" s="1921" t="s">
        <v>495</v>
      </c>
      <c r="O1405" s="1943">
        <f t="shared" si="792"/>
        <v>1.5641055047420001</v>
      </c>
      <c r="P1405" s="1921" t="s">
        <v>495</v>
      </c>
      <c r="Q1405" s="1943">
        <f t="shared" si="793"/>
        <v>2.9470102708339998</v>
      </c>
      <c r="R1405" s="1921" t="s">
        <v>495</v>
      </c>
      <c r="S1405" s="1644">
        <f t="shared" si="798"/>
        <v>0</v>
      </c>
      <c r="T1405" s="1644"/>
      <c r="U1405" s="1644">
        <f t="shared" si="798"/>
        <v>3507618</v>
      </c>
      <c r="V1405" s="1644"/>
      <c r="W1405" s="1644">
        <f t="shared" si="798"/>
        <v>3967219</v>
      </c>
      <c r="X1405" s="1648"/>
      <c r="Y1405" s="1644">
        <f t="shared" si="799"/>
        <v>7474837</v>
      </c>
      <c r="Z1405" s="1878">
        <f>'Large Profile'!O6/'Large Profile'!C6</f>
        <v>0.26809377750638824</v>
      </c>
      <c r="AI1405" s="2023">
        <f>W1405-'Blocking-Step2'!W1405</f>
        <v>0</v>
      </c>
      <c r="AJ1405" s="2054">
        <f>O1405-'Blocking-Step2'!O1405</f>
        <v>0</v>
      </c>
    </row>
    <row r="1406" spans="1:36" hidden="1">
      <c r="A1406" s="1900" t="s">
        <v>2177</v>
      </c>
      <c r="C1406" s="528">
        <f>SUM(C1410:C1412)-SUM(C1403:C1405)</f>
        <v>469771476.78292525</v>
      </c>
      <c r="D1406" s="528">
        <f>ROUND(C1406/(C1416-C1413)*D1416,0)</f>
        <v>475797027</v>
      </c>
      <c r="F1406" s="1943"/>
      <c r="G1406" s="1921"/>
      <c r="H1406" s="1644"/>
      <c r="I1406" s="1644"/>
      <c r="K1406" s="1943">
        <f t="shared" si="790"/>
        <v>0</v>
      </c>
      <c r="L1406" s="1921" t="s">
        <v>495</v>
      </c>
      <c r="M1406" s="1943">
        <f t="shared" si="791"/>
        <v>1.3867812089310003</v>
      </c>
      <c r="N1406" s="1921" t="s">
        <v>495</v>
      </c>
      <c r="O1406" s="1943">
        <f t="shared" si="792"/>
        <v>1.2211924820729998</v>
      </c>
      <c r="P1406" s="1921" t="s">
        <v>495</v>
      </c>
      <c r="Q1406" s="1943">
        <f t="shared" si="793"/>
        <v>2.6079736910040001</v>
      </c>
      <c r="R1406" s="1921" t="s">
        <v>495</v>
      </c>
      <c r="S1406" s="1644">
        <f t="shared" si="798"/>
        <v>0</v>
      </c>
      <c r="T1406" s="1644"/>
      <c r="U1406" s="1644">
        <f t="shared" si="798"/>
        <v>6598264</v>
      </c>
      <c r="V1406" s="1644"/>
      <c r="W1406" s="1644">
        <f t="shared" si="798"/>
        <v>5810398</v>
      </c>
      <c r="X1406" s="1648"/>
      <c r="Y1406" s="1644">
        <f t="shared" si="799"/>
        <v>12408661</v>
      </c>
      <c r="Z1406" s="1878">
        <f>D1406/D1416</f>
        <v>0.50290781079797553</v>
      </c>
      <c r="AI1406" s="2023">
        <f>W1406-'Blocking-Step2'!W1406</f>
        <v>0</v>
      </c>
      <c r="AJ1406" s="2054">
        <f>O1406-'Blocking-Step2'!O1406</f>
        <v>0</v>
      </c>
    </row>
    <row r="1407" spans="1:36" hidden="1">
      <c r="A1407" s="1900" t="s">
        <v>18</v>
      </c>
      <c r="C1407" s="528">
        <f>'8'!J10</f>
        <v>824194.08419023221</v>
      </c>
      <c r="D1407" s="528">
        <f>ROUND(C1407/C1416*D1416,0)</f>
        <v>830365</v>
      </c>
      <c r="F1407" s="1944">
        <v>15.56</v>
      </c>
      <c r="G1407" s="597"/>
      <c r="H1407" s="1644">
        <f t="shared" si="789"/>
        <v>12824460</v>
      </c>
      <c r="I1407" s="1644">
        <f t="shared" si="789"/>
        <v>12920479</v>
      </c>
      <c r="K1407" s="1944"/>
      <c r="L1407" s="597"/>
      <c r="M1407" s="1944"/>
      <c r="N1407" s="597"/>
      <c r="O1407" s="1944"/>
      <c r="P1407" s="597"/>
      <c r="Q1407" s="1944"/>
      <c r="R1407" s="597"/>
      <c r="S1407" s="1645"/>
      <c r="T1407" s="1645"/>
      <c r="U1407" s="1645"/>
      <c r="V1407" s="1645"/>
      <c r="W1407" s="1645"/>
      <c r="X1407" s="1645"/>
      <c r="Y1407" s="1644"/>
      <c r="AI1407" s="2023">
        <f>W1407-'Blocking-Step2'!W1407</f>
        <v>0</v>
      </c>
      <c r="AJ1407" s="2054">
        <f>O1407-'Blocking-Step2'!O1407</f>
        <v>0</v>
      </c>
    </row>
    <row r="1408" spans="1:36" hidden="1">
      <c r="A1408" s="1900" t="s">
        <v>166</v>
      </c>
      <c r="C1408" s="528">
        <f>'8'!K10</f>
        <v>1074665.9883824866</v>
      </c>
      <c r="D1408" s="528">
        <f>ROUND(C1408/C1416*D1416,0)</f>
        <v>1082712</v>
      </c>
      <c r="F1408" s="1944">
        <v>11.19</v>
      </c>
      <c r="G1408" s="597"/>
      <c r="H1408" s="1644">
        <f t="shared" si="789"/>
        <v>12025512</v>
      </c>
      <c r="I1408" s="1644">
        <f t="shared" si="789"/>
        <v>12115547</v>
      </c>
      <c r="K1408" s="1944"/>
      <c r="L1408" s="597"/>
      <c r="M1408" s="1944"/>
      <c r="N1408" s="597"/>
      <c r="O1408" s="1944"/>
      <c r="P1408" s="597"/>
      <c r="Q1408" s="1944"/>
      <c r="R1408" s="597"/>
      <c r="S1408" s="1645"/>
      <c r="T1408" s="1645"/>
      <c r="U1408" s="1645"/>
      <c r="V1408" s="1645"/>
      <c r="W1408" s="1645"/>
      <c r="X1408" s="1645"/>
      <c r="Y1408" s="1644"/>
      <c r="AI1408" s="2023">
        <f>W1408-'Blocking-Step2'!W1408</f>
        <v>0</v>
      </c>
      <c r="AJ1408" s="2054">
        <f>O1408-'Blocking-Step2'!O1408</f>
        <v>0</v>
      </c>
    </row>
    <row r="1409" spans="1:36" hidden="1">
      <c r="A1409" s="1900" t="s">
        <v>261</v>
      </c>
      <c r="C1409" s="528">
        <f>'8'!L10</f>
        <v>909425.07079646003</v>
      </c>
      <c r="D1409" s="528">
        <f>ROUND(C1409/C1416*D1416,0)</f>
        <v>916234</v>
      </c>
      <c r="F1409" s="1944">
        <v>-1.1299999999999999</v>
      </c>
      <c r="G1409" s="597"/>
      <c r="H1409" s="1644">
        <f t="shared" si="789"/>
        <v>-1027650</v>
      </c>
      <c r="I1409" s="1644">
        <f t="shared" si="789"/>
        <v>-1035344</v>
      </c>
      <c r="K1409" s="1944">
        <f>K1387</f>
        <v>-1.1299999999999999</v>
      </c>
      <c r="L1409" s="597"/>
      <c r="M1409" s="1944">
        <f>M1387</f>
        <v>0</v>
      </c>
      <c r="N1409" s="597"/>
      <c r="O1409" s="1944">
        <f>O1387</f>
        <v>0</v>
      </c>
      <c r="P1409" s="597"/>
      <c r="Q1409" s="1944">
        <f>Q1387</f>
        <v>-1.1299999999999999</v>
      </c>
      <c r="R1409" s="597"/>
      <c r="S1409" s="1644">
        <f t="shared" ref="S1409" si="800">ROUND($D1409*K1409,0)</f>
        <v>-1035344</v>
      </c>
      <c r="T1409" s="1644"/>
      <c r="U1409" s="1644">
        <f t="shared" ref="U1409" si="801">ROUND($D1409*M1409,0)</f>
        <v>0</v>
      </c>
      <c r="V1409" s="1644"/>
      <c r="W1409" s="1644">
        <f t="shared" ref="W1409" si="802">ROUND($D1409*O1409,0)</f>
        <v>0</v>
      </c>
      <c r="X1409" s="1645"/>
      <c r="Y1409" s="1644">
        <f>ROUND($D1409*Q1409,0)</f>
        <v>-1035344</v>
      </c>
      <c r="AI1409" s="2023">
        <f>W1409-'Blocking-Step2'!W1409</f>
        <v>0</v>
      </c>
      <c r="AJ1409" s="2054">
        <f>O1409-'Blocking-Step2'!O1409</f>
        <v>0</v>
      </c>
    </row>
    <row r="1410" spans="1:36" hidden="1">
      <c r="A1410" s="1900" t="s">
        <v>188</v>
      </c>
      <c r="C1410" s="528">
        <f>'8'!N10+TempRev!C344-TempRev!M344-TempRev!W344</f>
        <v>109241909.33673634</v>
      </c>
      <c r="D1410" s="528">
        <f>D1416-SUM(D1411:D1413)</f>
        <v>110643106.27456832</v>
      </c>
      <c r="F1410" s="1943">
        <v>5.0473999999999997</v>
      </c>
      <c r="G1410" s="1921" t="s">
        <v>495</v>
      </c>
      <c r="H1410" s="1644">
        <f t="shared" ref="H1410:I1412" si="803">ROUND($F1410*C1410/100,0)</f>
        <v>5513876</v>
      </c>
      <c r="I1410" s="1644">
        <f t="shared" si="803"/>
        <v>5584600</v>
      </c>
      <c r="K1410" s="1943"/>
      <c r="L1410" s="1921"/>
      <c r="M1410" s="1943"/>
      <c r="N1410" s="1921"/>
      <c r="O1410" s="1943"/>
      <c r="P1410" s="1921"/>
      <c r="Q1410" s="1943"/>
      <c r="R1410" s="1921"/>
      <c r="S1410" s="1648"/>
      <c r="T1410" s="1648"/>
      <c r="U1410" s="1648"/>
      <c r="V1410" s="1648"/>
      <c r="W1410" s="1648"/>
      <c r="X1410" s="1648"/>
      <c r="Y1410" s="1644"/>
      <c r="AI1410" s="2023">
        <f>W1410-'Blocking-Step2'!W1410</f>
        <v>0</v>
      </c>
      <c r="AJ1410" s="2054">
        <f>O1410-'Blocking-Step2'!O1410</f>
        <v>0</v>
      </c>
    </row>
    <row r="1411" spans="1:36" hidden="1">
      <c r="A1411" s="1900" t="s">
        <v>163</v>
      </c>
      <c r="C1411" s="528">
        <f>'8'!O10+TempRev!C345-TempRev!M345-TempRev!W345</f>
        <v>257125243.36305025</v>
      </c>
      <c r="D1411" s="528">
        <f>ROUND(C1411/(C1416-C1413)*D1416,0)</f>
        <v>260423275</v>
      </c>
      <c r="F1411" s="1943">
        <v>3.9510999999999998</v>
      </c>
      <c r="G1411" s="1921" t="s">
        <v>495</v>
      </c>
      <c r="H1411" s="1644">
        <f t="shared" si="803"/>
        <v>10159275</v>
      </c>
      <c r="I1411" s="1644">
        <f t="shared" si="803"/>
        <v>10289584</v>
      </c>
      <c r="K1411" s="1943"/>
      <c r="L1411" s="1921"/>
      <c r="M1411" s="1943"/>
      <c r="N1411" s="1921"/>
      <c r="O1411" s="1943"/>
      <c r="P1411" s="1921"/>
      <c r="Q1411" s="1943"/>
      <c r="R1411" s="1921"/>
      <c r="S1411" s="1648"/>
      <c r="T1411" s="1648"/>
      <c r="U1411" s="1648"/>
      <c r="V1411" s="1648"/>
      <c r="W1411" s="1648"/>
      <c r="X1411" s="1648"/>
      <c r="Y1411" s="1644"/>
      <c r="AI1411" s="2023">
        <f>W1411-'Blocking-Step2'!W1411</f>
        <v>0</v>
      </c>
      <c r="AJ1411" s="2054">
        <f>O1411-'Blocking-Step2'!O1411</f>
        <v>0</v>
      </c>
    </row>
    <row r="1412" spans="1:36" hidden="1">
      <c r="A1412" s="1900" t="s">
        <v>249</v>
      </c>
      <c r="C1412" s="528">
        <f>'8'!P10+TempRev!C346-TempRev!M346-TempRev!W346</f>
        <v>567743368.29529512</v>
      </c>
      <c r="D1412" s="528">
        <f>ROUND(C1412/(C1416-C1413)*D1416,0)</f>
        <v>575025560</v>
      </c>
      <c r="F1412" s="1943">
        <v>3.4001999999999999</v>
      </c>
      <c r="G1412" s="1921" t="s">
        <v>495</v>
      </c>
      <c r="H1412" s="1644">
        <f t="shared" si="803"/>
        <v>19304410</v>
      </c>
      <c r="I1412" s="1644">
        <f t="shared" si="803"/>
        <v>19552019</v>
      </c>
      <c r="K1412" s="1943"/>
      <c r="L1412" s="1921"/>
      <c r="M1412" s="1943"/>
      <c r="N1412" s="1921"/>
      <c r="O1412" s="1943"/>
      <c r="P1412" s="1921"/>
      <c r="Q1412" s="1943"/>
      <c r="R1412" s="1921"/>
      <c r="S1412" s="1648"/>
      <c r="T1412" s="1648"/>
      <c r="U1412" s="1648"/>
      <c r="V1412" s="1648"/>
      <c r="W1412" s="1648"/>
      <c r="X1412" s="1648"/>
      <c r="Y1412" s="1644"/>
      <c r="AI1412" s="2023">
        <f>W1412-'Blocking-Step2'!W1412</f>
        <v>0</v>
      </c>
      <c r="AJ1412" s="2054">
        <f>O1412-'Blocking-Step2'!O1412</f>
        <v>0</v>
      </c>
    </row>
    <row r="1413" spans="1:36" hidden="1">
      <c r="A1413" s="1900" t="s">
        <v>246</v>
      </c>
      <c r="C1413" s="529">
        <f>'Table 2'!J53</f>
        <v>4950427</v>
      </c>
      <c r="D1413" s="529">
        <v>0</v>
      </c>
      <c r="H1413" s="1030">
        <f>'Table 3'!F53</f>
        <v>391601</v>
      </c>
      <c r="I1413" s="1030">
        <v>0</v>
      </c>
      <c r="Y1413" s="1030">
        <v>0</v>
      </c>
      <c r="AI1413" s="2023">
        <f>W1413-'Blocking-Step2'!W1413</f>
        <v>0</v>
      </c>
      <c r="AJ1413" s="2054">
        <f>O1413-'Blocking-Step2'!O1413</f>
        <v>0</v>
      </c>
    </row>
    <row r="1414" spans="1:36" hidden="1">
      <c r="A1414" s="1900" t="s">
        <v>1240</v>
      </c>
      <c r="C1414" s="584"/>
      <c r="D1414" s="584"/>
      <c r="F1414" s="1930">
        <v>-3.1800000000000002E-2</v>
      </c>
      <c r="G1414" s="597"/>
      <c r="H1414" s="1644">
        <f>SUM(H1407:H1408,H1410:H1412)*$F1414</f>
        <v>-1902515.5494000001</v>
      </c>
      <c r="I1414" s="1644">
        <f>SUM(I1407:I1408,I1410:I1412)*$F1414</f>
        <v>-1922698.8822000001</v>
      </c>
      <c r="K1414" s="1930"/>
      <c r="L1414" s="597"/>
      <c r="M1414" s="1930"/>
      <c r="N1414" s="597"/>
      <c r="O1414" s="1931" t="str">
        <f>$O$43</f>
        <v>Tax Year 1 (1/1/2021)</v>
      </c>
      <c r="P1414" s="597"/>
      <c r="Q1414" s="1930">
        <f>$Q$1392</f>
        <v>-1.46E-2</v>
      </c>
      <c r="R1414" s="597"/>
      <c r="S1414" s="1645"/>
      <c r="T1414" s="1645"/>
      <c r="U1414" s="1645"/>
      <c r="V1414" s="1645"/>
      <c r="W1414" s="1645"/>
      <c r="X1414" s="1645"/>
      <c r="Y1414" s="1644">
        <f>Q1414*SUM(Y1401:Y1406)</f>
        <v>-855455.72680000006</v>
      </c>
      <c r="AI1414" s="2023">
        <f>W1414-'Blocking-Step2'!W1414</f>
        <v>0</v>
      </c>
      <c r="AJ1414" s="2054">
        <f>O1414-'Blocking-Step2'!O1414</f>
        <v>0</v>
      </c>
    </row>
    <row r="1415" spans="1:36" hidden="1">
      <c r="A1415" s="1900"/>
      <c r="C1415" s="584"/>
      <c r="D1415" s="584"/>
      <c r="F1415" s="1930"/>
      <c r="G1415" s="597"/>
      <c r="H1415" s="1644"/>
      <c r="I1415" s="1644"/>
      <c r="K1415" s="1930"/>
      <c r="L1415" s="597"/>
      <c r="M1415" s="1930"/>
      <c r="N1415" s="597"/>
      <c r="O1415" s="1931">
        <f>$O$44</f>
        <v>0</v>
      </c>
      <c r="P1415" s="597"/>
      <c r="Q1415" s="1930">
        <f>$Q$1393</f>
        <v>0</v>
      </c>
      <c r="R1415" s="597"/>
      <c r="S1415" s="1645"/>
      <c r="T1415" s="1645"/>
      <c r="U1415" s="1645"/>
      <c r="V1415" s="1645"/>
      <c r="W1415" s="1645"/>
      <c r="X1415" s="1645"/>
      <c r="Y1415" s="1644">
        <f>Q1415*SUM(Y1401:Y1406)</f>
        <v>0</v>
      </c>
      <c r="AI1415" s="2023">
        <f>W1415-'Blocking-Step2'!W1415</f>
        <v>0</v>
      </c>
      <c r="AJ1415" s="2054">
        <f>O1415-'Blocking-Step2'!O1415</f>
        <v>0</v>
      </c>
    </row>
    <row r="1416" spans="1:36" ht="16.5" hidden="1" thickBot="1">
      <c r="A1416" s="1900" t="s">
        <v>247</v>
      </c>
      <c r="C1416" s="1949">
        <f>SUM(C1410:C1413)</f>
        <v>939060947.99508166</v>
      </c>
      <c r="D1416" s="1949">
        <f>Energy!P35</f>
        <v>946091941.27456832</v>
      </c>
      <c r="F1416" s="1939"/>
      <c r="H1416" s="1647">
        <f>SUM(H1399:H1414)</f>
        <v>66729464.450599998</v>
      </c>
      <c r="I1416" s="1647">
        <f>SUM(I1399:I1414)</f>
        <v>67017747.117799997</v>
      </c>
      <c r="K1416" s="1939"/>
      <c r="M1416" s="1939"/>
      <c r="O1416" s="1939"/>
      <c r="Q1416" s="1939"/>
      <c r="S1416" s="1647">
        <f>SUM(S1399:S1413)</f>
        <v>20775155</v>
      </c>
      <c r="U1416" s="1647">
        <f>SUM(U1399:U1413)</f>
        <v>27788277</v>
      </c>
      <c r="W1416" s="1647">
        <f>SUM(W1399:W1413)</f>
        <v>18547150</v>
      </c>
      <c r="Y1416" s="1647">
        <f>SUM(Y1399:Y1413)</f>
        <v>67110581</v>
      </c>
      <c r="AA1416" s="1104" t="s">
        <v>1743</v>
      </c>
      <c r="AB1416" s="1890">
        <f>Y1416/I1416-1</f>
        <v>1.3852134127521065E-3</v>
      </c>
      <c r="AI1416" s="2023">
        <f>W1416-'Blocking-Step2'!W1416</f>
        <v>0</v>
      </c>
      <c r="AJ1416" s="2054">
        <f>O1416-'Blocking-Step2'!O1416</f>
        <v>0</v>
      </c>
    </row>
    <row r="1417" spans="1:36" ht="16.5" hidden="1" thickTop="1">
      <c r="AI1417" s="2023">
        <f>W1417-'Blocking-Step2'!W1417</f>
        <v>0</v>
      </c>
      <c r="AJ1417" s="2054">
        <f>O1417-'Blocking-Step2'!O1417</f>
        <v>0</v>
      </c>
    </row>
    <row r="1418" spans="1:36" hidden="1">
      <c r="A1418" s="1897" t="s">
        <v>559</v>
      </c>
      <c r="AI1418" s="2023">
        <f>W1418-'Blocking-Step2'!W1418</f>
        <v>0</v>
      </c>
      <c r="AJ1418" s="2054">
        <f>O1418-'Blocking-Step2'!O1418</f>
        <v>0</v>
      </c>
    </row>
    <row r="1419" spans="1:36" hidden="1">
      <c r="A1419" s="1900" t="s">
        <v>240</v>
      </c>
      <c r="C1419" s="528">
        <f>'8'!G11</f>
        <v>1250.0664285714299</v>
      </c>
      <c r="D1419" s="528">
        <f>Bill!P60</f>
        <v>1236</v>
      </c>
      <c r="F1419" s="1944">
        <v>70</v>
      </c>
      <c r="G1419" s="597"/>
      <c r="H1419" s="1644">
        <f t="shared" ref="H1419:I1429" si="804">ROUND($F1419*C1419,0)</f>
        <v>87505</v>
      </c>
      <c r="I1419" s="1644">
        <f t="shared" si="804"/>
        <v>86520</v>
      </c>
      <c r="K1419" s="1944">
        <f t="shared" ref="K1419:K1426" si="805">K1377</f>
        <v>70</v>
      </c>
      <c r="L1419" s="597"/>
      <c r="M1419" s="1944">
        <f t="shared" ref="M1419:M1426" si="806">M1377</f>
        <v>0</v>
      </c>
      <c r="N1419" s="597"/>
      <c r="O1419" s="1944">
        <f t="shared" ref="O1419:O1426" si="807">O1377</f>
        <v>0</v>
      </c>
      <c r="P1419" s="597"/>
      <c r="Q1419" s="1944">
        <f t="shared" ref="Q1419:Q1426" si="808">Q1377</f>
        <v>70</v>
      </c>
      <c r="R1419" s="597"/>
      <c r="S1419" s="1645">
        <f>Y1419</f>
        <v>86520</v>
      </c>
      <c r="T1419" s="1645"/>
      <c r="U1419" s="1645"/>
      <c r="V1419" s="1645"/>
      <c r="W1419" s="1645"/>
      <c r="X1419" s="1645"/>
      <c r="Y1419" s="1644">
        <f>ROUND($D1419*Q1419,0)</f>
        <v>86520</v>
      </c>
      <c r="Z1419" s="1878" t="s">
        <v>251</v>
      </c>
      <c r="AI1419" s="2023">
        <f>W1419-'Blocking-Step2'!W1419</f>
        <v>0</v>
      </c>
      <c r="AJ1419" s="2054">
        <f>O1419-'Blocking-Step2'!O1419</f>
        <v>0</v>
      </c>
    </row>
    <row r="1420" spans="1:36" hidden="1">
      <c r="A1420" s="1900" t="s">
        <v>168</v>
      </c>
      <c r="C1420" s="528">
        <f>'8'!H11</f>
        <v>2239559.6701680701</v>
      </c>
      <c r="D1420" s="528">
        <f>ROUND(C1420/C1436*D1436,0)</f>
        <v>2274485</v>
      </c>
      <c r="F1420" s="1944">
        <v>4.76</v>
      </c>
      <c r="G1420" s="597"/>
      <c r="H1420" s="1644">
        <f>ROUND($F1420*C1420,0)</f>
        <v>10660304</v>
      </c>
      <c r="I1420" s="1644">
        <f>ROUND($F1420*D1420,0)</f>
        <v>10826549</v>
      </c>
      <c r="K1420" s="1944">
        <f t="shared" si="805"/>
        <v>4.78</v>
      </c>
      <c r="L1420" s="597"/>
      <c r="M1420" s="1944">
        <f t="shared" si="806"/>
        <v>0</v>
      </c>
      <c r="N1420" s="597"/>
      <c r="O1420" s="1944">
        <f t="shared" si="807"/>
        <v>0</v>
      </c>
      <c r="P1420" s="597"/>
      <c r="Q1420" s="1944">
        <f t="shared" si="808"/>
        <v>4.78</v>
      </c>
      <c r="R1420" s="597"/>
      <c r="S1420" s="1645">
        <f>Y1420</f>
        <v>10872038</v>
      </c>
      <c r="T1420" s="1645"/>
      <c r="U1420" s="1645"/>
      <c r="V1420" s="1645"/>
      <c r="W1420" s="1645"/>
      <c r="X1420" s="1645"/>
      <c r="Y1420" s="1644">
        <f t="shared" ref="Y1420:Y1422" si="809">ROUND($D1420*Q1420,0)</f>
        <v>10872038</v>
      </c>
      <c r="AI1420" s="2023">
        <f>W1420-'Blocking-Step2'!W1420</f>
        <v>0</v>
      </c>
      <c r="AJ1420" s="2054">
        <f>O1420-'Blocking-Step2'!O1420</f>
        <v>0</v>
      </c>
    </row>
    <row r="1421" spans="1:36" hidden="1">
      <c r="A1421" s="1900" t="s">
        <v>1651</v>
      </c>
      <c r="C1421" s="528">
        <f>C1427*Z1421</f>
        <v>759364.58851735562</v>
      </c>
      <c r="D1421" s="528">
        <f>ROUND(C1421/C1436*D1436,0)</f>
        <v>771207</v>
      </c>
      <c r="F1421" s="1944"/>
      <c r="G1421" s="597"/>
      <c r="H1421" s="1644"/>
      <c r="I1421" s="1644"/>
      <c r="K1421" s="1944">
        <f t="shared" si="805"/>
        <v>7.09</v>
      </c>
      <c r="L1421" s="597"/>
      <c r="M1421" s="1944">
        <f t="shared" si="806"/>
        <v>8.5400000000000009</v>
      </c>
      <c r="N1421" s="597"/>
      <c r="O1421" s="1944">
        <f t="shared" si="807"/>
        <v>0</v>
      </c>
      <c r="P1421" s="597"/>
      <c r="Q1421" s="1944">
        <f t="shared" si="808"/>
        <v>15.63</v>
      </c>
      <c r="R1421" s="597"/>
      <c r="S1421" s="1644">
        <f t="shared" ref="S1421:S1422" si="810">ROUND($D1421*K1421,0)</f>
        <v>5467858</v>
      </c>
      <c r="T1421" s="1644"/>
      <c r="U1421" s="1644">
        <f t="shared" ref="U1421:U1422" si="811">ROUND($D1421*M1421,0)</f>
        <v>6586108</v>
      </c>
      <c r="V1421" s="1644"/>
      <c r="W1421" s="1644">
        <f t="shared" ref="W1421:W1422" si="812">ROUND($D1421*O1421,0)</f>
        <v>0</v>
      </c>
      <c r="X1421" s="1645"/>
      <c r="Y1421" s="1644">
        <f t="shared" si="809"/>
        <v>12053965</v>
      </c>
      <c r="Z1421" s="1878">
        <f>Z1401</f>
        <v>0.8080618296749863</v>
      </c>
      <c r="AI1421" s="2023">
        <f>W1421-'Blocking-Step2'!W1421</f>
        <v>0</v>
      </c>
      <c r="AJ1421" s="2054">
        <f>O1421-'Blocking-Step2'!O1421</f>
        <v>0</v>
      </c>
    </row>
    <row r="1422" spans="1:36" hidden="1">
      <c r="A1422" s="1900" t="s">
        <v>1652</v>
      </c>
      <c r="C1422" s="528">
        <f>C1428*Z1422</f>
        <v>1381932.8217879008</v>
      </c>
      <c r="D1422" s="528">
        <f>ROUND(C1422/C1436*D1436,0)</f>
        <v>1403484</v>
      </c>
      <c r="F1422" s="1944"/>
      <c r="G1422" s="597"/>
      <c r="H1422" s="1644"/>
      <c r="I1422" s="1644"/>
      <c r="K1422" s="1944">
        <f t="shared" si="805"/>
        <v>6.28</v>
      </c>
      <c r="L1422" s="597"/>
      <c r="M1422" s="1944">
        <f t="shared" si="806"/>
        <v>7.55</v>
      </c>
      <c r="N1422" s="597"/>
      <c r="O1422" s="1944">
        <f t="shared" si="807"/>
        <v>0</v>
      </c>
      <c r="P1422" s="597"/>
      <c r="Q1422" s="1944">
        <f t="shared" si="808"/>
        <v>13.83</v>
      </c>
      <c r="R1422" s="597"/>
      <c r="S1422" s="1644">
        <f t="shared" si="810"/>
        <v>8813880</v>
      </c>
      <c r="T1422" s="1644"/>
      <c r="U1422" s="1644">
        <f t="shared" si="811"/>
        <v>10596304</v>
      </c>
      <c r="V1422" s="1644"/>
      <c r="W1422" s="1644">
        <f t="shared" si="812"/>
        <v>0</v>
      </c>
      <c r="X1422" s="1645"/>
      <c r="Y1422" s="1644">
        <f t="shared" si="809"/>
        <v>19410184</v>
      </c>
      <c r="Z1422" s="1878">
        <f>Z1402</f>
        <v>1.1030535149949241</v>
      </c>
      <c r="AI1422" s="2023">
        <f>W1422-'Blocking-Step2'!W1422</f>
        <v>0</v>
      </c>
      <c r="AJ1422" s="2054">
        <f>O1422-'Blocking-Step2'!O1422</f>
        <v>0</v>
      </c>
    </row>
    <row r="1423" spans="1:36" hidden="1">
      <c r="A1423" s="1900" t="s">
        <v>1532</v>
      </c>
      <c r="C1423" s="528">
        <f>C1430*Z1423</f>
        <v>98055043.541359529</v>
      </c>
      <c r="D1423" s="528">
        <f>D1436-SUM(D1424:D1426,D1433)</f>
        <v>97969900.778996944</v>
      </c>
      <c r="F1423" s="1943"/>
      <c r="G1423" s="1921"/>
      <c r="H1423" s="1644"/>
      <c r="I1423" s="1644"/>
      <c r="K1423" s="1943">
        <f t="shared" si="805"/>
        <v>0</v>
      </c>
      <c r="L1423" s="1921" t="s">
        <v>495</v>
      </c>
      <c r="M1423" s="1943">
        <f t="shared" si="806"/>
        <v>1.3503076530939992</v>
      </c>
      <c r="N1423" s="1921" t="s">
        <v>495</v>
      </c>
      <c r="O1423" s="1943">
        <f t="shared" si="807"/>
        <v>4.4476704152740005</v>
      </c>
      <c r="P1423" s="1921" t="s">
        <v>495</v>
      </c>
      <c r="Q1423" s="1943">
        <f t="shared" si="808"/>
        <v>5.7979780683679998</v>
      </c>
      <c r="R1423" s="1921" t="s">
        <v>495</v>
      </c>
      <c r="S1423" s="1644">
        <f>ROUND($D1423*K1423/100,0)</f>
        <v>0</v>
      </c>
      <c r="T1423" s="1644"/>
      <c r="U1423" s="1644">
        <f>ROUND($D1423*M1423/100,0)</f>
        <v>1322895</v>
      </c>
      <c r="V1423" s="1644"/>
      <c r="W1423" s="1644">
        <f>ROUND($D1423*O1423/100,0)</f>
        <v>4357378</v>
      </c>
      <c r="X1423" s="1648"/>
      <c r="Y1423" s="1644">
        <f>ROUND($D1423*Q1423/100,0)</f>
        <v>5680273</v>
      </c>
      <c r="Z1423" s="1878">
        <f>Z1403</f>
        <v>0.79730449923359459</v>
      </c>
      <c r="AI1423" s="2023">
        <f>W1423-'Blocking-Step2'!W1423</f>
        <v>0</v>
      </c>
      <c r="AJ1423" s="2054">
        <f>O1423-'Blocking-Step2'!O1423</f>
        <v>0</v>
      </c>
    </row>
    <row r="1424" spans="1:36" hidden="1">
      <c r="A1424" s="1900" t="s">
        <v>1653</v>
      </c>
      <c r="C1424" s="528">
        <f>C1431*Z1424</f>
        <v>141924487.36688542</v>
      </c>
      <c r="D1424" s="528">
        <f>ROUND(C1424/(C1436-C1433)*D1436,0)</f>
        <v>141801251</v>
      </c>
      <c r="F1424" s="1943"/>
      <c r="G1424" s="1921"/>
      <c r="H1424" s="1644"/>
      <c r="I1424" s="1644"/>
      <c r="K1424" s="1943">
        <f t="shared" si="805"/>
        <v>0</v>
      </c>
      <c r="L1424" s="1921" t="s">
        <v>495</v>
      </c>
      <c r="M1424" s="1943">
        <f t="shared" si="806"/>
        <v>1.3579342062780002</v>
      </c>
      <c r="N1424" s="1921" t="s">
        <v>495</v>
      </c>
      <c r="O1424" s="1943">
        <f t="shared" si="807"/>
        <v>3.7730198365260001</v>
      </c>
      <c r="P1424" s="1921" t="s">
        <v>495</v>
      </c>
      <c r="Q1424" s="1943">
        <f t="shared" si="808"/>
        <v>5.1309540428040004</v>
      </c>
      <c r="R1424" s="1921" t="s">
        <v>495</v>
      </c>
      <c r="S1424" s="1644">
        <f t="shared" ref="S1424:S1426" si="813">ROUND($D1424*K1424/100,0)</f>
        <v>0</v>
      </c>
      <c r="T1424" s="1644"/>
      <c r="U1424" s="1644">
        <f t="shared" ref="U1424:U1426" si="814">ROUND($D1424*M1424/100,0)</f>
        <v>1925568</v>
      </c>
      <c r="V1424" s="1644"/>
      <c r="W1424" s="1644">
        <f t="shared" ref="W1424:W1426" si="815">ROUND($D1424*O1424/100,0)</f>
        <v>5350189</v>
      </c>
      <c r="X1424" s="1648"/>
      <c r="Y1424" s="1644">
        <f t="shared" ref="Y1424:Y1426" si="816">ROUND($D1424*Q1424/100,0)</f>
        <v>7275757</v>
      </c>
      <c r="Z1424" s="1878">
        <f>Z1404</f>
        <v>0.49318673869770435</v>
      </c>
      <c r="AI1424" s="2023">
        <f>W1424-'Blocking-Step2'!W1424</f>
        <v>0</v>
      </c>
      <c r="AJ1424" s="2054">
        <f>O1424-'Blocking-Step2'!O1424</f>
        <v>0</v>
      </c>
    </row>
    <row r="1425" spans="1:36" hidden="1">
      <c r="A1425" s="1900" t="s">
        <v>1533</v>
      </c>
      <c r="C1425" s="528">
        <f>SUM(C1430:C1432)*Z1425</f>
        <v>271381908.54581261</v>
      </c>
      <c r="D1425" s="528">
        <f>ROUND(C1425/(C1436-C1433)*D1436,0)</f>
        <v>271146261</v>
      </c>
      <c r="F1425" s="1943"/>
      <c r="G1425" s="1921"/>
      <c r="H1425" s="1644"/>
      <c r="I1425" s="1644"/>
      <c r="K1425" s="1943">
        <f t="shared" si="805"/>
        <v>0</v>
      </c>
      <c r="L1425" s="1921" t="s">
        <v>495</v>
      </c>
      <c r="M1425" s="1943">
        <f t="shared" si="806"/>
        <v>1.3829047660919997</v>
      </c>
      <c r="N1425" s="1921" t="s">
        <v>495</v>
      </c>
      <c r="O1425" s="1943">
        <f t="shared" si="807"/>
        <v>1.5641055047420001</v>
      </c>
      <c r="P1425" s="1921" t="s">
        <v>495</v>
      </c>
      <c r="Q1425" s="1943">
        <f t="shared" si="808"/>
        <v>2.9470102708339998</v>
      </c>
      <c r="R1425" s="1921" t="s">
        <v>495</v>
      </c>
      <c r="S1425" s="1644">
        <f t="shared" si="813"/>
        <v>0</v>
      </c>
      <c r="T1425" s="1644"/>
      <c r="U1425" s="1644">
        <f t="shared" si="814"/>
        <v>3749695</v>
      </c>
      <c r="V1425" s="1644"/>
      <c r="W1425" s="1644">
        <f t="shared" si="815"/>
        <v>4241014</v>
      </c>
      <c r="X1425" s="1648"/>
      <c r="Y1425" s="1644">
        <f t="shared" si="816"/>
        <v>7990708</v>
      </c>
      <c r="Z1425" s="1878">
        <f>Z1405</f>
        <v>0.26809377750638824</v>
      </c>
      <c r="AI1425" s="2023">
        <f>W1425-'Blocking-Step2'!W1425</f>
        <v>0</v>
      </c>
      <c r="AJ1425" s="2054">
        <f>O1425-'Blocking-Step2'!O1425</f>
        <v>0</v>
      </c>
    </row>
    <row r="1426" spans="1:36" hidden="1">
      <c r="A1426" s="1900" t="s">
        <v>2177</v>
      </c>
      <c r="C1426" s="528">
        <f>SUM(C1430:C1432)-SUM(C1423:C1425)</f>
        <v>500903414.54594243</v>
      </c>
      <c r="D1426" s="528">
        <f>ROUND(C1426/(C1436-C1433)*D1436,0)</f>
        <v>500468468</v>
      </c>
      <c r="F1426" s="1943"/>
      <c r="G1426" s="1921"/>
      <c r="H1426" s="1644"/>
      <c r="I1426" s="1644"/>
      <c r="K1426" s="1943">
        <f t="shared" si="805"/>
        <v>0</v>
      </c>
      <c r="L1426" s="1921" t="s">
        <v>495</v>
      </c>
      <c r="M1426" s="1943">
        <f t="shared" si="806"/>
        <v>1.3867812089310003</v>
      </c>
      <c r="N1426" s="1921" t="s">
        <v>495</v>
      </c>
      <c r="O1426" s="1943">
        <f t="shared" si="807"/>
        <v>1.2211924820729998</v>
      </c>
      <c r="P1426" s="1921" t="s">
        <v>495</v>
      </c>
      <c r="Q1426" s="1943">
        <f t="shared" si="808"/>
        <v>2.6079736910040001</v>
      </c>
      <c r="R1426" s="1921" t="s">
        <v>495</v>
      </c>
      <c r="S1426" s="1644">
        <f t="shared" si="813"/>
        <v>0</v>
      </c>
      <c r="T1426" s="1644"/>
      <c r="U1426" s="1644">
        <f t="shared" si="814"/>
        <v>6940403</v>
      </c>
      <c r="V1426" s="1644"/>
      <c r="W1426" s="1644">
        <f t="shared" si="815"/>
        <v>6111683</v>
      </c>
      <c r="X1426" s="1648"/>
      <c r="Y1426" s="1644">
        <f t="shared" si="816"/>
        <v>13052086</v>
      </c>
      <c r="Z1426" s="1878">
        <f>D1426/D1436</f>
        <v>0.49483434316338842</v>
      </c>
      <c r="AI1426" s="2023">
        <f>W1426-'Blocking-Step2'!W1426</f>
        <v>0</v>
      </c>
      <c r="AJ1426" s="2054">
        <f>O1426-'Blocking-Step2'!O1426</f>
        <v>0</v>
      </c>
    </row>
    <row r="1427" spans="1:36" hidden="1">
      <c r="A1427" s="1900" t="s">
        <v>18</v>
      </c>
      <c r="C1427" s="528">
        <f>'8'!J11</f>
        <v>939735.74871465296</v>
      </c>
      <c r="D1427" s="528">
        <f>ROUND(C1427/C1436*D1436,0)</f>
        <v>954391</v>
      </c>
      <c r="F1427" s="1944">
        <v>15.56</v>
      </c>
      <c r="G1427" s="597"/>
      <c r="H1427" s="1644">
        <f t="shared" si="804"/>
        <v>14622288</v>
      </c>
      <c r="I1427" s="1644">
        <f t="shared" si="804"/>
        <v>14850324</v>
      </c>
      <c r="K1427" s="1944"/>
      <c r="L1427" s="597"/>
      <c r="M1427" s="1944"/>
      <c r="N1427" s="597"/>
      <c r="O1427" s="1944"/>
      <c r="P1427" s="597"/>
      <c r="Q1427" s="1944"/>
      <c r="R1427" s="597"/>
      <c r="S1427" s="1645"/>
      <c r="T1427" s="1645"/>
      <c r="U1427" s="1645"/>
      <c r="V1427" s="1645"/>
      <c r="W1427" s="1645"/>
      <c r="X1427" s="1645"/>
      <c r="Y1427" s="1644"/>
      <c r="AI1427" s="2023">
        <f>W1427-'Blocking-Step2'!W1427</f>
        <v>0</v>
      </c>
      <c r="AJ1427" s="2054">
        <f>O1427-'Blocking-Step2'!O1427</f>
        <v>0</v>
      </c>
    </row>
    <row r="1428" spans="1:36" hidden="1">
      <c r="A1428" s="1900" t="s">
        <v>166</v>
      </c>
      <c r="C1428" s="528">
        <f>'8'!K11</f>
        <v>1252824.8203753377</v>
      </c>
      <c r="D1428" s="528">
        <f>ROUND(C1428/C1436*D1436,0)</f>
        <v>1272362</v>
      </c>
      <c r="F1428" s="1944">
        <v>11.19</v>
      </c>
      <c r="G1428" s="597"/>
      <c r="H1428" s="1644">
        <f t="shared" si="804"/>
        <v>14019110</v>
      </c>
      <c r="I1428" s="1644">
        <f t="shared" si="804"/>
        <v>14237731</v>
      </c>
      <c r="K1428" s="1944"/>
      <c r="L1428" s="597"/>
      <c r="M1428" s="1944"/>
      <c r="N1428" s="597"/>
      <c r="O1428" s="1944"/>
      <c r="P1428" s="597"/>
      <c r="Q1428" s="1944"/>
      <c r="R1428" s="597"/>
      <c r="S1428" s="1645"/>
      <c r="T1428" s="1645"/>
      <c r="U1428" s="1645"/>
      <c r="V1428" s="1645"/>
      <c r="W1428" s="1645"/>
      <c r="X1428" s="1645"/>
      <c r="Y1428" s="1644"/>
      <c r="AI1428" s="2023">
        <f>W1428-'Blocking-Step2'!W1428</f>
        <v>0</v>
      </c>
      <c r="AJ1428" s="2054">
        <f>O1428-'Blocking-Step2'!O1428</f>
        <v>0</v>
      </c>
    </row>
    <row r="1429" spans="1:36" hidden="1">
      <c r="A1429" s="1900" t="s">
        <v>261</v>
      </c>
      <c r="C1429" s="528">
        <f>'8'!L11</f>
        <v>954992.93805309699</v>
      </c>
      <c r="D1429" s="528">
        <f>ROUND(C1429/C1436*D1436,0)</f>
        <v>969886</v>
      </c>
      <c r="F1429" s="1944">
        <v>-1.1299999999999999</v>
      </c>
      <c r="G1429" s="597"/>
      <c r="H1429" s="1644">
        <f t="shared" si="804"/>
        <v>-1079142</v>
      </c>
      <c r="I1429" s="1644">
        <f t="shared" si="804"/>
        <v>-1095971</v>
      </c>
      <c r="K1429" s="1944">
        <f>K1387</f>
        <v>-1.1299999999999999</v>
      </c>
      <c r="L1429" s="597"/>
      <c r="M1429" s="1944">
        <f>M1387</f>
        <v>0</v>
      </c>
      <c r="N1429" s="597"/>
      <c r="O1429" s="1944">
        <f>O1387</f>
        <v>0</v>
      </c>
      <c r="P1429" s="597"/>
      <c r="Q1429" s="1944">
        <f>Q1387</f>
        <v>-1.1299999999999999</v>
      </c>
      <c r="R1429" s="597"/>
      <c r="S1429" s="1644">
        <f t="shared" ref="S1429" si="817">ROUND($D1429*K1429,0)</f>
        <v>-1095971</v>
      </c>
      <c r="T1429" s="1644"/>
      <c r="U1429" s="1644">
        <f t="shared" ref="U1429" si="818">ROUND($D1429*M1429,0)</f>
        <v>0</v>
      </c>
      <c r="V1429" s="1644"/>
      <c r="W1429" s="1644">
        <f t="shared" ref="W1429" si="819">ROUND($D1429*O1429,0)</f>
        <v>0</v>
      </c>
      <c r="X1429" s="1645"/>
      <c r="Y1429" s="1644">
        <f>ROUND($D1429*Q1429,0)</f>
        <v>-1095971</v>
      </c>
      <c r="AI1429" s="2023">
        <f>W1429-'Blocking-Step2'!W1429</f>
        <v>0</v>
      </c>
      <c r="AJ1429" s="2054">
        <f>O1429-'Blocking-Step2'!O1429</f>
        <v>0</v>
      </c>
    </row>
    <row r="1430" spans="1:36" hidden="1">
      <c r="A1430" s="1900" t="s">
        <v>188</v>
      </c>
      <c r="C1430" s="528">
        <f>'8'!N11</f>
        <v>122983181</v>
      </c>
      <c r="D1430" s="528">
        <f>D1436-SUM(D1431:D1433)</f>
        <v>122876391.77899694</v>
      </c>
      <c r="F1430" s="1943">
        <v>5.0473999999999997</v>
      </c>
      <c r="G1430" s="1921" t="s">
        <v>495</v>
      </c>
      <c r="H1430" s="1644">
        <f t="shared" ref="H1430:I1432" si="820">ROUND($F1430*C1430/100,0)</f>
        <v>6207453</v>
      </c>
      <c r="I1430" s="1644">
        <f t="shared" si="820"/>
        <v>6202063</v>
      </c>
      <c r="K1430" s="1943"/>
      <c r="L1430" s="1921"/>
      <c r="M1430" s="1943"/>
      <c r="N1430" s="1921"/>
      <c r="O1430" s="1943"/>
      <c r="P1430" s="1921"/>
      <c r="Q1430" s="1943"/>
      <c r="R1430" s="1921"/>
      <c r="S1430" s="1648"/>
      <c r="T1430" s="1648"/>
      <c r="U1430" s="1648"/>
      <c r="V1430" s="1648"/>
      <c r="W1430" s="1648"/>
      <c r="X1430" s="1648"/>
      <c r="Y1430" s="1644"/>
      <c r="AI1430" s="2023">
        <f>W1430-'Blocking-Step2'!W1430</f>
        <v>0</v>
      </c>
      <c r="AJ1430" s="2054">
        <f>O1430-'Blocking-Step2'!O1430</f>
        <v>0</v>
      </c>
    </row>
    <row r="1431" spans="1:36" hidden="1">
      <c r="A1431" s="1900" t="s">
        <v>163</v>
      </c>
      <c r="C1431" s="528">
        <f>'8'!O11</f>
        <v>287770283</v>
      </c>
      <c r="D1431" s="528">
        <f>ROUND(C1431/(C1436-C1433)*D1436,0)</f>
        <v>287520405</v>
      </c>
      <c r="F1431" s="1943">
        <v>3.9510999999999998</v>
      </c>
      <c r="G1431" s="1921" t="s">
        <v>495</v>
      </c>
      <c r="H1431" s="1644">
        <f t="shared" si="820"/>
        <v>11370092</v>
      </c>
      <c r="I1431" s="1644">
        <f t="shared" si="820"/>
        <v>11360219</v>
      </c>
      <c r="K1431" s="1943"/>
      <c r="L1431" s="1921"/>
      <c r="M1431" s="1943"/>
      <c r="N1431" s="1921"/>
      <c r="O1431" s="1943"/>
      <c r="P1431" s="1921"/>
      <c r="Q1431" s="1943"/>
      <c r="R1431" s="1921"/>
      <c r="S1431" s="1648"/>
      <c r="T1431" s="1648"/>
      <c r="U1431" s="1648"/>
      <c r="V1431" s="1648"/>
      <c r="W1431" s="1648"/>
      <c r="X1431" s="1648"/>
      <c r="Y1431" s="1644"/>
      <c r="AI1431" s="2023">
        <f>W1431-'Blocking-Step2'!W1431</f>
        <v>0</v>
      </c>
      <c r="AJ1431" s="2054">
        <f>O1431-'Blocking-Step2'!O1431</f>
        <v>0</v>
      </c>
    </row>
    <row r="1432" spans="1:36" hidden="1">
      <c r="A1432" s="1900" t="s">
        <v>249</v>
      </c>
      <c r="C1432" s="528">
        <f>'8'!P11</f>
        <v>601511390</v>
      </c>
      <c r="D1432" s="528">
        <f>ROUND(C1432/(C1436-C1433)*D1436,0)</f>
        <v>600989084</v>
      </c>
      <c r="F1432" s="1943">
        <v>3.4001999999999999</v>
      </c>
      <c r="G1432" s="1921" t="s">
        <v>495</v>
      </c>
      <c r="H1432" s="1644">
        <f t="shared" si="820"/>
        <v>20452590</v>
      </c>
      <c r="I1432" s="1644">
        <f t="shared" si="820"/>
        <v>20434831</v>
      </c>
      <c r="K1432" s="1943"/>
      <c r="L1432" s="1921"/>
      <c r="M1432" s="1943"/>
      <c r="N1432" s="1921"/>
      <c r="O1432" s="1943"/>
      <c r="P1432" s="1921"/>
      <c r="Q1432" s="1943"/>
      <c r="R1432" s="1921"/>
      <c r="S1432" s="1648"/>
      <c r="T1432" s="1648"/>
      <c r="U1432" s="1648"/>
      <c r="V1432" s="1648"/>
      <c r="W1432" s="1648"/>
      <c r="X1432" s="1648"/>
      <c r="Y1432" s="1644"/>
      <c r="AI1432" s="2023">
        <f>W1432-'Blocking-Step2'!W1432</f>
        <v>0</v>
      </c>
      <c r="AJ1432" s="2054">
        <f>O1432-'Blocking-Step2'!O1432</f>
        <v>0</v>
      </c>
    </row>
    <row r="1433" spans="1:36" s="1966" customFormat="1" hidden="1">
      <c r="A1433" s="1900" t="s">
        <v>246</v>
      </c>
      <c r="B1433" s="1869"/>
      <c r="C1433" s="529">
        <f>'Table 2'!J90</f>
        <v>-16409187</v>
      </c>
      <c r="D1433" s="529">
        <v>0</v>
      </c>
      <c r="E1433" s="596"/>
      <c r="F1433" s="1869"/>
      <c r="G1433" s="596"/>
      <c r="H1433" s="1030">
        <f>'Table 3'!F90</f>
        <v>-1127981</v>
      </c>
      <c r="I1433" s="1030">
        <v>0</v>
      </c>
      <c r="J1433" s="596"/>
      <c r="K1433" s="1869"/>
      <c r="L1433" s="596"/>
      <c r="M1433" s="1869"/>
      <c r="N1433" s="596"/>
      <c r="O1433" s="1869"/>
      <c r="P1433" s="596"/>
      <c r="Q1433" s="1869"/>
      <c r="R1433" s="596"/>
      <c r="S1433" s="1637"/>
      <c r="T1433" s="1637"/>
      <c r="U1433" s="1637"/>
      <c r="V1433" s="1637"/>
      <c r="W1433" s="1637"/>
      <c r="X1433" s="1637"/>
      <c r="Y1433" s="1030">
        <v>0</v>
      </c>
      <c r="Z1433" s="1965"/>
      <c r="AI1433" s="2023">
        <f>W1433-'Blocking-Step2'!W1433</f>
        <v>0</v>
      </c>
      <c r="AJ1433" s="2054">
        <f>O1433-'Blocking-Step2'!O1433</f>
        <v>0</v>
      </c>
    </row>
    <row r="1434" spans="1:36" hidden="1">
      <c r="A1434" s="1900" t="s">
        <v>1240</v>
      </c>
      <c r="C1434" s="584"/>
      <c r="D1434" s="584"/>
      <c r="F1434" s="1930">
        <v>-3.1800000000000002E-2</v>
      </c>
      <c r="G1434" s="597"/>
      <c r="H1434" s="1644">
        <f>SUM(H1427:H1428,H1430:H1432)*$F1434</f>
        <v>-2120154.7494000001</v>
      </c>
      <c r="I1434" s="1644">
        <f>SUM(I1427:I1428,I1430:I1432)*$F1434</f>
        <v>-2133308.3424</v>
      </c>
      <c r="K1434" s="1930"/>
      <c r="L1434" s="597"/>
      <c r="M1434" s="1930"/>
      <c r="N1434" s="597"/>
      <c r="O1434" s="1931" t="str">
        <f>$O$43</f>
        <v>Tax Year 1 (1/1/2021)</v>
      </c>
      <c r="P1434" s="597"/>
      <c r="Q1434" s="1930">
        <f>$Q$1392</f>
        <v>-1.46E-2</v>
      </c>
      <c r="R1434" s="597"/>
      <c r="S1434" s="1645"/>
      <c r="T1434" s="1645"/>
      <c r="U1434" s="1645"/>
      <c r="V1434" s="1645"/>
      <c r="W1434" s="1645"/>
      <c r="X1434" s="1645"/>
      <c r="Y1434" s="1644">
        <f>Q1434*SUM(Y1421:Y1426)</f>
        <v>-955759.40580000007</v>
      </c>
      <c r="AI1434" s="2023">
        <f>W1434-'Blocking-Step2'!W1434</f>
        <v>0</v>
      </c>
      <c r="AJ1434" s="2054">
        <f>O1434-'Blocking-Step2'!O1434</f>
        <v>0</v>
      </c>
    </row>
    <row r="1435" spans="1:36" hidden="1">
      <c r="A1435" s="1900"/>
      <c r="C1435" s="584"/>
      <c r="D1435" s="584"/>
      <c r="F1435" s="1930"/>
      <c r="G1435" s="597"/>
      <c r="H1435" s="1644"/>
      <c r="I1435" s="1644"/>
      <c r="K1435" s="1930"/>
      <c r="L1435" s="597"/>
      <c r="M1435" s="1930"/>
      <c r="N1435" s="597"/>
      <c r="O1435" s="1931">
        <f>$O$44</f>
        <v>0</v>
      </c>
      <c r="P1435" s="597"/>
      <c r="Q1435" s="1930">
        <f>$Q$1393</f>
        <v>0</v>
      </c>
      <c r="R1435" s="597"/>
      <c r="S1435" s="1645"/>
      <c r="T1435" s="1645"/>
      <c r="U1435" s="1645"/>
      <c r="V1435" s="1645"/>
      <c r="W1435" s="1645"/>
      <c r="X1435" s="1645"/>
      <c r="Y1435" s="1644">
        <f>Q1435*SUM(Y1421:Y1426)</f>
        <v>0</v>
      </c>
      <c r="AI1435" s="2023">
        <f>W1435-'Blocking-Step2'!W1435</f>
        <v>0</v>
      </c>
      <c r="AJ1435" s="2054">
        <f>O1435-'Blocking-Step2'!O1435</f>
        <v>0</v>
      </c>
    </row>
    <row r="1436" spans="1:36" ht="16.5" hidden="1" thickBot="1">
      <c r="A1436" s="1900" t="s">
        <v>247</v>
      </c>
      <c r="C1436" s="1949">
        <f>SUM(C1430:C1433)</f>
        <v>995855667</v>
      </c>
      <c r="D1436" s="1949">
        <f>Energy!P60</f>
        <v>1011385880.7789969</v>
      </c>
      <c r="F1436" s="1939"/>
      <c r="H1436" s="1647">
        <f>SUM(H1419:H1434)</f>
        <v>73092064.250599995</v>
      </c>
      <c r="I1436" s="1647">
        <f>SUM(I1419:I1434)</f>
        <v>74768957.657600001</v>
      </c>
      <c r="K1436" s="1939"/>
      <c r="M1436" s="1939"/>
      <c r="O1436" s="1939"/>
      <c r="Q1436" s="1939"/>
      <c r="S1436" s="1647">
        <f>SUM(S1419:S1433)</f>
        <v>24144325</v>
      </c>
      <c r="U1436" s="1647">
        <f>SUM(U1419:U1433)</f>
        <v>31120973</v>
      </c>
      <c r="W1436" s="1647">
        <f>SUM(W1419:W1433)</f>
        <v>20060264</v>
      </c>
      <c r="Y1436" s="1647">
        <f>SUM(Y1419:Y1433)</f>
        <v>75325560</v>
      </c>
      <c r="AA1436" s="1104" t="s">
        <v>1743</v>
      </c>
      <c r="AB1436" s="1890">
        <f>Y1436/I1436-1</f>
        <v>7.4442972035122512E-3</v>
      </c>
      <c r="AI1436" s="2023">
        <f>W1436-'Blocking-Step2'!W1436</f>
        <v>0</v>
      </c>
      <c r="AJ1436" s="2054">
        <f>O1436-'Blocking-Step2'!O1436</f>
        <v>0</v>
      </c>
    </row>
    <row r="1437" spans="1:36" ht="16.5" thickTop="1">
      <c r="A1437" s="1966"/>
      <c r="B1437" s="1966"/>
      <c r="C1437" s="1967"/>
      <c r="D1437" s="1967"/>
      <c r="E1437" s="1968"/>
      <c r="F1437" s="1966"/>
      <c r="G1437" s="1968"/>
      <c r="H1437" s="1871"/>
      <c r="I1437" s="1871"/>
      <c r="J1437" s="1968"/>
      <c r="K1437" s="1966"/>
      <c r="L1437" s="1968"/>
      <c r="M1437" s="1966"/>
      <c r="N1437" s="1968"/>
      <c r="O1437" s="1966"/>
      <c r="P1437" s="1968"/>
      <c r="Q1437" s="1966"/>
      <c r="R1437" s="1968"/>
      <c r="S1437" s="1870"/>
      <c r="T1437" s="1870"/>
      <c r="U1437" s="1870"/>
      <c r="V1437" s="1870"/>
      <c r="W1437" s="1870"/>
      <c r="X1437" s="1870"/>
      <c r="Y1437" s="1871"/>
      <c r="AI1437" s="2023">
        <f>W1437-'Blocking-Step2'!W1437</f>
        <v>0</v>
      </c>
      <c r="AJ1437" s="2054">
        <f>O1437-'Blocking-Step2'!O1437</f>
        <v>0</v>
      </c>
    </row>
    <row r="1438" spans="1:36">
      <c r="A1438" s="1897" t="s">
        <v>990</v>
      </c>
      <c r="AI1438" s="2023">
        <f>W1438-'Blocking-Step2'!W1438</f>
        <v>0</v>
      </c>
      <c r="AJ1438" s="2054">
        <f>O1438-'Blocking-Step2'!O1438</f>
        <v>0</v>
      </c>
    </row>
    <row r="1439" spans="1:36">
      <c r="A1439" s="1900" t="s">
        <v>240</v>
      </c>
      <c r="C1439" s="528">
        <f>'8'!G13</f>
        <v>135.63328571428599</v>
      </c>
      <c r="D1439" s="528">
        <f>Bill!P48</f>
        <v>168</v>
      </c>
      <c r="F1439" s="1944">
        <v>70</v>
      </c>
      <c r="G1439" s="597"/>
      <c r="H1439" s="1644">
        <f t="shared" ref="H1439:I1449" si="821">ROUND($F1439*C1439,0)</f>
        <v>9494</v>
      </c>
      <c r="I1439" s="1644">
        <f t="shared" si="821"/>
        <v>11760</v>
      </c>
      <c r="K1439" s="1944">
        <f t="shared" ref="K1439:K1446" si="822">K1377</f>
        <v>70</v>
      </c>
      <c r="L1439" s="597"/>
      <c r="M1439" s="1944">
        <f t="shared" ref="M1439:M1446" si="823">M1377</f>
        <v>0</v>
      </c>
      <c r="N1439" s="597"/>
      <c r="O1439" s="1944">
        <f t="shared" ref="O1439:O1446" si="824">O1377</f>
        <v>0</v>
      </c>
      <c r="P1439" s="597"/>
      <c r="Q1439" s="1944">
        <f t="shared" ref="Q1439:Q1446" si="825">Q1377</f>
        <v>70</v>
      </c>
      <c r="R1439" s="597"/>
      <c r="S1439" s="1645">
        <f>Y1439</f>
        <v>11760</v>
      </c>
      <c r="T1439" s="1645"/>
      <c r="U1439" s="1645"/>
      <c r="V1439" s="1645"/>
      <c r="W1439" s="1645"/>
      <c r="X1439" s="1645"/>
      <c r="Y1439" s="1644">
        <f>ROUND($D1439*Q1439,0)</f>
        <v>11760</v>
      </c>
      <c r="Z1439" s="1878" t="s">
        <v>251</v>
      </c>
      <c r="AI1439" s="2023">
        <f>W1439-'Blocking-Step2'!W1439</f>
        <v>0</v>
      </c>
      <c r="AJ1439" s="2054">
        <f>O1439-'Blocking-Step2'!O1439</f>
        <v>0</v>
      </c>
    </row>
    <row r="1440" spans="1:36">
      <c r="A1440" s="1900" t="s">
        <v>168</v>
      </c>
      <c r="C1440" s="528">
        <f>'8'!H13</f>
        <v>137123.266806723</v>
      </c>
      <c r="D1440" s="528">
        <f>ROUND(C1440/C1456*D1456,0)</f>
        <v>150062</v>
      </c>
      <c r="F1440" s="1944">
        <v>4.76</v>
      </c>
      <c r="G1440" s="597"/>
      <c r="H1440" s="1644">
        <f>ROUND($F1440*C1440,0)</f>
        <v>652707</v>
      </c>
      <c r="I1440" s="1644">
        <f>ROUND($F1440*D1440,0)</f>
        <v>714295</v>
      </c>
      <c r="K1440" s="1944">
        <f t="shared" si="822"/>
        <v>4.78</v>
      </c>
      <c r="L1440" s="597"/>
      <c r="M1440" s="1944">
        <f t="shared" si="823"/>
        <v>0</v>
      </c>
      <c r="N1440" s="597"/>
      <c r="O1440" s="1944">
        <f t="shared" si="824"/>
        <v>0</v>
      </c>
      <c r="P1440" s="597"/>
      <c r="Q1440" s="1944">
        <f t="shared" si="825"/>
        <v>4.78</v>
      </c>
      <c r="R1440" s="597"/>
      <c r="S1440" s="1645">
        <f>Y1440</f>
        <v>717296</v>
      </c>
      <c r="T1440" s="1645"/>
      <c r="U1440" s="1645"/>
      <c r="V1440" s="1645"/>
      <c r="W1440" s="1645"/>
      <c r="X1440" s="1645"/>
      <c r="Y1440" s="1644">
        <f t="shared" ref="Y1440:Y1442" si="826">ROUND($D1440*Q1440,0)</f>
        <v>717296</v>
      </c>
      <c r="AI1440" s="2023">
        <f>W1440-'Blocking-Step2'!W1440</f>
        <v>0</v>
      </c>
      <c r="AJ1440" s="2054">
        <f>O1440-'Blocking-Step2'!O1440</f>
        <v>0</v>
      </c>
    </row>
    <row r="1441" spans="1:36">
      <c r="A1441" s="1900" t="s">
        <v>1651</v>
      </c>
      <c r="C1441" s="528">
        <f>C1447*Z1441</f>
        <v>46334.006172912683</v>
      </c>
      <c r="D1441" s="528">
        <f>ROUND(C1441/C1456*D1456,0)</f>
        <v>50706</v>
      </c>
      <c r="F1441" s="1944"/>
      <c r="G1441" s="597"/>
      <c r="H1441" s="1644"/>
      <c r="I1441" s="1644"/>
      <c r="K1441" s="1944">
        <f t="shared" si="822"/>
        <v>7.09</v>
      </c>
      <c r="L1441" s="597"/>
      <c r="M1441" s="1944">
        <f t="shared" si="823"/>
        <v>8.5400000000000009</v>
      </c>
      <c r="N1441" s="597"/>
      <c r="O1441" s="1944">
        <f t="shared" si="824"/>
        <v>0</v>
      </c>
      <c r="P1441" s="597"/>
      <c r="Q1441" s="1944">
        <f t="shared" si="825"/>
        <v>15.63</v>
      </c>
      <c r="R1441" s="597"/>
      <c r="S1441" s="1644">
        <f t="shared" ref="S1441:S1442" si="827">ROUND($D1441*K1441,0)</f>
        <v>359506</v>
      </c>
      <c r="T1441" s="1644"/>
      <c r="U1441" s="1644">
        <f t="shared" ref="U1441:U1442" si="828">ROUND($D1441*M1441,0)</f>
        <v>433029</v>
      </c>
      <c r="V1441" s="1644"/>
      <c r="W1441" s="1644">
        <f t="shared" ref="W1441:W1442" si="829">ROUND($D1441*O1441,0)</f>
        <v>0</v>
      </c>
      <c r="X1441" s="1645"/>
      <c r="Y1441" s="1644">
        <f t="shared" si="826"/>
        <v>792535</v>
      </c>
      <c r="Z1441" s="1878">
        <f>Z1401</f>
        <v>0.8080618296749863</v>
      </c>
      <c r="AI1441" s="2023">
        <f>W1441-'Blocking-Step2'!W1441</f>
        <v>0</v>
      </c>
      <c r="AJ1441" s="2054">
        <f>O1441-'Blocking-Step2'!O1441</f>
        <v>0</v>
      </c>
    </row>
    <row r="1442" spans="1:36">
      <c r="A1442" s="1900" t="s">
        <v>1652</v>
      </c>
      <c r="C1442" s="528">
        <f>C1448*Z1442</f>
        <v>83916.986488279334</v>
      </c>
      <c r="D1442" s="528">
        <f>ROUND(C1442/C1456*D1456,0)</f>
        <v>91835</v>
      </c>
      <c r="F1442" s="1944"/>
      <c r="G1442" s="597"/>
      <c r="H1442" s="1644"/>
      <c r="I1442" s="1644"/>
      <c r="K1442" s="1944">
        <f t="shared" si="822"/>
        <v>6.28</v>
      </c>
      <c r="L1442" s="597"/>
      <c r="M1442" s="1944">
        <f t="shared" si="823"/>
        <v>7.55</v>
      </c>
      <c r="N1442" s="597"/>
      <c r="O1442" s="1944">
        <f t="shared" si="824"/>
        <v>0</v>
      </c>
      <c r="P1442" s="597"/>
      <c r="Q1442" s="1944">
        <f t="shared" si="825"/>
        <v>13.83</v>
      </c>
      <c r="R1442" s="597"/>
      <c r="S1442" s="1644">
        <f t="shared" si="827"/>
        <v>576724</v>
      </c>
      <c r="T1442" s="1644"/>
      <c r="U1442" s="1644">
        <f t="shared" si="828"/>
        <v>693354</v>
      </c>
      <c r="V1442" s="1644"/>
      <c r="W1442" s="1644">
        <f t="shared" si="829"/>
        <v>0</v>
      </c>
      <c r="X1442" s="1645"/>
      <c r="Y1442" s="1644">
        <f t="shared" si="826"/>
        <v>1270078</v>
      </c>
      <c r="Z1442" s="1878">
        <f>Z1402</f>
        <v>1.1030535149949241</v>
      </c>
      <c r="AI1442" s="2023">
        <f>W1442-'Blocking-Step2'!W1442</f>
        <v>0</v>
      </c>
      <c r="AJ1442" s="2054">
        <f>O1442-'Blocking-Step2'!O1442</f>
        <v>0</v>
      </c>
    </row>
    <row r="1443" spans="1:36">
      <c r="A1443" s="1900" t="s">
        <v>1532</v>
      </c>
      <c r="C1443" s="528">
        <f>C1450*Z1443</f>
        <v>5344083.4211376049</v>
      </c>
      <c r="D1443" s="528">
        <f>D1456-SUM(D1444:D1446,D1453)</f>
        <v>5879321.1969696805</v>
      </c>
      <c r="F1443" s="1943"/>
      <c r="G1443" s="1921"/>
      <c r="H1443" s="1644"/>
      <c r="I1443" s="1644"/>
      <c r="K1443" s="1943">
        <f t="shared" si="822"/>
        <v>0</v>
      </c>
      <c r="L1443" s="1921" t="s">
        <v>495</v>
      </c>
      <c r="M1443" s="1943">
        <f t="shared" si="823"/>
        <v>1.3503076530939992</v>
      </c>
      <c r="N1443" s="1921" t="s">
        <v>495</v>
      </c>
      <c r="O1443" s="1943">
        <f t="shared" si="824"/>
        <v>4.4476704152740005</v>
      </c>
      <c r="P1443" s="1921" t="s">
        <v>495</v>
      </c>
      <c r="Q1443" s="1943">
        <f t="shared" si="825"/>
        <v>5.7979780683679998</v>
      </c>
      <c r="R1443" s="1921" t="s">
        <v>495</v>
      </c>
      <c r="S1443" s="1644">
        <f>ROUND($D1443*K1443/100,0)</f>
        <v>0</v>
      </c>
      <c r="T1443" s="1644"/>
      <c r="U1443" s="1644">
        <f>ROUND($D1443*M1443/100,0)</f>
        <v>79389</v>
      </c>
      <c r="V1443" s="1644"/>
      <c r="W1443" s="1644">
        <f>ROUND($D1443*O1443/100,0)</f>
        <v>261493</v>
      </c>
      <c r="X1443" s="1648"/>
      <c r="Y1443" s="1644">
        <f>ROUND($D1443*Q1443/100,0)</f>
        <v>340882</v>
      </c>
      <c r="Z1443" s="1878">
        <f>Z1403</f>
        <v>0.79730449923359459</v>
      </c>
      <c r="AI1443" s="2023">
        <f>W1443-'Blocking-Step2'!W1443</f>
        <v>0</v>
      </c>
      <c r="AJ1443" s="2054">
        <f>O1443-'Blocking-Step2'!O1443</f>
        <v>0</v>
      </c>
    </row>
    <row r="1444" spans="1:36">
      <c r="A1444" s="1900" t="s">
        <v>1653</v>
      </c>
      <c r="C1444" s="528">
        <f>C1451*Z1444</f>
        <v>7982184.139345699</v>
      </c>
      <c r="D1444" s="528">
        <f>ROUND(C1444/(C1456-C1453)*D1456,0)</f>
        <v>8781642</v>
      </c>
      <c r="F1444" s="1943"/>
      <c r="G1444" s="1921"/>
      <c r="H1444" s="1644"/>
      <c r="I1444" s="1644"/>
      <c r="K1444" s="1943">
        <f t="shared" si="822"/>
        <v>0</v>
      </c>
      <c r="L1444" s="1921" t="s">
        <v>495</v>
      </c>
      <c r="M1444" s="1943">
        <f t="shared" si="823"/>
        <v>1.3579342062780002</v>
      </c>
      <c r="N1444" s="1921" t="s">
        <v>495</v>
      </c>
      <c r="O1444" s="1943">
        <f t="shared" si="824"/>
        <v>3.7730198365260001</v>
      </c>
      <c r="P1444" s="1921" t="s">
        <v>495</v>
      </c>
      <c r="Q1444" s="1943">
        <f t="shared" si="825"/>
        <v>5.1309540428040004</v>
      </c>
      <c r="R1444" s="1921" t="s">
        <v>495</v>
      </c>
      <c r="S1444" s="1644">
        <f t="shared" ref="S1444:S1446" si="830">ROUND($D1444*K1444/100,0)</f>
        <v>0</v>
      </c>
      <c r="T1444" s="1644"/>
      <c r="U1444" s="1644">
        <f t="shared" ref="U1444:U1446" si="831">ROUND($D1444*M1444/100,0)</f>
        <v>119249</v>
      </c>
      <c r="V1444" s="1644"/>
      <c r="W1444" s="1644">
        <f t="shared" ref="W1444:W1446" si="832">ROUND($D1444*O1444/100,0)</f>
        <v>331333</v>
      </c>
      <c r="X1444" s="1648"/>
      <c r="Y1444" s="1644">
        <f t="shared" ref="Y1444:Y1446" si="833">ROUND($D1444*Q1444/100,0)</f>
        <v>450582</v>
      </c>
      <c r="Z1444" s="1878">
        <f>Z1404</f>
        <v>0.49318673869770435</v>
      </c>
      <c r="AI1444" s="2023">
        <f>W1444-'Blocking-Step2'!W1444</f>
        <v>0</v>
      </c>
      <c r="AJ1444" s="2054">
        <f>O1444-'Blocking-Step2'!O1444</f>
        <v>0</v>
      </c>
    </row>
    <row r="1445" spans="1:36">
      <c r="A1445" s="1900" t="s">
        <v>1533</v>
      </c>
      <c r="C1445" s="528">
        <f>SUM(C1450:C1452)*Z1445</f>
        <v>15407276.072655506</v>
      </c>
      <c r="D1445" s="528">
        <f>ROUND(C1445/(C1456-C1453)*D1456,0)</f>
        <v>16950396</v>
      </c>
      <c r="F1445" s="1943"/>
      <c r="G1445" s="1921"/>
      <c r="H1445" s="1644"/>
      <c r="I1445" s="1644"/>
      <c r="K1445" s="1943">
        <f t="shared" si="822"/>
        <v>0</v>
      </c>
      <c r="L1445" s="1921" t="s">
        <v>495</v>
      </c>
      <c r="M1445" s="1943">
        <f t="shared" si="823"/>
        <v>1.3829047660919997</v>
      </c>
      <c r="N1445" s="1921" t="s">
        <v>495</v>
      </c>
      <c r="O1445" s="1943">
        <f t="shared" si="824"/>
        <v>1.5641055047420001</v>
      </c>
      <c r="P1445" s="1921" t="s">
        <v>495</v>
      </c>
      <c r="Q1445" s="1943">
        <f t="shared" si="825"/>
        <v>2.9470102708339998</v>
      </c>
      <c r="R1445" s="1921" t="s">
        <v>495</v>
      </c>
      <c r="S1445" s="1644">
        <f t="shared" si="830"/>
        <v>0</v>
      </c>
      <c r="T1445" s="1644"/>
      <c r="U1445" s="1644">
        <f t="shared" si="831"/>
        <v>234408</v>
      </c>
      <c r="V1445" s="1644"/>
      <c r="W1445" s="1644">
        <f t="shared" si="832"/>
        <v>265122</v>
      </c>
      <c r="X1445" s="1648"/>
      <c r="Y1445" s="1644">
        <f t="shared" si="833"/>
        <v>499530</v>
      </c>
      <c r="Z1445" s="1878">
        <f>Z1405</f>
        <v>0.26809377750638824</v>
      </c>
      <c r="AI1445" s="2023">
        <f>W1445-'Blocking-Step2'!W1445</f>
        <v>0</v>
      </c>
      <c r="AJ1445" s="2054">
        <f>O1445-'Blocking-Step2'!O1445</f>
        <v>0</v>
      </c>
    </row>
    <row r="1446" spans="1:36">
      <c r="A1446" s="1900" t="s">
        <v>2177</v>
      </c>
      <c r="C1446" s="528">
        <f>SUM(C1450:C1452)-SUM(C1443:C1445)</f>
        <v>28736182.878094282</v>
      </c>
      <c r="D1446" s="528">
        <f>ROUND(C1446/(C1456-C1453)*D1456,0)</f>
        <v>31614263</v>
      </c>
      <c r="F1446" s="1943"/>
      <c r="G1446" s="1921"/>
      <c r="H1446" s="1644"/>
      <c r="I1446" s="1644"/>
      <c r="K1446" s="1943">
        <f t="shared" si="822"/>
        <v>0</v>
      </c>
      <c r="L1446" s="1921" t="s">
        <v>495</v>
      </c>
      <c r="M1446" s="1943">
        <f t="shared" si="823"/>
        <v>1.3867812089310003</v>
      </c>
      <c r="N1446" s="1921" t="s">
        <v>495</v>
      </c>
      <c r="O1446" s="1943">
        <f t="shared" si="824"/>
        <v>1.2211924820729998</v>
      </c>
      <c r="P1446" s="1921" t="s">
        <v>495</v>
      </c>
      <c r="Q1446" s="1943">
        <f t="shared" si="825"/>
        <v>2.6079736910040001</v>
      </c>
      <c r="R1446" s="1921" t="s">
        <v>495</v>
      </c>
      <c r="S1446" s="1644">
        <f t="shared" si="830"/>
        <v>0</v>
      </c>
      <c r="T1446" s="1644"/>
      <c r="U1446" s="1644">
        <f t="shared" si="831"/>
        <v>438421</v>
      </c>
      <c r="V1446" s="1644"/>
      <c r="W1446" s="1644">
        <f t="shared" si="832"/>
        <v>386071</v>
      </c>
      <c r="X1446" s="1648"/>
      <c r="Y1446" s="1644">
        <f t="shared" si="833"/>
        <v>824492</v>
      </c>
      <c r="Z1446" s="1878">
        <f>D1446/D1456</f>
        <v>0.50002296381537592</v>
      </c>
      <c r="AI1446" s="2023">
        <f>W1446-'Blocking-Step2'!W1446</f>
        <v>0</v>
      </c>
      <c r="AJ1446" s="2054">
        <f>O1446-'Blocking-Step2'!O1446</f>
        <v>0</v>
      </c>
    </row>
    <row r="1447" spans="1:36">
      <c r="A1447" s="1900" t="s">
        <v>18</v>
      </c>
      <c r="C1447" s="528">
        <f>'8'!J13</f>
        <v>57339.679305912599</v>
      </c>
      <c r="D1447" s="528">
        <f>ROUND(C1447/C1456*D1456,0)</f>
        <v>62750</v>
      </c>
      <c r="F1447" s="1944">
        <v>15.56</v>
      </c>
      <c r="G1447" s="597"/>
      <c r="H1447" s="1644">
        <f t="shared" si="821"/>
        <v>892205</v>
      </c>
      <c r="I1447" s="1644">
        <f t="shared" si="821"/>
        <v>976390</v>
      </c>
      <c r="K1447" s="1944"/>
      <c r="L1447" s="597"/>
      <c r="M1447" s="1944"/>
      <c r="N1447" s="597"/>
      <c r="O1447" s="1944"/>
      <c r="P1447" s="597"/>
      <c r="Q1447" s="1944"/>
      <c r="R1447" s="597"/>
      <c r="S1447" s="1645"/>
      <c r="T1447" s="1645"/>
      <c r="U1447" s="1645"/>
      <c r="V1447" s="1645"/>
      <c r="W1447" s="1645"/>
      <c r="X1447" s="1645"/>
      <c r="Y1447" s="1644"/>
      <c r="AI1447" s="2023">
        <f>W1447-'Blocking-Step2'!W1447</f>
        <v>0</v>
      </c>
      <c r="AJ1447" s="2054">
        <f>O1447-'Blocking-Step2'!O1447</f>
        <v>0</v>
      </c>
    </row>
    <row r="1448" spans="1:36">
      <c r="A1448" s="1900" t="s">
        <v>166</v>
      </c>
      <c r="C1448" s="528">
        <f>'8'!K13</f>
        <v>76076.985701519196</v>
      </c>
      <c r="D1448" s="528">
        <f>ROUND(C1448/C1456*D1456,0)</f>
        <v>83255</v>
      </c>
      <c r="F1448" s="1944">
        <v>11.19</v>
      </c>
      <c r="G1448" s="597"/>
      <c r="H1448" s="1644">
        <f t="shared" si="821"/>
        <v>851301</v>
      </c>
      <c r="I1448" s="1644">
        <f t="shared" si="821"/>
        <v>931623</v>
      </c>
      <c r="K1448" s="1944"/>
      <c r="L1448" s="597"/>
      <c r="M1448" s="1944"/>
      <c r="N1448" s="597"/>
      <c r="O1448" s="1944"/>
      <c r="P1448" s="597"/>
      <c r="Q1448" s="1944"/>
      <c r="R1448" s="597"/>
      <c r="S1448" s="1645"/>
      <c r="T1448" s="1645"/>
      <c r="U1448" s="1645"/>
      <c r="V1448" s="1645"/>
      <c r="W1448" s="1645"/>
      <c r="X1448" s="1645"/>
      <c r="Y1448" s="1644"/>
      <c r="AI1448" s="2023">
        <f>W1448-'Blocking-Step2'!W1448</f>
        <v>0</v>
      </c>
      <c r="AJ1448" s="2054">
        <f>O1448-'Blocking-Step2'!O1448</f>
        <v>0</v>
      </c>
    </row>
    <row r="1449" spans="1:36">
      <c r="A1449" s="1900" t="s">
        <v>261</v>
      </c>
      <c r="C1449" s="528">
        <f>'8'!L13</f>
        <v>78554.203539822993</v>
      </c>
      <c r="D1449" s="528">
        <f>ROUND(C1449/C1456*D1456,0)</f>
        <v>85966</v>
      </c>
      <c r="F1449" s="1944">
        <v>-1.1299999999999999</v>
      </c>
      <c r="G1449" s="597"/>
      <c r="H1449" s="1644">
        <f t="shared" si="821"/>
        <v>-88766</v>
      </c>
      <c r="I1449" s="1644">
        <f t="shared" si="821"/>
        <v>-97142</v>
      </c>
      <c r="K1449" s="1944">
        <f>K1387</f>
        <v>-1.1299999999999999</v>
      </c>
      <c r="L1449" s="597"/>
      <c r="M1449" s="1944">
        <f>M1387</f>
        <v>0</v>
      </c>
      <c r="N1449" s="597"/>
      <c r="O1449" s="1944">
        <f>O1387</f>
        <v>0</v>
      </c>
      <c r="P1449" s="597"/>
      <c r="Q1449" s="1944">
        <f>Q1387</f>
        <v>-1.1299999999999999</v>
      </c>
      <c r="R1449" s="597"/>
      <c r="S1449" s="1644">
        <f t="shared" ref="S1449" si="834">ROUND($D1449*K1449,0)</f>
        <v>-97142</v>
      </c>
      <c r="T1449" s="1644"/>
      <c r="U1449" s="1644">
        <f t="shared" ref="U1449" si="835">ROUND($D1449*M1449,0)</f>
        <v>0</v>
      </c>
      <c r="V1449" s="1644"/>
      <c r="W1449" s="1644">
        <f t="shared" ref="W1449" si="836">ROUND($D1449*O1449,0)</f>
        <v>0</v>
      </c>
      <c r="X1449" s="1645"/>
      <c r="Y1449" s="1644">
        <f>ROUND($D1449*Q1449,0)</f>
        <v>-97142</v>
      </c>
      <c r="AI1449" s="2023">
        <f>W1449-'Blocking-Step2'!W1449</f>
        <v>0</v>
      </c>
      <c r="AJ1449" s="2054">
        <f>O1449-'Blocking-Step2'!O1449</f>
        <v>0</v>
      </c>
    </row>
    <row r="1450" spans="1:36">
      <c r="A1450" s="1900" t="s">
        <v>188</v>
      </c>
      <c r="C1450" s="528">
        <f>'8'!N13+TempRev!M344</f>
        <v>6702688.1527378578</v>
      </c>
      <c r="D1450" s="528">
        <f>D1456-SUM(D1451:D1453)</f>
        <v>7373997.1969696805</v>
      </c>
      <c r="F1450" s="1943">
        <v>5.0473999999999997</v>
      </c>
      <c r="G1450" s="1921" t="s">
        <v>495</v>
      </c>
      <c r="H1450" s="1644">
        <f t="shared" ref="H1450:I1452" si="837">ROUND($F1450*C1450/100,0)</f>
        <v>338311</v>
      </c>
      <c r="I1450" s="1644">
        <f t="shared" si="837"/>
        <v>372195</v>
      </c>
      <c r="K1450" s="1943"/>
      <c r="L1450" s="1921"/>
      <c r="M1450" s="1943"/>
      <c r="N1450" s="1921"/>
      <c r="O1450" s="1943"/>
      <c r="P1450" s="1921"/>
      <c r="Q1450" s="1943"/>
      <c r="R1450" s="1921"/>
      <c r="S1450" s="1648"/>
      <c r="T1450" s="1648"/>
      <c r="U1450" s="1648"/>
      <c r="V1450" s="1648"/>
      <c r="W1450" s="1648"/>
      <c r="X1450" s="1648"/>
      <c r="Y1450" s="1644"/>
      <c r="AI1450" s="2023">
        <f>W1450-'Blocking-Step2'!W1450</f>
        <v>0</v>
      </c>
      <c r="AJ1450" s="2054">
        <f>O1450-'Blocking-Step2'!O1450</f>
        <v>0</v>
      </c>
    </row>
    <row r="1451" spans="1:36">
      <c r="A1451" s="1900" t="s">
        <v>163</v>
      </c>
      <c r="C1451" s="528">
        <f>'8'!O13+TempRev!M345</f>
        <v>16184912.352719054</v>
      </c>
      <c r="D1451" s="528">
        <f>ROUND(C1451/(C1456-C1453)*D1456,0)</f>
        <v>17805917</v>
      </c>
      <c r="F1451" s="1943">
        <v>3.9510999999999998</v>
      </c>
      <c r="G1451" s="1921" t="s">
        <v>495</v>
      </c>
      <c r="H1451" s="1644">
        <f t="shared" si="837"/>
        <v>639482</v>
      </c>
      <c r="I1451" s="1644">
        <f t="shared" si="837"/>
        <v>703530</v>
      </c>
      <c r="K1451" s="1943"/>
      <c r="L1451" s="1921"/>
      <c r="M1451" s="1943"/>
      <c r="N1451" s="1921"/>
      <c r="O1451" s="1943"/>
      <c r="P1451" s="1921"/>
      <c r="Q1451" s="1943"/>
      <c r="R1451" s="1921"/>
      <c r="S1451" s="1648"/>
      <c r="T1451" s="1648"/>
      <c r="U1451" s="1648"/>
      <c r="V1451" s="1648"/>
      <c r="W1451" s="1648"/>
      <c r="X1451" s="1648"/>
      <c r="Y1451" s="1644"/>
      <c r="AI1451" s="2023">
        <f>W1451-'Blocking-Step2'!W1451</f>
        <v>0</v>
      </c>
      <c r="AJ1451" s="2054">
        <f>O1451-'Blocking-Step2'!O1451</f>
        <v>0</v>
      </c>
    </row>
    <row r="1452" spans="1:36">
      <c r="A1452" s="1900" t="s">
        <v>249</v>
      </c>
      <c r="C1452" s="528">
        <f>'8'!P13+TempRev!M346</f>
        <v>34582126.005776182</v>
      </c>
      <c r="D1452" s="528">
        <f>ROUND(C1452/(C1456-C1453)*D1456,0)</f>
        <v>38045708</v>
      </c>
      <c r="F1452" s="1943">
        <v>3.4001999999999999</v>
      </c>
      <c r="G1452" s="1921" t="s">
        <v>495</v>
      </c>
      <c r="H1452" s="1644">
        <f t="shared" si="837"/>
        <v>1175861</v>
      </c>
      <c r="I1452" s="1644">
        <f t="shared" si="837"/>
        <v>1293630</v>
      </c>
      <c r="K1452" s="1943"/>
      <c r="L1452" s="1921"/>
      <c r="M1452" s="1943"/>
      <c r="N1452" s="1921"/>
      <c r="O1452" s="1943"/>
      <c r="P1452" s="1921"/>
      <c r="Q1452" s="1943"/>
      <c r="R1452" s="1921"/>
      <c r="S1452" s="1648"/>
      <c r="T1452" s="1648"/>
      <c r="U1452" s="1648"/>
      <c r="V1452" s="1648"/>
      <c r="W1452" s="1648"/>
      <c r="X1452" s="1648"/>
      <c r="Y1452" s="1644"/>
      <c r="AI1452" s="2023">
        <f>W1452-'Blocking-Step2'!W1452</f>
        <v>0</v>
      </c>
      <c r="AJ1452" s="2054">
        <f>O1452-'Blocking-Step2'!O1452</f>
        <v>0</v>
      </c>
    </row>
    <row r="1453" spans="1:36">
      <c r="A1453" s="1900" t="s">
        <v>246</v>
      </c>
      <c r="C1453" s="529">
        <f>'Table 2'!J54</f>
        <v>304568</v>
      </c>
      <c r="D1453" s="529">
        <v>0</v>
      </c>
      <c r="H1453" s="1030">
        <f>'Table 3'!F54</f>
        <v>25662</v>
      </c>
      <c r="I1453" s="1030">
        <v>0</v>
      </c>
      <c r="Y1453" s="1030">
        <v>0</v>
      </c>
      <c r="AI1453" s="2023">
        <f>W1453-'Blocking-Step2'!W1453</f>
        <v>0</v>
      </c>
      <c r="AJ1453" s="2054">
        <f>O1453-'Blocking-Step2'!O1453</f>
        <v>0</v>
      </c>
    </row>
    <row r="1454" spans="1:36">
      <c r="A1454" s="1900" t="s">
        <v>1240</v>
      </c>
      <c r="C1454" s="584"/>
      <c r="D1454" s="584"/>
      <c r="F1454" s="1930">
        <v>-3.1800000000000002E-2</v>
      </c>
      <c r="G1454" s="597"/>
      <c r="H1454" s="1644">
        <f>SUM(H1447:H1448,H1450:H1452)*$F1454</f>
        <v>-123929.68800000001</v>
      </c>
      <c r="I1454" s="1644">
        <f>SUM(I1447:I1448,I1450:I1452)*$F1454</f>
        <v>-136020.30240000002</v>
      </c>
      <c r="K1454" s="1930"/>
      <c r="L1454" s="597"/>
      <c r="M1454" s="1930"/>
      <c r="N1454" s="597"/>
      <c r="O1454" s="1931" t="str">
        <f>$O$43</f>
        <v>Tax Year 1 (1/1/2021)</v>
      </c>
      <c r="P1454" s="597"/>
      <c r="Q1454" s="1930">
        <f>$Q$1392</f>
        <v>-1.46E-2</v>
      </c>
      <c r="R1454" s="597"/>
      <c r="S1454" s="1645"/>
      <c r="T1454" s="1645"/>
      <c r="U1454" s="1645"/>
      <c r="V1454" s="1645"/>
      <c r="W1454" s="1645"/>
      <c r="X1454" s="1645"/>
      <c r="Y1454" s="1644">
        <f>Q1454*SUM(Y1441:Y1446)</f>
        <v>-61000.2454</v>
      </c>
      <c r="AI1454" s="2023">
        <f>W1454-'Blocking-Step2'!W1454</f>
        <v>0</v>
      </c>
      <c r="AJ1454" s="2054">
        <f>O1454-'Blocking-Step2'!O1454</f>
        <v>0</v>
      </c>
    </row>
    <row r="1455" spans="1:36">
      <c r="A1455" s="1900"/>
      <c r="C1455" s="584"/>
      <c r="D1455" s="584"/>
      <c r="F1455" s="1930"/>
      <c r="G1455" s="597"/>
      <c r="H1455" s="1644"/>
      <c r="I1455" s="1644"/>
      <c r="K1455" s="1930"/>
      <c r="L1455" s="597"/>
      <c r="M1455" s="1930"/>
      <c r="N1455" s="597"/>
      <c r="O1455" s="1931">
        <f>$O$44</f>
        <v>0</v>
      </c>
      <c r="P1455" s="597"/>
      <c r="Q1455" s="1930">
        <f>$Q$1393</f>
        <v>0</v>
      </c>
      <c r="R1455" s="597"/>
      <c r="S1455" s="1645"/>
      <c r="T1455" s="1645"/>
      <c r="U1455" s="1645"/>
      <c r="V1455" s="1645"/>
      <c r="W1455" s="1645"/>
      <c r="X1455" s="1645"/>
      <c r="Y1455" s="1644">
        <f>Q1455*SUM(Y1441:Y1446)</f>
        <v>0</v>
      </c>
      <c r="AI1455" s="2023">
        <f>W1455-'Blocking-Step2'!W1455</f>
        <v>0</v>
      </c>
      <c r="AJ1455" s="2054">
        <f>O1455-'Blocking-Step2'!O1455</f>
        <v>0</v>
      </c>
    </row>
    <row r="1456" spans="1:36" ht="16.5" thickBot="1">
      <c r="A1456" s="1900" t="s">
        <v>247</v>
      </c>
      <c r="C1456" s="1949">
        <f>SUM(C1450:C1453)</f>
        <v>57774294.511233091</v>
      </c>
      <c r="D1456" s="1949">
        <f>Energy!P48</f>
        <v>63225622.19696968</v>
      </c>
      <c r="F1456" s="1939"/>
      <c r="H1456" s="1647">
        <f>SUM(H1439:H1454)</f>
        <v>4372327.3119999999</v>
      </c>
      <c r="I1456" s="1647">
        <f>SUM(I1439:I1454)</f>
        <v>4770260.6975999996</v>
      </c>
      <c r="K1456" s="1939"/>
      <c r="M1456" s="1939"/>
      <c r="O1456" s="1939"/>
      <c r="Q1456" s="1939"/>
      <c r="S1456" s="1647">
        <f>SUM(S1439:S1453)</f>
        <v>1568144</v>
      </c>
      <c r="U1456" s="1647">
        <f>SUM(U1439:U1453)</f>
        <v>1997850</v>
      </c>
      <c r="W1456" s="1647">
        <f>SUM(W1439:W1453)</f>
        <v>1244019</v>
      </c>
      <c r="Y1456" s="1647">
        <f>SUM(Y1439:Y1453)</f>
        <v>4810013</v>
      </c>
      <c r="AA1456" s="1104" t="s">
        <v>1743</v>
      </c>
      <c r="AB1456" s="1890">
        <f>Y1456/I1456-1</f>
        <v>8.3333605687421208E-3</v>
      </c>
      <c r="AI1456" s="2023">
        <f>W1456-'Blocking-Step2'!W1456</f>
        <v>0</v>
      </c>
      <c r="AJ1456" s="2054">
        <f>O1456-'Blocking-Step2'!O1456</f>
        <v>0</v>
      </c>
    </row>
    <row r="1457" spans="1:36" ht="16.5" thickTop="1">
      <c r="A1457" s="1966"/>
      <c r="B1457" s="1966"/>
      <c r="C1457" s="1967"/>
      <c r="D1457" s="1967"/>
      <c r="E1457" s="1968"/>
      <c r="F1457" s="1966"/>
      <c r="G1457" s="1968"/>
      <c r="H1457" s="1871"/>
      <c r="I1457" s="1871"/>
      <c r="J1457" s="1968"/>
      <c r="K1457" s="1966"/>
      <c r="L1457" s="1968"/>
      <c r="M1457" s="1966"/>
      <c r="N1457" s="1968"/>
      <c r="O1457" s="1966"/>
      <c r="P1457" s="1968"/>
      <c r="Q1457" s="1966"/>
      <c r="R1457" s="1968"/>
      <c r="S1457" s="1870"/>
      <c r="T1457" s="1870"/>
      <c r="U1457" s="1870"/>
      <c r="V1457" s="1870"/>
      <c r="W1457" s="1870"/>
      <c r="X1457" s="1870"/>
      <c r="Y1457" s="1871"/>
      <c r="AI1457" s="2023">
        <f>W1457-'Blocking-Step2'!W1457</f>
        <v>0</v>
      </c>
      <c r="AJ1457" s="2054">
        <f>O1457-'Blocking-Step2'!O1457</f>
        <v>0</v>
      </c>
    </row>
    <row r="1458" spans="1:36">
      <c r="A1458" s="1897" t="s">
        <v>1560</v>
      </c>
      <c r="AI1458" s="2023">
        <f>W1458-'Blocking-Step2'!W1458</f>
        <v>0</v>
      </c>
      <c r="AJ1458" s="2054">
        <f>O1458-'Blocking-Step2'!O1458</f>
        <v>0</v>
      </c>
    </row>
    <row r="1459" spans="1:36">
      <c r="A1459" s="1900" t="s">
        <v>240</v>
      </c>
      <c r="C1459" s="528">
        <f>'8'!G16</f>
        <v>6</v>
      </c>
      <c r="D1459" s="528">
        <v>0</v>
      </c>
      <c r="F1459" s="1944">
        <v>70</v>
      </c>
      <c r="G1459" s="597"/>
      <c r="H1459" s="1644">
        <f t="shared" ref="H1459:I1469" si="838">ROUND($F1459*C1459,0)</f>
        <v>420</v>
      </c>
      <c r="I1459" s="1644">
        <f t="shared" si="838"/>
        <v>0</v>
      </c>
      <c r="K1459" s="1944">
        <f t="shared" ref="K1459:K1466" si="839">K1377</f>
        <v>70</v>
      </c>
      <c r="L1459" s="597"/>
      <c r="M1459" s="1944">
        <f t="shared" ref="M1459:M1466" si="840">M1377</f>
        <v>0</v>
      </c>
      <c r="N1459" s="597"/>
      <c r="O1459" s="1944">
        <f t="shared" ref="O1459:O1466" si="841">O1377</f>
        <v>0</v>
      </c>
      <c r="P1459" s="597"/>
      <c r="Q1459" s="1944">
        <f t="shared" ref="Q1459:Q1466" si="842">Q1377</f>
        <v>70</v>
      </c>
      <c r="R1459" s="597"/>
      <c r="S1459" s="1645">
        <f>Y1459</f>
        <v>0</v>
      </c>
      <c r="T1459" s="1645"/>
      <c r="U1459" s="1645"/>
      <c r="V1459" s="1645"/>
      <c r="W1459" s="1645"/>
      <c r="X1459" s="1645"/>
      <c r="Y1459" s="1644">
        <f>ROUND($D1459*Q1459,0)</f>
        <v>0</v>
      </c>
      <c r="Z1459" s="1878" t="s">
        <v>251</v>
      </c>
      <c r="AI1459" s="2023">
        <f>W1459-'Blocking-Step2'!W1459</f>
        <v>0</v>
      </c>
      <c r="AJ1459" s="2054">
        <f>O1459-'Blocking-Step2'!O1459</f>
        <v>0</v>
      </c>
    </row>
    <row r="1460" spans="1:36">
      <c r="A1460" s="1900" t="s">
        <v>168</v>
      </c>
      <c r="C1460" s="528">
        <f>'8'!H16</f>
        <v>4549.6659663865503</v>
      </c>
      <c r="D1460" s="528">
        <f>ROUND(C1460/C1476*D1476,0)</f>
        <v>0</v>
      </c>
      <c r="F1460" s="1944">
        <v>4.76</v>
      </c>
      <c r="G1460" s="597"/>
      <c r="H1460" s="1644">
        <f>ROUND($F1460*C1460,0)</f>
        <v>21656</v>
      </c>
      <c r="I1460" s="1644">
        <f>ROUND($F1460*D1460,0)</f>
        <v>0</v>
      </c>
      <c r="K1460" s="1944">
        <f t="shared" si="839"/>
        <v>4.78</v>
      </c>
      <c r="L1460" s="597"/>
      <c r="M1460" s="1944">
        <f t="shared" si="840"/>
        <v>0</v>
      </c>
      <c r="N1460" s="597"/>
      <c r="O1460" s="1944">
        <f t="shared" si="841"/>
        <v>0</v>
      </c>
      <c r="P1460" s="597"/>
      <c r="Q1460" s="1944">
        <f t="shared" si="842"/>
        <v>4.78</v>
      </c>
      <c r="R1460" s="597"/>
      <c r="S1460" s="1645">
        <f>Y1460</f>
        <v>0</v>
      </c>
      <c r="T1460" s="1645"/>
      <c r="U1460" s="1645"/>
      <c r="V1460" s="1645"/>
      <c r="W1460" s="1645"/>
      <c r="X1460" s="1645"/>
      <c r="Y1460" s="1644">
        <f t="shared" ref="Y1460:Y1462" si="843">ROUND($D1460*Q1460,0)</f>
        <v>0</v>
      </c>
      <c r="AI1460" s="2023">
        <f>W1460-'Blocking-Step2'!W1460</f>
        <v>0</v>
      </c>
      <c r="AJ1460" s="2054">
        <f>O1460-'Blocking-Step2'!O1460</f>
        <v>0</v>
      </c>
    </row>
    <row r="1461" spans="1:36">
      <c r="A1461" s="1900" t="s">
        <v>1651</v>
      </c>
      <c r="C1461" s="528">
        <f>C1467*Z1461</f>
        <v>2238.0430456319273</v>
      </c>
      <c r="D1461" s="528">
        <f>ROUND(C1461/C1476*D1476,0)</f>
        <v>0</v>
      </c>
      <c r="F1461" s="1944"/>
      <c r="G1461" s="597"/>
      <c r="H1461" s="1644"/>
      <c r="I1461" s="1644"/>
      <c r="K1461" s="1944">
        <f t="shared" si="839"/>
        <v>7.09</v>
      </c>
      <c r="L1461" s="597"/>
      <c r="M1461" s="1944">
        <f t="shared" si="840"/>
        <v>8.5400000000000009</v>
      </c>
      <c r="N1461" s="597"/>
      <c r="O1461" s="1944">
        <f t="shared" si="841"/>
        <v>0</v>
      </c>
      <c r="P1461" s="597"/>
      <c r="Q1461" s="1944">
        <f t="shared" si="842"/>
        <v>15.63</v>
      </c>
      <c r="R1461" s="597"/>
      <c r="S1461" s="1644">
        <f t="shared" ref="S1461:S1462" si="844">ROUND($D1461*K1461,0)</f>
        <v>0</v>
      </c>
      <c r="T1461" s="1644"/>
      <c r="U1461" s="1644">
        <f t="shared" ref="U1461:U1462" si="845">ROUND($D1461*M1461,0)</f>
        <v>0</v>
      </c>
      <c r="V1461" s="1644"/>
      <c r="W1461" s="1644">
        <f t="shared" ref="W1461:W1462" si="846">ROUND($D1461*O1461,0)</f>
        <v>0</v>
      </c>
      <c r="X1461" s="1645"/>
      <c r="Y1461" s="1644">
        <f t="shared" si="843"/>
        <v>0</v>
      </c>
      <c r="Z1461" s="1878">
        <f>Z1401</f>
        <v>0.8080618296749863</v>
      </c>
      <c r="AI1461" s="2023">
        <f>W1461-'Blocking-Step2'!W1461</f>
        <v>0</v>
      </c>
      <c r="AJ1461" s="2054">
        <f>O1461-'Blocking-Step2'!O1461</f>
        <v>0</v>
      </c>
    </row>
    <row r="1462" spans="1:36">
      <c r="A1462" s="1900" t="s">
        <v>1652</v>
      </c>
      <c r="C1462" s="528">
        <f>C1468*Z1462</f>
        <v>1836.2420474444675</v>
      </c>
      <c r="D1462" s="528">
        <f>ROUND(C1462/C1476*D1476,0)</f>
        <v>0</v>
      </c>
      <c r="F1462" s="1944"/>
      <c r="G1462" s="597"/>
      <c r="H1462" s="1644"/>
      <c r="I1462" s="1644"/>
      <c r="K1462" s="1944">
        <f t="shared" si="839"/>
        <v>6.28</v>
      </c>
      <c r="L1462" s="597"/>
      <c r="M1462" s="1944">
        <f t="shared" si="840"/>
        <v>7.55</v>
      </c>
      <c r="N1462" s="597"/>
      <c r="O1462" s="1944">
        <f t="shared" si="841"/>
        <v>0</v>
      </c>
      <c r="P1462" s="597"/>
      <c r="Q1462" s="1944">
        <f t="shared" si="842"/>
        <v>13.83</v>
      </c>
      <c r="R1462" s="597"/>
      <c r="S1462" s="1644">
        <f t="shared" si="844"/>
        <v>0</v>
      </c>
      <c r="T1462" s="1644"/>
      <c r="U1462" s="1644">
        <f t="shared" si="845"/>
        <v>0</v>
      </c>
      <c r="V1462" s="1644"/>
      <c r="W1462" s="1644">
        <f t="shared" si="846"/>
        <v>0</v>
      </c>
      <c r="X1462" s="1645"/>
      <c r="Y1462" s="1644">
        <f t="shared" si="843"/>
        <v>0</v>
      </c>
      <c r="Z1462" s="1878">
        <f>Z1402</f>
        <v>1.1030535149949241</v>
      </c>
      <c r="AI1462" s="2023">
        <f>W1462-'Blocking-Step2'!W1462</f>
        <v>0</v>
      </c>
      <c r="AJ1462" s="2054">
        <f>O1462-'Blocking-Step2'!O1462</f>
        <v>0</v>
      </c>
    </row>
    <row r="1463" spans="1:36">
      <c r="A1463" s="1900" t="s">
        <v>1532</v>
      </c>
      <c r="C1463" s="528">
        <f>C1470*Z1463</f>
        <v>230965.96629601138</v>
      </c>
      <c r="D1463" s="528">
        <f>D1476-SUM(D1464:D1466,D1473)</f>
        <v>0</v>
      </c>
      <c r="F1463" s="1943"/>
      <c r="G1463" s="1921"/>
      <c r="H1463" s="1644"/>
      <c r="I1463" s="1644"/>
      <c r="K1463" s="1943">
        <f t="shared" si="839"/>
        <v>0</v>
      </c>
      <c r="L1463" s="1921" t="s">
        <v>495</v>
      </c>
      <c r="M1463" s="1943">
        <f t="shared" si="840"/>
        <v>1.3503076530939992</v>
      </c>
      <c r="N1463" s="1921" t="s">
        <v>495</v>
      </c>
      <c r="O1463" s="1943">
        <f t="shared" si="841"/>
        <v>4.4476704152740005</v>
      </c>
      <c r="P1463" s="1921" t="s">
        <v>495</v>
      </c>
      <c r="Q1463" s="1943">
        <f t="shared" si="842"/>
        <v>5.7979780683679998</v>
      </c>
      <c r="R1463" s="1921" t="s">
        <v>495</v>
      </c>
      <c r="S1463" s="1644">
        <f>ROUND($D1463*K1463/100,0)</f>
        <v>0</v>
      </c>
      <c r="T1463" s="1644"/>
      <c r="U1463" s="1644">
        <f>ROUND($D1463*M1463/100,0)</f>
        <v>0</v>
      </c>
      <c r="V1463" s="1644"/>
      <c r="W1463" s="1644">
        <f>ROUND($D1463*O1463/100,0)</f>
        <v>0</v>
      </c>
      <c r="X1463" s="1648"/>
      <c r="Y1463" s="1644">
        <f>ROUND($D1463*Q1463/100,0)</f>
        <v>0</v>
      </c>
      <c r="Z1463" s="1878">
        <f>Z1403</f>
        <v>0.79730449923359459</v>
      </c>
      <c r="AI1463" s="2023">
        <f>W1463-'Blocking-Step2'!W1463</f>
        <v>0</v>
      </c>
      <c r="AJ1463" s="2054">
        <f>O1463-'Blocking-Step2'!O1463</f>
        <v>0</v>
      </c>
    </row>
    <row r="1464" spans="1:36">
      <c r="A1464" s="1900" t="s">
        <v>1653</v>
      </c>
      <c r="C1464" s="528">
        <f>C1471*Z1464</f>
        <v>189381.87509176272</v>
      </c>
      <c r="D1464" s="528">
        <f>ROUND(C1464/(C1476-C1473)*D1476,0)</f>
        <v>0</v>
      </c>
      <c r="F1464" s="1943"/>
      <c r="G1464" s="1921"/>
      <c r="H1464" s="1644"/>
      <c r="I1464" s="1644"/>
      <c r="K1464" s="1943">
        <f t="shared" si="839"/>
        <v>0</v>
      </c>
      <c r="L1464" s="1921" t="s">
        <v>495</v>
      </c>
      <c r="M1464" s="1943">
        <f t="shared" si="840"/>
        <v>1.3579342062780002</v>
      </c>
      <c r="N1464" s="1921" t="s">
        <v>495</v>
      </c>
      <c r="O1464" s="1943">
        <f t="shared" si="841"/>
        <v>3.7730198365260001</v>
      </c>
      <c r="P1464" s="1921" t="s">
        <v>495</v>
      </c>
      <c r="Q1464" s="1943">
        <f t="shared" si="842"/>
        <v>5.1309540428040004</v>
      </c>
      <c r="R1464" s="1921" t="s">
        <v>495</v>
      </c>
      <c r="S1464" s="1644">
        <f t="shared" ref="S1464:S1466" si="847">ROUND($D1464*K1464/100,0)</f>
        <v>0</v>
      </c>
      <c r="T1464" s="1644"/>
      <c r="U1464" s="1644">
        <f t="shared" ref="U1464:U1466" si="848">ROUND($D1464*M1464/100,0)</f>
        <v>0</v>
      </c>
      <c r="V1464" s="1644"/>
      <c r="W1464" s="1644">
        <f t="shared" ref="W1464:W1466" si="849">ROUND($D1464*O1464/100,0)</f>
        <v>0</v>
      </c>
      <c r="X1464" s="1648"/>
      <c r="Y1464" s="1644">
        <f t="shared" ref="Y1464:Y1466" si="850">ROUND($D1464*Q1464/100,0)</f>
        <v>0</v>
      </c>
      <c r="Z1464" s="1878">
        <f>Z1404</f>
        <v>0.49318673869770435</v>
      </c>
      <c r="AI1464" s="2023">
        <f>W1464-'Blocking-Step2'!W1464</f>
        <v>0</v>
      </c>
      <c r="AJ1464" s="2054">
        <f>O1464-'Blocking-Step2'!O1464</f>
        <v>0</v>
      </c>
    </row>
    <row r="1465" spans="1:36">
      <c r="A1465" s="1900" t="s">
        <v>1533</v>
      </c>
      <c r="C1465" s="528">
        <f>SUM(C1470:C1472)*Z1465</f>
        <v>431146.08244347939</v>
      </c>
      <c r="D1465" s="528">
        <f>ROUND(C1465/(C1476-C1473)*D1476,0)</f>
        <v>0</v>
      </c>
      <c r="F1465" s="1943"/>
      <c r="G1465" s="1921"/>
      <c r="H1465" s="1644"/>
      <c r="I1465" s="1644"/>
      <c r="K1465" s="1943">
        <f t="shared" si="839"/>
        <v>0</v>
      </c>
      <c r="L1465" s="1921" t="s">
        <v>495</v>
      </c>
      <c r="M1465" s="1943">
        <f t="shared" si="840"/>
        <v>1.3829047660919997</v>
      </c>
      <c r="N1465" s="1921" t="s">
        <v>495</v>
      </c>
      <c r="O1465" s="1943">
        <f t="shared" si="841"/>
        <v>1.5641055047420001</v>
      </c>
      <c r="P1465" s="1921" t="s">
        <v>495</v>
      </c>
      <c r="Q1465" s="1943">
        <f t="shared" si="842"/>
        <v>2.9470102708339998</v>
      </c>
      <c r="R1465" s="1921" t="s">
        <v>495</v>
      </c>
      <c r="S1465" s="1644">
        <f t="shared" si="847"/>
        <v>0</v>
      </c>
      <c r="T1465" s="1644"/>
      <c r="U1465" s="1644">
        <f t="shared" si="848"/>
        <v>0</v>
      </c>
      <c r="V1465" s="1644"/>
      <c r="W1465" s="1644">
        <f t="shared" si="849"/>
        <v>0</v>
      </c>
      <c r="X1465" s="1648"/>
      <c r="Y1465" s="1644">
        <f t="shared" si="850"/>
        <v>0</v>
      </c>
      <c r="Z1465" s="1878">
        <f>Z1405</f>
        <v>0.26809377750638824</v>
      </c>
      <c r="AI1465" s="2023">
        <f>W1465-'Blocking-Step2'!W1465</f>
        <v>0</v>
      </c>
      <c r="AJ1465" s="2054">
        <f>O1465-'Blocking-Step2'!O1465</f>
        <v>0</v>
      </c>
    </row>
    <row r="1466" spans="1:36">
      <c r="A1466" s="1900" t="s">
        <v>2177</v>
      </c>
      <c r="C1466" s="528">
        <f>SUM(C1470:C1472)-SUM(C1463:C1465)</f>
        <v>756697.38315723441</v>
      </c>
      <c r="D1466" s="528">
        <f>ROUND(C1466/(C1476-C1473)*D1476,0)</f>
        <v>0</v>
      </c>
      <c r="F1466" s="1943"/>
      <c r="G1466" s="1921"/>
      <c r="H1466" s="1644"/>
      <c r="I1466" s="1644"/>
      <c r="K1466" s="1943">
        <f t="shared" si="839"/>
        <v>0</v>
      </c>
      <c r="L1466" s="1921" t="s">
        <v>495</v>
      </c>
      <c r="M1466" s="1943">
        <f t="shared" si="840"/>
        <v>1.3867812089310003</v>
      </c>
      <c r="N1466" s="1921" t="s">
        <v>495</v>
      </c>
      <c r="O1466" s="1943">
        <f t="shared" si="841"/>
        <v>1.2211924820729998</v>
      </c>
      <c r="P1466" s="1921" t="s">
        <v>495</v>
      </c>
      <c r="Q1466" s="1943">
        <f t="shared" si="842"/>
        <v>2.6079736910040001</v>
      </c>
      <c r="R1466" s="1921" t="s">
        <v>495</v>
      </c>
      <c r="S1466" s="1644">
        <f t="shared" si="847"/>
        <v>0</v>
      </c>
      <c r="T1466" s="1644"/>
      <c r="U1466" s="1644">
        <f t="shared" si="848"/>
        <v>0</v>
      </c>
      <c r="V1466" s="1644"/>
      <c r="W1466" s="1644">
        <f t="shared" si="849"/>
        <v>0</v>
      </c>
      <c r="X1466" s="1648"/>
      <c r="Y1466" s="1644">
        <f t="shared" si="850"/>
        <v>0</v>
      </c>
      <c r="Z1466" s="1878" t="e">
        <f>D1466/D1476</f>
        <v>#DIV/0!</v>
      </c>
      <c r="AI1466" s="2023">
        <f>W1466-'Blocking-Step2'!W1466</f>
        <v>0</v>
      </c>
      <c r="AJ1466" s="2054">
        <f>O1466-'Blocking-Step2'!O1466</f>
        <v>0</v>
      </c>
    </row>
    <row r="1467" spans="1:36">
      <c r="A1467" s="1900" t="s">
        <v>18</v>
      </c>
      <c r="C1467" s="528">
        <f>'8'!J16</f>
        <v>2769.6433161953701</v>
      </c>
      <c r="D1467" s="528">
        <f>ROUND(C1467/C1476*D1476,0)</f>
        <v>0</v>
      </c>
      <c r="F1467" s="1944">
        <v>15.56</v>
      </c>
      <c r="G1467" s="597"/>
      <c r="H1467" s="1644">
        <f t="shared" si="838"/>
        <v>43096</v>
      </c>
      <c r="I1467" s="1644">
        <f t="shared" si="838"/>
        <v>0</v>
      </c>
      <c r="K1467" s="1944"/>
      <c r="L1467" s="597"/>
      <c r="M1467" s="1944"/>
      <c r="N1467" s="597"/>
      <c r="O1467" s="1944"/>
      <c r="P1467" s="597"/>
      <c r="Q1467" s="1944"/>
      <c r="R1467" s="597"/>
      <c r="S1467" s="1645"/>
      <c r="T1467" s="1645"/>
      <c r="U1467" s="1645"/>
      <c r="V1467" s="1645"/>
      <c r="W1467" s="1645"/>
      <c r="X1467" s="1645"/>
      <c r="Y1467" s="1644"/>
      <c r="AI1467" s="2023">
        <f>W1467-'Blocking-Step2'!W1467</f>
        <v>0</v>
      </c>
      <c r="AJ1467" s="2054">
        <f>O1467-'Blocking-Step2'!O1467</f>
        <v>0</v>
      </c>
    </row>
    <row r="1468" spans="1:36">
      <c r="A1468" s="1900" t="s">
        <v>166</v>
      </c>
      <c r="C1468" s="528">
        <f>'8'!K16</f>
        <v>1664.6899016979401</v>
      </c>
      <c r="D1468" s="528">
        <f>ROUND(C1468/C1476*D1476,0)</f>
        <v>0</v>
      </c>
      <c r="F1468" s="1944">
        <v>11.19</v>
      </c>
      <c r="G1468" s="597"/>
      <c r="H1468" s="1644">
        <f t="shared" si="838"/>
        <v>18628</v>
      </c>
      <c r="I1468" s="1644">
        <f t="shared" si="838"/>
        <v>0</v>
      </c>
      <c r="K1468" s="1944"/>
      <c r="L1468" s="597"/>
      <c r="M1468" s="1944"/>
      <c r="N1468" s="597"/>
      <c r="O1468" s="1944"/>
      <c r="P1468" s="597"/>
      <c r="Q1468" s="1944"/>
      <c r="R1468" s="597"/>
      <c r="S1468" s="1645"/>
      <c r="T1468" s="1645"/>
      <c r="U1468" s="1645"/>
      <c r="V1468" s="1645"/>
      <c r="W1468" s="1645"/>
      <c r="X1468" s="1645"/>
      <c r="Y1468" s="1644"/>
      <c r="AI1468" s="2023">
        <f>W1468-'Blocking-Step2'!W1468</f>
        <v>0</v>
      </c>
      <c r="AJ1468" s="2054">
        <f>O1468-'Blocking-Step2'!O1468</f>
        <v>0</v>
      </c>
    </row>
    <row r="1469" spans="1:36">
      <c r="A1469" s="1900" t="s">
        <v>261</v>
      </c>
      <c r="C1469" s="528">
        <f>'8'!L16</f>
        <v>4434.3274336283203</v>
      </c>
      <c r="D1469" s="528">
        <f>ROUND(C1469/C1476*D1476,0)</f>
        <v>0</v>
      </c>
      <c r="F1469" s="1944">
        <v>-1.1299999999999999</v>
      </c>
      <c r="G1469" s="597"/>
      <c r="H1469" s="1644">
        <f t="shared" si="838"/>
        <v>-5011</v>
      </c>
      <c r="I1469" s="1644">
        <f t="shared" si="838"/>
        <v>0</v>
      </c>
      <c r="K1469" s="1944">
        <f>K1387</f>
        <v>-1.1299999999999999</v>
      </c>
      <c r="L1469" s="597"/>
      <c r="M1469" s="1944">
        <f>M1387</f>
        <v>0</v>
      </c>
      <c r="N1469" s="597"/>
      <c r="O1469" s="1944">
        <f>O1387</f>
        <v>0</v>
      </c>
      <c r="P1469" s="597"/>
      <c r="Q1469" s="1944">
        <f>Q1387</f>
        <v>-1.1299999999999999</v>
      </c>
      <c r="R1469" s="597"/>
      <c r="S1469" s="1644">
        <f t="shared" ref="S1469" si="851">ROUND($D1469*K1469,0)</f>
        <v>0</v>
      </c>
      <c r="T1469" s="1644"/>
      <c r="U1469" s="1644">
        <f t="shared" ref="U1469" si="852">ROUND($D1469*M1469,0)</f>
        <v>0</v>
      </c>
      <c r="V1469" s="1644"/>
      <c r="W1469" s="1644">
        <f t="shared" ref="W1469" si="853">ROUND($D1469*O1469,0)</f>
        <v>0</v>
      </c>
      <c r="X1469" s="1645"/>
      <c r="Y1469" s="1644">
        <f>ROUND($D1469*Q1469,0)</f>
        <v>0</v>
      </c>
      <c r="AI1469" s="2023">
        <f>W1469-'Blocking-Step2'!W1469</f>
        <v>0</v>
      </c>
      <c r="AJ1469" s="2054">
        <f>O1469-'Blocking-Step2'!O1469</f>
        <v>0</v>
      </c>
    </row>
    <row r="1470" spans="1:36">
      <c r="A1470" s="1900" t="s">
        <v>188</v>
      </c>
      <c r="C1470" s="528">
        <f>'8'!N16+TempRev!W344</f>
        <v>289683.51052581088</v>
      </c>
      <c r="D1470" s="528">
        <f>D1476-SUM(D1471:D1473)</f>
        <v>0</v>
      </c>
      <c r="F1470" s="1943">
        <v>5.0473999999999997</v>
      </c>
      <c r="G1470" s="1921" t="s">
        <v>495</v>
      </c>
      <c r="H1470" s="1644">
        <f t="shared" ref="H1470:I1472" si="854">ROUND($F1470*C1470/100,0)</f>
        <v>14621</v>
      </c>
      <c r="I1470" s="1644">
        <f t="shared" si="854"/>
        <v>0</v>
      </c>
      <c r="K1470" s="1943"/>
      <c r="L1470" s="1921"/>
      <c r="M1470" s="1943"/>
      <c r="N1470" s="1921"/>
      <c r="O1470" s="1943"/>
      <c r="P1470" s="1921"/>
      <c r="Q1470" s="1943"/>
      <c r="R1470" s="1921"/>
      <c r="S1470" s="1648"/>
      <c r="T1470" s="1648"/>
      <c r="U1470" s="1648"/>
      <c r="V1470" s="1648"/>
      <c r="W1470" s="1648"/>
      <c r="X1470" s="1648"/>
      <c r="Y1470" s="1644"/>
      <c r="AI1470" s="2023">
        <f>W1470-'Blocking-Step2'!W1470</f>
        <v>0</v>
      </c>
      <c r="AJ1470" s="2054">
        <f>O1470-'Blocking-Step2'!O1470</f>
        <v>0</v>
      </c>
    </row>
    <row r="1471" spans="1:36">
      <c r="A1471" s="1900" t="s">
        <v>163</v>
      </c>
      <c r="C1471" s="528">
        <f>'8'!O16+TempRev!W345</f>
        <v>383996.2842306738</v>
      </c>
      <c r="D1471" s="528">
        <f>ROUND(C1471/(C1476-C1473)*D1476,0)</f>
        <v>0</v>
      </c>
      <c r="F1471" s="1943">
        <v>3.9510999999999998</v>
      </c>
      <c r="G1471" s="1921" t="s">
        <v>495</v>
      </c>
      <c r="H1471" s="1644">
        <f t="shared" si="854"/>
        <v>15172</v>
      </c>
      <c r="I1471" s="1644">
        <f t="shared" si="854"/>
        <v>0</v>
      </c>
      <c r="K1471" s="1943"/>
      <c r="L1471" s="1921"/>
      <c r="M1471" s="1943"/>
      <c r="N1471" s="1921"/>
      <c r="O1471" s="1943"/>
      <c r="P1471" s="1921"/>
      <c r="Q1471" s="1943"/>
      <c r="R1471" s="1921"/>
      <c r="S1471" s="1648"/>
      <c r="T1471" s="1648"/>
      <c r="U1471" s="1648"/>
      <c r="V1471" s="1648"/>
      <c r="W1471" s="1648"/>
      <c r="X1471" s="1648"/>
      <c r="Y1471" s="1644"/>
      <c r="AI1471" s="2023">
        <f>W1471-'Blocking-Step2'!W1471</f>
        <v>0</v>
      </c>
      <c r="AJ1471" s="2054">
        <f>O1471-'Blocking-Step2'!O1471</f>
        <v>0</v>
      </c>
    </row>
    <row r="1472" spans="1:36">
      <c r="A1472" s="1900" t="s">
        <v>249</v>
      </c>
      <c r="C1472" s="528">
        <f>'8'!P16+TempRev!W346</f>
        <v>934511.51223200338</v>
      </c>
      <c r="D1472" s="528">
        <f>ROUND(C1472/(C1476-C1473)*D1476,0)</f>
        <v>0</v>
      </c>
      <c r="F1472" s="1943">
        <v>3.4001999999999999</v>
      </c>
      <c r="G1472" s="1921" t="s">
        <v>495</v>
      </c>
      <c r="H1472" s="1644">
        <f t="shared" si="854"/>
        <v>31775</v>
      </c>
      <c r="I1472" s="1644">
        <f t="shared" si="854"/>
        <v>0</v>
      </c>
      <c r="K1472" s="1943"/>
      <c r="L1472" s="1921"/>
      <c r="M1472" s="1943"/>
      <c r="N1472" s="1921"/>
      <c r="O1472" s="1943"/>
      <c r="P1472" s="1921"/>
      <c r="Q1472" s="1943"/>
      <c r="R1472" s="1921"/>
      <c r="S1472" s="1648"/>
      <c r="T1472" s="1648"/>
      <c r="U1472" s="1648"/>
      <c r="V1472" s="1648"/>
      <c r="W1472" s="1648"/>
      <c r="X1472" s="1648"/>
      <c r="Y1472" s="1644"/>
      <c r="AI1472" s="2023">
        <f>W1472-'Blocking-Step2'!W1472</f>
        <v>0</v>
      </c>
      <c r="AJ1472" s="2054">
        <f>O1472-'Blocking-Step2'!O1472</f>
        <v>0</v>
      </c>
    </row>
    <row r="1473" spans="1:36">
      <c r="A1473" s="1900" t="s">
        <v>246</v>
      </c>
      <c r="C1473" s="529">
        <f>'Table 2'!J55</f>
        <v>8531</v>
      </c>
      <c r="D1473" s="529">
        <v>0</v>
      </c>
      <c r="H1473" s="1030">
        <f>'Table 3'!F55</f>
        <v>806</v>
      </c>
      <c r="I1473" s="1030">
        <v>0</v>
      </c>
      <c r="Y1473" s="1030"/>
      <c r="AI1473" s="2023">
        <f>W1473-'Blocking-Step2'!W1473</f>
        <v>0</v>
      </c>
      <c r="AJ1473" s="2054">
        <f>O1473-'Blocking-Step2'!O1473</f>
        <v>0</v>
      </c>
    </row>
    <row r="1474" spans="1:36">
      <c r="A1474" s="1900" t="s">
        <v>1240</v>
      </c>
      <c r="C1474" s="584"/>
      <c r="D1474" s="584"/>
      <c r="F1474" s="1930">
        <v>-3.1800000000000002E-2</v>
      </c>
      <c r="G1474" s="597"/>
      <c r="H1474" s="1644">
        <f>SUM(H1467:H1468,H1470:H1472)*$F1474</f>
        <v>-3920.6856000000002</v>
      </c>
      <c r="I1474" s="1644">
        <f>SUM(I1467:I1468,I1470:I1472)*$F1474</f>
        <v>0</v>
      </c>
      <c r="K1474" s="1930"/>
      <c r="L1474" s="597"/>
      <c r="M1474" s="1930"/>
      <c r="N1474" s="597"/>
      <c r="O1474" s="1931" t="str">
        <f>$O$43</f>
        <v>Tax Year 1 (1/1/2021)</v>
      </c>
      <c r="P1474" s="597"/>
      <c r="Q1474" s="1930">
        <f>$Q$1392</f>
        <v>-1.46E-2</v>
      </c>
      <c r="R1474" s="597"/>
      <c r="S1474" s="1645"/>
      <c r="T1474" s="1645"/>
      <c r="U1474" s="1645"/>
      <c r="V1474" s="1645"/>
      <c r="W1474" s="1645"/>
      <c r="X1474" s="1645"/>
      <c r="Y1474" s="1644">
        <f>Q1474*SUM(Y1461:Y1466)</f>
        <v>0</v>
      </c>
      <c r="AI1474" s="2023">
        <f>W1474-'Blocking-Step2'!W1474</f>
        <v>0</v>
      </c>
      <c r="AJ1474" s="2054">
        <f>O1474-'Blocking-Step2'!O1474</f>
        <v>0</v>
      </c>
    </row>
    <row r="1475" spans="1:36">
      <c r="A1475" s="1900"/>
      <c r="C1475" s="584"/>
      <c r="D1475" s="584"/>
      <c r="F1475" s="1930"/>
      <c r="G1475" s="597"/>
      <c r="H1475" s="1644"/>
      <c r="I1475" s="1644"/>
      <c r="K1475" s="1930"/>
      <c r="L1475" s="597"/>
      <c r="M1475" s="1930"/>
      <c r="N1475" s="597"/>
      <c r="O1475" s="1931">
        <f>$O$44</f>
        <v>0</v>
      </c>
      <c r="P1475" s="597"/>
      <c r="Q1475" s="1930">
        <f>$Q$1393</f>
        <v>0</v>
      </c>
      <c r="R1475" s="597"/>
      <c r="S1475" s="1645"/>
      <c r="T1475" s="1645"/>
      <c r="U1475" s="1645"/>
      <c r="V1475" s="1645"/>
      <c r="W1475" s="1645"/>
      <c r="X1475" s="1645"/>
      <c r="Y1475" s="1644">
        <f>Q1475*SUM(Y1461:Y1466)</f>
        <v>0</v>
      </c>
      <c r="AI1475" s="2023">
        <f>W1475-'Blocking-Step2'!W1475</f>
        <v>0</v>
      </c>
      <c r="AJ1475" s="2054">
        <f>O1475-'Blocking-Step2'!O1475</f>
        <v>0</v>
      </c>
    </row>
    <row r="1476" spans="1:36" ht="16.5" thickBot="1">
      <c r="A1476" s="1900" t="s">
        <v>247</v>
      </c>
      <c r="C1476" s="1949">
        <f>SUM(C1470:C1473)</f>
        <v>1616722.306988488</v>
      </c>
      <c r="D1476" s="1949">
        <v>0</v>
      </c>
      <c r="F1476" s="1939"/>
      <c r="H1476" s="1647">
        <f>SUM(H1459:H1474)</f>
        <v>137242.3144</v>
      </c>
      <c r="I1476" s="1647">
        <f>SUM(I1459:I1474)</f>
        <v>0</v>
      </c>
      <c r="K1476" s="1939"/>
      <c r="M1476" s="1939"/>
      <c r="O1476" s="1939"/>
      <c r="Q1476" s="1939"/>
      <c r="S1476" s="1647">
        <f>SUM(S1459:S1473)</f>
        <v>0</v>
      </c>
      <c r="U1476" s="1647">
        <f>SUM(U1459:U1473)</f>
        <v>0</v>
      </c>
      <c r="W1476" s="1647">
        <f>SUM(W1459:W1473)</f>
        <v>0</v>
      </c>
      <c r="Y1476" s="1647">
        <f>SUM(Y1459:Y1473)</f>
        <v>0</v>
      </c>
      <c r="AA1476" s="1104" t="s">
        <v>1743</v>
      </c>
      <c r="AB1476" s="1890"/>
      <c r="AI1476" s="2023">
        <f>W1476-'Blocking-Step2'!W1476</f>
        <v>0</v>
      </c>
      <c r="AJ1476" s="2054">
        <f>O1476-'Blocking-Step2'!O1476</f>
        <v>0</v>
      </c>
    </row>
    <row r="1477" spans="1:36">
      <c r="AI1477" s="2023">
        <f>W1477-'Blocking-Step2'!W1477</f>
        <v>0</v>
      </c>
      <c r="AJ1477" s="2054">
        <f>O1477-'Blocking-Step2'!O1477</f>
        <v>0</v>
      </c>
    </row>
    <row r="1478" spans="1:36">
      <c r="A1478" s="1897" t="s">
        <v>560</v>
      </c>
      <c r="C1478" s="528"/>
      <c r="D1478" s="528"/>
      <c r="AA1478" s="1104" t="s">
        <v>2204</v>
      </c>
      <c r="AB1478" s="1104"/>
      <c r="AI1478" s="2023">
        <f>W1478-'Blocking-Step2'!W1478</f>
        <v>0</v>
      </c>
      <c r="AJ1478" s="2054">
        <f>O1478-'Blocking-Step2'!O1478</f>
        <v>0</v>
      </c>
    </row>
    <row r="1479" spans="1:36">
      <c r="A1479" s="1900" t="s">
        <v>240</v>
      </c>
      <c r="C1479" s="528">
        <f t="shared" ref="C1479:D1492" si="855">C1500+C1519</f>
        <v>1822.5331274131279</v>
      </c>
      <c r="D1479" s="528">
        <f t="shared" si="855"/>
        <v>1872</v>
      </c>
      <c r="F1479" s="1901">
        <v>259</v>
      </c>
      <c r="G1479" s="1902"/>
      <c r="H1479" s="1644">
        <f t="shared" ref="H1479:I1488" si="856">ROUND($F1479*C1479,0)</f>
        <v>472036</v>
      </c>
      <c r="I1479" s="1644">
        <f t="shared" si="856"/>
        <v>484848</v>
      </c>
      <c r="K1479" s="1901">
        <f>ROUND(S1479/$D1479,2)</f>
        <v>265</v>
      </c>
      <c r="L1479" s="1902"/>
      <c r="M1479" s="1901">
        <f>Q1479-K1479-O1479</f>
        <v>0</v>
      </c>
      <c r="N1479" s="1902"/>
      <c r="O1479" s="1901"/>
      <c r="P1479" s="1902"/>
      <c r="Q1479" s="1901">
        <f>ROUND(F1479*(1+$AB$1483),0)</f>
        <v>265</v>
      </c>
      <c r="R1479" s="1902"/>
      <c r="S1479" s="1643">
        <f>MIN(S1495,Y1479)</f>
        <v>496080</v>
      </c>
      <c r="T1479" s="1643"/>
      <c r="U1479" s="1644">
        <f t="shared" ref="U1479:U1480" si="857">ROUND($D1479*M1479,0)</f>
        <v>0</v>
      </c>
      <c r="V1479" s="1644"/>
      <c r="W1479" s="1644">
        <f t="shared" ref="W1479:W1480" si="858">ROUND($D1479*O1479,0)</f>
        <v>0</v>
      </c>
      <c r="X1479" s="1643"/>
      <c r="Y1479" s="1644">
        <f>ROUND($D1479*Q1479,0)</f>
        <v>496080</v>
      </c>
      <c r="AA1479" s="1903" t="s">
        <v>1741</v>
      </c>
      <c r="AB1479" s="1904">
        <f>Y1495+Y1557+Y1917+Y2331+Y2606</f>
        <v>301675136</v>
      </c>
      <c r="AI1479" s="2023">
        <f>W1479-'Blocking-Step2'!W1479</f>
        <v>0</v>
      </c>
      <c r="AJ1479" s="2054">
        <f>O1479-'Blocking-Step2'!O1479</f>
        <v>0</v>
      </c>
    </row>
    <row r="1480" spans="1:36">
      <c r="A1480" s="1900" t="s">
        <v>168</v>
      </c>
      <c r="C1480" s="528">
        <f t="shared" si="855"/>
        <v>8204516.3288288303</v>
      </c>
      <c r="D1480" s="528">
        <f t="shared" si="855"/>
        <v>8792631</v>
      </c>
      <c r="F1480" s="1901">
        <v>2.2200000000000002</v>
      </c>
      <c r="G1480" s="1902"/>
      <c r="H1480" s="1644">
        <f>ROUND($F1480*C1480,0)</f>
        <v>18214026</v>
      </c>
      <c r="I1480" s="1644">
        <f>ROUND($F1480*D1480,0)</f>
        <v>19519641</v>
      </c>
      <c r="K1480" s="1901">
        <f>ROUND(S1480/$D1480,2)</f>
        <v>2.27</v>
      </c>
      <c r="L1480" s="1902"/>
      <c r="M1480" s="1901">
        <f t="shared" ref="M1480:M1486" si="859">Q1480-K1480-O1480</f>
        <v>0</v>
      </c>
      <c r="N1480" s="1902"/>
      <c r="O1480" s="1901"/>
      <c r="P1480" s="1902"/>
      <c r="Q1480" s="1901">
        <f>ROUND(F1480*(1+$AB$1483),2)</f>
        <v>2.27</v>
      </c>
      <c r="R1480" s="1902"/>
      <c r="S1480" s="1643">
        <f>MIN(S1495-S1479,Y1480)</f>
        <v>19959272</v>
      </c>
      <c r="T1480" s="1643"/>
      <c r="U1480" s="1644">
        <f t="shared" si="857"/>
        <v>0</v>
      </c>
      <c r="V1480" s="1644"/>
      <c r="W1480" s="1644">
        <f t="shared" si="858"/>
        <v>0</v>
      </c>
      <c r="X1480" s="1643"/>
      <c r="Y1480" s="1644">
        <f t="shared" ref="Y1480:Y1482" si="860">ROUND($D1480*Q1480,0)</f>
        <v>19959272</v>
      </c>
      <c r="AA1480" s="1905" t="s">
        <v>1742</v>
      </c>
      <c r="AB1480" s="1906">
        <f>'Blocking-Step2'!AB1480*RateSpread!$Q$87</f>
        <v>301675136.84806877</v>
      </c>
      <c r="AI1480" s="2023">
        <f>W1480-'Blocking-Step2'!W1480</f>
        <v>0</v>
      </c>
      <c r="AJ1480" s="2054">
        <f>O1480-'Blocking-Step2'!O1480</f>
        <v>0</v>
      </c>
    </row>
    <row r="1481" spans="1:36">
      <c r="A1481" s="1900" t="s">
        <v>1651</v>
      </c>
      <c r="C1481" s="528">
        <f t="shared" si="855"/>
        <v>2671934.0893816734</v>
      </c>
      <c r="D1481" s="528">
        <f t="shared" si="855"/>
        <v>2857444</v>
      </c>
      <c r="F1481" s="1944"/>
      <c r="G1481" s="597"/>
      <c r="H1481" s="1644"/>
      <c r="I1481" s="1644"/>
      <c r="K1481" s="1944">
        <f>ROUND(S1481/$D1481,2)</f>
        <v>4.6900000000000004</v>
      </c>
      <c r="L1481" s="597"/>
      <c r="M1481" s="1944">
        <f t="shared" si="859"/>
        <v>9.61</v>
      </c>
      <c r="N1481" s="597"/>
      <c r="O1481" s="1944"/>
      <c r="P1481" s="597"/>
      <c r="Q1481" s="1944">
        <f>ROUND(F1487*(1+$AB$1483),2)</f>
        <v>14.3</v>
      </c>
      <c r="R1481" s="597"/>
      <c r="S1481" s="1645">
        <f>(S1495-S1479-S1480)*Y1481/(Y1481+Y1482)</f>
        <v>13414133.814006934</v>
      </c>
      <c r="T1481" s="1645"/>
      <c r="U1481" s="1644">
        <f t="shared" ref="U1481:U1482" si="861">ROUND($D1481*M1481,0)</f>
        <v>27460037</v>
      </c>
      <c r="V1481" s="1644"/>
      <c r="W1481" s="1644">
        <f t="shared" ref="W1481:W1482" si="862">ROUND($D1481*O1481,0)</f>
        <v>0</v>
      </c>
      <c r="X1481" s="1645"/>
      <c r="Y1481" s="1644">
        <f t="shared" si="860"/>
        <v>40861449</v>
      </c>
      <c r="AA1481" s="1969" t="s">
        <v>87</v>
      </c>
      <c r="AB1481" s="1906">
        <f>AB1480-AB1479</f>
        <v>0.84806877374649048</v>
      </c>
      <c r="AI1481" s="2023">
        <f>W1481-'Blocking-Step2'!W1481</f>
        <v>0</v>
      </c>
      <c r="AJ1481" s="2054">
        <f>O1481-'Blocking-Step2'!O1481</f>
        <v>0</v>
      </c>
    </row>
    <row r="1482" spans="1:36">
      <c r="A1482" s="1900" t="s">
        <v>1652</v>
      </c>
      <c r="C1482" s="528">
        <f t="shared" si="855"/>
        <v>5230705.6305531329</v>
      </c>
      <c r="D1482" s="528">
        <f t="shared" si="855"/>
        <v>5600405</v>
      </c>
      <c r="F1482" s="1944"/>
      <c r="G1482" s="597"/>
      <c r="H1482" s="1644"/>
      <c r="I1482" s="1644"/>
      <c r="K1482" s="1944">
        <f>ROUND(S1482/$D1482,2)</f>
        <v>4.1500000000000004</v>
      </c>
      <c r="L1482" s="597"/>
      <c r="M1482" s="1944">
        <f t="shared" si="859"/>
        <v>8.5</v>
      </c>
      <c r="N1482" s="597"/>
      <c r="O1482" s="1944"/>
      <c r="P1482" s="597"/>
      <c r="Q1482" s="1944">
        <f>ROUND(Q1481/$AB$1489,2)</f>
        <v>12.65</v>
      </c>
      <c r="R1482" s="597"/>
      <c r="S1482" s="1645">
        <f>S1495-S1479-S1480-S1481</f>
        <v>23257275.090557374</v>
      </c>
      <c r="T1482" s="1645"/>
      <c r="U1482" s="1644">
        <f t="shared" si="861"/>
        <v>47603443</v>
      </c>
      <c r="V1482" s="1644"/>
      <c r="W1482" s="1644">
        <f t="shared" si="862"/>
        <v>0</v>
      </c>
      <c r="X1482" s="1645"/>
      <c r="Y1482" s="1644">
        <f t="shared" si="860"/>
        <v>70845123</v>
      </c>
      <c r="AA1482" s="1905" t="s">
        <v>1743</v>
      </c>
      <c r="AB1482" s="1953">
        <f>AB1479/(I1495+I1557+I1933+I2331+I2606)-1</f>
        <v>2.4457844276642771E-2</v>
      </c>
      <c r="AI1482" s="2023">
        <f>W1482-'Blocking-Step2'!W1482</f>
        <v>0</v>
      </c>
      <c r="AJ1482" s="2054">
        <f>O1482-'Blocking-Step2'!O1482</f>
        <v>0</v>
      </c>
    </row>
    <row r="1483" spans="1:36">
      <c r="A1483" s="1900" t="s">
        <v>1532</v>
      </c>
      <c r="C1483" s="528">
        <f t="shared" si="855"/>
        <v>319244318.2292161</v>
      </c>
      <c r="D1483" s="528">
        <f t="shared" si="855"/>
        <v>337257779</v>
      </c>
      <c r="F1483" s="1943"/>
      <c r="G1483" s="1921"/>
      <c r="H1483" s="1644"/>
      <c r="I1483" s="1644"/>
      <c r="K1483" s="1923"/>
      <c r="L1483" s="1921"/>
      <c r="M1483" s="1923">
        <f t="shared" si="859"/>
        <v>1.0266514814000001</v>
      </c>
      <c r="N1483" s="1921" t="s">
        <v>495</v>
      </c>
      <c r="O1483" s="1920">
        <f>'Blocking-Step2'!O1483</f>
        <v>4.1108761607000002</v>
      </c>
      <c r="P1483" s="1921" t="s">
        <v>495</v>
      </c>
      <c r="Q1483" s="1943">
        <f>ROUND((AB1480-SUM(Y1479:Y1482,Y1538:Y1541,Y1901:Y1904,Y2296:Y2308,Y2315:Y2317,Y2587:Y2592))/(D1483+D1542+D1905+D2318+D2593+$AB$1488*(D1485+D1544+D1907+D2320+D2595)+1/$AB$1489*(D1484+D1543+D1906+D2319+D2594+$AB$1488*(D1486+D1545+D1908+D2321+D2596)))*100,10)</f>
        <v>5.1375276421000002</v>
      </c>
      <c r="R1483" s="1921" t="s">
        <v>495</v>
      </c>
      <c r="S1483" s="1648"/>
      <c r="T1483" s="1648"/>
      <c r="U1483" s="1644">
        <f>ROUND($D1483*M1483/100,0)</f>
        <v>3462462</v>
      </c>
      <c r="V1483" s="1644"/>
      <c r="W1483" s="1644">
        <f>ROUND($D1483*O1483/100,0)</f>
        <v>13864250</v>
      </c>
      <c r="X1483" s="1648"/>
      <c r="Y1483" s="1644">
        <f>ROUND($D1483*Q1483/100,0)</f>
        <v>17326712</v>
      </c>
      <c r="AA1483" s="1905" t="s">
        <v>1744</v>
      </c>
      <c r="AB1483" s="1953">
        <f>AB1480/(I1495+I1557+I1933+I2331+I2606)-1</f>
        <v>2.445784715659749E-2</v>
      </c>
      <c r="AC1483" s="1953"/>
      <c r="AI1483" s="2023">
        <f>W1483-'Blocking-Step2'!W1483</f>
        <v>2864690.0680455025</v>
      </c>
      <c r="AJ1483" s="2054">
        <f>O1483-'Blocking-Step2'!O1483</f>
        <v>0</v>
      </c>
    </row>
    <row r="1484" spans="1:36">
      <c r="A1484" s="1900" t="s">
        <v>1653</v>
      </c>
      <c r="C1484" s="528">
        <f t="shared" si="855"/>
        <v>617810732.40477073</v>
      </c>
      <c r="D1484" s="528">
        <f t="shared" si="855"/>
        <v>653220065</v>
      </c>
      <c r="F1484" s="1943"/>
      <c r="G1484" s="1921"/>
      <c r="H1484" s="1644"/>
      <c r="I1484" s="1644"/>
      <c r="K1484" s="1923"/>
      <c r="L1484" s="1921"/>
      <c r="M1484" s="1923">
        <f t="shared" si="859"/>
        <v>1.0342499835399996</v>
      </c>
      <c r="N1484" s="1921" t="s">
        <v>495</v>
      </c>
      <c r="O1484" s="1920">
        <f>'Blocking-Step2'!O1484</f>
        <v>3.5122346554870001</v>
      </c>
      <c r="P1484" s="1921" t="s">
        <v>495</v>
      </c>
      <c r="Q1484" s="1943">
        <f>ROUND(Q1483/$AB$1489,$AB$8)</f>
        <v>4.5464846390269997</v>
      </c>
      <c r="R1484" s="1921" t="s">
        <v>495</v>
      </c>
      <c r="S1484" s="1648"/>
      <c r="T1484" s="1648"/>
      <c r="U1484" s="1644">
        <f t="shared" ref="U1484:U1486" si="863">ROUND($D1484*M1484/100,0)</f>
        <v>6755928</v>
      </c>
      <c r="V1484" s="1644"/>
      <c r="W1484" s="1644">
        <f t="shared" ref="W1484:W1486" si="864">ROUND($D1484*O1484/100,0)</f>
        <v>22942621</v>
      </c>
      <c r="X1484" s="1648"/>
      <c r="Y1484" s="1644">
        <f t="shared" ref="Y1484:Y1486" si="865">ROUND($D1484*Q1484/100,0)</f>
        <v>29698550</v>
      </c>
      <c r="AA1484" s="1905" t="s">
        <v>1678</v>
      </c>
      <c r="AB1484" s="1953">
        <f>SUM(Y1479,Y1538,Y1901,Y2231,Y2253,Y2543:Y2548)/SUM(I1479,I1538,I1927,I2231,I2253,I2543:I2548)-1</f>
        <v>2.8443173967239721E-2</v>
      </c>
      <c r="AI1484" s="2023">
        <f>W1484-'Blocking-Step2'!W1484</f>
        <v>4089015.5142437667</v>
      </c>
      <c r="AJ1484" s="2054">
        <f>O1484-'Blocking-Step2'!O1484</f>
        <v>0</v>
      </c>
    </row>
    <row r="1485" spans="1:36">
      <c r="A1485" s="1900" t="s">
        <v>1533</v>
      </c>
      <c r="C1485" s="528">
        <f t="shared" si="855"/>
        <v>1249749246.2891898</v>
      </c>
      <c r="D1485" s="528">
        <f t="shared" si="855"/>
        <v>1318310247</v>
      </c>
      <c r="F1485" s="1943"/>
      <c r="G1485" s="1921"/>
      <c r="H1485" s="1644"/>
      <c r="I1485" s="1644"/>
      <c r="K1485" s="1923"/>
      <c r="L1485" s="1921"/>
      <c r="M1485" s="1923">
        <f t="shared" si="859"/>
        <v>1.0591286997309999</v>
      </c>
      <c r="N1485" s="1921" t="s">
        <v>495</v>
      </c>
      <c r="O1485" s="1920">
        <f>'Blocking-Step2'!O1485</f>
        <v>1.5521862361710002</v>
      </c>
      <c r="P1485" s="1921" t="s">
        <v>495</v>
      </c>
      <c r="Q1485" s="1943">
        <f>ROUND(Q1483*AB1488,$AB$8)</f>
        <v>2.611314935902</v>
      </c>
      <c r="R1485" s="1921" t="s">
        <v>495</v>
      </c>
      <c r="S1485" s="1648"/>
      <c r="T1485" s="1648"/>
      <c r="U1485" s="1644">
        <f t="shared" si="863"/>
        <v>13962602</v>
      </c>
      <c r="V1485" s="1644"/>
      <c r="W1485" s="1644">
        <f t="shared" si="864"/>
        <v>20462630</v>
      </c>
      <c r="X1485" s="1648"/>
      <c r="Y1485" s="1644">
        <f t="shared" si="865"/>
        <v>34425232</v>
      </c>
      <c r="AA1485" s="1905" t="s">
        <v>2207</v>
      </c>
      <c r="AB1485" s="1953">
        <f>SUM(Y1480,Y1539,Y1902,Y2232,Y2254,Y2276,Y2299,Y2315,Y2550:Y2554,Y2590)/SUM(I1480,I1539,I1928,I2232,I2254,I2276,I2299,I2315,I2550:I2554,I2590)-1</f>
        <v>3.1017238935060698E-2</v>
      </c>
      <c r="AI1485" s="2023">
        <f>W1485-'Blocking-Step2'!W1485</f>
        <v>-1391627.1977415048</v>
      </c>
      <c r="AJ1485" s="2054">
        <f>O1485-'Blocking-Step2'!O1485</f>
        <v>0</v>
      </c>
    </row>
    <row r="1486" spans="1:36">
      <c r="A1486" s="1900" t="s">
        <v>2177</v>
      </c>
      <c r="C1486" s="528">
        <f t="shared" si="855"/>
        <v>2408433787.0768232</v>
      </c>
      <c r="D1486" s="528">
        <f t="shared" si="855"/>
        <v>2538543863.3051271</v>
      </c>
      <c r="F1486" s="1943"/>
      <c r="G1486" s="1921"/>
      <c r="H1486" s="1644"/>
      <c r="I1486" s="1644"/>
      <c r="K1486" s="1923"/>
      <c r="L1486" s="1921"/>
      <c r="M1486" s="1923">
        <f t="shared" si="859"/>
        <v>1.0629908847180001</v>
      </c>
      <c r="N1486" s="1921" t="s">
        <v>495</v>
      </c>
      <c r="O1486" s="1920">
        <f>'Blocking-Step2'!O1486</f>
        <v>1.247907288647</v>
      </c>
      <c r="P1486" s="1921" t="s">
        <v>495</v>
      </c>
      <c r="Q1486" s="1943">
        <f>ROUND(Q1485/$AB$1489,$AB$8)</f>
        <v>2.310898173365</v>
      </c>
      <c r="R1486" s="1921" t="s">
        <v>495</v>
      </c>
      <c r="S1486" s="1648"/>
      <c r="T1486" s="1656"/>
      <c r="U1486" s="1644">
        <f t="shared" si="863"/>
        <v>26984490</v>
      </c>
      <c r="V1486" s="1644"/>
      <c r="W1486" s="1644">
        <f t="shared" si="864"/>
        <v>31678674</v>
      </c>
      <c r="X1486" s="1648"/>
      <c r="Y1486" s="1644">
        <f t="shared" si="865"/>
        <v>58663164</v>
      </c>
      <c r="AA1486" s="1905" t="s">
        <v>2205</v>
      </c>
      <c r="AB1486" s="1953">
        <f>SUM(Y1481:Y1482,Y1540:Y1541,Y1903:Y1904,Y2235:Y2242,Y2257:Y2264,Y2279:Y2286,Y2300:Y2301,Y2316:Y2317,Y2557:Y2570,Y2591:Y2592)/SUM(I1487:I1488,I1928,I2244:I2251,I2266:I2273,I2288:I2295,I2306:I2307,I2322:I2323,I2572:I2585,I2597:I2598)-1</f>
        <v>0.17519603294710562</v>
      </c>
      <c r="AI1486" s="2023">
        <f>W1486-'Blocking-Step2'!W1486</f>
        <v>-5562610.8668604493</v>
      </c>
      <c r="AJ1486" s="2054">
        <f>O1486-'Blocking-Step2'!O1486</f>
        <v>0</v>
      </c>
    </row>
    <row r="1487" spans="1:36">
      <c r="A1487" s="1900" t="s">
        <v>18</v>
      </c>
      <c r="C1487" s="528">
        <f t="shared" si="855"/>
        <v>3292870.7134670513</v>
      </c>
      <c r="D1487" s="528">
        <f t="shared" si="855"/>
        <v>3521492</v>
      </c>
      <c r="F1487" s="1901">
        <v>13.96</v>
      </c>
      <c r="G1487" s="1902"/>
      <c r="H1487" s="1644">
        <f t="shared" si="856"/>
        <v>45968475</v>
      </c>
      <c r="I1487" s="1644">
        <f t="shared" si="856"/>
        <v>49160028</v>
      </c>
      <c r="K1487" s="1901"/>
      <c r="L1487" s="1902"/>
      <c r="M1487" s="1901"/>
      <c r="N1487" s="1902"/>
      <c r="O1487" s="1901"/>
      <c r="P1487" s="1902"/>
      <c r="Q1487" s="1901"/>
      <c r="R1487" s="1902"/>
      <c r="S1487" s="1643"/>
      <c r="T1487" s="1643"/>
      <c r="U1487" s="1643"/>
      <c r="V1487" s="1643"/>
      <c r="W1487" s="1643"/>
      <c r="X1487" s="1643"/>
      <c r="Y1487" s="1644"/>
      <c r="AA1487" s="1905" t="s">
        <v>2206</v>
      </c>
      <c r="AB1487" s="1953">
        <f>SUM(Y1483:Y1486,Y1542:Y1545,Y1905:Y1908,Y2302:Y2305,Y2318:Y2321,Y2593:Y2596)/SUM(I1489:I1491,I1552:I1553,I1929:I1930,I2309:I2311,I2324:I2326,I2599:I2601)-1</f>
        <v>-0.11763491199654741</v>
      </c>
      <c r="AI1487" s="2023">
        <f>W1487-'Blocking-Step2'!W1487</f>
        <v>0</v>
      </c>
      <c r="AJ1487" s="2054">
        <f>O1487-'Blocking-Step2'!O1487</f>
        <v>0</v>
      </c>
    </row>
    <row r="1488" spans="1:36">
      <c r="A1488" s="1900" t="s">
        <v>166</v>
      </c>
      <c r="C1488" s="528">
        <f t="shared" si="855"/>
        <v>4604756.4213305144</v>
      </c>
      <c r="D1488" s="528">
        <f t="shared" si="855"/>
        <v>4930214</v>
      </c>
      <c r="F1488" s="1901">
        <v>9.4700000000000006</v>
      </c>
      <c r="G1488" s="1902"/>
      <c r="H1488" s="1644">
        <f t="shared" si="856"/>
        <v>43607043</v>
      </c>
      <c r="I1488" s="1644">
        <f t="shared" si="856"/>
        <v>46689127</v>
      </c>
      <c r="K1488" s="1901"/>
      <c r="L1488" s="1902"/>
      <c r="M1488" s="1901"/>
      <c r="N1488" s="1902"/>
      <c r="O1488" s="1901"/>
      <c r="P1488" s="1902"/>
      <c r="Q1488" s="1901"/>
      <c r="R1488" s="1902"/>
      <c r="S1488" s="1643"/>
      <c r="T1488" s="1643"/>
      <c r="U1488" s="1643"/>
      <c r="V1488" s="1643"/>
      <c r="W1488" s="1643"/>
      <c r="X1488" s="1643"/>
      <c r="Y1488" s="1644"/>
      <c r="AA1488" s="1905" t="s">
        <v>1757</v>
      </c>
      <c r="AB1488" s="1953">
        <f>'Large Profile'!C20/'Large Profile'!C19</f>
        <v>0.50828241088242498</v>
      </c>
      <c r="AI1488" s="2023">
        <f>W1488-'Blocking-Step2'!W1488</f>
        <v>0</v>
      </c>
      <c r="AJ1488" s="2054">
        <f>O1488-'Blocking-Step2'!O1488</f>
        <v>0</v>
      </c>
    </row>
    <row r="1489" spans="1:36">
      <c r="A1489" s="1900" t="s">
        <v>19</v>
      </c>
      <c r="C1489" s="528">
        <f t="shared" si="855"/>
        <v>461574942</v>
      </c>
      <c r="D1489" s="528">
        <f t="shared" si="855"/>
        <v>487619452.30512714</v>
      </c>
      <c r="F1489" s="1970">
        <v>4.6531000000000002</v>
      </c>
      <c r="G1489" s="1921" t="s">
        <v>495</v>
      </c>
      <c r="H1489" s="1644">
        <f t="shared" ref="H1489:I1491" si="866">ROUND($F1489*C1489/100,0)</f>
        <v>21477544</v>
      </c>
      <c r="I1489" s="1644">
        <f t="shared" si="866"/>
        <v>22689421</v>
      </c>
      <c r="K1489" s="1970"/>
      <c r="L1489" s="1921"/>
      <c r="M1489" s="1970"/>
      <c r="N1489" s="1921"/>
      <c r="O1489" s="1970"/>
      <c r="P1489" s="1921"/>
      <c r="Q1489" s="1970"/>
      <c r="R1489" s="1921"/>
      <c r="S1489" s="1648"/>
      <c r="T1489" s="1648"/>
      <c r="U1489" s="1648"/>
      <c r="V1489" s="1648"/>
      <c r="W1489" s="1648"/>
      <c r="X1489" s="1648"/>
      <c r="Y1489" s="1644"/>
      <c r="AA1489" s="1915" t="s">
        <v>2203</v>
      </c>
      <c r="AB1489" s="1971">
        <v>1.1299999999999999</v>
      </c>
      <c r="AI1489" s="2023">
        <f>W1489-'Blocking-Step2'!W1489</f>
        <v>0</v>
      </c>
      <c r="AJ1489" s="2054">
        <f>O1489-'Blocking-Step2'!O1489</f>
        <v>0</v>
      </c>
    </row>
    <row r="1490" spans="1:36">
      <c r="A1490" s="1900" t="s">
        <v>257</v>
      </c>
      <c r="C1490" s="528">
        <f t="shared" si="855"/>
        <v>1236552267</v>
      </c>
      <c r="D1490" s="528">
        <f t="shared" si="855"/>
        <v>1307424280</v>
      </c>
      <c r="F1490" s="1970">
        <v>3.4988999999999999</v>
      </c>
      <c r="G1490" s="1921" t="s">
        <v>495</v>
      </c>
      <c r="H1490" s="1644">
        <f t="shared" si="866"/>
        <v>43265727</v>
      </c>
      <c r="I1490" s="1644">
        <f t="shared" si="866"/>
        <v>45745468</v>
      </c>
      <c r="K1490" s="1970"/>
      <c r="L1490" s="1921"/>
      <c r="M1490" s="1970"/>
      <c r="N1490" s="1921"/>
      <c r="O1490" s="1970"/>
      <c r="P1490" s="1921"/>
      <c r="Q1490" s="1970"/>
      <c r="R1490" s="1921"/>
      <c r="S1490" s="1648"/>
      <c r="T1490" s="1648"/>
      <c r="U1490" s="1648"/>
      <c r="V1490" s="1648"/>
      <c r="W1490" s="1648"/>
      <c r="X1490" s="1648"/>
      <c r="Y1490" s="1644"/>
      <c r="AA1490" s="1109" t="s">
        <v>1753</v>
      </c>
      <c r="AB1490" s="1946">
        <f>(Y1495)/(I1495)-1</f>
        <v>2.4711120815976262E-2</v>
      </c>
      <c r="AI1490" s="2023">
        <f>W1490-'Blocking-Step2'!W1490</f>
        <v>0</v>
      </c>
      <c r="AJ1490" s="2054">
        <f>O1490-'Blocking-Step2'!O1490</f>
        <v>0</v>
      </c>
    </row>
    <row r="1491" spans="1:36">
      <c r="A1491" s="1900" t="s">
        <v>249</v>
      </c>
      <c r="C1491" s="528">
        <f t="shared" si="855"/>
        <v>2897110875</v>
      </c>
      <c r="D1491" s="528">
        <f t="shared" si="855"/>
        <v>3052288222</v>
      </c>
      <c r="F1491" s="1972">
        <v>2.9224999999999999</v>
      </c>
      <c r="G1491" s="1921" t="s">
        <v>495</v>
      </c>
      <c r="H1491" s="1644">
        <f t="shared" si="866"/>
        <v>84668065</v>
      </c>
      <c r="I1491" s="1644">
        <f t="shared" si="866"/>
        <v>89203123</v>
      </c>
      <c r="K1491" s="1972"/>
      <c r="L1491" s="1921"/>
      <c r="M1491" s="1972"/>
      <c r="N1491" s="1921"/>
      <c r="O1491" s="1972"/>
      <c r="P1491" s="1921"/>
      <c r="Q1491" s="1972"/>
      <c r="R1491" s="1921"/>
      <c r="S1491" s="1648"/>
      <c r="T1491" s="1648"/>
      <c r="U1491" s="1648"/>
      <c r="V1491" s="1648"/>
      <c r="W1491" s="1648"/>
      <c r="X1491" s="1648"/>
      <c r="Y1491" s="1644"/>
      <c r="AA1491" s="1109" t="s">
        <v>1938</v>
      </c>
      <c r="AB1491" s="1917">
        <f>(RateSpread!V37+RateSpread!V42*'Blocking-Step1'!Y1917/('Blocking-Step1'!Y1917+'Blocking-Step1'!Y1899)+RateSpread!V47+RateSpread!V48)*1000</f>
        <v>-3755181.5712745339</v>
      </c>
      <c r="AC1491" s="1918">
        <f>ROUND((AB1491)/SUM(Y1481:Y1486,Y1540:Y1545,Y1903:Y1908,Y2301:Y2305,Y2316:Y2321,Y2591:Y2596),4)</f>
        <v>-1.41E-2</v>
      </c>
      <c r="AI1491" s="2023">
        <f>W1491-'Blocking-Step2'!W1491</f>
        <v>0</v>
      </c>
      <c r="AJ1491" s="2054">
        <f>O1491-'Blocking-Step2'!O1491</f>
        <v>0</v>
      </c>
    </row>
    <row r="1492" spans="1:36">
      <c r="A1492" s="1900" t="s">
        <v>246</v>
      </c>
      <c r="C1492" s="529">
        <f t="shared" si="855"/>
        <v>-53797825</v>
      </c>
      <c r="D1492" s="529">
        <f t="shared" si="855"/>
        <v>0</v>
      </c>
      <c r="H1492" s="1030">
        <f>H1513+H1532</f>
        <v>-2671415</v>
      </c>
      <c r="I1492" s="1030">
        <f>I1513+I1532</f>
        <v>0</v>
      </c>
      <c r="Y1492" s="1030">
        <f>Y1513+Y1532</f>
        <v>0</v>
      </c>
      <c r="AA1492" s="1109" t="s">
        <v>1939</v>
      </c>
      <c r="AB1492" s="1917">
        <v>0</v>
      </c>
      <c r="AC1492" s="1918">
        <f>ROUND((AB1492)/SUM(Y1481:Y1486,Y1540:Y1545,Y1903:Y1908,Y2301:Y2305,Y2316:Y2321,Y2591:Y2596),4)</f>
        <v>0</v>
      </c>
      <c r="AI1492" s="2023">
        <f>W1492-'Blocking-Step2'!W1492</f>
        <v>0</v>
      </c>
      <c r="AJ1492" s="2054">
        <f>O1492-'Blocking-Step2'!O1492</f>
        <v>0</v>
      </c>
    </row>
    <row r="1493" spans="1:36">
      <c r="A1493" s="1900" t="s">
        <v>1240</v>
      </c>
      <c r="C1493" s="584"/>
      <c r="D1493" s="584"/>
      <c r="F1493" s="1930">
        <v>-3.0700000000000002E-2</v>
      </c>
      <c r="G1493" s="597"/>
      <c r="H1493" s="1644">
        <f>SUM(H1487:H1491)*$F1493</f>
        <v>-7336896.4177999999</v>
      </c>
      <c r="I1493" s="1644">
        <f>SUM(I1487:I1491)*$F1493</f>
        <v>-7782056.0268999999</v>
      </c>
      <c r="K1493" s="1930"/>
      <c r="L1493" s="597"/>
      <c r="M1493" s="1930"/>
      <c r="N1493" s="597"/>
      <c r="O1493" s="1931" t="str">
        <f>$O$43</f>
        <v>Tax Year 1 (1/1/2021)</v>
      </c>
      <c r="P1493" s="597"/>
      <c r="Q1493" s="1930">
        <f>$AC$1491</f>
        <v>-1.41E-2</v>
      </c>
      <c r="R1493" s="597"/>
      <c r="S1493" s="1645"/>
      <c r="T1493" s="1645"/>
      <c r="U1493" s="1645"/>
      <c r="V1493" s="1645"/>
      <c r="W1493" s="1645"/>
      <c r="X1493" s="1645"/>
      <c r="Y1493" s="1644">
        <f>Q1493*SUM(Y1481:Y1486)</f>
        <v>-3550665.2429999998</v>
      </c>
      <c r="AA1493" s="1932" t="s">
        <v>1940</v>
      </c>
      <c r="AB1493" s="1932"/>
      <c r="AC1493" s="1932"/>
      <c r="AD1493" s="1932"/>
      <c r="AI1493" s="2023">
        <f>W1493-'Blocking-Step2'!W1493</f>
        <v>0</v>
      </c>
      <c r="AJ1493" s="2054">
        <f>O1493-'Blocking-Step2'!O1493</f>
        <v>0</v>
      </c>
    </row>
    <row r="1494" spans="1:36">
      <c r="A1494" s="1900"/>
      <c r="C1494" s="584"/>
      <c r="D1494" s="584"/>
      <c r="F1494" s="1930"/>
      <c r="G1494" s="597"/>
      <c r="H1494" s="1644"/>
      <c r="I1494" s="1644"/>
      <c r="K1494" s="1930"/>
      <c r="L1494" s="597"/>
      <c r="M1494" s="1930"/>
      <c r="N1494" s="597"/>
      <c r="O1494" s="1931">
        <f>$O$44</f>
        <v>0</v>
      </c>
      <c r="P1494" s="597"/>
      <c r="Q1494" s="1930">
        <f>$AC$1492</f>
        <v>0</v>
      </c>
      <c r="R1494" s="597"/>
      <c r="S1494" s="1645"/>
      <c r="T1494" s="1645"/>
      <c r="U1494" s="1645"/>
      <c r="V1494" s="1645"/>
      <c r="W1494" s="1645"/>
      <c r="X1494" s="1645"/>
      <c r="Y1494" s="1644">
        <f>Q1494*SUM(Y1481:Y1486)</f>
        <v>0</v>
      </c>
      <c r="AA1494" s="1933" t="s">
        <v>1660</v>
      </c>
      <c r="AB1494" s="1933" t="s">
        <v>1661</v>
      </c>
      <c r="AC1494" s="1933" t="s">
        <v>1662</v>
      </c>
      <c r="AD1494" s="1933" t="s">
        <v>93</v>
      </c>
      <c r="AI1494" s="2023">
        <f>W1494-'Blocking-Step2'!W1494</f>
        <v>0</v>
      </c>
      <c r="AJ1494" s="2054">
        <f>O1494-'Blocking-Step2'!O1494</f>
        <v>0</v>
      </c>
    </row>
    <row r="1495" spans="1:36" ht="16.5" thickBot="1">
      <c r="A1495" s="1900" t="s">
        <v>247</v>
      </c>
      <c r="C1495" s="1949">
        <f>SUM(C1489:C1492)</f>
        <v>4541440259</v>
      </c>
      <c r="D1495" s="1949">
        <f>SUM(D1489:D1492)</f>
        <v>4847331954.3051271</v>
      </c>
      <c r="F1495" s="1939"/>
      <c r="H1495" s="1647">
        <f>SUM(H1479:H1493)</f>
        <v>247664604.58219999</v>
      </c>
      <c r="I1495" s="1647">
        <f>SUM(I1479:I1493)</f>
        <v>265709599.97310001</v>
      </c>
      <c r="K1495" s="1939"/>
      <c r="M1495" s="1939"/>
      <c r="O1495" s="1939"/>
      <c r="Q1495" s="1939"/>
      <c r="S1495" s="1154">
        <f>($Y1495-$W1495)*AA1495/(AA1495+AB1495)</f>
        <v>57126760.904564306</v>
      </c>
      <c r="T1495" s="1154"/>
      <c r="U1495" s="1154">
        <f>Y1495-S1495-W1495</f>
        <v>126200646.09543568</v>
      </c>
      <c r="V1495" s="1154"/>
      <c r="W1495" s="1154">
        <f>SUM(W1479:W1494)</f>
        <v>88948175</v>
      </c>
      <c r="Y1495" s="1647">
        <f>SUM(Y1479:Y1492)</f>
        <v>272275582</v>
      </c>
      <c r="AA1495" s="1937">
        <f>'Unit Cost Target'!$H$87+'Unit Cost Target'!$H$123+'Unit Cost Target'!$H$129+'Unit Cost Target'!$H$75+'Unit Cost Target'!$H$81</f>
        <v>59241729.768442243</v>
      </c>
      <c r="AB1495" s="1937">
        <f>'Unit Cost Target'!$H$45+'Unit Cost Target'!$H$51</f>
        <v>130872894.84307647</v>
      </c>
      <c r="AC1495" s="1937">
        <f>'Unit Cost Target'!$H$33+'Unit Cost Target'!$H$39+'Unit Cost Target'!$H$63+'Unit Cost Target'!$H$69</f>
        <v>97407843.091679543</v>
      </c>
      <c r="AD1495" s="1937">
        <f>SUM(AA1495:AC1495)</f>
        <v>287522467.70319825</v>
      </c>
      <c r="AE1495" s="1937">
        <f>AD1495-'Unit Cost Target'!$H$21</f>
        <v>0</v>
      </c>
      <c r="AI1495" s="2023">
        <f>W1495-'Blocking-Step2'!W1495</f>
        <v>-532.48231267929077</v>
      </c>
      <c r="AJ1495" s="2054">
        <f>O1495-'Blocking-Step2'!O1495</f>
        <v>0</v>
      </c>
    </row>
    <row r="1496" spans="1:36" ht="16.5" hidden="1" thickTop="1">
      <c r="C1496" s="528"/>
      <c r="D1496" s="528"/>
      <c r="M1496" s="1964" t="s">
        <v>2309</v>
      </c>
      <c r="O1496" s="1869">
        <f>ROUND(SUM(W1483,W1485)/SUM(D1483,D1485)*100,4)</f>
        <v>2.0733999999999999</v>
      </c>
      <c r="P1496" s="1921" t="s">
        <v>495</v>
      </c>
      <c r="AA1496" s="1937">
        <f>S1495-SUM(S1479:S1494)</f>
        <v>0</v>
      </c>
      <c r="AB1496" s="1937">
        <f>U1495-SUM(U1479:U1494)</f>
        <v>-28315.904564321041</v>
      </c>
      <c r="AC1496" s="1937">
        <f>W1495-SUM(W1479:W1494)</f>
        <v>0</v>
      </c>
      <c r="AD1496" s="1937">
        <f>SUM(AA1496:AC1496)</f>
        <v>-28315.904564321041</v>
      </c>
      <c r="AE1496" s="1937"/>
      <c r="AI1496" s="2023">
        <f>W1496-'Blocking-Step2'!W1496</f>
        <v>0</v>
      </c>
      <c r="AJ1496" s="2054">
        <f>O1496-'Blocking-Step2'!O1496</f>
        <v>8.8999999999999968E-2</v>
      </c>
    </row>
    <row r="1497" spans="1:36" hidden="1">
      <c r="C1497" s="528"/>
      <c r="D1497" s="528"/>
      <c r="M1497" s="1964" t="s">
        <v>2309</v>
      </c>
      <c r="O1497" s="1869">
        <f>ROUND(SUM(W1484,W1486)/SUM(D1484,D1486)*100,4)</f>
        <v>1.7113</v>
      </c>
      <c r="P1497" s="1921" t="s">
        <v>495</v>
      </c>
      <c r="AA1497" s="1937"/>
      <c r="AB1497" s="1937"/>
      <c r="AC1497" s="1937"/>
      <c r="AD1497" s="1937"/>
      <c r="AE1497" s="1937"/>
      <c r="AI1497" s="2023">
        <f>W1497-'Blocking-Step2'!W1497</f>
        <v>0</v>
      </c>
      <c r="AJ1497" s="2054">
        <f>O1497-'Blocking-Step2'!O1497</f>
        <v>-4.6200000000000019E-2</v>
      </c>
    </row>
    <row r="1498" spans="1:36" hidden="1">
      <c r="C1498" s="528"/>
      <c r="D1498" s="528"/>
      <c r="AA1498" s="1937"/>
      <c r="AB1498" s="1937"/>
      <c r="AC1498" s="1937"/>
      <c r="AD1498" s="1937"/>
      <c r="AE1498" s="1937"/>
      <c r="AI1498" s="2023">
        <f>W1498-'Blocking-Step2'!W1498</f>
        <v>0</v>
      </c>
      <c r="AJ1498" s="2054">
        <f>O1498-'Blocking-Step2'!O1498</f>
        <v>0</v>
      </c>
    </row>
    <row r="1499" spans="1:36" hidden="1">
      <c r="A1499" s="1897" t="s">
        <v>561</v>
      </c>
      <c r="C1499" s="528"/>
      <c r="D1499" s="528"/>
      <c r="AI1499" s="2023">
        <f>W1499-'Blocking-Step2'!W1499</f>
        <v>0</v>
      </c>
      <c r="AJ1499" s="2054">
        <f>O1499-'Blocking-Step2'!O1499</f>
        <v>0</v>
      </c>
    </row>
    <row r="1500" spans="1:36" hidden="1">
      <c r="A1500" s="1900" t="s">
        <v>240</v>
      </c>
      <c r="C1500" s="528">
        <f>'9'!G8</f>
        <v>469.39992277992297</v>
      </c>
      <c r="D1500" s="528">
        <f>Bill!P36</f>
        <v>492</v>
      </c>
      <c r="F1500" s="1944">
        <v>259</v>
      </c>
      <c r="G1500" s="597"/>
      <c r="H1500" s="1644">
        <f t="shared" ref="H1500:I1509" si="867">ROUND($F1500*C1500,0)</f>
        <v>121575</v>
      </c>
      <c r="I1500" s="1644">
        <f t="shared" si="867"/>
        <v>127428</v>
      </c>
      <c r="K1500" s="1944">
        <f>K1479</f>
        <v>265</v>
      </c>
      <c r="L1500" s="597"/>
      <c r="M1500" s="1944">
        <f>M1479</f>
        <v>0</v>
      </c>
      <c r="N1500" s="597"/>
      <c r="O1500" s="1944">
        <f>O1479</f>
        <v>0</v>
      </c>
      <c r="P1500" s="597"/>
      <c r="Q1500" s="1944">
        <f t="shared" ref="Q1500:Q1507" si="868">Q1479</f>
        <v>265</v>
      </c>
      <c r="R1500" s="597"/>
      <c r="S1500" s="1644">
        <f t="shared" ref="S1500:S1503" si="869">ROUND($D1500*K1500,0)</f>
        <v>130380</v>
      </c>
      <c r="T1500" s="1645"/>
      <c r="U1500" s="1644">
        <f t="shared" ref="U1500:U1503" si="870">ROUND($D1500*M1500,0)</f>
        <v>0</v>
      </c>
      <c r="V1500" s="1645"/>
      <c r="W1500" s="1644">
        <f t="shared" ref="W1500:W1503" si="871">ROUND($D1500*O1500,0)</f>
        <v>0</v>
      </c>
      <c r="X1500" s="1645"/>
      <c r="Y1500" s="1644">
        <f>ROUND($D1500*Q1500,0)</f>
        <v>130380</v>
      </c>
      <c r="Z1500" s="1878" t="s">
        <v>251</v>
      </c>
      <c r="AI1500" s="2023">
        <f>W1500-'Blocking-Step2'!W1500</f>
        <v>0</v>
      </c>
      <c r="AJ1500" s="2054">
        <f>O1500-'Blocking-Step2'!O1500</f>
        <v>0</v>
      </c>
    </row>
    <row r="1501" spans="1:36" hidden="1">
      <c r="A1501" s="1900" t="s">
        <v>168</v>
      </c>
      <c r="C1501" s="528">
        <f>'9'!H8</f>
        <v>1842774.7972973001</v>
      </c>
      <c r="D1501" s="528">
        <f>ROUND(C1501/C1516*D1516,0)</f>
        <v>2502776</v>
      </c>
      <c r="F1501" s="1944">
        <v>2.2200000000000002</v>
      </c>
      <c r="G1501" s="597"/>
      <c r="H1501" s="1644">
        <f>ROUND($F1501*C1501,0)</f>
        <v>4090960</v>
      </c>
      <c r="I1501" s="1644">
        <f>ROUND($F1501*D1501,0)</f>
        <v>5556163</v>
      </c>
      <c r="K1501" s="1944">
        <f t="shared" ref="K1501:K1507" si="872">K1480</f>
        <v>2.27</v>
      </c>
      <c r="L1501" s="597"/>
      <c r="M1501" s="1944">
        <f t="shared" ref="M1501:M1507" si="873">M1480</f>
        <v>0</v>
      </c>
      <c r="N1501" s="597"/>
      <c r="O1501" s="1944">
        <f t="shared" ref="O1501:O1507" si="874">O1480</f>
        <v>0</v>
      </c>
      <c r="P1501" s="597"/>
      <c r="Q1501" s="1944">
        <f t="shared" si="868"/>
        <v>2.27</v>
      </c>
      <c r="R1501" s="597"/>
      <c r="S1501" s="1644">
        <f t="shared" si="869"/>
        <v>5681302</v>
      </c>
      <c r="T1501" s="1645"/>
      <c r="U1501" s="1644">
        <f t="shared" si="870"/>
        <v>0</v>
      </c>
      <c r="V1501" s="1645"/>
      <c r="W1501" s="1644">
        <f t="shared" si="871"/>
        <v>0</v>
      </c>
      <c r="X1501" s="1645"/>
      <c r="Y1501" s="1644">
        <f t="shared" ref="Y1501:Y1503" si="875">ROUND($D1501*Q1501,0)</f>
        <v>5681302</v>
      </c>
      <c r="AI1501" s="2023">
        <f>W1501-'Blocking-Step2'!W1501</f>
        <v>0</v>
      </c>
      <c r="AJ1501" s="2054">
        <f>O1501-'Blocking-Step2'!O1501</f>
        <v>0</v>
      </c>
    </row>
    <row r="1502" spans="1:36" hidden="1">
      <c r="A1502" s="1900" t="s">
        <v>1651</v>
      </c>
      <c r="C1502" s="528">
        <f>C1508*Z1502</f>
        <v>583838.49794073892</v>
      </c>
      <c r="D1502" s="528">
        <f>ROUND(C1502/C1516*D1516,0)</f>
        <v>792944</v>
      </c>
      <c r="F1502" s="1944"/>
      <c r="G1502" s="597"/>
      <c r="H1502" s="1644"/>
      <c r="I1502" s="1644"/>
      <c r="K1502" s="1944">
        <f t="shared" si="872"/>
        <v>4.6900000000000004</v>
      </c>
      <c r="L1502" s="597"/>
      <c r="M1502" s="1944">
        <f t="shared" si="873"/>
        <v>9.61</v>
      </c>
      <c r="N1502" s="597"/>
      <c r="O1502" s="1944">
        <f t="shared" si="874"/>
        <v>0</v>
      </c>
      <c r="P1502" s="597"/>
      <c r="Q1502" s="1944">
        <f t="shared" si="868"/>
        <v>14.3</v>
      </c>
      <c r="R1502" s="597"/>
      <c r="S1502" s="1644">
        <f t="shared" si="869"/>
        <v>3718907</v>
      </c>
      <c r="T1502" s="1644"/>
      <c r="U1502" s="1644">
        <f t="shared" si="870"/>
        <v>7620192</v>
      </c>
      <c r="V1502" s="1644"/>
      <c r="W1502" s="1644">
        <f t="shared" si="871"/>
        <v>0</v>
      </c>
      <c r="X1502" s="1645"/>
      <c r="Y1502" s="1644">
        <f t="shared" si="875"/>
        <v>11339099</v>
      </c>
      <c r="Z1502" s="1878">
        <f>'Large Profile'!L10</f>
        <v>0.81143000192935111</v>
      </c>
      <c r="AI1502" s="2023">
        <f>W1502-'Blocking-Step2'!W1502</f>
        <v>0</v>
      </c>
      <c r="AJ1502" s="2054">
        <f>O1502-'Blocking-Step2'!O1502</f>
        <v>0</v>
      </c>
    </row>
    <row r="1503" spans="1:36" hidden="1">
      <c r="A1503" s="1900" t="s">
        <v>1652</v>
      </c>
      <c r="C1503" s="528">
        <f>C1509*Z1503</f>
        <v>1160640.393116374</v>
      </c>
      <c r="D1503" s="528">
        <f>ROUND(C1503/C1516*D1516,0)</f>
        <v>1576331</v>
      </c>
      <c r="F1503" s="1944"/>
      <c r="G1503" s="597"/>
      <c r="H1503" s="1644"/>
      <c r="I1503" s="1644"/>
      <c r="K1503" s="1944">
        <f t="shared" si="872"/>
        <v>4.1500000000000004</v>
      </c>
      <c r="L1503" s="597"/>
      <c r="M1503" s="1944">
        <f t="shared" si="873"/>
        <v>8.5</v>
      </c>
      <c r="N1503" s="597"/>
      <c r="O1503" s="1944">
        <f t="shared" si="874"/>
        <v>0</v>
      </c>
      <c r="P1503" s="597"/>
      <c r="Q1503" s="1944">
        <f t="shared" si="868"/>
        <v>12.65</v>
      </c>
      <c r="R1503" s="597"/>
      <c r="S1503" s="1644">
        <f t="shared" si="869"/>
        <v>6541774</v>
      </c>
      <c r="T1503" s="1644"/>
      <c r="U1503" s="1644">
        <f t="shared" si="870"/>
        <v>13398814</v>
      </c>
      <c r="V1503" s="1644"/>
      <c r="W1503" s="1644">
        <f t="shared" si="871"/>
        <v>0</v>
      </c>
      <c r="X1503" s="1645"/>
      <c r="Y1503" s="1644">
        <f t="shared" si="875"/>
        <v>19940587</v>
      </c>
      <c r="Z1503" s="1878">
        <f>'Large Profile'!P10</f>
        <v>1.1359353572586484</v>
      </c>
      <c r="AI1503" s="2023">
        <f>W1503-'Blocking-Step2'!W1503</f>
        <v>0</v>
      </c>
      <c r="AJ1503" s="2054">
        <f>O1503-'Blocking-Step2'!O1503</f>
        <v>0</v>
      </c>
    </row>
    <row r="1504" spans="1:36" hidden="1">
      <c r="A1504" s="1900" t="s">
        <v>1532</v>
      </c>
      <c r="C1504" s="528">
        <f>C1510*Z1504</f>
        <v>68088242.39647606</v>
      </c>
      <c r="D1504" s="528">
        <f>ROUND(C1504/($C$1516-$C$1513)*$D$1516,0)</f>
        <v>92965066</v>
      </c>
      <c r="F1504" s="1943"/>
      <c r="G1504" s="1921"/>
      <c r="H1504" s="1644"/>
      <c r="I1504" s="1644"/>
      <c r="K1504" s="1943">
        <f t="shared" si="872"/>
        <v>0</v>
      </c>
      <c r="L1504" s="1921" t="s">
        <v>495</v>
      </c>
      <c r="M1504" s="1943">
        <f t="shared" si="873"/>
        <v>1.0266514814000001</v>
      </c>
      <c r="N1504" s="1921" t="s">
        <v>495</v>
      </c>
      <c r="O1504" s="1943">
        <f t="shared" si="874"/>
        <v>4.1108761607000002</v>
      </c>
      <c r="P1504" s="1921" t="s">
        <v>495</v>
      </c>
      <c r="Q1504" s="1943">
        <f t="shared" si="868"/>
        <v>5.1375276421000002</v>
      </c>
      <c r="R1504" s="1921" t="s">
        <v>495</v>
      </c>
      <c r="S1504" s="1644">
        <f>ROUND($D1504*K1504/100,0)</f>
        <v>0</v>
      </c>
      <c r="T1504" s="1644"/>
      <c r="U1504" s="1644">
        <f>ROUND($D1504*M1504/100,0)</f>
        <v>954427</v>
      </c>
      <c r="V1504" s="1644"/>
      <c r="W1504" s="1644">
        <f>ROUND($D1504*O1504/100,0)</f>
        <v>3821679</v>
      </c>
      <c r="X1504" s="1648"/>
      <c r="Y1504" s="1644">
        <f>ROUND($D1504*Q1504/100,0)</f>
        <v>4776106</v>
      </c>
      <c r="Z1504" s="1878">
        <f>'Large Profile'!M10</f>
        <v>0.69164135480564293</v>
      </c>
      <c r="AI1504" s="2023">
        <f>W1504-'Blocking-Step2'!W1504</f>
        <v>0</v>
      </c>
      <c r="AJ1504" s="2054">
        <f>O1504-'Blocking-Step2'!O1504</f>
        <v>0</v>
      </c>
    </row>
    <row r="1505" spans="1:36" hidden="1">
      <c r="A1505" s="1900" t="s">
        <v>1653</v>
      </c>
      <c r="C1505" s="528">
        <f>C1511*Z1505</f>
        <v>133164797.03791294</v>
      </c>
      <c r="D1505" s="528">
        <f>ROUND(C1505/($C$1516-$C$1513)*$D$1516,0)</f>
        <v>181818090</v>
      </c>
      <c r="F1505" s="1943"/>
      <c r="G1505" s="1921"/>
      <c r="H1505" s="1644"/>
      <c r="I1505" s="1644"/>
      <c r="K1505" s="1943">
        <f t="shared" si="872"/>
        <v>0</v>
      </c>
      <c r="L1505" s="1921" t="s">
        <v>495</v>
      </c>
      <c r="M1505" s="1943">
        <f t="shared" si="873"/>
        <v>1.0342499835399996</v>
      </c>
      <c r="N1505" s="1921" t="s">
        <v>495</v>
      </c>
      <c r="O1505" s="1943">
        <f t="shared" si="874"/>
        <v>3.5122346554870001</v>
      </c>
      <c r="P1505" s="1921" t="s">
        <v>495</v>
      </c>
      <c r="Q1505" s="1943">
        <f t="shared" si="868"/>
        <v>4.5464846390269997</v>
      </c>
      <c r="R1505" s="1921" t="s">
        <v>495</v>
      </c>
      <c r="S1505" s="1644">
        <f t="shared" ref="S1505:S1507" si="876">ROUND($D1505*K1505/100,0)</f>
        <v>0</v>
      </c>
      <c r="T1505" s="1644"/>
      <c r="U1505" s="1644">
        <f t="shared" ref="U1505:U1507" si="877">ROUND($D1505*M1505/100,0)</f>
        <v>1880454</v>
      </c>
      <c r="V1505" s="1644"/>
      <c r="W1505" s="1644">
        <f t="shared" ref="W1505:W1507" si="878">ROUND($D1505*O1505/100,0)</f>
        <v>6385878</v>
      </c>
      <c r="X1505" s="1648"/>
      <c r="Y1505" s="1644">
        <f t="shared" ref="Y1505:Y1507" si="879">ROUND($D1505*Q1505/100,0)</f>
        <v>8266332</v>
      </c>
      <c r="Z1505" s="1878">
        <f>'Large Profile'!Q10</f>
        <v>0.49962363006591026</v>
      </c>
      <c r="AI1505" s="2023">
        <f>W1505-'Blocking-Step2'!W1505</f>
        <v>0</v>
      </c>
      <c r="AJ1505" s="2054">
        <f>O1505-'Blocking-Step2'!O1505</f>
        <v>0</v>
      </c>
    </row>
    <row r="1506" spans="1:36" hidden="1">
      <c r="A1506" s="1900" t="s">
        <v>1533</v>
      </c>
      <c r="C1506" s="528">
        <f>SUM(C1510:C1512)*Z1506</f>
        <v>261563495.32008475</v>
      </c>
      <c r="D1506" s="528">
        <f>ROUND(C1506/($C$1516-$C$1513)*$D$1516,0)</f>
        <v>357128731</v>
      </c>
      <c r="F1506" s="1943"/>
      <c r="G1506" s="1921"/>
      <c r="H1506" s="1644"/>
      <c r="I1506" s="1644"/>
      <c r="K1506" s="1943">
        <f t="shared" si="872"/>
        <v>0</v>
      </c>
      <c r="L1506" s="1921" t="s">
        <v>495</v>
      </c>
      <c r="M1506" s="1943">
        <f t="shared" si="873"/>
        <v>1.0591286997309999</v>
      </c>
      <c r="N1506" s="1921" t="s">
        <v>495</v>
      </c>
      <c r="O1506" s="1943">
        <f t="shared" si="874"/>
        <v>1.5521862361710002</v>
      </c>
      <c r="P1506" s="1921" t="s">
        <v>495</v>
      </c>
      <c r="Q1506" s="1943">
        <f t="shared" si="868"/>
        <v>2.611314935902</v>
      </c>
      <c r="R1506" s="1921" t="s">
        <v>495</v>
      </c>
      <c r="S1506" s="1644">
        <f t="shared" si="876"/>
        <v>0</v>
      </c>
      <c r="T1506" s="1644"/>
      <c r="U1506" s="1644">
        <f t="shared" si="877"/>
        <v>3782453</v>
      </c>
      <c r="V1506" s="1644"/>
      <c r="W1506" s="1644">
        <f t="shared" si="878"/>
        <v>5543303</v>
      </c>
      <c r="X1506" s="1648"/>
      <c r="Y1506" s="1644">
        <f t="shared" si="879"/>
        <v>9325756</v>
      </c>
      <c r="Z1506" s="1878">
        <f>'Large Profile'!O7/'Large Profile'!C7</f>
        <v>0.27196615788867357</v>
      </c>
      <c r="AI1506" s="2023">
        <f>W1506-'Blocking-Step2'!W1506</f>
        <v>0</v>
      </c>
      <c r="AJ1506" s="2054">
        <f>O1506-'Blocking-Step2'!O1506</f>
        <v>0</v>
      </c>
    </row>
    <row r="1507" spans="1:36" hidden="1">
      <c r="A1507" s="1900" t="s">
        <v>2177</v>
      </c>
      <c r="C1507" s="528">
        <f>SUM(C1510:C1512)-SUM(C1504:C1506)</f>
        <v>498933623.24552625</v>
      </c>
      <c r="D1507" s="528">
        <f>D1516-SUM(D1504:D1506)</f>
        <v>681224769.90915966</v>
      </c>
      <c r="F1507" s="1943"/>
      <c r="G1507" s="1921"/>
      <c r="H1507" s="1644"/>
      <c r="I1507" s="1644"/>
      <c r="K1507" s="1943">
        <f t="shared" si="872"/>
        <v>0</v>
      </c>
      <c r="L1507" s="1921" t="s">
        <v>495</v>
      </c>
      <c r="M1507" s="1943">
        <f t="shared" si="873"/>
        <v>1.0629908847180001</v>
      </c>
      <c r="N1507" s="1921" t="s">
        <v>495</v>
      </c>
      <c r="O1507" s="1943">
        <f t="shared" si="874"/>
        <v>1.247907288647</v>
      </c>
      <c r="P1507" s="1921" t="s">
        <v>495</v>
      </c>
      <c r="Q1507" s="1943">
        <f t="shared" si="868"/>
        <v>2.310898173365</v>
      </c>
      <c r="R1507" s="1921" t="s">
        <v>495</v>
      </c>
      <c r="S1507" s="1644">
        <f t="shared" si="876"/>
        <v>0</v>
      </c>
      <c r="T1507" s="1644"/>
      <c r="U1507" s="1644">
        <f t="shared" si="877"/>
        <v>7241357</v>
      </c>
      <c r="V1507" s="1644"/>
      <c r="W1507" s="1644">
        <f t="shared" si="878"/>
        <v>8501054</v>
      </c>
      <c r="X1507" s="1648"/>
      <c r="Y1507" s="1644">
        <f t="shared" si="879"/>
        <v>15742411</v>
      </c>
      <c r="AI1507" s="2023">
        <f>W1507-'Blocking-Step2'!W1507</f>
        <v>0</v>
      </c>
      <c r="AJ1507" s="2054">
        <f>O1507-'Blocking-Step2'!O1507</f>
        <v>0</v>
      </c>
    </row>
    <row r="1508" spans="1:36" hidden="1">
      <c r="A1508" s="1900" t="s">
        <v>18</v>
      </c>
      <c r="C1508" s="528">
        <f>'9'!J8</f>
        <v>719518.00716332404</v>
      </c>
      <c r="D1508" s="528">
        <f>ROUND(C1508/C1516*D1516,0)</f>
        <v>977218</v>
      </c>
      <c r="F1508" s="1944">
        <v>13.96</v>
      </c>
      <c r="G1508" s="597"/>
      <c r="H1508" s="1644">
        <f t="shared" si="867"/>
        <v>10044471</v>
      </c>
      <c r="I1508" s="1644">
        <f t="shared" si="867"/>
        <v>13641963</v>
      </c>
      <c r="K1508" s="1944"/>
      <c r="L1508" s="597"/>
      <c r="M1508" s="1944"/>
      <c r="N1508" s="597"/>
      <c r="O1508" s="1944"/>
      <c r="P1508" s="597"/>
      <c r="Q1508" s="1944"/>
      <c r="R1508" s="597"/>
      <c r="S1508" s="1645"/>
      <c r="T1508" s="1645"/>
      <c r="U1508" s="1645"/>
      <c r="V1508" s="1645"/>
      <c r="W1508" s="1645"/>
      <c r="X1508" s="1645"/>
      <c r="Y1508" s="1644"/>
      <c r="AI1508" s="2023">
        <f>W1508-'Blocking-Step2'!W1508</f>
        <v>0</v>
      </c>
      <c r="AJ1508" s="2054">
        <f>O1508-'Blocking-Step2'!O1508</f>
        <v>0</v>
      </c>
    </row>
    <row r="1509" spans="1:36" hidden="1">
      <c r="A1509" s="1900" t="s">
        <v>166</v>
      </c>
      <c r="C1509" s="528">
        <f>'9'!K8</f>
        <v>1021748.628299894</v>
      </c>
      <c r="D1509" s="528">
        <f>ROUND(C1509/C1516*D1516,0)</f>
        <v>1387694</v>
      </c>
      <c r="F1509" s="1944">
        <v>9.4700000000000006</v>
      </c>
      <c r="G1509" s="597"/>
      <c r="H1509" s="1644">
        <f t="shared" si="867"/>
        <v>9675960</v>
      </c>
      <c r="I1509" s="1644">
        <f t="shared" si="867"/>
        <v>13141462</v>
      </c>
      <c r="K1509" s="1944"/>
      <c r="L1509" s="597"/>
      <c r="M1509" s="1944"/>
      <c r="N1509" s="597"/>
      <c r="O1509" s="1944"/>
      <c r="P1509" s="597"/>
      <c r="Q1509" s="1944"/>
      <c r="R1509" s="597"/>
      <c r="S1509" s="1645"/>
      <c r="T1509" s="1645"/>
      <c r="U1509" s="1645"/>
      <c r="V1509" s="1645"/>
      <c r="W1509" s="1645"/>
      <c r="X1509" s="1645"/>
      <c r="Y1509" s="1644"/>
      <c r="AI1509" s="2023">
        <f>W1509-'Blocking-Step2'!W1509</f>
        <v>0</v>
      </c>
      <c r="AJ1509" s="2054">
        <f>O1509-'Blocking-Step2'!O1509</f>
        <v>0</v>
      </c>
    </row>
    <row r="1510" spans="1:36" hidden="1">
      <c r="A1510" s="1900" t="s">
        <v>19</v>
      </c>
      <c r="C1510" s="528">
        <f>'9'!M8</f>
        <v>98444435</v>
      </c>
      <c r="D1510" s="528">
        <f>D1516-SUM(D1511:D1513)</f>
        <v>134412242.90915966</v>
      </c>
      <c r="F1510" s="1942">
        <v>4.6531000000000002</v>
      </c>
      <c r="G1510" s="1921" t="s">
        <v>495</v>
      </c>
      <c r="H1510" s="1644">
        <f t="shared" ref="H1510:I1512" si="880">ROUND($F1510*C1510/100,0)</f>
        <v>4580718</v>
      </c>
      <c r="I1510" s="1644">
        <f t="shared" si="880"/>
        <v>6254336</v>
      </c>
      <c r="K1510" s="1942"/>
      <c r="L1510" s="1921"/>
      <c r="M1510" s="1942"/>
      <c r="N1510" s="1921"/>
      <c r="O1510" s="1942"/>
      <c r="P1510" s="1921"/>
      <c r="Q1510" s="1942"/>
      <c r="R1510" s="1921"/>
      <c r="S1510" s="1648"/>
      <c r="T1510" s="1648"/>
      <c r="U1510" s="1648"/>
      <c r="V1510" s="1648"/>
      <c r="W1510" s="1648"/>
      <c r="X1510" s="1648"/>
      <c r="Y1510" s="1644"/>
      <c r="AI1510" s="2023">
        <f>W1510-'Blocking-Step2'!W1510</f>
        <v>0</v>
      </c>
      <c r="AJ1510" s="2054">
        <f>O1510-'Blocking-Step2'!O1510</f>
        <v>0</v>
      </c>
    </row>
    <row r="1511" spans="1:36" hidden="1">
      <c r="A1511" s="1900" t="s">
        <v>257</v>
      </c>
      <c r="C1511" s="528">
        <f>'9'!N8</f>
        <v>266530222</v>
      </c>
      <c r="D1511" s="528">
        <f>ROUND(C1511/(C1516-C1513)*D1516,0)</f>
        <v>363910109</v>
      </c>
      <c r="F1511" s="1942">
        <v>3.4988999999999999</v>
      </c>
      <c r="G1511" s="1921" t="s">
        <v>495</v>
      </c>
      <c r="H1511" s="1644">
        <f t="shared" si="880"/>
        <v>9325626</v>
      </c>
      <c r="I1511" s="1644">
        <f t="shared" si="880"/>
        <v>12732851</v>
      </c>
      <c r="K1511" s="1942"/>
      <c r="L1511" s="1921"/>
      <c r="M1511" s="1942"/>
      <c r="N1511" s="1921"/>
      <c r="O1511" s="1942"/>
      <c r="P1511" s="1921"/>
      <c r="Q1511" s="1942"/>
      <c r="R1511" s="1921"/>
      <c r="S1511" s="1648"/>
      <c r="T1511" s="1648"/>
      <c r="U1511" s="1648"/>
      <c r="V1511" s="1648"/>
      <c r="W1511" s="1648"/>
      <c r="X1511" s="1648"/>
      <c r="Y1511" s="1644"/>
      <c r="AI1511" s="2023">
        <f>W1511-'Blocking-Step2'!W1511</f>
        <v>0</v>
      </c>
      <c r="AJ1511" s="2054">
        <f>O1511-'Blocking-Step2'!O1511</f>
        <v>0</v>
      </c>
    </row>
    <row r="1512" spans="1:36" hidden="1">
      <c r="A1512" s="1900" t="s">
        <v>249</v>
      </c>
      <c r="C1512" s="528">
        <f>'9'!O8</f>
        <v>596775501</v>
      </c>
      <c r="D1512" s="528">
        <f>ROUND(C1512/(C1516-C1513)*D1516,0)</f>
        <v>814814305</v>
      </c>
      <c r="F1512" s="1942">
        <v>2.9224999999999999</v>
      </c>
      <c r="G1512" s="1921" t="s">
        <v>495</v>
      </c>
      <c r="H1512" s="1644">
        <f t="shared" si="880"/>
        <v>17440764</v>
      </c>
      <c r="I1512" s="1644">
        <f t="shared" si="880"/>
        <v>23812948</v>
      </c>
      <c r="K1512" s="1942"/>
      <c r="L1512" s="1921"/>
      <c r="M1512" s="1942"/>
      <c r="N1512" s="1921"/>
      <c r="O1512" s="1942"/>
      <c r="P1512" s="1921"/>
      <c r="Q1512" s="1942"/>
      <c r="R1512" s="1921"/>
      <c r="S1512" s="1648"/>
      <c r="T1512" s="1648"/>
      <c r="U1512" s="1648"/>
      <c r="V1512" s="1648"/>
      <c r="W1512" s="1648"/>
      <c r="X1512" s="1648"/>
      <c r="Y1512" s="1644"/>
      <c r="AI1512" s="2023">
        <f>W1512-'Blocking-Step2'!W1512</f>
        <v>0</v>
      </c>
      <c r="AJ1512" s="2054">
        <f>O1512-'Blocking-Step2'!O1512</f>
        <v>0</v>
      </c>
    </row>
    <row r="1513" spans="1:36" hidden="1">
      <c r="A1513" s="1900" t="s">
        <v>246</v>
      </c>
      <c r="C1513" s="529">
        <f>'Table 2'!J56</f>
        <v>5102355</v>
      </c>
      <c r="D1513" s="529">
        <v>0</v>
      </c>
      <c r="H1513" s="1030">
        <f>'Table 3'!F56</f>
        <v>317097</v>
      </c>
      <c r="I1513" s="1030">
        <v>0</v>
      </c>
      <c r="Y1513" s="1030">
        <f>Y1532+Y1551</f>
        <v>0</v>
      </c>
      <c r="AI1513" s="2023">
        <f>W1513-'Blocking-Step2'!W1513</f>
        <v>0</v>
      </c>
      <c r="AJ1513" s="2054">
        <f>O1513-'Blocking-Step2'!O1513</f>
        <v>0</v>
      </c>
    </row>
    <row r="1514" spans="1:36" hidden="1">
      <c r="A1514" s="1900" t="s">
        <v>1240</v>
      </c>
      <c r="C1514" s="584"/>
      <c r="D1514" s="584"/>
      <c r="F1514" s="1930">
        <v>-3.0700000000000002E-2</v>
      </c>
      <c r="G1514" s="597"/>
      <c r="H1514" s="1644">
        <f>SUM(H1508:H1512)*$F1514</f>
        <v>-1567773.4473000001</v>
      </c>
      <c r="I1514" s="1644">
        <f>SUM(I1508:I1512)*$F1514</f>
        <v>-2136215.2919999999</v>
      </c>
      <c r="K1514" s="1930"/>
      <c r="L1514" s="597"/>
      <c r="M1514" s="1930"/>
      <c r="N1514" s="597"/>
      <c r="O1514" s="1931" t="str">
        <f>$O$43</f>
        <v>Tax Year 1 (1/1/2021)</v>
      </c>
      <c r="P1514" s="597"/>
      <c r="Q1514" s="1930">
        <f>$AC$1491</f>
        <v>-1.41E-2</v>
      </c>
      <c r="R1514" s="597"/>
      <c r="S1514" s="1645"/>
      <c r="T1514" s="1645"/>
      <c r="U1514" s="1645"/>
      <c r="V1514" s="1645"/>
      <c r="W1514" s="1645"/>
      <c r="X1514" s="1645"/>
      <c r="Y1514" s="1644">
        <f>Q1514*SUM(Y1502:Y1507)</f>
        <v>-978403.10309999995</v>
      </c>
      <c r="AI1514" s="2023">
        <f>W1514-'Blocking-Step2'!W1514</f>
        <v>0</v>
      </c>
      <c r="AJ1514" s="2054">
        <f>O1514-'Blocking-Step2'!O1514</f>
        <v>0</v>
      </c>
    </row>
    <row r="1515" spans="1:36" hidden="1">
      <c r="A1515" s="1900"/>
      <c r="C1515" s="584"/>
      <c r="D1515" s="584"/>
      <c r="F1515" s="1930"/>
      <c r="G1515" s="597"/>
      <c r="H1515" s="1644"/>
      <c r="I1515" s="1644"/>
      <c r="K1515" s="1930"/>
      <c r="L1515" s="597"/>
      <c r="M1515" s="1930"/>
      <c r="N1515" s="597"/>
      <c r="O1515" s="1931">
        <f>$O$44</f>
        <v>0</v>
      </c>
      <c r="P1515" s="597"/>
      <c r="Q1515" s="1930">
        <f>$AC$1492</f>
        <v>0</v>
      </c>
      <c r="R1515" s="597"/>
      <c r="S1515" s="1645"/>
      <c r="T1515" s="1645"/>
      <c r="U1515" s="1645"/>
      <c r="V1515" s="1645"/>
      <c r="W1515" s="1645"/>
      <c r="X1515" s="1645"/>
      <c r="Y1515" s="1644">
        <f>Q1515*SUM(Y1502:Y1507)</f>
        <v>0</v>
      </c>
      <c r="AI1515" s="2023">
        <f>W1515-'Blocking-Step2'!W1515</f>
        <v>0</v>
      </c>
      <c r="AJ1515" s="2054">
        <f>O1515-'Blocking-Step2'!O1515</f>
        <v>0</v>
      </c>
    </row>
    <row r="1516" spans="1:36" ht="16.5" hidden="1" thickBot="1">
      <c r="A1516" s="1900" t="s">
        <v>247</v>
      </c>
      <c r="C1516" s="1949">
        <f>SUM(C1510:C1513)</f>
        <v>966852513</v>
      </c>
      <c r="D1516" s="1949">
        <f>Energy!P36</f>
        <v>1313136656.9091597</v>
      </c>
      <c r="F1516" s="1939"/>
      <c r="H1516" s="1647">
        <f>SUM(H1500:H1514)</f>
        <v>54029397.552699998</v>
      </c>
      <c r="I1516" s="1647">
        <f>SUM(I1500:I1514)</f>
        <v>73130935.708000004</v>
      </c>
      <c r="K1516" s="1939"/>
      <c r="M1516" s="1939"/>
      <c r="O1516" s="1939"/>
      <c r="Q1516" s="1939"/>
      <c r="S1516" s="1647">
        <f>SUM(S1500:S1513)</f>
        <v>16072363</v>
      </c>
      <c r="U1516" s="1647">
        <f>SUM(U1500:U1513)</f>
        <v>34877697</v>
      </c>
      <c r="W1516" s="1647">
        <f>SUM(W1500:W1513)</f>
        <v>24251914</v>
      </c>
      <c r="Y1516" s="1647">
        <f>SUM(Y1500:Y1513)</f>
        <v>75201973</v>
      </c>
      <c r="AA1516" s="1104" t="s">
        <v>1743</v>
      </c>
      <c r="AB1516" s="1890">
        <f>Y1516/I1516-1</f>
        <v>2.8319578738460471E-2</v>
      </c>
      <c r="AI1516" s="2023">
        <f>W1516-'Blocking-Step2'!W1516</f>
        <v>0</v>
      </c>
      <c r="AJ1516" s="2054">
        <f>O1516-'Blocking-Step2'!O1516</f>
        <v>0</v>
      </c>
    </row>
    <row r="1517" spans="1:36" ht="16.5" hidden="1" thickTop="1">
      <c r="C1517" s="528"/>
      <c r="D1517" s="528"/>
      <c r="AI1517" s="2023">
        <f>W1517-'Blocking-Step2'!W1517</f>
        <v>0</v>
      </c>
      <c r="AJ1517" s="2054">
        <f>O1517-'Blocking-Step2'!O1517</f>
        <v>0</v>
      </c>
    </row>
    <row r="1518" spans="1:36" hidden="1">
      <c r="A1518" s="1897" t="s">
        <v>563</v>
      </c>
      <c r="C1518" s="528"/>
      <c r="D1518" s="528"/>
      <c r="AI1518" s="2023">
        <f>W1518-'Blocking-Step2'!W1518</f>
        <v>0</v>
      </c>
      <c r="AJ1518" s="2054">
        <f>O1518-'Blocking-Step2'!O1518</f>
        <v>0</v>
      </c>
    </row>
    <row r="1519" spans="1:36" hidden="1">
      <c r="A1519" s="1900" t="s">
        <v>240</v>
      </c>
      <c r="C1519" s="528">
        <f>'9'!G9</f>
        <v>1353.133204633205</v>
      </c>
      <c r="D1519" s="528">
        <f>Bill!P61</f>
        <v>1380</v>
      </c>
      <c r="F1519" s="1944">
        <v>259</v>
      </c>
      <c r="G1519" s="597"/>
      <c r="H1519" s="1644">
        <f t="shared" ref="H1519:I1528" si="881">ROUND($F1519*C1519,0)</f>
        <v>350462</v>
      </c>
      <c r="I1519" s="1644">
        <f t="shared" si="881"/>
        <v>357420</v>
      </c>
      <c r="K1519" s="1944">
        <f>K1479</f>
        <v>265</v>
      </c>
      <c r="L1519" s="597"/>
      <c r="M1519" s="1944">
        <f>M1479</f>
        <v>0</v>
      </c>
      <c r="N1519" s="597"/>
      <c r="O1519" s="1944">
        <f>O1479</f>
        <v>0</v>
      </c>
      <c r="P1519" s="597"/>
      <c r="Q1519" s="1944">
        <f t="shared" ref="Q1519:Q1526" si="882">Q1479</f>
        <v>265</v>
      </c>
      <c r="R1519" s="597"/>
      <c r="S1519" s="1644">
        <f t="shared" ref="S1519:S1522" si="883">ROUND($D1519*K1519,0)</f>
        <v>365700</v>
      </c>
      <c r="T1519" s="1645"/>
      <c r="U1519" s="1644">
        <f t="shared" ref="U1519:U1522" si="884">ROUND($D1519*M1519,0)</f>
        <v>0</v>
      </c>
      <c r="V1519" s="1645"/>
      <c r="W1519" s="1644">
        <f t="shared" ref="W1519:W1522" si="885">ROUND($D1519*O1519,0)</f>
        <v>0</v>
      </c>
      <c r="X1519" s="1645"/>
      <c r="Y1519" s="1644">
        <f>ROUND($D1519*Q1519,0)</f>
        <v>365700</v>
      </c>
      <c r="Z1519" s="1878" t="s">
        <v>251</v>
      </c>
      <c r="AI1519" s="2023">
        <f>W1519-'Blocking-Step2'!W1519</f>
        <v>0</v>
      </c>
      <c r="AJ1519" s="2054">
        <f>O1519-'Blocking-Step2'!O1519</f>
        <v>0</v>
      </c>
    </row>
    <row r="1520" spans="1:36" hidden="1">
      <c r="A1520" s="1900" t="s">
        <v>168</v>
      </c>
      <c r="C1520" s="528">
        <f>'9'!H9</f>
        <v>6361741.5315315304</v>
      </c>
      <c r="D1520" s="528">
        <f>ROUND(C1520/C1535*D1535,0)</f>
        <v>6289855</v>
      </c>
      <c r="F1520" s="1944">
        <v>2.2200000000000002</v>
      </c>
      <c r="G1520" s="597"/>
      <c r="H1520" s="1644">
        <f>ROUND($F1520*C1520,0)</f>
        <v>14123066</v>
      </c>
      <c r="I1520" s="1644">
        <f>ROUND($F1520*D1520,0)</f>
        <v>13963478</v>
      </c>
      <c r="K1520" s="1944">
        <f t="shared" ref="K1520:K1526" si="886">K1480</f>
        <v>2.27</v>
      </c>
      <c r="L1520" s="597"/>
      <c r="M1520" s="1944">
        <f t="shared" ref="M1520:M1526" si="887">M1480</f>
        <v>0</v>
      </c>
      <c r="N1520" s="597"/>
      <c r="O1520" s="1944">
        <f t="shared" ref="O1520:O1526" si="888">O1480</f>
        <v>0</v>
      </c>
      <c r="P1520" s="597"/>
      <c r="Q1520" s="1944">
        <f t="shared" si="882"/>
        <v>2.27</v>
      </c>
      <c r="R1520" s="597"/>
      <c r="S1520" s="1644">
        <f t="shared" si="883"/>
        <v>14277971</v>
      </c>
      <c r="T1520" s="1645"/>
      <c r="U1520" s="1644">
        <f t="shared" si="884"/>
        <v>0</v>
      </c>
      <c r="V1520" s="1645"/>
      <c r="W1520" s="1644">
        <f t="shared" si="885"/>
        <v>0</v>
      </c>
      <c r="X1520" s="1645"/>
      <c r="Y1520" s="1644">
        <f t="shared" ref="Y1520:Y1522" si="889">ROUND($D1520*Q1520,0)</f>
        <v>14277971</v>
      </c>
      <c r="AI1520" s="2023">
        <f>W1520-'Blocking-Step2'!W1520</f>
        <v>0</v>
      </c>
      <c r="AJ1520" s="2054">
        <f>O1520-'Blocking-Step2'!O1520</f>
        <v>0</v>
      </c>
    </row>
    <row r="1521" spans="1:36" hidden="1">
      <c r="A1521" s="1900" t="s">
        <v>1651</v>
      </c>
      <c r="C1521" s="528">
        <f>C1527*Z1521</f>
        <v>2088095.5914409345</v>
      </c>
      <c r="D1521" s="528">
        <f>ROUND(C1521/C1535*D1535,0)</f>
        <v>2064500</v>
      </c>
      <c r="F1521" s="1944"/>
      <c r="G1521" s="597"/>
      <c r="H1521" s="1644"/>
      <c r="I1521" s="1644"/>
      <c r="K1521" s="1944">
        <f t="shared" si="886"/>
        <v>4.6900000000000004</v>
      </c>
      <c r="L1521" s="597"/>
      <c r="M1521" s="1944">
        <f t="shared" si="887"/>
        <v>9.61</v>
      </c>
      <c r="N1521" s="597"/>
      <c r="O1521" s="1944">
        <f t="shared" si="888"/>
        <v>0</v>
      </c>
      <c r="P1521" s="597"/>
      <c r="Q1521" s="1944">
        <f t="shared" si="882"/>
        <v>14.3</v>
      </c>
      <c r="R1521" s="597"/>
      <c r="S1521" s="1644">
        <f t="shared" si="883"/>
        <v>9682505</v>
      </c>
      <c r="T1521" s="1644"/>
      <c r="U1521" s="1644">
        <f t="shared" si="884"/>
        <v>19839845</v>
      </c>
      <c r="V1521" s="1644"/>
      <c r="W1521" s="1644">
        <f t="shared" si="885"/>
        <v>0</v>
      </c>
      <c r="X1521" s="1645"/>
      <c r="Y1521" s="1644">
        <f t="shared" si="889"/>
        <v>29522350</v>
      </c>
      <c r="Z1521" s="1878">
        <f>Z1502</f>
        <v>0.81143000192935111</v>
      </c>
      <c r="AI1521" s="2023">
        <f>W1521-'Blocking-Step2'!W1521</f>
        <v>0</v>
      </c>
      <c r="AJ1521" s="2054">
        <f>O1521-'Blocking-Step2'!O1521</f>
        <v>0</v>
      </c>
    </row>
    <row r="1522" spans="1:36" hidden="1">
      <c r="A1522" s="1900" t="s">
        <v>1652</v>
      </c>
      <c r="C1522" s="528">
        <f>C1528*Z1522</f>
        <v>4070065.2374367588</v>
      </c>
      <c r="D1522" s="528">
        <f>ROUND(C1522/C1535*D1535,0)</f>
        <v>4024074</v>
      </c>
      <c r="F1522" s="1944"/>
      <c r="G1522" s="597"/>
      <c r="H1522" s="1644"/>
      <c r="I1522" s="1644"/>
      <c r="K1522" s="1944">
        <f t="shared" si="886"/>
        <v>4.1500000000000004</v>
      </c>
      <c r="L1522" s="597"/>
      <c r="M1522" s="1944">
        <f t="shared" si="887"/>
        <v>8.5</v>
      </c>
      <c r="N1522" s="597"/>
      <c r="O1522" s="1944">
        <f t="shared" si="888"/>
        <v>0</v>
      </c>
      <c r="P1522" s="597"/>
      <c r="Q1522" s="1944">
        <f t="shared" si="882"/>
        <v>12.65</v>
      </c>
      <c r="R1522" s="597"/>
      <c r="S1522" s="1644">
        <f t="shared" si="883"/>
        <v>16699907</v>
      </c>
      <c r="T1522" s="1644"/>
      <c r="U1522" s="1644">
        <f t="shared" si="884"/>
        <v>34204629</v>
      </c>
      <c r="V1522" s="1644"/>
      <c r="W1522" s="1644">
        <f t="shared" si="885"/>
        <v>0</v>
      </c>
      <c r="X1522" s="1645"/>
      <c r="Y1522" s="1644">
        <f t="shared" si="889"/>
        <v>50904536</v>
      </c>
      <c r="Z1522" s="1878">
        <f>Z1503</f>
        <v>1.1359353572586484</v>
      </c>
      <c r="AI1522" s="2023">
        <f>W1522-'Blocking-Step2'!W1522</f>
        <v>0</v>
      </c>
      <c r="AJ1522" s="2054">
        <f>O1522-'Blocking-Step2'!O1522</f>
        <v>0</v>
      </c>
    </row>
    <row r="1523" spans="1:36" hidden="1">
      <c r="A1523" s="1900" t="s">
        <v>1532</v>
      </c>
      <c r="C1523" s="528">
        <f>C1529*Z1523</f>
        <v>251156075.83274001</v>
      </c>
      <c r="D1523" s="528">
        <f>ROUND(C1523/($C$1535-$C$1532)*$D$1535,0)</f>
        <v>244292713</v>
      </c>
      <c r="F1523" s="1943"/>
      <c r="G1523" s="1921"/>
      <c r="H1523" s="1644"/>
      <c r="I1523" s="1644"/>
      <c r="K1523" s="1943">
        <f t="shared" si="886"/>
        <v>0</v>
      </c>
      <c r="L1523" s="1921" t="s">
        <v>495</v>
      </c>
      <c r="M1523" s="1943">
        <f t="shared" si="887"/>
        <v>1.0266514814000001</v>
      </c>
      <c r="N1523" s="1921" t="s">
        <v>495</v>
      </c>
      <c r="O1523" s="1943">
        <f t="shared" si="888"/>
        <v>4.1108761607000002</v>
      </c>
      <c r="P1523" s="1921" t="s">
        <v>495</v>
      </c>
      <c r="Q1523" s="1943">
        <f t="shared" si="882"/>
        <v>5.1375276421000002</v>
      </c>
      <c r="R1523" s="1921" t="s">
        <v>495</v>
      </c>
      <c r="S1523" s="1644">
        <f>ROUND($D1523*K1523/100,0)</f>
        <v>0</v>
      </c>
      <c r="T1523" s="1644"/>
      <c r="U1523" s="1644">
        <f>ROUND($D1523*M1523/100,0)</f>
        <v>2508035</v>
      </c>
      <c r="V1523" s="1644"/>
      <c r="W1523" s="1644">
        <f>ROUND($D1523*O1523/100,0)</f>
        <v>10042571</v>
      </c>
      <c r="X1523" s="1648"/>
      <c r="Y1523" s="1644">
        <f>ROUND($D1523*Q1523/100,0)</f>
        <v>12550606</v>
      </c>
      <c r="Z1523" s="1878">
        <f>Z1504</f>
        <v>0.69164135480564293</v>
      </c>
      <c r="AI1523" s="2023">
        <f>W1523-'Blocking-Step2'!W1523</f>
        <v>0</v>
      </c>
      <c r="AJ1523" s="2054">
        <f>O1523-'Blocking-Step2'!O1523</f>
        <v>0</v>
      </c>
    </row>
    <row r="1524" spans="1:36" hidden="1">
      <c r="A1524" s="1900" t="s">
        <v>1653</v>
      </c>
      <c r="C1524" s="528">
        <f>C1530*Z1524</f>
        <v>484645935.36685777</v>
      </c>
      <c r="D1524" s="528">
        <f t="shared" ref="D1524:D1525" si="890">ROUND(C1524/($C$1535-$C$1532)*$D$1535,0)</f>
        <v>471401975</v>
      </c>
      <c r="F1524" s="1943"/>
      <c r="G1524" s="1921"/>
      <c r="H1524" s="1644"/>
      <c r="I1524" s="1644"/>
      <c r="K1524" s="1943">
        <f t="shared" si="886"/>
        <v>0</v>
      </c>
      <c r="L1524" s="1921" t="s">
        <v>495</v>
      </c>
      <c r="M1524" s="1943">
        <f t="shared" si="887"/>
        <v>1.0342499835399996</v>
      </c>
      <c r="N1524" s="1921" t="s">
        <v>495</v>
      </c>
      <c r="O1524" s="1943">
        <f t="shared" si="888"/>
        <v>3.5122346554870001</v>
      </c>
      <c r="P1524" s="1921" t="s">
        <v>495</v>
      </c>
      <c r="Q1524" s="1943">
        <f t="shared" si="882"/>
        <v>4.5464846390269997</v>
      </c>
      <c r="R1524" s="1921" t="s">
        <v>495</v>
      </c>
      <c r="S1524" s="1644">
        <f t="shared" ref="S1524:S1526" si="891">ROUND($D1524*K1524/100,0)</f>
        <v>0</v>
      </c>
      <c r="T1524" s="1644"/>
      <c r="U1524" s="1644">
        <f t="shared" ref="U1524:U1526" si="892">ROUND($D1524*M1524/100,0)</f>
        <v>4875475</v>
      </c>
      <c r="V1524" s="1644"/>
      <c r="W1524" s="1644">
        <f t="shared" ref="W1524:W1526" si="893">ROUND($D1524*O1524/100,0)</f>
        <v>16556744</v>
      </c>
      <c r="X1524" s="1648"/>
      <c r="Y1524" s="1644">
        <f t="shared" ref="Y1524:Y1526" si="894">ROUND($D1524*Q1524/100,0)</f>
        <v>21432218</v>
      </c>
      <c r="Z1524" s="1878">
        <f>Z1505</f>
        <v>0.49962363006591026</v>
      </c>
      <c r="AI1524" s="2023">
        <f>W1524-'Blocking-Step2'!W1524</f>
        <v>0</v>
      </c>
      <c r="AJ1524" s="2054">
        <f>O1524-'Blocking-Step2'!O1524</f>
        <v>0</v>
      </c>
    </row>
    <row r="1525" spans="1:36" hidden="1">
      <c r="A1525" s="1900" t="s">
        <v>1533</v>
      </c>
      <c r="C1525" s="528">
        <f>SUM(C1529:C1531)*Z1525</f>
        <v>988185750.96910501</v>
      </c>
      <c r="D1525" s="528">
        <f t="shared" si="890"/>
        <v>961181516</v>
      </c>
      <c r="F1525" s="1943"/>
      <c r="G1525" s="1921"/>
      <c r="H1525" s="1644"/>
      <c r="I1525" s="1644"/>
      <c r="K1525" s="1943">
        <f t="shared" si="886"/>
        <v>0</v>
      </c>
      <c r="L1525" s="1921" t="s">
        <v>495</v>
      </c>
      <c r="M1525" s="1943">
        <f t="shared" si="887"/>
        <v>1.0591286997309999</v>
      </c>
      <c r="N1525" s="1921" t="s">
        <v>495</v>
      </c>
      <c r="O1525" s="1943">
        <f t="shared" si="888"/>
        <v>1.5521862361710002</v>
      </c>
      <c r="P1525" s="1921" t="s">
        <v>495</v>
      </c>
      <c r="Q1525" s="1943">
        <f t="shared" si="882"/>
        <v>2.611314935902</v>
      </c>
      <c r="R1525" s="1921" t="s">
        <v>495</v>
      </c>
      <c r="S1525" s="1644">
        <f t="shared" si="891"/>
        <v>0</v>
      </c>
      <c r="T1525" s="1644"/>
      <c r="U1525" s="1644">
        <f t="shared" si="892"/>
        <v>10180149</v>
      </c>
      <c r="V1525" s="1644"/>
      <c r="W1525" s="1644">
        <f t="shared" si="893"/>
        <v>14919327</v>
      </c>
      <c r="X1525" s="1648"/>
      <c r="Y1525" s="1644">
        <f t="shared" si="894"/>
        <v>25099476</v>
      </c>
      <c r="Z1525" s="1878">
        <f>Z1506</f>
        <v>0.27196615788867357</v>
      </c>
      <c r="AI1525" s="2023">
        <f>W1525-'Blocking-Step2'!W1525</f>
        <v>0</v>
      </c>
      <c r="AJ1525" s="2054">
        <f>O1525-'Blocking-Step2'!O1525</f>
        <v>0</v>
      </c>
    </row>
    <row r="1526" spans="1:36" hidden="1">
      <c r="A1526" s="1900" t="s">
        <v>2177</v>
      </c>
      <c r="C1526" s="528">
        <f>SUM(C1529:C1531)-SUM(C1523:C1525)</f>
        <v>1909500163.8312972</v>
      </c>
      <c r="D1526" s="528">
        <f>D1535-SUM(D1523:D1525)</f>
        <v>1857319093.3959675</v>
      </c>
      <c r="F1526" s="1943"/>
      <c r="G1526" s="1921"/>
      <c r="H1526" s="1644"/>
      <c r="I1526" s="1644"/>
      <c r="K1526" s="1943">
        <f t="shared" si="886"/>
        <v>0</v>
      </c>
      <c r="L1526" s="1921" t="s">
        <v>495</v>
      </c>
      <c r="M1526" s="1943">
        <f t="shared" si="887"/>
        <v>1.0629908847180001</v>
      </c>
      <c r="N1526" s="1921" t="s">
        <v>495</v>
      </c>
      <c r="O1526" s="1943">
        <f t="shared" si="888"/>
        <v>1.247907288647</v>
      </c>
      <c r="P1526" s="1921" t="s">
        <v>495</v>
      </c>
      <c r="Q1526" s="1943">
        <f t="shared" si="882"/>
        <v>2.310898173365</v>
      </c>
      <c r="R1526" s="1921" t="s">
        <v>495</v>
      </c>
      <c r="S1526" s="1644">
        <f t="shared" si="891"/>
        <v>0</v>
      </c>
      <c r="T1526" s="1644"/>
      <c r="U1526" s="1644">
        <f t="shared" si="892"/>
        <v>19743133</v>
      </c>
      <c r="V1526" s="1644"/>
      <c r="W1526" s="1644">
        <f t="shared" si="893"/>
        <v>23177620</v>
      </c>
      <c r="X1526" s="1648"/>
      <c r="Y1526" s="1644">
        <f t="shared" si="894"/>
        <v>42920753</v>
      </c>
      <c r="AI1526" s="2023">
        <f>W1526-'Blocking-Step2'!W1526</f>
        <v>0</v>
      </c>
      <c r="AJ1526" s="2054">
        <f>O1526-'Blocking-Step2'!O1526</f>
        <v>0</v>
      </c>
    </row>
    <row r="1527" spans="1:36" hidden="1">
      <c r="A1527" s="1900" t="s">
        <v>18</v>
      </c>
      <c r="C1527" s="528">
        <f>'9'!J9</f>
        <v>2573352.7063037273</v>
      </c>
      <c r="D1527" s="528">
        <f>ROUND(C1527/C1535*D1535,0)</f>
        <v>2544274</v>
      </c>
      <c r="F1527" s="1944">
        <v>13.96</v>
      </c>
      <c r="G1527" s="597"/>
      <c r="H1527" s="1644">
        <f t="shared" si="881"/>
        <v>35924004</v>
      </c>
      <c r="I1527" s="1644">
        <f t="shared" si="881"/>
        <v>35518065</v>
      </c>
      <c r="K1527" s="1944"/>
      <c r="L1527" s="597"/>
      <c r="M1527" s="1944"/>
      <c r="N1527" s="597"/>
      <c r="O1527" s="1944"/>
      <c r="P1527" s="597"/>
      <c r="Q1527" s="1944"/>
      <c r="R1527" s="597"/>
      <c r="S1527" s="1645"/>
      <c r="T1527" s="1645"/>
      <c r="U1527" s="1645"/>
      <c r="V1527" s="1645"/>
      <c r="W1527" s="1645"/>
      <c r="X1527" s="1645"/>
      <c r="Y1527" s="1644"/>
      <c r="AI1527" s="2023">
        <f>W1527-'Blocking-Step2'!W1527</f>
        <v>0</v>
      </c>
      <c r="AJ1527" s="2054">
        <f>O1527-'Blocking-Step2'!O1527</f>
        <v>0</v>
      </c>
    </row>
    <row r="1528" spans="1:36" hidden="1">
      <c r="A1528" s="1900" t="s">
        <v>166</v>
      </c>
      <c r="C1528" s="528">
        <f>'9'!K9</f>
        <v>3583007.7930306201</v>
      </c>
      <c r="D1528" s="528">
        <f>ROUND(C1528/C1535*D1535,0)</f>
        <v>3542520</v>
      </c>
      <c r="F1528" s="1944">
        <v>9.4700000000000006</v>
      </c>
      <c r="G1528" s="597"/>
      <c r="H1528" s="1644">
        <f t="shared" si="881"/>
        <v>33931084</v>
      </c>
      <c r="I1528" s="1644">
        <f t="shared" si="881"/>
        <v>33547664</v>
      </c>
      <c r="K1528" s="1944"/>
      <c r="L1528" s="597"/>
      <c r="M1528" s="1944"/>
      <c r="N1528" s="597"/>
      <c r="O1528" s="1944"/>
      <c r="P1528" s="597"/>
      <c r="Q1528" s="1944"/>
      <c r="R1528" s="597"/>
      <c r="S1528" s="1645"/>
      <c r="T1528" s="1645"/>
      <c r="U1528" s="1645"/>
      <c r="V1528" s="1645"/>
      <c r="W1528" s="1645"/>
      <c r="X1528" s="1645"/>
      <c r="Y1528" s="1644"/>
      <c r="AI1528" s="2023">
        <f>W1528-'Blocking-Step2'!W1528</f>
        <v>0</v>
      </c>
      <c r="AJ1528" s="2054">
        <f>O1528-'Blocking-Step2'!O1528</f>
        <v>0</v>
      </c>
    </row>
    <row r="1529" spans="1:36" hidden="1">
      <c r="A1529" s="1900" t="s">
        <v>19</v>
      </c>
      <c r="C1529" s="528">
        <f>'9'!M9</f>
        <v>363130507</v>
      </c>
      <c r="D1529" s="528">
        <f>D1535-SUM(D1530:D1532)</f>
        <v>353207209.39596748</v>
      </c>
      <c r="F1529" s="1942">
        <v>4.6531000000000002</v>
      </c>
      <c r="G1529" s="1921" t="s">
        <v>495</v>
      </c>
      <c r="H1529" s="1644">
        <f t="shared" ref="H1529:I1531" si="895">ROUND($F1529*C1529/100,0)</f>
        <v>16896826</v>
      </c>
      <c r="I1529" s="1644">
        <f t="shared" si="895"/>
        <v>16435085</v>
      </c>
      <c r="K1529" s="1942"/>
      <c r="L1529" s="1921"/>
      <c r="M1529" s="1942"/>
      <c r="N1529" s="1921"/>
      <c r="O1529" s="1942"/>
      <c r="P1529" s="1921"/>
      <c r="Q1529" s="1942"/>
      <c r="R1529" s="1921"/>
      <c r="S1529" s="1648"/>
      <c r="T1529" s="1648"/>
      <c r="U1529" s="1648"/>
      <c r="V1529" s="1648"/>
      <c r="W1529" s="1648"/>
      <c r="X1529" s="1648"/>
      <c r="Y1529" s="1644"/>
      <c r="AI1529" s="2023">
        <f>W1529-'Blocking-Step2'!W1529</f>
        <v>0</v>
      </c>
      <c r="AJ1529" s="2054">
        <f>O1529-'Blocking-Step2'!O1529</f>
        <v>0</v>
      </c>
    </row>
    <row r="1530" spans="1:36" hidden="1">
      <c r="A1530" s="1900" t="s">
        <v>257</v>
      </c>
      <c r="C1530" s="528">
        <f>'9'!N9</f>
        <v>970022045</v>
      </c>
      <c r="D1530" s="528">
        <f>ROUND(C1530/(C1535-C1532)*D1535,0)</f>
        <v>943514171</v>
      </c>
      <c r="F1530" s="1942">
        <v>3.4988999999999999</v>
      </c>
      <c r="G1530" s="1921" t="s">
        <v>495</v>
      </c>
      <c r="H1530" s="1644">
        <f t="shared" si="895"/>
        <v>33940101</v>
      </c>
      <c r="I1530" s="1644">
        <f t="shared" si="895"/>
        <v>33012617</v>
      </c>
      <c r="K1530" s="1942"/>
      <c r="L1530" s="1921"/>
      <c r="M1530" s="1942"/>
      <c r="N1530" s="1921"/>
      <c r="O1530" s="1942"/>
      <c r="P1530" s="1921"/>
      <c r="Q1530" s="1942"/>
      <c r="R1530" s="1921"/>
      <c r="S1530" s="1648"/>
      <c r="T1530" s="1648"/>
      <c r="U1530" s="1648"/>
      <c r="V1530" s="1648"/>
      <c r="W1530" s="1648"/>
      <c r="X1530" s="1648"/>
      <c r="Y1530" s="1644"/>
      <c r="AI1530" s="2023">
        <f>W1530-'Blocking-Step2'!W1530</f>
        <v>0</v>
      </c>
      <c r="AJ1530" s="2054">
        <f>O1530-'Blocking-Step2'!O1530</f>
        <v>0</v>
      </c>
    </row>
    <row r="1531" spans="1:36" hidden="1">
      <c r="A1531" s="1900" t="s">
        <v>249</v>
      </c>
      <c r="C1531" s="528">
        <f>'9'!O9</f>
        <v>2300335374</v>
      </c>
      <c r="D1531" s="528">
        <f>ROUND(C1531/(C1535-C1532)*D1535,0)</f>
        <v>2237473917</v>
      </c>
      <c r="F1531" s="1942">
        <v>2.9224999999999999</v>
      </c>
      <c r="G1531" s="1921" t="s">
        <v>495</v>
      </c>
      <c r="H1531" s="1644">
        <f t="shared" si="895"/>
        <v>67227301</v>
      </c>
      <c r="I1531" s="1644">
        <f t="shared" si="895"/>
        <v>65390175</v>
      </c>
      <c r="K1531" s="1942"/>
      <c r="L1531" s="1921"/>
      <c r="M1531" s="1942"/>
      <c r="N1531" s="1921"/>
      <c r="O1531" s="1942"/>
      <c r="P1531" s="1921"/>
      <c r="Q1531" s="1942"/>
      <c r="R1531" s="1921"/>
      <c r="S1531" s="1648"/>
      <c r="T1531" s="1648"/>
      <c r="U1531" s="1648"/>
      <c r="V1531" s="1648"/>
      <c r="W1531" s="1648"/>
      <c r="X1531" s="1648"/>
      <c r="Y1531" s="1644"/>
      <c r="AI1531" s="2023">
        <f>W1531-'Blocking-Step2'!W1531</f>
        <v>0</v>
      </c>
      <c r="AJ1531" s="2054">
        <f>O1531-'Blocking-Step2'!O1531</f>
        <v>0</v>
      </c>
    </row>
    <row r="1532" spans="1:36" hidden="1">
      <c r="A1532" s="1900" t="s">
        <v>246</v>
      </c>
      <c r="C1532" s="529">
        <f>'Table 2'!J91</f>
        <v>-58900180</v>
      </c>
      <c r="D1532" s="529">
        <v>0</v>
      </c>
      <c r="H1532" s="1030">
        <f>'Table 3'!F91</f>
        <v>-2988512</v>
      </c>
      <c r="I1532" s="1030">
        <v>0</v>
      </c>
      <c r="Y1532" s="1030">
        <f>Y1551+Y1570</f>
        <v>0</v>
      </c>
      <c r="AI1532" s="2023">
        <f>W1532-'Blocking-Step2'!W1532</f>
        <v>0</v>
      </c>
      <c r="AJ1532" s="2054">
        <f>O1532-'Blocking-Step2'!O1532</f>
        <v>0</v>
      </c>
    </row>
    <row r="1533" spans="1:36" hidden="1">
      <c r="A1533" s="1900" t="s">
        <v>1240</v>
      </c>
      <c r="C1533" s="584"/>
      <c r="D1533" s="584"/>
      <c r="F1533" s="1930">
        <v>-3.0700000000000002E-2</v>
      </c>
      <c r="G1533" s="597"/>
      <c r="H1533" s="1644">
        <f>SUM(H1527:H1531)*$F1533</f>
        <v>-5769123.0012000008</v>
      </c>
      <c r="I1533" s="1644">
        <f>SUM(I1527:I1531)*$F1533</f>
        <v>-5645840.7042000005</v>
      </c>
      <c r="K1533" s="1930"/>
      <c r="L1533" s="597"/>
      <c r="M1533" s="1930"/>
      <c r="N1533" s="597"/>
      <c r="O1533" s="1931" t="str">
        <f>$O$43</f>
        <v>Tax Year 1 (1/1/2021)</v>
      </c>
      <c r="P1533" s="597"/>
      <c r="Q1533" s="1930">
        <f>$AC$1491</f>
        <v>-1.41E-2</v>
      </c>
      <c r="R1533" s="597"/>
      <c r="S1533" s="1645"/>
      <c r="T1533" s="1645"/>
      <c r="U1533" s="1645"/>
      <c r="V1533" s="1645"/>
      <c r="W1533" s="1645"/>
      <c r="X1533" s="1645"/>
      <c r="Y1533" s="1644">
        <f>Q1533*SUM(Y1521:Y1526)</f>
        <v>-2572262.1398999998</v>
      </c>
      <c r="AI1533" s="2023">
        <f>W1533-'Blocking-Step2'!W1533</f>
        <v>0</v>
      </c>
      <c r="AJ1533" s="2054">
        <f>O1533-'Blocking-Step2'!O1533</f>
        <v>0</v>
      </c>
    </row>
    <row r="1534" spans="1:36" hidden="1">
      <c r="A1534" s="1900"/>
      <c r="C1534" s="584"/>
      <c r="D1534" s="584"/>
      <c r="F1534" s="1930"/>
      <c r="G1534" s="597"/>
      <c r="H1534" s="1644"/>
      <c r="I1534" s="1644"/>
      <c r="K1534" s="1930"/>
      <c r="L1534" s="597"/>
      <c r="M1534" s="1930"/>
      <c r="N1534" s="597"/>
      <c r="O1534" s="1931">
        <f>$O$44</f>
        <v>0</v>
      </c>
      <c r="P1534" s="597"/>
      <c r="Q1534" s="1930">
        <f>$AC$1492</f>
        <v>0</v>
      </c>
      <c r="R1534" s="597"/>
      <c r="S1534" s="1645"/>
      <c r="T1534" s="1645"/>
      <c r="U1534" s="1645"/>
      <c r="V1534" s="1645"/>
      <c r="W1534" s="1645"/>
      <c r="X1534" s="1645"/>
      <c r="Y1534" s="1644">
        <f>Q1534*SUM(Y1521:Y1526)</f>
        <v>0</v>
      </c>
      <c r="AI1534" s="2023">
        <f>W1534-'Blocking-Step2'!W1534</f>
        <v>0</v>
      </c>
      <c r="AJ1534" s="2054">
        <f>O1534-'Blocking-Step2'!O1534</f>
        <v>0</v>
      </c>
    </row>
    <row r="1535" spans="1:36" ht="16.5" hidden="1" thickBot="1">
      <c r="A1535" s="1900" t="s">
        <v>247</v>
      </c>
      <c r="C1535" s="1949">
        <f>SUM(C1529:C1532)</f>
        <v>3574587746</v>
      </c>
      <c r="D1535" s="1949">
        <f>Energy!P61</f>
        <v>3534195297.3959675</v>
      </c>
      <c r="F1535" s="1939"/>
      <c r="H1535" s="1647">
        <f>SUM(H1519:H1533)</f>
        <v>193635208.99880001</v>
      </c>
      <c r="I1535" s="1647">
        <f>SUM(I1519:I1533)</f>
        <v>192578663.2958</v>
      </c>
      <c r="K1535" s="1939"/>
      <c r="M1535" s="1939"/>
      <c r="O1535" s="1939"/>
      <c r="Q1535" s="1939"/>
      <c r="S1535" s="1647">
        <f>SUM(S1519:S1532)</f>
        <v>41026083</v>
      </c>
      <c r="U1535" s="1647">
        <f>SUM(U1519:U1532)</f>
        <v>91351266</v>
      </c>
      <c r="W1535" s="1647">
        <f>SUM(W1519:W1532)</f>
        <v>64696262</v>
      </c>
      <c r="Y1535" s="1647">
        <f>SUM(Y1519:Y1532)</f>
        <v>197073610</v>
      </c>
      <c r="AA1535" s="1104" t="s">
        <v>1743</v>
      </c>
      <c r="AB1535" s="1890">
        <f>Y1535/I1535-1</f>
        <v>2.3340834479133266E-2</v>
      </c>
      <c r="AI1535" s="2023">
        <f>W1535-'Blocking-Step2'!W1535</f>
        <v>0</v>
      </c>
      <c r="AJ1535" s="2054">
        <f>O1535-'Blocking-Step2'!O1535</f>
        <v>0</v>
      </c>
    </row>
    <row r="1536" spans="1:36" ht="16.5" thickTop="1">
      <c r="C1536" s="528"/>
      <c r="D1536" s="528"/>
      <c r="AI1536" s="2023">
        <f>W1536-'Blocking-Step2'!W1536</f>
        <v>0</v>
      </c>
      <c r="AJ1536" s="2054">
        <f>O1536-'Blocking-Step2'!O1536</f>
        <v>0</v>
      </c>
    </row>
    <row r="1537" spans="1:36">
      <c r="A1537" s="1897" t="s">
        <v>768</v>
      </c>
      <c r="C1537" s="528"/>
      <c r="D1537" s="528"/>
      <c r="F1537" s="1943"/>
      <c r="G1537" s="1957"/>
      <c r="K1537" s="1943"/>
      <c r="L1537" s="1957"/>
      <c r="M1537" s="1943"/>
      <c r="N1537" s="1957"/>
      <c r="O1537" s="1943"/>
      <c r="P1537" s="1957"/>
      <c r="Q1537" s="1943"/>
      <c r="R1537" s="1957"/>
      <c r="S1537" s="1645"/>
      <c r="T1537" s="1645"/>
      <c r="U1537" s="1645"/>
      <c r="V1537" s="1645"/>
      <c r="W1537" s="1645"/>
      <c r="X1537" s="1645"/>
      <c r="AI1537" s="2023">
        <f>W1537-'Blocking-Step2'!W1537</f>
        <v>0</v>
      </c>
      <c r="AJ1537" s="2054">
        <f>O1537-'Blocking-Step2'!O1537</f>
        <v>0</v>
      </c>
    </row>
    <row r="1538" spans="1:36">
      <c r="A1538" s="1900" t="s">
        <v>240</v>
      </c>
      <c r="C1538" s="528">
        <f>C1560+C1582</f>
        <v>108</v>
      </c>
      <c r="D1538" s="528">
        <f>D1560+D1582</f>
        <v>108</v>
      </c>
      <c r="F1538" s="1901">
        <v>259</v>
      </c>
      <c r="G1538" s="1902"/>
      <c r="H1538" s="1644">
        <f>ROUND($F1538*C1538,0)</f>
        <v>27972</v>
      </c>
      <c r="I1538" s="1644">
        <f>ROUND($F1538*D1538,0)</f>
        <v>27972</v>
      </c>
      <c r="K1538" s="1901">
        <f>K1479</f>
        <v>265</v>
      </c>
      <c r="L1538" s="1902"/>
      <c r="M1538" s="1901">
        <f>M1479</f>
        <v>0</v>
      </c>
      <c r="N1538" s="1902"/>
      <c r="O1538" s="1901">
        <f>O1479</f>
        <v>0</v>
      </c>
      <c r="P1538" s="1902"/>
      <c r="Q1538" s="1901">
        <f>Q1479</f>
        <v>265</v>
      </c>
      <c r="R1538" s="1902"/>
      <c r="S1538" s="1644">
        <f t="shared" ref="S1538:S1539" si="896">ROUND($D1538*K1538,0)</f>
        <v>28620</v>
      </c>
      <c r="T1538" s="1644"/>
      <c r="U1538" s="1644">
        <f t="shared" ref="U1538:U1539" si="897">ROUND($D1538*M1538,0)</f>
        <v>0</v>
      </c>
      <c r="V1538" s="1644"/>
      <c r="W1538" s="1644">
        <f t="shared" ref="W1538:W1539" si="898">ROUND($D1538*O1538,0)</f>
        <v>0</v>
      </c>
      <c r="X1538" s="1643"/>
      <c r="Y1538" s="1644">
        <f>ROUND($D1538*Q1538,0)</f>
        <v>28620</v>
      </c>
      <c r="AA1538" s="1109"/>
      <c r="AB1538" s="1114"/>
      <c r="AI1538" s="2023">
        <f>W1538-'Blocking-Step2'!W1538</f>
        <v>0</v>
      </c>
      <c r="AJ1538" s="2054">
        <f>O1538-'Blocking-Step2'!O1538</f>
        <v>0</v>
      </c>
    </row>
    <row r="1539" spans="1:36">
      <c r="A1539" s="1900" t="s">
        <v>305</v>
      </c>
      <c r="C1539" s="528">
        <f>C1561+C1583</f>
        <v>234406</v>
      </c>
      <c r="D1539" s="528">
        <f>D1561+D1583</f>
        <v>243087</v>
      </c>
      <c r="F1539" s="1901">
        <v>2.2200000000000002</v>
      </c>
      <c r="G1539" s="1902"/>
      <c r="H1539" s="1644">
        <f>ROUND($F1539*C1539,0)</f>
        <v>520381</v>
      </c>
      <c r="I1539" s="1644">
        <f>ROUND($F1539*D1539,0)</f>
        <v>539653</v>
      </c>
      <c r="K1539" s="1901">
        <f t="shared" ref="K1539" si="899">K1480</f>
        <v>2.27</v>
      </c>
      <c r="L1539" s="1902"/>
      <c r="M1539" s="1901">
        <f t="shared" ref="M1539" si="900">M1480</f>
        <v>0</v>
      </c>
      <c r="N1539" s="1902"/>
      <c r="O1539" s="1901">
        <f t="shared" ref="O1539" si="901">O1480</f>
        <v>0</v>
      </c>
      <c r="P1539" s="1902"/>
      <c r="Q1539" s="1901">
        <f>Q1480</f>
        <v>2.27</v>
      </c>
      <c r="R1539" s="1902"/>
      <c r="S1539" s="1644">
        <f t="shared" si="896"/>
        <v>551807</v>
      </c>
      <c r="T1539" s="1644"/>
      <c r="U1539" s="1644">
        <f t="shared" si="897"/>
        <v>0</v>
      </c>
      <c r="V1539" s="1644"/>
      <c r="W1539" s="1644">
        <f t="shared" si="898"/>
        <v>0</v>
      </c>
      <c r="X1539" s="1643"/>
      <c r="Y1539" s="1644">
        <f t="shared" ref="Y1539:Y1541" si="902">ROUND($D1539*Q1539,0)</f>
        <v>551807</v>
      </c>
      <c r="AA1539" s="1109"/>
      <c r="AB1539" s="1109"/>
      <c r="AI1539" s="2023">
        <f>W1539-'Blocking-Step2'!W1539</f>
        <v>0</v>
      </c>
      <c r="AJ1539" s="2054">
        <f>O1539-'Blocking-Step2'!O1539</f>
        <v>0</v>
      </c>
    </row>
    <row r="1540" spans="1:36">
      <c r="A1540" s="1900" t="s">
        <v>1651</v>
      </c>
      <c r="C1540" s="528">
        <f t="shared" ref="C1540:D1554" si="903">C1562+C1584</f>
        <v>73367.066484446143</v>
      </c>
      <c r="D1540" s="528">
        <f t="shared" si="903"/>
        <v>76062</v>
      </c>
      <c r="F1540" s="1944"/>
      <c r="G1540" s="597"/>
      <c r="H1540" s="1644"/>
      <c r="I1540" s="1644"/>
      <c r="K1540" s="1944">
        <f>K1481*$AB1540</f>
        <v>1.5477000000000003</v>
      </c>
      <c r="L1540" s="597"/>
      <c r="M1540" s="1944">
        <f>M1481*$AB1540</f>
        <v>3.1713</v>
      </c>
      <c r="N1540" s="597"/>
      <c r="O1540" s="1944">
        <f>O1481*$AB1540</f>
        <v>0</v>
      </c>
      <c r="P1540" s="597"/>
      <c r="Q1540" s="1944">
        <f>Q1481*$AB1540</f>
        <v>4.7190000000000003</v>
      </c>
      <c r="R1540" s="597"/>
      <c r="S1540" s="1644">
        <f t="shared" ref="S1540:S1541" si="904">ROUND($D1540*K1540,0)</f>
        <v>117721</v>
      </c>
      <c r="T1540" s="1644"/>
      <c r="U1540" s="1644">
        <f t="shared" ref="U1540:U1541" si="905">ROUND($D1540*M1540,0)</f>
        <v>241215</v>
      </c>
      <c r="V1540" s="1644"/>
      <c r="W1540" s="1644">
        <f t="shared" ref="W1540:W1541" si="906">ROUND($D1540*O1540,0)</f>
        <v>0</v>
      </c>
      <c r="X1540" s="1645"/>
      <c r="Y1540" s="1644">
        <f t="shared" si="902"/>
        <v>358937</v>
      </c>
      <c r="AA1540" s="1869" t="s">
        <v>2181</v>
      </c>
      <c r="AB1540" s="1869">
        <v>0.33</v>
      </c>
      <c r="AI1540" s="2023">
        <f>W1540-'Blocking-Step2'!W1540</f>
        <v>0</v>
      </c>
      <c r="AJ1540" s="2054">
        <f>O1540-'Blocking-Step2'!O1540</f>
        <v>0</v>
      </c>
    </row>
    <row r="1541" spans="1:36">
      <c r="A1541" s="1900" t="s">
        <v>1652</v>
      </c>
      <c r="C1541" s="528">
        <f t="shared" si="903"/>
        <v>163562.19615631551</v>
      </c>
      <c r="D1541" s="528">
        <f t="shared" si="903"/>
        <v>169650</v>
      </c>
      <c r="F1541" s="1944"/>
      <c r="G1541" s="597"/>
      <c r="H1541" s="1644"/>
      <c r="I1541" s="1644"/>
      <c r="K1541" s="1944">
        <f>K1482*$AB1541</f>
        <v>1.3695000000000002</v>
      </c>
      <c r="L1541" s="597"/>
      <c r="M1541" s="1944">
        <f>M1482*$AB1541</f>
        <v>2.8050000000000002</v>
      </c>
      <c r="N1541" s="597"/>
      <c r="O1541" s="1944">
        <f>O1482*$AB1541</f>
        <v>0</v>
      </c>
      <c r="P1541" s="597"/>
      <c r="Q1541" s="1944">
        <f>Q1482*$AB1541</f>
        <v>4.1745000000000001</v>
      </c>
      <c r="R1541" s="597"/>
      <c r="S1541" s="1644">
        <f t="shared" si="904"/>
        <v>232336</v>
      </c>
      <c r="T1541" s="1644"/>
      <c r="U1541" s="1644">
        <f t="shared" si="905"/>
        <v>475868</v>
      </c>
      <c r="V1541" s="1644"/>
      <c r="W1541" s="1644">
        <f t="shared" si="906"/>
        <v>0</v>
      </c>
      <c r="X1541" s="1645"/>
      <c r="Y1541" s="1644">
        <f t="shared" si="902"/>
        <v>708204</v>
      </c>
      <c r="AB1541" s="1869">
        <f>AB1540</f>
        <v>0.33</v>
      </c>
      <c r="AI1541" s="2023">
        <f>W1541-'Blocking-Step2'!W1541</f>
        <v>0</v>
      </c>
      <c r="AJ1541" s="2054">
        <f>O1541-'Blocking-Step2'!O1541</f>
        <v>0</v>
      </c>
    </row>
    <row r="1542" spans="1:36">
      <c r="A1542" s="1900" t="s">
        <v>1532</v>
      </c>
      <c r="C1542" s="528">
        <f t="shared" si="903"/>
        <v>6528826.7241609599</v>
      </c>
      <c r="D1542" s="528">
        <f t="shared" si="903"/>
        <v>6818306</v>
      </c>
      <c r="F1542" s="1943"/>
      <c r="G1542" s="1921"/>
      <c r="H1542" s="1644"/>
      <c r="I1542" s="1644"/>
      <c r="K1542" s="1943">
        <f t="shared" ref="K1542:K1545" si="907">K1483</f>
        <v>0</v>
      </c>
      <c r="L1542" s="1921" t="s">
        <v>495</v>
      </c>
      <c r="M1542" s="1943">
        <f t="shared" ref="M1542:M1545" si="908">M1483</f>
        <v>1.0266514814000001</v>
      </c>
      <c r="N1542" s="1921" t="s">
        <v>495</v>
      </c>
      <c r="O1542" s="1943">
        <f t="shared" ref="O1542:O1545" si="909">O1483</f>
        <v>4.1108761607000002</v>
      </c>
      <c r="P1542" s="1921" t="s">
        <v>495</v>
      </c>
      <c r="Q1542" s="1943">
        <f>Q1483</f>
        <v>5.1375276421000002</v>
      </c>
      <c r="R1542" s="1921" t="s">
        <v>495</v>
      </c>
      <c r="S1542" s="1644">
        <f>ROUND($D1542*K1542/100,0)</f>
        <v>0</v>
      </c>
      <c r="T1542" s="1644"/>
      <c r="U1542" s="1644">
        <f>ROUND($D1542*M1542/100,0)</f>
        <v>70000</v>
      </c>
      <c r="V1542" s="1644"/>
      <c r="W1542" s="1644">
        <f>ROUND($D1542*O1542/100,0)</f>
        <v>280292</v>
      </c>
      <c r="X1542" s="1648"/>
      <c r="Y1542" s="1644">
        <f>ROUND($D1542*Q1542/100,0)</f>
        <v>350292</v>
      </c>
      <c r="AI1542" s="2023">
        <f>W1542-'Blocking-Step2'!W1542</f>
        <v>0</v>
      </c>
      <c r="AJ1542" s="2054">
        <f>O1542-'Blocking-Step2'!O1542</f>
        <v>0</v>
      </c>
    </row>
    <row r="1543" spans="1:36">
      <c r="A1543" s="1900" t="s">
        <v>1653</v>
      </c>
      <c r="C1543" s="528">
        <f t="shared" si="903"/>
        <v>6832346.1464205012</v>
      </c>
      <c r="D1543" s="528">
        <f t="shared" si="903"/>
        <v>7138084</v>
      </c>
      <c r="F1543" s="1943"/>
      <c r="G1543" s="1921"/>
      <c r="H1543" s="1644"/>
      <c r="I1543" s="1644"/>
      <c r="K1543" s="1943">
        <f t="shared" si="907"/>
        <v>0</v>
      </c>
      <c r="L1543" s="1921" t="s">
        <v>495</v>
      </c>
      <c r="M1543" s="1943">
        <f t="shared" si="908"/>
        <v>1.0342499835399996</v>
      </c>
      <c r="N1543" s="1921" t="s">
        <v>495</v>
      </c>
      <c r="O1543" s="1943">
        <f t="shared" si="909"/>
        <v>3.5122346554870001</v>
      </c>
      <c r="P1543" s="1921" t="s">
        <v>495</v>
      </c>
      <c r="Q1543" s="1943">
        <f>Q1484</f>
        <v>4.5464846390269997</v>
      </c>
      <c r="R1543" s="1921" t="s">
        <v>495</v>
      </c>
      <c r="S1543" s="1644">
        <f t="shared" ref="S1543:S1545" si="910">ROUND($D1543*K1543/100,0)</f>
        <v>0</v>
      </c>
      <c r="T1543" s="1644"/>
      <c r="U1543" s="1644">
        <f t="shared" ref="U1543:U1545" si="911">ROUND($D1543*M1543/100,0)</f>
        <v>73826</v>
      </c>
      <c r="V1543" s="1644"/>
      <c r="W1543" s="1644">
        <f t="shared" ref="W1543:W1545" si="912">ROUND($D1543*O1543/100,0)</f>
        <v>250706</v>
      </c>
      <c r="X1543" s="1648"/>
      <c r="Y1543" s="1644">
        <f t="shared" ref="Y1543:Y1545" si="913">ROUND($D1543*Q1543/100,0)</f>
        <v>324532</v>
      </c>
      <c r="AI1543" s="2023">
        <f>W1543-'Blocking-Step2'!W1543</f>
        <v>0</v>
      </c>
      <c r="AJ1543" s="2054">
        <f>O1543-'Blocking-Step2'!O1543</f>
        <v>0</v>
      </c>
    </row>
    <row r="1544" spans="1:36">
      <c r="A1544" s="1900" t="s">
        <v>1533</v>
      </c>
      <c r="C1544" s="528">
        <f t="shared" si="903"/>
        <v>5462224.7361181956</v>
      </c>
      <c r="D1544" s="528">
        <f t="shared" si="903"/>
        <v>5708900</v>
      </c>
      <c r="F1544" s="1943"/>
      <c r="G1544" s="1921"/>
      <c r="H1544" s="1644"/>
      <c r="I1544" s="1644"/>
      <c r="K1544" s="1943">
        <f t="shared" si="907"/>
        <v>0</v>
      </c>
      <c r="L1544" s="1921" t="s">
        <v>495</v>
      </c>
      <c r="M1544" s="1943">
        <f t="shared" si="908"/>
        <v>1.0591286997309999</v>
      </c>
      <c r="N1544" s="1921" t="s">
        <v>495</v>
      </c>
      <c r="O1544" s="1943">
        <f t="shared" si="909"/>
        <v>1.5521862361710002</v>
      </c>
      <c r="P1544" s="1921" t="s">
        <v>495</v>
      </c>
      <c r="Q1544" s="1943">
        <f>Q1485</f>
        <v>2.611314935902</v>
      </c>
      <c r="R1544" s="1921" t="s">
        <v>495</v>
      </c>
      <c r="S1544" s="1644">
        <f t="shared" si="910"/>
        <v>0</v>
      </c>
      <c r="T1544" s="1644"/>
      <c r="U1544" s="1644">
        <f t="shared" si="911"/>
        <v>60465</v>
      </c>
      <c r="V1544" s="1644"/>
      <c r="W1544" s="1644">
        <f t="shared" si="912"/>
        <v>88613</v>
      </c>
      <c r="X1544" s="1648"/>
      <c r="Y1544" s="1644">
        <f t="shared" si="913"/>
        <v>149077</v>
      </c>
      <c r="AI1544" s="2023">
        <f>W1544-'Blocking-Step2'!W1544</f>
        <v>0</v>
      </c>
      <c r="AJ1544" s="2054">
        <f>O1544-'Blocking-Step2'!O1544</f>
        <v>0</v>
      </c>
    </row>
    <row r="1545" spans="1:36">
      <c r="A1545" s="1900" t="s">
        <v>2177</v>
      </c>
      <c r="C1545" s="528">
        <f t="shared" si="903"/>
        <v>21717553.393300343</v>
      </c>
      <c r="D1545" s="528">
        <f t="shared" si="903"/>
        <v>22274997.423445866</v>
      </c>
      <c r="F1545" s="1943"/>
      <c r="G1545" s="1921"/>
      <c r="H1545" s="1644"/>
      <c r="I1545" s="1644"/>
      <c r="K1545" s="1943">
        <f t="shared" si="907"/>
        <v>0</v>
      </c>
      <c r="L1545" s="1921" t="s">
        <v>495</v>
      </c>
      <c r="M1545" s="1943">
        <f t="shared" si="908"/>
        <v>1.0629908847180001</v>
      </c>
      <c r="N1545" s="1921" t="s">
        <v>495</v>
      </c>
      <c r="O1545" s="1943">
        <f t="shared" si="909"/>
        <v>1.247907288647</v>
      </c>
      <c r="P1545" s="1921" t="s">
        <v>495</v>
      </c>
      <c r="Q1545" s="1943">
        <f>Q1486</f>
        <v>2.310898173365</v>
      </c>
      <c r="R1545" s="1921" t="s">
        <v>495</v>
      </c>
      <c r="S1545" s="1644">
        <f t="shared" si="910"/>
        <v>0</v>
      </c>
      <c r="T1545" s="1644"/>
      <c r="U1545" s="1644">
        <f t="shared" si="911"/>
        <v>236781</v>
      </c>
      <c r="V1545" s="1644"/>
      <c r="W1545" s="1644">
        <f t="shared" si="912"/>
        <v>277971</v>
      </c>
      <c r="X1545" s="1648"/>
      <c r="Y1545" s="1644">
        <f t="shared" si="913"/>
        <v>514753</v>
      </c>
      <c r="AI1545" s="2023">
        <f>W1545-'Blocking-Step2'!W1545</f>
        <v>0</v>
      </c>
      <c r="AJ1545" s="2054">
        <f>O1545-'Blocking-Step2'!O1545</f>
        <v>0</v>
      </c>
    </row>
    <row r="1546" spans="1:36">
      <c r="A1546" s="1900" t="s">
        <v>2185</v>
      </c>
      <c r="C1546" s="528">
        <f t="shared" si="903"/>
        <v>90417</v>
      </c>
      <c r="D1546" s="528">
        <f t="shared" si="903"/>
        <v>0</v>
      </c>
      <c r="F1546" s="1943"/>
      <c r="G1546" s="1921"/>
      <c r="H1546" s="1644"/>
      <c r="I1546" s="1644"/>
      <c r="K1546" s="1943"/>
      <c r="L1546" s="1921"/>
      <c r="M1546" s="1943"/>
      <c r="N1546" s="1921"/>
      <c r="O1546" s="1943"/>
      <c r="P1546" s="1921"/>
      <c r="Q1546" s="1943"/>
      <c r="R1546" s="1921"/>
      <c r="S1546" s="1648"/>
      <c r="T1546" s="1648"/>
      <c r="U1546" s="1648"/>
      <c r="V1546" s="1648"/>
      <c r="W1546" s="1648"/>
      <c r="X1546" s="1648"/>
      <c r="Y1546" s="1644"/>
      <c r="AI1546" s="2023">
        <f>W1546-'Blocking-Step2'!W1546</f>
        <v>0</v>
      </c>
      <c r="AJ1546" s="2054">
        <f>O1546-'Blocking-Step2'!O1546</f>
        <v>0</v>
      </c>
    </row>
    <row r="1547" spans="1:36">
      <c r="A1547" s="1900" t="s">
        <v>2186</v>
      </c>
      <c r="C1547" s="528">
        <f t="shared" si="903"/>
        <v>143989</v>
      </c>
      <c r="D1547" s="528">
        <f t="shared" si="903"/>
        <v>0</v>
      </c>
      <c r="F1547" s="1943"/>
      <c r="G1547" s="1921"/>
      <c r="H1547" s="1644"/>
      <c r="I1547" s="1644"/>
      <c r="K1547" s="1943"/>
      <c r="L1547" s="1921"/>
      <c r="M1547" s="1943"/>
      <c r="N1547" s="1921"/>
      <c r="O1547" s="1943"/>
      <c r="P1547" s="1921"/>
      <c r="Q1547" s="1943"/>
      <c r="R1547" s="1921"/>
      <c r="S1547" s="1648"/>
      <c r="T1547" s="1648"/>
      <c r="U1547" s="1648"/>
      <c r="V1547" s="1648"/>
      <c r="W1547" s="1648"/>
      <c r="X1547" s="1648"/>
      <c r="Y1547" s="1644"/>
      <c r="AI1547" s="2023">
        <f>W1547-'Blocking-Step2'!W1547</f>
        <v>0</v>
      </c>
      <c r="AJ1547" s="2054">
        <f>O1547-'Blocking-Step2'!O1547</f>
        <v>0</v>
      </c>
    </row>
    <row r="1548" spans="1:36">
      <c r="A1548" s="1900" t="s">
        <v>2187</v>
      </c>
      <c r="C1548" s="528">
        <f t="shared" si="903"/>
        <v>9439613</v>
      </c>
      <c r="D1548" s="528">
        <f t="shared" si="903"/>
        <v>0</v>
      </c>
      <c r="F1548" s="1943"/>
      <c r="G1548" s="1921"/>
      <c r="H1548" s="1644"/>
      <c r="I1548" s="1644"/>
      <c r="K1548" s="1943"/>
      <c r="L1548" s="1921"/>
      <c r="M1548" s="1943"/>
      <c r="N1548" s="1921"/>
      <c r="O1548" s="1943"/>
      <c r="P1548" s="1921"/>
      <c r="Q1548" s="1943"/>
      <c r="R1548" s="1921"/>
      <c r="S1548" s="1648"/>
      <c r="T1548" s="1648"/>
      <c r="U1548" s="1648"/>
      <c r="V1548" s="1648"/>
      <c r="W1548" s="1648"/>
      <c r="X1548" s="1648"/>
      <c r="Y1548" s="1644"/>
      <c r="AI1548" s="2023">
        <f>W1548-'Blocking-Step2'!W1548</f>
        <v>0</v>
      </c>
      <c r="AJ1548" s="2054">
        <f>O1548-'Blocking-Step2'!O1548</f>
        <v>0</v>
      </c>
    </row>
    <row r="1549" spans="1:36">
      <c r="A1549" s="1900" t="s">
        <v>2188</v>
      </c>
      <c r="C1549" s="528">
        <f t="shared" si="903"/>
        <v>13674986</v>
      </c>
      <c r="D1549" s="528">
        <f t="shared" si="903"/>
        <v>0</v>
      </c>
      <c r="F1549" s="1943"/>
      <c r="G1549" s="1921"/>
      <c r="H1549" s="1644"/>
      <c r="I1549" s="1644"/>
      <c r="K1549" s="1943"/>
      <c r="L1549" s="1921"/>
      <c r="M1549" s="1943"/>
      <c r="N1549" s="1921"/>
      <c r="O1549" s="1943"/>
      <c r="P1549" s="1921"/>
      <c r="Q1549" s="1943"/>
      <c r="R1549" s="1921"/>
      <c r="S1549" s="1648"/>
      <c r="T1549" s="1648"/>
      <c r="U1549" s="1648"/>
      <c r="V1549" s="1648"/>
      <c r="W1549" s="1648"/>
      <c r="X1549" s="1648"/>
      <c r="Y1549" s="1644"/>
      <c r="AI1549" s="2023">
        <f>W1549-'Blocking-Step2'!W1549</f>
        <v>0</v>
      </c>
      <c r="AJ1549" s="2054">
        <f>O1549-'Blocking-Step2'!O1549</f>
        <v>0</v>
      </c>
    </row>
    <row r="1550" spans="1:36">
      <c r="A1550" s="1900" t="s">
        <v>2189</v>
      </c>
      <c r="C1550" s="528">
        <f t="shared" si="903"/>
        <v>6528100</v>
      </c>
      <c r="D1550" s="528">
        <f t="shared" si="903"/>
        <v>0</v>
      </c>
      <c r="F1550" s="1943"/>
      <c r="G1550" s="1921"/>
      <c r="H1550" s="1644"/>
      <c r="I1550" s="1644"/>
      <c r="K1550" s="1943"/>
      <c r="L1550" s="1921"/>
      <c r="M1550" s="1943"/>
      <c r="N1550" s="1921"/>
      <c r="O1550" s="1943"/>
      <c r="P1550" s="1921"/>
      <c r="Q1550" s="1943"/>
      <c r="R1550" s="1921"/>
      <c r="S1550" s="1648"/>
      <c r="T1550" s="1648"/>
      <c r="U1550" s="1648"/>
      <c r="V1550" s="1648"/>
      <c r="W1550" s="1648"/>
      <c r="X1550" s="1648"/>
      <c r="Y1550" s="1644"/>
      <c r="AI1550" s="2023">
        <f>W1550-'Blocking-Step2'!W1550</f>
        <v>0</v>
      </c>
      <c r="AJ1550" s="2054">
        <f>O1550-'Blocking-Step2'!O1550</f>
        <v>0</v>
      </c>
    </row>
    <row r="1551" spans="1:36">
      <c r="A1551" s="1900" t="s">
        <v>2190</v>
      </c>
      <c r="C1551" s="528">
        <f t="shared" si="903"/>
        <v>10898252</v>
      </c>
      <c r="D1551" s="528">
        <f t="shared" si="903"/>
        <v>0</v>
      </c>
      <c r="F1551" s="1943"/>
      <c r="G1551" s="1921"/>
      <c r="H1551" s="1644"/>
      <c r="I1551" s="1644"/>
      <c r="K1551" s="1943"/>
      <c r="L1551" s="1921"/>
      <c r="M1551" s="1943"/>
      <c r="N1551" s="1921"/>
      <c r="O1551" s="1943"/>
      <c r="P1551" s="1921"/>
      <c r="Q1551" s="1943"/>
      <c r="R1551" s="1921"/>
      <c r="S1551" s="1648"/>
      <c r="T1551" s="1648"/>
      <c r="U1551" s="1648"/>
      <c r="V1551" s="1648"/>
      <c r="W1551" s="1648"/>
      <c r="X1551" s="1648"/>
      <c r="Y1551" s="1644"/>
      <c r="AI1551" s="2023">
        <f>W1551-'Blocking-Step2'!W1551</f>
        <v>0</v>
      </c>
      <c r="AJ1551" s="2054">
        <f>O1551-'Blocking-Step2'!O1551</f>
        <v>0</v>
      </c>
    </row>
    <row r="1552" spans="1:36">
      <c r="A1552" s="1900" t="s">
        <v>248</v>
      </c>
      <c r="C1552" s="528">
        <f t="shared" si="903"/>
        <v>23114599</v>
      </c>
      <c r="D1552" s="528">
        <f t="shared" si="903"/>
        <v>23854513</v>
      </c>
      <c r="F1552" s="1920">
        <v>8.6029</v>
      </c>
      <c r="G1552" s="1921" t="s">
        <v>495</v>
      </c>
      <c r="H1552" s="1644">
        <f>ROUND($F1552*C1552/100,0)</f>
        <v>1988526</v>
      </c>
      <c r="I1552" s="1644">
        <f>ROUND($F1552*D1552/100,0)</f>
        <v>2052180</v>
      </c>
      <c r="K1552" s="1920"/>
      <c r="L1552" s="1921"/>
      <c r="M1552" s="1920"/>
      <c r="N1552" s="1921"/>
      <c r="O1552" s="1920"/>
      <c r="P1552" s="1921"/>
      <c r="Q1552" s="1920"/>
      <c r="R1552" s="1921"/>
      <c r="S1552" s="1648"/>
      <c r="T1552" s="1648"/>
      <c r="U1552" s="1648"/>
      <c r="V1552" s="1648"/>
      <c r="W1552" s="1648"/>
      <c r="X1552" s="1648"/>
      <c r="Y1552" s="1644"/>
      <c r="AA1552" s="1945"/>
      <c r="AB1552" s="1973"/>
      <c r="AC1552" s="596"/>
      <c r="AI1552" s="2023">
        <f>W1552-'Blocking-Step2'!W1552</f>
        <v>0</v>
      </c>
      <c r="AJ1552" s="2054">
        <f>O1552-'Blocking-Step2'!O1552</f>
        <v>0</v>
      </c>
    </row>
    <row r="1553" spans="1:36">
      <c r="A1553" s="1900" t="s">
        <v>249</v>
      </c>
      <c r="C1553" s="528">
        <f t="shared" si="903"/>
        <v>17426352</v>
      </c>
      <c r="D1553" s="528">
        <f t="shared" si="903"/>
        <v>18085775</v>
      </c>
      <c r="F1553" s="1920">
        <v>3.6981000000000002</v>
      </c>
      <c r="G1553" s="1921" t="s">
        <v>495</v>
      </c>
      <c r="H1553" s="1644">
        <f>ROUND($F1553*C1553/100,0)</f>
        <v>644444</v>
      </c>
      <c r="I1553" s="1644">
        <f>ROUND($F1553*D1553/100,0)</f>
        <v>668830</v>
      </c>
      <c r="K1553" s="1920"/>
      <c r="L1553" s="1921"/>
      <c r="M1553" s="1920"/>
      <c r="N1553" s="1921"/>
      <c r="O1553" s="1920"/>
      <c r="P1553" s="1921"/>
      <c r="Q1553" s="1920"/>
      <c r="R1553" s="1921"/>
      <c r="S1553" s="1648"/>
      <c r="T1553" s="1648"/>
      <c r="U1553" s="1648"/>
      <c r="V1553" s="1648"/>
      <c r="W1553" s="1648"/>
      <c r="X1553" s="1648"/>
      <c r="Y1553" s="1644"/>
      <c r="AA1553" s="1109"/>
      <c r="AB1553" s="1946"/>
      <c r="AC1553" s="596"/>
      <c r="AI1553" s="2023">
        <f>W1553-'Blocking-Step2'!W1553</f>
        <v>0</v>
      </c>
      <c r="AJ1553" s="2054">
        <f>O1553-'Blocking-Step2'!O1553</f>
        <v>0</v>
      </c>
    </row>
    <row r="1554" spans="1:36">
      <c r="A1554" s="1900" t="s">
        <v>246</v>
      </c>
      <c r="C1554" s="529">
        <f t="shared" si="903"/>
        <v>-164095</v>
      </c>
      <c r="D1554" s="529">
        <f t="shared" si="903"/>
        <v>0</v>
      </c>
      <c r="H1554" s="1030">
        <f>H1576+H1598</f>
        <v>-14979</v>
      </c>
      <c r="I1554" s="1030">
        <f>I1576+I1598</f>
        <v>0</v>
      </c>
      <c r="Y1554" s="1030"/>
      <c r="AA1554" s="1109"/>
      <c r="AB1554" s="1946"/>
      <c r="AC1554" s="596"/>
      <c r="AI1554" s="2023">
        <f>W1554-'Blocking-Step2'!W1554</f>
        <v>0</v>
      </c>
      <c r="AJ1554" s="2054">
        <f>O1554-'Blocking-Step2'!O1554</f>
        <v>0</v>
      </c>
    </row>
    <row r="1555" spans="1:36">
      <c r="A1555" s="1900" t="s">
        <v>1240</v>
      </c>
      <c r="C1555" s="584"/>
      <c r="D1555" s="584"/>
      <c r="F1555" s="1930">
        <v>-3.4099999999999998E-2</v>
      </c>
      <c r="G1555" s="597"/>
      <c r="H1555" s="1644">
        <f>SUM(H1552:H1553)*$F1555</f>
        <v>-89784.277000000002</v>
      </c>
      <c r="I1555" s="1644">
        <f>SUM(I1552:I1553)*$F1555</f>
        <v>-92786.440999999992</v>
      </c>
      <c r="K1555" s="1930"/>
      <c r="L1555" s="597"/>
      <c r="M1555" s="1930"/>
      <c r="N1555" s="597"/>
      <c r="O1555" s="1931" t="str">
        <f>$O$43</f>
        <v>Tax Year 1 (1/1/2021)</v>
      </c>
      <c r="P1555" s="597"/>
      <c r="Q1555" s="1930">
        <f>$AC$1491</f>
        <v>-1.41E-2</v>
      </c>
      <c r="R1555" s="597"/>
      <c r="S1555" s="1645"/>
      <c r="T1555" s="1645"/>
      <c r="U1555" s="1645"/>
      <c r="V1555" s="1645"/>
      <c r="W1555" s="1645"/>
      <c r="X1555" s="1645"/>
      <c r="Y1555" s="1644">
        <f>Q1555*SUM(Y1540:Y1545)</f>
        <v>-33921.709499999997</v>
      </c>
      <c r="AA1555" s="1109"/>
      <c r="AB1555" s="1946"/>
      <c r="AC1555" s="596"/>
      <c r="AI1555" s="2023">
        <f>W1555-'Blocking-Step2'!W1555</f>
        <v>0</v>
      </c>
      <c r="AJ1555" s="2054">
        <f>O1555-'Blocking-Step2'!O1555</f>
        <v>0</v>
      </c>
    </row>
    <row r="1556" spans="1:36">
      <c r="A1556" s="1900"/>
      <c r="C1556" s="584"/>
      <c r="D1556" s="584"/>
      <c r="F1556" s="1930"/>
      <c r="G1556" s="597"/>
      <c r="H1556" s="1644"/>
      <c r="I1556" s="1644"/>
      <c r="K1556" s="1930"/>
      <c r="L1556" s="597"/>
      <c r="M1556" s="1930"/>
      <c r="N1556" s="597"/>
      <c r="O1556" s="1931">
        <f>$O$44</f>
        <v>0</v>
      </c>
      <c r="P1556" s="597"/>
      <c r="Q1556" s="1930">
        <f>$AC$1492</f>
        <v>0</v>
      </c>
      <c r="R1556" s="597"/>
      <c r="S1556" s="1645"/>
      <c r="T1556" s="1645"/>
      <c r="U1556" s="1645"/>
      <c r="V1556" s="1645"/>
      <c r="W1556" s="1645"/>
      <c r="X1556" s="1645"/>
      <c r="Y1556" s="1644">
        <f>Q1556*SUM(Y1540:Y1545)</f>
        <v>0</v>
      </c>
      <c r="AA1556" s="1109"/>
      <c r="AB1556" s="1946"/>
      <c r="AC1556" s="596">
        <f>AC1557/3</f>
        <v>0.21522791238953279</v>
      </c>
      <c r="AI1556" s="2023">
        <f>W1556-'Blocking-Step2'!W1556</f>
        <v>0</v>
      </c>
      <c r="AJ1556" s="2054">
        <f>O1556-'Blocking-Step2'!O1556</f>
        <v>0</v>
      </c>
    </row>
    <row r="1557" spans="1:36" ht="16.5" thickBot="1">
      <c r="A1557" s="1900" t="s">
        <v>247</v>
      </c>
      <c r="C1557" s="1949">
        <f>SUM(C1552:C1554)</f>
        <v>40376856</v>
      </c>
      <c r="D1557" s="1949">
        <f>SUM(D1552:D1554)</f>
        <v>41940288</v>
      </c>
      <c r="F1557" s="1939"/>
      <c r="H1557" s="1647">
        <f>SUM(H1538:H1555)</f>
        <v>3076559.7230000002</v>
      </c>
      <c r="I1557" s="1647">
        <f>SUM(I1538:I1555)</f>
        <v>3195848.5589999999</v>
      </c>
      <c r="K1557" s="1939"/>
      <c r="M1557" s="1939"/>
      <c r="O1557" s="1939"/>
      <c r="Q1557" s="1939"/>
      <c r="S1557" s="1647">
        <f>SUM(S1538:S1545)</f>
        <v>930484</v>
      </c>
      <c r="U1557" s="1647">
        <f>SUM(U1538:U1545)</f>
        <v>1158155</v>
      </c>
      <c r="W1557" s="1647">
        <f>SUM(W1538:W1545)</f>
        <v>897582</v>
      </c>
      <c r="Y1557" s="1647">
        <f>SUM(Y1538:Y1545)</f>
        <v>2986222</v>
      </c>
      <c r="AA1557" s="1104" t="s">
        <v>1743</v>
      </c>
      <c r="AB1557" s="1890">
        <f>Y1557/I1557-1</f>
        <v>-6.5593395660022535E-2</v>
      </c>
      <c r="AC1557" s="596">
        <v>0.64568373716859839</v>
      </c>
      <c r="AI1557" s="2023">
        <f>W1557-'Blocking-Step2'!W1557</f>
        <v>0</v>
      </c>
      <c r="AJ1557" s="2054">
        <f>O1557-'Blocking-Step2'!O1557</f>
        <v>0</v>
      </c>
    </row>
    <row r="1558" spans="1:36" ht="16.5" hidden="1" thickTop="1">
      <c r="C1558" s="528"/>
      <c r="D1558" s="528"/>
      <c r="AA1558" s="596"/>
      <c r="AB1558" s="596"/>
      <c r="AC1558" s="596"/>
      <c r="AI1558" s="2023">
        <f>W1558-'Blocking-Step2'!W1558</f>
        <v>0</v>
      </c>
      <c r="AJ1558" s="2054">
        <f>O1558-'Blocking-Step2'!O1558</f>
        <v>0</v>
      </c>
    </row>
    <row r="1559" spans="1:36" hidden="1">
      <c r="A1559" s="1897" t="s">
        <v>564</v>
      </c>
      <c r="C1559" s="528"/>
      <c r="D1559" s="528"/>
      <c r="F1559" s="1943"/>
      <c r="G1559" s="1957"/>
      <c r="K1559" s="1943"/>
      <c r="L1559" s="1957"/>
      <c r="M1559" s="1943"/>
      <c r="N1559" s="1957"/>
      <c r="O1559" s="1943"/>
      <c r="P1559" s="1957"/>
      <c r="Q1559" s="1943"/>
      <c r="R1559" s="1957"/>
      <c r="S1559" s="1645"/>
      <c r="T1559" s="1645"/>
      <c r="U1559" s="1645"/>
      <c r="V1559" s="1645"/>
      <c r="W1559" s="1645"/>
      <c r="X1559" s="1645"/>
      <c r="AA1559" s="1109"/>
      <c r="AB1559" s="1917"/>
      <c r="AC1559" s="1974"/>
      <c r="AI1559" s="2023">
        <f>W1559-'Blocking-Step2'!W1559</f>
        <v>0</v>
      </c>
      <c r="AJ1559" s="2054">
        <f>O1559-'Blocking-Step2'!O1559</f>
        <v>0</v>
      </c>
    </row>
    <row r="1560" spans="1:36" hidden="1">
      <c r="A1560" s="1900" t="s">
        <v>240</v>
      </c>
      <c r="C1560" s="528">
        <f>'9A'!G6</f>
        <v>24</v>
      </c>
      <c r="D1560" s="528">
        <f>Bill!P37</f>
        <v>24</v>
      </c>
      <c r="F1560" s="1901">
        <v>259</v>
      </c>
      <c r="G1560" s="1902"/>
      <c r="H1560" s="1644">
        <f>ROUND($F1560*C1560,0)</f>
        <v>6216</v>
      </c>
      <c r="I1560" s="1644">
        <f>ROUND($F1560*D1560,0)</f>
        <v>6216</v>
      </c>
      <c r="K1560" s="1901">
        <f>K1538</f>
        <v>265</v>
      </c>
      <c r="L1560" s="1902"/>
      <c r="M1560" s="1901">
        <f>M1538</f>
        <v>0</v>
      </c>
      <c r="N1560" s="1902"/>
      <c r="O1560" s="1901">
        <f>O1538</f>
        <v>0</v>
      </c>
      <c r="P1560" s="1902"/>
      <c r="Q1560" s="1901">
        <f>Q1538</f>
        <v>265</v>
      </c>
      <c r="R1560" s="1902"/>
      <c r="S1560" s="1644">
        <f t="shared" ref="S1560:S1563" si="914">ROUND($D1560*K1560,0)</f>
        <v>6360</v>
      </c>
      <c r="T1560" s="1644"/>
      <c r="U1560" s="1644">
        <f t="shared" ref="U1560:U1563" si="915">ROUND($D1560*M1560,0)</f>
        <v>0</v>
      </c>
      <c r="V1560" s="1644"/>
      <c r="W1560" s="1644">
        <f t="shared" ref="W1560:W1563" si="916">ROUND($D1560*O1560,0)</f>
        <v>0</v>
      </c>
      <c r="X1560" s="1643"/>
      <c r="Y1560" s="1644">
        <f>ROUND($D1560*Q1560,0)</f>
        <v>6360</v>
      </c>
      <c r="AA1560" s="1109"/>
      <c r="AB1560" s="1917"/>
      <c r="AC1560" s="1974"/>
      <c r="AI1560" s="2023">
        <f>W1560-'Blocking-Step2'!W1560</f>
        <v>0</v>
      </c>
      <c r="AJ1560" s="2054">
        <f>O1560-'Blocking-Step2'!O1560</f>
        <v>0</v>
      </c>
    </row>
    <row r="1561" spans="1:36" hidden="1">
      <c r="A1561" s="1900" t="s">
        <v>305</v>
      </c>
      <c r="C1561" s="528">
        <f>'9A'!H6</f>
        <v>72449</v>
      </c>
      <c r="D1561" s="528">
        <f>ROUND(C1561/C1579*D1579,0)</f>
        <v>75455</v>
      </c>
      <c r="F1561" s="1901">
        <v>2.2200000000000002</v>
      </c>
      <c r="G1561" s="1902"/>
      <c r="H1561" s="1644">
        <f>ROUND($F1561*C1561,0)</f>
        <v>160837</v>
      </c>
      <c r="I1561" s="1644">
        <f>ROUND($F1561*D1561,0)</f>
        <v>167510</v>
      </c>
      <c r="K1561" s="1901">
        <f t="shared" ref="K1561:K1567" si="917">K1539</f>
        <v>2.27</v>
      </c>
      <c r="L1561" s="1902"/>
      <c r="M1561" s="1901">
        <f t="shared" ref="M1561:M1567" si="918">M1539</f>
        <v>0</v>
      </c>
      <c r="N1561" s="1902"/>
      <c r="O1561" s="1901">
        <f t="shared" ref="O1561:O1567" si="919">O1539</f>
        <v>0</v>
      </c>
      <c r="P1561" s="1902"/>
      <c r="Q1561" s="1901">
        <f t="shared" ref="Q1561:Q1567" si="920">Q1539</f>
        <v>2.27</v>
      </c>
      <c r="R1561" s="1902"/>
      <c r="S1561" s="1644">
        <f t="shared" si="914"/>
        <v>171283</v>
      </c>
      <c r="T1561" s="1644"/>
      <c r="U1561" s="1644">
        <f t="shared" si="915"/>
        <v>0</v>
      </c>
      <c r="V1561" s="1644"/>
      <c r="W1561" s="1644">
        <f t="shared" si="916"/>
        <v>0</v>
      </c>
      <c r="X1561" s="1643"/>
      <c r="Y1561" s="1644">
        <f t="shared" ref="Y1561:Y1563" si="921">ROUND($D1561*Q1561,0)</f>
        <v>171283</v>
      </c>
      <c r="AI1561" s="2023">
        <f>W1561-'Blocking-Step2'!W1561</f>
        <v>0</v>
      </c>
      <c r="AJ1561" s="2054">
        <f>O1561-'Blocking-Step2'!O1561</f>
        <v>0</v>
      </c>
    </row>
    <row r="1562" spans="1:36" hidden="1">
      <c r="A1562" s="1900" t="s">
        <v>1651</v>
      </c>
      <c r="C1562" s="528">
        <f>C1568*Z1562</f>
        <v>19256.85680578736</v>
      </c>
      <c r="D1562" s="528">
        <f>ROUND(C1562/C1579*D1579,0)</f>
        <v>20056</v>
      </c>
      <c r="F1562" s="1944"/>
      <c r="G1562" s="597"/>
      <c r="H1562" s="1644"/>
      <c r="I1562" s="1644"/>
      <c r="K1562" s="1944">
        <f t="shared" si="917"/>
        <v>1.5477000000000003</v>
      </c>
      <c r="L1562" s="597"/>
      <c r="M1562" s="1944">
        <f t="shared" si="918"/>
        <v>3.1713</v>
      </c>
      <c r="N1562" s="597"/>
      <c r="O1562" s="1944">
        <f t="shared" si="919"/>
        <v>0</v>
      </c>
      <c r="P1562" s="597"/>
      <c r="Q1562" s="1944">
        <f t="shared" si="920"/>
        <v>4.7190000000000003</v>
      </c>
      <c r="R1562" s="597"/>
      <c r="S1562" s="1644">
        <f t="shared" si="914"/>
        <v>31041</v>
      </c>
      <c r="T1562" s="1644"/>
      <c r="U1562" s="1644">
        <f t="shared" si="915"/>
        <v>63604</v>
      </c>
      <c r="V1562" s="1644"/>
      <c r="W1562" s="1644">
        <f t="shared" si="916"/>
        <v>0</v>
      </c>
      <c r="X1562" s="1645"/>
      <c r="Y1562" s="1644">
        <f t="shared" si="921"/>
        <v>94644</v>
      </c>
      <c r="Z1562" s="1878">
        <f>'Large Profile'!L11</f>
        <v>0.81143000192935111</v>
      </c>
      <c r="AI1562" s="2023">
        <f>W1562-'Blocking-Step2'!W1562</f>
        <v>0</v>
      </c>
      <c r="AJ1562" s="2054">
        <f>O1562-'Blocking-Step2'!O1562</f>
        <v>0</v>
      </c>
    </row>
    <row r="1563" spans="1:36" hidden="1">
      <c r="A1563" s="1900" t="s">
        <v>1652</v>
      </c>
      <c r="C1563" s="528">
        <f>C1569*Z1563</f>
        <v>55339.362799569572</v>
      </c>
      <c r="D1563" s="528">
        <f>ROUND(C1563/C1579*D1579,0)</f>
        <v>57635</v>
      </c>
      <c r="F1563" s="1944"/>
      <c r="G1563" s="597"/>
      <c r="H1563" s="1644"/>
      <c r="I1563" s="1644"/>
      <c r="K1563" s="1944">
        <f t="shared" si="917"/>
        <v>1.3695000000000002</v>
      </c>
      <c r="L1563" s="597"/>
      <c r="M1563" s="1944">
        <f t="shared" si="918"/>
        <v>2.8050000000000002</v>
      </c>
      <c r="N1563" s="597"/>
      <c r="O1563" s="1944">
        <f t="shared" si="919"/>
        <v>0</v>
      </c>
      <c r="P1563" s="597"/>
      <c r="Q1563" s="1944">
        <f t="shared" si="920"/>
        <v>4.1745000000000001</v>
      </c>
      <c r="R1563" s="597"/>
      <c r="S1563" s="1644">
        <f t="shared" si="914"/>
        <v>78931</v>
      </c>
      <c r="T1563" s="1644"/>
      <c r="U1563" s="1644">
        <f t="shared" si="915"/>
        <v>161666</v>
      </c>
      <c r="V1563" s="1644"/>
      <c r="W1563" s="1644">
        <f t="shared" si="916"/>
        <v>0</v>
      </c>
      <c r="X1563" s="1645"/>
      <c r="Y1563" s="1644">
        <f t="shared" si="921"/>
        <v>240597</v>
      </c>
      <c r="Z1563" s="1878">
        <f>'Large Profile'!P11</f>
        <v>1.1359353572586484</v>
      </c>
      <c r="AI1563" s="2023">
        <f>W1563-'Blocking-Step2'!W1563</f>
        <v>0</v>
      </c>
      <c r="AJ1563" s="2054">
        <f>O1563-'Blocking-Step2'!O1563</f>
        <v>0</v>
      </c>
    </row>
    <row r="1564" spans="1:36" hidden="1">
      <c r="A1564" s="1900" t="s">
        <v>1532</v>
      </c>
      <c r="C1564" s="528">
        <f>C1570*Z1564</f>
        <v>2782302.3349684644</v>
      </c>
      <c r="D1564" s="528">
        <f>ROUND(C1564/($C$1579-$C$1576)*$D$1579,0)</f>
        <v>2913115</v>
      </c>
      <c r="F1564" s="1943"/>
      <c r="G1564" s="1921"/>
      <c r="H1564" s="1644"/>
      <c r="I1564" s="1644"/>
      <c r="K1564" s="1943">
        <f t="shared" si="917"/>
        <v>0</v>
      </c>
      <c r="L1564" s="1921" t="s">
        <v>495</v>
      </c>
      <c r="M1564" s="1943">
        <f t="shared" si="918"/>
        <v>1.0266514814000001</v>
      </c>
      <c r="N1564" s="1921" t="s">
        <v>495</v>
      </c>
      <c r="O1564" s="1943">
        <f t="shared" si="919"/>
        <v>4.1108761607000002</v>
      </c>
      <c r="P1564" s="1921" t="s">
        <v>495</v>
      </c>
      <c r="Q1564" s="1943">
        <f t="shared" si="920"/>
        <v>5.1375276421000002</v>
      </c>
      <c r="R1564" s="1921" t="s">
        <v>495</v>
      </c>
      <c r="S1564" s="1644">
        <f>ROUND($D1564*K1564/100,0)</f>
        <v>0</v>
      </c>
      <c r="T1564" s="1644"/>
      <c r="U1564" s="1644">
        <f>ROUND($D1564*M1564/100,0)</f>
        <v>29908</v>
      </c>
      <c r="V1564" s="1644"/>
      <c r="W1564" s="1644">
        <f>ROUND($D1564*O1564/100,0)</f>
        <v>119755</v>
      </c>
      <c r="X1564" s="1648"/>
      <c r="Y1564" s="1644">
        <f>ROUND($D1564*Q1564/100,0)</f>
        <v>149662</v>
      </c>
      <c r="Z1564" s="1878">
        <f>'Large Profile'!M11</f>
        <v>0.69164135480564293</v>
      </c>
      <c r="AI1564" s="2023">
        <f>W1564-'Blocking-Step2'!W1564</f>
        <v>0</v>
      </c>
      <c r="AJ1564" s="2054">
        <f>O1564-'Blocking-Step2'!O1564</f>
        <v>0</v>
      </c>
    </row>
    <row r="1565" spans="1:36" hidden="1">
      <c r="A1565" s="1900" t="s">
        <v>1653</v>
      </c>
      <c r="C1565" s="528">
        <f>C1571*Z1565</f>
        <v>3512037.3579818872</v>
      </c>
      <c r="D1565" s="528">
        <f t="shared" ref="D1565:D1566" si="922">ROUND(C1565/($C$1579-$C$1576)*$D$1579,0)</f>
        <v>3677159</v>
      </c>
      <c r="F1565" s="1943"/>
      <c r="G1565" s="1921"/>
      <c r="H1565" s="1644"/>
      <c r="I1565" s="1644"/>
      <c r="K1565" s="1943">
        <f t="shared" si="917"/>
        <v>0</v>
      </c>
      <c r="L1565" s="1921" t="s">
        <v>495</v>
      </c>
      <c r="M1565" s="1943">
        <f t="shared" si="918"/>
        <v>1.0342499835399996</v>
      </c>
      <c r="N1565" s="1921" t="s">
        <v>495</v>
      </c>
      <c r="O1565" s="1943">
        <f t="shared" si="919"/>
        <v>3.5122346554870001</v>
      </c>
      <c r="P1565" s="1921" t="s">
        <v>495</v>
      </c>
      <c r="Q1565" s="1943">
        <f t="shared" si="920"/>
        <v>4.5464846390269997</v>
      </c>
      <c r="R1565" s="1921" t="s">
        <v>495</v>
      </c>
      <c r="S1565" s="1644">
        <f t="shared" ref="S1565:S1567" si="923">ROUND($D1565*K1565/100,0)</f>
        <v>0</v>
      </c>
      <c r="T1565" s="1644"/>
      <c r="U1565" s="1644">
        <f t="shared" ref="U1565:U1567" si="924">ROUND($D1565*M1565/100,0)</f>
        <v>38031</v>
      </c>
      <c r="V1565" s="1644"/>
      <c r="W1565" s="1644">
        <f t="shared" ref="W1565:W1567" si="925">ROUND($D1565*O1565/100,0)</f>
        <v>129150</v>
      </c>
      <c r="X1565" s="1648"/>
      <c r="Y1565" s="1644">
        <f t="shared" ref="Y1565:Y1567" si="926">ROUND($D1565*Q1565/100,0)</f>
        <v>167181</v>
      </c>
      <c r="Z1565" s="1878">
        <f>'Large Profile'!Q11</f>
        <v>0.49962363006591026</v>
      </c>
      <c r="AI1565" s="2023">
        <f>W1565-'Blocking-Step2'!W1565</f>
        <v>0</v>
      </c>
      <c r="AJ1565" s="2054">
        <f>O1565-'Blocking-Step2'!O1565</f>
        <v>0</v>
      </c>
    </row>
    <row r="1566" spans="1:36" hidden="1">
      <c r="A1566" s="1900" t="s">
        <v>1533</v>
      </c>
      <c r="C1566" s="528">
        <f>C1572*Z1566</f>
        <v>3289467.3547564573</v>
      </c>
      <c r="D1566" s="528">
        <f t="shared" si="922"/>
        <v>3444125</v>
      </c>
      <c r="F1566" s="1943"/>
      <c r="G1566" s="1921"/>
      <c r="H1566" s="1644"/>
      <c r="I1566" s="1644"/>
      <c r="K1566" s="1943">
        <f t="shared" si="917"/>
        <v>0</v>
      </c>
      <c r="L1566" s="1921" t="s">
        <v>495</v>
      </c>
      <c r="M1566" s="1943">
        <f t="shared" si="918"/>
        <v>1.0591286997309999</v>
      </c>
      <c r="N1566" s="1921" t="s">
        <v>495</v>
      </c>
      <c r="O1566" s="1943">
        <f t="shared" si="919"/>
        <v>1.5521862361710002</v>
      </c>
      <c r="P1566" s="1921" t="s">
        <v>495</v>
      </c>
      <c r="Q1566" s="1943">
        <f t="shared" si="920"/>
        <v>2.611314935902</v>
      </c>
      <c r="R1566" s="1921" t="s">
        <v>495</v>
      </c>
      <c r="S1566" s="1644">
        <f t="shared" si="923"/>
        <v>0</v>
      </c>
      <c r="T1566" s="1644"/>
      <c r="U1566" s="1644">
        <f t="shared" si="924"/>
        <v>36478</v>
      </c>
      <c r="V1566" s="1644"/>
      <c r="W1566" s="1644">
        <f t="shared" si="925"/>
        <v>53459</v>
      </c>
      <c r="X1566" s="1648"/>
      <c r="Y1566" s="1644">
        <f t="shared" si="926"/>
        <v>89937</v>
      </c>
      <c r="Z1566" s="1878">
        <f>'Large Profile'!O11</f>
        <v>0.83672504038207063</v>
      </c>
      <c r="AI1566" s="2023">
        <f>W1566-'Blocking-Step2'!W1566</f>
        <v>0</v>
      </c>
      <c r="AJ1566" s="2054">
        <f>O1566-'Blocking-Step2'!O1566</f>
        <v>0</v>
      </c>
    </row>
    <row r="1567" spans="1:36" hidden="1">
      <c r="A1567" s="1900" t="s">
        <v>2177</v>
      </c>
      <c r="C1567" s="528">
        <f>SUM(C1570:C1573)-SUM(C1564:C1566)</f>
        <v>13333883.952293191</v>
      </c>
      <c r="D1567" s="528">
        <f>D1579-SUM(D1564:D1566)</f>
        <v>13960788.423445866</v>
      </c>
      <c r="F1567" s="1943"/>
      <c r="G1567" s="1921"/>
      <c r="H1567" s="1644"/>
      <c r="I1567" s="1644"/>
      <c r="K1567" s="1943">
        <f t="shared" si="917"/>
        <v>0</v>
      </c>
      <c r="L1567" s="1921" t="s">
        <v>495</v>
      </c>
      <c r="M1567" s="1943">
        <f t="shared" si="918"/>
        <v>1.0629908847180001</v>
      </c>
      <c r="N1567" s="1921" t="s">
        <v>495</v>
      </c>
      <c r="O1567" s="1943">
        <f t="shared" si="919"/>
        <v>1.247907288647</v>
      </c>
      <c r="P1567" s="1921" t="s">
        <v>495</v>
      </c>
      <c r="Q1567" s="1943">
        <f t="shared" si="920"/>
        <v>2.310898173365</v>
      </c>
      <c r="R1567" s="1921" t="s">
        <v>495</v>
      </c>
      <c r="S1567" s="1644">
        <f t="shared" si="923"/>
        <v>0</v>
      </c>
      <c r="T1567" s="1644"/>
      <c r="U1567" s="1644">
        <f t="shared" si="924"/>
        <v>148402</v>
      </c>
      <c r="V1567" s="1644"/>
      <c r="W1567" s="1644">
        <f t="shared" si="925"/>
        <v>174218</v>
      </c>
      <c r="X1567" s="1648"/>
      <c r="Y1567" s="1644">
        <f t="shared" si="926"/>
        <v>322620</v>
      </c>
      <c r="AI1567" s="2023">
        <f>W1567-'Blocking-Step2'!W1567</f>
        <v>0</v>
      </c>
      <c r="AJ1567" s="2054">
        <f>O1567-'Blocking-Step2'!O1567</f>
        <v>0</v>
      </c>
    </row>
    <row r="1568" spans="1:36" hidden="1">
      <c r="A1568" s="1900" t="s">
        <v>2185</v>
      </c>
      <c r="C1568" s="528">
        <f>'9A'!S6</f>
        <v>23732</v>
      </c>
      <c r="D1568" s="528"/>
      <c r="F1568" s="1943"/>
      <c r="G1568" s="1921"/>
      <c r="H1568" s="1644"/>
      <c r="I1568" s="1644"/>
      <c r="K1568" s="1943"/>
      <c r="L1568" s="1921"/>
      <c r="M1568" s="1943"/>
      <c r="N1568" s="1921"/>
      <c r="O1568" s="1943"/>
      <c r="P1568" s="1921"/>
      <c r="Q1568" s="1943"/>
      <c r="R1568" s="1921"/>
      <c r="S1568" s="1648"/>
      <c r="T1568" s="1648"/>
      <c r="U1568" s="1648"/>
      <c r="V1568" s="1648"/>
      <c r="W1568" s="1648"/>
      <c r="X1568" s="1648"/>
      <c r="Y1568" s="1644"/>
      <c r="AI1568" s="2023">
        <f>W1568-'Blocking-Step2'!W1568</f>
        <v>0</v>
      </c>
      <c r="AJ1568" s="2054">
        <f>O1568-'Blocking-Step2'!O1568</f>
        <v>0</v>
      </c>
    </row>
    <row r="1569" spans="1:36" hidden="1">
      <c r="A1569" s="1900" t="s">
        <v>2186</v>
      </c>
      <c r="C1569" s="528">
        <f>C1561-C1568</f>
        <v>48717</v>
      </c>
      <c r="D1569" s="528"/>
      <c r="F1569" s="1943"/>
      <c r="G1569" s="1921"/>
      <c r="H1569" s="1644"/>
      <c r="I1569" s="1644"/>
      <c r="K1569" s="1943"/>
      <c r="L1569" s="1921"/>
      <c r="M1569" s="1943"/>
      <c r="N1569" s="1921"/>
      <c r="O1569" s="1943"/>
      <c r="P1569" s="1921"/>
      <c r="Q1569" s="1943"/>
      <c r="R1569" s="1921"/>
      <c r="S1569" s="1648"/>
      <c r="T1569" s="1648"/>
      <c r="U1569" s="1648"/>
      <c r="V1569" s="1648"/>
      <c r="W1569" s="1648"/>
      <c r="X1569" s="1648"/>
      <c r="Y1569" s="1644"/>
      <c r="AI1569" s="2023">
        <f>W1569-'Blocking-Step2'!W1569</f>
        <v>0</v>
      </c>
      <c r="AJ1569" s="2054">
        <f>O1569-'Blocking-Step2'!O1569</f>
        <v>0</v>
      </c>
    </row>
    <row r="1570" spans="1:36" hidden="1">
      <c r="A1570" s="1900" t="s">
        <v>2187</v>
      </c>
      <c r="C1570" s="528">
        <f>'9A'!Q6</f>
        <v>4022753</v>
      </c>
      <c r="D1570" s="528"/>
      <c r="F1570" s="1943"/>
      <c r="G1570" s="1921"/>
      <c r="H1570" s="1644"/>
      <c r="I1570" s="1644"/>
      <c r="K1570" s="1943"/>
      <c r="L1570" s="1921"/>
      <c r="M1570" s="1943"/>
      <c r="N1570" s="1921"/>
      <c r="O1570" s="1943"/>
      <c r="P1570" s="1921"/>
      <c r="Q1570" s="1943"/>
      <c r="R1570" s="1921"/>
      <c r="S1570" s="1648"/>
      <c r="T1570" s="1648"/>
      <c r="U1570" s="1648"/>
      <c r="V1570" s="1648"/>
      <c r="W1570" s="1648"/>
      <c r="X1570" s="1648"/>
      <c r="Y1570" s="1644"/>
      <c r="AI1570" s="2023">
        <f>W1570-'Blocking-Step2'!W1570</f>
        <v>0</v>
      </c>
      <c r="AJ1570" s="2054">
        <f>O1570-'Blocking-Step2'!O1570</f>
        <v>0</v>
      </c>
    </row>
    <row r="1571" spans="1:36" hidden="1">
      <c r="A1571" s="1900" t="s">
        <v>2188</v>
      </c>
      <c r="C1571" s="528">
        <f>C1574-C1570</f>
        <v>7029366</v>
      </c>
      <c r="D1571" s="528"/>
      <c r="F1571" s="1943"/>
      <c r="G1571" s="1921"/>
      <c r="H1571" s="1644"/>
      <c r="I1571" s="1644"/>
      <c r="K1571" s="1943"/>
      <c r="L1571" s="1921"/>
      <c r="M1571" s="1943"/>
      <c r="N1571" s="1921"/>
      <c r="O1571" s="1943"/>
      <c r="P1571" s="1921"/>
      <c r="Q1571" s="1943"/>
      <c r="R1571" s="1921"/>
      <c r="S1571" s="1648"/>
      <c r="T1571" s="1648"/>
      <c r="U1571" s="1648"/>
      <c r="V1571" s="1648"/>
      <c r="W1571" s="1648"/>
      <c r="X1571" s="1648"/>
      <c r="Y1571" s="1644"/>
      <c r="AI1571" s="2023">
        <f>W1571-'Blocking-Step2'!W1571</f>
        <v>0</v>
      </c>
      <c r="AJ1571" s="2054">
        <f>O1571-'Blocking-Step2'!O1571</f>
        <v>0</v>
      </c>
    </row>
    <row r="1572" spans="1:36" hidden="1">
      <c r="A1572" s="1900" t="s">
        <v>2189</v>
      </c>
      <c r="C1572" s="528">
        <f>'9A'!R6</f>
        <v>3931360</v>
      </c>
      <c r="D1572" s="528"/>
      <c r="F1572" s="1943"/>
      <c r="G1572" s="1921"/>
      <c r="H1572" s="1644"/>
      <c r="I1572" s="1644"/>
      <c r="K1572" s="1943"/>
      <c r="L1572" s="1921"/>
      <c r="M1572" s="1943"/>
      <c r="N1572" s="1921"/>
      <c r="O1572" s="1943"/>
      <c r="P1572" s="1921"/>
      <c r="Q1572" s="1943"/>
      <c r="R1572" s="1921"/>
      <c r="S1572" s="1648"/>
      <c r="T1572" s="1648"/>
      <c r="U1572" s="1648"/>
      <c r="V1572" s="1648"/>
      <c r="W1572" s="1648"/>
      <c r="X1572" s="1648"/>
      <c r="Y1572" s="1644"/>
      <c r="AI1572" s="2023">
        <f>W1572-'Blocking-Step2'!W1572</f>
        <v>0</v>
      </c>
      <c r="AJ1572" s="2054">
        <f>O1572-'Blocking-Step2'!O1572</f>
        <v>0</v>
      </c>
    </row>
    <row r="1573" spans="1:36" hidden="1">
      <c r="A1573" s="1900" t="s">
        <v>2190</v>
      </c>
      <c r="C1573" s="528">
        <f>C1575-C1572</f>
        <v>7934212</v>
      </c>
      <c r="D1573" s="528"/>
      <c r="F1573" s="1943"/>
      <c r="G1573" s="1921"/>
      <c r="H1573" s="1644"/>
      <c r="I1573" s="1644"/>
      <c r="K1573" s="1943"/>
      <c r="L1573" s="1921"/>
      <c r="M1573" s="1943"/>
      <c r="N1573" s="1921"/>
      <c r="O1573" s="1943"/>
      <c r="P1573" s="1921"/>
      <c r="Q1573" s="1943"/>
      <c r="R1573" s="1921"/>
      <c r="S1573" s="1648"/>
      <c r="T1573" s="1648"/>
      <c r="U1573" s="1648"/>
      <c r="V1573" s="1648"/>
      <c r="W1573" s="1648"/>
      <c r="X1573" s="1648"/>
      <c r="Y1573" s="1644"/>
      <c r="AI1573" s="2023">
        <f>W1573-'Blocking-Step2'!W1573</f>
        <v>0</v>
      </c>
      <c r="AJ1573" s="2054">
        <f>O1573-'Blocking-Step2'!O1573</f>
        <v>0</v>
      </c>
    </row>
    <row r="1574" spans="1:36" hidden="1">
      <c r="A1574" s="1900" t="s">
        <v>248</v>
      </c>
      <c r="C1574" s="528">
        <f>'9A'!J6</f>
        <v>11052119</v>
      </c>
      <c r="D1574" s="528">
        <f>ROUND(C1574/(C1579-C1576)*D1579,0)</f>
        <v>11571745</v>
      </c>
      <c r="F1574" s="1920">
        <v>8.6029</v>
      </c>
      <c r="G1574" s="1921" t="s">
        <v>495</v>
      </c>
      <c r="H1574" s="1644">
        <f>ROUND($F1574*C1574/100,0)</f>
        <v>950803</v>
      </c>
      <c r="I1574" s="1644">
        <f>ROUND($F1574*D1574/100,0)</f>
        <v>995506</v>
      </c>
      <c r="K1574" s="1920"/>
      <c r="L1574" s="1921"/>
      <c r="M1574" s="1920"/>
      <c r="N1574" s="1921"/>
      <c r="O1574" s="1920"/>
      <c r="P1574" s="1921"/>
      <c r="Q1574" s="1920"/>
      <c r="R1574" s="1921"/>
      <c r="S1574" s="1648"/>
      <c r="T1574" s="1648"/>
      <c r="U1574" s="1648"/>
      <c r="V1574" s="1648"/>
      <c r="W1574" s="1648"/>
      <c r="X1574" s="1648"/>
      <c r="Y1574" s="1644"/>
      <c r="AI1574" s="2023">
        <f>W1574-'Blocking-Step2'!W1574</f>
        <v>0</v>
      </c>
      <c r="AJ1574" s="2054">
        <f>O1574-'Blocking-Step2'!O1574</f>
        <v>0</v>
      </c>
    </row>
    <row r="1575" spans="1:36" hidden="1">
      <c r="A1575" s="1900" t="s">
        <v>249</v>
      </c>
      <c r="C1575" s="528">
        <f>'9A'!K6</f>
        <v>11865572</v>
      </c>
      <c r="D1575" s="528">
        <f>ROUND(C1575/(C1579-C1576)*D1579,0)</f>
        <v>12423443</v>
      </c>
      <c r="F1575" s="1920">
        <v>3.6981000000000002</v>
      </c>
      <c r="G1575" s="1921" t="s">
        <v>495</v>
      </c>
      <c r="H1575" s="1644">
        <f>ROUND($F1575*C1575/100,0)</f>
        <v>438801</v>
      </c>
      <c r="I1575" s="1644">
        <f>ROUND($F1575*D1575/100,0)</f>
        <v>459431</v>
      </c>
      <c r="K1575" s="1920"/>
      <c r="L1575" s="1921"/>
      <c r="M1575" s="1920"/>
      <c r="N1575" s="1921"/>
      <c r="O1575" s="1920"/>
      <c r="P1575" s="1921"/>
      <c r="Q1575" s="1920"/>
      <c r="R1575" s="1921"/>
      <c r="S1575" s="1648"/>
      <c r="T1575" s="1648"/>
      <c r="U1575" s="1648"/>
      <c r="V1575" s="1648"/>
      <c r="W1575" s="1648"/>
      <c r="X1575" s="1648"/>
      <c r="Y1575" s="1644"/>
      <c r="AI1575" s="2023">
        <f>W1575-'Blocking-Step2'!W1575</f>
        <v>0</v>
      </c>
      <c r="AJ1575" s="2054">
        <f>O1575-'Blocking-Step2'!O1575</f>
        <v>0</v>
      </c>
    </row>
    <row r="1576" spans="1:36" hidden="1">
      <c r="A1576" s="1900" t="s">
        <v>246</v>
      </c>
      <c r="C1576" s="529">
        <f>'Table 2'!J57</f>
        <v>121585</v>
      </c>
      <c r="D1576" s="529">
        <v>0</v>
      </c>
      <c r="H1576" s="1030">
        <f>'Table 3'!F57</f>
        <v>8886</v>
      </c>
      <c r="I1576" s="1030">
        <v>0</v>
      </c>
      <c r="Y1576" s="1030"/>
      <c r="AI1576" s="2023">
        <f>W1576-'Blocking-Step2'!W1576</f>
        <v>0</v>
      </c>
      <c r="AJ1576" s="2054">
        <f>O1576-'Blocking-Step2'!O1576</f>
        <v>0</v>
      </c>
    </row>
    <row r="1577" spans="1:36" hidden="1">
      <c r="A1577" s="1900" t="s">
        <v>1240</v>
      </c>
      <c r="C1577" s="584"/>
      <c r="D1577" s="584"/>
      <c r="F1577" s="1930">
        <v>-3.4099999999999998E-2</v>
      </c>
      <c r="G1577" s="597"/>
      <c r="H1577" s="1644">
        <f>SUM(H1574:H1575)*$F1577</f>
        <v>-47385.496399999996</v>
      </c>
      <c r="I1577" s="1644">
        <f>SUM(I1574:I1575)*$F1577</f>
        <v>-49613.351699999999</v>
      </c>
      <c r="K1577" s="1930"/>
      <c r="L1577" s="597"/>
      <c r="M1577" s="1930"/>
      <c r="N1577" s="597"/>
      <c r="O1577" s="1931" t="str">
        <f>$O$43</f>
        <v>Tax Year 1 (1/1/2021)</v>
      </c>
      <c r="P1577" s="597"/>
      <c r="Q1577" s="1930">
        <f>$AC$1491</f>
        <v>-1.41E-2</v>
      </c>
      <c r="R1577" s="597"/>
      <c r="S1577" s="1645"/>
      <c r="T1577" s="1645"/>
      <c r="U1577" s="1645"/>
      <c r="V1577" s="1645"/>
      <c r="W1577" s="1645"/>
      <c r="X1577" s="1645"/>
      <c r="Y1577" s="1644">
        <f>Q1577*SUM(Y1562:Y1567)</f>
        <v>-15011.438099999999</v>
      </c>
      <c r="AI1577" s="2023">
        <f>W1577-'Blocking-Step2'!W1577</f>
        <v>0</v>
      </c>
      <c r="AJ1577" s="2054">
        <f>O1577-'Blocking-Step2'!O1577</f>
        <v>0</v>
      </c>
    </row>
    <row r="1578" spans="1:36" hidden="1">
      <c r="A1578" s="1900"/>
      <c r="C1578" s="584"/>
      <c r="D1578" s="584"/>
      <c r="F1578" s="1930"/>
      <c r="G1578" s="597"/>
      <c r="H1578" s="1644"/>
      <c r="I1578" s="1644"/>
      <c r="K1578" s="1930"/>
      <c r="L1578" s="597"/>
      <c r="M1578" s="1930"/>
      <c r="N1578" s="597"/>
      <c r="O1578" s="1931">
        <f>$O$44</f>
        <v>0</v>
      </c>
      <c r="P1578" s="597"/>
      <c r="Q1578" s="1930">
        <f>$AC$1492</f>
        <v>0</v>
      </c>
      <c r="R1578" s="597"/>
      <c r="S1578" s="1645"/>
      <c r="T1578" s="1645"/>
      <c r="U1578" s="1645"/>
      <c r="V1578" s="1645"/>
      <c r="W1578" s="1645"/>
      <c r="X1578" s="1645"/>
      <c r="Y1578" s="1644">
        <f>Q1578*SUM(Y1562:Y1567)</f>
        <v>0</v>
      </c>
      <c r="AI1578" s="2023">
        <f>W1578-'Blocking-Step2'!W1578</f>
        <v>0</v>
      </c>
      <c r="AJ1578" s="2054">
        <f>O1578-'Blocking-Step2'!O1578</f>
        <v>0</v>
      </c>
    </row>
    <row r="1579" spans="1:36" ht="16.5" hidden="1" thickBot="1">
      <c r="A1579" s="1900" t="s">
        <v>247</v>
      </c>
      <c r="C1579" s="1949">
        <f>SUM(C1574:C1576)</f>
        <v>23039276</v>
      </c>
      <c r="D1579" s="1949">
        <f>Energy!P37</f>
        <v>23995187.423445866</v>
      </c>
      <c r="F1579" s="1939"/>
      <c r="H1579" s="1647">
        <f>SUM(H1560:H1577)</f>
        <v>1518157.5035999999</v>
      </c>
      <c r="I1579" s="1647">
        <f>SUM(I1560:I1577)</f>
        <v>1579049.6483</v>
      </c>
      <c r="K1579" s="1939"/>
      <c r="M1579" s="1939"/>
      <c r="O1579" s="1939"/>
      <c r="Q1579" s="1939"/>
      <c r="S1579" s="1647">
        <f>SUM(S1560:S1567)</f>
        <v>287615</v>
      </c>
      <c r="U1579" s="1647">
        <f>SUM(U1560:U1567)</f>
        <v>478089</v>
      </c>
      <c r="W1579" s="1647">
        <f>SUM(W1560:W1567)</f>
        <v>476582</v>
      </c>
      <c r="Y1579" s="1647">
        <f>SUM(Y1560:Y1567)</f>
        <v>1242284</v>
      </c>
      <c r="AA1579" s="1104" t="s">
        <v>1743</v>
      </c>
      <c r="AB1579" s="1890">
        <f>Y1579/I1579-1</f>
        <v>-0.21327109547350898</v>
      </c>
      <c r="AI1579" s="2023">
        <f>W1579-'Blocking-Step2'!W1579</f>
        <v>0</v>
      </c>
      <c r="AJ1579" s="2054">
        <f>O1579-'Blocking-Step2'!O1579</f>
        <v>0</v>
      </c>
    </row>
    <row r="1580" spans="1:36" ht="16.5" hidden="1" thickTop="1">
      <c r="C1580" s="528"/>
      <c r="D1580" s="528"/>
      <c r="AI1580" s="2023">
        <f>W1580-'Blocking-Step2'!W1580</f>
        <v>0</v>
      </c>
      <c r="AJ1580" s="2054">
        <f>O1580-'Blocking-Step2'!O1580</f>
        <v>0</v>
      </c>
    </row>
    <row r="1581" spans="1:36" hidden="1">
      <c r="A1581" s="1897" t="s">
        <v>565</v>
      </c>
      <c r="C1581" s="528"/>
      <c r="D1581" s="528"/>
      <c r="F1581" s="1943"/>
      <c r="G1581" s="1957"/>
      <c r="K1581" s="1943"/>
      <c r="L1581" s="1957"/>
      <c r="M1581" s="1943"/>
      <c r="N1581" s="1957"/>
      <c r="O1581" s="1943"/>
      <c r="P1581" s="1957"/>
      <c r="Q1581" s="1943"/>
      <c r="R1581" s="1957"/>
      <c r="S1581" s="1645"/>
      <c r="T1581" s="1645"/>
      <c r="U1581" s="1645"/>
      <c r="V1581" s="1645"/>
      <c r="W1581" s="1645"/>
      <c r="X1581" s="1645"/>
      <c r="AI1581" s="2023">
        <f>W1581-'Blocking-Step2'!W1581</f>
        <v>0</v>
      </c>
      <c r="AJ1581" s="2054">
        <f>O1581-'Blocking-Step2'!O1581</f>
        <v>0</v>
      </c>
    </row>
    <row r="1582" spans="1:36" hidden="1">
      <c r="A1582" s="1900" t="s">
        <v>240</v>
      </c>
      <c r="C1582" s="528">
        <f>'9A'!G7</f>
        <v>84</v>
      </c>
      <c r="D1582" s="528">
        <f>Bill!P62</f>
        <v>84</v>
      </c>
      <c r="F1582" s="1944">
        <v>259</v>
      </c>
      <c r="G1582" s="597"/>
      <c r="H1582" s="1644">
        <f>ROUND($F1582*C1582,0)</f>
        <v>21756</v>
      </c>
      <c r="I1582" s="1644">
        <f>ROUND($F1582*D1582,0)</f>
        <v>21756</v>
      </c>
      <c r="K1582" s="1944">
        <f>K1538</f>
        <v>265</v>
      </c>
      <c r="L1582" s="597"/>
      <c r="M1582" s="1944">
        <f>M1538</f>
        <v>0</v>
      </c>
      <c r="N1582" s="597"/>
      <c r="O1582" s="1944">
        <f>O1538</f>
        <v>0</v>
      </c>
      <c r="P1582" s="597"/>
      <c r="Q1582" s="1944">
        <f>Q1538</f>
        <v>265</v>
      </c>
      <c r="R1582" s="597"/>
      <c r="S1582" s="1644">
        <f t="shared" ref="S1582:S1585" si="927">ROUND($D1582*K1582,0)</f>
        <v>22260</v>
      </c>
      <c r="T1582" s="1644"/>
      <c r="U1582" s="1644">
        <f t="shared" ref="U1582:U1585" si="928">ROUND($D1582*M1582,0)</f>
        <v>0</v>
      </c>
      <c r="V1582" s="1644"/>
      <c r="W1582" s="1644">
        <f t="shared" ref="W1582:W1585" si="929">ROUND($D1582*O1582,0)</f>
        <v>0</v>
      </c>
      <c r="X1582" s="1645"/>
      <c r="Y1582" s="1644">
        <f>ROUND($D1582*Q1582,0)</f>
        <v>22260</v>
      </c>
      <c r="AI1582" s="2023">
        <f>W1582-'Blocking-Step2'!W1582</f>
        <v>0</v>
      </c>
      <c r="AJ1582" s="2054">
        <f>O1582-'Blocking-Step2'!O1582</f>
        <v>0</v>
      </c>
    </row>
    <row r="1583" spans="1:36" hidden="1">
      <c r="A1583" s="1900" t="s">
        <v>305</v>
      </c>
      <c r="C1583" s="528">
        <f>'9A'!H7</f>
        <v>161957</v>
      </c>
      <c r="D1583" s="528">
        <f>ROUND(C1583/C1601*D1601,0)</f>
        <v>167632</v>
      </c>
      <c r="F1583" s="1944">
        <v>2.2200000000000002</v>
      </c>
      <c r="G1583" s="597"/>
      <c r="H1583" s="1644">
        <f>ROUND($F1583*C1583,0)</f>
        <v>359545</v>
      </c>
      <c r="I1583" s="1644">
        <f>ROUND($F1583*D1583,0)</f>
        <v>372143</v>
      </c>
      <c r="K1583" s="1944">
        <f t="shared" ref="K1583:K1589" si="930">K1539</f>
        <v>2.27</v>
      </c>
      <c r="L1583" s="597"/>
      <c r="M1583" s="1944">
        <f t="shared" ref="M1583:M1589" si="931">M1539</f>
        <v>0</v>
      </c>
      <c r="N1583" s="597"/>
      <c r="O1583" s="1944">
        <f t="shared" ref="O1583:O1589" si="932">O1539</f>
        <v>0</v>
      </c>
      <c r="P1583" s="597"/>
      <c r="Q1583" s="1944">
        <f t="shared" ref="Q1583:Q1589" si="933">Q1539</f>
        <v>2.27</v>
      </c>
      <c r="R1583" s="597"/>
      <c r="S1583" s="1644">
        <f t="shared" si="927"/>
        <v>380525</v>
      </c>
      <c r="T1583" s="1644"/>
      <c r="U1583" s="1644">
        <f t="shared" si="928"/>
        <v>0</v>
      </c>
      <c r="V1583" s="1644"/>
      <c r="W1583" s="1644">
        <f t="shared" si="929"/>
        <v>0</v>
      </c>
      <c r="X1583" s="1645"/>
      <c r="Y1583" s="1644">
        <f t="shared" ref="Y1583:Y1585" si="934">ROUND($D1583*Q1583,0)</f>
        <v>380525</v>
      </c>
      <c r="AI1583" s="2023">
        <f>W1583-'Blocking-Step2'!W1583</f>
        <v>0</v>
      </c>
      <c r="AJ1583" s="2054">
        <f>O1583-'Blocking-Step2'!O1583</f>
        <v>0</v>
      </c>
    </row>
    <row r="1584" spans="1:36" hidden="1">
      <c r="A1584" s="1900" t="s">
        <v>1651</v>
      </c>
      <c r="C1584" s="528">
        <f>C1590*Z1584</f>
        <v>54110.209678658779</v>
      </c>
      <c r="D1584" s="528">
        <f>ROUND(C1584/C1601*D1601,0)</f>
        <v>56006</v>
      </c>
      <c r="F1584" s="1944"/>
      <c r="G1584" s="597"/>
      <c r="H1584" s="1644"/>
      <c r="I1584" s="1644"/>
      <c r="K1584" s="1944">
        <f t="shared" si="930"/>
        <v>1.5477000000000003</v>
      </c>
      <c r="L1584" s="597"/>
      <c r="M1584" s="1944">
        <f t="shared" si="931"/>
        <v>3.1713</v>
      </c>
      <c r="N1584" s="597"/>
      <c r="O1584" s="1944">
        <f t="shared" si="932"/>
        <v>0</v>
      </c>
      <c r="P1584" s="597"/>
      <c r="Q1584" s="1944">
        <f t="shared" si="933"/>
        <v>4.7190000000000003</v>
      </c>
      <c r="R1584" s="597"/>
      <c r="S1584" s="1644">
        <f t="shared" si="927"/>
        <v>86680</v>
      </c>
      <c r="T1584" s="1644"/>
      <c r="U1584" s="1644">
        <f t="shared" si="928"/>
        <v>177612</v>
      </c>
      <c r="V1584" s="1644"/>
      <c r="W1584" s="1644">
        <f t="shared" si="929"/>
        <v>0</v>
      </c>
      <c r="X1584" s="1645"/>
      <c r="Y1584" s="1644">
        <f t="shared" si="934"/>
        <v>264292</v>
      </c>
      <c r="Z1584" s="1878">
        <f>Z1562</f>
        <v>0.81143000192935111</v>
      </c>
      <c r="AI1584" s="2023">
        <f>W1584-'Blocking-Step2'!W1584</f>
        <v>0</v>
      </c>
      <c r="AJ1584" s="2054">
        <f>O1584-'Blocking-Step2'!O1584</f>
        <v>0</v>
      </c>
    </row>
    <row r="1585" spans="1:36" hidden="1">
      <c r="A1585" s="1900" t="s">
        <v>1652</v>
      </c>
      <c r="C1585" s="528">
        <f>C1591*Z1585</f>
        <v>108222.83335674595</v>
      </c>
      <c r="D1585" s="528">
        <f>ROUND(C1585/C1601*D1601,0)</f>
        <v>112015</v>
      </c>
      <c r="F1585" s="1944"/>
      <c r="G1585" s="597"/>
      <c r="H1585" s="1644"/>
      <c r="I1585" s="1644"/>
      <c r="K1585" s="1944">
        <f t="shared" si="930"/>
        <v>1.3695000000000002</v>
      </c>
      <c r="L1585" s="597"/>
      <c r="M1585" s="1944">
        <f t="shared" si="931"/>
        <v>2.8050000000000002</v>
      </c>
      <c r="N1585" s="597"/>
      <c r="O1585" s="1944">
        <f t="shared" si="932"/>
        <v>0</v>
      </c>
      <c r="P1585" s="597"/>
      <c r="Q1585" s="1944">
        <f t="shared" si="933"/>
        <v>4.1745000000000001</v>
      </c>
      <c r="R1585" s="597"/>
      <c r="S1585" s="1644">
        <f t="shared" si="927"/>
        <v>153405</v>
      </c>
      <c r="T1585" s="1644"/>
      <c r="U1585" s="1644">
        <f t="shared" si="928"/>
        <v>314202</v>
      </c>
      <c r="V1585" s="1644"/>
      <c r="W1585" s="1644">
        <f t="shared" si="929"/>
        <v>0</v>
      </c>
      <c r="X1585" s="1645"/>
      <c r="Y1585" s="1644">
        <f t="shared" si="934"/>
        <v>467607</v>
      </c>
      <c r="Z1585" s="1878">
        <f t="shared" ref="Z1585:Z1588" si="935">Z1563</f>
        <v>1.1359353572586484</v>
      </c>
      <c r="AI1585" s="2023">
        <f>W1585-'Blocking-Step2'!W1585</f>
        <v>0</v>
      </c>
      <c r="AJ1585" s="2054">
        <f>O1585-'Blocking-Step2'!O1585</f>
        <v>0</v>
      </c>
    </row>
    <row r="1586" spans="1:36" hidden="1">
      <c r="A1586" s="1900" t="s">
        <v>1532</v>
      </c>
      <c r="C1586" s="528">
        <f>C1592*Z1586</f>
        <v>3746524.389192495</v>
      </c>
      <c r="D1586" s="528">
        <f>ROUND(C1586/($C$1601-$C$1576)*$D$1601,0)</f>
        <v>3905191</v>
      </c>
      <c r="F1586" s="1943"/>
      <c r="G1586" s="1921"/>
      <c r="H1586" s="1644"/>
      <c r="I1586" s="1644"/>
      <c r="K1586" s="1943">
        <f t="shared" si="930"/>
        <v>0</v>
      </c>
      <c r="L1586" s="1921" t="s">
        <v>495</v>
      </c>
      <c r="M1586" s="1943">
        <f t="shared" si="931"/>
        <v>1.0266514814000001</v>
      </c>
      <c r="N1586" s="1921" t="s">
        <v>495</v>
      </c>
      <c r="O1586" s="1943">
        <f t="shared" si="932"/>
        <v>4.1108761607000002</v>
      </c>
      <c r="P1586" s="1921" t="s">
        <v>495</v>
      </c>
      <c r="Q1586" s="1943">
        <f t="shared" si="933"/>
        <v>5.1375276421000002</v>
      </c>
      <c r="R1586" s="1921" t="s">
        <v>495</v>
      </c>
      <c r="S1586" s="1644">
        <f>ROUND($D1586*K1586/100,0)</f>
        <v>0</v>
      </c>
      <c r="T1586" s="1644"/>
      <c r="U1586" s="1644">
        <f>ROUND($D1586*M1586/100,0)</f>
        <v>40093</v>
      </c>
      <c r="V1586" s="1644"/>
      <c r="W1586" s="1644">
        <f>ROUND($D1586*O1586/100,0)</f>
        <v>160538</v>
      </c>
      <c r="X1586" s="1648"/>
      <c r="Y1586" s="1644">
        <f>ROUND($D1586*Q1586/100,0)</f>
        <v>200630</v>
      </c>
      <c r="Z1586" s="1878">
        <f t="shared" si="935"/>
        <v>0.69164135480564293</v>
      </c>
      <c r="AI1586" s="2023">
        <f>W1586-'Blocking-Step2'!W1586</f>
        <v>0</v>
      </c>
      <c r="AJ1586" s="2054">
        <f>O1586-'Blocking-Step2'!O1586</f>
        <v>0</v>
      </c>
    </row>
    <row r="1587" spans="1:36" hidden="1">
      <c r="A1587" s="1900" t="s">
        <v>1653</v>
      </c>
      <c r="C1587" s="528">
        <f>C1593*Z1587</f>
        <v>3320308.7884386145</v>
      </c>
      <c r="D1587" s="528">
        <f t="shared" ref="D1587:D1588" si="936">ROUND(C1587/($C$1601-$C$1576)*$D$1601,0)</f>
        <v>3460925</v>
      </c>
      <c r="F1587" s="1943"/>
      <c r="G1587" s="1921"/>
      <c r="H1587" s="1644"/>
      <c r="I1587" s="1644"/>
      <c r="K1587" s="1943">
        <f t="shared" si="930"/>
        <v>0</v>
      </c>
      <c r="L1587" s="1921" t="s">
        <v>495</v>
      </c>
      <c r="M1587" s="1943">
        <f t="shared" si="931"/>
        <v>1.0342499835399996</v>
      </c>
      <c r="N1587" s="1921" t="s">
        <v>495</v>
      </c>
      <c r="O1587" s="1943">
        <f t="shared" si="932"/>
        <v>3.5122346554870001</v>
      </c>
      <c r="P1587" s="1921" t="s">
        <v>495</v>
      </c>
      <c r="Q1587" s="1943">
        <f t="shared" si="933"/>
        <v>4.5464846390269997</v>
      </c>
      <c r="R1587" s="1921" t="s">
        <v>495</v>
      </c>
      <c r="S1587" s="1644">
        <f t="shared" ref="S1587:S1589" si="937">ROUND($D1587*K1587/100,0)</f>
        <v>0</v>
      </c>
      <c r="T1587" s="1644"/>
      <c r="U1587" s="1644">
        <f t="shared" ref="U1587:U1589" si="938">ROUND($D1587*M1587/100,0)</f>
        <v>35795</v>
      </c>
      <c r="V1587" s="1644"/>
      <c r="W1587" s="1644">
        <f t="shared" ref="W1587:W1589" si="939">ROUND($D1587*O1587/100,0)</f>
        <v>121556</v>
      </c>
      <c r="X1587" s="1648"/>
      <c r="Y1587" s="1644">
        <f t="shared" ref="Y1587:Y1589" si="940">ROUND($D1587*Q1587/100,0)</f>
        <v>157350</v>
      </c>
      <c r="Z1587" s="1878">
        <f t="shared" si="935"/>
        <v>0.49962363006591026</v>
      </c>
      <c r="AI1587" s="2023">
        <f>W1587-'Blocking-Step2'!W1587</f>
        <v>0</v>
      </c>
      <c r="AJ1587" s="2054">
        <f>O1587-'Blocking-Step2'!O1587</f>
        <v>0</v>
      </c>
    </row>
    <row r="1588" spans="1:36" hidden="1">
      <c r="A1588" s="1900" t="s">
        <v>1533</v>
      </c>
      <c r="C1588" s="528">
        <f>C1594*Z1588</f>
        <v>2172757.3813617383</v>
      </c>
      <c r="D1588" s="528">
        <f t="shared" si="936"/>
        <v>2264775</v>
      </c>
      <c r="F1588" s="1943"/>
      <c r="G1588" s="1921"/>
      <c r="H1588" s="1644"/>
      <c r="I1588" s="1644"/>
      <c r="K1588" s="1943">
        <f t="shared" si="930"/>
        <v>0</v>
      </c>
      <c r="L1588" s="1921" t="s">
        <v>495</v>
      </c>
      <c r="M1588" s="1943">
        <f t="shared" si="931"/>
        <v>1.0591286997309999</v>
      </c>
      <c r="N1588" s="1921" t="s">
        <v>495</v>
      </c>
      <c r="O1588" s="1943">
        <f t="shared" si="932"/>
        <v>1.5521862361710002</v>
      </c>
      <c r="P1588" s="1921" t="s">
        <v>495</v>
      </c>
      <c r="Q1588" s="1943">
        <f t="shared" si="933"/>
        <v>2.611314935902</v>
      </c>
      <c r="R1588" s="1921" t="s">
        <v>495</v>
      </c>
      <c r="S1588" s="1644">
        <f t="shared" si="937"/>
        <v>0</v>
      </c>
      <c r="T1588" s="1644"/>
      <c r="U1588" s="1644">
        <f t="shared" si="938"/>
        <v>23987</v>
      </c>
      <c r="V1588" s="1644"/>
      <c r="W1588" s="1644">
        <f t="shared" si="939"/>
        <v>35154</v>
      </c>
      <c r="X1588" s="1648"/>
      <c r="Y1588" s="1644">
        <f t="shared" si="940"/>
        <v>59140</v>
      </c>
      <c r="Z1588" s="1878">
        <f t="shared" si="935"/>
        <v>0.83672504038207063</v>
      </c>
      <c r="AI1588" s="2023">
        <f>W1588-'Blocking-Step2'!W1588</f>
        <v>0</v>
      </c>
      <c r="AJ1588" s="2054">
        <f>O1588-'Blocking-Step2'!O1588</f>
        <v>0</v>
      </c>
    </row>
    <row r="1589" spans="1:36" hidden="1">
      <c r="A1589" s="1900" t="s">
        <v>2177</v>
      </c>
      <c r="C1589" s="528">
        <f>SUM(C1592:C1595)-SUM(C1586:C1588)</f>
        <v>8383669.4410071522</v>
      </c>
      <c r="D1589" s="528">
        <f>D1601-SUM(D1586:D1588)</f>
        <v>8314209</v>
      </c>
      <c r="F1589" s="1943"/>
      <c r="G1589" s="1921"/>
      <c r="H1589" s="1644"/>
      <c r="I1589" s="1644"/>
      <c r="K1589" s="1943">
        <f t="shared" si="930"/>
        <v>0</v>
      </c>
      <c r="L1589" s="1921" t="s">
        <v>495</v>
      </c>
      <c r="M1589" s="1943">
        <f t="shared" si="931"/>
        <v>1.0629908847180001</v>
      </c>
      <c r="N1589" s="1921" t="s">
        <v>495</v>
      </c>
      <c r="O1589" s="1943">
        <f t="shared" si="932"/>
        <v>1.247907288647</v>
      </c>
      <c r="P1589" s="1921" t="s">
        <v>495</v>
      </c>
      <c r="Q1589" s="1943">
        <f t="shared" si="933"/>
        <v>2.310898173365</v>
      </c>
      <c r="R1589" s="1921" t="s">
        <v>495</v>
      </c>
      <c r="S1589" s="1644">
        <f t="shared" si="937"/>
        <v>0</v>
      </c>
      <c r="T1589" s="1644"/>
      <c r="U1589" s="1644">
        <f t="shared" si="938"/>
        <v>88379</v>
      </c>
      <c r="V1589" s="1644"/>
      <c r="W1589" s="1644">
        <f t="shared" si="939"/>
        <v>103754</v>
      </c>
      <c r="X1589" s="1648"/>
      <c r="Y1589" s="1644">
        <f t="shared" si="940"/>
        <v>192133</v>
      </c>
      <c r="AI1589" s="2023">
        <f>W1589-'Blocking-Step2'!W1589</f>
        <v>0</v>
      </c>
      <c r="AJ1589" s="2054">
        <f>O1589-'Blocking-Step2'!O1589</f>
        <v>0</v>
      </c>
    </row>
    <row r="1590" spans="1:36" hidden="1">
      <c r="A1590" s="1900" t="s">
        <v>2185</v>
      </c>
      <c r="C1590" s="528">
        <f>'9A'!S7</f>
        <v>66685</v>
      </c>
      <c r="D1590" s="528"/>
      <c r="F1590" s="1943"/>
      <c r="G1590" s="1921"/>
      <c r="H1590" s="1644"/>
      <c r="I1590" s="1644"/>
      <c r="K1590" s="1943"/>
      <c r="L1590" s="1921"/>
      <c r="M1590" s="1943"/>
      <c r="N1590" s="1921"/>
      <c r="O1590" s="1943"/>
      <c r="P1590" s="1921"/>
      <c r="Q1590" s="1943"/>
      <c r="R1590" s="1921"/>
      <c r="S1590" s="1648"/>
      <c r="T1590" s="1648"/>
      <c r="U1590" s="1648"/>
      <c r="V1590" s="1648"/>
      <c r="W1590" s="1648"/>
      <c r="X1590" s="1648"/>
      <c r="Y1590" s="1644"/>
      <c r="AI1590" s="2023">
        <f>W1590-'Blocking-Step2'!W1590</f>
        <v>0</v>
      </c>
      <c r="AJ1590" s="2054">
        <f>O1590-'Blocking-Step2'!O1590</f>
        <v>0</v>
      </c>
    </row>
    <row r="1591" spans="1:36" hidden="1">
      <c r="A1591" s="1900" t="s">
        <v>2186</v>
      </c>
      <c r="C1591" s="528">
        <f>C1583-C1590</f>
        <v>95272</v>
      </c>
      <c r="D1591" s="528"/>
      <c r="F1591" s="1943"/>
      <c r="G1591" s="1921"/>
      <c r="H1591" s="1644"/>
      <c r="I1591" s="1644"/>
      <c r="K1591" s="1943"/>
      <c r="L1591" s="1921"/>
      <c r="M1591" s="1943"/>
      <c r="N1591" s="1921"/>
      <c r="O1591" s="1943"/>
      <c r="P1591" s="1921"/>
      <c r="Q1591" s="1943"/>
      <c r="R1591" s="1921"/>
      <c r="S1591" s="1648"/>
      <c r="T1591" s="1648"/>
      <c r="U1591" s="1648"/>
      <c r="V1591" s="1648"/>
      <c r="W1591" s="1648"/>
      <c r="X1591" s="1648"/>
      <c r="Y1591" s="1644"/>
      <c r="AI1591" s="2023">
        <f>W1591-'Blocking-Step2'!W1591</f>
        <v>0</v>
      </c>
      <c r="AJ1591" s="2054">
        <f>O1591-'Blocking-Step2'!O1591</f>
        <v>0</v>
      </c>
    </row>
    <row r="1592" spans="1:36" hidden="1">
      <c r="A1592" s="1900" t="s">
        <v>2187</v>
      </c>
      <c r="C1592" s="528">
        <f>'9A'!Q7</f>
        <v>5416860</v>
      </c>
      <c r="D1592" s="528"/>
      <c r="F1592" s="1943"/>
      <c r="G1592" s="1921"/>
      <c r="H1592" s="1644"/>
      <c r="I1592" s="1644"/>
      <c r="K1592" s="1943"/>
      <c r="L1592" s="1921"/>
      <c r="M1592" s="1943"/>
      <c r="N1592" s="1921"/>
      <c r="O1592" s="1943"/>
      <c r="P1592" s="1921"/>
      <c r="Q1592" s="1943"/>
      <c r="R1592" s="1921"/>
      <c r="S1592" s="1648"/>
      <c r="T1592" s="1648"/>
      <c r="U1592" s="1648"/>
      <c r="V1592" s="1648"/>
      <c r="W1592" s="1648"/>
      <c r="X1592" s="1648"/>
      <c r="Y1592" s="1644"/>
      <c r="AI1592" s="2023">
        <f>W1592-'Blocking-Step2'!W1592</f>
        <v>0</v>
      </c>
      <c r="AJ1592" s="2054">
        <f>O1592-'Blocking-Step2'!O1592</f>
        <v>0</v>
      </c>
    </row>
    <row r="1593" spans="1:36" hidden="1">
      <c r="A1593" s="1900" t="s">
        <v>2188</v>
      </c>
      <c r="C1593" s="528">
        <f>C1596-C1592</f>
        <v>6645620</v>
      </c>
      <c r="D1593" s="528"/>
      <c r="F1593" s="1943"/>
      <c r="G1593" s="1921"/>
      <c r="H1593" s="1644"/>
      <c r="I1593" s="1644"/>
      <c r="K1593" s="1943"/>
      <c r="L1593" s="1921"/>
      <c r="M1593" s="1943"/>
      <c r="N1593" s="1921"/>
      <c r="O1593" s="1943"/>
      <c r="P1593" s="1921"/>
      <c r="Q1593" s="1943"/>
      <c r="R1593" s="1921"/>
      <c r="S1593" s="1648"/>
      <c r="T1593" s="1648"/>
      <c r="U1593" s="1648"/>
      <c r="V1593" s="1648"/>
      <c r="W1593" s="1648"/>
      <c r="X1593" s="1648"/>
      <c r="Y1593" s="1644"/>
      <c r="AI1593" s="2023">
        <f>W1593-'Blocking-Step2'!W1593</f>
        <v>0</v>
      </c>
      <c r="AJ1593" s="2054">
        <f>O1593-'Blocking-Step2'!O1593</f>
        <v>0</v>
      </c>
    </row>
    <row r="1594" spans="1:36" hidden="1">
      <c r="A1594" s="1900" t="s">
        <v>2189</v>
      </c>
      <c r="C1594" s="528">
        <f>'9A'!R7</f>
        <v>2596740</v>
      </c>
      <c r="D1594" s="528"/>
      <c r="F1594" s="1943"/>
      <c r="G1594" s="1921"/>
      <c r="H1594" s="1644"/>
      <c r="I1594" s="1644"/>
      <c r="K1594" s="1943"/>
      <c r="L1594" s="1921"/>
      <c r="M1594" s="1943"/>
      <c r="N1594" s="1921"/>
      <c r="O1594" s="1943"/>
      <c r="P1594" s="1921"/>
      <c r="Q1594" s="1943"/>
      <c r="R1594" s="1921"/>
      <c r="S1594" s="1648"/>
      <c r="T1594" s="1648"/>
      <c r="U1594" s="1648"/>
      <c r="V1594" s="1648"/>
      <c r="W1594" s="1648"/>
      <c r="X1594" s="1648"/>
      <c r="Y1594" s="1644"/>
      <c r="AI1594" s="2023">
        <f>W1594-'Blocking-Step2'!W1594</f>
        <v>0</v>
      </c>
      <c r="AJ1594" s="2054">
        <f>O1594-'Blocking-Step2'!O1594</f>
        <v>0</v>
      </c>
    </row>
    <row r="1595" spans="1:36" hidden="1">
      <c r="A1595" s="1900" t="s">
        <v>2190</v>
      </c>
      <c r="C1595" s="528">
        <f>C1597-C1594</f>
        <v>2964040</v>
      </c>
      <c r="D1595" s="528"/>
      <c r="F1595" s="1943"/>
      <c r="G1595" s="1921"/>
      <c r="H1595" s="1644"/>
      <c r="I1595" s="1644"/>
      <c r="K1595" s="1943"/>
      <c r="L1595" s="1921"/>
      <c r="M1595" s="1943"/>
      <c r="N1595" s="1921"/>
      <c r="O1595" s="1943"/>
      <c r="P1595" s="1921"/>
      <c r="Q1595" s="1943"/>
      <c r="R1595" s="1921"/>
      <c r="S1595" s="1648"/>
      <c r="T1595" s="1648"/>
      <c r="U1595" s="1648"/>
      <c r="V1595" s="1648"/>
      <c r="W1595" s="1648"/>
      <c r="X1595" s="1648"/>
      <c r="Y1595" s="1644"/>
      <c r="AI1595" s="2023">
        <f>W1595-'Blocking-Step2'!W1595</f>
        <v>0</v>
      </c>
      <c r="AJ1595" s="2054">
        <f>O1595-'Blocking-Step2'!O1595</f>
        <v>0</v>
      </c>
    </row>
    <row r="1596" spans="1:36" hidden="1">
      <c r="A1596" s="1900" t="s">
        <v>248</v>
      </c>
      <c r="C1596" s="528">
        <f>'9A'!J7</f>
        <v>12062480</v>
      </c>
      <c r="D1596" s="528">
        <f>ROUND(C1596/(C1601-C1598)*D1601,0)</f>
        <v>12282768</v>
      </c>
      <c r="F1596" s="1942">
        <v>8.6029</v>
      </c>
      <c r="G1596" s="1921" t="s">
        <v>495</v>
      </c>
      <c r="H1596" s="1644">
        <f>ROUND($F1596*C1596/100,0)</f>
        <v>1037723</v>
      </c>
      <c r="I1596" s="1644">
        <f>ROUND($F1596*D1596/100,0)</f>
        <v>1056674</v>
      </c>
      <c r="K1596" s="1920"/>
      <c r="L1596" s="1921"/>
      <c r="M1596" s="1920"/>
      <c r="N1596" s="1921"/>
      <c r="O1596" s="1920"/>
      <c r="P1596" s="1921"/>
      <c r="Q1596" s="1920"/>
      <c r="R1596" s="1921"/>
      <c r="S1596" s="1648"/>
      <c r="T1596" s="1648"/>
      <c r="U1596" s="1648"/>
      <c r="V1596" s="1648"/>
      <c r="W1596" s="1648"/>
      <c r="X1596" s="1648"/>
      <c r="Y1596" s="1644"/>
      <c r="AI1596" s="2023">
        <f>W1596-'Blocking-Step2'!W1596</f>
        <v>0</v>
      </c>
      <c r="AJ1596" s="2054">
        <f>O1596-'Blocking-Step2'!O1596</f>
        <v>0</v>
      </c>
    </row>
    <row r="1597" spans="1:36" hidden="1">
      <c r="A1597" s="1900" t="s">
        <v>249</v>
      </c>
      <c r="C1597" s="528">
        <f>'9A'!K7</f>
        <v>5560780</v>
      </c>
      <c r="D1597" s="528">
        <f>ROUND(C1597/(C1601-C1598)*D1601,0)</f>
        <v>5662332</v>
      </c>
      <c r="F1597" s="1942">
        <v>3.6981000000000002</v>
      </c>
      <c r="G1597" s="1921" t="s">
        <v>495</v>
      </c>
      <c r="H1597" s="1644">
        <f>ROUND($F1597*C1597/100,0)</f>
        <v>205643</v>
      </c>
      <c r="I1597" s="1644">
        <f>ROUND($F1597*D1597/100,0)</f>
        <v>209399</v>
      </c>
      <c r="K1597" s="1920"/>
      <c r="L1597" s="1921"/>
      <c r="M1597" s="1920"/>
      <c r="N1597" s="1921"/>
      <c r="O1597" s="1920"/>
      <c r="P1597" s="1921"/>
      <c r="Q1597" s="1920"/>
      <c r="R1597" s="1921"/>
      <c r="S1597" s="1648"/>
      <c r="T1597" s="1648"/>
      <c r="U1597" s="1648"/>
      <c r="V1597" s="1648"/>
      <c r="W1597" s="1648"/>
      <c r="X1597" s="1648"/>
      <c r="Y1597" s="1644"/>
      <c r="AI1597" s="2023">
        <f>W1597-'Blocking-Step2'!W1597</f>
        <v>0</v>
      </c>
      <c r="AJ1597" s="2054">
        <f>O1597-'Blocking-Step2'!O1597</f>
        <v>0</v>
      </c>
    </row>
    <row r="1598" spans="1:36" hidden="1">
      <c r="A1598" s="1900" t="s">
        <v>246</v>
      </c>
      <c r="C1598" s="529">
        <f>'Table 2'!J92</f>
        <v>-285680</v>
      </c>
      <c r="D1598" s="529">
        <v>0</v>
      </c>
      <c r="H1598" s="1030">
        <f>'Table 3'!F92</f>
        <v>-23865</v>
      </c>
      <c r="I1598" s="1030">
        <v>0</v>
      </c>
      <c r="Y1598" s="1030"/>
      <c r="AI1598" s="2023">
        <f>W1598-'Blocking-Step2'!W1598</f>
        <v>0</v>
      </c>
      <c r="AJ1598" s="2054">
        <f>O1598-'Blocking-Step2'!O1598</f>
        <v>0</v>
      </c>
    </row>
    <row r="1599" spans="1:36" hidden="1">
      <c r="A1599" s="1900" t="s">
        <v>1240</v>
      </c>
      <c r="C1599" s="584"/>
      <c r="D1599" s="584"/>
      <c r="F1599" s="1930">
        <v>-3.4099999999999998E-2</v>
      </c>
      <c r="G1599" s="597"/>
      <c r="H1599" s="1644">
        <f>SUM(H1596:H1597)*$F1599</f>
        <v>-42398.780599999998</v>
      </c>
      <c r="I1599" s="1644">
        <f>SUM(I1596:I1597)*$F1599</f>
        <v>-43173.0893</v>
      </c>
      <c r="K1599" s="1930"/>
      <c r="L1599" s="597"/>
      <c r="M1599" s="1930"/>
      <c r="N1599" s="597"/>
      <c r="O1599" s="1931" t="str">
        <f>$O$43</f>
        <v>Tax Year 1 (1/1/2021)</v>
      </c>
      <c r="P1599" s="597"/>
      <c r="Q1599" s="1930">
        <f>$AC$1491</f>
        <v>-1.41E-2</v>
      </c>
      <c r="R1599" s="597"/>
      <c r="S1599" s="1645"/>
      <c r="T1599" s="1645"/>
      <c r="U1599" s="1645"/>
      <c r="V1599" s="1645"/>
      <c r="W1599" s="1645"/>
      <c r="X1599" s="1645"/>
      <c r="Y1599" s="1644">
        <f>Q1599*SUM(Y1584:Y1589)</f>
        <v>-18910.243200000001</v>
      </c>
      <c r="AI1599" s="2023">
        <f>W1599-'Blocking-Step2'!W1599</f>
        <v>0</v>
      </c>
      <c r="AJ1599" s="2054">
        <f>O1599-'Blocking-Step2'!O1599</f>
        <v>0</v>
      </c>
    </row>
    <row r="1600" spans="1:36" hidden="1">
      <c r="A1600" s="1900"/>
      <c r="C1600" s="584"/>
      <c r="D1600" s="584"/>
      <c r="F1600" s="1930"/>
      <c r="G1600" s="597"/>
      <c r="H1600" s="1644"/>
      <c r="I1600" s="1644"/>
      <c r="K1600" s="1930"/>
      <c r="L1600" s="597"/>
      <c r="M1600" s="1930"/>
      <c r="N1600" s="597"/>
      <c r="O1600" s="1931">
        <f>$O$44</f>
        <v>0</v>
      </c>
      <c r="P1600" s="597"/>
      <c r="Q1600" s="1930">
        <f>$AC$1492</f>
        <v>0</v>
      </c>
      <c r="R1600" s="597"/>
      <c r="S1600" s="1645"/>
      <c r="T1600" s="1645"/>
      <c r="U1600" s="1645"/>
      <c r="V1600" s="1645"/>
      <c r="W1600" s="1645"/>
      <c r="X1600" s="1645"/>
      <c r="Y1600" s="1644">
        <f>Q1600*SUM(Y1584:Y1589)</f>
        <v>0</v>
      </c>
      <c r="AI1600" s="2023">
        <f>W1600-'Blocking-Step2'!W1600</f>
        <v>0</v>
      </c>
      <c r="AJ1600" s="2054">
        <f>O1600-'Blocking-Step2'!O1600</f>
        <v>0</v>
      </c>
    </row>
    <row r="1601" spans="1:36" ht="16.5" hidden="1" thickBot="1">
      <c r="A1601" s="1900" t="s">
        <v>247</v>
      </c>
      <c r="C1601" s="1949">
        <f>SUM(C1596:C1598)</f>
        <v>17337580</v>
      </c>
      <c r="D1601" s="1949">
        <f>Energy!P62</f>
        <v>17945100</v>
      </c>
      <c r="F1601" s="1939"/>
      <c r="H1601" s="1647">
        <f>SUM(H1582:H1599)</f>
        <v>1558403.2194000001</v>
      </c>
      <c r="I1601" s="1647">
        <f>SUM(I1582:I1599)</f>
        <v>1616798.9106999999</v>
      </c>
      <c r="K1601" s="1939"/>
      <c r="M1601" s="1939"/>
      <c r="O1601" s="1939"/>
      <c r="Q1601" s="1939"/>
      <c r="S1601" s="1647">
        <f>SUM(S1582:S1589)</f>
        <v>642870</v>
      </c>
      <c r="U1601" s="1647">
        <f>SUM(U1582:U1589)</f>
        <v>680068</v>
      </c>
      <c r="W1601" s="1647">
        <f>SUM(W1582:W1589)</f>
        <v>421002</v>
      </c>
      <c r="Y1601" s="1647">
        <f>SUM(Y1582:Y1589)</f>
        <v>1743937</v>
      </c>
      <c r="AA1601" s="1104" t="s">
        <v>1743</v>
      </c>
      <c r="AB1601" s="1890">
        <f>Y1601/I1601-1</f>
        <v>7.8635684659730032E-2</v>
      </c>
      <c r="AI1601" s="2023">
        <f>W1601-'Blocking-Step2'!W1601</f>
        <v>0</v>
      </c>
      <c r="AJ1601" s="2054">
        <f>O1601-'Blocking-Step2'!O1601</f>
        <v>0</v>
      </c>
    </row>
    <row r="1602" spans="1:36" ht="16.5" thickTop="1">
      <c r="C1602" s="528"/>
      <c r="D1602" s="528"/>
      <c r="AI1602" s="2023">
        <f>W1602-'Blocking-Step2'!W1602</f>
        <v>0</v>
      </c>
      <c r="AJ1602" s="2054">
        <f>O1602-'Blocking-Step2'!O1602</f>
        <v>0</v>
      </c>
    </row>
    <row r="1603" spans="1:36">
      <c r="A1603" s="1897" t="s">
        <v>566</v>
      </c>
      <c r="AI1603" s="2023">
        <f>W1603-'Blocking-Step2'!W1603</f>
        <v>0</v>
      </c>
      <c r="AJ1603" s="2054">
        <f>O1603-'Blocking-Step2'!O1603</f>
        <v>0</v>
      </c>
    </row>
    <row r="1604" spans="1:36">
      <c r="A1604" s="1900" t="s">
        <v>286</v>
      </c>
      <c r="C1604" s="528">
        <f>'10'!J17</f>
        <v>9.5836800000000011</v>
      </c>
      <c r="D1604" s="528">
        <f>ROUND(C1604/SUM($C$1604:$C$1605,$C$1642:$C$1643)*Bill!$P$80/12,0)</f>
        <v>10</v>
      </c>
      <c r="F1604" s="1944">
        <v>125</v>
      </c>
      <c r="G1604" s="597"/>
      <c r="H1604" s="1644">
        <f t="shared" ref="H1604:I1608" si="941">ROUND($F1604*C1604,0)</f>
        <v>1198</v>
      </c>
      <c r="I1604" s="1644">
        <f t="shared" si="941"/>
        <v>1250</v>
      </c>
      <c r="K1604" s="1944">
        <f>Q1604</f>
        <v>123</v>
      </c>
      <c r="L1604" s="597"/>
      <c r="M1604" s="1944"/>
      <c r="N1604" s="597"/>
      <c r="O1604" s="1944"/>
      <c r="P1604" s="597"/>
      <c r="Q1604" s="1944">
        <f>ROUND(F1604*(1+$AB$1609),0)</f>
        <v>123</v>
      </c>
      <c r="R1604" s="597"/>
      <c r="S1604" s="1645">
        <f>MIN($S$1619,Y1604)</f>
        <v>1230</v>
      </c>
      <c r="T1604" s="1645"/>
      <c r="U1604" s="1644">
        <f t="shared" ref="U1604:U1608" si="942">ROUND($D1604*M1604,0)</f>
        <v>0</v>
      </c>
      <c r="V1604" s="1645"/>
      <c r="W1604" s="1644">
        <f t="shared" ref="W1604:W1608" si="943">ROUND($D1604*O1604,0)</f>
        <v>0</v>
      </c>
      <c r="X1604" s="1645"/>
      <c r="Y1604" s="1644">
        <f>ROUND($D1604*Q1604,0)</f>
        <v>1230</v>
      </c>
      <c r="AA1604" s="1104" t="s">
        <v>1754</v>
      </c>
      <c r="AB1604" s="1104"/>
      <c r="AI1604" s="2023">
        <f>W1604-'Blocking-Step2'!W1604</f>
        <v>0</v>
      </c>
      <c r="AJ1604" s="2054">
        <f>O1604-'Blocking-Step2'!O1604</f>
        <v>0</v>
      </c>
    </row>
    <row r="1605" spans="1:36">
      <c r="A1605" s="1900" t="s">
        <v>287</v>
      </c>
      <c r="C1605" s="528">
        <f>'10'!J18</f>
        <v>3100.0205263157914</v>
      </c>
      <c r="D1605" s="528">
        <f>ROUND(C1605/SUM($C$1604:$C$1605,$C$1642:$C$1643)*Bill!$P$80/12,0)</f>
        <v>3273</v>
      </c>
      <c r="F1605" s="1944">
        <v>38</v>
      </c>
      <c r="G1605" s="597"/>
      <c r="H1605" s="1644">
        <f t="shared" si="941"/>
        <v>117801</v>
      </c>
      <c r="I1605" s="1644">
        <f t="shared" si="941"/>
        <v>124374</v>
      </c>
      <c r="K1605" s="1944">
        <f t="shared" ref="K1605:K1608" si="944">Q1605</f>
        <v>37</v>
      </c>
      <c r="L1605" s="597"/>
      <c r="M1605" s="1944"/>
      <c r="N1605" s="597"/>
      <c r="O1605" s="1944"/>
      <c r="P1605" s="597"/>
      <c r="Q1605" s="1944">
        <f>ROUND(F1605*(1+$AB$1609),0)</f>
        <v>37</v>
      </c>
      <c r="R1605" s="597"/>
      <c r="S1605" s="1645">
        <f>MIN($S$1619-$S$1604,Y1605)</f>
        <v>121101</v>
      </c>
      <c r="T1605" s="1645"/>
      <c r="U1605" s="1644">
        <f t="shared" si="942"/>
        <v>0</v>
      </c>
      <c r="V1605" s="1645"/>
      <c r="W1605" s="1644">
        <f t="shared" si="943"/>
        <v>0</v>
      </c>
      <c r="X1605" s="1645"/>
      <c r="Y1605" s="1644">
        <f t="shared" ref="Y1605:Y1608" si="945">ROUND($D1605*Q1605,0)</f>
        <v>121101</v>
      </c>
      <c r="AA1605" s="1903" t="s">
        <v>1741</v>
      </c>
      <c r="AB1605" s="1904">
        <f>Y1619+Y1639+Y1657</f>
        <v>18132447</v>
      </c>
      <c r="AI1605" s="2023">
        <f>W1605-'Blocking-Step2'!W1605</f>
        <v>0</v>
      </c>
      <c r="AJ1605" s="2054">
        <f>O1605-'Blocking-Step2'!O1605</f>
        <v>0</v>
      </c>
    </row>
    <row r="1606" spans="1:36">
      <c r="A1606" s="1900" t="s">
        <v>306</v>
      </c>
      <c r="C1606" s="528">
        <f>'10'!L19</f>
        <v>14065.268571428629</v>
      </c>
      <c r="D1606" s="528">
        <f>ROUND(C1606/($C$1604+$C$1605)*($D$1604+$D$1605),0)</f>
        <v>14850</v>
      </c>
      <c r="F1606" s="1944">
        <v>14</v>
      </c>
      <c r="G1606" s="597"/>
      <c r="H1606" s="1644">
        <f t="shared" si="941"/>
        <v>196914</v>
      </c>
      <c r="I1606" s="1644">
        <f t="shared" si="941"/>
        <v>207900</v>
      </c>
      <c r="K1606" s="1944">
        <f t="shared" si="944"/>
        <v>14</v>
      </c>
      <c r="L1606" s="597"/>
      <c r="M1606" s="1944"/>
      <c r="N1606" s="597"/>
      <c r="O1606" s="1944"/>
      <c r="P1606" s="597"/>
      <c r="Q1606" s="1944">
        <f>ROUND(F1606*(1+$AB$1609),0)</f>
        <v>14</v>
      </c>
      <c r="R1606" s="597"/>
      <c r="S1606" s="1645">
        <f>MIN($S$1619-$S$1604-$S$1605,Y1606+Y1613)*Y1606/(Y1606+Y1613)</f>
        <v>207900</v>
      </c>
      <c r="T1606" s="1645"/>
      <c r="U1606" s="1644">
        <f t="shared" si="942"/>
        <v>0</v>
      </c>
      <c r="V1606" s="1645"/>
      <c r="W1606" s="1644">
        <f t="shared" si="943"/>
        <v>0</v>
      </c>
      <c r="X1606" s="1645"/>
      <c r="Y1606" s="1644">
        <f t="shared" si="945"/>
        <v>207900</v>
      </c>
      <c r="AA1606" s="1905" t="s">
        <v>1742</v>
      </c>
      <c r="AB1606" s="1906">
        <f>'Blocking-Step2'!AB1606*RateSpread!$Q$87</f>
        <v>18132446.862764835</v>
      </c>
      <c r="AI1606" s="2023">
        <f>W1606-'Blocking-Step2'!W1606</f>
        <v>0</v>
      </c>
      <c r="AJ1606" s="2054">
        <f>O1606-'Blocking-Step2'!O1606</f>
        <v>0</v>
      </c>
    </row>
    <row r="1607" spans="1:36">
      <c r="A1607" s="1900" t="s">
        <v>180</v>
      </c>
      <c r="C1607" s="528">
        <f>'10'!N19</f>
        <v>382160.32605729927</v>
      </c>
      <c r="D1607" s="528">
        <f>ROUND(C1607/$C$1611*$D$1611,0)</f>
        <v>425282</v>
      </c>
      <c r="F1607" s="1944">
        <v>7.33</v>
      </c>
      <c r="G1607" s="597"/>
      <c r="H1607" s="1644">
        <f t="shared" si="941"/>
        <v>2801235</v>
      </c>
      <c r="I1607" s="1644">
        <f t="shared" si="941"/>
        <v>3117317</v>
      </c>
      <c r="K1607" s="1944">
        <f t="shared" si="944"/>
        <v>7.2</v>
      </c>
      <c r="L1607" s="597"/>
      <c r="M1607" s="1944"/>
      <c r="N1607" s="597"/>
      <c r="O1607" s="1944"/>
      <c r="P1607" s="597"/>
      <c r="Q1607" s="1944">
        <f>ROUND(F1607*(1+$AB$1609),2)</f>
        <v>7.2</v>
      </c>
      <c r="R1607" s="597"/>
      <c r="S1607" s="1645">
        <f>MIN($S$1619-$S$1604-$S$1605-$S$1606-$S$1613,Y1607+Y1608)*Y1607/(Y1607+Y1608)</f>
        <v>3062030</v>
      </c>
      <c r="T1607" s="1645"/>
      <c r="U1607" s="1644">
        <f t="shared" si="942"/>
        <v>0</v>
      </c>
      <c r="V1607" s="1645"/>
      <c r="W1607" s="1644">
        <f t="shared" si="943"/>
        <v>0</v>
      </c>
      <c r="X1607" s="1645"/>
      <c r="Y1607" s="1644">
        <f t="shared" si="945"/>
        <v>3062030</v>
      </c>
      <c r="AA1607" s="1908" t="s">
        <v>87</v>
      </c>
      <c r="AB1607" s="1975">
        <f>AB1606-AB1605</f>
        <v>-0.13723516464233398</v>
      </c>
      <c r="AI1607" s="2023">
        <f>W1607-'Blocking-Step2'!W1607</f>
        <v>0</v>
      </c>
      <c r="AJ1607" s="2054">
        <f>O1607-'Blocking-Step2'!O1607</f>
        <v>0</v>
      </c>
    </row>
    <row r="1608" spans="1:36">
      <c r="A1608" s="1900" t="s">
        <v>261</v>
      </c>
      <c r="C1608" s="528">
        <f>'10'!O19</f>
        <v>4222.9317073170741</v>
      </c>
      <c r="D1608" s="528">
        <f t="shared" ref="D1608:D1610" si="946">ROUND(C1608/$C$1611*$D$1611,0)</f>
        <v>4699</v>
      </c>
      <c r="F1608" s="1944">
        <v>-2.0499999999999998</v>
      </c>
      <c r="G1608" s="597"/>
      <c r="H1608" s="1644">
        <f t="shared" si="941"/>
        <v>-8657</v>
      </c>
      <c r="I1608" s="1644">
        <f t="shared" si="941"/>
        <v>-9633</v>
      </c>
      <c r="K1608" s="1944">
        <f t="shared" si="944"/>
        <v>-2.0499999999999998</v>
      </c>
      <c r="L1608" s="597"/>
      <c r="M1608" s="1944"/>
      <c r="N1608" s="597"/>
      <c r="O1608" s="1944"/>
      <c r="P1608" s="597"/>
      <c r="Q1608" s="1944">
        <f>F1608</f>
        <v>-2.0499999999999998</v>
      </c>
      <c r="R1608" s="597"/>
      <c r="S1608" s="1645">
        <f>MIN($S$1619-$S$1604-$S$1605-$S$1606-$S$1613,Y1607+Y1608)*Y1608/(Y1607+Y1608)</f>
        <v>-9633</v>
      </c>
      <c r="T1608" s="1645"/>
      <c r="U1608" s="1644">
        <f t="shared" si="942"/>
        <v>0</v>
      </c>
      <c r="V1608" s="1645"/>
      <c r="W1608" s="1644">
        <f t="shared" si="943"/>
        <v>0</v>
      </c>
      <c r="X1608" s="1645"/>
      <c r="Y1608" s="1644">
        <f t="shared" si="945"/>
        <v>-9633</v>
      </c>
      <c r="AA1608" s="1903" t="s">
        <v>1743</v>
      </c>
      <c r="AB1608" s="1958">
        <f>AB1605/(I1619+I1639+I1657)-1</f>
        <v>2.4457821672138058E-2</v>
      </c>
      <c r="AI1608" s="2023">
        <f>W1608-'Blocking-Step2'!W1608</f>
        <v>0</v>
      </c>
      <c r="AJ1608" s="2054">
        <f>O1608-'Blocking-Step2'!O1608</f>
        <v>0</v>
      </c>
    </row>
    <row r="1609" spans="1:36">
      <c r="A1609" s="1900" t="s">
        <v>307</v>
      </c>
      <c r="C1609" s="528">
        <f>'10'!T19+TempRev!C354-TempRev!M354</f>
        <v>81533915.261207223</v>
      </c>
      <c r="D1609" s="528">
        <f t="shared" si="946"/>
        <v>90734008</v>
      </c>
      <c r="F1609" s="1920">
        <v>7.2971000000000004</v>
      </c>
      <c r="G1609" s="1921" t="s">
        <v>495</v>
      </c>
      <c r="H1609" s="1644">
        <f>ROUND($F1609*C1609/100,0)</f>
        <v>5949611</v>
      </c>
      <c r="I1609" s="1644">
        <f>ROUND($F1609*D1609/100,0)</f>
        <v>6620951</v>
      </c>
      <c r="K1609" s="1920">
        <f>ROUND((S1609+S1610)/($D$1609+$D$1610)*100,4)</f>
        <v>1.5711999999999999</v>
      </c>
      <c r="L1609" s="1921" t="s">
        <v>495</v>
      </c>
      <c r="M1609" s="1920">
        <f>Q1609-K1609-O1609</f>
        <v>3.5212115266809998</v>
      </c>
      <c r="N1609" s="1921" t="s">
        <v>495</v>
      </c>
      <c r="O1609" s="1920">
        <f>'Blocking-Step2'!O1609</f>
        <v>2.0764</v>
      </c>
      <c r="P1609" s="1921" t="s">
        <v>495</v>
      </c>
      <c r="Q1609" s="1920">
        <f>ROUND(F1609*(1+$AB$1609),$AB$8)</f>
        <v>7.168811526681</v>
      </c>
      <c r="R1609" s="1921" t="s">
        <v>495</v>
      </c>
      <c r="S1609" s="1645">
        <f>MIN($S$1619-$S$1604-$S$1605-$S$1606-$S$1613-$S$1607-$S$1608,Y1609+Y1610+Y1614)*Y1609/(Y1609+Y1610+Y1614)</f>
        <v>1581005.1931598813</v>
      </c>
      <c r="T1609" s="1648"/>
      <c r="U1609" s="1644">
        <f>ROUND($D1609*M1609/100,0)</f>
        <v>3194936</v>
      </c>
      <c r="V1609" s="1648"/>
      <c r="W1609" s="1644">
        <f>ROUND($D1609*O1609/100,0)</f>
        <v>1884001</v>
      </c>
      <c r="X1609" s="1648"/>
      <c r="Y1609" s="1644">
        <f>ROUND($D1609*Q1609/100,0)</f>
        <v>6504550</v>
      </c>
      <c r="AA1609" s="1915" t="s">
        <v>1744</v>
      </c>
      <c r="AB1609" s="1954">
        <f>(AB1606-I1608-I1626-I1646)/SUM(I1604:I1607,I1609:I1610,I1613:I1614,I1622:I1625,I1627:I1630,I1633:I1634,I1642:I1645,I1647:I1648,I1651:I1652)-1</f>
        <v>-1.7580747601027125E-2</v>
      </c>
      <c r="AC1609" s="1954">
        <f>AB1606/(I1619+I1639+I1657)-1</f>
        <v>2.4457813918543847E-2</v>
      </c>
      <c r="AI1609" s="2023">
        <f>W1609-'Blocking-Step2'!W1609</f>
        <v>-276900.0922100218</v>
      </c>
      <c r="AJ1609" s="2054">
        <f>O1609-'Blocking-Step2'!O1609</f>
        <v>0</v>
      </c>
    </row>
    <row r="1610" spans="1:36">
      <c r="A1610" s="1900" t="s">
        <v>95</v>
      </c>
      <c r="C1610" s="529">
        <f>'10'!U19+TempRev!C355-TempRev!M355</f>
        <v>49286217.0382604</v>
      </c>
      <c r="D1610" s="529">
        <f t="shared" si="946"/>
        <v>54847557</v>
      </c>
      <c r="F1610" s="1920">
        <v>5.3936000000000002</v>
      </c>
      <c r="G1610" s="1921" t="s">
        <v>495</v>
      </c>
      <c r="H1610" s="1030">
        <f>ROUND($F1610*C1610/100,0)</f>
        <v>2658301</v>
      </c>
      <c r="I1610" s="1030">
        <f>ROUND($F1610*D1610/100,0)</f>
        <v>2958258</v>
      </c>
      <c r="K1610" s="1920">
        <f>K1609</f>
        <v>1.5711999999999999</v>
      </c>
      <c r="L1610" s="1921" t="s">
        <v>495</v>
      </c>
      <c r="M1610" s="1920">
        <f>Q1610-K1610-O1610</f>
        <v>1.6511764797389996</v>
      </c>
      <c r="N1610" s="1921" t="s">
        <v>495</v>
      </c>
      <c r="O1610" s="1920">
        <f>'Blocking-Step2'!O1610</f>
        <v>2.0764</v>
      </c>
      <c r="P1610" s="1921" t="s">
        <v>495</v>
      </c>
      <c r="Q1610" s="1920">
        <f>ROUND(F1610*(1+$AB$1609),$AB$8)</f>
        <v>5.2987764797389998</v>
      </c>
      <c r="R1610" s="1921" t="s">
        <v>495</v>
      </c>
      <c r="S1610" s="1648">
        <f>MIN($S$1619-$S$1604-$S$1605-$S$1606-$S$1613-$S$1607-$S$1608,Y1609+Y1610+Y1614)*Y1610/(Y1609+Y1610+Y1614)</f>
        <v>706397.02387032344</v>
      </c>
      <c r="T1610" s="1648"/>
      <c r="U1610" s="1644">
        <f>ROUND($D1610*M1610/100,0)</f>
        <v>905630</v>
      </c>
      <c r="V1610" s="1648"/>
      <c r="W1610" s="1644">
        <f>ROUND($D1610*O1610/100,0)</f>
        <v>1138855</v>
      </c>
      <c r="X1610" s="1648"/>
      <c r="Y1610" s="1644">
        <f>ROUND($D1610*Q1610/100,0)</f>
        <v>2906249</v>
      </c>
      <c r="AA1610" s="1905" t="s">
        <v>1751</v>
      </c>
      <c r="AB1610" s="1953">
        <f>(AB1606-SUM(Y1604:Y1606,Y1613,Y1622:Y1624,Y1633,Y1642:Y1644,Y1651))/SUM(I1607:I1610,I1614,I1625:I1630,I1634,I1645:I1648,I1652)-1</f>
        <v>-1.7297291582319074E-2</v>
      </c>
      <c r="AC1610" s="1869">
        <v>1.1299999999999999</v>
      </c>
      <c r="AI1610" s="2023">
        <f>W1610-'Blocking-Step2'!W1610</f>
        <v>173359.07159809512</v>
      </c>
      <c r="AJ1610" s="2054">
        <f>O1610-'Blocking-Step2'!O1610</f>
        <v>0</v>
      </c>
    </row>
    <row r="1611" spans="1:36">
      <c r="A1611" s="1900" t="s">
        <v>308</v>
      </c>
      <c r="C1611" s="529">
        <f>C1610+C1609</f>
        <v>130820132.29946762</v>
      </c>
      <c r="D1611" s="529">
        <f>ROUND(C1611/($C$1611+$C$1615+$C$1649+$C$1653)*Energy!$P$80,0)</f>
        <v>145581565</v>
      </c>
      <c r="F1611" s="1976"/>
      <c r="H1611" s="1030">
        <f>SUM(H1604:H1610)</f>
        <v>11716403</v>
      </c>
      <c r="I1611" s="1030">
        <f>SUM(I1604:I1610)</f>
        <v>13020417</v>
      </c>
      <c r="K1611" s="1976"/>
      <c r="M1611" s="1976"/>
      <c r="O1611" s="1976"/>
      <c r="Q1611" s="1976"/>
      <c r="Y1611" s="1030">
        <f>SUM(Y1604:Y1610)</f>
        <v>12793427</v>
      </c>
      <c r="AA1611" s="1915"/>
      <c r="AB1611" s="1954"/>
      <c r="AI1611" s="2023">
        <f>W1611-'Blocking-Step2'!W1611</f>
        <v>0</v>
      </c>
      <c r="AJ1611" s="2054">
        <f>O1611-'Blocking-Step2'!O1611</f>
        <v>0</v>
      </c>
    </row>
    <row r="1612" spans="1:36">
      <c r="A1612" s="1900" t="s">
        <v>34</v>
      </c>
      <c r="C1612" s="528"/>
      <c r="D1612" s="528"/>
      <c r="AA1612" s="1109" t="s">
        <v>1938</v>
      </c>
      <c r="AB1612" s="1917">
        <f>RateSpread!V41*1000</f>
        <v>-263782.19804385555</v>
      </c>
      <c r="AC1612" s="1918">
        <f>ROUND(AB1612/SUM(Y1607,Y1609:Y1610,Y1614,Y1625,Y1627:Y1630,Y1634,Y1645,Y1647:Y1648,Y1652),4)</f>
        <v>-1.49E-2</v>
      </c>
      <c r="AI1612" s="2023">
        <f>W1612-'Blocking-Step2'!W1612</f>
        <v>0</v>
      </c>
      <c r="AJ1612" s="2054">
        <f>O1612-'Blocking-Step2'!O1612</f>
        <v>0</v>
      </c>
    </row>
    <row r="1613" spans="1:36">
      <c r="A1613" s="1900" t="s">
        <v>927</v>
      </c>
      <c r="C1613" s="584">
        <f>'10'!M19</f>
        <v>6655.8378571428157</v>
      </c>
      <c r="D1613" s="528">
        <f>ROUND(C1613/($C$1604+$C$1605)*($D$1604+$D$1605),0)</f>
        <v>7027</v>
      </c>
      <c r="F1613" s="597">
        <v>14</v>
      </c>
      <c r="G1613" s="597"/>
      <c r="H1613" s="1645">
        <f>ROUND($F1613*C1613,0)</f>
        <v>93182</v>
      </c>
      <c r="I1613" s="1645">
        <f>ROUND($F1613*D1613,0)</f>
        <v>98378</v>
      </c>
      <c r="K1613" s="1944">
        <f>Q1613</f>
        <v>14</v>
      </c>
      <c r="L1613" s="597"/>
      <c r="M1613" s="1944"/>
      <c r="N1613" s="597"/>
      <c r="O1613" s="1944"/>
      <c r="P1613" s="597"/>
      <c r="Q1613" s="597">
        <f>Q1606</f>
        <v>14</v>
      </c>
      <c r="R1613" s="597"/>
      <c r="S1613" s="1645">
        <f>MIN($S$1619-$S$1604-$S$1605,Y1606+Y1613)*Y1613/(Y1606+Y1613)</f>
        <v>98378</v>
      </c>
      <c r="T1613" s="1645"/>
      <c r="U1613" s="1644">
        <f t="shared" ref="U1613" si="947">ROUND($D1613*M1613,0)</f>
        <v>0</v>
      </c>
      <c r="V1613" s="1645"/>
      <c r="W1613" s="1644">
        <f t="shared" ref="W1613" si="948">ROUND($D1613*O1613,0)</f>
        <v>0</v>
      </c>
      <c r="X1613" s="1645"/>
      <c r="Y1613" s="1644">
        <f>ROUND($D1613*Q1613,0)</f>
        <v>98378</v>
      </c>
      <c r="AA1613" s="1109" t="s">
        <v>1939</v>
      </c>
      <c r="AB1613" s="1917">
        <v>0</v>
      </c>
      <c r="AC1613" s="1918">
        <f>ROUND(AB1613/SUM(Y1607,Y1609:Y1610,Y1614,Y1625,Y1627:Y1630,Y1634,Y1645,Y1647:Y1648,Y1652),4)</f>
        <v>0</v>
      </c>
      <c r="AI1613" s="2023">
        <f>W1613-'Blocking-Step2'!W1613</f>
        <v>0</v>
      </c>
      <c r="AJ1613" s="2054">
        <f>O1613-'Blocking-Step2'!O1613</f>
        <v>0</v>
      </c>
    </row>
    <row r="1614" spans="1:36">
      <c r="A1614" s="1900" t="s">
        <v>35</v>
      </c>
      <c r="C1614" s="529">
        <f>'10'!Q19+TempRev!C358-TempRev!M358</f>
        <v>46055318.353969723</v>
      </c>
      <c r="D1614" s="529">
        <f>D1615</f>
        <v>51252091</v>
      </c>
      <c r="F1614" s="1943">
        <v>4.9983000000000004</v>
      </c>
      <c r="G1614" s="1921" t="s">
        <v>495</v>
      </c>
      <c r="H1614" s="1649">
        <f>ROUND($F1614*C1614/100,0)</f>
        <v>2301983</v>
      </c>
      <c r="I1614" s="1649">
        <f>ROUND($F1614*D1614/100,0)</f>
        <v>2561733</v>
      </c>
      <c r="K1614" s="1920">
        <f>ROUND(S1614/$D1614*100,4)</f>
        <v>1.196</v>
      </c>
      <c r="L1614" s="1921" t="s">
        <v>495</v>
      </c>
      <c r="M1614" s="1920">
        <f>Q1614-K1614-O1614</f>
        <v>1.8868976462521949</v>
      </c>
      <c r="N1614" s="1921" t="s">
        <v>495</v>
      </c>
      <c r="O1614" s="1920">
        <f>'Blocking-Step2'!O1614</f>
        <v>1.8375221238938055</v>
      </c>
      <c r="P1614" s="1921" t="s">
        <v>495</v>
      </c>
      <c r="Q1614" s="1920">
        <f>ROUND((AB1606-SUM(Y1611:Y1613,Y1631:Y1633,Y1649:Y1651))/(D1614+D1634+D1652)*100,$AB$8)</f>
        <v>4.9204197701460002</v>
      </c>
      <c r="R1614" s="1921" t="s">
        <v>495</v>
      </c>
      <c r="S1614" s="1648">
        <f>MIN($S$1619-$S$1604-$S$1605-$S$1606-$S$1613-$S$1607-$S$1608,Y1609+Y1610+Y1614)*Y1614/(Y1609+Y1610+Y1614)</f>
        <v>612956.67712663685</v>
      </c>
      <c r="T1614" s="1648"/>
      <c r="U1614" s="1644">
        <f>ROUND($D1614*M1614/100,0)</f>
        <v>967074</v>
      </c>
      <c r="V1614" s="1648"/>
      <c r="W1614" s="1644">
        <f>ROUND($D1614*O1614/100,0)</f>
        <v>941769</v>
      </c>
      <c r="X1614" s="1648"/>
      <c r="Y1614" s="1644">
        <f>ROUND($D1614*Q1614/100,0)</f>
        <v>2521818</v>
      </c>
      <c r="AA1614" s="1104" t="s">
        <v>1743</v>
      </c>
      <c r="AB1614" s="1890">
        <f>Y1619/I1619-1</f>
        <v>2.4967670336359271E-2</v>
      </c>
      <c r="AI1614" s="2023">
        <f>W1614-'Blocking-Step2'!W1614</f>
        <v>103520.11869372078</v>
      </c>
      <c r="AJ1614" s="2054">
        <f>O1614-'Blocking-Step2'!O1614</f>
        <v>0</v>
      </c>
    </row>
    <row r="1615" spans="1:36">
      <c r="A1615" s="1900" t="s">
        <v>309</v>
      </c>
      <c r="C1615" s="529">
        <f>C1614</f>
        <v>46055318.353969723</v>
      </c>
      <c r="D1615" s="529">
        <f>ROUND(C1615/($C$1611+$C$1615+$C$1649+$C$1653)*Energy!$P$80,0)</f>
        <v>51252091</v>
      </c>
      <c r="F1615" s="1976"/>
      <c r="H1615" s="1030">
        <f>H1613+H1614</f>
        <v>2395165</v>
      </c>
      <c r="I1615" s="1030">
        <f>I1613+I1614</f>
        <v>2660111</v>
      </c>
      <c r="K1615" s="1976"/>
      <c r="M1615" s="1976"/>
      <c r="O1615" s="1976"/>
      <c r="Q1615" s="1976"/>
      <c r="Y1615" s="1030">
        <f>Y1613+Y1614</f>
        <v>2620196</v>
      </c>
      <c r="AI1615" s="2023">
        <f>W1615-'Blocking-Step2'!W1615</f>
        <v>0</v>
      </c>
      <c r="AJ1615" s="2054">
        <f>O1615-'Blocking-Step2'!O1615</f>
        <v>0</v>
      </c>
    </row>
    <row r="1616" spans="1:36">
      <c r="A1616" s="1900" t="s">
        <v>246</v>
      </c>
      <c r="C1616" s="529">
        <f>'Table 2'!J118-'Blocking-Step1'!C1654</f>
        <v>335950</v>
      </c>
      <c r="D1616" s="529">
        <v>0</v>
      </c>
      <c r="H1616" s="1030">
        <f>-H1654+'Table 3'!F118</f>
        <v>20486.63</v>
      </c>
      <c r="I1616" s="1030">
        <v>0</v>
      </c>
      <c r="Y1616" s="1030">
        <v>0</v>
      </c>
      <c r="AI1616" s="2023">
        <f>W1616-'Blocking-Step2'!W1616</f>
        <v>0</v>
      </c>
      <c r="AJ1616" s="2054">
        <f>O1616-'Blocking-Step2'!O1616</f>
        <v>0</v>
      </c>
    </row>
    <row r="1617" spans="1:36">
      <c r="A1617" s="1900" t="s">
        <v>1240</v>
      </c>
      <c r="C1617" s="584"/>
      <c r="D1617" s="584"/>
      <c r="F1617" s="1930">
        <v>-4.2099999999999999E-2</v>
      </c>
      <c r="G1617" s="597"/>
      <c r="H1617" s="1644">
        <f>SUM(H1607,H1609:H1610,H1614)*$F1617</f>
        <v>-577238.57299999997</v>
      </c>
      <c r="I1617" s="1644">
        <f>SUM(I1607,I1609:I1610,I1614)*$F1617</f>
        <v>-642372.70389999996</v>
      </c>
      <c r="K1617" s="1930"/>
      <c r="L1617" s="597"/>
      <c r="M1617" s="1930"/>
      <c r="N1617" s="597"/>
      <c r="O1617" s="1931" t="str">
        <f>$O$43</f>
        <v>Tax Year 1 (1/1/2021)</v>
      </c>
      <c r="P1617" s="597"/>
      <c r="Q1617" s="1930">
        <f>$AC$1612</f>
        <v>-1.49E-2</v>
      </c>
      <c r="R1617" s="597"/>
      <c r="S1617" s="1645"/>
      <c r="T1617" s="1645"/>
      <c r="U1617" s="1645"/>
      <c r="V1617" s="1645"/>
      <c r="W1617" s="1645"/>
      <c r="X1617" s="1645"/>
      <c r="Y1617" s="1644">
        <f>Q1617*SUM(Y1607,Y1609:Y1610,Y1614)</f>
        <v>-223420.2403</v>
      </c>
      <c r="AI1617" s="2023">
        <f>W1617-'Blocking-Step2'!W1617</f>
        <v>0</v>
      </c>
      <c r="AJ1617" s="2054">
        <f>O1617-'Blocking-Step2'!O1617</f>
        <v>0</v>
      </c>
    </row>
    <row r="1618" spans="1:36">
      <c r="A1618" s="1900"/>
      <c r="C1618" s="584"/>
      <c r="D1618" s="584"/>
      <c r="F1618" s="1930"/>
      <c r="G1618" s="597"/>
      <c r="H1618" s="1644"/>
      <c r="I1618" s="1644"/>
      <c r="K1618" s="1930"/>
      <c r="L1618" s="597"/>
      <c r="M1618" s="1930"/>
      <c r="N1618" s="597"/>
      <c r="O1618" s="1931">
        <f>$O$44</f>
        <v>0</v>
      </c>
      <c r="P1618" s="597"/>
      <c r="Q1618" s="1930">
        <f>$AC$1613</f>
        <v>0</v>
      </c>
      <c r="R1618" s="597"/>
      <c r="S1618" s="1645"/>
      <c r="T1618" s="1645"/>
      <c r="U1618" s="1645"/>
      <c r="V1618" s="1645"/>
      <c r="W1618" s="1645"/>
      <c r="X1618" s="1645"/>
      <c r="Y1618" s="1644">
        <f>Q1618*SUM(Y1607,Y1609:Y1610,Y1614)</f>
        <v>0</v>
      </c>
      <c r="AA1618" s="1933" t="s">
        <v>1660</v>
      </c>
      <c r="AB1618" s="1933" t="s">
        <v>1661</v>
      </c>
      <c r="AC1618" s="1933" t="s">
        <v>1662</v>
      </c>
      <c r="AD1618" s="1933" t="s">
        <v>93</v>
      </c>
      <c r="AI1618" s="2023">
        <f>W1618-'Blocking-Step2'!W1618</f>
        <v>0</v>
      </c>
      <c r="AJ1618" s="2054">
        <f>O1618-'Blocking-Step2'!O1618</f>
        <v>0</v>
      </c>
    </row>
    <row r="1619" spans="1:36" ht="16.5" thickBot="1">
      <c r="A1619" s="1900" t="s">
        <v>310</v>
      </c>
      <c r="C1619" s="1949">
        <f>C1614+C1611+C1616</f>
        <v>177211400.65343735</v>
      </c>
      <c r="D1619" s="1949">
        <f>D1615+D1611+D1616</f>
        <v>196833656</v>
      </c>
      <c r="F1619" s="1939"/>
      <c r="H1619" s="1647">
        <f>SUM(H1611,H1615:H1617)</f>
        <v>13554816.057</v>
      </c>
      <c r="I1619" s="1647">
        <f>SUM(I1611,I1615:I1617)</f>
        <v>15038155.2961</v>
      </c>
      <c r="K1619" s="1939"/>
      <c r="M1619" s="1939"/>
      <c r="O1619" s="1939"/>
      <c r="Q1619" s="1939"/>
      <c r="S1619" s="1154">
        <f>($Y1619-$W1619)*AA1619/(AA1619+AB1619)</f>
        <v>6381364.8941568416</v>
      </c>
      <c r="T1619" s="1154"/>
      <c r="U1619" s="1154">
        <f>Y1619-S1619-W1619</f>
        <v>5067633.1058431584</v>
      </c>
      <c r="V1619" s="1154"/>
      <c r="W1619" s="1154">
        <f>SUM(W1604:W1618)</f>
        <v>3964625</v>
      </c>
      <c r="Y1619" s="1647">
        <f>SUM(Y1611,Y1615:Y1616)</f>
        <v>15413623</v>
      </c>
      <c r="AA1619" s="1937">
        <f>'Unit Cost Target'!$I$87+'Unit Cost Target'!$I$123+'Unit Cost Target'!$I$129+'Unit Cost Target'!$I$75+'Unit Cost Target'!$I$81</f>
        <v>7713599.8025939884</v>
      </c>
      <c r="AB1619" s="1937">
        <f>'Unit Cost Target'!$I$45+'Unit Cost Target'!$I$51</f>
        <v>6125600.7724371636</v>
      </c>
      <c r="AC1619" s="1937">
        <f>'Unit Cost Target'!$I$33+'Unit Cost Target'!$I$39+'Unit Cost Target'!$I$63+'Unit Cost Target'!$I$69</f>
        <v>4713852.682616381</v>
      </c>
      <c r="AD1619" s="1937">
        <f>SUM(AA1619:AC1619)</f>
        <v>18553053.257647533</v>
      </c>
      <c r="AE1619" s="1937">
        <f>AD1619-'Unit Cost Target'!$I$21</f>
        <v>0</v>
      </c>
      <c r="AI1619" s="2023">
        <f>W1619-'Blocking-Step2'!W1619</f>
        <v>-20.901918205432594</v>
      </c>
      <c r="AJ1619" s="2054">
        <f>O1619-'Blocking-Step2'!O1619</f>
        <v>0</v>
      </c>
    </row>
    <row r="1620" spans="1:36" ht="16.5" thickTop="1">
      <c r="C1620" s="528"/>
      <c r="D1620" s="528"/>
      <c r="AA1620" s="1937">
        <f>S1619-SUM(S1604:S1618)</f>
        <v>0</v>
      </c>
      <c r="AB1620" s="1937">
        <f>U1619-SUM(U1604:U1618)</f>
        <v>-6.8941568415611982</v>
      </c>
      <c r="AC1620" s="1937">
        <f>W1619-SUM(W1604:W1618)</f>
        <v>0</v>
      </c>
      <c r="AD1620" s="1937">
        <f>SUM(AA1620:AC1620)</f>
        <v>-6.8941568415611982</v>
      </c>
      <c r="AE1620" s="1937"/>
      <c r="AI1620" s="2023">
        <f>W1620-'Blocking-Step2'!W1620</f>
        <v>0</v>
      </c>
      <c r="AJ1620" s="2054">
        <f>O1620-'Blocking-Step2'!O1620</f>
        <v>0</v>
      </c>
    </row>
    <row r="1621" spans="1:36">
      <c r="A1621" s="1897" t="s">
        <v>991</v>
      </c>
      <c r="AI1621" s="2023">
        <f>W1621-'Blocking-Step2'!W1621</f>
        <v>0</v>
      </c>
      <c r="AJ1621" s="2054">
        <f>O1621-'Blocking-Step2'!O1621</f>
        <v>0</v>
      </c>
    </row>
    <row r="1622" spans="1:36">
      <c r="A1622" s="1900" t="s">
        <v>286</v>
      </c>
      <c r="C1622" s="528">
        <f>'10'!J23</f>
        <v>1</v>
      </c>
      <c r="D1622" s="528">
        <f>ROUND(C1622/(C1622+C1623)*Bill!P81/12,0)</f>
        <v>1</v>
      </c>
      <c r="F1622" s="1944">
        <v>125</v>
      </c>
      <c r="G1622" s="597"/>
      <c r="H1622" s="1644">
        <f t="shared" ref="H1622:I1626" si="949">ROUND($F1622*C1622,0)</f>
        <v>125</v>
      </c>
      <c r="I1622" s="1644">
        <f t="shared" si="949"/>
        <v>125</v>
      </c>
      <c r="K1622" s="1944">
        <f t="shared" ref="K1622:K1628" si="950">K1604</f>
        <v>123</v>
      </c>
      <c r="L1622" s="597"/>
      <c r="M1622" s="1944">
        <f>M1604</f>
        <v>0</v>
      </c>
      <c r="N1622" s="597"/>
      <c r="O1622" s="1944">
        <f>O1604</f>
        <v>0</v>
      </c>
      <c r="P1622" s="597"/>
      <c r="Q1622" s="1944">
        <f>Q1604</f>
        <v>123</v>
      </c>
      <c r="R1622" s="597"/>
      <c r="S1622" s="1644">
        <f>ROUND($D1622*K1622,0)</f>
        <v>123</v>
      </c>
      <c r="T1622" s="1645"/>
      <c r="U1622" s="1644">
        <f>ROUND($D1622*M1622,0)</f>
        <v>0</v>
      </c>
      <c r="V1622" s="1645"/>
      <c r="W1622" s="1644">
        <f>ROUND($D1622*O1622,0)</f>
        <v>0</v>
      </c>
      <c r="X1622" s="1645"/>
      <c r="Y1622" s="1644">
        <f>ROUND($D1622*Q1622,0)</f>
        <v>123</v>
      </c>
      <c r="AI1622" s="2023">
        <f>W1622-'Blocking-Step2'!W1622</f>
        <v>0</v>
      </c>
      <c r="AJ1622" s="2054">
        <f>O1622-'Blocking-Step2'!O1622</f>
        <v>0</v>
      </c>
    </row>
    <row r="1623" spans="1:36">
      <c r="A1623" s="1900" t="s">
        <v>287</v>
      </c>
      <c r="C1623" s="528">
        <f>'10'!J24</f>
        <v>60.7226315789474</v>
      </c>
      <c r="D1623" s="528">
        <f>ROUND(Bill!P81/12-'Blocking-Step1'!D1622,0)</f>
        <v>55</v>
      </c>
      <c r="F1623" s="1944">
        <v>38</v>
      </c>
      <c r="G1623" s="597"/>
      <c r="H1623" s="1644">
        <f t="shared" si="949"/>
        <v>2307</v>
      </c>
      <c r="I1623" s="1644">
        <f t="shared" si="949"/>
        <v>2090</v>
      </c>
      <c r="K1623" s="1944">
        <f t="shared" si="950"/>
        <v>37</v>
      </c>
      <c r="L1623" s="597"/>
      <c r="M1623" s="1944">
        <f t="shared" ref="M1623:M1628" si="951">M1605</f>
        <v>0</v>
      </c>
      <c r="N1623" s="597"/>
      <c r="O1623" s="1944">
        <f t="shared" ref="O1623:O1628" si="952">O1605</f>
        <v>0</v>
      </c>
      <c r="P1623" s="597"/>
      <c r="Q1623" s="1944">
        <f t="shared" ref="Q1623:Q1628" si="953">Q1605</f>
        <v>37</v>
      </c>
      <c r="R1623" s="597"/>
      <c r="S1623" s="1644">
        <f t="shared" ref="S1623:S1626" si="954">ROUND($D1623*K1623,0)</f>
        <v>2035</v>
      </c>
      <c r="T1623" s="1645"/>
      <c r="U1623" s="1644">
        <f t="shared" ref="U1623:U1626" si="955">ROUND($D1623*M1623,0)</f>
        <v>0</v>
      </c>
      <c r="V1623" s="1645"/>
      <c r="W1623" s="1644">
        <f t="shared" ref="W1623:Y1626" si="956">ROUND($D1623*O1623,0)</f>
        <v>0</v>
      </c>
      <c r="X1623" s="1645"/>
      <c r="Y1623" s="1644">
        <f t="shared" si="956"/>
        <v>2035</v>
      </c>
      <c r="AI1623" s="2023">
        <f>W1623-'Blocking-Step2'!W1623</f>
        <v>0</v>
      </c>
      <c r="AJ1623" s="2054">
        <f>O1623-'Blocking-Step2'!O1623</f>
        <v>0</v>
      </c>
    </row>
    <row r="1624" spans="1:36">
      <c r="A1624" s="1900" t="s">
        <v>306</v>
      </c>
      <c r="C1624" s="528">
        <f>'10'!L25</f>
        <v>314.37</v>
      </c>
      <c r="D1624" s="528">
        <f>ROUND(C1624/($C$1622+$C$1623)*($D$1622+$D$1623),0)</f>
        <v>285</v>
      </c>
      <c r="F1624" s="1944">
        <v>14</v>
      </c>
      <c r="G1624" s="597"/>
      <c r="H1624" s="1644">
        <f t="shared" si="949"/>
        <v>4401</v>
      </c>
      <c r="I1624" s="1644">
        <f t="shared" si="949"/>
        <v>3990</v>
      </c>
      <c r="K1624" s="1944">
        <f t="shared" si="950"/>
        <v>14</v>
      </c>
      <c r="L1624" s="597"/>
      <c r="M1624" s="1944">
        <f t="shared" si="951"/>
        <v>0</v>
      </c>
      <c r="N1624" s="597"/>
      <c r="O1624" s="1944">
        <f t="shared" si="952"/>
        <v>0</v>
      </c>
      <c r="P1624" s="597"/>
      <c r="Q1624" s="1944">
        <f t="shared" si="953"/>
        <v>14</v>
      </c>
      <c r="R1624" s="597"/>
      <c r="S1624" s="1644">
        <f t="shared" si="954"/>
        <v>3990</v>
      </c>
      <c r="T1624" s="1645"/>
      <c r="U1624" s="1644">
        <f t="shared" si="955"/>
        <v>0</v>
      </c>
      <c r="V1624" s="1645"/>
      <c r="W1624" s="1644">
        <f t="shared" si="956"/>
        <v>0</v>
      </c>
      <c r="X1624" s="1645"/>
      <c r="Y1624" s="1644">
        <f t="shared" si="956"/>
        <v>3990</v>
      </c>
      <c r="AI1624" s="2023">
        <f>W1624-'Blocking-Step2'!W1624</f>
        <v>0</v>
      </c>
      <c r="AJ1624" s="2054">
        <f>O1624-'Blocking-Step2'!O1624</f>
        <v>0</v>
      </c>
    </row>
    <row r="1625" spans="1:36">
      <c r="A1625" s="1900" t="s">
        <v>180</v>
      </c>
      <c r="C1625" s="528">
        <f>'10'!N25</f>
        <v>23200.406548431107</v>
      </c>
      <c r="D1625" s="528">
        <f>ROUND(C1625/$C$1631*$D$1631,0)</f>
        <v>26155</v>
      </c>
      <c r="F1625" s="1944">
        <v>7.33</v>
      </c>
      <c r="G1625" s="597"/>
      <c r="H1625" s="1644">
        <f t="shared" si="949"/>
        <v>170059</v>
      </c>
      <c r="I1625" s="1644">
        <f t="shared" si="949"/>
        <v>191716</v>
      </c>
      <c r="K1625" s="1944">
        <f t="shared" si="950"/>
        <v>7.2</v>
      </c>
      <c r="L1625" s="597"/>
      <c r="M1625" s="1944">
        <f t="shared" si="951"/>
        <v>0</v>
      </c>
      <c r="N1625" s="597"/>
      <c r="O1625" s="1944">
        <f t="shared" si="952"/>
        <v>0</v>
      </c>
      <c r="P1625" s="597"/>
      <c r="Q1625" s="1944">
        <f t="shared" si="953"/>
        <v>7.2</v>
      </c>
      <c r="R1625" s="597"/>
      <c r="S1625" s="1644">
        <f t="shared" si="954"/>
        <v>188316</v>
      </c>
      <c r="T1625" s="1645"/>
      <c r="U1625" s="1644">
        <f t="shared" si="955"/>
        <v>0</v>
      </c>
      <c r="V1625" s="1645"/>
      <c r="W1625" s="1644">
        <f t="shared" si="956"/>
        <v>0</v>
      </c>
      <c r="X1625" s="1645"/>
      <c r="Y1625" s="1644">
        <f t="shared" si="956"/>
        <v>188316</v>
      </c>
      <c r="AI1625" s="2023">
        <f>W1625-'Blocking-Step2'!W1625</f>
        <v>0</v>
      </c>
      <c r="AJ1625" s="2054">
        <f>O1625-'Blocking-Step2'!O1625</f>
        <v>0</v>
      </c>
    </row>
    <row r="1626" spans="1:36">
      <c r="A1626" s="1900" t="s">
        <v>261</v>
      </c>
      <c r="C1626" s="528">
        <f>'10'!O25</f>
        <v>8.4536585365853707</v>
      </c>
      <c r="D1626" s="528">
        <f t="shared" ref="D1626:D1630" si="957">ROUND(C1626/$C$1631*$D$1631,0)</f>
        <v>10</v>
      </c>
      <c r="F1626" s="1944">
        <v>-2.0499999999999998</v>
      </c>
      <c r="G1626" s="597"/>
      <c r="H1626" s="1644">
        <f t="shared" si="949"/>
        <v>-17</v>
      </c>
      <c r="I1626" s="1644">
        <f t="shared" si="949"/>
        <v>-21</v>
      </c>
      <c r="K1626" s="1944">
        <f t="shared" si="950"/>
        <v>-2.0499999999999998</v>
      </c>
      <c r="L1626" s="597"/>
      <c r="M1626" s="1944">
        <f t="shared" si="951"/>
        <v>0</v>
      </c>
      <c r="N1626" s="597"/>
      <c r="O1626" s="1944">
        <f t="shared" si="952"/>
        <v>0</v>
      </c>
      <c r="P1626" s="597"/>
      <c r="Q1626" s="1944">
        <f t="shared" si="953"/>
        <v>-2.0499999999999998</v>
      </c>
      <c r="R1626" s="597"/>
      <c r="S1626" s="1644">
        <f t="shared" si="954"/>
        <v>-21</v>
      </c>
      <c r="T1626" s="1645"/>
      <c r="U1626" s="1644">
        <f t="shared" si="955"/>
        <v>0</v>
      </c>
      <c r="V1626" s="1645"/>
      <c r="W1626" s="1644">
        <f t="shared" si="956"/>
        <v>0</v>
      </c>
      <c r="X1626" s="1645"/>
      <c r="Y1626" s="1644">
        <f t="shared" si="956"/>
        <v>-21</v>
      </c>
      <c r="AI1626" s="2023">
        <f>W1626-'Blocking-Step2'!W1626</f>
        <v>0</v>
      </c>
      <c r="AJ1626" s="2054">
        <f>O1626-'Blocking-Step2'!O1626</f>
        <v>0</v>
      </c>
    </row>
    <row r="1627" spans="1:36">
      <c r="A1627" s="1900" t="s">
        <v>307</v>
      </c>
      <c r="C1627" s="528">
        <f>'10'!T25+TempRev!M354</f>
        <v>3285476.7387927799</v>
      </c>
      <c r="D1627" s="528">
        <f t="shared" si="957"/>
        <v>3703888</v>
      </c>
      <c r="F1627" s="1920">
        <v>7.2971000000000004</v>
      </c>
      <c r="G1627" s="1921" t="s">
        <v>495</v>
      </c>
      <c r="H1627" s="1644">
        <f t="shared" ref="H1627:I1630" si="958">ROUND($F1627*C1627/100,0)</f>
        <v>239745</v>
      </c>
      <c r="I1627" s="1644">
        <f t="shared" si="958"/>
        <v>270276</v>
      </c>
      <c r="K1627" s="1920">
        <f t="shared" si="950"/>
        <v>1.5711999999999999</v>
      </c>
      <c r="L1627" s="1921" t="s">
        <v>495</v>
      </c>
      <c r="M1627" s="1920">
        <f t="shared" si="951"/>
        <v>3.5212115266809998</v>
      </c>
      <c r="N1627" s="1921" t="s">
        <v>495</v>
      </c>
      <c r="O1627" s="1920">
        <f t="shared" si="952"/>
        <v>2.0764</v>
      </c>
      <c r="P1627" s="1921" t="s">
        <v>495</v>
      </c>
      <c r="Q1627" s="1920">
        <f t="shared" si="953"/>
        <v>7.168811526681</v>
      </c>
      <c r="R1627" s="1921" t="s">
        <v>495</v>
      </c>
      <c r="S1627" s="1644">
        <f>ROUND($D1627*K1627/100,0)</f>
        <v>58195</v>
      </c>
      <c r="T1627" s="1648"/>
      <c r="U1627" s="1644">
        <f>ROUND($D1627*M1627/100,0)</f>
        <v>130422</v>
      </c>
      <c r="V1627" s="1648"/>
      <c r="W1627" s="1644">
        <f>ROUND($D1627*O1627/100,0)</f>
        <v>76908</v>
      </c>
      <c r="X1627" s="1648"/>
      <c r="Y1627" s="1644">
        <f>ROUND($D1627*Q1627/100,0)</f>
        <v>265525</v>
      </c>
      <c r="AI1627" s="2023">
        <f>W1627-'Blocking-Step2'!W1627</f>
        <v>0</v>
      </c>
      <c r="AJ1627" s="2054">
        <f>O1627-'Blocking-Step2'!O1627</f>
        <v>0</v>
      </c>
    </row>
    <row r="1628" spans="1:36">
      <c r="A1628" s="1900" t="s">
        <v>95</v>
      </c>
      <c r="C1628" s="529">
        <f>'10'!U25+TempRev!M355</f>
        <v>2902041.7617576825</v>
      </c>
      <c r="D1628" s="529">
        <f t="shared" si="957"/>
        <v>3271622</v>
      </c>
      <c r="F1628" s="1920">
        <v>5.3936000000000002</v>
      </c>
      <c r="G1628" s="1921" t="s">
        <v>495</v>
      </c>
      <c r="H1628" s="1030">
        <f t="shared" si="958"/>
        <v>156525</v>
      </c>
      <c r="I1628" s="1030">
        <f t="shared" si="958"/>
        <v>176458</v>
      </c>
      <c r="K1628" s="1920">
        <f t="shared" si="950"/>
        <v>1.5711999999999999</v>
      </c>
      <c r="L1628" s="1921" t="s">
        <v>495</v>
      </c>
      <c r="M1628" s="1920">
        <f t="shared" si="951"/>
        <v>1.6511764797389996</v>
      </c>
      <c r="N1628" s="1921" t="s">
        <v>495</v>
      </c>
      <c r="O1628" s="1920">
        <f t="shared" si="952"/>
        <v>2.0764</v>
      </c>
      <c r="P1628" s="1921" t="s">
        <v>495</v>
      </c>
      <c r="Q1628" s="1920">
        <f t="shared" si="953"/>
        <v>5.2987764797389998</v>
      </c>
      <c r="R1628" s="1921" t="s">
        <v>495</v>
      </c>
      <c r="S1628" s="1644">
        <f>ROUND($D1628*K1628/100,0)</f>
        <v>51404</v>
      </c>
      <c r="T1628" s="1648"/>
      <c r="U1628" s="1644">
        <f>ROUND($D1628*M1628/100,0)</f>
        <v>54020</v>
      </c>
      <c r="V1628" s="1648"/>
      <c r="W1628" s="1644">
        <f>ROUND($D1628*O1628/100,0)</f>
        <v>67932</v>
      </c>
      <c r="X1628" s="1648"/>
      <c r="Y1628" s="1644">
        <f>ROUND($D1628*Q1628/100,0)</f>
        <v>173356</v>
      </c>
      <c r="AI1628" s="2023">
        <f>W1628-'Blocking-Step2'!W1628</f>
        <v>0</v>
      </c>
      <c r="AJ1628" s="2054">
        <f>O1628-'Blocking-Step2'!O1628</f>
        <v>0</v>
      </c>
    </row>
    <row r="1629" spans="1:36">
      <c r="A1629" s="1900" t="s">
        <v>248</v>
      </c>
      <c r="C1629" s="528">
        <f>'10'!R25</f>
        <v>117281</v>
      </c>
      <c r="D1629" s="528">
        <f t="shared" si="957"/>
        <v>132217</v>
      </c>
      <c r="F1629" s="1920">
        <v>14.416399999999999</v>
      </c>
      <c r="G1629" s="1921" t="s">
        <v>495</v>
      </c>
      <c r="H1629" s="1644">
        <f t="shared" si="958"/>
        <v>16908</v>
      </c>
      <c r="I1629" s="1644">
        <f t="shared" si="958"/>
        <v>19061</v>
      </c>
      <c r="K1629" s="1920">
        <f>K1647</f>
        <v>1.4581</v>
      </c>
      <c r="L1629" s="1921" t="s">
        <v>495</v>
      </c>
      <c r="M1629" s="1920">
        <f>M1647</f>
        <v>5.8591489102849996</v>
      </c>
      <c r="N1629" s="1921" t="s">
        <v>495</v>
      </c>
      <c r="O1629" s="1920">
        <f>O1647</f>
        <v>6.8456999999999999</v>
      </c>
      <c r="P1629" s="1921" t="s">
        <v>495</v>
      </c>
      <c r="Q1629" s="1920">
        <f>Q1647</f>
        <v>14.162948910284999</v>
      </c>
      <c r="R1629" s="1921" t="s">
        <v>495</v>
      </c>
      <c r="S1629" s="1644">
        <f t="shared" ref="S1629:S1630" si="959">ROUND($D1629*K1629/100,0)</f>
        <v>1928</v>
      </c>
      <c r="T1629" s="1648"/>
      <c r="U1629" s="1644">
        <f t="shared" ref="U1629:U1630" si="960">ROUND($D1629*M1629/100,0)</f>
        <v>7747</v>
      </c>
      <c r="V1629" s="1648"/>
      <c r="W1629" s="1644">
        <f t="shared" ref="W1629:Y1630" si="961">ROUND($D1629*O1629/100,0)</f>
        <v>9051</v>
      </c>
      <c r="X1629" s="1648"/>
      <c r="Y1629" s="1644">
        <f t="shared" si="961"/>
        <v>18726</v>
      </c>
      <c r="AI1629" s="2023">
        <f>W1629-'Blocking-Step2'!W1629</f>
        <v>0</v>
      </c>
      <c r="AJ1629" s="2054">
        <f>O1629-'Blocking-Step2'!O1629</f>
        <v>0</v>
      </c>
    </row>
    <row r="1630" spans="1:36">
      <c r="A1630" s="1900" t="s">
        <v>249</v>
      </c>
      <c r="C1630" s="529">
        <f>'10'!S25</f>
        <v>438822</v>
      </c>
      <c r="D1630" s="529">
        <f t="shared" si="957"/>
        <v>494707</v>
      </c>
      <c r="F1630" s="1943">
        <v>4.1542000000000003</v>
      </c>
      <c r="G1630" s="1921" t="s">
        <v>495</v>
      </c>
      <c r="H1630" s="1649">
        <f t="shared" si="958"/>
        <v>18230</v>
      </c>
      <c r="I1630" s="1649">
        <f t="shared" si="958"/>
        <v>20551</v>
      </c>
      <c r="K1630" s="1920">
        <f>K1648</f>
        <v>1.4581</v>
      </c>
      <c r="L1630" s="1921" t="s">
        <v>495</v>
      </c>
      <c r="M1630" s="1920">
        <f>M1648</f>
        <v>1.9838660583159997</v>
      </c>
      <c r="N1630" s="1921" t="s">
        <v>495</v>
      </c>
      <c r="O1630" s="1920">
        <f>O1648</f>
        <v>0.63919999999999999</v>
      </c>
      <c r="P1630" s="1921" t="s">
        <v>495</v>
      </c>
      <c r="Q1630" s="1920">
        <f>Q1648</f>
        <v>4.0811660583159997</v>
      </c>
      <c r="R1630" s="1921" t="s">
        <v>495</v>
      </c>
      <c r="S1630" s="1644">
        <f t="shared" si="959"/>
        <v>7213</v>
      </c>
      <c r="T1630" s="1648"/>
      <c r="U1630" s="1644">
        <f t="shared" si="960"/>
        <v>9814</v>
      </c>
      <c r="V1630" s="1648"/>
      <c r="W1630" s="1644">
        <f t="shared" si="961"/>
        <v>3162</v>
      </c>
      <c r="X1630" s="1648"/>
      <c r="Y1630" s="1644">
        <f t="shared" si="961"/>
        <v>20190</v>
      </c>
      <c r="AI1630" s="2023">
        <f>W1630-'Blocking-Step2'!W1630</f>
        <v>0</v>
      </c>
      <c r="AJ1630" s="2054">
        <f>O1630-'Blocking-Step2'!O1630</f>
        <v>0</v>
      </c>
    </row>
    <row r="1631" spans="1:36">
      <c r="A1631" s="1900" t="s">
        <v>308</v>
      </c>
      <c r="C1631" s="529">
        <f>SUM(C1627:C1630)</f>
        <v>6743621.5005504619</v>
      </c>
      <c r="D1631" s="529">
        <f>ROUND(C1631/(C1631+C1635)*D1639,0)</f>
        <v>7602434</v>
      </c>
      <c r="F1631" s="1976"/>
      <c r="H1631" s="1030">
        <f>SUM(H1622:H1630)</f>
        <v>608283</v>
      </c>
      <c r="I1631" s="1030">
        <f>SUM(I1622:I1630)</f>
        <v>684246</v>
      </c>
      <c r="K1631" s="1976"/>
      <c r="M1631" s="1976"/>
      <c r="O1631" s="1976"/>
      <c r="Q1631" s="1976"/>
      <c r="S1631" s="1030">
        <f>SUM(S1622:S1630)</f>
        <v>313183</v>
      </c>
      <c r="U1631" s="1030">
        <f>SUM(U1622:U1630)</f>
        <v>202003</v>
      </c>
      <c r="W1631" s="1030">
        <f>SUM(W1622:W1630)</f>
        <v>157053</v>
      </c>
      <c r="Y1631" s="1030">
        <f>SUM(Y1622:Y1630)</f>
        <v>672240</v>
      </c>
      <c r="AI1631" s="2023">
        <f>W1631-'Blocking-Step2'!W1631</f>
        <v>0</v>
      </c>
      <c r="AJ1631" s="2054">
        <f>O1631-'Blocking-Step2'!O1631</f>
        <v>0</v>
      </c>
    </row>
    <row r="1632" spans="1:36">
      <c r="A1632" s="1900" t="s">
        <v>34</v>
      </c>
      <c r="C1632" s="528"/>
      <c r="D1632" s="528"/>
      <c r="S1632" s="1638"/>
      <c r="U1632" s="1638"/>
      <c r="W1632" s="1638"/>
      <c r="AI1632" s="2023">
        <f>W1632-'Blocking-Step2'!W1632</f>
        <v>0</v>
      </c>
      <c r="AJ1632" s="2054">
        <f>O1632-'Blocking-Step2'!O1632</f>
        <v>0</v>
      </c>
    </row>
    <row r="1633" spans="1:36">
      <c r="A1633" s="1900" t="s">
        <v>927</v>
      </c>
      <c r="C1633" s="584">
        <f>'10'!M25</f>
        <v>135.45857142857102</v>
      </c>
      <c r="D1633" s="528">
        <f>ROUND(C1633/($C$1622+$C$1623)*($D$1622+$D$1623),0)</f>
        <v>123</v>
      </c>
      <c r="F1633" s="597">
        <v>14</v>
      </c>
      <c r="G1633" s="597"/>
      <c r="H1633" s="1645">
        <f>ROUND($F1633*C1633,0)</f>
        <v>1896</v>
      </c>
      <c r="I1633" s="1645">
        <f>ROUND($F1633*D1633,0)</f>
        <v>1722</v>
      </c>
      <c r="K1633" s="597">
        <f>K1613</f>
        <v>14</v>
      </c>
      <c r="L1633" s="597"/>
      <c r="M1633" s="597">
        <f>M1613</f>
        <v>0</v>
      </c>
      <c r="N1633" s="597"/>
      <c r="O1633" s="597">
        <f>O1613</f>
        <v>0</v>
      </c>
      <c r="P1633" s="597"/>
      <c r="Q1633" s="597">
        <f>Q1613</f>
        <v>14</v>
      </c>
      <c r="R1633" s="597"/>
      <c r="S1633" s="1644">
        <f t="shared" ref="S1633" si="962">ROUND($D1633*K1633/100,0)</f>
        <v>17</v>
      </c>
      <c r="T1633" s="1645"/>
      <c r="U1633" s="1644">
        <f t="shared" ref="U1633" si="963">ROUND($D1633*M1633/100,0)</f>
        <v>0</v>
      </c>
      <c r="V1633" s="1645"/>
      <c r="W1633" s="1644">
        <f t="shared" ref="W1633:Y1633" si="964">ROUND($D1633*O1633/100,0)</f>
        <v>0</v>
      </c>
      <c r="X1633" s="1645"/>
      <c r="Y1633" s="1644">
        <f t="shared" si="964"/>
        <v>17</v>
      </c>
      <c r="AI1633" s="2023">
        <f>W1633-'Blocking-Step2'!W1633</f>
        <v>0</v>
      </c>
      <c r="AJ1633" s="2054">
        <f>O1633-'Blocking-Step2'!O1633</f>
        <v>0</v>
      </c>
    </row>
    <row r="1634" spans="1:36">
      <c r="A1634" s="1900" t="s">
        <v>35</v>
      </c>
      <c r="C1634" s="529">
        <f>'10'!Q25+TempRev!M358</f>
        <v>1506180.9657492132</v>
      </c>
      <c r="D1634" s="529">
        <f>D1635</f>
        <v>1697995.5822001491</v>
      </c>
      <c r="F1634" s="1943">
        <v>4.9983000000000004</v>
      </c>
      <c r="G1634" s="1921" t="s">
        <v>495</v>
      </c>
      <c r="H1634" s="1649">
        <f>ROUND($F1634*C1634/100,0)</f>
        <v>75283</v>
      </c>
      <c r="I1634" s="1649">
        <f>ROUND($F1634*D1634/100,0)</f>
        <v>84871</v>
      </c>
      <c r="K1634" s="1943">
        <f>K1614</f>
        <v>1.196</v>
      </c>
      <c r="L1634" s="1921" t="s">
        <v>495</v>
      </c>
      <c r="M1634" s="1943">
        <f>M1614</f>
        <v>1.8868976462521949</v>
      </c>
      <c r="N1634" s="1921" t="s">
        <v>495</v>
      </c>
      <c r="O1634" s="1943">
        <f>O1614</f>
        <v>1.8375221238938055</v>
      </c>
      <c r="P1634" s="1921" t="s">
        <v>495</v>
      </c>
      <c r="Q1634" s="1943">
        <f>Q1614</f>
        <v>4.9204197701460002</v>
      </c>
      <c r="R1634" s="1921" t="s">
        <v>495</v>
      </c>
      <c r="S1634" s="1644">
        <f>ROUND($D1634*K1634/100,0)</f>
        <v>20308</v>
      </c>
      <c r="T1634" s="1648"/>
      <c r="U1634" s="1644">
        <f>ROUND($D1634*M1634/100,0)</f>
        <v>32039</v>
      </c>
      <c r="V1634" s="1648"/>
      <c r="W1634" s="1644">
        <f>ROUND($D1634*O1634/100,0)</f>
        <v>31201</v>
      </c>
      <c r="X1634" s="1648"/>
      <c r="Y1634" s="1644">
        <f>ROUND($D1634*Q1634/100,0)</f>
        <v>83549</v>
      </c>
      <c r="AI1634" s="2023">
        <f>W1634-'Blocking-Step2'!W1634</f>
        <v>0</v>
      </c>
      <c r="AJ1634" s="2054">
        <f>O1634-'Blocking-Step2'!O1634</f>
        <v>0</v>
      </c>
    </row>
    <row r="1635" spans="1:36">
      <c r="A1635" s="1900" t="s">
        <v>309</v>
      </c>
      <c r="C1635" s="529">
        <f>C1634</f>
        <v>1506180.9657492132</v>
      </c>
      <c r="D1635" s="529">
        <f>D1639-D1631</f>
        <v>1697995.5822001491</v>
      </c>
      <c r="F1635" s="1976"/>
      <c r="H1635" s="1030">
        <f>H1633+H1634</f>
        <v>77179</v>
      </c>
      <c r="I1635" s="1030">
        <f>I1633+I1634</f>
        <v>86593</v>
      </c>
      <c r="K1635" s="1976"/>
      <c r="M1635" s="1976"/>
      <c r="O1635" s="1976"/>
      <c r="Q1635" s="1976"/>
      <c r="S1635" s="1030">
        <f>S1633+S1634</f>
        <v>20325</v>
      </c>
      <c r="U1635" s="1030">
        <f>U1633+U1634</f>
        <v>32039</v>
      </c>
      <c r="W1635" s="1030">
        <f>W1633+W1634</f>
        <v>31201</v>
      </c>
      <c r="Y1635" s="1030">
        <f>Y1633+Y1634</f>
        <v>83566</v>
      </c>
      <c r="AI1635" s="2023">
        <f>W1635-'Blocking-Step2'!W1635</f>
        <v>0</v>
      </c>
      <c r="AJ1635" s="2054">
        <f>O1635-'Blocking-Step2'!O1635</f>
        <v>0</v>
      </c>
    </row>
    <row r="1636" spans="1:36">
      <c r="A1636" s="1900" t="s">
        <v>246</v>
      </c>
      <c r="C1636" s="529">
        <f>'Table 2'!J119</f>
        <v>15646</v>
      </c>
      <c r="D1636" s="529">
        <v>0</v>
      </c>
      <c r="H1636" s="1030">
        <f>'Table 3'!F119</f>
        <v>988.36999999999898</v>
      </c>
      <c r="I1636" s="1030">
        <v>0</v>
      </c>
      <c r="Y1636" s="1030">
        <v>0</v>
      </c>
      <c r="AI1636" s="2023">
        <f>W1636-'Blocking-Step2'!W1636</f>
        <v>0</v>
      </c>
      <c r="AJ1636" s="2054">
        <f>O1636-'Blocking-Step2'!O1636</f>
        <v>0</v>
      </c>
    </row>
    <row r="1637" spans="1:36">
      <c r="A1637" s="1900" t="s">
        <v>1240</v>
      </c>
      <c r="C1637" s="584"/>
      <c r="D1637" s="584"/>
      <c r="F1637" s="1930">
        <v>-4.2099999999999999E-2</v>
      </c>
      <c r="G1637" s="597"/>
      <c r="H1637" s="1644">
        <f>SUM(H1625,H1627:H1630,H1634)*$F1637</f>
        <v>-28491.174999999999</v>
      </c>
      <c r="I1637" s="1644">
        <f>SUM(I1625,I1627:I1630,I1634)*$F1637</f>
        <v>-32119.479299999999</v>
      </c>
      <c r="K1637" s="1930"/>
      <c r="L1637" s="597"/>
      <c r="M1637" s="1930"/>
      <c r="N1637" s="597"/>
      <c r="O1637" s="1931" t="str">
        <f>$O$43</f>
        <v>Tax Year 1 (1/1/2021)</v>
      </c>
      <c r="P1637" s="597"/>
      <c r="Q1637" s="1930">
        <f>$AC$1612</f>
        <v>-1.49E-2</v>
      </c>
      <c r="R1637" s="597"/>
      <c r="S1637" s="1645"/>
      <c r="T1637" s="1645"/>
      <c r="U1637" s="1645"/>
      <c r="V1637" s="1645"/>
      <c r="W1637" s="1645"/>
      <c r="X1637" s="1645"/>
      <c r="Y1637" s="1644">
        <f>Q1637*SUM(Y1625,Y1627:Y1630,Y1634)</f>
        <v>-11169.9638</v>
      </c>
      <c r="AI1637" s="2023">
        <f>W1637-'Blocking-Step2'!W1637</f>
        <v>0</v>
      </c>
      <c r="AJ1637" s="2054">
        <f>O1637-'Blocking-Step2'!O1637</f>
        <v>0</v>
      </c>
    </row>
    <row r="1638" spans="1:36">
      <c r="A1638" s="1900"/>
      <c r="C1638" s="584"/>
      <c r="D1638" s="584"/>
      <c r="F1638" s="1930"/>
      <c r="G1638" s="597"/>
      <c r="H1638" s="1644"/>
      <c r="I1638" s="1644"/>
      <c r="K1638" s="1930"/>
      <c r="L1638" s="597"/>
      <c r="M1638" s="1930"/>
      <c r="N1638" s="597"/>
      <c r="O1638" s="1931">
        <f>$O$44</f>
        <v>0</v>
      </c>
      <c r="P1638" s="597"/>
      <c r="Q1638" s="1930">
        <f>$AC$1613</f>
        <v>0</v>
      </c>
      <c r="R1638" s="597"/>
      <c r="S1638" s="1645"/>
      <c r="T1638" s="1645"/>
      <c r="U1638" s="1645"/>
      <c r="V1638" s="1645"/>
      <c r="W1638" s="1645"/>
      <c r="X1638" s="1645"/>
      <c r="Y1638" s="1644">
        <f>Q1638*SUM(Y1625,Y1627:Y1630,Y1634)</f>
        <v>0</v>
      </c>
      <c r="AI1638" s="2023">
        <f>W1638-'Blocking-Step2'!W1638</f>
        <v>0</v>
      </c>
      <c r="AJ1638" s="2054">
        <f>O1638-'Blocking-Step2'!O1638</f>
        <v>0</v>
      </c>
    </row>
    <row r="1639" spans="1:36" ht="16.5" thickBot="1">
      <c r="A1639" s="1900" t="s">
        <v>1364</v>
      </c>
      <c r="C1639" s="1949">
        <f>C1634+C1631+C1636</f>
        <v>8265448.4662996754</v>
      </c>
      <c r="D1639" s="1949">
        <f>Energy!P81</f>
        <v>9300429.5822001491</v>
      </c>
      <c r="F1639" s="1939"/>
      <c r="H1639" s="1647">
        <f>SUM(H1631,H1635:H1637)</f>
        <v>657959.19499999995</v>
      </c>
      <c r="I1639" s="1647">
        <f>SUM(I1631,I1635:I1637)</f>
        <v>738719.52069999999</v>
      </c>
      <c r="K1639" s="1939"/>
      <c r="M1639" s="1939"/>
      <c r="O1639" s="1939"/>
      <c r="Q1639" s="1939"/>
      <c r="S1639" s="1647">
        <f>SUM(S1631,S1635:S1636)</f>
        <v>333508</v>
      </c>
      <c r="U1639" s="1647">
        <f>SUM(U1631,U1635:U1636)</f>
        <v>234042</v>
      </c>
      <c r="W1639" s="1647">
        <f>SUM(W1631,W1635:W1636)</f>
        <v>188254</v>
      </c>
      <c r="Y1639" s="1647">
        <f>SUM(Y1631,Y1635:Y1636)</f>
        <v>755806</v>
      </c>
      <c r="AA1639" s="1104" t="s">
        <v>1743</v>
      </c>
      <c r="AB1639" s="1890">
        <f>Y1639/I1639-1</f>
        <v>2.3129860280135972E-2</v>
      </c>
      <c r="AI1639" s="2023">
        <f>W1639-'Blocking-Step2'!W1639</f>
        <v>0</v>
      </c>
      <c r="AJ1639" s="2054">
        <f>O1639-'Blocking-Step2'!O1639</f>
        <v>0</v>
      </c>
    </row>
    <row r="1640" spans="1:36" ht="16.5" thickTop="1">
      <c r="C1640" s="528"/>
      <c r="D1640" s="528"/>
      <c r="AI1640" s="2023">
        <f>W1640-'Blocking-Step2'!W1640</f>
        <v>0</v>
      </c>
      <c r="AJ1640" s="2054">
        <f>O1640-'Blocking-Step2'!O1640</f>
        <v>0</v>
      </c>
    </row>
    <row r="1641" spans="1:36">
      <c r="A1641" s="1897" t="s">
        <v>311</v>
      </c>
      <c r="C1641" s="528"/>
      <c r="D1641" s="528"/>
      <c r="AI1641" s="2023">
        <f>W1641-'Blocking-Step2'!W1641</f>
        <v>0</v>
      </c>
      <c r="AJ1641" s="2054">
        <f>O1641-'Blocking-Step2'!O1641</f>
        <v>0</v>
      </c>
    </row>
    <row r="1642" spans="1:36">
      <c r="A1642" s="1900" t="s">
        <v>286</v>
      </c>
      <c r="C1642" s="528">
        <f>'10'!J20</f>
        <v>3</v>
      </c>
      <c r="D1642" s="528">
        <f>ROUND(C1642/SUM($C$1604:$C$1605,$C$1642:$C$1643)*Bill!$P$80/12,0)</f>
        <v>3</v>
      </c>
      <c r="F1642" s="1944">
        <v>125</v>
      </c>
      <c r="G1642" s="597"/>
      <c r="H1642" s="1644">
        <f t="shared" ref="H1642:I1646" si="965">ROUND($F1642*C1642,0)</f>
        <v>375</v>
      </c>
      <c r="I1642" s="1644">
        <f t="shared" si="965"/>
        <v>375</v>
      </c>
      <c r="K1642" s="1944">
        <f>K1604</f>
        <v>123</v>
      </c>
      <c r="L1642" s="597"/>
      <c r="M1642" s="1944">
        <f>Q1642-K1642-O1642</f>
        <v>0</v>
      </c>
      <c r="N1642" s="597"/>
      <c r="O1642" s="1944">
        <f>'Blocking-Step2'!O1642</f>
        <v>0</v>
      </c>
      <c r="P1642" s="597"/>
      <c r="Q1642" s="1944">
        <f>Q1604</f>
        <v>123</v>
      </c>
      <c r="R1642" s="597"/>
      <c r="S1642" s="1644">
        <f>ROUND($D1642*K1642,0)</f>
        <v>369</v>
      </c>
      <c r="T1642" s="1645"/>
      <c r="U1642" s="1644">
        <f>ROUND($D1642*M1642,0)</f>
        <v>0</v>
      </c>
      <c r="V1642" s="1645"/>
      <c r="W1642" s="1644">
        <f>ROUND($D1642*O1642,0)</f>
        <v>0</v>
      </c>
      <c r="X1642" s="1645"/>
      <c r="Y1642" s="1644">
        <f>ROUND($D1642*Q1642,0)</f>
        <v>369</v>
      </c>
      <c r="AI1642" s="2023">
        <f>W1642-'Blocking-Step2'!W1642</f>
        <v>0</v>
      </c>
      <c r="AJ1642" s="2054">
        <f>O1642-'Blocking-Step2'!O1642</f>
        <v>0</v>
      </c>
    </row>
    <row r="1643" spans="1:36">
      <c r="A1643" s="1900" t="s">
        <v>287</v>
      </c>
      <c r="C1643" s="528">
        <f>'10'!J21</f>
        <v>251.37552631578899</v>
      </c>
      <c r="D1643" s="528">
        <f>ROUND(Bill!P80/12-'Blocking-Step1'!D1604-'Blocking-Step1'!D1605-'Blocking-Step1'!D1642,0)</f>
        <v>266</v>
      </c>
      <c r="F1643" s="1944">
        <v>38</v>
      </c>
      <c r="G1643" s="597"/>
      <c r="H1643" s="1644">
        <f t="shared" si="965"/>
        <v>9552</v>
      </c>
      <c r="I1643" s="1644">
        <f t="shared" si="965"/>
        <v>10108</v>
      </c>
      <c r="K1643" s="1944">
        <f t="shared" ref="K1643:K1645" si="966">K1605</f>
        <v>37</v>
      </c>
      <c r="L1643" s="597"/>
      <c r="M1643" s="1944">
        <f t="shared" ref="M1643:M1648" si="967">Q1643-K1643-O1643</f>
        <v>0</v>
      </c>
      <c r="N1643" s="597"/>
      <c r="O1643" s="1944">
        <f>'Blocking-Step2'!O1643</f>
        <v>0</v>
      </c>
      <c r="P1643" s="597"/>
      <c r="Q1643" s="1944">
        <f>Q1605</f>
        <v>37</v>
      </c>
      <c r="R1643" s="597"/>
      <c r="S1643" s="1644">
        <f t="shared" ref="S1643:S1645" si="968">ROUND($D1643*K1643,0)</f>
        <v>9842</v>
      </c>
      <c r="T1643" s="1645"/>
      <c r="U1643" s="1644">
        <f t="shared" ref="U1643:Y1646" si="969">ROUND($D1643*M1643,0)</f>
        <v>0</v>
      </c>
      <c r="V1643" s="1645"/>
      <c r="W1643" s="1644">
        <f t="shared" si="969"/>
        <v>0</v>
      </c>
      <c r="X1643" s="1645"/>
      <c r="Y1643" s="1644">
        <f t="shared" si="969"/>
        <v>9842</v>
      </c>
      <c r="AI1643" s="2023">
        <f>W1643-'Blocking-Step2'!W1643</f>
        <v>0</v>
      </c>
      <c r="AJ1643" s="2054">
        <f>O1643-'Blocking-Step2'!O1643</f>
        <v>0</v>
      </c>
    </row>
    <row r="1644" spans="1:36">
      <c r="A1644" s="1900" t="s">
        <v>285</v>
      </c>
      <c r="C1644" s="528">
        <f>'10'!L22</f>
        <v>1131.199285714287</v>
      </c>
      <c r="D1644" s="528">
        <f>ROUND(C1644/($C$1642+$C$1643)*($D$1642+$D$1643),0)</f>
        <v>1196</v>
      </c>
      <c r="F1644" s="1944">
        <v>14</v>
      </c>
      <c r="G1644" s="597"/>
      <c r="H1644" s="1644">
        <f t="shared" si="965"/>
        <v>15837</v>
      </c>
      <c r="I1644" s="1644">
        <f t="shared" si="965"/>
        <v>16744</v>
      </c>
      <c r="K1644" s="1944">
        <f t="shared" si="966"/>
        <v>14</v>
      </c>
      <c r="L1644" s="597"/>
      <c r="M1644" s="1944">
        <f t="shared" si="967"/>
        <v>0</v>
      </c>
      <c r="N1644" s="597"/>
      <c r="O1644" s="1944">
        <f>'Blocking-Step2'!O1644</f>
        <v>0</v>
      </c>
      <c r="P1644" s="597"/>
      <c r="Q1644" s="1944">
        <f>Q1606</f>
        <v>14</v>
      </c>
      <c r="R1644" s="597"/>
      <c r="S1644" s="1644">
        <f t="shared" si="968"/>
        <v>16744</v>
      </c>
      <c r="T1644" s="1645"/>
      <c r="U1644" s="1644">
        <f t="shared" si="969"/>
        <v>0</v>
      </c>
      <c r="V1644" s="1645"/>
      <c r="W1644" s="1644">
        <f t="shared" si="969"/>
        <v>0</v>
      </c>
      <c r="X1644" s="1645"/>
      <c r="Y1644" s="1644">
        <f t="shared" si="969"/>
        <v>16744</v>
      </c>
      <c r="AI1644" s="2023">
        <f>W1644-'Blocking-Step2'!W1644</f>
        <v>0</v>
      </c>
      <c r="AJ1644" s="2054">
        <f>O1644-'Blocking-Step2'!O1644</f>
        <v>0</v>
      </c>
    </row>
    <row r="1645" spans="1:36">
      <c r="A1645" s="1900" t="s">
        <v>180</v>
      </c>
      <c r="C1645" s="528">
        <f>'10'!N22</f>
        <v>56614.135061391513</v>
      </c>
      <c r="D1645" s="528">
        <f>ROUND(C1645/$C$1649*$D$1649,0)</f>
        <v>63002</v>
      </c>
      <c r="F1645" s="1944">
        <v>7.33</v>
      </c>
      <c r="G1645" s="597"/>
      <c r="H1645" s="1644">
        <f t="shared" si="965"/>
        <v>414982</v>
      </c>
      <c r="I1645" s="1644">
        <f t="shared" si="965"/>
        <v>461805</v>
      </c>
      <c r="K1645" s="1944">
        <f t="shared" si="966"/>
        <v>7.2</v>
      </c>
      <c r="L1645" s="597"/>
      <c r="M1645" s="1944">
        <f t="shared" si="967"/>
        <v>0</v>
      </c>
      <c r="N1645" s="597"/>
      <c r="O1645" s="1944">
        <f>'Blocking-Step2'!O1645</f>
        <v>0</v>
      </c>
      <c r="P1645" s="597"/>
      <c r="Q1645" s="1944">
        <f>Q1607</f>
        <v>7.2</v>
      </c>
      <c r="R1645" s="597"/>
      <c r="S1645" s="1644">
        <f t="shared" si="968"/>
        <v>453614</v>
      </c>
      <c r="T1645" s="1645"/>
      <c r="U1645" s="1644">
        <f t="shared" si="969"/>
        <v>0</v>
      </c>
      <c r="V1645" s="1645"/>
      <c r="W1645" s="1644">
        <f t="shared" si="969"/>
        <v>0</v>
      </c>
      <c r="X1645" s="1645"/>
      <c r="Y1645" s="1644">
        <f t="shared" si="969"/>
        <v>453614</v>
      </c>
      <c r="AI1645" s="2023">
        <f>W1645-'Blocking-Step2'!W1645</f>
        <v>0</v>
      </c>
      <c r="AJ1645" s="2054">
        <f>O1645-'Blocking-Step2'!O1645</f>
        <v>0</v>
      </c>
    </row>
    <row r="1646" spans="1:36">
      <c r="A1646" s="1900" t="s">
        <v>284</v>
      </c>
      <c r="C1646" s="528">
        <f>'10'!O22</f>
        <v>2123.3268292682901</v>
      </c>
      <c r="D1646" s="528">
        <f t="shared" ref="D1646:D1648" si="970">ROUND(C1646/$C$1649*$D$1649,0)</f>
        <v>2363</v>
      </c>
      <c r="F1646" s="1944">
        <v>-2.0499999999999998</v>
      </c>
      <c r="G1646" s="597"/>
      <c r="H1646" s="1644">
        <f t="shared" si="965"/>
        <v>-4353</v>
      </c>
      <c r="I1646" s="1644">
        <f t="shared" si="965"/>
        <v>-4844</v>
      </c>
      <c r="K1646" s="1944">
        <f>K1608</f>
        <v>-2.0499999999999998</v>
      </c>
      <c r="L1646" s="597"/>
      <c r="M1646" s="1944">
        <f t="shared" si="967"/>
        <v>0</v>
      </c>
      <c r="N1646" s="597"/>
      <c r="O1646" s="1944">
        <f>'Blocking-Step2'!O1646</f>
        <v>0</v>
      </c>
      <c r="P1646" s="597"/>
      <c r="Q1646" s="1944">
        <f>Q1608</f>
        <v>-2.0499999999999998</v>
      </c>
      <c r="R1646" s="597"/>
      <c r="S1646" s="1644">
        <f>ROUND($D1646*K1646,0)</f>
        <v>-4844</v>
      </c>
      <c r="T1646" s="1645"/>
      <c r="U1646" s="1644">
        <f t="shared" si="969"/>
        <v>0</v>
      </c>
      <c r="V1646" s="1645"/>
      <c r="W1646" s="1644">
        <f t="shared" si="969"/>
        <v>0</v>
      </c>
      <c r="X1646" s="1645"/>
      <c r="Y1646" s="1644">
        <f t="shared" si="969"/>
        <v>-4844</v>
      </c>
      <c r="AI1646" s="2023">
        <f>W1646-'Blocking-Step2'!W1646</f>
        <v>0</v>
      </c>
      <c r="AJ1646" s="2054">
        <f>O1646-'Blocking-Step2'!O1646</f>
        <v>0</v>
      </c>
    </row>
    <row r="1647" spans="1:36">
      <c r="A1647" s="1900" t="s">
        <v>248</v>
      </c>
      <c r="C1647" s="528">
        <f>'10'!R22+TempRev!C356</f>
        <v>3950193</v>
      </c>
      <c r="D1647" s="528">
        <f t="shared" si="970"/>
        <v>4395923</v>
      </c>
      <c r="F1647" s="1920">
        <v>14.416399999999999</v>
      </c>
      <c r="G1647" s="1921" t="s">
        <v>495</v>
      </c>
      <c r="H1647" s="1644">
        <f>ROUND($F1647*C1647/100,0)</f>
        <v>569476</v>
      </c>
      <c r="I1647" s="1644">
        <f>ROUND($F1647*D1647/100,0)</f>
        <v>633734</v>
      </c>
      <c r="K1647" s="1920">
        <f>ROUND((S1647+S1648)/($D$1647+$D$1648)*100,4)</f>
        <v>1.4581</v>
      </c>
      <c r="L1647" s="1921" t="s">
        <v>495</v>
      </c>
      <c r="M1647" s="1920">
        <f t="shared" si="967"/>
        <v>5.8591489102849996</v>
      </c>
      <c r="N1647" s="1921" t="s">
        <v>495</v>
      </c>
      <c r="O1647" s="1920">
        <f>'Blocking-Step2'!O1647</f>
        <v>6.8456999999999999</v>
      </c>
      <c r="P1647" s="1921" t="s">
        <v>495</v>
      </c>
      <c r="Q1647" s="1920">
        <f>ROUND(F1647*(1+$AB$1609),$AB$8)</f>
        <v>14.162948910284999</v>
      </c>
      <c r="R1647" s="1921" t="s">
        <v>495</v>
      </c>
      <c r="S1647" s="1644">
        <f>MIN($S$1657-SUM($S$1642:$S$1646,$S$1653),SUM($Y$1647:$Y$1648))*Y1647/($Y$1647+$Y$1648)</f>
        <v>138229.20123783799</v>
      </c>
      <c r="T1647" s="1648"/>
      <c r="U1647" s="1644">
        <f t="shared" ref="U1647:W1648" si="971">ROUND($D1647*M1647/100,0)</f>
        <v>257564</v>
      </c>
      <c r="V1647" s="1648"/>
      <c r="W1647" s="1644">
        <f t="shared" si="971"/>
        <v>300932</v>
      </c>
      <c r="X1647" s="1648"/>
      <c r="Y1647" s="1644">
        <f>ROUND($D1647*Q1647/100,0)</f>
        <v>622592</v>
      </c>
      <c r="AI1647" s="2023">
        <f>W1647-'Blocking-Step2'!W1647</f>
        <v>95237.302164122171</v>
      </c>
      <c r="AJ1647" s="2054">
        <f>O1647-'Blocking-Step2'!O1647</f>
        <v>0</v>
      </c>
    </row>
    <row r="1648" spans="1:36">
      <c r="A1648" s="1900" t="s">
        <v>249</v>
      </c>
      <c r="C1648" s="529">
        <f>'10'!S22+TempRev!C357</f>
        <v>12067058.279081918</v>
      </c>
      <c r="D1648" s="529">
        <f t="shared" si="970"/>
        <v>13428677</v>
      </c>
      <c r="F1648" s="1943">
        <v>4.1542000000000003</v>
      </c>
      <c r="G1648" s="1921" t="s">
        <v>495</v>
      </c>
      <c r="H1648" s="1649">
        <f>ROUND($F1648*C1648/100,0)</f>
        <v>501290</v>
      </c>
      <c r="I1648" s="1649">
        <f>ROUND($F1648*D1648/100,0)</f>
        <v>557854</v>
      </c>
      <c r="K1648" s="1920">
        <f>K1647</f>
        <v>1.4581</v>
      </c>
      <c r="L1648" s="1921" t="s">
        <v>495</v>
      </c>
      <c r="M1648" s="1920">
        <f t="shared" si="967"/>
        <v>1.9838660583159997</v>
      </c>
      <c r="N1648" s="1921" t="s">
        <v>495</v>
      </c>
      <c r="O1648" s="1920">
        <f>'Blocking-Step2'!O1648</f>
        <v>0.63919999999999999</v>
      </c>
      <c r="P1648" s="1921" t="s">
        <v>495</v>
      </c>
      <c r="Q1648" s="1920">
        <f>ROUND(F1648*(1+$AB$1609),$AB$8)</f>
        <v>4.0811660583159997</v>
      </c>
      <c r="R1648" s="1921" t="s">
        <v>495</v>
      </c>
      <c r="S1648" s="1644">
        <f>MIN($S$1657-SUM($S$1642:$S$1646,$S$1653),SUM($Y$1647:$Y$1648))*Y1648/($Y$1647+$Y$1648)</f>
        <v>121678.56164356977</v>
      </c>
      <c r="T1648" s="1648"/>
      <c r="U1648" s="1644">
        <f t="shared" si="971"/>
        <v>266407</v>
      </c>
      <c r="V1648" s="1648"/>
      <c r="W1648" s="1644">
        <f t="shared" si="971"/>
        <v>85836</v>
      </c>
      <c r="X1648" s="1648"/>
      <c r="Y1648" s="1644">
        <f>ROUND($D1648*Q1648/100,0)</f>
        <v>548047</v>
      </c>
      <c r="AI1648" s="2023">
        <f>W1648-'Blocking-Step2'!W1648</f>
        <v>-95229.755413442937</v>
      </c>
      <c r="AJ1648" s="2054">
        <f>O1648-'Blocking-Step2'!O1648</f>
        <v>0</v>
      </c>
    </row>
    <row r="1649" spans="1:36">
      <c r="A1649" s="1900" t="s">
        <v>308</v>
      </c>
      <c r="C1649" s="529">
        <f>C1648+C1647</f>
        <v>16017251.279081918</v>
      </c>
      <c r="D1649" s="529">
        <f>ROUND(C1649/($C$1611+$C$1615+$C$1649+$C$1653)*Energy!$P$80,0)</f>
        <v>17824600</v>
      </c>
      <c r="F1649" s="1976"/>
      <c r="H1649" s="1030">
        <f>SUM(H1642:H1648)</f>
        <v>1507159</v>
      </c>
      <c r="I1649" s="1030">
        <f>SUM(I1642:I1648)</f>
        <v>1675776</v>
      </c>
      <c r="K1649" s="1976"/>
      <c r="M1649" s="1976"/>
      <c r="O1649" s="1976"/>
      <c r="Q1649" s="1976"/>
      <c r="Y1649" s="1030">
        <f>SUM(Y1642:Y1648)</f>
        <v>1646364</v>
      </c>
      <c r="AI1649" s="2023">
        <f>W1649-'Blocking-Step2'!W1649</f>
        <v>0</v>
      </c>
      <c r="AJ1649" s="2054">
        <f>O1649-'Blocking-Step2'!O1649</f>
        <v>0</v>
      </c>
    </row>
    <row r="1650" spans="1:36">
      <c r="A1650" s="1900" t="s">
        <v>34</v>
      </c>
      <c r="C1650" s="528"/>
      <c r="D1650" s="528"/>
      <c r="AI1650" s="2023">
        <f>W1650-'Blocking-Step2'!W1650</f>
        <v>0</v>
      </c>
      <c r="AJ1650" s="2054">
        <f>O1650-'Blocking-Step2'!O1650</f>
        <v>0</v>
      </c>
    </row>
    <row r="1651" spans="1:36">
      <c r="A1651" s="1900" t="s">
        <v>927</v>
      </c>
      <c r="C1651" s="584">
        <f>'10'!M22</f>
        <v>572.07357142857097</v>
      </c>
      <c r="D1651" s="528">
        <f>ROUND(C1651/($C$1642+$C$1643)*($D$1642+$D$1643),0)</f>
        <v>605</v>
      </c>
      <c r="F1651" s="597">
        <v>14</v>
      </c>
      <c r="G1651" s="597"/>
      <c r="H1651" s="1645">
        <f>ROUND($F1651*C1651,0)</f>
        <v>8009</v>
      </c>
      <c r="I1651" s="1645">
        <f>ROUND($F1651*D1651,0)</f>
        <v>8470</v>
      </c>
      <c r="K1651" s="597">
        <f>K1613</f>
        <v>14</v>
      </c>
      <c r="L1651" s="597"/>
      <c r="M1651" s="597">
        <f t="shared" ref="M1651:M1652" si="972">Q1651-K1651-O1651</f>
        <v>0</v>
      </c>
      <c r="N1651" s="597"/>
      <c r="O1651" s="597">
        <f>'Blocking-Step2'!O1651</f>
        <v>0</v>
      </c>
      <c r="P1651" s="597"/>
      <c r="Q1651" s="597">
        <f>Q1613</f>
        <v>14</v>
      </c>
      <c r="R1651" s="597"/>
      <c r="S1651" s="1644">
        <f t="shared" ref="S1651" si="973">ROUND($D1651*K1651/100,0)</f>
        <v>85</v>
      </c>
      <c r="T1651" s="1645"/>
      <c r="U1651" s="1644">
        <f t="shared" ref="U1651:Y1651" si="974">ROUND($D1651*M1651/100,0)</f>
        <v>0</v>
      </c>
      <c r="V1651" s="1645"/>
      <c r="W1651" s="1644">
        <f t="shared" si="974"/>
        <v>0</v>
      </c>
      <c r="X1651" s="1645"/>
      <c r="Y1651" s="1644">
        <f t="shared" si="974"/>
        <v>85</v>
      </c>
      <c r="AI1651" s="2023">
        <f>W1651-'Blocking-Step2'!W1651</f>
        <v>0</v>
      </c>
      <c r="AJ1651" s="2054">
        <f>O1651-'Blocking-Step2'!O1651</f>
        <v>0</v>
      </c>
    </row>
    <row r="1652" spans="1:36">
      <c r="A1652" s="1900" t="s">
        <v>35</v>
      </c>
      <c r="C1652" s="529">
        <f>'10'!Q22+TempRev!C359</f>
        <v>5781425.1723810686</v>
      </c>
      <c r="D1652" s="529">
        <f>D1653</f>
        <v>6433787.1371411681</v>
      </c>
      <c r="F1652" s="1943">
        <v>4.9983000000000004</v>
      </c>
      <c r="G1652" s="1921" t="s">
        <v>495</v>
      </c>
      <c r="H1652" s="1649">
        <f>ROUND($F1652*C1652/100,0)</f>
        <v>288973</v>
      </c>
      <c r="I1652" s="1649">
        <f>ROUND($F1652*D1652/100,0)</f>
        <v>321580</v>
      </c>
      <c r="K1652" s="1943">
        <f>K1614</f>
        <v>1.196</v>
      </c>
      <c r="L1652" s="1921" t="s">
        <v>495</v>
      </c>
      <c r="M1652" s="1943">
        <f t="shared" si="972"/>
        <v>1.8868976462521949</v>
      </c>
      <c r="N1652" s="1921" t="s">
        <v>495</v>
      </c>
      <c r="O1652" s="1943">
        <f>'Blocking-Step2'!O1652</f>
        <v>1.8375221238938055</v>
      </c>
      <c r="P1652" s="1921" t="s">
        <v>495</v>
      </c>
      <c r="Q1652" s="1943">
        <f>Q1614</f>
        <v>4.9204197701460002</v>
      </c>
      <c r="R1652" s="1921" t="s">
        <v>495</v>
      </c>
      <c r="S1652" s="1644">
        <f>ROUND($D1652*K1652/100,0)</f>
        <v>76948</v>
      </c>
      <c r="T1652" s="1648"/>
      <c r="U1652" s="1644">
        <f>ROUND($D1652*M1652/100,0)</f>
        <v>121399</v>
      </c>
      <c r="V1652" s="1648"/>
      <c r="W1652" s="1644">
        <f>ROUND($D1652*O1652/100,0)</f>
        <v>118222</v>
      </c>
      <c r="X1652" s="1648"/>
      <c r="Y1652" s="1644">
        <f>ROUND($D1652*Q1652/100,0)</f>
        <v>316569</v>
      </c>
      <c r="AI1652" s="2023">
        <f>W1652-'Blocking-Step2'!W1652</f>
        <v>0</v>
      </c>
      <c r="AJ1652" s="2054">
        <f>O1652-'Blocking-Step2'!O1652</f>
        <v>0</v>
      </c>
    </row>
    <row r="1653" spans="1:36">
      <c r="A1653" s="1900" t="s">
        <v>309</v>
      </c>
      <c r="C1653" s="529">
        <f>C1652</f>
        <v>5781425.1723810686</v>
      </c>
      <c r="D1653" s="529">
        <f>Energy!P80-'Blocking-Step1'!D1611-'Blocking-Step1'!D1615-'Blocking-Step1'!D1649</f>
        <v>6433787.1371411681</v>
      </c>
      <c r="F1653" s="1976"/>
      <c r="H1653" s="1030">
        <f>H1651+H1652</f>
        <v>296982</v>
      </c>
      <c r="I1653" s="1030">
        <f>I1651+I1652</f>
        <v>330050</v>
      </c>
      <c r="K1653" s="1976"/>
      <c r="M1653" s="1976"/>
      <c r="O1653" s="1976"/>
      <c r="Q1653" s="1976"/>
      <c r="S1653" s="1030">
        <f>SUM(S1651:S1652)</f>
        <v>77033</v>
      </c>
      <c r="U1653" s="1030"/>
      <c r="W1653" s="1030"/>
      <c r="Y1653" s="1030">
        <f>Y1651+Y1652</f>
        <v>316654</v>
      </c>
      <c r="AA1653" s="1104" t="s">
        <v>1743</v>
      </c>
      <c r="AB1653" s="1890">
        <f>Y1657/I1657-1</f>
        <v>2.09802832099657E-2</v>
      </c>
      <c r="AI1653" s="2023">
        <f>W1653-'Blocking-Step2'!W1653</f>
        <v>-118222</v>
      </c>
      <c r="AJ1653" s="2054">
        <f>O1653-'Blocking-Step2'!O1653</f>
        <v>0</v>
      </c>
    </row>
    <row r="1654" spans="1:36">
      <c r="A1654" s="1900" t="s">
        <v>246</v>
      </c>
      <c r="C1654" s="529">
        <f>ROUND((C1649+C1653)/(C1649+C1653+C1611+C1615)*'Table 2'!J118,0)</f>
        <v>41404</v>
      </c>
      <c r="D1654" s="529">
        <v>0</v>
      </c>
      <c r="H1654" s="1030">
        <f>ROUND(C1654/'Table 2'!J118*'Table 3'!F118,0)</f>
        <v>2525</v>
      </c>
      <c r="I1654" s="1030">
        <v>0</v>
      </c>
      <c r="Y1654" s="1030">
        <v>0</v>
      </c>
      <c r="AI1654" s="2023">
        <f>W1654-'Blocking-Step2'!W1654</f>
        <v>0</v>
      </c>
      <c r="AJ1654" s="2054">
        <f>O1654-'Blocking-Step2'!O1654</f>
        <v>0</v>
      </c>
    </row>
    <row r="1655" spans="1:36">
      <c r="A1655" s="1900" t="s">
        <v>1240</v>
      </c>
      <c r="C1655" s="584"/>
      <c r="D1655" s="584"/>
      <c r="F1655" s="1930">
        <v>-4.2099999999999999E-2</v>
      </c>
      <c r="G1655" s="597"/>
      <c r="H1655" s="1644">
        <f>SUM(H1645,H1647:H1648,H1652)*$F1655</f>
        <v>-74715.754099999991</v>
      </c>
      <c r="I1655" s="1644">
        <f>SUM(I1645,I1647:I1648,I1652)*$F1655</f>
        <v>-83146.363299999997</v>
      </c>
      <c r="K1655" s="1930"/>
      <c r="L1655" s="597"/>
      <c r="M1655" s="1930"/>
      <c r="N1655" s="597"/>
      <c r="O1655" s="1931" t="str">
        <f>$O$43</f>
        <v>Tax Year 1 (1/1/2021)</v>
      </c>
      <c r="P1655" s="597"/>
      <c r="Q1655" s="1930">
        <f>$AC$1612</f>
        <v>-1.49E-2</v>
      </c>
      <c r="R1655" s="597"/>
      <c r="S1655" s="1645"/>
      <c r="T1655" s="1645"/>
      <c r="U1655" s="1645"/>
      <c r="V1655" s="1645"/>
      <c r="W1655" s="1645"/>
      <c r="X1655" s="1645"/>
      <c r="Y1655" s="1644">
        <f>Q1655*SUM(Y1645,Y1647:Y1648,Y1652)</f>
        <v>-28918.247800000001</v>
      </c>
      <c r="AI1655" s="2023">
        <f>W1655-'Blocking-Step2'!W1655</f>
        <v>0</v>
      </c>
      <c r="AJ1655" s="2054">
        <f>O1655-'Blocking-Step2'!O1655</f>
        <v>0</v>
      </c>
    </row>
    <row r="1656" spans="1:36">
      <c r="A1656" s="1900"/>
      <c r="C1656" s="584"/>
      <c r="D1656" s="584"/>
      <c r="F1656" s="1930"/>
      <c r="G1656" s="597"/>
      <c r="H1656" s="1644"/>
      <c r="I1656" s="1644"/>
      <c r="K1656" s="1930"/>
      <c r="L1656" s="597"/>
      <c r="M1656" s="1930"/>
      <c r="N1656" s="597"/>
      <c r="O1656" s="1931">
        <f>$O$44</f>
        <v>0</v>
      </c>
      <c r="P1656" s="597"/>
      <c r="Q1656" s="1930">
        <f>$AC$1613</f>
        <v>0</v>
      </c>
      <c r="R1656" s="597"/>
      <c r="S1656" s="1645"/>
      <c r="T1656" s="1645"/>
      <c r="U1656" s="1645"/>
      <c r="V1656" s="1645"/>
      <c r="W1656" s="1645"/>
      <c r="X1656" s="1645"/>
      <c r="Y1656" s="1644">
        <f>Q1656*SUM(Y1645,Y1647:Y1648,Y1652)</f>
        <v>0</v>
      </c>
      <c r="AA1656" s="1933" t="s">
        <v>1660</v>
      </c>
      <c r="AB1656" s="1933" t="s">
        <v>1661</v>
      </c>
      <c r="AC1656" s="1933" t="s">
        <v>1662</v>
      </c>
      <c r="AD1656" s="1933" t="s">
        <v>93</v>
      </c>
      <c r="AI1656" s="2023">
        <f>W1656-'Blocking-Step2'!W1656</f>
        <v>0</v>
      </c>
      <c r="AJ1656" s="2054">
        <f>O1656-'Blocking-Step2'!O1656</f>
        <v>0</v>
      </c>
    </row>
    <row r="1657" spans="1:36" ht="16.5" thickBot="1">
      <c r="A1657" s="1900" t="s">
        <v>319</v>
      </c>
      <c r="C1657" s="1949">
        <f>C1652+C1649+C1654</f>
        <v>21840080.451462988</v>
      </c>
      <c r="D1657" s="1949">
        <f>D1653+D1649+D1654</f>
        <v>24258387.137141168</v>
      </c>
      <c r="F1657" s="1939"/>
      <c r="H1657" s="1647">
        <f>SUM(H1649,H1653:H1655)</f>
        <v>1731950.2459</v>
      </c>
      <c r="I1657" s="1647">
        <f>SUM(I1649,I1653:I1655)</f>
        <v>1922679.6366999999</v>
      </c>
      <c r="K1657" s="1939"/>
      <c r="M1657" s="1939"/>
      <c r="O1657" s="1939"/>
      <c r="Q1657" s="1939"/>
      <c r="S1657" s="1154">
        <f>($Y1657-$W1657)*AA1657/(AA1657+AB1657)</f>
        <v>812665.76288140775</v>
      </c>
      <c r="T1657" s="1154"/>
      <c r="U1657" s="1154">
        <f>Y1657-S1657-W1657</f>
        <v>645362.23711859225</v>
      </c>
      <c r="V1657" s="1154"/>
      <c r="W1657" s="1154">
        <f>SUM(W1642:W1656)</f>
        <v>504990</v>
      </c>
      <c r="Y1657" s="1647">
        <f>SUM(Y1649,Y1653:Y1654)</f>
        <v>1963018</v>
      </c>
      <c r="AA1657" s="1937">
        <f>'Unit Cost Target'!$I$87+'Unit Cost Target'!$I$123+'Unit Cost Target'!$I$129+'Unit Cost Target'!$I$75+'Unit Cost Target'!$I$81</f>
        <v>7713599.8025939884</v>
      </c>
      <c r="AB1657" s="1937">
        <f>'Unit Cost Target'!$I$45+'Unit Cost Target'!$I$51</f>
        <v>6125600.7724371636</v>
      </c>
      <c r="AC1657" s="1937">
        <f>'Unit Cost Target'!$I$33+'Unit Cost Target'!$I$39+'Unit Cost Target'!$I$63+'Unit Cost Target'!$I$69</f>
        <v>4713852.682616381</v>
      </c>
      <c r="AD1657" s="1937">
        <f>SUM(AA1657:AC1657)</f>
        <v>18553053.257647533</v>
      </c>
      <c r="AE1657" s="1937">
        <f>AD1657-'Unit Cost Target'!$I$21</f>
        <v>0</v>
      </c>
      <c r="AI1657" s="2023">
        <f>W1657-'Blocking-Step2'!W1657</f>
        <v>6.5467506792629138</v>
      </c>
      <c r="AJ1657" s="2054">
        <f>O1657-'Blocking-Step2'!O1657</f>
        <v>0</v>
      </c>
    </row>
    <row r="1658" spans="1:36" ht="16.5" thickTop="1">
      <c r="C1658" s="528" t="s">
        <v>118</v>
      </c>
      <c r="D1658" s="528" t="s">
        <v>118</v>
      </c>
      <c r="AA1658" s="1937">
        <f>S1657+S1653-SUM(S1642:S1656)</f>
        <v>0</v>
      </c>
      <c r="AB1658" s="1937">
        <f>U1657+U1653-SUM(U1642:U1656)</f>
        <v>-7.7628814077470452</v>
      </c>
      <c r="AC1658" s="1937">
        <f>W1657+W1653-SUM(W1642:W1656)</f>
        <v>0</v>
      </c>
      <c r="AD1658" s="1937">
        <f>SUM(AA1658:AC1658)</f>
        <v>-7.7628814077470452</v>
      </c>
      <c r="AE1658" s="1937"/>
      <c r="AI1658" s="2023">
        <f>W1658-'Blocking-Step2'!W1658</f>
        <v>0</v>
      </c>
      <c r="AJ1658" s="2054">
        <f>O1658-'Blocking-Step2'!O1658</f>
        <v>0</v>
      </c>
    </row>
    <row r="1659" spans="1:36">
      <c r="A1659" s="1897" t="s">
        <v>567</v>
      </c>
      <c r="C1659" s="528"/>
      <c r="D1659" s="528"/>
      <c r="AI1659" s="2023">
        <f>W1659-'Blocking-Step2'!W1659</f>
        <v>0</v>
      </c>
      <c r="AJ1659" s="2054">
        <f>O1659-'Blocking-Step2'!O1659</f>
        <v>0</v>
      </c>
    </row>
    <row r="1660" spans="1:36">
      <c r="A1660" s="1977" t="s">
        <v>1049</v>
      </c>
      <c r="C1660" s="584"/>
      <c r="D1660" s="584"/>
      <c r="F1660" s="1902"/>
      <c r="G1660" s="1902"/>
      <c r="H1660" s="1645"/>
      <c r="I1660" s="1645"/>
      <c r="K1660" s="1902"/>
      <c r="L1660" s="1902"/>
      <c r="M1660" s="1902"/>
      <c r="N1660" s="1902"/>
      <c r="O1660" s="1902"/>
      <c r="P1660" s="1902"/>
      <c r="Q1660" s="1902"/>
      <c r="R1660" s="1902"/>
      <c r="S1660" s="1643"/>
      <c r="T1660" s="1643"/>
      <c r="U1660" s="1643"/>
      <c r="V1660" s="1643"/>
      <c r="W1660" s="1643"/>
      <c r="X1660" s="1643"/>
      <c r="Y1660" s="1645"/>
      <c r="AA1660" s="1109"/>
      <c r="AB1660" s="1114"/>
      <c r="AI1660" s="2023">
        <f>W1660-'Blocking-Step2'!W1660</f>
        <v>0</v>
      </c>
      <c r="AJ1660" s="2054">
        <f>O1660-'Blocking-Step2'!O1660</f>
        <v>0</v>
      </c>
    </row>
    <row r="1661" spans="1:36">
      <c r="A1661" s="1116" t="s">
        <v>1050</v>
      </c>
      <c r="C1661" s="528">
        <f>SUMIF('11'!$B$2:$B$31,83,'11'!$L$2:$L$31)</f>
        <v>2738.8798586572402</v>
      </c>
      <c r="D1661" s="528">
        <f>ROUND(C1661/$C$1711*$D$1711,0)</f>
        <v>2745</v>
      </c>
      <c r="F1661" s="1907">
        <v>11.32</v>
      </c>
      <c r="G1661" s="1902"/>
      <c r="H1661" s="1644">
        <f t="shared" ref="H1661:I1664" si="975">ROUND(C1661*$F1661,0)</f>
        <v>31004</v>
      </c>
      <c r="I1661" s="1644">
        <f t="shared" si="975"/>
        <v>31073</v>
      </c>
      <c r="K1661" s="1907"/>
      <c r="L1661" s="1902"/>
      <c r="M1661" s="1907"/>
      <c r="N1661" s="1902"/>
      <c r="O1661" s="1907"/>
      <c r="P1661" s="1902"/>
      <c r="Q1661" s="1907"/>
      <c r="R1661" s="1902"/>
      <c r="S1661" s="1643"/>
      <c r="T1661" s="1643"/>
      <c r="U1661" s="1643"/>
      <c r="V1661" s="1643"/>
      <c r="W1661" s="1643"/>
      <c r="X1661" s="1643"/>
      <c r="Y1661" s="1645"/>
      <c r="AA1661" s="1109"/>
      <c r="AB1661" s="1114"/>
      <c r="AI1661" s="2023">
        <f>W1661-'Blocking-Step2'!W1661</f>
        <v>0</v>
      </c>
      <c r="AJ1661" s="2054">
        <f>O1661-'Blocking-Step2'!O1661</f>
        <v>0</v>
      </c>
    </row>
    <row r="1662" spans="1:36">
      <c r="A1662" s="1116" t="s">
        <v>1051</v>
      </c>
      <c r="C1662" s="528">
        <f>SUMIF('11'!$B$2:$B$31,84,'11'!$L$2:$L$31)</f>
        <v>1171.24449035813</v>
      </c>
      <c r="D1662" s="528">
        <f t="shared" ref="D1662:D1664" si="976">ROUND(C1662/$C$1711*$D$1711,0)</f>
        <v>1174</v>
      </c>
      <c r="F1662" s="1907">
        <v>14.52</v>
      </c>
      <c r="G1662" s="1902"/>
      <c r="H1662" s="1644">
        <f t="shared" si="975"/>
        <v>17006</v>
      </c>
      <c r="I1662" s="1644">
        <f t="shared" si="975"/>
        <v>17046</v>
      </c>
      <c r="K1662" s="1907"/>
      <c r="L1662" s="1902"/>
      <c r="M1662" s="1907"/>
      <c r="N1662" s="1902"/>
      <c r="O1662" s="1907"/>
      <c r="P1662" s="1902"/>
      <c r="Q1662" s="1907"/>
      <c r="R1662" s="1902"/>
      <c r="S1662" s="1643"/>
      <c r="T1662" s="1643"/>
      <c r="U1662" s="1643"/>
      <c r="V1662" s="1643"/>
      <c r="W1662" s="1643"/>
      <c r="X1662" s="1643"/>
      <c r="Y1662" s="1645"/>
      <c r="AA1662" s="1945"/>
      <c r="AB1662" s="1114"/>
      <c r="AI1662" s="2023">
        <f>W1662-'Blocking-Step2'!W1662</f>
        <v>0</v>
      </c>
      <c r="AJ1662" s="2054">
        <f>O1662-'Blocking-Step2'!O1662</f>
        <v>0</v>
      </c>
    </row>
    <row r="1663" spans="1:36">
      <c r="A1663" s="1116" t="s">
        <v>1052</v>
      </c>
      <c r="C1663" s="528">
        <f>SUMIF('11'!$B$2:$B$31,81,'11'!$L$2:$L$31)</f>
        <v>62.466666666666697</v>
      </c>
      <c r="D1663" s="528">
        <f t="shared" si="976"/>
        <v>63</v>
      </c>
      <c r="F1663" s="1907">
        <v>19.8</v>
      </c>
      <c r="G1663" s="1902"/>
      <c r="H1663" s="1644">
        <f t="shared" si="975"/>
        <v>1237</v>
      </c>
      <c r="I1663" s="1644">
        <f t="shared" si="975"/>
        <v>1247</v>
      </c>
      <c r="K1663" s="1907"/>
      <c r="L1663" s="1902"/>
      <c r="M1663" s="1907"/>
      <c r="N1663" s="1902"/>
      <c r="O1663" s="1907"/>
      <c r="P1663" s="1902"/>
      <c r="Q1663" s="1907"/>
      <c r="R1663" s="1902"/>
      <c r="S1663" s="1643"/>
      <c r="T1663" s="1643"/>
      <c r="U1663" s="1643"/>
      <c r="V1663" s="1643"/>
      <c r="W1663" s="1643"/>
      <c r="X1663" s="1643"/>
      <c r="Y1663" s="1645"/>
      <c r="AA1663" s="1109"/>
      <c r="AB1663" s="1946"/>
      <c r="AI1663" s="2023">
        <f>W1663-'Blocking-Step2'!W1663</f>
        <v>0</v>
      </c>
      <c r="AJ1663" s="2054">
        <f>O1663-'Blocking-Step2'!O1663</f>
        <v>0</v>
      </c>
    </row>
    <row r="1664" spans="1:36">
      <c r="A1664" s="1116" t="s">
        <v>1053</v>
      </c>
      <c r="C1664" s="528">
        <f>SUMIF('11'!$B$2:$B$31,85,'11'!$L$2:$L$31)</f>
        <v>114.133333333333</v>
      </c>
      <c r="D1664" s="528">
        <f t="shared" si="976"/>
        <v>114</v>
      </c>
      <c r="F1664" s="1907">
        <v>22.95</v>
      </c>
      <c r="G1664" s="1902"/>
      <c r="H1664" s="1644">
        <f t="shared" si="975"/>
        <v>2619</v>
      </c>
      <c r="I1664" s="1644">
        <f t="shared" si="975"/>
        <v>2616</v>
      </c>
      <c r="K1664" s="1907"/>
      <c r="L1664" s="1902"/>
      <c r="M1664" s="1907"/>
      <c r="N1664" s="1902"/>
      <c r="O1664" s="1907"/>
      <c r="P1664" s="1902"/>
      <c r="Q1664" s="1907"/>
      <c r="R1664" s="1902"/>
      <c r="S1664" s="1643"/>
      <c r="T1664" s="1643"/>
      <c r="U1664" s="1643"/>
      <c r="V1664" s="1643"/>
      <c r="W1664" s="1643"/>
      <c r="X1664" s="1643"/>
      <c r="Y1664" s="1645"/>
      <c r="AA1664" s="1109"/>
      <c r="AB1664" s="1946"/>
      <c r="AI1664" s="2023">
        <f>W1664-'Blocking-Step2'!W1664</f>
        <v>0</v>
      </c>
      <c r="AJ1664" s="2054">
        <f>O1664-'Blocking-Step2'!O1664</f>
        <v>0</v>
      </c>
    </row>
    <row r="1665" spans="1:36">
      <c r="A1665" s="1960" t="s">
        <v>769</v>
      </c>
      <c r="C1665" s="584"/>
      <c r="D1665" s="584"/>
      <c r="F1665" s="1902"/>
      <c r="G1665" s="1902"/>
      <c r="H1665" s="1645"/>
      <c r="I1665" s="1645"/>
      <c r="K1665" s="1902"/>
      <c r="L1665" s="1902"/>
      <c r="M1665" s="1902"/>
      <c r="N1665" s="1902"/>
      <c r="O1665" s="1902"/>
      <c r="P1665" s="1902"/>
      <c r="Q1665" s="1902"/>
      <c r="R1665" s="1902"/>
      <c r="S1665" s="1643"/>
      <c r="T1665" s="1643"/>
      <c r="U1665" s="1643"/>
      <c r="V1665" s="1643"/>
      <c r="W1665" s="1643"/>
      <c r="X1665" s="1643"/>
      <c r="Y1665" s="1645"/>
      <c r="AA1665" s="1109"/>
      <c r="AB1665" s="1946"/>
      <c r="AI1665" s="2023">
        <f>W1665-'Blocking-Step2'!W1665</f>
        <v>0</v>
      </c>
      <c r="AJ1665" s="2054">
        <f>O1665-'Blocking-Step2'!O1665</f>
        <v>0</v>
      </c>
    </row>
    <row r="1666" spans="1:36">
      <c r="A1666" s="1900" t="s">
        <v>387</v>
      </c>
      <c r="C1666" s="528">
        <f>SUMIF('11'!$B$2:$B$31,42,'11'!$L$2:$L$31)</f>
        <v>28619.111016949199</v>
      </c>
      <c r="D1666" s="528">
        <f t="shared" ref="D1666:D1680" si="977">ROUND(C1666/$C$1711*$D$1711,0)</f>
        <v>28679</v>
      </c>
      <c r="F1666" s="1901">
        <v>11.8</v>
      </c>
      <c r="G1666" s="1902"/>
      <c r="H1666" s="1644">
        <f t="shared" ref="H1666:I1680" si="978">ROUND(C1666*$F1666,0)</f>
        <v>337706</v>
      </c>
      <c r="I1666" s="1644">
        <f t="shared" si="978"/>
        <v>338412</v>
      </c>
      <c r="K1666" s="1901"/>
      <c r="L1666" s="1902"/>
      <c r="M1666" s="1901"/>
      <c r="N1666" s="1902"/>
      <c r="O1666" s="1901"/>
      <c r="P1666" s="1902"/>
      <c r="Q1666" s="1901"/>
      <c r="R1666" s="1902"/>
      <c r="S1666" s="1643"/>
      <c r="T1666" s="1643"/>
      <c r="U1666" s="1643"/>
      <c r="V1666" s="1643"/>
      <c r="W1666" s="1643"/>
      <c r="X1666" s="1643"/>
      <c r="Y1666" s="1645"/>
      <c r="AA1666" s="1109"/>
      <c r="AB1666" s="1917"/>
      <c r="AC1666" s="1918"/>
      <c r="AI1666" s="2023">
        <f>W1666-'Blocking-Step2'!W1666</f>
        <v>0</v>
      </c>
      <c r="AJ1666" s="2054">
        <f>O1666-'Blocking-Step2'!O1666</f>
        <v>0</v>
      </c>
    </row>
    <row r="1667" spans="1:36">
      <c r="A1667" s="1900" t="s">
        <v>361</v>
      </c>
      <c r="C1667" s="528">
        <f>SUMIF('11'!$B$2:$B$31,43,'11'!$L$2:$L$31)</f>
        <v>194114.982785603</v>
      </c>
      <c r="D1667" s="528">
        <f t="shared" si="977"/>
        <v>194524</v>
      </c>
      <c r="F1667" s="1901">
        <v>12.78</v>
      </c>
      <c r="G1667" s="1902"/>
      <c r="H1667" s="1644">
        <f t="shared" si="978"/>
        <v>2480789</v>
      </c>
      <c r="I1667" s="1644">
        <f t="shared" si="978"/>
        <v>2486017</v>
      </c>
      <c r="K1667" s="1901"/>
      <c r="L1667" s="1902"/>
      <c r="M1667" s="1901"/>
      <c r="N1667" s="1902"/>
      <c r="O1667" s="1901"/>
      <c r="P1667" s="1902"/>
      <c r="Q1667" s="1901"/>
      <c r="R1667" s="1902"/>
      <c r="S1667" s="1643"/>
      <c r="T1667" s="1643"/>
      <c r="U1667" s="1643"/>
      <c r="V1667" s="1643"/>
      <c r="W1667" s="1643"/>
      <c r="X1667" s="1643"/>
      <c r="Y1667" s="1645"/>
      <c r="AA1667" s="1109"/>
      <c r="AB1667" s="1917"/>
      <c r="AC1667" s="1918"/>
      <c r="AI1667" s="2023">
        <f>W1667-'Blocking-Step2'!W1667</f>
        <v>0</v>
      </c>
      <c r="AJ1667" s="2054">
        <f>O1667-'Blocking-Step2'!O1667</f>
        <v>0</v>
      </c>
    </row>
    <row r="1668" spans="1:36">
      <c r="A1668" s="1900" t="s">
        <v>362</v>
      </c>
      <c r="C1668" s="528">
        <f>SUMIF('11'!$B$2:$B$31,44,'11'!$L$2:$L$31)</f>
        <v>144</v>
      </c>
      <c r="D1668" s="528">
        <f t="shared" si="977"/>
        <v>144</v>
      </c>
      <c r="F1668" s="1901">
        <v>11.5</v>
      </c>
      <c r="G1668" s="1902"/>
      <c r="H1668" s="1644">
        <f t="shared" si="978"/>
        <v>1656</v>
      </c>
      <c r="I1668" s="1644">
        <f t="shared" si="978"/>
        <v>1656</v>
      </c>
      <c r="K1668" s="1901"/>
      <c r="L1668" s="1902"/>
      <c r="M1668" s="1901"/>
      <c r="N1668" s="1902"/>
      <c r="O1668" s="1901"/>
      <c r="P1668" s="1902"/>
      <c r="Q1668" s="1901"/>
      <c r="R1668" s="1902"/>
      <c r="S1668" s="1643"/>
      <c r="T1668" s="1643"/>
      <c r="U1668" s="1643"/>
      <c r="V1668" s="1643"/>
      <c r="W1668" s="1643"/>
      <c r="X1668" s="1643"/>
      <c r="Y1668" s="1645"/>
      <c r="AI1668" s="2023">
        <f>W1668-'Blocking-Step2'!W1668</f>
        <v>0</v>
      </c>
      <c r="AJ1668" s="2054">
        <f>O1668-'Blocking-Step2'!O1668</f>
        <v>0</v>
      </c>
    </row>
    <row r="1669" spans="1:36">
      <c r="A1669" s="1900" t="s">
        <v>363</v>
      </c>
      <c r="C1669" s="528">
        <f>SUMIF('11'!$B$2:$B$31,51,'11'!$L$2:$L$31)</f>
        <v>432</v>
      </c>
      <c r="D1669" s="528">
        <f t="shared" si="977"/>
        <v>433</v>
      </c>
      <c r="F1669" s="1901">
        <v>46.54</v>
      </c>
      <c r="G1669" s="1902"/>
      <c r="H1669" s="1644">
        <f t="shared" si="978"/>
        <v>20105</v>
      </c>
      <c r="I1669" s="1644">
        <f t="shared" si="978"/>
        <v>20152</v>
      </c>
      <c r="K1669" s="1901"/>
      <c r="L1669" s="1902"/>
      <c r="M1669" s="1901"/>
      <c r="N1669" s="1902"/>
      <c r="O1669" s="1901"/>
      <c r="P1669" s="1902"/>
      <c r="Q1669" s="1901"/>
      <c r="R1669" s="1902"/>
      <c r="S1669" s="1643"/>
      <c r="T1669" s="1643"/>
      <c r="U1669" s="1643"/>
      <c r="V1669" s="1643"/>
      <c r="W1669" s="1643"/>
      <c r="X1669" s="1643"/>
      <c r="Y1669" s="1645"/>
      <c r="AI1669" s="2023">
        <f>W1669-'Blocking-Step2'!W1669</f>
        <v>0</v>
      </c>
      <c r="AJ1669" s="2054">
        <f>O1669-'Blocking-Step2'!O1669</f>
        <v>0</v>
      </c>
    </row>
    <row r="1670" spans="1:36">
      <c r="A1670" s="1900" t="s">
        <v>364</v>
      </c>
      <c r="C1670" s="528">
        <f>SUMIF('11'!$B$2:$B$31,54,'11'!$L$2:$L$31)</f>
        <v>49.735348226018402</v>
      </c>
      <c r="D1670" s="528">
        <f t="shared" si="977"/>
        <v>50</v>
      </c>
      <c r="F1670" s="1901">
        <v>38.049999999999997</v>
      </c>
      <c r="G1670" s="1902"/>
      <c r="H1670" s="1644">
        <f t="shared" si="978"/>
        <v>1892</v>
      </c>
      <c r="I1670" s="1644">
        <f t="shared" si="978"/>
        <v>1903</v>
      </c>
      <c r="K1670" s="1901"/>
      <c r="L1670" s="1902"/>
      <c r="M1670" s="1901"/>
      <c r="N1670" s="1902"/>
      <c r="O1670" s="1901"/>
      <c r="P1670" s="1902"/>
      <c r="Q1670" s="1901"/>
      <c r="R1670" s="1902"/>
      <c r="S1670" s="1643"/>
      <c r="T1670" s="1643"/>
      <c r="U1670" s="1643"/>
      <c r="V1670" s="1643"/>
      <c r="W1670" s="1643"/>
      <c r="X1670" s="1643"/>
      <c r="Y1670" s="1645"/>
      <c r="AI1670" s="2023">
        <f>W1670-'Blocking-Step2'!W1670</f>
        <v>0</v>
      </c>
      <c r="AJ1670" s="2054">
        <f>O1670-'Blocking-Step2'!O1670</f>
        <v>0</v>
      </c>
    </row>
    <row r="1671" spans="1:36">
      <c r="A1671" s="1900" t="s">
        <v>365</v>
      </c>
      <c r="C1671" s="528">
        <f>SUMIF('11'!$B$2:$B$31,45,'11'!$L$2:$L$31)</f>
        <v>19332.8754427391</v>
      </c>
      <c r="D1671" s="528">
        <f t="shared" si="977"/>
        <v>19374</v>
      </c>
      <c r="F1671" s="1901">
        <v>16.940000000000001</v>
      </c>
      <c r="G1671" s="1902"/>
      <c r="H1671" s="1644">
        <f t="shared" si="978"/>
        <v>327499</v>
      </c>
      <c r="I1671" s="1644">
        <f t="shared" si="978"/>
        <v>328196</v>
      </c>
      <c r="K1671" s="1901"/>
      <c r="L1671" s="1902"/>
      <c r="M1671" s="1901"/>
      <c r="N1671" s="1902"/>
      <c r="O1671" s="1901"/>
      <c r="P1671" s="1902"/>
      <c r="Q1671" s="1901"/>
      <c r="R1671" s="1902"/>
      <c r="S1671" s="1643"/>
      <c r="T1671" s="1643"/>
      <c r="U1671" s="1643"/>
      <c r="V1671" s="1643"/>
      <c r="W1671" s="1643"/>
      <c r="X1671" s="1643"/>
      <c r="Y1671" s="1645"/>
      <c r="AI1671" s="2023">
        <f>W1671-'Blocking-Step2'!W1671</f>
        <v>0</v>
      </c>
      <c r="AJ1671" s="2054">
        <f>O1671-'Blocking-Step2'!O1671</f>
        <v>0</v>
      </c>
    </row>
    <row r="1672" spans="1:36">
      <c r="A1672" s="1900" t="s">
        <v>366</v>
      </c>
      <c r="C1672" s="528">
        <f>SUMIF('11'!$B$2:$B$31,46,'11'!$L$2:$L$31)</f>
        <v>48</v>
      </c>
      <c r="D1672" s="528">
        <f t="shared" si="977"/>
        <v>48</v>
      </c>
      <c r="F1672" s="1901">
        <v>15.25</v>
      </c>
      <c r="G1672" s="1902"/>
      <c r="H1672" s="1644">
        <f t="shared" si="978"/>
        <v>732</v>
      </c>
      <c r="I1672" s="1644">
        <f t="shared" si="978"/>
        <v>732</v>
      </c>
      <c r="K1672" s="1901"/>
      <c r="L1672" s="1902"/>
      <c r="M1672" s="1901"/>
      <c r="N1672" s="1902"/>
      <c r="O1672" s="1901"/>
      <c r="P1672" s="1902"/>
      <c r="Q1672" s="1901"/>
      <c r="R1672" s="1902"/>
      <c r="S1672" s="1643"/>
      <c r="T1672" s="1643"/>
      <c r="U1672" s="1643"/>
      <c r="V1672" s="1643"/>
      <c r="W1672" s="1643"/>
      <c r="X1672" s="1643"/>
      <c r="Y1672" s="1645"/>
      <c r="AI1672" s="2023">
        <f>W1672-'Blocking-Step2'!W1672</f>
        <v>0</v>
      </c>
      <c r="AJ1672" s="2054">
        <f>O1672-'Blocking-Step2'!O1672</f>
        <v>0</v>
      </c>
    </row>
    <row r="1673" spans="1:36">
      <c r="A1673" s="1900" t="s">
        <v>367</v>
      </c>
      <c r="C1673" s="528">
        <f>SUMIF('11'!$B$2:$B$31,52,'11'!$L$2:$L$31)</f>
        <v>2376</v>
      </c>
      <c r="D1673" s="528">
        <f t="shared" si="977"/>
        <v>2381</v>
      </c>
      <c r="F1673" s="1901">
        <v>47.83</v>
      </c>
      <c r="G1673" s="1902"/>
      <c r="H1673" s="1644">
        <f t="shared" si="978"/>
        <v>113644</v>
      </c>
      <c r="I1673" s="1644">
        <f t="shared" si="978"/>
        <v>113883</v>
      </c>
      <c r="K1673" s="1901"/>
      <c r="L1673" s="1902"/>
      <c r="M1673" s="1901"/>
      <c r="N1673" s="1902"/>
      <c r="O1673" s="1901"/>
      <c r="P1673" s="1902"/>
      <c r="Q1673" s="1901"/>
      <c r="R1673" s="1902"/>
      <c r="S1673" s="1643"/>
      <c r="T1673" s="1643"/>
      <c r="U1673" s="1643"/>
      <c r="V1673" s="1643"/>
      <c r="W1673" s="1643"/>
      <c r="X1673" s="1643"/>
      <c r="Y1673" s="1645"/>
      <c r="AI1673" s="2023">
        <f>W1673-'Blocking-Step2'!W1673</f>
        <v>0</v>
      </c>
      <c r="AJ1673" s="2054">
        <f>O1673-'Blocking-Step2'!O1673</f>
        <v>0</v>
      </c>
    </row>
    <row r="1674" spans="1:36">
      <c r="A1674" s="1900" t="s">
        <v>368</v>
      </c>
      <c r="C1674" s="528">
        <f>SUMIF('11'!$B$2:$B$31,55,'11'!$L$2:$L$31)</f>
        <v>396</v>
      </c>
      <c r="D1674" s="528">
        <f t="shared" si="977"/>
        <v>397</v>
      </c>
      <c r="F1674" s="1901">
        <v>39.340000000000003</v>
      </c>
      <c r="G1674" s="1902"/>
      <c r="H1674" s="1644">
        <f t="shared" si="978"/>
        <v>15579</v>
      </c>
      <c r="I1674" s="1644">
        <f t="shared" si="978"/>
        <v>15618</v>
      </c>
      <c r="K1674" s="1901"/>
      <c r="L1674" s="1902"/>
      <c r="M1674" s="1901"/>
      <c r="N1674" s="1902"/>
      <c r="O1674" s="1901"/>
      <c r="P1674" s="1902"/>
      <c r="Q1674" s="1901"/>
      <c r="R1674" s="1902"/>
      <c r="S1674" s="1643"/>
      <c r="T1674" s="1643"/>
      <c r="U1674" s="1643"/>
      <c r="V1674" s="1643"/>
      <c r="W1674" s="1643"/>
      <c r="X1674" s="1643"/>
      <c r="Y1674" s="1645"/>
      <c r="AI1674" s="2023">
        <f>W1674-'Blocking-Step2'!W1674</f>
        <v>0</v>
      </c>
      <c r="AJ1674" s="2054">
        <f>O1674-'Blocking-Step2'!O1674</f>
        <v>0</v>
      </c>
    </row>
    <row r="1675" spans="1:36">
      <c r="A1675" s="1900" t="s">
        <v>369</v>
      </c>
      <c r="C1675" s="528">
        <f>SUMIF('11'!$B$2:$B$31,47,'11'!$L$2:$L$31)</f>
        <v>22425.718543046401</v>
      </c>
      <c r="D1675" s="528">
        <f t="shared" si="977"/>
        <v>22473</v>
      </c>
      <c r="F1675" s="1901">
        <v>21.14</v>
      </c>
      <c r="G1675" s="1902"/>
      <c r="H1675" s="1644">
        <f t="shared" si="978"/>
        <v>474080</v>
      </c>
      <c r="I1675" s="1644">
        <f t="shared" si="978"/>
        <v>475079</v>
      </c>
      <c r="K1675" s="1901"/>
      <c r="L1675" s="1902"/>
      <c r="M1675" s="1901"/>
      <c r="N1675" s="1902"/>
      <c r="O1675" s="1901"/>
      <c r="P1675" s="1902"/>
      <c r="Q1675" s="1901"/>
      <c r="R1675" s="1902"/>
      <c r="S1675" s="1643"/>
      <c r="T1675" s="1643"/>
      <c r="U1675" s="1643"/>
      <c r="V1675" s="1643"/>
      <c r="W1675" s="1643"/>
      <c r="X1675" s="1643"/>
      <c r="Y1675" s="1645"/>
      <c r="AI1675" s="2023">
        <f>W1675-'Blocking-Step2'!W1675</f>
        <v>0</v>
      </c>
      <c r="AJ1675" s="2054">
        <f>O1675-'Blocking-Step2'!O1675</f>
        <v>0</v>
      </c>
    </row>
    <row r="1676" spans="1:36">
      <c r="A1676" s="1900" t="s">
        <v>370</v>
      </c>
      <c r="C1676" s="528">
        <f>SUMIF('11'!$B$2:$B$31,48,'11'!$L$2:$L$31)</f>
        <v>12</v>
      </c>
      <c r="D1676" s="528">
        <f t="shared" si="977"/>
        <v>12</v>
      </c>
      <c r="F1676" s="1901">
        <v>19.03</v>
      </c>
      <c r="G1676" s="1902"/>
      <c r="H1676" s="1644">
        <f t="shared" si="978"/>
        <v>228</v>
      </c>
      <c r="I1676" s="1644">
        <f t="shared" si="978"/>
        <v>228</v>
      </c>
      <c r="K1676" s="1901"/>
      <c r="L1676" s="1902"/>
      <c r="M1676" s="1901"/>
      <c r="N1676" s="1902"/>
      <c r="O1676" s="1901"/>
      <c r="P1676" s="1902"/>
      <c r="Q1676" s="1901"/>
      <c r="R1676" s="1902"/>
      <c r="S1676" s="1643"/>
      <c r="T1676" s="1643"/>
      <c r="U1676" s="1643"/>
      <c r="V1676" s="1643"/>
      <c r="W1676" s="1643"/>
      <c r="X1676" s="1643"/>
      <c r="Y1676" s="1645"/>
      <c r="AI1676" s="2023">
        <f>W1676-'Blocking-Step2'!W1676</f>
        <v>0</v>
      </c>
      <c r="AJ1676" s="2054">
        <f>O1676-'Blocking-Step2'!O1676</f>
        <v>0</v>
      </c>
    </row>
    <row r="1677" spans="1:36">
      <c r="A1677" s="1900" t="s">
        <v>372</v>
      </c>
      <c r="C1677" s="528">
        <f>SUMIF('11'!$B$2:$B$31,53,'11'!$L$2:$L$31)</f>
        <v>1248</v>
      </c>
      <c r="D1677" s="528">
        <f t="shared" si="977"/>
        <v>1251</v>
      </c>
      <c r="F1677" s="1901">
        <v>51.48</v>
      </c>
      <c r="G1677" s="1902"/>
      <c r="H1677" s="1644">
        <f t="shared" si="978"/>
        <v>64247</v>
      </c>
      <c r="I1677" s="1644">
        <f t="shared" si="978"/>
        <v>64401</v>
      </c>
      <c r="K1677" s="1901"/>
      <c r="L1677" s="1902"/>
      <c r="M1677" s="1901"/>
      <c r="N1677" s="1902"/>
      <c r="O1677" s="1901"/>
      <c r="P1677" s="1902"/>
      <c r="Q1677" s="1901"/>
      <c r="R1677" s="1902"/>
      <c r="S1677" s="1643"/>
      <c r="T1677" s="1643"/>
      <c r="U1677" s="1643"/>
      <c r="V1677" s="1643"/>
      <c r="W1677" s="1643"/>
      <c r="X1677" s="1643"/>
      <c r="Y1677" s="1645"/>
      <c r="AI1677" s="2023">
        <f>W1677-'Blocking-Step2'!W1677</f>
        <v>0</v>
      </c>
      <c r="AJ1677" s="2054">
        <f>O1677-'Blocking-Step2'!O1677</f>
        <v>0</v>
      </c>
    </row>
    <row r="1678" spans="1:36">
      <c r="A1678" s="1900" t="s">
        <v>373</v>
      </c>
      <c r="C1678" s="528">
        <f>SUMIF('11'!$B$2:$B$31,56,'11'!$L$2:$L$31)</f>
        <v>0</v>
      </c>
      <c r="D1678" s="528">
        <f t="shared" si="977"/>
        <v>0</v>
      </c>
      <c r="F1678" s="1901">
        <v>43.01</v>
      </c>
      <c r="G1678" s="1902"/>
      <c r="H1678" s="1644">
        <f t="shared" si="978"/>
        <v>0</v>
      </c>
      <c r="I1678" s="1644">
        <f t="shared" si="978"/>
        <v>0</v>
      </c>
      <c r="K1678" s="1901"/>
      <c r="L1678" s="1902"/>
      <c r="M1678" s="1901"/>
      <c r="N1678" s="1902"/>
      <c r="O1678" s="1901"/>
      <c r="P1678" s="1902"/>
      <c r="Q1678" s="1901"/>
      <c r="R1678" s="1902"/>
      <c r="S1678" s="1643"/>
      <c r="T1678" s="1643"/>
      <c r="U1678" s="1643"/>
      <c r="V1678" s="1643"/>
      <c r="W1678" s="1643"/>
      <c r="X1678" s="1643"/>
      <c r="Y1678" s="1645"/>
      <c r="AI1678" s="2023">
        <f>W1678-'Blocking-Step2'!W1678</f>
        <v>0</v>
      </c>
      <c r="AJ1678" s="2054">
        <f>O1678-'Blocking-Step2'!O1678</f>
        <v>0</v>
      </c>
    </row>
    <row r="1679" spans="1:36">
      <c r="A1679" s="1900" t="s">
        <v>374</v>
      </c>
      <c r="C1679" s="528">
        <f>SUMIF('11'!$B$2:$B$31,49,'11'!$L$2:$L$31)</f>
        <v>7669.15680245965</v>
      </c>
      <c r="D1679" s="528">
        <f t="shared" si="977"/>
        <v>7685</v>
      </c>
      <c r="F1679" s="1901">
        <v>26.02</v>
      </c>
      <c r="G1679" s="1902"/>
      <c r="H1679" s="1644">
        <f t="shared" si="978"/>
        <v>199551</v>
      </c>
      <c r="I1679" s="1644">
        <f t="shared" si="978"/>
        <v>199964</v>
      </c>
      <c r="K1679" s="1901"/>
      <c r="L1679" s="1902"/>
      <c r="M1679" s="1901"/>
      <c r="N1679" s="1902"/>
      <c r="O1679" s="1901"/>
      <c r="P1679" s="1902"/>
      <c r="Q1679" s="1901"/>
      <c r="R1679" s="1902"/>
      <c r="S1679" s="1643"/>
      <c r="T1679" s="1643"/>
      <c r="U1679" s="1643"/>
      <c r="V1679" s="1643"/>
      <c r="W1679" s="1643"/>
      <c r="X1679" s="1643"/>
      <c r="Y1679" s="1645"/>
      <c r="AI1679" s="2023">
        <f>W1679-'Blocking-Step2'!W1679</f>
        <v>0</v>
      </c>
      <c r="AJ1679" s="2054">
        <f>O1679-'Blocking-Step2'!O1679</f>
        <v>0</v>
      </c>
    </row>
    <row r="1680" spans="1:36">
      <c r="A1680" s="1900" t="s">
        <v>338</v>
      </c>
      <c r="C1680" s="528">
        <v>0</v>
      </c>
      <c r="D1680" s="528">
        <f t="shared" si="977"/>
        <v>0</v>
      </c>
      <c r="F1680" s="1901">
        <v>51.54</v>
      </c>
      <c r="G1680" s="1902"/>
      <c r="H1680" s="1644">
        <f t="shared" si="978"/>
        <v>0</v>
      </c>
      <c r="I1680" s="1644">
        <f t="shared" si="978"/>
        <v>0</v>
      </c>
      <c r="K1680" s="1901"/>
      <c r="L1680" s="1902"/>
      <c r="M1680" s="1901"/>
      <c r="N1680" s="1902"/>
      <c r="O1680" s="1901"/>
      <c r="P1680" s="1902"/>
      <c r="Q1680" s="1901"/>
      <c r="R1680" s="1902"/>
      <c r="S1680" s="1643"/>
      <c r="T1680" s="1643"/>
      <c r="U1680" s="1643"/>
      <c r="V1680" s="1643"/>
      <c r="W1680" s="1643"/>
      <c r="X1680" s="1643"/>
      <c r="Y1680" s="1645"/>
      <c r="AI1680" s="2023">
        <f>W1680-'Blocking-Step2'!W1680</f>
        <v>0</v>
      </c>
      <c r="AJ1680" s="2054">
        <f>O1680-'Blocking-Step2'!O1680</f>
        <v>0</v>
      </c>
    </row>
    <row r="1681" spans="1:36">
      <c r="A1681" s="1960" t="s">
        <v>770</v>
      </c>
      <c r="C1681" s="528"/>
      <c r="D1681" s="528"/>
      <c r="F1681" s="1944"/>
      <c r="G1681" s="597"/>
      <c r="H1681" s="1644"/>
      <c r="I1681" s="1644"/>
      <c r="K1681" s="1944"/>
      <c r="L1681" s="597"/>
      <c r="M1681" s="1944"/>
      <c r="N1681" s="597"/>
      <c r="O1681" s="1944"/>
      <c r="P1681" s="597"/>
      <c r="Q1681" s="1944"/>
      <c r="R1681" s="597"/>
      <c r="S1681" s="1645"/>
      <c r="T1681" s="1645"/>
      <c r="U1681" s="1645"/>
      <c r="V1681" s="1645"/>
      <c r="W1681" s="1645"/>
      <c r="X1681" s="1645"/>
      <c r="Y1681" s="1645"/>
      <c r="AI1681" s="2023">
        <f>W1681-'Blocking-Step2'!W1681</f>
        <v>0</v>
      </c>
      <c r="AJ1681" s="2054">
        <f>O1681-'Blocking-Step2'!O1681</f>
        <v>0</v>
      </c>
    </row>
    <row r="1682" spans="1:36">
      <c r="A1682" s="1900" t="s">
        <v>376</v>
      </c>
      <c r="C1682" s="528">
        <f>SUMIF('11'!$B$2:$B$31,59,'11'!$L$2:$L$31)</f>
        <v>27.862125564218299</v>
      </c>
      <c r="D1682" s="528">
        <f t="shared" ref="D1682:D1692" si="979">ROUND(C1682/$C$1711*$D$1711,0)</f>
        <v>28</v>
      </c>
      <c r="F1682" s="1901">
        <v>48.74</v>
      </c>
      <c r="G1682" s="1902"/>
      <c r="H1682" s="1644">
        <f t="shared" ref="H1682:I1692" si="980">ROUND(C1682*$F1682,0)</f>
        <v>1358</v>
      </c>
      <c r="I1682" s="1644">
        <f t="shared" si="980"/>
        <v>1365</v>
      </c>
      <c r="K1682" s="1901"/>
      <c r="L1682" s="1902"/>
      <c r="M1682" s="1901"/>
      <c r="N1682" s="1902"/>
      <c r="O1682" s="1901"/>
      <c r="P1682" s="1902"/>
      <c r="Q1682" s="1901"/>
      <c r="R1682" s="1902"/>
      <c r="S1682" s="1643"/>
      <c r="T1682" s="1643"/>
      <c r="U1682" s="1643"/>
      <c r="V1682" s="1643"/>
      <c r="W1682" s="1643"/>
      <c r="X1682" s="1643"/>
      <c r="Y1682" s="1645"/>
      <c r="AI1682" s="2023">
        <f>W1682-'Blocking-Step2'!W1682</f>
        <v>0</v>
      </c>
      <c r="AJ1682" s="2054">
        <f>O1682-'Blocking-Step2'!O1682</f>
        <v>0</v>
      </c>
    </row>
    <row r="1683" spans="1:36">
      <c r="A1683" s="1900" t="s">
        <v>382</v>
      </c>
      <c r="C1683" s="528">
        <f>SUMIF('11'!$B$2:$B$31,63,'11'!$L$2:$L$31)</f>
        <v>36</v>
      </c>
      <c r="D1683" s="528">
        <f t="shared" si="979"/>
        <v>36</v>
      </c>
      <c r="F1683" s="1901">
        <v>40.270000000000003</v>
      </c>
      <c r="G1683" s="1902"/>
      <c r="H1683" s="1644">
        <f t="shared" si="980"/>
        <v>1450</v>
      </c>
      <c r="I1683" s="1644">
        <f t="shared" si="980"/>
        <v>1450</v>
      </c>
      <c r="K1683" s="1901"/>
      <c r="L1683" s="1902"/>
      <c r="M1683" s="1901"/>
      <c r="N1683" s="1902"/>
      <c r="O1683" s="1901"/>
      <c r="P1683" s="1902"/>
      <c r="Q1683" s="1901"/>
      <c r="R1683" s="1902"/>
      <c r="S1683" s="1643"/>
      <c r="T1683" s="1643"/>
      <c r="U1683" s="1643"/>
      <c r="V1683" s="1643"/>
      <c r="W1683" s="1643"/>
      <c r="X1683" s="1643"/>
      <c r="Y1683" s="1645"/>
      <c r="AI1683" s="2023">
        <f>W1683-'Blocking-Step2'!W1683</f>
        <v>0</v>
      </c>
      <c r="AJ1683" s="2054">
        <f>O1683-'Blocking-Step2'!O1683</f>
        <v>0</v>
      </c>
    </row>
    <row r="1684" spans="1:36">
      <c r="A1684" s="1900" t="s">
        <v>381</v>
      </c>
      <c r="C1684" s="528">
        <f>SUMIF('11'!$B$2:$B$31,57,'11'!$L$2:$L$31)</f>
        <v>48.0998509687034</v>
      </c>
      <c r="D1684" s="528">
        <f t="shared" si="979"/>
        <v>48</v>
      </c>
      <c r="F1684" s="1901">
        <v>20.13</v>
      </c>
      <c r="G1684" s="1902"/>
      <c r="H1684" s="1644">
        <f t="shared" si="980"/>
        <v>968</v>
      </c>
      <c r="I1684" s="1644">
        <f t="shared" si="980"/>
        <v>966</v>
      </c>
      <c r="K1684" s="1901"/>
      <c r="L1684" s="1902"/>
      <c r="M1684" s="1901"/>
      <c r="N1684" s="1902"/>
      <c r="O1684" s="1901"/>
      <c r="P1684" s="1902"/>
      <c r="Q1684" s="1901"/>
      <c r="R1684" s="1902"/>
      <c r="S1684" s="1643"/>
      <c r="T1684" s="1643"/>
      <c r="U1684" s="1643"/>
      <c r="V1684" s="1643"/>
      <c r="W1684" s="1643"/>
      <c r="X1684" s="1643"/>
      <c r="Y1684" s="1645"/>
      <c r="AI1684" s="2023">
        <f>W1684-'Blocking-Step2'!W1684</f>
        <v>0</v>
      </c>
      <c r="AJ1684" s="2054">
        <f>O1684-'Blocking-Step2'!O1684</f>
        <v>0</v>
      </c>
    </row>
    <row r="1685" spans="1:36">
      <c r="A1685" s="1900" t="s">
        <v>378</v>
      </c>
      <c r="C1685" s="528">
        <f>SUMIF('11'!$B$2:$B$31,60,'11'!$L$2:$L$31)</f>
        <v>0</v>
      </c>
      <c r="D1685" s="528">
        <f t="shared" si="979"/>
        <v>0</v>
      </c>
      <c r="F1685" s="1901">
        <v>50.65</v>
      </c>
      <c r="G1685" s="1902"/>
      <c r="H1685" s="1644">
        <f t="shared" si="980"/>
        <v>0</v>
      </c>
      <c r="I1685" s="1644">
        <f t="shared" si="980"/>
        <v>0</v>
      </c>
      <c r="K1685" s="1901"/>
      <c r="L1685" s="1902"/>
      <c r="M1685" s="1901"/>
      <c r="N1685" s="1902"/>
      <c r="O1685" s="1901"/>
      <c r="P1685" s="1902"/>
      <c r="Q1685" s="1901"/>
      <c r="R1685" s="1902"/>
      <c r="S1685" s="1643"/>
      <c r="T1685" s="1643"/>
      <c r="U1685" s="1643"/>
      <c r="V1685" s="1643"/>
      <c r="W1685" s="1643"/>
      <c r="X1685" s="1643"/>
      <c r="Y1685" s="1645"/>
      <c r="AI1685" s="2023">
        <f>W1685-'Blocking-Step2'!W1685</f>
        <v>0</v>
      </c>
      <c r="AJ1685" s="2054">
        <f>O1685-'Blocking-Step2'!O1685</f>
        <v>0</v>
      </c>
    </row>
    <row r="1686" spans="1:36">
      <c r="A1686" s="1900" t="s">
        <v>377</v>
      </c>
      <c r="C1686" s="528">
        <f>SUMIF('11'!$B$2:$B$31,64,'11'!$L$2:$L$31)</f>
        <v>12</v>
      </c>
      <c r="D1686" s="528">
        <f t="shared" si="979"/>
        <v>12</v>
      </c>
      <c r="F1686" s="1901">
        <v>42.17</v>
      </c>
      <c r="G1686" s="1902"/>
      <c r="H1686" s="1644">
        <f t="shared" si="980"/>
        <v>506</v>
      </c>
      <c r="I1686" s="1644">
        <f t="shared" si="980"/>
        <v>506</v>
      </c>
      <c r="K1686" s="1901"/>
      <c r="L1686" s="1902"/>
      <c r="M1686" s="1901"/>
      <c r="N1686" s="1902"/>
      <c r="O1686" s="1901"/>
      <c r="P1686" s="1902"/>
      <c r="Q1686" s="1901"/>
      <c r="R1686" s="1902"/>
      <c r="S1686" s="1643"/>
      <c r="T1686" s="1643"/>
      <c r="U1686" s="1643"/>
      <c r="V1686" s="1643"/>
      <c r="W1686" s="1643"/>
      <c r="X1686" s="1643"/>
      <c r="Y1686" s="1645"/>
      <c r="AI1686" s="2023">
        <f>W1686-'Blocking-Step2'!W1686</f>
        <v>0</v>
      </c>
      <c r="AJ1686" s="2054">
        <f>O1686-'Blocking-Step2'!O1686</f>
        <v>0</v>
      </c>
    </row>
    <row r="1687" spans="1:36">
      <c r="A1687" s="1900" t="s">
        <v>383</v>
      </c>
      <c r="C1687" s="528">
        <f>SUMIF('11'!$B$2:$B$31,58,'11'!$L$2:$L$31)</f>
        <v>312</v>
      </c>
      <c r="D1687" s="528">
        <f t="shared" si="979"/>
        <v>313</v>
      </c>
      <c r="F1687" s="1901">
        <v>22.13</v>
      </c>
      <c r="G1687" s="1902"/>
      <c r="H1687" s="1644">
        <f t="shared" si="980"/>
        <v>6905</v>
      </c>
      <c r="I1687" s="1644">
        <f t="shared" si="980"/>
        <v>6927</v>
      </c>
      <c r="K1687" s="1901"/>
      <c r="L1687" s="1902"/>
      <c r="M1687" s="1901"/>
      <c r="N1687" s="1902"/>
      <c r="O1687" s="1901"/>
      <c r="P1687" s="1902"/>
      <c r="Q1687" s="1901"/>
      <c r="R1687" s="1902"/>
      <c r="S1687" s="1643"/>
      <c r="T1687" s="1643"/>
      <c r="U1687" s="1643"/>
      <c r="V1687" s="1643"/>
      <c r="W1687" s="1643"/>
      <c r="X1687" s="1643"/>
      <c r="Y1687" s="1645"/>
      <c r="AI1687" s="2023">
        <f>W1687-'Blocking-Step2'!W1687</f>
        <v>0</v>
      </c>
      <c r="AJ1687" s="2054">
        <f>O1687-'Blocking-Step2'!O1687</f>
        <v>0</v>
      </c>
    </row>
    <row r="1688" spans="1:36">
      <c r="A1688" s="1900" t="s">
        <v>379</v>
      </c>
      <c r="C1688" s="528">
        <f>SUMIF('11'!$B$2:$B$31,61,'11'!$L$2:$L$31)</f>
        <v>0</v>
      </c>
      <c r="D1688" s="528">
        <f t="shared" si="979"/>
        <v>0</v>
      </c>
      <c r="F1688" s="1901">
        <v>53.69</v>
      </c>
      <c r="G1688" s="1902"/>
      <c r="H1688" s="1644">
        <f t="shared" si="980"/>
        <v>0</v>
      </c>
      <c r="I1688" s="1644">
        <f t="shared" si="980"/>
        <v>0</v>
      </c>
      <c r="K1688" s="1901"/>
      <c r="L1688" s="1902"/>
      <c r="M1688" s="1901"/>
      <c r="N1688" s="1902"/>
      <c r="O1688" s="1901"/>
      <c r="P1688" s="1902"/>
      <c r="Q1688" s="1901"/>
      <c r="R1688" s="1902"/>
      <c r="S1688" s="1643"/>
      <c r="T1688" s="1643"/>
      <c r="U1688" s="1643"/>
      <c r="V1688" s="1643"/>
      <c r="W1688" s="1643"/>
      <c r="X1688" s="1643"/>
      <c r="Y1688" s="1645"/>
      <c r="AI1688" s="2023">
        <f>W1688-'Blocking-Step2'!W1688</f>
        <v>0</v>
      </c>
      <c r="AJ1688" s="2054">
        <f>O1688-'Blocking-Step2'!O1688</f>
        <v>0</v>
      </c>
    </row>
    <row r="1689" spans="1:36">
      <c r="A1689" s="1900" t="s">
        <v>384</v>
      </c>
      <c r="C1689" s="528">
        <f>SUMIF('11'!$B$2:$B$31,65,'11'!$L$2:$L$31)</f>
        <v>516</v>
      </c>
      <c r="D1689" s="528">
        <f t="shared" si="979"/>
        <v>517</v>
      </c>
      <c r="F1689" s="1901">
        <v>45.2</v>
      </c>
      <c r="G1689" s="1902"/>
      <c r="H1689" s="1644">
        <f t="shared" si="980"/>
        <v>23323</v>
      </c>
      <c r="I1689" s="1644">
        <f t="shared" si="980"/>
        <v>23368</v>
      </c>
      <c r="K1689" s="1901"/>
      <c r="L1689" s="1902"/>
      <c r="M1689" s="1901"/>
      <c r="N1689" s="1902"/>
      <c r="O1689" s="1901"/>
      <c r="P1689" s="1902"/>
      <c r="Q1689" s="1901"/>
      <c r="R1689" s="1902"/>
      <c r="S1689" s="1643"/>
      <c r="T1689" s="1643"/>
      <c r="U1689" s="1643"/>
      <c r="V1689" s="1643"/>
      <c r="W1689" s="1643"/>
      <c r="X1689" s="1643"/>
      <c r="Y1689" s="1645"/>
      <c r="AI1689" s="2023">
        <f>W1689-'Blocking-Step2'!W1689</f>
        <v>0</v>
      </c>
      <c r="AJ1689" s="2054">
        <f>O1689-'Blocking-Step2'!O1689</f>
        <v>0</v>
      </c>
    </row>
    <row r="1690" spans="1:36">
      <c r="A1690" s="1900" t="s">
        <v>385</v>
      </c>
      <c r="C1690" s="528">
        <f>SUMIF('11'!$B$2:$B$31,77,'11'!$L$2:$L$31)</f>
        <v>0</v>
      </c>
      <c r="D1690" s="528">
        <f t="shared" si="979"/>
        <v>0</v>
      </c>
      <c r="F1690" s="1902">
        <v>25.78</v>
      </c>
      <c r="G1690" s="1902"/>
      <c r="H1690" s="1644">
        <f t="shared" si="980"/>
        <v>0</v>
      </c>
      <c r="I1690" s="1644">
        <f t="shared" si="980"/>
        <v>0</v>
      </c>
      <c r="K1690" s="1902"/>
      <c r="L1690" s="1902"/>
      <c r="M1690" s="1902"/>
      <c r="N1690" s="1902"/>
      <c r="O1690" s="1902"/>
      <c r="P1690" s="1902"/>
      <c r="Q1690" s="1902"/>
      <c r="R1690" s="1902"/>
      <c r="S1690" s="1643"/>
      <c r="T1690" s="1643"/>
      <c r="U1690" s="1643"/>
      <c r="V1690" s="1643"/>
      <c r="W1690" s="1643"/>
      <c r="X1690" s="1643"/>
      <c r="Y1690" s="1645"/>
      <c r="AI1690" s="2023">
        <f>W1690-'Blocking-Step2'!W1690</f>
        <v>0</v>
      </c>
      <c r="AJ1690" s="2054">
        <f>O1690-'Blocking-Step2'!O1690</f>
        <v>0</v>
      </c>
    </row>
    <row r="1691" spans="1:36">
      <c r="A1691" s="1900" t="s">
        <v>380</v>
      </c>
      <c r="C1691" s="528">
        <f>SUMIF('11'!$B$2:$B$31,62,'11'!$L$2:$L$31)</f>
        <v>0</v>
      </c>
      <c r="D1691" s="528">
        <f t="shared" si="979"/>
        <v>0</v>
      </c>
      <c r="F1691" s="1902">
        <v>55.33</v>
      </c>
      <c r="G1691" s="1902"/>
      <c r="H1691" s="1644">
        <f t="shared" si="980"/>
        <v>0</v>
      </c>
      <c r="I1691" s="1644">
        <f t="shared" si="980"/>
        <v>0</v>
      </c>
      <c r="K1691" s="1902"/>
      <c r="L1691" s="1902"/>
      <c r="M1691" s="1902"/>
      <c r="N1691" s="1902"/>
      <c r="O1691" s="1902"/>
      <c r="P1691" s="1902"/>
      <c r="Q1691" s="1902"/>
      <c r="R1691" s="1902"/>
      <c r="S1691" s="1643"/>
      <c r="T1691" s="1643"/>
      <c r="U1691" s="1643"/>
      <c r="V1691" s="1643"/>
      <c r="W1691" s="1643"/>
      <c r="X1691" s="1643"/>
      <c r="Y1691" s="1645"/>
      <c r="AI1691" s="2023">
        <f>W1691-'Blocking-Step2'!W1691</f>
        <v>0</v>
      </c>
      <c r="AJ1691" s="2054">
        <f>O1691-'Blocking-Step2'!O1691</f>
        <v>0</v>
      </c>
    </row>
    <row r="1692" spans="1:36">
      <c r="A1692" s="1900" t="s">
        <v>386</v>
      </c>
      <c r="C1692" s="528">
        <f>SUMIF('11'!$B$2:$B$31,78,'11'!$L$2:$L$31)</f>
        <v>0</v>
      </c>
      <c r="D1692" s="528">
        <f t="shared" si="979"/>
        <v>0</v>
      </c>
      <c r="F1692" s="1902">
        <v>46.86</v>
      </c>
      <c r="G1692" s="1902"/>
      <c r="H1692" s="1644">
        <f t="shared" si="980"/>
        <v>0</v>
      </c>
      <c r="I1692" s="1644">
        <f t="shared" si="980"/>
        <v>0</v>
      </c>
      <c r="K1692" s="1902"/>
      <c r="L1692" s="1902"/>
      <c r="M1692" s="1902"/>
      <c r="N1692" s="1902"/>
      <c r="O1692" s="1902"/>
      <c r="P1692" s="1902"/>
      <c r="Q1692" s="1902"/>
      <c r="R1692" s="1902"/>
      <c r="S1692" s="1643"/>
      <c r="T1692" s="1643"/>
      <c r="U1692" s="1643"/>
      <c r="V1692" s="1643"/>
      <c r="W1692" s="1643"/>
      <c r="X1692" s="1643"/>
      <c r="Y1692" s="1645"/>
      <c r="AI1692" s="2023">
        <f>W1692-'Blocking-Step2'!W1692</f>
        <v>0</v>
      </c>
      <c r="AJ1692" s="2054">
        <f>O1692-'Blocking-Step2'!O1692</f>
        <v>0</v>
      </c>
    </row>
    <row r="1693" spans="1:36">
      <c r="A1693" s="1960" t="s">
        <v>771</v>
      </c>
      <c r="C1693" s="584"/>
      <c r="D1693" s="584"/>
      <c r="F1693" s="1902"/>
      <c r="G1693" s="1902"/>
      <c r="H1693" s="1645"/>
      <c r="I1693" s="1645"/>
      <c r="K1693" s="1902"/>
      <c r="L1693" s="1902"/>
      <c r="M1693" s="1902"/>
      <c r="N1693" s="1902"/>
      <c r="O1693" s="1902"/>
      <c r="P1693" s="1902"/>
      <c r="Q1693" s="1902"/>
      <c r="R1693" s="1902"/>
      <c r="S1693" s="1643"/>
      <c r="T1693" s="1643"/>
      <c r="U1693" s="1643"/>
      <c r="V1693" s="1643"/>
      <c r="W1693" s="1643"/>
      <c r="X1693" s="1643"/>
      <c r="Y1693" s="1645"/>
      <c r="AI1693" s="2023">
        <f>W1693-'Blocking-Step2'!W1693</f>
        <v>0</v>
      </c>
      <c r="AJ1693" s="2054">
        <f>O1693-'Blocking-Step2'!O1693</f>
        <v>0</v>
      </c>
    </row>
    <row r="1694" spans="1:36">
      <c r="A1694" s="1900" t="s">
        <v>325</v>
      </c>
      <c r="C1694" s="528">
        <f>SUMIF('11'!$B$2:$B$31,66,'11'!$L$2:$L$31)</f>
        <v>276</v>
      </c>
      <c r="D1694" s="528">
        <f t="shared" ref="D1694:D1698" si="981">ROUND(C1694/$C$1711*$D$1711,0)</f>
        <v>277</v>
      </c>
      <c r="F1694" s="1901">
        <v>11.09</v>
      </c>
      <c r="G1694" s="1902"/>
      <c r="H1694" s="1644">
        <f t="shared" ref="H1694:I1698" si="982">ROUND(C1694*$F1694,0)</f>
        <v>3061</v>
      </c>
      <c r="I1694" s="1644">
        <f t="shared" si="982"/>
        <v>3072</v>
      </c>
      <c r="K1694" s="1901"/>
      <c r="L1694" s="1902"/>
      <c r="M1694" s="1901"/>
      <c r="N1694" s="1902"/>
      <c r="O1694" s="1901"/>
      <c r="P1694" s="1902"/>
      <c r="Q1694" s="1901"/>
      <c r="R1694" s="1902"/>
      <c r="S1694" s="1643"/>
      <c r="T1694" s="1643"/>
      <c r="U1694" s="1643"/>
      <c r="V1694" s="1643"/>
      <c r="W1694" s="1643"/>
      <c r="X1694" s="1643"/>
      <c r="Y1694" s="1645"/>
      <c r="AI1694" s="2023">
        <f>W1694-'Blocking-Step2'!W1694</f>
        <v>0</v>
      </c>
      <c r="AJ1694" s="2054">
        <f>O1694-'Blocking-Step2'!O1694</f>
        <v>0</v>
      </c>
    </row>
    <row r="1695" spans="1:36">
      <c r="A1695" s="1900" t="s">
        <v>266</v>
      </c>
      <c r="C1695" s="528">
        <f>SUMIF('11'!$B$2:$B$31,67,'11'!$L$2:$L$31)</f>
        <v>2900.0853217642798</v>
      </c>
      <c r="D1695" s="528">
        <f t="shared" si="981"/>
        <v>2906</v>
      </c>
      <c r="F1695" s="1901">
        <v>13.83</v>
      </c>
      <c r="G1695" s="1902"/>
      <c r="H1695" s="1644">
        <f t="shared" si="982"/>
        <v>40108</v>
      </c>
      <c r="I1695" s="1644">
        <f t="shared" si="982"/>
        <v>40190</v>
      </c>
      <c r="K1695" s="1901"/>
      <c r="L1695" s="1902"/>
      <c r="M1695" s="1901"/>
      <c r="N1695" s="1902"/>
      <c r="O1695" s="1901"/>
      <c r="P1695" s="1902"/>
      <c r="Q1695" s="1901"/>
      <c r="R1695" s="1902"/>
      <c r="S1695" s="1643"/>
      <c r="T1695" s="1643"/>
      <c r="U1695" s="1643"/>
      <c r="V1695" s="1643"/>
      <c r="W1695" s="1643"/>
      <c r="X1695" s="1643"/>
      <c r="Y1695" s="1645"/>
      <c r="AI1695" s="2023">
        <f>W1695-'Blocking-Step2'!W1695</f>
        <v>0</v>
      </c>
      <c r="AJ1695" s="2054">
        <f>O1695-'Blocking-Step2'!O1695</f>
        <v>0</v>
      </c>
    </row>
    <row r="1696" spans="1:36">
      <c r="A1696" s="1900" t="s">
        <v>327</v>
      </c>
      <c r="C1696" s="528">
        <f>SUMIF('11'!$B$2:$B$31,68,'11'!$L$2:$L$31)</f>
        <v>96</v>
      </c>
      <c r="D1696" s="528">
        <f t="shared" si="981"/>
        <v>96</v>
      </c>
      <c r="F1696" s="1901">
        <v>19.399999999999999</v>
      </c>
      <c r="G1696" s="1902"/>
      <c r="H1696" s="1644">
        <f t="shared" si="982"/>
        <v>1862</v>
      </c>
      <c r="I1696" s="1644">
        <f t="shared" si="982"/>
        <v>1862</v>
      </c>
      <c r="K1696" s="1901"/>
      <c r="L1696" s="1902"/>
      <c r="M1696" s="1901"/>
      <c r="N1696" s="1902"/>
      <c r="O1696" s="1901"/>
      <c r="P1696" s="1902"/>
      <c r="Q1696" s="1901"/>
      <c r="R1696" s="1902"/>
      <c r="S1696" s="1643"/>
      <c r="T1696" s="1643"/>
      <c r="U1696" s="1643"/>
      <c r="V1696" s="1643"/>
      <c r="W1696" s="1643"/>
      <c r="X1696" s="1643"/>
      <c r="Y1696" s="1645"/>
      <c r="AI1696" s="2023">
        <f>W1696-'Blocking-Step2'!W1696</f>
        <v>0</v>
      </c>
      <c r="AJ1696" s="2054">
        <f>O1696-'Blocking-Step2'!O1696</f>
        <v>0</v>
      </c>
    </row>
    <row r="1697" spans="1:36">
      <c r="A1697" s="1900" t="s">
        <v>328</v>
      </c>
      <c r="C1697" s="528">
        <v>0</v>
      </c>
      <c r="D1697" s="528">
        <f t="shared" si="981"/>
        <v>0</v>
      </c>
      <c r="F1697" s="1901">
        <v>17.46</v>
      </c>
      <c r="G1697" s="1902"/>
      <c r="H1697" s="1644">
        <f t="shared" si="982"/>
        <v>0</v>
      </c>
      <c r="I1697" s="1644">
        <f t="shared" si="982"/>
        <v>0</v>
      </c>
      <c r="K1697" s="1901"/>
      <c r="L1697" s="1902"/>
      <c r="M1697" s="1901"/>
      <c r="N1697" s="1902"/>
      <c r="O1697" s="1901"/>
      <c r="P1697" s="1902"/>
      <c r="Q1697" s="1901"/>
      <c r="R1697" s="1902"/>
      <c r="S1697" s="1643"/>
      <c r="T1697" s="1643"/>
      <c r="U1697" s="1643"/>
      <c r="V1697" s="1643"/>
      <c r="W1697" s="1643"/>
      <c r="X1697" s="1643"/>
      <c r="Y1697" s="1645"/>
      <c r="AI1697" s="2023">
        <f>W1697-'Blocking-Step2'!W1697</f>
        <v>0</v>
      </c>
      <c r="AJ1697" s="2054">
        <f>O1697-'Blocking-Step2'!O1697</f>
        <v>0</v>
      </c>
    </row>
    <row r="1698" spans="1:36">
      <c r="A1698" s="1900" t="s">
        <v>268</v>
      </c>
      <c r="C1698" s="528">
        <f>SUMIF('11'!$B$2:$B$31,69,'11'!$L$2:$L$31)</f>
        <v>245.900122799836</v>
      </c>
      <c r="D1698" s="528">
        <f t="shared" si="981"/>
        <v>246</v>
      </c>
      <c r="F1698" s="1901">
        <v>24.43</v>
      </c>
      <c r="G1698" s="1902"/>
      <c r="H1698" s="1644">
        <f t="shared" si="982"/>
        <v>6007</v>
      </c>
      <c r="I1698" s="1644">
        <f t="shared" si="982"/>
        <v>6010</v>
      </c>
      <c r="K1698" s="1901"/>
      <c r="L1698" s="1902"/>
      <c r="M1698" s="1901"/>
      <c r="N1698" s="1902"/>
      <c r="O1698" s="1901"/>
      <c r="P1698" s="1902"/>
      <c r="Q1698" s="1901"/>
      <c r="R1698" s="1902"/>
      <c r="S1698" s="1643"/>
      <c r="T1698" s="1643"/>
      <c r="U1698" s="1643"/>
      <c r="V1698" s="1643"/>
      <c r="W1698" s="1643"/>
      <c r="X1698" s="1643"/>
      <c r="Y1698" s="1645"/>
      <c r="AI1698" s="2023">
        <f>W1698-'Blocking-Step2'!W1698</f>
        <v>0</v>
      </c>
      <c r="AJ1698" s="2054">
        <f>O1698-'Blocking-Step2'!O1698</f>
        <v>0</v>
      </c>
    </row>
    <row r="1699" spans="1:36">
      <c r="A1699" s="1960" t="s">
        <v>772</v>
      </c>
      <c r="C1699" s="528"/>
      <c r="D1699" s="528"/>
      <c r="H1699" s="1644"/>
      <c r="I1699" s="1644"/>
      <c r="Y1699" s="1645"/>
      <c r="AI1699" s="2023">
        <f>W1699-'Blocking-Step2'!W1699</f>
        <v>0</v>
      </c>
      <c r="AJ1699" s="2054">
        <f>O1699-'Blocking-Step2'!O1699</f>
        <v>0</v>
      </c>
    </row>
    <row r="1700" spans="1:36">
      <c r="A1700" s="1900" t="s">
        <v>321</v>
      </c>
      <c r="C1700" s="528">
        <f>SUMIF('11'!$B$2:$B$31,70,'11'!$L$2:$L$31)</f>
        <v>0</v>
      </c>
      <c r="D1700" s="528">
        <f t="shared" ref="D1700:D1705" si="983">ROUND(C1700/$C$1711*$D$1711,0)</f>
        <v>0</v>
      </c>
      <c r="F1700" s="1901">
        <v>11.99</v>
      </c>
      <c r="G1700" s="1902"/>
      <c r="H1700" s="1644">
        <f t="shared" ref="H1700:I1705" si="984">ROUND(C1700*$F1700,0)</f>
        <v>0</v>
      </c>
      <c r="I1700" s="1644">
        <f t="shared" si="984"/>
        <v>0</v>
      </c>
      <c r="K1700" s="1901"/>
      <c r="L1700" s="1902"/>
      <c r="M1700" s="1901"/>
      <c r="N1700" s="1902"/>
      <c r="O1700" s="1901"/>
      <c r="P1700" s="1902"/>
      <c r="Q1700" s="1901"/>
      <c r="R1700" s="1902"/>
      <c r="S1700" s="1643"/>
      <c r="T1700" s="1643"/>
      <c r="U1700" s="1643"/>
      <c r="V1700" s="1643"/>
      <c r="W1700" s="1643"/>
      <c r="X1700" s="1643"/>
      <c r="Y1700" s="1645"/>
      <c r="AI1700" s="2023">
        <f>W1700-'Blocking-Step2'!W1700</f>
        <v>0</v>
      </c>
      <c r="AJ1700" s="2054">
        <f>O1700-'Blocking-Step2'!O1700</f>
        <v>0</v>
      </c>
    </row>
    <row r="1701" spans="1:36">
      <c r="A1701" s="1900" t="s">
        <v>322</v>
      </c>
      <c r="C1701" s="528">
        <f>SUMIF('11'!$B$2:$B$31,71,'11'!$L$2:$L$31)</f>
        <v>144</v>
      </c>
      <c r="D1701" s="528">
        <f t="shared" si="983"/>
        <v>144</v>
      </c>
      <c r="F1701" s="1901">
        <v>4.24</v>
      </c>
      <c r="G1701" s="1902"/>
      <c r="H1701" s="1644">
        <f t="shared" si="984"/>
        <v>611</v>
      </c>
      <c r="I1701" s="1644">
        <f t="shared" si="984"/>
        <v>611</v>
      </c>
      <c r="K1701" s="1901"/>
      <c r="L1701" s="1902"/>
      <c r="M1701" s="1901"/>
      <c r="N1701" s="1902"/>
      <c r="O1701" s="1901"/>
      <c r="P1701" s="1902"/>
      <c r="Q1701" s="1901"/>
      <c r="R1701" s="1902"/>
      <c r="S1701" s="1643"/>
      <c r="T1701" s="1643"/>
      <c r="U1701" s="1643"/>
      <c r="V1701" s="1643"/>
      <c r="W1701" s="1643"/>
      <c r="X1701" s="1643"/>
      <c r="Y1701" s="1645"/>
      <c r="AI1701" s="2023">
        <f>W1701-'Blocking-Step2'!W1701</f>
        <v>0</v>
      </c>
      <c r="AJ1701" s="2054">
        <f>O1701-'Blocking-Step2'!O1701</f>
        <v>0</v>
      </c>
    </row>
    <row r="1702" spans="1:36">
      <c r="A1702" s="1900" t="s">
        <v>324</v>
      </c>
      <c r="C1702" s="528">
        <f>SUMIF('11'!$B$2:$B$31,72,'11'!$L$2:$L$31)</f>
        <v>0</v>
      </c>
      <c r="D1702" s="528">
        <f t="shared" si="983"/>
        <v>0</v>
      </c>
      <c r="F1702" s="1901">
        <v>17.11</v>
      </c>
      <c r="G1702" s="1902"/>
      <c r="H1702" s="1644">
        <f t="shared" si="984"/>
        <v>0</v>
      </c>
      <c r="I1702" s="1644">
        <f t="shared" si="984"/>
        <v>0</v>
      </c>
      <c r="K1702" s="1901"/>
      <c r="L1702" s="1902"/>
      <c r="M1702" s="1901"/>
      <c r="N1702" s="1902"/>
      <c r="O1702" s="1901"/>
      <c r="P1702" s="1902"/>
      <c r="Q1702" s="1901"/>
      <c r="R1702" s="1902"/>
      <c r="S1702" s="1643"/>
      <c r="T1702" s="1643"/>
      <c r="U1702" s="1643"/>
      <c r="V1702" s="1643"/>
      <c r="W1702" s="1643"/>
      <c r="X1702" s="1643"/>
      <c r="Y1702" s="1645"/>
      <c r="AI1702" s="2023">
        <f>W1702-'Blocking-Step2'!W1702</f>
        <v>0</v>
      </c>
      <c r="AJ1702" s="2054">
        <f>O1702-'Blocking-Step2'!O1702</f>
        <v>0</v>
      </c>
    </row>
    <row r="1703" spans="1:36">
      <c r="A1703" s="1900" t="s">
        <v>325</v>
      </c>
      <c r="C1703" s="528">
        <f>SUMIF('11'!$B$2:$B$31,73,'11'!$L$2:$L$31)</f>
        <v>53.645129711209002</v>
      </c>
      <c r="D1703" s="528">
        <f t="shared" si="983"/>
        <v>54</v>
      </c>
      <c r="F1703" s="1901">
        <v>20.43</v>
      </c>
      <c r="G1703" s="1902"/>
      <c r="H1703" s="1644">
        <f t="shared" si="984"/>
        <v>1096</v>
      </c>
      <c r="I1703" s="1644">
        <f t="shared" si="984"/>
        <v>1103</v>
      </c>
      <c r="K1703" s="1901"/>
      <c r="L1703" s="1902"/>
      <c r="M1703" s="1901"/>
      <c r="N1703" s="1902"/>
      <c r="O1703" s="1901"/>
      <c r="P1703" s="1902"/>
      <c r="Q1703" s="1901"/>
      <c r="R1703" s="1902"/>
      <c r="S1703" s="1643"/>
      <c r="T1703" s="1643"/>
      <c r="U1703" s="1643"/>
      <c r="V1703" s="1643"/>
      <c r="W1703" s="1643"/>
      <c r="X1703" s="1643"/>
      <c r="Y1703" s="1645"/>
      <c r="AI1703" s="2023">
        <f>W1703-'Blocking-Step2'!W1703</f>
        <v>0</v>
      </c>
      <c r="AJ1703" s="2054">
        <f>O1703-'Blocking-Step2'!O1703</f>
        <v>0</v>
      </c>
    </row>
    <row r="1704" spans="1:36">
      <c r="A1704" s="1900" t="s">
        <v>326</v>
      </c>
      <c r="C1704" s="528">
        <f>SUMIF('11'!$B$2:$B$31,74,'11'!$L$2:$L$31)</f>
        <v>0</v>
      </c>
      <c r="D1704" s="528">
        <f t="shared" si="983"/>
        <v>0</v>
      </c>
      <c r="F1704" s="1901">
        <v>23.82</v>
      </c>
      <c r="G1704" s="1902"/>
      <c r="H1704" s="1644">
        <f t="shared" si="984"/>
        <v>0</v>
      </c>
      <c r="I1704" s="1644">
        <f t="shared" si="984"/>
        <v>0</v>
      </c>
      <c r="K1704" s="1901"/>
      <c r="L1704" s="1902"/>
      <c r="M1704" s="1901"/>
      <c r="N1704" s="1902"/>
      <c r="O1704" s="1901"/>
      <c r="P1704" s="1902"/>
      <c r="Q1704" s="1901"/>
      <c r="R1704" s="1902"/>
      <c r="S1704" s="1643"/>
      <c r="T1704" s="1643"/>
      <c r="U1704" s="1643"/>
      <c r="V1704" s="1643"/>
      <c r="W1704" s="1643"/>
      <c r="X1704" s="1643"/>
      <c r="Y1704" s="1645"/>
      <c r="AI1704" s="2023">
        <f>W1704-'Blocking-Step2'!W1704</f>
        <v>0</v>
      </c>
      <c r="AJ1704" s="2054">
        <f>O1704-'Blocking-Step2'!O1704</f>
        <v>0</v>
      </c>
    </row>
    <row r="1705" spans="1:36">
      <c r="A1705" s="1900" t="s">
        <v>327</v>
      </c>
      <c r="C1705" s="528">
        <f>SUMIF('11'!$B$2:$B$31,75,'11'!$L$2:$L$31)</f>
        <v>0</v>
      </c>
      <c r="D1705" s="528">
        <f t="shared" si="983"/>
        <v>0</v>
      </c>
      <c r="F1705" s="1901">
        <v>31.47</v>
      </c>
      <c r="G1705" s="1902"/>
      <c r="H1705" s="1644">
        <f t="shared" si="984"/>
        <v>0</v>
      </c>
      <c r="I1705" s="1644">
        <f t="shared" si="984"/>
        <v>0</v>
      </c>
      <c r="K1705" s="1901"/>
      <c r="L1705" s="1902"/>
      <c r="M1705" s="1901"/>
      <c r="N1705" s="1902"/>
      <c r="O1705" s="1901"/>
      <c r="P1705" s="1902"/>
      <c r="Q1705" s="1901"/>
      <c r="R1705" s="1902"/>
      <c r="S1705" s="1643"/>
      <c r="T1705" s="1643"/>
      <c r="U1705" s="1643"/>
      <c r="V1705" s="1643"/>
      <c r="W1705" s="1643"/>
      <c r="X1705" s="1643"/>
      <c r="Y1705" s="1645"/>
      <c r="AI1705" s="2023">
        <f>W1705-'Blocking-Step2'!W1705</f>
        <v>0</v>
      </c>
      <c r="AJ1705" s="2054">
        <f>O1705-'Blocking-Step2'!O1705</f>
        <v>0</v>
      </c>
    </row>
    <row r="1706" spans="1:36">
      <c r="A1706" s="1960" t="s">
        <v>773</v>
      </c>
      <c r="C1706" s="584"/>
      <c r="D1706" s="584"/>
      <c r="F1706" s="1902"/>
      <c r="G1706" s="1902"/>
      <c r="H1706" s="1645"/>
      <c r="I1706" s="1645"/>
      <c r="K1706" s="1902"/>
      <c r="L1706" s="1902"/>
      <c r="M1706" s="1902"/>
      <c r="N1706" s="1902"/>
      <c r="O1706" s="1902"/>
      <c r="P1706" s="1902"/>
      <c r="Q1706" s="1902"/>
      <c r="R1706" s="1902"/>
      <c r="S1706" s="1643"/>
      <c r="T1706" s="1643"/>
      <c r="U1706" s="1643"/>
      <c r="V1706" s="1643"/>
      <c r="W1706" s="1643"/>
      <c r="X1706" s="1643"/>
      <c r="Y1706" s="1645"/>
      <c r="AI1706" s="2023">
        <f>W1706-'Blocking-Step2'!W1706</f>
        <v>0</v>
      </c>
      <c r="AJ1706" s="2054">
        <f>O1706-'Blocking-Step2'!O1706</f>
        <v>0</v>
      </c>
    </row>
    <row r="1707" spans="1:36">
      <c r="A1707" s="1900" t="s">
        <v>340</v>
      </c>
      <c r="C1707" s="528">
        <f>SUMIF('11'!$B$2:$B$31,76,'11'!$L$2:$L$31)</f>
        <v>15</v>
      </c>
      <c r="D1707" s="528">
        <f>ROUND(C1707/$C$1711*$D$1711,0)</f>
        <v>15</v>
      </c>
      <c r="F1707" s="1901">
        <v>27.85</v>
      </c>
      <c r="G1707" s="1902"/>
      <c r="H1707" s="1644">
        <f>ROUND(C1707*$F1707,0)</f>
        <v>418</v>
      </c>
      <c r="I1707" s="1644">
        <f>ROUND(D1707*$F1707,0)</f>
        <v>418</v>
      </c>
      <c r="K1707" s="1901"/>
      <c r="L1707" s="1902"/>
      <c r="M1707" s="1901"/>
      <c r="N1707" s="1902"/>
      <c r="O1707" s="1901"/>
      <c r="P1707" s="1902"/>
      <c r="Q1707" s="1901"/>
      <c r="R1707" s="1902"/>
      <c r="S1707" s="1643"/>
      <c r="T1707" s="1643"/>
      <c r="U1707" s="1643"/>
      <c r="V1707" s="1643"/>
      <c r="W1707" s="1643"/>
      <c r="X1707" s="1643"/>
      <c r="Y1707" s="1645"/>
      <c r="AI1707" s="2023">
        <f>W1707-'Blocking-Step2'!W1707</f>
        <v>0</v>
      </c>
      <c r="AJ1707" s="2054">
        <f>O1707-'Blocking-Step2'!O1707</f>
        <v>0</v>
      </c>
    </row>
    <row r="1708" spans="1:36">
      <c r="A1708" s="1960" t="s">
        <v>375</v>
      </c>
      <c r="C1708" s="528"/>
      <c r="D1708" s="528"/>
      <c r="F1708" s="1901"/>
      <c r="G1708" s="1902"/>
      <c r="H1708" s="1644"/>
      <c r="I1708" s="1644"/>
      <c r="K1708" s="1901"/>
      <c r="L1708" s="1902"/>
      <c r="M1708" s="1901"/>
      <c r="N1708" s="1902"/>
      <c r="O1708" s="1901"/>
      <c r="P1708" s="1902"/>
      <c r="Q1708" s="1901"/>
      <c r="R1708" s="1902"/>
      <c r="S1708" s="1643"/>
      <c r="T1708" s="1643"/>
      <c r="U1708" s="1643"/>
      <c r="V1708" s="1643"/>
      <c r="W1708" s="1643"/>
      <c r="X1708" s="1643"/>
      <c r="Y1708" s="1645"/>
      <c r="AI1708" s="2023">
        <f>W1708-'Blocking-Step2'!W1708</f>
        <v>0</v>
      </c>
      <c r="AJ1708" s="2054">
        <f>O1708-'Blocking-Step2'!O1708</f>
        <v>0</v>
      </c>
    </row>
    <row r="1709" spans="1:36">
      <c r="A1709" s="1900" t="s">
        <v>337</v>
      </c>
      <c r="C1709" s="528">
        <f>SUMIF('11'!$B$2:$B$31,50,'11'!$L$2:$L$31)</f>
        <v>0</v>
      </c>
      <c r="D1709" s="528">
        <f>ROUND(C1709/$C$1711*$D$1711,0)</f>
        <v>0</v>
      </c>
      <c r="F1709" s="1901">
        <v>39.04</v>
      </c>
      <c r="G1709" s="1902"/>
      <c r="H1709" s="1644">
        <f>ROUND(C1709*$F1709,0)</f>
        <v>0</v>
      </c>
      <c r="I1709" s="1644">
        <f>ROUND(D1709*$F1709,0)</f>
        <v>0</v>
      </c>
      <c r="K1709" s="1901"/>
      <c r="L1709" s="1902"/>
      <c r="M1709" s="1901"/>
      <c r="N1709" s="1902"/>
      <c r="O1709" s="1901"/>
      <c r="P1709" s="1902"/>
      <c r="Q1709" s="1901"/>
      <c r="R1709" s="1902"/>
      <c r="S1709" s="1643"/>
      <c r="T1709" s="1643"/>
      <c r="U1709" s="1643"/>
      <c r="V1709" s="1643"/>
      <c r="W1709" s="1643"/>
      <c r="X1709" s="1643"/>
      <c r="Y1709" s="1645"/>
      <c r="AI1709" s="2023">
        <f>W1709-'Blocking-Step2'!W1709</f>
        <v>0</v>
      </c>
      <c r="AJ1709" s="2054">
        <f>O1709-'Blocking-Step2'!O1709</f>
        <v>0</v>
      </c>
    </row>
    <row r="1710" spans="1:36">
      <c r="A1710" s="1900" t="s">
        <v>154</v>
      </c>
      <c r="C1710" s="529">
        <f>SUM(C1661:C1709)</f>
        <v>285636.89683884697</v>
      </c>
      <c r="D1710" s="529">
        <f>SUM(D1661:D1709)</f>
        <v>286239</v>
      </c>
      <c r="F1710" s="1976"/>
      <c r="H1710" s="1030">
        <f>SUM(H1661:H1709)</f>
        <v>4177247</v>
      </c>
      <c r="I1710" s="1030">
        <f>SUM(I1661:I1709)</f>
        <v>4186071</v>
      </c>
      <c r="K1710" s="1976"/>
      <c r="M1710" s="1976"/>
      <c r="O1710" s="1976"/>
      <c r="Q1710" s="1976"/>
      <c r="Y1710" s="1645"/>
      <c r="AI1710" s="2023">
        <f>W1710-'Blocking-Step2'!W1710</f>
        <v>0</v>
      </c>
      <c r="AJ1710" s="2054">
        <f>O1710-'Blocking-Step2'!O1710</f>
        <v>0</v>
      </c>
    </row>
    <row r="1711" spans="1:36" ht="16.5" thickBot="1">
      <c r="A1711" s="1900" t="s">
        <v>36</v>
      </c>
      <c r="C1711" s="1026">
        <f>'11'!M33</f>
        <v>13543958.85338369</v>
      </c>
      <c r="D1711" s="1026">
        <f>Energy!P86</f>
        <v>13572508.23362934</v>
      </c>
      <c r="F1711" s="1939"/>
      <c r="H1711" s="1978"/>
      <c r="I1711" s="1978"/>
      <c r="K1711" s="1939"/>
      <c r="M1711" s="1939"/>
      <c r="O1711" s="1939"/>
      <c r="Q1711" s="1939"/>
      <c r="Y1711" s="1637"/>
      <c r="AI1711" s="2023">
        <f>W1711-'Blocking-Step2'!W1711</f>
        <v>0</v>
      </c>
      <c r="AJ1711" s="2054">
        <f>O1711-'Blocking-Step2'!O1711</f>
        <v>0</v>
      </c>
    </row>
    <row r="1712" spans="1:36" ht="16.5" thickTop="1">
      <c r="A1712" s="1900" t="s">
        <v>141</v>
      </c>
      <c r="C1712" s="1027">
        <f>'Table 2'!F137</f>
        <v>717.16666666666697</v>
      </c>
      <c r="D1712" s="1027">
        <f>ROUND(Bill!P86/12,0)</f>
        <v>715</v>
      </c>
      <c r="Y1712" s="1637"/>
      <c r="AI1712" s="2023">
        <f>W1712-'Blocking-Step2'!W1712</f>
        <v>0</v>
      </c>
      <c r="AJ1712" s="2054">
        <f>O1712-'Blocking-Step2'!O1712</f>
        <v>0</v>
      </c>
    </row>
    <row r="1713" spans="1:36">
      <c r="A1713" s="1900" t="s">
        <v>136</v>
      </c>
      <c r="C1713" s="585">
        <f>'Table 2'!J137</f>
        <v>-501829</v>
      </c>
      <c r="D1713" s="585">
        <v>0</v>
      </c>
      <c r="F1713" s="1976"/>
      <c r="H1713" s="1030">
        <f>'Table 3'!F137</f>
        <v>-143813</v>
      </c>
      <c r="I1713" s="1030">
        <v>0</v>
      </c>
      <c r="K1713" s="1976"/>
      <c r="M1713" s="1976"/>
      <c r="O1713" s="1976"/>
      <c r="Q1713" s="1976"/>
      <c r="Y1713" s="1645"/>
      <c r="AI1713" s="2023">
        <f>W1713-'Blocking-Step2'!W1713</f>
        <v>0</v>
      </c>
      <c r="AJ1713" s="2054">
        <f>O1713-'Blocking-Step2'!O1713</f>
        <v>0</v>
      </c>
    </row>
    <row r="1714" spans="1:36">
      <c r="A1714" s="1900" t="s">
        <v>1240</v>
      </c>
      <c r="C1714" s="584"/>
      <c r="D1714" s="584"/>
      <c r="F1714" s="1930">
        <v>-1.9800000000000002E-2</v>
      </c>
      <c r="G1714" s="597"/>
      <c r="H1714" s="1644">
        <f>H1710*$F1714</f>
        <v>-82709.490600000005</v>
      </c>
      <c r="I1714" s="1644">
        <f>I1710*$F1714</f>
        <v>-82884.205800000011</v>
      </c>
      <c r="K1714" s="1930"/>
      <c r="L1714" s="597"/>
      <c r="M1714" s="1930"/>
      <c r="N1714" s="597"/>
      <c r="O1714" s="1931" t="str">
        <f>$O$43</f>
        <v>Tax Year 1 (1/1/2021)</v>
      </c>
      <c r="P1714" s="597"/>
      <c r="Q1714" s="1930">
        <f>AC1714</f>
        <v>-1.0200000000000001E-2</v>
      </c>
      <c r="R1714" s="597"/>
      <c r="S1714" s="1645"/>
      <c r="T1714" s="1645"/>
      <c r="U1714" s="1645"/>
      <c r="V1714" s="1645"/>
      <c r="W1714" s="1645"/>
      <c r="X1714" s="1645"/>
      <c r="Y1714" s="1644">
        <f>Q1714*Y1716</f>
        <v>-38345.92967297366</v>
      </c>
      <c r="AA1714" s="1109" t="s">
        <v>1938</v>
      </c>
      <c r="AB1714" s="1917">
        <f>RateSpread!V57*1000</f>
        <v>-38254.979440919989</v>
      </c>
      <c r="AC1714" s="1918">
        <f>ROUND(AB1714/Y1716,4)</f>
        <v>-1.0200000000000001E-2</v>
      </c>
      <c r="AI1714" s="2023">
        <f>W1714-'Blocking-Step2'!W1714</f>
        <v>0</v>
      </c>
      <c r="AJ1714" s="2054">
        <f>O1714-'Blocking-Step2'!O1714</f>
        <v>0</v>
      </c>
    </row>
    <row r="1715" spans="1:36">
      <c r="A1715" s="1900"/>
      <c r="C1715" s="584"/>
      <c r="D1715" s="584"/>
      <c r="F1715" s="1930"/>
      <c r="G1715" s="597"/>
      <c r="H1715" s="1644"/>
      <c r="I1715" s="1644"/>
      <c r="K1715" s="1930"/>
      <c r="L1715" s="597"/>
      <c r="M1715" s="1930"/>
      <c r="N1715" s="597"/>
      <c r="O1715" s="1931">
        <f>$O$44</f>
        <v>0</v>
      </c>
      <c r="P1715" s="597"/>
      <c r="Q1715" s="1930">
        <f>AC1715</f>
        <v>0</v>
      </c>
      <c r="R1715" s="597"/>
      <c r="S1715" s="1645"/>
      <c r="T1715" s="1645"/>
      <c r="U1715" s="1645"/>
      <c r="V1715" s="1645"/>
      <c r="W1715" s="1645"/>
      <c r="X1715" s="1645"/>
      <c r="Y1715" s="1644">
        <f>Q1715*Y1716</f>
        <v>0</v>
      </c>
      <c r="AA1715" s="1109" t="s">
        <v>1939</v>
      </c>
      <c r="AB1715" s="1917">
        <v>0</v>
      </c>
      <c r="AC1715" s="1918">
        <f>ROUND(AB1715/Y1716,4)</f>
        <v>0</v>
      </c>
      <c r="AI1715" s="2023">
        <f>W1715-'Blocking-Step2'!W1715</f>
        <v>0</v>
      </c>
      <c r="AJ1715" s="2054">
        <f>O1715-'Blocking-Step2'!O1715</f>
        <v>0</v>
      </c>
    </row>
    <row r="1716" spans="1:36" ht="16.5" thickBot="1">
      <c r="A1716" s="1900" t="s">
        <v>93</v>
      </c>
      <c r="C1716" s="1026">
        <f>C1713+C1711</f>
        <v>13042129.85338369</v>
      </c>
      <c r="D1716" s="1026">
        <f>D1713+D1711</f>
        <v>13572508.23362934</v>
      </c>
      <c r="F1716" s="1979"/>
      <c r="G1716" s="1980"/>
      <c r="H1716" s="1651">
        <f>H1713+H1710+H1714</f>
        <v>3950724.5093999999</v>
      </c>
      <c r="I1716" s="1651">
        <f>I1713+I1710+I1714</f>
        <v>4103186.7941999999</v>
      </c>
      <c r="K1716" s="1979"/>
      <c r="L1716" s="1980"/>
      <c r="M1716" s="1979"/>
      <c r="N1716" s="1980"/>
      <c r="O1716" s="1979"/>
      <c r="P1716" s="1980"/>
      <c r="Q1716" s="1979"/>
      <c r="R1716" s="1980"/>
      <c r="S1716" s="1651">
        <f>$Y1716*AA$1797/$AD$1797</f>
        <v>2758346.1238982072</v>
      </c>
      <c r="U1716" s="1651">
        <f>$Y1716*AB$1797/$AD$1797</f>
        <v>408021.91839792294</v>
      </c>
      <c r="W1716" s="1651">
        <f>Y1716-S1716-U1716</f>
        <v>593036.82760324795</v>
      </c>
      <c r="X1716" s="1650"/>
      <c r="Y1716" s="1651">
        <f>RateSpread!M57*1000</f>
        <v>3759404.8698993782</v>
      </c>
      <c r="AA1716" s="1104" t="s">
        <v>1743</v>
      </c>
      <c r="AB1716" s="1890">
        <f>Y1716/I1716-1</f>
        <v>-8.3784127202439218E-2</v>
      </c>
      <c r="AI1716" s="2023">
        <f>W1716-'Blocking-Step2'!W1716</f>
        <v>0</v>
      </c>
      <c r="AJ1716" s="2054">
        <f>O1716-'Blocking-Step2'!O1716</f>
        <v>0</v>
      </c>
    </row>
    <row r="1717" spans="1:36" ht="16.5" thickTop="1">
      <c r="C1717" s="528"/>
      <c r="D1717" s="528"/>
      <c r="AI1717" s="2023">
        <f>W1717-'Blocking-Step2'!W1717</f>
        <v>0</v>
      </c>
      <c r="AJ1717" s="2054">
        <f>O1717-'Blocking-Step2'!O1717</f>
        <v>0</v>
      </c>
    </row>
    <row r="1718" spans="1:36">
      <c r="A1718" s="1897" t="s">
        <v>389</v>
      </c>
      <c r="C1718" s="528"/>
      <c r="D1718" s="528"/>
      <c r="AI1718" s="2023">
        <f>W1718-'Blocking-Step2'!W1718</f>
        <v>0</v>
      </c>
      <c r="AJ1718" s="2054">
        <f>O1718-'Blocking-Step2'!O1718</f>
        <v>0</v>
      </c>
    </row>
    <row r="1719" spans="1:36">
      <c r="A1719" s="1981" t="s">
        <v>388</v>
      </c>
      <c r="C1719" s="528"/>
      <c r="D1719" s="528"/>
      <c r="H1719" s="1644"/>
      <c r="I1719" s="1644"/>
      <c r="Y1719" s="1644"/>
      <c r="AI1719" s="2023">
        <f>W1719-'Blocking-Step2'!W1719</f>
        <v>0</v>
      </c>
      <c r="AJ1719" s="2054">
        <f>O1719-'Blocking-Step2'!O1719</f>
        <v>0</v>
      </c>
    </row>
    <row r="1720" spans="1:36">
      <c r="A1720" s="1960" t="s">
        <v>206</v>
      </c>
      <c r="C1720" s="528"/>
      <c r="D1720" s="528"/>
      <c r="H1720" s="1644"/>
      <c r="I1720" s="1644"/>
      <c r="Y1720" s="1644"/>
      <c r="AA1720" s="1109"/>
      <c r="AB1720" s="1114"/>
      <c r="AC1720" s="596"/>
      <c r="AI1720" s="2023">
        <f>W1720-'Blocking-Step2'!W1720</f>
        <v>0</v>
      </c>
      <c r="AJ1720" s="2054">
        <f>O1720-'Blocking-Step2'!O1720</f>
        <v>0</v>
      </c>
    </row>
    <row r="1721" spans="1:36">
      <c r="A1721" s="1900" t="s">
        <v>332</v>
      </c>
      <c r="C1721" s="528">
        <f>SUMIF('12E'!$C$2:$C$94,26,'12E'!$M$2:$M$94)</f>
        <v>88517.224043715803</v>
      </c>
      <c r="D1721" s="528">
        <f>ROUND(C1721/$C$1732*$D$1732,0)</f>
        <v>51176</v>
      </c>
      <c r="F1721" s="1901">
        <v>1.83</v>
      </c>
      <c r="G1721" s="1902"/>
      <c r="H1721" s="1644">
        <f t="shared" ref="H1721:I1725" si="985">ROUND(C1721*$F1721,0)</f>
        <v>161987</v>
      </c>
      <c r="I1721" s="1644">
        <f t="shared" si="985"/>
        <v>93652</v>
      </c>
      <c r="K1721" s="1901"/>
      <c r="L1721" s="1902"/>
      <c r="M1721" s="1901"/>
      <c r="N1721" s="1902"/>
      <c r="O1721" s="1901"/>
      <c r="P1721" s="1902"/>
      <c r="Q1721" s="1901"/>
      <c r="R1721" s="1902"/>
      <c r="S1721" s="1643"/>
      <c r="T1721" s="1643"/>
      <c r="U1721" s="1643"/>
      <c r="V1721" s="1643"/>
      <c r="W1721" s="1643"/>
      <c r="X1721" s="1643"/>
      <c r="Y1721" s="1644"/>
      <c r="AA1721" s="1109"/>
      <c r="AB1721" s="1114"/>
      <c r="AC1721" s="596"/>
      <c r="AI1721" s="2023">
        <f>W1721-'Blocking-Step2'!W1721</f>
        <v>0</v>
      </c>
      <c r="AJ1721" s="2054">
        <f>O1721-'Blocking-Step2'!O1721</f>
        <v>0</v>
      </c>
    </row>
    <row r="1722" spans="1:36">
      <c r="A1722" s="1900" t="s">
        <v>333</v>
      </c>
      <c r="C1722" s="528">
        <f>SUMIF('12E'!$C$2:$C$94,27,'12E'!$M$2:$M$94)</f>
        <v>139165.98000000001</v>
      </c>
      <c r="D1722" s="528">
        <f t="shared" ref="D1722:D1725" si="986">ROUND(C1722/$C$1732*$D$1732,0)</f>
        <v>80459</v>
      </c>
      <c r="F1722" s="1901">
        <v>2.5</v>
      </c>
      <c r="G1722" s="1902"/>
      <c r="H1722" s="1644">
        <f t="shared" si="985"/>
        <v>347915</v>
      </c>
      <c r="I1722" s="1644">
        <f t="shared" si="985"/>
        <v>201148</v>
      </c>
      <c r="K1722" s="1901"/>
      <c r="L1722" s="1902"/>
      <c r="M1722" s="1901"/>
      <c r="N1722" s="1902"/>
      <c r="O1722" s="1901"/>
      <c r="P1722" s="1902"/>
      <c r="Q1722" s="1901"/>
      <c r="R1722" s="1902"/>
      <c r="S1722" s="1643"/>
      <c r="T1722" s="1643"/>
      <c r="U1722" s="1643"/>
      <c r="V1722" s="1643"/>
      <c r="W1722" s="1643"/>
      <c r="X1722" s="1643"/>
      <c r="Y1722" s="1644"/>
      <c r="AA1722" s="1945"/>
      <c r="AB1722" s="1114"/>
      <c r="AC1722" s="596"/>
      <c r="AI1722" s="2023">
        <f>W1722-'Blocking-Step2'!W1722</f>
        <v>0</v>
      </c>
      <c r="AJ1722" s="2054">
        <f>O1722-'Blocking-Step2'!O1722</f>
        <v>0</v>
      </c>
    </row>
    <row r="1723" spans="1:36">
      <c r="A1723" s="1900" t="s">
        <v>334</v>
      </c>
      <c r="C1723" s="528">
        <f>SUMIF('12E'!$C$2:$C$94,28,'12E'!$M$2:$M$94)</f>
        <v>116720.612021858</v>
      </c>
      <c r="D1723" s="528">
        <f t="shared" si="986"/>
        <v>67482</v>
      </c>
      <c r="F1723" s="1901">
        <v>3.66</v>
      </c>
      <c r="G1723" s="1902"/>
      <c r="H1723" s="1644">
        <f t="shared" si="985"/>
        <v>427197</v>
      </c>
      <c r="I1723" s="1644">
        <f t="shared" si="985"/>
        <v>246984</v>
      </c>
      <c r="K1723" s="1901"/>
      <c r="L1723" s="1902"/>
      <c r="M1723" s="1901"/>
      <c r="N1723" s="1902"/>
      <c r="O1723" s="1901"/>
      <c r="P1723" s="1902"/>
      <c r="Q1723" s="1901"/>
      <c r="R1723" s="1902"/>
      <c r="S1723" s="1643"/>
      <c r="T1723" s="1643"/>
      <c r="U1723" s="1643"/>
      <c r="V1723" s="1643"/>
      <c r="W1723" s="1643"/>
      <c r="X1723" s="1643"/>
      <c r="Y1723" s="1644"/>
      <c r="AA1723" s="1109"/>
      <c r="AB1723" s="1946"/>
      <c r="AC1723" s="596"/>
      <c r="AI1723" s="2023">
        <f>W1723-'Blocking-Step2'!W1723</f>
        <v>0</v>
      </c>
      <c r="AJ1723" s="2054">
        <f>O1723-'Blocking-Step2'!O1723</f>
        <v>0</v>
      </c>
    </row>
    <row r="1724" spans="1:36">
      <c r="A1724" s="1900" t="s">
        <v>335</v>
      </c>
      <c r="C1724" s="528">
        <f>SUMIF('12E'!$C$2:$C$94,29,'12E'!$M$2:$M$94)</f>
        <v>29670.9739263804</v>
      </c>
      <c r="D1724" s="528">
        <f t="shared" si="986"/>
        <v>17154</v>
      </c>
      <c r="F1724" s="1901">
        <v>6.52</v>
      </c>
      <c r="G1724" s="1902"/>
      <c r="H1724" s="1644">
        <f t="shared" si="985"/>
        <v>193455</v>
      </c>
      <c r="I1724" s="1644">
        <f t="shared" si="985"/>
        <v>111844</v>
      </c>
      <c r="K1724" s="1901"/>
      <c r="L1724" s="1902"/>
      <c r="M1724" s="1901"/>
      <c r="N1724" s="1902"/>
      <c r="O1724" s="1901"/>
      <c r="P1724" s="1902"/>
      <c r="Q1724" s="1901"/>
      <c r="R1724" s="1902"/>
      <c r="S1724" s="1643"/>
      <c r="T1724" s="1643"/>
      <c r="U1724" s="1643"/>
      <c r="V1724" s="1643"/>
      <c r="W1724" s="1643"/>
      <c r="X1724" s="1643"/>
      <c r="Y1724" s="1644"/>
      <c r="AA1724" s="1109"/>
      <c r="AB1724" s="1946"/>
      <c r="AC1724" s="596"/>
      <c r="AI1724" s="2023">
        <f>W1724-'Blocking-Step2'!W1724</f>
        <v>0</v>
      </c>
      <c r="AJ1724" s="2054">
        <f>O1724-'Blocking-Step2'!O1724</f>
        <v>0</v>
      </c>
    </row>
    <row r="1725" spans="1:36">
      <c r="A1725" s="1900" t="s">
        <v>336</v>
      </c>
      <c r="C1725" s="528">
        <f>SUMIF('12E'!$C$2:$C$94,30,'12E'!$M$2:$M$94)</f>
        <v>17455.575848303401</v>
      </c>
      <c r="D1725" s="528">
        <f t="shared" si="986"/>
        <v>10092</v>
      </c>
      <c r="F1725" s="1901">
        <v>10.02</v>
      </c>
      <c r="G1725" s="1902"/>
      <c r="H1725" s="1644">
        <f t="shared" si="985"/>
        <v>174905</v>
      </c>
      <c r="I1725" s="1644">
        <f t="shared" si="985"/>
        <v>101122</v>
      </c>
      <c r="K1725" s="1901"/>
      <c r="L1725" s="1902"/>
      <c r="M1725" s="1901"/>
      <c r="N1725" s="1902"/>
      <c r="O1725" s="1901"/>
      <c r="P1725" s="1902"/>
      <c r="Q1725" s="1901"/>
      <c r="R1725" s="1902"/>
      <c r="S1725" s="1643"/>
      <c r="T1725" s="1643"/>
      <c r="U1725" s="1643"/>
      <c r="V1725" s="1643"/>
      <c r="W1725" s="1643"/>
      <c r="X1725" s="1643"/>
      <c r="Y1725" s="1644"/>
      <c r="AA1725" s="1109"/>
      <c r="AB1725" s="1947"/>
      <c r="AC1725" s="596"/>
      <c r="AI1725" s="2023">
        <f>W1725-'Blocking-Step2'!W1725</f>
        <v>0</v>
      </c>
      <c r="AJ1725" s="2054">
        <f>O1725-'Blocking-Step2'!O1725</f>
        <v>0</v>
      </c>
    </row>
    <row r="1726" spans="1:36">
      <c r="A1726" s="1960" t="s">
        <v>348</v>
      </c>
      <c r="C1726" s="528"/>
      <c r="D1726" s="528"/>
      <c r="F1726" s="1944"/>
      <c r="G1726" s="597"/>
      <c r="H1726" s="1644"/>
      <c r="I1726" s="1644"/>
      <c r="K1726" s="1944"/>
      <c r="L1726" s="597"/>
      <c r="M1726" s="1944"/>
      <c r="N1726" s="597"/>
      <c r="O1726" s="1944"/>
      <c r="P1726" s="597"/>
      <c r="Q1726" s="1944"/>
      <c r="R1726" s="597"/>
      <c r="S1726" s="1645"/>
      <c r="T1726" s="1645"/>
      <c r="U1726" s="1645"/>
      <c r="V1726" s="1645"/>
      <c r="W1726" s="1643"/>
      <c r="X1726" s="1645"/>
      <c r="Y1726" s="1644"/>
      <c r="AA1726" s="596"/>
      <c r="AB1726" s="596"/>
      <c r="AC1726" s="596"/>
      <c r="AI1726" s="2023">
        <f>W1726-'Blocking-Step2'!W1726</f>
        <v>0</v>
      </c>
      <c r="AJ1726" s="2054">
        <f>O1726-'Blocking-Step2'!O1726</f>
        <v>0</v>
      </c>
    </row>
    <row r="1727" spans="1:36">
      <c r="A1727" s="1900" t="s">
        <v>394</v>
      </c>
      <c r="C1727" s="528">
        <f>SUMIF('12E'!$C$2:$C$94,34,'12E'!$M$2:$M$94)</f>
        <v>7556.2588235294097</v>
      </c>
      <c r="D1727" s="528">
        <f t="shared" ref="D1727:D1731" si="987">ROUND(C1727/$C$1732*$D$1732,0)</f>
        <v>4369</v>
      </c>
      <c r="F1727" s="1901">
        <v>2.5499999999999998</v>
      </c>
      <c r="G1727" s="1902"/>
      <c r="H1727" s="1644">
        <f t="shared" ref="H1727:I1730" si="988">ROUND(C1727*$F1727,0)</f>
        <v>19268</v>
      </c>
      <c r="I1727" s="1644">
        <f t="shared" si="988"/>
        <v>11141</v>
      </c>
      <c r="K1727" s="1901"/>
      <c r="L1727" s="1902"/>
      <c r="M1727" s="1901"/>
      <c r="N1727" s="1902"/>
      <c r="O1727" s="1901"/>
      <c r="P1727" s="1902"/>
      <c r="Q1727" s="1901"/>
      <c r="R1727" s="1902"/>
      <c r="S1727" s="1643"/>
      <c r="T1727" s="1643"/>
      <c r="U1727" s="1643"/>
      <c r="V1727" s="1643"/>
      <c r="W1727" s="1643"/>
      <c r="X1727" s="1643"/>
      <c r="Y1727" s="1644"/>
      <c r="AA1727" s="1109"/>
      <c r="AB1727" s="1917"/>
      <c r="AC1727" s="1974"/>
      <c r="AI1727" s="2023">
        <f>W1727-'Blocking-Step2'!W1727</f>
        <v>0</v>
      </c>
      <c r="AJ1727" s="2054">
        <f>O1727-'Blocking-Step2'!O1727</f>
        <v>0</v>
      </c>
    </row>
    <row r="1728" spans="1:36">
      <c r="A1728" s="1900" t="s">
        <v>349</v>
      </c>
      <c r="C1728" s="528">
        <f>SUMIF('12E'!$C$2:$C$94,36,'12E'!$M$2:$M$94)</f>
        <v>16145.838565022401</v>
      </c>
      <c r="D1728" s="528">
        <f t="shared" si="987"/>
        <v>9335</v>
      </c>
      <c r="F1728" s="1901">
        <v>4.46</v>
      </c>
      <c r="G1728" s="1902"/>
      <c r="H1728" s="1644">
        <f t="shared" si="988"/>
        <v>72010</v>
      </c>
      <c r="I1728" s="1644">
        <f t="shared" si="988"/>
        <v>41634</v>
      </c>
      <c r="K1728" s="1901"/>
      <c r="L1728" s="1902"/>
      <c r="M1728" s="1901"/>
      <c r="N1728" s="1902"/>
      <c r="O1728" s="1901"/>
      <c r="P1728" s="1902"/>
      <c r="Q1728" s="1901"/>
      <c r="R1728" s="1902"/>
      <c r="S1728" s="1643"/>
      <c r="T1728" s="1643"/>
      <c r="U1728" s="1643"/>
      <c r="V1728" s="1643"/>
      <c r="W1728" s="1643"/>
      <c r="X1728" s="1643"/>
      <c r="Y1728" s="1644"/>
      <c r="AA1728" s="1109"/>
      <c r="AB1728" s="1917"/>
      <c r="AC1728" s="1974"/>
      <c r="AI1728" s="2023">
        <f>W1728-'Blocking-Step2'!W1728</f>
        <v>0</v>
      </c>
      <c r="AJ1728" s="2054">
        <f>O1728-'Blocking-Step2'!O1728</f>
        <v>0</v>
      </c>
    </row>
    <row r="1729" spans="1:36">
      <c r="A1729" s="1900" t="s">
        <v>350</v>
      </c>
      <c r="C1729" s="528">
        <f>SUMIF('12E'!$C$2:$C$94,37,'12E'!$M$2:$M$94)</f>
        <v>17533.513776337099</v>
      </c>
      <c r="D1729" s="528">
        <f t="shared" si="987"/>
        <v>10137</v>
      </c>
      <c r="F1729" s="1901">
        <v>6.17</v>
      </c>
      <c r="G1729" s="1902"/>
      <c r="H1729" s="1644">
        <f t="shared" si="988"/>
        <v>108182</v>
      </c>
      <c r="I1729" s="1644">
        <f t="shared" si="988"/>
        <v>62545</v>
      </c>
      <c r="K1729" s="1901"/>
      <c r="L1729" s="1902"/>
      <c r="M1729" s="1901"/>
      <c r="N1729" s="1902"/>
      <c r="O1729" s="1901"/>
      <c r="P1729" s="1902"/>
      <c r="Q1729" s="1901"/>
      <c r="R1729" s="1902"/>
      <c r="S1729" s="1643"/>
      <c r="T1729" s="1643"/>
      <c r="U1729" s="1643"/>
      <c r="V1729" s="1643"/>
      <c r="W1729" s="1643"/>
      <c r="X1729" s="1643"/>
      <c r="Y1729" s="1644"/>
      <c r="AI1729" s="2023">
        <f>W1729-'Blocking-Step2'!W1729</f>
        <v>0</v>
      </c>
      <c r="AJ1729" s="2054">
        <f>O1729-'Blocking-Step2'!O1729</f>
        <v>0</v>
      </c>
    </row>
    <row r="1730" spans="1:36">
      <c r="A1730" s="1900" t="s">
        <v>351</v>
      </c>
      <c r="C1730" s="528">
        <f>SUMIF('12E'!$C$2:$C$94,38,'12E'!$M$2:$M$94)</f>
        <v>10677.115660184199</v>
      </c>
      <c r="D1730" s="528">
        <f t="shared" si="987"/>
        <v>6173</v>
      </c>
      <c r="F1730" s="1902">
        <v>9.77</v>
      </c>
      <c r="G1730" s="1902"/>
      <c r="H1730" s="1644">
        <f t="shared" si="988"/>
        <v>104315</v>
      </c>
      <c r="I1730" s="1644">
        <f t="shared" si="988"/>
        <v>60310</v>
      </c>
      <c r="K1730" s="1901"/>
      <c r="L1730" s="1902"/>
      <c r="M1730" s="1901"/>
      <c r="N1730" s="1902"/>
      <c r="O1730" s="1901"/>
      <c r="P1730" s="1902"/>
      <c r="Q1730" s="1902"/>
      <c r="R1730" s="1902"/>
      <c r="S1730" s="1643"/>
      <c r="T1730" s="1643"/>
      <c r="U1730" s="1643"/>
      <c r="V1730" s="1643"/>
      <c r="W1730" s="1643"/>
      <c r="X1730" s="1643"/>
      <c r="Y1730" s="1644"/>
      <c r="AI1730" s="2023">
        <f>W1730-'Blocking-Step2'!W1730</f>
        <v>0</v>
      </c>
      <c r="AJ1730" s="2054">
        <f>O1730-'Blocking-Step2'!O1730</f>
        <v>0</v>
      </c>
    </row>
    <row r="1731" spans="1:36">
      <c r="A1731" s="1960" t="s">
        <v>344</v>
      </c>
      <c r="C1731" s="528">
        <f>'12E'!N97</f>
        <v>16618873.277816664</v>
      </c>
      <c r="D1731" s="528">
        <f t="shared" si="987"/>
        <v>9608182</v>
      </c>
      <c r="F1731" s="1982">
        <v>6.5278999999999998</v>
      </c>
      <c r="G1731" s="1921" t="s">
        <v>495</v>
      </c>
      <c r="H1731" s="1644">
        <f>ROUND(C1731*$F1731/100,0)</f>
        <v>1084863</v>
      </c>
      <c r="I1731" s="1644">
        <f>ROUND(D1731*$F1731/100,0)</f>
        <v>627213</v>
      </c>
      <c r="K1731" s="1982"/>
      <c r="L1731" s="1921"/>
      <c r="M1731" s="1982"/>
      <c r="N1731" s="1921"/>
      <c r="O1731" s="1982"/>
      <c r="P1731" s="1921"/>
      <c r="Q1731" s="1982"/>
      <c r="R1731" s="1921"/>
      <c r="S1731" s="1643"/>
      <c r="T1731" s="1643"/>
      <c r="U1731" s="1643"/>
      <c r="V1731" s="1643"/>
      <c r="W1731" s="1643"/>
      <c r="X1731" s="1648"/>
      <c r="Y1731" s="1644"/>
      <c r="AI1731" s="2023">
        <f>W1731-'Blocking-Step2'!W1731</f>
        <v>0</v>
      </c>
      <c r="AJ1731" s="2054">
        <f>O1731-'Blocking-Step2'!O1731</f>
        <v>0</v>
      </c>
    </row>
    <row r="1732" spans="1:36">
      <c r="A1732" s="1960" t="s">
        <v>506</v>
      </c>
      <c r="C1732" s="529">
        <f>'12E'!N96</f>
        <v>41430739.109842025</v>
      </c>
      <c r="D1732" s="529">
        <f>Energy!P87</f>
        <v>23953132.664302297</v>
      </c>
      <c r="F1732" s="1976"/>
      <c r="H1732" s="1030">
        <f>SUM(H1721:H1731)</f>
        <v>2694097</v>
      </c>
      <c r="I1732" s="1030">
        <f>SUM(I1721:I1731)</f>
        <v>1557593</v>
      </c>
      <c r="K1732" s="1976"/>
      <c r="M1732" s="1976"/>
      <c r="O1732" s="1976"/>
      <c r="Q1732" s="1976"/>
      <c r="S1732" s="1030"/>
      <c r="U1732" s="1030"/>
      <c r="W1732" s="1030"/>
      <c r="Y1732" s="1030"/>
      <c r="AI1732" s="2023">
        <f>W1732-'Blocking-Step2'!W1732</f>
        <v>0</v>
      </c>
      <c r="AJ1732" s="2054">
        <f>O1732-'Blocking-Step2'!O1732</f>
        <v>0</v>
      </c>
    </row>
    <row r="1733" spans="1:36">
      <c r="A1733" s="1960" t="s">
        <v>136</v>
      </c>
      <c r="C1733" s="584">
        <f>'Table 2'!J138</f>
        <v>-1535086</v>
      </c>
      <c r="D1733" s="584">
        <v>0</v>
      </c>
      <c r="F1733" s="1982"/>
      <c r="G1733" s="1921"/>
      <c r="H1733" s="1645">
        <f>'Table 3'!F138</f>
        <v>-92739</v>
      </c>
      <c r="I1733" s="1030">
        <v>0</v>
      </c>
      <c r="K1733" s="1982"/>
      <c r="L1733" s="1921"/>
      <c r="M1733" s="1982"/>
      <c r="N1733" s="1921"/>
      <c r="O1733" s="1982"/>
      <c r="P1733" s="1921"/>
      <c r="Q1733" s="1982"/>
      <c r="R1733" s="1921"/>
      <c r="S1733" s="1030"/>
      <c r="T1733" s="1648"/>
      <c r="U1733" s="1030"/>
      <c r="V1733" s="1648"/>
      <c r="W1733" s="1030"/>
      <c r="X1733" s="1648"/>
      <c r="Y1733" s="1030"/>
      <c r="AI1733" s="2023">
        <f>W1733-'Blocking-Step2'!W1733</f>
        <v>0</v>
      </c>
      <c r="AJ1733" s="2054">
        <f>O1733-'Blocking-Step2'!O1733</f>
        <v>0</v>
      </c>
    </row>
    <row r="1734" spans="1:36">
      <c r="A1734" s="1900" t="s">
        <v>1240</v>
      </c>
      <c r="C1734" s="584"/>
      <c r="D1734" s="584"/>
      <c r="F1734" s="1930">
        <v>-1.9800000000000002E-2</v>
      </c>
      <c r="G1734" s="597"/>
      <c r="H1734" s="1644">
        <f>H1732*$F1734</f>
        <v>-53343.120600000002</v>
      </c>
      <c r="I1734" s="1644">
        <f>I1732*$F1734</f>
        <v>-30840.341400000001</v>
      </c>
      <c r="K1734" s="1930"/>
      <c r="L1734" s="597"/>
      <c r="M1734" s="1930"/>
      <c r="N1734" s="597"/>
      <c r="O1734" s="1930"/>
      <c r="P1734" s="597"/>
      <c r="Q1734" s="1930"/>
      <c r="R1734" s="597"/>
      <c r="S1734" s="1644"/>
      <c r="T1734" s="1645"/>
      <c r="U1734" s="1644"/>
      <c r="V1734" s="1645"/>
      <c r="W1734" s="1644"/>
      <c r="X1734" s="1645"/>
      <c r="Y1734" s="1644"/>
      <c r="AI1734" s="2023">
        <f>W1734-'Blocking-Step2'!W1734</f>
        <v>0</v>
      </c>
      <c r="AJ1734" s="2054">
        <f>O1734-'Blocking-Step2'!O1734</f>
        <v>0</v>
      </c>
    </row>
    <row r="1735" spans="1:36">
      <c r="A1735" s="1900"/>
      <c r="C1735" s="584"/>
      <c r="D1735" s="584"/>
      <c r="F1735" s="1930"/>
      <c r="G1735" s="597"/>
      <c r="H1735" s="1644"/>
      <c r="I1735" s="1644"/>
      <c r="K1735" s="1930"/>
      <c r="L1735" s="597"/>
      <c r="M1735" s="1930"/>
      <c r="N1735" s="597"/>
      <c r="O1735" s="1930"/>
      <c r="P1735" s="597"/>
      <c r="Q1735" s="1930"/>
      <c r="R1735" s="597"/>
      <c r="S1735" s="1644"/>
      <c r="T1735" s="1645"/>
      <c r="U1735" s="1644"/>
      <c r="V1735" s="1645"/>
      <c r="W1735" s="1644"/>
      <c r="X1735" s="1645"/>
      <c r="Y1735" s="1644"/>
      <c r="AI1735" s="2023">
        <f>W1735-'Blocking-Step2'!W1735</f>
        <v>0</v>
      </c>
      <c r="AJ1735" s="2054">
        <f>O1735-'Blocking-Step2'!O1735</f>
        <v>0</v>
      </c>
    </row>
    <row r="1736" spans="1:36">
      <c r="A1736" s="1960" t="s">
        <v>93</v>
      </c>
      <c r="C1736" s="584">
        <f>SUM(C1732:C1733)</f>
        <v>39895653.109842025</v>
      </c>
      <c r="D1736" s="584">
        <f>SUM(D1732:D1733)</f>
        <v>23953132.664302297</v>
      </c>
      <c r="F1736" s="1982"/>
      <c r="G1736" s="1921"/>
      <c r="H1736" s="1645">
        <f>SUM(H1732:H1734)</f>
        <v>2548014.8794</v>
      </c>
      <c r="I1736" s="1645">
        <f>SUM(I1732:I1734)</f>
        <v>1526752.6586</v>
      </c>
      <c r="K1736" s="1982"/>
      <c r="L1736" s="1921"/>
      <c r="M1736" s="1982"/>
      <c r="N1736" s="1921"/>
      <c r="O1736" s="1982"/>
      <c r="P1736" s="1921"/>
      <c r="Q1736" s="1982"/>
      <c r="R1736" s="1921"/>
      <c r="S1736" s="1645"/>
      <c r="T1736" s="1648"/>
      <c r="U1736" s="1645"/>
      <c r="V1736" s="1648"/>
      <c r="W1736" s="1645"/>
      <c r="X1736" s="1648"/>
      <c r="Y1736" s="1645"/>
      <c r="AI1736" s="2023">
        <f>W1736-'Blocking-Step2'!W1736</f>
        <v>0</v>
      </c>
      <c r="AJ1736" s="2054">
        <f>O1736-'Blocking-Step2'!O1736</f>
        <v>0</v>
      </c>
    </row>
    <row r="1737" spans="1:36">
      <c r="A1737" s="1960" t="s">
        <v>778</v>
      </c>
      <c r="C1737" s="529">
        <f>'Table 2'!F138</f>
        <v>1005.41666666667</v>
      </c>
      <c r="D1737" s="529">
        <f>ROUND(Bill!P87/12,0)</f>
        <v>990</v>
      </c>
      <c r="F1737" s="1976"/>
      <c r="H1737" s="1030"/>
      <c r="I1737" s="1030"/>
      <c r="K1737" s="1976"/>
      <c r="M1737" s="1976"/>
      <c r="O1737" s="1976"/>
      <c r="Q1737" s="1976"/>
      <c r="S1737" s="1030"/>
      <c r="U1737" s="1030"/>
      <c r="W1737" s="1030"/>
      <c r="Y1737" s="1030"/>
      <c r="AI1737" s="2023">
        <f>W1737-'Blocking-Step2'!W1737</f>
        <v>0</v>
      </c>
      <c r="AJ1737" s="2054">
        <f>O1737-'Blocking-Step2'!O1737</f>
        <v>0</v>
      </c>
    </row>
    <row r="1738" spans="1:36">
      <c r="A1738" s="1983" t="s">
        <v>207</v>
      </c>
      <c r="C1738" s="528"/>
      <c r="D1738" s="528"/>
      <c r="W1738" s="1643"/>
      <c r="AI1738" s="2023">
        <f>W1738-'Blocking-Step2'!W1738</f>
        <v>0</v>
      </c>
      <c r="AJ1738" s="2054">
        <f>O1738-'Blocking-Step2'!O1738</f>
        <v>0</v>
      </c>
    </row>
    <row r="1739" spans="1:36">
      <c r="A1739" s="1960" t="s">
        <v>320</v>
      </c>
      <c r="C1739" s="528"/>
      <c r="D1739" s="528"/>
      <c r="H1739" s="1644"/>
      <c r="I1739" s="1644"/>
      <c r="W1739" s="1643"/>
      <c r="Y1739" s="1644"/>
      <c r="AI1739" s="2023">
        <f>W1739-'Blocking-Step2'!W1739</f>
        <v>0</v>
      </c>
      <c r="AJ1739" s="2054">
        <f>O1739-'Blocking-Step2'!O1739</f>
        <v>0</v>
      </c>
    </row>
    <row r="1740" spans="1:36">
      <c r="A1740" s="1900" t="s">
        <v>342</v>
      </c>
      <c r="C1740" s="528">
        <f>SUMIF('12P'!$B$2:$B$22,1,'12P'!$L$2:$L$22)</f>
        <v>72</v>
      </c>
      <c r="D1740" s="528">
        <f>ROUND(C1740/$C$1769*$D$1769,0)</f>
        <v>46</v>
      </c>
      <c r="F1740" s="1901">
        <v>8.9600000000000009</v>
      </c>
      <c r="G1740" s="1902"/>
      <c r="H1740" s="1644">
        <f>ROUND(C1740*$F1740,0)</f>
        <v>645</v>
      </c>
      <c r="I1740" s="1644">
        <f>ROUND(D1740*$F1740,0)</f>
        <v>412</v>
      </c>
      <c r="K1740" s="1901"/>
      <c r="L1740" s="1902"/>
      <c r="M1740" s="1901"/>
      <c r="N1740" s="1902"/>
      <c r="O1740" s="1901"/>
      <c r="P1740" s="1902"/>
      <c r="Q1740" s="1901"/>
      <c r="R1740" s="1902"/>
      <c r="S1740" s="1643"/>
      <c r="T1740" s="1643"/>
      <c r="U1740" s="1643"/>
      <c r="V1740" s="1643"/>
      <c r="W1740" s="1643"/>
      <c r="X1740" s="1643"/>
      <c r="Y1740" s="1644"/>
      <c r="AI1740" s="2023">
        <f>W1740-'Blocking-Step2'!W1740</f>
        <v>0</v>
      </c>
      <c r="AJ1740" s="2054">
        <f>O1740-'Blocking-Step2'!O1740</f>
        <v>0</v>
      </c>
    </row>
    <row r="1741" spans="1:36">
      <c r="A1741" s="1900" t="s">
        <v>325</v>
      </c>
      <c r="C1741" s="528">
        <f>SUMIF('12P'!$B$2:$B$22,3,'12P'!$L$2:$L$22)</f>
        <v>36</v>
      </c>
      <c r="D1741" s="528">
        <f>ROUND(C1741/$C$1769*$D$1769,0)</f>
        <v>23</v>
      </c>
      <c r="F1741" s="1901">
        <v>12.19</v>
      </c>
      <c r="G1741" s="1902"/>
      <c r="H1741" s="1644">
        <f>ROUND(C1741*$F1741,0)</f>
        <v>439</v>
      </c>
      <c r="I1741" s="1644">
        <f>ROUND(D1741*$F1741,0)</f>
        <v>280</v>
      </c>
      <c r="K1741" s="1901"/>
      <c r="L1741" s="1902"/>
      <c r="M1741" s="1901"/>
      <c r="N1741" s="1902"/>
      <c r="O1741" s="1901"/>
      <c r="P1741" s="1902"/>
      <c r="Q1741" s="1901"/>
      <c r="R1741" s="1902"/>
      <c r="S1741" s="1643"/>
      <c r="T1741" s="1643"/>
      <c r="U1741" s="1643"/>
      <c r="V1741" s="1643"/>
      <c r="W1741" s="1643"/>
      <c r="X1741" s="1643"/>
      <c r="Y1741" s="1644"/>
      <c r="AI1741" s="2023">
        <f>W1741-'Blocking-Step2'!W1741</f>
        <v>0</v>
      </c>
      <c r="AJ1741" s="2054">
        <f>O1741-'Blocking-Step2'!O1741</f>
        <v>0</v>
      </c>
    </row>
    <row r="1742" spans="1:36">
      <c r="A1742" s="1960" t="s">
        <v>329</v>
      </c>
      <c r="C1742" s="528"/>
      <c r="D1742" s="528"/>
      <c r="F1742" s="1901"/>
      <c r="G1742" s="1902"/>
      <c r="K1742" s="1901"/>
      <c r="L1742" s="1902"/>
      <c r="M1742" s="1901"/>
      <c r="N1742" s="1902"/>
      <c r="O1742" s="1901"/>
      <c r="P1742" s="1902"/>
      <c r="Q1742" s="1901"/>
      <c r="R1742" s="1902"/>
      <c r="S1742" s="1643"/>
      <c r="T1742" s="1643"/>
      <c r="U1742" s="1643"/>
      <c r="V1742" s="1643"/>
      <c r="W1742" s="1643"/>
      <c r="X1742" s="1643"/>
      <c r="AI1742" s="2023">
        <f>W1742-'Blocking-Step2'!W1742</f>
        <v>0</v>
      </c>
      <c r="AJ1742" s="2054">
        <f>O1742-'Blocking-Step2'!O1742</f>
        <v>0</v>
      </c>
    </row>
    <row r="1743" spans="1:36">
      <c r="A1743" s="1900" t="s">
        <v>325</v>
      </c>
      <c r="C1743" s="528">
        <f>SUMIF('12P'!$B$2:$B$22,9,'12P'!$L$2:$L$22)</f>
        <v>0</v>
      </c>
      <c r="D1743" s="528">
        <f t="shared" ref="D1743:D1746" si="989">ROUND(C1743/$C$1769*$D$1769,0)</f>
        <v>0</v>
      </c>
      <c r="F1743" s="1901">
        <v>4.6399999999999997</v>
      </c>
      <c r="G1743" s="1902"/>
      <c r="H1743" s="1644">
        <f t="shared" ref="H1743:I1746" si="990">ROUND(C1743*$F1743,0)</f>
        <v>0</v>
      </c>
      <c r="I1743" s="1644">
        <f t="shared" si="990"/>
        <v>0</v>
      </c>
      <c r="K1743" s="1901"/>
      <c r="L1743" s="1902"/>
      <c r="M1743" s="1901"/>
      <c r="N1743" s="1902"/>
      <c r="O1743" s="1901"/>
      <c r="P1743" s="1902"/>
      <c r="Q1743" s="1901"/>
      <c r="R1743" s="1902"/>
      <c r="S1743" s="1643"/>
      <c r="T1743" s="1643"/>
      <c r="U1743" s="1643"/>
      <c r="V1743" s="1643"/>
      <c r="W1743" s="1643"/>
      <c r="X1743" s="1643"/>
      <c r="Y1743" s="1644"/>
      <c r="AI1743" s="2023">
        <f>W1743-'Blocking-Step2'!W1743</f>
        <v>0</v>
      </c>
      <c r="AJ1743" s="2054">
        <f>O1743-'Blocking-Step2'!O1743</f>
        <v>0</v>
      </c>
    </row>
    <row r="1744" spans="1:36">
      <c r="A1744" s="1900" t="s">
        <v>266</v>
      </c>
      <c r="C1744" s="528">
        <f>SUMIF('12P'!$B$2:$B$22,11,'12P'!$L$2:$L$22)</f>
        <v>636</v>
      </c>
      <c r="D1744" s="528">
        <f t="shared" si="989"/>
        <v>404</v>
      </c>
      <c r="F1744" s="1901">
        <v>7</v>
      </c>
      <c r="H1744" s="1644">
        <f t="shared" si="990"/>
        <v>4452</v>
      </c>
      <c r="I1744" s="1644">
        <f t="shared" si="990"/>
        <v>2828</v>
      </c>
      <c r="K1744" s="1901"/>
      <c r="L1744" s="1902"/>
      <c r="M1744" s="1901"/>
      <c r="N1744" s="1902"/>
      <c r="O1744" s="1901"/>
      <c r="Q1744" s="1901"/>
      <c r="S1744" s="1643"/>
      <c r="T1744" s="1643"/>
      <c r="U1744" s="1643"/>
      <c r="V1744" s="1643"/>
      <c r="W1744" s="1643"/>
      <c r="Y1744" s="1644"/>
      <c r="AI1744" s="2023">
        <f>W1744-'Blocking-Step2'!W1744</f>
        <v>0</v>
      </c>
      <c r="AJ1744" s="2054">
        <f>O1744-'Blocking-Step2'!O1744</f>
        <v>0</v>
      </c>
    </row>
    <row r="1745" spans="1:36">
      <c r="A1745" s="1900" t="s">
        <v>268</v>
      </c>
      <c r="C1745" s="528">
        <f>SUMIF('12P'!$B$2:$B$22,15,'12P'!$L$2:$L$22)</f>
        <v>84</v>
      </c>
      <c r="D1745" s="528">
        <f t="shared" si="989"/>
        <v>53</v>
      </c>
      <c r="F1745" s="1901">
        <v>13.33</v>
      </c>
      <c r="G1745" s="1902"/>
      <c r="H1745" s="1644">
        <f t="shared" si="990"/>
        <v>1120</v>
      </c>
      <c r="I1745" s="1644">
        <f t="shared" si="990"/>
        <v>706</v>
      </c>
      <c r="K1745" s="1901"/>
      <c r="L1745" s="1902"/>
      <c r="M1745" s="1901"/>
      <c r="N1745" s="1902"/>
      <c r="O1745" s="1901"/>
      <c r="P1745" s="1902"/>
      <c r="Q1745" s="1901"/>
      <c r="R1745" s="1902"/>
      <c r="S1745" s="1643"/>
      <c r="T1745" s="1643"/>
      <c r="U1745" s="1643"/>
      <c r="V1745" s="1643"/>
      <c r="W1745" s="1643"/>
      <c r="X1745" s="1643"/>
      <c r="Y1745" s="1644"/>
      <c r="AI1745" s="2023">
        <f>W1745-'Blocking-Step2'!W1745</f>
        <v>0</v>
      </c>
      <c r="AJ1745" s="2054">
        <f>O1745-'Blocking-Step2'!O1745</f>
        <v>0</v>
      </c>
    </row>
    <row r="1746" spans="1:36">
      <c r="A1746" s="1900" t="s">
        <v>343</v>
      </c>
      <c r="C1746" s="528">
        <f>SUMIF('12P'!$B$2:$B$22,19,'12P'!$L$2:$L$22)</f>
        <v>0</v>
      </c>
      <c r="D1746" s="528">
        <f t="shared" si="989"/>
        <v>0</v>
      </c>
      <c r="F1746" s="1901">
        <v>28.38</v>
      </c>
      <c r="G1746" s="1902"/>
      <c r="H1746" s="1644">
        <f t="shared" si="990"/>
        <v>0</v>
      </c>
      <c r="I1746" s="1644">
        <f t="shared" si="990"/>
        <v>0</v>
      </c>
      <c r="K1746" s="1901"/>
      <c r="L1746" s="1902"/>
      <c r="M1746" s="1901"/>
      <c r="N1746" s="1902"/>
      <c r="O1746" s="1901"/>
      <c r="P1746" s="1902"/>
      <c r="Q1746" s="1901"/>
      <c r="R1746" s="1902"/>
      <c r="S1746" s="1643"/>
      <c r="T1746" s="1643"/>
      <c r="U1746" s="1643"/>
      <c r="V1746" s="1643"/>
      <c r="W1746" s="1643"/>
      <c r="X1746" s="1643"/>
      <c r="Y1746" s="1644"/>
      <c r="AI1746" s="2023">
        <f>W1746-'Blocking-Step2'!W1746</f>
        <v>0</v>
      </c>
      <c r="AJ1746" s="2054">
        <f>O1746-'Blocking-Step2'!O1746</f>
        <v>0</v>
      </c>
    </row>
    <row r="1747" spans="1:36">
      <c r="A1747" s="1960" t="s">
        <v>527</v>
      </c>
      <c r="C1747" s="528"/>
      <c r="D1747" s="528"/>
      <c r="F1747" s="1901"/>
      <c r="G1747" s="1902"/>
      <c r="H1747" s="1644"/>
      <c r="I1747" s="1644"/>
      <c r="K1747" s="1901"/>
      <c r="L1747" s="1902"/>
      <c r="M1747" s="1901"/>
      <c r="N1747" s="1902"/>
      <c r="O1747" s="1901"/>
      <c r="P1747" s="1902"/>
      <c r="Q1747" s="1901"/>
      <c r="R1747" s="1902"/>
      <c r="S1747" s="1643"/>
      <c r="T1747" s="1643"/>
      <c r="U1747" s="1643"/>
      <c r="V1747" s="1643"/>
      <c r="W1747" s="1643"/>
      <c r="X1747" s="1643"/>
      <c r="Y1747" s="1644"/>
      <c r="AI1747" s="2023">
        <f>W1747-'Blocking-Step2'!W1747</f>
        <v>0</v>
      </c>
      <c r="AJ1747" s="2054">
        <f>O1747-'Blocking-Step2'!O1747</f>
        <v>0</v>
      </c>
    </row>
    <row r="1748" spans="1:36">
      <c r="A1748" s="1900" t="s">
        <v>332</v>
      </c>
      <c r="C1748" s="528">
        <f>SUMIF('12P'!$B$2:$B$22,22,'12P'!$L$2:$L$22)</f>
        <v>2228.4779411764698</v>
      </c>
      <c r="D1748" s="528">
        <f t="shared" ref="D1748:D1757" si="991">ROUND(C1748/$C$1769*$D$1769,0)</f>
        <v>1416</v>
      </c>
      <c r="F1748" s="1901">
        <v>4.08</v>
      </c>
      <c r="G1748" s="1902"/>
      <c r="H1748" s="1644">
        <f t="shared" ref="H1748:I1757" si="992">ROUND(C1748*$F1748,0)</f>
        <v>9092</v>
      </c>
      <c r="I1748" s="1644">
        <f t="shared" si="992"/>
        <v>5777</v>
      </c>
      <c r="K1748" s="1901"/>
      <c r="L1748" s="1902"/>
      <c r="M1748" s="1901"/>
      <c r="N1748" s="1902"/>
      <c r="O1748" s="1901"/>
      <c r="P1748" s="1902"/>
      <c r="Q1748" s="1901"/>
      <c r="R1748" s="1902"/>
      <c r="S1748" s="1643"/>
      <c r="T1748" s="1643"/>
      <c r="U1748" s="1643"/>
      <c r="V1748" s="1643"/>
      <c r="W1748" s="1643"/>
      <c r="X1748" s="1643"/>
      <c r="Y1748" s="1644"/>
      <c r="AI1748" s="2023">
        <f>W1748-'Blocking-Step2'!W1748</f>
        <v>0</v>
      </c>
      <c r="AJ1748" s="2054">
        <f>O1748-'Blocking-Step2'!O1748</f>
        <v>0</v>
      </c>
    </row>
    <row r="1749" spans="1:36">
      <c r="A1749" s="1900" t="s">
        <v>333</v>
      </c>
      <c r="C1749" s="528">
        <f>SUMIF('12P'!$B$2:$B$22,25,'12P'!$L$2:$L$22)</f>
        <v>10538.737430167601</v>
      </c>
      <c r="D1749" s="528">
        <f t="shared" si="991"/>
        <v>6699</v>
      </c>
      <c r="F1749" s="1901">
        <v>5.37</v>
      </c>
      <c r="G1749" s="1902"/>
      <c r="H1749" s="1644">
        <f t="shared" si="992"/>
        <v>56593</v>
      </c>
      <c r="I1749" s="1644">
        <f t="shared" si="992"/>
        <v>35974</v>
      </c>
      <c r="K1749" s="1901"/>
      <c r="L1749" s="1902"/>
      <c r="M1749" s="1901"/>
      <c r="N1749" s="1902"/>
      <c r="O1749" s="1901"/>
      <c r="P1749" s="1902"/>
      <c r="Q1749" s="1901"/>
      <c r="R1749" s="1902"/>
      <c r="S1749" s="1643"/>
      <c r="T1749" s="1643"/>
      <c r="U1749" s="1643"/>
      <c r="V1749" s="1643"/>
      <c r="W1749" s="1643"/>
      <c r="X1749" s="1643"/>
      <c r="Y1749" s="1644"/>
      <c r="AI1749" s="2023">
        <f>W1749-'Blocking-Step2'!W1749</f>
        <v>0</v>
      </c>
      <c r="AJ1749" s="2054">
        <f>O1749-'Blocking-Step2'!O1749</f>
        <v>0</v>
      </c>
    </row>
    <row r="1750" spans="1:36">
      <c r="A1750" s="1900" t="s">
        <v>209</v>
      </c>
      <c r="C1750" s="528">
        <f>SUMIF('12P'!$B$2:$B$22,65,'12P'!$L$2:$L$22)</f>
        <v>6086.2600574712596</v>
      </c>
      <c r="D1750" s="528">
        <f t="shared" si="991"/>
        <v>3869</v>
      </c>
      <c r="F1750" s="1901">
        <v>6.96</v>
      </c>
      <c r="G1750" s="1902"/>
      <c r="H1750" s="1644">
        <f t="shared" si="992"/>
        <v>42360</v>
      </c>
      <c r="I1750" s="1644">
        <f t="shared" si="992"/>
        <v>26928</v>
      </c>
      <c r="K1750" s="1901"/>
      <c r="L1750" s="1902"/>
      <c r="M1750" s="1901"/>
      <c r="N1750" s="1902"/>
      <c r="O1750" s="1901"/>
      <c r="P1750" s="1902"/>
      <c r="Q1750" s="1901"/>
      <c r="R1750" s="1902"/>
      <c r="S1750" s="1643"/>
      <c r="T1750" s="1643"/>
      <c r="U1750" s="1643"/>
      <c r="V1750" s="1643"/>
      <c r="W1750" s="1643"/>
      <c r="X1750" s="1643"/>
      <c r="Y1750" s="1644"/>
      <c r="AI1750" s="2023">
        <f>W1750-'Blocking-Step2'!W1750</f>
        <v>0</v>
      </c>
      <c r="AJ1750" s="2054">
        <f>O1750-'Blocking-Step2'!O1750</f>
        <v>0</v>
      </c>
    </row>
    <row r="1751" spans="1:36">
      <c r="A1751" s="1900" t="s">
        <v>334</v>
      </c>
      <c r="C1751" s="528">
        <f>SUMIF('12P'!$B$2:$B$22,27,'12P'!$L$2:$L$22)</f>
        <v>921.29294478527595</v>
      </c>
      <c r="D1751" s="528">
        <f t="shared" si="991"/>
        <v>586</v>
      </c>
      <c r="F1751" s="1901">
        <v>6.52</v>
      </c>
      <c r="G1751" s="1902"/>
      <c r="H1751" s="1644">
        <f t="shared" si="992"/>
        <v>6007</v>
      </c>
      <c r="I1751" s="1644">
        <f t="shared" si="992"/>
        <v>3821</v>
      </c>
      <c r="K1751" s="1901"/>
      <c r="L1751" s="1902"/>
      <c r="M1751" s="1901"/>
      <c r="N1751" s="1902"/>
      <c r="O1751" s="1901"/>
      <c r="P1751" s="1902"/>
      <c r="Q1751" s="1901"/>
      <c r="R1751" s="1902"/>
      <c r="S1751" s="1643"/>
      <c r="T1751" s="1643"/>
      <c r="U1751" s="1643"/>
      <c r="V1751" s="1643"/>
      <c r="W1751" s="1643"/>
      <c r="X1751" s="1643"/>
      <c r="Y1751" s="1644"/>
      <c r="AI1751" s="2023">
        <f>W1751-'Blocking-Step2'!W1751</f>
        <v>0</v>
      </c>
      <c r="AJ1751" s="2054">
        <f>O1751-'Blocking-Step2'!O1751</f>
        <v>0</v>
      </c>
    </row>
    <row r="1752" spans="1:36">
      <c r="A1752" s="1900" t="s">
        <v>483</v>
      </c>
      <c r="C1752" s="528">
        <f>SUMIF('12P'!$B$2:$B$22,66,'12P'!$L$2:$L$22)</f>
        <v>422.75937122128198</v>
      </c>
      <c r="D1752" s="528">
        <f t="shared" si="991"/>
        <v>269</v>
      </c>
      <c r="F1752" s="1901">
        <v>8.27</v>
      </c>
      <c r="G1752" s="1902"/>
      <c r="H1752" s="1644">
        <f t="shared" si="992"/>
        <v>3496</v>
      </c>
      <c r="I1752" s="1644">
        <f t="shared" si="992"/>
        <v>2225</v>
      </c>
      <c r="K1752" s="1901"/>
      <c r="L1752" s="1902"/>
      <c r="M1752" s="1901"/>
      <c r="N1752" s="1902"/>
      <c r="O1752" s="1901"/>
      <c r="P1752" s="1902"/>
      <c r="Q1752" s="1901"/>
      <c r="R1752" s="1902"/>
      <c r="S1752" s="1643"/>
      <c r="T1752" s="1643"/>
      <c r="U1752" s="1643"/>
      <c r="V1752" s="1643"/>
      <c r="W1752" s="1643"/>
      <c r="X1752" s="1643"/>
      <c r="Y1752" s="1644"/>
      <c r="AI1752" s="2023">
        <f>W1752-'Blocking-Step2'!W1752</f>
        <v>0</v>
      </c>
      <c r="AJ1752" s="2054">
        <f>O1752-'Blocking-Step2'!O1752</f>
        <v>0</v>
      </c>
    </row>
    <row r="1753" spans="1:36">
      <c r="A1753" s="1900" t="s">
        <v>345</v>
      </c>
      <c r="C1753" s="528">
        <f>SUMIF('12P'!$B$2:$B$22,29,'12P'!$L$2:$L$22)</f>
        <v>0</v>
      </c>
      <c r="D1753" s="528">
        <f t="shared" si="991"/>
        <v>0</v>
      </c>
      <c r="F1753" s="1901">
        <v>8.26</v>
      </c>
      <c r="G1753" s="1902"/>
      <c r="H1753" s="1644">
        <f t="shared" si="992"/>
        <v>0</v>
      </c>
      <c r="I1753" s="1644">
        <f t="shared" si="992"/>
        <v>0</v>
      </c>
      <c r="K1753" s="1901"/>
      <c r="L1753" s="1902"/>
      <c r="M1753" s="1901"/>
      <c r="N1753" s="1902"/>
      <c r="O1753" s="1901"/>
      <c r="P1753" s="1902"/>
      <c r="Q1753" s="1901"/>
      <c r="R1753" s="1902"/>
      <c r="S1753" s="1643"/>
      <c r="T1753" s="1643"/>
      <c r="U1753" s="1643"/>
      <c r="V1753" s="1643"/>
      <c r="W1753" s="1643"/>
      <c r="X1753" s="1643"/>
      <c r="Y1753" s="1644"/>
      <c r="AI1753" s="2023">
        <f>W1753-'Blocking-Step2'!W1753</f>
        <v>0</v>
      </c>
      <c r="AJ1753" s="2054">
        <f>O1753-'Blocking-Step2'!O1753</f>
        <v>0</v>
      </c>
    </row>
    <row r="1754" spans="1:36">
      <c r="A1754" s="1900" t="s">
        <v>335</v>
      </c>
      <c r="C1754" s="528">
        <f>SUMIF('12P'!$B$2:$B$22,31,'12P'!$L$2:$L$22)</f>
        <v>2737.1355578727798</v>
      </c>
      <c r="D1754" s="528">
        <f t="shared" si="991"/>
        <v>1740</v>
      </c>
      <c r="F1754" s="1901">
        <v>9.59</v>
      </c>
      <c r="G1754" s="1902"/>
      <c r="H1754" s="1644">
        <f t="shared" si="992"/>
        <v>26249</v>
      </c>
      <c r="I1754" s="1644">
        <f t="shared" si="992"/>
        <v>16687</v>
      </c>
      <c r="K1754" s="1901"/>
      <c r="L1754" s="1902"/>
      <c r="M1754" s="1901"/>
      <c r="N1754" s="1902"/>
      <c r="O1754" s="1901"/>
      <c r="P1754" s="1902"/>
      <c r="Q1754" s="1901"/>
      <c r="R1754" s="1902"/>
      <c r="S1754" s="1643"/>
      <c r="T1754" s="1643"/>
      <c r="U1754" s="1643"/>
      <c r="V1754" s="1643"/>
      <c r="W1754" s="1643"/>
      <c r="X1754" s="1643"/>
      <c r="Y1754" s="1644"/>
      <c r="AI1754" s="2023">
        <f>W1754-'Blocking-Step2'!W1754</f>
        <v>0</v>
      </c>
      <c r="AJ1754" s="2054">
        <f>O1754-'Blocking-Step2'!O1754</f>
        <v>0</v>
      </c>
    </row>
    <row r="1755" spans="1:36">
      <c r="A1755" s="1900" t="s">
        <v>484</v>
      </c>
      <c r="C1755" s="528">
        <f>SUMIF('12P'!$B$2:$B$22,67,'12P'!$L$2:$L$22)</f>
        <v>120.699916177703</v>
      </c>
      <c r="D1755" s="528">
        <f t="shared" si="991"/>
        <v>77</v>
      </c>
      <c r="F1755" s="1901">
        <v>11.93</v>
      </c>
      <c r="G1755" s="1902"/>
      <c r="H1755" s="1644">
        <f t="shared" si="992"/>
        <v>1440</v>
      </c>
      <c r="I1755" s="1644">
        <f t="shared" si="992"/>
        <v>919</v>
      </c>
      <c r="K1755" s="1901"/>
      <c r="L1755" s="1902"/>
      <c r="M1755" s="1901"/>
      <c r="N1755" s="1902"/>
      <c r="O1755" s="1901"/>
      <c r="P1755" s="1902"/>
      <c r="Q1755" s="1901"/>
      <c r="R1755" s="1902"/>
      <c r="S1755" s="1643"/>
      <c r="T1755" s="1643"/>
      <c r="U1755" s="1643"/>
      <c r="V1755" s="1643"/>
      <c r="W1755" s="1643"/>
      <c r="X1755" s="1643"/>
      <c r="Y1755" s="1644"/>
      <c r="AI1755" s="2023">
        <f>W1755-'Blocking-Step2'!W1755</f>
        <v>0</v>
      </c>
      <c r="AJ1755" s="2054">
        <f>O1755-'Blocking-Step2'!O1755</f>
        <v>0</v>
      </c>
    </row>
    <row r="1756" spans="1:36">
      <c r="A1756" s="1900" t="s">
        <v>336</v>
      </c>
      <c r="C1756" s="528">
        <f>SUMIF('12P'!$B$2:$B$22,33,'12P'!$L$2:$L$22)</f>
        <v>7177.3864285714299</v>
      </c>
      <c r="D1756" s="528">
        <f t="shared" si="991"/>
        <v>4562</v>
      </c>
      <c r="F1756" s="1901">
        <v>14</v>
      </c>
      <c r="G1756" s="1902"/>
      <c r="H1756" s="1644">
        <f t="shared" si="992"/>
        <v>100483</v>
      </c>
      <c r="I1756" s="1644">
        <f t="shared" si="992"/>
        <v>63868</v>
      </c>
      <c r="K1756" s="1901"/>
      <c r="L1756" s="1902"/>
      <c r="M1756" s="1901"/>
      <c r="N1756" s="1902"/>
      <c r="O1756" s="1901"/>
      <c r="P1756" s="1902"/>
      <c r="Q1756" s="1901"/>
      <c r="R1756" s="1902"/>
      <c r="S1756" s="1643"/>
      <c r="T1756" s="1643"/>
      <c r="U1756" s="1643"/>
      <c r="V1756" s="1643"/>
      <c r="W1756" s="1643"/>
      <c r="X1756" s="1643"/>
      <c r="Y1756" s="1644"/>
      <c r="AI1756" s="2023">
        <f>W1756-'Blocking-Step2'!W1756</f>
        <v>0</v>
      </c>
      <c r="AJ1756" s="2054">
        <f>O1756-'Blocking-Step2'!O1756</f>
        <v>0</v>
      </c>
    </row>
    <row r="1757" spans="1:36">
      <c r="A1757" s="1900" t="s">
        <v>210</v>
      </c>
      <c r="C1757" s="528">
        <f>SUMIF('12P'!$B$2:$B$22,68,'12P'!$L$2:$L$22)</f>
        <v>120</v>
      </c>
      <c r="D1757" s="528">
        <f t="shared" si="991"/>
        <v>76</v>
      </c>
      <c r="F1757" s="1901">
        <v>15.56</v>
      </c>
      <c r="G1757" s="1902"/>
      <c r="H1757" s="1644">
        <f t="shared" si="992"/>
        <v>1867</v>
      </c>
      <c r="I1757" s="1644">
        <f t="shared" si="992"/>
        <v>1183</v>
      </c>
      <c r="K1757" s="1901"/>
      <c r="L1757" s="1902"/>
      <c r="M1757" s="1901"/>
      <c r="N1757" s="1902"/>
      <c r="O1757" s="1901"/>
      <c r="P1757" s="1902"/>
      <c r="Q1757" s="1901"/>
      <c r="R1757" s="1902"/>
      <c r="S1757" s="1643"/>
      <c r="T1757" s="1643"/>
      <c r="U1757" s="1643"/>
      <c r="V1757" s="1643"/>
      <c r="W1757" s="1643"/>
      <c r="X1757" s="1643"/>
      <c r="Y1757" s="1644"/>
      <c r="AI1757" s="2023">
        <f>W1757-'Blocking-Step2'!W1757</f>
        <v>0</v>
      </c>
      <c r="AJ1757" s="2054">
        <f>O1757-'Blocking-Step2'!O1757</f>
        <v>0</v>
      </c>
    </row>
    <row r="1758" spans="1:36">
      <c r="A1758" s="1960" t="s">
        <v>348</v>
      </c>
      <c r="C1758" s="528"/>
      <c r="D1758" s="528"/>
      <c r="F1758" s="1901"/>
      <c r="G1758" s="1902"/>
      <c r="K1758" s="1901"/>
      <c r="L1758" s="1902"/>
      <c r="M1758" s="1901"/>
      <c r="N1758" s="1902"/>
      <c r="O1758" s="1901"/>
      <c r="P1758" s="1902"/>
      <c r="Q1758" s="1901"/>
      <c r="R1758" s="1902"/>
      <c r="S1758" s="1643"/>
      <c r="T1758" s="1643"/>
      <c r="U1758" s="1643"/>
      <c r="V1758" s="1643"/>
      <c r="W1758" s="1643"/>
      <c r="X1758" s="1643"/>
      <c r="AI1758" s="2023">
        <f>W1758-'Blocking-Step2'!W1758</f>
        <v>0</v>
      </c>
      <c r="AJ1758" s="2054">
        <f>O1758-'Blocking-Step2'!O1758</f>
        <v>0</v>
      </c>
    </row>
    <row r="1759" spans="1:36">
      <c r="A1759" s="1900" t="s">
        <v>211</v>
      </c>
      <c r="C1759" s="528">
        <f>SUMIF('12P'!$B$2:$B$22,69,'12P'!$L$2:$L$22)</f>
        <v>924.09031556039201</v>
      </c>
      <c r="D1759" s="528">
        <f t="shared" ref="D1759:D1765" si="993">ROUND(C1759/$C$1769*$D$1769,0)</f>
        <v>587</v>
      </c>
      <c r="F1759" s="1901">
        <v>9.19</v>
      </c>
      <c r="G1759" s="1902"/>
      <c r="H1759" s="1644">
        <f t="shared" ref="H1759:I1765" si="994">ROUND(C1759*$F1759,0)</f>
        <v>8492</v>
      </c>
      <c r="I1759" s="1644">
        <f t="shared" si="994"/>
        <v>5395</v>
      </c>
      <c r="K1759" s="1901"/>
      <c r="L1759" s="1902"/>
      <c r="M1759" s="1901"/>
      <c r="N1759" s="1902"/>
      <c r="O1759" s="1901"/>
      <c r="P1759" s="1902"/>
      <c r="Q1759" s="1901"/>
      <c r="R1759" s="1902"/>
      <c r="S1759" s="1643"/>
      <c r="T1759" s="1643"/>
      <c r="U1759" s="1643"/>
      <c r="V1759" s="1643"/>
      <c r="W1759" s="1643"/>
      <c r="X1759" s="1643"/>
      <c r="Y1759" s="1644"/>
      <c r="AI1759" s="2023">
        <f>W1759-'Blocking-Step2'!W1759</f>
        <v>0</v>
      </c>
      <c r="AJ1759" s="2054">
        <f>O1759-'Blocking-Step2'!O1759</f>
        <v>0</v>
      </c>
    </row>
    <row r="1760" spans="1:36">
      <c r="A1760" s="1900" t="s">
        <v>349</v>
      </c>
      <c r="C1760" s="528">
        <f>SUMIF('12P'!$B$2:$B$22,37,'12P'!$L$2:$L$22)</f>
        <v>1332</v>
      </c>
      <c r="D1760" s="528">
        <f t="shared" si="993"/>
        <v>847</v>
      </c>
      <c r="F1760" s="1901">
        <v>13.57</v>
      </c>
      <c r="G1760" s="1902"/>
      <c r="H1760" s="1644">
        <f t="shared" si="994"/>
        <v>18075</v>
      </c>
      <c r="I1760" s="1644">
        <f t="shared" si="994"/>
        <v>11494</v>
      </c>
      <c r="K1760" s="1901"/>
      <c r="L1760" s="1902"/>
      <c r="M1760" s="1901"/>
      <c r="N1760" s="1902"/>
      <c r="O1760" s="1901"/>
      <c r="P1760" s="1902"/>
      <c r="Q1760" s="1901"/>
      <c r="R1760" s="1902"/>
      <c r="S1760" s="1643"/>
      <c r="T1760" s="1643"/>
      <c r="U1760" s="1643"/>
      <c r="V1760" s="1643"/>
      <c r="W1760" s="1643"/>
      <c r="X1760" s="1643"/>
      <c r="Y1760" s="1644"/>
      <c r="AI1760" s="2023">
        <f>W1760-'Blocking-Step2'!W1760</f>
        <v>0</v>
      </c>
      <c r="AJ1760" s="2054">
        <f>O1760-'Blocking-Step2'!O1760</f>
        <v>0</v>
      </c>
    </row>
    <row r="1761" spans="1:36">
      <c r="A1761" s="1900" t="s">
        <v>212</v>
      </c>
      <c r="C1761" s="528">
        <f>SUMIF('12P'!$B$2:$B$22,70,'12P'!$L$2:$L$22)</f>
        <v>204</v>
      </c>
      <c r="D1761" s="528">
        <f t="shared" si="993"/>
        <v>130</v>
      </c>
      <c r="F1761" s="1901">
        <v>11.09</v>
      </c>
      <c r="G1761" s="1902"/>
      <c r="H1761" s="1644">
        <f t="shared" si="994"/>
        <v>2262</v>
      </c>
      <c r="I1761" s="1644">
        <f t="shared" si="994"/>
        <v>1442</v>
      </c>
      <c r="K1761" s="1901"/>
      <c r="L1761" s="1902"/>
      <c r="M1761" s="1901"/>
      <c r="N1761" s="1902"/>
      <c r="O1761" s="1901"/>
      <c r="P1761" s="1902"/>
      <c r="Q1761" s="1901"/>
      <c r="R1761" s="1902"/>
      <c r="S1761" s="1643"/>
      <c r="T1761" s="1643"/>
      <c r="U1761" s="1643"/>
      <c r="V1761" s="1643"/>
      <c r="W1761" s="1643"/>
      <c r="X1761" s="1643"/>
      <c r="Y1761" s="1644"/>
      <c r="AI1761" s="2023">
        <f>W1761-'Blocking-Step2'!W1761</f>
        <v>0</v>
      </c>
      <c r="AJ1761" s="2054">
        <f>O1761-'Blocking-Step2'!O1761</f>
        <v>0</v>
      </c>
    </row>
    <row r="1762" spans="1:36">
      <c r="A1762" s="1900" t="s">
        <v>350</v>
      </c>
      <c r="C1762" s="528">
        <f>SUMIF('12P'!$B$2:$B$22,39,'12P'!$L$2:$L$22)</f>
        <v>384</v>
      </c>
      <c r="D1762" s="528">
        <f t="shared" si="993"/>
        <v>244</v>
      </c>
      <c r="F1762" s="1901">
        <v>13.71</v>
      </c>
      <c r="G1762" s="1902"/>
      <c r="H1762" s="1644">
        <f t="shared" si="994"/>
        <v>5265</v>
      </c>
      <c r="I1762" s="1644">
        <f t="shared" si="994"/>
        <v>3345</v>
      </c>
      <c r="K1762" s="1901"/>
      <c r="L1762" s="1902"/>
      <c r="M1762" s="1901"/>
      <c r="N1762" s="1902"/>
      <c r="O1762" s="1901"/>
      <c r="P1762" s="1902"/>
      <c r="Q1762" s="1901"/>
      <c r="R1762" s="1902"/>
      <c r="S1762" s="1643"/>
      <c r="T1762" s="1643"/>
      <c r="U1762" s="1643"/>
      <c r="V1762" s="1643"/>
      <c r="W1762" s="1643"/>
      <c r="X1762" s="1643"/>
      <c r="Y1762" s="1644"/>
      <c r="AI1762" s="2023">
        <f>W1762-'Blocking-Step2'!W1762</f>
        <v>0</v>
      </c>
      <c r="AJ1762" s="2054">
        <f>O1762-'Blocking-Step2'!O1762</f>
        <v>0</v>
      </c>
    </row>
    <row r="1763" spans="1:36">
      <c r="A1763" s="1900" t="s">
        <v>213</v>
      </c>
      <c r="C1763" s="528">
        <f>SUMIF('12P'!$B$2:$B$22,71,'12P'!$L$2:$L$22)</f>
        <v>5784</v>
      </c>
      <c r="D1763" s="528">
        <f t="shared" si="993"/>
        <v>3676</v>
      </c>
      <c r="F1763" s="1901">
        <v>14.13</v>
      </c>
      <c r="G1763" s="1902"/>
      <c r="H1763" s="1644">
        <f t="shared" si="994"/>
        <v>81728</v>
      </c>
      <c r="I1763" s="1644">
        <f t="shared" si="994"/>
        <v>51942</v>
      </c>
      <c r="K1763" s="1901"/>
      <c r="L1763" s="1902"/>
      <c r="M1763" s="1901"/>
      <c r="N1763" s="1902"/>
      <c r="O1763" s="1901"/>
      <c r="P1763" s="1902"/>
      <c r="Q1763" s="1901"/>
      <c r="R1763" s="1902"/>
      <c r="S1763" s="1643"/>
      <c r="T1763" s="1643"/>
      <c r="U1763" s="1643"/>
      <c r="V1763" s="1643"/>
      <c r="W1763" s="1643"/>
      <c r="X1763" s="1643"/>
      <c r="Y1763" s="1644"/>
      <c r="AI1763" s="2023">
        <f>W1763-'Blocking-Step2'!W1763</f>
        <v>0</v>
      </c>
      <c r="AJ1763" s="2054">
        <f>O1763-'Blocking-Step2'!O1763</f>
        <v>0</v>
      </c>
    </row>
    <row r="1764" spans="1:36">
      <c r="A1764" s="1900" t="s">
        <v>351</v>
      </c>
      <c r="C1764" s="528">
        <f>SUMIF('12P'!$B$2:$B$22,41,'12P'!$L$2:$L$22)</f>
        <v>192</v>
      </c>
      <c r="D1764" s="528">
        <f t="shared" si="993"/>
        <v>122</v>
      </c>
      <c r="F1764" s="1901">
        <v>14.58</v>
      </c>
      <c r="G1764" s="1902"/>
      <c r="H1764" s="1644">
        <f t="shared" si="994"/>
        <v>2799</v>
      </c>
      <c r="I1764" s="1644">
        <f t="shared" si="994"/>
        <v>1779</v>
      </c>
      <c r="K1764" s="1901"/>
      <c r="L1764" s="1902"/>
      <c r="M1764" s="1901"/>
      <c r="N1764" s="1902"/>
      <c r="O1764" s="1901"/>
      <c r="P1764" s="1902"/>
      <c r="Q1764" s="1901"/>
      <c r="R1764" s="1902"/>
      <c r="S1764" s="1643"/>
      <c r="T1764" s="1643"/>
      <c r="U1764" s="1643"/>
      <c r="V1764" s="1643"/>
      <c r="W1764" s="1643"/>
      <c r="X1764" s="1643"/>
      <c r="Y1764" s="1644"/>
      <c r="AI1764" s="2023">
        <f>W1764-'Blocking-Step2'!W1764</f>
        <v>0</v>
      </c>
      <c r="AJ1764" s="2054">
        <f>O1764-'Blocking-Step2'!O1764</f>
        <v>0</v>
      </c>
    </row>
    <row r="1765" spans="1:36">
      <c r="A1765" s="1900" t="s">
        <v>214</v>
      </c>
      <c r="C1765" s="528">
        <f>SUMIF('12P'!$B$2:$B$22,72,'12P'!$L$2:$L$22)</f>
        <v>553.65484483850503</v>
      </c>
      <c r="D1765" s="528">
        <f t="shared" si="993"/>
        <v>352</v>
      </c>
      <c r="F1765" s="1902">
        <v>15.79</v>
      </c>
      <c r="G1765" s="1902"/>
      <c r="H1765" s="1644">
        <f t="shared" si="994"/>
        <v>8742</v>
      </c>
      <c r="I1765" s="1644">
        <f t="shared" si="994"/>
        <v>5558</v>
      </c>
      <c r="K1765" s="1901"/>
      <c r="L1765" s="1902"/>
      <c r="M1765" s="1901"/>
      <c r="N1765" s="1902"/>
      <c r="O1765" s="1901"/>
      <c r="P1765" s="1902"/>
      <c r="Q1765" s="1902"/>
      <c r="R1765" s="1902"/>
      <c r="S1765" s="1643"/>
      <c r="T1765" s="1643"/>
      <c r="U1765" s="1643"/>
      <c r="V1765" s="1643"/>
      <c r="W1765" s="1643"/>
      <c r="X1765" s="1643"/>
      <c r="Y1765" s="1644"/>
      <c r="AI1765" s="2023">
        <f>W1765-'Blocking-Step2'!W1765</f>
        <v>0</v>
      </c>
      <c r="AJ1765" s="2054">
        <f>O1765-'Blocking-Step2'!O1765</f>
        <v>0</v>
      </c>
    </row>
    <row r="1766" spans="1:36">
      <c r="A1766" s="1960" t="s">
        <v>339</v>
      </c>
      <c r="C1766" s="528"/>
      <c r="D1766" s="528"/>
      <c r="F1766" s="1901"/>
      <c r="G1766" s="1902"/>
      <c r="H1766" s="1644"/>
      <c r="I1766" s="1644"/>
      <c r="K1766" s="1901"/>
      <c r="L1766" s="1902"/>
      <c r="M1766" s="1901"/>
      <c r="N1766" s="1902"/>
      <c r="O1766" s="1901"/>
      <c r="P1766" s="1902"/>
      <c r="Q1766" s="1901"/>
      <c r="R1766" s="1902"/>
      <c r="S1766" s="1643"/>
      <c r="T1766" s="1643"/>
      <c r="U1766" s="1643"/>
      <c r="V1766" s="1643"/>
      <c r="W1766" s="1643"/>
      <c r="X1766" s="1643"/>
      <c r="Y1766" s="1644"/>
      <c r="AI1766" s="2023">
        <f>W1766-'Blocking-Step2'!W1766</f>
        <v>0</v>
      </c>
      <c r="AJ1766" s="2054">
        <f>O1766-'Blocking-Step2'!O1766</f>
        <v>0</v>
      </c>
    </row>
    <row r="1767" spans="1:36">
      <c r="A1767" s="1900" t="s">
        <v>323</v>
      </c>
      <c r="C1767" s="528">
        <f>SUMIF('12P'!$B$2:$B$22,51,'12P'!$L$2:$L$22)</f>
        <v>0</v>
      </c>
      <c r="D1767" s="528">
        <f t="shared" ref="D1767:D1768" si="995">ROUND(C1767/$C$1769*$D$1769,0)</f>
        <v>0</v>
      </c>
      <c r="F1767" s="1901">
        <v>3.75</v>
      </c>
      <c r="G1767" s="1902"/>
      <c r="H1767" s="1644">
        <f>ROUND(C1767*$F1767,0)</f>
        <v>0</v>
      </c>
      <c r="I1767" s="1644">
        <f>ROUND(D1767*$F1767,0)</f>
        <v>0</v>
      </c>
      <c r="K1767" s="1901"/>
      <c r="L1767" s="1902"/>
      <c r="M1767" s="1901"/>
      <c r="N1767" s="1902"/>
      <c r="O1767" s="1901"/>
      <c r="P1767" s="1902"/>
      <c r="Q1767" s="1901"/>
      <c r="R1767" s="1902"/>
      <c r="S1767" s="1643"/>
      <c r="T1767" s="1643"/>
      <c r="U1767" s="1643"/>
      <c r="V1767" s="1643"/>
      <c r="W1767" s="1643"/>
      <c r="X1767" s="1643"/>
      <c r="Y1767" s="1644"/>
      <c r="AI1767" s="2023">
        <f>W1767-'Blocking-Step2'!W1767</f>
        <v>0</v>
      </c>
      <c r="AJ1767" s="2054">
        <f>O1767-'Blocking-Step2'!O1767</f>
        <v>0</v>
      </c>
    </row>
    <row r="1768" spans="1:36">
      <c r="A1768" s="1900" t="s">
        <v>341</v>
      </c>
      <c r="C1768" s="528">
        <f>SUMIF('12P'!$B$2:$B$22,47,'12P'!$L$2:$L$22)</f>
        <v>84</v>
      </c>
      <c r="D1768" s="528">
        <f t="shared" si="995"/>
        <v>53</v>
      </c>
      <c r="F1768" s="1901">
        <v>13.92</v>
      </c>
      <c r="G1768" s="1902"/>
      <c r="H1768" s="1644">
        <f>ROUND(C1768*$F1768,0)</f>
        <v>1169</v>
      </c>
      <c r="I1768" s="1644">
        <f>ROUND(D1768*$F1768,0)</f>
        <v>738</v>
      </c>
      <c r="K1768" s="1901"/>
      <c r="L1768" s="1902"/>
      <c r="M1768" s="1901"/>
      <c r="N1768" s="1902"/>
      <c r="O1768" s="1901"/>
      <c r="P1768" s="1902"/>
      <c r="Q1768" s="1901"/>
      <c r="R1768" s="1902"/>
      <c r="S1768" s="1643"/>
      <c r="T1768" s="1643"/>
      <c r="U1768" s="1643"/>
      <c r="V1768" s="1643"/>
      <c r="W1768" s="1643"/>
      <c r="X1768" s="1643"/>
      <c r="Y1768" s="1644"/>
      <c r="AI1768" s="2023">
        <f>W1768-'Blocking-Step2'!W1768</f>
        <v>0</v>
      </c>
      <c r="AJ1768" s="2054">
        <f>O1768-'Blocking-Step2'!O1768</f>
        <v>0</v>
      </c>
    </row>
    <row r="1769" spans="1:36">
      <c r="A1769" s="1960" t="s">
        <v>506</v>
      </c>
      <c r="C1769" s="529">
        <f>'12P'!M24</f>
        <v>3043780.2427610983</v>
      </c>
      <c r="D1769" s="529">
        <f>Energy!P89</f>
        <v>1934664</v>
      </c>
      <c r="F1769" s="1976"/>
      <c r="H1769" s="1030">
        <f>SUM(H1740:H1768)</f>
        <v>382775</v>
      </c>
      <c r="I1769" s="1030">
        <f>SUM(I1740:I1768)</f>
        <v>243301</v>
      </c>
      <c r="K1769" s="1976"/>
      <c r="M1769" s="1976"/>
      <c r="O1769" s="1976"/>
      <c r="Q1769" s="1976"/>
      <c r="S1769" s="1030"/>
      <c r="U1769" s="1030"/>
      <c r="W1769" s="1030"/>
      <c r="Y1769" s="1030"/>
      <c r="AI1769" s="2023">
        <f>W1769-'Blocking-Step2'!W1769</f>
        <v>0</v>
      </c>
      <c r="AJ1769" s="2054">
        <f>O1769-'Blocking-Step2'!O1769</f>
        <v>0</v>
      </c>
    </row>
    <row r="1770" spans="1:36">
      <c r="A1770" s="1960" t="s">
        <v>136</v>
      </c>
      <c r="C1770" s="584">
        <f>'Table 2'!J140</f>
        <v>-112778</v>
      </c>
      <c r="D1770" s="584">
        <v>0</v>
      </c>
      <c r="F1770" s="1901"/>
      <c r="G1770" s="1921"/>
      <c r="H1770" s="1645">
        <f>'Table 3'!F140</f>
        <v>-13175</v>
      </c>
      <c r="I1770" s="1030">
        <v>0</v>
      </c>
      <c r="K1770" s="1901"/>
      <c r="L1770" s="1921"/>
      <c r="M1770" s="1901"/>
      <c r="N1770" s="1921"/>
      <c r="O1770" s="1901"/>
      <c r="P1770" s="1921"/>
      <c r="Q1770" s="1901"/>
      <c r="R1770" s="1921"/>
      <c r="S1770" s="1030"/>
      <c r="T1770" s="1648"/>
      <c r="U1770" s="1030"/>
      <c r="V1770" s="1648"/>
      <c r="W1770" s="1030"/>
      <c r="X1770" s="1648"/>
      <c r="Y1770" s="1030"/>
      <c r="AI1770" s="2023">
        <f>W1770-'Blocking-Step2'!W1770</f>
        <v>0</v>
      </c>
      <c r="AJ1770" s="2054">
        <f>O1770-'Blocking-Step2'!O1770</f>
        <v>0</v>
      </c>
    </row>
    <row r="1771" spans="1:36">
      <c r="A1771" s="1900" t="s">
        <v>1240</v>
      </c>
      <c r="C1771" s="584"/>
      <c r="D1771" s="584"/>
      <c r="F1771" s="1930">
        <v>-1.9800000000000002E-2</v>
      </c>
      <c r="G1771" s="597"/>
      <c r="H1771" s="1644">
        <f>H1769*$F1771</f>
        <v>-7578.9450000000006</v>
      </c>
      <c r="I1771" s="1644">
        <f>I1769*$F1771</f>
        <v>-4817.3598000000002</v>
      </c>
      <c r="K1771" s="1930"/>
      <c r="L1771" s="597"/>
      <c r="M1771" s="1930"/>
      <c r="N1771" s="597"/>
      <c r="O1771" s="1930"/>
      <c r="P1771" s="597"/>
      <c r="Q1771" s="1930"/>
      <c r="R1771" s="597"/>
      <c r="S1771" s="1644"/>
      <c r="T1771" s="1645"/>
      <c r="U1771" s="1644"/>
      <c r="V1771" s="1645"/>
      <c r="W1771" s="1644"/>
      <c r="X1771" s="1645"/>
      <c r="Y1771" s="1644"/>
      <c r="AI1771" s="2023">
        <f>W1771-'Blocking-Step2'!W1771</f>
        <v>0</v>
      </c>
      <c r="AJ1771" s="2054">
        <f>O1771-'Blocking-Step2'!O1771</f>
        <v>0</v>
      </c>
    </row>
    <row r="1772" spans="1:36">
      <c r="A1772" s="1900"/>
      <c r="C1772" s="584"/>
      <c r="D1772" s="584"/>
      <c r="F1772" s="1930"/>
      <c r="G1772" s="597"/>
      <c r="H1772" s="1644"/>
      <c r="I1772" s="1644"/>
      <c r="K1772" s="1930"/>
      <c r="L1772" s="597"/>
      <c r="M1772" s="1930"/>
      <c r="N1772" s="597"/>
      <c r="O1772" s="1930"/>
      <c r="P1772" s="597"/>
      <c r="Q1772" s="1930"/>
      <c r="R1772" s="597"/>
      <c r="S1772" s="1644"/>
      <c r="T1772" s="1645"/>
      <c r="U1772" s="1644"/>
      <c r="V1772" s="1645"/>
      <c r="W1772" s="1644"/>
      <c r="X1772" s="1645"/>
      <c r="Y1772" s="1644"/>
      <c r="AI1772" s="2023">
        <f>W1772-'Blocking-Step2'!W1772</f>
        <v>0</v>
      </c>
      <c r="AJ1772" s="2054">
        <f>O1772-'Blocking-Step2'!O1772</f>
        <v>0</v>
      </c>
    </row>
    <row r="1773" spans="1:36">
      <c r="A1773" s="1960" t="s">
        <v>93</v>
      </c>
      <c r="C1773" s="584">
        <f>SUM(C1769:C1770)</f>
        <v>2931002.2427610983</v>
      </c>
      <c r="D1773" s="584">
        <f>SUM(D1769:D1770)</f>
        <v>1934664</v>
      </c>
      <c r="F1773" s="1901"/>
      <c r="G1773" s="1921"/>
      <c r="H1773" s="1645">
        <f>SUM(H1769:H1771)</f>
        <v>362021.05499999999</v>
      </c>
      <c r="I1773" s="1645">
        <f>SUM(I1769:I1771)</f>
        <v>238483.64019999999</v>
      </c>
      <c r="K1773" s="1901"/>
      <c r="L1773" s="1921"/>
      <c r="M1773" s="1901"/>
      <c r="N1773" s="1921"/>
      <c r="O1773" s="1901"/>
      <c r="P1773" s="1921"/>
      <c r="Q1773" s="1901"/>
      <c r="R1773" s="1921"/>
      <c r="S1773" s="1645"/>
      <c r="T1773" s="1648"/>
      <c r="U1773" s="1645"/>
      <c r="V1773" s="1648"/>
      <c r="W1773" s="1645"/>
      <c r="X1773" s="1648"/>
      <c r="Y1773" s="1645"/>
      <c r="AI1773" s="2023">
        <f>W1773-'Blocking-Step2'!W1773</f>
        <v>0</v>
      </c>
      <c r="AJ1773" s="2054">
        <f>O1773-'Blocking-Step2'!O1773</f>
        <v>0</v>
      </c>
    </row>
    <row r="1774" spans="1:36">
      <c r="A1774" s="1960" t="s">
        <v>778</v>
      </c>
      <c r="C1774" s="529">
        <f>'Table 2'!F140</f>
        <v>169.5</v>
      </c>
      <c r="D1774" s="529">
        <f>ROUND(Bill!P89/12,0)</f>
        <v>170</v>
      </c>
      <c r="F1774" s="1976"/>
      <c r="H1774" s="1030"/>
      <c r="I1774" s="1030"/>
      <c r="K1774" s="1976"/>
      <c r="M1774" s="1976"/>
      <c r="O1774" s="1976"/>
      <c r="Q1774" s="1976"/>
      <c r="S1774" s="1030"/>
      <c r="U1774" s="1030"/>
      <c r="W1774" s="1030"/>
      <c r="Y1774" s="1030"/>
      <c r="AI1774" s="2023">
        <f>W1774-'Blocking-Step2'!W1774</f>
        <v>0</v>
      </c>
      <c r="AJ1774" s="2054">
        <f>O1774-'Blocking-Step2'!O1774</f>
        <v>0</v>
      </c>
    </row>
    <row r="1775" spans="1:36">
      <c r="A1775" s="1983" t="s">
        <v>208</v>
      </c>
      <c r="C1775" s="528"/>
      <c r="D1775" s="528"/>
      <c r="F1775" s="1901"/>
      <c r="G1775" s="1902"/>
      <c r="K1775" s="1901"/>
      <c r="L1775" s="1902"/>
      <c r="M1775" s="1901"/>
      <c r="N1775" s="1902"/>
      <c r="O1775" s="1901"/>
      <c r="P1775" s="1902"/>
      <c r="Q1775" s="1901"/>
      <c r="R1775" s="1902"/>
      <c r="S1775" s="1643"/>
      <c r="T1775" s="1643"/>
      <c r="U1775" s="1643"/>
      <c r="V1775" s="1643"/>
      <c r="W1775" s="1643"/>
      <c r="X1775" s="1643"/>
      <c r="AI1775" s="2023">
        <f>W1775-'Blocking-Step2'!W1775</f>
        <v>0</v>
      </c>
      <c r="AJ1775" s="2054">
        <f>O1775-'Blocking-Step2'!O1775</f>
        <v>0</v>
      </c>
    </row>
    <row r="1776" spans="1:36">
      <c r="A1776" s="1960" t="s">
        <v>320</v>
      </c>
      <c r="C1776" s="528"/>
      <c r="D1776" s="528"/>
      <c r="F1776" s="1901"/>
      <c r="G1776" s="1902"/>
      <c r="H1776" s="1644"/>
      <c r="I1776" s="1644"/>
      <c r="K1776" s="1901"/>
      <c r="L1776" s="1902"/>
      <c r="M1776" s="1901"/>
      <c r="N1776" s="1902"/>
      <c r="O1776" s="1901"/>
      <c r="P1776" s="1902"/>
      <c r="Q1776" s="1901"/>
      <c r="R1776" s="1902"/>
      <c r="S1776" s="1643"/>
      <c r="T1776" s="1643"/>
      <c r="U1776" s="1643"/>
      <c r="V1776" s="1643"/>
      <c r="W1776" s="1643"/>
      <c r="X1776" s="1643"/>
      <c r="Y1776" s="1644"/>
      <c r="AI1776" s="2023">
        <f>W1776-'Blocking-Step2'!W1776</f>
        <v>0</v>
      </c>
      <c r="AJ1776" s="2054">
        <f>O1776-'Blocking-Step2'!O1776</f>
        <v>0</v>
      </c>
    </row>
    <row r="1777" spans="1:36">
      <c r="A1777" s="1900" t="s">
        <v>326</v>
      </c>
      <c r="C1777" s="528">
        <f>SUMIF('12F'!$B$2:$B$12,5,'12F'!$L$2:$L$12)</f>
        <v>36</v>
      </c>
      <c r="D1777" s="528">
        <f>ROUND(C1777/$C$1795*$D$1795,0)</f>
        <v>37</v>
      </c>
      <c r="F1777" s="1901">
        <v>17.73</v>
      </c>
      <c r="G1777" s="1902"/>
      <c r="H1777" s="1644">
        <f>ROUND(C1777*$F1777,0)</f>
        <v>638</v>
      </c>
      <c r="I1777" s="1644">
        <f>ROUND(D1777*$F1777,0)</f>
        <v>656</v>
      </c>
      <c r="K1777" s="1901"/>
      <c r="L1777" s="1902"/>
      <c r="M1777" s="1901"/>
      <c r="N1777" s="1902"/>
      <c r="O1777" s="1901"/>
      <c r="P1777" s="1902"/>
      <c r="Q1777" s="1901"/>
      <c r="R1777" s="1902"/>
      <c r="S1777" s="1643"/>
      <c r="T1777" s="1643"/>
      <c r="U1777" s="1643"/>
      <c r="V1777" s="1643"/>
      <c r="W1777" s="1643"/>
      <c r="X1777" s="1643"/>
      <c r="Y1777" s="1644"/>
      <c r="AI1777" s="2023">
        <f>W1777-'Blocking-Step2'!W1777</f>
        <v>0</v>
      </c>
      <c r="AJ1777" s="2054">
        <f>O1777-'Blocking-Step2'!O1777</f>
        <v>0</v>
      </c>
    </row>
    <row r="1778" spans="1:36">
      <c r="A1778" s="1900" t="s">
        <v>327</v>
      </c>
      <c r="C1778" s="528">
        <f>SUMIF('12F'!$B$2:$B$12,7,'12F'!$L$2:$L$12)</f>
        <v>12</v>
      </c>
      <c r="D1778" s="528">
        <f>ROUND(C1778/$C$1795*$D$1795,0)</f>
        <v>12</v>
      </c>
      <c r="F1778" s="1901">
        <v>23.4</v>
      </c>
      <c r="G1778" s="1902"/>
      <c r="H1778" s="1644">
        <f>ROUND(C1778*$F1778,0)</f>
        <v>281</v>
      </c>
      <c r="I1778" s="1644">
        <f>ROUND(D1778*$F1778,0)</f>
        <v>281</v>
      </c>
      <c r="K1778" s="1901"/>
      <c r="L1778" s="1902"/>
      <c r="M1778" s="1901"/>
      <c r="N1778" s="1902"/>
      <c r="O1778" s="1901"/>
      <c r="P1778" s="1902"/>
      <c r="Q1778" s="1901"/>
      <c r="R1778" s="1902"/>
      <c r="S1778" s="1643"/>
      <c r="T1778" s="1643"/>
      <c r="U1778" s="1643"/>
      <c r="V1778" s="1643"/>
      <c r="W1778" s="1643"/>
      <c r="X1778" s="1643"/>
      <c r="Y1778" s="1644"/>
      <c r="AI1778" s="2023">
        <f>W1778-'Blocking-Step2'!W1778</f>
        <v>0</v>
      </c>
      <c r="AJ1778" s="2054">
        <f>O1778-'Blocking-Step2'!O1778</f>
        <v>0</v>
      </c>
    </row>
    <row r="1779" spans="1:36">
      <c r="A1779" s="1960" t="s">
        <v>329</v>
      </c>
      <c r="C1779" s="528"/>
      <c r="D1779" s="528"/>
      <c r="W1779" s="1643"/>
      <c r="AI1779" s="2023">
        <f>W1779-'Blocking-Step2'!W1779</f>
        <v>0</v>
      </c>
      <c r="AJ1779" s="2054">
        <f>O1779-'Blocking-Step2'!O1779</f>
        <v>0</v>
      </c>
    </row>
    <row r="1780" spans="1:36">
      <c r="A1780" s="1900" t="s">
        <v>266</v>
      </c>
      <c r="C1780" s="528">
        <f>SUMIF('12F'!$B$2:$B$12,11,'12F'!$L$2:$L$12)</f>
        <v>24</v>
      </c>
      <c r="D1780" s="528">
        <f t="shared" ref="D1780:D1782" si="996">ROUND(C1780/$C$1795*$D$1795,0)</f>
        <v>25</v>
      </c>
      <c r="F1780" s="1901">
        <v>8.0299999999999994</v>
      </c>
      <c r="G1780" s="1902"/>
      <c r="H1780" s="1644">
        <f t="shared" ref="H1780:I1782" si="997">ROUND(C1780*$F1780,0)</f>
        <v>193</v>
      </c>
      <c r="I1780" s="1644">
        <f t="shared" si="997"/>
        <v>201</v>
      </c>
      <c r="K1780" s="1901"/>
      <c r="L1780" s="1902"/>
      <c r="M1780" s="1901"/>
      <c r="N1780" s="1902"/>
      <c r="O1780" s="1901"/>
      <c r="P1780" s="1902"/>
      <c r="Q1780" s="1901"/>
      <c r="R1780" s="1902"/>
      <c r="S1780" s="1643"/>
      <c r="T1780" s="1643"/>
      <c r="U1780" s="1643"/>
      <c r="V1780" s="1643"/>
      <c r="W1780" s="1643"/>
      <c r="X1780" s="1643"/>
      <c r="Y1780" s="1644"/>
      <c r="AI1780" s="2023">
        <f>W1780-'Blocking-Step2'!W1780</f>
        <v>0</v>
      </c>
      <c r="AJ1780" s="2054">
        <f>O1780-'Blocking-Step2'!O1780</f>
        <v>0</v>
      </c>
    </row>
    <row r="1781" spans="1:36">
      <c r="A1781" s="1900" t="s">
        <v>268</v>
      </c>
      <c r="C1781" s="528">
        <f>SUMIF('12F'!$B$2:$B$12,15,'12F'!$L$2:$L$12)</f>
        <v>0</v>
      </c>
      <c r="D1781" s="528">
        <f t="shared" si="996"/>
        <v>0</v>
      </c>
      <c r="F1781" s="1901">
        <v>15.3</v>
      </c>
      <c r="G1781" s="1902"/>
      <c r="H1781" s="1644">
        <f t="shared" si="997"/>
        <v>0</v>
      </c>
      <c r="I1781" s="1644">
        <f t="shared" si="997"/>
        <v>0</v>
      </c>
      <c r="K1781" s="1901"/>
      <c r="L1781" s="1902"/>
      <c r="M1781" s="1901"/>
      <c r="N1781" s="1902"/>
      <c r="O1781" s="1901"/>
      <c r="P1781" s="1902"/>
      <c r="Q1781" s="1901"/>
      <c r="R1781" s="1902"/>
      <c r="S1781" s="1643"/>
      <c r="T1781" s="1643"/>
      <c r="U1781" s="1643"/>
      <c r="V1781" s="1643"/>
      <c r="W1781" s="1643"/>
      <c r="X1781" s="1643"/>
      <c r="Y1781" s="1644"/>
      <c r="AI1781" s="2023">
        <f>W1781-'Blocking-Step2'!W1781</f>
        <v>0</v>
      </c>
      <c r="AJ1781" s="2054">
        <f>O1781-'Blocking-Step2'!O1781</f>
        <v>0</v>
      </c>
    </row>
    <row r="1782" spans="1:36">
      <c r="A1782" s="1900" t="s">
        <v>343</v>
      </c>
      <c r="C1782" s="584">
        <f>SUMIF('12F'!$B$2:$B$12,19,'12F'!$L$2:$L$12)</f>
        <v>0</v>
      </c>
      <c r="D1782" s="528">
        <f t="shared" si="996"/>
        <v>0</v>
      </c>
      <c r="F1782" s="1902">
        <v>32.479999999999997</v>
      </c>
      <c r="G1782" s="1902"/>
      <c r="H1782" s="1644">
        <f t="shared" si="997"/>
        <v>0</v>
      </c>
      <c r="I1782" s="1644">
        <f t="shared" si="997"/>
        <v>0</v>
      </c>
      <c r="K1782" s="1901"/>
      <c r="L1782" s="1902"/>
      <c r="M1782" s="1901"/>
      <c r="N1782" s="1902"/>
      <c r="O1782" s="1901"/>
      <c r="P1782" s="1902"/>
      <c r="Q1782" s="1902"/>
      <c r="R1782" s="1902"/>
      <c r="S1782" s="1643"/>
      <c r="T1782" s="1643"/>
      <c r="U1782" s="1643"/>
      <c r="V1782" s="1643"/>
      <c r="W1782" s="1643"/>
      <c r="X1782" s="1643"/>
      <c r="Y1782" s="1644"/>
      <c r="AI1782" s="2023">
        <f>W1782-'Blocking-Step2'!W1782</f>
        <v>0</v>
      </c>
      <c r="AJ1782" s="2054">
        <f>O1782-'Blocking-Step2'!O1782</f>
        <v>0</v>
      </c>
    </row>
    <row r="1783" spans="1:36" ht="14.25" customHeight="1">
      <c r="A1783" s="1960" t="s">
        <v>330</v>
      </c>
      <c r="C1783" s="528"/>
      <c r="D1783" s="528"/>
      <c r="F1783" s="1944"/>
      <c r="G1783" s="597"/>
      <c r="H1783" s="1644"/>
      <c r="I1783" s="1644"/>
      <c r="K1783" s="1944"/>
      <c r="L1783" s="597"/>
      <c r="M1783" s="1944"/>
      <c r="N1783" s="597"/>
      <c r="O1783" s="1944"/>
      <c r="P1783" s="597"/>
      <c r="Q1783" s="1944"/>
      <c r="R1783" s="597"/>
      <c r="S1783" s="1645"/>
      <c r="T1783" s="1645"/>
      <c r="U1783" s="1645"/>
      <c r="V1783" s="1645"/>
      <c r="W1783" s="1643"/>
      <c r="X1783" s="1645"/>
      <c r="Y1783" s="1644"/>
      <c r="AI1783" s="2023">
        <f>W1783-'Blocking-Step2'!W1783</f>
        <v>0</v>
      </c>
      <c r="AJ1783" s="2054">
        <f>O1783-'Blocking-Step2'!O1783</f>
        <v>0</v>
      </c>
    </row>
    <row r="1784" spans="1:36">
      <c r="A1784" s="1900" t="s">
        <v>332</v>
      </c>
      <c r="C1784" s="528">
        <f>SUMIF('12F'!$B$2:$B$12,21,'12F'!$L$2:$L$12)</f>
        <v>4038.05982905983</v>
      </c>
      <c r="D1784" s="528">
        <f t="shared" ref="D1784:D1789" si="998">ROUND(C1784/$C$1795*$D$1795,0)</f>
        <v>4183</v>
      </c>
      <c r="F1784" s="1901">
        <v>4.68</v>
      </c>
      <c r="G1784" s="1902"/>
      <c r="H1784" s="1644">
        <f t="shared" ref="H1784:I1789" si="999">ROUND(C1784*$F1784,0)</f>
        <v>18898</v>
      </c>
      <c r="I1784" s="1644">
        <f t="shared" si="999"/>
        <v>19576</v>
      </c>
      <c r="K1784" s="1901"/>
      <c r="L1784" s="1902"/>
      <c r="M1784" s="1901"/>
      <c r="N1784" s="1902"/>
      <c r="O1784" s="1901"/>
      <c r="P1784" s="1902"/>
      <c r="Q1784" s="1901"/>
      <c r="R1784" s="1902"/>
      <c r="S1784" s="1643"/>
      <c r="T1784" s="1643"/>
      <c r="U1784" s="1643"/>
      <c r="V1784" s="1643"/>
      <c r="W1784" s="1643"/>
      <c r="X1784" s="1643"/>
      <c r="Y1784" s="1644"/>
      <c r="AI1784" s="2023">
        <f>W1784-'Blocking-Step2'!W1784</f>
        <v>0</v>
      </c>
      <c r="AJ1784" s="2054">
        <f>O1784-'Blocking-Step2'!O1784</f>
        <v>0</v>
      </c>
    </row>
    <row r="1785" spans="1:36">
      <c r="A1785" s="1900" t="s">
        <v>333</v>
      </c>
      <c r="C1785" s="528">
        <f>SUMIF('12F'!$B$2:$B$12,23,'12F'!$L$2:$L$12)</f>
        <v>6914.6444805194797</v>
      </c>
      <c r="D1785" s="528">
        <f t="shared" si="998"/>
        <v>7164</v>
      </c>
      <c r="F1785" s="1901">
        <v>6.16</v>
      </c>
      <c r="G1785" s="1902"/>
      <c r="H1785" s="1644">
        <f t="shared" si="999"/>
        <v>42594</v>
      </c>
      <c r="I1785" s="1644">
        <f t="shared" si="999"/>
        <v>44130</v>
      </c>
      <c r="K1785" s="1901"/>
      <c r="L1785" s="1902"/>
      <c r="M1785" s="1901"/>
      <c r="N1785" s="1902"/>
      <c r="O1785" s="1901"/>
      <c r="P1785" s="1902"/>
      <c r="Q1785" s="1901"/>
      <c r="R1785" s="1902"/>
      <c r="S1785" s="1643"/>
      <c r="T1785" s="1643"/>
      <c r="U1785" s="1643"/>
      <c r="V1785" s="1643"/>
      <c r="W1785" s="1643"/>
      <c r="X1785" s="1643"/>
      <c r="Y1785" s="1644"/>
      <c r="AI1785" s="2023">
        <f>W1785-'Blocking-Step2'!W1785</f>
        <v>0</v>
      </c>
      <c r="AJ1785" s="2054">
        <f>O1785-'Blocking-Step2'!O1785</f>
        <v>0</v>
      </c>
    </row>
    <row r="1786" spans="1:36">
      <c r="A1786" s="1900" t="s">
        <v>334</v>
      </c>
      <c r="C1786" s="528">
        <f>SUMIF('12F'!$B$2:$B$12,25,'12F'!$L$2:$L$12)</f>
        <v>576</v>
      </c>
      <c r="D1786" s="528">
        <f t="shared" si="998"/>
        <v>597</v>
      </c>
      <c r="F1786" s="1901">
        <v>7.47</v>
      </c>
      <c r="G1786" s="1902"/>
      <c r="H1786" s="1644">
        <f t="shared" si="999"/>
        <v>4303</v>
      </c>
      <c r="I1786" s="1644">
        <f t="shared" si="999"/>
        <v>4460</v>
      </c>
      <c r="K1786" s="1901"/>
      <c r="L1786" s="1902"/>
      <c r="M1786" s="1901"/>
      <c r="N1786" s="1902"/>
      <c r="O1786" s="1901"/>
      <c r="P1786" s="1902"/>
      <c r="Q1786" s="1901"/>
      <c r="R1786" s="1902"/>
      <c r="S1786" s="1643"/>
      <c r="T1786" s="1643"/>
      <c r="U1786" s="1643"/>
      <c r="V1786" s="1643"/>
      <c r="W1786" s="1643"/>
      <c r="X1786" s="1643"/>
      <c r="Y1786" s="1644"/>
      <c r="AI1786" s="2023">
        <f>W1786-'Blocking-Step2'!W1786</f>
        <v>0</v>
      </c>
      <c r="AJ1786" s="2054">
        <f>O1786-'Blocking-Step2'!O1786</f>
        <v>0</v>
      </c>
    </row>
    <row r="1787" spans="1:36">
      <c r="A1787" s="1900" t="s">
        <v>276</v>
      </c>
      <c r="C1787" s="528">
        <f>SUMIF('12F'!$B$2:$B$12,45,'12F'!$L$2:$L$12)</f>
        <v>0</v>
      </c>
      <c r="D1787" s="528">
        <f t="shared" si="998"/>
        <v>0</v>
      </c>
      <c r="F1787" s="1901">
        <v>9.44</v>
      </c>
      <c r="G1787" s="1902"/>
      <c r="H1787" s="1644">
        <f t="shared" si="999"/>
        <v>0</v>
      </c>
      <c r="I1787" s="1644">
        <f t="shared" si="999"/>
        <v>0</v>
      </c>
      <c r="K1787" s="1901"/>
      <c r="L1787" s="1902"/>
      <c r="M1787" s="1901"/>
      <c r="N1787" s="1902"/>
      <c r="O1787" s="1901"/>
      <c r="P1787" s="1902"/>
      <c r="Q1787" s="1901"/>
      <c r="R1787" s="1902"/>
      <c r="S1787" s="1643"/>
      <c r="T1787" s="1643"/>
      <c r="U1787" s="1643"/>
      <c r="V1787" s="1643"/>
      <c r="W1787" s="1643"/>
      <c r="X1787" s="1643"/>
      <c r="Y1787" s="1644"/>
      <c r="AI1787" s="2023">
        <f>W1787-'Blocking-Step2'!W1787</f>
        <v>0</v>
      </c>
      <c r="AJ1787" s="2054">
        <f>O1787-'Blocking-Step2'!O1787</f>
        <v>0</v>
      </c>
    </row>
    <row r="1788" spans="1:36">
      <c r="A1788" s="1900" t="s">
        <v>335</v>
      </c>
      <c r="C1788" s="528">
        <f>SUMIF('12F'!$B$2:$B$12,27,'12F'!$L$2:$L$12)</f>
        <v>1223.2984531392201</v>
      </c>
      <c r="D1788" s="528">
        <f t="shared" si="998"/>
        <v>1267</v>
      </c>
      <c r="F1788" s="1901">
        <v>10.99</v>
      </c>
      <c r="G1788" s="1902"/>
      <c r="H1788" s="1644">
        <f t="shared" si="999"/>
        <v>13444</v>
      </c>
      <c r="I1788" s="1644">
        <f t="shared" si="999"/>
        <v>13924</v>
      </c>
      <c r="K1788" s="1901"/>
      <c r="L1788" s="1902"/>
      <c r="M1788" s="1901"/>
      <c r="N1788" s="1902"/>
      <c r="O1788" s="1901"/>
      <c r="P1788" s="1902"/>
      <c r="Q1788" s="1901"/>
      <c r="R1788" s="1902"/>
      <c r="S1788" s="1643"/>
      <c r="T1788" s="1643"/>
      <c r="U1788" s="1643"/>
      <c r="V1788" s="1643"/>
      <c r="W1788" s="1643"/>
      <c r="X1788" s="1643"/>
      <c r="Y1788" s="1644"/>
      <c r="AI1788" s="2023">
        <f>W1788-'Blocking-Step2'!W1788</f>
        <v>0</v>
      </c>
      <c r="AJ1788" s="2054">
        <f>O1788-'Blocking-Step2'!O1788</f>
        <v>0</v>
      </c>
    </row>
    <row r="1789" spans="1:36">
      <c r="A1789" s="1900" t="s">
        <v>336</v>
      </c>
      <c r="C1789" s="528">
        <f>SUMIF('12F'!$B$2:$B$12,29,'12F'!$L$2:$L$12)</f>
        <v>1599.822721598</v>
      </c>
      <c r="D1789" s="528">
        <f t="shared" si="998"/>
        <v>1657</v>
      </c>
      <c r="F1789" s="1901">
        <v>16.02</v>
      </c>
      <c r="G1789" s="1902"/>
      <c r="H1789" s="1644">
        <f t="shared" si="999"/>
        <v>25629</v>
      </c>
      <c r="I1789" s="1644">
        <f t="shared" si="999"/>
        <v>26545</v>
      </c>
      <c r="K1789" s="1901"/>
      <c r="L1789" s="1902"/>
      <c r="M1789" s="1901"/>
      <c r="N1789" s="1902"/>
      <c r="O1789" s="1901"/>
      <c r="P1789" s="1902"/>
      <c r="Q1789" s="1901"/>
      <c r="R1789" s="1902"/>
      <c r="S1789" s="1643"/>
      <c r="T1789" s="1643"/>
      <c r="U1789" s="1643"/>
      <c r="V1789" s="1643"/>
      <c r="W1789" s="1643"/>
      <c r="X1789" s="1643"/>
      <c r="Y1789" s="1644"/>
      <c r="AI1789" s="2023">
        <f>W1789-'Blocking-Step2'!W1789</f>
        <v>0</v>
      </c>
      <c r="AJ1789" s="2054">
        <f>O1789-'Blocking-Step2'!O1789</f>
        <v>0</v>
      </c>
    </row>
    <row r="1790" spans="1:36">
      <c r="A1790" s="1960" t="s">
        <v>348</v>
      </c>
      <c r="C1790" s="528"/>
      <c r="D1790" s="528"/>
      <c r="W1790" s="1643"/>
      <c r="AI1790" s="2023">
        <f>W1790-'Blocking-Step2'!W1790</f>
        <v>0</v>
      </c>
      <c r="AJ1790" s="2054">
        <f>O1790-'Blocking-Step2'!O1790</f>
        <v>0</v>
      </c>
    </row>
    <row r="1791" spans="1:36">
      <c r="A1791" s="1900" t="s">
        <v>349</v>
      </c>
      <c r="C1791" s="528">
        <f>SUMIF('12F'!$B$2:$B$12,31,'12F'!$L$2:$L$12)</f>
        <v>33.533376123234902</v>
      </c>
      <c r="D1791" s="528">
        <f t="shared" ref="D1791:D1794" si="1000">ROUND(C1791/$C$1795*$D$1795,0)</f>
        <v>35</v>
      </c>
      <c r="F1791" s="1901">
        <v>15.58</v>
      </c>
      <c r="G1791" s="1902"/>
      <c r="H1791" s="1644">
        <f t="shared" ref="H1791:I1794" si="1001">ROUND(C1791*$F1791,0)</f>
        <v>522</v>
      </c>
      <c r="I1791" s="1644">
        <f t="shared" si="1001"/>
        <v>545</v>
      </c>
      <c r="K1791" s="1901"/>
      <c r="L1791" s="1902"/>
      <c r="M1791" s="1901"/>
      <c r="N1791" s="1902"/>
      <c r="O1791" s="1901"/>
      <c r="P1791" s="1902"/>
      <c r="Q1791" s="1901"/>
      <c r="R1791" s="1902"/>
      <c r="S1791" s="1643"/>
      <c r="T1791" s="1643"/>
      <c r="U1791" s="1643"/>
      <c r="V1791" s="1643"/>
      <c r="W1791" s="1643"/>
      <c r="X1791" s="1643"/>
      <c r="Y1791" s="1644"/>
      <c r="AI1791" s="2023">
        <f>W1791-'Blocking-Step2'!W1791</f>
        <v>0</v>
      </c>
      <c r="AJ1791" s="2054">
        <f>O1791-'Blocking-Step2'!O1791</f>
        <v>0</v>
      </c>
    </row>
    <row r="1792" spans="1:36">
      <c r="A1792" s="1900" t="s">
        <v>350</v>
      </c>
      <c r="C1792" s="528">
        <f>SUMIF('12F'!$B$2:$B$12,33,'12F'!$L$2:$L$12)</f>
        <v>722.34392879847405</v>
      </c>
      <c r="D1792" s="528">
        <f t="shared" si="1000"/>
        <v>748</v>
      </c>
      <c r="F1792" s="1901">
        <v>15.73</v>
      </c>
      <c r="G1792" s="1902"/>
      <c r="H1792" s="1644">
        <f t="shared" si="1001"/>
        <v>11362</v>
      </c>
      <c r="I1792" s="1644">
        <f t="shared" si="1001"/>
        <v>11766</v>
      </c>
      <c r="K1792" s="1901"/>
      <c r="L1792" s="1902"/>
      <c r="M1792" s="1901"/>
      <c r="N1792" s="1902"/>
      <c r="O1792" s="1901"/>
      <c r="P1792" s="1902"/>
      <c r="Q1792" s="1901"/>
      <c r="R1792" s="1902"/>
      <c r="S1792" s="1643"/>
      <c r="T1792" s="1643"/>
      <c r="U1792" s="1643"/>
      <c r="V1792" s="1643"/>
      <c r="W1792" s="1643"/>
      <c r="X1792" s="1643"/>
      <c r="Y1792" s="1644"/>
      <c r="AI1792" s="2023">
        <f>W1792-'Blocking-Step2'!W1792</f>
        <v>0</v>
      </c>
      <c r="AJ1792" s="2054">
        <f>O1792-'Blocking-Step2'!O1792</f>
        <v>0</v>
      </c>
    </row>
    <row r="1793" spans="1:36">
      <c r="A1793" s="1900" t="s">
        <v>351</v>
      </c>
      <c r="C1793" s="528">
        <f>SUMIF('12F'!$B$2:$B$12,35,'12F'!$L$2:$L$12)</f>
        <v>672.36662679425797</v>
      </c>
      <c r="D1793" s="528">
        <f t="shared" si="1000"/>
        <v>697</v>
      </c>
      <c r="F1793" s="1901">
        <v>16.72</v>
      </c>
      <c r="G1793" s="1902"/>
      <c r="H1793" s="1644">
        <f t="shared" si="1001"/>
        <v>11242</v>
      </c>
      <c r="I1793" s="1644">
        <f t="shared" si="1001"/>
        <v>11654</v>
      </c>
      <c r="K1793" s="1901"/>
      <c r="L1793" s="1902"/>
      <c r="M1793" s="1901"/>
      <c r="N1793" s="1902"/>
      <c r="O1793" s="1901"/>
      <c r="P1793" s="1902"/>
      <c r="Q1793" s="1901"/>
      <c r="R1793" s="1902"/>
      <c r="S1793" s="1643"/>
      <c r="T1793" s="1643"/>
      <c r="U1793" s="1643"/>
      <c r="V1793" s="1643"/>
      <c r="W1793" s="1643"/>
      <c r="X1793" s="1643"/>
      <c r="Y1793" s="1644"/>
      <c r="AI1793" s="2023">
        <f>W1793-'Blocking-Step2'!W1793</f>
        <v>0</v>
      </c>
      <c r="AJ1793" s="2054">
        <f>O1793-'Blocking-Step2'!O1793</f>
        <v>0</v>
      </c>
    </row>
    <row r="1794" spans="1:36">
      <c r="A1794" s="1900" t="s">
        <v>352</v>
      </c>
      <c r="C1794" s="528">
        <f>SUMIF('12F'!$B$2:$B$12,37,'12F'!$L$2:$L$12)</f>
        <v>0</v>
      </c>
      <c r="D1794" s="528">
        <f t="shared" si="1000"/>
        <v>0</v>
      </c>
      <c r="F1794" s="1901">
        <v>33.049999999999997</v>
      </c>
      <c r="G1794" s="1902"/>
      <c r="H1794" s="1644">
        <f t="shared" si="1001"/>
        <v>0</v>
      </c>
      <c r="I1794" s="1644">
        <f t="shared" si="1001"/>
        <v>0</v>
      </c>
      <c r="K1794" s="1901"/>
      <c r="L1794" s="1902"/>
      <c r="M1794" s="1901"/>
      <c r="N1794" s="1902"/>
      <c r="O1794" s="1901"/>
      <c r="P1794" s="1902"/>
      <c r="Q1794" s="1901"/>
      <c r="R1794" s="1902"/>
      <c r="S1794" s="1643"/>
      <c r="T1794" s="1643"/>
      <c r="U1794" s="1643"/>
      <c r="V1794" s="1643"/>
      <c r="W1794" s="1643"/>
      <c r="X1794" s="1643"/>
      <c r="Y1794" s="1644"/>
      <c r="AI1794" s="2023">
        <f>W1794-'Blocking-Step2'!W1794</f>
        <v>0</v>
      </c>
      <c r="AJ1794" s="2054">
        <f>O1794-'Blocking-Step2'!O1794</f>
        <v>0</v>
      </c>
    </row>
    <row r="1795" spans="1:36">
      <c r="A1795" s="1960" t="s">
        <v>506</v>
      </c>
      <c r="C1795" s="529">
        <f>'12F'!M14</f>
        <v>946976.17346773273</v>
      </c>
      <c r="D1795" s="529">
        <f>Energy!P88</f>
        <v>981077.54006849322</v>
      </c>
      <c r="F1795" s="1976"/>
      <c r="H1795" s="1030">
        <f>SUM(H1777:H1794)</f>
        <v>129106</v>
      </c>
      <c r="I1795" s="1030">
        <f>SUM(I1777:I1794)</f>
        <v>133738</v>
      </c>
      <c r="K1795" s="1976"/>
      <c r="M1795" s="1976"/>
      <c r="O1795" s="1976"/>
      <c r="Q1795" s="1976"/>
      <c r="S1795" s="1030"/>
      <c r="U1795" s="1030"/>
      <c r="W1795" s="1030"/>
      <c r="Y1795" s="1030"/>
      <c r="AA1795" s="1932" t="s">
        <v>1940</v>
      </c>
      <c r="AB1795" s="1932"/>
      <c r="AC1795" s="1932"/>
      <c r="AD1795" s="1932"/>
      <c r="AI1795" s="2023">
        <f>W1795-'Blocking-Step2'!W1795</f>
        <v>0</v>
      </c>
      <c r="AJ1795" s="2054">
        <f>O1795-'Blocking-Step2'!O1795</f>
        <v>0</v>
      </c>
    </row>
    <row r="1796" spans="1:36">
      <c r="A1796" s="1960" t="s">
        <v>136</v>
      </c>
      <c r="C1796" s="584">
        <f>'Table 2'!J139</f>
        <v>-35087</v>
      </c>
      <c r="D1796" s="584">
        <v>0</v>
      </c>
      <c r="F1796" s="1902"/>
      <c r="G1796" s="1921"/>
      <c r="H1796" s="1645">
        <f>'Table 3'!F139</f>
        <v>-4439</v>
      </c>
      <c r="I1796" s="1030">
        <v>0</v>
      </c>
      <c r="K1796" s="1902"/>
      <c r="L1796" s="1921"/>
      <c r="M1796" s="1902"/>
      <c r="N1796" s="1921"/>
      <c r="O1796" s="1902"/>
      <c r="P1796" s="1921"/>
      <c r="Q1796" s="1902"/>
      <c r="R1796" s="1921"/>
      <c r="S1796" s="1030"/>
      <c r="T1796" s="1648"/>
      <c r="U1796" s="1030"/>
      <c r="V1796" s="1648"/>
      <c r="W1796" s="1030"/>
      <c r="X1796" s="1648"/>
      <c r="Y1796" s="1030"/>
      <c r="AA1796" s="1933" t="s">
        <v>1660</v>
      </c>
      <c r="AB1796" s="1933" t="s">
        <v>1661</v>
      </c>
      <c r="AC1796" s="1933" t="s">
        <v>1662</v>
      </c>
      <c r="AD1796" s="1933" t="s">
        <v>93</v>
      </c>
      <c r="AI1796" s="2023">
        <f>W1796-'Blocking-Step2'!W1796</f>
        <v>0</v>
      </c>
      <c r="AJ1796" s="2054">
        <f>O1796-'Blocking-Step2'!O1796</f>
        <v>0</v>
      </c>
    </row>
    <row r="1797" spans="1:36">
      <c r="A1797" s="1900" t="s">
        <v>1240</v>
      </c>
      <c r="C1797" s="584"/>
      <c r="D1797" s="584"/>
      <c r="F1797" s="1930">
        <v>-1.9800000000000002E-2</v>
      </c>
      <c r="G1797" s="597"/>
      <c r="H1797" s="1644">
        <f>H1795*$F1797</f>
        <v>-2556.2988</v>
      </c>
      <c r="I1797" s="1644">
        <f>I1795*$F1797</f>
        <v>-2648.0124000000001</v>
      </c>
      <c r="K1797" s="1930"/>
      <c r="L1797" s="597"/>
      <c r="M1797" s="1930"/>
      <c r="N1797" s="597"/>
      <c r="O1797" s="1931"/>
      <c r="P1797" s="597"/>
      <c r="Q1797" s="1930"/>
      <c r="R1797" s="597"/>
      <c r="S1797" s="1644"/>
      <c r="T1797" s="1645"/>
      <c r="U1797" s="1644"/>
      <c r="V1797" s="1645"/>
      <c r="W1797" s="1644"/>
      <c r="X1797" s="1645"/>
      <c r="Y1797" s="1644"/>
      <c r="AA1797" s="1937">
        <f>'Unit Cost Target'!$G$87+'Unit Cost Target'!$G$123+'Unit Cost Target'!$G$129+'Unit Cost Target'!$G$75+'Unit Cost Target'!$G$81</f>
        <v>4802703.942679856</v>
      </c>
      <c r="AB1797" s="1937">
        <f>'Unit Cost Target'!$G$45+'Unit Cost Target'!$G$51</f>
        <v>710428.78165706934</v>
      </c>
      <c r="AC1797" s="1937">
        <f>'Unit Cost Target'!$G$33+'Unit Cost Target'!$G$39+'Unit Cost Target'!$G$63+'Unit Cost Target'!$G$69</f>
        <v>1032568.1340017286</v>
      </c>
      <c r="AD1797" s="1937">
        <f>SUM(AA1797:AC1797)</f>
        <v>6545700.858338654</v>
      </c>
      <c r="AE1797" s="1937">
        <f>AD1797-'Unit Cost Target'!$G$21</f>
        <v>0</v>
      </c>
      <c r="AI1797" s="2023">
        <f>W1797-'Blocking-Step2'!W1797</f>
        <v>0</v>
      </c>
      <c r="AJ1797" s="2054">
        <f>O1797-'Blocking-Step2'!O1797</f>
        <v>0</v>
      </c>
    </row>
    <row r="1798" spans="1:36">
      <c r="A1798" s="1900"/>
      <c r="C1798" s="584"/>
      <c r="D1798" s="584"/>
      <c r="F1798" s="1930"/>
      <c r="G1798" s="597"/>
      <c r="H1798" s="1644"/>
      <c r="I1798" s="1644"/>
      <c r="K1798" s="1930"/>
      <c r="L1798" s="597"/>
      <c r="M1798" s="1930"/>
      <c r="N1798" s="597"/>
      <c r="O1798" s="1931"/>
      <c r="P1798" s="597"/>
      <c r="Q1798" s="1930"/>
      <c r="R1798" s="597"/>
      <c r="S1798" s="1644"/>
      <c r="T1798" s="1645"/>
      <c r="U1798" s="1644"/>
      <c r="V1798" s="1645"/>
      <c r="W1798" s="1644"/>
      <c r="X1798" s="1645"/>
      <c r="Y1798" s="1644"/>
      <c r="AA1798" s="1937">
        <f>S1807-SUM(S1721:S1806)</f>
        <v>1029310.8587477091</v>
      </c>
      <c r="AB1798" s="1937">
        <f>U1807-SUM(U1721:U1806)</f>
        <v>152258.40860773448</v>
      </c>
      <c r="AC1798" s="1937">
        <f>W1807-SUM(W1721:W1806)</f>
        <v>221299.00268884574</v>
      </c>
      <c r="AD1798" s="1937">
        <f>SUM(AA1798:AC1798)</f>
        <v>1402868.2700442891</v>
      </c>
      <c r="AE1798" s="1937"/>
      <c r="AI1798" s="2023">
        <f>W1798-'Blocking-Step2'!W1798</f>
        <v>0</v>
      </c>
      <c r="AJ1798" s="2054">
        <f>O1798-'Blocking-Step2'!O1798</f>
        <v>0</v>
      </c>
    </row>
    <row r="1799" spans="1:36">
      <c r="A1799" s="1960" t="s">
        <v>93</v>
      </c>
      <c r="C1799" s="584">
        <f>SUM(C1795:C1796)</f>
        <v>911889.17346773273</v>
      </c>
      <c r="D1799" s="584">
        <f>SUM(D1795:D1796)</f>
        <v>981077.54006849322</v>
      </c>
      <c r="F1799" s="1902"/>
      <c r="G1799" s="1921"/>
      <c r="H1799" s="1645">
        <f>SUM(H1795:H1797)</f>
        <v>122110.7012</v>
      </c>
      <c r="I1799" s="1645">
        <f>SUM(I1795:I1797)</f>
        <v>131089.98759999999</v>
      </c>
      <c r="K1799" s="1902"/>
      <c r="L1799" s="1921"/>
      <c r="M1799" s="1902"/>
      <c r="N1799" s="1921"/>
      <c r="O1799" s="1902"/>
      <c r="P1799" s="1921"/>
      <c r="Q1799" s="1902"/>
      <c r="R1799" s="1921"/>
      <c r="S1799" s="1645"/>
      <c r="T1799" s="1648"/>
      <c r="U1799" s="1645"/>
      <c r="V1799" s="1648"/>
      <c r="W1799" s="1645"/>
      <c r="X1799" s="1648"/>
      <c r="Y1799" s="1645"/>
      <c r="AI1799" s="2023">
        <f>W1799-'Blocking-Step2'!W1799</f>
        <v>0</v>
      </c>
      <c r="AJ1799" s="2054">
        <f>O1799-'Blocking-Step2'!O1799</f>
        <v>0</v>
      </c>
    </row>
    <row r="1800" spans="1:36">
      <c r="A1800" s="1960" t="s">
        <v>778</v>
      </c>
      <c r="C1800" s="529">
        <f>'Table 2'!F139</f>
        <v>67</v>
      </c>
      <c r="D1800" s="529">
        <f>ROUND(Bill!P88/12,0)</f>
        <v>69</v>
      </c>
      <c r="F1800" s="1976"/>
      <c r="H1800" s="1030"/>
      <c r="I1800" s="1030"/>
      <c r="K1800" s="1976"/>
      <c r="M1800" s="1976"/>
      <c r="O1800" s="1976"/>
      <c r="Q1800" s="1976"/>
      <c r="S1800" s="1030"/>
      <c r="U1800" s="1030"/>
      <c r="W1800" s="1030"/>
      <c r="Y1800" s="1030"/>
      <c r="AI1800" s="2023">
        <f>W1800-'Blocking-Step2'!W1800</f>
        <v>0</v>
      </c>
      <c r="AJ1800" s="2054">
        <f>O1800-'Blocking-Step2'!O1800</f>
        <v>0</v>
      </c>
    </row>
    <row r="1801" spans="1:36">
      <c r="A1801" s="1900"/>
      <c r="C1801" s="584"/>
      <c r="D1801" s="584"/>
      <c r="F1801" s="1902"/>
      <c r="G1801" s="1902"/>
      <c r="H1801" s="1645"/>
      <c r="I1801" s="1645"/>
      <c r="K1801" s="1902"/>
      <c r="L1801" s="1902"/>
      <c r="M1801" s="1902"/>
      <c r="N1801" s="1902"/>
      <c r="O1801" s="1902"/>
      <c r="P1801" s="1902"/>
      <c r="Q1801" s="1902"/>
      <c r="R1801" s="1902"/>
      <c r="S1801" s="1645"/>
      <c r="T1801" s="1643"/>
      <c r="U1801" s="1645"/>
      <c r="V1801" s="1643"/>
      <c r="W1801" s="1645"/>
      <c r="X1801" s="1643"/>
      <c r="Y1801" s="1645"/>
      <c r="AI1801" s="2023">
        <f>W1801-'Blocking-Step2'!W1801</f>
        <v>0</v>
      </c>
      <c r="AJ1801" s="2054">
        <f>O1801-'Blocking-Step2'!O1801</f>
        <v>0</v>
      </c>
    </row>
    <row r="1802" spans="1:36">
      <c r="A1802" s="1900" t="s">
        <v>37</v>
      </c>
      <c r="C1802" s="585">
        <f>C1732+C1769+C1795</f>
        <v>45421495.526070856</v>
      </c>
      <c r="D1802" s="585">
        <f>D1732+D1769+D1795</f>
        <v>26868874.204370789</v>
      </c>
      <c r="F1802" s="1976"/>
      <c r="H1802" s="1030">
        <f>H1732+H1769+H1795</f>
        <v>3205978</v>
      </c>
      <c r="I1802" s="1030">
        <f>I1732+I1769+I1795</f>
        <v>1934632</v>
      </c>
      <c r="K1802" s="1976"/>
      <c r="M1802" s="1976"/>
      <c r="O1802" s="1976"/>
      <c r="Q1802" s="1976"/>
      <c r="S1802" s="1030"/>
      <c r="U1802" s="1030"/>
      <c r="W1802" s="1030"/>
      <c r="Y1802" s="1030"/>
      <c r="AA1802" s="1104"/>
      <c r="AB1802" s="1890"/>
      <c r="AI1802" s="2023">
        <f>W1802-'Blocking-Step2'!W1802</f>
        <v>0</v>
      </c>
      <c r="AJ1802" s="2054">
        <f>O1802-'Blocking-Step2'!O1802</f>
        <v>0</v>
      </c>
    </row>
    <row r="1803" spans="1:36">
      <c r="A1803" s="1900" t="s">
        <v>141</v>
      </c>
      <c r="C1803" s="1027">
        <f>C1737+C1774+C1800</f>
        <v>1241.9166666666702</v>
      </c>
      <c r="D1803" s="1027">
        <f>D1737+D1774+D1800</f>
        <v>1229</v>
      </c>
      <c r="AI1803" s="2023">
        <f>W1803-'Blocking-Step2'!W1803</f>
        <v>0</v>
      </c>
      <c r="AJ1803" s="2054">
        <f>O1803-'Blocking-Step2'!O1803</f>
        <v>0</v>
      </c>
    </row>
    <row r="1804" spans="1:36">
      <c r="A1804" s="1900" t="s">
        <v>136</v>
      </c>
      <c r="C1804" s="585">
        <f>C1733+C1770+C1796</f>
        <v>-1682951</v>
      </c>
      <c r="D1804" s="585">
        <f>D1733+D1770+D1796</f>
        <v>0</v>
      </c>
      <c r="F1804" s="1976"/>
      <c r="H1804" s="1030">
        <f>H1733+H1770+H1796</f>
        <v>-110353</v>
      </c>
      <c r="I1804" s="1030">
        <f>I1733+I1770+I1796</f>
        <v>0</v>
      </c>
      <c r="K1804" s="1976"/>
      <c r="M1804" s="1976"/>
      <c r="O1804" s="1976"/>
      <c r="Q1804" s="1976"/>
      <c r="Y1804" s="1030"/>
      <c r="AI1804" s="2023">
        <f>W1804-'Blocking-Step2'!W1804</f>
        <v>0</v>
      </c>
      <c r="AJ1804" s="2054">
        <f>O1804-'Blocking-Step2'!O1804</f>
        <v>0</v>
      </c>
    </row>
    <row r="1805" spans="1:36">
      <c r="A1805" s="1900" t="s">
        <v>1240</v>
      </c>
      <c r="C1805" s="584"/>
      <c r="D1805" s="584"/>
      <c r="F1805" s="1930"/>
      <c r="G1805" s="597"/>
      <c r="H1805" s="1644">
        <f>H1734+H1771+H1797</f>
        <v>-63478.364399999999</v>
      </c>
      <c r="I1805" s="1644">
        <f>I1734+I1771+I1797</f>
        <v>-38305.713600000003</v>
      </c>
      <c r="K1805" s="1930"/>
      <c r="L1805" s="597"/>
      <c r="M1805" s="1930"/>
      <c r="N1805" s="597"/>
      <c r="O1805" s="1931" t="str">
        <f>$O$43</f>
        <v>Tax Year 1 (1/1/2021)</v>
      </c>
      <c r="P1805" s="597"/>
      <c r="Q1805" s="1930">
        <f>AC1805</f>
        <v>-1.0200000000000001E-2</v>
      </c>
      <c r="R1805" s="597"/>
      <c r="S1805" s="1645"/>
      <c r="T1805" s="1645"/>
      <c r="U1805" s="1645"/>
      <c r="V1805" s="1645"/>
      <c r="W1805" s="1645"/>
      <c r="X1805" s="1645"/>
      <c r="Y1805" s="1644">
        <f>Q1805*Y1807</f>
        <v>-14309.256354451752</v>
      </c>
      <c r="AA1805" s="1109" t="s">
        <v>1938</v>
      </c>
      <c r="AB1805" s="1917">
        <f>RateSpread!V58*1000</f>
        <v>-14275.31715420151</v>
      </c>
      <c r="AC1805" s="1918">
        <f>ROUND(AB1805/Y1807,4)</f>
        <v>-1.0200000000000001E-2</v>
      </c>
      <c r="AI1805" s="2023">
        <f>W1805-'Blocking-Step2'!W1805</f>
        <v>0</v>
      </c>
      <c r="AJ1805" s="2054">
        <f>O1805-'Blocking-Step2'!O1805</f>
        <v>0</v>
      </c>
    </row>
    <row r="1806" spans="1:36">
      <c r="A1806" s="1900"/>
      <c r="C1806" s="584"/>
      <c r="D1806" s="584"/>
      <c r="F1806" s="1930"/>
      <c r="G1806" s="597"/>
      <c r="H1806" s="1644"/>
      <c r="I1806" s="1644"/>
      <c r="K1806" s="1930"/>
      <c r="L1806" s="597"/>
      <c r="M1806" s="1930"/>
      <c r="N1806" s="597"/>
      <c r="O1806" s="1931">
        <f>$O$44</f>
        <v>0</v>
      </c>
      <c r="P1806" s="597"/>
      <c r="Q1806" s="1930">
        <f>AC1806</f>
        <v>0</v>
      </c>
      <c r="R1806" s="597"/>
      <c r="S1806" s="1645"/>
      <c r="T1806" s="1645"/>
      <c r="U1806" s="1645"/>
      <c r="V1806" s="1645"/>
      <c r="W1806" s="1645"/>
      <c r="X1806" s="1645"/>
      <c r="Y1806" s="1644">
        <f>Q1806*Y1807</f>
        <v>0</v>
      </c>
      <c r="AA1806" s="1109" t="s">
        <v>1939</v>
      </c>
      <c r="AB1806" s="1917">
        <v>0</v>
      </c>
      <c r="AC1806" s="1918">
        <f>ROUND(AB1806/Y1807,4)</f>
        <v>0</v>
      </c>
      <c r="AI1806" s="2023">
        <f>W1806-'Blocking-Step2'!W1806</f>
        <v>0</v>
      </c>
      <c r="AJ1806" s="2054">
        <f>O1806-'Blocking-Step2'!O1806</f>
        <v>0</v>
      </c>
    </row>
    <row r="1807" spans="1:36" ht="16.5" thickBot="1">
      <c r="A1807" s="1900" t="s">
        <v>93</v>
      </c>
      <c r="C1807" s="1026">
        <f>C1804+C1802</f>
        <v>43738544.526070856</v>
      </c>
      <c r="D1807" s="1026">
        <f>D1804+D1802</f>
        <v>26868874.204370789</v>
      </c>
      <c r="F1807" s="1979"/>
      <c r="G1807" s="1980"/>
      <c r="H1807" s="1651">
        <f>H1804+H1802+H1805</f>
        <v>3032146.6356000002</v>
      </c>
      <c r="I1807" s="1651">
        <f>I1804+I1802+I1805</f>
        <v>1896326.2864000001</v>
      </c>
      <c r="K1807" s="1979"/>
      <c r="L1807" s="1980"/>
      <c r="M1807" s="1979"/>
      <c r="N1807" s="1980"/>
      <c r="O1807" s="1979"/>
      <c r="P1807" s="1980"/>
      <c r="Q1807" s="1979"/>
      <c r="R1807" s="1980"/>
      <c r="S1807" s="1651">
        <f>$Y1807*AA$1797/$AD$1797</f>
        <v>1029310.8587477091</v>
      </c>
      <c r="U1807" s="1651">
        <f>$Y1807*AB$1797/$AD$1797</f>
        <v>152258.40860773448</v>
      </c>
      <c r="W1807" s="1651">
        <f>Y1807-S1807-U1807</f>
        <v>221299.00268884574</v>
      </c>
      <c r="X1807" s="1650"/>
      <c r="Y1807" s="1868">
        <f>RateSpread!M58*1000</f>
        <v>1402868.2700442893</v>
      </c>
      <c r="AA1807" s="1104" t="s">
        <v>1743</v>
      </c>
      <c r="AB1807" s="1890">
        <f>Y1807/I1807-1</f>
        <v>-0.26021788544232816</v>
      </c>
      <c r="AI1807" s="2023">
        <f>W1807-'Blocking-Step2'!W1807</f>
        <v>0</v>
      </c>
      <c r="AJ1807" s="2054">
        <f>O1807-'Blocking-Step2'!O1807</f>
        <v>0</v>
      </c>
    </row>
    <row r="1808" spans="1:36" ht="16.5" thickTop="1">
      <c r="A1808" s="1900"/>
      <c r="C1808" s="1025"/>
      <c r="D1808" s="1025"/>
      <c r="F1808" s="596"/>
      <c r="H1808" s="1645"/>
      <c r="I1808" s="1645"/>
      <c r="K1808" s="596"/>
      <c r="M1808" s="596"/>
      <c r="O1808" s="596"/>
      <c r="Q1808" s="596"/>
      <c r="Y1808" s="1645"/>
      <c r="AI1808" s="2023">
        <f>W1808-'Blocking-Step2'!W1808</f>
        <v>0</v>
      </c>
      <c r="AJ1808" s="2054">
        <f>O1808-'Blocking-Step2'!O1808</f>
        <v>0</v>
      </c>
    </row>
    <row r="1809" spans="1:36">
      <c r="A1809" s="1983" t="s">
        <v>917</v>
      </c>
      <c r="C1809" s="528"/>
      <c r="D1809" s="528"/>
      <c r="AI1809" s="2023">
        <f>W1809-'Blocking-Step2'!W1809</f>
        <v>0</v>
      </c>
      <c r="AJ1809" s="2054">
        <f>O1809-'Blocking-Step2'!O1809</f>
        <v>0</v>
      </c>
    </row>
    <row r="1810" spans="1:36">
      <c r="A1810" s="1900" t="s">
        <v>391</v>
      </c>
      <c r="C1810" s="528">
        <f t="shared" ref="C1810:D1815" si="1002">C1821+C1832+C1843</f>
        <v>20676.121453473177</v>
      </c>
      <c r="D1810" s="528">
        <f t="shared" si="1002"/>
        <v>21139</v>
      </c>
      <c r="F1810" s="1901">
        <v>11</v>
      </c>
      <c r="G1810" s="1902"/>
      <c r="H1810" s="1644">
        <f t="shared" ref="H1810:I1813" si="1003">ROUND(C1810*$F1810,0)</f>
        <v>227437</v>
      </c>
      <c r="I1810" s="1644">
        <f t="shared" si="1003"/>
        <v>232529</v>
      </c>
      <c r="K1810" s="1944">
        <f>ROUND(S1810/$D1810,2)</f>
        <v>7.25</v>
      </c>
      <c r="L1810" s="597"/>
      <c r="M1810" s="1944">
        <f>Q1810-K1810-O1810</f>
        <v>0.75</v>
      </c>
      <c r="N1810" s="597"/>
      <c r="O1810" s="1944">
        <f>'Blocking-Step2'!O1810</f>
        <v>0</v>
      </c>
      <c r="P1810" s="1902"/>
      <c r="Q1810" s="1901">
        <f>ROUND(F1810*(1+$AB$1825),0)</f>
        <v>8</v>
      </c>
      <c r="R1810" s="1902"/>
      <c r="S1810" s="1643">
        <f>$S$1818*Y1810/SUM($Y$1810:$Y$1813)</f>
        <v>153340.00597877897</v>
      </c>
      <c r="T1810" s="1643"/>
      <c r="U1810" s="1643">
        <f>MIN($U$1818,Y1810-S1810)</f>
        <v>15771.994021221035</v>
      </c>
      <c r="V1810" s="1643"/>
      <c r="W1810" s="1644">
        <f t="shared" ref="W1810:W1813" si="1004">ROUND($D1810*O1810,0)</f>
        <v>0</v>
      </c>
      <c r="X1810" s="1643"/>
      <c r="Y1810" s="1644">
        <f>ROUND($D1810*Q1810,0)</f>
        <v>169112</v>
      </c>
      <c r="AI1810" s="2023">
        <f>W1810-'Blocking-Step2'!W1810</f>
        <v>0</v>
      </c>
      <c r="AJ1810" s="2054">
        <f>O1810-'Blocking-Step2'!O1810</f>
        <v>0</v>
      </c>
    </row>
    <row r="1811" spans="1:36">
      <c r="A1811" s="1900" t="s">
        <v>392</v>
      </c>
      <c r="C1811" s="528">
        <f t="shared" si="1002"/>
        <v>637.03274499027054</v>
      </c>
      <c r="D1811" s="528">
        <f t="shared" si="1002"/>
        <v>638</v>
      </c>
      <c r="F1811" s="1901">
        <v>72.5</v>
      </c>
      <c r="G1811" s="1902"/>
      <c r="H1811" s="1644">
        <f t="shared" si="1003"/>
        <v>46185</v>
      </c>
      <c r="I1811" s="1644">
        <f t="shared" si="1003"/>
        <v>46255</v>
      </c>
      <c r="K1811" s="1944">
        <f t="shared" ref="K1811" si="1005">ROUND(S1811/$D1811,2)</f>
        <v>45.36</v>
      </c>
      <c r="L1811" s="597"/>
      <c r="M1811" s="1944">
        <f t="shared" ref="M1811:M1814" si="1006">Q1811-K1811-O1811</f>
        <v>4.6600000000000037</v>
      </c>
      <c r="N1811" s="597"/>
      <c r="O1811" s="1944">
        <f>'Blocking-Step2'!O1811</f>
        <v>0</v>
      </c>
      <c r="P1811" s="1902"/>
      <c r="Q1811" s="1901">
        <f>ROUND(F1811*(1+$AB$1825),2)</f>
        <v>50.02</v>
      </c>
      <c r="R1811" s="1902"/>
      <c r="S1811" s="1643">
        <f t="shared" ref="S1811:S1812" si="1007">$S$1818*Y1811/SUM($Y$1810:$Y$1813)</f>
        <v>28936.678714702524</v>
      </c>
      <c r="T1811" s="1643"/>
      <c r="U1811" s="1643">
        <f>MIN($U$1818-$U$1810,Y1811)</f>
        <v>31913</v>
      </c>
      <c r="V1811" s="1643"/>
      <c r="W1811" s="1644">
        <f t="shared" si="1004"/>
        <v>0</v>
      </c>
      <c r="X1811" s="1643"/>
      <c r="Y1811" s="1644">
        <f t="shared" ref="Y1811:Y1813" si="1008">ROUND($D1811*Q1811,0)</f>
        <v>31913</v>
      </c>
      <c r="AI1811" s="2023">
        <f>W1811-'Blocking-Step2'!W1811</f>
        <v>0</v>
      </c>
      <c r="AJ1811" s="2054">
        <f>O1811-'Blocking-Step2'!O1811</f>
        <v>0</v>
      </c>
    </row>
    <row r="1812" spans="1:36">
      <c r="A1812" s="1900" t="s">
        <v>390</v>
      </c>
      <c r="C1812" s="528">
        <f t="shared" si="1002"/>
        <v>0</v>
      </c>
      <c r="D1812" s="528">
        <f t="shared" si="1002"/>
        <v>0</v>
      </c>
      <c r="F1812" s="1901">
        <v>127.5</v>
      </c>
      <c r="G1812" s="1902"/>
      <c r="H1812" s="1644">
        <f t="shared" si="1003"/>
        <v>0</v>
      </c>
      <c r="I1812" s="1644">
        <f t="shared" si="1003"/>
        <v>0</v>
      </c>
      <c r="K1812" s="1901">
        <f>K1810*5+K1811</f>
        <v>81.61</v>
      </c>
      <c r="L1812" s="597"/>
      <c r="M1812" s="1944">
        <f t="shared" si="1006"/>
        <v>8.4100000000000108</v>
      </c>
      <c r="N1812" s="597"/>
      <c r="O1812" s="1944">
        <f>'Blocking-Step2'!O1812</f>
        <v>0</v>
      </c>
      <c r="P1812" s="1902"/>
      <c r="Q1812" s="1901">
        <f>Q1810*5+Q1811</f>
        <v>90.02000000000001</v>
      </c>
      <c r="R1812" s="1902"/>
      <c r="S1812" s="1643">
        <f t="shared" si="1007"/>
        <v>0</v>
      </c>
      <c r="T1812" s="1643"/>
      <c r="U1812" s="1643">
        <f>MIN($U$1818-$U$1810-$U$1811,Y1812)</f>
        <v>0</v>
      </c>
      <c r="V1812" s="1643"/>
      <c r="W1812" s="1644">
        <f t="shared" si="1004"/>
        <v>0</v>
      </c>
      <c r="X1812" s="1643"/>
      <c r="Y1812" s="1644">
        <f t="shared" si="1008"/>
        <v>0</v>
      </c>
      <c r="AI1812" s="2023">
        <f>W1812-'Blocking-Step2'!W1812</f>
        <v>0</v>
      </c>
      <c r="AJ1812" s="2054">
        <f>O1812-'Blocking-Step2'!O1812</f>
        <v>0</v>
      </c>
    </row>
    <row r="1813" spans="1:36">
      <c r="A1813" s="1900" t="s">
        <v>393</v>
      </c>
      <c r="C1813" s="528">
        <f t="shared" si="1002"/>
        <v>7631.8661290322598</v>
      </c>
      <c r="D1813" s="528">
        <f t="shared" si="1002"/>
        <v>7644</v>
      </c>
      <c r="F1813" s="1901">
        <v>6.2</v>
      </c>
      <c r="G1813" s="1902"/>
      <c r="H1813" s="1644">
        <f t="shared" si="1003"/>
        <v>47318</v>
      </c>
      <c r="I1813" s="1644">
        <f t="shared" si="1003"/>
        <v>47393</v>
      </c>
      <c r="K1813" s="1944">
        <f>ROUND(S1813/$D1813,2)</f>
        <v>3.88</v>
      </c>
      <c r="L1813" s="597"/>
      <c r="M1813" s="1944">
        <f t="shared" si="1006"/>
        <v>0.40000000000000036</v>
      </c>
      <c r="N1813" s="597"/>
      <c r="O1813" s="1944">
        <f>'Blocking-Step2'!O1813</f>
        <v>0</v>
      </c>
      <c r="P1813" s="597"/>
      <c r="Q1813" s="1901">
        <f>ROUND(F1813*(1+$AB$1825),2)</f>
        <v>4.28</v>
      </c>
      <c r="R1813" s="1902"/>
      <c r="S1813" s="1902">
        <f>$S$1818*Y1813/SUM($Y$1810:$Y$1813)</f>
        <v>29664.788043437085</v>
      </c>
      <c r="T1813" s="1643"/>
      <c r="U1813" s="1643">
        <f>MIN($U$1818-$U$1810-$U$1811-$U$1812,Y1813)</f>
        <v>32716</v>
      </c>
      <c r="V1813" s="1643"/>
      <c r="W1813" s="1644">
        <f t="shared" si="1004"/>
        <v>0</v>
      </c>
      <c r="X1813" s="1643"/>
      <c r="Y1813" s="1644">
        <f t="shared" si="1008"/>
        <v>32716</v>
      </c>
      <c r="AI1813" s="2023">
        <f>W1813-'Blocking-Step2'!W1813</f>
        <v>0</v>
      </c>
      <c r="AJ1813" s="2054">
        <f>O1813-'Blocking-Step2'!O1813</f>
        <v>0</v>
      </c>
    </row>
    <row r="1814" spans="1:36">
      <c r="A1814" s="1900" t="s">
        <v>360</v>
      </c>
      <c r="C1814" s="528">
        <f t="shared" si="1002"/>
        <v>15565767</v>
      </c>
      <c r="D1814" s="528">
        <f t="shared" si="1002"/>
        <v>15963151.062719233</v>
      </c>
      <c r="F1814" s="1970">
        <v>5.3437000000000001</v>
      </c>
      <c r="G1814" s="1921" t="s">
        <v>495</v>
      </c>
      <c r="H1814" s="1644">
        <f>ROUND(C1814*$F1814/100,0)</f>
        <v>831788</v>
      </c>
      <c r="I1814" s="1644">
        <f>ROUND(D1814*$F1814/100,0)</f>
        <v>853023</v>
      </c>
      <c r="K1814" s="1920"/>
      <c r="L1814" s="1921" t="s">
        <v>495</v>
      </c>
      <c r="M1814" s="1920">
        <f t="shared" si="1006"/>
        <v>1.4997000000000003</v>
      </c>
      <c r="N1814" s="1921" t="s">
        <v>495</v>
      </c>
      <c r="O1814" s="1920">
        <f>'Blocking-Step2'!O1814</f>
        <v>2.0289413928359998</v>
      </c>
      <c r="P1814" s="1921" t="s">
        <v>495</v>
      </c>
      <c r="Q1814" s="1972">
        <f>ROUND((AB1822-SUM(Y1810:Y1813))/D1814*100,$AB$8)</f>
        <v>3.5286413928360001</v>
      </c>
      <c r="R1814" s="1921" t="s">
        <v>495</v>
      </c>
      <c r="S1814" s="1648"/>
      <c r="T1814" s="1648"/>
      <c r="U1814" s="1643">
        <f>MIN($U$1818-$U$1810-$U$1811-$U$1812-$U$1813,Y1814)</f>
        <v>180797.53324186036</v>
      </c>
      <c r="V1814" s="1648"/>
      <c r="W1814" s="1644">
        <f>ROUND($D1814*O1814/100,0)</f>
        <v>323883</v>
      </c>
      <c r="X1814" s="1648"/>
      <c r="Y1814" s="1644">
        <f>ROUND($D1814*Q1814/100,0)</f>
        <v>563282</v>
      </c>
      <c r="AI1814" s="2023">
        <f>W1814-'Blocking-Step2'!W1814</f>
        <v>5.1807439236436039</v>
      </c>
      <c r="AJ1814" s="2054">
        <f>O1814-'Blocking-Step2'!O1814</f>
        <v>0</v>
      </c>
    </row>
    <row r="1815" spans="1:36">
      <c r="A1815" s="1900" t="s">
        <v>288</v>
      </c>
      <c r="C1815" s="529">
        <f t="shared" si="1002"/>
        <v>45517</v>
      </c>
      <c r="D1815" s="529">
        <f t="shared" si="1002"/>
        <v>0</v>
      </c>
      <c r="H1815" s="1030">
        <f>H1826+H1837+H1848</f>
        <v>3753</v>
      </c>
      <c r="I1815" s="1030">
        <f t="shared" ref="I1815" si="1009">I1826+I1837+I1848</f>
        <v>0</v>
      </c>
      <c r="Y1815" s="1030"/>
      <c r="AI1815" s="2023">
        <f>W1815-'Blocking-Step2'!W1815</f>
        <v>0</v>
      </c>
      <c r="AJ1815" s="2054">
        <f>O1815-'Blocking-Step2'!O1815</f>
        <v>0</v>
      </c>
    </row>
    <row r="1816" spans="1:36">
      <c r="A1816" s="1900" t="s">
        <v>1240</v>
      </c>
      <c r="C1816" s="584"/>
      <c r="D1816" s="584"/>
      <c r="F1816" s="1930">
        <v>-2.8000000000000001E-2</v>
      </c>
      <c r="G1816" s="597"/>
      <c r="H1816" s="1644">
        <f>SUM(H1814)*$F1816</f>
        <v>-23290.064000000002</v>
      </c>
      <c r="I1816" s="1644">
        <f>SUM(I1814)*$F1816</f>
        <v>-23884.644</v>
      </c>
      <c r="K1816" s="1930">
        <v>-2.8000000000000001E-2</v>
      </c>
      <c r="L1816" s="597"/>
      <c r="M1816" s="1930">
        <v>-2.8000000000000001E-2</v>
      </c>
      <c r="N1816" s="597"/>
      <c r="O1816" s="1931" t="str">
        <f>$O$43</f>
        <v>Tax Year 1 (1/1/2021)</v>
      </c>
      <c r="P1816" s="597"/>
      <c r="Q1816" s="1930">
        <f>$AC$1827</f>
        <v>-1.49E-2</v>
      </c>
      <c r="R1816" s="597"/>
      <c r="S1816" s="1645"/>
      <c r="T1816" s="1645"/>
      <c r="U1816" s="1645"/>
      <c r="V1816" s="1645"/>
      <c r="W1816" s="1645"/>
      <c r="X1816" s="1645"/>
      <c r="Y1816" s="1644">
        <f>Q1816*Y1814</f>
        <v>-8392.9017999999996</v>
      </c>
      <c r="AA1816" s="1932" t="s">
        <v>1940</v>
      </c>
      <c r="AB1816" s="1932"/>
      <c r="AC1816" s="1932"/>
      <c r="AD1816" s="1932"/>
      <c r="AI1816" s="2023">
        <f>W1816-'Blocking-Step2'!W1816</f>
        <v>0</v>
      </c>
      <c r="AJ1816" s="2054">
        <f>O1816-'Blocking-Step2'!O1816</f>
        <v>0</v>
      </c>
    </row>
    <row r="1817" spans="1:36">
      <c r="A1817" s="1900"/>
      <c r="C1817" s="584"/>
      <c r="D1817" s="584"/>
      <c r="F1817" s="1930"/>
      <c r="G1817" s="597"/>
      <c r="H1817" s="1644"/>
      <c r="I1817" s="1644"/>
      <c r="K1817" s="1930"/>
      <c r="L1817" s="597"/>
      <c r="M1817" s="1930"/>
      <c r="N1817" s="597"/>
      <c r="O1817" s="1931">
        <f>$O$44</f>
        <v>0</v>
      </c>
      <c r="P1817" s="597"/>
      <c r="Q1817" s="1930">
        <f>$AC$1828</f>
        <v>0</v>
      </c>
      <c r="R1817" s="597"/>
      <c r="S1817" s="1645"/>
      <c r="T1817" s="1645"/>
      <c r="U1817" s="1645"/>
      <c r="V1817" s="1645"/>
      <c r="W1817" s="1645"/>
      <c r="X1817" s="1645"/>
      <c r="Y1817" s="1644">
        <f>Q1817*Y1814</f>
        <v>0</v>
      </c>
      <c r="AA1817" s="1933" t="s">
        <v>1660</v>
      </c>
      <c r="AB1817" s="1933" t="s">
        <v>1661</v>
      </c>
      <c r="AC1817" s="1933" t="s">
        <v>1662</v>
      </c>
      <c r="AD1817" s="1933" t="s">
        <v>93</v>
      </c>
      <c r="AI1817" s="2023">
        <f>W1817-'Blocking-Step2'!W1817</f>
        <v>0</v>
      </c>
      <c r="AJ1817" s="2054">
        <f>O1817-'Blocking-Step2'!O1817</f>
        <v>0</v>
      </c>
    </row>
    <row r="1818" spans="1:36" ht="16.5" thickBot="1">
      <c r="A1818" s="1869" t="s">
        <v>93</v>
      </c>
      <c r="C1818" s="1949">
        <f>C1814+C1815</f>
        <v>15611284</v>
      </c>
      <c r="D1818" s="1949">
        <f>D1814+D1815</f>
        <v>15963151.062719233</v>
      </c>
      <c r="F1818" s="1939"/>
      <c r="H1818" s="1647">
        <f>SUM(H1810:H1816)</f>
        <v>1133190.936</v>
      </c>
      <c r="I1818" s="1647">
        <f>SUM(I1810:I1816)</f>
        <v>1155315.3559999999</v>
      </c>
      <c r="K1818" s="1939"/>
      <c r="M1818" s="1939"/>
      <c r="O1818" s="1939"/>
      <c r="Q1818" s="1939"/>
      <c r="S1818" s="1154">
        <f>($Y1818-$W1818)*AA1818/(AA1818+AB1818)</f>
        <v>211941.47273691857</v>
      </c>
      <c r="T1818" s="1154"/>
      <c r="U1818" s="1154">
        <f>Y1818-S1818-W1818</f>
        <v>261198.5272630814</v>
      </c>
      <c r="V1818" s="1154"/>
      <c r="W1818" s="1154">
        <f>SUM(W1810:W1817)</f>
        <v>323883</v>
      </c>
      <c r="Y1818" s="1647">
        <f>SUM(Y1810:Y1815)</f>
        <v>797023</v>
      </c>
      <c r="AA1818" s="1937">
        <f>'Unit Cost Target'!$K$87+'Unit Cost Target'!$K$123+'Unit Cost Target'!$K$129+'Unit Cost Target'!$K$75+'Unit Cost Target'!$K$81</f>
        <v>211943.84388227694</v>
      </c>
      <c r="AB1818" s="1937">
        <f>'Unit Cost Target'!$K$45+'Unit Cost Target'!$K$51</f>
        <v>261201.44948338848</v>
      </c>
      <c r="AC1818" s="1937">
        <f>'Unit Cost Target'!$K$33+'Unit Cost Target'!$K$39+'Unit Cost Target'!$K$63+'Unit Cost Target'!$K$69</f>
        <v>323877.89634802524</v>
      </c>
      <c r="AD1818" s="1937">
        <f>SUM(AA1818:AC1818)</f>
        <v>797023.18971369066</v>
      </c>
      <c r="AE1818" s="1937">
        <f>AD1818-'Unit Cost Target'!$K$21</f>
        <v>0</v>
      </c>
      <c r="AI1818" s="2023">
        <f>W1818-'Blocking-Step2'!W1818</f>
        <v>5.1807439237600192</v>
      </c>
      <c r="AJ1818" s="2054">
        <f>O1818-'Blocking-Step2'!O1818</f>
        <v>0</v>
      </c>
    </row>
    <row r="1819" spans="1:36" ht="16.5" hidden="1" thickTop="1">
      <c r="A1819" s="1900"/>
      <c r="C1819" s="1025"/>
      <c r="D1819" s="1025"/>
      <c r="F1819" s="596"/>
      <c r="H1819" s="1645"/>
      <c r="I1819" s="1645"/>
      <c r="K1819" s="596"/>
      <c r="M1819" s="596"/>
      <c r="O1819" s="596"/>
      <c r="Q1819" s="596"/>
      <c r="Y1819" s="1645"/>
      <c r="AA1819" s="1937">
        <f>S1818-SUM(S1810:S1817)</f>
        <v>0</v>
      </c>
      <c r="AB1819" s="1937">
        <f>U1818-SUM(U1810:U1817)</f>
        <v>0</v>
      </c>
      <c r="AC1819" s="1937">
        <f>W1818-SUM(W1810:W1817)</f>
        <v>0</v>
      </c>
      <c r="AD1819" s="1937">
        <f>SUM(AA1819:AC1819)</f>
        <v>0</v>
      </c>
      <c r="AE1819" s="1937"/>
      <c r="AI1819" s="2023">
        <f>W1819-'Blocking-Step2'!W1819</f>
        <v>0</v>
      </c>
      <c r="AJ1819" s="2054">
        <f>O1819-'Blocking-Step2'!O1819</f>
        <v>0</v>
      </c>
    </row>
    <row r="1820" spans="1:36" hidden="1">
      <c r="A1820" s="1983" t="s">
        <v>918</v>
      </c>
      <c r="C1820" s="528"/>
      <c r="D1820" s="528"/>
      <c r="AI1820" s="2023">
        <f>W1820-'Blocking-Step2'!W1820</f>
        <v>0</v>
      </c>
      <c r="AJ1820" s="2054">
        <f>O1820-'Blocking-Step2'!O1820</f>
        <v>0</v>
      </c>
    </row>
    <row r="1821" spans="1:36" hidden="1">
      <c r="A1821" s="1900" t="s">
        <v>391</v>
      </c>
      <c r="C1821" s="528">
        <f>'15M'!J2</f>
        <v>19597.669688767299</v>
      </c>
      <c r="D1821" s="528">
        <f>ROUND(C1821/C1829*D1829,0)</f>
        <v>19971</v>
      </c>
      <c r="F1821" s="1901">
        <v>11</v>
      </c>
      <c r="G1821" s="1902"/>
      <c r="H1821" s="1644">
        <f t="shared" ref="H1821:I1824" si="1010">ROUND(C1821*$F1821,0)</f>
        <v>215574</v>
      </c>
      <c r="I1821" s="1644">
        <f t="shared" si="1010"/>
        <v>219681</v>
      </c>
      <c r="K1821" s="1901">
        <f>K1810</f>
        <v>7.25</v>
      </c>
      <c r="L1821" s="1902"/>
      <c r="M1821" s="1901">
        <f>M1810</f>
        <v>0.75</v>
      </c>
      <c r="N1821" s="1902"/>
      <c r="O1821" s="1901">
        <f>O1810</f>
        <v>0</v>
      </c>
      <c r="P1821" s="1902"/>
      <c r="Q1821" s="1901">
        <f>Q1810</f>
        <v>8</v>
      </c>
      <c r="R1821" s="1902"/>
      <c r="S1821" s="1644">
        <f t="shared" ref="S1821:S1824" si="1011">ROUND($D1821*K1821,0)</f>
        <v>144790</v>
      </c>
      <c r="T1821" s="1645"/>
      <c r="U1821" s="1644">
        <f t="shared" ref="U1821:U1824" si="1012">ROUND($D1821*M1821,0)</f>
        <v>14978</v>
      </c>
      <c r="V1821" s="1645"/>
      <c r="W1821" s="1644">
        <f t="shared" ref="W1821:W1824" si="1013">ROUND($D1821*O1821,0)</f>
        <v>0</v>
      </c>
      <c r="X1821" s="1643"/>
      <c r="Y1821" s="1644">
        <f>ROUND($D1821*Q1821,0)</f>
        <v>159768</v>
      </c>
      <c r="AA1821" s="1903" t="s">
        <v>1741</v>
      </c>
      <c r="AB1821" s="1904">
        <f>Y1818</f>
        <v>797023</v>
      </c>
      <c r="AI1821" s="2023">
        <f>W1821-'Blocking-Step2'!W1821</f>
        <v>0</v>
      </c>
      <c r="AJ1821" s="2054">
        <f>O1821-'Blocking-Step2'!O1821</f>
        <v>0</v>
      </c>
    </row>
    <row r="1822" spans="1:36" hidden="1">
      <c r="A1822" s="1900" t="s">
        <v>392</v>
      </c>
      <c r="C1822" s="528">
        <f>'15M'!G2</f>
        <v>537.54239204909402</v>
      </c>
      <c r="D1822" s="528">
        <f>ROUND(C1822/C1824*D1824,0)</f>
        <v>538</v>
      </c>
      <c r="F1822" s="1901">
        <v>72.5</v>
      </c>
      <c r="G1822" s="1902"/>
      <c r="H1822" s="1644">
        <f t="shared" si="1010"/>
        <v>38972</v>
      </c>
      <c r="I1822" s="1644">
        <f t="shared" si="1010"/>
        <v>39005</v>
      </c>
      <c r="K1822" s="1901">
        <f t="shared" ref="K1822:K1825" si="1014">K1811</f>
        <v>45.36</v>
      </c>
      <c r="L1822" s="1902"/>
      <c r="M1822" s="1901">
        <f t="shared" ref="M1822:M1825" si="1015">M1811</f>
        <v>4.6600000000000037</v>
      </c>
      <c r="N1822" s="1902"/>
      <c r="O1822" s="1901">
        <f t="shared" ref="O1822:O1825" si="1016">O1811</f>
        <v>0</v>
      </c>
      <c r="P1822" s="1902"/>
      <c r="Q1822" s="1901">
        <f>Q1811</f>
        <v>50.02</v>
      </c>
      <c r="R1822" s="1902"/>
      <c r="S1822" s="1644">
        <f t="shared" si="1011"/>
        <v>24404</v>
      </c>
      <c r="T1822" s="1645"/>
      <c r="U1822" s="1644">
        <f t="shared" si="1012"/>
        <v>2507</v>
      </c>
      <c r="V1822" s="1645"/>
      <c r="W1822" s="1644">
        <f t="shared" si="1013"/>
        <v>0</v>
      </c>
      <c r="X1822" s="1643"/>
      <c r="Y1822" s="1644">
        <f t="shared" ref="Y1822:Y1824" si="1017">ROUND($D1822*Q1822,0)</f>
        <v>26911</v>
      </c>
      <c r="AA1822" s="1905" t="s">
        <v>1742</v>
      </c>
      <c r="AB1822" s="1906">
        <f>RateSpread!M59*1000</f>
        <v>797023.35599999991</v>
      </c>
      <c r="AI1822" s="2023">
        <f>W1822-'Blocking-Step2'!W1822</f>
        <v>0</v>
      </c>
      <c r="AJ1822" s="2054">
        <f>O1822-'Blocking-Step2'!O1822</f>
        <v>0</v>
      </c>
    </row>
    <row r="1823" spans="1:36" hidden="1">
      <c r="A1823" s="1900" t="s">
        <v>390</v>
      </c>
      <c r="C1823" s="528">
        <f>'15M'!H2</f>
        <v>0</v>
      </c>
      <c r="D1823" s="528">
        <f>ROUND(C1823/C1824*D1824,0)</f>
        <v>0</v>
      </c>
      <c r="F1823" s="1901">
        <v>127.5</v>
      </c>
      <c r="G1823" s="1902"/>
      <c r="H1823" s="1644">
        <f t="shared" si="1010"/>
        <v>0</v>
      </c>
      <c r="I1823" s="1644">
        <f t="shared" si="1010"/>
        <v>0</v>
      </c>
      <c r="K1823" s="1901">
        <f t="shared" si="1014"/>
        <v>81.61</v>
      </c>
      <c r="L1823" s="1902"/>
      <c r="M1823" s="1901">
        <f t="shared" si="1015"/>
        <v>8.4100000000000108</v>
      </c>
      <c r="N1823" s="1902"/>
      <c r="O1823" s="1901">
        <f t="shared" si="1016"/>
        <v>0</v>
      </c>
      <c r="P1823" s="1902"/>
      <c r="Q1823" s="1901">
        <f>Q1812</f>
        <v>90.02000000000001</v>
      </c>
      <c r="R1823" s="1902"/>
      <c r="S1823" s="1644">
        <f t="shared" si="1011"/>
        <v>0</v>
      </c>
      <c r="T1823" s="1645"/>
      <c r="U1823" s="1644">
        <f t="shared" si="1012"/>
        <v>0</v>
      </c>
      <c r="V1823" s="1645"/>
      <c r="W1823" s="1644">
        <f t="shared" si="1013"/>
        <v>0</v>
      </c>
      <c r="X1823" s="1643"/>
      <c r="Y1823" s="1644">
        <f t="shared" si="1017"/>
        <v>0</v>
      </c>
      <c r="AA1823" s="1908" t="s">
        <v>87</v>
      </c>
      <c r="AB1823" s="1909">
        <f>AB1822-AB1821</f>
        <v>0.35599999991245568</v>
      </c>
      <c r="AI1823" s="2023">
        <f>W1823-'Blocking-Step2'!W1823</f>
        <v>0</v>
      </c>
      <c r="AJ1823" s="2054">
        <f>O1823-'Blocking-Step2'!O1823</f>
        <v>0</v>
      </c>
    </row>
    <row r="1824" spans="1:36" hidden="1">
      <c r="A1824" s="1900" t="s">
        <v>393</v>
      </c>
      <c r="C1824" s="528">
        <f>'15M'!I2</f>
        <v>6440.3306451612898</v>
      </c>
      <c r="D1824" s="528">
        <f>Bill!P39</f>
        <v>6444</v>
      </c>
      <c r="F1824" s="1901">
        <v>6.2</v>
      </c>
      <c r="G1824" s="1902"/>
      <c r="H1824" s="1644">
        <f t="shared" si="1010"/>
        <v>39930</v>
      </c>
      <c r="I1824" s="1644">
        <f t="shared" si="1010"/>
        <v>39953</v>
      </c>
      <c r="K1824" s="1901">
        <f t="shared" si="1014"/>
        <v>3.88</v>
      </c>
      <c r="L1824" s="1902"/>
      <c r="M1824" s="1901">
        <f t="shared" si="1015"/>
        <v>0.40000000000000036</v>
      </c>
      <c r="N1824" s="1902"/>
      <c r="O1824" s="1901">
        <f t="shared" si="1016"/>
        <v>0</v>
      </c>
      <c r="P1824" s="1902"/>
      <c r="Q1824" s="1901">
        <f>Q1813</f>
        <v>4.28</v>
      </c>
      <c r="R1824" s="1902"/>
      <c r="S1824" s="1644">
        <f t="shared" si="1011"/>
        <v>25003</v>
      </c>
      <c r="T1824" s="1645"/>
      <c r="U1824" s="1644">
        <f t="shared" si="1012"/>
        <v>2578</v>
      </c>
      <c r="V1824" s="1645"/>
      <c r="W1824" s="1644">
        <f t="shared" si="1013"/>
        <v>0</v>
      </c>
      <c r="X1824" s="1643"/>
      <c r="Y1824" s="1644">
        <f t="shared" si="1017"/>
        <v>27580</v>
      </c>
      <c r="AA1824" s="1903" t="s">
        <v>1743</v>
      </c>
      <c r="AB1824" s="1958">
        <f>AB1821/(I1818)-1</f>
        <v>-0.31012515685803799</v>
      </c>
      <c r="AI1824" s="2023">
        <f>W1824-'Blocking-Step2'!W1824</f>
        <v>0</v>
      </c>
      <c r="AJ1824" s="2054">
        <f>O1824-'Blocking-Step2'!O1824</f>
        <v>0</v>
      </c>
    </row>
    <row r="1825" spans="1:36" hidden="1">
      <c r="A1825" s="1900" t="s">
        <v>360</v>
      </c>
      <c r="C1825" s="528">
        <f>'15M'!K2</f>
        <v>14684579</v>
      </c>
      <c r="D1825" s="528">
        <f>D1829-D1826</f>
        <v>15043463.667792927</v>
      </c>
      <c r="F1825" s="1970">
        <v>5.3437000000000001</v>
      </c>
      <c r="G1825" s="1921" t="s">
        <v>495</v>
      </c>
      <c r="H1825" s="1644">
        <f>ROUND(C1825*$F1825/100,0)</f>
        <v>784700</v>
      </c>
      <c r="I1825" s="1644">
        <f>ROUND(D1825*$F1825/100,0)</f>
        <v>803878</v>
      </c>
      <c r="K1825" s="1970">
        <f t="shared" si="1014"/>
        <v>0</v>
      </c>
      <c r="L1825" s="1921" t="s">
        <v>495</v>
      </c>
      <c r="M1825" s="1970">
        <f t="shared" si="1015"/>
        <v>1.4997000000000003</v>
      </c>
      <c r="N1825" s="1921" t="s">
        <v>495</v>
      </c>
      <c r="O1825" s="1972">
        <f t="shared" si="1016"/>
        <v>2.0289413928359998</v>
      </c>
      <c r="P1825" s="2020" t="s">
        <v>495</v>
      </c>
      <c r="Q1825" s="1972">
        <f>Q1814</f>
        <v>3.5286413928360001</v>
      </c>
      <c r="R1825" s="1921" t="s">
        <v>495</v>
      </c>
      <c r="S1825" s="1644">
        <f>ROUND($D1825*K1825/100,0)</f>
        <v>0</v>
      </c>
      <c r="T1825" s="1648"/>
      <c r="U1825" s="1644">
        <f>ROUND($D1825*M1825/100,0)</f>
        <v>225607</v>
      </c>
      <c r="V1825" s="1648"/>
      <c r="W1825" s="1644">
        <f>ROUND($D1825*O1825/100,0)</f>
        <v>305223</v>
      </c>
      <c r="X1825" s="1648"/>
      <c r="Y1825" s="1644">
        <f>ROUND($D1825*Q1825/100,0)</f>
        <v>530830</v>
      </c>
      <c r="AA1825" s="1915" t="s">
        <v>1744</v>
      </c>
      <c r="AB1825" s="1954">
        <f>AB1822/(I1818)-1</f>
        <v>-0.31012484871706325</v>
      </c>
      <c r="AI1825" s="2023">
        <f>W1825-'Blocking-Step2'!W1825</f>
        <v>0</v>
      </c>
      <c r="AJ1825" s="2054">
        <f>O1825-'Blocking-Step2'!O1825</f>
        <v>0</v>
      </c>
    </row>
    <row r="1826" spans="1:36" hidden="1">
      <c r="A1826" s="1900" t="s">
        <v>288</v>
      </c>
      <c r="C1826" s="529">
        <f>'Table 2'!J58</f>
        <v>77906</v>
      </c>
      <c r="D1826" s="529">
        <v>0</v>
      </c>
      <c r="H1826" s="1030">
        <f>'Table 3'!F58</f>
        <v>6244</v>
      </c>
      <c r="I1826" s="1030">
        <v>0</v>
      </c>
      <c r="Y1826" s="1030"/>
      <c r="AA1826" s="1898"/>
      <c r="AB1826" s="1955"/>
      <c r="AI1826" s="2023">
        <f>W1826-'Blocking-Step2'!W1826</f>
        <v>0</v>
      </c>
      <c r="AJ1826" s="2054">
        <f>O1826-'Blocking-Step2'!O1826</f>
        <v>0</v>
      </c>
    </row>
    <row r="1827" spans="1:36" hidden="1">
      <c r="A1827" s="1900" t="s">
        <v>1240</v>
      </c>
      <c r="C1827" s="584"/>
      <c r="D1827" s="584"/>
      <c r="F1827" s="1930">
        <v>-2.8000000000000001E-2</v>
      </c>
      <c r="G1827" s="597"/>
      <c r="H1827" s="1644">
        <f>SUM(H1825)*$F1827</f>
        <v>-21971.600000000002</v>
      </c>
      <c r="I1827" s="1644">
        <f>SUM(I1825)*$F1827</f>
        <v>-22508.583999999999</v>
      </c>
      <c r="K1827" s="1930"/>
      <c r="L1827" s="597"/>
      <c r="M1827" s="1930"/>
      <c r="N1827" s="597"/>
      <c r="O1827" s="1931" t="str">
        <f>$O$43</f>
        <v>Tax Year 1 (1/1/2021)</v>
      </c>
      <c r="P1827" s="597"/>
      <c r="Q1827" s="1930">
        <f>$AC$1827</f>
        <v>-1.49E-2</v>
      </c>
      <c r="R1827" s="597"/>
      <c r="S1827" s="1645"/>
      <c r="T1827" s="1645"/>
      <c r="U1827" s="1645"/>
      <c r="V1827" s="1645"/>
      <c r="W1827" s="1645"/>
      <c r="X1827" s="1645"/>
      <c r="Y1827" s="1644">
        <f>Q1827*Y1825</f>
        <v>-7909.3670000000002</v>
      </c>
      <c r="AA1827" s="1109" t="s">
        <v>1938</v>
      </c>
      <c r="AB1827" s="1917">
        <f>RateSpread!V59*1000</f>
        <v>-8368.7141414547987</v>
      </c>
      <c r="AC1827" s="1918">
        <f>ROUND(AB1827/Y1814,4)</f>
        <v>-1.49E-2</v>
      </c>
      <c r="AI1827" s="2023">
        <f>W1827-'Blocking-Step2'!W1827</f>
        <v>0</v>
      </c>
      <c r="AJ1827" s="2054">
        <f>O1827-'Blocking-Step2'!O1827</f>
        <v>0</v>
      </c>
    </row>
    <row r="1828" spans="1:36" hidden="1">
      <c r="A1828" s="1900"/>
      <c r="C1828" s="584"/>
      <c r="D1828" s="584"/>
      <c r="F1828" s="1930"/>
      <c r="G1828" s="597"/>
      <c r="H1828" s="1644"/>
      <c r="I1828" s="1644"/>
      <c r="K1828" s="1930"/>
      <c r="L1828" s="597"/>
      <c r="M1828" s="1930"/>
      <c r="N1828" s="597"/>
      <c r="O1828" s="1931">
        <f>$O$44</f>
        <v>0</v>
      </c>
      <c r="P1828" s="597"/>
      <c r="Q1828" s="1930">
        <f>$AC$1828</f>
        <v>0</v>
      </c>
      <c r="R1828" s="597"/>
      <c r="S1828" s="1645"/>
      <c r="T1828" s="1645"/>
      <c r="U1828" s="1645"/>
      <c r="V1828" s="1645"/>
      <c r="W1828" s="1645"/>
      <c r="X1828" s="1645"/>
      <c r="Y1828" s="1644">
        <f>Q1828*Y1825</f>
        <v>0</v>
      </c>
      <c r="AA1828" s="1109" t="s">
        <v>1939</v>
      </c>
      <c r="AB1828" s="1917">
        <v>0</v>
      </c>
      <c r="AC1828" s="1918">
        <f>ROUND(AB1828/Y1814,4)</f>
        <v>0</v>
      </c>
      <c r="AI1828" s="2023">
        <f>W1828-'Blocking-Step2'!W1828</f>
        <v>0</v>
      </c>
      <c r="AJ1828" s="2054">
        <f>O1828-'Blocking-Step2'!O1828</f>
        <v>0</v>
      </c>
    </row>
    <row r="1829" spans="1:36" ht="16.5" hidden="1" thickBot="1">
      <c r="A1829" s="1869" t="s">
        <v>93</v>
      </c>
      <c r="C1829" s="1949">
        <f>C1825+C1826</f>
        <v>14762485</v>
      </c>
      <c r="D1829" s="1949">
        <f>Energy!P39</f>
        <v>15043463.667792927</v>
      </c>
      <c r="F1829" s="1939"/>
      <c r="H1829" s="1647">
        <f>SUM(H1821:H1827)</f>
        <v>1063448.3999999999</v>
      </c>
      <c r="I1829" s="1647">
        <f>SUM(I1821:I1827)</f>
        <v>1080008.416</v>
      </c>
      <c r="K1829" s="1939"/>
      <c r="M1829" s="1939"/>
      <c r="O1829" s="1939"/>
      <c r="Q1829" s="1939"/>
      <c r="S1829" s="1647">
        <f>SUM(S1821:S1826)</f>
        <v>194197</v>
      </c>
      <c r="U1829" s="1647">
        <f>SUM(U1821:U1826)</f>
        <v>245670</v>
      </c>
      <c r="W1829" s="1647">
        <f>SUM(W1821:W1826)</f>
        <v>305223</v>
      </c>
      <c r="Y1829" s="1647">
        <f>SUM(Y1821:Y1826)</f>
        <v>745089</v>
      </c>
      <c r="AA1829" s="1104" t="s">
        <v>1743</v>
      </c>
      <c r="AB1829" s="1890">
        <f>Y1818/I1818-1</f>
        <v>-0.31012515685803799</v>
      </c>
      <c r="AI1829" s="2023">
        <f>W1829-'Blocking-Step2'!W1829</f>
        <v>0</v>
      </c>
      <c r="AJ1829" s="2054">
        <f>O1829-'Blocking-Step2'!O1829</f>
        <v>0</v>
      </c>
    </row>
    <row r="1830" spans="1:36" ht="16.5" hidden="1" thickTop="1">
      <c r="A1830" s="1900"/>
      <c r="C1830" s="1025"/>
      <c r="D1830" s="1025"/>
      <c r="F1830" s="596"/>
      <c r="H1830" s="1645"/>
      <c r="I1830" s="1645"/>
      <c r="K1830" s="596"/>
      <c r="M1830" s="596"/>
      <c r="O1830" s="596"/>
      <c r="Q1830" s="596"/>
      <c r="Y1830" s="1645"/>
      <c r="AI1830" s="2023">
        <f>W1830-'Blocking-Step2'!W1830</f>
        <v>0</v>
      </c>
      <c r="AJ1830" s="2054">
        <f>O1830-'Blocking-Step2'!O1830</f>
        <v>0</v>
      </c>
    </row>
    <row r="1831" spans="1:36" hidden="1">
      <c r="A1831" s="1983" t="s">
        <v>919</v>
      </c>
      <c r="C1831" s="528"/>
      <c r="D1831" s="528"/>
      <c r="AI1831" s="2023">
        <f>W1831-'Blocking-Step2'!W1831</f>
        <v>0</v>
      </c>
      <c r="AJ1831" s="2054">
        <f>O1831-'Blocking-Step2'!O1831</f>
        <v>0</v>
      </c>
    </row>
    <row r="1832" spans="1:36" hidden="1">
      <c r="A1832" s="1900" t="s">
        <v>391</v>
      </c>
      <c r="C1832" s="528">
        <f>'15M'!J3</f>
        <v>70</v>
      </c>
      <c r="D1832" s="528">
        <f>ROUND(C1832/C1840*D1840,0)</f>
        <v>75</v>
      </c>
      <c r="F1832" s="1901">
        <v>11</v>
      </c>
      <c r="G1832" s="1902"/>
      <c r="H1832" s="1644">
        <f t="shared" ref="H1832:I1835" si="1018">ROUND(C1832*$F1832,0)</f>
        <v>770</v>
      </c>
      <c r="I1832" s="1644">
        <f t="shared" si="1018"/>
        <v>825</v>
      </c>
      <c r="K1832" s="1901">
        <f>K1810</f>
        <v>7.25</v>
      </c>
      <c r="L1832" s="1902"/>
      <c r="M1832" s="1901">
        <f>M1810</f>
        <v>0.75</v>
      </c>
      <c r="N1832" s="1902"/>
      <c r="O1832" s="1901">
        <f>O1810</f>
        <v>0</v>
      </c>
      <c r="P1832" s="1902"/>
      <c r="Q1832" s="1901">
        <f>Q1810</f>
        <v>8</v>
      </c>
      <c r="R1832" s="1902"/>
      <c r="S1832" s="1644">
        <f t="shared" ref="S1832:S1835" si="1019">ROUND($D1832*K1832,0)</f>
        <v>544</v>
      </c>
      <c r="T1832" s="1645"/>
      <c r="U1832" s="1644">
        <f t="shared" ref="U1832:U1835" si="1020">ROUND($D1832*M1832,0)</f>
        <v>56</v>
      </c>
      <c r="V1832" s="1645"/>
      <c r="W1832" s="1644">
        <f t="shared" ref="W1832:W1835" si="1021">ROUND($D1832*O1832,0)</f>
        <v>0</v>
      </c>
      <c r="X1832" s="1643"/>
      <c r="Y1832" s="1644">
        <f>ROUND($D1832*Q1832,0)</f>
        <v>600</v>
      </c>
      <c r="AI1832" s="2023">
        <f>W1832-'Blocking-Step2'!W1832</f>
        <v>0</v>
      </c>
      <c r="AJ1832" s="2054">
        <f>O1832-'Blocking-Step2'!O1832</f>
        <v>0</v>
      </c>
    </row>
    <row r="1833" spans="1:36" hidden="1">
      <c r="A1833" s="1900" t="s">
        <v>392</v>
      </c>
      <c r="C1833" s="528">
        <f>'15M'!G3</f>
        <v>6</v>
      </c>
      <c r="D1833" s="528">
        <f>ROUND(C1833/C1835*D1835,0)</f>
        <v>6</v>
      </c>
      <c r="F1833" s="1901">
        <v>72.5</v>
      </c>
      <c r="G1833" s="1902"/>
      <c r="H1833" s="1644">
        <f t="shared" si="1018"/>
        <v>435</v>
      </c>
      <c r="I1833" s="1644">
        <f t="shared" si="1018"/>
        <v>435</v>
      </c>
      <c r="K1833" s="1901">
        <f>K1811</f>
        <v>45.36</v>
      </c>
      <c r="L1833" s="1902"/>
      <c r="M1833" s="1901">
        <f t="shared" ref="M1833:M1836" si="1022">M1811</f>
        <v>4.6600000000000037</v>
      </c>
      <c r="N1833" s="1902"/>
      <c r="O1833" s="1901">
        <f t="shared" ref="O1833:O1836" si="1023">O1811</f>
        <v>0</v>
      </c>
      <c r="P1833" s="1902"/>
      <c r="Q1833" s="1901">
        <f>Q1811</f>
        <v>50.02</v>
      </c>
      <c r="R1833" s="1902"/>
      <c r="S1833" s="1644">
        <f t="shared" si="1019"/>
        <v>272</v>
      </c>
      <c r="T1833" s="1645"/>
      <c r="U1833" s="1644">
        <f t="shared" si="1020"/>
        <v>28</v>
      </c>
      <c r="V1833" s="1645"/>
      <c r="W1833" s="1644">
        <f t="shared" si="1021"/>
        <v>0</v>
      </c>
      <c r="X1833" s="1643"/>
      <c r="Y1833" s="1644">
        <f t="shared" ref="Y1833:Y1835" si="1024">ROUND($D1833*Q1833,0)</f>
        <v>300</v>
      </c>
      <c r="AI1833" s="2023">
        <f>W1833-'Blocking-Step2'!W1833</f>
        <v>0</v>
      </c>
      <c r="AJ1833" s="2054">
        <f>O1833-'Blocking-Step2'!O1833</f>
        <v>0</v>
      </c>
    </row>
    <row r="1834" spans="1:36" hidden="1">
      <c r="A1834" s="1900" t="s">
        <v>390</v>
      </c>
      <c r="C1834" s="528">
        <f>'15M'!H3</f>
        <v>0</v>
      </c>
      <c r="D1834" s="528">
        <f>ROUND(C1834/C1835*D1835,0)</f>
        <v>0</v>
      </c>
      <c r="F1834" s="1901">
        <v>127.5</v>
      </c>
      <c r="G1834" s="1902"/>
      <c r="H1834" s="1644">
        <f t="shared" si="1018"/>
        <v>0</v>
      </c>
      <c r="I1834" s="1644">
        <f t="shared" si="1018"/>
        <v>0</v>
      </c>
      <c r="K1834" s="1901">
        <f>K1812</f>
        <v>81.61</v>
      </c>
      <c r="L1834" s="1902"/>
      <c r="M1834" s="1901">
        <f t="shared" si="1022"/>
        <v>8.4100000000000108</v>
      </c>
      <c r="N1834" s="1902"/>
      <c r="O1834" s="1901">
        <f t="shared" si="1023"/>
        <v>0</v>
      </c>
      <c r="P1834" s="1902"/>
      <c r="Q1834" s="1901">
        <f>Q1812</f>
        <v>90.02000000000001</v>
      </c>
      <c r="R1834" s="1902"/>
      <c r="S1834" s="1644">
        <f t="shared" si="1019"/>
        <v>0</v>
      </c>
      <c r="T1834" s="1645"/>
      <c r="U1834" s="1644">
        <f t="shared" si="1020"/>
        <v>0</v>
      </c>
      <c r="V1834" s="1645"/>
      <c r="W1834" s="1644">
        <f t="shared" si="1021"/>
        <v>0</v>
      </c>
      <c r="X1834" s="1643"/>
      <c r="Y1834" s="1644">
        <f t="shared" si="1024"/>
        <v>0</v>
      </c>
      <c r="AI1834" s="2023">
        <f>W1834-'Blocking-Step2'!W1834</f>
        <v>0</v>
      </c>
      <c r="AJ1834" s="2054">
        <f>O1834-'Blocking-Step2'!O1834</f>
        <v>0</v>
      </c>
    </row>
    <row r="1835" spans="1:36" hidden="1">
      <c r="A1835" s="1900" t="s">
        <v>393</v>
      </c>
      <c r="C1835" s="528">
        <f>'15M'!I3</f>
        <v>72</v>
      </c>
      <c r="D1835" s="528">
        <f>Bill!P63</f>
        <v>72</v>
      </c>
      <c r="F1835" s="1901">
        <v>6.2</v>
      </c>
      <c r="G1835" s="1902"/>
      <c r="H1835" s="1644">
        <f t="shared" si="1018"/>
        <v>446</v>
      </c>
      <c r="I1835" s="1644">
        <f t="shared" si="1018"/>
        <v>446</v>
      </c>
      <c r="K1835" s="1901">
        <f>K1813</f>
        <v>3.88</v>
      </c>
      <c r="L1835" s="1902"/>
      <c r="M1835" s="1901">
        <f t="shared" si="1022"/>
        <v>0.40000000000000036</v>
      </c>
      <c r="N1835" s="1902"/>
      <c r="O1835" s="1901">
        <f t="shared" si="1023"/>
        <v>0</v>
      </c>
      <c r="P1835" s="1902"/>
      <c r="Q1835" s="1901">
        <f>Q1813</f>
        <v>4.28</v>
      </c>
      <c r="R1835" s="1902"/>
      <c r="S1835" s="1644">
        <f t="shared" si="1019"/>
        <v>279</v>
      </c>
      <c r="T1835" s="1645"/>
      <c r="U1835" s="1644">
        <f t="shared" si="1020"/>
        <v>29</v>
      </c>
      <c r="V1835" s="1645"/>
      <c r="W1835" s="1644">
        <f t="shared" si="1021"/>
        <v>0</v>
      </c>
      <c r="X1835" s="1643"/>
      <c r="Y1835" s="1644">
        <f t="shared" si="1024"/>
        <v>308</v>
      </c>
      <c r="AI1835" s="2023">
        <f>W1835-'Blocking-Step2'!W1835</f>
        <v>0</v>
      </c>
      <c r="AJ1835" s="2054">
        <f>O1835-'Blocking-Step2'!O1835</f>
        <v>0</v>
      </c>
    </row>
    <row r="1836" spans="1:36" hidden="1">
      <c r="A1836" s="1900" t="s">
        <v>360</v>
      </c>
      <c r="C1836" s="528">
        <f>'15M'!K3</f>
        <v>12527</v>
      </c>
      <c r="D1836" s="528">
        <f>D1840-D1837</f>
        <v>13122</v>
      </c>
      <c r="F1836" s="1970">
        <v>5.3437000000000001</v>
      </c>
      <c r="G1836" s="1921" t="s">
        <v>495</v>
      </c>
      <c r="H1836" s="1644">
        <f>ROUND(C1836*$F1836/100,0)</f>
        <v>669</v>
      </c>
      <c r="I1836" s="1644">
        <f>ROUND(D1836*$F1836/100,0)</f>
        <v>701</v>
      </c>
      <c r="K1836" s="1970">
        <f>K1814</f>
        <v>0</v>
      </c>
      <c r="L1836" s="1921" t="s">
        <v>495</v>
      </c>
      <c r="M1836" s="1970">
        <f t="shared" si="1022"/>
        <v>1.4997000000000003</v>
      </c>
      <c r="N1836" s="1921" t="s">
        <v>495</v>
      </c>
      <c r="O1836" s="1972">
        <f t="shared" si="1023"/>
        <v>2.0289413928359998</v>
      </c>
      <c r="P1836" s="2020" t="s">
        <v>495</v>
      </c>
      <c r="Q1836" s="1972">
        <f>Q1814</f>
        <v>3.5286413928360001</v>
      </c>
      <c r="R1836" s="1921" t="s">
        <v>495</v>
      </c>
      <c r="S1836" s="1644">
        <f>ROUND($D1836*K1836/100,0)</f>
        <v>0</v>
      </c>
      <c r="T1836" s="1648"/>
      <c r="U1836" s="1644">
        <f>ROUND($D1836*M1836/100,0)</f>
        <v>197</v>
      </c>
      <c r="V1836" s="1648"/>
      <c r="W1836" s="1644">
        <f>ROUND($D1836*O1836/100,0)</f>
        <v>266</v>
      </c>
      <c r="X1836" s="1648"/>
      <c r="Y1836" s="1644">
        <f>ROUND($D1836*Q1836/100,0)</f>
        <v>463</v>
      </c>
      <c r="AI1836" s="2023">
        <f>W1836-'Blocking-Step2'!W1836</f>
        <v>0</v>
      </c>
      <c r="AJ1836" s="2054">
        <f>O1836-'Blocking-Step2'!O1836</f>
        <v>0</v>
      </c>
    </row>
    <row r="1837" spans="1:36" hidden="1">
      <c r="A1837" s="1900" t="s">
        <v>288</v>
      </c>
      <c r="C1837" s="529">
        <f>'Table 2'!J93</f>
        <v>-203</v>
      </c>
      <c r="D1837" s="529">
        <v>0</v>
      </c>
      <c r="H1837" s="1030">
        <f>'Table 3'!F93</f>
        <v>-35</v>
      </c>
      <c r="I1837" s="1030">
        <v>0</v>
      </c>
      <c r="Y1837" s="1030"/>
      <c r="AI1837" s="2023">
        <f>W1837-'Blocking-Step2'!W1837</f>
        <v>0</v>
      </c>
      <c r="AJ1837" s="2054">
        <f>O1837-'Blocking-Step2'!O1837</f>
        <v>0</v>
      </c>
    </row>
    <row r="1838" spans="1:36" hidden="1">
      <c r="A1838" s="1900" t="s">
        <v>1240</v>
      </c>
      <c r="C1838" s="584"/>
      <c r="D1838" s="584"/>
      <c r="F1838" s="1930">
        <v>-2.8000000000000001E-2</v>
      </c>
      <c r="G1838" s="597"/>
      <c r="H1838" s="1644">
        <f>SUM(H1836)*$F1838</f>
        <v>-18.731999999999999</v>
      </c>
      <c r="I1838" s="1644">
        <f>SUM(I1836)*$F1838</f>
        <v>-19.628</v>
      </c>
      <c r="K1838" s="1930"/>
      <c r="L1838" s="597"/>
      <c r="M1838" s="1930"/>
      <c r="N1838" s="597"/>
      <c r="O1838" s="1931" t="str">
        <f>$O$43</f>
        <v>Tax Year 1 (1/1/2021)</v>
      </c>
      <c r="P1838" s="597"/>
      <c r="Q1838" s="1930">
        <f>$AC$1827</f>
        <v>-1.49E-2</v>
      </c>
      <c r="R1838" s="597"/>
      <c r="S1838" s="1645"/>
      <c r="T1838" s="1645"/>
      <c r="U1838" s="1645"/>
      <c r="V1838" s="1645"/>
      <c r="W1838" s="1645"/>
      <c r="X1838" s="1645"/>
      <c r="Y1838" s="1644">
        <f>Q1838*Y1836</f>
        <v>-6.8986999999999998</v>
      </c>
      <c r="AI1838" s="2023">
        <f>W1838-'Blocking-Step2'!W1838</f>
        <v>0</v>
      </c>
      <c r="AJ1838" s="2054">
        <f>O1838-'Blocking-Step2'!O1838</f>
        <v>0</v>
      </c>
    </row>
    <row r="1839" spans="1:36" hidden="1">
      <c r="A1839" s="1900"/>
      <c r="C1839" s="584"/>
      <c r="D1839" s="584"/>
      <c r="F1839" s="1930"/>
      <c r="G1839" s="597"/>
      <c r="H1839" s="1644"/>
      <c r="I1839" s="1644"/>
      <c r="K1839" s="1930"/>
      <c r="L1839" s="597"/>
      <c r="M1839" s="1930"/>
      <c r="N1839" s="597"/>
      <c r="O1839" s="1931">
        <f>$O$44</f>
        <v>0</v>
      </c>
      <c r="P1839" s="597"/>
      <c r="Q1839" s="1930">
        <f>$AC$1828</f>
        <v>0</v>
      </c>
      <c r="R1839" s="597"/>
      <c r="S1839" s="1645"/>
      <c r="T1839" s="1645"/>
      <c r="U1839" s="1645"/>
      <c r="V1839" s="1645"/>
      <c r="W1839" s="1645"/>
      <c r="X1839" s="1645"/>
      <c r="Y1839" s="1644">
        <f>Q1839*Y1836</f>
        <v>0</v>
      </c>
      <c r="AI1839" s="2023">
        <f>W1839-'Blocking-Step2'!W1839</f>
        <v>0</v>
      </c>
      <c r="AJ1839" s="2054">
        <f>O1839-'Blocking-Step2'!O1839</f>
        <v>0</v>
      </c>
    </row>
    <row r="1840" spans="1:36" ht="16.5" hidden="1" thickBot="1">
      <c r="A1840" s="1869" t="s">
        <v>93</v>
      </c>
      <c r="C1840" s="1949">
        <f>C1836+C1837</f>
        <v>12324</v>
      </c>
      <c r="D1840" s="1949">
        <f>Energy!P63</f>
        <v>13122</v>
      </c>
      <c r="F1840" s="1939"/>
      <c r="H1840" s="1647">
        <f>SUM(H1832:H1838)</f>
        <v>2266.268</v>
      </c>
      <c r="I1840" s="1647">
        <f>SUM(I1832:I1838)</f>
        <v>2387.3719999999998</v>
      </c>
      <c r="K1840" s="1939"/>
      <c r="M1840" s="1939"/>
      <c r="O1840" s="1939"/>
      <c r="Q1840" s="1939"/>
      <c r="S1840" s="1647">
        <f>SUM(S1832:S1837)</f>
        <v>1095</v>
      </c>
      <c r="U1840" s="1647">
        <f>SUM(U1832:U1837)</f>
        <v>310</v>
      </c>
      <c r="W1840" s="1647">
        <f>SUM(W1832:W1837)</f>
        <v>266</v>
      </c>
      <c r="Y1840" s="1647">
        <f>SUM(Y1832:Y1837)</f>
        <v>1671</v>
      </c>
      <c r="AA1840" s="1104" t="s">
        <v>1743</v>
      </c>
      <c r="AB1840" s="1890">
        <f>Y1840/I1840-1</f>
        <v>-0.30006718684813249</v>
      </c>
      <c r="AI1840" s="2023">
        <f>W1840-'Blocking-Step2'!W1840</f>
        <v>0</v>
      </c>
      <c r="AJ1840" s="2054">
        <f>O1840-'Blocking-Step2'!O1840</f>
        <v>0</v>
      </c>
    </row>
    <row r="1841" spans="1:36" ht="16.5" hidden="1" thickTop="1">
      <c r="A1841" s="1900"/>
      <c r="C1841" s="1025"/>
      <c r="D1841" s="1025"/>
      <c r="F1841" s="596"/>
      <c r="H1841" s="1645"/>
      <c r="I1841" s="1645"/>
      <c r="K1841" s="596"/>
      <c r="M1841" s="596"/>
      <c r="O1841" s="596"/>
      <c r="Q1841" s="596"/>
      <c r="Y1841" s="1645"/>
      <c r="AI1841" s="2023">
        <f>W1841-'Blocking-Step2'!W1841</f>
        <v>0</v>
      </c>
      <c r="AJ1841" s="2054">
        <f>O1841-'Blocking-Step2'!O1841</f>
        <v>0</v>
      </c>
    </row>
    <row r="1842" spans="1:36" hidden="1">
      <c r="A1842" s="1983" t="s">
        <v>920</v>
      </c>
      <c r="C1842" s="528"/>
      <c r="D1842" s="528"/>
      <c r="AI1842" s="2023">
        <f>W1842-'Blocking-Step2'!W1842</f>
        <v>0</v>
      </c>
      <c r="AJ1842" s="2054">
        <f>O1842-'Blocking-Step2'!O1842</f>
        <v>0</v>
      </c>
    </row>
    <row r="1843" spans="1:36" hidden="1">
      <c r="A1843" s="1900" t="s">
        <v>391</v>
      </c>
      <c r="C1843" s="528">
        <f>'15M'!J4</f>
        <v>1008.45176470588</v>
      </c>
      <c r="D1843" s="528">
        <f>ROUND(C1843/C1851*D1851,0)</f>
        <v>1093</v>
      </c>
      <c r="F1843" s="1901">
        <v>11</v>
      </c>
      <c r="G1843" s="1902"/>
      <c r="H1843" s="1644">
        <f t="shared" ref="H1843:I1846" si="1025">ROUND(C1843*$F1843,0)</f>
        <v>11093</v>
      </c>
      <c r="I1843" s="1644">
        <f t="shared" si="1025"/>
        <v>12023</v>
      </c>
      <c r="K1843" s="1901">
        <f>K1810</f>
        <v>7.25</v>
      </c>
      <c r="L1843" s="1902"/>
      <c r="M1843" s="1901">
        <f>M1810</f>
        <v>0.75</v>
      </c>
      <c r="N1843" s="1902"/>
      <c r="O1843" s="1901">
        <f>O1810</f>
        <v>0</v>
      </c>
      <c r="P1843" s="1902"/>
      <c r="Q1843" s="1901">
        <f>Q1810</f>
        <v>8</v>
      </c>
      <c r="R1843" s="1902"/>
      <c r="S1843" s="1644">
        <f t="shared" ref="S1843:S1846" si="1026">ROUND($D1843*K1843,0)</f>
        <v>7924</v>
      </c>
      <c r="T1843" s="1645"/>
      <c r="U1843" s="1644">
        <f t="shared" ref="U1843:U1846" si="1027">ROUND($D1843*M1843,0)</f>
        <v>820</v>
      </c>
      <c r="V1843" s="1645"/>
      <c r="W1843" s="1644">
        <f t="shared" ref="W1843:W1846" si="1028">ROUND($D1843*O1843,0)</f>
        <v>0</v>
      </c>
      <c r="X1843" s="1643"/>
      <c r="Y1843" s="1644">
        <f>ROUND($D1843*Q1843,0)</f>
        <v>8744</v>
      </c>
      <c r="AI1843" s="2023">
        <f>W1843-'Blocking-Step2'!W1843</f>
        <v>0</v>
      </c>
      <c r="AJ1843" s="2054">
        <f>O1843-'Blocking-Step2'!O1843</f>
        <v>0</v>
      </c>
    </row>
    <row r="1844" spans="1:36" hidden="1">
      <c r="A1844" s="1900" t="s">
        <v>392</v>
      </c>
      <c r="C1844" s="528">
        <f>'15M'!G4</f>
        <v>93.490352941176496</v>
      </c>
      <c r="D1844" s="528">
        <f>ROUND(C1844/C1846*D1846,0)</f>
        <v>94</v>
      </c>
      <c r="F1844" s="1901">
        <v>72.5</v>
      </c>
      <c r="G1844" s="1902"/>
      <c r="H1844" s="1644">
        <f t="shared" si="1025"/>
        <v>6778</v>
      </c>
      <c r="I1844" s="1644">
        <f t="shared" si="1025"/>
        <v>6815</v>
      </c>
      <c r="K1844" s="1901">
        <f t="shared" ref="K1844:K1847" si="1029">K1811</f>
        <v>45.36</v>
      </c>
      <c r="L1844" s="1902"/>
      <c r="M1844" s="1901">
        <f t="shared" ref="M1844:M1847" si="1030">M1811</f>
        <v>4.6600000000000037</v>
      </c>
      <c r="N1844" s="1902"/>
      <c r="O1844" s="1901">
        <f t="shared" ref="O1844:O1847" si="1031">O1811</f>
        <v>0</v>
      </c>
      <c r="P1844" s="1902"/>
      <c r="Q1844" s="1901">
        <f>Q1811</f>
        <v>50.02</v>
      </c>
      <c r="R1844" s="1902"/>
      <c r="S1844" s="1644">
        <f t="shared" si="1026"/>
        <v>4264</v>
      </c>
      <c r="T1844" s="1645"/>
      <c r="U1844" s="1644">
        <f t="shared" si="1027"/>
        <v>438</v>
      </c>
      <c r="V1844" s="1645"/>
      <c r="W1844" s="1644">
        <f t="shared" si="1028"/>
        <v>0</v>
      </c>
      <c r="X1844" s="1643"/>
      <c r="Y1844" s="1644">
        <f t="shared" ref="Y1844:Y1846" si="1032">ROUND($D1844*Q1844,0)</f>
        <v>4702</v>
      </c>
      <c r="AI1844" s="2023">
        <f>W1844-'Blocking-Step2'!W1844</f>
        <v>0</v>
      </c>
      <c r="AJ1844" s="2054">
        <f>O1844-'Blocking-Step2'!O1844</f>
        <v>0</v>
      </c>
    </row>
    <row r="1845" spans="1:36" hidden="1">
      <c r="A1845" s="1900" t="s">
        <v>390</v>
      </c>
      <c r="C1845" s="528">
        <f>'15M'!H4</f>
        <v>0</v>
      </c>
      <c r="D1845" s="528">
        <f>ROUND(C1845/C1846*D1846,0)</f>
        <v>0</v>
      </c>
      <c r="F1845" s="1901">
        <v>127.5</v>
      </c>
      <c r="G1845" s="1902"/>
      <c r="H1845" s="1644">
        <f t="shared" si="1025"/>
        <v>0</v>
      </c>
      <c r="I1845" s="1644">
        <f t="shared" si="1025"/>
        <v>0</v>
      </c>
      <c r="K1845" s="1901">
        <f t="shared" si="1029"/>
        <v>81.61</v>
      </c>
      <c r="L1845" s="1902"/>
      <c r="M1845" s="1901">
        <f t="shared" si="1030"/>
        <v>8.4100000000000108</v>
      </c>
      <c r="N1845" s="1902"/>
      <c r="O1845" s="1901">
        <f t="shared" si="1031"/>
        <v>0</v>
      </c>
      <c r="P1845" s="1902"/>
      <c r="Q1845" s="1901">
        <f>Q1812</f>
        <v>90.02000000000001</v>
      </c>
      <c r="R1845" s="1902"/>
      <c r="S1845" s="1644">
        <f t="shared" si="1026"/>
        <v>0</v>
      </c>
      <c r="T1845" s="1645"/>
      <c r="U1845" s="1644">
        <f t="shared" si="1027"/>
        <v>0</v>
      </c>
      <c r="V1845" s="1645"/>
      <c r="W1845" s="1644">
        <f t="shared" si="1028"/>
        <v>0</v>
      </c>
      <c r="X1845" s="1643"/>
      <c r="Y1845" s="1644">
        <f t="shared" si="1032"/>
        <v>0</v>
      </c>
      <c r="AI1845" s="2023">
        <f>W1845-'Blocking-Step2'!W1845</f>
        <v>0</v>
      </c>
      <c r="AJ1845" s="2054">
        <f>O1845-'Blocking-Step2'!O1845</f>
        <v>0</v>
      </c>
    </row>
    <row r="1846" spans="1:36" hidden="1">
      <c r="A1846" s="1900" t="s">
        <v>393</v>
      </c>
      <c r="C1846" s="528">
        <f>'15M'!I4</f>
        <v>1119.53548387097</v>
      </c>
      <c r="D1846" s="528">
        <f>Bill!P92</f>
        <v>1128</v>
      </c>
      <c r="F1846" s="1901">
        <v>6.2</v>
      </c>
      <c r="G1846" s="1902"/>
      <c r="H1846" s="1644">
        <f t="shared" si="1025"/>
        <v>6941</v>
      </c>
      <c r="I1846" s="1644">
        <f t="shared" si="1025"/>
        <v>6994</v>
      </c>
      <c r="K1846" s="1901">
        <f t="shared" si="1029"/>
        <v>3.88</v>
      </c>
      <c r="L1846" s="1902"/>
      <c r="M1846" s="1901">
        <f t="shared" si="1030"/>
        <v>0.40000000000000036</v>
      </c>
      <c r="N1846" s="1902"/>
      <c r="O1846" s="1901">
        <f t="shared" si="1031"/>
        <v>0</v>
      </c>
      <c r="P1846" s="1902"/>
      <c r="Q1846" s="1901">
        <f>Q1813</f>
        <v>4.28</v>
      </c>
      <c r="R1846" s="1902"/>
      <c r="S1846" s="1644">
        <f t="shared" si="1026"/>
        <v>4377</v>
      </c>
      <c r="T1846" s="1645"/>
      <c r="U1846" s="1644">
        <f t="shared" si="1027"/>
        <v>451</v>
      </c>
      <c r="V1846" s="1645"/>
      <c r="W1846" s="1644">
        <f t="shared" si="1028"/>
        <v>0</v>
      </c>
      <c r="X1846" s="1643"/>
      <c r="Y1846" s="1644">
        <f t="shared" si="1032"/>
        <v>4828</v>
      </c>
      <c r="AI1846" s="2023">
        <f>W1846-'Blocking-Step2'!W1846</f>
        <v>0</v>
      </c>
      <c r="AJ1846" s="2054">
        <f>O1846-'Blocking-Step2'!O1846</f>
        <v>0</v>
      </c>
    </row>
    <row r="1847" spans="1:36" hidden="1">
      <c r="A1847" s="1900" t="s">
        <v>360</v>
      </c>
      <c r="C1847" s="528">
        <f>'15M'!K4</f>
        <v>868661</v>
      </c>
      <c r="D1847" s="528">
        <f>D1851-D1848</f>
        <v>906565.39492630609</v>
      </c>
      <c r="F1847" s="1970">
        <v>5.3437000000000001</v>
      </c>
      <c r="G1847" s="1921" t="s">
        <v>495</v>
      </c>
      <c r="H1847" s="1644">
        <f>ROUND(C1847*$F1847/100,0)</f>
        <v>46419</v>
      </c>
      <c r="I1847" s="1644">
        <f>ROUND(D1847*$F1847/100,0)</f>
        <v>48444</v>
      </c>
      <c r="K1847" s="1970">
        <f t="shared" si="1029"/>
        <v>0</v>
      </c>
      <c r="L1847" s="1921" t="s">
        <v>495</v>
      </c>
      <c r="M1847" s="1970">
        <f t="shared" si="1030"/>
        <v>1.4997000000000003</v>
      </c>
      <c r="N1847" s="1921" t="s">
        <v>495</v>
      </c>
      <c r="O1847" s="1972">
        <f t="shared" si="1031"/>
        <v>2.0289413928359998</v>
      </c>
      <c r="P1847" s="2020" t="s">
        <v>495</v>
      </c>
      <c r="Q1847" s="1972">
        <f>Q1814</f>
        <v>3.5286413928360001</v>
      </c>
      <c r="R1847" s="1921" t="s">
        <v>495</v>
      </c>
      <c r="S1847" s="1644">
        <f>ROUND($D1847*K1847/100,0)</f>
        <v>0</v>
      </c>
      <c r="T1847" s="1648"/>
      <c r="U1847" s="1644">
        <f>ROUND($D1847*M1847/100,0)</f>
        <v>13596</v>
      </c>
      <c r="V1847" s="1648"/>
      <c r="W1847" s="1644">
        <f>ROUND($D1847*O1847/100,0)</f>
        <v>18394</v>
      </c>
      <c r="X1847" s="1648"/>
      <c r="Y1847" s="1644">
        <f>ROUND($D1847*Q1847/100,0)</f>
        <v>31989</v>
      </c>
      <c r="AI1847" s="2023">
        <f>W1847-'Blocking-Step2'!W1847</f>
        <v>0</v>
      </c>
      <c r="AJ1847" s="2054">
        <f>O1847-'Blocking-Step2'!O1847</f>
        <v>0</v>
      </c>
    </row>
    <row r="1848" spans="1:36" hidden="1">
      <c r="A1848" s="1900" t="s">
        <v>288</v>
      </c>
      <c r="C1848" s="529">
        <f>'Table 2'!J141</f>
        <v>-32186</v>
      </c>
      <c r="D1848" s="529">
        <v>0</v>
      </c>
      <c r="H1848" s="1030">
        <f>'Table 3'!F141</f>
        <v>-2456</v>
      </c>
      <c r="I1848" s="1030">
        <v>0</v>
      </c>
      <c r="Y1848" s="1030"/>
      <c r="AI1848" s="2023">
        <f>W1848-'Blocking-Step2'!W1848</f>
        <v>0</v>
      </c>
      <c r="AJ1848" s="2054">
        <f>O1848-'Blocking-Step2'!O1848</f>
        <v>0</v>
      </c>
    </row>
    <row r="1849" spans="1:36" hidden="1">
      <c r="A1849" s="1900" t="s">
        <v>1240</v>
      </c>
      <c r="C1849" s="584"/>
      <c r="D1849" s="584"/>
      <c r="F1849" s="1930">
        <v>-2.8000000000000001E-2</v>
      </c>
      <c r="G1849" s="597"/>
      <c r="H1849" s="1644">
        <f>SUM(H1847)*$F1849</f>
        <v>-1299.732</v>
      </c>
      <c r="I1849" s="1644">
        <f>SUM(I1847)*$F1849</f>
        <v>-1356.432</v>
      </c>
      <c r="K1849" s="1930"/>
      <c r="L1849" s="597"/>
      <c r="M1849" s="1930"/>
      <c r="N1849" s="597"/>
      <c r="O1849" s="1931" t="str">
        <f>$O$43</f>
        <v>Tax Year 1 (1/1/2021)</v>
      </c>
      <c r="P1849" s="597"/>
      <c r="Q1849" s="1930">
        <f>$AC$1827</f>
        <v>-1.49E-2</v>
      </c>
      <c r="R1849" s="597"/>
      <c r="S1849" s="1645"/>
      <c r="T1849" s="1645"/>
      <c r="U1849" s="1645"/>
      <c r="V1849" s="1645"/>
      <c r="W1849" s="1645"/>
      <c r="X1849" s="1645"/>
      <c r="Y1849" s="1644">
        <f>Q1849*Y1847</f>
        <v>-476.6361</v>
      </c>
      <c r="AI1849" s="2023">
        <f>W1849-'Blocking-Step2'!W1849</f>
        <v>0</v>
      </c>
      <c r="AJ1849" s="2054">
        <f>O1849-'Blocking-Step2'!O1849</f>
        <v>0</v>
      </c>
    </row>
    <row r="1850" spans="1:36" hidden="1">
      <c r="A1850" s="1900"/>
      <c r="C1850" s="584"/>
      <c r="D1850" s="584"/>
      <c r="F1850" s="1930"/>
      <c r="G1850" s="597"/>
      <c r="H1850" s="1644"/>
      <c r="I1850" s="1644"/>
      <c r="K1850" s="1930"/>
      <c r="L1850" s="597"/>
      <c r="M1850" s="1930"/>
      <c r="N1850" s="597"/>
      <c r="O1850" s="1931">
        <f>$O$44</f>
        <v>0</v>
      </c>
      <c r="P1850" s="597"/>
      <c r="Q1850" s="1930">
        <f>$AC$1828</f>
        <v>0</v>
      </c>
      <c r="R1850" s="597"/>
      <c r="S1850" s="1645"/>
      <c r="T1850" s="1645"/>
      <c r="U1850" s="1645"/>
      <c r="V1850" s="1645"/>
      <c r="W1850" s="1645"/>
      <c r="X1850" s="1645"/>
      <c r="Y1850" s="1644">
        <f>Q1850*Y1847</f>
        <v>0</v>
      </c>
      <c r="AI1850" s="2023">
        <f>W1850-'Blocking-Step2'!W1850</f>
        <v>0</v>
      </c>
      <c r="AJ1850" s="2054">
        <f>O1850-'Blocking-Step2'!O1850</f>
        <v>0</v>
      </c>
    </row>
    <row r="1851" spans="1:36" ht="16.5" hidden="1" thickBot="1">
      <c r="A1851" s="1869" t="s">
        <v>93</v>
      </c>
      <c r="C1851" s="1949">
        <f>C1847+C1848</f>
        <v>836475</v>
      </c>
      <c r="D1851" s="1949">
        <f>Energy!P92</f>
        <v>906565.39492630609</v>
      </c>
      <c r="F1851" s="1939"/>
      <c r="H1851" s="1647">
        <f>SUM(H1843:H1849)</f>
        <v>67475.267999999996</v>
      </c>
      <c r="I1851" s="1647">
        <f>SUM(I1843:I1849)</f>
        <v>72919.567999999999</v>
      </c>
      <c r="K1851" s="1939"/>
      <c r="M1851" s="1939"/>
      <c r="O1851" s="1939"/>
      <c r="Q1851" s="1939"/>
      <c r="S1851" s="1647">
        <f>SUM(S1843:S1848)</f>
        <v>16565</v>
      </c>
      <c r="U1851" s="1647">
        <f>SUM(U1843:U1848)</f>
        <v>15305</v>
      </c>
      <c r="W1851" s="1647">
        <f>SUM(W1843:W1848)</f>
        <v>18394</v>
      </c>
      <c r="Y1851" s="1647">
        <f>SUM(Y1843:Y1848)</f>
        <v>50263</v>
      </c>
      <c r="AA1851" s="1104" t="s">
        <v>1743</v>
      </c>
      <c r="AB1851" s="1890">
        <f>Y1851/I1851-1</f>
        <v>-0.31070628394287803</v>
      </c>
      <c r="AI1851" s="2023">
        <f>W1851-'Blocking-Step2'!W1851</f>
        <v>0</v>
      </c>
      <c r="AJ1851" s="2054">
        <f>O1851-'Blocking-Step2'!O1851</f>
        <v>0</v>
      </c>
    </row>
    <row r="1852" spans="1:36" ht="16.5" thickTop="1">
      <c r="C1852" s="528"/>
      <c r="D1852" s="528"/>
      <c r="AI1852" s="2023">
        <f>W1852-'Blocking-Step2'!W1852</f>
        <v>0</v>
      </c>
      <c r="AJ1852" s="2054">
        <f>O1852-'Blocking-Step2'!O1852</f>
        <v>0</v>
      </c>
    </row>
    <row r="1853" spans="1:36">
      <c r="A1853" s="1983" t="s">
        <v>921</v>
      </c>
      <c r="C1853" s="528"/>
      <c r="D1853" s="528"/>
      <c r="F1853" s="596"/>
      <c r="H1853" s="1645"/>
      <c r="I1853" s="1645"/>
      <c r="K1853" s="596"/>
      <c r="M1853" s="596"/>
      <c r="O1853" s="596"/>
      <c r="Q1853" s="596"/>
      <c r="Y1853" s="1645"/>
      <c r="AI1853" s="2023">
        <f>W1853-'Blocking-Step2'!W1853</f>
        <v>0</v>
      </c>
      <c r="AJ1853" s="2054">
        <f>O1853-'Blocking-Step2'!O1853</f>
        <v>0</v>
      </c>
    </row>
    <row r="1854" spans="1:36">
      <c r="A1854" s="1900" t="s">
        <v>359</v>
      </c>
      <c r="C1854" s="528">
        <f t="shared" ref="C1854:D1856" si="1033">C1862+C1870+C1878</f>
        <v>32427.756363636341</v>
      </c>
      <c r="D1854" s="528">
        <f t="shared" si="1033"/>
        <v>32811</v>
      </c>
      <c r="F1854" s="1901">
        <v>5.5</v>
      </c>
      <c r="G1854" s="1902"/>
      <c r="H1854" s="1644">
        <f>ROUND(C1854*$F1854,0)</f>
        <v>178353</v>
      </c>
      <c r="I1854" s="1644">
        <f>ROUND(D1854*$F1854,0)</f>
        <v>180461</v>
      </c>
      <c r="K1854" s="1944">
        <f>ROUND(S1854/$D1854,2)</f>
        <v>5.5</v>
      </c>
      <c r="L1854" s="597"/>
      <c r="M1854" s="1944">
        <f t="shared" ref="M1854:M1855" si="1034">Q1854-K1854-O1854</f>
        <v>0</v>
      </c>
      <c r="N1854" s="597"/>
      <c r="O1854" s="1944">
        <f>'Blocking-Step2'!O1854</f>
        <v>0</v>
      </c>
      <c r="P1854" s="1902"/>
      <c r="Q1854" s="1901">
        <f>ROUND(F1854*(1+$AB$1866),2)</f>
        <v>5.5</v>
      </c>
      <c r="R1854" s="1902"/>
      <c r="S1854" s="1643">
        <f>MIN(S1859,Y1854)</f>
        <v>180461</v>
      </c>
      <c r="T1854" s="1643"/>
      <c r="U1854" s="1643"/>
      <c r="V1854" s="1643"/>
      <c r="W1854" s="1643"/>
      <c r="X1854" s="1643"/>
      <c r="Y1854" s="1644">
        <f>ROUND($D1854*Q1854,0)</f>
        <v>180461</v>
      </c>
      <c r="AA1854" s="1869">
        <f>Y1859-S1859-W1859</f>
        <v>218773.59699119104</v>
      </c>
      <c r="AI1854" s="2023">
        <f>W1854-'Blocking-Step2'!W1854</f>
        <v>0</v>
      </c>
      <c r="AJ1854" s="2054">
        <f>O1854-'Blocking-Step2'!O1854</f>
        <v>0</v>
      </c>
    </row>
    <row r="1855" spans="1:36">
      <c r="A1855" s="1900" t="s">
        <v>360</v>
      </c>
      <c r="C1855" s="528">
        <f t="shared" si="1033"/>
        <v>7727417</v>
      </c>
      <c r="D1855" s="528">
        <f t="shared" si="1033"/>
        <v>7776370.4443165418</v>
      </c>
      <c r="F1855" s="1972">
        <v>8.4048999999999996</v>
      </c>
      <c r="G1855" s="1921" t="s">
        <v>495</v>
      </c>
      <c r="H1855" s="1644">
        <f>ROUND(C1855*$F1855/100,0)</f>
        <v>649482</v>
      </c>
      <c r="I1855" s="1644">
        <f>ROUND(D1855*$F1855/100,0)</f>
        <v>653596</v>
      </c>
      <c r="K1855" s="1920">
        <f>ROUND(S1855/$D1855*100,4)</f>
        <v>3.0043000000000002</v>
      </c>
      <c r="L1855" s="1921" t="s">
        <v>495</v>
      </c>
      <c r="M1855" s="1920">
        <f t="shared" si="1034"/>
        <v>2.8132999999999999</v>
      </c>
      <c r="N1855" s="1921" t="s">
        <v>495</v>
      </c>
      <c r="O1855" s="1920">
        <f>'Blocking-Step2'!O1855</f>
        <v>2.1834341013880003</v>
      </c>
      <c r="P1855" s="1921" t="s">
        <v>495</v>
      </c>
      <c r="Q1855" s="1972">
        <f>ROUND((AB1863-Y1854)/D1855*100,$AB$8)</f>
        <v>8.0010341013880009</v>
      </c>
      <c r="R1855" s="1921" t="s">
        <v>495</v>
      </c>
      <c r="S1855" s="1648">
        <f>MIN(S1859-S1854,Y1855)</f>
        <v>233624.40300880896</v>
      </c>
      <c r="T1855" s="1648"/>
      <c r="U1855" s="1644">
        <f>ROUND($D1855*M1855/100,0)</f>
        <v>218773</v>
      </c>
      <c r="V1855" s="1648"/>
      <c r="W1855" s="1644">
        <f>ROUND($D1855*O1855/100,0)</f>
        <v>169792</v>
      </c>
      <c r="X1855" s="1648"/>
      <c r="Y1855" s="1644">
        <f>ROUND($D1855*Q1855/100,0)</f>
        <v>622190</v>
      </c>
      <c r="AI1855" s="2023">
        <f>W1855-'Blocking-Step2'!W1855</f>
        <v>-3.4505638169357553</v>
      </c>
      <c r="AJ1855" s="2054">
        <f>O1855-'Blocking-Step2'!O1855</f>
        <v>0</v>
      </c>
    </row>
    <row r="1856" spans="1:36">
      <c r="A1856" s="1900" t="s">
        <v>288</v>
      </c>
      <c r="C1856" s="586">
        <f t="shared" si="1033"/>
        <v>-144801</v>
      </c>
      <c r="D1856" s="586">
        <f t="shared" si="1033"/>
        <v>0</v>
      </c>
      <c r="H1856" s="1030">
        <f>H1864+H1872+H1880</f>
        <v>-14152</v>
      </c>
      <c r="I1856" s="1030">
        <f t="shared" ref="I1856" si="1035">I1864+I1872+I1880</f>
        <v>0</v>
      </c>
      <c r="Y1856" s="1030"/>
      <c r="AI1856" s="2023">
        <f>W1856-'Blocking-Step2'!W1856</f>
        <v>0</v>
      </c>
      <c r="AJ1856" s="2054">
        <f>O1856-'Blocking-Step2'!O1856</f>
        <v>0</v>
      </c>
    </row>
    <row r="1857" spans="1:36">
      <c r="A1857" s="1900" t="s">
        <v>1240</v>
      </c>
      <c r="C1857" s="584"/>
      <c r="D1857" s="584"/>
      <c r="F1857" s="1930">
        <v>-3.7699999999999997E-2</v>
      </c>
      <c r="G1857" s="597"/>
      <c r="H1857" s="1644">
        <f>SUM(H1854:H1855)*$F1857</f>
        <v>-31209.379499999999</v>
      </c>
      <c r="I1857" s="1644">
        <f>SUM(I1854:I1855)*$F1857</f>
        <v>-31443.948899999999</v>
      </c>
      <c r="K1857" s="1930"/>
      <c r="L1857" s="597"/>
      <c r="M1857" s="1930"/>
      <c r="N1857" s="597"/>
      <c r="O1857" s="1931" t="str">
        <f>$O$43</f>
        <v>Tax Year 1 (1/1/2021)</v>
      </c>
      <c r="P1857" s="597"/>
      <c r="Q1857" s="1930">
        <f>$AC$1867</f>
        <v>-1.44E-2</v>
      </c>
      <c r="R1857" s="597"/>
      <c r="S1857" s="1645"/>
      <c r="T1857" s="1645"/>
      <c r="U1857" s="1645"/>
      <c r="V1857" s="1645"/>
      <c r="W1857" s="1645"/>
      <c r="X1857" s="1645"/>
      <c r="Y1857" s="1644">
        <f>Q1857*Y1855</f>
        <v>-8959.5360000000001</v>
      </c>
      <c r="AA1857" s="1932" t="s">
        <v>1940</v>
      </c>
      <c r="AB1857" s="1932"/>
      <c r="AC1857" s="1932"/>
      <c r="AD1857" s="1932"/>
      <c r="AI1857" s="2023">
        <f>W1857-'Blocking-Step2'!W1857</f>
        <v>0</v>
      </c>
      <c r="AJ1857" s="2054">
        <f>O1857-'Blocking-Step2'!O1857</f>
        <v>0</v>
      </c>
    </row>
    <row r="1858" spans="1:36">
      <c r="A1858" s="1900"/>
      <c r="C1858" s="584"/>
      <c r="D1858" s="584"/>
      <c r="F1858" s="1930"/>
      <c r="G1858" s="597"/>
      <c r="H1858" s="1644"/>
      <c r="I1858" s="1644"/>
      <c r="K1858" s="1930"/>
      <c r="L1858" s="597"/>
      <c r="M1858" s="1930"/>
      <c r="N1858" s="597"/>
      <c r="O1858" s="1931">
        <f>$O$44</f>
        <v>0</v>
      </c>
      <c r="P1858" s="597"/>
      <c r="Q1858" s="1930">
        <f>$AC$1868</f>
        <v>0</v>
      </c>
      <c r="R1858" s="597"/>
      <c r="S1858" s="1645"/>
      <c r="T1858" s="1645"/>
      <c r="U1858" s="1645"/>
      <c r="V1858" s="1645"/>
      <c r="W1858" s="1645"/>
      <c r="X1858" s="1645"/>
      <c r="Y1858" s="1644">
        <f>Q1858*Y1855</f>
        <v>0</v>
      </c>
      <c r="AA1858" s="1933" t="s">
        <v>1660</v>
      </c>
      <c r="AB1858" s="1933" t="s">
        <v>1661</v>
      </c>
      <c r="AC1858" s="1933" t="s">
        <v>1662</v>
      </c>
      <c r="AD1858" s="1933" t="s">
        <v>93</v>
      </c>
      <c r="AI1858" s="2023">
        <f>W1858-'Blocking-Step2'!W1858</f>
        <v>0</v>
      </c>
      <c r="AJ1858" s="2054">
        <f>O1858-'Blocking-Step2'!O1858</f>
        <v>0</v>
      </c>
    </row>
    <row r="1859" spans="1:36" ht="16.5" thickBot="1">
      <c r="A1859" s="1869" t="s">
        <v>93</v>
      </c>
      <c r="C1859" s="1949">
        <f>C1855+C1856</f>
        <v>7582616</v>
      </c>
      <c r="D1859" s="1949">
        <f>D1855+D1856</f>
        <v>7776370.4443165418</v>
      </c>
      <c r="F1859" s="1939"/>
      <c r="H1859" s="1647">
        <f>SUM(H1854:H1857)</f>
        <v>782473.62049999996</v>
      </c>
      <c r="I1859" s="1647">
        <f>SUM(I1854:I1857)</f>
        <v>802613.05110000004</v>
      </c>
      <c r="K1859" s="1939"/>
      <c r="M1859" s="1939"/>
      <c r="O1859" s="1939"/>
      <c r="Q1859" s="1939"/>
      <c r="S1859" s="1154">
        <f>($Y1859-$W1859)*AA1859/(AA1859+AB1859)</f>
        <v>414085.40300880896</v>
      </c>
      <c r="T1859" s="1154"/>
      <c r="U1859" s="1154">
        <f>Y1859-S1859-W1859</f>
        <v>218773.59699119104</v>
      </c>
      <c r="V1859" s="1154"/>
      <c r="W1859" s="1154">
        <f>SUM(W1854:W1858)</f>
        <v>169792</v>
      </c>
      <c r="Y1859" s="1647">
        <f>SUM(Y1854:Y1856)</f>
        <v>802651</v>
      </c>
      <c r="AA1859" s="1937">
        <f>'Unit Cost Target'!$J$87+'Unit Cost Target'!$J$123+'Unit Cost Target'!$J$129+'Unit Cost Target'!$J$75+'Unit Cost Target'!$J$81</f>
        <v>387977.94889676501</v>
      </c>
      <c r="AB1859" s="1937">
        <f>'Unit Cost Target'!$J$45+'Unit Cost Target'!$J$51</f>
        <v>204980.25483792328</v>
      </c>
      <c r="AC1859" s="1937">
        <f>'Unit Cost Target'!$J$33+'Unit Cost Target'!$J$39+'Unit Cost Target'!$J$63+'Unit Cost Target'!$J$69</f>
        <v>159090.97337985126</v>
      </c>
      <c r="AD1859" s="1937">
        <f>SUM(AA1859:AC1859)</f>
        <v>752049.17711453955</v>
      </c>
      <c r="AE1859" s="1937">
        <f>AD1859-'Unit Cost Target'!$J$21</f>
        <v>0</v>
      </c>
      <c r="AI1859" s="2023">
        <f>W1859-'Blocking-Step2'!W1859</f>
        <v>-3.4505638169357553</v>
      </c>
      <c r="AJ1859" s="2054">
        <f>O1859-'Blocking-Step2'!O1859</f>
        <v>0</v>
      </c>
    </row>
    <row r="1860" spans="1:36" ht="16.5" hidden="1" thickTop="1">
      <c r="C1860" s="528"/>
      <c r="D1860" s="528"/>
      <c r="AA1860" s="1937">
        <f>S1859-SUM(S1851:S1858)</f>
        <v>-16565</v>
      </c>
      <c r="AB1860" s="1937">
        <f>U1859-SUM(U1851:U1858)</f>
        <v>-15304.403008808964</v>
      </c>
      <c r="AC1860" s="1937">
        <f>W1859-SUM(W1851:W1858)</f>
        <v>-18394</v>
      </c>
      <c r="AD1860" s="1937">
        <f>SUM(AA1860:AC1860)</f>
        <v>-50263.403008808964</v>
      </c>
      <c r="AE1860" s="1937"/>
      <c r="AI1860" s="2023">
        <f>W1860-'Blocking-Step2'!W1860</f>
        <v>0</v>
      </c>
      <c r="AJ1860" s="2054">
        <f>O1860-'Blocking-Step2'!O1860</f>
        <v>0</v>
      </c>
    </row>
    <row r="1861" spans="1:36" hidden="1">
      <c r="A1861" s="1983" t="s">
        <v>922</v>
      </c>
      <c r="C1861" s="528"/>
      <c r="D1861" s="528"/>
      <c r="F1861" s="596"/>
      <c r="H1861" s="1645"/>
      <c r="I1861" s="1645"/>
      <c r="K1861" s="596"/>
      <c r="M1861" s="596"/>
      <c r="O1861" s="596"/>
      <c r="Q1861" s="596"/>
      <c r="Y1861" s="1645"/>
      <c r="AI1861" s="2023">
        <f>W1861-'Blocking-Step2'!W1861</f>
        <v>0</v>
      </c>
      <c r="AJ1861" s="2054">
        <f>O1861-'Blocking-Step2'!O1861</f>
        <v>0</v>
      </c>
    </row>
    <row r="1862" spans="1:36" hidden="1">
      <c r="A1862" s="1900" t="s">
        <v>359</v>
      </c>
      <c r="C1862" s="528">
        <f>'15T'!G13</f>
        <v>13053.365454545499</v>
      </c>
      <c r="D1862" s="528">
        <f>Bill!P38+Bill!P40</f>
        <v>13335</v>
      </c>
      <c r="F1862" s="1901">
        <v>5.5</v>
      </c>
      <c r="G1862" s="1902"/>
      <c r="H1862" s="1644">
        <f>ROUND(C1862*$F1862,0)</f>
        <v>71794</v>
      </c>
      <c r="I1862" s="1644">
        <f>ROUND(D1862*$F1862,0)</f>
        <v>73343</v>
      </c>
      <c r="K1862" s="1901">
        <f>K1854</f>
        <v>5.5</v>
      </c>
      <c r="L1862" s="1902"/>
      <c r="M1862" s="1901">
        <f>M1854</f>
        <v>0</v>
      </c>
      <c r="N1862" s="1902"/>
      <c r="O1862" s="1901">
        <f>O1854</f>
        <v>0</v>
      </c>
      <c r="P1862" s="1902"/>
      <c r="Q1862" s="1901">
        <f>Q1854</f>
        <v>5.5</v>
      </c>
      <c r="R1862" s="1902"/>
      <c r="S1862" s="1644">
        <f t="shared" ref="S1862" si="1036">ROUND($D1862*K1862,0)</f>
        <v>73343</v>
      </c>
      <c r="T1862" s="1645"/>
      <c r="U1862" s="1644">
        <f t="shared" ref="U1862" si="1037">ROUND($D1862*M1862,0)</f>
        <v>0</v>
      </c>
      <c r="V1862" s="1645"/>
      <c r="W1862" s="1644">
        <f t="shared" ref="W1862" si="1038">ROUND($D1862*O1862,0)</f>
        <v>0</v>
      </c>
      <c r="X1862" s="1643"/>
      <c r="Y1862" s="1644">
        <f>ROUND($D1862*Q1862,0)</f>
        <v>73343</v>
      </c>
      <c r="AA1862" s="1903" t="s">
        <v>1741</v>
      </c>
      <c r="AB1862" s="1904">
        <f>Y1859</f>
        <v>802651</v>
      </c>
      <c r="AI1862" s="2023">
        <f>W1862-'Blocking-Step2'!W1862</f>
        <v>0</v>
      </c>
      <c r="AJ1862" s="2054">
        <f>O1862-'Blocking-Step2'!O1862</f>
        <v>0</v>
      </c>
    </row>
    <row r="1863" spans="1:36" hidden="1">
      <c r="A1863" s="1900" t="s">
        <v>360</v>
      </c>
      <c r="C1863" s="528">
        <f>'15T'!H13</f>
        <v>3317549</v>
      </c>
      <c r="D1863" s="528">
        <f>D1867-D1864</f>
        <v>3410044.1853684746</v>
      </c>
      <c r="F1863" s="1972">
        <v>8.4048999999999996</v>
      </c>
      <c r="G1863" s="1921" t="s">
        <v>495</v>
      </c>
      <c r="H1863" s="1644">
        <f>ROUND(C1863*$F1863/100,0)</f>
        <v>278837</v>
      </c>
      <c r="I1863" s="1644">
        <f>ROUND(D1863*$F1863/100,0)</f>
        <v>286611</v>
      </c>
      <c r="K1863" s="1972">
        <f>K1855</f>
        <v>3.0043000000000002</v>
      </c>
      <c r="L1863" s="1921" t="s">
        <v>495</v>
      </c>
      <c r="M1863" s="1972">
        <f>M1855</f>
        <v>2.8132999999999999</v>
      </c>
      <c r="N1863" s="1921" t="s">
        <v>495</v>
      </c>
      <c r="O1863" s="1972">
        <f>O1855</f>
        <v>2.1834341013880003</v>
      </c>
      <c r="P1863" s="1921" t="s">
        <v>495</v>
      </c>
      <c r="Q1863" s="1972">
        <f>Q1855</f>
        <v>8.0010341013880009</v>
      </c>
      <c r="R1863" s="1921" t="s">
        <v>495</v>
      </c>
      <c r="S1863" s="1644">
        <f>ROUND($D1863*K1863/100,0)</f>
        <v>102448</v>
      </c>
      <c r="T1863" s="1648"/>
      <c r="U1863" s="1644">
        <f>ROUND($D1863*M1863/100,0)</f>
        <v>95935</v>
      </c>
      <c r="V1863" s="1648"/>
      <c r="W1863" s="1644">
        <f>ROUND($D1863*O1863/100,0)</f>
        <v>74456</v>
      </c>
      <c r="X1863" s="1648"/>
      <c r="Y1863" s="1644">
        <f>ROUND($D1863*Q1863/100,0)</f>
        <v>272839</v>
      </c>
      <c r="AA1863" s="1905" t="s">
        <v>1742</v>
      </c>
      <c r="AB1863" s="1906">
        <f>RateSpread!M60*1000</f>
        <v>802651.05110000004</v>
      </c>
      <c r="AI1863" s="2023">
        <f>W1863-'Blocking-Step2'!W1863</f>
        <v>0</v>
      </c>
      <c r="AJ1863" s="2054">
        <f>O1863-'Blocking-Step2'!O1863</f>
        <v>0</v>
      </c>
    </row>
    <row r="1864" spans="1:36" hidden="1">
      <c r="A1864" s="1900" t="s">
        <v>288</v>
      </c>
      <c r="C1864" s="586">
        <f>'Table 2'!J59</f>
        <v>17601</v>
      </c>
      <c r="D1864" s="586">
        <v>0</v>
      </c>
      <c r="H1864" s="1030">
        <f>'Table 3'!F59</f>
        <v>2008</v>
      </c>
      <c r="I1864" s="1030">
        <v>0</v>
      </c>
      <c r="Y1864" s="1030"/>
      <c r="AA1864" s="1908" t="s">
        <v>87</v>
      </c>
      <c r="AB1864" s="1909">
        <f>AB1863-AB1862</f>
        <v>5.1100000040605664E-2</v>
      </c>
      <c r="AI1864" s="2023">
        <f>W1864-'Blocking-Step2'!W1864</f>
        <v>0</v>
      </c>
      <c r="AJ1864" s="2054">
        <f>O1864-'Blocking-Step2'!O1864</f>
        <v>0</v>
      </c>
    </row>
    <row r="1865" spans="1:36" hidden="1">
      <c r="A1865" s="1900" t="s">
        <v>1240</v>
      </c>
      <c r="C1865" s="584"/>
      <c r="D1865" s="584"/>
      <c r="F1865" s="1930">
        <v>-3.7699999999999997E-2</v>
      </c>
      <c r="G1865" s="597"/>
      <c r="H1865" s="1644">
        <f>SUM(H1862:H1863)*$F1865</f>
        <v>-13218.788699999999</v>
      </c>
      <c r="I1865" s="1644">
        <f>SUM(I1862:I1863)*$F1865</f>
        <v>-13570.265799999999</v>
      </c>
      <c r="K1865" s="1930"/>
      <c r="L1865" s="597"/>
      <c r="M1865" s="1930"/>
      <c r="N1865" s="597"/>
      <c r="O1865" s="1931" t="str">
        <f>$O$43</f>
        <v>Tax Year 1 (1/1/2021)</v>
      </c>
      <c r="P1865" s="597"/>
      <c r="Q1865" s="1930">
        <f>$AC$1867</f>
        <v>-1.44E-2</v>
      </c>
      <c r="R1865" s="597"/>
      <c r="S1865" s="1645"/>
      <c r="T1865" s="1645"/>
      <c r="U1865" s="1645"/>
      <c r="V1865" s="1645"/>
      <c r="W1865" s="1645"/>
      <c r="X1865" s="1645"/>
      <c r="Y1865" s="1644">
        <f>Q1865*Y1863</f>
        <v>-3928.8815999999997</v>
      </c>
      <c r="AA1865" s="1903" t="s">
        <v>1743</v>
      </c>
      <c r="AB1865" s="1958">
        <f>AB1862/I1859-1</f>
        <v>4.7281688165812241E-5</v>
      </c>
      <c r="AI1865" s="2023">
        <f>W1865-'Blocking-Step2'!W1865</f>
        <v>0</v>
      </c>
      <c r="AJ1865" s="2054">
        <f>O1865-'Blocking-Step2'!O1865</f>
        <v>0</v>
      </c>
    </row>
    <row r="1866" spans="1:36" hidden="1">
      <c r="A1866" s="1900"/>
      <c r="C1866" s="584"/>
      <c r="D1866" s="584"/>
      <c r="F1866" s="1930"/>
      <c r="G1866" s="597"/>
      <c r="H1866" s="1644"/>
      <c r="I1866" s="1644"/>
      <c r="K1866" s="1930"/>
      <c r="L1866" s="597"/>
      <c r="M1866" s="1930"/>
      <c r="N1866" s="597"/>
      <c r="O1866" s="1931">
        <f>$O$44</f>
        <v>0</v>
      </c>
      <c r="P1866" s="597"/>
      <c r="Q1866" s="1930">
        <f>$AC$1868</f>
        <v>0</v>
      </c>
      <c r="R1866" s="597"/>
      <c r="S1866" s="1645"/>
      <c r="T1866" s="1645"/>
      <c r="U1866" s="1645"/>
      <c r="V1866" s="1645"/>
      <c r="W1866" s="1645"/>
      <c r="X1866" s="1645"/>
      <c r="Y1866" s="1644">
        <f>Q1866*Y1863</f>
        <v>0</v>
      </c>
      <c r="AA1866" s="1915" t="s">
        <v>1744</v>
      </c>
      <c r="AB1866" s="1954">
        <f>AB1863/I1859-1</f>
        <v>4.734535520944938E-5</v>
      </c>
      <c r="AI1866" s="2023">
        <f>W1866-'Blocking-Step2'!W1866</f>
        <v>0</v>
      </c>
      <c r="AJ1866" s="2054">
        <f>O1866-'Blocking-Step2'!O1866</f>
        <v>0</v>
      </c>
    </row>
    <row r="1867" spans="1:36" ht="16.5" hidden="1" thickBot="1">
      <c r="A1867" s="1869" t="s">
        <v>93</v>
      </c>
      <c r="C1867" s="1949">
        <f>C1863+C1864</f>
        <v>3335150</v>
      </c>
      <c r="D1867" s="1949">
        <f>Energy!P38+Energy!P40</f>
        <v>3410044.1853684746</v>
      </c>
      <c r="F1867" s="1939"/>
      <c r="H1867" s="1647">
        <f>SUM(H1862:H1865)</f>
        <v>339420.21130000002</v>
      </c>
      <c r="I1867" s="1647">
        <f>SUM(I1862:I1865)</f>
        <v>346383.73420000001</v>
      </c>
      <c r="K1867" s="1939"/>
      <c r="M1867" s="1939"/>
      <c r="O1867" s="1939"/>
      <c r="Q1867" s="1939"/>
      <c r="S1867" s="1647">
        <f>SUM(S1862:S1864)</f>
        <v>175791</v>
      </c>
      <c r="U1867" s="1647">
        <f>SUM(U1862:U1864)</f>
        <v>95935</v>
      </c>
      <c r="W1867" s="1647">
        <f>SUM(W1862:W1864)</f>
        <v>74456</v>
      </c>
      <c r="Y1867" s="1647">
        <f>SUM(Y1862:Y1864)</f>
        <v>346182</v>
      </c>
      <c r="AA1867" s="1109" t="s">
        <v>1938</v>
      </c>
      <c r="AB1867" s="1917">
        <f>RateSpread!V60*1000</f>
        <v>-8931.3676549314532</v>
      </c>
      <c r="AC1867" s="1918">
        <f>ROUND(AB1867/Y1855,4)</f>
        <v>-1.44E-2</v>
      </c>
      <c r="AI1867" s="2023">
        <f>W1867-'Blocking-Step2'!W1867</f>
        <v>0</v>
      </c>
      <c r="AJ1867" s="2054">
        <f>O1867-'Blocking-Step2'!O1867</f>
        <v>0</v>
      </c>
    </row>
    <row r="1868" spans="1:36" ht="16.5" hidden="1" thickTop="1">
      <c r="C1868" s="528"/>
      <c r="D1868" s="528"/>
      <c r="AA1868" s="1109" t="s">
        <v>1939</v>
      </c>
      <c r="AB1868" s="1917">
        <v>0</v>
      </c>
      <c r="AC1868" s="1918">
        <f>ROUND(AB1868/Y1855,4)</f>
        <v>0</v>
      </c>
      <c r="AI1868" s="2023">
        <f>W1868-'Blocking-Step2'!W1868</f>
        <v>0</v>
      </c>
      <c r="AJ1868" s="2054">
        <f>O1868-'Blocking-Step2'!O1868</f>
        <v>0</v>
      </c>
    </row>
    <row r="1869" spans="1:36" hidden="1">
      <c r="A1869" s="1983" t="s">
        <v>923</v>
      </c>
      <c r="C1869" s="528"/>
      <c r="D1869" s="528"/>
      <c r="F1869" s="596"/>
      <c r="H1869" s="1645"/>
      <c r="I1869" s="1645"/>
      <c r="K1869" s="596"/>
      <c r="M1869" s="596"/>
      <c r="O1869" s="596"/>
      <c r="Q1869" s="596"/>
      <c r="Y1869" s="1645"/>
      <c r="AI1869" s="2023">
        <f>W1869-'Blocking-Step2'!W1869</f>
        <v>0</v>
      </c>
      <c r="AJ1869" s="2054">
        <f>O1869-'Blocking-Step2'!O1869</f>
        <v>0</v>
      </c>
    </row>
    <row r="1870" spans="1:36" hidden="1">
      <c r="A1870" s="1900" t="s">
        <v>359</v>
      </c>
      <c r="C1870" s="528">
        <f>'15T'!G14</f>
        <v>144.23454545454501</v>
      </c>
      <c r="D1870" s="528">
        <f>Bill!P64</f>
        <v>144</v>
      </c>
      <c r="F1870" s="1901">
        <v>5.5</v>
      </c>
      <c r="G1870" s="1902"/>
      <c r="H1870" s="1644">
        <f>ROUND(C1870*$F1870,0)</f>
        <v>793</v>
      </c>
      <c r="I1870" s="1644">
        <f>ROUND(D1870*$F1870,0)</f>
        <v>792</v>
      </c>
      <c r="K1870" s="1901">
        <f>K1854</f>
        <v>5.5</v>
      </c>
      <c r="L1870" s="1902"/>
      <c r="M1870" s="1901">
        <f>M1854</f>
        <v>0</v>
      </c>
      <c r="N1870" s="1902"/>
      <c r="O1870" s="1901">
        <f>O1854</f>
        <v>0</v>
      </c>
      <c r="P1870" s="1902"/>
      <c r="Q1870" s="1901">
        <f>Q1854</f>
        <v>5.5</v>
      </c>
      <c r="R1870" s="1902"/>
      <c r="S1870" s="1644">
        <f t="shared" ref="S1870" si="1039">ROUND($D1870*K1870,0)</f>
        <v>792</v>
      </c>
      <c r="T1870" s="1645"/>
      <c r="U1870" s="1644">
        <f t="shared" ref="U1870" si="1040">ROUND($D1870*M1870,0)</f>
        <v>0</v>
      </c>
      <c r="V1870" s="1645"/>
      <c r="W1870" s="1644">
        <f t="shared" ref="W1870" si="1041">ROUND($D1870*O1870,0)</f>
        <v>0</v>
      </c>
      <c r="X1870" s="1643"/>
      <c r="Y1870" s="1644">
        <f>ROUND($D1870*Q1870,0)</f>
        <v>792</v>
      </c>
      <c r="AI1870" s="2023">
        <f>W1870-'Blocking-Step2'!W1870</f>
        <v>0</v>
      </c>
      <c r="AJ1870" s="2054">
        <f>O1870-'Blocking-Step2'!O1870</f>
        <v>0</v>
      </c>
    </row>
    <row r="1871" spans="1:36" hidden="1">
      <c r="A1871" s="1900" t="s">
        <v>360</v>
      </c>
      <c r="C1871" s="528">
        <f>'15T'!H14</f>
        <v>47617</v>
      </c>
      <c r="D1871" s="528">
        <f>D1875-D1872</f>
        <v>27840</v>
      </c>
      <c r="F1871" s="1972">
        <v>8.4048999999999996</v>
      </c>
      <c r="G1871" s="1921" t="s">
        <v>495</v>
      </c>
      <c r="H1871" s="1644">
        <f>ROUND(C1871*$F1871/100,0)</f>
        <v>4002</v>
      </c>
      <c r="I1871" s="1644">
        <f>ROUND(D1871*$F1871/100,0)</f>
        <v>2340</v>
      </c>
      <c r="K1871" s="1972">
        <f>K1855</f>
        <v>3.0043000000000002</v>
      </c>
      <c r="L1871" s="1921" t="s">
        <v>495</v>
      </c>
      <c r="M1871" s="1972">
        <f>M1855</f>
        <v>2.8132999999999999</v>
      </c>
      <c r="N1871" s="1921" t="s">
        <v>495</v>
      </c>
      <c r="O1871" s="1972">
        <f>O1855</f>
        <v>2.1834341013880003</v>
      </c>
      <c r="P1871" s="1921" t="s">
        <v>495</v>
      </c>
      <c r="Q1871" s="1972">
        <f>Q1855</f>
        <v>8.0010341013880009</v>
      </c>
      <c r="R1871" s="1921" t="s">
        <v>495</v>
      </c>
      <c r="S1871" s="1644">
        <f>ROUND($D1871*K1871/100,0)</f>
        <v>836</v>
      </c>
      <c r="T1871" s="1648"/>
      <c r="U1871" s="1644">
        <f>ROUND($D1871*M1871/100,0)</f>
        <v>783</v>
      </c>
      <c r="V1871" s="1648"/>
      <c r="W1871" s="1644">
        <f>ROUND($D1871*O1871/100,0)</f>
        <v>608</v>
      </c>
      <c r="X1871" s="1648"/>
      <c r="Y1871" s="1644">
        <f>ROUND($D1871*Q1871/100,0)</f>
        <v>2227</v>
      </c>
      <c r="AI1871" s="2023">
        <f>W1871-'Blocking-Step2'!W1871</f>
        <v>0</v>
      </c>
      <c r="AJ1871" s="2054">
        <f>O1871-'Blocking-Step2'!O1871</f>
        <v>0</v>
      </c>
    </row>
    <row r="1872" spans="1:36" hidden="1">
      <c r="A1872" s="1900" t="s">
        <v>288</v>
      </c>
      <c r="C1872" s="586">
        <f>'Table 2'!J94</f>
        <v>-772</v>
      </c>
      <c r="D1872" s="586">
        <v>0</v>
      </c>
      <c r="H1872" s="1030">
        <f>'Table 3'!F94</f>
        <v>-71</v>
      </c>
      <c r="I1872" s="1030">
        <v>0</v>
      </c>
      <c r="Y1872" s="1030"/>
      <c r="AI1872" s="2023">
        <f>W1872-'Blocking-Step2'!W1872</f>
        <v>0</v>
      </c>
      <c r="AJ1872" s="2054">
        <f>O1872-'Blocking-Step2'!O1872</f>
        <v>0</v>
      </c>
    </row>
    <row r="1873" spans="1:36" hidden="1">
      <c r="A1873" s="1900" t="s">
        <v>1240</v>
      </c>
      <c r="C1873" s="584"/>
      <c r="D1873" s="584"/>
      <c r="F1873" s="1930">
        <v>-3.7699999999999997E-2</v>
      </c>
      <c r="G1873" s="597"/>
      <c r="H1873" s="1644">
        <f>SUM(H1870:H1871)*$F1873</f>
        <v>-180.77149999999997</v>
      </c>
      <c r="I1873" s="1644">
        <f>SUM(I1870:I1871)*$F1873</f>
        <v>-118.07639999999999</v>
      </c>
      <c r="K1873" s="1930"/>
      <c r="L1873" s="597"/>
      <c r="M1873" s="1930"/>
      <c r="N1873" s="597"/>
      <c r="O1873" s="1931" t="str">
        <f>$O$43</f>
        <v>Tax Year 1 (1/1/2021)</v>
      </c>
      <c r="P1873" s="597"/>
      <c r="Q1873" s="1930">
        <f>$AC$1867</f>
        <v>-1.44E-2</v>
      </c>
      <c r="R1873" s="597"/>
      <c r="S1873" s="1645"/>
      <c r="T1873" s="1645"/>
      <c r="U1873" s="1645"/>
      <c r="V1873" s="1645"/>
      <c r="W1873" s="1645"/>
      <c r="X1873" s="1645"/>
      <c r="Y1873" s="1644">
        <f>Q1873*Y1871</f>
        <v>-32.068799999999996</v>
      </c>
      <c r="AI1873" s="2023">
        <f>W1873-'Blocking-Step2'!W1873</f>
        <v>0</v>
      </c>
      <c r="AJ1873" s="2054">
        <f>O1873-'Blocking-Step2'!O1873</f>
        <v>0</v>
      </c>
    </row>
    <row r="1874" spans="1:36" hidden="1">
      <c r="A1874" s="1900"/>
      <c r="C1874" s="584"/>
      <c r="D1874" s="584"/>
      <c r="F1874" s="1930"/>
      <c r="G1874" s="597"/>
      <c r="H1874" s="1644"/>
      <c r="I1874" s="1644"/>
      <c r="K1874" s="1930"/>
      <c r="L1874" s="597"/>
      <c r="M1874" s="1930"/>
      <c r="N1874" s="597"/>
      <c r="O1874" s="1931">
        <f>$O$44</f>
        <v>0</v>
      </c>
      <c r="P1874" s="597"/>
      <c r="Q1874" s="1930">
        <f>$AC$1868</f>
        <v>0</v>
      </c>
      <c r="R1874" s="597"/>
      <c r="S1874" s="1645"/>
      <c r="T1874" s="1645"/>
      <c r="U1874" s="1645"/>
      <c r="V1874" s="1645"/>
      <c r="W1874" s="1645"/>
      <c r="X1874" s="1645"/>
      <c r="Y1874" s="1644">
        <f>Q1874*Y1871</f>
        <v>0</v>
      </c>
      <c r="AI1874" s="2023">
        <f>W1874-'Blocking-Step2'!W1874</f>
        <v>0</v>
      </c>
      <c r="AJ1874" s="2054">
        <f>O1874-'Blocking-Step2'!O1874</f>
        <v>0</v>
      </c>
    </row>
    <row r="1875" spans="1:36" ht="16.5" hidden="1" thickBot="1">
      <c r="A1875" s="1869" t="s">
        <v>93</v>
      </c>
      <c r="C1875" s="1949">
        <f>C1871+C1872</f>
        <v>46845</v>
      </c>
      <c r="D1875" s="1949">
        <f>Energy!P64</f>
        <v>27840</v>
      </c>
      <c r="F1875" s="1939"/>
      <c r="H1875" s="1647">
        <f>SUM(H1870:H1873)</f>
        <v>4543.2285000000002</v>
      </c>
      <c r="I1875" s="1647">
        <f>SUM(I1870:I1873)</f>
        <v>3013.9236000000001</v>
      </c>
      <c r="K1875" s="1939"/>
      <c r="M1875" s="1939"/>
      <c r="O1875" s="1939"/>
      <c r="Q1875" s="1939"/>
      <c r="S1875" s="1647">
        <f>SUM(S1870:S1872)</f>
        <v>1628</v>
      </c>
      <c r="U1875" s="1647">
        <f>SUM(U1870:U1872)</f>
        <v>783</v>
      </c>
      <c r="W1875" s="1647">
        <f>SUM(W1870:W1872)</f>
        <v>608</v>
      </c>
      <c r="Y1875" s="1647">
        <f>SUM(Y1870:Y1872)</f>
        <v>3019</v>
      </c>
      <c r="AA1875" s="1104" t="s">
        <v>1743</v>
      </c>
      <c r="AB1875" s="1890">
        <f>Y1875/I1875-1</f>
        <v>1.6843160855171124E-3</v>
      </c>
      <c r="AI1875" s="2023">
        <f>W1875-'Blocking-Step2'!W1875</f>
        <v>0</v>
      </c>
      <c r="AJ1875" s="2054">
        <f>O1875-'Blocking-Step2'!O1875</f>
        <v>0</v>
      </c>
    </row>
    <row r="1876" spans="1:36" ht="16.5" hidden="1" thickTop="1">
      <c r="C1876" s="528"/>
      <c r="D1876" s="528"/>
      <c r="AI1876" s="2023">
        <f>W1876-'Blocking-Step2'!W1876</f>
        <v>0</v>
      </c>
      <c r="AJ1876" s="2054">
        <f>O1876-'Blocking-Step2'!O1876</f>
        <v>0</v>
      </c>
    </row>
    <row r="1877" spans="1:36" hidden="1">
      <c r="A1877" s="1983" t="s">
        <v>924</v>
      </c>
      <c r="C1877" s="528"/>
      <c r="D1877" s="528"/>
      <c r="F1877" s="596"/>
      <c r="H1877" s="1645"/>
      <c r="I1877" s="1645"/>
      <c r="K1877" s="596"/>
      <c r="M1877" s="596"/>
      <c r="O1877" s="596"/>
      <c r="Q1877" s="596"/>
      <c r="Y1877" s="1645"/>
      <c r="AI1877" s="2023">
        <f>W1877-'Blocking-Step2'!W1877</f>
        <v>0</v>
      </c>
      <c r="AJ1877" s="2054">
        <f>O1877-'Blocking-Step2'!O1877</f>
        <v>0</v>
      </c>
    </row>
    <row r="1878" spans="1:36" hidden="1">
      <c r="A1878" s="1900" t="s">
        <v>359</v>
      </c>
      <c r="C1878" s="528">
        <f>'15T'!G15</f>
        <v>19230.156363636299</v>
      </c>
      <c r="D1878" s="528">
        <f>Bill!P90+Bill!P91</f>
        <v>19332</v>
      </c>
      <c r="F1878" s="1901">
        <v>5.5</v>
      </c>
      <c r="G1878" s="1902"/>
      <c r="H1878" s="1644">
        <f>ROUND(C1878*$F1878,0)</f>
        <v>105766</v>
      </c>
      <c r="I1878" s="1644">
        <f>ROUND(D1878*$F1878,0)</f>
        <v>106326</v>
      </c>
      <c r="K1878" s="1901">
        <f>K1854</f>
        <v>5.5</v>
      </c>
      <c r="L1878" s="1902"/>
      <c r="M1878" s="1901">
        <f>M1854</f>
        <v>0</v>
      </c>
      <c r="N1878" s="1902"/>
      <c r="O1878" s="1901">
        <f>O1854</f>
        <v>0</v>
      </c>
      <c r="P1878" s="1902"/>
      <c r="Q1878" s="1901">
        <f>Q1854</f>
        <v>5.5</v>
      </c>
      <c r="R1878" s="1902"/>
      <c r="S1878" s="1644">
        <f t="shared" ref="S1878" si="1042">ROUND($D1878*K1878,0)</f>
        <v>106326</v>
      </c>
      <c r="T1878" s="1645"/>
      <c r="U1878" s="1644">
        <f t="shared" ref="U1878" si="1043">ROUND($D1878*M1878,0)</f>
        <v>0</v>
      </c>
      <c r="V1878" s="1645"/>
      <c r="W1878" s="1644">
        <f t="shared" ref="W1878" si="1044">ROUND($D1878*O1878,0)</f>
        <v>0</v>
      </c>
      <c r="X1878" s="1643"/>
      <c r="Y1878" s="1644">
        <f>ROUND($D1878*Q1878,0)</f>
        <v>106326</v>
      </c>
      <c r="AI1878" s="2023">
        <f>W1878-'Blocking-Step2'!W1878</f>
        <v>0</v>
      </c>
      <c r="AJ1878" s="2054">
        <f>O1878-'Blocking-Step2'!O1878</f>
        <v>0</v>
      </c>
    </row>
    <row r="1879" spans="1:36" hidden="1">
      <c r="A1879" s="1900" t="s">
        <v>360</v>
      </c>
      <c r="C1879" s="528">
        <f>'15T'!H15</f>
        <v>4362251</v>
      </c>
      <c r="D1879" s="528">
        <f>D1883-D1880</f>
        <v>4338486.2589480672</v>
      </c>
      <c r="F1879" s="1972">
        <v>8.4048999999999996</v>
      </c>
      <c r="G1879" s="1921" t="s">
        <v>495</v>
      </c>
      <c r="H1879" s="1644">
        <f>ROUND(C1879*$F1879/100,0)</f>
        <v>366643</v>
      </c>
      <c r="I1879" s="1644">
        <f>ROUND(D1879*$F1879/100,0)</f>
        <v>364645</v>
      </c>
      <c r="K1879" s="1972">
        <f>K1855</f>
        <v>3.0043000000000002</v>
      </c>
      <c r="L1879" s="1921" t="s">
        <v>495</v>
      </c>
      <c r="M1879" s="1972">
        <f>M1855</f>
        <v>2.8132999999999999</v>
      </c>
      <c r="N1879" s="1921" t="s">
        <v>495</v>
      </c>
      <c r="O1879" s="1972">
        <f>O1855</f>
        <v>2.1834341013880003</v>
      </c>
      <c r="P1879" s="1921" t="s">
        <v>495</v>
      </c>
      <c r="Q1879" s="1972">
        <f>Q1855</f>
        <v>8.0010341013880009</v>
      </c>
      <c r="R1879" s="1921" t="s">
        <v>495</v>
      </c>
      <c r="S1879" s="1644">
        <f>ROUND($D1879*K1879/100,0)</f>
        <v>130341</v>
      </c>
      <c r="T1879" s="1648"/>
      <c r="U1879" s="1644">
        <f>ROUND($D1879*M1879/100,0)</f>
        <v>122055</v>
      </c>
      <c r="V1879" s="1648"/>
      <c r="W1879" s="1644">
        <f>ROUND($D1879*O1879/100,0)</f>
        <v>94728</v>
      </c>
      <c r="X1879" s="1648"/>
      <c r="Y1879" s="1644">
        <f>ROUND($D1879*Q1879/100,0)</f>
        <v>347124</v>
      </c>
      <c r="AI1879" s="2023">
        <f>W1879-'Blocking-Step2'!W1879</f>
        <v>0</v>
      </c>
      <c r="AJ1879" s="2054">
        <f>O1879-'Blocking-Step2'!O1879</f>
        <v>0</v>
      </c>
    </row>
    <row r="1880" spans="1:36" hidden="1">
      <c r="A1880" s="1900" t="s">
        <v>288</v>
      </c>
      <c r="C1880" s="586">
        <f>'Table 2'!J142</f>
        <v>-161630</v>
      </c>
      <c r="D1880" s="586">
        <v>0</v>
      </c>
      <c r="H1880" s="1030">
        <f>'Table 3'!F142</f>
        <v>-16089</v>
      </c>
      <c r="I1880" s="1030">
        <v>0</v>
      </c>
      <c r="Y1880" s="1030"/>
      <c r="AI1880" s="2023">
        <f>W1880-'Blocking-Step2'!W1880</f>
        <v>0</v>
      </c>
      <c r="AJ1880" s="2054">
        <f>O1880-'Blocking-Step2'!O1880</f>
        <v>0</v>
      </c>
    </row>
    <row r="1881" spans="1:36" hidden="1">
      <c r="A1881" s="1900" t="s">
        <v>1240</v>
      </c>
      <c r="C1881" s="584"/>
      <c r="D1881" s="584"/>
      <c r="F1881" s="1930">
        <v>-3.7699999999999997E-2</v>
      </c>
      <c r="G1881" s="597"/>
      <c r="H1881" s="1644">
        <f>SUM(H1878:H1879)*$F1881</f>
        <v>-17809.819299999999</v>
      </c>
      <c r="I1881" s="1644">
        <f>SUM(I1878:I1879)*$F1881</f>
        <v>-17755.6067</v>
      </c>
      <c r="K1881" s="1930"/>
      <c r="L1881" s="597"/>
      <c r="M1881" s="1930"/>
      <c r="N1881" s="597"/>
      <c r="O1881" s="1931" t="str">
        <f>$O$43</f>
        <v>Tax Year 1 (1/1/2021)</v>
      </c>
      <c r="P1881" s="597"/>
      <c r="Q1881" s="1930">
        <f>$AC$1867</f>
        <v>-1.44E-2</v>
      </c>
      <c r="R1881" s="597"/>
      <c r="S1881" s="1645"/>
      <c r="T1881" s="1645"/>
      <c r="U1881" s="1645"/>
      <c r="V1881" s="1645"/>
      <c r="W1881" s="1645"/>
      <c r="X1881" s="1645"/>
      <c r="Y1881" s="1644">
        <f>Q1881*Y1879</f>
        <v>-4998.5855999999994</v>
      </c>
      <c r="AI1881" s="2023">
        <f>W1881-'Blocking-Step2'!W1881</f>
        <v>0</v>
      </c>
      <c r="AJ1881" s="2054">
        <f>O1881-'Blocking-Step2'!O1881</f>
        <v>0</v>
      </c>
    </row>
    <row r="1882" spans="1:36" hidden="1">
      <c r="A1882" s="1900"/>
      <c r="C1882" s="584"/>
      <c r="D1882" s="584"/>
      <c r="F1882" s="1930"/>
      <c r="G1882" s="597"/>
      <c r="H1882" s="1644"/>
      <c r="I1882" s="1644"/>
      <c r="K1882" s="1930"/>
      <c r="L1882" s="597"/>
      <c r="M1882" s="1930"/>
      <c r="N1882" s="597"/>
      <c r="O1882" s="1931">
        <f>$O$44</f>
        <v>0</v>
      </c>
      <c r="P1882" s="597"/>
      <c r="Q1882" s="1930">
        <f>$AC$1868</f>
        <v>0</v>
      </c>
      <c r="R1882" s="597"/>
      <c r="S1882" s="1645"/>
      <c r="T1882" s="1645"/>
      <c r="U1882" s="1645"/>
      <c r="V1882" s="1645"/>
      <c r="W1882" s="1645"/>
      <c r="X1882" s="1645"/>
      <c r="Y1882" s="1644">
        <f>Q1882*Y1879</f>
        <v>0</v>
      </c>
      <c r="AI1882" s="2023">
        <f>W1882-'Blocking-Step2'!W1882</f>
        <v>0</v>
      </c>
      <c r="AJ1882" s="2054">
        <f>O1882-'Blocking-Step2'!O1882</f>
        <v>0</v>
      </c>
    </row>
    <row r="1883" spans="1:36" ht="16.5" hidden="1" thickBot="1">
      <c r="A1883" s="1869" t="s">
        <v>93</v>
      </c>
      <c r="C1883" s="1949">
        <f>C1879+C1880</f>
        <v>4200621</v>
      </c>
      <c r="D1883" s="1949">
        <f>Energy!P90+Energy!P91</f>
        <v>4338486.2589480672</v>
      </c>
      <c r="F1883" s="1939"/>
      <c r="H1883" s="1647">
        <f>SUM(H1878:H1881)</f>
        <v>438510.18070000003</v>
      </c>
      <c r="I1883" s="1647">
        <f>SUM(I1878:I1881)</f>
        <v>453215.3933</v>
      </c>
      <c r="K1883" s="1939"/>
      <c r="M1883" s="1939"/>
      <c r="O1883" s="1939"/>
      <c r="Q1883" s="1939"/>
      <c r="S1883" s="1647">
        <f>SUM(S1878:S1880)</f>
        <v>236667</v>
      </c>
      <c r="U1883" s="1647">
        <f>SUM(U1878:U1880)</f>
        <v>122055</v>
      </c>
      <c r="W1883" s="1647">
        <f>SUM(W1878:W1880)</f>
        <v>94728</v>
      </c>
      <c r="Y1883" s="1647">
        <f>SUM(Y1878:Y1880)</f>
        <v>453450</v>
      </c>
      <c r="AA1883" s="1104" t="s">
        <v>1743</v>
      </c>
      <c r="AB1883" s="1890">
        <f>Y1883/I1883-1</f>
        <v>5.1764945204468837E-4</v>
      </c>
      <c r="AI1883" s="2023">
        <f>W1883-'Blocking-Step2'!W1883</f>
        <v>0</v>
      </c>
      <c r="AJ1883" s="2054">
        <f>O1883-'Blocking-Step2'!O1883</f>
        <v>0</v>
      </c>
    </row>
    <row r="1884" spans="1:36" ht="16.5" thickTop="1">
      <c r="A1884" s="1900"/>
      <c r="C1884" s="528"/>
      <c r="D1884" s="528"/>
      <c r="F1884" s="1985"/>
      <c r="G1884" s="1986"/>
      <c r="H1884" s="1645"/>
      <c r="I1884" s="1645"/>
      <c r="K1884" s="1985"/>
      <c r="L1884" s="1986"/>
      <c r="M1884" s="1985"/>
      <c r="N1884" s="1986"/>
      <c r="O1884" s="1985"/>
      <c r="P1884" s="1986"/>
      <c r="Q1884" s="1985"/>
      <c r="R1884" s="1986"/>
      <c r="S1884" s="1652"/>
      <c r="T1884" s="1652"/>
      <c r="U1884" s="1652"/>
      <c r="V1884" s="1652"/>
      <c r="W1884" s="1652"/>
      <c r="X1884" s="1652"/>
      <c r="Y1884" s="1645"/>
      <c r="AI1884" s="2023">
        <f>W1884-'Blocking-Step2'!W1884</f>
        <v>0</v>
      </c>
      <c r="AJ1884" s="2054">
        <f>O1884-'Blocking-Step2'!O1884</f>
        <v>0</v>
      </c>
    </row>
    <row r="1885" spans="1:36">
      <c r="A1885" s="1897" t="s">
        <v>485</v>
      </c>
      <c r="C1885" s="528"/>
      <c r="D1885" s="528"/>
      <c r="AI1885" s="2023">
        <f>W1885-'Blocking-Step2'!W1885</f>
        <v>0</v>
      </c>
      <c r="AJ1885" s="2054">
        <f>O1885-'Blocking-Step2'!O1885</f>
        <v>0</v>
      </c>
    </row>
    <row r="1886" spans="1:36">
      <c r="A1886" s="1897" t="s">
        <v>453</v>
      </c>
      <c r="C1886" s="528"/>
      <c r="D1886" s="528"/>
      <c r="AA1886" s="1109"/>
      <c r="AB1886" s="1114"/>
      <c r="AI1886" s="2023">
        <f>W1886-'Blocking-Step2'!W1886</f>
        <v>0</v>
      </c>
      <c r="AJ1886" s="2054">
        <f>O1886-'Blocking-Step2'!O1886</f>
        <v>0</v>
      </c>
    </row>
    <row r="1887" spans="1:36">
      <c r="A1887" s="1900" t="s">
        <v>240</v>
      </c>
      <c r="C1887" s="528">
        <f>'Bill-21'!E14</f>
        <v>12</v>
      </c>
      <c r="D1887" s="528">
        <f>C1887*D1919/C1919</f>
        <v>15</v>
      </c>
      <c r="F1887" s="1901"/>
      <c r="G1887" s="1902"/>
      <c r="H1887" s="1644"/>
      <c r="I1887" s="1644"/>
      <c r="K1887" s="1901">
        <f>K969</f>
        <v>53</v>
      </c>
      <c r="L1887" s="1902"/>
      <c r="M1887" s="1901">
        <f>M969</f>
        <v>0</v>
      </c>
      <c r="N1887" s="1902"/>
      <c r="O1887" s="1901">
        <f>O969</f>
        <v>0</v>
      </c>
      <c r="P1887" s="1902"/>
      <c r="Q1887" s="1901">
        <f>Q969</f>
        <v>53</v>
      </c>
      <c r="R1887" s="1902"/>
      <c r="S1887" s="1643">
        <f t="shared" ref="S1887:S1888" si="1045">ROUND($D1887*K1887,0)</f>
        <v>795</v>
      </c>
      <c r="T1887" s="1643"/>
      <c r="U1887" s="1643">
        <f t="shared" ref="U1887:U1888" si="1046">ROUND($D1887*M1887,0)</f>
        <v>0</v>
      </c>
      <c r="V1887" s="1643"/>
      <c r="W1887" s="1643">
        <f t="shared" ref="W1887:W1888" si="1047">ROUND($D1887*O1887,0)</f>
        <v>0</v>
      </c>
      <c r="X1887" s="1643"/>
      <c r="Y1887" s="1643">
        <f t="shared" ref="Y1887:Y1888" si="1048">ROUND($D1887*Q1887,0)</f>
        <v>795</v>
      </c>
      <c r="AA1887" s="1109"/>
      <c r="AB1887" s="1114"/>
      <c r="AI1887" s="2023">
        <f>W1887-'Blocking-Step2'!W1887</f>
        <v>0</v>
      </c>
      <c r="AJ1887" s="2054">
        <f>O1887-'Blocking-Step2'!O1887</f>
        <v>0</v>
      </c>
    </row>
    <row r="1888" spans="1:36">
      <c r="A1888" s="1900" t="s">
        <v>261</v>
      </c>
      <c r="C1888" s="528">
        <v>0</v>
      </c>
      <c r="D1888" s="528">
        <f>C1888*D1920/C1920</f>
        <v>0</v>
      </c>
      <c r="F1888" s="1901"/>
      <c r="G1888" s="1902"/>
      <c r="H1888" s="1644"/>
      <c r="I1888" s="1644"/>
      <c r="K1888" s="1901">
        <f>K972</f>
        <v>-0.61</v>
      </c>
      <c r="L1888" s="1902"/>
      <c r="M1888" s="1901">
        <f>M972</f>
        <v>0</v>
      </c>
      <c r="N1888" s="1902"/>
      <c r="O1888" s="1901">
        <f>O972</f>
        <v>0</v>
      </c>
      <c r="P1888" s="1902"/>
      <c r="Q1888" s="1901">
        <f>Q972</f>
        <v>-0.61</v>
      </c>
      <c r="R1888" s="1902"/>
      <c r="S1888" s="1643">
        <f t="shared" si="1045"/>
        <v>0</v>
      </c>
      <c r="T1888" s="1643"/>
      <c r="U1888" s="1643">
        <f t="shared" si="1046"/>
        <v>0</v>
      </c>
      <c r="V1888" s="1643"/>
      <c r="W1888" s="1643">
        <f t="shared" si="1047"/>
        <v>0</v>
      </c>
      <c r="X1888" s="1643"/>
      <c r="Y1888" s="1643">
        <f t="shared" si="1048"/>
        <v>0</v>
      </c>
      <c r="AA1888" s="1109"/>
      <c r="AB1888" s="1946"/>
      <c r="AI1888" s="2023">
        <f>W1888-'Blocking-Step2'!W1888</f>
        <v>0</v>
      </c>
      <c r="AJ1888" s="2054">
        <f>O1888-'Blocking-Step2'!O1888</f>
        <v>0</v>
      </c>
    </row>
    <row r="1889" spans="1:36">
      <c r="A1889" s="1900" t="s">
        <v>1910</v>
      </c>
      <c r="C1889" s="528">
        <f>'Bill-21'!N14</f>
        <v>55256</v>
      </c>
      <c r="D1889" s="528">
        <f>C1889*$D$1925/$C$1925</f>
        <v>82147.641464615925</v>
      </c>
      <c r="E1889" s="597"/>
      <c r="F1889" s="1942"/>
      <c r="G1889" s="1921"/>
      <c r="H1889" s="1644"/>
      <c r="I1889" s="1644"/>
      <c r="J1889" s="597"/>
      <c r="K1889" s="1942">
        <f>K961</f>
        <v>3.89</v>
      </c>
      <c r="L1889" s="1921" t="s">
        <v>495</v>
      </c>
      <c r="M1889" s="1942">
        <f>M961</f>
        <v>17.137528114911813</v>
      </c>
      <c r="N1889" s="1921" t="s">
        <v>495</v>
      </c>
      <c r="O1889" s="1942">
        <f>O961</f>
        <v>1.3496999999999999</v>
      </c>
      <c r="P1889" s="1921" t="s">
        <v>495</v>
      </c>
      <c r="Q1889" s="1942">
        <f t="shared" ref="Q1889:Q1896" si="1049">Q961</f>
        <v>22.377228114911812</v>
      </c>
      <c r="R1889" s="1921" t="s">
        <v>495</v>
      </c>
      <c r="S1889" s="1644">
        <f>ROUND($D1889*K1889/100,0)</f>
        <v>3196</v>
      </c>
      <c r="T1889" s="1648"/>
      <c r="U1889" s="1644">
        <f>ROUND($D1889*M1889/100,0)</f>
        <v>14078</v>
      </c>
      <c r="V1889" s="1648"/>
      <c r="W1889" s="1644">
        <f>ROUND($D1889*O1889/100,0)</f>
        <v>1109</v>
      </c>
      <c r="X1889" s="1648"/>
      <c r="Y1889" s="1644">
        <f>ROUND($D1889*Q1889/100,0)</f>
        <v>18382</v>
      </c>
      <c r="AI1889" s="2023">
        <f>W1889-'Blocking-Step2'!W1889</f>
        <v>0</v>
      </c>
      <c r="AJ1889" s="2054">
        <f>O1889-'Blocking-Step2'!O1889</f>
        <v>0</v>
      </c>
    </row>
    <row r="1890" spans="1:36">
      <c r="A1890" s="1900" t="s">
        <v>1911</v>
      </c>
      <c r="C1890" s="528">
        <f>'Bill-21'!O14</f>
        <v>0</v>
      </c>
      <c r="D1890" s="528">
        <f t="shared" ref="D1890:D1896" si="1050">C1890*$D$1925/$C$1925</f>
        <v>0</v>
      </c>
      <c r="E1890" s="597"/>
      <c r="F1890" s="1942"/>
      <c r="G1890" s="1921"/>
      <c r="H1890" s="1644"/>
      <c r="I1890" s="1644"/>
      <c r="J1890" s="597"/>
      <c r="K1890" s="1942">
        <f t="shared" ref="K1890:K1896" si="1051">K962</f>
        <v>3.89</v>
      </c>
      <c r="L1890" s="1921" t="s">
        <v>495</v>
      </c>
      <c r="M1890" s="1942">
        <f t="shared" ref="M1890:M1896" si="1052">M962</f>
        <v>-1.0877975226579997</v>
      </c>
      <c r="N1890" s="1921" t="s">
        <v>495</v>
      </c>
      <c r="O1890" s="1942">
        <f t="shared" ref="O1890:O1896" si="1053">O962</f>
        <v>1.3496999999999999</v>
      </c>
      <c r="P1890" s="1921" t="s">
        <v>495</v>
      </c>
      <c r="Q1890" s="1942">
        <f t="shared" si="1049"/>
        <v>4.1519024773420004</v>
      </c>
      <c r="R1890" s="1921" t="s">
        <v>495</v>
      </c>
      <c r="S1890" s="1644">
        <f t="shared" ref="S1890:S1896" si="1054">ROUND($D1890*K1890/100,0)</f>
        <v>0</v>
      </c>
      <c r="T1890" s="1648"/>
      <c r="U1890" s="1644">
        <f t="shared" ref="U1890:U1896" si="1055">ROUND($D1890*M1890/100,0)</f>
        <v>0</v>
      </c>
      <c r="V1890" s="1648"/>
      <c r="W1890" s="1644">
        <f t="shared" ref="W1890:W1896" si="1056">ROUND($D1890*O1890/100,0)</f>
        <v>0</v>
      </c>
      <c r="X1890" s="1648"/>
      <c r="Y1890" s="1644">
        <f t="shared" ref="Y1890:Y1896" si="1057">ROUND($D1890*Q1890/100,0)</f>
        <v>0</v>
      </c>
      <c r="AI1890" s="2023">
        <f>W1890-'Blocking-Step2'!W1890</f>
        <v>0</v>
      </c>
      <c r="AJ1890" s="2054">
        <f>O1890-'Blocking-Step2'!O1890</f>
        <v>0</v>
      </c>
    </row>
    <row r="1891" spans="1:36">
      <c r="A1891" s="1900" t="s">
        <v>1912</v>
      </c>
      <c r="C1891" s="528">
        <f>'Bill-21'!R14</f>
        <v>105141</v>
      </c>
      <c r="D1891" s="528">
        <f t="shared" si="1050"/>
        <v>156310.35853538409</v>
      </c>
      <c r="E1891" s="597"/>
      <c r="F1891" s="1942"/>
      <c r="G1891" s="1921"/>
      <c r="H1891" s="1644"/>
      <c r="I1891" s="1644"/>
      <c r="J1891" s="597"/>
      <c r="K1891" s="1942">
        <f t="shared" si="1051"/>
        <v>3.89</v>
      </c>
      <c r="L1891" s="1921" t="s">
        <v>495</v>
      </c>
      <c r="M1891" s="1942">
        <f t="shared" si="1052"/>
        <v>14.718500000000001</v>
      </c>
      <c r="N1891" s="1921" t="s">
        <v>495</v>
      </c>
      <c r="O1891" s="1942">
        <f t="shared" si="1053"/>
        <v>1.1943999999999999</v>
      </c>
      <c r="P1891" s="1921" t="s">
        <v>495</v>
      </c>
      <c r="Q1891" s="1942">
        <f t="shared" si="1049"/>
        <v>19.802900000000001</v>
      </c>
      <c r="R1891" s="1921" t="s">
        <v>495</v>
      </c>
      <c r="S1891" s="1644">
        <f t="shared" si="1054"/>
        <v>6080</v>
      </c>
      <c r="T1891" s="1648"/>
      <c r="U1891" s="1644">
        <f t="shared" si="1055"/>
        <v>23007</v>
      </c>
      <c r="V1891" s="1648"/>
      <c r="W1891" s="1644">
        <f t="shared" si="1056"/>
        <v>1867</v>
      </c>
      <c r="X1891" s="1648"/>
      <c r="Y1891" s="1644">
        <f t="shared" si="1057"/>
        <v>30954</v>
      </c>
      <c r="AI1891" s="2023">
        <f>W1891-'Blocking-Step2'!W1891</f>
        <v>0</v>
      </c>
      <c r="AJ1891" s="2054">
        <f>O1891-'Blocking-Step2'!O1891</f>
        <v>0</v>
      </c>
    </row>
    <row r="1892" spans="1:36">
      <c r="A1892" s="1900" t="s">
        <v>1913</v>
      </c>
      <c r="C1892" s="528">
        <f>'Bill-21'!S14</f>
        <v>0</v>
      </c>
      <c r="D1892" s="528">
        <f t="shared" si="1050"/>
        <v>0</v>
      </c>
      <c r="E1892" s="597"/>
      <c r="F1892" s="1942"/>
      <c r="G1892" s="1921"/>
      <c r="H1892" s="1644"/>
      <c r="I1892" s="1644"/>
      <c r="J1892" s="597"/>
      <c r="K1892" s="1942">
        <f t="shared" si="1051"/>
        <v>3.89</v>
      </c>
      <c r="L1892" s="1921" t="s">
        <v>495</v>
      </c>
      <c r="M1892" s="1942">
        <f t="shared" si="1052"/>
        <v>-1.4102000000000001</v>
      </c>
      <c r="N1892" s="1921" t="s">
        <v>495</v>
      </c>
      <c r="O1892" s="1942">
        <f t="shared" si="1053"/>
        <v>1.1943999999999999</v>
      </c>
      <c r="P1892" s="1921" t="s">
        <v>495</v>
      </c>
      <c r="Q1892" s="1942">
        <f t="shared" si="1049"/>
        <v>3.6741999999999999</v>
      </c>
      <c r="R1892" s="1921" t="s">
        <v>495</v>
      </c>
      <c r="S1892" s="1644">
        <f t="shared" si="1054"/>
        <v>0</v>
      </c>
      <c r="T1892" s="1648"/>
      <c r="U1892" s="1644">
        <f t="shared" si="1055"/>
        <v>0</v>
      </c>
      <c r="V1892" s="1648"/>
      <c r="W1892" s="1644">
        <f t="shared" si="1056"/>
        <v>0</v>
      </c>
      <c r="X1892" s="1648"/>
      <c r="Y1892" s="1644">
        <f t="shared" si="1057"/>
        <v>0</v>
      </c>
      <c r="AI1892" s="2023">
        <f>W1892-'Blocking-Step2'!W1892</f>
        <v>0</v>
      </c>
      <c r="AJ1892" s="2054">
        <f>O1892-'Blocking-Step2'!O1892</f>
        <v>0</v>
      </c>
    </row>
    <row r="1893" spans="1:36">
      <c r="A1893" s="1900" t="s">
        <v>1906</v>
      </c>
      <c r="C1893" s="528">
        <f>'Bill-21'!P14</f>
        <v>30686.447437025206</v>
      </c>
      <c r="D1893" s="528">
        <f t="shared" si="1050"/>
        <v>45620.73407194746</v>
      </c>
      <c r="E1893" s="597"/>
      <c r="F1893" s="1942"/>
      <c r="G1893" s="1921"/>
      <c r="H1893" s="1644"/>
      <c r="I1893" s="1644"/>
      <c r="J1893" s="597"/>
      <c r="K1893" s="1942">
        <f t="shared" si="1051"/>
        <v>0</v>
      </c>
      <c r="L1893" s="1921" t="s">
        <v>495</v>
      </c>
      <c r="M1893" s="1942">
        <f t="shared" si="1052"/>
        <v>0</v>
      </c>
      <c r="N1893" s="1921" t="s">
        <v>495</v>
      </c>
      <c r="O1893" s="1942">
        <f t="shared" si="1053"/>
        <v>6</v>
      </c>
      <c r="P1893" s="1921" t="s">
        <v>495</v>
      </c>
      <c r="Q1893" s="1942">
        <f t="shared" si="1049"/>
        <v>6</v>
      </c>
      <c r="R1893" s="1921" t="s">
        <v>495</v>
      </c>
      <c r="S1893" s="1644">
        <f t="shared" si="1054"/>
        <v>0</v>
      </c>
      <c r="T1893" s="1648"/>
      <c r="U1893" s="1644">
        <f t="shared" si="1055"/>
        <v>0</v>
      </c>
      <c r="V1893" s="1648"/>
      <c r="W1893" s="1644">
        <f t="shared" si="1056"/>
        <v>2737</v>
      </c>
      <c r="X1893" s="1648"/>
      <c r="Y1893" s="1644">
        <f t="shared" si="1057"/>
        <v>2737</v>
      </c>
      <c r="AI1893" s="2023">
        <f>W1893-'Blocking-Step2'!W1893</f>
        <v>0</v>
      </c>
      <c r="AJ1893" s="2054">
        <f>O1893-'Blocking-Step2'!O1893</f>
        <v>0</v>
      </c>
    </row>
    <row r="1894" spans="1:36">
      <c r="A1894" s="1900" t="s">
        <v>1907</v>
      </c>
      <c r="C1894" s="528">
        <f>'Bill-21'!Q14</f>
        <v>24569.55256297479</v>
      </c>
      <c r="D1894" s="528">
        <f t="shared" si="1050"/>
        <v>36526.907392668458</v>
      </c>
      <c r="E1894" s="597"/>
      <c r="F1894" s="1942"/>
      <c r="G1894" s="1921"/>
      <c r="H1894" s="1644"/>
      <c r="I1894" s="1644"/>
      <c r="J1894" s="597"/>
      <c r="K1894" s="1942">
        <f t="shared" si="1051"/>
        <v>0</v>
      </c>
      <c r="L1894" s="1921" t="s">
        <v>495</v>
      </c>
      <c r="M1894" s="1942">
        <f t="shared" si="1052"/>
        <v>0</v>
      </c>
      <c r="N1894" s="1921" t="s">
        <v>495</v>
      </c>
      <c r="O1894" s="1942">
        <f t="shared" si="1053"/>
        <v>-2.3358000000000008</v>
      </c>
      <c r="P1894" s="1921" t="s">
        <v>495</v>
      </c>
      <c r="Q1894" s="1942">
        <f t="shared" si="1049"/>
        <v>-2.3358000000000008</v>
      </c>
      <c r="R1894" s="1921" t="s">
        <v>495</v>
      </c>
      <c r="S1894" s="1644">
        <f t="shared" si="1054"/>
        <v>0</v>
      </c>
      <c r="T1894" s="1648"/>
      <c r="U1894" s="1644">
        <f t="shared" si="1055"/>
        <v>0</v>
      </c>
      <c r="V1894" s="1648"/>
      <c r="W1894" s="1644">
        <f t="shared" si="1056"/>
        <v>-853</v>
      </c>
      <c r="X1894" s="1648"/>
      <c r="Y1894" s="1644">
        <f t="shared" si="1057"/>
        <v>-853</v>
      </c>
      <c r="AI1894" s="2023">
        <f>W1894-'Blocking-Step2'!W1894</f>
        <v>0</v>
      </c>
      <c r="AJ1894" s="2054">
        <f>O1894-'Blocking-Step2'!O1894</f>
        <v>0</v>
      </c>
    </row>
    <row r="1895" spans="1:36">
      <c r="A1895" s="1900" t="s">
        <v>1908</v>
      </c>
      <c r="C1895" s="528">
        <f>'Bill-21'!T14</f>
        <v>58390.107318232724</v>
      </c>
      <c r="D1895" s="528">
        <f t="shared" si="1050"/>
        <v>86807.036359103586</v>
      </c>
      <c r="E1895" s="597"/>
      <c r="F1895" s="1942"/>
      <c r="G1895" s="1921"/>
      <c r="H1895" s="1644"/>
      <c r="I1895" s="1644"/>
      <c r="J1895" s="597"/>
      <c r="K1895" s="1942">
        <f t="shared" si="1051"/>
        <v>0</v>
      </c>
      <c r="L1895" s="1921" t="s">
        <v>495</v>
      </c>
      <c r="M1895" s="1942">
        <f t="shared" si="1052"/>
        <v>0</v>
      </c>
      <c r="N1895" s="1921" t="s">
        <v>495</v>
      </c>
      <c r="O1895" s="1942">
        <f t="shared" si="1053"/>
        <v>5.3097000000000003</v>
      </c>
      <c r="P1895" s="1921" t="s">
        <v>495</v>
      </c>
      <c r="Q1895" s="1942">
        <f t="shared" si="1049"/>
        <v>5.3097000000000003</v>
      </c>
      <c r="R1895" s="1921" t="s">
        <v>495</v>
      </c>
      <c r="S1895" s="1644">
        <f t="shared" si="1054"/>
        <v>0</v>
      </c>
      <c r="T1895" s="1648"/>
      <c r="U1895" s="1644">
        <f t="shared" si="1055"/>
        <v>0</v>
      </c>
      <c r="V1895" s="1648"/>
      <c r="W1895" s="1644">
        <f t="shared" si="1056"/>
        <v>4609</v>
      </c>
      <c r="X1895" s="1648"/>
      <c r="Y1895" s="1644">
        <f t="shared" si="1057"/>
        <v>4609</v>
      </c>
      <c r="AI1895" s="2023">
        <f>W1895-'Blocking-Step2'!W1895</f>
        <v>0</v>
      </c>
      <c r="AJ1895" s="2054">
        <f>O1895-'Blocking-Step2'!O1895</f>
        <v>0</v>
      </c>
    </row>
    <row r="1896" spans="1:36">
      <c r="A1896" s="1900" t="s">
        <v>1909</v>
      </c>
      <c r="C1896" s="528">
        <f>'Bill-21'!U14</f>
        <v>46750.892681767269</v>
      </c>
      <c r="D1896" s="528">
        <f t="shared" si="1050"/>
        <v>69503.322176280475</v>
      </c>
      <c r="E1896" s="597"/>
      <c r="F1896" s="1942"/>
      <c r="G1896" s="1921"/>
      <c r="H1896" s="1644"/>
      <c r="I1896" s="1644"/>
      <c r="J1896" s="597"/>
      <c r="K1896" s="1942">
        <f t="shared" si="1051"/>
        <v>0</v>
      </c>
      <c r="L1896" s="1921" t="s">
        <v>495</v>
      </c>
      <c r="M1896" s="1942">
        <f t="shared" si="1052"/>
        <v>0</v>
      </c>
      <c r="N1896" s="1921" t="s">
        <v>495</v>
      </c>
      <c r="O1896" s="1942">
        <f t="shared" si="1053"/>
        <v>-2.0670999999999999</v>
      </c>
      <c r="P1896" s="1921" t="s">
        <v>495</v>
      </c>
      <c r="Q1896" s="1942">
        <f t="shared" si="1049"/>
        <v>-2.0670999999999999</v>
      </c>
      <c r="R1896" s="1921" t="s">
        <v>495</v>
      </c>
      <c r="S1896" s="1644">
        <f t="shared" si="1054"/>
        <v>0</v>
      </c>
      <c r="T1896" s="1648"/>
      <c r="U1896" s="1644">
        <f t="shared" si="1055"/>
        <v>0</v>
      </c>
      <c r="V1896" s="1648"/>
      <c r="W1896" s="1644">
        <f t="shared" si="1056"/>
        <v>-1437</v>
      </c>
      <c r="X1896" s="1648"/>
      <c r="Y1896" s="1644">
        <f t="shared" si="1057"/>
        <v>-1437</v>
      </c>
      <c r="AI1896" s="2023">
        <f>W1896-'Blocking-Step2'!W1896</f>
        <v>0</v>
      </c>
      <c r="AJ1896" s="2054">
        <f>O1896-'Blocking-Step2'!O1896</f>
        <v>0</v>
      </c>
    </row>
    <row r="1897" spans="1:36">
      <c r="A1897" s="1900" t="s">
        <v>1240</v>
      </c>
      <c r="C1897" s="584"/>
      <c r="D1897" s="584"/>
      <c r="F1897" s="1930"/>
      <c r="G1897" s="597"/>
      <c r="H1897" s="1644"/>
      <c r="I1897" s="1644"/>
      <c r="K1897" s="1930"/>
      <c r="L1897" s="597"/>
      <c r="M1897" s="1930"/>
      <c r="N1897" s="597"/>
      <c r="O1897" s="1931" t="str">
        <f>$O$43</f>
        <v>Tax Year 1 (1/1/2021)</v>
      </c>
      <c r="P1897" s="597"/>
      <c r="Q1897" s="1930">
        <f>$Q$979</f>
        <v>-1.6899999999999998E-2</v>
      </c>
      <c r="R1897" s="597"/>
      <c r="S1897" s="1645"/>
      <c r="T1897" s="1645"/>
      <c r="U1897" s="1645"/>
      <c r="V1897" s="1645"/>
      <c r="W1897" s="1645"/>
      <c r="X1897" s="1645"/>
      <c r="Y1897" s="1644">
        <f>Q1897*SUM(Y1889:Y1892)</f>
        <v>-833.77839999999992</v>
      </c>
      <c r="AI1897" s="2023">
        <f>W1897-'Blocking-Step2'!W1897</f>
        <v>0</v>
      </c>
      <c r="AJ1897" s="2054">
        <f>O1897-'Blocking-Step2'!O1897</f>
        <v>0</v>
      </c>
    </row>
    <row r="1898" spans="1:36">
      <c r="A1898" s="1900"/>
      <c r="C1898" s="584"/>
      <c r="D1898" s="584"/>
      <c r="F1898" s="1930"/>
      <c r="G1898" s="597"/>
      <c r="H1898" s="1644"/>
      <c r="I1898" s="1644"/>
      <c r="K1898" s="1930"/>
      <c r="L1898" s="597"/>
      <c r="M1898" s="1930"/>
      <c r="N1898" s="597"/>
      <c r="O1898" s="1931">
        <f>$O$44</f>
        <v>0</v>
      </c>
      <c r="P1898" s="597"/>
      <c r="Q1898" s="1930">
        <f>$Q$980</f>
        <v>0</v>
      </c>
      <c r="R1898" s="597"/>
      <c r="S1898" s="1645"/>
      <c r="T1898" s="1645"/>
      <c r="U1898" s="1645"/>
      <c r="V1898" s="1645"/>
      <c r="W1898" s="1645"/>
      <c r="X1898" s="1645"/>
      <c r="Y1898" s="1644">
        <f>Q1898*SUM(Y1889:Y1892)</f>
        <v>0</v>
      </c>
      <c r="AI1898" s="2023">
        <f>W1898-'Blocking-Step2'!W1898</f>
        <v>0</v>
      </c>
      <c r="AJ1898" s="2054">
        <f>O1898-'Blocking-Step2'!O1898</f>
        <v>0</v>
      </c>
    </row>
    <row r="1899" spans="1:36">
      <c r="A1899" s="1900"/>
      <c r="C1899" s="584"/>
      <c r="D1899" s="584"/>
      <c r="F1899" s="1930"/>
      <c r="G1899" s="597"/>
      <c r="H1899" s="1644"/>
      <c r="I1899" s="1644"/>
      <c r="K1899" s="1930"/>
      <c r="L1899" s="597"/>
      <c r="M1899" s="1930"/>
      <c r="N1899" s="597"/>
      <c r="O1899" s="1930"/>
      <c r="P1899" s="597"/>
      <c r="Q1899" s="1930"/>
      <c r="R1899" s="597"/>
      <c r="S1899" s="1644">
        <f>SUM(S1887:S1896)</f>
        <v>10071</v>
      </c>
      <c r="T1899" s="1645"/>
      <c r="U1899" s="1644">
        <f>SUM(U1887:U1896)</f>
        <v>37085</v>
      </c>
      <c r="V1899" s="1645"/>
      <c r="W1899" s="1644">
        <f>SUM(W1887:W1896)</f>
        <v>8032</v>
      </c>
      <c r="X1899" s="1645"/>
      <c r="Y1899" s="1644">
        <f>SUM(Y1887:Y1896)</f>
        <v>55187</v>
      </c>
      <c r="AA1899" s="1104" t="s">
        <v>1743</v>
      </c>
      <c r="AB1899" s="1890">
        <f>Y1899/I1925-1</f>
        <v>0.14076295992878651</v>
      </c>
      <c r="AI1899" s="2023">
        <f>W1899-'Blocking-Step2'!W1899</f>
        <v>0</v>
      </c>
      <c r="AJ1899" s="2054">
        <f>O1899-'Blocking-Step2'!O1899</f>
        <v>0</v>
      </c>
    </row>
    <row r="1900" spans="1:36">
      <c r="A1900" s="1897" t="s">
        <v>412</v>
      </c>
      <c r="C1900" s="528"/>
      <c r="D1900" s="528"/>
      <c r="AA1900" s="1109"/>
      <c r="AB1900" s="1917"/>
      <c r="AC1900" s="1918"/>
      <c r="AI1900" s="2023">
        <f>W1900-'Blocking-Step2'!W1900</f>
        <v>0</v>
      </c>
      <c r="AJ1900" s="2054">
        <f>O1900-'Blocking-Step2'!O1900</f>
        <v>0</v>
      </c>
    </row>
    <row r="1901" spans="1:36">
      <c r="A1901" s="1900" t="s">
        <v>240</v>
      </c>
      <c r="C1901" s="528">
        <f>'21'!E20</f>
        <v>16.599921259842521</v>
      </c>
      <c r="D1901" s="528">
        <f>C1901*D1927/C1927</f>
        <v>21</v>
      </c>
      <c r="F1901" s="1901"/>
      <c r="G1901" s="1902"/>
      <c r="H1901" s="1644"/>
      <c r="I1901" s="1644"/>
      <c r="K1901" s="1901">
        <f>K1479</f>
        <v>265</v>
      </c>
      <c r="L1901" s="1902"/>
      <c r="M1901" s="1901">
        <f>M1479</f>
        <v>0</v>
      </c>
      <c r="N1901" s="1902"/>
      <c r="O1901" s="1901">
        <f>O1479</f>
        <v>0</v>
      </c>
      <c r="P1901" s="1902"/>
      <c r="Q1901" s="1901">
        <f t="shared" ref="Q1901:Q1908" si="1058">Q1479</f>
        <v>265</v>
      </c>
      <c r="R1901" s="1902"/>
      <c r="S1901" s="1643">
        <f t="shared" ref="S1901:S1904" si="1059">ROUND($D1901*K1901,0)</f>
        <v>5565</v>
      </c>
      <c r="T1901" s="1643"/>
      <c r="U1901" s="1643">
        <f t="shared" ref="U1901:U1904" si="1060">ROUND($D1901*M1901,0)</f>
        <v>0</v>
      </c>
      <c r="V1901" s="1643"/>
      <c r="W1901" s="1643">
        <f t="shared" ref="W1901:W1904" si="1061">ROUND($D1901*O1901,0)</f>
        <v>0</v>
      </c>
      <c r="X1901" s="1643"/>
      <c r="Y1901" s="1643">
        <f t="shared" ref="Y1901:Y1904" si="1062">ROUND($D1901*Q1901,0)</f>
        <v>5565</v>
      </c>
      <c r="AI1901" s="2023">
        <f>W1901-'Blocking-Step2'!W1901</f>
        <v>0</v>
      </c>
      <c r="AJ1901" s="2054">
        <f>O1901-'Blocking-Step2'!O1901</f>
        <v>0</v>
      </c>
    </row>
    <row r="1902" spans="1:36">
      <c r="A1902" s="1900" t="s">
        <v>168</v>
      </c>
      <c r="C1902" s="528">
        <f>'21'!G20</f>
        <v>17216.667441860463</v>
      </c>
      <c r="D1902" s="528">
        <f>C1902*$D$1933/$C$1933</f>
        <v>25595.559913253968</v>
      </c>
      <c r="F1902" s="1901"/>
      <c r="G1902" s="1902"/>
      <c r="H1902" s="1644"/>
      <c r="I1902" s="1644"/>
      <c r="K1902" s="1901">
        <f t="shared" ref="K1902:K1908" si="1063">K1480</f>
        <v>2.27</v>
      </c>
      <c r="L1902" s="1902"/>
      <c r="M1902" s="1901">
        <f t="shared" ref="M1902:M1908" si="1064">M1480</f>
        <v>0</v>
      </c>
      <c r="N1902" s="1902"/>
      <c r="O1902" s="1901">
        <f t="shared" ref="O1902:O1908" si="1065">O1480</f>
        <v>0</v>
      </c>
      <c r="P1902" s="1902"/>
      <c r="Q1902" s="1901">
        <f t="shared" si="1058"/>
        <v>2.27</v>
      </c>
      <c r="R1902" s="1902"/>
      <c r="S1902" s="1643">
        <f t="shared" si="1059"/>
        <v>58102</v>
      </c>
      <c r="T1902" s="1643"/>
      <c r="U1902" s="1643">
        <f t="shared" si="1060"/>
        <v>0</v>
      </c>
      <c r="V1902" s="1643"/>
      <c r="W1902" s="1643">
        <f t="shared" si="1061"/>
        <v>0</v>
      </c>
      <c r="X1902" s="1643"/>
      <c r="Y1902" s="1643">
        <f t="shared" si="1062"/>
        <v>58102</v>
      </c>
      <c r="Z1902" s="1878" t="s">
        <v>251</v>
      </c>
      <c r="AI1902" s="2023">
        <f>W1902-'Blocking-Step2'!W1902</f>
        <v>0</v>
      </c>
      <c r="AJ1902" s="2054">
        <f>O1902-'Blocking-Step2'!O1902</f>
        <v>0</v>
      </c>
    </row>
    <row r="1903" spans="1:36">
      <c r="A1903" s="1900" t="s">
        <v>1651</v>
      </c>
      <c r="C1903" s="528">
        <f>C1909*Z1903</f>
        <v>5830.26278514365</v>
      </c>
      <c r="D1903" s="528">
        <f>C1903*$D$1933/$C$1933</f>
        <v>8667.6960527404663</v>
      </c>
      <c r="F1903" s="1944"/>
      <c r="G1903" s="597"/>
      <c r="H1903" s="1644"/>
      <c r="I1903" s="1644"/>
      <c r="K1903" s="1944">
        <f t="shared" si="1063"/>
        <v>4.6900000000000004</v>
      </c>
      <c r="L1903" s="597"/>
      <c r="M1903" s="1944">
        <f t="shared" si="1064"/>
        <v>9.61</v>
      </c>
      <c r="N1903" s="597"/>
      <c r="O1903" s="1944">
        <f t="shared" si="1065"/>
        <v>0</v>
      </c>
      <c r="P1903" s="597"/>
      <c r="Q1903" s="1944">
        <f t="shared" si="1058"/>
        <v>14.3</v>
      </c>
      <c r="R1903" s="597"/>
      <c r="S1903" s="1643">
        <f t="shared" si="1059"/>
        <v>40651</v>
      </c>
      <c r="T1903" s="1643"/>
      <c r="U1903" s="1643">
        <f t="shared" si="1060"/>
        <v>83297</v>
      </c>
      <c r="V1903" s="1643"/>
      <c r="W1903" s="1643">
        <f t="shared" si="1061"/>
        <v>0</v>
      </c>
      <c r="X1903" s="1645"/>
      <c r="Y1903" s="1643">
        <f t="shared" si="1062"/>
        <v>123948</v>
      </c>
      <c r="Z1903" s="1878">
        <f>'Large Profile'!L11</f>
        <v>0.81143000192935111</v>
      </c>
      <c r="AI1903" s="2023">
        <f>W1903-'Blocking-Step2'!W1903</f>
        <v>0</v>
      </c>
      <c r="AJ1903" s="2054">
        <f>O1903-'Blocking-Step2'!O1903</f>
        <v>0</v>
      </c>
    </row>
    <row r="1904" spans="1:36">
      <c r="A1904" s="1900" t="s">
        <v>1652</v>
      </c>
      <c r="C1904" s="528">
        <f>C1910*Z1904</f>
        <v>11395.132241028516</v>
      </c>
      <c r="D1904" s="528">
        <f>C1904*$D$1933/$C$1933</f>
        <v>16940.838927140219</v>
      </c>
      <c r="F1904" s="1944"/>
      <c r="G1904" s="597"/>
      <c r="H1904" s="1644"/>
      <c r="I1904" s="1644"/>
      <c r="K1904" s="1944">
        <f t="shared" si="1063"/>
        <v>4.1500000000000004</v>
      </c>
      <c r="L1904" s="597"/>
      <c r="M1904" s="1944">
        <f t="shared" si="1064"/>
        <v>8.5</v>
      </c>
      <c r="N1904" s="597"/>
      <c r="O1904" s="1944">
        <f t="shared" si="1065"/>
        <v>0</v>
      </c>
      <c r="P1904" s="597"/>
      <c r="Q1904" s="1944">
        <f t="shared" si="1058"/>
        <v>12.65</v>
      </c>
      <c r="R1904" s="597"/>
      <c r="S1904" s="1643">
        <f t="shared" si="1059"/>
        <v>70304</v>
      </c>
      <c r="T1904" s="1643"/>
      <c r="U1904" s="1643">
        <f t="shared" si="1060"/>
        <v>143997</v>
      </c>
      <c r="V1904" s="1643"/>
      <c r="W1904" s="1643">
        <f t="shared" si="1061"/>
        <v>0</v>
      </c>
      <c r="X1904" s="1645"/>
      <c r="Y1904" s="1643">
        <f t="shared" si="1062"/>
        <v>214302</v>
      </c>
      <c r="Z1904" s="1878">
        <f>'Large Profile'!P11</f>
        <v>1.1359353572586484</v>
      </c>
      <c r="AI1904" s="2023">
        <f>W1904-'Blocking-Step2'!W1904</f>
        <v>0</v>
      </c>
      <c r="AJ1904" s="2054">
        <f>O1904-'Blocking-Step2'!O1904</f>
        <v>0</v>
      </c>
    </row>
    <row r="1905" spans="1:36">
      <c r="A1905" s="1900" t="s">
        <v>1532</v>
      </c>
      <c r="C1905" s="528">
        <f>C1911*Z1905</f>
        <v>62825.972110416842</v>
      </c>
      <c r="D1905" s="528">
        <f>C1905*$D$1933/($C$1933-$C$1931)</f>
        <v>91665.936485583297</v>
      </c>
      <c r="F1905" s="1943"/>
      <c r="G1905" s="1921"/>
      <c r="H1905" s="1644"/>
      <c r="I1905" s="1644"/>
      <c r="K1905" s="1943">
        <f t="shared" si="1063"/>
        <v>0</v>
      </c>
      <c r="L1905" s="1921" t="s">
        <v>495</v>
      </c>
      <c r="M1905" s="1943">
        <f t="shared" si="1064"/>
        <v>1.0266514814000001</v>
      </c>
      <c r="N1905" s="1921" t="s">
        <v>495</v>
      </c>
      <c r="O1905" s="1943">
        <f t="shared" si="1065"/>
        <v>4.1108761607000002</v>
      </c>
      <c r="P1905" s="1921" t="s">
        <v>495</v>
      </c>
      <c r="Q1905" s="1943">
        <f t="shared" si="1058"/>
        <v>5.1375276421000002</v>
      </c>
      <c r="R1905" s="1921" t="s">
        <v>495</v>
      </c>
      <c r="S1905" s="1644">
        <f t="shared" ref="S1905:S1908" si="1066">ROUND($D1905*K1905/100,0)</f>
        <v>0</v>
      </c>
      <c r="T1905" s="1648"/>
      <c r="U1905" s="1644">
        <f t="shared" ref="U1905:U1908" si="1067">ROUND($D1905*M1905/100,0)</f>
        <v>941</v>
      </c>
      <c r="V1905" s="1648"/>
      <c r="W1905" s="1644">
        <f t="shared" ref="W1905:W1908" si="1068">ROUND($D1905*O1905/100,0)</f>
        <v>3768</v>
      </c>
      <c r="X1905" s="1648"/>
      <c r="Y1905" s="1644">
        <f t="shared" ref="Y1905:Y1908" si="1069">ROUND($D1905*Q1905/100,0)</f>
        <v>4709</v>
      </c>
      <c r="Z1905" s="1878">
        <f>'Large Profile'!M11</f>
        <v>0.69164135480564293</v>
      </c>
      <c r="AI1905" s="2023">
        <f>W1905-'Blocking-Step2'!W1905</f>
        <v>0</v>
      </c>
      <c r="AJ1905" s="2054">
        <f>O1905-'Blocking-Step2'!O1905</f>
        <v>0</v>
      </c>
    </row>
    <row r="1906" spans="1:36">
      <c r="A1906" s="1900" t="s">
        <v>1653</v>
      </c>
      <c r="C1906" s="528">
        <f>C1912*Z1906</f>
        <v>167429.75213258711</v>
      </c>
      <c r="D1906" s="528">
        <f>C1906*$D$1933/($C$1933-$C$1931)</f>
        <v>244287.58536054517</v>
      </c>
      <c r="F1906" s="1943"/>
      <c r="G1906" s="1921"/>
      <c r="H1906" s="1644"/>
      <c r="I1906" s="1644"/>
      <c r="K1906" s="1943">
        <f t="shared" si="1063"/>
        <v>0</v>
      </c>
      <c r="L1906" s="1921" t="s">
        <v>495</v>
      </c>
      <c r="M1906" s="1943">
        <f t="shared" si="1064"/>
        <v>1.0342499835399996</v>
      </c>
      <c r="N1906" s="1921" t="s">
        <v>495</v>
      </c>
      <c r="O1906" s="1943">
        <f t="shared" si="1065"/>
        <v>3.5122346554870001</v>
      </c>
      <c r="P1906" s="1921" t="s">
        <v>495</v>
      </c>
      <c r="Q1906" s="1943">
        <f t="shared" si="1058"/>
        <v>4.5464846390269997</v>
      </c>
      <c r="R1906" s="1921" t="s">
        <v>495</v>
      </c>
      <c r="S1906" s="1644">
        <f t="shared" si="1066"/>
        <v>0</v>
      </c>
      <c r="T1906" s="1648"/>
      <c r="U1906" s="1644">
        <f t="shared" si="1067"/>
        <v>2527</v>
      </c>
      <c r="V1906" s="1648"/>
      <c r="W1906" s="1644">
        <f t="shared" si="1068"/>
        <v>8580</v>
      </c>
      <c r="X1906" s="1648"/>
      <c r="Y1906" s="1644">
        <f t="shared" si="1069"/>
        <v>11106</v>
      </c>
      <c r="Z1906" s="1878">
        <f>'Large Profile'!Q11</f>
        <v>0.49962363006591026</v>
      </c>
      <c r="AI1906" s="2023">
        <f>W1906-'Blocking-Step2'!W1906</f>
        <v>0</v>
      </c>
      <c r="AJ1906" s="2054">
        <f>O1906-'Blocking-Step2'!O1906</f>
        <v>0</v>
      </c>
    </row>
    <row r="1907" spans="1:36">
      <c r="A1907" s="1900" t="s">
        <v>1533</v>
      </c>
      <c r="C1907" s="528">
        <f>C1913*Z1907</f>
        <v>248522.35206664595</v>
      </c>
      <c r="D1907" s="528">
        <f>C1907*$D$1933/($C$1933-$C$1931)</f>
        <v>362605.35849331866</v>
      </c>
      <c r="F1907" s="1943"/>
      <c r="G1907" s="1921"/>
      <c r="H1907" s="1644"/>
      <c r="I1907" s="1644"/>
      <c r="K1907" s="1943">
        <f t="shared" si="1063"/>
        <v>0</v>
      </c>
      <c r="L1907" s="1921" t="s">
        <v>495</v>
      </c>
      <c r="M1907" s="1943">
        <f t="shared" si="1064"/>
        <v>1.0591286997309999</v>
      </c>
      <c r="N1907" s="1921" t="s">
        <v>495</v>
      </c>
      <c r="O1907" s="1943">
        <f t="shared" si="1065"/>
        <v>1.5521862361710002</v>
      </c>
      <c r="P1907" s="1921" t="s">
        <v>495</v>
      </c>
      <c r="Q1907" s="1943">
        <f t="shared" si="1058"/>
        <v>2.611314935902</v>
      </c>
      <c r="R1907" s="1921" t="s">
        <v>495</v>
      </c>
      <c r="S1907" s="1644">
        <f t="shared" si="1066"/>
        <v>0</v>
      </c>
      <c r="T1907" s="1648"/>
      <c r="U1907" s="1644">
        <f t="shared" si="1067"/>
        <v>3840</v>
      </c>
      <c r="V1907" s="1648"/>
      <c r="W1907" s="1644">
        <f t="shared" si="1068"/>
        <v>5628</v>
      </c>
      <c r="X1907" s="1648"/>
      <c r="Y1907" s="1644">
        <f t="shared" si="1069"/>
        <v>9469</v>
      </c>
      <c r="Z1907" s="1878">
        <f>'Large Profile'!O11</f>
        <v>0.83672504038207063</v>
      </c>
      <c r="AI1907" s="2023">
        <f>W1907-'Blocking-Step2'!W1907</f>
        <v>0</v>
      </c>
      <c r="AJ1907" s="2054">
        <f>O1907-'Blocking-Step2'!O1907</f>
        <v>0</v>
      </c>
    </row>
    <row r="1908" spans="1:36">
      <c r="A1908" s="1900" t="s">
        <v>2177</v>
      </c>
      <c r="C1908" s="528">
        <f>SUM(C1911:C1914)-SUM(C1905:C1907)</f>
        <v>616906.92369035014</v>
      </c>
      <c r="D1908" s="528">
        <f>C1908*$D$1933/($C$1933-$C$1931)</f>
        <v>900095.11966055306</v>
      </c>
      <c r="F1908" s="1943"/>
      <c r="G1908" s="1921"/>
      <c r="H1908" s="1644"/>
      <c r="I1908" s="1644"/>
      <c r="K1908" s="1943">
        <f t="shared" si="1063"/>
        <v>0</v>
      </c>
      <c r="L1908" s="1921" t="s">
        <v>495</v>
      </c>
      <c r="M1908" s="1943">
        <f t="shared" si="1064"/>
        <v>1.0629908847180001</v>
      </c>
      <c r="N1908" s="1921" t="s">
        <v>495</v>
      </c>
      <c r="O1908" s="1943">
        <f t="shared" si="1065"/>
        <v>1.247907288647</v>
      </c>
      <c r="P1908" s="1921" t="s">
        <v>495</v>
      </c>
      <c r="Q1908" s="1943">
        <f t="shared" si="1058"/>
        <v>2.310898173365</v>
      </c>
      <c r="R1908" s="1921" t="s">
        <v>495</v>
      </c>
      <c r="S1908" s="1644">
        <f t="shared" si="1066"/>
        <v>0</v>
      </c>
      <c r="T1908" s="1648"/>
      <c r="U1908" s="1644">
        <f t="shared" si="1067"/>
        <v>9568</v>
      </c>
      <c r="V1908" s="1648"/>
      <c r="W1908" s="1644">
        <f t="shared" si="1068"/>
        <v>11232</v>
      </c>
      <c r="X1908" s="1648"/>
      <c r="Y1908" s="1644">
        <f t="shared" si="1069"/>
        <v>20800</v>
      </c>
      <c r="Z1908" s="1878">
        <f>'Large Profile'!S11</f>
        <v>1.7261375747426841</v>
      </c>
      <c r="AI1908" s="2023">
        <f>W1908-'Blocking-Step2'!W1908</f>
        <v>0</v>
      </c>
      <c r="AJ1908" s="2054">
        <f>O1908-'Blocking-Step2'!O1908</f>
        <v>0</v>
      </c>
    </row>
    <row r="1909" spans="1:36">
      <c r="A1909" s="1900" t="s">
        <v>2185</v>
      </c>
      <c r="C1909" s="528">
        <f>$C$1902*Z1909</f>
        <v>7185.1703428280116</v>
      </c>
      <c r="D1909" s="528"/>
      <c r="F1909" s="1943"/>
      <c r="G1909" s="1921"/>
      <c r="H1909" s="1644"/>
      <c r="I1909" s="1644"/>
      <c r="K1909" s="1943"/>
      <c r="L1909" s="1921"/>
      <c r="M1909" s="1943"/>
      <c r="N1909" s="1921"/>
      <c r="O1909" s="1943"/>
      <c r="P1909" s="1921"/>
      <c r="Q1909" s="1943"/>
      <c r="R1909" s="1921"/>
      <c r="S1909" s="1648"/>
      <c r="T1909" s="1648"/>
      <c r="U1909" s="1648"/>
      <c r="V1909" s="1648"/>
      <c r="W1909" s="1648"/>
      <c r="X1909" s="1648"/>
      <c r="Y1909" s="1644"/>
      <c r="Z1909" s="1878">
        <f>'Large Profile'!D7/'Large Profile'!B7</f>
        <v>0.41733804565208987</v>
      </c>
      <c r="AI1909" s="2023">
        <f>W1909-'Blocking-Step2'!W1909</f>
        <v>0</v>
      </c>
      <c r="AJ1909" s="2054">
        <f>O1909-'Blocking-Step2'!O1909</f>
        <v>0</v>
      </c>
    </row>
    <row r="1910" spans="1:36">
      <c r="A1910" s="1900" t="s">
        <v>2186</v>
      </c>
      <c r="C1910" s="528">
        <f>$C$1902*Z1910</f>
        <v>10031.497099032445</v>
      </c>
      <c r="D1910" s="528"/>
      <c r="F1910" s="1943"/>
      <c r="G1910" s="1921"/>
      <c r="H1910" s="1644"/>
      <c r="I1910" s="1644"/>
      <c r="K1910" s="1943"/>
      <c r="L1910" s="1921"/>
      <c r="M1910" s="1943"/>
      <c r="N1910" s="1921"/>
      <c r="O1910" s="1943"/>
      <c r="P1910" s="1921"/>
      <c r="Q1910" s="1943"/>
      <c r="R1910" s="1921"/>
      <c r="S1910" s="1648"/>
      <c r="T1910" s="1648"/>
      <c r="U1910" s="1648"/>
      <c r="V1910" s="1648"/>
      <c r="W1910" s="1648"/>
      <c r="X1910" s="1648"/>
      <c r="Y1910" s="1644"/>
      <c r="Z1910" s="1878">
        <f>'Large Profile'!H7/'Large Profile'!B7</f>
        <v>0.58266195434790979</v>
      </c>
      <c r="AI1910" s="2023">
        <f>W1910-'Blocking-Step2'!W1910</f>
        <v>0</v>
      </c>
      <c r="AJ1910" s="2054">
        <f>O1910-'Blocking-Step2'!O1910</f>
        <v>0</v>
      </c>
    </row>
    <row r="1911" spans="1:36">
      <c r="A1911" s="1900" t="s">
        <v>2187</v>
      </c>
      <c r="C1911" s="528">
        <f>Z1911*'21'!L20</f>
        <v>90836.054949420242</v>
      </c>
      <c r="D1911" s="528"/>
      <c r="F1911" s="1943"/>
      <c r="G1911" s="1921"/>
      <c r="H1911" s="1644"/>
      <c r="I1911" s="1644"/>
      <c r="K1911" s="1943"/>
      <c r="L1911" s="1921"/>
      <c r="M1911" s="1943"/>
      <c r="N1911" s="1921"/>
      <c r="O1911" s="1943"/>
      <c r="P1911" s="1921"/>
      <c r="Q1911" s="1943"/>
      <c r="R1911" s="1921"/>
      <c r="S1911" s="1648"/>
      <c r="T1911" s="1648"/>
      <c r="U1911" s="1648"/>
      <c r="V1911" s="1648"/>
      <c r="W1911" s="1648"/>
      <c r="X1911" s="1648"/>
      <c r="Y1911" s="1644"/>
      <c r="Z1911" s="1878">
        <f>'Large Profile'!E7/('Large Profile'!E7+'Large Profile'!G7)</f>
        <v>0.23420167111701889</v>
      </c>
      <c r="AI1911" s="2023">
        <f>W1911-'Blocking-Step2'!W1911</f>
        <v>0</v>
      </c>
      <c r="AJ1911" s="2054">
        <f>O1911-'Blocking-Step2'!O1911</f>
        <v>0</v>
      </c>
    </row>
    <row r="1912" spans="1:36">
      <c r="A1912" s="1900" t="s">
        <v>2188</v>
      </c>
      <c r="C1912" s="528">
        <f>Z1912*('21'!J20-'21'!L20)</f>
        <v>335111.75624439499</v>
      </c>
      <c r="D1912" s="528"/>
      <c r="F1912" s="1943"/>
      <c r="G1912" s="1921"/>
      <c r="H1912" s="1644"/>
      <c r="I1912" s="1644"/>
      <c r="K1912" s="1943"/>
      <c r="L1912" s="1921"/>
      <c r="M1912" s="1943"/>
      <c r="N1912" s="1921"/>
      <c r="O1912" s="1943"/>
      <c r="P1912" s="1921"/>
      <c r="Q1912" s="1943"/>
      <c r="R1912" s="1921"/>
      <c r="S1912" s="1648"/>
      <c r="T1912" s="1648"/>
      <c r="U1912" s="1648"/>
      <c r="V1912" s="1648"/>
      <c r="W1912" s="1648"/>
      <c r="X1912" s="1648"/>
      <c r="Y1912" s="1644"/>
      <c r="Z1912" s="1878">
        <f>'Large Profile'!I7/('Large Profile'!I7+'Large Profile'!K7)</f>
        <v>0.47343469874079402</v>
      </c>
      <c r="AI1912" s="2023">
        <f>W1912-'Blocking-Step2'!W1912</f>
        <v>0</v>
      </c>
      <c r="AJ1912" s="2054">
        <f>O1912-'Blocking-Step2'!O1912</f>
        <v>0</v>
      </c>
    </row>
    <row r="1913" spans="1:36">
      <c r="A1913" s="1900" t="s">
        <v>2189</v>
      </c>
      <c r="C1913" s="528">
        <f>Z1913*('21'!L20)</f>
        <v>297017.94505057973</v>
      </c>
      <c r="D1913" s="528"/>
      <c r="F1913" s="1943"/>
      <c r="G1913" s="1921"/>
      <c r="H1913" s="1644"/>
      <c r="I1913" s="1644"/>
      <c r="K1913" s="1943"/>
      <c r="L1913" s="1921"/>
      <c r="M1913" s="1943"/>
      <c r="N1913" s="1921"/>
      <c r="O1913" s="1943"/>
      <c r="P1913" s="1921"/>
      <c r="Q1913" s="1943"/>
      <c r="R1913" s="1921"/>
      <c r="S1913" s="1648"/>
      <c r="T1913" s="1648"/>
      <c r="U1913" s="1648"/>
      <c r="V1913" s="1648"/>
      <c r="W1913" s="1648"/>
      <c r="X1913" s="1648"/>
      <c r="Y1913" s="1644"/>
      <c r="Z1913" s="1878">
        <f>1-Z1911</f>
        <v>0.76579832888298105</v>
      </c>
      <c r="AI1913" s="2023">
        <f>W1913-'Blocking-Step2'!W1913</f>
        <v>0</v>
      </c>
      <c r="AJ1913" s="2054">
        <f>O1913-'Blocking-Step2'!O1913</f>
        <v>0</v>
      </c>
    </row>
    <row r="1914" spans="1:36">
      <c r="A1914" s="1900" t="s">
        <v>2190</v>
      </c>
      <c r="C1914" s="528">
        <f>C1929+C1930-SUM(C1911:C1913)</f>
        <v>372719.24375560507</v>
      </c>
      <c r="D1914" s="528"/>
      <c r="F1914" s="1943"/>
      <c r="G1914" s="1921"/>
      <c r="H1914" s="1644"/>
      <c r="I1914" s="1644"/>
      <c r="K1914" s="1943"/>
      <c r="L1914" s="1921"/>
      <c r="M1914" s="1943"/>
      <c r="N1914" s="1921"/>
      <c r="O1914" s="1943"/>
      <c r="P1914" s="1921"/>
      <c r="Q1914" s="1943"/>
      <c r="R1914" s="1921"/>
      <c r="S1914" s="1648"/>
      <c r="T1914" s="1648"/>
      <c r="U1914" s="1648"/>
      <c r="V1914" s="1648"/>
      <c r="W1914" s="1648"/>
      <c r="X1914" s="1648"/>
      <c r="Y1914" s="1644"/>
      <c r="Z1914" s="1878">
        <f>1-Z1912</f>
        <v>0.52656530125920598</v>
      </c>
      <c r="AI1914" s="2023">
        <f>W1914-'Blocking-Step2'!W1914</f>
        <v>0</v>
      </c>
      <c r="AJ1914" s="2054">
        <f>O1914-'Blocking-Step2'!O1914</f>
        <v>0</v>
      </c>
    </row>
    <row r="1915" spans="1:36">
      <c r="A1915" s="1900" t="s">
        <v>1240</v>
      </c>
      <c r="C1915" s="584"/>
      <c r="D1915" s="584"/>
      <c r="F1915" s="1930">
        <v>-6.2E-2</v>
      </c>
      <c r="G1915" s="597"/>
      <c r="H1915" s="1644">
        <f>SUM(H1903:H1905,H1910:H1912)*$F1915</f>
        <v>0</v>
      </c>
      <c r="I1915" s="1644">
        <f>SUM(I1903:I1905,I1910:I1912)*$F1915</f>
        <v>0</v>
      </c>
      <c r="K1915" s="1930"/>
      <c r="L1915" s="597"/>
      <c r="M1915" s="1930"/>
      <c r="N1915" s="597"/>
      <c r="O1915" s="1931" t="str">
        <f>$O$43</f>
        <v>Tax Year 1 (1/1/2021)</v>
      </c>
      <c r="P1915" s="597"/>
      <c r="Q1915" s="1930">
        <f>Q1493</f>
        <v>-1.41E-2</v>
      </c>
      <c r="R1915" s="597"/>
      <c r="S1915" s="1645"/>
      <c r="T1915" s="1645"/>
      <c r="U1915" s="1645"/>
      <c r="V1915" s="1645"/>
      <c r="W1915" s="1645"/>
      <c r="X1915" s="1645"/>
      <c r="Y1915" s="1644">
        <f>Q1915*SUM(Y1903:Y1908)</f>
        <v>-5419.1094000000003</v>
      </c>
      <c r="AI1915" s="2023">
        <f>W1915-'Blocking-Step2'!W1915</f>
        <v>0</v>
      </c>
      <c r="AJ1915" s="2054">
        <f>O1915-'Blocking-Step2'!O1915</f>
        <v>0</v>
      </c>
    </row>
    <row r="1916" spans="1:36">
      <c r="A1916" s="1900"/>
      <c r="C1916" s="584"/>
      <c r="D1916" s="584"/>
      <c r="F1916" s="1930"/>
      <c r="G1916" s="597"/>
      <c r="H1916" s="1644"/>
      <c r="I1916" s="1644"/>
      <c r="K1916" s="1930"/>
      <c r="L1916" s="597"/>
      <c r="M1916" s="1930"/>
      <c r="N1916" s="597"/>
      <c r="O1916" s="1931">
        <f>$O$44</f>
        <v>0</v>
      </c>
      <c r="P1916" s="597"/>
      <c r="Q1916" s="1930">
        <f>Q1494</f>
        <v>0</v>
      </c>
      <c r="R1916" s="597"/>
      <c r="S1916" s="1645"/>
      <c r="T1916" s="1645"/>
      <c r="U1916" s="1645"/>
      <c r="V1916" s="1645"/>
      <c r="W1916" s="1645"/>
      <c r="X1916" s="1645"/>
      <c r="Y1916" s="1644">
        <f>Q1916*SUM(Y1903:Y1908)</f>
        <v>0</v>
      </c>
      <c r="AI1916" s="2023">
        <f>W1916-'Blocking-Step2'!W1916</f>
        <v>0</v>
      </c>
      <c r="AJ1916" s="2054">
        <f>O1916-'Blocking-Step2'!O1916</f>
        <v>0</v>
      </c>
    </row>
    <row r="1917" spans="1:36">
      <c r="A1917" s="1900"/>
      <c r="C1917" s="584"/>
      <c r="D1917" s="584"/>
      <c r="F1917" s="1930"/>
      <c r="G1917" s="597"/>
      <c r="H1917" s="1644"/>
      <c r="I1917" s="1644"/>
      <c r="K1917" s="1930"/>
      <c r="L1917" s="597"/>
      <c r="M1917" s="1930"/>
      <c r="N1917" s="597"/>
      <c r="O1917" s="1930"/>
      <c r="P1917" s="597"/>
      <c r="Q1917" s="1930"/>
      <c r="R1917" s="597"/>
      <c r="S1917" s="1644">
        <f>SUM(S1901:S1908)</f>
        <v>174622</v>
      </c>
      <c r="T1917" s="1645"/>
      <c r="U1917" s="1644">
        <f>SUM(U1901:U1908)</f>
        <v>244170</v>
      </c>
      <c r="V1917" s="1645"/>
      <c r="W1917" s="1644">
        <f>SUM(W1901:W1908)</f>
        <v>29208</v>
      </c>
      <c r="X1917" s="1645"/>
      <c r="Y1917" s="1644">
        <f>SUM(Y1901:Y1908)</f>
        <v>448001</v>
      </c>
      <c r="AA1917" s="1104" t="s">
        <v>1743</v>
      </c>
      <c r="AB1917" s="1890">
        <f>Y1917/I1933-1</f>
        <v>1.425068133165607</v>
      </c>
      <c r="AI1917" s="2023">
        <f>W1917-'Blocking-Step2'!W1917</f>
        <v>0</v>
      </c>
      <c r="AJ1917" s="2054">
        <f>O1917-'Blocking-Step2'!O1917</f>
        <v>0</v>
      </c>
    </row>
    <row r="1918" spans="1:36">
      <c r="A1918" s="1987" t="s">
        <v>395</v>
      </c>
      <c r="C1918" s="528"/>
      <c r="D1918" s="528"/>
      <c r="AI1918" s="2023">
        <f>W1918-'Blocking-Step2'!W1918</f>
        <v>0</v>
      </c>
      <c r="AJ1918" s="2054">
        <f>O1918-'Blocking-Step2'!O1918</f>
        <v>0</v>
      </c>
    </row>
    <row r="1919" spans="1:36">
      <c r="A1919" s="1900" t="s">
        <v>240</v>
      </c>
      <c r="C1919" s="528">
        <f>'21'!H7</f>
        <v>12</v>
      </c>
      <c r="D1919" s="528">
        <f>ROUND(C1919/($C$1919+$C$1927)*Bill!$P$65,0)</f>
        <v>15</v>
      </c>
      <c r="F1919" s="1901">
        <v>127</v>
      </c>
      <c r="G1919" s="1902"/>
      <c r="H1919" s="1644">
        <f>ROUND($F1919*C1919,0)</f>
        <v>1524</v>
      </c>
      <c r="I1919" s="1644">
        <f>ROUND($F1919*D1919,0)</f>
        <v>1905</v>
      </c>
      <c r="K1919" s="1901"/>
      <c r="L1919" s="1902"/>
      <c r="M1919" s="1901"/>
      <c r="N1919" s="1902"/>
      <c r="O1919" s="1901"/>
      <c r="P1919" s="1902"/>
      <c r="Q1919" s="1901"/>
      <c r="R1919" s="1902"/>
      <c r="S1919" s="1643"/>
      <c r="T1919" s="1643"/>
      <c r="U1919" s="1643"/>
      <c r="V1919" s="1643"/>
      <c r="W1919" s="1643"/>
      <c r="X1919" s="1643"/>
      <c r="Y1919" s="1644"/>
      <c r="AI1919" s="2023">
        <f>W1919-'Blocking-Step2'!W1919</f>
        <v>0</v>
      </c>
      <c r="AJ1919" s="2054">
        <f>O1919-'Blocking-Step2'!O1919</f>
        <v>0</v>
      </c>
    </row>
    <row r="1920" spans="1:36">
      <c r="A1920" s="1900" t="s">
        <v>1250</v>
      </c>
      <c r="C1920" s="528">
        <f>'21'!I7</f>
        <v>5197</v>
      </c>
      <c r="D1920" s="528">
        <f>ROUND(C1920/($C$1925-$C$1923)*$D$1925,0)</f>
        <v>7726</v>
      </c>
      <c r="F1920" s="1901">
        <v>4.3</v>
      </c>
      <c r="G1920" s="1902"/>
      <c r="H1920" s="1644">
        <f>ROUND($F1920*C1920,0)</f>
        <v>22347</v>
      </c>
      <c r="I1920" s="1644">
        <f>ROUND($F1920*D1920,0)</f>
        <v>33222</v>
      </c>
      <c r="K1920" s="1901"/>
      <c r="L1920" s="1902"/>
      <c r="M1920" s="1901"/>
      <c r="N1920" s="1902"/>
      <c r="O1920" s="1901"/>
      <c r="P1920" s="1902"/>
      <c r="Q1920" s="1901"/>
      <c r="R1920" s="1902"/>
      <c r="S1920" s="1643"/>
      <c r="T1920" s="1643"/>
      <c r="U1920" s="1643"/>
      <c r="V1920" s="1643"/>
      <c r="W1920" s="1643"/>
      <c r="X1920" s="1643"/>
      <c r="Y1920" s="1644"/>
      <c r="AI1920" s="2023">
        <f>W1920-'Blocking-Step2'!W1920</f>
        <v>0</v>
      </c>
      <c r="AJ1920" s="2054">
        <f>O1920-'Blocking-Step2'!O1920</f>
        <v>0</v>
      </c>
    </row>
    <row r="1921" spans="1:36">
      <c r="A1921" s="1900" t="s">
        <v>396</v>
      </c>
      <c r="C1921" s="528">
        <f>'21'!K7</f>
        <v>160397</v>
      </c>
      <c r="D1921" s="528">
        <f>ROUND(C1921/($C$1925-$C$1923)*$D$1925,0)</f>
        <v>238458</v>
      </c>
      <c r="F1921" s="1988">
        <v>6.8446999999999996</v>
      </c>
      <c r="G1921" s="1921" t="s">
        <v>495</v>
      </c>
      <c r="H1921" s="1644">
        <f>ROUND($F1921*C1921/100,0)</f>
        <v>10979</v>
      </c>
      <c r="I1921" s="1644">
        <f>ROUND($F1921*D1921/100,0)</f>
        <v>16322</v>
      </c>
      <c r="K1921" s="1988"/>
      <c r="L1921" s="1921"/>
      <c r="M1921" s="1988"/>
      <c r="N1921" s="1921"/>
      <c r="O1921" s="1988"/>
      <c r="P1921" s="1921"/>
      <c r="Q1921" s="1988"/>
      <c r="R1921" s="1921"/>
      <c r="S1921" s="1648"/>
      <c r="T1921" s="1648"/>
      <c r="U1921" s="1648"/>
      <c r="V1921" s="1648"/>
      <c r="W1921" s="1648"/>
      <c r="X1921" s="1648"/>
      <c r="Y1921" s="1644"/>
      <c r="AI1921" s="2023">
        <f>W1921-'Blocking-Step2'!W1921</f>
        <v>0</v>
      </c>
      <c r="AJ1921" s="2054">
        <f>O1921-'Blocking-Step2'!O1921</f>
        <v>0</v>
      </c>
    </row>
    <row r="1922" spans="1:36">
      <c r="A1922" s="1900" t="s">
        <v>95</v>
      </c>
      <c r="C1922" s="528">
        <f>'21'!L7</f>
        <v>0</v>
      </c>
      <c r="D1922" s="528">
        <f t="shared" ref="D1922" si="1070">ROUND(C1922/($C$1925-$C$1923)*$D$1925,0)</f>
        <v>0</v>
      </c>
      <c r="F1922" s="1988">
        <v>5.7472000000000003</v>
      </c>
      <c r="G1922" s="1921" t="s">
        <v>495</v>
      </c>
      <c r="H1922" s="1644">
        <f>ROUND($F1922*C1922/100,0)</f>
        <v>0</v>
      </c>
      <c r="I1922" s="1644">
        <f>ROUND($F1922*D1922/100,0)</f>
        <v>0</v>
      </c>
      <c r="K1922" s="1988"/>
      <c r="L1922" s="1921"/>
      <c r="M1922" s="1988"/>
      <c r="N1922" s="1921"/>
      <c r="O1922" s="1988"/>
      <c r="P1922" s="1921"/>
      <c r="Q1922" s="1988"/>
      <c r="R1922" s="1921"/>
      <c r="S1922" s="1648"/>
      <c r="T1922" s="1648"/>
      <c r="U1922" s="1648"/>
      <c r="V1922" s="1648"/>
      <c r="W1922" s="1648"/>
      <c r="X1922" s="1648"/>
      <c r="Y1922" s="1644"/>
      <c r="AI1922" s="2023">
        <f>W1922-'Blocking-Step2'!W1922</f>
        <v>0</v>
      </c>
      <c r="AJ1922" s="2054">
        <f>O1922-'Blocking-Step2'!O1922</f>
        <v>0</v>
      </c>
    </row>
    <row r="1923" spans="1:36">
      <c r="A1923" s="1900" t="s">
        <v>246</v>
      </c>
      <c r="C1923" s="529">
        <v>0</v>
      </c>
      <c r="D1923" s="529">
        <v>0</v>
      </c>
      <c r="F1923" s="1988"/>
      <c r="G1923" s="1982"/>
      <c r="H1923" s="1030">
        <v>0</v>
      </c>
      <c r="I1923" s="1030">
        <v>0</v>
      </c>
      <c r="K1923" s="1988"/>
      <c r="L1923" s="1982"/>
      <c r="M1923" s="1988"/>
      <c r="N1923" s="1982"/>
      <c r="O1923" s="1988"/>
      <c r="P1923" s="1982"/>
      <c r="Q1923" s="1988"/>
      <c r="R1923" s="1982"/>
      <c r="S1923" s="1653"/>
      <c r="T1923" s="1653"/>
      <c r="U1923" s="1653"/>
      <c r="V1923" s="1653"/>
      <c r="W1923" s="1653"/>
      <c r="X1923" s="1653"/>
      <c r="Y1923" s="1030"/>
      <c r="AI1923" s="2023">
        <f>W1923-'Blocking-Step2'!W1923</f>
        <v>0</v>
      </c>
      <c r="AJ1923" s="2054">
        <f>O1923-'Blocking-Step2'!O1923</f>
        <v>0</v>
      </c>
    </row>
    <row r="1924" spans="1:36">
      <c r="A1924" s="1900" t="s">
        <v>1240</v>
      </c>
      <c r="C1924" s="584"/>
      <c r="D1924" s="584"/>
      <c r="F1924" s="1930">
        <v>-6.2E-2</v>
      </c>
      <c r="G1924" s="597"/>
      <c r="H1924" s="1644">
        <f>SUM(H1920:H1922)*$F1924</f>
        <v>-2066.212</v>
      </c>
      <c r="I1924" s="1644">
        <f>SUM(I1920:I1922)*$F1924</f>
        <v>-3071.7280000000001</v>
      </c>
      <c r="K1924" s="1988"/>
      <c r="L1924" s="1982"/>
      <c r="M1924" s="1988"/>
      <c r="N1924" s="1982"/>
      <c r="O1924" s="1988"/>
      <c r="P1924" s="1982"/>
      <c r="Q1924" s="1988"/>
      <c r="R1924" s="1982"/>
      <c r="S1924" s="1653"/>
      <c r="T1924" s="1653"/>
      <c r="U1924" s="1653"/>
      <c r="V1924" s="1653"/>
      <c r="W1924" s="1653"/>
      <c r="X1924" s="1653"/>
      <c r="Y1924" s="1645"/>
      <c r="AI1924" s="2023">
        <f>W1924-'Blocking-Step2'!W1924</f>
        <v>0</v>
      </c>
      <c r="AJ1924" s="2054">
        <f>O1924-'Blocking-Step2'!O1924</f>
        <v>0</v>
      </c>
    </row>
    <row r="1925" spans="1:36">
      <c r="A1925" s="1900" t="s">
        <v>397</v>
      </c>
      <c r="C1925" s="528">
        <f>C1922+C1921+C1923</f>
        <v>160397</v>
      </c>
      <c r="D1925" s="528">
        <f>ROUND(C1925/C1935*D1935,0)</f>
        <v>238458</v>
      </c>
      <c r="F1925" s="1943"/>
      <c r="G1925" s="1957"/>
      <c r="H1925" s="1644">
        <f>SUM(H1919:H1924)</f>
        <v>32783.788</v>
      </c>
      <c r="I1925" s="1644">
        <f>SUM(I1919:I1924)</f>
        <v>48377.271999999997</v>
      </c>
      <c r="K1925" s="1943"/>
      <c r="L1925" s="1957"/>
      <c r="M1925" s="1943"/>
      <c r="N1925" s="1957"/>
      <c r="O1925" s="1943"/>
      <c r="P1925" s="1957"/>
      <c r="Q1925" s="1943"/>
      <c r="R1925" s="1957"/>
      <c r="S1925" s="1645"/>
      <c r="T1925" s="1645"/>
      <c r="U1925" s="1645"/>
      <c r="V1925" s="1645"/>
      <c r="W1925" s="1645"/>
      <c r="X1925" s="1645"/>
      <c r="Y1925" s="1644"/>
      <c r="AI1925" s="2023">
        <f>W1925-'Blocking-Step2'!W1925</f>
        <v>0</v>
      </c>
      <c r="AJ1925" s="2054">
        <f>O1925-'Blocking-Step2'!O1925</f>
        <v>0</v>
      </c>
    </row>
    <row r="1926" spans="1:36">
      <c r="A1926" s="1987" t="s">
        <v>398</v>
      </c>
      <c r="C1926" s="528"/>
      <c r="D1926" s="528"/>
      <c r="F1926" s="1943"/>
      <c r="G1926" s="1957"/>
      <c r="K1926" s="1943"/>
      <c r="L1926" s="1957"/>
      <c r="M1926" s="1943"/>
      <c r="N1926" s="1957"/>
      <c r="O1926" s="1943"/>
      <c r="P1926" s="1957"/>
      <c r="Q1926" s="1943"/>
      <c r="R1926" s="1957"/>
      <c r="S1926" s="1645"/>
      <c r="T1926" s="1645"/>
      <c r="U1926" s="1645"/>
      <c r="V1926" s="1645"/>
      <c r="W1926" s="1645"/>
      <c r="X1926" s="1645"/>
      <c r="AI1926" s="2023">
        <f>W1926-'Blocking-Step2'!W1926</f>
        <v>0</v>
      </c>
      <c r="AJ1926" s="2054">
        <f>O1926-'Blocking-Step2'!O1926</f>
        <v>0</v>
      </c>
    </row>
    <row r="1927" spans="1:36">
      <c r="A1927" s="1900" t="s">
        <v>240</v>
      </c>
      <c r="C1927" s="528">
        <f>'21'!H8</f>
        <v>16.599921259842521</v>
      </c>
      <c r="D1927" s="528">
        <f>Bill!P65-'Blocking-Step1'!D1919</f>
        <v>21</v>
      </c>
      <c r="F1927" s="1901">
        <v>127</v>
      </c>
      <c r="G1927" s="1902"/>
      <c r="H1927" s="1644">
        <f>ROUND($F1927*C1927,0)</f>
        <v>2108</v>
      </c>
      <c r="I1927" s="1644">
        <f>ROUND($F1927*D1927,0)</f>
        <v>2667</v>
      </c>
      <c r="K1927" s="1901"/>
      <c r="L1927" s="1902"/>
      <c r="M1927" s="1901"/>
      <c r="N1927" s="1902"/>
      <c r="O1927" s="1901"/>
      <c r="P1927" s="1902"/>
      <c r="Q1927" s="1901"/>
      <c r="R1927" s="1902"/>
      <c r="S1927" s="1643"/>
      <c r="T1927" s="1643"/>
      <c r="U1927" s="1643"/>
      <c r="V1927" s="1643"/>
      <c r="W1927" s="1643"/>
      <c r="X1927" s="1643"/>
      <c r="Y1927" s="1644"/>
      <c r="AI1927" s="2023">
        <f>W1927-'Blocking-Step2'!W1927</f>
        <v>0</v>
      </c>
      <c r="AJ1927" s="2054">
        <f>O1927-'Blocking-Step2'!O1927</f>
        <v>0</v>
      </c>
    </row>
    <row r="1928" spans="1:36">
      <c r="A1928" s="1900" t="s">
        <v>1250</v>
      </c>
      <c r="C1928" s="528">
        <f>'21'!I8</f>
        <v>17216.667441860471</v>
      </c>
      <c r="D1928" s="528">
        <f>ROUND(C1928/($C$1933-$C$1931)*$D$1933,0)</f>
        <v>25120</v>
      </c>
      <c r="F1928" s="1901">
        <v>4.3</v>
      </c>
      <c r="G1928" s="1902"/>
      <c r="H1928" s="1644">
        <f>ROUND($F1928*C1928,0)</f>
        <v>74032</v>
      </c>
      <c r="I1928" s="1644">
        <f>ROUND($F1928*D1928,0)</f>
        <v>108016</v>
      </c>
      <c r="K1928" s="1901"/>
      <c r="L1928" s="1902"/>
      <c r="M1928" s="1901"/>
      <c r="N1928" s="1902"/>
      <c r="O1928" s="1901"/>
      <c r="P1928" s="1902"/>
      <c r="Q1928" s="1901"/>
      <c r="R1928" s="1902"/>
      <c r="S1928" s="1643"/>
      <c r="T1928" s="1643"/>
      <c r="U1928" s="1643"/>
      <c r="V1928" s="1643"/>
      <c r="W1928" s="1643"/>
      <c r="X1928" s="1643"/>
      <c r="Y1928" s="1644"/>
      <c r="AI1928" s="2023">
        <f>W1928-'Blocking-Step2'!W1928</f>
        <v>0</v>
      </c>
      <c r="AJ1928" s="2054">
        <f>O1928-'Blocking-Step2'!O1928</f>
        <v>0</v>
      </c>
    </row>
    <row r="1929" spans="1:36">
      <c r="A1929" s="1900" t="s">
        <v>396</v>
      </c>
      <c r="C1929" s="528">
        <f>'21'!M8</f>
        <v>1095685</v>
      </c>
      <c r="D1929" s="528">
        <f>ROUND(C1929/($C$1933-$C$1931)*$D$1933,0)</f>
        <v>1598654</v>
      </c>
      <c r="F1929" s="1988">
        <v>5.3851000000000004</v>
      </c>
      <c r="G1929" s="1921" t="s">
        <v>495</v>
      </c>
      <c r="H1929" s="1644">
        <f>ROUND($F1929*C1929/100,0)</f>
        <v>59004</v>
      </c>
      <c r="I1929" s="1644">
        <f>ROUND($F1929*D1929/100,0)</f>
        <v>86089</v>
      </c>
      <c r="K1929" s="1988"/>
      <c r="L1929" s="1921"/>
      <c r="M1929" s="1988"/>
      <c r="N1929" s="1921"/>
      <c r="O1929" s="1988"/>
      <c r="P1929" s="1921"/>
      <c r="Q1929" s="1988"/>
      <c r="R1929" s="1921"/>
      <c r="S1929" s="1648"/>
      <c r="T1929" s="1648"/>
      <c r="U1929" s="1648"/>
      <c r="V1929" s="1648"/>
      <c r="W1929" s="1648"/>
      <c r="X1929" s="1648"/>
      <c r="Y1929" s="1644"/>
      <c r="AI1929" s="2023">
        <f>W1929-'Blocking-Step2'!W1929</f>
        <v>0</v>
      </c>
      <c r="AJ1929" s="2054">
        <f>O1929-'Blocking-Step2'!O1929</f>
        <v>0</v>
      </c>
    </row>
    <row r="1930" spans="1:36">
      <c r="A1930" s="1900" t="s">
        <v>95</v>
      </c>
      <c r="C1930" s="528">
        <f>'21'!N8</f>
        <v>0</v>
      </c>
      <c r="D1930" s="528">
        <f>ROUND(C1930/($C$1933-$C$1931)*$D$1933,0)</f>
        <v>0</v>
      </c>
      <c r="F1930" s="1988">
        <v>4.7168999999999999</v>
      </c>
      <c r="G1930" s="1921" t="s">
        <v>495</v>
      </c>
      <c r="H1930" s="1644">
        <f>ROUND($F1930*C1930/100,0)</f>
        <v>0</v>
      </c>
      <c r="I1930" s="1644">
        <f>ROUND($F1930*D1930/100,0)</f>
        <v>0</v>
      </c>
      <c r="K1930" s="1988"/>
      <c r="L1930" s="1921"/>
      <c r="M1930" s="1988"/>
      <c r="N1930" s="1921"/>
      <c r="O1930" s="1988"/>
      <c r="P1930" s="1921"/>
      <c r="Q1930" s="1988"/>
      <c r="R1930" s="1921"/>
      <c r="S1930" s="1648"/>
      <c r="T1930" s="1648"/>
      <c r="U1930" s="1648"/>
      <c r="V1930" s="1648"/>
      <c r="W1930" s="1648"/>
      <c r="X1930" s="1648"/>
      <c r="Y1930" s="1644"/>
      <c r="AI1930" s="2023">
        <f>W1930-'Blocking-Step2'!W1930</f>
        <v>0</v>
      </c>
      <c r="AJ1930" s="2054">
        <f>O1930-'Blocking-Step2'!O1930</f>
        <v>0</v>
      </c>
    </row>
    <row r="1931" spans="1:36">
      <c r="A1931" s="1900" t="s">
        <v>246</v>
      </c>
      <c r="C1931" s="529">
        <f>'Table 2'!J95</f>
        <v>-20362</v>
      </c>
      <c r="D1931" s="529">
        <v>0</v>
      </c>
      <c r="F1931" s="1988"/>
      <c r="G1931" s="1982"/>
      <c r="H1931" s="1030">
        <f>'Table 3'!F95</f>
        <v>-2422</v>
      </c>
      <c r="I1931" s="1030">
        <v>0</v>
      </c>
      <c r="K1931" s="1988"/>
      <c r="L1931" s="1982"/>
      <c r="M1931" s="1988"/>
      <c r="N1931" s="1982"/>
      <c r="O1931" s="1988"/>
      <c r="P1931" s="1982"/>
      <c r="Q1931" s="1988"/>
      <c r="R1931" s="1982"/>
      <c r="S1931" s="1653"/>
      <c r="T1931" s="1653"/>
      <c r="U1931" s="1653"/>
      <c r="V1931" s="1653"/>
      <c r="W1931" s="1653"/>
      <c r="X1931" s="1653"/>
      <c r="Y1931" s="1030"/>
      <c r="AI1931" s="2023">
        <f>W1931-'Blocking-Step2'!W1931</f>
        <v>0</v>
      </c>
      <c r="AJ1931" s="2054">
        <f>O1931-'Blocking-Step2'!O1931</f>
        <v>0</v>
      </c>
    </row>
    <row r="1932" spans="1:36">
      <c r="A1932" s="1900" t="s">
        <v>1240</v>
      </c>
      <c r="C1932" s="584"/>
      <c r="D1932" s="584"/>
      <c r="F1932" s="1930">
        <v>-6.2E-2</v>
      </c>
      <c r="G1932" s="597"/>
      <c r="H1932" s="1644">
        <f>SUM(H1928:H1930)*$F1932</f>
        <v>-8248.232</v>
      </c>
      <c r="I1932" s="1644">
        <f>SUM(I1928:I1930)*$F1932</f>
        <v>-12034.51</v>
      </c>
      <c r="K1932" s="1988"/>
      <c r="L1932" s="1982"/>
      <c r="M1932" s="1988"/>
      <c r="N1932" s="1982"/>
      <c r="O1932" s="1988"/>
      <c r="P1932" s="1982"/>
      <c r="Q1932" s="1988"/>
      <c r="R1932" s="1982"/>
      <c r="S1932" s="1653"/>
      <c r="T1932" s="1653"/>
      <c r="U1932" s="1653"/>
      <c r="V1932" s="1653"/>
      <c r="W1932" s="1653"/>
      <c r="X1932" s="1653"/>
      <c r="Y1932" s="1645"/>
      <c r="AI1932" s="2023">
        <f>W1932-'Blocking-Step2'!W1932</f>
        <v>0</v>
      </c>
      <c r="AJ1932" s="2054">
        <f>O1932-'Blocking-Step2'!O1932</f>
        <v>0</v>
      </c>
    </row>
    <row r="1933" spans="1:36">
      <c r="A1933" s="1900" t="s">
        <v>397</v>
      </c>
      <c r="C1933" s="528">
        <f>C1930+C1929+C1931</f>
        <v>1075323</v>
      </c>
      <c r="D1933" s="528">
        <f>D1935-D1925</f>
        <v>1598654</v>
      </c>
      <c r="F1933" s="1943"/>
      <c r="G1933" s="1957"/>
      <c r="H1933" s="1644">
        <f>SUM(H1927:H1932)</f>
        <v>124473.768</v>
      </c>
      <c r="I1933" s="1644">
        <f>SUM(I1927:I1932)</f>
        <v>184737.49</v>
      </c>
      <c r="K1933" s="1943"/>
      <c r="L1933" s="1957"/>
      <c r="M1933" s="1943"/>
      <c r="N1933" s="1957"/>
      <c r="O1933" s="1943"/>
      <c r="P1933" s="1957"/>
      <c r="Q1933" s="1943"/>
      <c r="R1933" s="1957"/>
      <c r="S1933" s="1645"/>
      <c r="T1933" s="1645"/>
      <c r="U1933" s="1645"/>
      <c r="V1933" s="1645"/>
      <c r="W1933" s="1645"/>
      <c r="X1933" s="1645"/>
      <c r="Y1933" s="1644"/>
      <c r="AI1933" s="2023">
        <f>W1933-'Blocking-Step2'!W1933</f>
        <v>0</v>
      </c>
      <c r="AJ1933" s="2054">
        <f>O1933-'Blocking-Step2'!O1933</f>
        <v>0</v>
      </c>
    </row>
    <row r="1934" spans="1:36">
      <c r="A1934" s="1900" t="s">
        <v>1240</v>
      </c>
      <c r="C1934" s="584"/>
      <c r="D1934" s="584"/>
      <c r="F1934" s="1930"/>
      <c r="G1934" s="597"/>
      <c r="H1934" s="1644"/>
      <c r="I1934" s="1644"/>
      <c r="K1934" s="1930"/>
      <c r="L1934" s="597"/>
      <c r="M1934" s="1930"/>
      <c r="N1934" s="597"/>
      <c r="O1934" s="1930"/>
      <c r="P1934" s="597"/>
      <c r="Q1934" s="1930"/>
      <c r="R1934" s="597"/>
      <c r="S1934" s="1645"/>
      <c r="T1934" s="1645"/>
      <c r="U1934" s="1645"/>
      <c r="V1934" s="1645"/>
      <c r="W1934" s="1645"/>
      <c r="X1934" s="1645"/>
      <c r="Y1934" s="1644"/>
      <c r="AI1934" s="2023">
        <f>W1934-'Blocking-Step2'!W1934</f>
        <v>0</v>
      </c>
      <c r="AJ1934" s="2054">
        <f>O1934-'Blocking-Step2'!O1934</f>
        <v>0</v>
      </c>
    </row>
    <row r="1935" spans="1:36" ht="16.5" thickBot="1">
      <c r="A1935" s="1900" t="s">
        <v>247</v>
      </c>
      <c r="C1935" s="1949">
        <f>C1933+C1925</f>
        <v>1235720</v>
      </c>
      <c r="D1935" s="1949">
        <f>Energy!P65</f>
        <v>1837112</v>
      </c>
      <c r="F1935" s="1939"/>
      <c r="H1935" s="1647">
        <f>H1933+H1925</f>
        <v>157257.55599999998</v>
      </c>
      <c r="I1935" s="1647">
        <f>I1933+I1925</f>
        <v>233114.76199999999</v>
      </c>
      <c r="K1935" s="1939"/>
      <c r="M1935" s="1939"/>
      <c r="O1935" s="1939"/>
      <c r="Q1935" s="1939"/>
      <c r="S1935" s="1647">
        <f>S1899+S1917</f>
        <v>184693</v>
      </c>
      <c r="U1935" s="1647">
        <f>U1899+U1917</f>
        <v>281255</v>
      </c>
      <c r="W1935" s="1647">
        <f>W1899+W1917</f>
        <v>37240</v>
      </c>
      <c r="Y1935" s="1647">
        <f>Y1899+Y1917</f>
        <v>503188</v>
      </c>
      <c r="AA1935" s="1104" t="s">
        <v>1743</v>
      </c>
      <c r="AB1935" s="1890">
        <f>Y1935/I1935-1</f>
        <v>1.158541980280082</v>
      </c>
      <c r="AI1935" s="2023">
        <f>W1935-'Blocking-Step2'!W1935</f>
        <v>0</v>
      </c>
      <c r="AJ1935" s="2054">
        <f>O1935-'Blocking-Step2'!O1935</f>
        <v>0</v>
      </c>
    </row>
    <row r="1936" spans="1:36" ht="16.5" thickTop="1">
      <c r="A1936" s="1900"/>
      <c r="C1936" s="584"/>
      <c r="D1936" s="584"/>
      <c r="F1936" s="596"/>
      <c r="H1936" s="1645"/>
      <c r="I1936" s="1645"/>
      <c r="K1936" s="596"/>
      <c r="M1936" s="596"/>
      <c r="O1936" s="596"/>
      <c r="Q1936" s="596"/>
      <c r="S1936" s="1645"/>
      <c r="U1936" s="1645"/>
      <c r="W1936" s="1645"/>
      <c r="Y1936" s="1645"/>
      <c r="AA1936" s="1104"/>
      <c r="AB1936" s="1890"/>
      <c r="AI1936" s="2023">
        <f>W1936-'Blocking-Step2'!W1936</f>
        <v>0</v>
      </c>
      <c r="AJ1936" s="2054">
        <f>O1936-'Blocking-Step2'!O1936</f>
        <v>0</v>
      </c>
    </row>
    <row r="1937" spans="1:36">
      <c r="A1937" s="1897" t="s">
        <v>2295</v>
      </c>
      <c r="C1937" s="528"/>
      <c r="D1937" s="528"/>
      <c r="F1937" s="1943"/>
      <c r="G1937" s="1957"/>
      <c r="K1937" s="1943"/>
      <c r="L1937" s="1957"/>
      <c r="M1937" s="1943"/>
      <c r="N1937" s="1957"/>
      <c r="O1937" s="1943"/>
      <c r="P1937" s="1957"/>
      <c r="Q1937" s="1943"/>
      <c r="R1937" s="1957"/>
      <c r="S1937" s="1645"/>
      <c r="T1937" s="1645"/>
      <c r="U1937" s="1645"/>
      <c r="V1937" s="1645"/>
      <c r="W1937" s="1645"/>
      <c r="X1937" s="1645"/>
      <c r="AI1937" s="2023">
        <f>W1937-'Blocking-Step2'!W1937</f>
        <v>0</v>
      </c>
      <c r="AJ1937" s="2054">
        <f>O1937-'Blocking-Step2'!O1937</f>
        <v>0</v>
      </c>
    </row>
    <row r="1938" spans="1:36">
      <c r="A1938" s="1900" t="s">
        <v>2297</v>
      </c>
      <c r="B1938" s="1900"/>
      <c r="C1938" s="584"/>
      <c r="D1938" s="584"/>
      <c r="F1938" s="1989"/>
      <c r="G1938" s="1902"/>
      <c r="H1938" s="1645"/>
      <c r="I1938" s="1645"/>
      <c r="K1938" s="1989"/>
      <c r="L1938" s="1902"/>
      <c r="M1938" s="1989"/>
      <c r="N1938" s="1902"/>
      <c r="O1938" s="1989"/>
      <c r="P1938" s="1902"/>
      <c r="Q1938" s="1989"/>
      <c r="R1938" s="1902"/>
      <c r="S1938" s="1645"/>
      <c r="T1938" s="1643"/>
      <c r="U1938" s="1645"/>
      <c r="V1938" s="1643"/>
      <c r="W1938" s="1645"/>
      <c r="X1938" s="1643"/>
      <c r="Y1938" s="1645"/>
      <c r="Z1938" s="1936"/>
      <c r="AA1938" s="1109"/>
      <c r="AB1938" s="1114"/>
      <c r="AC1938" s="596"/>
      <c r="AD1938" s="596"/>
      <c r="AE1938" s="596"/>
      <c r="AF1938" s="596"/>
      <c r="AI1938" s="2023">
        <f>W1938-'Blocking-Step2'!W1938</f>
        <v>0</v>
      </c>
      <c r="AJ1938" s="2054">
        <f>O1938-'Blocking-Step2'!O1938</f>
        <v>0</v>
      </c>
    </row>
    <row r="1939" spans="1:36">
      <c r="A1939" s="1900" t="s">
        <v>2298</v>
      </c>
      <c r="B1939" s="1900"/>
      <c r="C1939" s="584"/>
      <c r="D1939" s="584"/>
      <c r="F1939" s="1989">
        <v>70</v>
      </c>
      <c r="G1939" s="1902"/>
      <c r="H1939" s="1645"/>
      <c r="I1939" s="1645"/>
      <c r="K1939" s="1989">
        <f>Q1939</f>
        <v>72</v>
      </c>
      <c r="L1939" s="1902"/>
      <c r="M1939" s="1989"/>
      <c r="N1939" s="1902"/>
      <c r="O1939" s="1989"/>
      <c r="P1939" s="1902"/>
      <c r="Q1939" s="1989">
        <f>ROUND(F1939*(1+$AB$1483),0)</f>
        <v>72</v>
      </c>
      <c r="R1939" s="1902"/>
      <c r="S1939" s="1645"/>
      <c r="T1939" s="1643"/>
      <c r="U1939" s="1645"/>
      <c r="V1939" s="1643"/>
      <c r="W1939" s="1645"/>
      <c r="X1939" s="1643"/>
      <c r="Y1939" s="1645"/>
      <c r="Z1939" s="1936"/>
      <c r="AA1939" s="1109"/>
      <c r="AB1939" s="1114"/>
      <c r="AC1939" s="596"/>
      <c r="AD1939" s="596"/>
      <c r="AE1939" s="596"/>
      <c r="AF1939" s="596"/>
      <c r="AI1939" s="2023">
        <f>W1939-'Blocking-Step2'!W1939</f>
        <v>0</v>
      </c>
      <c r="AJ1939" s="2054">
        <f>O1939-'Blocking-Step2'!O1939</f>
        <v>0</v>
      </c>
    </row>
    <row r="1940" spans="1:36">
      <c r="A1940" s="1900" t="s">
        <v>2299</v>
      </c>
      <c r="C1940" s="584"/>
      <c r="D1940" s="584"/>
      <c r="F1940" s="1989">
        <v>70</v>
      </c>
      <c r="G1940" s="1902"/>
      <c r="H1940" s="1645"/>
      <c r="I1940" s="1645"/>
      <c r="K1940" s="1989">
        <f>Q1940</f>
        <v>72</v>
      </c>
      <c r="L1940" s="1902"/>
      <c r="M1940" s="1989"/>
      <c r="N1940" s="1902"/>
      <c r="O1940" s="1989"/>
      <c r="P1940" s="1902"/>
      <c r="Q1940" s="1989">
        <f t="shared" ref="Q1940:Q1941" si="1071">ROUND(F1940*(1+$AB$1483),0)</f>
        <v>72</v>
      </c>
      <c r="R1940" s="1902"/>
      <c r="S1940" s="1645"/>
      <c r="T1940" s="1643"/>
      <c r="U1940" s="1645"/>
      <c r="V1940" s="1643"/>
      <c r="W1940" s="1645"/>
      <c r="X1940" s="1643"/>
      <c r="Y1940" s="1645"/>
      <c r="Z1940" s="1936"/>
      <c r="AA1940" s="596"/>
      <c r="AB1940" s="596"/>
      <c r="AC1940" s="596"/>
      <c r="AD1940" s="596"/>
      <c r="AE1940" s="596"/>
      <c r="AF1940" s="596"/>
      <c r="AI1940" s="2023">
        <f>W1940-'Blocking-Step2'!W1940</f>
        <v>0</v>
      </c>
      <c r="AJ1940" s="2054">
        <f>O1940-'Blocking-Step2'!O1940</f>
        <v>0</v>
      </c>
    </row>
    <row r="1941" spans="1:36">
      <c r="A1941" s="1900" t="s">
        <v>2300</v>
      </c>
      <c r="C1941" s="584"/>
      <c r="D1941" s="584"/>
      <c r="F1941" s="1990">
        <v>259</v>
      </c>
      <c r="G1941" s="597"/>
      <c r="H1941" s="1645"/>
      <c r="I1941" s="1645"/>
      <c r="K1941" s="1989">
        <f>Q1941</f>
        <v>265</v>
      </c>
      <c r="L1941" s="597"/>
      <c r="M1941" s="1990"/>
      <c r="N1941" s="597"/>
      <c r="O1941" s="1990"/>
      <c r="P1941" s="597"/>
      <c r="Q1941" s="1989">
        <f t="shared" si="1071"/>
        <v>265</v>
      </c>
      <c r="R1941" s="597"/>
      <c r="S1941" s="1645"/>
      <c r="T1941" s="1645"/>
      <c r="U1941" s="1645"/>
      <c r="V1941" s="1645"/>
      <c r="W1941" s="1645"/>
      <c r="X1941" s="1645"/>
      <c r="Y1941" s="1645"/>
      <c r="Z1941" s="1936"/>
      <c r="AA1941" s="596"/>
      <c r="AB1941" s="596"/>
      <c r="AC1941" s="596"/>
      <c r="AD1941" s="596"/>
      <c r="AE1941" s="596"/>
      <c r="AF1941" s="596"/>
      <c r="AI1941" s="2023">
        <f>W1941-'Blocking-Step2'!W1941</f>
        <v>0</v>
      </c>
      <c r="AJ1941" s="2054">
        <f>O1941-'Blocking-Step2'!O1941</f>
        <v>0</v>
      </c>
    </row>
    <row r="1942" spans="1:36">
      <c r="A1942" s="1900" t="s">
        <v>2308</v>
      </c>
      <c r="C1942" s="584"/>
      <c r="D1942" s="584"/>
      <c r="F1942" s="1989"/>
      <c r="G1942" s="1991"/>
      <c r="H1942" s="1645"/>
      <c r="I1942" s="1645"/>
      <c r="K1942" s="1989"/>
      <c r="L1942" s="1991"/>
      <c r="M1942" s="1989"/>
      <c r="N1942" s="1991"/>
      <c r="O1942" s="1989"/>
      <c r="P1942" s="1991"/>
      <c r="Q1942" s="1989"/>
      <c r="R1942" s="1991"/>
      <c r="S1942" s="1645"/>
      <c r="T1942" s="1643"/>
      <c r="U1942" s="1645"/>
      <c r="V1942" s="1643"/>
      <c r="W1942" s="1645"/>
      <c r="X1942" s="1643"/>
      <c r="Y1942" s="1645"/>
      <c r="Z1942" s="1936"/>
      <c r="AA1942" s="596"/>
      <c r="AB1942" s="596"/>
      <c r="AC1942" s="596"/>
      <c r="AD1942" s="596"/>
      <c r="AE1942" s="596"/>
      <c r="AF1942" s="596"/>
      <c r="AI1942" s="2023">
        <f>W1942-'Blocking-Step2'!W1942</f>
        <v>0</v>
      </c>
      <c r="AJ1942" s="2054">
        <f>O1942-'Blocking-Step2'!O1942</f>
        <v>0</v>
      </c>
    </row>
    <row r="1943" spans="1:36">
      <c r="A1943" s="1900" t="s">
        <v>2298</v>
      </c>
      <c r="C1943" s="584"/>
      <c r="D1943" s="584"/>
      <c r="F1943" s="1989">
        <v>1.37</v>
      </c>
      <c r="G1943" s="1991"/>
      <c r="H1943" s="1645"/>
      <c r="I1943" s="1645"/>
      <c r="K1943" s="1989">
        <f t="shared" ref="K1943:K1945" si="1072">Q1943</f>
        <v>1.4</v>
      </c>
      <c r="L1943" s="1991"/>
      <c r="M1943" s="1989"/>
      <c r="N1943" s="1991"/>
      <c r="O1943" s="1989"/>
      <c r="P1943" s="1991"/>
      <c r="Q1943" s="1989">
        <f>ROUND(F1943*(1+$AB$1483),2)</f>
        <v>1.4</v>
      </c>
      <c r="R1943" s="1991"/>
      <c r="S1943" s="1645"/>
      <c r="T1943" s="1643"/>
      <c r="U1943" s="1645"/>
      <c r="V1943" s="1643"/>
      <c r="W1943" s="1645"/>
      <c r="X1943" s="1643"/>
      <c r="Y1943" s="1645"/>
      <c r="Z1943" s="1936"/>
      <c r="AA1943" s="596"/>
      <c r="AB1943" s="596"/>
      <c r="AC1943" s="596"/>
      <c r="AD1943" s="596"/>
      <c r="AE1943" s="596"/>
      <c r="AF1943" s="596"/>
      <c r="AI1943" s="2023">
        <f>W1943-'Blocking-Step2'!W1943</f>
        <v>0</v>
      </c>
      <c r="AJ1943" s="2054">
        <f>O1943-'Blocking-Step2'!O1943</f>
        <v>0</v>
      </c>
    </row>
    <row r="1944" spans="1:36">
      <c r="A1944" s="1900" t="s">
        <v>2299</v>
      </c>
      <c r="C1944" s="584"/>
      <c r="D1944" s="584"/>
      <c r="F1944" s="1989">
        <v>1.37</v>
      </c>
      <c r="G1944" s="1991"/>
      <c r="H1944" s="1645"/>
      <c r="I1944" s="1645"/>
      <c r="K1944" s="1989">
        <f t="shared" si="1072"/>
        <v>1.4</v>
      </c>
      <c r="L1944" s="1991"/>
      <c r="M1944" s="1989"/>
      <c r="N1944" s="1991"/>
      <c r="O1944" s="1989"/>
      <c r="P1944" s="1991"/>
      <c r="Q1944" s="1989">
        <f>ROUND(F1944*(1+$AB$1483),2)</f>
        <v>1.4</v>
      </c>
      <c r="R1944" s="1991"/>
      <c r="S1944" s="1645"/>
      <c r="T1944" s="1643"/>
      <c r="U1944" s="1645"/>
      <c r="V1944" s="1643"/>
      <c r="W1944" s="1645"/>
      <c r="X1944" s="1643"/>
      <c r="Y1944" s="1645"/>
      <c r="Z1944" s="1936"/>
      <c r="AA1944" s="596"/>
      <c r="AB1944" s="596"/>
      <c r="AC1944" s="596"/>
      <c r="AD1944" s="596"/>
      <c r="AE1944" s="596"/>
      <c r="AF1944" s="596"/>
      <c r="AI1944" s="2023">
        <f>W1944-'Blocking-Step2'!W1944</f>
        <v>0</v>
      </c>
      <c r="AJ1944" s="2054">
        <f>O1944-'Blocking-Step2'!O1944</f>
        <v>0</v>
      </c>
    </row>
    <row r="1945" spans="1:36">
      <c r="A1945" s="1900" t="s">
        <v>2300</v>
      </c>
      <c r="C1945" s="584"/>
      <c r="D1945" s="584"/>
      <c r="F1945" s="1990">
        <v>1.37</v>
      </c>
      <c r="G1945" s="1992"/>
      <c r="H1945" s="1645"/>
      <c r="I1945" s="1645"/>
      <c r="K1945" s="1989">
        <f t="shared" si="1072"/>
        <v>1.4</v>
      </c>
      <c r="L1945" s="1992"/>
      <c r="M1945" s="1990"/>
      <c r="N1945" s="1992"/>
      <c r="O1945" s="1990"/>
      <c r="P1945" s="1992"/>
      <c r="Q1945" s="1989">
        <f>ROUND(F1945*(1+$AB$1483),2)</f>
        <v>1.4</v>
      </c>
      <c r="R1945" s="1992"/>
      <c r="S1945" s="1645"/>
      <c r="T1945" s="1645"/>
      <c r="U1945" s="1645"/>
      <c r="V1945" s="1645"/>
      <c r="W1945" s="1645"/>
      <c r="X1945" s="1645"/>
      <c r="Y1945" s="1645"/>
      <c r="Z1945" s="1936"/>
      <c r="AA1945" s="596"/>
      <c r="AB1945" s="596"/>
      <c r="AC1945" s="596"/>
      <c r="AD1945" s="596"/>
      <c r="AE1945" s="596"/>
      <c r="AF1945" s="596"/>
      <c r="AI1945" s="2023">
        <f>W1945-'Blocking-Step2'!W1945</f>
        <v>0</v>
      </c>
      <c r="AJ1945" s="2054">
        <f>O1945-'Blocking-Step2'!O1945</f>
        <v>0</v>
      </c>
    </row>
    <row r="1946" spans="1:36">
      <c r="A1946" s="1900" t="s">
        <v>2296</v>
      </c>
      <c r="C1946" s="584"/>
      <c r="D1946" s="584"/>
      <c r="F1946" s="1990"/>
      <c r="G1946" s="1992"/>
      <c r="H1946" s="1645"/>
      <c r="I1946" s="1645"/>
      <c r="K1946" s="1990"/>
      <c r="L1946" s="1992"/>
      <c r="M1946" s="1989"/>
      <c r="N1946" s="1991"/>
      <c r="O1946" s="1989"/>
      <c r="P1946" s="1992"/>
      <c r="Q1946" s="1989"/>
      <c r="R1946" s="1992"/>
      <c r="S1946" s="1645"/>
      <c r="T1946" s="1645"/>
      <c r="U1946" s="1645"/>
      <c r="V1946" s="1645"/>
      <c r="W1946" s="1645"/>
      <c r="X1946" s="1645"/>
      <c r="Y1946" s="1645"/>
      <c r="Z1946" s="1936"/>
      <c r="AA1946" s="596"/>
      <c r="AB1946" s="596"/>
      <c r="AC1946" s="596"/>
      <c r="AD1946" s="596"/>
      <c r="AE1946" s="596"/>
      <c r="AF1946" s="596"/>
      <c r="AI1946" s="2023">
        <f>W1946-'Blocking-Step2'!W1946</f>
        <v>0</v>
      </c>
      <c r="AJ1946" s="2054">
        <f>O1946-'Blocking-Step2'!O1946</f>
        <v>0</v>
      </c>
    </row>
    <row r="1947" spans="1:36">
      <c r="A1947" s="1900" t="s">
        <v>2298</v>
      </c>
      <c r="C1947" s="584"/>
      <c r="D1947" s="584"/>
      <c r="F1947" s="1990"/>
      <c r="G1947" s="1992"/>
      <c r="H1947" s="1645"/>
      <c r="I1947" s="1645"/>
      <c r="K1947" s="1990"/>
      <c r="L1947" s="1992"/>
      <c r="M1947" s="1989"/>
      <c r="N1947" s="1991"/>
      <c r="O1947" s="1989"/>
      <c r="P1947" s="1992"/>
      <c r="Q1947" s="1989"/>
      <c r="R1947" s="1992"/>
      <c r="S1947" s="1645"/>
      <c r="T1947" s="1645"/>
      <c r="U1947" s="1645"/>
      <c r="V1947" s="1645"/>
      <c r="W1947" s="1645"/>
      <c r="X1947" s="1645"/>
      <c r="Y1947" s="1645"/>
      <c r="Z1947" s="1936"/>
      <c r="AA1947" s="596"/>
      <c r="AB1947" s="596"/>
      <c r="AC1947" s="596"/>
      <c r="AD1947" s="596"/>
      <c r="AE1947" s="596"/>
      <c r="AF1947" s="596"/>
      <c r="AI1947" s="2023">
        <f>W1947-'Blocking-Step2'!W1947</f>
        <v>0</v>
      </c>
      <c r="AJ1947" s="2054">
        <f>O1947-'Blocking-Step2'!O1947</f>
        <v>0</v>
      </c>
    </row>
    <row r="1948" spans="1:36">
      <c r="A1948" s="1900" t="s">
        <v>2301</v>
      </c>
      <c r="B1948" s="1900"/>
      <c r="C1948" s="1993"/>
      <c r="D1948" s="584"/>
      <c r="E1948" s="1993"/>
      <c r="F1948" s="1989">
        <v>8.16</v>
      </c>
      <c r="G1948" s="1993"/>
      <c r="H1948" s="1993"/>
      <c r="I1948" s="1993"/>
      <c r="J1948" s="1993"/>
      <c r="K1948" s="1989">
        <f>ROUND($Q1948*K1379/$Q1379,2)</f>
        <v>3.79</v>
      </c>
      <c r="L1948" s="1993"/>
      <c r="M1948" s="1989">
        <f>Q1948-K1948-O1948</f>
        <v>4.5699999999999994</v>
      </c>
      <c r="N1948" s="1989"/>
      <c r="O1948" s="1989">
        <f>'Blocking-Step2'!O1948</f>
        <v>0</v>
      </c>
      <c r="P1948" s="1993"/>
      <c r="Q1948" s="1989">
        <f>ROUND(F1948*(1+$AB$1483),2)</f>
        <v>8.36</v>
      </c>
      <c r="R1948" s="1993"/>
      <c r="S1948" s="1645"/>
      <c r="T1948" s="1643"/>
      <c r="U1948" s="1645"/>
      <c r="V1948" s="1643"/>
      <c r="W1948" s="1645"/>
      <c r="X1948" s="1643"/>
      <c r="Y1948" s="1645"/>
      <c r="Z1948" s="1936"/>
      <c r="AA1948" s="596"/>
      <c r="AB1948" s="596"/>
      <c r="AC1948" s="596"/>
      <c r="AD1948" s="596"/>
      <c r="AE1948" s="596"/>
      <c r="AF1948" s="596"/>
      <c r="AI1948" s="2023">
        <f>W1948-'Blocking-Step2'!W1948</f>
        <v>0</v>
      </c>
      <c r="AJ1948" s="2054">
        <f>O1948-'Blocking-Step2'!O1948</f>
        <v>0</v>
      </c>
    </row>
    <row r="1949" spans="1:36">
      <c r="A1949" s="1900" t="s">
        <v>2302</v>
      </c>
      <c r="C1949" s="584"/>
      <c r="D1949" s="584"/>
      <c r="F1949" s="1989">
        <v>5.86</v>
      </c>
      <c r="G1949" s="1902"/>
      <c r="H1949" s="1645"/>
      <c r="I1949" s="1645"/>
      <c r="K1949" s="1989">
        <f>ROUND($Q1949*K1380/$Q1380,2)</f>
        <v>2.72</v>
      </c>
      <c r="L1949" s="1992"/>
      <c r="M1949" s="1989">
        <f>Q1949-K1949-O1949</f>
        <v>3.28</v>
      </c>
      <c r="N1949" s="1989"/>
      <c r="O1949" s="1989">
        <f>'Blocking-Step2'!O1949</f>
        <v>0</v>
      </c>
      <c r="P1949" s="1902"/>
      <c r="Q1949" s="1989">
        <f>ROUND(F1949*(1+$AB$1483),2)</f>
        <v>6</v>
      </c>
      <c r="R1949" s="1902"/>
      <c r="S1949" s="1645"/>
      <c r="T1949" s="1643"/>
      <c r="U1949" s="1645"/>
      <c r="V1949" s="1643"/>
      <c r="W1949" s="1645"/>
      <c r="X1949" s="1643"/>
      <c r="Y1949" s="1645"/>
      <c r="Z1949" s="1936"/>
      <c r="AA1949" s="596"/>
      <c r="AB1949" s="596"/>
      <c r="AC1949" s="596"/>
      <c r="AD1949" s="596"/>
      <c r="AE1949" s="596"/>
      <c r="AF1949" s="596"/>
      <c r="AI1949" s="2023">
        <f>W1949-'Blocking-Step2'!W1949</f>
        <v>0</v>
      </c>
      <c r="AJ1949" s="2054">
        <f>O1949-'Blocking-Step2'!O1949</f>
        <v>0</v>
      </c>
    </row>
    <row r="1950" spans="1:36">
      <c r="A1950" s="1900" t="s">
        <v>2299</v>
      </c>
      <c r="C1950" s="584"/>
      <c r="D1950" s="584"/>
      <c r="F1950" s="1989"/>
      <c r="G1950" s="1902"/>
      <c r="H1950" s="1645"/>
      <c r="I1950" s="1645"/>
      <c r="K1950" s="1989"/>
      <c r="L1950" s="1992"/>
      <c r="M1950" s="1989"/>
      <c r="N1950" s="1989"/>
      <c r="O1950" s="1989"/>
      <c r="P1950" s="1902"/>
      <c r="Q1950" s="1989"/>
      <c r="R1950" s="1902"/>
      <c r="S1950" s="1645"/>
      <c r="T1950" s="1643"/>
      <c r="U1950" s="1645"/>
      <c r="V1950" s="1643"/>
      <c r="W1950" s="1645"/>
      <c r="X1950" s="1643"/>
      <c r="Y1950" s="1645"/>
      <c r="Z1950" s="1936"/>
      <c r="AA1950" s="596"/>
      <c r="AB1950" s="596"/>
      <c r="AC1950" s="596"/>
      <c r="AD1950" s="596"/>
      <c r="AE1950" s="596"/>
      <c r="AF1950" s="596"/>
      <c r="AI1950" s="2023">
        <f>W1950-'Blocking-Step2'!W1950</f>
        <v>0</v>
      </c>
      <c r="AJ1950" s="2054">
        <f>O1950-'Blocking-Step2'!O1950</f>
        <v>0</v>
      </c>
    </row>
    <row r="1951" spans="1:36">
      <c r="A1951" s="1900" t="s">
        <v>2301</v>
      </c>
      <c r="C1951" s="584"/>
      <c r="D1951" s="584"/>
      <c r="F1951" s="1989">
        <v>8.0500000000000007</v>
      </c>
      <c r="G1951" s="1991"/>
      <c r="H1951" s="1645"/>
      <c r="I1951" s="1645"/>
      <c r="K1951" s="1989">
        <f>ROUND($Q1951*K1948/$Q1948,2)</f>
        <v>3.74</v>
      </c>
      <c r="L1951" s="1991"/>
      <c r="M1951" s="1989">
        <f t="shared" ref="M1951:M1952" si="1073">Q1951-K1951-O1951</f>
        <v>4.51</v>
      </c>
      <c r="N1951" s="1989"/>
      <c r="O1951" s="1989">
        <f>'Blocking-Step2'!O1951</f>
        <v>0</v>
      </c>
      <c r="P1951" s="1991"/>
      <c r="Q1951" s="1989">
        <f>ROUND(F1951*(1+$AB$1483),2)</f>
        <v>8.25</v>
      </c>
      <c r="R1951" s="1991"/>
      <c r="S1951" s="1645"/>
      <c r="T1951" s="1643"/>
      <c r="U1951" s="1645"/>
      <c r="V1951" s="1643"/>
      <c r="W1951" s="1645"/>
      <c r="X1951" s="1643"/>
      <c r="Y1951" s="1645"/>
      <c r="Z1951" s="1936"/>
      <c r="AA1951" s="596"/>
      <c r="AB1951" s="596"/>
      <c r="AC1951" s="596"/>
      <c r="AD1951" s="596"/>
      <c r="AE1951" s="596"/>
      <c r="AF1951" s="596"/>
      <c r="AI1951" s="2023">
        <f>W1951-'Blocking-Step2'!W1951</f>
        <v>0</v>
      </c>
      <c r="AJ1951" s="2054">
        <f>O1951-'Blocking-Step2'!O1951</f>
        <v>0</v>
      </c>
    </row>
    <row r="1952" spans="1:36">
      <c r="A1952" s="1900" t="s">
        <v>2302</v>
      </c>
      <c r="C1952" s="584"/>
      <c r="D1952" s="584"/>
      <c r="F1952" s="1989">
        <v>5.61</v>
      </c>
      <c r="G1952" s="1991"/>
      <c r="H1952" s="1645"/>
      <c r="I1952" s="1645"/>
      <c r="K1952" s="1989">
        <f>ROUND($Q1952*K1949/$Q1949,2)</f>
        <v>2.61</v>
      </c>
      <c r="L1952" s="1991"/>
      <c r="M1952" s="1989">
        <f t="shared" si="1073"/>
        <v>3.14</v>
      </c>
      <c r="N1952" s="1989"/>
      <c r="O1952" s="1989">
        <f>'Blocking-Step2'!O1952</f>
        <v>0</v>
      </c>
      <c r="P1952" s="1991"/>
      <c r="Q1952" s="1989">
        <f>ROUND(F1952*(1+$AB$1483),2)</f>
        <v>5.75</v>
      </c>
      <c r="R1952" s="1991"/>
      <c r="S1952" s="1645"/>
      <c r="T1952" s="1643"/>
      <c r="U1952" s="1645"/>
      <c r="V1952" s="1643"/>
      <c r="W1952" s="1645"/>
      <c r="X1952" s="1643"/>
      <c r="Y1952" s="1645"/>
      <c r="Z1952" s="1936"/>
      <c r="AA1952" s="596"/>
      <c r="AB1952" s="596"/>
      <c r="AC1952" s="596"/>
      <c r="AD1952" s="596"/>
      <c r="AE1952" s="596"/>
      <c r="AF1952" s="596"/>
      <c r="AI1952" s="2023">
        <f>W1952-'Blocking-Step2'!W1952</f>
        <v>0</v>
      </c>
      <c r="AJ1952" s="2054">
        <f>O1952-'Blocking-Step2'!O1952</f>
        <v>0</v>
      </c>
    </row>
    <row r="1953" spans="1:36">
      <c r="A1953" s="1900" t="s">
        <v>2303</v>
      </c>
      <c r="C1953" s="584"/>
      <c r="D1953" s="584"/>
      <c r="F1953" s="1989"/>
      <c r="G1953" s="1991"/>
      <c r="H1953" s="1645"/>
      <c r="I1953" s="1645"/>
      <c r="K1953" s="1989"/>
      <c r="L1953" s="1991"/>
      <c r="M1953" s="1989"/>
      <c r="N1953" s="1989"/>
      <c r="O1953" s="1989"/>
      <c r="P1953" s="1991"/>
      <c r="Q1953" s="1989"/>
      <c r="R1953" s="1991"/>
      <c r="S1953" s="1645"/>
      <c r="T1953" s="1643"/>
      <c r="U1953" s="1645"/>
      <c r="V1953" s="1643"/>
      <c r="W1953" s="1645"/>
      <c r="X1953" s="1643"/>
      <c r="Y1953" s="1645"/>
      <c r="Z1953" s="1936"/>
      <c r="AA1953" s="596"/>
      <c r="AB1953" s="596"/>
      <c r="AC1953" s="596"/>
      <c r="AD1953" s="596"/>
      <c r="AE1953" s="596"/>
      <c r="AF1953" s="596"/>
      <c r="AI1953" s="2023">
        <f>W1953-'Blocking-Step2'!W1953</f>
        <v>0</v>
      </c>
      <c r="AJ1953" s="2054">
        <f>O1953-'Blocking-Step2'!O1953</f>
        <v>0</v>
      </c>
    </row>
    <row r="1954" spans="1:36">
      <c r="A1954" s="1900" t="s">
        <v>2301</v>
      </c>
      <c r="C1954" s="584"/>
      <c r="D1954" s="584"/>
      <c r="F1954" s="1990">
        <v>7.83</v>
      </c>
      <c r="G1954" s="1992"/>
      <c r="H1954" s="1645"/>
      <c r="I1954" s="1645"/>
      <c r="K1954" s="1989">
        <f>ROUND($Q1954*K1481/$Q1481,2)</f>
        <v>2.63</v>
      </c>
      <c r="L1954" s="1992"/>
      <c r="M1954" s="1989">
        <f t="shared" ref="M1954:M1955" si="1074">Q1954-K1954-O1954</f>
        <v>5.39</v>
      </c>
      <c r="N1954" s="1989"/>
      <c r="O1954" s="1989">
        <f>'Blocking-Step2'!O1954</f>
        <v>0</v>
      </c>
      <c r="P1954" s="1992"/>
      <c r="Q1954" s="1989">
        <f>ROUND(F1954*(1+$AB$1483),2)</f>
        <v>8.02</v>
      </c>
      <c r="R1954" s="1992"/>
      <c r="S1954" s="1645"/>
      <c r="T1954" s="1645"/>
      <c r="U1954" s="1645"/>
      <c r="V1954" s="1645"/>
      <c r="W1954" s="1645"/>
      <c r="X1954" s="1645"/>
      <c r="Y1954" s="1645"/>
      <c r="Z1954" s="1936"/>
      <c r="AA1954" s="596"/>
      <c r="AB1954" s="596"/>
      <c r="AC1954" s="596"/>
      <c r="AD1954" s="596"/>
      <c r="AE1954" s="596"/>
      <c r="AF1954" s="596"/>
      <c r="AI1954" s="2023">
        <f>W1954-'Blocking-Step2'!W1954</f>
        <v>0</v>
      </c>
      <c r="AJ1954" s="2054">
        <f>O1954-'Blocking-Step2'!O1954</f>
        <v>0</v>
      </c>
    </row>
    <row r="1955" spans="1:36">
      <c r="A1955" s="1900" t="s">
        <v>2302</v>
      </c>
      <c r="C1955" s="584"/>
      <c r="D1955" s="584"/>
      <c r="F1955" s="1990">
        <v>5.31</v>
      </c>
      <c r="G1955" s="1992"/>
      <c r="H1955" s="1645"/>
      <c r="I1955" s="1645"/>
      <c r="K1955" s="1989">
        <f>ROUND($Q1955*K1482/$Q1482,2)</f>
        <v>1.78</v>
      </c>
      <c r="L1955" s="1992"/>
      <c r="M1955" s="1989">
        <f t="shared" si="1074"/>
        <v>3.66</v>
      </c>
      <c r="N1955" s="1989"/>
      <c r="O1955" s="1989">
        <f>'Blocking-Step2'!O1955</f>
        <v>0</v>
      </c>
      <c r="P1955" s="1992"/>
      <c r="Q1955" s="1989">
        <f>ROUND(F1955*(1+$AB$1483),2)</f>
        <v>5.44</v>
      </c>
      <c r="R1955" s="1992"/>
      <c r="S1955" s="1645"/>
      <c r="T1955" s="1645"/>
      <c r="U1955" s="1645"/>
      <c r="V1955" s="1645"/>
      <c r="W1955" s="1645"/>
      <c r="X1955" s="1645"/>
      <c r="Y1955" s="1645"/>
      <c r="Z1955" s="1936"/>
      <c r="AA1955" s="596"/>
      <c r="AB1955" s="596"/>
      <c r="AC1955" s="596"/>
      <c r="AD1955" s="596"/>
      <c r="AE1955" s="596"/>
      <c r="AF1955" s="596"/>
      <c r="AI1955" s="2023">
        <f>W1955-'Blocking-Step2'!W1955</f>
        <v>0</v>
      </c>
      <c r="AJ1955" s="2054">
        <f>O1955-'Blocking-Step2'!O1955</f>
        <v>0</v>
      </c>
    </row>
    <row r="1956" spans="1:36">
      <c r="A1956" s="1900" t="s">
        <v>1141</v>
      </c>
      <c r="C1956" s="584"/>
      <c r="D1956" s="584"/>
      <c r="F1956" s="1990"/>
      <c r="G1956" s="1992"/>
      <c r="H1956" s="1645"/>
      <c r="I1956" s="1645"/>
      <c r="K1956" s="1990"/>
      <c r="L1956" s="1992"/>
      <c r="M1956" s="1990"/>
      <c r="N1956" s="1992"/>
      <c r="O1956" s="1990"/>
      <c r="P1956" s="1992"/>
      <c r="Q1956" s="1990"/>
      <c r="R1956" s="1992"/>
      <c r="S1956" s="1645"/>
      <c r="T1956" s="1645"/>
      <c r="U1956" s="1645"/>
      <c r="V1956" s="1645"/>
      <c r="W1956" s="1645"/>
      <c r="X1956" s="1645"/>
      <c r="Y1956" s="1645"/>
      <c r="Z1956" s="1936"/>
      <c r="AA1956" s="596"/>
      <c r="AB1956" s="596"/>
      <c r="AC1956" s="596"/>
      <c r="AD1956" s="596"/>
      <c r="AE1956" s="596"/>
      <c r="AF1956" s="596"/>
      <c r="AI1956" s="2023">
        <f>W1956-'Blocking-Step2'!W1956</f>
        <v>0</v>
      </c>
      <c r="AJ1956" s="2054">
        <f>O1956-'Blocking-Step2'!O1956</f>
        <v>0</v>
      </c>
    </row>
    <row r="1957" spans="1:36">
      <c r="A1957" s="1900" t="s">
        <v>2298</v>
      </c>
      <c r="C1957" s="584"/>
      <c r="D1957" s="584"/>
      <c r="F1957" s="1989"/>
      <c r="G1957" s="1902"/>
      <c r="H1957" s="1645"/>
      <c r="I1957" s="1645"/>
      <c r="K1957" s="1989"/>
      <c r="L1957" s="1902"/>
      <c r="M1957" s="1989"/>
      <c r="N1957" s="1902"/>
      <c r="O1957" s="1989"/>
      <c r="P1957" s="1902"/>
      <c r="Q1957" s="1989"/>
      <c r="R1957" s="1902"/>
      <c r="S1957" s="1645"/>
      <c r="T1957" s="1643"/>
      <c r="U1957" s="1645"/>
      <c r="V1957" s="1643"/>
      <c r="W1957" s="1645"/>
      <c r="X1957" s="1643"/>
      <c r="Y1957" s="1645"/>
      <c r="Z1957" s="1936"/>
      <c r="AA1957" s="596"/>
      <c r="AB1957" s="596"/>
      <c r="AC1957" s="596"/>
      <c r="AD1957" s="596"/>
      <c r="AE1957" s="596"/>
      <c r="AF1957" s="596"/>
      <c r="AI1957" s="2023">
        <f>W1957-'Blocking-Step2'!W1957</f>
        <v>0</v>
      </c>
      <c r="AJ1957" s="2054">
        <f>O1957-'Blocking-Step2'!O1957</f>
        <v>0</v>
      </c>
    </row>
    <row r="1958" spans="1:36">
      <c r="A1958" s="1900" t="s">
        <v>2304</v>
      </c>
      <c r="C1958" s="584"/>
      <c r="D1958" s="1872"/>
      <c r="F1958" s="1994">
        <v>9.2314000000000007</v>
      </c>
      <c r="G1958" s="1921" t="s">
        <v>495</v>
      </c>
      <c r="H1958" s="1645"/>
      <c r="I1958" s="1645"/>
      <c r="K1958" s="1989"/>
      <c r="L1958" s="1902"/>
      <c r="M1958" s="1994">
        <f t="shared" ref="M1958:M1961" si="1075">Q1958-K1958-O1958</f>
        <v>2.1929000000000016</v>
      </c>
      <c r="N1958" s="1921"/>
      <c r="O1958" s="1994">
        <f>'Blocking-Step2'!O1958</f>
        <v>7.2642999999999986</v>
      </c>
      <c r="P1958" s="1921" t="s">
        <v>495</v>
      </c>
      <c r="Q1958" s="1994">
        <f>ROUND(F1958*(1+$AB$1483),4)</f>
        <v>9.4572000000000003</v>
      </c>
      <c r="R1958" s="1921" t="s">
        <v>495</v>
      </c>
      <c r="S1958" s="1645"/>
      <c r="T1958" s="1643"/>
      <c r="U1958" s="1645"/>
      <c r="V1958" s="1643"/>
      <c r="W1958" s="1645"/>
      <c r="X1958" s="1643"/>
      <c r="Y1958" s="1645"/>
      <c r="Z1958" s="1936"/>
      <c r="AA1958" s="596"/>
      <c r="AB1958" s="596"/>
      <c r="AC1958" s="596"/>
      <c r="AD1958" s="596"/>
      <c r="AE1958" s="596"/>
      <c r="AF1958" s="596"/>
      <c r="AI1958" s="2023">
        <f>W1958-'Blocking-Step2'!W1958</f>
        <v>0</v>
      </c>
      <c r="AJ1958" s="2054">
        <f>O1958-'Blocking-Step2'!O1958</f>
        <v>0</v>
      </c>
    </row>
    <row r="1959" spans="1:36">
      <c r="A1959" s="1900" t="s">
        <v>2305</v>
      </c>
      <c r="C1959" s="584"/>
      <c r="D1959" s="1872"/>
      <c r="F1959" s="1994">
        <v>5.077</v>
      </c>
      <c r="G1959" s="1921" t="s">
        <v>495</v>
      </c>
      <c r="H1959" s="1645"/>
      <c r="I1959" s="1645"/>
      <c r="K1959" s="1989"/>
      <c r="L1959" s="1902"/>
      <c r="M1959" s="1994">
        <f t="shared" si="1075"/>
        <v>2.2456</v>
      </c>
      <c r="N1959" s="1921"/>
      <c r="O1959" s="1994">
        <f>'Blocking-Step2'!O1959</f>
        <v>2.9556</v>
      </c>
      <c r="P1959" s="1921" t="s">
        <v>495</v>
      </c>
      <c r="Q1959" s="1994">
        <f>ROUND(F1959*(1+$AB$1483),4)</f>
        <v>5.2012</v>
      </c>
      <c r="R1959" s="1921" t="s">
        <v>495</v>
      </c>
      <c r="S1959" s="1645"/>
      <c r="T1959" s="1643"/>
      <c r="U1959" s="1645"/>
      <c r="V1959" s="1643"/>
      <c r="W1959" s="1645"/>
      <c r="X1959" s="1643"/>
      <c r="Y1959" s="1645"/>
      <c r="Z1959" s="1936"/>
      <c r="AA1959" s="596"/>
      <c r="AB1959" s="596"/>
      <c r="AC1959" s="596"/>
      <c r="AD1959" s="596"/>
      <c r="AE1959" s="596"/>
      <c r="AF1959" s="596"/>
      <c r="AI1959" s="2023">
        <f>W1959-'Blocking-Step2'!W1959</f>
        <v>0</v>
      </c>
      <c r="AJ1959" s="2054">
        <f>O1959-'Blocking-Step2'!O1959</f>
        <v>0</v>
      </c>
    </row>
    <row r="1960" spans="1:36">
      <c r="A1960" s="1900" t="s">
        <v>2307</v>
      </c>
      <c r="C1960" s="1025"/>
      <c r="D1960" s="1872"/>
      <c r="F1960" s="1995">
        <v>4.1108000000000002</v>
      </c>
      <c r="G1960" s="1921" t="s">
        <v>495</v>
      </c>
      <c r="H1960" s="1645"/>
      <c r="I1960" s="1645"/>
      <c r="K1960" s="1957"/>
      <c r="L1960" s="1957"/>
      <c r="M1960" s="1994">
        <f t="shared" si="1075"/>
        <v>2.2578</v>
      </c>
      <c r="N1960" s="1921"/>
      <c r="O1960" s="1994">
        <f>'Blocking-Step2'!O1960</f>
        <v>1.9534999999999996</v>
      </c>
      <c r="P1960" s="1921" t="s">
        <v>495</v>
      </c>
      <c r="Q1960" s="1994">
        <f>ROUND(F1960*(1+$AB$1483),4)</f>
        <v>4.2112999999999996</v>
      </c>
      <c r="R1960" s="1921" t="s">
        <v>495</v>
      </c>
      <c r="S1960" s="1645"/>
      <c r="T1960" s="1645"/>
      <c r="U1960" s="1645"/>
      <c r="V1960" s="1645"/>
      <c r="W1960" s="1645"/>
      <c r="X1960" s="1645"/>
      <c r="Y1960" s="1645"/>
      <c r="Z1960" s="1936"/>
      <c r="AA1960" s="596"/>
      <c r="AB1960" s="596"/>
      <c r="AC1960" s="596"/>
      <c r="AD1960" s="596"/>
      <c r="AE1960" s="596"/>
      <c r="AF1960" s="596"/>
      <c r="AI1960" s="2023">
        <f>W1960-'Blocking-Step2'!W1960</f>
        <v>0</v>
      </c>
      <c r="AJ1960" s="2054">
        <f>O1960-'Blocking-Step2'!O1960</f>
        <v>0</v>
      </c>
    </row>
    <row r="1961" spans="1:36">
      <c r="A1961" s="1900" t="s">
        <v>2306</v>
      </c>
      <c r="C1961" s="1873"/>
      <c r="D1961" s="1872"/>
      <c r="F1961" s="1996">
        <v>3.4356</v>
      </c>
      <c r="G1961" s="1921" t="s">
        <v>495</v>
      </c>
      <c r="H1961" s="1637"/>
      <c r="I1961" s="1637"/>
      <c r="K1961" s="596"/>
      <c r="M1961" s="1994">
        <f t="shared" si="1075"/>
        <v>2.2664</v>
      </c>
      <c r="N1961" s="1921"/>
      <c r="O1961" s="1994">
        <f>'Blocking-Step2'!O1961</f>
        <v>1.2532000000000001</v>
      </c>
      <c r="P1961" s="1921" t="s">
        <v>495</v>
      </c>
      <c r="Q1961" s="1994">
        <f>ROUND(F1961*(1+$AB$1483),4)</f>
        <v>3.5196000000000001</v>
      </c>
      <c r="R1961" s="1921" t="s">
        <v>495</v>
      </c>
      <c r="Y1961" s="1637"/>
      <c r="Z1961" s="1936"/>
      <c r="AA1961" s="596"/>
      <c r="AB1961" s="596"/>
      <c r="AC1961" s="596"/>
      <c r="AD1961" s="596"/>
      <c r="AE1961" s="596"/>
      <c r="AF1961" s="596"/>
      <c r="AI1961" s="2023">
        <f>W1961-'Blocking-Step2'!W1961</f>
        <v>0</v>
      </c>
      <c r="AJ1961" s="2054">
        <f>O1961-'Blocking-Step2'!O1961</f>
        <v>0</v>
      </c>
    </row>
    <row r="1962" spans="1:36">
      <c r="A1962" s="1900" t="s">
        <v>2299</v>
      </c>
      <c r="C1962" s="584"/>
      <c r="D1962" s="1872"/>
      <c r="F1962" s="1995"/>
      <c r="G1962" s="597"/>
      <c r="H1962" s="1645"/>
      <c r="I1962" s="1645"/>
      <c r="K1962" s="597"/>
      <c r="L1962" s="597"/>
      <c r="M1962" s="1994"/>
      <c r="N1962" s="597"/>
      <c r="O1962" s="1994"/>
      <c r="P1962" s="597"/>
      <c r="Q1962" s="1994"/>
      <c r="R1962" s="597"/>
      <c r="S1962" s="1645"/>
      <c r="T1962" s="1645"/>
      <c r="U1962" s="1645"/>
      <c r="V1962" s="1645"/>
      <c r="W1962" s="1645"/>
      <c r="X1962" s="1645"/>
      <c r="Y1962" s="1645"/>
      <c r="Z1962" s="1936"/>
      <c r="AA1962" s="596"/>
      <c r="AB1962" s="596"/>
      <c r="AC1962" s="596"/>
      <c r="AD1962" s="596"/>
      <c r="AE1962" s="596"/>
      <c r="AF1962" s="596"/>
      <c r="AI1962" s="2023">
        <f>W1962-'Blocking-Step2'!W1962</f>
        <v>0</v>
      </c>
      <c r="AJ1962" s="2054">
        <f>O1962-'Blocking-Step2'!O1962</f>
        <v>0</v>
      </c>
    </row>
    <row r="1963" spans="1:36">
      <c r="A1963" s="1900" t="s">
        <v>2304</v>
      </c>
      <c r="C1963" s="584"/>
      <c r="D1963" s="1872"/>
      <c r="F1963" s="1995">
        <v>8.8607999999999993</v>
      </c>
      <c r="G1963" s="1921" t="s">
        <v>495</v>
      </c>
      <c r="H1963" s="1645"/>
      <c r="I1963" s="1645"/>
      <c r="K1963" s="597"/>
      <c r="L1963" s="597"/>
      <c r="M1963" s="1994">
        <f t="shared" ref="M1963:M1966" si="1076">Q1963-K1963-O1963</f>
        <v>2.1976000000000013</v>
      </c>
      <c r="N1963" s="1921"/>
      <c r="O1963" s="1994">
        <f>'Blocking-Step2'!O1963</f>
        <v>6.8798999999999992</v>
      </c>
      <c r="P1963" s="1921" t="s">
        <v>495</v>
      </c>
      <c r="Q1963" s="1994">
        <f>ROUND(F1963*(1+$AB$1483),4)</f>
        <v>9.0775000000000006</v>
      </c>
      <c r="R1963" s="1921" t="s">
        <v>495</v>
      </c>
      <c r="S1963" s="1645"/>
      <c r="T1963" s="1645"/>
      <c r="U1963" s="1645"/>
      <c r="V1963" s="1645"/>
      <c r="W1963" s="1645"/>
      <c r="X1963" s="1645"/>
      <c r="Y1963" s="1645"/>
      <c r="Z1963" s="1936"/>
      <c r="AA1963" s="596"/>
      <c r="AB1963" s="596"/>
      <c r="AC1963" s="596"/>
      <c r="AD1963" s="596"/>
      <c r="AE1963" s="596"/>
      <c r="AF1963" s="596"/>
      <c r="AI1963" s="2023">
        <f>W1963-'Blocking-Step2'!W1963</f>
        <v>0</v>
      </c>
      <c r="AJ1963" s="2054">
        <f>O1963-'Blocking-Step2'!O1963</f>
        <v>0</v>
      </c>
    </row>
    <row r="1964" spans="1:36">
      <c r="A1964" s="1900" t="s">
        <v>2305</v>
      </c>
      <c r="C1964" s="584"/>
      <c r="D1964" s="1872"/>
      <c r="F1964" s="1995">
        <v>4.7064000000000004</v>
      </c>
      <c r="G1964" s="1921" t="s">
        <v>495</v>
      </c>
      <c r="H1964" s="1645"/>
      <c r="I1964" s="1645"/>
      <c r="K1964" s="597"/>
      <c r="L1964" s="597"/>
      <c r="M1964" s="1994">
        <f t="shared" si="1076"/>
        <v>2.2503000000000006</v>
      </c>
      <c r="N1964" s="1921"/>
      <c r="O1964" s="1994">
        <f>'Blocking-Step2'!O1964</f>
        <v>2.5711999999999997</v>
      </c>
      <c r="P1964" s="1921" t="s">
        <v>495</v>
      </c>
      <c r="Q1964" s="1994">
        <f>ROUND(F1964*(1+$AB$1483),4)</f>
        <v>4.8215000000000003</v>
      </c>
      <c r="R1964" s="1921" t="s">
        <v>495</v>
      </c>
      <c r="S1964" s="1645"/>
      <c r="T1964" s="1645"/>
      <c r="U1964" s="1645"/>
      <c r="V1964" s="1645"/>
      <c r="W1964" s="1645"/>
      <c r="X1964" s="1645"/>
      <c r="Y1964" s="1645"/>
      <c r="Z1964" s="1936"/>
      <c r="AA1964" s="596"/>
      <c r="AB1964" s="596"/>
      <c r="AC1964" s="596"/>
      <c r="AD1964" s="596"/>
      <c r="AE1964" s="596"/>
      <c r="AF1964" s="596"/>
      <c r="AI1964" s="2023">
        <f>W1964-'Blocking-Step2'!W1964</f>
        <v>0</v>
      </c>
      <c r="AJ1964" s="2054">
        <f>O1964-'Blocking-Step2'!O1964</f>
        <v>0</v>
      </c>
    </row>
    <row r="1965" spans="1:36">
      <c r="A1965" s="1900" t="s">
        <v>2307</v>
      </c>
      <c r="C1965" s="584"/>
      <c r="D1965" s="1872"/>
      <c r="F1965" s="1995">
        <v>3.7402000000000002</v>
      </c>
      <c r="G1965" s="1921" t="s">
        <v>495</v>
      </c>
      <c r="H1965" s="1645"/>
      <c r="I1965" s="1645"/>
      <c r="K1965" s="597"/>
      <c r="L1965" s="597"/>
      <c r="M1965" s="1994">
        <f t="shared" si="1076"/>
        <v>2.2625999999999999</v>
      </c>
      <c r="N1965" s="1921"/>
      <c r="O1965" s="1994">
        <f>'Blocking-Step2'!O1965</f>
        <v>1.5691000000000002</v>
      </c>
      <c r="P1965" s="1921" t="s">
        <v>495</v>
      </c>
      <c r="Q1965" s="1994">
        <f>ROUND(F1965*(1+$AB$1483),4)</f>
        <v>3.8317000000000001</v>
      </c>
      <c r="R1965" s="1921" t="s">
        <v>495</v>
      </c>
      <c r="S1965" s="1645"/>
      <c r="T1965" s="1645"/>
      <c r="U1965" s="1645"/>
      <c r="V1965" s="1645"/>
      <c r="W1965" s="1645"/>
      <c r="X1965" s="1645"/>
      <c r="Y1965" s="1645"/>
      <c r="Z1965" s="1936"/>
      <c r="AA1965" s="596"/>
      <c r="AB1965" s="596"/>
      <c r="AC1965" s="596"/>
      <c r="AD1965" s="596"/>
      <c r="AE1965" s="596"/>
      <c r="AF1965" s="596"/>
      <c r="AI1965" s="2023">
        <f>W1965-'Blocking-Step2'!W1965</f>
        <v>0</v>
      </c>
      <c r="AJ1965" s="2054">
        <f>O1965-'Blocking-Step2'!O1965</f>
        <v>0</v>
      </c>
    </row>
    <row r="1966" spans="1:36">
      <c r="A1966" s="1900" t="s">
        <v>2306</v>
      </c>
      <c r="C1966" s="584"/>
      <c r="D1966" s="1872"/>
      <c r="F1966" s="1995">
        <v>3.0649999999999999</v>
      </c>
      <c r="G1966" s="1921" t="s">
        <v>495</v>
      </c>
      <c r="H1966" s="1645"/>
      <c r="I1966" s="1645"/>
      <c r="K1966" s="1957"/>
      <c r="L1966" s="1921"/>
      <c r="M1966" s="1994">
        <f t="shared" si="1076"/>
        <v>2.2711000000000001</v>
      </c>
      <c r="N1966" s="1921"/>
      <c r="O1966" s="1994">
        <f>'Blocking-Step2'!O1966</f>
        <v>0.86890000000000001</v>
      </c>
      <c r="P1966" s="1921" t="s">
        <v>495</v>
      </c>
      <c r="Q1966" s="1994">
        <f>ROUND(F1966*(1+$AB$1483),4)</f>
        <v>3.14</v>
      </c>
      <c r="R1966" s="1921" t="s">
        <v>495</v>
      </c>
      <c r="S1966" s="1645"/>
      <c r="T1966" s="1648"/>
      <c r="U1966" s="1645"/>
      <c r="V1966" s="1648"/>
      <c r="W1966" s="1645"/>
      <c r="X1966" s="1648"/>
      <c r="Y1966" s="1645"/>
      <c r="Z1966" s="1936"/>
      <c r="AA1966" s="596"/>
      <c r="AB1966" s="596"/>
      <c r="AC1966" s="596"/>
      <c r="AD1966" s="596"/>
      <c r="AE1966" s="596"/>
      <c r="AF1966" s="596"/>
      <c r="AI1966" s="2023">
        <f>W1966-'Blocking-Step2'!W1966</f>
        <v>0</v>
      </c>
      <c r="AJ1966" s="2054">
        <f>O1966-'Blocking-Step2'!O1966</f>
        <v>0</v>
      </c>
    </row>
    <row r="1967" spans="1:36">
      <c r="A1967" s="1900" t="s">
        <v>2300</v>
      </c>
      <c r="C1967" s="584"/>
      <c r="D1967" s="1872"/>
      <c r="F1967" s="1995"/>
      <c r="G1967" s="1921"/>
      <c r="H1967" s="1645"/>
      <c r="I1967" s="1645"/>
      <c r="K1967" s="1957"/>
      <c r="L1967" s="1921"/>
      <c r="M1967" s="1994"/>
      <c r="N1967" s="1921"/>
      <c r="O1967" s="1994"/>
      <c r="P1967" s="1921"/>
      <c r="Q1967" s="1994"/>
      <c r="R1967" s="1921"/>
      <c r="S1967" s="1645"/>
      <c r="T1967" s="1648"/>
      <c r="U1967" s="1645"/>
      <c r="V1967" s="1648"/>
      <c r="W1967" s="1645"/>
      <c r="X1967" s="1648"/>
      <c r="Y1967" s="1645"/>
      <c r="Z1967" s="1936"/>
      <c r="AA1967" s="596"/>
      <c r="AB1967" s="596"/>
      <c r="AC1967" s="596"/>
      <c r="AD1967" s="596"/>
      <c r="AE1967" s="596"/>
      <c r="AF1967" s="596"/>
      <c r="AI1967" s="2023">
        <f>W1967-'Blocking-Step2'!W1967</f>
        <v>0</v>
      </c>
      <c r="AJ1967" s="2054">
        <f>O1967-'Blocking-Step2'!O1967</f>
        <v>0</v>
      </c>
    </row>
    <row r="1968" spans="1:36">
      <c r="A1968" s="1900" t="s">
        <v>2304</v>
      </c>
      <c r="C1968" s="584"/>
      <c r="D1968" s="1872"/>
      <c r="F1968" s="1995">
        <v>8.6678999999999995</v>
      </c>
      <c r="G1968" s="1921" t="s">
        <v>495</v>
      </c>
      <c r="H1968" s="1645"/>
      <c r="I1968" s="1645"/>
      <c r="K1968" s="1957"/>
      <c r="L1968" s="1921"/>
      <c r="M1968" s="1994">
        <f t="shared" ref="M1968:M1971" si="1077">Q1968-K1968-O1968</f>
        <v>1.7799999999999985</v>
      </c>
      <c r="N1968" s="1921"/>
      <c r="O1968" s="1994">
        <f>'Blocking-Step2'!O1968</f>
        <v>7.0999000000000008</v>
      </c>
      <c r="P1968" s="1921" t="s">
        <v>495</v>
      </c>
      <c r="Q1968" s="1994">
        <f>ROUND(F1968*(1+$AB$1483),4)</f>
        <v>8.8798999999999992</v>
      </c>
      <c r="R1968" s="1921" t="s">
        <v>495</v>
      </c>
      <c r="S1968" s="1645"/>
      <c r="T1968" s="1648"/>
      <c r="U1968" s="1645"/>
      <c r="V1968" s="1648"/>
      <c r="W1968" s="1645"/>
      <c r="X1968" s="1648"/>
      <c r="Y1968" s="1645"/>
      <c r="Z1968" s="1936"/>
      <c r="AA1968" s="596"/>
      <c r="AB1968" s="596"/>
      <c r="AC1968" s="596"/>
      <c r="AD1968" s="596"/>
      <c r="AE1968" s="596"/>
      <c r="AF1968" s="596"/>
      <c r="AI1968" s="2023">
        <f>W1968-'Blocking-Step2'!W1968</f>
        <v>0</v>
      </c>
      <c r="AJ1968" s="2054">
        <f>O1968-'Blocking-Step2'!O1968</f>
        <v>0</v>
      </c>
    </row>
    <row r="1969" spans="1:36">
      <c r="A1969" s="1900" t="s">
        <v>2305</v>
      </c>
      <c r="C1969" s="584"/>
      <c r="D1969" s="1872"/>
      <c r="F1969" s="1995">
        <v>4.5133999999999999</v>
      </c>
      <c r="G1969" s="1921" t="s">
        <v>495</v>
      </c>
      <c r="H1969" s="1645"/>
      <c r="I1969" s="1645"/>
      <c r="K1969" s="1957"/>
      <c r="L1969" s="1921"/>
      <c r="M1969" s="1994">
        <f t="shared" si="1077"/>
        <v>1.8327</v>
      </c>
      <c r="N1969" s="1921"/>
      <c r="O1969" s="1994">
        <f>'Blocking-Step2'!O1969</f>
        <v>2.7911000000000001</v>
      </c>
      <c r="P1969" s="1921" t="s">
        <v>495</v>
      </c>
      <c r="Q1969" s="1994">
        <f>ROUND(F1969*(1+$AB$1483),4)</f>
        <v>4.6238000000000001</v>
      </c>
      <c r="R1969" s="1921" t="s">
        <v>495</v>
      </c>
      <c r="S1969" s="1645"/>
      <c r="T1969" s="1648"/>
      <c r="U1969" s="1645"/>
      <c r="V1969" s="1648"/>
      <c r="W1969" s="1645"/>
      <c r="X1969" s="1648"/>
      <c r="Y1969" s="1645"/>
      <c r="Z1969" s="1936"/>
      <c r="AA1969" s="596"/>
      <c r="AB1969" s="596"/>
      <c r="AC1969" s="596"/>
      <c r="AD1969" s="596"/>
      <c r="AE1969" s="596"/>
      <c r="AF1969" s="596"/>
      <c r="AI1969" s="2023">
        <f>W1969-'Blocking-Step2'!W1969</f>
        <v>0</v>
      </c>
      <c r="AJ1969" s="2054">
        <f>O1969-'Blocking-Step2'!O1969</f>
        <v>0</v>
      </c>
    </row>
    <row r="1970" spans="1:36">
      <c r="A1970" s="1900" t="s">
        <v>2307</v>
      </c>
      <c r="C1970" s="584"/>
      <c r="D1970" s="1872"/>
      <c r="F1970" s="1995">
        <v>3.5472999999999999</v>
      </c>
      <c r="G1970" s="1921" t="s">
        <v>495</v>
      </c>
      <c r="H1970" s="1645"/>
      <c r="I1970" s="1645"/>
      <c r="K1970" s="597"/>
      <c r="L1970" s="597"/>
      <c r="M1970" s="1994">
        <f t="shared" si="1077"/>
        <v>1.845</v>
      </c>
      <c r="N1970" s="1921"/>
      <c r="O1970" s="1994">
        <f>'Blocking-Step2'!O1970</f>
        <v>1.7891000000000001</v>
      </c>
      <c r="P1970" s="1921" t="s">
        <v>495</v>
      </c>
      <c r="Q1970" s="1994">
        <f>ROUND(F1970*(1+$AB$1483),4)</f>
        <v>3.6341000000000001</v>
      </c>
      <c r="R1970" s="1921" t="s">
        <v>495</v>
      </c>
      <c r="S1970" s="1645"/>
      <c r="T1970" s="1645"/>
      <c r="U1970" s="1645"/>
      <c r="V1970" s="1645"/>
      <c r="W1970" s="1645"/>
      <c r="X1970" s="1645"/>
      <c r="Y1970" s="1645"/>
      <c r="Z1970" s="1936"/>
      <c r="AA1970" s="596"/>
      <c r="AB1970" s="596"/>
      <c r="AC1970" s="596"/>
      <c r="AD1970" s="596"/>
      <c r="AE1970" s="596"/>
      <c r="AF1970" s="596"/>
      <c r="AI1970" s="2023">
        <f>W1970-'Blocking-Step2'!W1970</f>
        <v>0</v>
      </c>
      <c r="AJ1970" s="2054">
        <f>O1970-'Blocking-Step2'!O1970</f>
        <v>0</v>
      </c>
    </row>
    <row r="1971" spans="1:36">
      <c r="A1971" s="1900" t="s">
        <v>2306</v>
      </c>
      <c r="C1971" s="584"/>
      <c r="D1971" s="1872"/>
      <c r="F1971" s="1995">
        <v>2.8721000000000001</v>
      </c>
      <c r="G1971" s="1921" t="s">
        <v>495</v>
      </c>
      <c r="H1971" s="1645"/>
      <c r="I1971" s="1645"/>
      <c r="K1971" s="597"/>
      <c r="L1971" s="597"/>
      <c r="M1971" s="1994">
        <f t="shared" si="1077"/>
        <v>1.8534999999999997</v>
      </c>
      <c r="N1971" s="1921"/>
      <c r="O1971" s="1994">
        <f>'Blocking-Step2'!O1971</f>
        <v>1.0888000000000002</v>
      </c>
      <c r="P1971" s="1921" t="s">
        <v>495</v>
      </c>
      <c r="Q1971" s="1994">
        <f>ROUND(F1971*(1+$AB$1483),4)</f>
        <v>2.9422999999999999</v>
      </c>
      <c r="R1971" s="1921" t="s">
        <v>495</v>
      </c>
      <c r="S1971" s="1645"/>
      <c r="T1971" s="1645"/>
      <c r="U1971" s="1645"/>
      <c r="V1971" s="1645"/>
      <c r="W1971" s="1645"/>
      <c r="X1971" s="1645"/>
      <c r="Y1971" s="1645"/>
      <c r="Z1971" s="1936"/>
      <c r="AA1971" s="596"/>
      <c r="AB1971" s="596"/>
      <c r="AC1971" s="596"/>
      <c r="AD1971" s="596"/>
      <c r="AE1971" s="596"/>
      <c r="AF1971" s="596"/>
      <c r="AI1971" s="2023">
        <f>W1971-'Blocking-Step2'!W1971</f>
        <v>0</v>
      </c>
      <c r="AJ1971" s="2054">
        <f>O1971-'Blocking-Step2'!O1971</f>
        <v>0</v>
      </c>
    </row>
    <row r="1972" spans="1:36">
      <c r="A1972" s="1900" t="s">
        <v>1240</v>
      </c>
      <c r="C1972" s="584"/>
      <c r="D1972" s="584"/>
      <c r="F1972" s="1930">
        <v>-3.0700000000000002E-2</v>
      </c>
      <c r="G1972" s="597"/>
      <c r="H1972" s="1645"/>
      <c r="I1972" s="1645"/>
      <c r="K1972" s="1997"/>
      <c r="L1972" s="597"/>
      <c r="M1972" s="1997"/>
      <c r="N1972" s="597"/>
      <c r="O1972" s="1931" t="str">
        <f>$O$43</f>
        <v>Tax Year 1 (1/1/2021)</v>
      </c>
      <c r="P1972" s="597"/>
      <c r="Q1972" s="1930">
        <f>$AC$1491</f>
        <v>-1.41E-2</v>
      </c>
      <c r="R1972" s="597"/>
      <c r="S1972" s="1645"/>
      <c r="T1972" s="1645"/>
      <c r="U1972" s="1645"/>
      <c r="V1972" s="1645"/>
      <c r="W1972" s="1645"/>
      <c r="X1972" s="1645"/>
      <c r="Y1972" s="1645"/>
      <c r="Z1972" s="1936"/>
      <c r="AA1972" s="596"/>
      <c r="AB1972" s="596"/>
      <c r="AC1972" s="596"/>
      <c r="AD1972" s="596"/>
      <c r="AE1972" s="596"/>
      <c r="AF1972" s="596"/>
      <c r="AI1972" s="2023">
        <f>W1972-'Blocking-Step2'!W1972</f>
        <v>0</v>
      </c>
      <c r="AJ1972" s="2054">
        <f>O1972-'Blocking-Step2'!O1972</f>
        <v>0</v>
      </c>
    </row>
    <row r="1973" spans="1:36">
      <c r="A1973" s="1900"/>
      <c r="C1973" s="584"/>
      <c r="D1973" s="584"/>
      <c r="F1973" s="1997"/>
      <c r="G1973" s="597"/>
      <c r="H1973" s="1645"/>
      <c r="I1973" s="1645"/>
      <c r="K1973" s="1997"/>
      <c r="L1973" s="597"/>
      <c r="M1973" s="1997"/>
      <c r="N1973" s="597"/>
      <c r="O1973" s="1931">
        <f>$O$44</f>
        <v>0</v>
      </c>
      <c r="P1973" s="597"/>
      <c r="Q1973" s="1930">
        <f>$AC$1492</f>
        <v>0</v>
      </c>
      <c r="R1973" s="597"/>
      <c r="S1973" s="1645"/>
      <c r="T1973" s="1645"/>
      <c r="U1973" s="1645"/>
      <c r="V1973" s="1645"/>
      <c r="W1973" s="1645"/>
      <c r="X1973" s="1645"/>
      <c r="Y1973" s="1645"/>
      <c r="Z1973" s="1936"/>
      <c r="AA1973" s="596"/>
      <c r="AB1973" s="596"/>
      <c r="AC1973" s="596"/>
      <c r="AD1973" s="596"/>
      <c r="AE1973" s="596"/>
      <c r="AF1973" s="596"/>
      <c r="AI1973" s="2023">
        <f>W1973-'Blocking-Step2'!W1973</f>
        <v>0</v>
      </c>
      <c r="AJ1973" s="2054">
        <f>O1973-'Blocking-Step2'!O1973</f>
        <v>0</v>
      </c>
    </row>
    <row r="1974" spans="1:36">
      <c r="A1974" s="1900" t="s">
        <v>247</v>
      </c>
      <c r="C1974" s="584"/>
      <c r="D1974" s="584"/>
      <c r="F1974" s="596"/>
      <c r="H1974" s="1645"/>
      <c r="I1974" s="1645"/>
      <c r="K1974" s="596"/>
      <c r="M1974" s="596"/>
      <c r="O1974" s="596"/>
      <c r="Q1974" s="596"/>
      <c r="S1974" s="1645">
        <f>SUM(S1939:S1971)</f>
        <v>0</v>
      </c>
      <c r="T1974" s="1645"/>
      <c r="U1974" s="1645">
        <f>SUM(U1939:U1971)</f>
        <v>0</v>
      </c>
      <c r="V1974" s="1645"/>
      <c r="W1974" s="1645">
        <f>SUM(W1939:W1971)</f>
        <v>0</v>
      </c>
      <c r="Y1974" s="1645">
        <f>SUM(Y1939:Y1971)</f>
        <v>0</v>
      </c>
      <c r="Z1974" s="1936"/>
      <c r="AA1974" s="1937"/>
      <c r="AB1974" s="1937"/>
      <c r="AC1974" s="1937"/>
      <c r="AD1974" s="1937"/>
      <c r="AE1974" s="1937"/>
      <c r="AF1974" s="596"/>
      <c r="AI1974" s="2023">
        <f>W1974-'Blocking-Step2'!W1974</f>
        <v>0</v>
      </c>
      <c r="AJ1974" s="2054">
        <f>O1974-'Blocking-Step2'!O1974</f>
        <v>0</v>
      </c>
    </row>
    <row r="1975" spans="1:36">
      <c r="C1975" s="528"/>
      <c r="D1975" s="528"/>
      <c r="AI1975" s="2023">
        <f>W1975-'Blocking-Step2'!W1975</f>
        <v>0</v>
      </c>
      <c r="AJ1975" s="2054">
        <f>O1975-'Blocking-Step2'!O1975</f>
        <v>0</v>
      </c>
    </row>
    <row r="1976" spans="1:36">
      <c r="A1976" s="1897" t="s">
        <v>933</v>
      </c>
      <c r="C1976" s="528"/>
      <c r="D1976" s="528"/>
      <c r="AI1976" s="2023">
        <f>W1976-'Blocking-Step2'!W1976</f>
        <v>0</v>
      </c>
      <c r="AJ1976" s="2054">
        <f>O1976-'Blocking-Step2'!O1976</f>
        <v>0</v>
      </c>
    </row>
    <row r="1977" spans="1:36">
      <c r="A1977" s="1900" t="s">
        <v>240</v>
      </c>
      <c r="C1977" s="528">
        <f t="shared" ref="C1977:D1992" si="1078">C2001+C2025+C2049</f>
        <v>1094043.5929998949</v>
      </c>
      <c r="D1977" s="528">
        <f t="shared" si="1078"/>
        <v>1134470.3348968814</v>
      </c>
      <c r="F1977" s="1901">
        <v>10</v>
      </c>
      <c r="G1977" s="1902"/>
      <c r="H1977" s="1644">
        <f t="shared" ref="H1977:I1988" si="1079">ROUND($F1977*C1977,0)</f>
        <v>10940436</v>
      </c>
      <c r="I1977" s="1644">
        <f t="shared" si="1079"/>
        <v>11344703</v>
      </c>
      <c r="K1977" s="1901">
        <f t="shared" ref="K1977:K1980" si="1080">ROUND(S1977/$D1977,2)</f>
        <v>10</v>
      </c>
      <c r="L1977" s="1902"/>
      <c r="M1977" s="1901">
        <f>Q1977-K1977-O1977</f>
        <v>0</v>
      </c>
      <c r="N1977" s="1902"/>
      <c r="O1977" s="1901">
        <f>'Blocking-Step2'!O1977</f>
        <v>0</v>
      </c>
      <c r="P1977" s="1902"/>
      <c r="Q1977" s="1901">
        <f>ROUND(F1977*(1+$AB$1981),0)</f>
        <v>10</v>
      </c>
      <c r="R1977" s="1902"/>
      <c r="S1977" s="1643">
        <f>MIN($S$1998-$S$1988,Y1977)</f>
        <v>11344703</v>
      </c>
      <c r="T1977" s="1643"/>
      <c r="U1977" s="1644">
        <f t="shared" ref="U1977:U1981" si="1081">ROUND($D1977*M1977,0)</f>
        <v>0</v>
      </c>
      <c r="V1977" s="1643"/>
      <c r="W1977" s="1644">
        <f t="shared" ref="W1977:W1981" si="1082">ROUND($D1977*O1977,0)</f>
        <v>0</v>
      </c>
      <c r="X1977" s="1643"/>
      <c r="Y1977" s="1644">
        <f>ROUND($D1977*Q1977,0)</f>
        <v>11344703</v>
      </c>
      <c r="AA1977" s="1903" t="s">
        <v>1741</v>
      </c>
      <c r="AB1977" s="1904">
        <f>Y1998+Y2092+Y2181</f>
        <v>138048752</v>
      </c>
      <c r="AI1977" s="2023">
        <f>W1977-'Blocking-Step2'!W1977</f>
        <v>0</v>
      </c>
      <c r="AJ1977" s="2054">
        <f>O1977-'Blocking-Step2'!O1977</f>
        <v>0</v>
      </c>
    </row>
    <row r="1978" spans="1:36">
      <c r="A1978" s="1900" t="s">
        <v>262</v>
      </c>
      <c r="C1978" s="528">
        <f t="shared" si="1078"/>
        <v>0</v>
      </c>
      <c r="D1978" s="528">
        <f t="shared" si="1078"/>
        <v>0</v>
      </c>
      <c r="F1978" s="1901">
        <v>120</v>
      </c>
      <c r="G1978" s="1902"/>
      <c r="H1978" s="1644">
        <f t="shared" si="1079"/>
        <v>0</v>
      </c>
      <c r="I1978" s="1644">
        <f t="shared" si="1079"/>
        <v>0</v>
      </c>
      <c r="K1978" s="1901">
        <f>$Q$1978/$Q$1977*K1977</f>
        <v>117</v>
      </c>
      <c r="L1978" s="1902"/>
      <c r="M1978" s="1901">
        <f t="shared" ref="M1978:M1985" si="1083">Q1978-K1978-O1978</f>
        <v>0</v>
      </c>
      <c r="N1978" s="1902"/>
      <c r="O1978" s="1901">
        <f>'Blocking-Step2'!O1978</f>
        <v>0</v>
      </c>
      <c r="P1978" s="1902"/>
      <c r="Q1978" s="1901">
        <f t="shared" ref="Q1978:Q1979" si="1084">ROUND(F1978*(1+$AB$1981),0)</f>
        <v>117</v>
      </c>
      <c r="R1978" s="1902"/>
      <c r="S1978" s="1643">
        <f>MIN($S$1998-$S$1988-$S$1977,Y1978)</f>
        <v>0</v>
      </c>
      <c r="T1978" s="1643"/>
      <c r="U1978" s="1644">
        <f t="shared" si="1081"/>
        <v>0</v>
      </c>
      <c r="V1978" s="1643"/>
      <c r="W1978" s="1644">
        <f t="shared" si="1082"/>
        <v>0</v>
      </c>
      <c r="X1978" s="1643"/>
      <c r="Y1978" s="1644">
        <f t="shared" ref="Y1978:Y1981" si="1085">ROUND($D1978*Q1978,0)</f>
        <v>0</v>
      </c>
      <c r="AA1978" s="1905" t="s">
        <v>1742</v>
      </c>
      <c r="AB1978" s="1906">
        <f>RateSpread!M46*1000</f>
        <v>138048574.50230002</v>
      </c>
      <c r="AI1978" s="2023">
        <f>W1978-'Blocking-Step2'!W1978</f>
        <v>0</v>
      </c>
      <c r="AJ1978" s="2054">
        <f>O1978-'Blocking-Step2'!O1978</f>
        <v>0</v>
      </c>
    </row>
    <row r="1979" spans="1:36">
      <c r="A1979" s="1900" t="s">
        <v>1298</v>
      </c>
      <c r="C1979" s="528">
        <f t="shared" si="1078"/>
        <v>98.399000000000001</v>
      </c>
      <c r="D1979" s="528">
        <f t="shared" si="1078"/>
        <v>102</v>
      </c>
      <c r="F1979" s="1944">
        <v>10</v>
      </c>
      <c r="G1979" s="597"/>
      <c r="H1979" s="1644">
        <f t="shared" si="1079"/>
        <v>984</v>
      </c>
      <c r="I1979" s="1644">
        <f t="shared" si="1079"/>
        <v>1020</v>
      </c>
      <c r="K1979" s="1944">
        <f t="shared" si="1080"/>
        <v>10</v>
      </c>
      <c r="L1979" s="597"/>
      <c r="M1979" s="1944">
        <f t="shared" si="1083"/>
        <v>0</v>
      </c>
      <c r="N1979" s="597"/>
      <c r="O1979" s="1944">
        <f>'Blocking-Step2'!O1979</f>
        <v>0</v>
      </c>
      <c r="P1979" s="597"/>
      <c r="Q1979" s="1901">
        <f t="shared" si="1084"/>
        <v>10</v>
      </c>
      <c r="R1979" s="597"/>
      <c r="S1979" s="1643">
        <f>MIN($S$1998-$S$1988-$S$1977-$S$1978,Y1979)</f>
        <v>1020</v>
      </c>
      <c r="T1979" s="1645"/>
      <c r="U1979" s="1644">
        <f t="shared" si="1081"/>
        <v>0</v>
      </c>
      <c r="V1979" s="1645"/>
      <c r="W1979" s="1644">
        <f t="shared" si="1082"/>
        <v>0</v>
      </c>
      <c r="X1979" s="1645"/>
      <c r="Y1979" s="1644">
        <f t="shared" si="1085"/>
        <v>1020</v>
      </c>
      <c r="AA1979" s="1908" t="s">
        <v>87</v>
      </c>
      <c r="AB1979" s="1909">
        <f>AB1978-AB1977</f>
        <v>-177.49769997596741</v>
      </c>
      <c r="AI1979" s="2023">
        <f>W1979-'Blocking-Step2'!W1979</f>
        <v>0</v>
      </c>
      <c r="AJ1979" s="2054">
        <f>O1979-'Blocking-Step2'!O1979</f>
        <v>0</v>
      </c>
    </row>
    <row r="1980" spans="1:36">
      <c r="A1980" s="1900" t="s">
        <v>1654</v>
      </c>
      <c r="C1980" s="528">
        <f t="shared" si="1078"/>
        <v>307129.99190138647</v>
      </c>
      <c r="D1980" s="528">
        <f t="shared" si="1078"/>
        <v>303570</v>
      </c>
      <c r="F1980" s="1944"/>
      <c r="G1980" s="597"/>
      <c r="H1980" s="1644"/>
      <c r="I1980" s="1644"/>
      <c r="K1980" s="1944">
        <f t="shared" si="1080"/>
        <v>8.89</v>
      </c>
      <c r="L1980" s="597"/>
      <c r="M1980" s="1944">
        <f t="shared" si="1083"/>
        <v>0</v>
      </c>
      <c r="N1980" s="597"/>
      <c r="O1980" s="1944">
        <f>'Blocking-Step2'!O1980</f>
        <v>0</v>
      </c>
      <c r="P1980" s="597"/>
      <c r="Q1980" s="1944">
        <f>ROUND(SUM(I1986:I1987,I2082:I2083,I2171:I2172)*(1+AB1981)/(SUM(D1986,D2082,D2171)+SUM(D1987,D2083,D2172)/AB1984),2)</f>
        <v>8.89</v>
      </c>
      <c r="R1980" s="597"/>
      <c r="S1980" s="1645">
        <f>MIN($S$1998-$S$1977-$S$1978-$S$1979-$S$1988,SUM($Y$1980:$Y$1981))*Y1980/SUM($Y$1980:$Y$1981)</f>
        <v>2698737</v>
      </c>
      <c r="T1980" s="1645"/>
      <c r="U1980" s="1644">
        <f t="shared" si="1081"/>
        <v>0</v>
      </c>
      <c r="V1980" s="1645"/>
      <c r="W1980" s="1644">
        <f t="shared" si="1082"/>
        <v>0</v>
      </c>
      <c r="X1980" s="1645"/>
      <c r="Y1980" s="1644">
        <f t="shared" si="1085"/>
        <v>2698737</v>
      </c>
      <c r="AA1980" s="1903" t="s">
        <v>1743</v>
      </c>
      <c r="AB1980" s="1953">
        <f>AB1977/(I1998+I2092+I2181)-1</f>
        <v>4.8017934901611881E-5</v>
      </c>
      <c r="AI1980" s="2023">
        <f>W1980-'Blocking-Step2'!W1980</f>
        <v>0</v>
      </c>
      <c r="AJ1980" s="2054">
        <f>O1980-'Blocking-Step2'!O1980</f>
        <v>0</v>
      </c>
    </row>
    <row r="1981" spans="1:36">
      <c r="A1981" s="1900" t="s">
        <v>1655</v>
      </c>
      <c r="C1981" s="528">
        <f t="shared" si="1078"/>
        <v>357703.21417129517</v>
      </c>
      <c r="D1981" s="528">
        <f t="shared" si="1078"/>
        <v>353344</v>
      </c>
      <c r="F1981" s="1944"/>
      <c r="G1981" s="597"/>
      <c r="H1981" s="1644"/>
      <c r="I1981" s="1644"/>
      <c r="K1981" s="1944">
        <f>ROUND(S1981/$D1981,2)</f>
        <v>7.87</v>
      </c>
      <c r="L1981" s="597"/>
      <c r="M1981" s="1944">
        <f t="shared" si="1083"/>
        <v>0</v>
      </c>
      <c r="N1981" s="597"/>
      <c r="O1981" s="1944">
        <f>'Blocking-Step2'!O1981</f>
        <v>0</v>
      </c>
      <c r="P1981" s="597"/>
      <c r="Q1981" s="1944">
        <f>ROUND(Q1980/$AB$1984,2)</f>
        <v>7.87</v>
      </c>
      <c r="R1981" s="597"/>
      <c r="S1981" s="1645">
        <f>MIN($S$1998-$S$1977-$S$1978-$S$1979-$S$1988,SUM($Y$1980:$Y$1981))*Y1981/SUM($Y$1980:$Y$1981)</f>
        <v>2780817</v>
      </c>
      <c r="T1981" s="1645"/>
      <c r="U1981" s="1644">
        <f t="shared" si="1081"/>
        <v>0</v>
      </c>
      <c r="V1981" s="1645"/>
      <c r="W1981" s="1644">
        <f t="shared" si="1082"/>
        <v>0</v>
      </c>
      <c r="X1981" s="1645"/>
      <c r="Y1981" s="1644">
        <f t="shared" si="1085"/>
        <v>2780817</v>
      </c>
      <c r="AA1981" s="1905" t="s">
        <v>1744</v>
      </c>
      <c r="AB1981" s="1953">
        <f>(AB1978-I1988-I2017-I2084-I2173)/SUM(I1977:I1987,I1989:I1992,I2073:I2083,I2085:I2088,I2161:I2172,I2174:I2177)-1</f>
        <v>-2.8970084203678526E-2</v>
      </c>
      <c r="AC1981" s="1953">
        <f>AB1978/(I1998+I2092+I2181)-1</f>
        <v>4.6732112172431783E-5</v>
      </c>
      <c r="AI1981" s="2023">
        <f>W1981-'Blocking-Step2'!W1981</f>
        <v>0</v>
      </c>
      <c r="AJ1981" s="2054">
        <f>O1981-'Blocking-Step2'!O1981</f>
        <v>0</v>
      </c>
    </row>
    <row r="1982" spans="1:36">
      <c r="A1982" s="1900" t="s">
        <v>1656</v>
      </c>
      <c r="C1982" s="528">
        <f t="shared" si="1078"/>
        <v>246513686.00034341</v>
      </c>
      <c r="D1982" s="528">
        <f t="shared" si="1078"/>
        <v>245732054.41468564</v>
      </c>
      <c r="F1982" s="1943"/>
      <c r="G1982" s="1921"/>
      <c r="H1982" s="1644"/>
      <c r="I1982" s="1644"/>
      <c r="K1982" s="1943">
        <f>ROUND(SUM($S$1982:$S$1985,$S$1993)/SUM($D$1982:$D$1985,$D$1993)*100,4)</f>
        <v>2.9403000000000001</v>
      </c>
      <c r="L1982" s="1921" t="s">
        <v>495</v>
      </c>
      <c r="M1982" s="1943">
        <f t="shared" si="1083"/>
        <v>6.4656468966360006</v>
      </c>
      <c r="N1982" s="1921" t="s">
        <v>495</v>
      </c>
      <c r="O1982" s="1943">
        <f>'Blocking-Step2'!O1982</f>
        <v>2.3066</v>
      </c>
      <c r="P1982" s="1921" t="s">
        <v>495</v>
      </c>
      <c r="Q1982" s="1943">
        <f>ROUND((AB1978-SUM(Y1977:Y1981,Y1988,Y1993,Y2073:Y2077,Y2084,Y2161:Y2166,Y2173)-AB1985/100*(D1983+D2079+D2168+1/AB1984*(D1985+D2081+D2170)))/(D1982+D1983+D2078+D2079+D2167+D2168+1/AB1984*(D1984+D1985+D2080+D2081+D2169+D2170))*100,AB8)</f>
        <v>11.712546896636001</v>
      </c>
      <c r="R1982" s="1921" t="s">
        <v>495</v>
      </c>
      <c r="S1982" s="1645">
        <f>MIN($S$1998-$S$1977-$S$1978-$S$1979-$S$1980-$S$1981-$S$1988-$S$1993,SUM($Y$1982:$Y$1985))*Y1982/SUM($Y$1982:$Y$1985)</f>
        <v>9834513.3346061762</v>
      </c>
      <c r="T1982" s="1648"/>
      <c r="U1982" s="1644">
        <f>ROUND($D1982*M1982/100,0)</f>
        <v>15888167</v>
      </c>
      <c r="V1982" s="1648"/>
      <c r="W1982" s="1644">
        <f>ROUND($D1982*O1982/100,0)</f>
        <v>5668056</v>
      </c>
      <c r="X1982" s="1648"/>
      <c r="Y1982" s="1644">
        <f>ROUND($D1982*Q1982/100,0)</f>
        <v>28781482</v>
      </c>
      <c r="AA1982" s="1905" t="s">
        <v>1751</v>
      </c>
      <c r="AB1982" s="1953"/>
      <c r="AI1982" s="2023">
        <f>W1982-'Blocking-Step2'!W1982</f>
        <v>-1637798.1110007875</v>
      </c>
      <c r="AJ1982" s="2054">
        <f>O1982-'Blocking-Step2'!O1982</f>
        <v>0</v>
      </c>
    </row>
    <row r="1983" spans="1:36">
      <c r="A1983" s="1900" t="s">
        <v>1657</v>
      </c>
      <c r="C1983" s="528">
        <f t="shared" si="1078"/>
        <v>255582783.39106882</v>
      </c>
      <c r="D1983" s="528">
        <f t="shared" si="1078"/>
        <v>255089575</v>
      </c>
      <c r="F1983" s="1943"/>
      <c r="G1983" s="1921"/>
      <c r="H1983" s="1644"/>
      <c r="I1983" s="1644"/>
      <c r="K1983" s="1943">
        <f>$K$1982</f>
        <v>2.9403000000000001</v>
      </c>
      <c r="L1983" s="1921" t="s">
        <v>495</v>
      </c>
      <c r="M1983" s="1943">
        <f t="shared" si="1083"/>
        <v>1.310346896636001</v>
      </c>
      <c r="N1983" s="1921" t="s">
        <v>495</v>
      </c>
      <c r="O1983" s="1943">
        <f>'Blocking-Step2'!O1983</f>
        <v>2.3066</v>
      </c>
      <c r="P1983" s="1921" t="s">
        <v>495</v>
      </c>
      <c r="Q1983" s="1943">
        <f>Q1982+AB1985</f>
        <v>6.5572468966360011</v>
      </c>
      <c r="R1983" s="1921" t="s">
        <v>495</v>
      </c>
      <c r="S1983" s="1645">
        <f t="shared" ref="S1983:S1985" si="1086">MIN($S$1998-$S$1977-$S$1978-$S$1979-$S$1980-$S$1981-$S$1988-$S$1993,SUM($Y$1982:$Y$1985))*Y1983/SUM($Y$1982:$Y$1985)</f>
        <v>5715496.4735484198</v>
      </c>
      <c r="T1983" s="1648"/>
      <c r="U1983" s="1644">
        <f t="shared" ref="U1983:U1985" si="1087">ROUND($D1983*M1983/100,0)</f>
        <v>3342558</v>
      </c>
      <c r="V1983" s="1648"/>
      <c r="W1983" s="1644">
        <f t="shared" ref="W1983:W1985" si="1088">ROUND($D1983*O1983/100,0)</f>
        <v>5883896</v>
      </c>
      <c r="X1983" s="1648"/>
      <c r="Y1983" s="1644">
        <f t="shared" ref="Y1983:Y1985" si="1089">ROUND($D1983*Q1983/100,0)</f>
        <v>16726853</v>
      </c>
      <c r="AA1983" s="1915" t="s">
        <v>1678</v>
      </c>
      <c r="AB1983" s="1954"/>
      <c r="AI1983" s="2023">
        <f>W1983-'Blocking-Step2'!W1983</f>
        <v>1637973.3003226221</v>
      </c>
      <c r="AJ1983" s="2054">
        <f>O1983-'Blocking-Step2'!O1983</f>
        <v>0</v>
      </c>
    </row>
    <row r="1984" spans="1:36">
      <c r="A1984" s="1900" t="s">
        <v>1658</v>
      </c>
      <c r="C1984" s="528">
        <f t="shared" si="1078"/>
        <v>497637266.10561931</v>
      </c>
      <c r="D1984" s="528">
        <f t="shared" si="1078"/>
        <v>491138812</v>
      </c>
      <c r="F1984" s="1943"/>
      <c r="G1984" s="1921"/>
      <c r="H1984" s="1644"/>
      <c r="I1984" s="1644"/>
      <c r="K1984" s="1943">
        <f t="shared" ref="K1984:K1985" si="1090">$K$1982</f>
        <v>2.9403000000000001</v>
      </c>
      <c r="L1984" s="1921" t="s">
        <v>495</v>
      </c>
      <c r="M1984" s="1943">
        <f t="shared" si="1083"/>
        <v>5.3096999999999994</v>
      </c>
      <c r="N1984" s="1921" t="s">
        <v>495</v>
      </c>
      <c r="O1984" s="1943">
        <f>'Blocking-Step2'!O1984</f>
        <v>2.1151</v>
      </c>
      <c r="P1984" s="1921" t="s">
        <v>495</v>
      </c>
      <c r="Q1984" s="1943">
        <f>ROUND(Q1982/$AB$1984,4)</f>
        <v>10.3651</v>
      </c>
      <c r="R1984" s="1921" t="s">
        <v>495</v>
      </c>
      <c r="S1984" s="1645">
        <f t="shared" si="1086"/>
        <v>17394721.214344811</v>
      </c>
      <c r="T1984" s="1648"/>
      <c r="U1984" s="1644">
        <f t="shared" si="1087"/>
        <v>26077998</v>
      </c>
      <c r="V1984" s="1648"/>
      <c r="W1984" s="1644">
        <f t="shared" si="1088"/>
        <v>10388077</v>
      </c>
      <c r="X1984" s="1648"/>
      <c r="Y1984" s="1644">
        <f t="shared" si="1089"/>
        <v>50907029</v>
      </c>
      <c r="AA1984" s="1898" t="s">
        <v>2180</v>
      </c>
      <c r="AB1984" s="1899">
        <v>1.1299999999999999</v>
      </c>
      <c r="AI1984" s="2023">
        <f>W1984-'Blocking-Step2'!W1984</f>
        <v>-2534097.3028550893</v>
      </c>
      <c r="AJ1984" s="2054">
        <f>O1984-'Blocking-Step2'!O1984</f>
        <v>0</v>
      </c>
    </row>
    <row r="1985" spans="1:36">
      <c r="A1985" s="1900" t="s">
        <v>1659</v>
      </c>
      <c r="C1985" s="528">
        <f t="shared" si="1078"/>
        <v>399727710.95724291</v>
      </c>
      <c r="D1985" s="528">
        <f t="shared" si="1078"/>
        <v>394638630</v>
      </c>
      <c r="F1985" s="1943"/>
      <c r="G1985" s="1921"/>
      <c r="H1985" s="1644"/>
      <c r="I1985" s="1644"/>
      <c r="K1985" s="1943">
        <f t="shared" si="1090"/>
        <v>2.9403000000000001</v>
      </c>
      <c r="L1985" s="1921" t="s">
        <v>495</v>
      </c>
      <c r="M1985" s="1943">
        <f t="shared" si="1083"/>
        <v>0.74750000000000005</v>
      </c>
      <c r="N1985" s="1921" t="s">
        <v>495</v>
      </c>
      <c r="O1985" s="1943">
        <f>'Blocking-Step2'!O1985</f>
        <v>2.1151</v>
      </c>
      <c r="P1985" s="1921" t="s">
        <v>495</v>
      </c>
      <c r="Q1985" s="1943">
        <f>ROUND(Q1983/$AB$1984,4)</f>
        <v>5.8029000000000002</v>
      </c>
      <c r="R1985" s="1921" t="s">
        <v>495</v>
      </c>
      <c r="S1985" s="1645">
        <f t="shared" si="1086"/>
        <v>7825000.9885331383</v>
      </c>
      <c r="T1985" s="1648"/>
      <c r="U1985" s="1644">
        <f t="shared" si="1087"/>
        <v>2949924</v>
      </c>
      <c r="V1985" s="1648"/>
      <c r="W1985" s="1644">
        <f t="shared" si="1088"/>
        <v>8347002</v>
      </c>
      <c r="X1985" s="1648"/>
      <c r="Y1985" s="1644">
        <f t="shared" si="1089"/>
        <v>22900485</v>
      </c>
      <c r="AA1985" s="1898" t="s">
        <v>2208</v>
      </c>
      <c r="AB1985" s="1899">
        <f>F1990-F1989</f>
        <v>-5.1552999999999995</v>
      </c>
      <c r="AI1985" s="2023">
        <f>W1985-'Blocking-Step2'!W1985</f>
        <v>2533972.5499820393</v>
      </c>
      <c r="AJ1985" s="2054">
        <f>O1985-'Blocking-Step2'!O1985</f>
        <v>0</v>
      </c>
    </row>
    <row r="1986" spans="1:36">
      <c r="A1986" s="1900" t="s">
        <v>282</v>
      </c>
      <c r="C1986" s="528">
        <f t="shared" si="1078"/>
        <v>359490.05664739525</v>
      </c>
      <c r="D1986" s="528">
        <f t="shared" si="1078"/>
        <v>355316</v>
      </c>
      <c r="F1986" s="1901">
        <v>8.65</v>
      </c>
      <c r="G1986" s="1902"/>
      <c r="H1986" s="1644">
        <f t="shared" si="1079"/>
        <v>3109589</v>
      </c>
      <c r="I1986" s="1644">
        <f t="shared" si="1079"/>
        <v>3073483</v>
      </c>
      <c r="K1986" s="1901"/>
      <c r="L1986" s="1902"/>
      <c r="M1986" s="1901"/>
      <c r="N1986" s="1902"/>
      <c r="O1986" s="1901"/>
      <c r="P1986" s="1902"/>
      <c r="Q1986" s="1901"/>
      <c r="R1986" s="1902"/>
      <c r="S1986" s="1643"/>
      <c r="T1986" s="1643"/>
      <c r="U1986" s="1645"/>
      <c r="V1986" s="1643"/>
      <c r="W1986" s="1645"/>
      <c r="X1986" s="1643"/>
      <c r="Y1986" s="1644"/>
      <c r="AA1986" s="1903"/>
      <c r="AB1986" s="1998"/>
      <c r="AI1986" s="2023">
        <f>W1986-'Blocking-Step2'!W1986</f>
        <v>0</v>
      </c>
      <c r="AJ1986" s="2054">
        <f>O1986-'Blocking-Step2'!O1986</f>
        <v>0</v>
      </c>
    </row>
    <row r="1987" spans="1:36">
      <c r="A1987" s="1900" t="s">
        <v>283</v>
      </c>
      <c r="C1987" s="528">
        <f t="shared" si="1078"/>
        <v>305343.14942528633</v>
      </c>
      <c r="D1987" s="528">
        <f t="shared" si="1078"/>
        <v>301598</v>
      </c>
      <c r="F1987" s="1901">
        <v>8.7000000000000011</v>
      </c>
      <c r="G1987" s="1902"/>
      <c r="H1987" s="1644">
        <f t="shared" si="1079"/>
        <v>2656485</v>
      </c>
      <c r="I1987" s="1644">
        <f t="shared" si="1079"/>
        <v>2623903</v>
      </c>
      <c r="K1987" s="1901"/>
      <c r="L1987" s="1902"/>
      <c r="M1987" s="1901"/>
      <c r="N1987" s="1902"/>
      <c r="O1987" s="1901"/>
      <c r="P1987" s="1902"/>
      <c r="Q1987" s="1901"/>
      <c r="R1987" s="1902"/>
      <c r="S1987" s="1643"/>
      <c r="T1987" s="1643"/>
      <c r="U1987" s="1645"/>
      <c r="V1987" s="1643"/>
      <c r="W1987" s="1645"/>
      <c r="X1987" s="1643"/>
      <c r="Y1987" s="1644"/>
      <c r="AA1987" s="1905"/>
      <c r="AB1987" s="1999"/>
      <c r="AI1987" s="2023">
        <f>W1987-'Blocking-Step2'!W1987</f>
        <v>0</v>
      </c>
      <c r="AJ1987" s="2054">
        <f>O1987-'Blocking-Step2'!O1987</f>
        <v>0</v>
      </c>
    </row>
    <row r="1988" spans="1:36">
      <c r="A1988" s="1900" t="s">
        <v>261</v>
      </c>
      <c r="C1988" s="528">
        <f t="shared" si="1078"/>
        <v>12132.72916666667</v>
      </c>
      <c r="D1988" s="528">
        <f t="shared" si="1078"/>
        <v>11994</v>
      </c>
      <c r="F1988" s="1901">
        <v>-0.48</v>
      </c>
      <c r="G1988" s="1902"/>
      <c r="H1988" s="1644">
        <f t="shared" si="1079"/>
        <v>-5824</v>
      </c>
      <c r="I1988" s="1644">
        <f t="shared" si="1079"/>
        <v>-5757</v>
      </c>
      <c r="K1988" s="1944">
        <f t="shared" ref="K1988" si="1091">ROUND(S1988/$D1988,2)</f>
        <v>-0.48</v>
      </c>
      <c r="L1988" s="597"/>
      <c r="M1988" s="1944">
        <f>Q1988-K1988-O1988</f>
        <v>0</v>
      </c>
      <c r="N1988" s="597"/>
      <c r="O1988" s="1944">
        <f>'Blocking-Step2'!O1988</f>
        <v>0</v>
      </c>
      <c r="P1988" s="1902"/>
      <c r="Q1988" s="1901">
        <f>F1988</f>
        <v>-0.48</v>
      </c>
      <c r="R1988" s="1902"/>
      <c r="S1988" s="1643">
        <f>Y1988</f>
        <v>-5757</v>
      </c>
      <c r="T1988" s="1643"/>
      <c r="U1988" s="1644">
        <f t="shared" ref="U1988" si="1092">ROUND($D1988*M1988,0)</f>
        <v>0</v>
      </c>
      <c r="V1988" s="1643"/>
      <c r="W1988" s="1644">
        <f t="shared" ref="W1988" si="1093">ROUND($D1988*O1988,0)</f>
        <v>0</v>
      </c>
      <c r="X1988" s="1643"/>
      <c r="Y1988" s="1644">
        <f t="shared" ref="Y1988" si="1094">ROUND($D1988*Q1988,0)</f>
        <v>-5757</v>
      </c>
      <c r="AA1988" s="1109" t="s">
        <v>1938</v>
      </c>
      <c r="AB1988" s="1917">
        <f>RateSpread!V46*1000</f>
        <v>-1759502.5697697927</v>
      </c>
      <c r="AC1988" s="1918">
        <f>ROUND(AB1988/SUM(Y1980:Y1985,Y1993,Y2076:Y2081,Y2165:Y2170),4)</f>
        <v>-1.3899999999999999E-2</v>
      </c>
      <c r="AI1988" s="2023">
        <f>W1988-'Blocking-Step2'!W1988</f>
        <v>0</v>
      </c>
      <c r="AJ1988" s="2054">
        <f>O1988-'Blocking-Step2'!O1988</f>
        <v>0</v>
      </c>
    </row>
    <row r="1989" spans="1:36">
      <c r="A1989" s="1900" t="s">
        <v>194</v>
      </c>
      <c r="C1989" s="528">
        <f t="shared" si="1078"/>
        <v>306932669.66192746</v>
      </c>
      <c r="D1989" s="528">
        <f t="shared" si="1078"/>
        <v>308060156.41468561</v>
      </c>
      <c r="F1989" s="1926">
        <v>11.733599999999999</v>
      </c>
      <c r="G1989" s="1921" t="s">
        <v>495</v>
      </c>
      <c r="H1989" s="1644">
        <f t="shared" ref="H1989:I1993" si="1095">ROUND($F1989*C1989/100,0)</f>
        <v>36014252</v>
      </c>
      <c r="I1989" s="1644">
        <f t="shared" si="1095"/>
        <v>36146547</v>
      </c>
      <c r="K1989" s="1926"/>
      <c r="L1989" s="1921"/>
      <c r="M1989" s="1926"/>
      <c r="N1989" s="1921"/>
      <c r="O1989" s="1926"/>
      <c r="P1989" s="1921"/>
      <c r="Q1989" s="1926"/>
      <c r="R1989" s="1921"/>
      <c r="S1989" s="1648"/>
      <c r="T1989" s="1648"/>
      <c r="U1989" s="1648"/>
      <c r="V1989" s="1648"/>
      <c r="W1989" s="1648"/>
      <c r="X1989" s="1648"/>
      <c r="Y1989" s="1644"/>
      <c r="AA1989" s="1109" t="s">
        <v>1939</v>
      </c>
      <c r="AB1989" s="1917">
        <v>0</v>
      </c>
      <c r="AC1989" s="1918">
        <f>ROUND(AB1989/SUM(Y1980:Y1985,Y1993,Y2076:Y2081,Y2165:Y2170),4)</f>
        <v>0</v>
      </c>
      <c r="AI1989" s="2023">
        <f>W1989-'Blocking-Step2'!W1989</f>
        <v>0</v>
      </c>
      <c r="AJ1989" s="2054">
        <f>O1989-'Blocking-Step2'!O1989</f>
        <v>0</v>
      </c>
    </row>
    <row r="1990" spans="1:36">
      <c r="A1990" s="1900" t="s">
        <v>195</v>
      </c>
      <c r="C1990" s="528">
        <f t="shared" si="1078"/>
        <v>299805428.240731</v>
      </c>
      <c r="D1990" s="528">
        <f t="shared" si="1078"/>
        <v>301253476</v>
      </c>
      <c r="F1990" s="1926">
        <v>6.5782999999999996</v>
      </c>
      <c r="G1990" s="1921" t="s">
        <v>495</v>
      </c>
      <c r="H1990" s="1644">
        <f t="shared" si="1095"/>
        <v>19722100</v>
      </c>
      <c r="I1990" s="1644">
        <f t="shared" si="1095"/>
        <v>19817357</v>
      </c>
      <c r="K1990" s="1926"/>
      <c r="L1990" s="1921"/>
      <c r="M1990" s="1926"/>
      <c r="N1990" s="1921"/>
      <c r="O1990" s="1926"/>
      <c r="P1990" s="1921"/>
      <c r="Q1990" s="1926"/>
      <c r="R1990" s="1921"/>
      <c r="S1990" s="1648"/>
      <c r="T1990" s="1648"/>
      <c r="U1990" s="1648"/>
      <c r="V1990" s="1648"/>
      <c r="W1990" s="1648"/>
      <c r="X1990" s="1648"/>
      <c r="Y1990" s="1644"/>
      <c r="AI1990" s="2023">
        <f>W1990-'Blocking-Step2'!W1990</f>
        <v>0</v>
      </c>
      <c r="AJ1990" s="2054">
        <f>O1990-'Blocking-Step2'!O1990</f>
        <v>0</v>
      </c>
    </row>
    <row r="1991" spans="1:36">
      <c r="A1991" s="1900" t="s">
        <v>160</v>
      </c>
      <c r="C1991" s="528">
        <f t="shared" si="1078"/>
        <v>437218282.44403523</v>
      </c>
      <c r="D1991" s="528">
        <f t="shared" si="1078"/>
        <v>428643673</v>
      </c>
      <c r="F1991" s="1926">
        <v>10.8</v>
      </c>
      <c r="G1991" s="1921" t="s">
        <v>495</v>
      </c>
      <c r="H1991" s="1644">
        <f t="shared" si="1095"/>
        <v>47219575</v>
      </c>
      <c r="I1991" s="1644">
        <f t="shared" si="1095"/>
        <v>46293517</v>
      </c>
      <c r="K1991" s="1926"/>
      <c r="L1991" s="1921"/>
      <c r="M1991" s="1926"/>
      <c r="N1991" s="1921"/>
      <c r="O1991" s="1926"/>
      <c r="P1991" s="1921"/>
      <c r="Q1991" s="1926"/>
      <c r="R1991" s="1921"/>
      <c r="S1991" s="1648"/>
      <c r="T1991" s="1648"/>
      <c r="U1991" s="1648"/>
      <c r="V1991" s="1648"/>
      <c r="W1991" s="1648"/>
      <c r="X1991" s="1648"/>
      <c r="Y1991" s="1644"/>
      <c r="AA1991" s="1104" t="s">
        <v>1743</v>
      </c>
      <c r="AB1991" s="1890">
        <f>Y1998/I1998-1</f>
        <v>6.3467655586624261E-5</v>
      </c>
      <c r="AI1991" s="2023">
        <f>W1991-'Blocking-Step2'!W1991</f>
        <v>0</v>
      </c>
      <c r="AJ1991" s="2054">
        <f>O1991-'Blocking-Step2'!O1991</f>
        <v>0</v>
      </c>
    </row>
    <row r="1992" spans="1:36">
      <c r="A1992" s="1900" t="s">
        <v>159</v>
      </c>
      <c r="C1992" s="528">
        <f t="shared" si="1078"/>
        <v>355505066.10758072</v>
      </c>
      <c r="D1992" s="528">
        <f t="shared" si="1078"/>
        <v>348641766</v>
      </c>
      <c r="F1992" s="1926">
        <v>6.0567000000000002</v>
      </c>
      <c r="G1992" s="1921" t="s">
        <v>495</v>
      </c>
      <c r="H1992" s="1644">
        <f t="shared" si="1095"/>
        <v>21531875</v>
      </c>
      <c r="I1992" s="1644">
        <f t="shared" si="1095"/>
        <v>21116186</v>
      </c>
      <c r="K1992" s="1926"/>
      <c r="L1992" s="1921"/>
      <c r="M1992" s="1926"/>
      <c r="N1992" s="1921"/>
      <c r="O1992" s="1926"/>
      <c r="P1992" s="1921"/>
      <c r="Q1992" s="1926"/>
      <c r="R1992" s="1921"/>
      <c r="S1992" s="1648"/>
      <c r="T1992" s="1648"/>
      <c r="U1992" s="1648"/>
      <c r="V1992" s="1648"/>
      <c r="W1992" s="1648"/>
      <c r="X1992" s="1648"/>
      <c r="Y1992" s="1644"/>
      <c r="AI1992" s="2023">
        <f>W1992-'Blocking-Step2'!W1992</f>
        <v>0</v>
      </c>
      <c r="AJ1992" s="2054">
        <f>O1992-'Blocking-Step2'!O1992</f>
        <v>0</v>
      </c>
    </row>
    <row r="1993" spans="1:36">
      <c r="A1993" s="1116" t="s">
        <v>1158</v>
      </c>
      <c r="B1993" s="1928"/>
      <c r="C1993" s="528">
        <f t="shared" ref="C1993:D1994" si="1096">C2017+C2041+C2065</f>
        <v>2093618</v>
      </c>
      <c r="D1993" s="528">
        <f t="shared" si="1096"/>
        <v>2069676</v>
      </c>
      <c r="E1993" s="804"/>
      <c r="F1993" s="1927">
        <v>10.120799999999999</v>
      </c>
      <c r="G1993" s="1929" t="s">
        <v>495</v>
      </c>
      <c r="H1993" s="1146">
        <f t="shared" si="1095"/>
        <v>211891</v>
      </c>
      <c r="I1993" s="1146">
        <f t="shared" si="1095"/>
        <v>209468</v>
      </c>
      <c r="J1993" s="804"/>
      <c r="K1993" s="1927">
        <f>K1982</f>
        <v>2.9403000000000001</v>
      </c>
      <c r="L1993" s="1929" t="s">
        <v>495</v>
      </c>
      <c r="M1993" s="1927">
        <f>'Blocking-Step2'!M1993</f>
        <v>7.4249999999999998</v>
      </c>
      <c r="N1993" s="1929" t="s">
        <v>495</v>
      </c>
      <c r="O1993" s="1927">
        <f>'Blocking-Step2'!O1993</f>
        <v>0</v>
      </c>
      <c r="P1993" s="1929" t="s">
        <v>495</v>
      </c>
      <c r="Q1993" s="1927">
        <f>F1993+AA1994</f>
        <v>10.3653</v>
      </c>
      <c r="R1993" s="1929" t="s">
        <v>495</v>
      </c>
      <c r="S1993" s="1656">
        <f>ROUND($D1993*AB1994/100,0)</f>
        <v>60855</v>
      </c>
      <c r="T1993" s="1656"/>
      <c r="U1993" s="1644">
        <f t="shared" ref="U1993" si="1097">ROUND($D1993*M1993/100,0)</f>
        <v>153673</v>
      </c>
      <c r="V1993" s="1656"/>
      <c r="W1993" s="1644">
        <f t="shared" ref="W1993" si="1098">ROUND($D1993*O1993/100,0)</f>
        <v>0</v>
      </c>
      <c r="X1993" s="1656"/>
      <c r="Y1993" s="1146">
        <f>ROUND($D1993*Q1993/100,0)</f>
        <v>214528</v>
      </c>
      <c r="AA1993" s="2036">
        <v>2.6958000000000002</v>
      </c>
      <c r="AB1993" s="2036">
        <v>7.4249999999999998</v>
      </c>
      <c r="AC1993" s="2036">
        <v>10.120799999999999</v>
      </c>
      <c r="AI1993" s="2023">
        <f>W1993-'Blocking-Step2'!W1993</f>
        <v>0</v>
      </c>
      <c r="AJ1993" s="2054">
        <f>O1993-'Blocking-Step2'!O1993</f>
        <v>0</v>
      </c>
    </row>
    <row r="1994" spans="1:36">
      <c r="A1994" s="1900" t="s">
        <v>246</v>
      </c>
      <c r="C1994" s="529">
        <f t="shared" si="1096"/>
        <v>6316242</v>
      </c>
      <c r="D1994" s="529">
        <f t="shared" si="1096"/>
        <v>0</v>
      </c>
      <c r="H1994" s="1030">
        <f>H2018+H2042+H2066</f>
        <v>702376</v>
      </c>
      <c r="I1994" s="1030">
        <f t="shared" ref="I1994" si="1099">I2018+I2042+I2066</f>
        <v>0</v>
      </c>
      <c r="Y1994" s="1030"/>
      <c r="AA1994" s="2036">
        <f>-1.2287+1.4732</f>
        <v>0.24450000000000016</v>
      </c>
      <c r="AB1994" s="2036">
        <v>2.9403000000000001</v>
      </c>
      <c r="AC1994" s="2036">
        <f>Q1993-K1993-M1993</f>
        <v>0</v>
      </c>
      <c r="AI1994" s="2023">
        <f>W1994-'Blocking-Step2'!W1994</f>
        <v>0</v>
      </c>
      <c r="AJ1994" s="2054">
        <f>O1994-'Blocking-Step2'!O1994</f>
        <v>0</v>
      </c>
    </row>
    <row r="1995" spans="1:36">
      <c r="A1995" s="1900" t="s">
        <v>1240</v>
      </c>
      <c r="C1995" s="584"/>
      <c r="D1995" s="584"/>
      <c r="F1995" s="1930">
        <v>-3.3099999999999997E-2</v>
      </c>
      <c r="G1995" s="597"/>
      <c r="H1995" s="1644">
        <f>SUM(H1986:H1987,H1989:H1993)*$F1995</f>
        <v>-4318416.8876999998</v>
      </c>
      <c r="I1995" s="1644">
        <f>SUM(I1986:I1987,I1989:I1993)*$F1995</f>
        <v>-4279183.2590999994</v>
      </c>
      <c r="K1995" s="1930"/>
      <c r="L1995" s="597"/>
      <c r="M1995" s="1930"/>
      <c r="N1995" s="597"/>
      <c r="O1995" s="1931" t="str">
        <f>$O$43</f>
        <v>Tax Year 1 (1/1/2021)</v>
      </c>
      <c r="P1995" s="597"/>
      <c r="Q1995" s="1930">
        <f>$AC$1988</f>
        <v>-1.3899999999999999E-2</v>
      </c>
      <c r="R1995" s="597"/>
      <c r="S1995" s="1645"/>
      <c r="T1995" s="1645"/>
      <c r="U1995" s="1645"/>
      <c r="V1995" s="1645"/>
      <c r="W1995" s="1645"/>
      <c r="X1995" s="1645"/>
      <c r="Y1995" s="1644">
        <f>Q1995*SUM(Y1980:Y1985,Y1993)</f>
        <v>-1737638.0408999999</v>
      </c>
      <c r="AI1995" s="2023">
        <f>W1995-'Blocking-Step2'!W1995</f>
        <v>0</v>
      </c>
      <c r="AJ1995" s="2054">
        <f>O1995-'Blocking-Step2'!O1995</f>
        <v>0</v>
      </c>
    </row>
    <row r="1996" spans="1:36">
      <c r="A1996" s="1900"/>
      <c r="C1996" s="584"/>
      <c r="D1996" s="584"/>
      <c r="F1996" s="1930"/>
      <c r="G1996" s="597"/>
      <c r="H1996" s="1644"/>
      <c r="I1996" s="1644"/>
      <c r="K1996" s="1930"/>
      <c r="L1996" s="597"/>
      <c r="M1996" s="1930"/>
      <c r="N1996" s="597"/>
      <c r="O1996" s="1931">
        <f>$O$44</f>
        <v>0</v>
      </c>
      <c r="P1996" s="597"/>
      <c r="Q1996" s="1930">
        <f>$AC$1989</f>
        <v>0</v>
      </c>
      <c r="R1996" s="597"/>
      <c r="S1996" s="1645"/>
      <c r="T1996" s="1645"/>
      <c r="U1996" s="1645"/>
      <c r="V1996" s="1645"/>
      <c r="W1996" s="1645"/>
      <c r="X1996" s="1645"/>
      <c r="Y1996" s="1644">
        <f>Q1996*SUM(Y1980:Y1985,Y1993)</f>
        <v>0</v>
      </c>
      <c r="AA1996" s="1932" t="s">
        <v>1940</v>
      </c>
      <c r="AB1996" s="1932"/>
      <c r="AC1996" s="1932"/>
      <c r="AD1996" s="1932"/>
      <c r="AI1996" s="2023">
        <f>W1996-'Blocking-Step2'!W1996</f>
        <v>0</v>
      </c>
      <c r="AJ1996" s="2054">
        <f>O1996-'Blocking-Step2'!O1996</f>
        <v>0</v>
      </c>
    </row>
    <row r="1997" spans="1:36">
      <c r="A1997" s="1116" t="s">
        <v>1317</v>
      </c>
      <c r="C1997" s="528">
        <f>C2021+C2045+C2069</f>
        <v>-151735</v>
      </c>
      <c r="D1997" s="528">
        <f t="shared" ref="D1997" si="1100">D2021+D2045+D2069</f>
        <v>-150134</v>
      </c>
      <c r="F1997" s="1930"/>
      <c r="G1997" s="597"/>
      <c r="H1997" s="1644"/>
      <c r="I1997" s="1644"/>
      <c r="K1997" s="1930"/>
      <c r="L1997" s="597"/>
      <c r="M1997" s="1930"/>
      <c r="N1997" s="597"/>
      <c r="O1997" s="1930"/>
      <c r="P1997" s="597"/>
      <c r="Q1997" s="1930"/>
      <c r="R1997" s="597"/>
      <c r="S1997" s="1645"/>
      <c r="T1997" s="1645"/>
      <c r="U1997" s="1645"/>
      <c r="V1997" s="1645"/>
      <c r="W1997" s="1645"/>
      <c r="X1997" s="1645"/>
      <c r="Y1997" s="1644"/>
      <c r="AA1997" s="1933" t="s">
        <v>1660</v>
      </c>
      <c r="AB1997" s="1933" t="s">
        <v>1661</v>
      </c>
      <c r="AC1997" s="1933" t="s">
        <v>1662</v>
      </c>
      <c r="AD1997" s="1933" t="s">
        <v>93</v>
      </c>
      <c r="AI1997" s="2023">
        <f>W1997-'Blocking-Step2'!W1997</f>
        <v>0</v>
      </c>
      <c r="AJ1997" s="2054">
        <f>O1997-'Blocking-Step2'!O1997</f>
        <v>0</v>
      </c>
    </row>
    <row r="1998" spans="1:36" ht="16.5" thickBot="1">
      <c r="A1998" s="1900" t="s">
        <v>247</v>
      </c>
      <c r="C1998" s="1949">
        <f>SUM(C1989:C1997)</f>
        <v>1407719571.4542744</v>
      </c>
      <c r="D1998" s="1949">
        <f>SUM(D1989:D1997)</f>
        <v>1388518613.4146857</v>
      </c>
      <c r="F1998" s="1939"/>
      <c r="H1998" s="1647">
        <f>SUM(H1977:H1995)</f>
        <v>137785322.11230001</v>
      </c>
      <c r="I1998" s="1647">
        <f>SUM(I1977:I1995)</f>
        <v>136341243.74090001</v>
      </c>
      <c r="K1998" s="1939"/>
      <c r="M1998" s="1939"/>
      <c r="O1998" s="1939"/>
      <c r="Q1998" s="1939"/>
      <c r="S1998" s="1154">
        <f>($Y1998-$W1998)*AA1998/(AA1998+AB1998)</f>
        <v>57650107.011032544</v>
      </c>
      <c r="T1998" s="1154"/>
      <c r="U1998" s="1154">
        <f>Y1998-S1998-W1998</f>
        <v>48412758.988967448</v>
      </c>
      <c r="V1998" s="1154"/>
      <c r="W1998" s="1154">
        <f>SUM(W1977:W1997)</f>
        <v>30287031</v>
      </c>
      <c r="Y1998" s="1647">
        <f>SUM(Y1977:Y1994)</f>
        <v>136349897</v>
      </c>
      <c r="AA1998" s="1937">
        <f>'Unit Cost Target'!$L$87+'Unit Cost Target'!$L$123+'Unit Cost Target'!$L$129+'Unit Cost Target'!$L$75+'Unit Cost Target'!$L$81</f>
        <v>54981409.305803031</v>
      </c>
      <c r="AB1998" s="1937">
        <f>'Unit Cost Target'!$L$45+'Unit Cost Target'!$L$51</f>
        <v>46171670.021119371</v>
      </c>
      <c r="AC1998" s="1937">
        <f>'Unit Cost Target'!$L$33+'Unit Cost Target'!$L$39+'Unit Cost Target'!$L$63+'Unit Cost Target'!$L$69</f>
        <v>28884943.488740727</v>
      </c>
      <c r="AD1998" s="1937">
        <f>SUM(AA1998:AC1998)</f>
        <v>130038022.81566313</v>
      </c>
      <c r="AE1998" s="1937">
        <f>AD1998-'Unit Cost Target'!$L$21</f>
        <v>0</v>
      </c>
      <c r="AI1998" s="2023">
        <f>W1998-'Blocking-Step2'!W1998</f>
        <v>50.436448782682419</v>
      </c>
      <c r="AJ1998" s="2054">
        <f>O1998-'Blocking-Step2'!O1998</f>
        <v>0</v>
      </c>
    </row>
    <row r="1999" spans="1:36" ht="16.5" hidden="1" thickTop="1">
      <c r="C1999" s="528"/>
      <c r="D1999" s="528"/>
      <c r="AA1999" s="1937">
        <f>S1998-SUM(S1977:S1997)</f>
        <v>0</v>
      </c>
      <c r="AB1999" s="1937">
        <f>U1998-SUM(U1977:U1997)</f>
        <v>438.98896744847298</v>
      </c>
      <c r="AC1999" s="1937">
        <f>W1998-SUM(W1977:W1997)</f>
        <v>0</v>
      </c>
      <c r="AD1999" s="1937">
        <f>SUM(AA1999:AC1999)</f>
        <v>438.98896744847298</v>
      </c>
      <c r="AE1999" s="1937"/>
      <c r="AI1999" s="2023">
        <f>W1999-'Blocking-Step2'!W1999</f>
        <v>0</v>
      </c>
      <c r="AJ1999" s="2054">
        <f>O1999-'Blocking-Step2'!O1999</f>
        <v>0</v>
      </c>
    </row>
    <row r="2000" spans="1:36" hidden="1">
      <c r="A2000" s="1897" t="s">
        <v>936</v>
      </c>
      <c r="C2000" s="528"/>
      <c r="D2000" s="528"/>
      <c r="AI2000" s="2023">
        <f>W2000-'Blocking-Step2'!W2000</f>
        <v>0</v>
      </c>
      <c r="AJ2000" s="2054">
        <f>O2000-'Blocking-Step2'!O2000</f>
        <v>0</v>
      </c>
    </row>
    <row r="2001" spans="1:36" hidden="1">
      <c r="A2001" s="1900" t="s">
        <v>240</v>
      </c>
      <c r="C2001" s="528">
        <f>'23'!G26</f>
        <v>166153.66500000798</v>
      </c>
      <c r="D2001" s="528">
        <f>Bill!P14</f>
        <v>173250</v>
      </c>
      <c r="F2001" s="1944">
        <v>10</v>
      </c>
      <c r="G2001" s="597"/>
      <c r="H2001" s="1644">
        <f t="shared" ref="H2001:I2012" si="1101">ROUND($F2001*C2001,0)</f>
        <v>1661537</v>
      </c>
      <c r="I2001" s="1644">
        <f t="shared" si="1101"/>
        <v>1732500</v>
      </c>
      <c r="K2001" s="1944">
        <f>K1977</f>
        <v>10</v>
      </c>
      <c r="L2001" s="597"/>
      <c r="M2001" s="1944">
        <f>M1977</f>
        <v>0</v>
      </c>
      <c r="N2001" s="597"/>
      <c r="O2001" s="1944">
        <f>O1977</f>
        <v>0</v>
      </c>
      <c r="P2001" s="597"/>
      <c r="Q2001" s="1944">
        <f t="shared" ref="Q2001:Q2009" si="1102">Q1977</f>
        <v>10</v>
      </c>
      <c r="R2001" s="597"/>
      <c r="S2001" s="1644">
        <f t="shared" ref="S2001:S2005" si="1103">ROUND($D2001*K2001,0)</f>
        <v>1732500</v>
      </c>
      <c r="T2001" s="1645"/>
      <c r="U2001" s="1644">
        <f t="shared" ref="U2001:U2005" si="1104">ROUND($D2001*M2001,0)</f>
        <v>0</v>
      </c>
      <c r="V2001" s="1645"/>
      <c r="W2001" s="1644">
        <f t="shared" ref="W2001:W2005" si="1105">ROUND($D2001*O2001,0)</f>
        <v>0</v>
      </c>
      <c r="X2001" s="1645"/>
      <c r="Y2001" s="1644">
        <f>ROUND($D2001*Q2001,0)</f>
        <v>1732500</v>
      </c>
      <c r="AI2001" s="2023">
        <f>W2001-'Blocking-Step2'!W2001</f>
        <v>0</v>
      </c>
      <c r="AJ2001" s="2054">
        <f>O2001-'Blocking-Step2'!O2001</f>
        <v>0</v>
      </c>
    </row>
    <row r="2002" spans="1:36" hidden="1">
      <c r="A2002" s="1900" t="s">
        <v>262</v>
      </c>
      <c r="C2002" s="528">
        <v>0</v>
      </c>
      <c r="D2002" s="528">
        <f>ROUND(C2002/C2001*D2001,0)</f>
        <v>0</v>
      </c>
      <c r="F2002" s="1944">
        <v>120</v>
      </c>
      <c r="G2002" s="597"/>
      <c r="H2002" s="1644">
        <f t="shared" si="1101"/>
        <v>0</v>
      </c>
      <c r="I2002" s="1644">
        <f t="shared" si="1101"/>
        <v>0</v>
      </c>
      <c r="K2002" s="1944">
        <f t="shared" ref="K2002:K2009" si="1106">K1978</f>
        <v>117</v>
      </c>
      <c r="L2002" s="597"/>
      <c r="M2002" s="1944">
        <f t="shared" ref="M2002:M2009" si="1107">M1978</f>
        <v>0</v>
      </c>
      <c r="N2002" s="597"/>
      <c r="O2002" s="1944">
        <f t="shared" ref="O2002:O2009" si="1108">O1978</f>
        <v>0</v>
      </c>
      <c r="P2002" s="597"/>
      <c r="Q2002" s="1944">
        <f t="shared" si="1102"/>
        <v>117</v>
      </c>
      <c r="R2002" s="597"/>
      <c r="S2002" s="1644">
        <f t="shared" si="1103"/>
        <v>0</v>
      </c>
      <c r="T2002" s="1645"/>
      <c r="U2002" s="1644">
        <f t="shared" si="1104"/>
        <v>0</v>
      </c>
      <c r="V2002" s="1645"/>
      <c r="W2002" s="1644">
        <f t="shared" si="1105"/>
        <v>0</v>
      </c>
      <c r="X2002" s="1645"/>
      <c r="Y2002" s="1644">
        <f t="shared" ref="Y2002:Y2005" si="1109">ROUND($D2002*Q2002,0)</f>
        <v>0</v>
      </c>
      <c r="AI2002" s="2023">
        <f>W2002-'Blocking-Step2'!W2002</f>
        <v>0</v>
      </c>
      <c r="AJ2002" s="2054">
        <f>O2002-'Blocking-Step2'!O2002</f>
        <v>0</v>
      </c>
    </row>
    <row r="2003" spans="1:36" hidden="1">
      <c r="A2003" s="1900" t="s">
        <v>1298</v>
      </c>
      <c r="C2003" s="528">
        <f>'23'!AH26</f>
        <v>6.6669999999999998</v>
      </c>
      <c r="D2003" s="528">
        <f>ROUND(C2003/C2001*D2001,0)</f>
        <v>7</v>
      </c>
      <c r="F2003" s="1944">
        <v>10</v>
      </c>
      <c r="G2003" s="597"/>
      <c r="H2003" s="1644">
        <f t="shared" si="1101"/>
        <v>67</v>
      </c>
      <c r="I2003" s="1644">
        <f t="shared" si="1101"/>
        <v>70</v>
      </c>
      <c r="K2003" s="1944">
        <f t="shared" si="1106"/>
        <v>10</v>
      </c>
      <c r="L2003" s="597"/>
      <c r="M2003" s="1944">
        <f t="shared" si="1107"/>
        <v>0</v>
      </c>
      <c r="N2003" s="597"/>
      <c r="O2003" s="1944">
        <f t="shared" si="1108"/>
        <v>0</v>
      </c>
      <c r="P2003" s="597"/>
      <c r="Q2003" s="1944">
        <f t="shared" si="1102"/>
        <v>10</v>
      </c>
      <c r="R2003" s="597"/>
      <c r="S2003" s="1644">
        <f t="shared" si="1103"/>
        <v>70</v>
      </c>
      <c r="T2003" s="1645"/>
      <c r="U2003" s="1644">
        <f t="shared" si="1104"/>
        <v>0</v>
      </c>
      <c r="V2003" s="1645"/>
      <c r="W2003" s="1644">
        <f t="shared" si="1105"/>
        <v>0</v>
      </c>
      <c r="X2003" s="1645"/>
      <c r="Y2003" s="1644">
        <f t="shared" si="1109"/>
        <v>70</v>
      </c>
      <c r="AI2003" s="2023">
        <f>W2003-'Blocking-Step2'!W2003</f>
        <v>0</v>
      </c>
      <c r="AJ2003" s="2054">
        <f>O2003-'Blocking-Step2'!O2003</f>
        <v>0</v>
      </c>
    </row>
    <row r="2004" spans="1:36" hidden="1">
      <c r="A2004" s="1900" t="s">
        <v>1654</v>
      </c>
      <c r="C2004" s="528">
        <f>'23'!I26+'23-may'!I26</f>
        <v>8259.9962634652038</v>
      </c>
      <c r="D2004" s="528">
        <f>ROUND(C2004/C2022*D2022,0)</f>
        <v>7796</v>
      </c>
      <c r="F2004" s="1944"/>
      <c r="G2004" s="597"/>
      <c r="H2004" s="1644"/>
      <c r="I2004" s="1644"/>
      <c r="K2004" s="1944">
        <f t="shared" si="1106"/>
        <v>8.89</v>
      </c>
      <c r="L2004" s="597"/>
      <c r="M2004" s="1944">
        <f t="shared" si="1107"/>
        <v>0</v>
      </c>
      <c r="N2004" s="597"/>
      <c r="O2004" s="1944">
        <f t="shared" si="1108"/>
        <v>0</v>
      </c>
      <c r="P2004" s="597"/>
      <c r="Q2004" s="1944">
        <f t="shared" si="1102"/>
        <v>8.89</v>
      </c>
      <c r="R2004" s="597"/>
      <c r="S2004" s="1644">
        <f t="shared" si="1103"/>
        <v>69306</v>
      </c>
      <c r="T2004" s="1645"/>
      <c r="U2004" s="1644">
        <f t="shared" si="1104"/>
        <v>0</v>
      </c>
      <c r="V2004" s="1645"/>
      <c r="W2004" s="1644">
        <f t="shared" si="1105"/>
        <v>0</v>
      </c>
      <c r="X2004" s="1645"/>
      <c r="Y2004" s="1644">
        <f t="shared" si="1109"/>
        <v>69306</v>
      </c>
      <c r="AI2004" s="2023">
        <f>W2004-'Blocking-Step2'!W2004</f>
        <v>0</v>
      </c>
      <c r="AJ2004" s="2054">
        <f>O2004-'Blocking-Step2'!O2004</f>
        <v>0</v>
      </c>
    </row>
    <row r="2005" spans="1:36" hidden="1">
      <c r="A2005" s="1900" t="s">
        <v>1655</v>
      </c>
      <c r="C2005" s="528">
        <f>'23'!J26+'23-may'!J26</f>
        <v>13257.216008144667</v>
      </c>
      <c r="D2005" s="528">
        <f>ROUND(C2005/C2022*D2022,0)</f>
        <v>12513</v>
      </c>
      <c r="F2005" s="1944"/>
      <c r="G2005" s="597"/>
      <c r="H2005" s="1644"/>
      <c r="I2005" s="1644"/>
      <c r="K2005" s="1944">
        <f t="shared" si="1106"/>
        <v>7.87</v>
      </c>
      <c r="L2005" s="597"/>
      <c r="M2005" s="1944">
        <f t="shared" si="1107"/>
        <v>0</v>
      </c>
      <c r="N2005" s="597"/>
      <c r="O2005" s="1944">
        <f t="shared" si="1108"/>
        <v>0</v>
      </c>
      <c r="P2005" s="597"/>
      <c r="Q2005" s="1944">
        <f t="shared" si="1102"/>
        <v>7.87</v>
      </c>
      <c r="R2005" s="597"/>
      <c r="S2005" s="1644">
        <f t="shared" si="1103"/>
        <v>98477</v>
      </c>
      <c r="T2005" s="1645"/>
      <c r="U2005" s="1644">
        <f t="shared" si="1104"/>
        <v>0</v>
      </c>
      <c r="V2005" s="1645"/>
      <c r="W2005" s="1644">
        <f t="shared" si="1105"/>
        <v>0</v>
      </c>
      <c r="X2005" s="1645"/>
      <c r="Y2005" s="1644">
        <f t="shared" si="1109"/>
        <v>98477</v>
      </c>
      <c r="AI2005" s="2023">
        <f>W2005-'Blocking-Step2'!W2005</f>
        <v>0</v>
      </c>
      <c r="AJ2005" s="2054">
        <f>O2005-'Blocking-Step2'!O2005</f>
        <v>0</v>
      </c>
    </row>
    <row r="2006" spans="1:36" hidden="1">
      <c r="A2006" s="1900" t="s">
        <v>1656</v>
      </c>
      <c r="C2006" s="528">
        <f>'23'!N26+'23'!AB26+TempRevMay!C327-TempRevMay!M327-TempRevMay!W327+'23-may'!N26+'23-may'!AB26</f>
        <v>18088988.484417532</v>
      </c>
      <c r="D2006" s="528">
        <f>D2022-SUM(D2007:D2009,D2017,D2021)</f>
        <v>17111827.531002313</v>
      </c>
      <c r="F2006" s="1943"/>
      <c r="G2006" s="1921"/>
      <c r="H2006" s="1644"/>
      <c r="I2006" s="1644"/>
      <c r="K2006" s="1943">
        <f t="shared" si="1106"/>
        <v>2.9403000000000001</v>
      </c>
      <c r="L2006" s="1921" t="s">
        <v>495</v>
      </c>
      <c r="M2006" s="1943">
        <f t="shared" si="1107"/>
        <v>6.4656468966360006</v>
      </c>
      <c r="N2006" s="1921" t="s">
        <v>495</v>
      </c>
      <c r="O2006" s="1943">
        <f t="shared" si="1108"/>
        <v>2.3066</v>
      </c>
      <c r="P2006" s="1921" t="s">
        <v>495</v>
      </c>
      <c r="Q2006" s="1943">
        <f t="shared" si="1102"/>
        <v>11.712546896636001</v>
      </c>
      <c r="R2006" s="1921" t="s">
        <v>495</v>
      </c>
      <c r="S2006" s="1644">
        <f>ROUND($D2006*K2006/100,0)</f>
        <v>503139</v>
      </c>
      <c r="T2006" s="1648"/>
      <c r="U2006" s="1644">
        <f>ROUND($D2006*M2006/100,0)</f>
        <v>1106390</v>
      </c>
      <c r="V2006" s="1648"/>
      <c r="W2006" s="1644">
        <f>ROUND($D2006*O2006/100,0)</f>
        <v>394701</v>
      </c>
      <c r="X2006" s="1648"/>
      <c r="Y2006" s="1644">
        <f>ROUND($D2006*Q2006/100,0)</f>
        <v>2004231</v>
      </c>
      <c r="AI2006" s="2023">
        <f>W2006-'Blocking-Step2'!W2006</f>
        <v>0</v>
      </c>
      <c r="AJ2006" s="2054">
        <f>O2006-'Blocking-Step2'!O2006</f>
        <v>0</v>
      </c>
    </row>
    <row r="2007" spans="1:36" hidden="1">
      <c r="A2007" s="1900" t="s">
        <v>1657</v>
      </c>
      <c r="C2007" s="528">
        <f>'23'!O26+'23'!AC26+TempRevMay!C328-TempRevMay!M328-TempRevMay!W328+'23-may'!O26+'23-may'!AC26</f>
        <v>12955361.531566361</v>
      </c>
      <c r="D2007" s="528">
        <f>ROUND(C2007/(C2007+C2006)*Energy!S14*(1-1/Energy!P14*('Blocking-Step1'!D2017+'Blocking-Step1'!D2021)),0)</f>
        <v>12255517</v>
      </c>
      <c r="F2007" s="1943"/>
      <c r="G2007" s="1921"/>
      <c r="H2007" s="1644"/>
      <c r="I2007" s="1644"/>
      <c r="K2007" s="1943">
        <f t="shared" si="1106"/>
        <v>2.9403000000000001</v>
      </c>
      <c r="L2007" s="1921" t="s">
        <v>495</v>
      </c>
      <c r="M2007" s="1943">
        <f t="shared" si="1107"/>
        <v>1.310346896636001</v>
      </c>
      <c r="N2007" s="1921" t="s">
        <v>495</v>
      </c>
      <c r="O2007" s="1943">
        <f t="shared" si="1108"/>
        <v>2.3066</v>
      </c>
      <c r="P2007" s="1921" t="s">
        <v>495</v>
      </c>
      <c r="Q2007" s="1943">
        <f t="shared" si="1102"/>
        <v>6.5572468966360011</v>
      </c>
      <c r="R2007" s="1921" t="s">
        <v>495</v>
      </c>
      <c r="S2007" s="1644">
        <f t="shared" ref="S2007:S2009" si="1110">ROUND($D2007*K2007/100,0)</f>
        <v>360349</v>
      </c>
      <c r="T2007" s="1648"/>
      <c r="U2007" s="1644">
        <f t="shared" ref="U2007:U2009" si="1111">ROUND($D2007*M2007/100,0)</f>
        <v>160590</v>
      </c>
      <c r="V2007" s="1648"/>
      <c r="W2007" s="1644">
        <f t="shared" ref="W2007:W2009" si="1112">ROUND($D2007*O2007/100,0)</f>
        <v>282686</v>
      </c>
      <c r="X2007" s="1648"/>
      <c r="Y2007" s="1644">
        <f t="shared" ref="Y2007:Y2009" si="1113">ROUND($D2007*Q2007/100,0)</f>
        <v>803625</v>
      </c>
      <c r="AI2007" s="2023">
        <f>W2007-'Blocking-Step2'!W2007</f>
        <v>0</v>
      </c>
      <c r="AJ2007" s="2054">
        <f>O2007-'Blocking-Step2'!O2007</f>
        <v>0</v>
      </c>
    </row>
    <row r="2008" spans="1:36" hidden="1">
      <c r="A2008" s="1900" t="s">
        <v>1658</v>
      </c>
      <c r="C2008" s="528">
        <f>'23'!Q26+'23'!AD26+TempRevMay!C329-TempRevMay!M329-TempRevMay!W329+'23-may'!Q26+'23-may'!AD26</f>
        <v>42519070.480579935</v>
      </c>
      <c r="D2008" s="528">
        <f>ROUND(C2008/(C2009+C2008)*Energy!T14*(1-1/Energy!P14*('Blocking-Step1'!D2017+'Blocking-Step1'!D2021)),0)</f>
        <v>40420347</v>
      </c>
      <c r="F2008" s="1943"/>
      <c r="G2008" s="1921"/>
      <c r="H2008" s="1644"/>
      <c r="I2008" s="1644"/>
      <c r="K2008" s="1943">
        <f t="shared" si="1106"/>
        <v>2.9403000000000001</v>
      </c>
      <c r="L2008" s="1921" t="s">
        <v>495</v>
      </c>
      <c r="M2008" s="1943">
        <f t="shared" si="1107"/>
        <v>5.3096999999999994</v>
      </c>
      <c r="N2008" s="1921" t="s">
        <v>495</v>
      </c>
      <c r="O2008" s="1943">
        <f t="shared" si="1108"/>
        <v>2.1151</v>
      </c>
      <c r="P2008" s="1921" t="s">
        <v>495</v>
      </c>
      <c r="Q2008" s="1943">
        <f t="shared" si="1102"/>
        <v>10.3651</v>
      </c>
      <c r="R2008" s="1921" t="s">
        <v>495</v>
      </c>
      <c r="S2008" s="1644">
        <f t="shared" si="1110"/>
        <v>1188479</v>
      </c>
      <c r="T2008" s="1648"/>
      <c r="U2008" s="1644">
        <f t="shared" si="1111"/>
        <v>2146199</v>
      </c>
      <c r="V2008" s="1648"/>
      <c r="W2008" s="1644">
        <f t="shared" si="1112"/>
        <v>854931</v>
      </c>
      <c r="X2008" s="1648"/>
      <c r="Y2008" s="1644">
        <f t="shared" si="1113"/>
        <v>4189609</v>
      </c>
      <c r="AI2008" s="2023">
        <f>W2008-'Blocking-Step2'!W2008</f>
        <v>0</v>
      </c>
      <c r="AJ2008" s="2054">
        <f>O2008-'Blocking-Step2'!O2008</f>
        <v>0</v>
      </c>
    </row>
    <row r="2009" spans="1:36" hidden="1">
      <c r="A2009" s="1900" t="s">
        <v>1659</v>
      </c>
      <c r="C2009" s="528">
        <f>'23'!R26+'23'!AE26+TempRevMay!C330-TempRevMay!M330-TempRevMay!W330+'23-may'!R26+'23-may'!AE26</f>
        <v>28070742.378563926</v>
      </c>
      <c r="D2009" s="528">
        <f>ROUND(C2009/(C2008+C2009)*Energy!T14*(1-1/Energy!P14*('Blocking-Step1'!D2017+'Blocking-Step1'!D2021)),0)</f>
        <v>26685182</v>
      </c>
      <c r="F2009" s="1943"/>
      <c r="G2009" s="1921"/>
      <c r="H2009" s="1644"/>
      <c r="I2009" s="1644"/>
      <c r="K2009" s="1943">
        <f t="shared" si="1106"/>
        <v>2.9403000000000001</v>
      </c>
      <c r="L2009" s="1921" t="s">
        <v>495</v>
      </c>
      <c r="M2009" s="1943">
        <f t="shared" si="1107"/>
        <v>0.74750000000000005</v>
      </c>
      <c r="N2009" s="1921" t="s">
        <v>495</v>
      </c>
      <c r="O2009" s="1943">
        <f t="shared" si="1108"/>
        <v>2.1151</v>
      </c>
      <c r="P2009" s="1921" t="s">
        <v>495</v>
      </c>
      <c r="Q2009" s="1943">
        <f t="shared" si="1102"/>
        <v>5.8029000000000002</v>
      </c>
      <c r="R2009" s="1921" t="s">
        <v>495</v>
      </c>
      <c r="S2009" s="1644">
        <f t="shared" si="1110"/>
        <v>784624</v>
      </c>
      <c r="T2009" s="1648"/>
      <c r="U2009" s="1644">
        <f t="shared" si="1111"/>
        <v>199472</v>
      </c>
      <c r="V2009" s="1648"/>
      <c r="W2009" s="1644">
        <f t="shared" si="1112"/>
        <v>564418</v>
      </c>
      <c r="X2009" s="1648"/>
      <c r="Y2009" s="1644">
        <f t="shared" si="1113"/>
        <v>1548514</v>
      </c>
      <c r="AI2009" s="2023">
        <f>W2009-'Blocking-Step2'!W2009</f>
        <v>0</v>
      </c>
      <c r="AJ2009" s="2054">
        <f>O2009-'Blocking-Step2'!O2009</f>
        <v>0</v>
      </c>
    </row>
    <row r="2010" spans="1:36" hidden="1">
      <c r="A2010" s="1900" t="s">
        <v>282</v>
      </c>
      <c r="C2010" s="528">
        <f>'23'!I26</f>
        <v>9763.3352601156057</v>
      </c>
      <c r="D2010" s="528">
        <f>ROUND(C2010/C2022*D2022,0)</f>
        <v>9215</v>
      </c>
      <c r="F2010" s="1944">
        <v>8.65</v>
      </c>
      <c r="G2010" s="597"/>
      <c r="H2010" s="1644">
        <f t="shared" si="1101"/>
        <v>84453</v>
      </c>
      <c r="I2010" s="1644">
        <f t="shared" si="1101"/>
        <v>79710</v>
      </c>
      <c r="K2010" s="1944"/>
      <c r="L2010" s="597"/>
      <c r="M2010" s="1944"/>
      <c r="N2010" s="597"/>
      <c r="O2010" s="1944"/>
      <c r="P2010" s="597"/>
      <c r="Q2010" s="1944"/>
      <c r="R2010" s="597"/>
      <c r="S2010" s="1645"/>
      <c r="T2010" s="1645"/>
      <c r="U2010" s="1645"/>
      <c r="V2010" s="1645"/>
      <c r="W2010" s="1645"/>
      <c r="X2010" s="1645"/>
      <c r="Y2010" s="1644"/>
      <c r="AI2010" s="2023">
        <f>W2010-'Blocking-Step2'!W2010</f>
        <v>0</v>
      </c>
      <c r="AJ2010" s="2054">
        <f>O2010-'Blocking-Step2'!O2010</f>
        <v>0</v>
      </c>
    </row>
    <row r="2011" spans="1:36" hidden="1">
      <c r="A2011" s="1900" t="s">
        <v>283</v>
      </c>
      <c r="C2011" s="528">
        <f>'23'!J26</f>
        <v>11753.877011494265</v>
      </c>
      <c r="D2011" s="528">
        <f>ROUND(C2011/C2022*D2022,0)</f>
        <v>11094</v>
      </c>
      <c r="F2011" s="1944">
        <v>8.7000000000000011</v>
      </c>
      <c r="G2011" s="597"/>
      <c r="H2011" s="1644">
        <f t="shared" si="1101"/>
        <v>102259</v>
      </c>
      <c r="I2011" s="1644">
        <f t="shared" si="1101"/>
        <v>96518</v>
      </c>
      <c r="K2011" s="1944"/>
      <c r="L2011" s="597"/>
      <c r="M2011" s="1944"/>
      <c r="N2011" s="597"/>
      <c r="O2011" s="1944"/>
      <c r="P2011" s="597"/>
      <c r="Q2011" s="1944"/>
      <c r="R2011" s="597"/>
      <c r="S2011" s="1645"/>
      <c r="T2011" s="1645"/>
      <c r="U2011" s="1645"/>
      <c r="V2011" s="1645"/>
      <c r="W2011" s="1645"/>
      <c r="X2011" s="1645"/>
      <c r="Y2011" s="1644"/>
      <c r="AI2011" s="2023">
        <f>W2011-'Blocking-Step2'!W2011</f>
        <v>0</v>
      </c>
      <c r="AJ2011" s="2054">
        <f>O2011-'Blocking-Step2'!O2011</f>
        <v>0</v>
      </c>
    </row>
    <row r="2012" spans="1:36" hidden="1">
      <c r="A2012" s="1900" t="s">
        <v>261</v>
      </c>
      <c r="C2012" s="528">
        <f>'23'!K26</f>
        <v>0</v>
      </c>
      <c r="D2012" s="528">
        <f>ROUND(C2012/C2022*D2022,0)</f>
        <v>0</v>
      </c>
      <c r="F2012" s="1944">
        <v>-0.48</v>
      </c>
      <c r="G2012" s="597"/>
      <c r="H2012" s="1644">
        <f t="shared" si="1101"/>
        <v>0</v>
      </c>
      <c r="I2012" s="1644">
        <f t="shared" si="1101"/>
        <v>0</v>
      </c>
      <c r="K2012" s="1944">
        <f>K1988</f>
        <v>-0.48</v>
      </c>
      <c r="L2012" s="597"/>
      <c r="M2012" s="1944">
        <f>M1988</f>
        <v>0</v>
      </c>
      <c r="N2012" s="597"/>
      <c r="O2012" s="1944">
        <f>O1988</f>
        <v>0</v>
      </c>
      <c r="P2012" s="597"/>
      <c r="Q2012" s="1944">
        <f>Q1988</f>
        <v>-0.48</v>
      </c>
      <c r="R2012" s="597"/>
      <c r="S2012" s="1644">
        <f t="shared" ref="S2012" si="1114">ROUND($D2012*K2012,0)</f>
        <v>0</v>
      </c>
      <c r="T2012" s="1645"/>
      <c r="U2012" s="1644">
        <f t="shared" ref="U2012" si="1115">ROUND($D2012*M2012,0)</f>
        <v>0</v>
      </c>
      <c r="V2012" s="1645"/>
      <c r="W2012" s="1644">
        <f t="shared" ref="W2012" si="1116">ROUND($D2012*O2012,0)</f>
        <v>0</v>
      </c>
      <c r="X2012" s="1645"/>
      <c r="Y2012" s="1644">
        <f t="shared" ref="Y2012" si="1117">ROUND($D2012*Q2012,0)</f>
        <v>0</v>
      </c>
      <c r="AI2012" s="2023">
        <f>W2012-'Blocking-Step2'!W2012</f>
        <v>0</v>
      </c>
      <c r="AJ2012" s="2054">
        <f>O2012-'Blocking-Step2'!O2012</f>
        <v>0</v>
      </c>
    </row>
    <row r="2013" spans="1:36" hidden="1">
      <c r="A2013" s="1900" t="s">
        <v>194</v>
      </c>
      <c r="C2013" s="528">
        <f>'23'!N26+'23'!AB26+TempRev!C327-TempRev!M327-TempRev!W327</f>
        <v>22942009.529970665</v>
      </c>
      <c r="D2013" s="528">
        <f>D2022-SUM(D2014:D2021)</f>
        <v>21926420.531002313</v>
      </c>
      <c r="F2013" s="1943">
        <v>11.733599999999999</v>
      </c>
      <c r="G2013" s="1921" t="s">
        <v>495</v>
      </c>
      <c r="H2013" s="1644">
        <f t="shared" ref="H2013:I2017" si="1118">ROUND($F2013*C2013/100,0)</f>
        <v>2691924</v>
      </c>
      <c r="I2013" s="1644">
        <f t="shared" si="1118"/>
        <v>2572758</v>
      </c>
      <c r="K2013" s="1943"/>
      <c r="L2013" s="1921"/>
      <c r="M2013" s="1943"/>
      <c r="N2013" s="1921"/>
      <c r="O2013" s="1943"/>
      <c r="P2013" s="1921"/>
      <c r="Q2013" s="1943"/>
      <c r="R2013" s="1921"/>
      <c r="S2013" s="1648"/>
      <c r="T2013" s="1648"/>
      <c r="U2013" s="1648"/>
      <c r="V2013" s="1648"/>
      <c r="W2013" s="1648"/>
      <c r="X2013" s="1648"/>
      <c r="Y2013" s="1644"/>
      <c r="AI2013" s="2023">
        <f>W2013-'Blocking-Step2'!W2013</f>
        <v>0</v>
      </c>
      <c r="AJ2013" s="2054">
        <f>O2013-'Blocking-Step2'!O2013</f>
        <v>0</v>
      </c>
    </row>
    <row r="2014" spans="1:36" hidden="1">
      <c r="A2014" s="1900" t="s">
        <v>195</v>
      </c>
      <c r="C2014" s="528">
        <f>'23'!O26+'23'!AC26+TempRev!C328-TempRev!M328-TempRev!W328</f>
        <v>15487485.447321979</v>
      </c>
      <c r="D2014" s="528">
        <f>ROUND(C2014/(C2014+C2013)*Energy!Q14*(1-1/Energy!P14*('Blocking-Step1'!D2017+'Blocking-Step1'!D2021)),0)</f>
        <v>14801891</v>
      </c>
      <c r="F2014" s="1943">
        <v>6.5782999999999996</v>
      </c>
      <c r="G2014" s="1921" t="s">
        <v>495</v>
      </c>
      <c r="H2014" s="1644">
        <f t="shared" si="1118"/>
        <v>1018813</v>
      </c>
      <c r="I2014" s="1644">
        <f t="shared" si="1118"/>
        <v>973713</v>
      </c>
      <c r="K2014" s="1943"/>
      <c r="L2014" s="1921"/>
      <c r="M2014" s="1943"/>
      <c r="N2014" s="1921"/>
      <c r="O2014" s="1943"/>
      <c r="P2014" s="1921"/>
      <c r="Q2014" s="1943"/>
      <c r="R2014" s="1921"/>
      <c r="S2014" s="1648"/>
      <c r="T2014" s="1648"/>
      <c r="U2014" s="1648"/>
      <c r="V2014" s="1648"/>
      <c r="W2014" s="1648"/>
      <c r="X2014" s="1648"/>
      <c r="Y2014" s="1644"/>
      <c r="AI2014" s="2023">
        <f>W2014-'Blocking-Step2'!W2014</f>
        <v>0</v>
      </c>
      <c r="AJ2014" s="2054">
        <f>O2014-'Blocking-Step2'!O2014</f>
        <v>0</v>
      </c>
    </row>
    <row r="2015" spans="1:36" hidden="1">
      <c r="A2015" s="1900" t="s">
        <v>160</v>
      </c>
      <c r="C2015" s="528">
        <f>'23'!Q26+'23'!AD26+TempRev!C329-TempRev!M329-TempRev!W329</f>
        <v>37666049.435026802</v>
      </c>
      <c r="D2015" s="528">
        <f>ROUND(C2015/(C2015+C2016)*Energy!R14*(1-1/Energy!P14*('Blocking-Step1'!D2017+'Blocking-Step1'!D2021)),0)</f>
        <v>35604042</v>
      </c>
      <c r="F2015" s="1943">
        <v>10.8</v>
      </c>
      <c r="G2015" s="1921" t="s">
        <v>495</v>
      </c>
      <c r="H2015" s="1644">
        <f t="shared" si="1118"/>
        <v>4067933</v>
      </c>
      <c r="I2015" s="1644">
        <f t="shared" si="1118"/>
        <v>3845237</v>
      </c>
      <c r="K2015" s="1943"/>
      <c r="L2015" s="1921"/>
      <c r="M2015" s="1943"/>
      <c r="N2015" s="1921"/>
      <c r="O2015" s="1943"/>
      <c r="P2015" s="1921"/>
      <c r="Q2015" s="1943"/>
      <c r="R2015" s="1921"/>
      <c r="S2015" s="1648"/>
      <c r="T2015" s="1648"/>
      <c r="U2015" s="1648"/>
      <c r="V2015" s="1648"/>
      <c r="W2015" s="1648"/>
      <c r="X2015" s="1648"/>
      <c r="Y2015" s="1644"/>
      <c r="AI2015" s="2023">
        <f>W2015-'Blocking-Step2'!W2015</f>
        <v>0</v>
      </c>
      <c r="AJ2015" s="2054">
        <f>O2015-'Blocking-Step2'!O2015</f>
        <v>0</v>
      </c>
    </row>
    <row r="2016" spans="1:36" hidden="1">
      <c r="A2016" s="1900" t="s">
        <v>159</v>
      </c>
      <c r="C2016" s="528">
        <f>'23'!R26+'23'!AE26+TempRev!C330-TempRev!M330-TempRev!W330</f>
        <v>25538618.462808311</v>
      </c>
      <c r="D2016" s="528">
        <f>ROUND(C2016/(C2015+C2016)*Energy!R14*(1-1/Energy!P14*('Blocking-Step1'!D2017+'Blocking-Step1'!D2021)),0)</f>
        <v>24140520</v>
      </c>
      <c r="F2016" s="1943">
        <v>6.0567000000000002</v>
      </c>
      <c r="G2016" s="1921" t="s">
        <v>495</v>
      </c>
      <c r="H2016" s="1644">
        <f t="shared" si="1118"/>
        <v>1546798</v>
      </c>
      <c r="I2016" s="1644">
        <f t="shared" si="1118"/>
        <v>1462119</v>
      </c>
      <c r="K2016" s="1943"/>
      <c r="L2016" s="1921"/>
      <c r="M2016" s="1943"/>
      <c r="N2016" s="1921"/>
      <c r="O2016" s="1943"/>
      <c r="P2016" s="1921"/>
      <c r="Q2016" s="1943"/>
      <c r="R2016" s="1921"/>
      <c r="S2016" s="1648"/>
      <c r="T2016" s="1648"/>
      <c r="U2016" s="1648"/>
      <c r="V2016" s="1648"/>
      <c r="W2016" s="1648"/>
      <c r="X2016" s="1648"/>
      <c r="Y2016" s="1644"/>
      <c r="AI2016" s="2023">
        <f>W2016-'Blocking-Step2'!W2016</f>
        <v>0</v>
      </c>
      <c r="AJ2016" s="2054">
        <f>O2016-'Blocking-Step2'!O2016</f>
        <v>0</v>
      </c>
    </row>
    <row r="2017" spans="1:36" hidden="1">
      <c r="A2017" s="1116" t="s">
        <v>1158</v>
      </c>
      <c r="B2017" s="1928"/>
      <c r="C2017" s="1024">
        <f>'23'!V26</f>
        <v>43200</v>
      </c>
      <c r="D2017" s="1024">
        <f>ROUND(C2017/(C2022-C2021)*D2022,0)</f>
        <v>40775</v>
      </c>
      <c r="E2017" s="804"/>
      <c r="F2017" s="1927">
        <v>10.120799999999999</v>
      </c>
      <c r="G2017" s="1929" t="s">
        <v>495</v>
      </c>
      <c r="H2017" s="1146">
        <f t="shared" si="1118"/>
        <v>4372</v>
      </c>
      <c r="I2017" s="1146">
        <f t="shared" si="1118"/>
        <v>4127</v>
      </c>
      <c r="J2017" s="804"/>
      <c r="K2017" s="1927">
        <f>K1993</f>
        <v>2.9403000000000001</v>
      </c>
      <c r="L2017" s="1929" t="s">
        <v>495</v>
      </c>
      <c r="M2017" s="1927">
        <f>M1993</f>
        <v>7.4249999999999998</v>
      </c>
      <c r="N2017" s="1929" t="s">
        <v>495</v>
      </c>
      <c r="O2017" s="1927">
        <f>O1993</f>
        <v>0</v>
      </c>
      <c r="P2017" s="1929" t="s">
        <v>495</v>
      </c>
      <c r="Q2017" s="1927">
        <f>Q1993</f>
        <v>10.3653</v>
      </c>
      <c r="R2017" s="1929" t="s">
        <v>495</v>
      </c>
      <c r="S2017" s="1644">
        <f t="shared" ref="S2017" si="1119">ROUND($D2017*K2017/100,0)</f>
        <v>1199</v>
      </c>
      <c r="T2017" s="1648"/>
      <c r="U2017" s="1644">
        <f t="shared" ref="U2017" si="1120">ROUND($D2017*M2017/100,0)</f>
        <v>3028</v>
      </c>
      <c r="V2017" s="1648"/>
      <c r="W2017" s="1644">
        <f t="shared" ref="W2017" si="1121">ROUND($D2017*O2017/100,0)</f>
        <v>0</v>
      </c>
      <c r="X2017" s="1656"/>
      <c r="Y2017" s="1146">
        <f t="shared" ref="Y2017" si="1122">ROUND($D2017*Q2017/100,0)</f>
        <v>4226</v>
      </c>
      <c r="AI2017" s="2023">
        <f>W2017-'Blocking-Step2'!W2017</f>
        <v>0</v>
      </c>
      <c r="AJ2017" s="2054">
        <f>O2017-'Blocking-Step2'!O2017</f>
        <v>0</v>
      </c>
    </row>
    <row r="2018" spans="1:36" hidden="1">
      <c r="A2018" s="1900" t="s">
        <v>246</v>
      </c>
      <c r="C2018" s="529">
        <f>'Table 2'!J25</f>
        <v>576384</v>
      </c>
      <c r="D2018" s="529">
        <v>0</v>
      </c>
      <c r="H2018" s="1030">
        <f>'Table 3'!F25</f>
        <v>66918</v>
      </c>
      <c r="I2018" s="1030">
        <v>0</v>
      </c>
      <c r="Y2018" s="1030"/>
      <c r="AI2018" s="2023">
        <f>W2018-'Blocking-Step2'!W2018</f>
        <v>0</v>
      </c>
      <c r="AJ2018" s="2054">
        <f>O2018-'Blocking-Step2'!O2018</f>
        <v>0</v>
      </c>
    </row>
    <row r="2019" spans="1:36" hidden="1">
      <c r="A2019" s="1900" t="s">
        <v>1240</v>
      </c>
      <c r="C2019" s="584"/>
      <c r="D2019" s="584"/>
      <c r="F2019" s="1930">
        <v>-3.3099999999999997E-2</v>
      </c>
      <c r="G2019" s="597"/>
      <c r="H2019" s="1644">
        <f>SUM(H2010:H2011,H2013:H2017)*$F2019</f>
        <v>-314997.87119999999</v>
      </c>
      <c r="I2019" s="1644">
        <f>SUM(I2010:I2011,I2013:I2017)*$F2019</f>
        <v>-299031.42419999995</v>
      </c>
      <c r="K2019" s="1930"/>
      <c r="L2019" s="597"/>
      <c r="M2019" s="1930"/>
      <c r="N2019" s="597"/>
      <c r="O2019" s="1931" t="str">
        <f>$O$43</f>
        <v>Tax Year 1 (1/1/2021)</v>
      </c>
      <c r="P2019" s="597"/>
      <c r="Q2019" s="1930">
        <f>$AC$1988</f>
        <v>-1.3899999999999999E-2</v>
      </c>
      <c r="R2019" s="597"/>
      <c r="S2019" s="1645"/>
      <c r="T2019" s="1645"/>
      <c r="U2019" s="1645"/>
      <c r="V2019" s="1645"/>
      <c r="W2019" s="1645"/>
      <c r="X2019" s="1645"/>
      <c r="Y2019" s="1644">
        <f>Q2019*SUM(Y2004:Y2009,Y2017)</f>
        <v>-121180.03319999999</v>
      </c>
      <c r="AI2019" s="2023">
        <f>W2019-'Blocking-Step2'!W2019</f>
        <v>0</v>
      </c>
      <c r="AJ2019" s="2054">
        <f>O2019-'Blocking-Step2'!O2019</f>
        <v>0</v>
      </c>
    </row>
    <row r="2020" spans="1:36" hidden="1">
      <c r="A2020" s="1900"/>
      <c r="C2020" s="584"/>
      <c r="D2020" s="584"/>
      <c r="F2020" s="1930"/>
      <c r="G2020" s="597"/>
      <c r="H2020" s="1644"/>
      <c r="I2020" s="1644"/>
      <c r="K2020" s="1930"/>
      <c r="L2020" s="597"/>
      <c r="M2020" s="1930"/>
      <c r="N2020" s="597"/>
      <c r="O2020" s="1931">
        <f>$O$44</f>
        <v>0</v>
      </c>
      <c r="P2020" s="597"/>
      <c r="Q2020" s="1930">
        <f>$AC$1989</f>
        <v>0</v>
      </c>
      <c r="R2020" s="597"/>
      <c r="S2020" s="1645"/>
      <c r="T2020" s="1645"/>
      <c r="U2020" s="1645"/>
      <c r="V2020" s="1645"/>
      <c r="W2020" s="1645"/>
      <c r="X2020" s="1645"/>
      <c r="Y2020" s="1644">
        <f>Q2020*SUM(Y2004:Y2009,Y2017)</f>
        <v>0</v>
      </c>
      <c r="AI2020" s="2023">
        <f>W2020-'Blocking-Step2'!W2020</f>
        <v>0</v>
      </c>
      <c r="AJ2020" s="2054">
        <f>O2020-'Blocking-Step2'!O2020</f>
        <v>0</v>
      </c>
    </row>
    <row r="2021" spans="1:36" hidden="1">
      <c r="A2021" s="1116" t="s">
        <v>1317</v>
      </c>
      <c r="C2021" s="584">
        <f>'23'!AL26</f>
        <v>-682</v>
      </c>
      <c r="D2021" s="1024">
        <f>ROUND(C2021/(C2022-C2021)*D2022,0)</f>
        <v>-644</v>
      </c>
      <c r="F2021" s="1930"/>
      <c r="G2021" s="597"/>
      <c r="H2021" s="1644"/>
      <c r="I2021" s="1644"/>
      <c r="K2021" s="1930"/>
      <c r="L2021" s="597"/>
      <c r="M2021" s="1930"/>
      <c r="N2021" s="597"/>
      <c r="O2021" s="1930"/>
      <c r="P2021" s="597"/>
      <c r="Q2021" s="1930"/>
      <c r="R2021" s="597"/>
      <c r="S2021" s="1645"/>
      <c r="T2021" s="1645"/>
      <c r="U2021" s="1645"/>
      <c r="V2021" s="1645"/>
      <c r="W2021" s="1645"/>
      <c r="X2021" s="1645"/>
      <c r="Y2021" s="1644"/>
      <c r="AI2021" s="2023">
        <f>W2021-'Blocking-Step2'!W2021</f>
        <v>0</v>
      </c>
      <c r="AJ2021" s="2054">
        <f>O2021-'Blocking-Step2'!O2021</f>
        <v>0</v>
      </c>
    </row>
    <row r="2022" spans="1:36" ht="16.5" hidden="1" thickBot="1">
      <c r="A2022" s="1900" t="s">
        <v>247</v>
      </c>
      <c r="C2022" s="1949">
        <f>SUM(C2013:C2017,C2018:C2021)</f>
        <v>102253064.87512776</v>
      </c>
      <c r="D2022" s="1949">
        <f>Energy!P14</f>
        <v>96513004.531002313</v>
      </c>
      <c r="F2022" s="1939"/>
      <c r="H2022" s="1647">
        <f>SUM(H2001:H2019)</f>
        <v>10930076.128799999</v>
      </c>
      <c r="I2022" s="1647">
        <f>SUM(I2001:I2019)</f>
        <v>10467720.5758</v>
      </c>
      <c r="K2022" s="1939"/>
      <c r="M2022" s="1939"/>
      <c r="O2022" s="1939"/>
      <c r="Q2022" s="1939"/>
      <c r="S2022" s="1647">
        <f>SUM(S2001:S2018)</f>
        <v>4738143</v>
      </c>
      <c r="U2022" s="1647">
        <f>SUM(U2001:U2018)</f>
        <v>3615679</v>
      </c>
      <c r="W2022" s="1647">
        <f>SUM(W2001:W2018)</f>
        <v>2096736</v>
      </c>
      <c r="Y2022" s="1647">
        <f>SUM(Y2001:Y2018)</f>
        <v>10450558</v>
      </c>
      <c r="AA2022" s="1104" t="s">
        <v>1743</v>
      </c>
      <c r="AB2022" s="1890">
        <f>Y2022/I2022-1</f>
        <v>-1.6395714497459135E-3</v>
      </c>
      <c r="AI2022" s="2023">
        <f>W2022-'Blocking-Step2'!W2022</f>
        <v>0</v>
      </c>
      <c r="AJ2022" s="2054">
        <f>O2022-'Blocking-Step2'!O2022</f>
        <v>0</v>
      </c>
    </row>
    <row r="2023" spans="1:36" ht="16.5" hidden="1" thickTop="1">
      <c r="AI2023" s="2023">
        <f>W2023-'Blocking-Step2'!W2023</f>
        <v>0</v>
      </c>
      <c r="AJ2023" s="2054">
        <f>O2023-'Blocking-Step2'!O2023</f>
        <v>0</v>
      </c>
    </row>
    <row r="2024" spans="1:36" hidden="1">
      <c r="A2024" s="1897" t="s">
        <v>934</v>
      </c>
      <c r="C2024" s="528"/>
      <c r="D2024" s="528"/>
      <c r="AI2024" s="2023">
        <f>W2024-'Blocking-Step2'!W2024</f>
        <v>0</v>
      </c>
      <c r="AJ2024" s="2054">
        <f>O2024-'Blocking-Step2'!O2024</f>
        <v>0</v>
      </c>
    </row>
    <row r="2025" spans="1:36" hidden="1">
      <c r="A2025" s="1900" t="s">
        <v>240</v>
      </c>
      <c r="C2025" s="528">
        <f>'23'!G24</f>
        <v>889735.82099988707</v>
      </c>
      <c r="D2025" s="528">
        <f>Bill!P41</f>
        <v>923789.33489688137</v>
      </c>
      <c r="F2025" s="1944">
        <v>10</v>
      </c>
      <c r="G2025" s="597"/>
      <c r="H2025" s="1644">
        <f t="shared" ref="H2025:I2036" si="1123">ROUND($F2025*C2025,0)</f>
        <v>8897358</v>
      </c>
      <c r="I2025" s="1644">
        <f t="shared" si="1123"/>
        <v>9237893</v>
      </c>
      <c r="K2025" s="1944">
        <f>K1977</f>
        <v>10</v>
      </c>
      <c r="L2025" s="597"/>
      <c r="M2025" s="1944">
        <f>M1977</f>
        <v>0</v>
      </c>
      <c r="N2025" s="597"/>
      <c r="O2025" s="1944">
        <f>O1977</f>
        <v>0</v>
      </c>
      <c r="P2025" s="597"/>
      <c r="Q2025" s="1944">
        <f t="shared" ref="Q2025:Q2033" si="1124">Q1977</f>
        <v>10</v>
      </c>
      <c r="R2025" s="597"/>
      <c r="S2025" s="1644">
        <f t="shared" ref="S2025:S2029" si="1125">ROUND($D2025*K2025,0)</f>
        <v>9237893</v>
      </c>
      <c r="T2025" s="1645"/>
      <c r="U2025" s="1644">
        <f t="shared" ref="U2025:U2029" si="1126">ROUND($D2025*M2025,0)</f>
        <v>0</v>
      </c>
      <c r="V2025" s="1645"/>
      <c r="W2025" s="1644">
        <f t="shared" ref="W2025:W2029" si="1127">ROUND($D2025*O2025,0)</f>
        <v>0</v>
      </c>
      <c r="X2025" s="1645"/>
      <c r="Y2025" s="1644">
        <f>ROUND($D2025*Q2025,0)</f>
        <v>9237893</v>
      </c>
      <c r="AI2025" s="2023">
        <f>W2025-'Blocking-Step2'!W2025</f>
        <v>0</v>
      </c>
      <c r="AJ2025" s="2054">
        <f>O2025-'Blocking-Step2'!O2025</f>
        <v>0</v>
      </c>
    </row>
    <row r="2026" spans="1:36" hidden="1">
      <c r="A2026" s="1900" t="s">
        <v>262</v>
      </c>
      <c r="C2026" s="528">
        <v>0</v>
      </c>
      <c r="D2026" s="528">
        <f>ROUND(C2026/C2025*D2025,0)</f>
        <v>0</v>
      </c>
      <c r="F2026" s="1944">
        <v>120</v>
      </c>
      <c r="G2026" s="597"/>
      <c r="H2026" s="1644">
        <f t="shared" si="1123"/>
        <v>0</v>
      </c>
      <c r="I2026" s="1644">
        <f t="shared" si="1123"/>
        <v>0</v>
      </c>
      <c r="K2026" s="1944">
        <f t="shared" ref="K2026:K2033" si="1128">K1978</f>
        <v>117</v>
      </c>
      <c r="L2026" s="597"/>
      <c r="M2026" s="1944">
        <f t="shared" ref="M2026:M2033" si="1129">M1978</f>
        <v>0</v>
      </c>
      <c r="N2026" s="597"/>
      <c r="O2026" s="1944">
        <f t="shared" ref="O2026:O2033" si="1130">O1978</f>
        <v>0</v>
      </c>
      <c r="P2026" s="597"/>
      <c r="Q2026" s="1944">
        <f t="shared" si="1124"/>
        <v>117</v>
      </c>
      <c r="R2026" s="597"/>
      <c r="S2026" s="1644">
        <f t="shared" si="1125"/>
        <v>0</v>
      </c>
      <c r="T2026" s="1645"/>
      <c r="U2026" s="1644">
        <f t="shared" si="1126"/>
        <v>0</v>
      </c>
      <c r="V2026" s="1645"/>
      <c r="W2026" s="1644">
        <f t="shared" si="1127"/>
        <v>0</v>
      </c>
      <c r="X2026" s="1645"/>
      <c r="Y2026" s="1644">
        <f t="shared" ref="Y2026:Y2029" si="1131">ROUND($D2026*Q2026,0)</f>
        <v>0</v>
      </c>
      <c r="AI2026" s="2023">
        <f>W2026-'Blocking-Step2'!W2026</f>
        <v>0</v>
      </c>
      <c r="AJ2026" s="2054">
        <f>O2026-'Blocking-Step2'!O2026</f>
        <v>0</v>
      </c>
    </row>
    <row r="2027" spans="1:36" hidden="1">
      <c r="A2027" s="1900" t="s">
        <v>1298</v>
      </c>
      <c r="C2027" s="528">
        <f>'23'!AH24</f>
        <v>78.731999999999999</v>
      </c>
      <c r="D2027" s="528">
        <f>ROUND(C2027/C2025*D2025,0)</f>
        <v>82</v>
      </c>
      <c r="F2027" s="1944">
        <v>10</v>
      </c>
      <c r="G2027" s="597"/>
      <c r="H2027" s="1644">
        <f t="shared" si="1123"/>
        <v>787</v>
      </c>
      <c r="I2027" s="1644">
        <f t="shared" si="1123"/>
        <v>820</v>
      </c>
      <c r="K2027" s="1944">
        <f t="shared" si="1128"/>
        <v>10</v>
      </c>
      <c r="L2027" s="597"/>
      <c r="M2027" s="1944">
        <f t="shared" si="1129"/>
        <v>0</v>
      </c>
      <c r="N2027" s="597"/>
      <c r="O2027" s="1944">
        <f t="shared" si="1130"/>
        <v>0</v>
      </c>
      <c r="P2027" s="597"/>
      <c r="Q2027" s="1944">
        <f t="shared" si="1124"/>
        <v>10</v>
      </c>
      <c r="R2027" s="597"/>
      <c r="S2027" s="1644">
        <f t="shared" si="1125"/>
        <v>820</v>
      </c>
      <c r="T2027" s="1645"/>
      <c r="U2027" s="1644">
        <f t="shared" si="1126"/>
        <v>0</v>
      </c>
      <c r="V2027" s="1645"/>
      <c r="W2027" s="1644">
        <f t="shared" si="1127"/>
        <v>0</v>
      </c>
      <c r="X2027" s="1645"/>
      <c r="Y2027" s="1644">
        <f t="shared" si="1131"/>
        <v>820</v>
      </c>
      <c r="AI2027" s="2023">
        <f>W2027-'Blocking-Step2'!W2027</f>
        <v>0</v>
      </c>
      <c r="AJ2027" s="2054">
        <f>O2027-'Blocking-Step2'!O2027</f>
        <v>0</v>
      </c>
    </row>
    <row r="2028" spans="1:36" hidden="1">
      <c r="A2028" s="1900" t="s">
        <v>1654</v>
      </c>
      <c r="C2028" s="528">
        <f>'23'!I24+'23-may'!I24</f>
        <v>284935.59326518374</v>
      </c>
      <c r="D2028" s="528">
        <f>ROUND(C2028/C2046*D2046,0)</f>
        <v>282084</v>
      </c>
      <c r="F2028" s="1944"/>
      <c r="G2028" s="597"/>
      <c r="H2028" s="1644"/>
      <c r="I2028" s="1644"/>
      <c r="K2028" s="1944">
        <f t="shared" si="1128"/>
        <v>8.89</v>
      </c>
      <c r="L2028" s="597"/>
      <c r="M2028" s="1944">
        <f t="shared" si="1129"/>
        <v>0</v>
      </c>
      <c r="N2028" s="597"/>
      <c r="O2028" s="1944">
        <f t="shared" si="1130"/>
        <v>0</v>
      </c>
      <c r="P2028" s="597"/>
      <c r="Q2028" s="1944">
        <f t="shared" si="1124"/>
        <v>8.89</v>
      </c>
      <c r="R2028" s="597"/>
      <c r="S2028" s="1644">
        <f t="shared" si="1125"/>
        <v>2507727</v>
      </c>
      <c r="T2028" s="1645"/>
      <c r="U2028" s="1644">
        <f t="shared" si="1126"/>
        <v>0</v>
      </c>
      <c r="V2028" s="1645"/>
      <c r="W2028" s="1644">
        <f t="shared" si="1127"/>
        <v>0</v>
      </c>
      <c r="X2028" s="1645"/>
      <c r="Y2028" s="1644">
        <f t="shared" si="1131"/>
        <v>2507727</v>
      </c>
      <c r="AI2028" s="2023">
        <f>W2028-'Blocking-Step2'!W2028</f>
        <v>0</v>
      </c>
      <c r="AJ2028" s="2054">
        <f>O2028-'Blocking-Step2'!O2028</f>
        <v>0</v>
      </c>
    </row>
    <row r="2029" spans="1:36" hidden="1">
      <c r="A2029" s="1900" t="s">
        <v>1655</v>
      </c>
      <c r="C2029" s="528">
        <f>'23'!J24+'23-may'!J24</f>
        <v>322137.13125145499</v>
      </c>
      <c r="D2029" s="528">
        <f>ROUND(C2029/C2046*D2046,0)</f>
        <v>318913</v>
      </c>
      <c r="F2029" s="1944"/>
      <c r="G2029" s="597"/>
      <c r="H2029" s="1644"/>
      <c r="I2029" s="1644"/>
      <c r="K2029" s="1944">
        <f t="shared" si="1128"/>
        <v>7.87</v>
      </c>
      <c r="L2029" s="597"/>
      <c r="M2029" s="1944">
        <f t="shared" si="1129"/>
        <v>0</v>
      </c>
      <c r="N2029" s="597"/>
      <c r="O2029" s="1944">
        <f t="shared" si="1130"/>
        <v>0</v>
      </c>
      <c r="P2029" s="597"/>
      <c r="Q2029" s="1944">
        <f t="shared" si="1124"/>
        <v>7.87</v>
      </c>
      <c r="R2029" s="597"/>
      <c r="S2029" s="1644">
        <f t="shared" si="1125"/>
        <v>2509845</v>
      </c>
      <c r="T2029" s="1645"/>
      <c r="U2029" s="1644">
        <f t="shared" si="1126"/>
        <v>0</v>
      </c>
      <c r="V2029" s="1645"/>
      <c r="W2029" s="1644">
        <f t="shared" si="1127"/>
        <v>0</v>
      </c>
      <c r="X2029" s="1645"/>
      <c r="Y2029" s="1644">
        <f t="shared" si="1131"/>
        <v>2509845</v>
      </c>
      <c r="AI2029" s="2023">
        <f>W2029-'Blocking-Step2'!W2029</f>
        <v>0</v>
      </c>
      <c r="AJ2029" s="2054">
        <f>O2029-'Blocking-Step2'!O2029</f>
        <v>0</v>
      </c>
    </row>
    <row r="2030" spans="1:36" hidden="1">
      <c r="A2030" s="1900" t="s">
        <v>1656</v>
      </c>
      <c r="C2030" s="528">
        <f>'23'!N24+'23'!AB24+TempRevMay!C348-TempRevMay!M348-TempRevMay!W348+'23-may'!N24+'23-may'!AB24</f>
        <v>219820357.44385663</v>
      </c>
      <c r="D2030" s="528">
        <f>D2046-SUM(D2031:D2033,D2041,D2045)</f>
        <v>220026206.11234498</v>
      </c>
      <c r="F2030" s="1943"/>
      <c r="G2030" s="1921"/>
      <c r="H2030" s="1644"/>
      <c r="I2030" s="1644"/>
      <c r="K2030" s="1943">
        <f t="shared" si="1128"/>
        <v>2.9403000000000001</v>
      </c>
      <c r="L2030" s="1921" t="s">
        <v>495</v>
      </c>
      <c r="M2030" s="1943">
        <f t="shared" si="1129"/>
        <v>6.4656468966360006</v>
      </c>
      <c r="N2030" s="1921" t="s">
        <v>495</v>
      </c>
      <c r="O2030" s="1943">
        <f t="shared" si="1130"/>
        <v>2.3066</v>
      </c>
      <c r="P2030" s="1921" t="s">
        <v>495</v>
      </c>
      <c r="Q2030" s="1943">
        <f t="shared" si="1124"/>
        <v>11.712546896636001</v>
      </c>
      <c r="R2030" s="1921" t="s">
        <v>495</v>
      </c>
      <c r="S2030" s="1644">
        <f>ROUND($D2030*K2030/100,0)</f>
        <v>6469431</v>
      </c>
      <c r="T2030" s="1648"/>
      <c r="U2030" s="1644">
        <f>ROUND($D2030*M2030/100,0)</f>
        <v>14226118</v>
      </c>
      <c r="V2030" s="1648"/>
      <c r="W2030" s="1644">
        <f>ROUND($D2030*O2030/100,0)</f>
        <v>5075124</v>
      </c>
      <c r="X2030" s="1648"/>
      <c r="Y2030" s="1644">
        <f>ROUND($D2030*Q2030/100,0)</f>
        <v>25770673</v>
      </c>
      <c r="AI2030" s="2023">
        <f>W2030-'Blocking-Step2'!W2030</f>
        <v>0</v>
      </c>
      <c r="AJ2030" s="2054">
        <f>O2030-'Blocking-Step2'!O2030</f>
        <v>0</v>
      </c>
    </row>
    <row r="2031" spans="1:36" hidden="1">
      <c r="A2031" s="1900" t="s">
        <v>1657</v>
      </c>
      <c r="C2031" s="528">
        <f>'23'!O24+'23'!AC24+TempRevMay!C349-TempRevMay!M349-TempRevMay!W349+'23-may'!O24+'23-may'!AC24</f>
        <v>232996273.96449897</v>
      </c>
      <c r="D2031" s="528">
        <f>ROUND(C2031/(C2031+C2030)*Energy!S41*(1-1/Energy!P41*('Blocking-Step1'!D2041+'Blocking-Step1'!D2045)),0)</f>
        <v>233214461</v>
      </c>
      <c r="F2031" s="1943"/>
      <c r="G2031" s="1921"/>
      <c r="H2031" s="1644"/>
      <c r="I2031" s="1644"/>
      <c r="K2031" s="1943">
        <f t="shared" si="1128"/>
        <v>2.9403000000000001</v>
      </c>
      <c r="L2031" s="1921" t="s">
        <v>495</v>
      </c>
      <c r="M2031" s="1943">
        <f t="shared" si="1129"/>
        <v>1.310346896636001</v>
      </c>
      <c r="N2031" s="1921" t="s">
        <v>495</v>
      </c>
      <c r="O2031" s="1943">
        <f t="shared" si="1130"/>
        <v>2.3066</v>
      </c>
      <c r="P2031" s="1921" t="s">
        <v>495</v>
      </c>
      <c r="Q2031" s="1943">
        <f t="shared" si="1124"/>
        <v>6.5572468966360011</v>
      </c>
      <c r="R2031" s="1921" t="s">
        <v>495</v>
      </c>
      <c r="S2031" s="1644">
        <f t="shared" ref="S2031:S2033" si="1132">ROUND($D2031*K2031/100,0)</f>
        <v>6857205</v>
      </c>
      <c r="T2031" s="1648"/>
      <c r="U2031" s="1644">
        <f t="shared" ref="U2031:U2033" si="1133">ROUND($D2031*M2031/100,0)</f>
        <v>3055918</v>
      </c>
      <c r="V2031" s="1648"/>
      <c r="W2031" s="1644">
        <f t="shared" ref="W2031:W2033" si="1134">ROUND($D2031*O2031/100,0)</f>
        <v>5379325</v>
      </c>
      <c r="X2031" s="1648"/>
      <c r="Y2031" s="1644">
        <f t="shared" ref="Y2031:Y2033" si="1135">ROUND($D2031*Q2031/100,0)</f>
        <v>15292448</v>
      </c>
      <c r="AI2031" s="2023">
        <f>W2031-'Blocking-Step2'!W2031</f>
        <v>0</v>
      </c>
      <c r="AJ2031" s="2054">
        <f>O2031-'Blocking-Step2'!O2031</f>
        <v>0</v>
      </c>
    </row>
    <row r="2032" spans="1:36" hidden="1">
      <c r="A2032" s="1900" t="s">
        <v>1658</v>
      </c>
      <c r="C2032" s="528">
        <f>'23'!Q24+'23'!AD24+TempRevMay!C350-TempRevMay!M350-TempRevMay!W350+'23-may'!Q24+'23-may'!AD24</f>
        <v>437183175.69710863</v>
      </c>
      <c r="D2032" s="528">
        <f>ROUND(C2032/(C2033+C2032)*Energy!T41*(1-1/Energy!P41*('Blocking-Step1'!D2041+'Blocking-Step1'!D2045)),0)</f>
        <v>433683507</v>
      </c>
      <c r="F2032" s="1943"/>
      <c r="G2032" s="1921"/>
      <c r="H2032" s="1644"/>
      <c r="I2032" s="1644"/>
      <c r="K2032" s="1943">
        <f t="shared" si="1128"/>
        <v>2.9403000000000001</v>
      </c>
      <c r="L2032" s="1921" t="s">
        <v>495</v>
      </c>
      <c r="M2032" s="1943">
        <f t="shared" si="1129"/>
        <v>5.3096999999999994</v>
      </c>
      <c r="N2032" s="1921" t="s">
        <v>495</v>
      </c>
      <c r="O2032" s="1943">
        <f t="shared" si="1130"/>
        <v>2.1151</v>
      </c>
      <c r="P2032" s="1921" t="s">
        <v>495</v>
      </c>
      <c r="Q2032" s="1943">
        <f t="shared" si="1124"/>
        <v>10.3651</v>
      </c>
      <c r="R2032" s="1921" t="s">
        <v>495</v>
      </c>
      <c r="S2032" s="1644">
        <f t="shared" si="1132"/>
        <v>12751596</v>
      </c>
      <c r="T2032" s="1648"/>
      <c r="U2032" s="1644">
        <f t="shared" si="1133"/>
        <v>23027293</v>
      </c>
      <c r="V2032" s="1648"/>
      <c r="W2032" s="1644">
        <f t="shared" si="1134"/>
        <v>9172840</v>
      </c>
      <c r="X2032" s="1648"/>
      <c r="Y2032" s="1644">
        <f t="shared" si="1135"/>
        <v>44951729</v>
      </c>
      <c r="AI2032" s="2023">
        <f>W2032-'Blocking-Step2'!W2032</f>
        <v>0</v>
      </c>
      <c r="AJ2032" s="2054">
        <f>O2032-'Blocking-Step2'!O2032</f>
        <v>0</v>
      </c>
    </row>
    <row r="2033" spans="1:36" hidden="1">
      <c r="A2033" s="1900" t="s">
        <v>1659</v>
      </c>
      <c r="C2033" s="528">
        <f>'23'!R24+'23'!AE24+TempRevMay!C351-TempRevMay!M351-TempRevMay!W351+'23-may'!R24+'23-may'!AE24</f>
        <v>354388139.47368246</v>
      </c>
      <c r="D2033" s="528">
        <f>ROUND(C2033/(C2032+C2033)*Energy!T41*(1-1/Energy!P41*('Blocking-Step1'!D2041+'Blocking-Step1'!D2045)),0)</f>
        <v>351551248</v>
      </c>
      <c r="F2033" s="1943"/>
      <c r="G2033" s="1921"/>
      <c r="H2033" s="1644"/>
      <c r="I2033" s="1644"/>
      <c r="K2033" s="1943">
        <f t="shared" si="1128"/>
        <v>2.9403000000000001</v>
      </c>
      <c r="L2033" s="1921" t="s">
        <v>495</v>
      </c>
      <c r="M2033" s="1943">
        <f t="shared" si="1129"/>
        <v>0.74750000000000005</v>
      </c>
      <c r="N2033" s="1921" t="s">
        <v>495</v>
      </c>
      <c r="O2033" s="1943">
        <f t="shared" si="1130"/>
        <v>2.1151</v>
      </c>
      <c r="P2033" s="1921" t="s">
        <v>495</v>
      </c>
      <c r="Q2033" s="1943">
        <f t="shared" si="1124"/>
        <v>5.8029000000000002</v>
      </c>
      <c r="R2033" s="1921" t="s">
        <v>495</v>
      </c>
      <c r="S2033" s="1644">
        <f t="shared" si="1132"/>
        <v>10336661</v>
      </c>
      <c r="T2033" s="1648"/>
      <c r="U2033" s="1644">
        <f t="shared" si="1133"/>
        <v>2627846</v>
      </c>
      <c r="V2033" s="1648"/>
      <c r="W2033" s="1644">
        <f t="shared" si="1134"/>
        <v>7435660</v>
      </c>
      <c r="X2033" s="1648"/>
      <c r="Y2033" s="1644">
        <f t="shared" si="1135"/>
        <v>20400167</v>
      </c>
      <c r="AI2033" s="2023">
        <f>W2033-'Blocking-Step2'!W2033</f>
        <v>0</v>
      </c>
      <c r="AJ2033" s="2054">
        <f>O2033-'Blocking-Step2'!O2033</f>
        <v>0</v>
      </c>
    </row>
    <row r="2034" spans="1:36" hidden="1">
      <c r="A2034" s="1900" t="s">
        <v>282</v>
      </c>
      <c r="C2034" s="528">
        <f>'23'!I24</f>
        <v>333040.26589595014</v>
      </c>
      <c r="D2034" s="528">
        <f>ROUND(C2034/C2046*D2046,0)</f>
        <v>329707</v>
      </c>
      <c r="F2034" s="1944">
        <v>8.65</v>
      </c>
      <c r="G2034" s="597"/>
      <c r="H2034" s="1644">
        <f t="shared" si="1123"/>
        <v>2880798</v>
      </c>
      <c r="I2034" s="1644">
        <f t="shared" si="1123"/>
        <v>2851966</v>
      </c>
      <c r="K2034" s="1944"/>
      <c r="L2034" s="597"/>
      <c r="M2034" s="1944"/>
      <c r="N2034" s="597"/>
      <c r="O2034" s="1944"/>
      <c r="P2034" s="597"/>
      <c r="Q2034" s="1944"/>
      <c r="R2034" s="597"/>
      <c r="S2034" s="1645"/>
      <c r="T2034" s="1645"/>
      <c r="U2034" s="1645"/>
      <c r="V2034" s="1645"/>
      <c r="W2034" s="1645"/>
      <c r="X2034" s="1645"/>
      <c r="Y2034" s="1644"/>
      <c r="AI2034" s="2023">
        <f>W2034-'Blocking-Step2'!W2034</f>
        <v>0</v>
      </c>
      <c r="AJ2034" s="2054">
        <f>O2034-'Blocking-Step2'!O2034</f>
        <v>0</v>
      </c>
    </row>
    <row r="2035" spans="1:36" hidden="1">
      <c r="A2035" s="1900" t="s">
        <v>283</v>
      </c>
      <c r="C2035" s="528">
        <f>'23'!J24</f>
        <v>274032.45862068859</v>
      </c>
      <c r="D2035" s="528">
        <f>ROUND(C2035/C2046*D2046,0)</f>
        <v>271290</v>
      </c>
      <c r="F2035" s="1944">
        <v>8.7000000000000011</v>
      </c>
      <c r="G2035" s="597"/>
      <c r="H2035" s="1644">
        <f t="shared" si="1123"/>
        <v>2384082</v>
      </c>
      <c r="I2035" s="1644">
        <f t="shared" si="1123"/>
        <v>2360223</v>
      </c>
      <c r="K2035" s="1944"/>
      <c r="L2035" s="597"/>
      <c r="M2035" s="1944"/>
      <c r="N2035" s="597"/>
      <c r="O2035" s="1944"/>
      <c r="P2035" s="597"/>
      <c r="Q2035" s="1944"/>
      <c r="R2035" s="597"/>
      <c r="S2035" s="1645"/>
      <c r="T2035" s="1645"/>
      <c r="U2035" s="1645"/>
      <c r="V2035" s="1645"/>
      <c r="W2035" s="1645"/>
      <c r="X2035" s="1645"/>
      <c r="Y2035" s="1644"/>
      <c r="AI2035" s="2023">
        <f>W2035-'Blocking-Step2'!W2035</f>
        <v>0</v>
      </c>
      <c r="AJ2035" s="2054">
        <f>O2035-'Blocking-Step2'!O2035</f>
        <v>0</v>
      </c>
    </row>
    <row r="2036" spans="1:36" hidden="1">
      <c r="A2036" s="1900" t="s">
        <v>261</v>
      </c>
      <c r="C2036" s="528">
        <f>'23'!K24</f>
        <v>9699.6041666666697</v>
      </c>
      <c r="D2036" s="528">
        <f>ROUND(C2036/C2046*D2046,0)</f>
        <v>9603</v>
      </c>
      <c r="F2036" s="1944">
        <v>-0.48</v>
      </c>
      <c r="G2036" s="597"/>
      <c r="H2036" s="1644">
        <f t="shared" si="1123"/>
        <v>-4656</v>
      </c>
      <c r="I2036" s="1644">
        <f t="shared" si="1123"/>
        <v>-4609</v>
      </c>
      <c r="K2036" s="1944">
        <f>K1988</f>
        <v>-0.48</v>
      </c>
      <c r="L2036" s="597"/>
      <c r="M2036" s="1944">
        <f>M1988</f>
        <v>0</v>
      </c>
      <c r="N2036" s="597"/>
      <c r="O2036" s="1944">
        <f>O1988</f>
        <v>0</v>
      </c>
      <c r="P2036" s="597"/>
      <c r="Q2036" s="1944">
        <f>Q1988</f>
        <v>-0.48</v>
      </c>
      <c r="R2036" s="597"/>
      <c r="S2036" s="1644">
        <f t="shared" ref="S2036" si="1136">ROUND($D2036*K2036,0)</f>
        <v>-4609</v>
      </c>
      <c r="T2036" s="1645"/>
      <c r="U2036" s="1644">
        <f t="shared" ref="U2036" si="1137">ROUND($D2036*M2036,0)</f>
        <v>0</v>
      </c>
      <c r="V2036" s="1645"/>
      <c r="W2036" s="1644">
        <f t="shared" ref="W2036" si="1138">ROUND($D2036*O2036,0)</f>
        <v>0</v>
      </c>
      <c r="X2036" s="1645"/>
      <c r="Y2036" s="1644">
        <f t="shared" ref="Y2036" si="1139">ROUND($D2036*Q2036,0)</f>
        <v>-4609</v>
      </c>
      <c r="AI2036" s="2023">
        <f>W2036-'Blocking-Step2'!W2036</f>
        <v>0</v>
      </c>
      <c r="AJ2036" s="2054">
        <f>O2036-'Blocking-Step2'!O2036</f>
        <v>0</v>
      </c>
    </row>
    <row r="2037" spans="1:36" hidden="1">
      <c r="A2037" s="1900" t="s">
        <v>194</v>
      </c>
      <c r="C2037" s="528">
        <f>'23'!N24+'23'!AB24+TempRev!C348-TempRev!M348-TempRev!W348</f>
        <v>273349988.13195682</v>
      </c>
      <c r="D2037" s="528">
        <f>D2046-SUM(D2038:D2045)</f>
        <v>275564739.11234498</v>
      </c>
      <c r="F2037" s="1943">
        <v>11.733599999999999</v>
      </c>
      <c r="G2037" s="1921" t="s">
        <v>495</v>
      </c>
      <c r="H2037" s="1644">
        <f t="shared" ref="H2037:I2041" si="1140">ROUND($F2037*C2037/100,0)</f>
        <v>32073794</v>
      </c>
      <c r="I2037" s="1644">
        <f t="shared" si="1140"/>
        <v>32333664</v>
      </c>
      <c r="K2037" s="1943"/>
      <c r="L2037" s="1921"/>
      <c r="M2037" s="1943"/>
      <c r="N2037" s="1921"/>
      <c r="O2037" s="1943"/>
      <c r="P2037" s="1921"/>
      <c r="Q2037" s="1943"/>
      <c r="R2037" s="1921"/>
      <c r="S2037" s="1648"/>
      <c r="T2037" s="1648"/>
      <c r="U2037" s="1648"/>
      <c r="V2037" s="1648"/>
      <c r="W2037" s="1648"/>
      <c r="X2037" s="1648"/>
      <c r="Y2037" s="1644"/>
      <c r="AI2037" s="2023">
        <f>W2037-'Blocking-Step2'!W2037</f>
        <v>0</v>
      </c>
      <c r="AJ2037" s="2054">
        <f>O2037-'Blocking-Step2'!O2037</f>
        <v>0</v>
      </c>
    </row>
    <row r="2038" spans="1:36" hidden="1">
      <c r="A2038" s="1900" t="s">
        <v>195</v>
      </c>
      <c r="C2038" s="528">
        <f>'23'!O24+'23'!AC24+TempRev!C349-TempRev!M349-TempRev!W349</f>
        <v>272862764.79340905</v>
      </c>
      <c r="D2038" s="528">
        <f>ROUND(C2038/(C2038+C2037)*Energy!Q41*(1-1/Energy!P41*('Blocking-Step1'!D2041+'Blocking-Step1'!D2045)),0)</f>
        <v>275073568</v>
      </c>
      <c r="F2038" s="1943">
        <v>6.5782999999999996</v>
      </c>
      <c r="G2038" s="1921" t="s">
        <v>495</v>
      </c>
      <c r="H2038" s="1644">
        <f t="shared" si="1140"/>
        <v>17949731</v>
      </c>
      <c r="I2038" s="1644">
        <f t="shared" si="1140"/>
        <v>18095165</v>
      </c>
      <c r="K2038" s="1943"/>
      <c r="L2038" s="1921"/>
      <c r="M2038" s="1943"/>
      <c r="N2038" s="1921"/>
      <c r="O2038" s="1943"/>
      <c r="P2038" s="1921"/>
      <c r="Q2038" s="1943"/>
      <c r="R2038" s="1921"/>
      <c r="S2038" s="1648"/>
      <c r="T2038" s="1648"/>
      <c r="U2038" s="1648"/>
      <c r="V2038" s="1648"/>
      <c r="W2038" s="1648"/>
      <c r="X2038" s="1648"/>
      <c r="Y2038" s="1644"/>
      <c r="AI2038" s="2023">
        <f>W2038-'Blocking-Step2'!W2038</f>
        <v>0</v>
      </c>
      <c r="AJ2038" s="2054">
        <f>O2038-'Blocking-Step2'!O2038</f>
        <v>0</v>
      </c>
    </row>
    <row r="2039" spans="1:36" hidden="1">
      <c r="A2039" s="1900" t="s">
        <v>160</v>
      </c>
      <c r="C2039" s="528">
        <f>'23'!Q24+'23'!AD24+TempRev!C350-TempRev!M350-TempRev!W350</f>
        <v>383653545.00900841</v>
      </c>
      <c r="D2039" s="528">
        <f>ROUND(C2039/(C2039+C2040)*Energy!R41*(1-1/Energy!P41*('Blocking-Step1'!D2041+'Blocking-Step1'!D2045)),0)</f>
        <v>377972678</v>
      </c>
      <c r="F2039" s="1943">
        <v>10.8</v>
      </c>
      <c r="G2039" s="1921" t="s">
        <v>495</v>
      </c>
      <c r="H2039" s="1644">
        <f t="shared" si="1140"/>
        <v>41434583</v>
      </c>
      <c r="I2039" s="1644">
        <f t="shared" si="1140"/>
        <v>40821049</v>
      </c>
      <c r="K2039" s="1943"/>
      <c r="L2039" s="1921"/>
      <c r="M2039" s="1943"/>
      <c r="N2039" s="1921"/>
      <c r="O2039" s="1943"/>
      <c r="P2039" s="1921"/>
      <c r="Q2039" s="1943"/>
      <c r="R2039" s="1921"/>
      <c r="S2039" s="1648"/>
      <c r="T2039" s="1648"/>
      <c r="U2039" s="1648"/>
      <c r="V2039" s="1648"/>
      <c r="W2039" s="1648"/>
      <c r="X2039" s="1648"/>
      <c r="Y2039" s="1644"/>
      <c r="AI2039" s="2023">
        <f>W2039-'Blocking-Step2'!W2039</f>
        <v>0</v>
      </c>
      <c r="AJ2039" s="2054">
        <f>O2039-'Blocking-Step2'!O2039</f>
        <v>0</v>
      </c>
    </row>
    <row r="2040" spans="1:36" hidden="1">
      <c r="A2040" s="1900" t="s">
        <v>159</v>
      </c>
      <c r="C2040" s="528">
        <f>'23'!R24+'23'!AE24+TempRev!C351-TempRev!M351-TempRev!W351</f>
        <v>314521648.64477241</v>
      </c>
      <c r="D2040" s="528">
        <f>ROUND(C2040/(C2039+C2040)*Energy!R41*(1-1/Energy!P41*('Blocking-Step1'!D2041+'Blocking-Step1'!D2045)),0)</f>
        <v>309864437</v>
      </c>
      <c r="F2040" s="1943">
        <v>6.0567000000000002</v>
      </c>
      <c r="G2040" s="1921" t="s">
        <v>495</v>
      </c>
      <c r="H2040" s="1644">
        <f t="shared" si="1140"/>
        <v>19049633</v>
      </c>
      <c r="I2040" s="1644">
        <f t="shared" si="1140"/>
        <v>18767559</v>
      </c>
      <c r="K2040" s="1943"/>
      <c r="L2040" s="1921"/>
      <c r="M2040" s="1943"/>
      <c r="N2040" s="1921"/>
      <c r="O2040" s="1943"/>
      <c r="P2040" s="1921"/>
      <c r="Q2040" s="1943"/>
      <c r="R2040" s="1921"/>
      <c r="S2040" s="1648"/>
      <c r="T2040" s="1648"/>
      <c r="U2040" s="1648"/>
      <c r="V2040" s="1648"/>
      <c r="W2040" s="1648"/>
      <c r="X2040" s="1648"/>
      <c r="Y2040" s="1644"/>
      <c r="AI2040" s="2023">
        <f>W2040-'Blocking-Step2'!W2040</f>
        <v>0</v>
      </c>
      <c r="AJ2040" s="2054">
        <f>O2040-'Blocking-Step2'!O2040</f>
        <v>0</v>
      </c>
    </row>
    <row r="2041" spans="1:36" hidden="1">
      <c r="A2041" s="1116" t="s">
        <v>1158</v>
      </c>
      <c r="B2041" s="1928"/>
      <c r="C2041" s="1024">
        <f>'23'!V24</f>
        <v>1948912</v>
      </c>
      <c r="D2041" s="1024">
        <f>ROUND(C2041/(C2046-C2045)*D2046,0)</f>
        <v>1929181</v>
      </c>
      <c r="E2041" s="804"/>
      <c r="F2041" s="1927">
        <v>10.120799999999999</v>
      </c>
      <c r="G2041" s="1929" t="s">
        <v>495</v>
      </c>
      <c r="H2041" s="1146">
        <f t="shared" si="1140"/>
        <v>197245</v>
      </c>
      <c r="I2041" s="1146">
        <f t="shared" si="1140"/>
        <v>195249</v>
      </c>
      <c r="J2041" s="804"/>
      <c r="K2041" s="1927">
        <f>K1993</f>
        <v>2.9403000000000001</v>
      </c>
      <c r="L2041" s="1929" t="s">
        <v>495</v>
      </c>
      <c r="M2041" s="1927">
        <f>M1993</f>
        <v>7.4249999999999998</v>
      </c>
      <c r="N2041" s="1929" t="s">
        <v>495</v>
      </c>
      <c r="O2041" s="1927">
        <f>O1993</f>
        <v>0</v>
      </c>
      <c r="P2041" s="1929" t="s">
        <v>495</v>
      </c>
      <c r="Q2041" s="1927">
        <f>Q1993</f>
        <v>10.3653</v>
      </c>
      <c r="R2041" s="1929" t="s">
        <v>495</v>
      </c>
      <c r="S2041" s="1644">
        <f t="shared" ref="S2041" si="1141">ROUND($D2041*K2041/100,0)</f>
        <v>56724</v>
      </c>
      <c r="T2041" s="1648"/>
      <c r="U2041" s="1644">
        <f t="shared" ref="U2041" si="1142">ROUND($D2041*M2041/100,0)</f>
        <v>143242</v>
      </c>
      <c r="V2041" s="1648"/>
      <c r="W2041" s="1644">
        <f t="shared" ref="W2041" si="1143">ROUND($D2041*O2041/100,0)</f>
        <v>0</v>
      </c>
      <c r="X2041" s="1656"/>
      <c r="Y2041" s="1146">
        <f t="shared" ref="Y2041" si="1144">ROUND($D2041*Q2041/100,0)</f>
        <v>199965</v>
      </c>
      <c r="AI2041" s="2023">
        <f>W2041-'Blocking-Step2'!W2041</f>
        <v>0</v>
      </c>
      <c r="AJ2041" s="2054">
        <f>O2041-'Blocking-Step2'!O2041</f>
        <v>0</v>
      </c>
    </row>
    <row r="2042" spans="1:36" hidden="1">
      <c r="A2042" s="1900" t="s">
        <v>246</v>
      </c>
      <c r="C2042" s="529">
        <f>'Table 2'!J60</f>
        <v>6607774</v>
      </c>
      <c r="D2042" s="529">
        <v>0</v>
      </c>
      <c r="H2042" s="1030">
        <f>'Table 3'!F60</f>
        <v>714411</v>
      </c>
      <c r="I2042" s="1030">
        <v>0</v>
      </c>
      <c r="Y2042" s="1030"/>
      <c r="AI2042" s="2023">
        <f>W2042-'Blocking-Step2'!W2042</f>
        <v>0</v>
      </c>
      <c r="AJ2042" s="2054">
        <f>O2042-'Blocking-Step2'!O2042</f>
        <v>0</v>
      </c>
    </row>
    <row r="2043" spans="1:36" hidden="1">
      <c r="A2043" s="1900" t="s">
        <v>1240</v>
      </c>
      <c r="C2043" s="584"/>
      <c r="D2043" s="584"/>
      <c r="F2043" s="1930">
        <v>-3.3099999999999997E-2</v>
      </c>
      <c r="G2043" s="597"/>
      <c r="H2043" s="1644">
        <f>SUM(H2034:H2035,H2037:H2041)*$F2043</f>
        <v>-3838602.5645999997</v>
      </c>
      <c r="I2043" s="1644">
        <f>SUM(I2034:I2035,I2037:I2041)*$F2043</f>
        <v>-3820563.3624999998</v>
      </c>
      <c r="K2043" s="1930"/>
      <c r="L2043" s="597"/>
      <c r="M2043" s="1930"/>
      <c r="N2043" s="597"/>
      <c r="O2043" s="1931" t="str">
        <f>$O$43</f>
        <v>Tax Year 1 (1/1/2021)</v>
      </c>
      <c r="P2043" s="597"/>
      <c r="Q2043" s="1930">
        <f>$AC$1988</f>
        <v>-1.3899999999999999E-2</v>
      </c>
      <c r="R2043" s="597"/>
      <c r="S2043" s="1645"/>
      <c r="T2043" s="1645"/>
      <c r="U2043" s="1645"/>
      <c r="V2043" s="1645"/>
      <c r="W2043" s="1645"/>
      <c r="X2043" s="1645"/>
      <c r="Y2043" s="1644">
        <f>Q2043*SUM(Y2028:Y2033,Y2041)</f>
        <v>-1551692.5005999999</v>
      </c>
      <c r="AI2043" s="2023">
        <f>W2043-'Blocking-Step2'!W2043</f>
        <v>0</v>
      </c>
      <c r="AJ2043" s="2054">
        <f>O2043-'Blocking-Step2'!O2043</f>
        <v>0</v>
      </c>
    </row>
    <row r="2044" spans="1:36" hidden="1">
      <c r="A2044" s="1900"/>
      <c r="C2044" s="584"/>
      <c r="D2044" s="584"/>
      <c r="F2044" s="1930"/>
      <c r="G2044" s="597"/>
      <c r="H2044" s="1644"/>
      <c r="I2044" s="1644"/>
      <c r="K2044" s="1930"/>
      <c r="L2044" s="597"/>
      <c r="M2044" s="1930"/>
      <c r="N2044" s="597"/>
      <c r="O2044" s="1931">
        <f>$O$44</f>
        <v>0</v>
      </c>
      <c r="P2044" s="597"/>
      <c r="Q2044" s="1930">
        <f>$AC$1989</f>
        <v>0</v>
      </c>
      <c r="R2044" s="597"/>
      <c r="S2044" s="1645"/>
      <c r="T2044" s="1645"/>
      <c r="U2044" s="1645"/>
      <c r="V2044" s="1645"/>
      <c r="W2044" s="1645"/>
      <c r="X2044" s="1645"/>
      <c r="Y2044" s="1644">
        <f>Q2044*SUM(Y2028:Y2033,Y2041)</f>
        <v>0</v>
      </c>
      <c r="AI2044" s="2023">
        <f>W2044-'Blocking-Step2'!W2044</f>
        <v>0</v>
      </c>
      <c r="AJ2044" s="2054">
        <f>O2044-'Blocking-Step2'!O2044</f>
        <v>0</v>
      </c>
    </row>
    <row r="2045" spans="1:36" hidden="1">
      <c r="A2045" s="1116" t="s">
        <v>1317</v>
      </c>
      <c r="C2045" s="584">
        <f>'23'!AL24</f>
        <v>-146563</v>
      </c>
      <c r="D2045" s="1024">
        <f>ROUND(C2045/(C2046-C2045)*D2046,0)</f>
        <v>-145079</v>
      </c>
      <c r="F2045" s="1930"/>
      <c r="G2045" s="597"/>
      <c r="H2045" s="1644"/>
      <c r="I2045" s="1644"/>
      <c r="K2045" s="1930"/>
      <c r="L2045" s="597"/>
      <c r="M2045" s="1930"/>
      <c r="N2045" s="597"/>
      <c r="O2045" s="1930"/>
      <c r="P2045" s="597"/>
      <c r="Q2045" s="1930"/>
      <c r="R2045" s="597"/>
      <c r="S2045" s="1645"/>
      <c r="T2045" s="1645"/>
      <c r="U2045" s="1645"/>
      <c r="V2045" s="1645"/>
      <c r="W2045" s="1645"/>
      <c r="X2045" s="1645"/>
      <c r="Y2045" s="1644"/>
      <c r="AI2045" s="2023">
        <f>W2045-'Blocking-Step2'!W2045</f>
        <v>0</v>
      </c>
      <c r="AJ2045" s="2054">
        <f>O2045-'Blocking-Step2'!O2045</f>
        <v>0</v>
      </c>
    </row>
    <row r="2046" spans="1:36" ht="16.5" hidden="1" thickBot="1">
      <c r="A2046" s="1900" t="s">
        <v>247</v>
      </c>
      <c r="C2046" s="1949">
        <f>SUM(C2037:C2041,C2042:C2045)</f>
        <v>1252798069.5791469</v>
      </c>
      <c r="D2046" s="1949">
        <f>Energy!P41</f>
        <v>1240259524.112345</v>
      </c>
      <c r="F2046" s="1939"/>
      <c r="H2046" s="1647">
        <f>SUM(H2025:H2043)</f>
        <v>121739163.43539999</v>
      </c>
      <c r="I2046" s="1647">
        <f>SUM(I2025:I2043)</f>
        <v>120838415.6375</v>
      </c>
      <c r="K2046" s="1939"/>
      <c r="M2046" s="1939"/>
      <c r="O2046" s="1939"/>
      <c r="Q2046" s="1939"/>
      <c r="S2046" s="1647">
        <f>SUM(S2025:S2042)</f>
        <v>50723293</v>
      </c>
      <c r="U2046" s="1647">
        <f>SUM(U2025:U2042)</f>
        <v>43080417</v>
      </c>
      <c r="W2046" s="1647">
        <f>SUM(W2025:W2042)</f>
        <v>27062949</v>
      </c>
      <c r="Y2046" s="1647">
        <f>SUM(Y2025:Y2042)</f>
        <v>120866658</v>
      </c>
      <c r="AA2046" s="1104" t="s">
        <v>1743</v>
      </c>
      <c r="AB2046" s="1890">
        <f>Y2046/I2046-1</f>
        <v>2.3372006618105345E-4</v>
      </c>
      <c r="AI2046" s="2023">
        <f>W2046-'Blocking-Step2'!W2046</f>
        <v>0</v>
      </c>
      <c r="AJ2046" s="2054">
        <f>O2046-'Blocking-Step2'!O2046</f>
        <v>0</v>
      </c>
    </row>
    <row r="2047" spans="1:36" ht="16.5" hidden="1" thickTop="1">
      <c r="C2047" s="528"/>
      <c r="D2047" s="528"/>
      <c r="AI2047" s="2023">
        <f>W2047-'Blocking-Step2'!W2047</f>
        <v>0</v>
      </c>
      <c r="AJ2047" s="2054">
        <f>O2047-'Blocking-Step2'!O2047</f>
        <v>0</v>
      </c>
    </row>
    <row r="2048" spans="1:36" hidden="1">
      <c r="A2048" s="1897" t="s">
        <v>935</v>
      </c>
      <c r="C2048" s="528"/>
      <c r="D2048" s="528"/>
      <c r="AI2048" s="2023">
        <f>W2048-'Blocking-Step2'!W2048</f>
        <v>0</v>
      </c>
      <c r="AJ2048" s="2054">
        <f>O2048-'Blocking-Step2'!O2048</f>
        <v>0</v>
      </c>
    </row>
    <row r="2049" spans="1:36" hidden="1">
      <c r="A2049" s="1900" t="s">
        <v>240</v>
      </c>
      <c r="C2049" s="528">
        <f>'23'!G25</f>
        <v>38154.106999999902</v>
      </c>
      <c r="D2049" s="528">
        <f>Bill!P66</f>
        <v>37431.000000000007</v>
      </c>
      <c r="F2049" s="1944">
        <v>10</v>
      </c>
      <c r="G2049" s="597"/>
      <c r="H2049" s="1644">
        <f t="shared" ref="H2049:I2060" si="1145">ROUND($F2049*C2049,0)</f>
        <v>381541</v>
      </c>
      <c r="I2049" s="1644">
        <f t="shared" si="1145"/>
        <v>374310</v>
      </c>
      <c r="K2049" s="1944">
        <f>K1977</f>
        <v>10</v>
      </c>
      <c r="L2049" s="597"/>
      <c r="M2049" s="1944">
        <f>M1977</f>
        <v>0</v>
      </c>
      <c r="N2049" s="597"/>
      <c r="O2049" s="1944">
        <f>O1977</f>
        <v>0</v>
      </c>
      <c r="P2049" s="597"/>
      <c r="Q2049" s="1944">
        <f t="shared" ref="Q2049:Q2057" si="1146">Q1977</f>
        <v>10</v>
      </c>
      <c r="R2049" s="597"/>
      <c r="S2049" s="1644">
        <f t="shared" ref="S2049:S2053" si="1147">ROUND($D2049*K2049,0)</f>
        <v>374310</v>
      </c>
      <c r="T2049" s="1645"/>
      <c r="U2049" s="1644">
        <f t="shared" ref="U2049:U2053" si="1148">ROUND($D2049*M2049,0)</f>
        <v>0</v>
      </c>
      <c r="V2049" s="1645"/>
      <c r="W2049" s="1644">
        <f t="shared" ref="W2049:W2053" si="1149">ROUND($D2049*O2049,0)</f>
        <v>0</v>
      </c>
      <c r="X2049" s="1645"/>
      <c r="Y2049" s="1644">
        <f>ROUND($D2049*Q2049,0)</f>
        <v>374310</v>
      </c>
      <c r="AI2049" s="2023">
        <f>W2049-'Blocking-Step2'!W2049</f>
        <v>0</v>
      </c>
      <c r="AJ2049" s="2054">
        <f>O2049-'Blocking-Step2'!O2049</f>
        <v>0</v>
      </c>
    </row>
    <row r="2050" spans="1:36" hidden="1">
      <c r="A2050" s="1900" t="s">
        <v>262</v>
      </c>
      <c r="C2050" s="528">
        <v>0</v>
      </c>
      <c r="D2050" s="528">
        <f>ROUND(C2050/C2049*D2049,0)</f>
        <v>0</v>
      </c>
      <c r="F2050" s="1944">
        <v>120</v>
      </c>
      <c r="G2050" s="597"/>
      <c r="H2050" s="1644">
        <f t="shared" si="1145"/>
        <v>0</v>
      </c>
      <c r="I2050" s="1644">
        <f t="shared" si="1145"/>
        <v>0</v>
      </c>
      <c r="K2050" s="1944">
        <f t="shared" ref="K2050:K2057" si="1150">K1978</f>
        <v>117</v>
      </c>
      <c r="L2050" s="597"/>
      <c r="M2050" s="1944">
        <f t="shared" ref="M2050:M2057" si="1151">M1978</f>
        <v>0</v>
      </c>
      <c r="N2050" s="597"/>
      <c r="O2050" s="1944">
        <f t="shared" ref="O2050:O2057" si="1152">O1978</f>
        <v>0</v>
      </c>
      <c r="P2050" s="597"/>
      <c r="Q2050" s="1944">
        <f t="shared" si="1146"/>
        <v>117</v>
      </c>
      <c r="R2050" s="597"/>
      <c r="S2050" s="1644">
        <f t="shared" si="1147"/>
        <v>0</v>
      </c>
      <c r="T2050" s="1645"/>
      <c r="U2050" s="1644">
        <f t="shared" si="1148"/>
        <v>0</v>
      </c>
      <c r="V2050" s="1645"/>
      <c r="W2050" s="1644">
        <f t="shared" si="1149"/>
        <v>0</v>
      </c>
      <c r="X2050" s="1645"/>
      <c r="Y2050" s="1644">
        <f t="shared" ref="Y2050:Y2053" si="1153">ROUND($D2050*Q2050,0)</f>
        <v>0</v>
      </c>
      <c r="AI2050" s="2023">
        <f>W2050-'Blocking-Step2'!W2050</f>
        <v>0</v>
      </c>
      <c r="AJ2050" s="2054">
        <f>O2050-'Blocking-Step2'!O2050</f>
        <v>0</v>
      </c>
    </row>
    <row r="2051" spans="1:36" hidden="1">
      <c r="A2051" s="1900" t="s">
        <v>1298</v>
      </c>
      <c r="C2051" s="528">
        <f>'23'!AH25</f>
        <v>13</v>
      </c>
      <c r="D2051" s="528">
        <f>ROUND(C2051/C2049*D2049,0)</f>
        <v>13</v>
      </c>
      <c r="F2051" s="1944">
        <v>10</v>
      </c>
      <c r="G2051" s="597"/>
      <c r="H2051" s="1644">
        <f t="shared" si="1145"/>
        <v>130</v>
      </c>
      <c r="I2051" s="1644">
        <f t="shared" si="1145"/>
        <v>130</v>
      </c>
      <c r="K2051" s="1944">
        <f t="shared" si="1150"/>
        <v>10</v>
      </c>
      <c r="L2051" s="597"/>
      <c r="M2051" s="1944">
        <f t="shared" si="1151"/>
        <v>0</v>
      </c>
      <c r="N2051" s="597"/>
      <c r="O2051" s="1944">
        <f t="shared" si="1152"/>
        <v>0</v>
      </c>
      <c r="P2051" s="597"/>
      <c r="Q2051" s="1944">
        <f t="shared" si="1146"/>
        <v>10</v>
      </c>
      <c r="R2051" s="597"/>
      <c r="S2051" s="1644">
        <f t="shared" si="1147"/>
        <v>130</v>
      </c>
      <c r="T2051" s="1645"/>
      <c r="U2051" s="1644">
        <f t="shared" si="1148"/>
        <v>0</v>
      </c>
      <c r="V2051" s="1645"/>
      <c r="W2051" s="1644">
        <f t="shared" si="1149"/>
        <v>0</v>
      </c>
      <c r="X2051" s="1645"/>
      <c r="Y2051" s="1644">
        <f t="shared" si="1153"/>
        <v>130</v>
      </c>
      <c r="AI2051" s="2023">
        <f>W2051-'Blocking-Step2'!W2051</f>
        <v>0</v>
      </c>
      <c r="AJ2051" s="2054">
        <f>O2051-'Blocking-Step2'!O2051</f>
        <v>0</v>
      </c>
    </row>
    <row r="2052" spans="1:36" hidden="1">
      <c r="A2052" s="1900" t="s">
        <v>1654</v>
      </c>
      <c r="C2052" s="528">
        <f>'23'!I25+'23-may'!I25</f>
        <v>13934.402372737517</v>
      </c>
      <c r="D2052" s="528">
        <f>ROUND(C2052/C2070*D2070,0)</f>
        <v>13690</v>
      </c>
      <c r="F2052" s="1944"/>
      <c r="G2052" s="597"/>
      <c r="H2052" s="1644"/>
      <c r="I2052" s="1644"/>
      <c r="K2052" s="1944">
        <f t="shared" si="1150"/>
        <v>8.89</v>
      </c>
      <c r="L2052" s="597"/>
      <c r="M2052" s="1944">
        <f t="shared" si="1151"/>
        <v>0</v>
      </c>
      <c r="N2052" s="597"/>
      <c r="O2052" s="1944">
        <f t="shared" si="1152"/>
        <v>0</v>
      </c>
      <c r="P2052" s="597"/>
      <c r="Q2052" s="1944">
        <f t="shared" si="1146"/>
        <v>8.89</v>
      </c>
      <c r="R2052" s="597"/>
      <c r="S2052" s="1644">
        <f t="shared" si="1147"/>
        <v>121704</v>
      </c>
      <c r="T2052" s="1645"/>
      <c r="U2052" s="1644">
        <f t="shared" si="1148"/>
        <v>0</v>
      </c>
      <c r="V2052" s="1645"/>
      <c r="W2052" s="1644">
        <f t="shared" si="1149"/>
        <v>0</v>
      </c>
      <c r="X2052" s="1645"/>
      <c r="Y2052" s="1644">
        <f t="shared" si="1153"/>
        <v>121704</v>
      </c>
      <c r="AI2052" s="2023">
        <f>W2052-'Blocking-Step2'!W2052</f>
        <v>0</v>
      </c>
      <c r="AJ2052" s="2054">
        <f>O2052-'Blocking-Step2'!O2052</f>
        <v>0</v>
      </c>
    </row>
    <row r="2053" spans="1:36" hidden="1">
      <c r="A2053" s="1900" t="s">
        <v>1655</v>
      </c>
      <c r="C2053" s="528">
        <f>'23'!J25+'23-may'!J25</f>
        <v>22308.866911695484</v>
      </c>
      <c r="D2053" s="528">
        <f>ROUND(C2053/C2070*D2070,0)</f>
        <v>21918</v>
      </c>
      <c r="F2053" s="1944"/>
      <c r="G2053" s="597"/>
      <c r="H2053" s="1644"/>
      <c r="I2053" s="1644"/>
      <c r="K2053" s="1944">
        <f t="shared" si="1150"/>
        <v>7.87</v>
      </c>
      <c r="L2053" s="597"/>
      <c r="M2053" s="1944">
        <f t="shared" si="1151"/>
        <v>0</v>
      </c>
      <c r="N2053" s="597"/>
      <c r="O2053" s="1944">
        <f t="shared" si="1152"/>
        <v>0</v>
      </c>
      <c r="P2053" s="597"/>
      <c r="Q2053" s="1944">
        <f t="shared" si="1146"/>
        <v>7.87</v>
      </c>
      <c r="R2053" s="597"/>
      <c r="S2053" s="1644">
        <f t="shared" si="1147"/>
        <v>172495</v>
      </c>
      <c r="T2053" s="1645"/>
      <c r="U2053" s="1644">
        <f t="shared" si="1148"/>
        <v>0</v>
      </c>
      <c r="V2053" s="1645"/>
      <c r="W2053" s="1644">
        <f t="shared" si="1149"/>
        <v>0</v>
      </c>
      <c r="X2053" s="1645"/>
      <c r="Y2053" s="1644">
        <f t="shared" si="1153"/>
        <v>172495</v>
      </c>
      <c r="AI2053" s="2023">
        <f>W2053-'Blocking-Step2'!W2053</f>
        <v>0</v>
      </c>
      <c r="AJ2053" s="2054">
        <f>O2053-'Blocking-Step2'!O2053</f>
        <v>0</v>
      </c>
    </row>
    <row r="2054" spans="1:36" hidden="1">
      <c r="A2054" s="1900" t="s">
        <v>1656</v>
      </c>
      <c r="C2054" s="528">
        <f>'23'!N25+'23'!AB25+'23-may'!N25+'23-may'!AB25</f>
        <v>8604340.0720692445</v>
      </c>
      <c r="D2054" s="528">
        <f>D2070-SUM(D2055:D2057,D2065,D2069)</f>
        <v>8594020.7713383362</v>
      </c>
      <c r="F2054" s="1943"/>
      <c r="G2054" s="1921"/>
      <c r="H2054" s="1644"/>
      <c r="I2054" s="1644"/>
      <c r="K2054" s="1943">
        <f t="shared" si="1150"/>
        <v>2.9403000000000001</v>
      </c>
      <c r="L2054" s="1921" t="s">
        <v>495</v>
      </c>
      <c r="M2054" s="1943">
        <f t="shared" si="1151"/>
        <v>6.4656468966360006</v>
      </c>
      <c r="N2054" s="1921" t="s">
        <v>495</v>
      </c>
      <c r="O2054" s="1943">
        <f t="shared" si="1152"/>
        <v>2.3066</v>
      </c>
      <c r="P2054" s="1921" t="s">
        <v>495</v>
      </c>
      <c r="Q2054" s="1943">
        <f t="shared" si="1146"/>
        <v>11.712546896636001</v>
      </c>
      <c r="R2054" s="1921" t="s">
        <v>495</v>
      </c>
      <c r="S2054" s="1644">
        <f>ROUND($D2054*K2054/100,0)</f>
        <v>252690</v>
      </c>
      <c r="T2054" s="1648"/>
      <c r="U2054" s="1644">
        <f>ROUND($D2054*M2054/100,0)</f>
        <v>555659</v>
      </c>
      <c r="V2054" s="1648"/>
      <c r="W2054" s="1644">
        <f>ROUND($D2054*O2054/100,0)</f>
        <v>198230</v>
      </c>
      <c r="X2054" s="1648"/>
      <c r="Y2054" s="1644">
        <f>ROUND($D2054*Q2054/100,0)</f>
        <v>1006579</v>
      </c>
      <c r="AI2054" s="2023">
        <f>W2054-'Blocking-Step2'!W2054</f>
        <v>0</v>
      </c>
      <c r="AJ2054" s="2054">
        <f>O2054-'Blocking-Step2'!O2054</f>
        <v>0</v>
      </c>
    </row>
    <row r="2055" spans="1:36" hidden="1">
      <c r="A2055" s="1900" t="s">
        <v>1657</v>
      </c>
      <c r="C2055" s="528">
        <f>'23'!O25+'23'!AC25+'23-may'!O25+'23-may'!AC25</f>
        <v>9631147.8950034827</v>
      </c>
      <c r="D2055" s="528">
        <f>ROUND(C2055/(C2055+C2054)*Energy!S66*(1-1/Energy!P66*('Blocking-Step1'!D2065+'Blocking-Step1'!D2069)),0)</f>
        <v>9619597</v>
      </c>
      <c r="F2055" s="1943"/>
      <c r="G2055" s="1921"/>
      <c r="H2055" s="1644"/>
      <c r="I2055" s="1644"/>
      <c r="K2055" s="1943">
        <f t="shared" si="1150"/>
        <v>2.9403000000000001</v>
      </c>
      <c r="L2055" s="1921" t="s">
        <v>495</v>
      </c>
      <c r="M2055" s="1943">
        <f t="shared" si="1151"/>
        <v>1.310346896636001</v>
      </c>
      <c r="N2055" s="1921" t="s">
        <v>495</v>
      </c>
      <c r="O2055" s="1943">
        <f t="shared" si="1152"/>
        <v>2.3066</v>
      </c>
      <c r="P2055" s="1921" t="s">
        <v>495</v>
      </c>
      <c r="Q2055" s="1943">
        <f t="shared" si="1146"/>
        <v>6.5572468966360011</v>
      </c>
      <c r="R2055" s="1921" t="s">
        <v>495</v>
      </c>
      <c r="S2055" s="1644">
        <f t="shared" ref="S2055:S2057" si="1154">ROUND($D2055*K2055/100,0)</f>
        <v>282845</v>
      </c>
      <c r="T2055" s="1648"/>
      <c r="U2055" s="1644">
        <f t="shared" ref="U2055:U2057" si="1155">ROUND($D2055*M2055/100,0)</f>
        <v>126050</v>
      </c>
      <c r="V2055" s="1648"/>
      <c r="W2055" s="1644">
        <f t="shared" ref="W2055:W2057" si="1156">ROUND($D2055*O2055/100,0)</f>
        <v>221886</v>
      </c>
      <c r="X2055" s="1648"/>
      <c r="Y2055" s="1644">
        <f t="shared" ref="Y2055:Y2057" si="1157">ROUND($D2055*Q2055/100,0)</f>
        <v>630781</v>
      </c>
      <c r="AI2055" s="2023">
        <f>W2055-'Blocking-Step2'!W2055</f>
        <v>0</v>
      </c>
      <c r="AJ2055" s="2054">
        <f>O2055-'Blocking-Step2'!O2055</f>
        <v>0</v>
      </c>
    </row>
    <row r="2056" spans="1:36" hidden="1">
      <c r="A2056" s="1900" t="s">
        <v>1658</v>
      </c>
      <c r="C2056" s="528">
        <f>'23'!Q25+'23'!AD25+'23-may'!Q25+'23-may'!AD25</f>
        <v>17935019.927930754</v>
      </c>
      <c r="D2056" s="528">
        <f>ROUND(C2056/(C2057+C2056)*Energy!T66*(1-1/Energy!P66*('Blocking-Step1'!D2065+'Blocking-Step1'!D2069)),0)</f>
        <v>17034958</v>
      </c>
      <c r="F2056" s="1943"/>
      <c r="G2056" s="1921"/>
      <c r="H2056" s="1644"/>
      <c r="I2056" s="1644"/>
      <c r="K2056" s="1943">
        <f t="shared" si="1150"/>
        <v>2.9403000000000001</v>
      </c>
      <c r="L2056" s="1921" t="s">
        <v>495</v>
      </c>
      <c r="M2056" s="1943">
        <f t="shared" si="1151"/>
        <v>5.3096999999999994</v>
      </c>
      <c r="N2056" s="1921" t="s">
        <v>495</v>
      </c>
      <c r="O2056" s="1943">
        <f t="shared" si="1152"/>
        <v>2.1151</v>
      </c>
      <c r="P2056" s="1921" t="s">
        <v>495</v>
      </c>
      <c r="Q2056" s="1943">
        <f t="shared" si="1146"/>
        <v>10.3651</v>
      </c>
      <c r="R2056" s="1921" t="s">
        <v>495</v>
      </c>
      <c r="S2056" s="1644">
        <f t="shared" si="1154"/>
        <v>500879</v>
      </c>
      <c r="T2056" s="1648"/>
      <c r="U2056" s="1644">
        <f t="shared" si="1155"/>
        <v>904505</v>
      </c>
      <c r="V2056" s="1648"/>
      <c r="W2056" s="1644">
        <f t="shared" si="1156"/>
        <v>360306</v>
      </c>
      <c r="X2056" s="1648"/>
      <c r="Y2056" s="1644">
        <f t="shared" si="1157"/>
        <v>1765690</v>
      </c>
      <c r="AI2056" s="2023">
        <f>W2056-'Blocking-Step2'!W2056</f>
        <v>0</v>
      </c>
      <c r="AJ2056" s="2054">
        <f>O2056-'Blocking-Step2'!O2056</f>
        <v>0</v>
      </c>
    </row>
    <row r="2057" spans="1:36" hidden="1">
      <c r="A2057" s="1900" t="s">
        <v>1659</v>
      </c>
      <c r="C2057" s="528">
        <f>'23'!R25+'23'!AE25+'23-may'!R25+'23-may'!AE25</f>
        <v>17268829.104996517</v>
      </c>
      <c r="D2057" s="528">
        <f>ROUND(C2057/(C2056+C2057)*Energy!T66*(1-1/Energy!P66*('Blocking-Step1'!D2065+'Blocking-Step1'!D2069)),0)</f>
        <v>16402200</v>
      </c>
      <c r="F2057" s="1943"/>
      <c r="G2057" s="1921"/>
      <c r="H2057" s="1644"/>
      <c r="I2057" s="1644"/>
      <c r="K2057" s="1943">
        <f t="shared" si="1150"/>
        <v>2.9403000000000001</v>
      </c>
      <c r="L2057" s="1921" t="s">
        <v>495</v>
      </c>
      <c r="M2057" s="1943">
        <f t="shared" si="1151"/>
        <v>0.74750000000000005</v>
      </c>
      <c r="N2057" s="1921" t="s">
        <v>495</v>
      </c>
      <c r="O2057" s="1943">
        <f t="shared" si="1152"/>
        <v>2.1151</v>
      </c>
      <c r="P2057" s="1921" t="s">
        <v>495</v>
      </c>
      <c r="Q2057" s="1943">
        <f t="shared" si="1146"/>
        <v>5.8029000000000002</v>
      </c>
      <c r="R2057" s="1921" t="s">
        <v>495</v>
      </c>
      <c r="S2057" s="1644">
        <f t="shared" si="1154"/>
        <v>482274</v>
      </c>
      <c r="T2057" s="1648"/>
      <c r="U2057" s="1644">
        <f t="shared" si="1155"/>
        <v>122606</v>
      </c>
      <c r="V2057" s="1648"/>
      <c r="W2057" s="1644">
        <f t="shared" si="1156"/>
        <v>346923</v>
      </c>
      <c r="X2057" s="1648"/>
      <c r="Y2057" s="1644">
        <f t="shared" si="1157"/>
        <v>951803</v>
      </c>
      <c r="AI2057" s="2023">
        <f>W2057-'Blocking-Step2'!W2057</f>
        <v>0</v>
      </c>
      <c r="AJ2057" s="2054">
        <f>O2057-'Blocking-Step2'!O2057</f>
        <v>0</v>
      </c>
    </row>
    <row r="2058" spans="1:36" hidden="1">
      <c r="A2058" s="1900" t="s">
        <v>282</v>
      </c>
      <c r="C2058" s="528">
        <f>'23'!I25</f>
        <v>16686.4554913295</v>
      </c>
      <c r="D2058" s="528">
        <f>ROUND(C2058/C2070*D2070,0)</f>
        <v>16394</v>
      </c>
      <c r="F2058" s="1944">
        <v>8.65</v>
      </c>
      <c r="G2058" s="597"/>
      <c r="H2058" s="1644">
        <f t="shared" si="1145"/>
        <v>144338</v>
      </c>
      <c r="I2058" s="1644">
        <f t="shared" si="1145"/>
        <v>141808</v>
      </c>
      <c r="K2058" s="1944"/>
      <c r="L2058" s="597"/>
      <c r="M2058" s="1944"/>
      <c r="N2058" s="597"/>
      <c r="O2058" s="1944"/>
      <c r="P2058" s="597"/>
      <c r="Q2058" s="1944"/>
      <c r="R2058" s="597"/>
      <c r="S2058" s="1645"/>
      <c r="T2058" s="1645"/>
      <c r="U2058" s="1645"/>
      <c r="V2058" s="1645"/>
      <c r="W2058" s="1645"/>
      <c r="X2058" s="1645"/>
      <c r="Y2058" s="1644"/>
      <c r="AI2058" s="2023">
        <f>W2058-'Blocking-Step2'!W2058</f>
        <v>0</v>
      </c>
      <c r="AJ2058" s="2054">
        <f>O2058-'Blocking-Step2'!O2058</f>
        <v>0</v>
      </c>
    </row>
    <row r="2059" spans="1:36" hidden="1">
      <c r="A2059" s="1900" t="s">
        <v>283</v>
      </c>
      <c r="C2059" s="528">
        <f>'23'!J25</f>
        <v>19556.813793103502</v>
      </c>
      <c r="D2059" s="528">
        <f>ROUND(C2059/C2070*D2070,0)</f>
        <v>19214</v>
      </c>
      <c r="F2059" s="1944">
        <v>8.7000000000000011</v>
      </c>
      <c r="G2059" s="597"/>
      <c r="H2059" s="1644">
        <f t="shared" si="1145"/>
        <v>170144</v>
      </c>
      <c r="I2059" s="1644">
        <f t="shared" si="1145"/>
        <v>167162</v>
      </c>
      <c r="K2059" s="1944"/>
      <c r="L2059" s="597"/>
      <c r="M2059" s="1944"/>
      <c r="N2059" s="597"/>
      <c r="O2059" s="1944"/>
      <c r="P2059" s="597"/>
      <c r="Q2059" s="1944"/>
      <c r="R2059" s="597"/>
      <c r="S2059" s="1645"/>
      <c r="T2059" s="1645"/>
      <c r="U2059" s="1645"/>
      <c r="V2059" s="1645"/>
      <c r="W2059" s="1645"/>
      <c r="X2059" s="1645"/>
      <c r="Y2059" s="1644"/>
      <c r="AI2059" s="2023">
        <f>W2059-'Blocking-Step2'!W2059</f>
        <v>0</v>
      </c>
      <c r="AJ2059" s="2054">
        <f>O2059-'Blocking-Step2'!O2059</f>
        <v>0</v>
      </c>
    </row>
    <row r="2060" spans="1:36" hidden="1">
      <c r="A2060" s="1900" t="s">
        <v>261</v>
      </c>
      <c r="C2060" s="528">
        <f>'23'!K25</f>
        <v>2433.125</v>
      </c>
      <c r="D2060" s="528">
        <f>ROUND(C2060/C2070*D2070,0)</f>
        <v>2391</v>
      </c>
      <c r="F2060" s="1944">
        <v>-0.48</v>
      </c>
      <c r="G2060" s="597"/>
      <c r="H2060" s="1644">
        <f t="shared" si="1145"/>
        <v>-1168</v>
      </c>
      <c r="I2060" s="1644">
        <f t="shared" si="1145"/>
        <v>-1148</v>
      </c>
      <c r="K2060" s="1944">
        <f>K1988</f>
        <v>-0.48</v>
      </c>
      <c r="L2060" s="597"/>
      <c r="M2060" s="1944">
        <f>M1988</f>
        <v>0</v>
      </c>
      <c r="N2060" s="597"/>
      <c r="O2060" s="1944">
        <f>O1988</f>
        <v>0</v>
      </c>
      <c r="P2060" s="597"/>
      <c r="Q2060" s="1944">
        <f>Q1988</f>
        <v>-0.48</v>
      </c>
      <c r="R2060" s="597"/>
      <c r="S2060" s="1644">
        <f t="shared" ref="S2060" si="1158">ROUND($D2060*K2060,0)</f>
        <v>-1148</v>
      </c>
      <c r="T2060" s="1645"/>
      <c r="U2060" s="1644">
        <f t="shared" ref="U2060" si="1159">ROUND($D2060*M2060,0)</f>
        <v>0</v>
      </c>
      <c r="V2060" s="1645"/>
      <c r="W2060" s="1644">
        <f t="shared" ref="W2060" si="1160">ROUND($D2060*O2060,0)</f>
        <v>0</v>
      </c>
      <c r="X2060" s="1645"/>
      <c r="Y2060" s="1644">
        <f t="shared" ref="Y2060" si="1161">ROUND($D2060*Q2060,0)</f>
        <v>-1148</v>
      </c>
      <c r="AI2060" s="2023">
        <f>W2060-'Blocking-Step2'!W2060</f>
        <v>0</v>
      </c>
      <c r="AJ2060" s="2054">
        <f>O2060-'Blocking-Step2'!O2060</f>
        <v>0</v>
      </c>
    </row>
    <row r="2061" spans="1:36" hidden="1">
      <c r="A2061" s="1900" t="s">
        <v>194</v>
      </c>
      <c r="C2061" s="528">
        <f>'23'!N25+'23'!AB25</f>
        <v>10640672</v>
      </c>
      <c r="D2061" s="528">
        <f>D2070-SUM(D2062:D2069)</f>
        <v>10568996.771338336</v>
      </c>
      <c r="F2061" s="1942">
        <v>11.733599999999999</v>
      </c>
      <c r="G2061" s="1921" t="s">
        <v>495</v>
      </c>
      <c r="H2061" s="1644">
        <f t="shared" ref="H2061:I2065" si="1162">ROUND($F2061*C2061/100,0)</f>
        <v>1248534</v>
      </c>
      <c r="I2061" s="1644">
        <f t="shared" si="1162"/>
        <v>1240124</v>
      </c>
      <c r="K2061" s="1942"/>
      <c r="L2061" s="1921"/>
      <c r="M2061" s="1942"/>
      <c r="N2061" s="1921"/>
      <c r="O2061" s="1942"/>
      <c r="P2061" s="1921"/>
      <c r="Q2061" s="1942"/>
      <c r="R2061" s="1921"/>
      <c r="S2061" s="1648"/>
      <c r="T2061" s="1648"/>
      <c r="U2061" s="1648"/>
      <c r="V2061" s="1648"/>
      <c r="W2061" s="1648"/>
      <c r="X2061" s="1648"/>
      <c r="Y2061" s="1644"/>
      <c r="AI2061" s="2023">
        <f>W2061-'Blocking-Step2'!W2061</f>
        <v>0</v>
      </c>
      <c r="AJ2061" s="2054">
        <f>O2061-'Blocking-Step2'!O2061</f>
        <v>0</v>
      </c>
    </row>
    <row r="2062" spans="1:36" hidden="1">
      <c r="A2062" s="1900" t="s">
        <v>195</v>
      </c>
      <c r="C2062" s="528">
        <f>'23'!O25+'23'!AC25</f>
        <v>11455178</v>
      </c>
      <c r="D2062" s="528">
        <f>ROUND(C2062/(C2062+C2061)*Energy!Q66*(1-1/Energy!P66*('Blocking-Step1'!D2065+'Blocking-Step1'!D2069)),0)</f>
        <v>11378017</v>
      </c>
      <c r="F2062" s="1942">
        <v>6.5782999999999996</v>
      </c>
      <c r="G2062" s="1921" t="s">
        <v>495</v>
      </c>
      <c r="H2062" s="1644">
        <f t="shared" si="1162"/>
        <v>753556</v>
      </c>
      <c r="I2062" s="1644">
        <f t="shared" si="1162"/>
        <v>748480</v>
      </c>
      <c r="K2062" s="1942"/>
      <c r="L2062" s="1921"/>
      <c r="M2062" s="1942"/>
      <c r="N2062" s="1921"/>
      <c r="O2062" s="1942"/>
      <c r="P2062" s="1921"/>
      <c r="Q2062" s="1942"/>
      <c r="R2062" s="1921"/>
      <c r="S2062" s="1648"/>
      <c r="T2062" s="1648"/>
      <c r="U2062" s="1648"/>
      <c r="V2062" s="1648"/>
      <c r="W2062" s="1648"/>
      <c r="X2062" s="1648"/>
      <c r="Y2062" s="1644"/>
      <c r="AI2062" s="2023">
        <f>W2062-'Blocking-Step2'!W2062</f>
        <v>0</v>
      </c>
      <c r="AJ2062" s="2054">
        <f>O2062-'Blocking-Step2'!O2062</f>
        <v>0</v>
      </c>
    </row>
    <row r="2063" spans="1:36" hidden="1">
      <c r="A2063" s="1900" t="s">
        <v>160</v>
      </c>
      <c r="C2063" s="528">
        <f>'23'!Q25+'23'!AD25</f>
        <v>15898688</v>
      </c>
      <c r="D2063" s="528">
        <f>ROUND(C2063/(C2063+C2064)*Energy!R66*(1-1/Energy!P66*('Blocking-Step1'!D2065+'Blocking-Step1'!D2069)),0)</f>
        <v>15066953</v>
      </c>
      <c r="F2063" s="1942">
        <v>10.8</v>
      </c>
      <c r="G2063" s="1921" t="s">
        <v>495</v>
      </c>
      <c r="H2063" s="1644">
        <f t="shared" si="1162"/>
        <v>1717058</v>
      </c>
      <c r="I2063" s="1644">
        <f t="shared" si="1162"/>
        <v>1627231</v>
      </c>
      <c r="K2063" s="1942"/>
      <c r="L2063" s="1921"/>
      <c r="M2063" s="1942"/>
      <c r="N2063" s="1921"/>
      <c r="O2063" s="1942"/>
      <c r="P2063" s="1921"/>
      <c r="Q2063" s="1942"/>
      <c r="R2063" s="1921"/>
      <c r="S2063" s="1648"/>
      <c r="T2063" s="1648"/>
      <c r="U2063" s="1648"/>
      <c r="V2063" s="1648"/>
      <c r="W2063" s="1648"/>
      <c r="X2063" s="1648"/>
      <c r="Y2063" s="1644"/>
      <c r="AI2063" s="2023">
        <f>W2063-'Blocking-Step2'!W2063</f>
        <v>0</v>
      </c>
      <c r="AJ2063" s="2054">
        <f>O2063-'Blocking-Step2'!O2063</f>
        <v>0</v>
      </c>
    </row>
    <row r="2064" spans="1:36" hidden="1">
      <c r="A2064" s="1900" t="s">
        <v>159</v>
      </c>
      <c r="C2064" s="528">
        <f>'23'!R25+'23'!AE25</f>
        <v>15444799</v>
      </c>
      <c r="D2064" s="528">
        <f>ROUND(C2064/(C2063+C2064)*Energy!R66*(1-1/Energy!P66*('Blocking-Step1'!D2065+'Blocking-Step1'!D2069)),0)</f>
        <v>14636809</v>
      </c>
      <c r="F2064" s="1942">
        <v>6.0567000000000002</v>
      </c>
      <c r="G2064" s="1921" t="s">
        <v>495</v>
      </c>
      <c r="H2064" s="1644">
        <f t="shared" si="1162"/>
        <v>935445</v>
      </c>
      <c r="I2064" s="1644">
        <f t="shared" si="1162"/>
        <v>886508</v>
      </c>
      <c r="K2064" s="1942"/>
      <c r="L2064" s="1921"/>
      <c r="M2064" s="1942"/>
      <c r="N2064" s="1921"/>
      <c r="O2064" s="1942"/>
      <c r="P2064" s="1921"/>
      <c r="Q2064" s="1942"/>
      <c r="R2064" s="1921"/>
      <c r="S2064" s="1648"/>
      <c r="T2064" s="1648"/>
      <c r="U2064" s="1648"/>
      <c r="V2064" s="1648"/>
      <c r="W2064" s="1648"/>
      <c r="X2064" s="1648"/>
      <c r="Y2064" s="1644"/>
      <c r="AI2064" s="2023">
        <f>W2064-'Blocking-Step2'!W2064</f>
        <v>0</v>
      </c>
      <c r="AJ2064" s="2054">
        <f>O2064-'Blocking-Step2'!O2064</f>
        <v>0</v>
      </c>
    </row>
    <row r="2065" spans="1:36" hidden="1">
      <c r="A2065" s="1116" t="s">
        <v>1158</v>
      </c>
      <c r="B2065" s="1928"/>
      <c r="C2065" s="1024">
        <f>'23'!V25</f>
        <v>101506</v>
      </c>
      <c r="D2065" s="1024">
        <f>ROUND(C2065/(C2070-C2069)*D2070,0)</f>
        <v>99720</v>
      </c>
      <c r="E2065" s="804"/>
      <c r="F2065" s="1927">
        <v>10.120799999999999</v>
      </c>
      <c r="G2065" s="1929" t="s">
        <v>495</v>
      </c>
      <c r="H2065" s="1146">
        <f t="shared" si="1162"/>
        <v>10273</v>
      </c>
      <c r="I2065" s="1146">
        <f t="shared" si="1162"/>
        <v>10092</v>
      </c>
      <c r="J2065" s="804"/>
      <c r="K2065" s="1927">
        <f>K1993</f>
        <v>2.9403000000000001</v>
      </c>
      <c r="L2065" s="1929" t="s">
        <v>495</v>
      </c>
      <c r="M2065" s="1927">
        <f>M1993</f>
        <v>7.4249999999999998</v>
      </c>
      <c r="N2065" s="1929" t="s">
        <v>495</v>
      </c>
      <c r="O2065" s="1927">
        <f>O1993</f>
        <v>0</v>
      </c>
      <c r="P2065" s="1929" t="s">
        <v>495</v>
      </c>
      <c r="Q2065" s="1927">
        <f>Q1993</f>
        <v>10.3653</v>
      </c>
      <c r="R2065" s="1929" t="s">
        <v>495</v>
      </c>
      <c r="S2065" s="1644">
        <f t="shared" ref="S2065" si="1163">ROUND($D2065*K2065/100,0)</f>
        <v>2932</v>
      </c>
      <c r="T2065" s="1648"/>
      <c r="U2065" s="1644">
        <f t="shared" ref="U2065" si="1164">ROUND($D2065*M2065/100,0)</f>
        <v>7404</v>
      </c>
      <c r="V2065" s="1648"/>
      <c r="W2065" s="1644">
        <f t="shared" ref="W2065" si="1165">ROUND($D2065*O2065/100,0)</f>
        <v>0</v>
      </c>
      <c r="X2065" s="1656"/>
      <c r="Y2065" s="1146">
        <f t="shared" ref="Y2065" si="1166">ROUND($D2065*Q2065/100,0)</f>
        <v>10336</v>
      </c>
      <c r="AI2065" s="2023">
        <f>W2065-'Blocking-Step2'!W2065</f>
        <v>0</v>
      </c>
      <c r="AJ2065" s="2054">
        <f>O2065-'Blocking-Step2'!O2065</f>
        <v>0</v>
      </c>
    </row>
    <row r="2066" spans="1:36" hidden="1">
      <c r="A2066" s="1900" t="s">
        <v>246</v>
      </c>
      <c r="C2066" s="529">
        <f>'Table 2'!J96</f>
        <v>-867916</v>
      </c>
      <c r="D2066" s="529">
        <v>0</v>
      </c>
      <c r="H2066" s="1030">
        <f>'Table 3'!F96</f>
        <v>-78953</v>
      </c>
      <c r="I2066" s="1030">
        <v>0</v>
      </c>
      <c r="Y2066" s="1030"/>
      <c r="AI2066" s="2023">
        <f>W2066-'Blocking-Step2'!W2066</f>
        <v>0</v>
      </c>
      <c r="AJ2066" s="2054">
        <f>O2066-'Blocking-Step2'!O2066</f>
        <v>0</v>
      </c>
    </row>
    <row r="2067" spans="1:36" hidden="1">
      <c r="A2067" s="1900" t="s">
        <v>1240</v>
      </c>
      <c r="C2067" s="584"/>
      <c r="D2067" s="584"/>
      <c r="F2067" s="1930">
        <v>-3.3099999999999997E-2</v>
      </c>
      <c r="G2067" s="597"/>
      <c r="H2067" s="1644">
        <f>SUM(H2058:H2059,H2061:H2065)*$F2067</f>
        <v>-164816.41879999998</v>
      </c>
      <c r="I2067" s="1644">
        <f>SUM(I2058:I2059,I2061:I2065)*$F2067</f>
        <v>-159588.5055</v>
      </c>
      <c r="K2067" s="1930"/>
      <c r="L2067" s="597"/>
      <c r="M2067" s="1930"/>
      <c r="N2067" s="597"/>
      <c r="O2067" s="1931" t="str">
        <f>$O$43</f>
        <v>Tax Year 1 (1/1/2021)</v>
      </c>
      <c r="P2067" s="597"/>
      <c r="Q2067" s="1930">
        <f>$AC$1988</f>
        <v>-1.3899999999999999E-2</v>
      </c>
      <c r="R2067" s="597"/>
      <c r="S2067" s="1645"/>
      <c r="T2067" s="1645"/>
      <c r="U2067" s="1645"/>
      <c r="V2067" s="1645"/>
      <c r="W2067" s="1645"/>
      <c r="X2067" s="1645"/>
      <c r="Y2067" s="1644">
        <f>Q2067*SUM(Y2052:Y2057,Y2065)</f>
        <v>-64765.493199999997</v>
      </c>
      <c r="AI2067" s="2023">
        <f>W2067-'Blocking-Step2'!W2067</f>
        <v>0</v>
      </c>
      <c r="AJ2067" s="2054">
        <f>O2067-'Blocking-Step2'!O2067</f>
        <v>0</v>
      </c>
    </row>
    <row r="2068" spans="1:36" hidden="1">
      <c r="A2068" s="1900"/>
      <c r="C2068" s="584"/>
      <c r="D2068" s="584"/>
      <c r="F2068" s="1930"/>
      <c r="G2068" s="597"/>
      <c r="H2068" s="1644"/>
      <c r="I2068" s="1644"/>
      <c r="K2068" s="1930"/>
      <c r="L2068" s="597"/>
      <c r="M2068" s="1930"/>
      <c r="N2068" s="597"/>
      <c r="O2068" s="1931">
        <f>$O$44</f>
        <v>0</v>
      </c>
      <c r="P2068" s="597"/>
      <c r="Q2068" s="1930">
        <f>$AC$1989</f>
        <v>0</v>
      </c>
      <c r="R2068" s="597"/>
      <c r="S2068" s="1645"/>
      <c r="T2068" s="1645"/>
      <c r="U2068" s="1645"/>
      <c r="V2068" s="1645"/>
      <c r="W2068" s="1645"/>
      <c r="X2068" s="1645"/>
      <c r="Y2068" s="1644">
        <f>Q2068*SUM(Y2052:Y2057,Y2065)</f>
        <v>0</v>
      </c>
      <c r="AI2068" s="2023">
        <f>W2068-'Blocking-Step2'!W2068</f>
        <v>0</v>
      </c>
      <c r="AJ2068" s="2054">
        <f>O2068-'Blocking-Step2'!O2068</f>
        <v>0</v>
      </c>
    </row>
    <row r="2069" spans="1:36" hidden="1">
      <c r="A2069" s="1116" t="s">
        <v>1317</v>
      </c>
      <c r="C2069" s="584">
        <f>'23'!AL25</f>
        <v>-4490</v>
      </c>
      <c r="D2069" s="1024">
        <f>ROUND(C2069/(C2070-C2069)*D2070,0)</f>
        <v>-4411</v>
      </c>
      <c r="F2069" s="1930"/>
      <c r="G2069" s="597"/>
      <c r="H2069" s="1644"/>
      <c r="I2069" s="1644"/>
      <c r="K2069" s="1930"/>
      <c r="L2069" s="597"/>
      <c r="M2069" s="1930"/>
      <c r="N2069" s="597"/>
      <c r="O2069" s="1930"/>
      <c r="P2069" s="597"/>
      <c r="Q2069" s="1930"/>
      <c r="R2069" s="597"/>
      <c r="S2069" s="1645"/>
      <c r="T2069" s="1645"/>
      <c r="U2069" s="1645"/>
      <c r="V2069" s="1645"/>
      <c r="W2069" s="1645"/>
      <c r="X2069" s="1645"/>
      <c r="Y2069" s="1644"/>
      <c r="AI2069" s="2023">
        <f>W2069-'Blocking-Step2'!W2069</f>
        <v>0</v>
      </c>
      <c r="AJ2069" s="2054">
        <f>O2069-'Blocking-Step2'!O2069</f>
        <v>0</v>
      </c>
    </row>
    <row r="2070" spans="1:36" ht="16.5" hidden="1" thickBot="1">
      <c r="A2070" s="1900" t="s">
        <v>247</v>
      </c>
      <c r="C2070" s="1949">
        <f>SUM(C2061:C2065,C2066:C2069)</f>
        <v>52668437</v>
      </c>
      <c r="D2070" s="1949">
        <f>Energy!P66</f>
        <v>51746084.771338336</v>
      </c>
      <c r="F2070" s="1939"/>
      <c r="H2070" s="1647">
        <f>SUM(H2049:H2067)</f>
        <v>5116081.5811999999</v>
      </c>
      <c r="I2070" s="1647">
        <f>SUM(I2049:I2067)</f>
        <v>5035108.4945</v>
      </c>
      <c r="K2070" s="1939"/>
      <c r="M2070" s="1939"/>
      <c r="O2070" s="1939"/>
      <c r="Q2070" s="1939"/>
      <c r="S2070" s="1647">
        <f>SUM(S2049:S2066)</f>
        <v>2189111</v>
      </c>
      <c r="U2070" s="1647">
        <f>SUM(U2049:U2066)</f>
        <v>1716224</v>
      </c>
      <c r="W2070" s="1647">
        <f>SUM(W2049:W2066)</f>
        <v>1127345</v>
      </c>
      <c r="Y2070" s="1647">
        <f>SUM(Y2049:Y2066)</f>
        <v>5032680</v>
      </c>
      <c r="AA2070" s="1104" t="s">
        <v>1743</v>
      </c>
      <c r="AB2070" s="1890">
        <f>Y2070/I2070-1</f>
        <v>-4.8231224861450261E-4</v>
      </c>
      <c r="AI2070" s="2023">
        <f>W2070-'Blocking-Step2'!W2070</f>
        <v>0</v>
      </c>
      <c r="AJ2070" s="2054">
        <f>O2070-'Blocking-Step2'!O2070</f>
        <v>0</v>
      </c>
    </row>
    <row r="2071" spans="1:36" ht="16.5" thickTop="1">
      <c r="C2071" s="528"/>
      <c r="D2071" s="528"/>
      <c r="AI2071" s="2023">
        <f>W2071-'Blocking-Step2'!W2071</f>
        <v>0</v>
      </c>
      <c r="AJ2071" s="2054">
        <f>O2071-'Blocking-Step2'!O2071</f>
        <v>0</v>
      </c>
    </row>
    <row r="2072" spans="1:36">
      <c r="A2072" s="1897" t="s">
        <v>1012</v>
      </c>
      <c r="C2072" s="528"/>
      <c r="D2072" s="528"/>
      <c r="AI2072" s="2023">
        <f>W2072-'Blocking-Step2'!W2072</f>
        <v>0</v>
      </c>
      <c r="AJ2072" s="2054">
        <f>O2072-'Blocking-Step2'!O2072</f>
        <v>0</v>
      </c>
    </row>
    <row r="2073" spans="1:36">
      <c r="A2073" s="1900" t="s">
        <v>240</v>
      </c>
      <c r="C2073" s="528">
        <f>C2095+C2117+C2139</f>
        <v>15290.919999999989</v>
      </c>
      <c r="D2073" s="528">
        <f>D2095+D2117+D2139</f>
        <v>18738</v>
      </c>
      <c r="F2073" s="1901">
        <v>10</v>
      </c>
      <c r="G2073" s="1902"/>
      <c r="H2073" s="1644">
        <f t="shared" ref="H2073:I2084" si="1167">ROUND($F2073*C2073,0)</f>
        <v>152909</v>
      </c>
      <c r="I2073" s="1644">
        <f t="shared" si="1167"/>
        <v>187380</v>
      </c>
      <c r="K2073" s="1901">
        <f>K1977</f>
        <v>10</v>
      </c>
      <c r="L2073" s="1902"/>
      <c r="M2073" s="1901">
        <f>M1977</f>
        <v>0</v>
      </c>
      <c r="N2073" s="1902"/>
      <c r="O2073" s="1901">
        <f>O1977</f>
        <v>0</v>
      </c>
      <c r="P2073" s="1902"/>
      <c r="Q2073" s="1901">
        <f t="shared" ref="Q2073:Q2081" si="1168">Q1977</f>
        <v>10</v>
      </c>
      <c r="R2073" s="1902"/>
      <c r="S2073" s="1644">
        <f t="shared" ref="S2073:S2077" si="1169">ROUND($D2073*K2073,0)</f>
        <v>187380</v>
      </c>
      <c r="T2073" s="1645"/>
      <c r="U2073" s="1644">
        <f t="shared" ref="U2073:U2077" si="1170">ROUND($D2073*M2073,0)</f>
        <v>0</v>
      </c>
      <c r="V2073" s="1645"/>
      <c r="W2073" s="1644">
        <f t="shared" ref="W2073:W2077" si="1171">ROUND($D2073*O2073,0)</f>
        <v>0</v>
      </c>
      <c r="X2073" s="1643"/>
      <c r="Y2073" s="1644">
        <f>ROUND($D2073*Q2073,0)</f>
        <v>187380</v>
      </c>
      <c r="AI2073" s="2023">
        <f>W2073-'Blocking-Step2'!W2073</f>
        <v>0</v>
      </c>
      <c r="AJ2073" s="2054">
        <f>O2073-'Blocking-Step2'!O2073</f>
        <v>0</v>
      </c>
    </row>
    <row r="2074" spans="1:36">
      <c r="A2074" s="1900" t="s">
        <v>262</v>
      </c>
      <c r="C2074" s="528">
        <f t="shared" ref="C2074:D2089" si="1172">C2096+C2118+C2140</f>
        <v>0</v>
      </c>
      <c r="D2074" s="528">
        <f>D2096+D2118+D2140</f>
        <v>0</v>
      </c>
      <c r="F2074" s="1901">
        <v>120</v>
      </c>
      <c r="G2074" s="1902"/>
      <c r="H2074" s="1644">
        <f t="shared" si="1167"/>
        <v>0</v>
      </c>
      <c r="I2074" s="1644">
        <f t="shared" si="1167"/>
        <v>0</v>
      </c>
      <c r="K2074" s="1901">
        <f t="shared" ref="K2074:K2081" si="1173">K1978</f>
        <v>117</v>
      </c>
      <c r="L2074" s="1902"/>
      <c r="M2074" s="1901">
        <f t="shared" ref="M2074:M2081" si="1174">M1978</f>
        <v>0</v>
      </c>
      <c r="N2074" s="1902"/>
      <c r="O2074" s="1901">
        <f t="shared" ref="O2074:O2081" si="1175">O1978</f>
        <v>0</v>
      </c>
      <c r="P2074" s="1902"/>
      <c r="Q2074" s="1901">
        <f t="shared" si="1168"/>
        <v>117</v>
      </c>
      <c r="R2074" s="1902"/>
      <c r="S2074" s="1644">
        <f t="shared" si="1169"/>
        <v>0</v>
      </c>
      <c r="T2074" s="1645"/>
      <c r="U2074" s="1644">
        <f t="shared" si="1170"/>
        <v>0</v>
      </c>
      <c r="V2074" s="1645"/>
      <c r="W2074" s="1644">
        <f t="shared" si="1171"/>
        <v>0</v>
      </c>
      <c r="X2074" s="1643"/>
      <c r="Y2074" s="1644">
        <f t="shared" ref="Y2074:Y2077" si="1176">ROUND($D2074*Q2074,0)</f>
        <v>0</v>
      </c>
      <c r="AI2074" s="2023">
        <f>W2074-'Blocking-Step2'!W2074</f>
        <v>0</v>
      </c>
      <c r="AJ2074" s="2054">
        <f>O2074-'Blocking-Step2'!O2074</f>
        <v>0</v>
      </c>
    </row>
    <row r="2075" spans="1:36">
      <c r="A2075" s="1900" t="s">
        <v>1298</v>
      </c>
      <c r="C2075" s="528">
        <f t="shared" si="1172"/>
        <v>8.2669999999999995</v>
      </c>
      <c r="D2075" s="528">
        <f>D2097+D2119+D2141</f>
        <v>10</v>
      </c>
      <c r="F2075" s="1944">
        <v>10</v>
      </c>
      <c r="G2075" s="597"/>
      <c r="H2075" s="1644">
        <f t="shared" si="1167"/>
        <v>83</v>
      </c>
      <c r="I2075" s="1644">
        <f t="shared" si="1167"/>
        <v>100</v>
      </c>
      <c r="K2075" s="1944">
        <f t="shared" si="1173"/>
        <v>10</v>
      </c>
      <c r="L2075" s="597"/>
      <c r="M2075" s="1944">
        <f t="shared" si="1174"/>
        <v>0</v>
      </c>
      <c r="N2075" s="597"/>
      <c r="O2075" s="1944">
        <f t="shared" si="1175"/>
        <v>0</v>
      </c>
      <c r="P2075" s="597"/>
      <c r="Q2075" s="1944">
        <f t="shared" si="1168"/>
        <v>10</v>
      </c>
      <c r="R2075" s="597"/>
      <c r="S2075" s="1644">
        <f t="shared" si="1169"/>
        <v>100</v>
      </c>
      <c r="T2075" s="1645"/>
      <c r="U2075" s="1644">
        <f t="shared" si="1170"/>
        <v>0</v>
      </c>
      <c r="V2075" s="1645"/>
      <c r="W2075" s="1644">
        <f t="shared" si="1171"/>
        <v>0</v>
      </c>
      <c r="X2075" s="1645"/>
      <c r="Y2075" s="1644">
        <f t="shared" si="1176"/>
        <v>100</v>
      </c>
      <c r="AI2075" s="2023">
        <f>W2075-'Blocking-Step2'!W2075</f>
        <v>0</v>
      </c>
      <c r="AJ2075" s="2054">
        <f>O2075-'Blocking-Step2'!O2075</f>
        <v>0</v>
      </c>
    </row>
    <row r="2076" spans="1:36">
      <c r="A2076" s="1900" t="s">
        <v>1654</v>
      </c>
      <c r="C2076" s="528">
        <f t="shared" si="1172"/>
        <v>5242.5390358493651</v>
      </c>
      <c r="D2076" s="528">
        <f t="shared" si="1172"/>
        <v>6794</v>
      </c>
      <c r="F2076" s="1944"/>
      <c r="G2076" s="597"/>
      <c r="H2076" s="1644"/>
      <c r="I2076" s="1644"/>
      <c r="K2076" s="1944">
        <f t="shared" si="1173"/>
        <v>8.89</v>
      </c>
      <c r="L2076" s="597"/>
      <c r="M2076" s="1944">
        <f t="shared" si="1174"/>
        <v>0</v>
      </c>
      <c r="N2076" s="597"/>
      <c r="O2076" s="1944">
        <f t="shared" si="1175"/>
        <v>0</v>
      </c>
      <c r="P2076" s="597"/>
      <c r="Q2076" s="1944">
        <f t="shared" si="1168"/>
        <v>8.89</v>
      </c>
      <c r="R2076" s="597"/>
      <c r="S2076" s="1644">
        <f t="shared" si="1169"/>
        <v>60399</v>
      </c>
      <c r="T2076" s="1645"/>
      <c r="U2076" s="1644">
        <f t="shared" si="1170"/>
        <v>0</v>
      </c>
      <c r="V2076" s="1645"/>
      <c r="W2076" s="1644">
        <f t="shared" si="1171"/>
        <v>0</v>
      </c>
      <c r="X2076" s="1645"/>
      <c r="Y2076" s="1644">
        <f t="shared" si="1176"/>
        <v>60399</v>
      </c>
      <c r="AI2076" s="2023">
        <f>W2076-'Blocking-Step2'!W2076</f>
        <v>0</v>
      </c>
      <c r="AJ2076" s="2054">
        <f>O2076-'Blocking-Step2'!O2076</f>
        <v>0</v>
      </c>
    </row>
    <row r="2077" spans="1:36">
      <c r="A2077" s="1900" t="s">
        <v>1655</v>
      </c>
      <c r="C2077" s="528">
        <f t="shared" si="1172"/>
        <v>7485.8636749339703</v>
      </c>
      <c r="D2077" s="528">
        <f t="shared" si="1172"/>
        <v>9813</v>
      </c>
      <c r="F2077" s="1944"/>
      <c r="G2077" s="597"/>
      <c r="H2077" s="1644"/>
      <c r="I2077" s="1644"/>
      <c r="K2077" s="1944">
        <f t="shared" si="1173"/>
        <v>7.87</v>
      </c>
      <c r="L2077" s="597"/>
      <c r="M2077" s="1944">
        <f t="shared" si="1174"/>
        <v>0</v>
      </c>
      <c r="N2077" s="597"/>
      <c r="O2077" s="1944">
        <f t="shared" si="1175"/>
        <v>0</v>
      </c>
      <c r="P2077" s="597"/>
      <c r="Q2077" s="1944">
        <f t="shared" si="1168"/>
        <v>7.87</v>
      </c>
      <c r="R2077" s="597"/>
      <c r="S2077" s="1644">
        <f t="shared" si="1169"/>
        <v>77228</v>
      </c>
      <c r="T2077" s="1645"/>
      <c r="U2077" s="1644">
        <f t="shared" si="1170"/>
        <v>0</v>
      </c>
      <c r="V2077" s="1645"/>
      <c r="W2077" s="1644">
        <f t="shared" si="1171"/>
        <v>0</v>
      </c>
      <c r="X2077" s="1645"/>
      <c r="Y2077" s="1644">
        <f t="shared" si="1176"/>
        <v>77228</v>
      </c>
      <c r="AI2077" s="2023">
        <f>W2077-'Blocking-Step2'!W2077</f>
        <v>0</v>
      </c>
      <c r="AJ2077" s="2054">
        <f>O2077-'Blocking-Step2'!O2077</f>
        <v>0</v>
      </c>
    </row>
    <row r="2078" spans="1:36">
      <c r="A2078" s="1900" t="s">
        <v>1656</v>
      </c>
      <c r="C2078" s="528">
        <f t="shared" si="1172"/>
        <v>1451255.3257046135</v>
      </c>
      <c r="D2078" s="528">
        <f t="shared" si="1172"/>
        <v>2193839.9420763389</v>
      </c>
      <c r="F2078" s="1943"/>
      <c r="G2078" s="1921"/>
      <c r="H2078" s="1644"/>
      <c r="I2078" s="1644"/>
      <c r="K2078" s="1943">
        <f t="shared" si="1173"/>
        <v>2.9403000000000001</v>
      </c>
      <c r="L2078" s="1921" t="s">
        <v>495</v>
      </c>
      <c r="M2078" s="1943">
        <f t="shared" si="1174"/>
        <v>6.4656468966360006</v>
      </c>
      <c r="N2078" s="1921" t="s">
        <v>495</v>
      </c>
      <c r="O2078" s="1943">
        <f t="shared" si="1175"/>
        <v>2.3066</v>
      </c>
      <c r="P2078" s="1921" t="s">
        <v>495</v>
      </c>
      <c r="Q2078" s="1943">
        <f t="shared" si="1168"/>
        <v>11.712546896636001</v>
      </c>
      <c r="R2078" s="1921" t="s">
        <v>495</v>
      </c>
      <c r="S2078" s="1644">
        <f>ROUND($D2078*K2078/100,0)</f>
        <v>64505</v>
      </c>
      <c r="T2078" s="1648"/>
      <c r="U2078" s="1644">
        <f>ROUND($D2078*M2078/100,0)</f>
        <v>141846</v>
      </c>
      <c r="V2078" s="1648"/>
      <c r="W2078" s="1644">
        <f>ROUND($D2078*O2078/100,0)</f>
        <v>50603</v>
      </c>
      <c r="X2078" s="1648"/>
      <c r="Y2078" s="1644">
        <f>ROUND($D2078*Q2078/100,0)</f>
        <v>256955</v>
      </c>
      <c r="AI2078" s="2023">
        <f>W2078-'Blocking-Step2'!W2078</f>
        <v>0</v>
      </c>
      <c r="AJ2078" s="2054">
        <f>O2078-'Blocking-Step2'!O2078</f>
        <v>0</v>
      </c>
    </row>
    <row r="2079" spans="1:36">
      <c r="A2079" s="1900" t="s">
        <v>1657</v>
      </c>
      <c r="C2079" s="528">
        <f t="shared" si="1172"/>
        <v>1460637.2809257735</v>
      </c>
      <c r="D2079" s="528">
        <f t="shared" si="1172"/>
        <v>2240351</v>
      </c>
      <c r="F2079" s="1943"/>
      <c r="G2079" s="1921"/>
      <c r="H2079" s="1644"/>
      <c r="I2079" s="1644"/>
      <c r="K2079" s="1943">
        <f t="shared" si="1173"/>
        <v>2.9403000000000001</v>
      </c>
      <c r="L2079" s="1921" t="s">
        <v>495</v>
      </c>
      <c r="M2079" s="1943">
        <f t="shared" si="1174"/>
        <v>1.310346896636001</v>
      </c>
      <c r="N2079" s="1921" t="s">
        <v>495</v>
      </c>
      <c r="O2079" s="1943">
        <f t="shared" si="1175"/>
        <v>2.3066</v>
      </c>
      <c r="P2079" s="1921" t="s">
        <v>495</v>
      </c>
      <c r="Q2079" s="1943">
        <f t="shared" si="1168"/>
        <v>6.5572468966360011</v>
      </c>
      <c r="R2079" s="1921" t="s">
        <v>495</v>
      </c>
      <c r="S2079" s="1644">
        <f t="shared" ref="S2079:S2081" si="1177">ROUND($D2079*K2079/100,0)</f>
        <v>65873</v>
      </c>
      <c r="T2079" s="1648"/>
      <c r="U2079" s="1644">
        <f t="shared" ref="U2079:U2081" si="1178">ROUND($D2079*M2079/100,0)</f>
        <v>29356</v>
      </c>
      <c r="V2079" s="1648"/>
      <c r="W2079" s="1644">
        <f t="shared" ref="W2079:W2081" si="1179">ROUND($D2079*O2079/100,0)</f>
        <v>51676</v>
      </c>
      <c r="X2079" s="1648"/>
      <c r="Y2079" s="1644">
        <f t="shared" ref="Y2079:Y2081" si="1180">ROUND($D2079*Q2079/100,0)</f>
        <v>146905</v>
      </c>
      <c r="AI2079" s="2023">
        <f>W2079-'Blocking-Step2'!W2079</f>
        <v>0</v>
      </c>
      <c r="AJ2079" s="2054">
        <f>O2079-'Blocking-Step2'!O2079</f>
        <v>0</v>
      </c>
    </row>
    <row r="2080" spans="1:36">
      <c r="A2080" s="1900" t="s">
        <v>1658</v>
      </c>
      <c r="C2080" s="528">
        <f t="shared" si="1172"/>
        <v>4372182.9192844722</v>
      </c>
      <c r="D2080" s="528">
        <f t="shared" si="1172"/>
        <v>5247056</v>
      </c>
      <c r="F2080" s="1943"/>
      <c r="G2080" s="1921"/>
      <c r="H2080" s="1644"/>
      <c r="I2080" s="1644"/>
      <c r="K2080" s="1943">
        <f t="shared" si="1173"/>
        <v>2.9403000000000001</v>
      </c>
      <c r="L2080" s="1921" t="s">
        <v>495</v>
      </c>
      <c r="M2080" s="1943">
        <f t="shared" si="1174"/>
        <v>5.3096999999999994</v>
      </c>
      <c r="N2080" s="1921" t="s">
        <v>495</v>
      </c>
      <c r="O2080" s="1943">
        <f t="shared" si="1175"/>
        <v>2.1151</v>
      </c>
      <c r="P2080" s="1921" t="s">
        <v>495</v>
      </c>
      <c r="Q2080" s="1943">
        <f t="shared" si="1168"/>
        <v>10.3651</v>
      </c>
      <c r="R2080" s="1921" t="s">
        <v>495</v>
      </c>
      <c r="S2080" s="1644">
        <f t="shared" si="1177"/>
        <v>154279</v>
      </c>
      <c r="T2080" s="1648"/>
      <c r="U2080" s="1644">
        <f t="shared" si="1178"/>
        <v>278603</v>
      </c>
      <c r="V2080" s="1648"/>
      <c r="W2080" s="1644">
        <f t="shared" si="1179"/>
        <v>110980</v>
      </c>
      <c r="X2080" s="1648"/>
      <c r="Y2080" s="1644">
        <f t="shared" si="1180"/>
        <v>543863</v>
      </c>
      <c r="AI2080" s="2023">
        <f>W2080-'Blocking-Step2'!W2080</f>
        <v>0</v>
      </c>
      <c r="AJ2080" s="2054">
        <f>O2080-'Blocking-Step2'!O2080</f>
        <v>0</v>
      </c>
    </row>
    <row r="2081" spans="1:36">
      <c r="A2081" s="1900" t="s">
        <v>1659</v>
      </c>
      <c r="C2081" s="528">
        <f t="shared" si="1172"/>
        <v>3899689.2540909215</v>
      </c>
      <c r="D2081" s="528">
        <f t="shared" si="1172"/>
        <v>4722287</v>
      </c>
      <c r="F2081" s="1943"/>
      <c r="G2081" s="1921"/>
      <c r="H2081" s="1644"/>
      <c r="I2081" s="1644"/>
      <c r="K2081" s="1943">
        <f t="shared" si="1173"/>
        <v>2.9403000000000001</v>
      </c>
      <c r="L2081" s="1921" t="s">
        <v>495</v>
      </c>
      <c r="M2081" s="1943">
        <f t="shared" si="1174"/>
        <v>0.74750000000000005</v>
      </c>
      <c r="N2081" s="1921" t="s">
        <v>495</v>
      </c>
      <c r="O2081" s="1943">
        <f t="shared" si="1175"/>
        <v>2.1151</v>
      </c>
      <c r="P2081" s="1921" t="s">
        <v>495</v>
      </c>
      <c r="Q2081" s="1943">
        <f t="shared" si="1168"/>
        <v>5.8029000000000002</v>
      </c>
      <c r="R2081" s="1921" t="s">
        <v>495</v>
      </c>
      <c r="S2081" s="1644">
        <f t="shared" si="1177"/>
        <v>138849</v>
      </c>
      <c r="T2081" s="1648"/>
      <c r="U2081" s="1644">
        <f t="shared" si="1178"/>
        <v>35299</v>
      </c>
      <c r="V2081" s="1648"/>
      <c r="W2081" s="1644">
        <f t="shared" si="1179"/>
        <v>99881</v>
      </c>
      <c r="X2081" s="1648"/>
      <c r="Y2081" s="1644">
        <f t="shared" si="1180"/>
        <v>274030</v>
      </c>
      <c r="AI2081" s="2023">
        <f>W2081-'Blocking-Step2'!W2081</f>
        <v>0</v>
      </c>
      <c r="AJ2081" s="2054">
        <f>O2081-'Blocking-Step2'!O2081</f>
        <v>0</v>
      </c>
    </row>
    <row r="2082" spans="1:36">
      <c r="A2082" s="1900" t="s">
        <v>282</v>
      </c>
      <c r="C2082" s="528">
        <f t="shared" si="1172"/>
        <v>6046.6716763005797</v>
      </c>
      <c r="D2082" s="528">
        <f t="shared" si="1172"/>
        <v>7841</v>
      </c>
      <c r="F2082" s="1901">
        <v>8.65</v>
      </c>
      <c r="G2082" s="1902"/>
      <c r="H2082" s="1644">
        <f t="shared" si="1167"/>
        <v>52304</v>
      </c>
      <c r="I2082" s="1644">
        <f t="shared" si="1167"/>
        <v>67825</v>
      </c>
      <c r="K2082" s="1901"/>
      <c r="L2082" s="1902"/>
      <c r="M2082" s="1901"/>
      <c r="N2082" s="1902"/>
      <c r="O2082" s="1901"/>
      <c r="P2082" s="1902"/>
      <c r="Q2082" s="1901"/>
      <c r="R2082" s="1902"/>
      <c r="S2082" s="1645"/>
      <c r="T2082" s="1645"/>
      <c r="U2082" s="1645"/>
      <c r="V2082" s="1645"/>
      <c r="W2082" s="1645"/>
      <c r="X2082" s="1643"/>
      <c r="Y2082" s="1644"/>
      <c r="AI2082" s="2023">
        <f>W2082-'Blocking-Step2'!W2082</f>
        <v>0</v>
      </c>
      <c r="AJ2082" s="2054">
        <f>O2082-'Blocking-Step2'!O2082</f>
        <v>0</v>
      </c>
    </row>
    <row r="2083" spans="1:36">
      <c r="A2083" s="1900" t="s">
        <v>283</v>
      </c>
      <c r="C2083" s="528">
        <f t="shared" si="1172"/>
        <v>6681.7310344827556</v>
      </c>
      <c r="D2083" s="528">
        <f t="shared" si="1172"/>
        <v>8766</v>
      </c>
      <c r="F2083" s="1901">
        <v>8.7000000000000011</v>
      </c>
      <c r="G2083" s="1902"/>
      <c r="H2083" s="1644">
        <f t="shared" si="1167"/>
        <v>58131</v>
      </c>
      <c r="I2083" s="1644">
        <f t="shared" si="1167"/>
        <v>76264</v>
      </c>
      <c r="K2083" s="1901"/>
      <c r="L2083" s="1902"/>
      <c r="M2083" s="1901"/>
      <c r="N2083" s="1902"/>
      <c r="O2083" s="1901"/>
      <c r="P2083" s="1902"/>
      <c r="Q2083" s="1901"/>
      <c r="R2083" s="1902"/>
      <c r="S2083" s="1645"/>
      <c r="T2083" s="1645"/>
      <c r="U2083" s="1645"/>
      <c r="V2083" s="1645"/>
      <c r="W2083" s="1645"/>
      <c r="X2083" s="1643"/>
      <c r="Y2083" s="1644"/>
      <c r="AI2083" s="2023">
        <f>W2083-'Blocking-Step2'!W2083</f>
        <v>0</v>
      </c>
      <c r="AJ2083" s="2054">
        <f>O2083-'Blocking-Step2'!O2083</f>
        <v>0</v>
      </c>
    </row>
    <row r="2084" spans="1:36">
      <c r="A2084" s="1900" t="s">
        <v>261</v>
      </c>
      <c r="C2084" s="528">
        <f t="shared" si="1172"/>
        <v>0</v>
      </c>
      <c r="D2084" s="528">
        <f t="shared" si="1172"/>
        <v>0</v>
      </c>
      <c r="F2084" s="1901">
        <v>-0.48</v>
      </c>
      <c r="G2084" s="1902"/>
      <c r="H2084" s="1644">
        <f t="shared" si="1167"/>
        <v>0</v>
      </c>
      <c r="I2084" s="1644">
        <f t="shared" si="1167"/>
        <v>0</v>
      </c>
      <c r="K2084" s="1901">
        <f>K1988</f>
        <v>-0.48</v>
      </c>
      <c r="L2084" s="1902"/>
      <c r="M2084" s="1901">
        <f>M1988</f>
        <v>0</v>
      </c>
      <c r="N2084" s="1902"/>
      <c r="O2084" s="1901">
        <f>O1988</f>
        <v>0</v>
      </c>
      <c r="P2084" s="1902"/>
      <c r="Q2084" s="1901">
        <f>Q1988</f>
        <v>-0.48</v>
      </c>
      <c r="R2084" s="1902"/>
      <c r="S2084" s="1644">
        <f t="shared" ref="S2084" si="1181">ROUND($D2084*K2084,0)</f>
        <v>0</v>
      </c>
      <c r="T2084" s="1645"/>
      <c r="U2084" s="1644">
        <f t="shared" ref="U2084" si="1182">ROUND($D2084*M2084,0)</f>
        <v>0</v>
      </c>
      <c r="V2084" s="1645"/>
      <c r="W2084" s="1644">
        <f t="shared" ref="W2084" si="1183">ROUND($D2084*O2084,0)</f>
        <v>0</v>
      </c>
      <c r="X2084" s="1643"/>
      <c r="Y2084" s="1644">
        <f t="shared" ref="Y2084" si="1184">ROUND($D2084*Q2084,0)</f>
        <v>0</v>
      </c>
      <c r="AI2084" s="2023">
        <f>W2084-'Blocking-Step2'!W2084</f>
        <v>0</v>
      </c>
      <c r="AJ2084" s="2054">
        <f>O2084-'Blocking-Step2'!O2084</f>
        <v>0</v>
      </c>
    </row>
    <row r="2085" spans="1:36">
      <c r="A2085" s="1900" t="s">
        <v>194</v>
      </c>
      <c r="C2085" s="528">
        <f t="shared" si="1172"/>
        <v>1744090.8515496962</v>
      </c>
      <c r="D2085" s="528">
        <f t="shared" si="1172"/>
        <v>2609824.9420763389</v>
      </c>
      <c r="F2085" s="1926">
        <v>11.733599999999999</v>
      </c>
      <c r="G2085" s="1921" t="s">
        <v>495</v>
      </c>
      <c r="H2085" s="1644">
        <f t="shared" ref="H2085:I2088" si="1185">ROUND($F2085*C2085/100,0)</f>
        <v>204645</v>
      </c>
      <c r="I2085" s="1644">
        <f t="shared" si="1185"/>
        <v>306226</v>
      </c>
      <c r="K2085" s="1926"/>
      <c r="L2085" s="1921"/>
      <c r="M2085" s="1926"/>
      <c r="N2085" s="1921"/>
      <c r="O2085" s="1926"/>
      <c r="P2085" s="1921"/>
      <c r="Q2085" s="1926"/>
      <c r="R2085" s="1921"/>
      <c r="S2085" s="1648"/>
      <c r="T2085" s="1648"/>
      <c r="U2085" s="1648"/>
      <c r="V2085" s="1648"/>
      <c r="W2085" s="1648"/>
      <c r="X2085" s="1648"/>
      <c r="Y2085" s="1644"/>
      <c r="AI2085" s="2023">
        <f>W2085-'Blocking-Step2'!W2085</f>
        <v>0</v>
      </c>
      <c r="AJ2085" s="2054">
        <f>O2085-'Blocking-Step2'!O2085</f>
        <v>0</v>
      </c>
    </row>
    <row r="2086" spans="1:36">
      <c r="A2086" s="1900" t="s">
        <v>195</v>
      </c>
      <c r="C2086" s="528">
        <f t="shared" si="1172"/>
        <v>1663397.9178585962</v>
      </c>
      <c r="D2086" s="528">
        <f t="shared" si="1172"/>
        <v>2499478</v>
      </c>
      <c r="F2086" s="1926">
        <v>6.5782999999999996</v>
      </c>
      <c r="G2086" s="1921" t="s">
        <v>495</v>
      </c>
      <c r="H2086" s="1644">
        <f t="shared" si="1185"/>
        <v>109423</v>
      </c>
      <c r="I2086" s="1644">
        <f t="shared" si="1185"/>
        <v>164423</v>
      </c>
      <c r="K2086" s="1926"/>
      <c r="L2086" s="1921"/>
      <c r="M2086" s="1926"/>
      <c r="N2086" s="1921"/>
      <c r="O2086" s="1926"/>
      <c r="P2086" s="1921"/>
      <c r="Q2086" s="1926"/>
      <c r="R2086" s="1921"/>
      <c r="S2086" s="1648"/>
      <c r="T2086" s="1648"/>
      <c r="U2086" s="1648"/>
      <c r="V2086" s="1648"/>
      <c r="W2086" s="1648"/>
      <c r="X2086" s="1648"/>
      <c r="Y2086" s="1644"/>
      <c r="AI2086" s="2023">
        <f>W2086-'Blocking-Step2'!W2086</f>
        <v>0</v>
      </c>
      <c r="AJ2086" s="2054">
        <f>O2086-'Blocking-Step2'!O2086</f>
        <v>0</v>
      </c>
    </row>
    <row r="2087" spans="1:36">
      <c r="A2087" s="1900" t="s">
        <v>160</v>
      </c>
      <c r="C2087" s="528">
        <f t="shared" si="1172"/>
        <v>4079347.3934393898</v>
      </c>
      <c r="D2087" s="528">
        <f t="shared" si="1172"/>
        <v>4852798</v>
      </c>
      <c r="F2087" s="1926">
        <v>10.8</v>
      </c>
      <c r="G2087" s="1921" t="s">
        <v>495</v>
      </c>
      <c r="H2087" s="1644">
        <f t="shared" si="1185"/>
        <v>440570</v>
      </c>
      <c r="I2087" s="1644">
        <f t="shared" si="1185"/>
        <v>524102</v>
      </c>
      <c r="K2087" s="1926"/>
      <c r="L2087" s="1921"/>
      <c r="M2087" s="1926"/>
      <c r="N2087" s="1921"/>
      <c r="O2087" s="1926"/>
      <c r="P2087" s="1921"/>
      <c r="Q2087" s="1926"/>
      <c r="R2087" s="1921"/>
      <c r="S2087" s="1648"/>
      <c r="T2087" s="1648"/>
      <c r="U2087" s="1648"/>
      <c r="V2087" s="1648"/>
      <c r="W2087" s="1648"/>
      <c r="X2087" s="1648"/>
      <c r="Y2087" s="1644"/>
      <c r="AI2087" s="2023">
        <f>W2087-'Blocking-Step2'!W2087</f>
        <v>0</v>
      </c>
      <c r="AJ2087" s="2054">
        <f>O2087-'Blocking-Step2'!O2087</f>
        <v>0</v>
      </c>
    </row>
    <row r="2088" spans="1:36">
      <c r="A2088" s="1900" t="s">
        <v>159</v>
      </c>
      <c r="C2088" s="528">
        <f t="shared" si="1172"/>
        <v>3696928.6171580991</v>
      </c>
      <c r="D2088" s="528">
        <f t="shared" si="1172"/>
        <v>4441433</v>
      </c>
      <c r="F2088" s="1926">
        <v>6.0567000000000002</v>
      </c>
      <c r="G2088" s="1921" t="s">
        <v>495</v>
      </c>
      <c r="H2088" s="1644">
        <f t="shared" si="1185"/>
        <v>223912</v>
      </c>
      <c r="I2088" s="1644">
        <f t="shared" si="1185"/>
        <v>269004</v>
      </c>
      <c r="K2088" s="1926"/>
      <c r="L2088" s="1921"/>
      <c r="M2088" s="1926"/>
      <c r="N2088" s="1921"/>
      <c r="O2088" s="1926"/>
      <c r="P2088" s="1921"/>
      <c r="Q2088" s="1926"/>
      <c r="R2088" s="1921"/>
      <c r="S2088" s="1648"/>
      <c r="T2088" s="1648"/>
      <c r="U2088" s="1648"/>
      <c r="V2088" s="1648"/>
      <c r="W2088" s="1648"/>
      <c r="X2088" s="1648"/>
      <c r="Y2088" s="1644"/>
      <c r="AI2088" s="2023">
        <f>W2088-'Blocking-Step2'!W2088</f>
        <v>0</v>
      </c>
      <c r="AJ2088" s="2054">
        <f>O2088-'Blocking-Step2'!O2088</f>
        <v>0</v>
      </c>
    </row>
    <row r="2089" spans="1:36">
      <c r="A2089" s="1900" t="s">
        <v>246</v>
      </c>
      <c r="C2089" s="529">
        <f t="shared" si="1172"/>
        <v>55962</v>
      </c>
      <c r="D2089" s="529">
        <f t="shared" si="1172"/>
        <v>0</v>
      </c>
      <c r="H2089" s="1030">
        <f>H2111+H2133+H2155</f>
        <v>6730</v>
      </c>
      <c r="I2089" s="1030">
        <f t="shared" ref="I2089" si="1186">I2111+I2133+I2155</f>
        <v>0</v>
      </c>
      <c r="Y2089" s="1030">
        <f t="shared" ref="Y2089" si="1187">Y2111+Y2133+Y2155</f>
        <v>0</v>
      </c>
      <c r="AI2089" s="2023">
        <f>W2089-'Blocking-Step2'!W2089</f>
        <v>0</v>
      </c>
      <c r="AJ2089" s="2054">
        <f>O2089-'Blocking-Step2'!O2089</f>
        <v>0</v>
      </c>
    </row>
    <row r="2090" spans="1:36">
      <c r="A2090" s="1900" t="s">
        <v>1240</v>
      </c>
      <c r="C2090" s="584"/>
      <c r="D2090" s="584"/>
      <c r="F2090" s="1930">
        <v>-3.3099999999999997E-2</v>
      </c>
      <c r="G2090" s="597"/>
      <c r="H2090" s="1644">
        <f>SUM(H2082:H2083,H2085:H2088)*$F2090</f>
        <v>-36045.4035</v>
      </c>
      <c r="I2090" s="1644">
        <f>SUM(I2082:I2083,I2085:I2088)*$F2090</f>
        <v>-46599.636399999996</v>
      </c>
      <c r="K2090" s="1930"/>
      <c r="L2090" s="597"/>
      <c r="M2090" s="1930"/>
      <c r="N2090" s="597"/>
      <c r="O2090" s="1931" t="str">
        <f>$O$43</f>
        <v>Tax Year 1 (1/1/2021)</v>
      </c>
      <c r="P2090" s="597"/>
      <c r="Q2090" s="1930">
        <f>$AC$1988</f>
        <v>-1.3899999999999999E-2</v>
      </c>
      <c r="R2090" s="597"/>
      <c r="S2090" s="1645"/>
      <c r="T2090" s="1645"/>
      <c r="U2090" s="1645"/>
      <c r="V2090" s="1645"/>
      <c r="W2090" s="1645"/>
      <c r="X2090" s="1645"/>
      <c r="Y2090" s="1644">
        <f>Q2090*SUM(Y2076:Y2081)</f>
        <v>-18895.381999999998</v>
      </c>
      <c r="AI2090" s="2023">
        <f>W2090-'Blocking-Step2'!W2090</f>
        <v>0</v>
      </c>
      <c r="AJ2090" s="2054">
        <f>O2090-'Blocking-Step2'!O2090</f>
        <v>0</v>
      </c>
    </row>
    <row r="2091" spans="1:36">
      <c r="A2091" s="1900"/>
      <c r="C2091" s="584"/>
      <c r="D2091" s="584"/>
      <c r="F2091" s="1930"/>
      <c r="G2091" s="597"/>
      <c r="H2091" s="1644"/>
      <c r="I2091" s="1644"/>
      <c r="K2091" s="1930"/>
      <c r="L2091" s="597"/>
      <c r="M2091" s="1930"/>
      <c r="N2091" s="597"/>
      <c r="O2091" s="1931">
        <f>$O$44</f>
        <v>0</v>
      </c>
      <c r="P2091" s="597"/>
      <c r="Q2091" s="1930">
        <f>$AC$1989</f>
        <v>0</v>
      </c>
      <c r="R2091" s="597"/>
      <c r="S2091" s="1645"/>
      <c r="T2091" s="1645"/>
      <c r="U2091" s="1645"/>
      <c r="V2091" s="1645"/>
      <c r="W2091" s="1645"/>
      <c r="X2091" s="1645"/>
      <c r="Y2091" s="1644">
        <f>Q2091*SUM(Y2076:Y2081)</f>
        <v>0</v>
      </c>
      <c r="AI2091" s="2023">
        <f>W2091-'Blocking-Step2'!W2091</f>
        <v>0</v>
      </c>
      <c r="AJ2091" s="2054">
        <f>O2091-'Blocking-Step2'!O2091</f>
        <v>0</v>
      </c>
    </row>
    <row r="2092" spans="1:36" ht="16.5" thickBot="1">
      <c r="A2092" s="1900" t="s">
        <v>247</v>
      </c>
      <c r="C2092" s="1949">
        <f>SUM(C2085:C2089)</f>
        <v>11239726.780005781</v>
      </c>
      <c r="D2092" s="1949">
        <f>SUM(D2085:D2089)</f>
        <v>14403533.942076338</v>
      </c>
      <c r="F2092" s="1939"/>
      <c r="H2092" s="1647">
        <f>SUM(H2073:H2090)</f>
        <v>1212661.5965</v>
      </c>
      <c r="I2092" s="1647">
        <f>SUM(I2073:I2090)</f>
        <v>1548724.3636</v>
      </c>
      <c r="K2092" s="1939"/>
      <c r="M2092" s="1939"/>
      <c r="O2092" s="1939"/>
      <c r="P2092" s="597"/>
      <c r="Q2092" s="1939"/>
      <c r="R2092" s="597"/>
      <c r="S2092" s="1646">
        <f>SUM(S2073:S2089)</f>
        <v>748613</v>
      </c>
      <c r="T2092" s="1645"/>
      <c r="U2092" s="1646">
        <f>SUM(U2073:U2089)</f>
        <v>485104</v>
      </c>
      <c r="V2092" s="1645"/>
      <c r="W2092" s="1646">
        <f>SUM(W2073:W2089)</f>
        <v>313140</v>
      </c>
      <c r="X2092" s="1645"/>
      <c r="Y2092" s="1646">
        <f>SUM(Y2073:Y2089)</f>
        <v>1546860</v>
      </c>
      <c r="AA2092" s="1104" t="s">
        <v>1743</v>
      </c>
      <c r="AB2092" s="1890">
        <f>Y2092/I2092-1</f>
        <v>-1.2038059475388829E-3</v>
      </c>
      <c r="AI2092" s="2023">
        <f>W2092-'Blocking-Step2'!W2092</f>
        <v>0</v>
      </c>
      <c r="AJ2092" s="2054">
        <f>O2092-'Blocking-Step2'!O2092</f>
        <v>0</v>
      </c>
    </row>
    <row r="2093" spans="1:36" ht="16.5" hidden="1" thickTop="1">
      <c r="C2093" s="528"/>
      <c r="D2093" s="528"/>
      <c r="O2093" s="596"/>
      <c r="Q2093" s="596"/>
      <c r="Y2093" s="1645"/>
      <c r="AI2093" s="2023">
        <f>W2093-'Blocking-Step2'!W2093</f>
        <v>0</v>
      </c>
      <c r="AJ2093" s="2054">
        <f>O2093-'Blocking-Step2'!O2093</f>
        <v>0</v>
      </c>
    </row>
    <row r="2094" spans="1:36" hidden="1">
      <c r="A2094" s="1897" t="s">
        <v>1015</v>
      </c>
      <c r="C2094" s="528"/>
      <c r="D2094" s="528"/>
      <c r="AI2094" s="2023">
        <f>W2094-'Blocking-Step2'!W2094</f>
        <v>0</v>
      </c>
      <c r="AJ2094" s="2054">
        <f>O2094-'Blocking-Step2'!O2094</f>
        <v>0</v>
      </c>
    </row>
    <row r="2095" spans="1:36" hidden="1">
      <c r="A2095" s="1900" t="s">
        <v>240</v>
      </c>
      <c r="C2095" s="528">
        <f>'23'!G30</f>
        <v>5239.5230000000001</v>
      </c>
      <c r="D2095" s="528">
        <f>Bill!P22</f>
        <v>5916</v>
      </c>
      <c r="F2095" s="1944">
        <v>10</v>
      </c>
      <c r="G2095" s="597"/>
      <c r="H2095" s="1644">
        <f t="shared" ref="H2095:I2106" si="1188">ROUND($F2095*C2095,0)</f>
        <v>52395</v>
      </c>
      <c r="I2095" s="1644">
        <f t="shared" si="1188"/>
        <v>59160</v>
      </c>
      <c r="K2095" s="1944">
        <f>K2073</f>
        <v>10</v>
      </c>
      <c r="L2095" s="597"/>
      <c r="M2095" s="1944">
        <f>M2073</f>
        <v>0</v>
      </c>
      <c r="N2095" s="597"/>
      <c r="O2095" s="1944">
        <f>O2073</f>
        <v>0</v>
      </c>
      <c r="P2095" s="597"/>
      <c r="Q2095" s="1944">
        <f t="shared" ref="Q2095:Q2103" si="1189">Q2073</f>
        <v>10</v>
      </c>
      <c r="R2095" s="597"/>
      <c r="S2095" s="1644">
        <f t="shared" ref="S2095:S2099" si="1190">ROUND($D2095*K2095,0)</f>
        <v>59160</v>
      </c>
      <c r="T2095" s="1645"/>
      <c r="U2095" s="1644">
        <f t="shared" ref="U2095:U2099" si="1191">ROUND($D2095*M2095,0)</f>
        <v>0</v>
      </c>
      <c r="V2095" s="1645"/>
      <c r="W2095" s="1644">
        <f t="shared" ref="W2095:W2099" si="1192">ROUND($D2095*O2095,0)</f>
        <v>0</v>
      </c>
      <c r="X2095" s="1645"/>
      <c r="Y2095" s="1644">
        <f>ROUND($D2095*Q2095,0)</f>
        <v>59160</v>
      </c>
      <c r="AI2095" s="2023">
        <f>W2095-'Blocking-Step2'!W2095</f>
        <v>0</v>
      </c>
      <c r="AJ2095" s="2054">
        <f>O2095-'Blocking-Step2'!O2095</f>
        <v>0</v>
      </c>
    </row>
    <row r="2096" spans="1:36" hidden="1">
      <c r="A2096" s="1900" t="s">
        <v>262</v>
      </c>
      <c r="C2096" s="528">
        <v>0</v>
      </c>
      <c r="D2096" s="528">
        <f>ROUND(C2096/C2095*D2095,0)</f>
        <v>0</v>
      </c>
      <c r="F2096" s="1944">
        <v>120</v>
      </c>
      <c r="G2096" s="597"/>
      <c r="H2096" s="1644">
        <f t="shared" si="1188"/>
        <v>0</v>
      </c>
      <c r="I2096" s="1644">
        <f t="shared" si="1188"/>
        <v>0</v>
      </c>
      <c r="K2096" s="1944">
        <f t="shared" ref="K2096:K2103" si="1193">K2074</f>
        <v>117</v>
      </c>
      <c r="L2096" s="597"/>
      <c r="M2096" s="1944">
        <f t="shared" ref="M2096:M2103" si="1194">M2074</f>
        <v>0</v>
      </c>
      <c r="N2096" s="597"/>
      <c r="O2096" s="1944">
        <f t="shared" ref="O2096:O2103" si="1195">O2074</f>
        <v>0</v>
      </c>
      <c r="P2096" s="597"/>
      <c r="Q2096" s="1944">
        <f t="shared" si="1189"/>
        <v>117</v>
      </c>
      <c r="R2096" s="597"/>
      <c r="S2096" s="1644">
        <f t="shared" si="1190"/>
        <v>0</v>
      </c>
      <c r="T2096" s="1645"/>
      <c r="U2096" s="1644">
        <f t="shared" si="1191"/>
        <v>0</v>
      </c>
      <c r="V2096" s="1645"/>
      <c r="W2096" s="1644">
        <f t="shared" si="1192"/>
        <v>0</v>
      </c>
      <c r="X2096" s="1645"/>
      <c r="Y2096" s="1644">
        <f t="shared" ref="Y2096:Y2099" si="1196">ROUND($D2096*Q2096,0)</f>
        <v>0</v>
      </c>
      <c r="AI2096" s="2023">
        <f>W2096-'Blocking-Step2'!W2096</f>
        <v>0</v>
      </c>
      <c r="AJ2096" s="2054">
        <f>O2096-'Blocking-Step2'!O2096</f>
        <v>0</v>
      </c>
    </row>
    <row r="2097" spans="1:36" hidden="1">
      <c r="A2097" s="1900" t="s">
        <v>1298</v>
      </c>
      <c r="C2097" s="528">
        <f>'23'!AH30</f>
        <v>0</v>
      </c>
      <c r="D2097" s="528">
        <f>ROUND(C2097/C2095*D2095,0)</f>
        <v>0</v>
      </c>
      <c r="F2097" s="1944">
        <v>10</v>
      </c>
      <c r="G2097" s="597"/>
      <c r="H2097" s="1644">
        <f t="shared" si="1188"/>
        <v>0</v>
      </c>
      <c r="I2097" s="1644">
        <f t="shared" si="1188"/>
        <v>0</v>
      </c>
      <c r="K2097" s="1944">
        <f t="shared" si="1193"/>
        <v>10</v>
      </c>
      <c r="L2097" s="597"/>
      <c r="M2097" s="1944">
        <f t="shared" si="1194"/>
        <v>0</v>
      </c>
      <c r="N2097" s="597"/>
      <c r="O2097" s="1944">
        <f t="shared" si="1195"/>
        <v>0</v>
      </c>
      <c r="P2097" s="597"/>
      <c r="Q2097" s="1944">
        <f t="shared" si="1189"/>
        <v>10</v>
      </c>
      <c r="R2097" s="597"/>
      <c r="S2097" s="1644">
        <f t="shared" si="1190"/>
        <v>0</v>
      </c>
      <c r="T2097" s="1645"/>
      <c r="U2097" s="1644">
        <f t="shared" si="1191"/>
        <v>0</v>
      </c>
      <c r="V2097" s="1645"/>
      <c r="W2097" s="1644">
        <f t="shared" si="1192"/>
        <v>0</v>
      </c>
      <c r="X2097" s="1645"/>
      <c r="Y2097" s="1644">
        <f t="shared" si="1196"/>
        <v>0</v>
      </c>
      <c r="AI2097" s="2023">
        <f>W2097-'Blocking-Step2'!W2097</f>
        <v>0</v>
      </c>
      <c r="AJ2097" s="2054">
        <f>O2097-'Blocking-Step2'!O2097</f>
        <v>0</v>
      </c>
    </row>
    <row r="2098" spans="1:36" hidden="1">
      <c r="A2098" s="1900" t="s">
        <v>1654</v>
      </c>
      <c r="C2098" s="528">
        <f>'23'!I30+'23-may'!I30</f>
        <v>222.12270686046583</v>
      </c>
      <c r="D2098" s="528">
        <f>ROUND(C2098/C2114*D2114,0)</f>
        <v>270</v>
      </c>
      <c r="F2098" s="1944"/>
      <c r="G2098" s="597"/>
      <c r="H2098" s="1644"/>
      <c r="I2098" s="1644"/>
      <c r="K2098" s="1944">
        <f t="shared" si="1193"/>
        <v>8.89</v>
      </c>
      <c r="L2098" s="597"/>
      <c r="M2098" s="1944">
        <f t="shared" si="1194"/>
        <v>0</v>
      </c>
      <c r="N2098" s="597"/>
      <c r="O2098" s="1944">
        <f t="shared" si="1195"/>
        <v>0</v>
      </c>
      <c r="P2098" s="597"/>
      <c r="Q2098" s="1944">
        <f t="shared" si="1189"/>
        <v>8.89</v>
      </c>
      <c r="R2098" s="597"/>
      <c r="S2098" s="1644">
        <f t="shared" si="1190"/>
        <v>2400</v>
      </c>
      <c r="T2098" s="1645"/>
      <c r="U2098" s="1644">
        <f t="shared" si="1191"/>
        <v>0</v>
      </c>
      <c r="V2098" s="1645"/>
      <c r="W2098" s="1644">
        <f t="shared" si="1192"/>
        <v>0</v>
      </c>
      <c r="X2098" s="1645"/>
      <c r="Y2098" s="1644">
        <f t="shared" si="1196"/>
        <v>2400</v>
      </c>
      <c r="AI2098" s="2023">
        <f>W2098-'Blocking-Step2'!W2098</f>
        <v>0</v>
      </c>
      <c r="AJ2098" s="2054">
        <f>O2098-'Blocking-Step2'!O2098</f>
        <v>0</v>
      </c>
    </row>
    <row r="2099" spans="1:36" hidden="1">
      <c r="A2099" s="1900" t="s">
        <v>1655</v>
      </c>
      <c r="C2099" s="528">
        <f>'23'!J30+'23-may'!J30</f>
        <v>133.7447637394952</v>
      </c>
      <c r="D2099" s="528">
        <f>ROUND(C2099/C2114*D2114,0)</f>
        <v>162</v>
      </c>
      <c r="F2099" s="1944"/>
      <c r="G2099" s="597"/>
      <c r="H2099" s="1644"/>
      <c r="I2099" s="1644"/>
      <c r="K2099" s="1944">
        <f t="shared" si="1193"/>
        <v>7.87</v>
      </c>
      <c r="L2099" s="597"/>
      <c r="M2099" s="1944">
        <f t="shared" si="1194"/>
        <v>0</v>
      </c>
      <c r="N2099" s="597"/>
      <c r="O2099" s="1944">
        <f t="shared" si="1195"/>
        <v>0</v>
      </c>
      <c r="P2099" s="597"/>
      <c r="Q2099" s="1944">
        <f t="shared" si="1189"/>
        <v>7.87</v>
      </c>
      <c r="R2099" s="597"/>
      <c r="S2099" s="1644">
        <f t="shared" si="1190"/>
        <v>1275</v>
      </c>
      <c r="T2099" s="1645"/>
      <c r="U2099" s="1644">
        <f t="shared" si="1191"/>
        <v>0</v>
      </c>
      <c r="V2099" s="1645"/>
      <c r="W2099" s="1644">
        <f t="shared" si="1192"/>
        <v>0</v>
      </c>
      <c r="X2099" s="1645"/>
      <c r="Y2099" s="1644">
        <f t="shared" si="1196"/>
        <v>1275</v>
      </c>
      <c r="AI2099" s="2023">
        <f>W2099-'Blocking-Step2'!W2099</f>
        <v>0</v>
      </c>
      <c r="AJ2099" s="2054">
        <f>O2099-'Blocking-Step2'!O2099</f>
        <v>0</v>
      </c>
    </row>
    <row r="2100" spans="1:36" hidden="1">
      <c r="A2100" s="1900" t="s">
        <v>1656</v>
      </c>
      <c r="C2100" s="528">
        <f>'23'!N30+TempRevMay!M327+'23-may'!N30</f>
        <v>95962.379692517949</v>
      </c>
      <c r="D2100" s="528">
        <f>D2114-SUM(D2101:E2103)</f>
        <v>307704.4796706466</v>
      </c>
      <c r="F2100" s="1943"/>
      <c r="G2100" s="1921"/>
      <c r="H2100" s="1644"/>
      <c r="I2100" s="1644"/>
      <c r="K2100" s="1943">
        <f t="shared" si="1193"/>
        <v>2.9403000000000001</v>
      </c>
      <c r="L2100" s="1921" t="s">
        <v>495</v>
      </c>
      <c r="M2100" s="1943">
        <f t="shared" si="1194"/>
        <v>6.4656468966360006</v>
      </c>
      <c r="N2100" s="1921" t="s">
        <v>495</v>
      </c>
      <c r="O2100" s="1943">
        <f t="shared" si="1195"/>
        <v>2.3066</v>
      </c>
      <c r="P2100" s="1921" t="s">
        <v>495</v>
      </c>
      <c r="Q2100" s="1943">
        <f t="shared" si="1189"/>
        <v>11.712546896636001</v>
      </c>
      <c r="R2100" s="1921" t="s">
        <v>495</v>
      </c>
      <c r="S2100" s="1644">
        <f>ROUND($D2100*K2100/100,0)</f>
        <v>9047</v>
      </c>
      <c r="T2100" s="1648"/>
      <c r="U2100" s="1644">
        <f>ROUND($D2100*M2100/100,0)</f>
        <v>19895</v>
      </c>
      <c r="V2100" s="1648"/>
      <c r="W2100" s="1644">
        <f>ROUND($D2100*O2100/100,0)</f>
        <v>7098</v>
      </c>
      <c r="X2100" s="1648"/>
      <c r="Y2100" s="1644">
        <f>ROUND($D2100*Q2100/100,0)</f>
        <v>36040</v>
      </c>
      <c r="AI2100" s="2023">
        <f>W2100-'Blocking-Step2'!W2100</f>
        <v>0</v>
      </c>
      <c r="AJ2100" s="2054">
        <f>O2100-'Blocking-Step2'!O2100</f>
        <v>0</v>
      </c>
    </row>
    <row r="2101" spans="1:36" hidden="1">
      <c r="A2101" s="1900" t="s">
        <v>1657</v>
      </c>
      <c r="C2101" s="528">
        <f>'23'!O30+TempRevMay!M328+'23-may'!O30</f>
        <v>119917.48926069601</v>
      </c>
      <c r="D2101" s="528">
        <f>ROUND(C2101/(C2100+C2101)*Energy!S22,0)</f>
        <v>384516</v>
      </c>
      <c r="F2101" s="1943"/>
      <c r="G2101" s="1921"/>
      <c r="H2101" s="1644"/>
      <c r="I2101" s="1644"/>
      <c r="K2101" s="1943">
        <f t="shared" si="1193"/>
        <v>2.9403000000000001</v>
      </c>
      <c r="L2101" s="1921" t="s">
        <v>495</v>
      </c>
      <c r="M2101" s="1943">
        <f t="shared" si="1194"/>
        <v>1.310346896636001</v>
      </c>
      <c r="N2101" s="1921" t="s">
        <v>495</v>
      </c>
      <c r="O2101" s="1943">
        <f t="shared" si="1195"/>
        <v>2.3066</v>
      </c>
      <c r="P2101" s="1921" t="s">
        <v>495</v>
      </c>
      <c r="Q2101" s="1943">
        <f t="shared" si="1189"/>
        <v>6.5572468966360011</v>
      </c>
      <c r="R2101" s="1921" t="s">
        <v>495</v>
      </c>
      <c r="S2101" s="1644">
        <f t="shared" ref="S2101:S2103" si="1197">ROUND($D2101*K2101/100,0)</f>
        <v>11306</v>
      </c>
      <c r="T2101" s="1648"/>
      <c r="U2101" s="1644">
        <f t="shared" ref="U2101:U2103" si="1198">ROUND($D2101*M2101/100,0)</f>
        <v>5038</v>
      </c>
      <c r="V2101" s="1648"/>
      <c r="W2101" s="1644">
        <f t="shared" ref="W2101:W2103" si="1199">ROUND($D2101*O2101/100,0)</f>
        <v>8869</v>
      </c>
      <c r="X2101" s="1648"/>
      <c r="Y2101" s="1644">
        <f t="shared" ref="Y2101:Y2103" si="1200">ROUND($D2101*Q2101/100,0)</f>
        <v>25214</v>
      </c>
      <c r="AI2101" s="2023">
        <f>W2101-'Blocking-Step2'!W2101</f>
        <v>0</v>
      </c>
      <c r="AJ2101" s="2054">
        <f>O2101-'Blocking-Step2'!O2101</f>
        <v>0</v>
      </c>
    </row>
    <row r="2102" spans="1:36" hidden="1">
      <c r="A2102" s="1900" t="s">
        <v>1658</v>
      </c>
      <c r="C2102" s="528">
        <f>'23'!Q30+TempRevMay!M329+'23-may'!Q30</f>
        <v>617433.80018048012</v>
      </c>
      <c r="D2102" s="528">
        <f>ROUND(C2102/(C2102+C2103)*Energy!T22,0)</f>
        <v>504602</v>
      </c>
      <c r="F2102" s="1943"/>
      <c r="G2102" s="1921"/>
      <c r="H2102" s="1644"/>
      <c r="I2102" s="1644"/>
      <c r="K2102" s="1943">
        <f t="shared" si="1193"/>
        <v>2.9403000000000001</v>
      </c>
      <c r="L2102" s="1921" t="s">
        <v>495</v>
      </c>
      <c r="M2102" s="1943">
        <f t="shared" si="1194"/>
        <v>5.3096999999999994</v>
      </c>
      <c r="N2102" s="1921" t="s">
        <v>495</v>
      </c>
      <c r="O2102" s="1943">
        <f t="shared" si="1195"/>
        <v>2.1151</v>
      </c>
      <c r="P2102" s="1921" t="s">
        <v>495</v>
      </c>
      <c r="Q2102" s="1943">
        <f t="shared" si="1189"/>
        <v>10.3651</v>
      </c>
      <c r="R2102" s="1921" t="s">
        <v>495</v>
      </c>
      <c r="S2102" s="1644">
        <f t="shared" si="1197"/>
        <v>14837</v>
      </c>
      <c r="T2102" s="1648"/>
      <c r="U2102" s="1644">
        <f t="shared" si="1198"/>
        <v>26793</v>
      </c>
      <c r="V2102" s="1648"/>
      <c r="W2102" s="1644">
        <f t="shared" si="1199"/>
        <v>10673</v>
      </c>
      <c r="X2102" s="1648"/>
      <c r="Y2102" s="1644">
        <f t="shared" si="1200"/>
        <v>52303</v>
      </c>
      <c r="AI2102" s="2023">
        <f>W2102-'Blocking-Step2'!W2102</f>
        <v>0</v>
      </c>
      <c r="AJ2102" s="2054">
        <f>O2102-'Blocking-Step2'!O2102</f>
        <v>0</v>
      </c>
    </row>
    <row r="2103" spans="1:36" hidden="1">
      <c r="A2103" s="1900" t="s">
        <v>1659</v>
      </c>
      <c r="C2103" s="528">
        <f>'23'!R30+TempRevMay!M330+'23-may'!R30</f>
        <v>443581.35034659156</v>
      </c>
      <c r="D2103" s="528">
        <f>ROUND(C2103/(C2102+C2103)*Energy!T22,0)</f>
        <v>362520</v>
      </c>
      <c r="F2103" s="1943"/>
      <c r="G2103" s="1921"/>
      <c r="H2103" s="1644"/>
      <c r="I2103" s="1644"/>
      <c r="K2103" s="1943">
        <f t="shared" si="1193"/>
        <v>2.9403000000000001</v>
      </c>
      <c r="L2103" s="1921" t="s">
        <v>495</v>
      </c>
      <c r="M2103" s="1943">
        <f t="shared" si="1194"/>
        <v>0.74750000000000005</v>
      </c>
      <c r="N2103" s="1921" t="s">
        <v>495</v>
      </c>
      <c r="O2103" s="1943">
        <f t="shared" si="1195"/>
        <v>2.1151</v>
      </c>
      <c r="P2103" s="1921" t="s">
        <v>495</v>
      </c>
      <c r="Q2103" s="1943">
        <f t="shared" si="1189"/>
        <v>5.8029000000000002</v>
      </c>
      <c r="R2103" s="1921" t="s">
        <v>495</v>
      </c>
      <c r="S2103" s="1644">
        <f t="shared" si="1197"/>
        <v>10659</v>
      </c>
      <c r="T2103" s="1648"/>
      <c r="U2103" s="1644">
        <f t="shared" si="1198"/>
        <v>2710</v>
      </c>
      <c r="V2103" s="1648"/>
      <c r="W2103" s="1644">
        <f t="shared" si="1199"/>
        <v>7668</v>
      </c>
      <c r="X2103" s="1648"/>
      <c r="Y2103" s="1644">
        <f t="shared" si="1200"/>
        <v>21037</v>
      </c>
      <c r="AI2103" s="2023">
        <f>W2103-'Blocking-Step2'!W2103</f>
        <v>0</v>
      </c>
      <c r="AJ2103" s="2054">
        <f>O2103-'Blocking-Step2'!O2103</f>
        <v>0</v>
      </c>
    </row>
    <row r="2104" spans="1:36" hidden="1">
      <c r="A2104" s="1900" t="s">
        <v>282</v>
      </c>
      <c r="C2104" s="528">
        <f>'23'!I30</f>
        <v>254.33988439306401</v>
      </c>
      <c r="D2104" s="528">
        <f>ROUND(C2104/C2114*D2114,0)</f>
        <v>309</v>
      </c>
      <c r="F2104" s="1944">
        <v>8.65</v>
      </c>
      <c r="G2104" s="597"/>
      <c r="H2104" s="1644">
        <f t="shared" si="1188"/>
        <v>2200</v>
      </c>
      <c r="I2104" s="1644">
        <f t="shared" si="1188"/>
        <v>2673</v>
      </c>
      <c r="K2104" s="1944"/>
      <c r="L2104" s="597"/>
      <c r="M2104" s="1944"/>
      <c r="N2104" s="597"/>
      <c r="O2104" s="1944"/>
      <c r="P2104" s="597"/>
      <c r="Q2104" s="1944"/>
      <c r="R2104" s="597"/>
      <c r="S2104" s="1645"/>
      <c r="T2104" s="1645"/>
      <c r="U2104" s="1645"/>
      <c r="V2104" s="1645"/>
      <c r="W2104" s="1645"/>
      <c r="X2104" s="1645"/>
      <c r="Y2104" s="1644"/>
      <c r="AI2104" s="2023">
        <f>W2104-'Blocking-Step2'!W2104</f>
        <v>0</v>
      </c>
      <c r="AJ2104" s="2054">
        <f>O2104-'Blocking-Step2'!O2104</f>
        <v>0</v>
      </c>
    </row>
    <row r="2105" spans="1:36" hidden="1">
      <c r="A2105" s="1900" t="s">
        <v>283</v>
      </c>
      <c r="C2105" s="528">
        <f>'23'!J30</f>
        <v>101.527586206897</v>
      </c>
      <c r="D2105" s="528">
        <f>ROUND(C2105/C2114*D2114,0)</f>
        <v>123</v>
      </c>
      <c r="F2105" s="1944">
        <v>8.7000000000000011</v>
      </c>
      <c r="G2105" s="597"/>
      <c r="H2105" s="1644">
        <f t="shared" si="1188"/>
        <v>883</v>
      </c>
      <c r="I2105" s="1644">
        <f t="shared" si="1188"/>
        <v>1070</v>
      </c>
      <c r="K2105" s="1944"/>
      <c r="L2105" s="597"/>
      <c r="M2105" s="1944"/>
      <c r="N2105" s="597"/>
      <c r="O2105" s="1944"/>
      <c r="P2105" s="597"/>
      <c r="Q2105" s="1944"/>
      <c r="R2105" s="597"/>
      <c r="S2105" s="1645"/>
      <c r="T2105" s="1645"/>
      <c r="U2105" s="1645"/>
      <c r="V2105" s="1645"/>
      <c r="W2105" s="1645"/>
      <c r="X2105" s="1645"/>
      <c r="Y2105" s="1644"/>
      <c r="AI2105" s="2023">
        <f>W2105-'Blocking-Step2'!W2105</f>
        <v>0</v>
      </c>
      <c r="AJ2105" s="2054">
        <f>O2105-'Blocking-Step2'!O2105</f>
        <v>0</v>
      </c>
    </row>
    <row r="2106" spans="1:36" hidden="1">
      <c r="A2106" s="1900" t="s">
        <v>261</v>
      </c>
      <c r="C2106" s="528">
        <f>'23'!K30</f>
        <v>0</v>
      </c>
      <c r="D2106" s="528">
        <f>ROUND(C2106/C2114*D2114,0)</f>
        <v>0</v>
      </c>
      <c r="F2106" s="1944">
        <v>-0.48</v>
      </c>
      <c r="G2106" s="597"/>
      <c r="H2106" s="1644">
        <f t="shared" si="1188"/>
        <v>0</v>
      </c>
      <c r="I2106" s="1644">
        <f t="shared" si="1188"/>
        <v>0</v>
      </c>
      <c r="K2106" s="1944">
        <f>K2084</f>
        <v>-0.48</v>
      </c>
      <c r="L2106" s="597"/>
      <c r="M2106" s="1944">
        <f>M2084</f>
        <v>0</v>
      </c>
      <c r="N2106" s="597"/>
      <c r="O2106" s="1944">
        <f>O2084</f>
        <v>0</v>
      </c>
      <c r="P2106" s="597"/>
      <c r="Q2106" s="1944">
        <f>Q2084</f>
        <v>-0.48</v>
      </c>
      <c r="R2106" s="597"/>
      <c r="S2106" s="1644">
        <f t="shared" ref="S2106" si="1201">ROUND($D2106*K2106,0)</f>
        <v>0</v>
      </c>
      <c r="T2106" s="1645"/>
      <c r="U2106" s="1644">
        <f t="shared" ref="U2106" si="1202">ROUND($D2106*M2106,0)</f>
        <v>0</v>
      </c>
      <c r="V2106" s="1645"/>
      <c r="W2106" s="1644">
        <f t="shared" ref="W2106" si="1203">ROUND($D2106*O2106,0)</f>
        <v>0</v>
      </c>
      <c r="X2106" s="1645"/>
      <c r="Y2106" s="1644">
        <f t="shared" ref="Y2106" si="1204">ROUND($D2106*Q2106,0)</f>
        <v>0</v>
      </c>
      <c r="AI2106" s="2023">
        <f>W2106-'Blocking-Step2'!W2106</f>
        <v>0</v>
      </c>
      <c r="AJ2106" s="2054">
        <f>O2106-'Blocking-Step2'!O2106</f>
        <v>0</v>
      </c>
    </row>
    <row r="2107" spans="1:36" hidden="1">
      <c r="A2107" s="1900" t="s">
        <v>194</v>
      </c>
      <c r="C2107" s="528">
        <f>'23'!N30+TempRev!M327</f>
        <v>125921.47732123558</v>
      </c>
      <c r="D2107" s="528">
        <f>D2114-SUM(D2108:D2111)</f>
        <v>347753.4796706466</v>
      </c>
      <c r="F2107" s="1943">
        <v>11.733599999999999</v>
      </c>
      <c r="G2107" s="1921" t="s">
        <v>495</v>
      </c>
      <c r="H2107" s="1644">
        <f t="shared" ref="H2107:I2110" si="1205">ROUND($F2107*C2107/100,0)</f>
        <v>14775</v>
      </c>
      <c r="I2107" s="1644">
        <f t="shared" si="1205"/>
        <v>40804</v>
      </c>
      <c r="K2107" s="1943"/>
      <c r="L2107" s="1921"/>
      <c r="M2107" s="1943"/>
      <c r="N2107" s="1921"/>
      <c r="O2107" s="1943"/>
      <c r="P2107" s="1921"/>
      <c r="Q2107" s="1943"/>
      <c r="R2107" s="1921"/>
      <c r="S2107" s="1648"/>
      <c r="T2107" s="1648"/>
      <c r="U2107" s="1648"/>
      <c r="V2107" s="1648"/>
      <c r="W2107" s="1648"/>
      <c r="X2107" s="1648"/>
      <c r="Y2107" s="1644"/>
      <c r="AI2107" s="2023">
        <f>W2107-'Blocking-Step2'!W2107</f>
        <v>0</v>
      </c>
      <c r="AJ2107" s="2054">
        <f>O2107-'Blocking-Step2'!O2107</f>
        <v>0</v>
      </c>
    </row>
    <row r="2108" spans="1:36" hidden="1">
      <c r="A2108" s="1900" t="s">
        <v>195</v>
      </c>
      <c r="C2108" s="528">
        <f>'23'!O30+TempRev!M328</f>
        <v>139631.38660678506</v>
      </c>
      <c r="D2108" s="528">
        <f>ROUND(C2108/(C2107+C2108)*Energy!Q22,0)</f>
        <v>385615</v>
      </c>
      <c r="F2108" s="1943">
        <v>6.5782999999999996</v>
      </c>
      <c r="G2108" s="1921" t="s">
        <v>495</v>
      </c>
      <c r="H2108" s="1644">
        <f t="shared" si="1205"/>
        <v>9185</v>
      </c>
      <c r="I2108" s="1644">
        <f t="shared" si="1205"/>
        <v>25367</v>
      </c>
      <c r="K2108" s="1943"/>
      <c r="L2108" s="1921"/>
      <c r="M2108" s="1943"/>
      <c r="N2108" s="1921"/>
      <c r="O2108" s="1943"/>
      <c r="P2108" s="1921"/>
      <c r="Q2108" s="1943"/>
      <c r="R2108" s="1921"/>
      <c r="S2108" s="1648"/>
      <c r="T2108" s="1648"/>
      <c r="U2108" s="1648"/>
      <c r="V2108" s="1648"/>
      <c r="W2108" s="1648"/>
      <c r="X2108" s="1648"/>
      <c r="Y2108" s="1644"/>
      <c r="AI2108" s="2023">
        <f>W2108-'Blocking-Step2'!W2108</f>
        <v>0</v>
      </c>
      <c r="AJ2108" s="2054">
        <f>O2108-'Blocking-Step2'!O2108</f>
        <v>0</v>
      </c>
    </row>
    <row r="2109" spans="1:36" hidden="1">
      <c r="A2109" s="1900" t="s">
        <v>160</v>
      </c>
      <c r="C2109" s="528">
        <f>'23'!Q30+TempRev!M329</f>
        <v>587474.70255176246</v>
      </c>
      <c r="D2109" s="528">
        <f>ROUND(C2109/(C2109+C2110)*Energy!R22,0)</f>
        <v>479797</v>
      </c>
      <c r="F2109" s="1943">
        <v>10.8</v>
      </c>
      <c r="G2109" s="1921" t="s">
        <v>495</v>
      </c>
      <c r="H2109" s="1644">
        <f t="shared" si="1205"/>
        <v>63447</v>
      </c>
      <c r="I2109" s="1644">
        <f t="shared" si="1205"/>
        <v>51818</v>
      </c>
      <c r="K2109" s="1943"/>
      <c r="L2109" s="1921"/>
      <c r="M2109" s="1943"/>
      <c r="N2109" s="1921"/>
      <c r="O2109" s="1943"/>
      <c r="P2109" s="1921"/>
      <c r="Q2109" s="1943"/>
      <c r="R2109" s="1921"/>
      <c r="S2109" s="1648"/>
      <c r="T2109" s="1648"/>
      <c r="U2109" s="1648"/>
      <c r="V2109" s="1648"/>
      <c r="W2109" s="1648"/>
      <c r="X2109" s="1648"/>
      <c r="Y2109" s="1644"/>
      <c r="AI2109" s="2023">
        <f>W2109-'Blocking-Step2'!W2109</f>
        <v>0</v>
      </c>
      <c r="AJ2109" s="2054">
        <f>O2109-'Blocking-Step2'!O2109</f>
        <v>0</v>
      </c>
    </row>
    <row r="2110" spans="1:36" hidden="1">
      <c r="A2110" s="1900" t="s">
        <v>159</v>
      </c>
      <c r="C2110" s="528">
        <f>'23'!R30+TempRev!M330</f>
        <v>423867.45300050249</v>
      </c>
      <c r="D2110" s="528">
        <f>ROUND(C2110/(C2109+C2110)*Energy!R22,0)</f>
        <v>346177</v>
      </c>
      <c r="F2110" s="1943">
        <v>6.0567000000000002</v>
      </c>
      <c r="G2110" s="1921" t="s">
        <v>495</v>
      </c>
      <c r="H2110" s="1644">
        <f t="shared" si="1205"/>
        <v>25672</v>
      </c>
      <c r="I2110" s="1644">
        <f t="shared" si="1205"/>
        <v>20967</v>
      </c>
      <c r="K2110" s="1943"/>
      <c r="L2110" s="1921"/>
      <c r="M2110" s="1943"/>
      <c r="N2110" s="1921"/>
      <c r="O2110" s="1943"/>
      <c r="P2110" s="1921"/>
      <c r="Q2110" s="1943"/>
      <c r="R2110" s="1921"/>
      <c r="S2110" s="1648"/>
      <c r="T2110" s="1648"/>
      <c r="U2110" s="1648"/>
      <c r="V2110" s="1648"/>
      <c r="W2110" s="1648"/>
      <c r="X2110" s="1648"/>
      <c r="Y2110" s="1644"/>
      <c r="AI2110" s="2023">
        <f>W2110-'Blocking-Step2'!W2110</f>
        <v>0</v>
      </c>
      <c r="AJ2110" s="2054">
        <f>O2110-'Blocking-Step2'!O2110</f>
        <v>0</v>
      </c>
    </row>
    <row r="2111" spans="1:36" hidden="1">
      <c r="A2111" s="1900" t="s">
        <v>246</v>
      </c>
      <c r="C2111" s="529">
        <f>'Table 2'!J26</f>
        <v>7239</v>
      </c>
      <c r="D2111" s="529">
        <v>0</v>
      </c>
      <c r="H2111" s="1030">
        <f>'Table 3'!F26</f>
        <v>1014</v>
      </c>
      <c r="I2111" s="1030">
        <v>0</v>
      </c>
      <c r="Y2111" s="1030">
        <v>0</v>
      </c>
      <c r="AI2111" s="2023">
        <f>W2111-'Blocking-Step2'!W2111</f>
        <v>0</v>
      </c>
      <c r="AJ2111" s="2054">
        <f>O2111-'Blocking-Step2'!O2111</f>
        <v>0</v>
      </c>
    </row>
    <row r="2112" spans="1:36" hidden="1">
      <c r="A2112" s="1900" t="s">
        <v>1240</v>
      </c>
      <c r="C2112" s="584"/>
      <c r="D2112" s="584"/>
      <c r="F2112" s="1930">
        <v>-3.3099999999999997E-2</v>
      </c>
      <c r="G2112" s="597"/>
      <c r="H2112" s="1644">
        <f>SUM(H2104:H2105,H2107:H2110)*$F2112</f>
        <v>-3844.9621999999995</v>
      </c>
      <c r="I2112" s="1644">
        <f>SUM(I2104:I2105,I2107:I2110)*$F2112</f>
        <v>-4723.3368999999993</v>
      </c>
      <c r="K2112" s="1930"/>
      <c r="L2112" s="597"/>
      <c r="M2112" s="1930"/>
      <c r="N2112" s="597"/>
      <c r="O2112" s="1931" t="str">
        <f>$O$43</f>
        <v>Tax Year 1 (1/1/2021)</v>
      </c>
      <c r="P2112" s="597"/>
      <c r="Q2112" s="1930">
        <f>$AC$1988</f>
        <v>-1.3899999999999999E-2</v>
      </c>
      <c r="R2112" s="597"/>
      <c r="S2112" s="1645"/>
      <c r="T2112" s="1645"/>
      <c r="U2112" s="1645"/>
      <c r="V2112" s="1645"/>
      <c r="W2112" s="1645"/>
      <c r="X2112" s="1645"/>
      <c r="Y2112" s="1644">
        <f>Q2112*SUM(Y2098:Y2103)</f>
        <v>-1921.9390999999998</v>
      </c>
      <c r="AI2112" s="2023">
        <f>W2112-'Blocking-Step2'!W2112</f>
        <v>0</v>
      </c>
      <c r="AJ2112" s="2054">
        <f>O2112-'Blocking-Step2'!O2112</f>
        <v>0</v>
      </c>
    </row>
    <row r="2113" spans="1:36" hidden="1">
      <c r="A2113" s="1900"/>
      <c r="C2113" s="584"/>
      <c r="D2113" s="584"/>
      <c r="F2113" s="1930"/>
      <c r="G2113" s="597"/>
      <c r="H2113" s="1644"/>
      <c r="I2113" s="1644"/>
      <c r="K2113" s="1930"/>
      <c r="L2113" s="597"/>
      <c r="M2113" s="1930"/>
      <c r="N2113" s="597"/>
      <c r="O2113" s="1931">
        <f>$O$44</f>
        <v>0</v>
      </c>
      <c r="P2113" s="597"/>
      <c r="Q2113" s="1930">
        <f>$AC$1989</f>
        <v>0</v>
      </c>
      <c r="R2113" s="597"/>
      <c r="S2113" s="1645"/>
      <c r="T2113" s="1645"/>
      <c r="U2113" s="1645"/>
      <c r="V2113" s="1645"/>
      <c r="W2113" s="1645"/>
      <c r="X2113" s="1645"/>
      <c r="Y2113" s="1644">
        <f>Q2113*SUM(Y2098:Y2103)</f>
        <v>0</v>
      </c>
      <c r="AI2113" s="2023">
        <f>W2113-'Blocking-Step2'!W2113</f>
        <v>0</v>
      </c>
      <c r="AJ2113" s="2054">
        <f>O2113-'Blocking-Step2'!O2113</f>
        <v>0</v>
      </c>
    </row>
    <row r="2114" spans="1:36" ht="16.5" hidden="1" thickBot="1">
      <c r="A2114" s="1900" t="s">
        <v>247</v>
      </c>
      <c r="C2114" s="1949">
        <f>SUM(C2107:C2110,C2111)</f>
        <v>1284134.0194802855</v>
      </c>
      <c r="D2114" s="1949">
        <f>Energy!P22</f>
        <v>1559342.4796706466</v>
      </c>
      <c r="F2114" s="1939"/>
      <c r="H2114" s="1647">
        <f>SUM(H2095:H2112)</f>
        <v>165726.03779999999</v>
      </c>
      <c r="I2114" s="1647">
        <f>SUM(I2095:I2112)</f>
        <v>197135.66310000001</v>
      </c>
      <c r="K2114" s="1939"/>
      <c r="M2114" s="1939"/>
      <c r="O2114" s="1939"/>
      <c r="P2114" s="597"/>
      <c r="Q2114" s="1939"/>
      <c r="R2114" s="597"/>
      <c r="S2114" s="1646">
        <f>SUM(S2095:S2111)</f>
        <v>108684</v>
      </c>
      <c r="T2114" s="1645"/>
      <c r="U2114" s="1646">
        <f>SUM(U2095:U2111)</f>
        <v>54436</v>
      </c>
      <c r="V2114" s="1645"/>
      <c r="W2114" s="1646">
        <f>SUM(W2095:W2111)</f>
        <v>34308</v>
      </c>
      <c r="X2114" s="1645"/>
      <c r="Y2114" s="1646">
        <f>SUM(Y2095:Y2111)</f>
        <v>197429</v>
      </c>
      <c r="AA2114" s="1104" t="s">
        <v>1743</v>
      </c>
      <c r="AB2114" s="1890">
        <f>Y2114/I2114-1</f>
        <v>1.4879950963069266E-3</v>
      </c>
      <c r="AI2114" s="2023">
        <f>W2114-'Blocking-Step2'!W2114</f>
        <v>0</v>
      </c>
      <c r="AJ2114" s="2054">
        <f>O2114-'Blocking-Step2'!O2114</f>
        <v>0</v>
      </c>
    </row>
    <row r="2115" spans="1:36" ht="16.5" hidden="1" thickTop="1">
      <c r="O2115" s="596"/>
      <c r="Q2115" s="596"/>
      <c r="Y2115" s="1645"/>
      <c r="AI2115" s="2023">
        <f>W2115-'Blocking-Step2'!W2115</f>
        <v>0</v>
      </c>
      <c r="AJ2115" s="2054">
        <f>O2115-'Blocking-Step2'!O2115</f>
        <v>0</v>
      </c>
    </row>
    <row r="2116" spans="1:36" hidden="1">
      <c r="A2116" s="1897" t="s">
        <v>1013</v>
      </c>
      <c r="C2116" s="528"/>
      <c r="D2116" s="528"/>
      <c r="AI2116" s="2023">
        <f>W2116-'Blocking-Step2'!W2116</f>
        <v>0</v>
      </c>
      <c r="AJ2116" s="2054">
        <f>O2116-'Blocking-Step2'!O2116</f>
        <v>0</v>
      </c>
    </row>
    <row r="2117" spans="1:36" hidden="1">
      <c r="A2117" s="1900" t="s">
        <v>240</v>
      </c>
      <c r="C2117" s="528">
        <f>'23'!G28</f>
        <v>9847.2289999999903</v>
      </c>
      <c r="D2117" s="528">
        <f>Bill!P49</f>
        <v>12360</v>
      </c>
      <c r="F2117" s="1944">
        <v>10</v>
      </c>
      <c r="G2117" s="597"/>
      <c r="H2117" s="1644">
        <f t="shared" ref="H2117:I2128" si="1206">ROUND($F2117*C2117,0)</f>
        <v>98472</v>
      </c>
      <c r="I2117" s="1644">
        <f t="shared" si="1206"/>
        <v>123600</v>
      </c>
      <c r="K2117" s="1944">
        <f>K2073</f>
        <v>10</v>
      </c>
      <c r="L2117" s="597"/>
      <c r="M2117" s="1944">
        <f>M2073</f>
        <v>0</v>
      </c>
      <c r="N2117" s="597"/>
      <c r="O2117" s="1944">
        <f>O2073</f>
        <v>0</v>
      </c>
      <c r="P2117" s="597"/>
      <c r="Q2117" s="1944">
        <f t="shared" ref="Q2117:Q2125" si="1207">Q2073</f>
        <v>10</v>
      </c>
      <c r="R2117" s="597"/>
      <c r="S2117" s="1644">
        <f t="shared" ref="S2117:S2121" si="1208">ROUND($D2117*K2117,0)</f>
        <v>123600</v>
      </c>
      <c r="T2117" s="1645"/>
      <c r="U2117" s="1644">
        <f t="shared" ref="U2117:U2121" si="1209">ROUND($D2117*M2117,0)</f>
        <v>0</v>
      </c>
      <c r="V2117" s="1645"/>
      <c r="W2117" s="1644">
        <f t="shared" ref="W2117:W2121" si="1210">ROUND($D2117*O2117,0)</f>
        <v>0</v>
      </c>
      <c r="X2117" s="1645"/>
      <c r="Y2117" s="1644">
        <f>ROUND($D2117*Q2117,0)</f>
        <v>123600</v>
      </c>
      <c r="AI2117" s="2023">
        <f>W2117-'Blocking-Step2'!W2117</f>
        <v>0</v>
      </c>
      <c r="AJ2117" s="2054">
        <f>O2117-'Blocking-Step2'!O2117</f>
        <v>0</v>
      </c>
    </row>
    <row r="2118" spans="1:36" hidden="1">
      <c r="A2118" s="1900" t="s">
        <v>262</v>
      </c>
      <c r="C2118" s="528">
        <v>0</v>
      </c>
      <c r="D2118" s="528">
        <f>ROUND(C2118/C2117*D2117,0)</f>
        <v>0</v>
      </c>
      <c r="F2118" s="1944">
        <v>120</v>
      </c>
      <c r="G2118" s="597"/>
      <c r="H2118" s="1644">
        <f t="shared" si="1206"/>
        <v>0</v>
      </c>
      <c r="I2118" s="1644">
        <f t="shared" si="1206"/>
        <v>0</v>
      </c>
      <c r="K2118" s="1944">
        <f t="shared" ref="K2118:K2125" si="1211">K2074</f>
        <v>117</v>
      </c>
      <c r="L2118" s="597"/>
      <c r="M2118" s="1944">
        <f t="shared" ref="M2118:M2125" si="1212">M2074</f>
        <v>0</v>
      </c>
      <c r="N2118" s="597"/>
      <c r="O2118" s="1944">
        <f t="shared" ref="O2118:O2125" si="1213">O2074</f>
        <v>0</v>
      </c>
      <c r="P2118" s="597"/>
      <c r="Q2118" s="1944">
        <f t="shared" si="1207"/>
        <v>117</v>
      </c>
      <c r="R2118" s="597"/>
      <c r="S2118" s="1644">
        <f t="shared" si="1208"/>
        <v>0</v>
      </c>
      <c r="T2118" s="1645"/>
      <c r="U2118" s="1644">
        <f t="shared" si="1209"/>
        <v>0</v>
      </c>
      <c r="V2118" s="1645"/>
      <c r="W2118" s="1644">
        <f t="shared" si="1210"/>
        <v>0</v>
      </c>
      <c r="X2118" s="1645"/>
      <c r="Y2118" s="1644">
        <f t="shared" ref="Y2118:Y2121" si="1214">ROUND($D2118*Q2118,0)</f>
        <v>0</v>
      </c>
      <c r="AI2118" s="2023">
        <f>W2118-'Blocking-Step2'!W2118</f>
        <v>0</v>
      </c>
      <c r="AJ2118" s="2054">
        <f>O2118-'Blocking-Step2'!O2118</f>
        <v>0</v>
      </c>
    </row>
    <row r="2119" spans="1:36" hidden="1">
      <c r="A2119" s="1900" t="s">
        <v>1298</v>
      </c>
      <c r="C2119" s="528">
        <f>'23'!AH28</f>
        <v>8.2669999999999995</v>
      </c>
      <c r="D2119" s="528">
        <f>ROUND(C2119/C2117*D2117,0)</f>
        <v>10</v>
      </c>
      <c r="F2119" s="1944">
        <v>10</v>
      </c>
      <c r="G2119" s="597"/>
      <c r="H2119" s="1644">
        <f t="shared" si="1206"/>
        <v>83</v>
      </c>
      <c r="I2119" s="1644">
        <f t="shared" si="1206"/>
        <v>100</v>
      </c>
      <c r="K2119" s="1944">
        <f t="shared" si="1211"/>
        <v>10</v>
      </c>
      <c r="L2119" s="597"/>
      <c r="M2119" s="1944">
        <f t="shared" si="1212"/>
        <v>0</v>
      </c>
      <c r="N2119" s="597"/>
      <c r="O2119" s="1944">
        <f t="shared" si="1213"/>
        <v>0</v>
      </c>
      <c r="P2119" s="597"/>
      <c r="Q2119" s="1944">
        <f t="shared" si="1207"/>
        <v>10</v>
      </c>
      <c r="R2119" s="597"/>
      <c r="S2119" s="1644">
        <f t="shared" si="1208"/>
        <v>100</v>
      </c>
      <c r="T2119" s="1645"/>
      <c r="U2119" s="1644">
        <f t="shared" si="1209"/>
        <v>0</v>
      </c>
      <c r="V2119" s="1645"/>
      <c r="W2119" s="1644">
        <f t="shared" si="1210"/>
        <v>0</v>
      </c>
      <c r="X2119" s="1645"/>
      <c r="Y2119" s="1644">
        <f t="shared" si="1214"/>
        <v>100</v>
      </c>
      <c r="AI2119" s="2023">
        <f>W2119-'Blocking-Step2'!W2119</f>
        <v>0</v>
      </c>
      <c r="AJ2119" s="2054">
        <f>O2119-'Blocking-Step2'!O2119</f>
        <v>0</v>
      </c>
    </row>
    <row r="2120" spans="1:36" hidden="1">
      <c r="A2120" s="1900" t="s">
        <v>1654</v>
      </c>
      <c r="C2120" s="528">
        <f>'23'!I28+'23-may'!I28</f>
        <v>4896.6213224299172</v>
      </c>
      <c r="D2120" s="528">
        <f>ROUND(C2120/C2136*D2136,0)</f>
        <v>6207</v>
      </c>
      <c r="F2120" s="1944"/>
      <c r="G2120" s="597"/>
      <c r="H2120" s="1644"/>
      <c r="I2120" s="1644"/>
      <c r="K2120" s="1944">
        <f t="shared" si="1211"/>
        <v>8.89</v>
      </c>
      <c r="L2120" s="597"/>
      <c r="M2120" s="1944">
        <f t="shared" si="1212"/>
        <v>0</v>
      </c>
      <c r="N2120" s="597"/>
      <c r="O2120" s="1944">
        <f t="shared" si="1213"/>
        <v>0</v>
      </c>
      <c r="P2120" s="597"/>
      <c r="Q2120" s="1944">
        <f t="shared" si="1207"/>
        <v>8.89</v>
      </c>
      <c r="R2120" s="597"/>
      <c r="S2120" s="1644">
        <f t="shared" si="1208"/>
        <v>55180</v>
      </c>
      <c r="T2120" s="1645"/>
      <c r="U2120" s="1644">
        <f t="shared" si="1209"/>
        <v>0</v>
      </c>
      <c r="V2120" s="1645"/>
      <c r="W2120" s="1644">
        <f t="shared" si="1210"/>
        <v>0</v>
      </c>
      <c r="X2120" s="1645"/>
      <c r="Y2120" s="1644">
        <f t="shared" si="1214"/>
        <v>55180</v>
      </c>
      <c r="AI2120" s="2023">
        <f>W2120-'Blocking-Step2'!W2120</f>
        <v>0</v>
      </c>
      <c r="AJ2120" s="2054">
        <f>O2120-'Blocking-Step2'!O2120</f>
        <v>0</v>
      </c>
    </row>
    <row r="2121" spans="1:36" hidden="1">
      <c r="A2121" s="1900" t="s">
        <v>1655</v>
      </c>
      <c r="C2121" s="528">
        <f>'23'!J28+'23-may'!J28</f>
        <v>7094.8798402835228</v>
      </c>
      <c r="D2121" s="528">
        <f>ROUND(C2121/C2136*D2136,0)</f>
        <v>8993</v>
      </c>
      <c r="F2121" s="1944"/>
      <c r="G2121" s="597"/>
      <c r="H2121" s="1644"/>
      <c r="I2121" s="1644"/>
      <c r="K2121" s="1944">
        <f t="shared" si="1211"/>
        <v>7.87</v>
      </c>
      <c r="L2121" s="597"/>
      <c r="M2121" s="1944">
        <f t="shared" si="1212"/>
        <v>0</v>
      </c>
      <c r="N2121" s="597"/>
      <c r="O2121" s="1944">
        <f t="shared" si="1213"/>
        <v>0</v>
      </c>
      <c r="P2121" s="597"/>
      <c r="Q2121" s="1944">
        <f t="shared" si="1207"/>
        <v>7.87</v>
      </c>
      <c r="R2121" s="597"/>
      <c r="S2121" s="1644">
        <f t="shared" si="1208"/>
        <v>70775</v>
      </c>
      <c r="T2121" s="1645"/>
      <c r="U2121" s="1644">
        <f t="shared" si="1209"/>
        <v>0</v>
      </c>
      <c r="V2121" s="1645"/>
      <c r="W2121" s="1644">
        <f t="shared" si="1210"/>
        <v>0</v>
      </c>
      <c r="X2121" s="1645"/>
      <c r="Y2121" s="1644">
        <f t="shared" si="1214"/>
        <v>70775</v>
      </c>
      <c r="AI2121" s="2023">
        <f>W2121-'Blocking-Step2'!W2121</f>
        <v>0</v>
      </c>
      <c r="AJ2121" s="2054">
        <f>O2121-'Blocking-Step2'!O2121</f>
        <v>0</v>
      </c>
    </row>
    <row r="2122" spans="1:36" hidden="1">
      <c r="A2122" s="1900" t="s">
        <v>1656</v>
      </c>
      <c r="C2122" s="528">
        <f>'23'!N28+TempRevMay!M348+'23-may'!N28</f>
        <v>1336520.0424274232</v>
      </c>
      <c r="D2122" s="528">
        <f>D2136-SUM(D2123:E2125)</f>
        <v>1826490.0645065326</v>
      </c>
      <c r="F2122" s="1943"/>
      <c r="G2122" s="1921"/>
      <c r="H2122" s="1644"/>
      <c r="I2122" s="1644"/>
      <c r="K2122" s="1943">
        <f t="shared" si="1211"/>
        <v>2.9403000000000001</v>
      </c>
      <c r="L2122" s="1921" t="s">
        <v>495</v>
      </c>
      <c r="M2122" s="1943">
        <f t="shared" si="1212"/>
        <v>6.4656468966360006</v>
      </c>
      <c r="N2122" s="1921" t="s">
        <v>495</v>
      </c>
      <c r="O2122" s="1943">
        <f t="shared" si="1213"/>
        <v>2.3066</v>
      </c>
      <c r="P2122" s="1921" t="s">
        <v>495</v>
      </c>
      <c r="Q2122" s="1943">
        <f t="shared" si="1207"/>
        <v>11.712546896636001</v>
      </c>
      <c r="R2122" s="1921" t="s">
        <v>495</v>
      </c>
      <c r="S2122" s="1644">
        <f>ROUND($D2122*K2122/100,0)</f>
        <v>53704</v>
      </c>
      <c r="T2122" s="1648"/>
      <c r="U2122" s="1644">
        <f>ROUND($D2122*M2122/100,0)</f>
        <v>118094</v>
      </c>
      <c r="V2122" s="1648"/>
      <c r="W2122" s="1644">
        <f>ROUND($D2122*O2122/100,0)</f>
        <v>42130</v>
      </c>
      <c r="X2122" s="1648"/>
      <c r="Y2122" s="1644">
        <f>ROUND($D2122*Q2122/100,0)</f>
        <v>213929</v>
      </c>
      <c r="AI2122" s="2023">
        <f>W2122-'Blocking-Step2'!W2122</f>
        <v>0</v>
      </c>
      <c r="AJ2122" s="2054">
        <f>O2122-'Blocking-Step2'!O2122</f>
        <v>0</v>
      </c>
    </row>
    <row r="2123" spans="1:36" hidden="1">
      <c r="A2123" s="1900" t="s">
        <v>1657</v>
      </c>
      <c r="C2123" s="528">
        <f>'23'!O28+TempRevMay!M349+'23-may'!O28</f>
        <v>1327682.1209296016</v>
      </c>
      <c r="D2123" s="528">
        <f>ROUND(C2123/(C2122+C2123)*Energy!S49,0)</f>
        <v>1814411</v>
      </c>
      <c r="F2123" s="1943"/>
      <c r="G2123" s="1921"/>
      <c r="H2123" s="1644"/>
      <c r="I2123" s="1644"/>
      <c r="K2123" s="1943">
        <f t="shared" si="1211"/>
        <v>2.9403000000000001</v>
      </c>
      <c r="L2123" s="1921" t="s">
        <v>495</v>
      </c>
      <c r="M2123" s="1943">
        <f t="shared" si="1212"/>
        <v>1.310346896636001</v>
      </c>
      <c r="N2123" s="1921" t="s">
        <v>495</v>
      </c>
      <c r="O2123" s="1943">
        <f t="shared" si="1213"/>
        <v>2.3066</v>
      </c>
      <c r="P2123" s="1921" t="s">
        <v>495</v>
      </c>
      <c r="Q2123" s="1943">
        <f t="shared" si="1207"/>
        <v>6.5572468966360011</v>
      </c>
      <c r="R2123" s="1921" t="s">
        <v>495</v>
      </c>
      <c r="S2123" s="1644">
        <f t="shared" ref="S2123:S2125" si="1215">ROUND($D2123*K2123/100,0)</f>
        <v>53349</v>
      </c>
      <c r="T2123" s="1648"/>
      <c r="U2123" s="1644">
        <f t="shared" ref="U2123:U2125" si="1216">ROUND($D2123*M2123/100,0)</f>
        <v>23775</v>
      </c>
      <c r="V2123" s="1648"/>
      <c r="W2123" s="1644">
        <f t="shared" ref="W2123:W2125" si="1217">ROUND($D2123*O2123/100,0)</f>
        <v>41851</v>
      </c>
      <c r="X2123" s="1648"/>
      <c r="Y2123" s="1644">
        <f t="shared" ref="Y2123:Y2125" si="1218">ROUND($D2123*Q2123/100,0)</f>
        <v>118975</v>
      </c>
      <c r="AI2123" s="2023">
        <f>W2123-'Blocking-Step2'!W2123</f>
        <v>0</v>
      </c>
      <c r="AJ2123" s="2054">
        <f>O2123-'Blocking-Step2'!O2123</f>
        <v>0</v>
      </c>
    </row>
    <row r="2124" spans="1:36" hidden="1">
      <c r="A2124" s="1900" t="s">
        <v>1658</v>
      </c>
      <c r="C2124" s="528">
        <f>'23'!Q28+TempRevMay!M350+'23-may'!Q28</f>
        <v>3676633.0226886645</v>
      </c>
      <c r="D2124" s="528">
        <f>ROUND(C2124/(C2124+C2125)*Energy!T49,0)</f>
        <v>4557220</v>
      </c>
      <c r="F2124" s="1943"/>
      <c r="G2124" s="1921"/>
      <c r="H2124" s="1644"/>
      <c r="I2124" s="1644"/>
      <c r="K2124" s="1943">
        <f t="shared" si="1211"/>
        <v>2.9403000000000001</v>
      </c>
      <c r="L2124" s="1921" t="s">
        <v>495</v>
      </c>
      <c r="M2124" s="1943">
        <f t="shared" si="1212"/>
        <v>5.3096999999999994</v>
      </c>
      <c r="N2124" s="1921" t="s">
        <v>495</v>
      </c>
      <c r="O2124" s="1943">
        <f t="shared" si="1213"/>
        <v>2.1151</v>
      </c>
      <c r="P2124" s="1921" t="s">
        <v>495</v>
      </c>
      <c r="Q2124" s="1943">
        <f t="shared" si="1207"/>
        <v>10.3651</v>
      </c>
      <c r="R2124" s="1921" t="s">
        <v>495</v>
      </c>
      <c r="S2124" s="1644">
        <f t="shared" si="1215"/>
        <v>133996</v>
      </c>
      <c r="T2124" s="1648"/>
      <c r="U2124" s="1644">
        <f t="shared" si="1216"/>
        <v>241975</v>
      </c>
      <c r="V2124" s="1648"/>
      <c r="W2124" s="1644">
        <f t="shared" si="1217"/>
        <v>96390</v>
      </c>
      <c r="X2124" s="1648"/>
      <c r="Y2124" s="1644">
        <f t="shared" si="1218"/>
        <v>472360</v>
      </c>
      <c r="AI2124" s="2023">
        <f>W2124-'Blocking-Step2'!W2124</f>
        <v>0</v>
      </c>
      <c r="AJ2124" s="2054">
        <f>O2124-'Blocking-Step2'!O2124</f>
        <v>0</v>
      </c>
    </row>
    <row r="2125" spans="1:36" hidden="1">
      <c r="A2125" s="1900" t="s">
        <v>1659</v>
      </c>
      <c r="C2125" s="528">
        <f>'23'!R28+TempRevMay!M351+'23-may'!R28</f>
        <v>3389052.5744798062</v>
      </c>
      <c r="D2125" s="528">
        <f>ROUND(C2125/(C2124+C2125)*Energy!T49,0)</f>
        <v>4200761</v>
      </c>
      <c r="F2125" s="1943"/>
      <c r="G2125" s="1921"/>
      <c r="H2125" s="1644"/>
      <c r="I2125" s="1644"/>
      <c r="K2125" s="1943">
        <f t="shared" si="1211"/>
        <v>2.9403000000000001</v>
      </c>
      <c r="L2125" s="1921" t="s">
        <v>495</v>
      </c>
      <c r="M2125" s="1943">
        <f t="shared" si="1212"/>
        <v>0.74750000000000005</v>
      </c>
      <c r="N2125" s="1921" t="s">
        <v>495</v>
      </c>
      <c r="O2125" s="1943">
        <f t="shared" si="1213"/>
        <v>2.1151</v>
      </c>
      <c r="P2125" s="1921" t="s">
        <v>495</v>
      </c>
      <c r="Q2125" s="1943">
        <f t="shared" si="1207"/>
        <v>5.8029000000000002</v>
      </c>
      <c r="R2125" s="1921" t="s">
        <v>495</v>
      </c>
      <c r="S2125" s="1644">
        <f t="shared" si="1215"/>
        <v>123515</v>
      </c>
      <c r="T2125" s="1648"/>
      <c r="U2125" s="1644">
        <f t="shared" si="1216"/>
        <v>31401</v>
      </c>
      <c r="V2125" s="1648"/>
      <c r="W2125" s="1644">
        <f t="shared" si="1217"/>
        <v>88850</v>
      </c>
      <c r="X2125" s="1648"/>
      <c r="Y2125" s="1644">
        <f t="shared" si="1218"/>
        <v>243766</v>
      </c>
      <c r="AI2125" s="2023">
        <f>W2125-'Blocking-Step2'!W2125</f>
        <v>0</v>
      </c>
      <c r="AJ2125" s="2054">
        <f>O2125-'Blocking-Step2'!O2125</f>
        <v>0</v>
      </c>
    </row>
    <row r="2126" spans="1:36" hidden="1">
      <c r="A2126" s="1900" t="s">
        <v>282</v>
      </c>
      <c r="C2126" s="528">
        <f>'23'!I28</f>
        <v>5645.4023121387299</v>
      </c>
      <c r="D2126" s="528">
        <f>ROUND(C2126/C2136*D2136,0)</f>
        <v>7156</v>
      </c>
      <c r="F2126" s="1944">
        <v>8.65</v>
      </c>
      <c r="G2126" s="597"/>
      <c r="H2126" s="1644">
        <f t="shared" si="1206"/>
        <v>48833</v>
      </c>
      <c r="I2126" s="1644">
        <f t="shared" si="1206"/>
        <v>61899</v>
      </c>
      <c r="K2126" s="1944"/>
      <c r="L2126" s="597"/>
      <c r="M2126" s="1944"/>
      <c r="N2126" s="597"/>
      <c r="O2126" s="1944"/>
      <c r="P2126" s="597"/>
      <c r="Q2126" s="1944"/>
      <c r="R2126" s="597"/>
      <c r="S2126" s="1645"/>
      <c r="T2126" s="1645"/>
      <c r="U2126" s="1645"/>
      <c r="V2126" s="1645"/>
      <c r="W2126" s="1645"/>
      <c r="X2126" s="1645"/>
      <c r="Y2126" s="1644"/>
      <c r="AI2126" s="2023">
        <f>W2126-'Blocking-Step2'!W2126</f>
        <v>0</v>
      </c>
      <c r="AJ2126" s="2054">
        <f>O2126-'Blocking-Step2'!O2126</f>
        <v>0</v>
      </c>
    </row>
    <row r="2127" spans="1:36" hidden="1">
      <c r="A2127" s="1900" t="s">
        <v>283</v>
      </c>
      <c r="C2127" s="528">
        <f>'23'!J28</f>
        <v>6346.09885057471</v>
      </c>
      <c r="D2127" s="528">
        <f>ROUND(C2127/C2136*D2136,0)</f>
        <v>8044</v>
      </c>
      <c r="F2127" s="1944">
        <v>8.7000000000000011</v>
      </c>
      <c r="G2127" s="597"/>
      <c r="H2127" s="1644">
        <f t="shared" si="1206"/>
        <v>55211</v>
      </c>
      <c r="I2127" s="1644">
        <f t="shared" si="1206"/>
        <v>69983</v>
      </c>
      <c r="K2127" s="1944"/>
      <c r="L2127" s="597"/>
      <c r="M2127" s="1944"/>
      <c r="N2127" s="597"/>
      <c r="O2127" s="1944"/>
      <c r="P2127" s="597"/>
      <c r="Q2127" s="1944"/>
      <c r="R2127" s="597"/>
      <c r="S2127" s="1645"/>
      <c r="T2127" s="1645"/>
      <c r="U2127" s="1645"/>
      <c r="V2127" s="1645"/>
      <c r="W2127" s="1645"/>
      <c r="X2127" s="1645"/>
      <c r="Y2127" s="1644"/>
      <c r="AI2127" s="2023">
        <f>W2127-'Blocking-Step2'!W2127</f>
        <v>0</v>
      </c>
      <c r="AJ2127" s="2054">
        <f>O2127-'Blocking-Step2'!O2127</f>
        <v>0</v>
      </c>
    </row>
    <row r="2128" spans="1:36" hidden="1">
      <c r="A2128" s="1900" t="s">
        <v>261</v>
      </c>
      <c r="C2128" s="528">
        <f>'23'!K28</f>
        <v>0</v>
      </c>
      <c r="D2128" s="528">
        <f>ROUND(C2128/C2136*D2136,0)</f>
        <v>0</v>
      </c>
      <c r="F2128" s="1944">
        <v>-0.48</v>
      </c>
      <c r="G2128" s="597"/>
      <c r="H2128" s="1644">
        <f t="shared" si="1206"/>
        <v>0</v>
      </c>
      <c r="I2128" s="1644">
        <f t="shared" si="1206"/>
        <v>0</v>
      </c>
      <c r="K2128" s="1944">
        <f>K2084</f>
        <v>-0.48</v>
      </c>
      <c r="L2128" s="597"/>
      <c r="M2128" s="1944">
        <f>M2084</f>
        <v>0</v>
      </c>
      <c r="N2128" s="597"/>
      <c r="O2128" s="1944">
        <f>O2084</f>
        <v>0</v>
      </c>
      <c r="P2128" s="597"/>
      <c r="Q2128" s="1944">
        <f>Q2084</f>
        <v>-0.48</v>
      </c>
      <c r="R2128" s="597"/>
      <c r="S2128" s="1644">
        <f t="shared" ref="S2128" si="1219">ROUND($D2128*K2128,0)</f>
        <v>0</v>
      </c>
      <c r="T2128" s="1645"/>
      <c r="U2128" s="1644">
        <f t="shared" ref="U2128" si="1220">ROUND($D2128*M2128,0)</f>
        <v>0</v>
      </c>
      <c r="V2128" s="1645"/>
      <c r="W2128" s="1644">
        <f t="shared" ref="W2128" si="1221">ROUND($D2128*O2128,0)</f>
        <v>0</v>
      </c>
      <c r="X2128" s="1645"/>
      <c r="Y2128" s="1644">
        <f t="shared" ref="Y2128" si="1222">ROUND($D2128*Q2128,0)</f>
        <v>0</v>
      </c>
      <c r="AI2128" s="2023">
        <f>W2128-'Blocking-Step2'!W2128</f>
        <v>0</v>
      </c>
      <c r="AJ2128" s="2054">
        <f>O2128-'Blocking-Step2'!O2128</f>
        <v>0</v>
      </c>
    </row>
    <row r="2129" spans="1:36" hidden="1">
      <c r="A2129" s="1900" t="s">
        <v>194</v>
      </c>
      <c r="C2129" s="528">
        <f>'23'!N28+TempRev!M348</f>
        <v>1594921.3742284607</v>
      </c>
      <c r="D2129" s="528">
        <f>D2136-SUM(D2130:D2133)</f>
        <v>2175911.0645065326</v>
      </c>
      <c r="F2129" s="1943">
        <v>11.733599999999999</v>
      </c>
      <c r="G2129" s="1921" t="s">
        <v>495</v>
      </c>
      <c r="H2129" s="1644">
        <f t="shared" ref="H2129:I2132" si="1223">ROUND($F2129*C2129/100,0)</f>
        <v>187142</v>
      </c>
      <c r="I2129" s="1644">
        <f t="shared" si="1223"/>
        <v>255313</v>
      </c>
      <c r="K2129" s="1943"/>
      <c r="L2129" s="1921"/>
      <c r="M2129" s="1943"/>
      <c r="N2129" s="1921"/>
      <c r="O2129" s="1943"/>
      <c r="P2129" s="1921"/>
      <c r="Q2129" s="1943"/>
      <c r="R2129" s="1921"/>
      <c r="S2129" s="1648"/>
      <c r="T2129" s="1648"/>
      <c r="U2129" s="1648"/>
      <c r="V2129" s="1648"/>
      <c r="W2129" s="1648"/>
      <c r="X2129" s="1648"/>
      <c r="Y2129" s="1644"/>
      <c r="AI2129" s="2023">
        <f>W2129-'Blocking-Step2'!W2129</f>
        <v>0</v>
      </c>
      <c r="AJ2129" s="2054">
        <f>O2129-'Blocking-Step2'!O2129</f>
        <v>0</v>
      </c>
    </row>
    <row r="2130" spans="1:36" hidden="1">
      <c r="A2130" s="1900" t="s">
        <v>195</v>
      </c>
      <c r="C2130" s="528">
        <f>'23'!O28+TempRev!M349</f>
        <v>1508810.5312518112</v>
      </c>
      <c r="D2130" s="528">
        <f>ROUND(C2130/(C2129+C2130)*Energy!Q49,0)</f>
        <v>2058433</v>
      </c>
      <c r="F2130" s="1943">
        <v>6.5782999999999996</v>
      </c>
      <c r="G2130" s="1921" t="s">
        <v>495</v>
      </c>
      <c r="H2130" s="1644">
        <f t="shared" si="1223"/>
        <v>99254</v>
      </c>
      <c r="I2130" s="1644">
        <f t="shared" si="1223"/>
        <v>135410</v>
      </c>
      <c r="K2130" s="1943"/>
      <c r="L2130" s="1921"/>
      <c r="M2130" s="1943"/>
      <c r="N2130" s="1921"/>
      <c r="O2130" s="1943"/>
      <c r="P2130" s="1921"/>
      <c r="Q2130" s="1943"/>
      <c r="R2130" s="1921"/>
      <c r="S2130" s="1648"/>
      <c r="T2130" s="1648"/>
      <c r="U2130" s="1648"/>
      <c r="V2130" s="1648"/>
      <c r="W2130" s="1648"/>
      <c r="X2130" s="1648"/>
      <c r="Y2130" s="1644"/>
      <c r="AI2130" s="2023">
        <f>W2130-'Blocking-Step2'!W2130</f>
        <v>0</v>
      </c>
      <c r="AJ2130" s="2054">
        <f>O2130-'Blocking-Step2'!O2130</f>
        <v>0</v>
      </c>
    </row>
    <row r="2131" spans="1:36" hidden="1">
      <c r="A2131" s="1900" t="s">
        <v>160</v>
      </c>
      <c r="C2131" s="528">
        <f>'23'!Q28+TempRev!M350</f>
        <v>3418231.6908876272</v>
      </c>
      <c r="D2131" s="528">
        <f>ROUND(C2131/(C2131+C2132)*Energy!R49,0)</f>
        <v>4211836</v>
      </c>
      <c r="F2131" s="1943">
        <v>10.8</v>
      </c>
      <c r="G2131" s="1921" t="s">
        <v>495</v>
      </c>
      <c r="H2131" s="1644">
        <f t="shared" si="1223"/>
        <v>369169</v>
      </c>
      <c r="I2131" s="1644">
        <f t="shared" si="1223"/>
        <v>454878</v>
      </c>
      <c r="K2131" s="1943"/>
      <c r="L2131" s="1921"/>
      <c r="M2131" s="1943"/>
      <c r="N2131" s="1921"/>
      <c r="O2131" s="1943"/>
      <c r="P2131" s="1921"/>
      <c r="Q2131" s="1943"/>
      <c r="R2131" s="1921"/>
      <c r="S2131" s="1648"/>
      <c r="T2131" s="1648"/>
      <c r="U2131" s="1648"/>
      <c r="V2131" s="1648"/>
      <c r="W2131" s="1648"/>
      <c r="X2131" s="1648"/>
      <c r="Y2131" s="1644"/>
      <c r="AI2131" s="2023">
        <f>W2131-'Blocking-Step2'!W2131</f>
        <v>0</v>
      </c>
      <c r="AJ2131" s="2054">
        <f>O2131-'Blocking-Step2'!O2131</f>
        <v>0</v>
      </c>
    </row>
    <row r="2132" spans="1:36" hidden="1">
      <c r="A2132" s="1900" t="s">
        <v>159</v>
      </c>
      <c r="C2132" s="528">
        <f>'23'!R28+TempRev!M351</f>
        <v>3207924.1641575964</v>
      </c>
      <c r="D2132" s="528">
        <f>ROUND(C2132/(C2131+C2132)*Energy!R49,0)</f>
        <v>3952702</v>
      </c>
      <c r="F2132" s="1943">
        <v>6.0567000000000002</v>
      </c>
      <c r="G2132" s="1921" t="s">
        <v>495</v>
      </c>
      <c r="H2132" s="1644">
        <f t="shared" si="1223"/>
        <v>194294</v>
      </c>
      <c r="I2132" s="1644">
        <f t="shared" si="1223"/>
        <v>239403</v>
      </c>
      <c r="K2132" s="1943"/>
      <c r="L2132" s="1921"/>
      <c r="M2132" s="1943"/>
      <c r="N2132" s="1921"/>
      <c r="O2132" s="1943"/>
      <c r="P2132" s="1921"/>
      <c r="Q2132" s="1943"/>
      <c r="R2132" s="1921"/>
      <c r="S2132" s="1648"/>
      <c r="T2132" s="1648"/>
      <c r="U2132" s="1648"/>
      <c r="V2132" s="1648"/>
      <c r="W2132" s="1648"/>
      <c r="X2132" s="1648"/>
      <c r="Y2132" s="1644"/>
      <c r="AI2132" s="2023">
        <f>W2132-'Blocking-Step2'!W2132</f>
        <v>0</v>
      </c>
      <c r="AJ2132" s="2054">
        <f>O2132-'Blocking-Step2'!O2132</f>
        <v>0</v>
      </c>
    </row>
    <row r="2133" spans="1:36" hidden="1">
      <c r="A2133" s="1900" t="s">
        <v>246</v>
      </c>
      <c r="C2133" s="529">
        <f>'Table 2'!J61</f>
        <v>51592</v>
      </c>
      <c r="D2133" s="529">
        <v>0</v>
      </c>
      <c r="H2133" s="1030">
        <f>'Table 3'!F61</f>
        <v>6025</v>
      </c>
      <c r="I2133" s="1030">
        <v>0</v>
      </c>
      <c r="Y2133" s="1030">
        <v>0</v>
      </c>
      <c r="AI2133" s="2023">
        <f>W2133-'Blocking-Step2'!W2133</f>
        <v>0</v>
      </c>
      <c r="AJ2133" s="2054">
        <f>O2133-'Blocking-Step2'!O2133</f>
        <v>0</v>
      </c>
    </row>
    <row r="2134" spans="1:36" hidden="1">
      <c r="A2134" s="1900" t="s">
        <v>1240</v>
      </c>
      <c r="C2134" s="584"/>
      <c r="D2134" s="584"/>
      <c r="F2134" s="1930">
        <v>-3.3099999999999997E-2</v>
      </c>
      <c r="G2134" s="597"/>
      <c r="H2134" s="1644">
        <f>SUM(H2126:H2127,H2129:H2132)*$F2134</f>
        <v>-31574.189299999998</v>
      </c>
      <c r="I2134" s="1644">
        <f>SUM(I2126:I2127,I2129:I2132)*$F2134</f>
        <v>-40278.926599999999</v>
      </c>
      <c r="K2134" s="1930"/>
      <c r="L2134" s="597"/>
      <c r="M2134" s="1930"/>
      <c r="N2134" s="597"/>
      <c r="O2134" s="1931" t="str">
        <f>$O$43</f>
        <v>Tax Year 1 (1/1/2021)</v>
      </c>
      <c r="P2134" s="597"/>
      <c r="Q2134" s="1930">
        <f>$AC$1988</f>
        <v>-1.3899999999999999E-2</v>
      </c>
      <c r="R2134" s="597"/>
      <c r="S2134" s="1645"/>
      <c r="T2134" s="1645"/>
      <c r="U2134" s="1645"/>
      <c r="V2134" s="1645"/>
      <c r="W2134" s="1645"/>
      <c r="X2134" s="1645"/>
      <c r="Y2134" s="1644">
        <f>Q2134*SUM(Y2120:Y2125)</f>
        <v>-16332.291499999999</v>
      </c>
      <c r="AI2134" s="2023">
        <f>W2134-'Blocking-Step2'!W2134</f>
        <v>0</v>
      </c>
      <c r="AJ2134" s="2054">
        <f>O2134-'Blocking-Step2'!O2134</f>
        <v>0</v>
      </c>
    </row>
    <row r="2135" spans="1:36" hidden="1">
      <c r="A2135" s="1900"/>
      <c r="C2135" s="584"/>
      <c r="D2135" s="584"/>
      <c r="F2135" s="1930"/>
      <c r="G2135" s="597"/>
      <c r="H2135" s="1644"/>
      <c r="I2135" s="1644"/>
      <c r="K2135" s="1930"/>
      <c r="L2135" s="597"/>
      <c r="M2135" s="1930"/>
      <c r="N2135" s="597"/>
      <c r="O2135" s="1931">
        <f>$O$44</f>
        <v>0</v>
      </c>
      <c r="P2135" s="597"/>
      <c r="Q2135" s="1930">
        <f>$AC$1989</f>
        <v>0</v>
      </c>
      <c r="R2135" s="597"/>
      <c r="S2135" s="1645"/>
      <c r="T2135" s="1645"/>
      <c r="U2135" s="1645"/>
      <c r="V2135" s="1645"/>
      <c r="W2135" s="1645"/>
      <c r="X2135" s="1645"/>
      <c r="Y2135" s="1644">
        <f>Q2135*SUM(Y2120:Y2125)</f>
        <v>0</v>
      </c>
      <c r="AI2135" s="2023">
        <f>W2135-'Blocking-Step2'!W2135</f>
        <v>0</v>
      </c>
      <c r="AJ2135" s="2054">
        <f>O2135-'Blocking-Step2'!O2135</f>
        <v>0</v>
      </c>
    </row>
    <row r="2136" spans="1:36" ht="16.5" hidden="1" thickBot="1">
      <c r="A2136" s="1900" t="s">
        <v>247</v>
      </c>
      <c r="C2136" s="1949">
        <f>SUM(C2129:C2132,C2133)</f>
        <v>9781479.7605254948</v>
      </c>
      <c r="D2136" s="1949">
        <f>Energy!P49</f>
        <v>12398882.064506533</v>
      </c>
      <c r="F2136" s="1939"/>
      <c r="H2136" s="1647">
        <f>SUM(H2117:H2134)</f>
        <v>1026908.8107</v>
      </c>
      <c r="I2136" s="1647">
        <f>SUM(I2117:I2134)</f>
        <v>1300307.0734000001</v>
      </c>
      <c r="K2136" s="1939"/>
      <c r="M2136" s="1939"/>
      <c r="O2136" s="1939"/>
      <c r="P2136" s="597"/>
      <c r="Q2136" s="1939"/>
      <c r="R2136" s="597"/>
      <c r="S2136" s="1646">
        <f>SUM(S2117:S2133)</f>
        <v>614219</v>
      </c>
      <c r="T2136" s="1645"/>
      <c r="U2136" s="1646">
        <f>SUM(U2117:U2133)</f>
        <v>415245</v>
      </c>
      <c r="V2136" s="1645"/>
      <c r="W2136" s="1646">
        <f>SUM(W2117:W2133)</f>
        <v>269221</v>
      </c>
      <c r="X2136" s="1645"/>
      <c r="Y2136" s="1646">
        <f>SUM(Y2117:Y2133)</f>
        <v>1298685</v>
      </c>
      <c r="AA2136" s="1104" t="s">
        <v>1743</v>
      </c>
      <c r="AB2136" s="1890">
        <f>Y2136/I2136-1</f>
        <v>-1.2474541077122092E-3</v>
      </c>
      <c r="AI2136" s="2023">
        <f>W2136-'Blocking-Step2'!W2136</f>
        <v>0</v>
      </c>
      <c r="AJ2136" s="2054">
        <f>O2136-'Blocking-Step2'!O2136</f>
        <v>0</v>
      </c>
    </row>
    <row r="2137" spans="1:36" ht="16.5" hidden="1" thickTop="1">
      <c r="C2137" s="528"/>
      <c r="D2137" s="528"/>
      <c r="O2137" s="596"/>
      <c r="Q2137" s="596"/>
      <c r="Y2137" s="1645"/>
      <c r="AI2137" s="2023">
        <f>W2137-'Blocking-Step2'!W2137</f>
        <v>0</v>
      </c>
      <c r="AJ2137" s="2054">
        <f>O2137-'Blocking-Step2'!O2137</f>
        <v>0</v>
      </c>
    </row>
    <row r="2138" spans="1:36" hidden="1">
      <c r="A2138" s="1897" t="s">
        <v>1014</v>
      </c>
      <c r="C2138" s="528"/>
      <c r="D2138" s="528"/>
      <c r="AI2138" s="2023">
        <f>W2138-'Blocking-Step2'!W2138</f>
        <v>0</v>
      </c>
      <c r="AJ2138" s="2054">
        <f>O2138-'Blocking-Step2'!O2138</f>
        <v>0</v>
      </c>
    </row>
    <row r="2139" spans="1:36" hidden="1">
      <c r="A2139" s="1900" t="s">
        <v>240</v>
      </c>
      <c r="C2139" s="528">
        <f>'23'!G29</f>
        <v>204.16800000000001</v>
      </c>
      <c r="D2139" s="528">
        <f>Bill!P74</f>
        <v>462</v>
      </c>
      <c r="F2139" s="1944">
        <v>10</v>
      </c>
      <c r="G2139" s="597"/>
      <c r="H2139" s="1644">
        <f t="shared" ref="H2139:I2150" si="1224">ROUND($F2139*C2139,0)</f>
        <v>2042</v>
      </c>
      <c r="I2139" s="1644">
        <f t="shared" si="1224"/>
        <v>4620</v>
      </c>
      <c r="K2139" s="1944">
        <f>K2073</f>
        <v>10</v>
      </c>
      <c r="L2139" s="597"/>
      <c r="M2139" s="1944">
        <f>M2073</f>
        <v>0</v>
      </c>
      <c r="N2139" s="597"/>
      <c r="O2139" s="1944">
        <f>O2073</f>
        <v>0</v>
      </c>
      <c r="P2139" s="597"/>
      <c r="Q2139" s="1944">
        <f t="shared" ref="Q2139:Q2147" si="1225">Q2073</f>
        <v>10</v>
      </c>
      <c r="R2139" s="597"/>
      <c r="S2139" s="1644">
        <f t="shared" ref="S2139:S2143" si="1226">ROUND($D2139*K2139,0)</f>
        <v>4620</v>
      </c>
      <c r="T2139" s="1645"/>
      <c r="U2139" s="1644">
        <f t="shared" ref="U2139:U2143" si="1227">ROUND($D2139*M2139,0)</f>
        <v>0</v>
      </c>
      <c r="V2139" s="1645"/>
      <c r="W2139" s="1644">
        <f t="shared" ref="W2139:W2143" si="1228">ROUND($D2139*O2139,0)</f>
        <v>0</v>
      </c>
      <c r="X2139" s="1645"/>
      <c r="Y2139" s="1644">
        <f>ROUND($D2139*Q2139,0)</f>
        <v>4620</v>
      </c>
      <c r="AI2139" s="2023">
        <f>W2139-'Blocking-Step2'!W2139</f>
        <v>0</v>
      </c>
      <c r="AJ2139" s="2054">
        <f>O2139-'Blocking-Step2'!O2139</f>
        <v>0</v>
      </c>
    </row>
    <row r="2140" spans="1:36" hidden="1">
      <c r="A2140" s="1900" t="s">
        <v>262</v>
      </c>
      <c r="C2140" s="528">
        <v>0</v>
      </c>
      <c r="D2140" s="528">
        <f>ROUND(C2140/C2139*D2139,0)</f>
        <v>0</v>
      </c>
      <c r="F2140" s="1944">
        <v>120</v>
      </c>
      <c r="G2140" s="597"/>
      <c r="H2140" s="1644">
        <f t="shared" si="1224"/>
        <v>0</v>
      </c>
      <c r="I2140" s="1644">
        <f t="shared" si="1224"/>
        <v>0</v>
      </c>
      <c r="K2140" s="1944">
        <f t="shared" ref="K2140:K2147" si="1229">K2074</f>
        <v>117</v>
      </c>
      <c r="L2140" s="597"/>
      <c r="M2140" s="1944">
        <f t="shared" ref="M2140:M2147" si="1230">M2074</f>
        <v>0</v>
      </c>
      <c r="N2140" s="597"/>
      <c r="O2140" s="1944">
        <f t="shared" ref="O2140:O2147" si="1231">O2074</f>
        <v>0</v>
      </c>
      <c r="P2140" s="597"/>
      <c r="Q2140" s="1944">
        <f t="shared" si="1225"/>
        <v>117</v>
      </c>
      <c r="R2140" s="597"/>
      <c r="S2140" s="1644">
        <f t="shared" si="1226"/>
        <v>0</v>
      </c>
      <c r="T2140" s="1645"/>
      <c r="U2140" s="1644">
        <f t="shared" si="1227"/>
        <v>0</v>
      </c>
      <c r="V2140" s="1645"/>
      <c r="W2140" s="1644">
        <f t="shared" si="1228"/>
        <v>0</v>
      </c>
      <c r="X2140" s="1645"/>
      <c r="Y2140" s="1644">
        <f t="shared" ref="Y2140:Y2143" si="1232">ROUND($D2140*Q2140,0)</f>
        <v>0</v>
      </c>
      <c r="AI2140" s="2023">
        <f>W2140-'Blocking-Step2'!W2140</f>
        <v>0</v>
      </c>
      <c r="AJ2140" s="2054">
        <f>O2140-'Blocking-Step2'!O2140</f>
        <v>0</v>
      </c>
    </row>
    <row r="2141" spans="1:36" hidden="1">
      <c r="A2141" s="1900" t="s">
        <v>1298</v>
      </c>
      <c r="C2141" s="528">
        <f>'23'!AH29</f>
        <v>0</v>
      </c>
      <c r="D2141" s="528">
        <f>ROUND(C2141/C2139*D2139,0)</f>
        <v>0</v>
      </c>
      <c r="F2141" s="1944">
        <v>10</v>
      </c>
      <c r="G2141" s="597"/>
      <c r="H2141" s="1644">
        <f t="shared" si="1224"/>
        <v>0</v>
      </c>
      <c r="I2141" s="1644">
        <f t="shared" si="1224"/>
        <v>0</v>
      </c>
      <c r="K2141" s="1944">
        <f t="shared" si="1229"/>
        <v>10</v>
      </c>
      <c r="L2141" s="597"/>
      <c r="M2141" s="1944">
        <f t="shared" si="1230"/>
        <v>0</v>
      </c>
      <c r="N2141" s="597"/>
      <c r="O2141" s="1944">
        <f t="shared" si="1231"/>
        <v>0</v>
      </c>
      <c r="P2141" s="597"/>
      <c r="Q2141" s="1944">
        <f t="shared" si="1225"/>
        <v>10</v>
      </c>
      <c r="R2141" s="597"/>
      <c r="S2141" s="1644">
        <f t="shared" si="1226"/>
        <v>0</v>
      </c>
      <c r="T2141" s="1645"/>
      <c r="U2141" s="1644">
        <f t="shared" si="1227"/>
        <v>0</v>
      </c>
      <c r="V2141" s="1645"/>
      <c r="W2141" s="1644">
        <f t="shared" si="1228"/>
        <v>0</v>
      </c>
      <c r="X2141" s="1645"/>
      <c r="Y2141" s="1644">
        <f t="shared" si="1232"/>
        <v>0</v>
      </c>
      <c r="AI2141" s="2023">
        <f>W2141-'Blocking-Step2'!W2141</f>
        <v>0</v>
      </c>
      <c r="AJ2141" s="2054">
        <f>O2141-'Blocking-Step2'!O2141</f>
        <v>0</v>
      </c>
    </row>
    <row r="2142" spans="1:36" hidden="1">
      <c r="A2142" s="1900" t="s">
        <v>1654</v>
      </c>
      <c r="C2142" s="528">
        <f>'23'!I29+'23-may'!I29</f>
        <v>123.79500655898235</v>
      </c>
      <c r="D2142" s="528">
        <f>ROUND(C2142/C2158*D2158,0)</f>
        <v>317</v>
      </c>
      <c r="F2142" s="1944"/>
      <c r="G2142" s="597"/>
      <c r="H2142" s="1644"/>
      <c r="I2142" s="1644"/>
      <c r="K2142" s="1944">
        <f t="shared" si="1229"/>
        <v>8.89</v>
      </c>
      <c r="L2142" s="597"/>
      <c r="M2142" s="1944">
        <f t="shared" si="1230"/>
        <v>0</v>
      </c>
      <c r="N2142" s="597"/>
      <c r="O2142" s="1944">
        <f t="shared" si="1231"/>
        <v>0</v>
      </c>
      <c r="P2142" s="597"/>
      <c r="Q2142" s="1944">
        <f t="shared" si="1225"/>
        <v>8.89</v>
      </c>
      <c r="R2142" s="597"/>
      <c r="S2142" s="1644">
        <f t="shared" si="1226"/>
        <v>2818</v>
      </c>
      <c r="T2142" s="1645"/>
      <c r="U2142" s="1644">
        <f t="shared" si="1227"/>
        <v>0</v>
      </c>
      <c r="V2142" s="1645"/>
      <c r="W2142" s="1644">
        <f t="shared" si="1228"/>
        <v>0</v>
      </c>
      <c r="X2142" s="1645"/>
      <c r="Y2142" s="1644">
        <f t="shared" si="1232"/>
        <v>2818</v>
      </c>
      <c r="AI2142" s="2023">
        <f>W2142-'Blocking-Step2'!W2142</f>
        <v>0</v>
      </c>
      <c r="AJ2142" s="2054">
        <f>O2142-'Blocking-Step2'!O2142</f>
        <v>0</v>
      </c>
    </row>
    <row r="2143" spans="1:36" hidden="1">
      <c r="A2143" s="1900" t="s">
        <v>1655</v>
      </c>
      <c r="C2143" s="528">
        <f>'23'!J29+'23-may'!J29</f>
        <v>257.23907091095265</v>
      </c>
      <c r="D2143" s="528">
        <f>ROUND(C2143/C2158*D2158,0)</f>
        <v>658</v>
      </c>
      <c r="F2143" s="1944"/>
      <c r="G2143" s="597"/>
      <c r="H2143" s="1644"/>
      <c r="I2143" s="1644"/>
      <c r="K2143" s="1944">
        <f t="shared" si="1229"/>
        <v>7.87</v>
      </c>
      <c r="L2143" s="597"/>
      <c r="M2143" s="1944">
        <f t="shared" si="1230"/>
        <v>0</v>
      </c>
      <c r="N2143" s="597"/>
      <c r="O2143" s="1944">
        <f t="shared" si="1231"/>
        <v>0</v>
      </c>
      <c r="P2143" s="597"/>
      <c r="Q2143" s="1944">
        <f t="shared" si="1225"/>
        <v>7.87</v>
      </c>
      <c r="R2143" s="597"/>
      <c r="S2143" s="1644">
        <f t="shared" si="1226"/>
        <v>5178</v>
      </c>
      <c r="T2143" s="1645"/>
      <c r="U2143" s="1644">
        <f t="shared" si="1227"/>
        <v>0</v>
      </c>
      <c r="V2143" s="1645"/>
      <c r="W2143" s="1644">
        <f t="shared" si="1228"/>
        <v>0</v>
      </c>
      <c r="X2143" s="1645"/>
      <c r="Y2143" s="1644">
        <f t="shared" si="1232"/>
        <v>5178</v>
      </c>
      <c r="AI2143" s="2023">
        <f>W2143-'Blocking-Step2'!W2143</f>
        <v>0</v>
      </c>
      <c r="AJ2143" s="2054">
        <f>O2143-'Blocking-Step2'!O2143</f>
        <v>0</v>
      </c>
    </row>
    <row r="2144" spans="1:36" hidden="1">
      <c r="A2144" s="1900" t="s">
        <v>1656</v>
      </c>
      <c r="C2144" s="528">
        <f>'23'!N29+'23-may'!N29</f>
        <v>18772.903584672436</v>
      </c>
      <c r="D2144" s="528">
        <f>D2158-SUM(D2145:E2147)</f>
        <v>59645.397899159638</v>
      </c>
      <c r="F2144" s="1943"/>
      <c r="G2144" s="1921"/>
      <c r="H2144" s="1644"/>
      <c r="I2144" s="1644"/>
      <c r="K2144" s="1943">
        <f t="shared" si="1229"/>
        <v>2.9403000000000001</v>
      </c>
      <c r="L2144" s="1921" t="s">
        <v>495</v>
      </c>
      <c r="M2144" s="1943">
        <f t="shared" si="1230"/>
        <v>6.4656468966360006</v>
      </c>
      <c r="N2144" s="1921" t="s">
        <v>495</v>
      </c>
      <c r="O2144" s="1943">
        <f t="shared" si="1231"/>
        <v>2.3066</v>
      </c>
      <c r="P2144" s="1921" t="s">
        <v>495</v>
      </c>
      <c r="Q2144" s="1943">
        <f t="shared" si="1225"/>
        <v>11.712546896636001</v>
      </c>
      <c r="R2144" s="1921" t="s">
        <v>495</v>
      </c>
      <c r="S2144" s="1644">
        <f>ROUND($D2144*K2144/100,0)</f>
        <v>1754</v>
      </c>
      <c r="T2144" s="1648"/>
      <c r="U2144" s="1644">
        <f>ROUND($D2144*M2144/100,0)</f>
        <v>3856</v>
      </c>
      <c r="V2144" s="1648"/>
      <c r="W2144" s="1644">
        <f>ROUND($D2144*O2144/100,0)</f>
        <v>1376</v>
      </c>
      <c r="X2144" s="1648"/>
      <c r="Y2144" s="1644">
        <f>ROUND($D2144*Q2144/100,0)</f>
        <v>6986</v>
      </c>
      <c r="AI2144" s="2023">
        <f>W2144-'Blocking-Step2'!W2144</f>
        <v>0</v>
      </c>
      <c r="AJ2144" s="2054">
        <f>O2144-'Blocking-Step2'!O2144</f>
        <v>0</v>
      </c>
    </row>
    <row r="2145" spans="1:36" hidden="1">
      <c r="A2145" s="1900" t="s">
        <v>1657</v>
      </c>
      <c r="C2145" s="528">
        <f>'23'!O29+'23-may'!O29</f>
        <v>13037.670735475896</v>
      </c>
      <c r="D2145" s="528">
        <f>ROUND(C2145/(C2144+C2145)*Energy!S74,0)</f>
        <v>41424</v>
      </c>
      <c r="F2145" s="1943"/>
      <c r="G2145" s="1921"/>
      <c r="H2145" s="1644"/>
      <c r="I2145" s="1644"/>
      <c r="K2145" s="1943">
        <f t="shared" si="1229"/>
        <v>2.9403000000000001</v>
      </c>
      <c r="L2145" s="1921" t="s">
        <v>495</v>
      </c>
      <c r="M2145" s="1943">
        <f t="shared" si="1230"/>
        <v>1.310346896636001</v>
      </c>
      <c r="N2145" s="1921" t="s">
        <v>495</v>
      </c>
      <c r="O2145" s="1943">
        <f t="shared" si="1231"/>
        <v>2.3066</v>
      </c>
      <c r="P2145" s="1921" t="s">
        <v>495</v>
      </c>
      <c r="Q2145" s="1943">
        <f t="shared" si="1225"/>
        <v>6.5572468966360011</v>
      </c>
      <c r="R2145" s="1921" t="s">
        <v>495</v>
      </c>
      <c r="S2145" s="1644">
        <f t="shared" ref="S2145:S2147" si="1233">ROUND($D2145*K2145/100,0)</f>
        <v>1218</v>
      </c>
      <c r="T2145" s="1648"/>
      <c r="U2145" s="1644">
        <f t="shared" ref="U2145:U2147" si="1234">ROUND($D2145*M2145/100,0)</f>
        <v>543</v>
      </c>
      <c r="V2145" s="1648"/>
      <c r="W2145" s="1644">
        <f t="shared" ref="W2145:W2147" si="1235">ROUND($D2145*O2145/100,0)</f>
        <v>955</v>
      </c>
      <c r="X2145" s="1648"/>
      <c r="Y2145" s="1644">
        <f t="shared" ref="Y2145:Y2147" si="1236">ROUND($D2145*Q2145/100,0)</f>
        <v>2716</v>
      </c>
      <c r="AI2145" s="2023">
        <f>W2145-'Blocking-Step2'!W2145</f>
        <v>0</v>
      </c>
      <c r="AJ2145" s="2054">
        <f>O2145-'Blocking-Step2'!O2145</f>
        <v>0</v>
      </c>
    </row>
    <row r="2146" spans="1:36" hidden="1">
      <c r="A2146" s="1900" t="s">
        <v>1658</v>
      </c>
      <c r="C2146" s="528">
        <f>'23'!Q29+'23-may'!Q29</f>
        <v>78116.096415327571</v>
      </c>
      <c r="D2146" s="528">
        <f>ROUND(C2146/(C2146+C2147)*Energy!T74,0)</f>
        <v>185234</v>
      </c>
      <c r="F2146" s="1943"/>
      <c r="G2146" s="1921"/>
      <c r="H2146" s="1644"/>
      <c r="I2146" s="1644"/>
      <c r="K2146" s="1943">
        <f t="shared" si="1229"/>
        <v>2.9403000000000001</v>
      </c>
      <c r="L2146" s="1921" t="s">
        <v>495</v>
      </c>
      <c r="M2146" s="1943">
        <f t="shared" si="1230"/>
        <v>5.3096999999999994</v>
      </c>
      <c r="N2146" s="1921" t="s">
        <v>495</v>
      </c>
      <c r="O2146" s="1943">
        <f t="shared" si="1231"/>
        <v>2.1151</v>
      </c>
      <c r="P2146" s="1921" t="s">
        <v>495</v>
      </c>
      <c r="Q2146" s="1943">
        <f t="shared" si="1225"/>
        <v>10.3651</v>
      </c>
      <c r="R2146" s="1921" t="s">
        <v>495</v>
      </c>
      <c r="S2146" s="1644">
        <f t="shared" si="1233"/>
        <v>5446</v>
      </c>
      <c r="T2146" s="1648"/>
      <c r="U2146" s="1644">
        <f t="shared" si="1234"/>
        <v>9835</v>
      </c>
      <c r="V2146" s="1648"/>
      <c r="W2146" s="1644">
        <f t="shared" si="1235"/>
        <v>3918</v>
      </c>
      <c r="X2146" s="1648"/>
      <c r="Y2146" s="1644">
        <f t="shared" si="1236"/>
        <v>19200</v>
      </c>
      <c r="AI2146" s="2023">
        <f>W2146-'Blocking-Step2'!W2146</f>
        <v>0</v>
      </c>
      <c r="AJ2146" s="2054">
        <f>O2146-'Blocking-Step2'!O2146</f>
        <v>0</v>
      </c>
    </row>
    <row r="2147" spans="1:36" hidden="1">
      <c r="A2147" s="1900" t="s">
        <v>1659</v>
      </c>
      <c r="C2147" s="528">
        <f>'23'!R29+'23-may'!R29</f>
        <v>67055.329264524102</v>
      </c>
      <c r="D2147" s="528">
        <f>ROUND(C2147/(C2146+C2147)*Energy!T74,0)</f>
        <v>159006</v>
      </c>
      <c r="F2147" s="1943"/>
      <c r="G2147" s="1921"/>
      <c r="H2147" s="1644"/>
      <c r="I2147" s="1644"/>
      <c r="K2147" s="1943">
        <f t="shared" si="1229"/>
        <v>2.9403000000000001</v>
      </c>
      <c r="L2147" s="1921" t="s">
        <v>495</v>
      </c>
      <c r="M2147" s="1943">
        <f t="shared" si="1230"/>
        <v>0.74750000000000005</v>
      </c>
      <c r="N2147" s="1921" t="s">
        <v>495</v>
      </c>
      <c r="O2147" s="1943">
        <f t="shared" si="1231"/>
        <v>2.1151</v>
      </c>
      <c r="P2147" s="1921" t="s">
        <v>495</v>
      </c>
      <c r="Q2147" s="1943">
        <f t="shared" si="1225"/>
        <v>5.8029000000000002</v>
      </c>
      <c r="R2147" s="1921" t="s">
        <v>495</v>
      </c>
      <c r="S2147" s="1644">
        <f t="shared" si="1233"/>
        <v>4675</v>
      </c>
      <c r="T2147" s="1648"/>
      <c r="U2147" s="1644">
        <f t="shared" si="1234"/>
        <v>1189</v>
      </c>
      <c r="V2147" s="1648"/>
      <c r="W2147" s="1644">
        <f t="shared" si="1235"/>
        <v>3363</v>
      </c>
      <c r="X2147" s="1648"/>
      <c r="Y2147" s="1644">
        <f t="shared" si="1236"/>
        <v>9227</v>
      </c>
      <c r="AI2147" s="2023">
        <f>W2147-'Blocking-Step2'!W2147</f>
        <v>0</v>
      </c>
      <c r="AJ2147" s="2054">
        <f>O2147-'Blocking-Step2'!O2147</f>
        <v>0</v>
      </c>
    </row>
    <row r="2148" spans="1:36" hidden="1">
      <c r="A2148" s="1900" t="s">
        <v>282</v>
      </c>
      <c r="C2148" s="528">
        <f>'23'!I29</f>
        <v>146.929479768786</v>
      </c>
      <c r="D2148" s="528">
        <f>ROUND(C2148/C2158*D2158,0)</f>
        <v>376</v>
      </c>
      <c r="F2148" s="1944">
        <v>8.65</v>
      </c>
      <c r="G2148" s="597"/>
      <c r="H2148" s="1644">
        <f t="shared" si="1224"/>
        <v>1271</v>
      </c>
      <c r="I2148" s="1644">
        <f t="shared" si="1224"/>
        <v>3252</v>
      </c>
      <c r="K2148" s="1944"/>
      <c r="L2148" s="597"/>
      <c r="M2148" s="1944"/>
      <c r="N2148" s="597"/>
      <c r="O2148" s="1944"/>
      <c r="P2148" s="597"/>
      <c r="Q2148" s="1944"/>
      <c r="R2148" s="597"/>
      <c r="S2148" s="1645"/>
      <c r="T2148" s="1645"/>
      <c r="U2148" s="1645"/>
      <c r="V2148" s="1645"/>
      <c r="W2148" s="1645"/>
      <c r="X2148" s="1645"/>
      <c r="Y2148" s="1644"/>
      <c r="AI2148" s="2023">
        <f>W2148-'Blocking-Step2'!W2148</f>
        <v>0</v>
      </c>
      <c r="AJ2148" s="2054">
        <f>O2148-'Blocking-Step2'!O2148</f>
        <v>0</v>
      </c>
    </row>
    <row r="2149" spans="1:36" hidden="1">
      <c r="A2149" s="1900" t="s">
        <v>283</v>
      </c>
      <c r="C2149" s="528">
        <f>'23'!J29</f>
        <v>234.104597701149</v>
      </c>
      <c r="D2149" s="528">
        <f>ROUND(C2149/C2158*D2158,0)</f>
        <v>599</v>
      </c>
      <c r="F2149" s="1944">
        <v>8.7000000000000011</v>
      </c>
      <c r="G2149" s="597"/>
      <c r="H2149" s="1644">
        <f t="shared" si="1224"/>
        <v>2037</v>
      </c>
      <c r="I2149" s="1644">
        <f t="shared" si="1224"/>
        <v>5211</v>
      </c>
      <c r="K2149" s="1944"/>
      <c r="L2149" s="597"/>
      <c r="M2149" s="1944"/>
      <c r="N2149" s="597"/>
      <c r="O2149" s="1944"/>
      <c r="P2149" s="597"/>
      <c r="Q2149" s="1944"/>
      <c r="R2149" s="597"/>
      <c r="S2149" s="1645"/>
      <c r="T2149" s="1645"/>
      <c r="U2149" s="1645"/>
      <c r="V2149" s="1645"/>
      <c r="W2149" s="1645"/>
      <c r="X2149" s="1645"/>
      <c r="Y2149" s="1644"/>
      <c r="AI2149" s="2023">
        <f>W2149-'Blocking-Step2'!W2149</f>
        <v>0</v>
      </c>
      <c r="AJ2149" s="2054">
        <f>O2149-'Blocking-Step2'!O2149</f>
        <v>0</v>
      </c>
    </row>
    <row r="2150" spans="1:36" hidden="1">
      <c r="A2150" s="1900" t="s">
        <v>261</v>
      </c>
      <c r="C2150" s="528">
        <f>'23'!K29</f>
        <v>0</v>
      </c>
      <c r="D2150" s="528">
        <f>ROUND(C2150/C2158*D2158,0)</f>
        <v>0</v>
      </c>
      <c r="F2150" s="1944">
        <v>-0.48</v>
      </c>
      <c r="G2150" s="597"/>
      <c r="H2150" s="1644">
        <f t="shared" si="1224"/>
        <v>0</v>
      </c>
      <c r="I2150" s="1644">
        <f t="shared" si="1224"/>
        <v>0</v>
      </c>
      <c r="K2150" s="1944">
        <f>K2084</f>
        <v>-0.48</v>
      </c>
      <c r="L2150" s="597"/>
      <c r="M2150" s="1944">
        <f>M2084</f>
        <v>0</v>
      </c>
      <c r="N2150" s="597"/>
      <c r="O2150" s="1944">
        <f>O2084</f>
        <v>0</v>
      </c>
      <c r="P2150" s="597"/>
      <c r="Q2150" s="1944">
        <f>Q2084</f>
        <v>-0.48</v>
      </c>
      <c r="R2150" s="597"/>
      <c r="S2150" s="1644">
        <f t="shared" ref="S2150" si="1237">ROUND($D2150*K2150,0)</f>
        <v>0</v>
      </c>
      <c r="T2150" s="1645"/>
      <c r="U2150" s="1644">
        <f t="shared" ref="U2150" si="1238">ROUND($D2150*M2150,0)</f>
        <v>0</v>
      </c>
      <c r="V2150" s="1645"/>
      <c r="W2150" s="1644">
        <f t="shared" ref="W2150" si="1239">ROUND($D2150*O2150,0)</f>
        <v>0</v>
      </c>
      <c r="X2150" s="1645"/>
      <c r="Y2150" s="1644">
        <f t="shared" ref="Y2150" si="1240">ROUND($D2150*Q2150,0)</f>
        <v>0</v>
      </c>
      <c r="AI2150" s="2023">
        <f>W2150-'Blocking-Step2'!W2150</f>
        <v>0</v>
      </c>
      <c r="AJ2150" s="2054">
        <f>O2150-'Blocking-Step2'!O2150</f>
        <v>0</v>
      </c>
    </row>
    <row r="2151" spans="1:36" hidden="1">
      <c r="A2151" s="1900" t="s">
        <v>194</v>
      </c>
      <c r="C2151" s="528">
        <f>'23'!N29</f>
        <v>23248</v>
      </c>
      <c r="D2151" s="528">
        <f>D2158-SUM(D2152:D2155)</f>
        <v>86160.397899159638</v>
      </c>
      <c r="F2151" s="1942">
        <v>11.733599999999999</v>
      </c>
      <c r="G2151" s="1921" t="s">
        <v>495</v>
      </c>
      <c r="H2151" s="1644">
        <f t="shared" ref="H2151:I2154" si="1241">ROUND($F2151*C2151/100,0)</f>
        <v>2728</v>
      </c>
      <c r="I2151" s="1644">
        <f t="shared" si="1241"/>
        <v>10110</v>
      </c>
      <c r="K2151" s="1942"/>
      <c r="L2151" s="1921"/>
      <c r="M2151" s="1942"/>
      <c r="N2151" s="1921"/>
      <c r="O2151" s="1942"/>
      <c r="P2151" s="1921"/>
      <c r="Q2151" s="1942"/>
      <c r="R2151" s="1921"/>
      <c r="S2151" s="1648"/>
      <c r="T2151" s="1648"/>
      <c r="U2151" s="1648"/>
      <c r="V2151" s="1648"/>
      <c r="W2151" s="1648"/>
      <c r="X2151" s="1648"/>
      <c r="Y2151" s="1644"/>
      <c r="AI2151" s="2023">
        <f>W2151-'Blocking-Step2'!W2151</f>
        <v>0</v>
      </c>
      <c r="AJ2151" s="2054">
        <f>O2151-'Blocking-Step2'!O2151</f>
        <v>0</v>
      </c>
    </row>
    <row r="2152" spans="1:36" hidden="1">
      <c r="A2152" s="1900" t="s">
        <v>195</v>
      </c>
      <c r="C2152" s="528">
        <f>'23'!O29</f>
        <v>14956</v>
      </c>
      <c r="D2152" s="528">
        <f>ROUND(C2152/(C2151+C2152)*Energy!Q74,0)</f>
        <v>55430</v>
      </c>
      <c r="F2152" s="1942">
        <v>6.5782999999999996</v>
      </c>
      <c r="G2152" s="1921" t="s">
        <v>495</v>
      </c>
      <c r="H2152" s="1644">
        <f t="shared" si="1241"/>
        <v>984</v>
      </c>
      <c r="I2152" s="1644">
        <f t="shared" si="1241"/>
        <v>3646</v>
      </c>
      <c r="K2152" s="1942"/>
      <c r="L2152" s="1921"/>
      <c r="M2152" s="1942"/>
      <c r="N2152" s="1921"/>
      <c r="O2152" s="1942"/>
      <c r="P2152" s="1921"/>
      <c r="Q2152" s="1942"/>
      <c r="R2152" s="1921"/>
      <c r="S2152" s="1648"/>
      <c r="T2152" s="1648"/>
      <c r="U2152" s="1648"/>
      <c r="V2152" s="1648"/>
      <c r="W2152" s="1648"/>
      <c r="X2152" s="1648"/>
      <c r="Y2152" s="1644"/>
      <c r="AI2152" s="2023">
        <f>W2152-'Blocking-Step2'!W2152</f>
        <v>0</v>
      </c>
      <c r="AJ2152" s="2054">
        <f>O2152-'Blocking-Step2'!O2152</f>
        <v>0</v>
      </c>
    </row>
    <row r="2153" spans="1:36" hidden="1">
      <c r="A2153" s="1900" t="s">
        <v>160</v>
      </c>
      <c r="C2153" s="528">
        <f>'23'!Q29</f>
        <v>73641</v>
      </c>
      <c r="D2153" s="528">
        <f>ROUND(C2153/(C2153+C2154)*Energy!R74,0)</f>
        <v>161165</v>
      </c>
      <c r="F2153" s="1942">
        <v>10.8</v>
      </c>
      <c r="G2153" s="1921" t="s">
        <v>495</v>
      </c>
      <c r="H2153" s="1644">
        <f t="shared" si="1241"/>
        <v>7953</v>
      </c>
      <c r="I2153" s="1644">
        <f t="shared" si="1241"/>
        <v>17406</v>
      </c>
      <c r="K2153" s="1942"/>
      <c r="L2153" s="1921"/>
      <c r="M2153" s="1942"/>
      <c r="N2153" s="1921"/>
      <c r="O2153" s="1942"/>
      <c r="P2153" s="1921"/>
      <c r="Q2153" s="1942"/>
      <c r="R2153" s="1921"/>
      <c r="S2153" s="1648"/>
      <c r="T2153" s="1648"/>
      <c r="U2153" s="1648"/>
      <c r="V2153" s="1648"/>
      <c r="W2153" s="1648"/>
      <c r="X2153" s="1648"/>
      <c r="Y2153" s="1644"/>
      <c r="AI2153" s="2023">
        <f>W2153-'Blocking-Step2'!W2153</f>
        <v>0</v>
      </c>
      <c r="AJ2153" s="2054">
        <f>O2153-'Blocking-Step2'!O2153</f>
        <v>0</v>
      </c>
    </row>
    <row r="2154" spans="1:36" hidden="1">
      <c r="A2154" s="1900" t="s">
        <v>159</v>
      </c>
      <c r="C2154" s="528">
        <f>'23'!R29</f>
        <v>65137</v>
      </c>
      <c r="D2154" s="528">
        <f>ROUND(C2154/(C2153+C2154)*Energy!R74,0)</f>
        <v>142554</v>
      </c>
      <c r="F2154" s="1942">
        <v>6.0567000000000002</v>
      </c>
      <c r="G2154" s="1921" t="s">
        <v>495</v>
      </c>
      <c r="H2154" s="1644">
        <f t="shared" si="1241"/>
        <v>3945</v>
      </c>
      <c r="I2154" s="1644">
        <f t="shared" si="1241"/>
        <v>8634</v>
      </c>
      <c r="K2154" s="1942"/>
      <c r="L2154" s="1921"/>
      <c r="M2154" s="1942"/>
      <c r="N2154" s="1921"/>
      <c r="O2154" s="1942"/>
      <c r="P2154" s="1921"/>
      <c r="Q2154" s="1942"/>
      <c r="R2154" s="1921"/>
      <c r="S2154" s="1648"/>
      <c r="T2154" s="1648"/>
      <c r="U2154" s="1648"/>
      <c r="V2154" s="1648"/>
      <c r="W2154" s="1648"/>
      <c r="X2154" s="1648"/>
      <c r="Y2154" s="1644"/>
      <c r="AI2154" s="2023">
        <f>W2154-'Blocking-Step2'!W2154</f>
        <v>0</v>
      </c>
      <c r="AJ2154" s="2054">
        <f>O2154-'Blocking-Step2'!O2154</f>
        <v>0</v>
      </c>
    </row>
    <row r="2155" spans="1:36" hidden="1">
      <c r="A2155" s="1900" t="s">
        <v>246</v>
      </c>
      <c r="C2155" s="529">
        <f>'Table 2'!J97</f>
        <v>-2869</v>
      </c>
      <c r="D2155" s="529">
        <v>0</v>
      </c>
      <c r="H2155" s="1030">
        <f>'Table 3'!F97</f>
        <v>-309</v>
      </c>
      <c r="I2155" s="1030">
        <v>0</v>
      </c>
      <c r="Y2155" s="1030">
        <v>0</v>
      </c>
      <c r="AI2155" s="2023">
        <f>W2155-'Blocking-Step2'!W2155</f>
        <v>0</v>
      </c>
      <c r="AJ2155" s="2054">
        <f>O2155-'Blocking-Step2'!O2155</f>
        <v>0</v>
      </c>
    </row>
    <row r="2156" spans="1:36" hidden="1">
      <c r="A2156" s="1900" t="s">
        <v>1240</v>
      </c>
      <c r="C2156" s="584"/>
      <c r="D2156" s="584"/>
      <c r="F2156" s="1930">
        <v>-3.3099999999999997E-2</v>
      </c>
      <c r="G2156" s="597"/>
      <c r="H2156" s="1644">
        <f>SUM(H2148:H2149,H2151:H2154)*$F2156</f>
        <v>-626.18579999999997</v>
      </c>
      <c r="I2156" s="1644">
        <f>SUM(I2148:I2149,I2151:I2154)*$F2156</f>
        <v>-1597.3728999999998</v>
      </c>
      <c r="K2156" s="1930"/>
      <c r="L2156" s="597"/>
      <c r="M2156" s="1930"/>
      <c r="N2156" s="597"/>
      <c r="O2156" s="1931" t="str">
        <f>$O$43</f>
        <v>Tax Year 1 (1/1/2021)</v>
      </c>
      <c r="P2156" s="597"/>
      <c r="Q2156" s="1930">
        <f>$AC$1988</f>
        <v>-1.3899999999999999E-2</v>
      </c>
      <c r="R2156" s="597"/>
      <c r="S2156" s="1645"/>
      <c r="T2156" s="1645"/>
      <c r="U2156" s="1645"/>
      <c r="V2156" s="1645"/>
      <c r="W2156" s="1645"/>
      <c r="X2156" s="1645"/>
      <c r="Y2156" s="1644">
        <f>Q2156*SUM(Y2142:Y2147)</f>
        <v>-641.13749999999993</v>
      </c>
      <c r="AI2156" s="2023">
        <f>W2156-'Blocking-Step2'!W2156</f>
        <v>0</v>
      </c>
      <c r="AJ2156" s="2054">
        <f>O2156-'Blocking-Step2'!O2156</f>
        <v>0</v>
      </c>
    </row>
    <row r="2157" spans="1:36" hidden="1">
      <c r="A2157" s="1900"/>
      <c r="C2157" s="584"/>
      <c r="D2157" s="584"/>
      <c r="F2157" s="1930"/>
      <c r="G2157" s="597"/>
      <c r="H2157" s="1644"/>
      <c r="I2157" s="1644"/>
      <c r="K2157" s="1930"/>
      <c r="L2157" s="597"/>
      <c r="M2157" s="1930"/>
      <c r="N2157" s="597"/>
      <c r="O2157" s="1931">
        <f>$O$44</f>
        <v>0</v>
      </c>
      <c r="P2157" s="597"/>
      <c r="Q2157" s="1930">
        <f>$AC$1989</f>
        <v>0</v>
      </c>
      <c r="R2157" s="597"/>
      <c r="S2157" s="1645"/>
      <c r="T2157" s="1645"/>
      <c r="U2157" s="1645"/>
      <c r="V2157" s="1645"/>
      <c r="W2157" s="1645"/>
      <c r="X2157" s="1645"/>
      <c r="Y2157" s="1644">
        <f>Q2157*SUM(Y2142:Y2147)</f>
        <v>0</v>
      </c>
      <c r="AI2157" s="2023">
        <f>W2157-'Blocking-Step2'!W2157</f>
        <v>0</v>
      </c>
      <c r="AJ2157" s="2054">
        <f>O2157-'Blocking-Step2'!O2157</f>
        <v>0</v>
      </c>
    </row>
    <row r="2158" spans="1:36" ht="16.5" hidden="1" thickBot="1">
      <c r="A2158" s="1900" t="s">
        <v>247</v>
      </c>
      <c r="C2158" s="1949">
        <f>SUM(C2151:C2154,C2155)</f>
        <v>174113</v>
      </c>
      <c r="D2158" s="1949">
        <f>Energy!P74</f>
        <v>445309.39789915964</v>
      </c>
      <c r="F2158" s="1939"/>
      <c r="H2158" s="1647">
        <f>SUM(H2139:H2156)</f>
        <v>20024.814200000001</v>
      </c>
      <c r="I2158" s="1647">
        <f>SUM(I2139:I2156)</f>
        <v>51281.627099999998</v>
      </c>
      <c r="K2158" s="1939"/>
      <c r="M2158" s="1939"/>
      <c r="O2158" s="1939"/>
      <c r="P2158" s="597"/>
      <c r="Q2158" s="1939"/>
      <c r="R2158" s="597"/>
      <c r="S2158" s="1646">
        <f>SUM(S2139:S2155)</f>
        <v>25709</v>
      </c>
      <c r="T2158" s="1645"/>
      <c r="U2158" s="1646">
        <f>SUM(U2139:U2155)</f>
        <v>15423</v>
      </c>
      <c r="V2158" s="1645"/>
      <c r="W2158" s="1646">
        <f>SUM(W2139:W2155)</f>
        <v>9612</v>
      </c>
      <c r="X2158" s="1645"/>
      <c r="Y2158" s="1646">
        <f>SUM(Y2139:Y2155)</f>
        <v>50745</v>
      </c>
      <c r="AA2158" s="1104" t="s">
        <v>1743</v>
      </c>
      <c r="AB2158" s="1890">
        <f>Y2158/I2158-1</f>
        <v>-1.0464315006104785E-2</v>
      </c>
      <c r="AI2158" s="2023">
        <f>W2158-'Blocking-Step2'!W2158</f>
        <v>0</v>
      </c>
      <c r="AJ2158" s="2054">
        <f>O2158-'Blocking-Step2'!O2158</f>
        <v>0</v>
      </c>
    </row>
    <row r="2159" spans="1:36" ht="16.5" thickTop="1">
      <c r="C2159" s="528"/>
      <c r="D2159" s="528"/>
      <c r="O2159" s="596"/>
      <c r="Q2159" s="596"/>
      <c r="Y2159" s="1645"/>
      <c r="AI2159" s="2023">
        <f>W2159-'Blocking-Step2'!W2159</f>
        <v>0</v>
      </c>
      <c r="AJ2159" s="2054">
        <f>O2159-'Blocking-Step2'!O2159</f>
        <v>0</v>
      </c>
    </row>
    <row r="2160" spans="1:36">
      <c r="A2160" s="1897" t="s">
        <v>1291</v>
      </c>
      <c r="C2160" s="528"/>
      <c r="D2160" s="528"/>
      <c r="AI2160" s="2023">
        <f>W2160-'Blocking-Step2'!W2160</f>
        <v>0</v>
      </c>
      <c r="AJ2160" s="2054">
        <f>O2160-'Blocking-Step2'!O2160</f>
        <v>0</v>
      </c>
    </row>
    <row r="2161" spans="1:36">
      <c r="A2161" s="1900" t="s">
        <v>240</v>
      </c>
      <c r="C2161" s="528">
        <f>C2184+C2207</f>
        <v>578.03800000000001</v>
      </c>
      <c r="D2161" s="528">
        <f>D2184+D2207</f>
        <v>1546</v>
      </c>
      <c r="F2161" s="1901">
        <v>10</v>
      </c>
      <c r="G2161" s="1902"/>
      <c r="H2161" s="1644">
        <f t="shared" ref="H2161:I2173" si="1242">ROUND($F2161*C2161,0)</f>
        <v>5780</v>
      </c>
      <c r="I2161" s="1644">
        <f t="shared" si="1242"/>
        <v>15460</v>
      </c>
      <c r="K2161" s="1944">
        <f>K2095</f>
        <v>10</v>
      </c>
      <c r="L2161" s="1902"/>
      <c r="M2161" s="1944">
        <f>M2095</f>
        <v>0</v>
      </c>
      <c r="N2161" s="1902"/>
      <c r="O2161" s="1944">
        <f>O2095</f>
        <v>0</v>
      </c>
      <c r="P2161" s="1902"/>
      <c r="Q2161" s="1944">
        <f>Q2095</f>
        <v>10</v>
      </c>
      <c r="R2161" s="1902"/>
      <c r="S2161" s="1644">
        <f t="shared" ref="S2161:S2166" si="1243">ROUND($D2161*K2161,0)</f>
        <v>15460</v>
      </c>
      <c r="T2161" s="1645"/>
      <c r="U2161" s="1644">
        <f t="shared" ref="U2161:U2166" si="1244">ROUND($D2161*M2161,0)</f>
        <v>0</v>
      </c>
      <c r="V2161" s="1645"/>
      <c r="W2161" s="1644">
        <f t="shared" ref="W2161:W2166" si="1245">ROUND($D2161*O2161,0)</f>
        <v>0</v>
      </c>
      <c r="X2161" s="1643"/>
      <c r="Y2161" s="1644">
        <f t="shared" ref="Y2161:Y2166" si="1246">ROUND($D2161*Q2161,0)</f>
        <v>15460</v>
      </c>
      <c r="AI2161" s="2023">
        <f>W2161-'Blocking-Step2'!W2161</f>
        <v>0</v>
      </c>
      <c r="AJ2161" s="2054">
        <f>O2161-'Blocking-Step2'!O2161</f>
        <v>0</v>
      </c>
    </row>
    <row r="2162" spans="1:36">
      <c r="A2162" s="1900" t="s">
        <v>262</v>
      </c>
      <c r="C2162" s="528">
        <f t="shared" ref="C2162:D2177" si="1247">C2185+C2208</f>
        <v>0</v>
      </c>
      <c r="D2162" s="528">
        <f>D2185+D2208</f>
        <v>0</v>
      </c>
      <c r="F2162" s="1901">
        <v>120</v>
      </c>
      <c r="G2162" s="1902"/>
      <c r="H2162" s="1644">
        <f t="shared" si="1242"/>
        <v>0</v>
      </c>
      <c r="I2162" s="1644">
        <f t="shared" si="1242"/>
        <v>0</v>
      </c>
      <c r="K2162" s="1944">
        <f t="shared" ref="K2162" si="1248">K2096</f>
        <v>117</v>
      </c>
      <c r="L2162" s="1902"/>
      <c r="M2162" s="1944">
        <f t="shared" ref="M2162" si="1249">M2096</f>
        <v>0</v>
      </c>
      <c r="N2162" s="1902"/>
      <c r="O2162" s="1944">
        <f t="shared" ref="O2162" si="1250">O2096</f>
        <v>0</v>
      </c>
      <c r="P2162" s="1902"/>
      <c r="Q2162" s="1944">
        <f t="shared" ref="Q2162" si="1251">Q2096</f>
        <v>117</v>
      </c>
      <c r="R2162" s="1902"/>
      <c r="S2162" s="1644">
        <f t="shared" si="1243"/>
        <v>0</v>
      </c>
      <c r="T2162" s="1645"/>
      <c r="U2162" s="1644">
        <f t="shared" si="1244"/>
        <v>0</v>
      </c>
      <c r="V2162" s="1645"/>
      <c r="W2162" s="1644">
        <f t="shared" si="1245"/>
        <v>0</v>
      </c>
      <c r="X2162" s="1643"/>
      <c r="Y2162" s="1644">
        <f t="shared" si="1246"/>
        <v>0</v>
      </c>
      <c r="AI2162" s="2023">
        <f>W2162-'Blocking-Step2'!W2162</f>
        <v>0</v>
      </c>
      <c r="AJ2162" s="2054">
        <f>O2162-'Blocking-Step2'!O2162</f>
        <v>0</v>
      </c>
    </row>
    <row r="2163" spans="1:36">
      <c r="A2163" s="1900" t="s">
        <v>1236</v>
      </c>
      <c r="C2163" s="528">
        <f t="shared" si="1247"/>
        <v>139</v>
      </c>
      <c r="D2163" s="528">
        <f>D2186+D2209</f>
        <v>393</v>
      </c>
      <c r="F2163" s="1944">
        <v>2</v>
      </c>
      <c r="G2163" s="597"/>
      <c r="H2163" s="1644">
        <f t="shared" si="1242"/>
        <v>278</v>
      </c>
      <c r="I2163" s="1644">
        <f t="shared" si="1242"/>
        <v>786</v>
      </c>
      <c r="K2163" s="1944">
        <f>Q2163</f>
        <v>2</v>
      </c>
      <c r="L2163" s="597"/>
      <c r="M2163" s="1944">
        <v>0</v>
      </c>
      <c r="N2163" s="597"/>
      <c r="O2163" s="1944">
        <v>0</v>
      </c>
      <c r="P2163" s="597"/>
      <c r="Q2163" s="1944">
        <f>F2163</f>
        <v>2</v>
      </c>
      <c r="R2163" s="597"/>
      <c r="S2163" s="1644">
        <f t="shared" si="1243"/>
        <v>786</v>
      </c>
      <c r="T2163" s="1645"/>
      <c r="U2163" s="1644">
        <f t="shared" si="1244"/>
        <v>0</v>
      </c>
      <c r="V2163" s="1645"/>
      <c r="W2163" s="1644">
        <f t="shared" si="1245"/>
        <v>0</v>
      </c>
      <c r="X2163" s="1645"/>
      <c r="Y2163" s="1644">
        <f t="shared" si="1246"/>
        <v>786</v>
      </c>
      <c r="AI2163" s="2023">
        <f>W2163-'Blocking-Step2'!W2163</f>
        <v>0</v>
      </c>
      <c r="AJ2163" s="2054">
        <f>O2163-'Blocking-Step2'!O2163</f>
        <v>0</v>
      </c>
    </row>
    <row r="2164" spans="1:36">
      <c r="A2164" s="1900" t="s">
        <v>1298</v>
      </c>
      <c r="C2164" s="528">
        <f t="shared" si="1247"/>
        <v>0</v>
      </c>
      <c r="D2164" s="528">
        <f>D2187+D2210</f>
        <v>0</v>
      </c>
      <c r="F2164" s="1901">
        <v>10</v>
      </c>
      <c r="G2164" s="1902"/>
      <c r="H2164" s="1644">
        <f t="shared" si="1242"/>
        <v>0</v>
      </c>
      <c r="I2164" s="1644">
        <f t="shared" si="1242"/>
        <v>0</v>
      </c>
      <c r="K2164" s="1944">
        <f>K2097</f>
        <v>10</v>
      </c>
      <c r="L2164" s="1902"/>
      <c r="M2164" s="1944">
        <f>M2097</f>
        <v>0</v>
      </c>
      <c r="N2164" s="1902"/>
      <c r="O2164" s="1944">
        <f>O2097</f>
        <v>0</v>
      </c>
      <c r="P2164" s="1902"/>
      <c r="Q2164" s="1944">
        <f t="shared" ref="Q2164:Q2170" si="1252">Q2097</f>
        <v>10</v>
      </c>
      <c r="R2164" s="1902"/>
      <c r="S2164" s="1644">
        <f t="shared" si="1243"/>
        <v>0</v>
      </c>
      <c r="T2164" s="1645"/>
      <c r="U2164" s="1644">
        <f t="shared" si="1244"/>
        <v>0</v>
      </c>
      <c r="V2164" s="1645"/>
      <c r="W2164" s="1644">
        <f t="shared" si="1245"/>
        <v>0</v>
      </c>
      <c r="X2164" s="1643"/>
      <c r="Y2164" s="1644">
        <f t="shared" si="1246"/>
        <v>0</v>
      </c>
      <c r="AI2164" s="2023">
        <f>W2164-'Blocking-Step2'!W2164</f>
        <v>0</v>
      </c>
      <c r="AJ2164" s="2054">
        <f>O2164-'Blocking-Step2'!O2164</f>
        <v>0</v>
      </c>
    </row>
    <row r="2165" spans="1:36">
      <c r="A2165" s="1900" t="s">
        <v>1654</v>
      </c>
      <c r="C2165" s="528">
        <f t="shared" si="1247"/>
        <v>495.28811594685055</v>
      </c>
      <c r="D2165" s="528">
        <f t="shared" si="1247"/>
        <v>552</v>
      </c>
      <c r="F2165" s="1944"/>
      <c r="G2165" s="597"/>
      <c r="H2165" s="1644"/>
      <c r="I2165" s="1644"/>
      <c r="K2165" s="1944">
        <f t="shared" ref="K2165:K2170" si="1253">K2098</f>
        <v>8.89</v>
      </c>
      <c r="L2165" s="597"/>
      <c r="M2165" s="1944">
        <f t="shared" ref="M2165:M2170" si="1254">M2098</f>
        <v>0</v>
      </c>
      <c r="N2165" s="597"/>
      <c r="O2165" s="1944">
        <f t="shared" ref="O2165:O2170" si="1255">O2098</f>
        <v>0</v>
      </c>
      <c r="P2165" s="597"/>
      <c r="Q2165" s="1944">
        <f t="shared" si="1252"/>
        <v>8.89</v>
      </c>
      <c r="R2165" s="597"/>
      <c r="S2165" s="1644">
        <f t="shared" si="1243"/>
        <v>4907</v>
      </c>
      <c r="T2165" s="1645"/>
      <c r="U2165" s="1644">
        <f t="shared" si="1244"/>
        <v>0</v>
      </c>
      <c r="V2165" s="1645"/>
      <c r="W2165" s="1644">
        <f t="shared" si="1245"/>
        <v>0</v>
      </c>
      <c r="X2165" s="1645"/>
      <c r="Y2165" s="1644">
        <f t="shared" si="1246"/>
        <v>4907</v>
      </c>
      <c r="AI2165" s="2023">
        <f>W2165-'Blocking-Step2'!W2165</f>
        <v>0</v>
      </c>
      <c r="AJ2165" s="2054">
        <f>O2165-'Blocking-Step2'!O2165</f>
        <v>0</v>
      </c>
    </row>
    <row r="2166" spans="1:36">
      <c r="A2166" s="1900" t="s">
        <v>1655</v>
      </c>
      <c r="C2166" s="528">
        <f t="shared" si="1247"/>
        <v>881.54837332296552</v>
      </c>
      <c r="D2166" s="528">
        <f t="shared" si="1247"/>
        <v>982</v>
      </c>
      <c r="F2166" s="1944"/>
      <c r="G2166" s="597"/>
      <c r="H2166" s="1644"/>
      <c r="I2166" s="1644"/>
      <c r="K2166" s="1943">
        <f t="shared" si="1253"/>
        <v>7.87</v>
      </c>
      <c r="L2166" s="597"/>
      <c r="M2166" s="1943">
        <f t="shared" si="1254"/>
        <v>0</v>
      </c>
      <c r="N2166" s="597"/>
      <c r="O2166" s="1943">
        <f t="shared" si="1255"/>
        <v>0</v>
      </c>
      <c r="P2166" s="597"/>
      <c r="Q2166" s="1943">
        <f t="shared" si="1252"/>
        <v>7.87</v>
      </c>
      <c r="R2166" s="597"/>
      <c r="S2166" s="1644">
        <f t="shared" si="1243"/>
        <v>7728</v>
      </c>
      <c r="T2166" s="1645"/>
      <c r="U2166" s="1644">
        <f t="shared" si="1244"/>
        <v>0</v>
      </c>
      <c r="V2166" s="1645"/>
      <c r="W2166" s="1644">
        <f t="shared" si="1245"/>
        <v>0</v>
      </c>
      <c r="X2166" s="1645"/>
      <c r="Y2166" s="1644">
        <f t="shared" si="1246"/>
        <v>7728</v>
      </c>
      <c r="AI2166" s="2023">
        <f>W2166-'Blocking-Step2'!W2166</f>
        <v>0</v>
      </c>
      <c r="AJ2166" s="2054">
        <f>O2166-'Blocking-Step2'!O2166</f>
        <v>0</v>
      </c>
    </row>
    <row r="2167" spans="1:36">
      <c r="A2167" s="1900" t="s">
        <v>1656</v>
      </c>
      <c r="C2167" s="528">
        <f t="shared" si="1247"/>
        <v>222037.79750537846</v>
      </c>
      <c r="D2167" s="528">
        <f t="shared" si="1247"/>
        <v>228752.11425782187</v>
      </c>
      <c r="F2167" s="1943"/>
      <c r="G2167" s="1921"/>
      <c r="H2167" s="1644"/>
      <c r="I2167" s="1644"/>
      <c r="K2167" s="1943">
        <f t="shared" si="1253"/>
        <v>2.9403000000000001</v>
      </c>
      <c r="L2167" s="1921" t="s">
        <v>495</v>
      </c>
      <c r="M2167" s="1943">
        <f t="shared" si="1254"/>
        <v>6.4656468966360006</v>
      </c>
      <c r="N2167" s="1921" t="s">
        <v>495</v>
      </c>
      <c r="O2167" s="1943">
        <f t="shared" si="1255"/>
        <v>2.3066</v>
      </c>
      <c r="P2167" s="1921" t="s">
        <v>495</v>
      </c>
      <c r="Q2167" s="1943">
        <f t="shared" si="1252"/>
        <v>11.712546896636001</v>
      </c>
      <c r="R2167" s="1921" t="s">
        <v>495</v>
      </c>
      <c r="S2167" s="1644">
        <f>ROUND($D2167*K2167/100,0)</f>
        <v>6726</v>
      </c>
      <c r="T2167" s="1648"/>
      <c r="U2167" s="1644">
        <f>ROUND($D2167*M2167/100,0)</f>
        <v>14790</v>
      </c>
      <c r="V2167" s="1648"/>
      <c r="W2167" s="1644">
        <f>ROUND($D2167*O2167/100,0)</f>
        <v>5276</v>
      </c>
      <c r="X2167" s="1648"/>
      <c r="Y2167" s="1644">
        <f>ROUND($D2167*Q2167/100,0)</f>
        <v>26793</v>
      </c>
      <c r="AI2167" s="2023">
        <f>W2167-'Blocking-Step2'!W2167</f>
        <v>0</v>
      </c>
      <c r="AJ2167" s="2054">
        <f>O2167-'Blocking-Step2'!O2167</f>
        <v>0</v>
      </c>
    </row>
    <row r="2168" spans="1:36">
      <c r="A2168" s="1900" t="s">
        <v>1657</v>
      </c>
      <c r="C2168" s="528">
        <f t="shared" si="1247"/>
        <v>215087.16967548401</v>
      </c>
      <c r="D2168" s="528">
        <f t="shared" si="1247"/>
        <v>234472</v>
      </c>
      <c r="F2168" s="1943"/>
      <c r="G2168" s="1921"/>
      <c r="H2168" s="1644"/>
      <c r="I2168" s="1644"/>
      <c r="K2168" s="1943">
        <f t="shared" si="1253"/>
        <v>2.9403000000000001</v>
      </c>
      <c r="L2168" s="1921" t="s">
        <v>495</v>
      </c>
      <c r="M2168" s="1943">
        <f t="shared" si="1254"/>
        <v>1.310346896636001</v>
      </c>
      <c r="N2168" s="1921" t="s">
        <v>495</v>
      </c>
      <c r="O2168" s="1943">
        <f t="shared" si="1255"/>
        <v>2.3066</v>
      </c>
      <c r="P2168" s="1921" t="s">
        <v>495</v>
      </c>
      <c r="Q2168" s="1943">
        <f t="shared" si="1252"/>
        <v>6.5572468966360011</v>
      </c>
      <c r="R2168" s="1921" t="s">
        <v>495</v>
      </c>
      <c r="S2168" s="1644">
        <f t="shared" ref="S2168:S2170" si="1256">ROUND($D2168*K2168/100,0)</f>
        <v>6894</v>
      </c>
      <c r="T2168" s="1648"/>
      <c r="U2168" s="1644">
        <f t="shared" ref="U2168:U2170" si="1257">ROUND($D2168*M2168/100,0)</f>
        <v>3072</v>
      </c>
      <c r="V2168" s="1648"/>
      <c r="W2168" s="1644">
        <f t="shared" ref="W2168:W2170" si="1258">ROUND($D2168*O2168/100,0)</f>
        <v>5408</v>
      </c>
      <c r="X2168" s="1648"/>
      <c r="Y2168" s="1644">
        <f t="shared" ref="Y2168:Y2170" si="1259">ROUND($D2168*Q2168/100,0)</f>
        <v>15375</v>
      </c>
      <c r="AI2168" s="2023">
        <f>W2168-'Blocking-Step2'!W2168</f>
        <v>0</v>
      </c>
      <c r="AJ2168" s="2054">
        <f>O2168-'Blocking-Step2'!O2168</f>
        <v>0</v>
      </c>
    </row>
    <row r="2169" spans="1:36">
      <c r="A2169" s="1900" t="s">
        <v>1658</v>
      </c>
      <c r="C2169" s="528">
        <f t="shared" si="1247"/>
        <v>330553.85154286353</v>
      </c>
      <c r="D2169" s="528">
        <f t="shared" si="1247"/>
        <v>417772</v>
      </c>
      <c r="F2169" s="1943"/>
      <c r="G2169" s="1921"/>
      <c r="H2169" s="1644"/>
      <c r="I2169" s="1644"/>
      <c r="K2169" s="1943">
        <f t="shared" si="1253"/>
        <v>2.9403000000000001</v>
      </c>
      <c r="L2169" s="1921" t="s">
        <v>495</v>
      </c>
      <c r="M2169" s="1943">
        <f t="shared" si="1254"/>
        <v>5.3096999999999994</v>
      </c>
      <c r="N2169" s="1921" t="s">
        <v>495</v>
      </c>
      <c r="O2169" s="1943">
        <f t="shared" si="1255"/>
        <v>2.1151</v>
      </c>
      <c r="P2169" s="1921" t="s">
        <v>495</v>
      </c>
      <c r="Q2169" s="1943">
        <f t="shared" si="1252"/>
        <v>10.3651</v>
      </c>
      <c r="R2169" s="1921" t="s">
        <v>495</v>
      </c>
      <c r="S2169" s="1644">
        <f t="shared" si="1256"/>
        <v>12284</v>
      </c>
      <c r="T2169" s="1648"/>
      <c r="U2169" s="1644">
        <f t="shared" si="1257"/>
        <v>22182</v>
      </c>
      <c r="V2169" s="1648"/>
      <c r="W2169" s="1644">
        <f t="shared" si="1258"/>
        <v>8836</v>
      </c>
      <c r="X2169" s="1648"/>
      <c r="Y2169" s="1644">
        <f t="shared" si="1259"/>
        <v>43302</v>
      </c>
      <c r="AI2169" s="2023">
        <f>W2169-'Blocking-Step2'!W2169</f>
        <v>0</v>
      </c>
      <c r="AJ2169" s="2054">
        <f>O2169-'Blocking-Step2'!O2169</f>
        <v>0</v>
      </c>
    </row>
    <row r="2170" spans="1:36">
      <c r="A2170" s="1900" t="s">
        <v>1659</v>
      </c>
      <c r="C2170" s="528">
        <f t="shared" si="1247"/>
        <v>526375.08441298595</v>
      </c>
      <c r="D2170" s="528">
        <f t="shared" si="1247"/>
        <v>648715</v>
      </c>
      <c r="F2170" s="1943"/>
      <c r="G2170" s="1921"/>
      <c r="H2170" s="1644"/>
      <c r="I2170" s="1644"/>
      <c r="K2170" s="1943">
        <f t="shared" si="1253"/>
        <v>2.9403000000000001</v>
      </c>
      <c r="L2170" s="1921" t="s">
        <v>495</v>
      </c>
      <c r="M2170" s="1943">
        <f t="shared" si="1254"/>
        <v>0.74750000000000005</v>
      </c>
      <c r="N2170" s="1921" t="s">
        <v>495</v>
      </c>
      <c r="O2170" s="1943">
        <f t="shared" si="1255"/>
        <v>2.1151</v>
      </c>
      <c r="P2170" s="1921" t="s">
        <v>495</v>
      </c>
      <c r="Q2170" s="1943">
        <f t="shared" si="1252"/>
        <v>5.8029000000000002</v>
      </c>
      <c r="R2170" s="1921" t="s">
        <v>495</v>
      </c>
      <c r="S2170" s="1644">
        <f t="shared" si="1256"/>
        <v>19074</v>
      </c>
      <c r="T2170" s="1648"/>
      <c r="U2170" s="1644">
        <f t="shared" si="1257"/>
        <v>4849</v>
      </c>
      <c r="V2170" s="1648"/>
      <c r="W2170" s="1644">
        <f t="shared" si="1258"/>
        <v>13721</v>
      </c>
      <c r="X2170" s="1648"/>
      <c r="Y2170" s="1644">
        <f t="shared" si="1259"/>
        <v>37644</v>
      </c>
      <c r="AI2170" s="2023">
        <f>W2170-'Blocking-Step2'!W2170</f>
        <v>0</v>
      </c>
      <c r="AJ2170" s="2054">
        <f>O2170-'Blocking-Step2'!O2170</f>
        <v>0</v>
      </c>
    </row>
    <row r="2171" spans="1:36">
      <c r="A2171" s="1900" t="s">
        <v>282</v>
      </c>
      <c r="C2171" s="528">
        <f t="shared" si="1247"/>
        <v>685.14913294797702</v>
      </c>
      <c r="D2171" s="528">
        <f t="shared" si="1247"/>
        <v>761</v>
      </c>
      <c r="F2171" s="1901">
        <v>8.65</v>
      </c>
      <c r="G2171" s="1902"/>
      <c r="H2171" s="1644">
        <f t="shared" si="1242"/>
        <v>5927</v>
      </c>
      <c r="I2171" s="1644">
        <f t="shared" si="1242"/>
        <v>6583</v>
      </c>
      <c r="K2171" s="1944"/>
      <c r="L2171" s="1902"/>
      <c r="M2171" s="1944"/>
      <c r="N2171" s="1902"/>
      <c r="O2171" s="1944"/>
      <c r="P2171" s="1902"/>
      <c r="Q2171" s="1944"/>
      <c r="R2171" s="1902"/>
      <c r="S2171" s="1645"/>
      <c r="T2171" s="1645"/>
      <c r="U2171" s="1645"/>
      <c r="V2171" s="1645"/>
      <c r="W2171" s="1645"/>
      <c r="X2171" s="1643"/>
      <c r="Y2171" s="1644"/>
      <c r="AI2171" s="2023">
        <f>W2171-'Blocking-Step2'!W2171</f>
        <v>0</v>
      </c>
      <c r="AJ2171" s="2054">
        <f>O2171-'Blocking-Step2'!O2171</f>
        <v>0</v>
      </c>
    </row>
    <row r="2172" spans="1:36">
      <c r="A2172" s="1900" t="s">
        <v>283</v>
      </c>
      <c r="C2172" s="528">
        <f t="shared" si="1247"/>
        <v>691.68735632183905</v>
      </c>
      <c r="D2172" s="528">
        <f t="shared" si="1247"/>
        <v>773</v>
      </c>
      <c r="F2172" s="1901">
        <v>8.7000000000000011</v>
      </c>
      <c r="G2172" s="1902"/>
      <c r="H2172" s="1644">
        <f t="shared" si="1242"/>
        <v>6018</v>
      </c>
      <c r="I2172" s="1644">
        <f t="shared" si="1242"/>
        <v>6725</v>
      </c>
      <c r="K2172" s="1944"/>
      <c r="L2172" s="1902"/>
      <c r="M2172" s="1944"/>
      <c r="N2172" s="1902"/>
      <c r="O2172" s="1944"/>
      <c r="P2172" s="1902"/>
      <c r="Q2172" s="1944"/>
      <c r="R2172" s="1902"/>
      <c r="S2172" s="1645"/>
      <c r="T2172" s="1645"/>
      <c r="U2172" s="1645"/>
      <c r="V2172" s="1645"/>
      <c r="W2172" s="1645"/>
      <c r="X2172" s="1643"/>
      <c r="Y2172" s="1644"/>
      <c r="AI2172" s="2023">
        <f>W2172-'Blocking-Step2'!W2172</f>
        <v>0</v>
      </c>
      <c r="AJ2172" s="2054">
        <f>O2172-'Blocking-Step2'!O2172</f>
        <v>0</v>
      </c>
    </row>
    <row r="2173" spans="1:36">
      <c r="A2173" s="1900" t="s">
        <v>261</v>
      </c>
      <c r="C2173" s="528">
        <f t="shared" si="1247"/>
        <v>0</v>
      </c>
      <c r="D2173" s="528">
        <f t="shared" si="1247"/>
        <v>0</v>
      </c>
      <c r="F2173" s="1901">
        <v>-0.48</v>
      </c>
      <c r="G2173" s="1902"/>
      <c r="H2173" s="1644">
        <f t="shared" si="1242"/>
        <v>0</v>
      </c>
      <c r="I2173" s="1644">
        <f t="shared" si="1242"/>
        <v>0</v>
      </c>
      <c r="K2173" s="1901">
        <f t="shared" ref="K2173" si="1260">K2106</f>
        <v>-0.48</v>
      </c>
      <c r="L2173" s="1902"/>
      <c r="M2173" s="1901">
        <f t="shared" ref="M2173" si="1261">M2106</f>
        <v>0</v>
      </c>
      <c r="N2173" s="1902"/>
      <c r="O2173" s="1901">
        <f t="shared" ref="O2173" si="1262">O2106</f>
        <v>0</v>
      </c>
      <c r="P2173" s="1902"/>
      <c r="Q2173" s="1901">
        <f t="shared" ref="Q2173" si="1263">Q2106</f>
        <v>-0.48</v>
      </c>
      <c r="R2173" s="1902"/>
      <c r="S2173" s="1644">
        <f t="shared" ref="S2173" si="1264">ROUND($D2173*K2173,0)</f>
        <v>0</v>
      </c>
      <c r="T2173" s="1645"/>
      <c r="U2173" s="1644">
        <f t="shared" ref="U2173" si="1265">ROUND($D2173*M2173,0)</f>
        <v>0</v>
      </c>
      <c r="V2173" s="1645"/>
      <c r="W2173" s="1644">
        <f t="shared" ref="W2173" si="1266">ROUND($D2173*O2173,0)</f>
        <v>0</v>
      </c>
      <c r="X2173" s="1643"/>
      <c r="Y2173" s="1644">
        <f t="shared" ref="Y2173" si="1267">ROUND($D2173*Q2173,0)</f>
        <v>0</v>
      </c>
      <c r="AI2173" s="2023">
        <f>W2173-'Blocking-Step2'!W2173</f>
        <v>0</v>
      </c>
      <c r="AJ2173" s="2054">
        <f>O2173-'Blocking-Step2'!O2173</f>
        <v>0</v>
      </c>
    </row>
    <row r="2174" spans="1:36">
      <c r="A2174" s="1900" t="s">
        <v>194</v>
      </c>
      <c r="C2174" s="528">
        <f t="shared" si="1247"/>
        <v>250152.48652283178</v>
      </c>
      <c r="D2174" s="528">
        <f t="shared" si="1247"/>
        <v>239106.11425782187</v>
      </c>
      <c r="F2174" s="1926">
        <v>11.733599999999999</v>
      </c>
      <c r="G2174" s="1921" t="s">
        <v>495</v>
      </c>
      <c r="H2174" s="1644">
        <f t="shared" ref="H2174:I2177" si="1268">ROUND($F2174*C2174/100,0)</f>
        <v>29352</v>
      </c>
      <c r="I2174" s="1644">
        <f t="shared" si="1268"/>
        <v>28056</v>
      </c>
      <c r="K2174" s="1926"/>
      <c r="L2174" s="1921"/>
      <c r="M2174" s="1926"/>
      <c r="N2174" s="1921"/>
      <c r="O2174" s="1926"/>
      <c r="P2174" s="1921"/>
      <c r="Q2174" s="1926"/>
      <c r="R2174" s="1921"/>
      <c r="S2174" s="1648"/>
      <c r="T2174" s="1648"/>
      <c r="U2174" s="1648"/>
      <c r="V2174" s="1648"/>
      <c r="W2174" s="1648"/>
      <c r="X2174" s="1648"/>
      <c r="Y2174" s="1644"/>
      <c r="AI2174" s="2023">
        <f>W2174-'Blocking-Step2'!W2174</f>
        <v>0</v>
      </c>
      <c r="AJ2174" s="2054">
        <f>O2174-'Blocking-Step2'!O2174</f>
        <v>0</v>
      </c>
    </row>
    <row r="2175" spans="1:36">
      <c r="A2175" s="1900" t="s">
        <v>195</v>
      </c>
      <c r="C2175" s="528">
        <f t="shared" si="1247"/>
        <v>311137.78789295233</v>
      </c>
      <c r="D2175" s="528">
        <f t="shared" si="1247"/>
        <v>308302</v>
      </c>
      <c r="F2175" s="1926">
        <v>6.5782999999999996</v>
      </c>
      <c r="G2175" s="1921" t="s">
        <v>495</v>
      </c>
      <c r="H2175" s="1644">
        <f t="shared" si="1268"/>
        <v>20468</v>
      </c>
      <c r="I2175" s="1644">
        <f t="shared" si="1268"/>
        <v>20281</v>
      </c>
      <c r="K2175" s="1926"/>
      <c r="L2175" s="1921"/>
      <c r="M2175" s="1926"/>
      <c r="N2175" s="1921"/>
      <c r="O2175" s="1926"/>
      <c r="P2175" s="1921"/>
      <c r="Q2175" s="1926"/>
      <c r="R2175" s="1921"/>
      <c r="S2175" s="1648"/>
      <c r="T2175" s="1648"/>
      <c r="U2175" s="1648"/>
      <c r="V2175" s="1648"/>
      <c r="W2175" s="1648"/>
      <c r="X2175" s="1648"/>
      <c r="Y2175" s="1644"/>
      <c r="AI2175" s="2023">
        <f>W2175-'Blocking-Step2'!W2175</f>
        <v>0</v>
      </c>
      <c r="AJ2175" s="2054">
        <f>O2175-'Blocking-Step2'!O2175</f>
        <v>0</v>
      </c>
    </row>
    <row r="2176" spans="1:36">
      <c r="A2176" s="1900" t="s">
        <v>160</v>
      </c>
      <c r="C2176" s="528">
        <f t="shared" si="1247"/>
        <v>302439.1625254103</v>
      </c>
      <c r="D2176" s="528">
        <f t="shared" si="1247"/>
        <v>409460</v>
      </c>
      <c r="F2176" s="1926">
        <v>10.8</v>
      </c>
      <c r="G2176" s="1921" t="s">
        <v>495</v>
      </c>
      <c r="H2176" s="1644">
        <f t="shared" si="1268"/>
        <v>32663</v>
      </c>
      <c r="I2176" s="1644">
        <f t="shared" si="1268"/>
        <v>44222</v>
      </c>
      <c r="K2176" s="1926"/>
      <c r="L2176" s="1921"/>
      <c r="M2176" s="1926"/>
      <c r="N2176" s="1921"/>
      <c r="O2176" s="1926"/>
      <c r="P2176" s="1921"/>
      <c r="Q2176" s="1926"/>
      <c r="R2176" s="1921"/>
      <c r="S2176" s="1648"/>
      <c r="T2176" s="1648"/>
      <c r="U2176" s="1648"/>
      <c r="V2176" s="1648"/>
      <c r="W2176" s="1648"/>
      <c r="X2176" s="1648"/>
      <c r="Y2176" s="1644"/>
      <c r="AI2176" s="2023">
        <f>W2176-'Blocking-Step2'!W2176</f>
        <v>0</v>
      </c>
      <c r="AJ2176" s="2054">
        <f>O2176-'Blocking-Step2'!O2176</f>
        <v>0</v>
      </c>
    </row>
    <row r="2177" spans="1:36">
      <c r="A2177" s="1900" t="s">
        <v>159</v>
      </c>
      <c r="C2177" s="528">
        <f t="shared" si="1247"/>
        <v>430324.46619551769</v>
      </c>
      <c r="D2177" s="528">
        <f t="shared" si="1247"/>
        <v>572843</v>
      </c>
      <c r="F2177" s="1926">
        <v>6.0567000000000002</v>
      </c>
      <c r="G2177" s="1921" t="s">
        <v>495</v>
      </c>
      <c r="H2177" s="1644">
        <f t="shared" si="1268"/>
        <v>26063</v>
      </c>
      <c r="I2177" s="1644">
        <f t="shared" si="1268"/>
        <v>34695</v>
      </c>
      <c r="K2177" s="1926"/>
      <c r="L2177" s="1921"/>
      <c r="M2177" s="1926"/>
      <c r="N2177" s="1921"/>
      <c r="O2177" s="1926"/>
      <c r="P2177" s="1921"/>
      <c r="Q2177" s="1926"/>
      <c r="R2177" s="1921"/>
      <c r="S2177" s="1648"/>
      <c r="T2177" s="1648"/>
      <c r="U2177" s="1648"/>
      <c r="V2177" s="1648"/>
      <c r="W2177" s="1648"/>
      <c r="X2177" s="1648"/>
      <c r="Y2177" s="1644"/>
      <c r="AI2177" s="2023">
        <f>W2177-'Blocking-Step2'!W2177</f>
        <v>0</v>
      </c>
      <c r="AJ2177" s="2054">
        <f>O2177-'Blocking-Step2'!O2177</f>
        <v>0</v>
      </c>
    </row>
    <row r="2178" spans="1:36">
      <c r="A2178" s="1900" t="s">
        <v>246</v>
      </c>
      <c r="C2178" s="529">
        <f t="shared" ref="C2178:D2178" si="1269">C2201+C2224</f>
        <v>6915</v>
      </c>
      <c r="D2178" s="529">
        <f t="shared" si="1269"/>
        <v>0</v>
      </c>
      <c r="H2178" s="1654">
        <f>H2201+H2224</f>
        <v>727</v>
      </c>
      <c r="I2178" s="1654">
        <f t="shared" ref="I2178" si="1270">I2201+I2224</f>
        <v>0</v>
      </c>
      <c r="Y2178" s="1654">
        <f t="shared" ref="Y2178" si="1271">Y2201+Y2224</f>
        <v>0</v>
      </c>
      <c r="AI2178" s="2023">
        <f>W2178-'Blocking-Step2'!W2178</f>
        <v>0</v>
      </c>
      <c r="AJ2178" s="2054">
        <f>O2178-'Blocking-Step2'!O2178</f>
        <v>0</v>
      </c>
    </row>
    <row r="2179" spans="1:36">
      <c r="A2179" s="1900" t="s">
        <v>1240</v>
      </c>
      <c r="C2179" s="584"/>
      <c r="D2179" s="584"/>
      <c r="F2179" s="1930">
        <v>-3.3099999999999997E-2</v>
      </c>
      <c r="G2179" s="597"/>
      <c r="H2179" s="1644">
        <f>SUM(H2171:H2172,H2174:H2177)*$F2179</f>
        <v>-3988.2520999999997</v>
      </c>
      <c r="I2179" s="1644">
        <f>SUM(I2171:I2172,I2174:I2177)*$F2179</f>
        <v>-4652.6021999999994</v>
      </c>
      <c r="K2179" s="1930"/>
      <c r="L2179" s="597"/>
      <c r="M2179" s="1930"/>
      <c r="N2179" s="597"/>
      <c r="O2179" s="1931" t="str">
        <f>$O$43</f>
        <v>Tax Year 1 (1/1/2021)</v>
      </c>
      <c r="P2179" s="597"/>
      <c r="Q2179" s="1930">
        <f>$AC$1988</f>
        <v>-1.3899999999999999E-2</v>
      </c>
      <c r="R2179" s="597"/>
      <c r="S2179" s="1645"/>
      <c r="T2179" s="1645"/>
      <c r="U2179" s="1645"/>
      <c r="V2179" s="1645"/>
      <c r="W2179" s="1645"/>
      <c r="X2179" s="1645"/>
      <c r="Y2179" s="1644">
        <f>Q2179*SUM(Y2165:Y2170)</f>
        <v>-1886.9110999999998</v>
      </c>
      <c r="AI2179" s="2023">
        <f>W2179-'Blocking-Step2'!W2179</f>
        <v>0</v>
      </c>
      <c r="AJ2179" s="2054">
        <f>O2179-'Blocking-Step2'!O2179</f>
        <v>0</v>
      </c>
    </row>
    <row r="2180" spans="1:36">
      <c r="A2180" s="1900"/>
      <c r="C2180" s="584"/>
      <c r="D2180" s="584"/>
      <c r="F2180" s="1930"/>
      <c r="G2180" s="597"/>
      <c r="H2180" s="1644"/>
      <c r="I2180" s="1644"/>
      <c r="K2180" s="1930"/>
      <c r="L2180" s="597"/>
      <c r="M2180" s="1930"/>
      <c r="N2180" s="597"/>
      <c r="O2180" s="1931">
        <f>$O$44</f>
        <v>0</v>
      </c>
      <c r="P2180" s="597"/>
      <c r="Q2180" s="1930">
        <f>$AC$1989</f>
        <v>0</v>
      </c>
      <c r="R2180" s="597"/>
      <c r="S2180" s="1645"/>
      <c r="T2180" s="1645"/>
      <c r="U2180" s="1645"/>
      <c r="V2180" s="1645"/>
      <c r="W2180" s="1645"/>
      <c r="X2180" s="1645"/>
      <c r="Y2180" s="1644">
        <f>Q2180*SUM(Y2165:Y2170)</f>
        <v>0</v>
      </c>
      <c r="AI2180" s="2023">
        <f>W2180-'Blocking-Step2'!W2180</f>
        <v>0</v>
      </c>
      <c r="AJ2180" s="2054">
        <f>O2180-'Blocking-Step2'!O2180</f>
        <v>0</v>
      </c>
    </row>
    <row r="2181" spans="1:36" ht="16.5" thickBot="1">
      <c r="A2181" s="1900" t="s">
        <v>247</v>
      </c>
      <c r="C2181" s="1949">
        <f>SUM(C2174:C2178)</f>
        <v>1300968.903136712</v>
      </c>
      <c r="D2181" s="1949">
        <f>SUM(D2174:D2178)</f>
        <v>1529711.1142578218</v>
      </c>
      <c r="F2181" s="1939"/>
      <c r="H2181" s="1647">
        <f>SUM(H2161:H2179)</f>
        <v>123287.7479</v>
      </c>
      <c r="I2181" s="1647">
        <f>SUM(I2161:I2179)</f>
        <v>152155.39780000001</v>
      </c>
      <c r="K2181" s="1939"/>
      <c r="M2181" s="1939"/>
      <c r="O2181" s="1939"/>
      <c r="P2181" s="597"/>
      <c r="Q2181" s="1939"/>
      <c r="R2181" s="597"/>
      <c r="S2181" s="1646">
        <f>SUM(S2161:S2178)</f>
        <v>73859</v>
      </c>
      <c r="T2181" s="1645"/>
      <c r="U2181" s="1646">
        <f>SUM(U2161:U2178)</f>
        <v>44893</v>
      </c>
      <c r="V2181" s="1645"/>
      <c r="W2181" s="1646">
        <f>SUM(W2161:W2178)</f>
        <v>33241</v>
      </c>
      <c r="X2181" s="1645"/>
      <c r="Y2181" s="1646">
        <f>SUM(Y2161:Y2178)</f>
        <v>151995</v>
      </c>
      <c r="AA2181" s="1104" t="s">
        <v>1743</v>
      </c>
      <c r="AB2181" s="1890">
        <f>Y2181/I2181-1</f>
        <v>-1.0541709483803396E-3</v>
      </c>
      <c r="AI2181" s="2023">
        <f>W2181-'Blocking-Step2'!W2181</f>
        <v>0</v>
      </c>
      <c r="AJ2181" s="2054">
        <f>O2181-'Blocking-Step2'!O2181</f>
        <v>0</v>
      </c>
    </row>
    <row r="2182" spans="1:36" ht="16.5" hidden="1" thickTop="1">
      <c r="C2182" s="528"/>
      <c r="D2182" s="528"/>
      <c r="O2182" s="596"/>
      <c r="Q2182" s="596"/>
      <c r="Y2182" s="1645"/>
      <c r="AI2182" s="2023">
        <f>W2182-'Blocking-Step2'!W2182</f>
        <v>0</v>
      </c>
      <c r="AJ2182" s="2054">
        <f>O2182-'Blocking-Step2'!O2182</f>
        <v>0</v>
      </c>
    </row>
    <row r="2183" spans="1:36" hidden="1">
      <c r="A2183" s="1897" t="s">
        <v>1293</v>
      </c>
      <c r="C2183" s="528"/>
      <c r="D2183" s="528"/>
      <c r="AI2183" s="2023">
        <f>W2183-'Blocking-Step2'!W2183</f>
        <v>0</v>
      </c>
      <c r="AJ2183" s="2054">
        <f>O2183-'Blocking-Step2'!O2183</f>
        <v>0</v>
      </c>
    </row>
    <row r="2184" spans="1:36" hidden="1">
      <c r="A2184" s="1900" t="s">
        <v>240</v>
      </c>
      <c r="C2184" s="528">
        <f>'23'!G34</f>
        <v>80.8</v>
      </c>
      <c r="D2184" s="528">
        <f>Bill!P26</f>
        <v>322</v>
      </c>
      <c r="F2184" s="1944">
        <v>10</v>
      </c>
      <c r="G2184" s="597"/>
      <c r="H2184" s="1644">
        <f t="shared" ref="H2184:I2196" si="1272">ROUND($F2184*C2184,0)</f>
        <v>808</v>
      </c>
      <c r="I2184" s="1644">
        <f t="shared" si="1272"/>
        <v>3220</v>
      </c>
      <c r="K2184" s="1944">
        <f>K2161</f>
        <v>10</v>
      </c>
      <c r="L2184" s="597"/>
      <c r="M2184" s="1944">
        <f>M2161</f>
        <v>0</v>
      </c>
      <c r="N2184" s="597"/>
      <c r="O2184" s="1944">
        <f>O2161</f>
        <v>0</v>
      </c>
      <c r="P2184" s="597"/>
      <c r="Q2184" s="1944">
        <f t="shared" ref="Q2184:Q2193" si="1273">Q2161</f>
        <v>10</v>
      </c>
      <c r="R2184" s="597"/>
      <c r="S2184" s="1644">
        <f t="shared" ref="S2184:S2189" si="1274">ROUND($D2184*K2184,0)</f>
        <v>3220</v>
      </c>
      <c r="T2184" s="1645"/>
      <c r="U2184" s="1644">
        <f t="shared" ref="U2184:U2189" si="1275">ROUND($D2184*M2184,0)</f>
        <v>0</v>
      </c>
      <c r="V2184" s="1645"/>
      <c r="W2184" s="1644">
        <f t="shared" ref="W2184:W2189" si="1276">ROUND($D2184*O2184,0)</f>
        <v>0</v>
      </c>
      <c r="X2184" s="1645"/>
      <c r="Y2184" s="1644">
        <f t="shared" ref="Y2184:Y2189" si="1277">ROUND($D2184*Q2184,0)</f>
        <v>3220</v>
      </c>
      <c r="AI2184" s="2023">
        <f>W2184-'Blocking-Step2'!W2184</f>
        <v>0</v>
      </c>
      <c r="AJ2184" s="2054">
        <f>O2184-'Blocking-Step2'!O2184</f>
        <v>0</v>
      </c>
    </row>
    <row r="2185" spans="1:36" hidden="1">
      <c r="A2185" s="1900" t="s">
        <v>262</v>
      </c>
      <c r="C2185" s="528">
        <v>0</v>
      </c>
      <c r="D2185" s="528">
        <f>ROUND(C2185/C2184*D2184,0)</f>
        <v>0</v>
      </c>
      <c r="F2185" s="1944">
        <v>120</v>
      </c>
      <c r="G2185" s="597"/>
      <c r="H2185" s="1644">
        <f t="shared" si="1272"/>
        <v>0</v>
      </c>
      <c r="I2185" s="1644">
        <f t="shared" si="1272"/>
        <v>0</v>
      </c>
      <c r="K2185" s="1944">
        <f t="shared" ref="K2185:K2193" si="1278">K2162</f>
        <v>117</v>
      </c>
      <c r="L2185" s="597"/>
      <c r="M2185" s="1944">
        <f t="shared" ref="M2185:M2193" si="1279">M2162</f>
        <v>0</v>
      </c>
      <c r="N2185" s="597"/>
      <c r="O2185" s="1944">
        <f t="shared" ref="O2185:O2193" si="1280">O2162</f>
        <v>0</v>
      </c>
      <c r="P2185" s="597"/>
      <c r="Q2185" s="1944">
        <f t="shared" si="1273"/>
        <v>117</v>
      </c>
      <c r="R2185" s="597"/>
      <c r="S2185" s="1644">
        <f t="shared" si="1274"/>
        <v>0</v>
      </c>
      <c r="T2185" s="1645"/>
      <c r="U2185" s="1644">
        <f t="shared" si="1275"/>
        <v>0</v>
      </c>
      <c r="V2185" s="1645"/>
      <c r="W2185" s="1644">
        <f t="shared" si="1276"/>
        <v>0</v>
      </c>
      <c r="X2185" s="1645"/>
      <c r="Y2185" s="1644">
        <f t="shared" si="1277"/>
        <v>0</v>
      </c>
      <c r="AI2185" s="2023">
        <f>W2185-'Blocking-Step2'!W2185</f>
        <v>0</v>
      </c>
      <c r="AJ2185" s="2054">
        <f>O2185-'Blocking-Step2'!O2185</f>
        <v>0</v>
      </c>
    </row>
    <row r="2186" spans="1:36" hidden="1">
      <c r="A2186" s="1900" t="s">
        <v>1236</v>
      </c>
      <c r="C2186" s="528">
        <f>'23'!W34</f>
        <v>34</v>
      </c>
      <c r="D2186" s="528">
        <f>ROUND(C2186/C2184*D2184,0)</f>
        <v>135</v>
      </c>
      <c r="F2186" s="1944">
        <v>2</v>
      </c>
      <c r="G2186" s="597"/>
      <c r="H2186" s="1644">
        <f t="shared" si="1272"/>
        <v>68</v>
      </c>
      <c r="I2186" s="1644">
        <f t="shared" si="1272"/>
        <v>270</v>
      </c>
      <c r="K2186" s="1944">
        <f t="shared" si="1278"/>
        <v>2</v>
      </c>
      <c r="L2186" s="597"/>
      <c r="M2186" s="1944">
        <f t="shared" si="1279"/>
        <v>0</v>
      </c>
      <c r="N2186" s="597"/>
      <c r="O2186" s="1944">
        <f t="shared" si="1280"/>
        <v>0</v>
      </c>
      <c r="P2186" s="597"/>
      <c r="Q2186" s="1944">
        <f t="shared" si="1273"/>
        <v>2</v>
      </c>
      <c r="R2186" s="597"/>
      <c r="S2186" s="1644">
        <f t="shared" si="1274"/>
        <v>270</v>
      </c>
      <c r="T2186" s="1645"/>
      <c r="U2186" s="1644">
        <f t="shared" si="1275"/>
        <v>0</v>
      </c>
      <c r="V2186" s="1645"/>
      <c r="W2186" s="1644">
        <f t="shared" si="1276"/>
        <v>0</v>
      </c>
      <c r="X2186" s="1645"/>
      <c r="Y2186" s="1644">
        <f t="shared" si="1277"/>
        <v>270</v>
      </c>
      <c r="AI2186" s="2023">
        <f>W2186-'Blocking-Step2'!W2186</f>
        <v>0</v>
      </c>
      <c r="AJ2186" s="2054">
        <f>O2186-'Blocking-Step2'!O2186</f>
        <v>0</v>
      </c>
    </row>
    <row r="2187" spans="1:36" hidden="1">
      <c r="A2187" s="1900" t="s">
        <v>1298</v>
      </c>
      <c r="C2187" s="528">
        <f>'23'!AH34</f>
        <v>0</v>
      </c>
      <c r="D2187" s="528">
        <f>ROUND(C2187/C2184*D2184,0)</f>
        <v>0</v>
      </c>
      <c r="F2187" s="1944">
        <v>10</v>
      </c>
      <c r="G2187" s="597"/>
      <c r="H2187" s="1644">
        <f t="shared" si="1272"/>
        <v>0</v>
      </c>
      <c r="I2187" s="1644">
        <f t="shared" si="1272"/>
        <v>0</v>
      </c>
      <c r="K2187" s="1944">
        <f t="shared" si="1278"/>
        <v>10</v>
      </c>
      <c r="L2187" s="597"/>
      <c r="M2187" s="1944">
        <f t="shared" si="1279"/>
        <v>0</v>
      </c>
      <c r="N2187" s="597"/>
      <c r="O2187" s="1944">
        <f t="shared" si="1280"/>
        <v>0</v>
      </c>
      <c r="P2187" s="597"/>
      <c r="Q2187" s="1944">
        <f t="shared" si="1273"/>
        <v>10</v>
      </c>
      <c r="R2187" s="597"/>
      <c r="S2187" s="1644">
        <f t="shared" si="1274"/>
        <v>0</v>
      </c>
      <c r="T2187" s="1645"/>
      <c r="U2187" s="1644">
        <f t="shared" si="1275"/>
        <v>0</v>
      </c>
      <c r="V2187" s="1645"/>
      <c r="W2187" s="1644">
        <f t="shared" si="1276"/>
        <v>0</v>
      </c>
      <c r="X2187" s="1645"/>
      <c r="Y2187" s="1644">
        <f t="shared" si="1277"/>
        <v>0</v>
      </c>
      <c r="AI2187" s="2023">
        <f>W2187-'Blocking-Step2'!W2187</f>
        <v>0</v>
      </c>
      <c r="AJ2187" s="2054">
        <f>O2187-'Blocking-Step2'!O2187</f>
        <v>0</v>
      </c>
    </row>
    <row r="2188" spans="1:36" hidden="1">
      <c r="A2188" s="1900" t="s">
        <v>1654</v>
      </c>
      <c r="C2188" s="528">
        <f>'23'!I34+'23-may'!I34</f>
        <v>26</v>
      </c>
      <c r="D2188" s="528">
        <f>ROUND(C2188/C2204*D2204,0)</f>
        <v>54</v>
      </c>
      <c r="F2188" s="1944"/>
      <c r="G2188" s="597"/>
      <c r="H2188" s="1644"/>
      <c r="I2188" s="1644"/>
      <c r="K2188" s="1944">
        <f t="shared" si="1278"/>
        <v>8.89</v>
      </c>
      <c r="L2188" s="597"/>
      <c r="M2188" s="1944">
        <f t="shared" si="1279"/>
        <v>0</v>
      </c>
      <c r="N2188" s="597"/>
      <c r="O2188" s="1944">
        <f t="shared" si="1280"/>
        <v>0</v>
      </c>
      <c r="P2188" s="597"/>
      <c r="Q2188" s="1944">
        <f t="shared" si="1273"/>
        <v>8.89</v>
      </c>
      <c r="R2188" s="597"/>
      <c r="S2188" s="1644">
        <f t="shared" si="1274"/>
        <v>480</v>
      </c>
      <c r="T2188" s="1645"/>
      <c r="U2188" s="1644">
        <f t="shared" si="1275"/>
        <v>0</v>
      </c>
      <c r="V2188" s="1645"/>
      <c r="W2188" s="1644">
        <f t="shared" si="1276"/>
        <v>0</v>
      </c>
      <c r="X2188" s="1645"/>
      <c r="Y2188" s="1644">
        <f t="shared" si="1277"/>
        <v>480</v>
      </c>
      <c r="AI2188" s="2023">
        <f>W2188-'Blocking-Step2'!W2188</f>
        <v>0</v>
      </c>
      <c r="AJ2188" s="2054">
        <f>O2188-'Blocking-Step2'!O2188</f>
        <v>0</v>
      </c>
    </row>
    <row r="2189" spans="1:36" hidden="1">
      <c r="A2189" s="1900" t="s">
        <v>1655</v>
      </c>
      <c r="C2189" s="528">
        <f>'23'!J34+'23-may'!J34</f>
        <v>45</v>
      </c>
      <c r="D2189" s="528">
        <f>ROUND(C2189/C2204*D2204,0)</f>
        <v>94</v>
      </c>
      <c r="F2189" s="1944"/>
      <c r="G2189" s="597"/>
      <c r="H2189" s="1644"/>
      <c r="I2189" s="1644"/>
      <c r="K2189" s="1944">
        <f t="shared" si="1278"/>
        <v>7.87</v>
      </c>
      <c r="L2189" s="597"/>
      <c r="M2189" s="1944">
        <f t="shared" si="1279"/>
        <v>0</v>
      </c>
      <c r="N2189" s="597"/>
      <c r="O2189" s="1944">
        <f t="shared" si="1280"/>
        <v>0</v>
      </c>
      <c r="P2189" s="597"/>
      <c r="Q2189" s="1944">
        <f t="shared" si="1273"/>
        <v>7.87</v>
      </c>
      <c r="R2189" s="597"/>
      <c r="S2189" s="1644">
        <f t="shared" si="1274"/>
        <v>740</v>
      </c>
      <c r="T2189" s="1645"/>
      <c r="U2189" s="1644">
        <f t="shared" si="1275"/>
        <v>0</v>
      </c>
      <c r="V2189" s="1645"/>
      <c r="W2189" s="1644">
        <f t="shared" si="1276"/>
        <v>0</v>
      </c>
      <c r="X2189" s="1645"/>
      <c r="Y2189" s="1644">
        <f t="shared" si="1277"/>
        <v>740</v>
      </c>
      <c r="AI2189" s="2023">
        <f>W2189-'Blocking-Step2'!W2189</f>
        <v>0</v>
      </c>
      <c r="AJ2189" s="2054">
        <f>O2189-'Blocking-Step2'!O2189</f>
        <v>0</v>
      </c>
    </row>
    <row r="2190" spans="1:36" hidden="1">
      <c r="A2190" s="1900" t="s">
        <v>1656</v>
      </c>
      <c r="C2190" s="528">
        <f>'23'!N34+TempRevMay!W327+'23-may'!N34</f>
        <v>20901.987155416205</v>
      </c>
      <c r="D2190" s="528">
        <f>D2204-SUM(D2191:E2193)</f>
        <v>37926.333333333314</v>
      </c>
      <c r="F2190" s="1943"/>
      <c r="G2190" s="1921"/>
      <c r="H2190" s="1644"/>
      <c r="I2190" s="1644"/>
      <c r="K2190" s="1943">
        <f t="shared" si="1278"/>
        <v>2.9403000000000001</v>
      </c>
      <c r="L2190" s="1921" t="s">
        <v>495</v>
      </c>
      <c r="M2190" s="1943">
        <f t="shared" si="1279"/>
        <v>6.4656468966360006</v>
      </c>
      <c r="N2190" s="1921" t="s">
        <v>495</v>
      </c>
      <c r="O2190" s="1943">
        <f t="shared" si="1280"/>
        <v>2.3066</v>
      </c>
      <c r="P2190" s="1921" t="s">
        <v>495</v>
      </c>
      <c r="Q2190" s="1943">
        <f t="shared" si="1273"/>
        <v>11.712546896636001</v>
      </c>
      <c r="R2190" s="1921" t="s">
        <v>495</v>
      </c>
      <c r="S2190" s="1644">
        <f>ROUND($D2190*K2190/100,0)</f>
        <v>1115</v>
      </c>
      <c r="T2190" s="1648"/>
      <c r="U2190" s="1644">
        <f>ROUND($D2190*M2190/100,0)</f>
        <v>2452</v>
      </c>
      <c r="V2190" s="1648"/>
      <c r="W2190" s="1644">
        <f>ROUND($D2190*O2190/100,0)</f>
        <v>875</v>
      </c>
      <c r="X2190" s="1648"/>
      <c r="Y2190" s="1644">
        <f>ROUND($D2190*Q2190/100,0)</f>
        <v>4442</v>
      </c>
      <c r="AI2190" s="2023">
        <f>W2190-'Blocking-Step2'!W2190</f>
        <v>0</v>
      </c>
      <c r="AJ2190" s="2054">
        <f>O2190-'Blocking-Step2'!O2190</f>
        <v>0</v>
      </c>
    </row>
    <row r="2191" spans="1:36" hidden="1">
      <c r="A2191" s="1900" t="s">
        <v>1657</v>
      </c>
      <c r="C2191" s="528">
        <f>'23'!O34+TempRevMay!W328+'23-may'!O34</f>
        <v>35127.494916347903</v>
      </c>
      <c r="D2191" s="528">
        <f>ROUND(C2191/(C2190+C2191)*Energy!S26,0)</f>
        <v>63738</v>
      </c>
      <c r="F2191" s="1943"/>
      <c r="G2191" s="1921"/>
      <c r="H2191" s="1644"/>
      <c r="I2191" s="1644"/>
      <c r="K2191" s="1943">
        <f t="shared" si="1278"/>
        <v>2.9403000000000001</v>
      </c>
      <c r="L2191" s="1921" t="s">
        <v>495</v>
      </c>
      <c r="M2191" s="1943">
        <f t="shared" si="1279"/>
        <v>1.310346896636001</v>
      </c>
      <c r="N2191" s="1921" t="s">
        <v>495</v>
      </c>
      <c r="O2191" s="1943">
        <f t="shared" si="1280"/>
        <v>2.3066</v>
      </c>
      <c r="P2191" s="1921" t="s">
        <v>495</v>
      </c>
      <c r="Q2191" s="1943">
        <f t="shared" si="1273"/>
        <v>6.5572468966360011</v>
      </c>
      <c r="R2191" s="1921" t="s">
        <v>495</v>
      </c>
      <c r="S2191" s="1644">
        <f t="shared" ref="S2191:S2193" si="1281">ROUND($D2191*K2191/100,0)</f>
        <v>1874</v>
      </c>
      <c r="T2191" s="1648"/>
      <c r="U2191" s="1644">
        <f t="shared" ref="U2191:U2193" si="1282">ROUND($D2191*M2191/100,0)</f>
        <v>835</v>
      </c>
      <c r="V2191" s="1648"/>
      <c r="W2191" s="1644">
        <f t="shared" ref="W2191:W2193" si="1283">ROUND($D2191*O2191/100,0)</f>
        <v>1470</v>
      </c>
      <c r="X2191" s="1648"/>
      <c r="Y2191" s="1644">
        <f t="shared" ref="Y2191:Y2193" si="1284">ROUND($D2191*Q2191/100,0)</f>
        <v>4179</v>
      </c>
      <c r="AI2191" s="2023">
        <f>W2191-'Blocking-Step2'!W2191</f>
        <v>0</v>
      </c>
      <c r="AJ2191" s="2054">
        <f>O2191-'Blocking-Step2'!O2191</f>
        <v>0</v>
      </c>
    </row>
    <row r="2192" spans="1:36" hidden="1">
      <c r="A2192" s="1900" t="s">
        <v>1658</v>
      </c>
      <c r="C2192" s="528">
        <f>'23'!Q34+TempRevMay!W329+'23-may'!Q34</f>
        <v>39524.867974118919</v>
      </c>
      <c r="D2192" s="528">
        <f>ROUND(C2192/(C2192+C2193)*Energy!T26,0)</f>
        <v>90285</v>
      </c>
      <c r="F2192" s="1943"/>
      <c r="G2192" s="1921"/>
      <c r="H2192" s="1644"/>
      <c r="I2192" s="1644"/>
      <c r="K2192" s="1943">
        <f t="shared" si="1278"/>
        <v>2.9403000000000001</v>
      </c>
      <c r="L2192" s="1921" t="s">
        <v>495</v>
      </c>
      <c r="M2192" s="1943">
        <f t="shared" si="1279"/>
        <v>5.3096999999999994</v>
      </c>
      <c r="N2192" s="1921" t="s">
        <v>495</v>
      </c>
      <c r="O2192" s="1943">
        <f t="shared" si="1280"/>
        <v>2.1151</v>
      </c>
      <c r="P2192" s="1921" t="s">
        <v>495</v>
      </c>
      <c r="Q2192" s="1943">
        <f t="shared" si="1273"/>
        <v>10.3651</v>
      </c>
      <c r="R2192" s="1921" t="s">
        <v>495</v>
      </c>
      <c r="S2192" s="1644">
        <f t="shared" si="1281"/>
        <v>2655</v>
      </c>
      <c r="T2192" s="1648"/>
      <c r="U2192" s="1644">
        <f t="shared" si="1282"/>
        <v>4794</v>
      </c>
      <c r="V2192" s="1648"/>
      <c r="W2192" s="1644">
        <f t="shared" si="1283"/>
        <v>1910</v>
      </c>
      <c r="X2192" s="1648"/>
      <c r="Y2192" s="1644">
        <f t="shared" si="1284"/>
        <v>9358</v>
      </c>
      <c r="AI2192" s="2023">
        <f>W2192-'Blocking-Step2'!W2192</f>
        <v>0</v>
      </c>
      <c r="AJ2192" s="2054">
        <f>O2192-'Blocking-Step2'!O2192</f>
        <v>0</v>
      </c>
    </row>
    <row r="2193" spans="1:36" hidden="1">
      <c r="A2193" s="1900" t="s">
        <v>1659</v>
      </c>
      <c r="C2193" s="528">
        <f>'23'!R34+TempRevMay!W330+'23-may'!R34</f>
        <v>48663.65053124704</v>
      </c>
      <c r="D2193" s="528">
        <f>ROUND(C2193/(C2192+C2193)*Energy!T26,0)</f>
        <v>111160</v>
      </c>
      <c r="F2193" s="1943"/>
      <c r="G2193" s="1921"/>
      <c r="H2193" s="1644"/>
      <c r="I2193" s="1644"/>
      <c r="K2193" s="1943">
        <f t="shared" si="1278"/>
        <v>2.9403000000000001</v>
      </c>
      <c r="L2193" s="1921" t="s">
        <v>495</v>
      </c>
      <c r="M2193" s="1943">
        <f t="shared" si="1279"/>
        <v>0.74750000000000005</v>
      </c>
      <c r="N2193" s="1921" t="s">
        <v>495</v>
      </c>
      <c r="O2193" s="1943">
        <f t="shared" si="1280"/>
        <v>2.1151</v>
      </c>
      <c r="P2193" s="1921" t="s">
        <v>495</v>
      </c>
      <c r="Q2193" s="1943">
        <f t="shared" si="1273"/>
        <v>5.8029000000000002</v>
      </c>
      <c r="R2193" s="1921" t="s">
        <v>495</v>
      </c>
      <c r="S2193" s="1644">
        <f t="shared" si="1281"/>
        <v>3268</v>
      </c>
      <c r="T2193" s="1648"/>
      <c r="U2193" s="1644">
        <f t="shared" si="1282"/>
        <v>831</v>
      </c>
      <c r="V2193" s="1648"/>
      <c r="W2193" s="1644">
        <f t="shared" si="1283"/>
        <v>2351</v>
      </c>
      <c r="X2193" s="1648"/>
      <c r="Y2193" s="1644">
        <f t="shared" si="1284"/>
        <v>6451</v>
      </c>
      <c r="AI2193" s="2023">
        <f>W2193-'Blocking-Step2'!W2193</f>
        <v>0</v>
      </c>
      <c r="AJ2193" s="2054">
        <f>O2193-'Blocking-Step2'!O2193</f>
        <v>0</v>
      </c>
    </row>
    <row r="2194" spans="1:36" hidden="1">
      <c r="A2194" s="1900" t="s">
        <v>282</v>
      </c>
      <c r="C2194" s="528">
        <f>'23'!I34</f>
        <v>33</v>
      </c>
      <c r="D2194" s="528">
        <f>ROUND(C2194/C2204*D2204,0)</f>
        <v>69</v>
      </c>
      <c r="F2194" s="1944">
        <v>8.65</v>
      </c>
      <c r="G2194" s="597"/>
      <c r="H2194" s="1644">
        <f t="shared" si="1272"/>
        <v>285</v>
      </c>
      <c r="I2194" s="1644">
        <f t="shared" si="1272"/>
        <v>597</v>
      </c>
      <c r="K2194" s="1944"/>
      <c r="L2194" s="597"/>
      <c r="M2194" s="1944"/>
      <c r="N2194" s="597"/>
      <c r="O2194" s="1944"/>
      <c r="P2194" s="597"/>
      <c r="Q2194" s="1944"/>
      <c r="R2194" s="597"/>
      <c r="S2194" s="1645"/>
      <c r="T2194" s="1645"/>
      <c r="U2194" s="1645"/>
      <c r="V2194" s="1645"/>
      <c r="W2194" s="1645"/>
      <c r="X2194" s="1645"/>
      <c r="Y2194" s="1644"/>
      <c r="AI2194" s="2023">
        <f>W2194-'Blocking-Step2'!W2194</f>
        <v>0</v>
      </c>
      <c r="AJ2194" s="2054">
        <f>O2194-'Blocking-Step2'!O2194</f>
        <v>0</v>
      </c>
    </row>
    <row r="2195" spans="1:36" hidden="1">
      <c r="A2195" s="1900" t="s">
        <v>283</v>
      </c>
      <c r="C2195" s="528">
        <f>'23'!J34</f>
        <v>38</v>
      </c>
      <c r="D2195" s="528">
        <f>ROUND(C2195/C2204*D2204,0)</f>
        <v>79</v>
      </c>
      <c r="F2195" s="1944">
        <v>8.7000000000000011</v>
      </c>
      <c r="G2195" s="597"/>
      <c r="H2195" s="1644">
        <f t="shared" si="1272"/>
        <v>331</v>
      </c>
      <c r="I2195" s="1644">
        <f t="shared" si="1272"/>
        <v>687</v>
      </c>
      <c r="K2195" s="1944"/>
      <c r="L2195" s="597"/>
      <c r="M2195" s="1944"/>
      <c r="N2195" s="597"/>
      <c r="O2195" s="1944"/>
      <c r="P2195" s="597"/>
      <c r="Q2195" s="1944"/>
      <c r="R2195" s="597"/>
      <c r="S2195" s="1645"/>
      <c r="T2195" s="1645"/>
      <c r="U2195" s="1645"/>
      <c r="V2195" s="1645"/>
      <c r="W2195" s="1645"/>
      <c r="X2195" s="1645"/>
      <c r="Y2195" s="1644"/>
      <c r="AI2195" s="2023">
        <f>W2195-'Blocking-Step2'!W2195</f>
        <v>0</v>
      </c>
      <c r="AJ2195" s="2054">
        <f>O2195-'Blocking-Step2'!O2195</f>
        <v>0</v>
      </c>
    </row>
    <row r="2196" spans="1:36" hidden="1">
      <c r="A2196" s="1900" t="s">
        <v>261</v>
      </c>
      <c r="C2196" s="528">
        <f>'23'!K34</f>
        <v>0</v>
      </c>
      <c r="D2196" s="528">
        <f>ROUND(C2196/C2204*D2204,0)</f>
        <v>0</v>
      </c>
      <c r="F2196" s="1944">
        <v>-0.48</v>
      </c>
      <c r="G2196" s="597"/>
      <c r="H2196" s="1644">
        <f t="shared" si="1272"/>
        <v>0</v>
      </c>
      <c r="I2196" s="1644">
        <f t="shared" si="1272"/>
        <v>0</v>
      </c>
      <c r="K2196" s="1944">
        <f>K2173</f>
        <v>-0.48</v>
      </c>
      <c r="L2196" s="597"/>
      <c r="M2196" s="1944">
        <f>M2173</f>
        <v>0</v>
      </c>
      <c r="N2196" s="597"/>
      <c r="O2196" s="1944">
        <f>O2173</f>
        <v>0</v>
      </c>
      <c r="P2196" s="597"/>
      <c r="Q2196" s="1944">
        <f>Q2173</f>
        <v>-0.48</v>
      </c>
      <c r="R2196" s="597"/>
      <c r="S2196" s="1644">
        <f t="shared" ref="S2196" si="1285">ROUND($D2196*K2196,0)</f>
        <v>0</v>
      </c>
      <c r="T2196" s="1645"/>
      <c r="U2196" s="1644">
        <f t="shared" ref="U2196" si="1286">ROUND($D2196*M2196,0)</f>
        <v>0</v>
      </c>
      <c r="V2196" s="1645"/>
      <c r="W2196" s="1644">
        <f t="shared" ref="W2196" si="1287">ROUND($D2196*O2196,0)</f>
        <v>0</v>
      </c>
      <c r="X2196" s="1645"/>
      <c r="Y2196" s="1644">
        <f t="shared" ref="Y2196" si="1288">ROUND($D2196*Q2196,0)</f>
        <v>0</v>
      </c>
      <c r="AI2196" s="2023">
        <f>W2196-'Blocking-Step2'!W2196</f>
        <v>0</v>
      </c>
      <c r="AJ2196" s="2054">
        <f>O2196-'Blocking-Step2'!O2196</f>
        <v>0</v>
      </c>
    </row>
    <row r="2197" spans="1:36" hidden="1">
      <c r="A2197" s="1900" t="s">
        <v>194</v>
      </c>
      <c r="C2197" s="528">
        <f>'23'!N34+TempRev!W327</f>
        <v>25924.992708098362</v>
      </c>
      <c r="D2197" s="528">
        <f>D2204-SUM(D2198:D2201)</f>
        <v>47537.333333333314</v>
      </c>
      <c r="F2197" s="1943">
        <v>11.733599999999999</v>
      </c>
      <c r="G2197" s="1921" t="s">
        <v>495</v>
      </c>
      <c r="H2197" s="1644">
        <f t="shared" ref="H2197:I2200" si="1289">ROUND($F2197*C2197/100,0)</f>
        <v>3042</v>
      </c>
      <c r="I2197" s="1644">
        <f t="shared" si="1289"/>
        <v>5578</v>
      </c>
      <c r="K2197" s="1943"/>
      <c r="L2197" s="1921"/>
      <c r="M2197" s="1943"/>
      <c r="N2197" s="1921"/>
      <c r="O2197" s="1943"/>
      <c r="P2197" s="1921"/>
      <c r="Q2197" s="1943"/>
      <c r="R2197" s="1921"/>
      <c r="S2197" s="1648"/>
      <c r="T2197" s="1648"/>
      <c r="U2197" s="1648"/>
      <c r="V2197" s="1648"/>
      <c r="W2197" s="1648"/>
      <c r="X2197" s="1648"/>
      <c r="Y2197" s="1644"/>
      <c r="AI2197" s="2023">
        <f>W2197-'Blocking-Step2'!W2197</f>
        <v>0</v>
      </c>
      <c r="AJ2197" s="2054">
        <f>O2197-'Blocking-Step2'!O2197</f>
        <v>0</v>
      </c>
    </row>
    <row r="2198" spans="1:36" hidden="1">
      <c r="A2198" s="1900" t="s">
        <v>195</v>
      </c>
      <c r="C2198" s="528">
        <f>'23'!O34+TempRev!W328</f>
        <v>43379.4482922647</v>
      </c>
      <c r="D2198" s="528">
        <f>ROUND(C2198/(C2197+C2198)*Energy!Q26,0)</f>
        <v>79543</v>
      </c>
      <c r="F2198" s="1943">
        <v>6.5782999999999996</v>
      </c>
      <c r="G2198" s="1921" t="s">
        <v>495</v>
      </c>
      <c r="H2198" s="1644">
        <f t="shared" si="1289"/>
        <v>2854</v>
      </c>
      <c r="I2198" s="1644">
        <f t="shared" si="1289"/>
        <v>5233</v>
      </c>
      <c r="K2198" s="1943"/>
      <c r="L2198" s="1921"/>
      <c r="M2198" s="1943"/>
      <c r="N2198" s="1921"/>
      <c r="O2198" s="1943"/>
      <c r="P2198" s="1921"/>
      <c r="Q2198" s="1943"/>
      <c r="R2198" s="1921"/>
      <c r="S2198" s="1648"/>
      <c r="T2198" s="1648"/>
      <c r="U2198" s="1648"/>
      <c r="V2198" s="1648"/>
      <c r="W2198" s="1648"/>
      <c r="X2198" s="1648"/>
      <c r="Y2198" s="1644"/>
      <c r="AI2198" s="2023">
        <f>W2198-'Blocking-Step2'!W2198</f>
        <v>0</v>
      </c>
      <c r="AJ2198" s="2054">
        <f>O2198-'Blocking-Step2'!O2198</f>
        <v>0</v>
      </c>
    </row>
    <row r="2199" spans="1:36" hidden="1">
      <c r="A2199" s="1900" t="s">
        <v>160</v>
      </c>
      <c r="C2199" s="528">
        <f>'23'!Q34+TempRev!W329</f>
        <v>34501.862421436766</v>
      </c>
      <c r="D2199" s="528">
        <f>ROUND(C2199/(C2199+C2200)*Energy!R26,0)</f>
        <v>81071</v>
      </c>
      <c r="F2199" s="1943">
        <v>10.8</v>
      </c>
      <c r="G2199" s="1921" t="s">
        <v>495</v>
      </c>
      <c r="H2199" s="1644">
        <f t="shared" si="1289"/>
        <v>3726</v>
      </c>
      <c r="I2199" s="1644">
        <f t="shared" si="1289"/>
        <v>8756</v>
      </c>
      <c r="K2199" s="1943"/>
      <c r="L2199" s="1921"/>
      <c r="M2199" s="1943"/>
      <c r="N2199" s="1921"/>
      <c r="O2199" s="1943"/>
      <c r="P2199" s="1921"/>
      <c r="Q2199" s="1943"/>
      <c r="R2199" s="1921"/>
      <c r="S2199" s="1648"/>
      <c r="T2199" s="1648"/>
      <c r="U2199" s="1648"/>
      <c r="V2199" s="1648"/>
      <c r="W2199" s="1648"/>
      <c r="X2199" s="1648"/>
      <c r="Y2199" s="1644"/>
      <c r="AI2199" s="2023">
        <f>W2199-'Blocking-Step2'!W2199</f>
        <v>0</v>
      </c>
      <c r="AJ2199" s="2054">
        <f>O2199-'Blocking-Step2'!O2199</f>
        <v>0</v>
      </c>
    </row>
    <row r="2200" spans="1:36" hidden="1">
      <c r="A2200" s="1900" t="s">
        <v>159</v>
      </c>
      <c r="C2200" s="528">
        <f>'23'!R34+TempRev!W330</f>
        <v>40411.697155330243</v>
      </c>
      <c r="D2200" s="528">
        <f>ROUND(C2200/(C2199+C2200)*Energy!R26,0)</f>
        <v>94958</v>
      </c>
      <c r="F2200" s="1943">
        <v>6.0567000000000002</v>
      </c>
      <c r="G2200" s="1921" t="s">
        <v>495</v>
      </c>
      <c r="H2200" s="1644">
        <f t="shared" si="1289"/>
        <v>2448</v>
      </c>
      <c r="I2200" s="1644">
        <f t="shared" si="1289"/>
        <v>5751</v>
      </c>
      <c r="K2200" s="1943"/>
      <c r="L2200" s="1921"/>
      <c r="M2200" s="1943"/>
      <c r="N2200" s="1921"/>
      <c r="O2200" s="1943"/>
      <c r="P2200" s="1921"/>
      <c r="Q2200" s="1943"/>
      <c r="R2200" s="1921"/>
      <c r="S2200" s="1648"/>
      <c r="T2200" s="1648"/>
      <c r="U2200" s="1648"/>
      <c r="V2200" s="1648"/>
      <c r="W2200" s="1648"/>
      <c r="X2200" s="1648"/>
      <c r="Y2200" s="1644"/>
      <c r="AI2200" s="2023">
        <f>W2200-'Blocking-Step2'!W2200</f>
        <v>0</v>
      </c>
      <c r="AJ2200" s="2054">
        <f>O2200-'Blocking-Step2'!O2200</f>
        <v>0</v>
      </c>
    </row>
    <row r="2201" spans="1:36" hidden="1">
      <c r="A2201" s="1900" t="s">
        <v>246</v>
      </c>
      <c r="C2201" s="529">
        <f>'Table 2'!J27</f>
        <v>818</v>
      </c>
      <c r="D2201" s="529">
        <v>0</v>
      </c>
      <c r="H2201" s="1030">
        <f>'Table 3'!F27</f>
        <v>81</v>
      </c>
      <c r="I2201" s="1030">
        <v>0</v>
      </c>
      <c r="Y2201" s="1030">
        <v>0</v>
      </c>
      <c r="AI2201" s="2023">
        <f>W2201-'Blocking-Step2'!W2201</f>
        <v>0</v>
      </c>
      <c r="AJ2201" s="2054">
        <f>O2201-'Blocking-Step2'!O2201</f>
        <v>0</v>
      </c>
    </row>
    <row r="2202" spans="1:36" hidden="1">
      <c r="A2202" s="1900" t="s">
        <v>1240</v>
      </c>
      <c r="C2202" s="584"/>
      <c r="D2202" s="584"/>
      <c r="F2202" s="1930">
        <v>-3.3099999999999997E-2</v>
      </c>
      <c r="G2202" s="597"/>
      <c r="H2202" s="1644">
        <f>SUM(H2194:H2195,H2197:H2200)*$F2202</f>
        <v>-419.90659999999997</v>
      </c>
      <c r="I2202" s="1644">
        <f>SUM(I2194:I2195,I2197:I2200)*$F2202</f>
        <v>-880.5261999999999</v>
      </c>
      <c r="K2202" s="1930"/>
      <c r="L2202" s="597"/>
      <c r="M2202" s="1930"/>
      <c r="N2202" s="597"/>
      <c r="O2202" s="1931" t="str">
        <f>$O$43</f>
        <v>Tax Year 1 (1/1/2021)</v>
      </c>
      <c r="P2202" s="597"/>
      <c r="Q2202" s="1930">
        <f>$AC$1988</f>
        <v>-1.3899999999999999E-2</v>
      </c>
      <c r="R2202" s="597"/>
      <c r="S2202" s="1645"/>
      <c r="T2202" s="1645"/>
      <c r="U2202" s="1645"/>
      <c r="V2202" s="1645"/>
      <c r="W2202" s="1645"/>
      <c r="X2202" s="1645"/>
      <c r="Y2202" s="1644">
        <f>Q2202*SUM(Y2188:Y2193)</f>
        <v>-356.53499999999997</v>
      </c>
      <c r="AI2202" s="2023">
        <f>W2202-'Blocking-Step2'!W2202</f>
        <v>0</v>
      </c>
      <c r="AJ2202" s="2054">
        <f>O2202-'Blocking-Step2'!O2202</f>
        <v>0</v>
      </c>
    </row>
    <row r="2203" spans="1:36" hidden="1">
      <c r="A2203" s="1900"/>
      <c r="C2203" s="584"/>
      <c r="D2203" s="584"/>
      <c r="F2203" s="1930"/>
      <c r="G2203" s="597"/>
      <c r="H2203" s="1644"/>
      <c r="I2203" s="1644"/>
      <c r="K2203" s="1930"/>
      <c r="L2203" s="597"/>
      <c r="M2203" s="1930"/>
      <c r="N2203" s="597"/>
      <c r="O2203" s="1931">
        <f>$O$44</f>
        <v>0</v>
      </c>
      <c r="P2203" s="597"/>
      <c r="Q2203" s="1930">
        <f>$AC$1989</f>
        <v>0</v>
      </c>
      <c r="R2203" s="597"/>
      <c r="S2203" s="1645"/>
      <c r="T2203" s="1645"/>
      <c r="U2203" s="1645"/>
      <c r="V2203" s="1645"/>
      <c r="W2203" s="1645"/>
      <c r="X2203" s="1645"/>
      <c r="Y2203" s="1644">
        <f>Q2203*SUM(Y2188:Y2193)</f>
        <v>0</v>
      </c>
      <c r="AI2203" s="2023">
        <f>W2203-'Blocking-Step2'!W2203</f>
        <v>0</v>
      </c>
      <c r="AJ2203" s="2054">
        <f>O2203-'Blocking-Step2'!O2203</f>
        <v>0</v>
      </c>
    </row>
    <row r="2204" spans="1:36" ht="16.5" hidden="1" thickBot="1">
      <c r="A2204" s="1900" t="s">
        <v>247</v>
      </c>
      <c r="C2204" s="1949">
        <f>SUM(C2197:C2200,C2201)</f>
        <v>145036.00057713006</v>
      </c>
      <c r="D2204" s="1949">
        <f>Energy!P26</f>
        <v>303109.33333333331</v>
      </c>
      <c r="F2204" s="1939"/>
      <c r="H2204" s="1647">
        <f>SUM(H2184:H2202)</f>
        <v>13223.0934</v>
      </c>
      <c r="I2204" s="1647">
        <f>SUM(I2184:I2202)</f>
        <v>29211.4738</v>
      </c>
      <c r="K2204" s="1939"/>
      <c r="M2204" s="1939"/>
      <c r="O2204" s="1939"/>
      <c r="P2204" s="597"/>
      <c r="Q2204" s="1939"/>
      <c r="R2204" s="597"/>
      <c r="S2204" s="1646">
        <f>SUM(S2184:S2201)</f>
        <v>13622</v>
      </c>
      <c r="T2204" s="1645"/>
      <c r="U2204" s="1646">
        <f>SUM(U2184:U2201)</f>
        <v>8912</v>
      </c>
      <c r="V2204" s="1645"/>
      <c r="W2204" s="1646">
        <f>SUM(W2184:W2201)</f>
        <v>6606</v>
      </c>
      <c r="X2204" s="1645"/>
      <c r="Y2204" s="1646">
        <f>SUM(Y2184:Y2201)</f>
        <v>29140</v>
      </c>
      <c r="AA2204" s="1104" t="s">
        <v>1743</v>
      </c>
      <c r="AB2204" s="1890">
        <f>Y2204/I2204-1</f>
        <v>-2.4467714463622947E-3</v>
      </c>
      <c r="AI2204" s="2023">
        <f>W2204-'Blocking-Step2'!W2204</f>
        <v>0</v>
      </c>
      <c r="AJ2204" s="2054">
        <f>O2204-'Blocking-Step2'!O2204</f>
        <v>0</v>
      </c>
    </row>
    <row r="2205" spans="1:36" ht="16.5" hidden="1" thickTop="1">
      <c r="O2205" s="596"/>
      <c r="Q2205" s="596"/>
      <c r="Y2205" s="1645"/>
      <c r="AI2205" s="2023">
        <f>W2205-'Blocking-Step2'!W2205</f>
        <v>0</v>
      </c>
      <c r="AJ2205" s="2054">
        <f>O2205-'Blocking-Step2'!O2205</f>
        <v>0</v>
      </c>
    </row>
    <row r="2206" spans="1:36" hidden="1">
      <c r="A2206" s="1897" t="s">
        <v>1292</v>
      </c>
      <c r="C2206" s="528"/>
      <c r="D2206" s="528"/>
      <c r="AI2206" s="2023">
        <f>W2206-'Blocking-Step2'!W2206</f>
        <v>0</v>
      </c>
      <c r="AJ2206" s="2054">
        <f>O2206-'Blocking-Step2'!O2206</f>
        <v>0</v>
      </c>
    </row>
    <row r="2207" spans="1:36" hidden="1">
      <c r="A2207" s="1900" t="s">
        <v>240</v>
      </c>
      <c r="C2207" s="528">
        <f>'23'!G32</f>
        <v>497.238</v>
      </c>
      <c r="D2207" s="528">
        <f>Bill!P51</f>
        <v>1224</v>
      </c>
      <c r="F2207" s="1944">
        <v>10</v>
      </c>
      <c r="G2207" s="597"/>
      <c r="H2207" s="1644">
        <f t="shared" ref="H2207:I2219" si="1290">ROUND($F2207*C2207,0)</f>
        <v>4972</v>
      </c>
      <c r="I2207" s="1644">
        <f t="shared" si="1290"/>
        <v>12240</v>
      </c>
      <c r="K2207" s="1944">
        <f>K2161</f>
        <v>10</v>
      </c>
      <c r="L2207" s="597"/>
      <c r="M2207" s="1944">
        <f>M2161</f>
        <v>0</v>
      </c>
      <c r="N2207" s="597"/>
      <c r="O2207" s="1944">
        <f>O2161</f>
        <v>0</v>
      </c>
      <c r="P2207" s="597"/>
      <c r="Q2207" s="1944">
        <f t="shared" ref="Q2207:Q2216" si="1291">Q2161</f>
        <v>10</v>
      </c>
      <c r="R2207" s="597"/>
      <c r="S2207" s="1644">
        <f t="shared" ref="S2207:S2212" si="1292">ROUND($D2207*K2207,0)</f>
        <v>12240</v>
      </c>
      <c r="T2207" s="1645"/>
      <c r="U2207" s="1644">
        <f t="shared" ref="U2207:U2212" si="1293">ROUND($D2207*M2207,0)</f>
        <v>0</v>
      </c>
      <c r="V2207" s="1645"/>
      <c r="W2207" s="1644">
        <f t="shared" ref="W2207:W2212" si="1294">ROUND($D2207*O2207,0)</f>
        <v>0</v>
      </c>
      <c r="X2207" s="1645"/>
      <c r="Y2207" s="1644">
        <f t="shared" ref="Y2207:Y2212" si="1295">ROUND($D2207*Q2207,0)</f>
        <v>12240</v>
      </c>
      <c r="AI2207" s="2023">
        <f>W2207-'Blocking-Step2'!W2207</f>
        <v>0</v>
      </c>
      <c r="AJ2207" s="2054">
        <f>O2207-'Blocking-Step2'!O2207</f>
        <v>0</v>
      </c>
    </row>
    <row r="2208" spans="1:36" hidden="1">
      <c r="A2208" s="1900" t="s">
        <v>262</v>
      </c>
      <c r="C2208" s="528">
        <v>0</v>
      </c>
      <c r="D2208" s="528">
        <f>ROUND(C2208/C2207*D2207,0)</f>
        <v>0</v>
      </c>
      <c r="F2208" s="1944">
        <v>120</v>
      </c>
      <c r="G2208" s="597"/>
      <c r="H2208" s="1644">
        <f t="shared" si="1290"/>
        <v>0</v>
      </c>
      <c r="I2208" s="1644">
        <f t="shared" si="1290"/>
        <v>0</v>
      </c>
      <c r="K2208" s="1944">
        <f t="shared" ref="K2208:K2216" si="1296">K2162</f>
        <v>117</v>
      </c>
      <c r="L2208" s="597"/>
      <c r="M2208" s="1944">
        <f t="shared" ref="M2208:M2216" si="1297">M2162</f>
        <v>0</v>
      </c>
      <c r="N2208" s="597"/>
      <c r="O2208" s="1944">
        <f t="shared" ref="O2208:O2216" si="1298">O2162</f>
        <v>0</v>
      </c>
      <c r="P2208" s="597"/>
      <c r="Q2208" s="1944">
        <f t="shared" si="1291"/>
        <v>117</v>
      </c>
      <c r="R2208" s="597"/>
      <c r="S2208" s="1644">
        <f t="shared" si="1292"/>
        <v>0</v>
      </c>
      <c r="T2208" s="1645"/>
      <c r="U2208" s="1644">
        <f t="shared" si="1293"/>
        <v>0</v>
      </c>
      <c r="V2208" s="1645"/>
      <c r="W2208" s="1644">
        <f t="shared" si="1294"/>
        <v>0</v>
      </c>
      <c r="X2208" s="1645"/>
      <c r="Y2208" s="1644">
        <f t="shared" si="1295"/>
        <v>0</v>
      </c>
      <c r="AI2208" s="2023">
        <f>W2208-'Blocking-Step2'!W2208</f>
        <v>0</v>
      </c>
      <c r="AJ2208" s="2054">
        <f>O2208-'Blocking-Step2'!O2208</f>
        <v>0</v>
      </c>
    </row>
    <row r="2209" spans="1:36" hidden="1">
      <c r="A2209" s="1900" t="s">
        <v>1236</v>
      </c>
      <c r="C2209" s="528">
        <f>'23'!W32</f>
        <v>105</v>
      </c>
      <c r="D2209" s="528">
        <f>ROUND(C2209/C2207*D2207,0)</f>
        <v>258</v>
      </c>
      <c r="F2209" s="1944">
        <v>2</v>
      </c>
      <c r="G2209" s="597"/>
      <c r="H2209" s="1644">
        <f t="shared" si="1290"/>
        <v>210</v>
      </c>
      <c r="I2209" s="1644">
        <f t="shared" si="1290"/>
        <v>516</v>
      </c>
      <c r="K2209" s="1944">
        <f t="shared" si="1296"/>
        <v>2</v>
      </c>
      <c r="L2209" s="597"/>
      <c r="M2209" s="1944">
        <f t="shared" si="1297"/>
        <v>0</v>
      </c>
      <c r="N2209" s="597"/>
      <c r="O2209" s="1944">
        <f t="shared" si="1298"/>
        <v>0</v>
      </c>
      <c r="P2209" s="597"/>
      <c r="Q2209" s="1944">
        <f t="shared" si="1291"/>
        <v>2</v>
      </c>
      <c r="R2209" s="597"/>
      <c r="S2209" s="1644">
        <f t="shared" si="1292"/>
        <v>516</v>
      </c>
      <c r="T2209" s="1645"/>
      <c r="U2209" s="1644">
        <f t="shared" si="1293"/>
        <v>0</v>
      </c>
      <c r="V2209" s="1645"/>
      <c r="W2209" s="1644">
        <f t="shared" si="1294"/>
        <v>0</v>
      </c>
      <c r="X2209" s="1645"/>
      <c r="Y2209" s="1644">
        <f t="shared" si="1295"/>
        <v>516</v>
      </c>
      <c r="AI2209" s="2023">
        <f>W2209-'Blocking-Step2'!W2209</f>
        <v>0</v>
      </c>
      <c r="AJ2209" s="2054">
        <f>O2209-'Blocking-Step2'!O2209</f>
        <v>0</v>
      </c>
    </row>
    <row r="2210" spans="1:36" hidden="1">
      <c r="A2210" s="1900" t="s">
        <v>1298</v>
      </c>
      <c r="C2210" s="528">
        <f>'23'!AH32</f>
        <v>0</v>
      </c>
      <c r="D2210" s="528">
        <f>ROUND(C2210/C2207*D2207,0)</f>
        <v>0</v>
      </c>
      <c r="F2210" s="1944">
        <v>10</v>
      </c>
      <c r="G2210" s="597"/>
      <c r="H2210" s="1644">
        <f t="shared" si="1290"/>
        <v>0</v>
      </c>
      <c r="I2210" s="1644">
        <f t="shared" si="1290"/>
        <v>0</v>
      </c>
      <c r="K2210" s="1944">
        <f t="shared" si="1296"/>
        <v>10</v>
      </c>
      <c r="L2210" s="597"/>
      <c r="M2210" s="1944">
        <f t="shared" si="1297"/>
        <v>0</v>
      </c>
      <c r="N2210" s="597"/>
      <c r="O2210" s="1944">
        <f t="shared" si="1298"/>
        <v>0</v>
      </c>
      <c r="P2210" s="597"/>
      <c r="Q2210" s="1944">
        <f t="shared" si="1291"/>
        <v>10</v>
      </c>
      <c r="R2210" s="597"/>
      <c r="S2210" s="1644">
        <f t="shared" si="1292"/>
        <v>0</v>
      </c>
      <c r="T2210" s="1645"/>
      <c r="U2210" s="1644">
        <f t="shared" si="1293"/>
        <v>0</v>
      </c>
      <c r="V2210" s="1645"/>
      <c r="W2210" s="1644">
        <f t="shared" si="1294"/>
        <v>0</v>
      </c>
      <c r="X2210" s="1645"/>
      <c r="Y2210" s="1644">
        <f t="shared" si="1295"/>
        <v>0</v>
      </c>
      <c r="AI2210" s="2023">
        <f>W2210-'Blocking-Step2'!W2210</f>
        <v>0</v>
      </c>
      <c r="AJ2210" s="2054">
        <f>O2210-'Blocking-Step2'!O2210</f>
        <v>0</v>
      </c>
    </row>
    <row r="2211" spans="1:36" hidden="1">
      <c r="A2211" s="1900" t="s">
        <v>1654</v>
      </c>
      <c r="C2211" s="528">
        <f>'23'!I32+'23-may'!I32</f>
        <v>469.28811594685055</v>
      </c>
      <c r="D2211" s="528">
        <f>ROUND(C2211/C2227*D2227,0)</f>
        <v>498</v>
      </c>
      <c r="F2211" s="1944"/>
      <c r="G2211" s="597"/>
      <c r="H2211" s="1644"/>
      <c r="I2211" s="1644"/>
      <c r="K2211" s="1944">
        <f t="shared" si="1296"/>
        <v>8.89</v>
      </c>
      <c r="L2211" s="597"/>
      <c r="M2211" s="1944">
        <f t="shared" si="1297"/>
        <v>0</v>
      </c>
      <c r="N2211" s="597"/>
      <c r="O2211" s="1944">
        <f t="shared" si="1298"/>
        <v>0</v>
      </c>
      <c r="P2211" s="597"/>
      <c r="Q2211" s="1944">
        <f t="shared" si="1291"/>
        <v>8.89</v>
      </c>
      <c r="R2211" s="597"/>
      <c r="S2211" s="1644">
        <f t="shared" si="1292"/>
        <v>4427</v>
      </c>
      <c r="T2211" s="1645"/>
      <c r="U2211" s="1644">
        <f t="shared" si="1293"/>
        <v>0</v>
      </c>
      <c r="V2211" s="1645"/>
      <c r="W2211" s="1644">
        <f t="shared" si="1294"/>
        <v>0</v>
      </c>
      <c r="X2211" s="1645"/>
      <c r="Y2211" s="1644">
        <f t="shared" si="1295"/>
        <v>4427</v>
      </c>
      <c r="AI2211" s="2023">
        <f>W2211-'Blocking-Step2'!W2211</f>
        <v>0</v>
      </c>
      <c r="AJ2211" s="2054">
        <f>O2211-'Blocking-Step2'!O2211</f>
        <v>0</v>
      </c>
    </row>
    <row r="2212" spans="1:36" hidden="1">
      <c r="A2212" s="1900" t="s">
        <v>1655</v>
      </c>
      <c r="C2212" s="528">
        <f>'23'!J32+'23-may'!J32</f>
        <v>836.54837332296552</v>
      </c>
      <c r="D2212" s="528">
        <f>ROUND(C2212/C2227*D2227,0)</f>
        <v>888</v>
      </c>
      <c r="F2212" s="1944"/>
      <c r="G2212" s="597"/>
      <c r="H2212" s="1644"/>
      <c r="I2212" s="1644"/>
      <c r="K2212" s="1944">
        <f t="shared" si="1296"/>
        <v>7.87</v>
      </c>
      <c r="L2212" s="597"/>
      <c r="M2212" s="1944">
        <f t="shared" si="1297"/>
        <v>0</v>
      </c>
      <c r="N2212" s="597"/>
      <c r="O2212" s="1944">
        <f t="shared" si="1298"/>
        <v>0</v>
      </c>
      <c r="P2212" s="597"/>
      <c r="Q2212" s="1944">
        <f t="shared" si="1291"/>
        <v>7.87</v>
      </c>
      <c r="R2212" s="597"/>
      <c r="S2212" s="1644">
        <f t="shared" si="1292"/>
        <v>6989</v>
      </c>
      <c r="T2212" s="1645"/>
      <c r="U2212" s="1644">
        <f t="shared" si="1293"/>
        <v>0</v>
      </c>
      <c r="V2212" s="1645"/>
      <c r="W2212" s="1644">
        <f t="shared" si="1294"/>
        <v>0</v>
      </c>
      <c r="X2212" s="1645"/>
      <c r="Y2212" s="1644">
        <f t="shared" si="1295"/>
        <v>6989</v>
      </c>
      <c r="AI2212" s="2023">
        <f>W2212-'Blocking-Step2'!W2212</f>
        <v>0</v>
      </c>
      <c r="AJ2212" s="2054">
        <f>O2212-'Blocking-Step2'!O2212</f>
        <v>0</v>
      </c>
    </row>
    <row r="2213" spans="1:36" hidden="1">
      <c r="A2213" s="1900" t="s">
        <v>1656</v>
      </c>
      <c r="C2213" s="528">
        <f>'23'!N32+TempRevMay!W348+'23-may'!N32</f>
        <v>201135.81034996227</v>
      </c>
      <c r="D2213" s="528">
        <f>D2227-SUM(D2214:E2216)</f>
        <v>190825.78092448856</v>
      </c>
      <c r="F2213" s="1943"/>
      <c r="G2213" s="1921"/>
      <c r="H2213" s="1644"/>
      <c r="I2213" s="1644"/>
      <c r="K2213" s="1943">
        <f t="shared" si="1296"/>
        <v>2.9403000000000001</v>
      </c>
      <c r="L2213" s="1921" t="s">
        <v>495</v>
      </c>
      <c r="M2213" s="1943">
        <f t="shared" si="1297"/>
        <v>6.4656468966360006</v>
      </c>
      <c r="N2213" s="1921" t="s">
        <v>495</v>
      </c>
      <c r="O2213" s="1943">
        <f t="shared" si="1298"/>
        <v>2.3066</v>
      </c>
      <c r="P2213" s="1921" t="s">
        <v>495</v>
      </c>
      <c r="Q2213" s="1943">
        <f t="shared" si="1291"/>
        <v>11.712546896636001</v>
      </c>
      <c r="R2213" s="1921" t="s">
        <v>495</v>
      </c>
      <c r="S2213" s="1644">
        <f>ROUND($D2213*K2213/100,0)</f>
        <v>5611</v>
      </c>
      <c r="T2213" s="1648"/>
      <c r="U2213" s="1644">
        <f>ROUND($D2213*M2213/100,0)</f>
        <v>12338</v>
      </c>
      <c r="V2213" s="1648"/>
      <c r="W2213" s="1644">
        <f>ROUND($D2213*O2213/100,0)</f>
        <v>4402</v>
      </c>
      <c r="X2213" s="1648"/>
      <c r="Y2213" s="1644">
        <f>ROUND($D2213*Q2213/100,0)</f>
        <v>22351</v>
      </c>
      <c r="AI2213" s="2023">
        <f>W2213-'Blocking-Step2'!W2213</f>
        <v>0</v>
      </c>
      <c r="AJ2213" s="2054">
        <f>O2213-'Blocking-Step2'!O2213</f>
        <v>0</v>
      </c>
    </row>
    <row r="2214" spans="1:36" hidden="1">
      <c r="A2214" s="1900" t="s">
        <v>1657</v>
      </c>
      <c r="C2214" s="528">
        <f>'23'!O32+TempRevMay!W349+'23-may'!O32</f>
        <v>179959.67475913611</v>
      </c>
      <c r="D2214" s="528">
        <f>ROUND(C2214/(C2213+C2214)*Energy!S51,0)</f>
        <v>170734</v>
      </c>
      <c r="F2214" s="1943"/>
      <c r="G2214" s="1921"/>
      <c r="H2214" s="1644"/>
      <c r="I2214" s="1644"/>
      <c r="K2214" s="1943">
        <f t="shared" si="1296"/>
        <v>2.9403000000000001</v>
      </c>
      <c r="L2214" s="1921" t="s">
        <v>495</v>
      </c>
      <c r="M2214" s="1943">
        <f t="shared" si="1297"/>
        <v>1.310346896636001</v>
      </c>
      <c r="N2214" s="1921" t="s">
        <v>495</v>
      </c>
      <c r="O2214" s="1943">
        <f t="shared" si="1298"/>
        <v>2.3066</v>
      </c>
      <c r="P2214" s="1921" t="s">
        <v>495</v>
      </c>
      <c r="Q2214" s="1943">
        <f t="shared" si="1291"/>
        <v>6.5572468966360011</v>
      </c>
      <c r="R2214" s="1921" t="s">
        <v>495</v>
      </c>
      <c r="S2214" s="1644">
        <f t="shared" ref="S2214:S2216" si="1299">ROUND($D2214*K2214/100,0)</f>
        <v>5020</v>
      </c>
      <c r="T2214" s="1648"/>
      <c r="U2214" s="1644">
        <f t="shared" ref="U2214:U2216" si="1300">ROUND($D2214*M2214/100,0)</f>
        <v>2237</v>
      </c>
      <c r="V2214" s="1648"/>
      <c r="W2214" s="1644">
        <f t="shared" ref="W2214:W2216" si="1301">ROUND($D2214*O2214/100,0)</f>
        <v>3938</v>
      </c>
      <c r="X2214" s="1648"/>
      <c r="Y2214" s="1644">
        <f t="shared" ref="Y2214:Y2216" si="1302">ROUND($D2214*Q2214/100,0)</f>
        <v>11195</v>
      </c>
      <c r="AI2214" s="2023">
        <f>W2214-'Blocking-Step2'!W2214</f>
        <v>0</v>
      </c>
      <c r="AJ2214" s="2054">
        <f>O2214-'Blocking-Step2'!O2214</f>
        <v>0</v>
      </c>
    </row>
    <row r="2215" spans="1:36" hidden="1">
      <c r="A2215" s="1900" t="s">
        <v>1658</v>
      </c>
      <c r="C2215" s="528">
        <f>'23'!Q32+TempRevMay!W350+'23-may'!Q32</f>
        <v>291028.98356874462</v>
      </c>
      <c r="D2215" s="528">
        <f>ROUND(C2215/(C2215+C2216)*Energy!T51,0)</f>
        <v>327487</v>
      </c>
      <c r="F2215" s="1943"/>
      <c r="G2215" s="1921"/>
      <c r="H2215" s="1644"/>
      <c r="I2215" s="1644"/>
      <c r="K2215" s="1943">
        <f t="shared" si="1296"/>
        <v>2.9403000000000001</v>
      </c>
      <c r="L2215" s="1921" t="s">
        <v>495</v>
      </c>
      <c r="M2215" s="1943">
        <f t="shared" si="1297"/>
        <v>5.3096999999999994</v>
      </c>
      <c r="N2215" s="1921" t="s">
        <v>495</v>
      </c>
      <c r="O2215" s="1943">
        <f t="shared" si="1298"/>
        <v>2.1151</v>
      </c>
      <c r="P2215" s="1921" t="s">
        <v>495</v>
      </c>
      <c r="Q2215" s="1943">
        <f t="shared" si="1291"/>
        <v>10.3651</v>
      </c>
      <c r="R2215" s="1921" t="s">
        <v>495</v>
      </c>
      <c r="S2215" s="1644">
        <f t="shared" si="1299"/>
        <v>9629</v>
      </c>
      <c r="T2215" s="1648"/>
      <c r="U2215" s="1644">
        <f t="shared" si="1300"/>
        <v>17389</v>
      </c>
      <c r="V2215" s="1648"/>
      <c r="W2215" s="1644">
        <f t="shared" si="1301"/>
        <v>6927</v>
      </c>
      <c r="X2215" s="1648"/>
      <c r="Y2215" s="1644">
        <f t="shared" si="1302"/>
        <v>33944</v>
      </c>
      <c r="AI2215" s="2023">
        <f>W2215-'Blocking-Step2'!W2215</f>
        <v>0</v>
      </c>
      <c r="AJ2215" s="2054">
        <f>O2215-'Blocking-Step2'!O2215</f>
        <v>0</v>
      </c>
    </row>
    <row r="2216" spans="1:36" hidden="1">
      <c r="A2216" s="1900" t="s">
        <v>1659</v>
      </c>
      <c r="C2216" s="528">
        <f>'23'!R32+TempRevMay!W351+'23-may'!R32</f>
        <v>477711.43388173886</v>
      </c>
      <c r="D2216" s="528">
        <f>ROUND(C2216/(C2215+C2216)*Energy!T51,0)</f>
        <v>537555</v>
      </c>
      <c r="F2216" s="1943"/>
      <c r="G2216" s="1921"/>
      <c r="H2216" s="1644"/>
      <c r="I2216" s="1644"/>
      <c r="K2216" s="1943">
        <f t="shared" si="1296"/>
        <v>2.9403000000000001</v>
      </c>
      <c r="L2216" s="1921" t="s">
        <v>495</v>
      </c>
      <c r="M2216" s="1943">
        <f t="shared" si="1297"/>
        <v>0.74750000000000005</v>
      </c>
      <c r="N2216" s="1921" t="s">
        <v>495</v>
      </c>
      <c r="O2216" s="1943">
        <f t="shared" si="1298"/>
        <v>2.1151</v>
      </c>
      <c r="P2216" s="1921" t="s">
        <v>495</v>
      </c>
      <c r="Q2216" s="1943">
        <f t="shared" si="1291"/>
        <v>5.8029000000000002</v>
      </c>
      <c r="R2216" s="1921" t="s">
        <v>495</v>
      </c>
      <c r="S2216" s="1644">
        <f t="shared" si="1299"/>
        <v>15806</v>
      </c>
      <c r="T2216" s="1648"/>
      <c r="U2216" s="1644">
        <f t="shared" si="1300"/>
        <v>4018</v>
      </c>
      <c r="V2216" s="1648"/>
      <c r="W2216" s="1644">
        <f t="shared" si="1301"/>
        <v>11370</v>
      </c>
      <c r="X2216" s="1648"/>
      <c r="Y2216" s="1644">
        <f t="shared" si="1302"/>
        <v>31194</v>
      </c>
      <c r="AI2216" s="2023">
        <f>W2216-'Blocking-Step2'!W2216</f>
        <v>0</v>
      </c>
      <c r="AJ2216" s="2054">
        <f>O2216-'Blocking-Step2'!O2216</f>
        <v>0</v>
      </c>
    </row>
    <row r="2217" spans="1:36" hidden="1">
      <c r="A2217" s="1900" t="s">
        <v>282</v>
      </c>
      <c r="C2217" s="528">
        <f>'23'!I32</f>
        <v>652.14913294797702</v>
      </c>
      <c r="D2217" s="528">
        <f>ROUND(C2217/C2227*D2227,0)</f>
        <v>692</v>
      </c>
      <c r="F2217" s="1944">
        <v>8.65</v>
      </c>
      <c r="G2217" s="597"/>
      <c r="H2217" s="1644">
        <f t="shared" si="1290"/>
        <v>5641</v>
      </c>
      <c r="I2217" s="1644">
        <f t="shared" si="1290"/>
        <v>5986</v>
      </c>
      <c r="K2217" s="1944"/>
      <c r="L2217" s="597"/>
      <c r="M2217" s="1944"/>
      <c r="N2217" s="597"/>
      <c r="O2217" s="1944"/>
      <c r="P2217" s="597"/>
      <c r="Q2217" s="1944"/>
      <c r="R2217" s="597"/>
      <c r="S2217" s="1645"/>
      <c r="T2217" s="1645"/>
      <c r="U2217" s="1645"/>
      <c r="V2217" s="1645"/>
      <c r="W2217" s="1645"/>
      <c r="X2217" s="1645"/>
      <c r="Y2217" s="1644"/>
      <c r="AI2217" s="2023">
        <f>W2217-'Blocking-Step2'!W2217</f>
        <v>0</v>
      </c>
      <c r="AJ2217" s="2054">
        <f>O2217-'Blocking-Step2'!O2217</f>
        <v>0</v>
      </c>
    </row>
    <row r="2218" spans="1:36" hidden="1">
      <c r="A2218" s="1900" t="s">
        <v>283</v>
      </c>
      <c r="C2218" s="528">
        <f>'23'!J32</f>
        <v>653.68735632183905</v>
      </c>
      <c r="D2218" s="528">
        <f>ROUND(C2218/C2227*D2227,0)</f>
        <v>694</v>
      </c>
      <c r="F2218" s="1944">
        <v>8.7000000000000011</v>
      </c>
      <c r="G2218" s="597"/>
      <c r="H2218" s="1644">
        <f t="shared" si="1290"/>
        <v>5687</v>
      </c>
      <c r="I2218" s="1644">
        <f t="shared" si="1290"/>
        <v>6038</v>
      </c>
      <c r="K2218" s="1944"/>
      <c r="L2218" s="597"/>
      <c r="M2218" s="1944"/>
      <c r="N2218" s="597"/>
      <c r="O2218" s="1944"/>
      <c r="P2218" s="597"/>
      <c r="Q2218" s="1944"/>
      <c r="R2218" s="597"/>
      <c r="S2218" s="1645"/>
      <c r="T2218" s="1645"/>
      <c r="U2218" s="1645"/>
      <c r="V2218" s="1645"/>
      <c r="W2218" s="1645"/>
      <c r="X2218" s="1645"/>
      <c r="Y2218" s="1644"/>
      <c r="AI2218" s="2023">
        <f>W2218-'Blocking-Step2'!W2218</f>
        <v>0</v>
      </c>
      <c r="AJ2218" s="2054">
        <f>O2218-'Blocking-Step2'!O2218</f>
        <v>0</v>
      </c>
    </row>
    <row r="2219" spans="1:36" hidden="1">
      <c r="A2219" s="1900" t="s">
        <v>261</v>
      </c>
      <c r="C2219" s="528">
        <f>'23'!K32</f>
        <v>0</v>
      </c>
      <c r="D2219" s="528">
        <f>ROUND(C2219/C2227*D2227,0)</f>
        <v>0</v>
      </c>
      <c r="F2219" s="1944">
        <v>-0.48</v>
      </c>
      <c r="G2219" s="597"/>
      <c r="H2219" s="1644">
        <f t="shared" si="1290"/>
        <v>0</v>
      </c>
      <c r="I2219" s="1644">
        <f t="shared" si="1290"/>
        <v>0</v>
      </c>
      <c r="K2219" s="1944">
        <f>K2173</f>
        <v>-0.48</v>
      </c>
      <c r="L2219" s="597"/>
      <c r="M2219" s="1944">
        <f>M2173</f>
        <v>0</v>
      </c>
      <c r="N2219" s="597"/>
      <c r="O2219" s="1944">
        <f>O2173</f>
        <v>0</v>
      </c>
      <c r="P2219" s="597"/>
      <c r="Q2219" s="1944">
        <f>Q2173</f>
        <v>-0.48</v>
      </c>
      <c r="R2219" s="597"/>
      <c r="S2219" s="1644">
        <f t="shared" ref="S2219" si="1303">ROUND($D2219*K2219,0)</f>
        <v>0</v>
      </c>
      <c r="T2219" s="1645"/>
      <c r="U2219" s="1644">
        <f t="shared" ref="U2219" si="1304">ROUND($D2219*M2219,0)</f>
        <v>0</v>
      </c>
      <c r="V2219" s="1645"/>
      <c r="W2219" s="1644">
        <f t="shared" ref="W2219" si="1305">ROUND($D2219*O2219,0)</f>
        <v>0</v>
      </c>
      <c r="X2219" s="1645"/>
      <c r="Y2219" s="1644">
        <f t="shared" ref="Y2219" si="1306">ROUND($D2219*Q2219,0)</f>
        <v>0</v>
      </c>
      <c r="AI2219" s="2023">
        <f>W2219-'Blocking-Step2'!W2219</f>
        <v>0</v>
      </c>
      <c r="AJ2219" s="2054">
        <f>O2219-'Blocking-Step2'!O2219</f>
        <v>0</v>
      </c>
    </row>
    <row r="2220" spans="1:36" hidden="1">
      <c r="A2220" s="1900" t="s">
        <v>194</v>
      </c>
      <c r="C2220" s="528">
        <f>'23'!N32+TempRev!W348</f>
        <v>224227.4938147334</v>
      </c>
      <c r="D2220" s="528">
        <f>D2227-SUM(D2221:D2224)</f>
        <v>191568.78092448856</v>
      </c>
      <c r="F2220" s="1943">
        <v>11.733599999999999</v>
      </c>
      <c r="G2220" s="1921" t="s">
        <v>495</v>
      </c>
      <c r="H2220" s="1644">
        <f t="shared" ref="H2220:I2223" si="1307">ROUND($F2220*C2220/100,0)</f>
        <v>26310</v>
      </c>
      <c r="I2220" s="1644">
        <f t="shared" si="1307"/>
        <v>22478</v>
      </c>
      <c r="K2220" s="1943"/>
      <c r="L2220" s="1921"/>
      <c r="M2220" s="1943"/>
      <c r="N2220" s="1921"/>
      <c r="O2220" s="1943"/>
      <c r="P2220" s="1921"/>
      <c r="Q2220" s="1943"/>
      <c r="R2220" s="1921"/>
      <c r="S2220" s="1648"/>
      <c r="T2220" s="1648"/>
      <c r="U2220" s="1648"/>
      <c r="V2220" s="1648"/>
      <c r="W2220" s="1648"/>
      <c r="X2220" s="1648"/>
      <c r="Y2220" s="1644"/>
      <c r="AI2220" s="2023">
        <f>W2220-'Blocking-Step2'!W2220</f>
        <v>0</v>
      </c>
      <c r="AJ2220" s="2054">
        <f>O2220-'Blocking-Step2'!O2220</f>
        <v>0</v>
      </c>
    </row>
    <row r="2221" spans="1:36" hidden="1">
      <c r="A2221" s="1900" t="s">
        <v>195</v>
      </c>
      <c r="C2221" s="528">
        <f>'23'!O32+TempRev!W349</f>
        <v>267758.33960068761</v>
      </c>
      <c r="D2221" s="528">
        <f>ROUND(C2221/(C2220+C2221)*Energy!Q51,0)</f>
        <v>228759</v>
      </c>
      <c r="F2221" s="1943">
        <v>6.5782999999999996</v>
      </c>
      <c r="G2221" s="1921" t="s">
        <v>495</v>
      </c>
      <c r="H2221" s="1644">
        <f t="shared" si="1307"/>
        <v>17614</v>
      </c>
      <c r="I2221" s="1644">
        <f t="shared" si="1307"/>
        <v>15048</v>
      </c>
      <c r="K2221" s="1943"/>
      <c r="L2221" s="1921"/>
      <c r="M2221" s="1943"/>
      <c r="N2221" s="1921"/>
      <c r="O2221" s="1943"/>
      <c r="P2221" s="1921"/>
      <c r="Q2221" s="1943"/>
      <c r="R2221" s="1921"/>
      <c r="S2221" s="1648"/>
      <c r="T2221" s="1648"/>
      <c r="U2221" s="1648"/>
      <c r="V2221" s="1648"/>
      <c r="W2221" s="1648"/>
      <c r="X2221" s="1648"/>
      <c r="Y2221" s="1644"/>
      <c r="AI2221" s="2023">
        <f>W2221-'Blocking-Step2'!W2221</f>
        <v>0</v>
      </c>
      <c r="AJ2221" s="2054">
        <f>O2221-'Blocking-Step2'!O2221</f>
        <v>0</v>
      </c>
    </row>
    <row r="2222" spans="1:36" hidden="1">
      <c r="A2222" s="1900" t="s">
        <v>160</v>
      </c>
      <c r="C2222" s="528">
        <f>'23'!Q32+TempRev!W350</f>
        <v>267937.30010397354</v>
      </c>
      <c r="D2222" s="528">
        <f>ROUND(C2222/(C2222+C2223)*Energy!R51,0)</f>
        <v>328389</v>
      </c>
      <c r="F2222" s="1943">
        <v>10.8</v>
      </c>
      <c r="G2222" s="1921" t="s">
        <v>495</v>
      </c>
      <c r="H2222" s="1644">
        <f t="shared" si="1307"/>
        <v>28937</v>
      </c>
      <c r="I2222" s="1644">
        <f t="shared" si="1307"/>
        <v>35466</v>
      </c>
      <c r="K2222" s="1943"/>
      <c r="L2222" s="1921"/>
      <c r="M2222" s="1943"/>
      <c r="N2222" s="1921"/>
      <c r="O2222" s="1943"/>
      <c r="P2222" s="1921"/>
      <c r="Q2222" s="1943"/>
      <c r="R2222" s="1921"/>
      <c r="S2222" s="1648"/>
      <c r="T2222" s="1648"/>
      <c r="U2222" s="1648"/>
      <c r="V2222" s="1648"/>
      <c r="W2222" s="1648"/>
      <c r="X2222" s="1648"/>
      <c r="Y2222" s="1644"/>
      <c r="AI2222" s="2023">
        <f>W2222-'Blocking-Step2'!W2222</f>
        <v>0</v>
      </c>
      <c r="AJ2222" s="2054">
        <f>O2222-'Blocking-Step2'!O2222</f>
        <v>0</v>
      </c>
    </row>
    <row r="2223" spans="1:36" hidden="1">
      <c r="A2223" s="1900" t="s">
        <v>159</v>
      </c>
      <c r="C2223" s="528">
        <f>'23'!R32+TempRev!W351</f>
        <v>389912.76904018741</v>
      </c>
      <c r="D2223" s="528">
        <f>ROUND(C2223/(C2222+C2223)*Energy!R51,0)</f>
        <v>477885</v>
      </c>
      <c r="F2223" s="1943">
        <v>6.0567000000000002</v>
      </c>
      <c r="G2223" s="1921" t="s">
        <v>495</v>
      </c>
      <c r="H2223" s="1644">
        <f t="shared" si="1307"/>
        <v>23616</v>
      </c>
      <c r="I2223" s="1644">
        <f t="shared" si="1307"/>
        <v>28944</v>
      </c>
      <c r="K2223" s="1943"/>
      <c r="L2223" s="1921"/>
      <c r="M2223" s="1943"/>
      <c r="N2223" s="1921"/>
      <c r="O2223" s="1943"/>
      <c r="P2223" s="1921"/>
      <c r="Q2223" s="1943"/>
      <c r="R2223" s="1921"/>
      <c r="S2223" s="1648"/>
      <c r="T2223" s="1648"/>
      <c r="U2223" s="1648"/>
      <c r="V2223" s="1648"/>
      <c r="W2223" s="1648"/>
      <c r="X2223" s="1648"/>
      <c r="Y2223" s="1644"/>
      <c r="AI2223" s="2023">
        <f>W2223-'Blocking-Step2'!W2223</f>
        <v>0</v>
      </c>
      <c r="AJ2223" s="2054">
        <f>O2223-'Blocking-Step2'!O2223</f>
        <v>0</v>
      </c>
    </row>
    <row r="2224" spans="1:36" hidden="1">
      <c r="A2224" s="1900" t="s">
        <v>246</v>
      </c>
      <c r="C2224" s="529">
        <f>'Table 2'!J62</f>
        <v>6097</v>
      </c>
      <c r="D2224" s="529">
        <v>0</v>
      </c>
      <c r="H2224" s="1030">
        <f>'Table 3'!F62</f>
        <v>646</v>
      </c>
      <c r="I2224" s="1030">
        <v>0</v>
      </c>
      <c r="Y2224" s="1030">
        <v>0</v>
      </c>
      <c r="AI2224" s="2023">
        <f>W2224-'Blocking-Step2'!W2224</f>
        <v>0</v>
      </c>
      <c r="AJ2224" s="2054">
        <f>O2224-'Blocking-Step2'!O2224</f>
        <v>0</v>
      </c>
    </row>
    <row r="2225" spans="1:36" hidden="1">
      <c r="A2225" s="1900" t="s">
        <v>1240</v>
      </c>
      <c r="C2225" s="584"/>
      <c r="D2225" s="584"/>
      <c r="F2225" s="1930">
        <v>-3.3099999999999997E-2</v>
      </c>
      <c r="G2225" s="597"/>
      <c r="H2225" s="1644">
        <f>SUM(H2217:H2218,H2220:H2223)*$F2225</f>
        <v>-3568.3454999999999</v>
      </c>
      <c r="I2225" s="1644">
        <f>SUM(I2217:I2218,I2220:I2223)*$F2225</f>
        <v>-3772.0759999999996</v>
      </c>
      <c r="K2225" s="1930"/>
      <c r="L2225" s="597"/>
      <c r="M2225" s="1930"/>
      <c r="N2225" s="597"/>
      <c r="O2225" s="1931" t="str">
        <f>$O$43</f>
        <v>Tax Year 1 (1/1/2021)</v>
      </c>
      <c r="P2225" s="597"/>
      <c r="Q2225" s="1930">
        <f>$AC$1988</f>
        <v>-1.3899999999999999E-2</v>
      </c>
      <c r="R2225" s="597"/>
      <c r="S2225" s="1645"/>
      <c r="T2225" s="1645"/>
      <c r="U2225" s="1645"/>
      <c r="V2225" s="1645"/>
      <c r="W2225" s="1645"/>
      <c r="X2225" s="1645"/>
      <c r="Y2225" s="1644">
        <f>Q2225*SUM(Y2211:Y2216)</f>
        <v>-1530.3899999999999</v>
      </c>
      <c r="AI2225" s="2023">
        <f>W2225-'Blocking-Step2'!W2225</f>
        <v>0</v>
      </c>
      <c r="AJ2225" s="2054">
        <f>O2225-'Blocking-Step2'!O2225</f>
        <v>0</v>
      </c>
    </row>
    <row r="2226" spans="1:36" hidden="1">
      <c r="A2226" s="1900"/>
      <c r="C2226" s="584"/>
      <c r="D2226" s="584"/>
      <c r="F2226" s="1930"/>
      <c r="G2226" s="597"/>
      <c r="H2226" s="1644"/>
      <c r="I2226" s="1644"/>
      <c r="K2226" s="1930"/>
      <c r="L2226" s="597"/>
      <c r="M2226" s="1930"/>
      <c r="N2226" s="597"/>
      <c r="O2226" s="1931">
        <f>$O$44</f>
        <v>0</v>
      </c>
      <c r="P2226" s="597"/>
      <c r="Q2226" s="1930">
        <f>$AC$1989</f>
        <v>0</v>
      </c>
      <c r="R2226" s="597"/>
      <c r="S2226" s="1645"/>
      <c r="T2226" s="1645"/>
      <c r="U2226" s="1645"/>
      <c r="V2226" s="1645"/>
      <c r="W2226" s="1645"/>
      <c r="X2226" s="1645"/>
      <c r="Y2226" s="1644">
        <f>Q2226*SUM(Y2211:Y2216)</f>
        <v>0</v>
      </c>
      <c r="AI2226" s="2023">
        <f>W2226-'Blocking-Step2'!W2226</f>
        <v>0</v>
      </c>
      <c r="AJ2226" s="2054">
        <f>O2226-'Blocking-Step2'!O2226</f>
        <v>0</v>
      </c>
    </row>
    <row r="2227" spans="1:36" ht="16.5" hidden="1" thickBot="1">
      <c r="A2227" s="1900" t="s">
        <v>247</v>
      </c>
      <c r="C2227" s="1949">
        <f>SUM(C2220:C2223,C2224)</f>
        <v>1155932.9025595819</v>
      </c>
      <c r="D2227" s="1949">
        <f>Energy!P51</f>
        <v>1226601.7809244886</v>
      </c>
      <c r="F2227" s="1939"/>
      <c r="H2227" s="1647">
        <f>SUM(H2207:H2225)</f>
        <v>110064.6545</v>
      </c>
      <c r="I2227" s="1647">
        <f>SUM(I2207:I2225)</f>
        <v>122943.924</v>
      </c>
      <c r="K2227" s="1939"/>
      <c r="M2227" s="1939"/>
      <c r="O2227" s="1939"/>
      <c r="P2227" s="597"/>
      <c r="Q2227" s="1939"/>
      <c r="R2227" s="597"/>
      <c r="S2227" s="1646">
        <f>SUM(S2207:S2224)</f>
        <v>60238</v>
      </c>
      <c r="T2227" s="1645"/>
      <c r="U2227" s="1646">
        <f>SUM(U2207:U2224)</f>
        <v>35982</v>
      </c>
      <c r="V2227" s="1645"/>
      <c r="W2227" s="1646">
        <f>SUM(W2207:W2224)</f>
        <v>26637</v>
      </c>
      <c r="X2227" s="1645"/>
      <c r="Y2227" s="1646">
        <f>SUM(Y2207:Y2224)</f>
        <v>122856</v>
      </c>
      <c r="AA2227" s="1104" t="s">
        <v>1743</v>
      </c>
      <c r="AB2227" s="1890">
        <f>Y2227/I2227-1</f>
        <v>-7.1515530934251892E-4</v>
      </c>
      <c r="AI2227" s="2023">
        <f>W2227-'Blocking-Step2'!W2227</f>
        <v>0</v>
      </c>
      <c r="AJ2227" s="2054">
        <f>O2227-'Blocking-Step2'!O2227</f>
        <v>0</v>
      </c>
    </row>
    <row r="2228" spans="1:36" ht="16.5" thickTop="1">
      <c r="C2228" s="528"/>
      <c r="D2228" s="528"/>
      <c r="O2228" s="596"/>
      <c r="Q2228" s="596"/>
      <c r="Y2228" s="1645"/>
      <c r="AI2228" s="2023">
        <f>W2228-'Blocking-Step2'!W2228</f>
        <v>0</v>
      </c>
      <c r="AJ2228" s="2054">
        <f>O2228-'Blocking-Step2'!O2228</f>
        <v>0</v>
      </c>
    </row>
    <row r="2229" spans="1:36">
      <c r="A2229" s="1897" t="s">
        <v>937</v>
      </c>
      <c r="C2229" s="528"/>
      <c r="D2229" s="528"/>
      <c r="F2229" s="1943"/>
      <c r="G2229" s="1957"/>
      <c r="K2229" s="1943"/>
      <c r="L2229" s="1957"/>
      <c r="M2229" s="1943"/>
      <c r="N2229" s="1957"/>
      <c r="O2229" s="1943"/>
      <c r="P2229" s="1957"/>
      <c r="Q2229" s="1943"/>
      <c r="R2229" s="1957"/>
      <c r="S2229" s="1645"/>
      <c r="T2229" s="1645"/>
      <c r="U2229" s="1645"/>
      <c r="V2229" s="1645"/>
      <c r="W2229" s="1645"/>
      <c r="X2229" s="1645"/>
      <c r="AI2229" s="2023">
        <f>W2229-'Blocking-Step2'!W2229</f>
        <v>0</v>
      </c>
      <c r="AJ2229" s="2054">
        <f>O2229-'Blocking-Step2'!O2229</f>
        <v>0</v>
      </c>
    </row>
    <row r="2230" spans="1:36">
      <c r="A2230" s="1987" t="s">
        <v>181</v>
      </c>
      <c r="C2230" s="528"/>
      <c r="D2230" s="528"/>
      <c r="AA2230" s="1104" t="s">
        <v>1755</v>
      </c>
      <c r="AB2230" s="1024"/>
      <c r="AI2230" s="2023">
        <f>W2230-'Blocking-Step2'!W2230</f>
        <v>0</v>
      </c>
      <c r="AJ2230" s="2054">
        <f>O2230-'Blocking-Step2'!O2230</f>
        <v>0</v>
      </c>
    </row>
    <row r="2231" spans="1:36">
      <c r="A2231" s="1900" t="s">
        <v>312</v>
      </c>
      <c r="B2231" s="1900"/>
      <c r="C2231" s="528">
        <f>C2335+C2439</f>
        <v>0</v>
      </c>
      <c r="D2231" s="528">
        <f>D2335+D2439</f>
        <v>0</v>
      </c>
      <c r="F2231" s="2000">
        <v>133</v>
      </c>
      <c r="G2231" s="1902"/>
      <c r="H2231" s="1644">
        <f>ROUND($F2231*C2231,0)</f>
        <v>0</v>
      </c>
      <c r="I2231" s="1644">
        <f>ROUND($F2231*D2231,0)</f>
        <v>0</v>
      </c>
      <c r="K2231" s="2000">
        <f>ROUND($Q2231*K1377/$Q1377,2)</f>
        <v>136</v>
      </c>
      <c r="L2231" s="1902"/>
      <c r="M2231" s="2000">
        <f>ROUND($Q2231*M1377/$Q1377,2)</f>
        <v>0</v>
      </c>
      <c r="N2231" s="1902"/>
      <c r="O2231" s="2000">
        <f>Q2231-K2231-M2231</f>
        <v>0</v>
      </c>
      <c r="P2231" s="1902"/>
      <c r="Q2231" s="2000">
        <f>ROUND(F2231*(1+$AB$1483),0)</f>
        <v>136</v>
      </c>
      <c r="R2231" s="1902"/>
      <c r="S2231" s="1644">
        <f>ROUND($D2231*K2231,0)</f>
        <v>0</v>
      </c>
      <c r="T2231" s="1643"/>
      <c r="U2231" s="1644">
        <f>ROUND($D2231*M2231,0)</f>
        <v>0</v>
      </c>
      <c r="V2231" s="1643"/>
      <c r="W2231" s="1644">
        <f>ROUND($D2231*O2231,0)</f>
        <v>0</v>
      </c>
      <c r="X2231" s="1643"/>
      <c r="Y2231" s="1644">
        <f>ROUND($D2231*Q2231,0)</f>
        <v>0</v>
      </c>
      <c r="AA2231" s="1903" t="s">
        <v>1741</v>
      </c>
      <c r="AB2231" s="1904">
        <f>Y2331</f>
        <v>12559918</v>
      </c>
      <c r="AI2231" s="2023">
        <f>W2231-'Blocking-Step2'!W2231</f>
        <v>0</v>
      </c>
      <c r="AJ2231" s="2054">
        <f>O2231-'Blocking-Step2'!O2231</f>
        <v>0</v>
      </c>
    </row>
    <row r="2232" spans="1:36">
      <c r="A2232" s="1900" t="s">
        <v>313</v>
      </c>
      <c r="B2232" s="1900"/>
      <c r="C2232" s="528">
        <f>C2336+C2440</f>
        <v>0</v>
      </c>
      <c r="D2232" s="528">
        <f>D2336+D2440</f>
        <v>0</v>
      </c>
      <c r="F2232" s="2000">
        <v>5.6</v>
      </c>
      <c r="G2232" s="1902"/>
      <c r="H2232" s="1644">
        <f>ROUND($F2232*C2232,0)</f>
        <v>0</v>
      </c>
      <c r="I2232" s="1644">
        <f>ROUND($F2232*D2232,0)</f>
        <v>0</v>
      </c>
      <c r="K2232" s="2000">
        <f>ROUND($Q2232*K1378/$Q1378,2)</f>
        <v>5.74</v>
      </c>
      <c r="L2232" s="1902"/>
      <c r="M2232" s="2000">
        <f>ROUND($Q2232*M1378/$Q1378,2)</f>
        <v>0</v>
      </c>
      <c r="N2232" s="1902"/>
      <c r="O2232" s="2000">
        <f>Q2232-K2232-M2232</f>
        <v>0</v>
      </c>
      <c r="P2232" s="1902"/>
      <c r="Q2232" s="2000">
        <f>ROUND(F2232*(1+$AB$1483),2)</f>
        <v>5.74</v>
      </c>
      <c r="R2232" s="1902"/>
      <c r="S2232" s="1644">
        <f>ROUND($D2232*K2232,0)</f>
        <v>0</v>
      </c>
      <c r="T2232" s="1643"/>
      <c r="U2232" s="1644">
        <f>ROUND($D2232*M2232,0)</f>
        <v>0</v>
      </c>
      <c r="V2232" s="1643"/>
      <c r="W2232" s="1644">
        <f>ROUND($D2232*O2232,0)</f>
        <v>0</v>
      </c>
      <c r="X2232" s="1643"/>
      <c r="Y2232" s="1644">
        <f>ROUND($D2232*Q2232,0)</f>
        <v>0</v>
      </c>
      <c r="AA2232" s="1905" t="s">
        <v>1742</v>
      </c>
      <c r="AB2232" s="1906">
        <f>'Blocking-Step2'!AB2232*RateSpread!$Q$87</f>
        <v>12677900.819492685</v>
      </c>
      <c r="AI2232" s="2023">
        <f>W2232-'Blocking-Step2'!W2232</f>
        <v>0</v>
      </c>
      <c r="AJ2232" s="2054">
        <f>O2232-'Blocking-Step2'!O2232</f>
        <v>0</v>
      </c>
    </row>
    <row r="2233" spans="1:36">
      <c r="A2233" s="1900" t="s">
        <v>314</v>
      </c>
      <c r="B2233" s="1900"/>
      <c r="C2233" s="528"/>
      <c r="D2233" s="528"/>
      <c r="F2233" s="2001"/>
      <c r="G2233" s="597"/>
      <c r="H2233" s="1644"/>
      <c r="I2233" s="1644"/>
      <c r="K2233" s="2001"/>
      <c r="L2233" s="597"/>
      <c r="M2233" s="2001"/>
      <c r="N2233" s="597"/>
      <c r="O2233" s="2001"/>
      <c r="P2233" s="597"/>
      <c r="Q2233" s="2001"/>
      <c r="R2233" s="597"/>
      <c r="S2233" s="1644"/>
      <c r="T2233" s="1645"/>
      <c r="U2233" s="1644"/>
      <c r="V2233" s="1645"/>
      <c r="W2233" s="1644"/>
      <c r="X2233" s="1645"/>
      <c r="Y2233" s="1644"/>
      <c r="AA2233" s="1908" t="s">
        <v>87</v>
      </c>
      <c r="AB2233" s="1909">
        <f>AB2232-AB2231</f>
        <v>117982.81949268468</v>
      </c>
      <c r="AI2233" s="2023">
        <f>W2233-'Blocking-Step2'!W2233</f>
        <v>0</v>
      </c>
      <c r="AJ2233" s="2054">
        <f>O2233-'Blocking-Step2'!O2233</f>
        <v>0</v>
      </c>
    </row>
    <row r="2234" spans="1:36">
      <c r="A2234" s="1900" t="s">
        <v>315</v>
      </c>
      <c r="B2234" s="1900"/>
      <c r="C2234" s="528"/>
      <c r="D2234" s="528"/>
      <c r="F2234" s="2000"/>
      <c r="G2234" s="1991"/>
      <c r="H2234" s="1644"/>
      <c r="I2234" s="1644"/>
      <c r="K2234" s="2000"/>
      <c r="L2234" s="1991"/>
      <c r="M2234" s="2000"/>
      <c r="N2234" s="1991"/>
      <c r="O2234" s="2000"/>
      <c r="P2234" s="1991"/>
      <c r="Q2234" s="2000"/>
      <c r="R2234" s="1991"/>
      <c r="S2234" s="1644"/>
      <c r="T2234" s="1643"/>
      <c r="U2234" s="1644"/>
      <c r="V2234" s="1643"/>
      <c r="W2234" s="1644"/>
      <c r="X2234" s="1643"/>
      <c r="Y2234" s="1644"/>
      <c r="AA2234" s="1903" t="s">
        <v>1743</v>
      </c>
      <c r="AB2234" s="1958">
        <f>AB2231/I2331-1</f>
        <v>1.4924032311934399E-2</v>
      </c>
      <c r="AI2234" s="2023">
        <f>W2234-'Blocking-Step2'!W2234</f>
        <v>0</v>
      </c>
      <c r="AJ2234" s="2054">
        <f>O2234-'Blocking-Step2'!O2234</f>
        <v>0</v>
      </c>
    </row>
    <row r="2235" spans="1:36">
      <c r="A2235" s="1900" t="s">
        <v>1668</v>
      </c>
      <c r="B2235" s="1900"/>
      <c r="C2235" s="528">
        <f t="shared" ref="C2235:D2236" si="1308">C2339+C2443</f>
        <v>0</v>
      </c>
      <c r="D2235" s="528">
        <f t="shared" si="1308"/>
        <v>0</v>
      </c>
      <c r="F2235" s="2000"/>
      <c r="G2235" s="1991"/>
      <c r="H2235" s="1644"/>
      <c r="I2235" s="1644"/>
      <c r="K2235" s="2000">
        <f>ROUND($Q2235*K1379/$Q1379,2)</f>
        <v>0.41</v>
      </c>
      <c r="L2235" s="1991"/>
      <c r="M2235" s="2000">
        <f>Q2235-K2235-O2235</f>
        <v>0.49000000000000005</v>
      </c>
      <c r="N2235" s="1991"/>
      <c r="O2235" s="2000">
        <v>0</v>
      </c>
      <c r="P2235" s="1991"/>
      <c r="Q2235" s="2000">
        <f>ROUND(F2244*(1+$AB$1483),2)</f>
        <v>0.9</v>
      </c>
      <c r="R2235" s="1991"/>
      <c r="S2235" s="1644">
        <f t="shared" ref="S2235:Y2236" si="1309">ROUND($D2235*K2235,0)</f>
        <v>0</v>
      </c>
      <c r="T2235" s="1643"/>
      <c r="U2235" s="1644">
        <f t="shared" si="1309"/>
        <v>0</v>
      </c>
      <c r="V2235" s="1643"/>
      <c r="W2235" s="1644">
        <f t="shared" si="1309"/>
        <v>0</v>
      </c>
      <c r="X2235" s="1643"/>
      <c r="Y2235" s="1644">
        <f t="shared" si="1309"/>
        <v>0</v>
      </c>
      <c r="AA2235" s="1905" t="s">
        <v>1744</v>
      </c>
      <c r="AB2235" s="1953">
        <f>AB2232/I2331-1</f>
        <v>2.4457820582132417E-2</v>
      </c>
      <c r="AI2235" s="2023">
        <f>W2235-'Blocking-Step2'!W2235</f>
        <v>0</v>
      </c>
      <c r="AJ2235" s="2054">
        <f>O2235-'Blocking-Step2'!O2235</f>
        <v>0</v>
      </c>
    </row>
    <row r="2236" spans="1:36">
      <c r="A2236" s="1900" t="s">
        <v>1669</v>
      </c>
      <c r="B2236" s="1900"/>
      <c r="C2236" s="528">
        <f t="shared" si="1308"/>
        <v>0</v>
      </c>
      <c r="D2236" s="528">
        <f t="shared" si="1308"/>
        <v>0</v>
      </c>
      <c r="F2236" s="2000"/>
      <c r="G2236" s="1991"/>
      <c r="H2236" s="1644"/>
      <c r="I2236" s="1644"/>
      <c r="K2236" s="2000">
        <f>ROUND($Q2236*K1380/$Q1380,2)</f>
        <v>0.36</v>
      </c>
      <c r="L2236" s="1991"/>
      <c r="M2236" s="2000">
        <f>Q2236-K2236-O2236</f>
        <v>0.44000000000000006</v>
      </c>
      <c r="N2236" s="1991"/>
      <c r="O2236" s="2000">
        <v>0</v>
      </c>
      <c r="P2236" s="1991"/>
      <c r="Q2236" s="2000">
        <f>ROUND(Q2235/$AB$1489,2)</f>
        <v>0.8</v>
      </c>
      <c r="R2236" s="1991"/>
      <c r="S2236" s="1644">
        <f t="shared" si="1309"/>
        <v>0</v>
      </c>
      <c r="T2236" s="1643"/>
      <c r="U2236" s="1644">
        <f t="shared" si="1309"/>
        <v>0</v>
      </c>
      <c r="V2236" s="1643"/>
      <c r="W2236" s="1644">
        <f t="shared" si="1309"/>
        <v>0</v>
      </c>
      <c r="X2236" s="1643"/>
      <c r="Y2236" s="1644">
        <f t="shared" si="1309"/>
        <v>0</v>
      </c>
      <c r="AA2236" s="1915"/>
      <c r="AB2236" s="1954"/>
      <c r="AI2236" s="2023">
        <f>W2236-'Blocking-Step2'!W2236</f>
        <v>0</v>
      </c>
      <c r="AJ2236" s="2054">
        <f>O2236-'Blocking-Step2'!O2236</f>
        <v>0</v>
      </c>
    </row>
    <row r="2237" spans="1:36">
      <c r="A2237" s="1900" t="s">
        <v>316</v>
      </c>
      <c r="B2237" s="1900"/>
      <c r="C2237" s="528"/>
      <c r="D2237" s="528"/>
      <c r="F2237" s="2001"/>
      <c r="G2237" s="1992"/>
      <c r="H2237" s="1644"/>
      <c r="I2237" s="1644"/>
      <c r="K2237" s="2001"/>
      <c r="L2237" s="1992"/>
      <c r="M2237" s="2001"/>
      <c r="N2237" s="1992"/>
      <c r="O2237" s="2001"/>
      <c r="P2237" s="1992"/>
      <c r="Q2237" s="2001"/>
      <c r="R2237" s="1992"/>
      <c r="S2237" s="1644"/>
      <c r="T2237" s="1645"/>
      <c r="U2237" s="1644"/>
      <c r="V2237" s="1645"/>
      <c r="W2237" s="1644"/>
      <c r="X2237" s="1645"/>
      <c r="Y2237" s="1644"/>
      <c r="AI2237" s="2023">
        <f>W2237-'Blocking-Step2'!W2237</f>
        <v>0</v>
      </c>
      <c r="AJ2237" s="2054">
        <f>O2237-'Blocking-Step2'!O2237</f>
        <v>0</v>
      </c>
    </row>
    <row r="2238" spans="1:36">
      <c r="A2238" s="1900" t="s">
        <v>1668</v>
      </c>
      <c r="B2238" s="1900"/>
      <c r="C2238" s="528">
        <f t="shared" ref="C2238:D2239" si="1310">C2342+C2446</f>
        <v>0</v>
      </c>
      <c r="D2238" s="528">
        <f t="shared" si="1310"/>
        <v>0</v>
      </c>
      <c r="F2238" s="2001"/>
      <c r="G2238" s="1992"/>
      <c r="H2238" s="1644"/>
      <c r="I2238" s="1644"/>
      <c r="K2238" s="2001">
        <f>ROUND($Q2238*K2235/$Q2235,2)</f>
        <v>0.21</v>
      </c>
      <c r="L2238" s="1992"/>
      <c r="M2238" s="2000">
        <f t="shared" ref="M2238:M2239" si="1311">Q2238-K2238-O2238</f>
        <v>0.24000000000000002</v>
      </c>
      <c r="N2238" s="1991"/>
      <c r="O2238" s="2000">
        <v>0</v>
      </c>
      <c r="P2238" s="1992"/>
      <c r="Q2238" s="2000">
        <f>ROUND(F2247*(1+$AB$1483),2)</f>
        <v>0.45</v>
      </c>
      <c r="R2238" s="1992"/>
      <c r="S2238" s="1644">
        <f t="shared" ref="S2238:Y2239" si="1312">ROUND($D2238*K2238,0)</f>
        <v>0</v>
      </c>
      <c r="T2238" s="1645"/>
      <c r="U2238" s="1644">
        <f t="shared" si="1312"/>
        <v>0</v>
      </c>
      <c r="V2238" s="1645"/>
      <c r="W2238" s="1644">
        <f t="shared" si="1312"/>
        <v>0</v>
      </c>
      <c r="X2238" s="1645"/>
      <c r="Y2238" s="1644">
        <f t="shared" si="1312"/>
        <v>0</v>
      </c>
      <c r="AI2238" s="2023">
        <f>W2238-'Blocking-Step2'!W2238</f>
        <v>0</v>
      </c>
      <c r="AJ2238" s="2054">
        <f>O2238-'Blocking-Step2'!O2238</f>
        <v>0</v>
      </c>
    </row>
    <row r="2239" spans="1:36">
      <c r="A2239" s="1900" t="s">
        <v>1669</v>
      </c>
      <c r="B2239" s="1900"/>
      <c r="C2239" s="528">
        <f t="shared" si="1310"/>
        <v>0</v>
      </c>
      <c r="D2239" s="528">
        <f t="shared" si="1310"/>
        <v>0</v>
      </c>
      <c r="F2239" s="2001"/>
      <c r="G2239" s="1992"/>
      <c r="H2239" s="1644"/>
      <c r="I2239" s="1644"/>
      <c r="K2239" s="2001">
        <f>ROUND($Q2239*K2236/$Q2236,2)</f>
        <v>0.18</v>
      </c>
      <c r="L2239" s="1992"/>
      <c r="M2239" s="2000">
        <f t="shared" si="1311"/>
        <v>0.22000000000000003</v>
      </c>
      <c r="N2239" s="1991"/>
      <c r="O2239" s="2000">
        <v>0</v>
      </c>
      <c r="P2239" s="1992"/>
      <c r="Q2239" s="2000">
        <f>ROUND(Q2238/$AB$1489,2)</f>
        <v>0.4</v>
      </c>
      <c r="R2239" s="1992"/>
      <c r="S2239" s="1644">
        <f t="shared" si="1312"/>
        <v>0</v>
      </c>
      <c r="T2239" s="1645"/>
      <c r="U2239" s="1644">
        <f t="shared" si="1312"/>
        <v>0</v>
      </c>
      <c r="V2239" s="1645"/>
      <c r="W2239" s="1644">
        <f t="shared" si="1312"/>
        <v>0</v>
      </c>
      <c r="X2239" s="1645"/>
      <c r="Y2239" s="1644">
        <f t="shared" si="1312"/>
        <v>0</v>
      </c>
      <c r="AI2239" s="2023">
        <f>W2239-'Blocking-Step2'!W2239</f>
        <v>0</v>
      </c>
      <c r="AJ2239" s="2054">
        <f>O2239-'Blocking-Step2'!O2239</f>
        <v>0</v>
      </c>
    </row>
    <row r="2240" spans="1:36">
      <c r="A2240" s="1900" t="s">
        <v>317</v>
      </c>
      <c r="B2240" s="1900"/>
      <c r="C2240" s="528"/>
      <c r="D2240" s="528"/>
      <c r="F2240" s="2000"/>
      <c r="G2240" s="1902"/>
      <c r="H2240" s="1644"/>
      <c r="I2240" s="1644"/>
      <c r="K2240" s="2000"/>
      <c r="L2240" s="1902"/>
      <c r="M2240" s="2000"/>
      <c r="N2240" s="1902"/>
      <c r="O2240" s="2000"/>
      <c r="P2240" s="1902"/>
      <c r="Q2240" s="2000"/>
      <c r="R2240" s="1902"/>
      <c r="S2240" s="1644"/>
      <c r="T2240" s="1643"/>
      <c r="U2240" s="1644"/>
      <c r="V2240" s="1643"/>
      <c r="W2240" s="1644"/>
      <c r="X2240" s="1643"/>
      <c r="Y2240" s="1644"/>
      <c r="AI2240" s="2023">
        <f>W2240-'Blocking-Step2'!W2240</f>
        <v>0</v>
      </c>
      <c r="AJ2240" s="2054">
        <f>O2240-'Blocking-Step2'!O2240</f>
        <v>0</v>
      </c>
    </row>
    <row r="2241" spans="1:36">
      <c r="A2241" s="1900" t="s">
        <v>1668</v>
      </c>
      <c r="B2241" s="1900"/>
      <c r="C2241" s="528">
        <f t="shared" ref="C2241:D2242" si="1313">C2345+C2449</f>
        <v>0</v>
      </c>
      <c r="D2241" s="528">
        <f t="shared" si="1313"/>
        <v>0</v>
      </c>
      <c r="F2241" s="2000"/>
      <c r="G2241" s="1902"/>
      <c r="H2241" s="1644"/>
      <c r="I2241" s="1644"/>
      <c r="K2241" s="2001">
        <f>ROUND($Q2241*K2235/$Q2235,2)</f>
        <v>19.05</v>
      </c>
      <c r="L2241" s="1992"/>
      <c r="M2241" s="2000">
        <f t="shared" ref="M2241:M2242" si="1314">Q2241-K2241-O2241</f>
        <v>22.76</v>
      </c>
      <c r="N2241" s="1991"/>
      <c r="O2241" s="2000">
        <v>0</v>
      </c>
      <c r="P2241" s="1902"/>
      <c r="Q2241" s="2000">
        <f>ROUND(F2250*(1+$AB$1483),2)</f>
        <v>41.81</v>
      </c>
      <c r="R2241" s="1902"/>
      <c r="S2241" s="1644">
        <f t="shared" ref="S2241:Y2242" si="1315">ROUND($D2241*K2241,0)</f>
        <v>0</v>
      </c>
      <c r="T2241" s="1643"/>
      <c r="U2241" s="1644">
        <f t="shared" si="1315"/>
        <v>0</v>
      </c>
      <c r="V2241" s="1643"/>
      <c r="W2241" s="1644">
        <f t="shared" si="1315"/>
        <v>0</v>
      </c>
      <c r="X2241" s="1643"/>
      <c r="Y2241" s="1644">
        <f t="shared" si="1315"/>
        <v>0</v>
      </c>
      <c r="AI2241" s="2023">
        <f>W2241-'Blocking-Step2'!W2241</f>
        <v>0</v>
      </c>
      <c r="AJ2241" s="2054">
        <f>O2241-'Blocking-Step2'!O2241</f>
        <v>0</v>
      </c>
    </row>
    <row r="2242" spans="1:36">
      <c r="A2242" s="1900" t="s">
        <v>1669</v>
      </c>
      <c r="B2242" s="1900"/>
      <c r="C2242" s="528">
        <f t="shared" si="1313"/>
        <v>0</v>
      </c>
      <c r="D2242" s="528">
        <f t="shared" si="1313"/>
        <v>0</v>
      </c>
      <c r="F2242" s="2000"/>
      <c r="G2242" s="1902"/>
      <c r="H2242" s="1644"/>
      <c r="I2242" s="1644"/>
      <c r="K2242" s="2001">
        <f>ROUND($Q2242*K2236/$Q2236,2)</f>
        <v>16.649999999999999</v>
      </c>
      <c r="L2242" s="1992"/>
      <c r="M2242" s="2000">
        <f t="shared" si="1314"/>
        <v>20.350000000000001</v>
      </c>
      <c r="N2242" s="1991"/>
      <c r="O2242" s="2000">
        <v>0</v>
      </c>
      <c r="P2242" s="1902"/>
      <c r="Q2242" s="2000">
        <f>ROUND(Q2241/$AB$1489,2)</f>
        <v>37</v>
      </c>
      <c r="R2242" s="1902"/>
      <c r="S2242" s="1644">
        <f t="shared" si="1315"/>
        <v>0</v>
      </c>
      <c r="T2242" s="1643"/>
      <c r="U2242" s="1644">
        <f t="shared" si="1315"/>
        <v>0</v>
      </c>
      <c r="V2242" s="1643"/>
      <c r="W2242" s="1644">
        <f t="shared" si="1315"/>
        <v>0</v>
      </c>
      <c r="X2242" s="1643"/>
      <c r="Y2242" s="1644">
        <f t="shared" si="1315"/>
        <v>0</v>
      </c>
      <c r="AI2242" s="2023">
        <f>W2242-'Blocking-Step2'!W2242</f>
        <v>0</v>
      </c>
      <c r="AJ2242" s="2054">
        <f>O2242-'Blocking-Step2'!O2242</f>
        <v>0</v>
      </c>
    </row>
    <row r="2243" spans="1:36">
      <c r="A2243" s="1900" t="s">
        <v>315</v>
      </c>
      <c r="B2243" s="1900"/>
      <c r="C2243" s="528"/>
      <c r="D2243" s="528"/>
      <c r="F2243" s="2000"/>
      <c r="G2243" s="1991"/>
      <c r="H2243" s="1644"/>
      <c r="I2243" s="1644"/>
      <c r="K2243" s="2000"/>
      <c r="L2243" s="1991"/>
      <c r="M2243" s="2000"/>
      <c r="N2243" s="1991"/>
      <c r="O2243" s="2000"/>
      <c r="P2243" s="1991"/>
      <c r="Q2243" s="2000"/>
      <c r="R2243" s="1991"/>
      <c r="S2243" s="1644"/>
      <c r="T2243" s="1643"/>
      <c r="U2243" s="1644"/>
      <c r="V2243" s="1643"/>
      <c r="W2243" s="1644"/>
      <c r="X2243" s="1643"/>
      <c r="Y2243" s="1644"/>
      <c r="AI2243" s="2023">
        <f>W2243-'Blocking-Step2'!W2243</f>
        <v>0</v>
      </c>
      <c r="AJ2243" s="2054">
        <f>O2243-'Blocking-Step2'!O2243</f>
        <v>0</v>
      </c>
    </row>
    <row r="2244" spans="1:36">
      <c r="A2244" s="1900" t="s">
        <v>944</v>
      </c>
      <c r="B2244" s="1900"/>
      <c r="C2244" s="528">
        <f>C2348+C2452</f>
        <v>0</v>
      </c>
      <c r="D2244" s="528">
        <f>D2348+D2452</f>
        <v>0</v>
      </c>
      <c r="F2244" s="2000">
        <v>0.88</v>
      </c>
      <c r="G2244" s="1991"/>
      <c r="H2244" s="1644">
        <f>ROUND($F2244*C2244,0)</f>
        <v>0</v>
      </c>
      <c r="I2244" s="1644">
        <f>ROUND($F2244*D2244,0)</f>
        <v>0</v>
      </c>
      <c r="K2244" s="2000"/>
      <c r="L2244" s="1991"/>
      <c r="M2244" s="2000"/>
      <c r="N2244" s="1991"/>
      <c r="O2244" s="2000"/>
      <c r="P2244" s="1991"/>
      <c r="Q2244" s="2000"/>
      <c r="R2244" s="1991"/>
      <c r="S2244" s="1644"/>
      <c r="T2244" s="1643"/>
      <c r="U2244" s="1644"/>
      <c r="V2244" s="1643"/>
      <c r="W2244" s="1644"/>
      <c r="X2244" s="1643"/>
      <c r="Y2244" s="1644"/>
      <c r="AI2244" s="2023">
        <f>W2244-'Blocking-Step2'!W2244</f>
        <v>0</v>
      </c>
      <c r="AJ2244" s="2054">
        <f>O2244-'Blocking-Step2'!O2244</f>
        <v>0</v>
      </c>
    </row>
    <row r="2245" spans="1:36">
      <c r="A2245" s="1900" t="s">
        <v>945</v>
      </c>
      <c r="B2245" s="1900"/>
      <c r="C2245" s="528">
        <f>C2349+C2453</f>
        <v>0</v>
      </c>
      <c r="D2245" s="528">
        <f>D2349+D2453</f>
        <v>0</v>
      </c>
      <c r="F2245" s="2000">
        <v>0.62</v>
      </c>
      <c r="G2245" s="1991"/>
      <c r="H2245" s="1644">
        <f>ROUND($F2245*C2245,0)</f>
        <v>0</v>
      </c>
      <c r="I2245" s="1644">
        <f>ROUND($F2245*D2245,0)</f>
        <v>0</v>
      </c>
      <c r="K2245" s="2000"/>
      <c r="L2245" s="1991"/>
      <c r="M2245" s="2000"/>
      <c r="N2245" s="1991"/>
      <c r="O2245" s="2000"/>
      <c r="P2245" s="1991"/>
      <c r="Q2245" s="2000"/>
      <c r="R2245" s="1991"/>
      <c r="S2245" s="1644"/>
      <c r="T2245" s="1643"/>
      <c r="U2245" s="1644"/>
      <c r="V2245" s="1643"/>
      <c r="W2245" s="1644"/>
      <c r="X2245" s="1643"/>
      <c r="Y2245" s="1644"/>
      <c r="AI2245" s="2023">
        <f>W2245-'Blocking-Step2'!W2245</f>
        <v>0</v>
      </c>
      <c r="AJ2245" s="2054">
        <f>O2245-'Blocking-Step2'!O2245</f>
        <v>0</v>
      </c>
    </row>
    <row r="2246" spans="1:36">
      <c r="A2246" s="1900" t="s">
        <v>316</v>
      </c>
      <c r="B2246" s="1900"/>
      <c r="C2246" s="528"/>
      <c r="D2246" s="528"/>
      <c r="F2246" s="2001"/>
      <c r="G2246" s="1992"/>
      <c r="H2246" s="1644"/>
      <c r="I2246" s="1644"/>
      <c r="K2246" s="2001"/>
      <c r="L2246" s="1992"/>
      <c r="M2246" s="2001"/>
      <c r="N2246" s="1992"/>
      <c r="O2246" s="2001"/>
      <c r="P2246" s="1992"/>
      <c r="Q2246" s="2001"/>
      <c r="R2246" s="1992"/>
      <c r="S2246" s="1644"/>
      <c r="T2246" s="1645"/>
      <c r="U2246" s="1644"/>
      <c r="V2246" s="1645"/>
      <c r="W2246" s="1644"/>
      <c r="X2246" s="1645"/>
      <c r="Y2246" s="1644"/>
      <c r="AI2246" s="2023">
        <f>W2246-'Blocking-Step2'!W2246</f>
        <v>0</v>
      </c>
      <c r="AJ2246" s="2054">
        <f>O2246-'Blocking-Step2'!O2246</f>
        <v>0</v>
      </c>
    </row>
    <row r="2247" spans="1:36">
      <c r="A2247" s="1900" t="s">
        <v>944</v>
      </c>
      <c r="B2247" s="1900"/>
      <c r="C2247" s="528">
        <f>C2351+C2455</f>
        <v>0</v>
      </c>
      <c r="D2247" s="528">
        <f>D2351+D2455</f>
        <v>0</v>
      </c>
      <c r="F2247" s="2001">
        <v>0.44</v>
      </c>
      <c r="G2247" s="1992"/>
      <c r="H2247" s="1644">
        <f>ROUND($F2247*C2247,0)</f>
        <v>0</v>
      </c>
      <c r="I2247" s="1644">
        <f>ROUND($F2247*D2247,0)</f>
        <v>0</v>
      </c>
      <c r="K2247" s="2001"/>
      <c r="L2247" s="1992"/>
      <c r="M2247" s="2001"/>
      <c r="N2247" s="1992"/>
      <c r="O2247" s="2001"/>
      <c r="P2247" s="1992"/>
      <c r="Q2247" s="2001"/>
      <c r="R2247" s="1992"/>
      <c r="S2247" s="1644"/>
      <c r="T2247" s="1645"/>
      <c r="U2247" s="1644"/>
      <c r="V2247" s="1645"/>
      <c r="W2247" s="1644"/>
      <c r="X2247" s="1645"/>
      <c r="Y2247" s="1644"/>
      <c r="AI2247" s="2023">
        <f>W2247-'Blocking-Step2'!W2247</f>
        <v>0</v>
      </c>
      <c r="AJ2247" s="2054">
        <f>O2247-'Blocking-Step2'!O2247</f>
        <v>0</v>
      </c>
    </row>
    <row r="2248" spans="1:36">
      <c r="A2248" s="1900" t="s">
        <v>945</v>
      </c>
      <c r="B2248" s="1900"/>
      <c r="C2248" s="528">
        <f>C2352+C2456</f>
        <v>0</v>
      </c>
      <c r="D2248" s="528">
        <f>D2352+D2456</f>
        <v>0</v>
      </c>
      <c r="F2248" s="2001">
        <v>0.31</v>
      </c>
      <c r="G2248" s="1992"/>
      <c r="H2248" s="1644">
        <f>ROUND($F2248*C2248,0)</f>
        <v>0</v>
      </c>
      <c r="I2248" s="1644">
        <f>ROUND($F2248*D2248,0)</f>
        <v>0</v>
      </c>
      <c r="K2248" s="2001"/>
      <c r="L2248" s="1992"/>
      <c r="M2248" s="2001"/>
      <c r="N2248" s="1992"/>
      <c r="O2248" s="2001"/>
      <c r="P2248" s="1992"/>
      <c r="Q2248" s="2001"/>
      <c r="R2248" s="1992"/>
      <c r="S2248" s="1644"/>
      <c r="T2248" s="1645"/>
      <c r="U2248" s="1644"/>
      <c r="V2248" s="1645"/>
      <c r="W2248" s="1644"/>
      <c r="X2248" s="1645"/>
      <c r="Y2248" s="1644"/>
      <c r="AI2248" s="2023">
        <f>W2248-'Blocking-Step2'!W2248</f>
        <v>0</v>
      </c>
      <c r="AJ2248" s="2054">
        <f>O2248-'Blocking-Step2'!O2248</f>
        <v>0</v>
      </c>
    </row>
    <row r="2249" spans="1:36">
      <c r="A2249" s="1900" t="s">
        <v>317</v>
      </c>
      <c r="B2249" s="1900"/>
      <c r="C2249" s="528"/>
      <c r="D2249" s="528"/>
      <c r="F2249" s="2000"/>
      <c r="G2249" s="1902"/>
      <c r="H2249" s="1644"/>
      <c r="I2249" s="1644"/>
      <c r="K2249" s="2000"/>
      <c r="L2249" s="1902"/>
      <c r="M2249" s="2000"/>
      <c r="N2249" s="1902"/>
      <c r="O2249" s="2000"/>
      <c r="P2249" s="1902"/>
      <c r="Q2249" s="2000"/>
      <c r="R2249" s="1902"/>
      <c r="S2249" s="1644"/>
      <c r="T2249" s="1643"/>
      <c r="U2249" s="1644"/>
      <c r="V2249" s="1643"/>
      <c r="W2249" s="1644"/>
      <c r="X2249" s="1643"/>
      <c r="Y2249" s="1644"/>
      <c r="AI2249" s="2023">
        <f>W2249-'Blocking-Step2'!W2249</f>
        <v>0</v>
      </c>
      <c r="AJ2249" s="2054">
        <f>O2249-'Blocking-Step2'!O2249</f>
        <v>0</v>
      </c>
    </row>
    <row r="2250" spans="1:36">
      <c r="A2250" s="1900" t="s">
        <v>944</v>
      </c>
      <c r="B2250" s="1900"/>
      <c r="C2250" s="528">
        <f>C2354+C2458</f>
        <v>0</v>
      </c>
      <c r="D2250" s="528">
        <f>D2354+D2458</f>
        <v>0</v>
      </c>
      <c r="F2250" s="2000">
        <v>40.81</v>
      </c>
      <c r="G2250" s="1902"/>
      <c r="H2250" s="1644">
        <f>ROUND($F2250*C2250,0)</f>
        <v>0</v>
      </c>
      <c r="I2250" s="1644">
        <f>ROUND($F2250*D2250,0)</f>
        <v>0</v>
      </c>
      <c r="K2250" s="2000"/>
      <c r="L2250" s="1902"/>
      <c r="M2250" s="2000"/>
      <c r="N2250" s="1902"/>
      <c r="O2250" s="2000"/>
      <c r="P2250" s="1902"/>
      <c r="Q2250" s="2000"/>
      <c r="R2250" s="1902"/>
      <c r="S2250" s="1644"/>
      <c r="T2250" s="1643"/>
      <c r="U2250" s="1644"/>
      <c r="V2250" s="1643"/>
      <c r="W2250" s="1644"/>
      <c r="X2250" s="1643"/>
      <c r="Y2250" s="1644"/>
      <c r="AI2250" s="2023">
        <f>W2250-'Blocking-Step2'!W2250</f>
        <v>0</v>
      </c>
      <c r="AJ2250" s="2054">
        <f>O2250-'Blocking-Step2'!O2250</f>
        <v>0</v>
      </c>
    </row>
    <row r="2251" spans="1:36">
      <c r="A2251" s="1900" t="s">
        <v>945</v>
      </c>
      <c r="B2251" s="1900"/>
      <c r="C2251" s="528">
        <f>C2355+C2459</f>
        <v>0</v>
      </c>
      <c r="D2251" s="528">
        <f>D2355+D2459</f>
        <v>0</v>
      </c>
      <c r="F2251" s="2000">
        <v>32.04</v>
      </c>
      <c r="G2251" s="1902"/>
      <c r="H2251" s="1644">
        <f>ROUND($F2251*C2251,0)</f>
        <v>0</v>
      </c>
      <c r="I2251" s="1644">
        <f>ROUND($F2251*D2251,0)</f>
        <v>0</v>
      </c>
      <c r="K2251" s="2000"/>
      <c r="L2251" s="1902"/>
      <c r="M2251" s="2000"/>
      <c r="N2251" s="1902"/>
      <c r="O2251" s="2000"/>
      <c r="P2251" s="1902"/>
      <c r="Q2251" s="2000"/>
      <c r="R2251" s="1902"/>
      <c r="S2251" s="1644"/>
      <c r="T2251" s="1643"/>
      <c r="U2251" s="1644"/>
      <c r="V2251" s="1643"/>
      <c r="W2251" s="1644"/>
      <c r="X2251" s="1643"/>
      <c r="Y2251" s="1644"/>
      <c r="AI2251" s="2023">
        <f>W2251-'Blocking-Step2'!W2251</f>
        <v>0</v>
      </c>
      <c r="AJ2251" s="2054">
        <f>O2251-'Blocking-Step2'!O2251</f>
        <v>0</v>
      </c>
    </row>
    <row r="2252" spans="1:36">
      <c r="A2252" s="1987" t="s">
        <v>183</v>
      </c>
      <c r="C2252" s="528"/>
      <c r="D2252" s="528"/>
      <c r="F2252" s="2002"/>
      <c r="K2252" s="2002"/>
      <c r="M2252" s="2002"/>
      <c r="O2252" s="2002"/>
      <c r="Q2252" s="2002"/>
      <c r="S2252" s="1638"/>
      <c r="U2252" s="1638"/>
      <c r="W2252" s="1638"/>
      <c r="AI2252" s="2023">
        <f>W2252-'Blocking-Step2'!W2252</f>
        <v>0</v>
      </c>
      <c r="AJ2252" s="2054">
        <f>O2252-'Blocking-Step2'!O2252</f>
        <v>0</v>
      </c>
    </row>
    <row r="2253" spans="1:36">
      <c r="A2253" s="1900" t="s">
        <v>312</v>
      </c>
      <c r="C2253" s="528">
        <f>C2357+C2461</f>
        <v>24</v>
      </c>
      <c r="D2253" s="528">
        <f>D2357+D2461</f>
        <v>25</v>
      </c>
      <c r="F2253" s="2000">
        <v>605</v>
      </c>
      <c r="G2253" s="1902"/>
      <c r="H2253" s="1644">
        <f>ROUND($F2253*C2253,0)</f>
        <v>14520</v>
      </c>
      <c r="I2253" s="1644">
        <f>ROUND($F2253*D2253,0)</f>
        <v>15125</v>
      </c>
      <c r="K2253" s="2000">
        <f>ROUND($Q2253*K2231/$Q2231,2)</f>
        <v>620</v>
      </c>
      <c r="L2253" s="1902"/>
      <c r="M2253" s="2000">
        <f>ROUND($Q2253*M2231/$Q2231,2)</f>
        <v>0</v>
      </c>
      <c r="N2253" s="1902"/>
      <c r="O2253" s="2000">
        <f>Q2253-K2253-M2253</f>
        <v>0</v>
      </c>
      <c r="P2253" s="1902"/>
      <c r="Q2253" s="2000">
        <f>ROUND(F2253*(1+$AB$1483),0)</f>
        <v>620</v>
      </c>
      <c r="R2253" s="1902"/>
      <c r="S2253" s="1644">
        <f>ROUND($D2253*K2253,0)</f>
        <v>15500</v>
      </c>
      <c r="T2253" s="1643"/>
      <c r="U2253" s="1644">
        <f>ROUND($D2253*M2253,0)</f>
        <v>0</v>
      </c>
      <c r="V2253" s="1643"/>
      <c r="W2253" s="1644">
        <f>ROUND($D2253*O2253,0)</f>
        <v>0</v>
      </c>
      <c r="X2253" s="1643"/>
      <c r="Y2253" s="1644">
        <f>ROUND($D2253*Q2253,0)</f>
        <v>15500</v>
      </c>
      <c r="AI2253" s="2023">
        <f>W2253-'Blocking-Step2'!W2253</f>
        <v>0</v>
      </c>
      <c r="AJ2253" s="2054">
        <f>O2253-'Blocking-Step2'!O2253</f>
        <v>0</v>
      </c>
    </row>
    <row r="2254" spans="1:36">
      <c r="A2254" s="1900" t="s">
        <v>313</v>
      </c>
      <c r="C2254" s="528">
        <f>C2358+C2462</f>
        <v>36600</v>
      </c>
      <c r="D2254" s="528">
        <f>D2358+D2462</f>
        <v>34929</v>
      </c>
      <c r="F2254" s="2000">
        <v>4.46</v>
      </c>
      <c r="G2254" s="1902"/>
      <c r="H2254" s="1644">
        <f>ROUND($F2254*C2254,0)</f>
        <v>163236</v>
      </c>
      <c r="I2254" s="1644">
        <f>ROUND($F2254*D2254,0)</f>
        <v>155783</v>
      </c>
      <c r="K2254" s="2000">
        <f>ROUND($Q2254*K2232/$Q2232,2)</f>
        <v>4.57</v>
      </c>
      <c r="L2254" s="1902"/>
      <c r="M2254" s="2000">
        <f>ROUND($Q2254*M2232/$Q2232,2)</f>
        <v>0</v>
      </c>
      <c r="N2254" s="1902"/>
      <c r="O2254" s="2000">
        <f>Q2254-K2254-M2254</f>
        <v>0</v>
      </c>
      <c r="P2254" s="1902"/>
      <c r="Q2254" s="2000">
        <f>ROUND(F2254*(1+$AB$1483),2)</f>
        <v>4.57</v>
      </c>
      <c r="R2254" s="1902"/>
      <c r="S2254" s="1644">
        <f>ROUND($D2254*K2254,0)</f>
        <v>159626</v>
      </c>
      <c r="T2254" s="1643"/>
      <c r="U2254" s="1644">
        <f>ROUND($D2254*M2254,0)</f>
        <v>0</v>
      </c>
      <c r="V2254" s="1643"/>
      <c r="W2254" s="1644">
        <f>ROUND($D2254*O2254,0)</f>
        <v>0</v>
      </c>
      <c r="X2254" s="1643"/>
      <c r="Y2254" s="1644">
        <f>ROUND($D2254*Q2254,0)</f>
        <v>159626</v>
      </c>
      <c r="AI2254" s="2023">
        <f>W2254-'Blocking-Step2'!W2254</f>
        <v>0</v>
      </c>
      <c r="AJ2254" s="2054">
        <f>O2254-'Blocking-Step2'!O2254</f>
        <v>0</v>
      </c>
    </row>
    <row r="2255" spans="1:36">
      <c r="A2255" s="1900" t="s">
        <v>314</v>
      </c>
      <c r="C2255" s="528"/>
      <c r="D2255" s="528"/>
      <c r="F2255" s="2000"/>
      <c r="G2255" s="1902"/>
      <c r="H2255" s="1644"/>
      <c r="I2255" s="1644"/>
      <c r="K2255" s="2001"/>
      <c r="L2255" s="597"/>
      <c r="M2255" s="2001"/>
      <c r="N2255" s="597"/>
      <c r="O2255" s="2001"/>
      <c r="P2255" s="1902"/>
      <c r="Q2255" s="2001"/>
      <c r="R2255" s="1902"/>
      <c r="S2255" s="1644"/>
      <c r="T2255" s="1643"/>
      <c r="U2255" s="1644"/>
      <c r="V2255" s="1643"/>
      <c r="W2255" s="1644"/>
      <c r="X2255" s="1643"/>
      <c r="Y2255" s="1644"/>
      <c r="AI2255" s="2023">
        <f>W2255-'Blocking-Step2'!W2255</f>
        <v>0</v>
      </c>
      <c r="AJ2255" s="2054">
        <f>O2255-'Blocking-Step2'!O2255</f>
        <v>0</v>
      </c>
    </row>
    <row r="2256" spans="1:36">
      <c r="A2256" s="1900" t="s">
        <v>315</v>
      </c>
      <c r="C2256" s="528"/>
      <c r="D2256" s="528"/>
      <c r="F2256" s="2000"/>
      <c r="G2256" s="1991"/>
      <c r="H2256" s="1644"/>
      <c r="I2256" s="1644"/>
      <c r="K2256" s="2000"/>
      <c r="L2256" s="1991"/>
      <c r="M2256" s="2000"/>
      <c r="N2256" s="1991"/>
      <c r="O2256" s="2000"/>
      <c r="P2256" s="1991"/>
      <c r="Q2256" s="2000"/>
      <c r="R2256" s="1991"/>
      <c r="S2256" s="1644"/>
      <c r="T2256" s="1643"/>
      <c r="U2256" s="1644"/>
      <c r="V2256" s="1643"/>
      <c r="W2256" s="1644"/>
      <c r="X2256" s="1643"/>
      <c r="Y2256" s="1644"/>
      <c r="AI2256" s="2023">
        <f>W2256-'Blocking-Step2'!W2256</f>
        <v>0</v>
      </c>
      <c r="AJ2256" s="2054">
        <f>O2256-'Blocking-Step2'!O2256</f>
        <v>0</v>
      </c>
    </row>
    <row r="2257" spans="1:36">
      <c r="A2257" s="1900" t="s">
        <v>1668</v>
      </c>
      <c r="C2257" s="528">
        <f t="shared" ref="C2257:D2258" si="1316">C2361+C2465</f>
        <v>70696.650348096649</v>
      </c>
      <c r="D2257" s="528">
        <f t="shared" si="1316"/>
        <v>67470</v>
      </c>
      <c r="F2257" s="2000"/>
      <c r="G2257" s="1991"/>
      <c r="H2257" s="1644"/>
      <c r="I2257" s="1644"/>
      <c r="K2257" s="2000">
        <f>ROUND($Q2257*K2235/$Q2235,2)</f>
        <v>0.4</v>
      </c>
      <c r="L2257" s="1991"/>
      <c r="M2257" s="2000">
        <f t="shared" ref="M2257:M2258" si="1317">Q2257-K2257-O2257</f>
        <v>0.48</v>
      </c>
      <c r="N2257" s="1991"/>
      <c r="O2257" s="2000">
        <v>0</v>
      </c>
      <c r="P2257" s="1991"/>
      <c r="Q2257" s="2000">
        <f>ROUND(F2266*(1+$AB$1483),2)</f>
        <v>0.88</v>
      </c>
      <c r="R2257" s="1991"/>
      <c r="S2257" s="1644">
        <f t="shared" ref="S2257:Y2258" si="1318">ROUND($D2257*K2257,0)</f>
        <v>26988</v>
      </c>
      <c r="T2257" s="1643"/>
      <c r="U2257" s="1644">
        <f t="shared" si="1318"/>
        <v>32386</v>
      </c>
      <c r="V2257" s="1643"/>
      <c r="W2257" s="1644">
        <f t="shared" si="1318"/>
        <v>0</v>
      </c>
      <c r="X2257" s="1643"/>
      <c r="Y2257" s="1644">
        <f t="shared" si="1318"/>
        <v>59374</v>
      </c>
      <c r="AI2257" s="2023">
        <f>W2257-'Blocking-Step2'!W2257</f>
        <v>0</v>
      </c>
      <c r="AJ2257" s="2054">
        <f>O2257-'Blocking-Step2'!O2257</f>
        <v>0</v>
      </c>
    </row>
    <row r="2258" spans="1:36">
      <c r="A2258" s="1900" t="s">
        <v>1669</v>
      </c>
      <c r="C2258" s="528">
        <f t="shared" si="1316"/>
        <v>49579.034602910964</v>
      </c>
      <c r="D2258" s="528">
        <f t="shared" si="1316"/>
        <v>47316</v>
      </c>
      <c r="F2258" s="2000"/>
      <c r="G2258" s="1991"/>
      <c r="H2258" s="1644"/>
      <c r="I2258" s="1644"/>
      <c r="K2258" s="2000">
        <f>ROUND($Q2258*K2236/$Q2236,2)</f>
        <v>0.35</v>
      </c>
      <c r="L2258" s="1991"/>
      <c r="M2258" s="2000">
        <f t="shared" si="1317"/>
        <v>0.43000000000000005</v>
      </c>
      <c r="N2258" s="1991"/>
      <c r="O2258" s="2000">
        <v>0</v>
      </c>
      <c r="P2258" s="1991"/>
      <c r="Q2258" s="2000">
        <f>ROUND(Q2257/$AB$1489,2)</f>
        <v>0.78</v>
      </c>
      <c r="R2258" s="1991"/>
      <c r="S2258" s="1644">
        <f t="shared" si="1318"/>
        <v>16561</v>
      </c>
      <c r="T2258" s="1643"/>
      <c r="U2258" s="1644">
        <f t="shared" si="1318"/>
        <v>20346</v>
      </c>
      <c r="V2258" s="1643"/>
      <c r="W2258" s="1644">
        <f t="shared" si="1318"/>
        <v>0</v>
      </c>
      <c r="X2258" s="1643"/>
      <c r="Y2258" s="1644">
        <f t="shared" si="1318"/>
        <v>36906</v>
      </c>
      <c r="AI2258" s="2023">
        <f>W2258-'Blocking-Step2'!W2258</f>
        <v>0</v>
      </c>
      <c r="AJ2258" s="2054">
        <f>O2258-'Blocking-Step2'!O2258</f>
        <v>0</v>
      </c>
    </row>
    <row r="2259" spans="1:36">
      <c r="A2259" s="1900" t="s">
        <v>316</v>
      </c>
      <c r="C2259" s="528"/>
      <c r="D2259" s="528"/>
      <c r="F2259" s="2001"/>
      <c r="G2259" s="1992"/>
      <c r="H2259" s="1644"/>
      <c r="I2259" s="1644"/>
      <c r="K2259" s="2001"/>
      <c r="L2259" s="1992"/>
      <c r="M2259" s="2001"/>
      <c r="N2259" s="1992"/>
      <c r="O2259" s="2001"/>
      <c r="P2259" s="1992"/>
      <c r="Q2259" s="2001"/>
      <c r="R2259" s="1992"/>
      <c r="S2259" s="1644"/>
      <c r="T2259" s="1645"/>
      <c r="U2259" s="1644"/>
      <c r="V2259" s="1645"/>
      <c r="W2259" s="1644"/>
      <c r="X2259" s="1645"/>
      <c r="Y2259" s="1644"/>
      <c r="AI2259" s="2023">
        <f>W2259-'Blocking-Step2'!W2259</f>
        <v>0</v>
      </c>
      <c r="AJ2259" s="2054">
        <f>O2259-'Blocking-Step2'!O2259</f>
        <v>0</v>
      </c>
    </row>
    <row r="2260" spans="1:36">
      <c r="A2260" s="1900" t="s">
        <v>1668</v>
      </c>
      <c r="C2260" s="528">
        <f t="shared" ref="C2260:D2261" si="1319">C2364+C2468</f>
        <v>1582.2885037622348</v>
      </c>
      <c r="D2260" s="528">
        <f t="shared" si="1319"/>
        <v>1510</v>
      </c>
      <c r="F2260" s="2001"/>
      <c r="G2260" s="1992"/>
      <c r="H2260" s="1644"/>
      <c r="I2260" s="1644"/>
      <c r="K2260" s="2001">
        <f>ROUND($Q2260*K2257/$Q2257,2)</f>
        <v>0.2</v>
      </c>
      <c r="L2260" s="1992"/>
      <c r="M2260" s="2000">
        <f t="shared" ref="M2260:M2261" si="1320">Q2260-K2260-O2260</f>
        <v>0.24</v>
      </c>
      <c r="N2260" s="1991"/>
      <c r="O2260" s="2000">
        <v>0</v>
      </c>
      <c r="P2260" s="1992"/>
      <c r="Q2260" s="2000">
        <f>ROUND(F2269*(1+$AB$1483),2)</f>
        <v>0.44</v>
      </c>
      <c r="R2260" s="1992"/>
      <c r="S2260" s="1644">
        <f t="shared" ref="S2260:Y2261" si="1321">ROUND($D2260*K2260,0)</f>
        <v>302</v>
      </c>
      <c r="T2260" s="1645"/>
      <c r="U2260" s="1644">
        <f t="shared" si="1321"/>
        <v>362</v>
      </c>
      <c r="V2260" s="1645"/>
      <c r="W2260" s="1644">
        <f t="shared" si="1321"/>
        <v>0</v>
      </c>
      <c r="X2260" s="1645"/>
      <c r="Y2260" s="1644">
        <f t="shared" si="1321"/>
        <v>664</v>
      </c>
      <c r="AI2260" s="2023">
        <f>W2260-'Blocking-Step2'!W2260</f>
        <v>0</v>
      </c>
      <c r="AJ2260" s="2054">
        <f>O2260-'Blocking-Step2'!O2260</f>
        <v>0</v>
      </c>
    </row>
    <row r="2261" spans="1:36">
      <c r="A2261" s="1900" t="s">
        <v>1669</v>
      </c>
      <c r="C2261" s="528">
        <f t="shared" si="1319"/>
        <v>0</v>
      </c>
      <c r="D2261" s="528">
        <f t="shared" si="1319"/>
        <v>0</v>
      </c>
      <c r="F2261" s="2001"/>
      <c r="G2261" s="1992"/>
      <c r="H2261" s="1644"/>
      <c r="I2261" s="1644"/>
      <c r="K2261" s="2001">
        <f>ROUND($Q2261*K2258/$Q2258,2)</f>
        <v>0.18</v>
      </c>
      <c r="L2261" s="1992"/>
      <c r="M2261" s="2000">
        <f t="shared" si="1320"/>
        <v>0.21000000000000002</v>
      </c>
      <c r="N2261" s="1991"/>
      <c r="O2261" s="2000">
        <v>0</v>
      </c>
      <c r="P2261" s="1992"/>
      <c r="Q2261" s="2000">
        <f>ROUND(Q2260/$AB$1489,2)</f>
        <v>0.39</v>
      </c>
      <c r="R2261" s="1992"/>
      <c r="S2261" s="1644">
        <f t="shared" si="1321"/>
        <v>0</v>
      </c>
      <c r="T2261" s="1645"/>
      <c r="U2261" s="1644">
        <f t="shared" si="1321"/>
        <v>0</v>
      </c>
      <c r="V2261" s="1645"/>
      <c r="W2261" s="1644">
        <f t="shared" si="1321"/>
        <v>0</v>
      </c>
      <c r="X2261" s="1645"/>
      <c r="Y2261" s="1644">
        <f t="shared" si="1321"/>
        <v>0</v>
      </c>
      <c r="AI2261" s="2023">
        <f>W2261-'Blocking-Step2'!W2261</f>
        <v>0</v>
      </c>
      <c r="AJ2261" s="2054">
        <f>O2261-'Blocking-Step2'!O2261</f>
        <v>0</v>
      </c>
    </row>
    <row r="2262" spans="1:36">
      <c r="A2262" s="1900" t="s">
        <v>317</v>
      </c>
      <c r="C2262" s="528"/>
      <c r="D2262" s="528"/>
      <c r="F2262" s="2000"/>
      <c r="G2262" s="1902"/>
      <c r="H2262" s="1644"/>
      <c r="I2262" s="1644"/>
      <c r="K2262" s="2000"/>
      <c r="L2262" s="1902"/>
      <c r="M2262" s="2000"/>
      <c r="N2262" s="1902"/>
      <c r="O2262" s="2000"/>
      <c r="P2262" s="1902"/>
      <c r="Q2262" s="2000"/>
      <c r="R2262" s="1902"/>
      <c r="S2262" s="1644"/>
      <c r="T2262" s="1643"/>
      <c r="U2262" s="1644"/>
      <c r="V2262" s="1643"/>
      <c r="W2262" s="1644"/>
      <c r="X2262" s="1643"/>
      <c r="Y2262" s="1644"/>
      <c r="AI2262" s="2023">
        <f>W2262-'Blocking-Step2'!W2262</f>
        <v>0</v>
      </c>
      <c r="AJ2262" s="2054">
        <f>O2262-'Blocking-Step2'!O2262</f>
        <v>0</v>
      </c>
    </row>
    <row r="2263" spans="1:36">
      <c r="A2263" s="1900" t="s">
        <v>1668</v>
      </c>
      <c r="C2263" s="528">
        <f t="shared" ref="C2263:D2264" si="1322">C2367+C2471</f>
        <v>148.49169035307125</v>
      </c>
      <c r="D2263" s="528">
        <f t="shared" si="1322"/>
        <v>142</v>
      </c>
      <c r="F2263" s="2000"/>
      <c r="G2263" s="1902"/>
      <c r="H2263" s="1644"/>
      <c r="I2263" s="1644"/>
      <c r="K2263" s="2001">
        <f>ROUND($Q2263*K2257/$Q2257,2)</f>
        <v>17.95</v>
      </c>
      <c r="L2263" s="1992"/>
      <c r="M2263" s="2000">
        <f>Q2263-K2263-O2263</f>
        <v>21.529999999999998</v>
      </c>
      <c r="N2263" s="1991"/>
      <c r="O2263" s="2000">
        <v>0</v>
      </c>
      <c r="P2263" s="1902"/>
      <c r="Q2263" s="2000">
        <f>ROUND(F2272*(1+$AB$1483),2)</f>
        <v>39.479999999999997</v>
      </c>
      <c r="R2263" s="1902"/>
      <c r="S2263" s="1644">
        <f t="shared" ref="S2263:Y2264" si="1323">ROUND($D2263*K2263,0)</f>
        <v>2549</v>
      </c>
      <c r="T2263" s="1643"/>
      <c r="U2263" s="1644">
        <f t="shared" si="1323"/>
        <v>3057</v>
      </c>
      <c r="V2263" s="1643"/>
      <c r="W2263" s="1644">
        <f t="shared" si="1323"/>
        <v>0</v>
      </c>
      <c r="X2263" s="1643"/>
      <c r="Y2263" s="1644">
        <f t="shared" si="1323"/>
        <v>5606</v>
      </c>
      <c r="AI2263" s="2023">
        <f>W2263-'Blocking-Step2'!W2263</f>
        <v>0</v>
      </c>
      <c r="AJ2263" s="2054">
        <f>O2263-'Blocking-Step2'!O2263</f>
        <v>0</v>
      </c>
    </row>
    <row r="2264" spans="1:36">
      <c r="A2264" s="1900" t="s">
        <v>1669</v>
      </c>
      <c r="C2264" s="528">
        <f t="shared" si="1322"/>
        <v>686.10495578422365</v>
      </c>
      <c r="D2264" s="528">
        <f t="shared" si="1322"/>
        <v>655</v>
      </c>
      <c r="F2264" s="2000"/>
      <c r="G2264" s="1902"/>
      <c r="H2264" s="1644"/>
      <c r="I2264" s="1644"/>
      <c r="K2264" s="2001">
        <f>ROUND($Q2264*K2258/$Q2258,2)</f>
        <v>15.68</v>
      </c>
      <c r="L2264" s="1992"/>
      <c r="M2264" s="2000">
        <f>Q2264-K2264-O2264</f>
        <v>19.259999999999998</v>
      </c>
      <c r="N2264" s="1991"/>
      <c r="O2264" s="2000">
        <v>0</v>
      </c>
      <c r="P2264" s="1902"/>
      <c r="Q2264" s="2000">
        <f>ROUND(Q2263/$AB$1489,2)</f>
        <v>34.94</v>
      </c>
      <c r="R2264" s="1902"/>
      <c r="S2264" s="1644">
        <f t="shared" si="1323"/>
        <v>10270</v>
      </c>
      <c r="T2264" s="1643"/>
      <c r="U2264" s="1644">
        <f t="shared" si="1323"/>
        <v>12615</v>
      </c>
      <c r="V2264" s="1643"/>
      <c r="W2264" s="1644">
        <f t="shared" si="1323"/>
        <v>0</v>
      </c>
      <c r="X2264" s="1643"/>
      <c r="Y2264" s="1644">
        <f t="shared" si="1323"/>
        <v>22886</v>
      </c>
      <c r="AI2264" s="2023">
        <f>W2264-'Blocking-Step2'!W2264</f>
        <v>0</v>
      </c>
      <c r="AJ2264" s="2054">
        <f>O2264-'Blocking-Step2'!O2264</f>
        <v>0</v>
      </c>
    </row>
    <row r="2265" spans="1:36">
      <c r="A2265" s="1900" t="s">
        <v>315</v>
      </c>
      <c r="C2265" s="528"/>
      <c r="D2265" s="528"/>
      <c r="F2265" s="2000"/>
      <c r="G2265" s="1991"/>
      <c r="H2265" s="1644"/>
      <c r="I2265" s="1644"/>
      <c r="K2265" s="2000"/>
      <c r="L2265" s="1991"/>
      <c r="M2265" s="2000"/>
      <c r="N2265" s="1991"/>
      <c r="O2265" s="2000"/>
      <c r="P2265" s="1991"/>
      <c r="Q2265" s="2000"/>
      <c r="R2265" s="1991"/>
      <c r="S2265" s="1644"/>
      <c r="T2265" s="1643"/>
      <c r="U2265" s="1644"/>
      <c r="V2265" s="1643"/>
      <c r="W2265" s="1644"/>
      <c r="X2265" s="1643"/>
      <c r="Y2265" s="1644"/>
      <c r="AI2265" s="2023">
        <f>W2265-'Blocking-Step2'!W2265</f>
        <v>0</v>
      </c>
      <c r="AJ2265" s="2054">
        <f>O2265-'Blocking-Step2'!O2265</f>
        <v>0</v>
      </c>
    </row>
    <row r="2266" spans="1:36">
      <c r="A2266" s="1900" t="s">
        <v>944</v>
      </c>
      <c r="C2266" s="528">
        <f>C2370+C2474</f>
        <v>87126</v>
      </c>
      <c r="D2266" s="528">
        <f>D2370+D2474</f>
        <v>83149</v>
      </c>
      <c r="F2266" s="2000">
        <v>0.86</v>
      </c>
      <c r="G2266" s="1991"/>
      <c r="H2266" s="1644">
        <f>ROUND($F2266*C2266,0)</f>
        <v>74928</v>
      </c>
      <c r="I2266" s="1644">
        <f>ROUND($F2266*D2266,0)</f>
        <v>71508</v>
      </c>
      <c r="K2266" s="2000"/>
      <c r="L2266" s="1991"/>
      <c r="M2266" s="2000"/>
      <c r="N2266" s="1991"/>
      <c r="O2266" s="2000"/>
      <c r="P2266" s="1991"/>
      <c r="Q2266" s="2000"/>
      <c r="R2266" s="1991"/>
      <c r="S2266" s="1644"/>
      <c r="T2266" s="1643"/>
      <c r="U2266" s="1644"/>
      <c r="V2266" s="1643"/>
      <c r="W2266" s="1644"/>
      <c r="X2266" s="1643"/>
      <c r="Y2266" s="1644"/>
      <c r="AI2266" s="2023">
        <f>W2266-'Blocking-Step2'!W2266</f>
        <v>0</v>
      </c>
      <c r="AJ2266" s="2054">
        <f>O2266-'Blocking-Step2'!O2266</f>
        <v>0</v>
      </c>
    </row>
    <row r="2267" spans="1:36">
      <c r="A2267" s="1900" t="s">
        <v>945</v>
      </c>
      <c r="C2267" s="528">
        <f>C2371+C2475</f>
        <v>43646</v>
      </c>
      <c r="D2267" s="528">
        <f>D2371+D2475</f>
        <v>41654</v>
      </c>
      <c r="F2267" s="2000">
        <v>0.6</v>
      </c>
      <c r="G2267" s="1991"/>
      <c r="H2267" s="1644">
        <f>ROUND($F2267*C2267,0)</f>
        <v>26188</v>
      </c>
      <c r="I2267" s="1644">
        <f>ROUND($F2267*D2267,0)</f>
        <v>24992</v>
      </c>
      <c r="K2267" s="2000"/>
      <c r="L2267" s="1991"/>
      <c r="M2267" s="2000"/>
      <c r="N2267" s="1991"/>
      <c r="O2267" s="2000"/>
      <c r="P2267" s="1991"/>
      <c r="Q2267" s="2000"/>
      <c r="R2267" s="1991"/>
      <c r="S2267" s="1644"/>
      <c r="T2267" s="1643"/>
      <c r="U2267" s="1644"/>
      <c r="V2267" s="1643"/>
      <c r="W2267" s="1644"/>
      <c r="X2267" s="1643"/>
      <c r="Y2267" s="1644"/>
      <c r="AI2267" s="2023">
        <f>W2267-'Blocking-Step2'!W2267</f>
        <v>0</v>
      </c>
      <c r="AJ2267" s="2054">
        <f>O2267-'Blocking-Step2'!O2267</f>
        <v>0</v>
      </c>
    </row>
    <row r="2268" spans="1:36">
      <c r="A2268" s="1900" t="s">
        <v>316</v>
      </c>
      <c r="C2268" s="528"/>
      <c r="D2268" s="528"/>
      <c r="F2268" s="2001"/>
      <c r="G2268" s="1992"/>
      <c r="H2268" s="1644"/>
      <c r="I2268" s="1644"/>
      <c r="K2268" s="2001"/>
      <c r="L2268" s="1992"/>
      <c r="M2268" s="2001"/>
      <c r="N2268" s="1992"/>
      <c r="O2268" s="2001"/>
      <c r="P2268" s="1992"/>
      <c r="Q2268" s="2001"/>
      <c r="R2268" s="1992"/>
      <c r="S2268" s="1644"/>
      <c r="T2268" s="1645"/>
      <c r="U2268" s="1644"/>
      <c r="V2268" s="1645"/>
      <c r="W2268" s="1644"/>
      <c r="X2268" s="1645"/>
      <c r="Y2268" s="1644"/>
      <c r="AI2268" s="2023">
        <f>W2268-'Blocking-Step2'!W2268</f>
        <v>0</v>
      </c>
      <c r="AJ2268" s="2054">
        <f>O2268-'Blocking-Step2'!O2268</f>
        <v>0</v>
      </c>
    </row>
    <row r="2269" spans="1:36">
      <c r="A2269" s="1900" t="s">
        <v>944</v>
      </c>
      <c r="C2269" s="528">
        <f>C2373+C2477</f>
        <v>1950</v>
      </c>
      <c r="D2269" s="528">
        <f>D2373+D2477</f>
        <v>1861</v>
      </c>
      <c r="F2269" s="2001">
        <v>0.43</v>
      </c>
      <c r="G2269" s="1992"/>
      <c r="H2269" s="1644">
        <f>ROUND($F2269*C2269,0)</f>
        <v>839</v>
      </c>
      <c r="I2269" s="1644">
        <f>ROUND($F2269*D2269,0)</f>
        <v>800</v>
      </c>
      <c r="K2269" s="2001"/>
      <c r="L2269" s="1992"/>
      <c r="M2269" s="2001"/>
      <c r="N2269" s="1992"/>
      <c r="O2269" s="2001"/>
      <c r="P2269" s="1992"/>
      <c r="Q2269" s="2001"/>
      <c r="R2269" s="1992"/>
      <c r="S2269" s="1644"/>
      <c r="T2269" s="1645"/>
      <c r="U2269" s="1644"/>
      <c r="V2269" s="1645"/>
      <c r="W2269" s="1644"/>
      <c r="X2269" s="1645"/>
      <c r="Y2269" s="1644"/>
      <c r="AI2269" s="2023">
        <f>W2269-'Blocking-Step2'!W2269</f>
        <v>0</v>
      </c>
      <c r="AJ2269" s="2054">
        <f>O2269-'Blocking-Step2'!O2269</f>
        <v>0</v>
      </c>
    </row>
    <row r="2270" spans="1:36">
      <c r="A2270" s="1900" t="s">
        <v>945</v>
      </c>
      <c r="C2270" s="528">
        <f>C2374+C2478</f>
        <v>0</v>
      </c>
      <c r="D2270" s="528">
        <f>D2374+D2478</f>
        <v>0</v>
      </c>
      <c r="F2270" s="2001">
        <v>0.3</v>
      </c>
      <c r="G2270" s="1992"/>
      <c r="H2270" s="1644">
        <f>ROUND($F2270*C2270,0)</f>
        <v>0</v>
      </c>
      <c r="I2270" s="1644">
        <f>ROUND($F2270*D2270,0)</f>
        <v>0</v>
      </c>
      <c r="K2270" s="2001"/>
      <c r="L2270" s="1992"/>
      <c r="M2270" s="2001"/>
      <c r="N2270" s="1992"/>
      <c r="O2270" s="2001"/>
      <c r="P2270" s="1992"/>
      <c r="Q2270" s="2001"/>
      <c r="R2270" s="1992"/>
      <c r="S2270" s="1644"/>
      <c r="T2270" s="1645"/>
      <c r="U2270" s="1644"/>
      <c r="V2270" s="1645"/>
      <c r="W2270" s="1644"/>
      <c r="X2270" s="1645"/>
      <c r="Y2270" s="1644"/>
      <c r="AI2270" s="2023">
        <f>W2270-'Blocking-Step2'!W2270</f>
        <v>0</v>
      </c>
      <c r="AJ2270" s="2054">
        <f>O2270-'Blocking-Step2'!O2270</f>
        <v>0</v>
      </c>
    </row>
    <row r="2271" spans="1:36">
      <c r="A2271" s="1900" t="s">
        <v>317</v>
      </c>
      <c r="C2271" s="528"/>
      <c r="D2271" s="528"/>
      <c r="F2271" s="2000"/>
      <c r="G2271" s="1902"/>
      <c r="H2271" s="1644"/>
      <c r="I2271" s="1644"/>
      <c r="K2271" s="2000"/>
      <c r="L2271" s="1902"/>
      <c r="M2271" s="2000"/>
      <c r="N2271" s="1902"/>
      <c r="O2271" s="2000"/>
      <c r="P2271" s="1902"/>
      <c r="Q2271" s="2000"/>
      <c r="R2271" s="1902"/>
      <c r="S2271" s="1644"/>
      <c r="T2271" s="1643"/>
      <c r="U2271" s="1644"/>
      <c r="V2271" s="1643"/>
      <c r="W2271" s="1644"/>
      <c r="X2271" s="1643"/>
      <c r="Y2271" s="1644"/>
      <c r="AI2271" s="2023">
        <f>W2271-'Blocking-Step2'!W2271</f>
        <v>0</v>
      </c>
      <c r="AJ2271" s="2054">
        <f>O2271-'Blocking-Step2'!O2271</f>
        <v>0</v>
      </c>
    </row>
    <row r="2272" spans="1:36">
      <c r="A2272" s="1900" t="s">
        <v>944</v>
      </c>
      <c r="C2272" s="528">
        <f>C2376+C2480</f>
        <v>183</v>
      </c>
      <c r="D2272" s="528">
        <f>D2376+D2480</f>
        <v>175</v>
      </c>
      <c r="F2272" s="2000">
        <v>38.54</v>
      </c>
      <c r="G2272" s="1902"/>
      <c r="H2272" s="1644">
        <f>ROUND($F2272*C2272,0)</f>
        <v>7053</v>
      </c>
      <c r="I2272" s="1644">
        <f>ROUND($F2272*D2272,0)</f>
        <v>6745</v>
      </c>
      <c r="K2272" s="2000"/>
      <c r="L2272" s="1902"/>
      <c r="M2272" s="2000"/>
      <c r="N2272" s="1902"/>
      <c r="O2272" s="2000"/>
      <c r="P2272" s="1902"/>
      <c r="Q2272" s="2000"/>
      <c r="R2272" s="1902"/>
      <c r="S2272" s="1644"/>
      <c r="T2272" s="1643"/>
      <c r="U2272" s="1644"/>
      <c r="V2272" s="1643"/>
      <c r="W2272" s="1644"/>
      <c r="X2272" s="1643"/>
      <c r="Y2272" s="1644"/>
      <c r="AI2272" s="2023">
        <f>W2272-'Blocking-Step2'!W2272</f>
        <v>0</v>
      </c>
      <c r="AJ2272" s="2054">
        <f>O2272-'Blocking-Step2'!O2272</f>
        <v>0</v>
      </c>
    </row>
    <row r="2273" spans="1:36">
      <c r="A2273" s="1900" t="s">
        <v>945</v>
      </c>
      <c r="C2273" s="528">
        <f>C2377+C2481</f>
        <v>604</v>
      </c>
      <c r="D2273" s="528">
        <f>D2377+D2481</f>
        <v>576</v>
      </c>
      <c r="F2273" s="2000">
        <v>29.77</v>
      </c>
      <c r="G2273" s="1902"/>
      <c r="H2273" s="1644">
        <f>ROUND($F2273*C2273,0)</f>
        <v>17981</v>
      </c>
      <c r="I2273" s="1644">
        <f>ROUND($F2273*D2273,0)</f>
        <v>17148</v>
      </c>
      <c r="K2273" s="2000"/>
      <c r="L2273" s="1902"/>
      <c r="M2273" s="2000"/>
      <c r="N2273" s="1902"/>
      <c r="O2273" s="2000"/>
      <c r="P2273" s="1902"/>
      <c r="Q2273" s="2000"/>
      <c r="R2273" s="1902"/>
      <c r="S2273" s="1644"/>
      <c r="T2273" s="1643"/>
      <c r="U2273" s="1644"/>
      <c r="V2273" s="1643"/>
      <c r="W2273" s="1644"/>
      <c r="X2273" s="1643"/>
      <c r="Y2273" s="1644"/>
      <c r="AI2273" s="2023">
        <f>W2273-'Blocking-Step2'!W2273</f>
        <v>0</v>
      </c>
      <c r="AJ2273" s="2054">
        <f>O2273-'Blocking-Step2'!O2273</f>
        <v>0</v>
      </c>
    </row>
    <row r="2274" spans="1:36">
      <c r="A2274" s="1987" t="s">
        <v>182</v>
      </c>
      <c r="C2274" s="528"/>
      <c r="D2274" s="528"/>
      <c r="F2274" s="2002"/>
      <c r="K2274" s="2002"/>
      <c r="M2274" s="2002"/>
      <c r="O2274" s="2002"/>
      <c r="Q2274" s="2002"/>
      <c r="S2274" s="1638"/>
      <c r="U2274" s="1638"/>
      <c r="W2274" s="1638"/>
      <c r="AI2274" s="2023">
        <f>W2274-'Blocking-Step2'!W2274</f>
        <v>0</v>
      </c>
      <c r="AJ2274" s="2054">
        <f>O2274-'Blocking-Step2'!O2274</f>
        <v>0</v>
      </c>
    </row>
    <row r="2275" spans="1:36">
      <c r="A2275" s="1900" t="s">
        <v>312</v>
      </c>
      <c r="C2275" s="528">
        <f>C2379+C2483</f>
        <v>59</v>
      </c>
      <c r="D2275" s="528">
        <f>D2379+D2483</f>
        <v>59</v>
      </c>
      <c r="F2275" s="2000">
        <v>678</v>
      </c>
      <c r="G2275" s="1902"/>
      <c r="H2275" s="1644">
        <f>ROUND($F2275*C2275,0)</f>
        <v>40002</v>
      </c>
      <c r="I2275" s="1644">
        <f>ROUND($F2275*D2275,0)</f>
        <v>40002</v>
      </c>
      <c r="K2275" s="2000">
        <f>ROUND($Q2275*K1479/$Q1479,2)</f>
        <v>695</v>
      </c>
      <c r="L2275" s="1902"/>
      <c r="M2275" s="2000">
        <f>ROUND($Q2275*M1479/$Q1479,2)</f>
        <v>0</v>
      </c>
      <c r="N2275" s="1902"/>
      <c r="O2275" s="2000">
        <f>Q2275-K2275-M2275</f>
        <v>0</v>
      </c>
      <c r="P2275" s="1902"/>
      <c r="Q2275" s="2000">
        <f>ROUND(F2275*(1+$AB$1483),0)</f>
        <v>695</v>
      </c>
      <c r="R2275" s="1902"/>
      <c r="S2275" s="1644">
        <f>ROUND($D2275*K2275,0)</f>
        <v>41005</v>
      </c>
      <c r="T2275" s="1643"/>
      <c r="U2275" s="1644">
        <f>ROUND($D2275*M2275,0)</f>
        <v>0</v>
      </c>
      <c r="V2275" s="1643"/>
      <c r="W2275" s="1644">
        <f>ROUND($D2275*O2275,0)</f>
        <v>0</v>
      </c>
      <c r="X2275" s="1643"/>
      <c r="Y2275" s="1644">
        <f>ROUND($D2275*Q2275,0)</f>
        <v>41005</v>
      </c>
      <c r="AI2275" s="2023">
        <f>W2275-'Blocking-Step2'!W2275</f>
        <v>0</v>
      </c>
      <c r="AJ2275" s="2054">
        <f>O2275-'Blocking-Step2'!O2275</f>
        <v>0</v>
      </c>
    </row>
    <row r="2276" spans="1:36">
      <c r="A2276" s="1900" t="s">
        <v>313</v>
      </c>
      <c r="C2276" s="528">
        <f>C2380+C2484</f>
        <v>255139</v>
      </c>
      <c r="D2276" s="528">
        <f>D2380+D2484</f>
        <v>291905</v>
      </c>
      <c r="F2276" s="2000">
        <v>2.63</v>
      </c>
      <c r="G2276" s="1902"/>
      <c r="H2276" s="1644">
        <f>ROUND($F2276*C2276,0)</f>
        <v>671016</v>
      </c>
      <c r="I2276" s="1644">
        <f>ROUND($F2276*D2276,0)</f>
        <v>767710</v>
      </c>
      <c r="K2276" s="2000">
        <f>ROUND($Q2276*K1480/$Q1480,2)</f>
        <v>2.69</v>
      </c>
      <c r="L2276" s="1902"/>
      <c r="M2276" s="2000">
        <f>ROUND($Q2276*M1480/$Q1480,2)</f>
        <v>0</v>
      </c>
      <c r="N2276" s="1902"/>
      <c r="O2276" s="2000">
        <f>Q2276-K2276-M2276</f>
        <v>0</v>
      </c>
      <c r="P2276" s="1902"/>
      <c r="Q2276" s="2000">
        <f>ROUND(F2276*(1+$AB$1483),2)</f>
        <v>2.69</v>
      </c>
      <c r="R2276" s="1902"/>
      <c r="S2276" s="1644">
        <f>ROUND($D2276*K2276,0)</f>
        <v>785224</v>
      </c>
      <c r="T2276" s="1643"/>
      <c r="U2276" s="1644">
        <f>ROUND($D2276*M2276,0)</f>
        <v>0</v>
      </c>
      <c r="V2276" s="1643"/>
      <c r="W2276" s="1644">
        <f>ROUND($D2276*O2276,0)</f>
        <v>0</v>
      </c>
      <c r="X2276" s="1643"/>
      <c r="Y2276" s="1644">
        <f>ROUND($D2276*Q2276,0)</f>
        <v>785224</v>
      </c>
      <c r="AI2276" s="2023">
        <f>W2276-'Blocking-Step2'!W2276</f>
        <v>0</v>
      </c>
      <c r="AJ2276" s="2054">
        <f>O2276-'Blocking-Step2'!O2276</f>
        <v>0</v>
      </c>
    </row>
    <row r="2277" spans="1:36">
      <c r="A2277" s="1900" t="s">
        <v>314</v>
      </c>
      <c r="C2277" s="528"/>
      <c r="D2277" s="528"/>
      <c r="F2277" s="2001"/>
      <c r="G2277" s="597"/>
      <c r="H2277" s="1644"/>
      <c r="I2277" s="1644"/>
      <c r="K2277" s="2001"/>
      <c r="L2277" s="597"/>
      <c r="M2277" s="2001"/>
      <c r="N2277" s="597"/>
      <c r="O2277" s="2001"/>
      <c r="P2277" s="597"/>
      <c r="Q2277" s="2001"/>
      <c r="R2277" s="597"/>
      <c r="S2277" s="1644"/>
      <c r="T2277" s="1645"/>
      <c r="U2277" s="1644"/>
      <c r="V2277" s="1645"/>
      <c r="W2277" s="1644"/>
      <c r="X2277" s="1645"/>
      <c r="Y2277" s="1644"/>
      <c r="AI2277" s="2023">
        <f>W2277-'Blocking-Step2'!W2277</f>
        <v>0</v>
      </c>
      <c r="AJ2277" s="2054">
        <f>O2277-'Blocking-Step2'!O2277</f>
        <v>0</v>
      </c>
    </row>
    <row r="2278" spans="1:36">
      <c r="A2278" s="1900" t="s">
        <v>315</v>
      </c>
      <c r="C2278" s="528"/>
      <c r="D2278" s="528"/>
      <c r="F2278" s="2000"/>
      <c r="G2278" s="1991"/>
      <c r="H2278" s="1644"/>
      <c r="I2278" s="1644"/>
      <c r="K2278" s="2000"/>
      <c r="L2278" s="1991"/>
      <c r="M2278" s="2000"/>
      <c r="N2278" s="1991"/>
      <c r="O2278" s="2000"/>
      <c r="P2278" s="1991"/>
      <c r="Q2278" s="2000"/>
      <c r="R2278" s="1991"/>
      <c r="S2278" s="1644"/>
      <c r="T2278" s="1643"/>
      <c r="U2278" s="1644"/>
      <c r="V2278" s="1643"/>
      <c r="W2278" s="1644"/>
      <c r="X2278" s="1643"/>
      <c r="Y2278" s="1644"/>
      <c r="AI2278" s="2023">
        <f>W2278-'Blocking-Step2'!W2278</f>
        <v>0</v>
      </c>
      <c r="AJ2278" s="2054">
        <f>O2278-'Blocking-Step2'!O2278</f>
        <v>0</v>
      </c>
    </row>
    <row r="2279" spans="1:36">
      <c r="A2279" s="1900" t="s">
        <v>1668</v>
      </c>
      <c r="C2279" s="528">
        <f t="shared" ref="C2279:D2280" si="1324">C2383+C2487</f>
        <v>600848.49925864791</v>
      </c>
      <c r="D2279" s="528">
        <f t="shared" si="1324"/>
        <v>657860</v>
      </c>
      <c r="F2279" s="2000"/>
      <c r="G2279" s="1991"/>
      <c r="H2279" s="1644"/>
      <c r="I2279" s="1644"/>
      <c r="K2279" s="2000">
        <f>ROUND($Q2279*K1481/$Q1481,2)</f>
        <v>0.26</v>
      </c>
      <c r="L2279" s="1991"/>
      <c r="M2279" s="2000">
        <f t="shared" ref="M2279:M2280" si="1325">Q2279-K2279-O2279</f>
        <v>0.52</v>
      </c>
      <c r="N2279" s="1991"/>
      <c r="O2279" s="2000">
        <v>0</v>
      </c>
      <c r="P2279" s="1991"/>
      <c r="Q2279" s="2000">
        <f>ROUND(F2288*(1+$AB$1483),2)</f>
        <v>0.78</v>
      </c>
      <c r="R2279" s="1991"/>
      <c r="S2279" s="1644">
        <f t="shared" ref="S2279:Y2280" si="1326">ROUND($D2279*K2279,0)</f>
        <v>171044</v>
      </c>
      <c r="T2279" s="1643"/>
      <c r="U2279" s="1644">
        <f t="shared" si="1326"/>
        <v>342087</v>
      </c>
      <c r="V2279" s="1643"/>
      <c r="W2279" s="1644">
        <f t="shared" si="1326"/>
        <v>0</v>
      </c>
      <c r="X2279" s="1643"/>
      <c r="Y2279" s="1644">
        <f t="shared" si="1326"/>
        <v>513131</v>
      </c>
      <c r="AI2279" s="2023">
        <f>W2279-'Blocking-Step2'!W2279</f>
        <v>0</v>
      </c>
      <c r="AJ2279" s="2054">
        <f>O2279-'Blocking-Step2'!O2279</f>
        <v>0</v>
      </c>
    </row>
    <row r="2280" spans="1:36">
      <c r="A2280" s="1900" t="s">
        <v>1669</v>
      </c>
      <c r="C2280" s="528">
        <f t="shared" si="1324"/>
        <v>277598.74667151121</v>
      </c>
      <c r="D2280" s="528">
        <f t="shared" si="1324"/>
        <v>307104</v>
      </c>
      <c r="F2280" s="2000"/>
      <c r="G2280" s="1991"/>
      <c r="H2280" s="1644"/>
      <c r="I2280" s="1644"/>
      <c r="K2280" s="2000">
        <f>ROUND($Q2280*K1482/$Q1482,2)</f>
        <v>0.23</v>
      </c>
      <c r="L2280" s="1991"/>
      <c r="M2280" s="2000">
        <f t="shared" si="1325"/>
        <v>0.45999999999999996</v>
      </c>
      <c r="N2280" s="1991"/>
      <c r="O2280" s="2000">
        <v>0</v>
      </c>
      <c r="P2280" s="1991"/>
      <c r="Q2280" s="2000">
        <f>ROUND(Q2279/$AB$1489,2)</f>
        <v>0.69</v>
      </c>
      <c r="R2280" s="1991"/>
      <c r="S2280" s="1644">
        <f t="shared" si="1326"/>
        <v>70634</v>
      </c>
      <c r="T2280" s="1643"/>
      <c r="U2280" s="1644">
        <f t="shared" si="1326"/>
        <v>141268</v>
      </c>
      <c r="V2280" s="1643"/>
      <c r="W2280" s="1644">
        <f t="shared" si="1326"/>
        <v>0</v>
      </c>
      <c r="X2280" s="1643"/>
      <c r="Y2280" s="1644">
        <f t="shared" si="1326"/>
        <v>211902</v>
      </c>
      <c r="AI2280" s="2023">
        <f>W2280-'Blocking-Step2'!W2280</f>
        <v>0</v>
      </c>
      <c r="AJ2280" s="2054">
        <f>O2280-'Blocking-Step2'!O2280</f>
        <v>0</v>
      </c>
    </row>
    <row r="2281" spans="1:36">
      <c r="A2281" s="1900" t="s">
        <v>316</v>
      </c>
      <c r="C2281" s="528"/>
      <c r="D2281" s="528"/>
      <c r="F2281" s="2001"/>
      <c r="G2281" s="1992"/>
      <c r="H2281" s="1644"/>
      <c r="I2281" s="1644"/>
      <c r="K2281" s="2001"/>
      <c r="L2281" s="1992"/>
      <c r="M2281" s="2001"/>
      <c r="N2281" s="1992"/>
      <c r="O2281" s="2001"/>
      <c r="P2281" s="1992"/>
      <c r="Q2281" s="2001"/>
      <c r="R2281" s="1992"/>
      <c r="S2281" s="1644"/>
      <c r="T2281" s="1645"/>
      <c r="U2281" s="1644"/>
      <c r="V2281" s="1645"/>
      <c r="W2281" s="1644"/>
      <c r="X2281" s="1645"/>
      <c r="Y2281" s="1644"/>
      <c r="AI2281" s="2023">
        <f>W2281-'Blocking-Step2'!W2281</f>
        <v>0</v>
      </c>
      <c r="AJ2281" s="2054">
        <f>O2281-'Blocking-Step2'!O2281</f>
        <v>0</v>
      </c>
    </row>
    <row r="2282" spans="1:36">
      <c r="A2282" s="1900" t="s">
        <v>1668</v>
      </c>
      <c r="C2282" s="528">
        <f t="shared" ref="C2282:D2283" si="1327">C2386+C2490</f>
        <v>0</v>
      </c>
      <c r="D2282" s="528">
        <f t="shared" si="1327"/>
        <v>0</v>
      </c>
      <c r="F2282" s="2001"/>
      <c r="G2282" s="1992"/>
      <c r="H2282" s="1644"/>
      <c r="I2282" s="1644"/>
      <c r="K2282" s="2001">
        <f>ROUND($Q2282*K2279/$Q2279,2)</f>
        <v>0.13</v>
      </c>
      <c r="L2282" s="1992"/>
      <c r="M2282" s="2000">
        <f t="shared" ref="M2282:M2283" si="1328">Q2282-K2282-O2282</f>
        <v>0.26</v>
      </c>
      <c r="N2282" s="1991"/>
      <c r="O2282" s="2000">
        <v>0</v>
      </c>
      <c r="P2282" s="1992"/>
      <c r="Q2282" s="2000">
        <f>ROUND(F2291*(1+$AB$1483),2)</f>
        <v>0.39</v>
      </c>
      <c r="R2282" s="1992"/>
      <c r="S2282" s="1644">
        <f t="shared" ref="S2282:Y2283" si="1329">ROUND($D2282*K2282,0)</f>
        <v>0</v>
      </c>
      <c r="T2282" s="1645"/>
      <c r="U2282" s="1644">
        <f t="shared" si="1329"/>
        <v>0</v>
      </c>
      <c r="V2282" s="1645"/>
      <c r="W2282" s="1644">
        <f t="shared" si="1329"/>
        <v>0</v>
      </c>
      <c r="X2282" s="1645"/>
      <c r="Y2282" s="1644">
        <f t="shared" si="1329"/>
        <v>0</v>
      </c>
      <c r="AI2282" s="2023">
        <f>W2282-'Blocking-Step2'!W2282</f>
        <v>0</v>
      </c>
      <c r="AJ2282" s="2054">
        <f>O2282-'Blocking-Step2'!O2282</f>
        <v>0</v>
      </c>
    </row>
    <row r="2283" spans="1:36">
      <c r="A2283" s="1900" t="s">
        <v>1669</v>
      </c>
      <c r="C2283" s="528">
        <f t="shared" si="1327"/>
        <v>124384.92161982199</v>
      </c>
      <c r="D2283" s="528">
        <f t="shared" si="1327"/>
        <v>150561</v>
      </c>
      <c r="F2283" s="2001"/>
      <c r="G2283" s="1992"/>
      <c r="H2283" s="1644"/>
      <c r="I2283" s="1644"/>
      <c r="K2283" s="2001">
        <f>ROUND($Q2283*K2280/$Q2280,2)</f>
        <v>0.12</v>
      </c>
      <c r="L2283" s="1992"/>
      <c r="M2283" s="2000">
        <f t="shared" si="1328"/>
        <v>0.22999999999999998</v>
      </c>
      <c r="N2283" s="1991"/>
      <c r="O2283" s="2000">
        <v>0</v>
      </c>
      <c r="P2283" s="1992"/>
      <c r="Q2283" s="2000">
        <f>ROUND(Q2282/$AB$1489,2)</f>
        <v>0.35</v>
      </c>
      <c r="R2283" s="1992"/>
      <c r="S2283" s="1644">
        <f t="shared" si="1329"/>
        <v>18067</v>
      </c>
      <c r="T2283" s="1645"/>
      <c r="U2283" s="1644">
        <f t="shared" si="1329"/>
        <v>34629</v>
      </c>
      <c r="V2283" s="1645"/>
      <c r="W2283" s="1644">
        <f t="shared" si="1329"/>
        <v>0</v>
      </c>
      <c r="X2283" s="1645"/>
      <c r="Y2283" s="1644">
        <f t="shared" si="1329"/>
        <v>52696</v>
      </c>
      <c r="AI2283" s="2023">
        <f>W2283-'Blocking-Step2'!W2283</f>
        <v>0</v>
      </c>
      <c r="AJ2283" s="2054">
        <f>O2283-'Blocking-Step2'!O2283</f>
        <v>0</v>
      </c>
    </row>
    <row r="2284" spans="1:36">
      <c r="A2284" s="1900" t="s">
        <v>317</v>
      </c>
      <c r="C2284" s="528"/>
      <c r="D2284" s="528"/>
      <c r="F2284" s="2000"/>
      <c r="G2284" s="1902"/>
      <c r="H2284" s="1644"/>
      <c r="I2284" s="1644"/>
      <c r="K2284" s="2000"/>
      <c r="L2284" s="1902"/>
      <c r="M2284" s="2000"/>
      <c r="N2284" s="1902"/>
      <c r="O2284" s="2000"/>
      <c r="P2284" s="1902"/>
      <c r="Q2284" s="2000"/>
      <c r="R2284" s="1902"/>
      <c r="S2284" s="1644"/>
      <c r="T2284" s="1643"/>
      <c r="U2284" s="1644"/>
      <c r="V2284" s="1643"/>
      <c r="W2284" s="1644"/>
      <c r="X2284" s="1643"/>
      <c r="Y2284" s="1644"/>
      <c r="AI2284" s="2023">
        <f>W2284-'Blocking-Step2'!W2284</f>
        <v>0</v>
      </c>
      <c r="AJ2284" s="2054">
        <f>O2284-'Blocking-Step2'!O2284</f>
        <v>0</v>
      </c>
    </row>
    <row r="2285" spans="1:36">
      <c r="A2285" s="1900" t="s">
        <v>1668</v>
      </c>
      <c r="C2285" s="528">
        <f t="shared" ref="C2285:D2286" si="1330">C2389+C2493</f>
        <v>7090.2753568586704</v>
      </c>
      <c r="D2285" s="528">
        <f t="shared" si="1330"/>
        <v>6767</v>
      </c>
      <c r="F2285" s="2000"/>
      <c r="G2285" s="1902"/>
      <c r="H2285" s="1644"/>
      <c r="I2285" s="1644"/>
      <c r="K2285" s="2001">
        <f>ROUND($Q2285*K2279/$Q2279,2)</f>
        <v>11.05</v>
      </c>
      <c r="L2285" s="1992"/>
      <c r="M2285" s="2000">
        <f t="shared" ref="M2285:M2286" si="1331">Q2285-K2285-O2285</f>
        <v>22.09</v>
      </c>
      <c r="N2285" s="1991"/>
      <c r="O2285" s="2000">
        <v>0</v>
      </c>
      <c r="P2285" s="1902"/>
      <c r="Q2285" s="2000">
        <f>ROUND(F2294*(1+$AB$1483),2)</f>
        <v>33.14</v>
      </c>
      <c r="R2285" s="1902"/>
      <c r="S2285" s="1644">
        <f t="shared" ref="S2285:Y2286" si="1332">ROUND($D2285*K2285,0)</f>
        <v>74775</v>
      </c>
      <c r="T2285" s="1643"/>
      <c r="U2285" s="1644">
        <f t="shared" si="1332"/>
        <v>149483</v>
      </c>
      <c r="V2285" s="1643"/>
      <c r="W2285" s="1644">
        <f t="shared" si="1332"/>
        <v>0</v>
      </c>
      <c r="X2285" s="1643"/>
      <c r="Y2285" s="1644">
        <f t="shared" si="1332"/>
        <v>224258</v>
      </c>
      <c r="AI2285" s="2023">
        <f>W2285-'Blocking-Step2'!W2285</f>
        <v>0</v>
      </c>
      <c r="AJ2285" s="2054">
        <f>O2285-'Blocking-Step2'!O2285</f>
        <v>0</v>
      </c>
    </row>
    <row r="2286" spans="1:36">
      <c r="A2286" s="1900" t="s">
        <v>1669</v>
      </c>
      <c r="C2286" s="528">
        <f t="shared" si="1330"/>
        <v>1117.76039154251</v>
      </c>
      <c r="D2286" s="528">
        <f t="shared" si="1330"/>
        <v>1067</v>
      </c>
      <c r="F2286" s="2000"/>
      <c r="G2286" s="1902"/>
      <c r="H2286" s="1644"/>
      <c r="I2286" s="1644"/>
      <c r="K2286" s="2001">
        <f>ROUND($Q2286*K2280/$Q2280,2)</f>
        <v>9.7799999999999994</v>
      </c>
      <c r="L2286" s="1992"/>
      <c r="M2286" s="2000">
        <f t="shared" si="1331"/>
        <v>19.549999999999997</v>
      </c>
      <c r="N2286" s="1991"/>
      <c r="O2286" s="2000">
        <v>0</v>
      </c>
      <c r="P2286" s="1902"/>
      <c r="Q2286" s="2000">
        <f>ROUND(Q2285/$AB$1489,2)</f>
        <v>29.33</v>
      </c>
      <c r="R2286" s="1902"/>
      <c r="S2286" s="1644">
        <f t="shared" si="1332"/>
        <v>10435</v>
      </c>
      <c r="T2286" s="1643"/>
      <c r="U2286" s="1644">
        <f t="shared" si="1332"/>
        <v>20860</v>
      </c>
      <c r="V2286" s="1643"/>
      <c r="W2286" s="1644">
        <f t="shared" si="1332"/>
        <v>0</v>
      </c>
      <c r="X2286" s="1643"/>
      <c r="Y2286" s="1644">
        <f t="shared" si="1332"/>
        <v>31295</v>
      </c>
      <c r="AI2286" s="2023">
        <f>W2286-'Blocking-Step2'!W2286</f>
        <v>0</v>
      </c>
      <c r="AJ2286" s="2054">
        <f>O2286-'Blocking-Step2'!O2286</f>
        <v>0</v>
      </c>
    </row>
    <row r="2287" spans="1:36">
      <c r="A2287" s="1900" t="s">
        <v>315</v>
      </c>
      <c r="C2287" s="528"/>
      <c r="D2287" s="528"/>
      <c r="F2287" s="2000"/>
      <c r="G2287" s="1991"/>
      <c r="H2287" s="1644"/>
      <c r="I2287" s="1644"/>
      <c r="K2287" s="2000"/>
      <c r="L2287" s="1991"/>
      <c r="M2287" s="2000"/>
      <c r="N2287" s="1991"/>
      <c r="O2287" s="2000"/>
      <c r="P2287" s="1991"/>
      <c r="Q2287" s="2000"/>
      <c r="R2287" s="1991"/>
      <c r="S2287" s="1644"/>
      <c r="T2287" s="1643"/>
      <c r="U2287" s="1644"/>
      <c r="V2287" s="1643"/>
      <c r="W2287" s="1644"/>
      <c r="X2287" s="1643"/>
      <c r="Y2287" s="1644"/>
      <c r="AI2287" s="2023">
        <f>W2287-'Blocking-Step2'!W2287</f>
        <v>0</v>
      </c>
      <c r="AJ2287" s="2054">
        <f>O2287-'Blocking-Step2'!O2287</f>
        <v>0</v>
      </c>
    </row>
    <row r="2288" spans="1:36">
      <c r="A2288" s="1900" t="s">
        <v>944</v>
      </c>
      <c r="C2288" s="528">
        <f>C2392+C2496</f>
        <v>740481</v>
      </c>
      <c r="D2288" s="528">
        <f>D2392+D2496</f>
        <v>810741</v>
      </c>
      <c r="F2288" s="2000">
        <v>0.76</v>
      </c>
      <c r="G2288" s="1991"/>
      <c r="H2288" s="1644">
        <f>ROUND($F2288*C2288,0)</f>
        <v>562766</v>
      </c>
      <c r="I2288" s="1644">
        <f>ROUND($F2288*D2288,0)</f>
        <v>616163</v>
      </c>
      <c r="K2288" s="2000"/>
      <c r="L2288" s="1991"/>
      <c r="M2288" s="2000"/>
      <c r="N2288" s="1991"/>
      <c r="O2288" s="2000"/>
      <c r="P2288" s="1991"/>
      <c r="Q2288" s="2000"/>
      <c r="R2288" s="1991"/>
      <c r="S2288" s="1644"/>
      <c r="T2288" s="1643"/>
      <c r="U2288" s="1644"/>
      <c r="V2288" s="1643"/>
      <c r="W2288" s="1644"/>
      <c r="X2288" s="1643"/>
      <c r="Y2288" s="1644"/>
      <c r="AI2288" s="2023">
        <f>W2288-'Blocking-Step2'!W2288</f>
        <v>0</v>
      </c>
      <c r="AJ2288" s="2054">
        <f>O2288-'Blocking-Step2'!O2288</f>
        <v>0</v>
      </c>
    </row>
    <row r="2289" spans="1:36">
      <c r="A2289" s="1900" t="s">
        <v>945</v>
      </c>
      <c r="C2289" s="528">
        <f>C2393+C2497</f>
        <v>244379</v>
      </c>
      <c r="D2289" s="528">
        <f>D2393+D2497</f>
        <v>270354</v>
      </c>
      <c r="F2289" s="2000">
        <v>0.51</v>
      </c>
      <c r="G2289" s="1991"/>
      <c r="H2289" s="1644">
        <f>ROUND($F2289*C2289,0)</f>
        <v>124633</v>
      </c>
      <c r="I2289" s="1644">
        <f>ROUND($F2289*D2289,0)</f>
        <v>137881</v>
      </c>
      <c r="K2289" s="2000"/>
      <c r="L2289" s="1991"/>
      <c r="M2289" s="2000"/>
      <c r="N2289" s="1991"/>
      <c r="O2289" s="2000"/>
      <c r="P2289" s="1991"/>
      <c r="Q2289" s="2000"/>
      <c r="R2289" s="1991"/>
      <c r="S2289" s="1644"/>
      <c r="T2289" s="1643"/>
      <c r="U2289" s="1644"/>
      <c r="V2289" s="1643"/>
      <c r="W2289" s="1644"/>
      <c r="X2289" s="1643"/>
      <c r="Y2289" s="1644"/>
      <c r="AI2289" s="2023">
        <f>W2289-'Blocking-Step2'!W2289</f>
        <v>0</v>
      </c>
      <c r="AJ2289" s="2054">
        <f>O2289-'Blocking-Step2'!O2289</f>
        <v>0</v>
      </c>
    </row>
    <row r="2290" spans="1:36">
      <c r="A2290" s="1900" t="s">
        <v>316</v>
      </c>
      <c r="C2290" s="528"/>
      <c r="D2290" s="528"/>
      <c r="F2290" s="2001"/>
      <c r="G2290" s="1992"/>
      <c r="H2290" s="1644"/>
      <c r="I2290" s="1644"/>
      <c r="K2290" s="2001"/>
      <c r="L2290" s="1992"/>
      <c r="M2290" s="2001"/>
      <c r="N2290" s="1992"/>
      <c r="O2290" s="2001"/>
      <c r="P2290" s="1992"/>
      <c r="Q2290" s="2001"/>
      <c r="R2290" s="1992"/>
      <c r="S2290" s="1644"/>
      <c r="T2290" s="1645"/>
      <c r="U2290" s="1644"/>
      <c r="V2290" s="1645"/>
      <c r="W2290" s="1644"/>
      <c r="X2290" s="1645"/>
      <c r="Y2290" s="1644"/>
      <c r="AI2290" s="2023">
        <f>W2290-'Blocking-Step2'!W2290</f>
        <v>0</v>
      </c>
      <c r="AJ2290" s="2054">
        <f>O2290-'Blocking-Step2'!O2290</f>
        <v>0</v>
      </c>
    </row>
    <row r="2291" spans="1:36">
      <c r="A2291" s="1900" t="s">
        <v>944</v>
      </c>
      <c r="C2291" s="528">
        <f>C2395+C2499</f>
        <v>0</v>
      </c>
      <c r="D2291" s="528">
        <f>D2395+D2499</f>
        <v>0</v>
      </c>
      <c r="F2291" s="2001">
        <v>0.38</v>
      </c>
      <c r="G2291" s="1992"/>
      <c r="H2291" s="1644">
        <f>ROUND($F2291*C2291,0)</f>
        <v>0</v>
      </c>
      <c r="I2291" s="1644">
        <f>ROUND($F2291*D2291,0)</f>
        <v>0</v>
      </c>
      <c r="K2291" s="2001"/>
      <c r="L2291" s="1992"/>
      <c r="M2291" s="2001"/>
      <c r="N2291" s="1992"/>
      <c r="O2291" s="2001"/>
      <c r="P2291" s="1992"/>
      <c r="Q2291" s="2001"/>
      <c r="R2291" s="1992"/>
      <c r="S2291" s="1644"/>
      <c r="T2291" s="1645"/>
      <c r="U2291" s="1644"/>
      <c r="V2291" s="1645"/>
      <c r="W2291" s="1644"/>
      <c r="X2291" s="1645"/>
      <c r="Y2291" s="1644"/>
      <c r="AI2291" s="2023">
        <f>W2291-'Blocking-Step2'!W2291</f>
        <v>0</v>
      </c>
      <c r="AJ2291" s="2054">
        <f>O2291-'Blocking-Step2'!O2291</f>
        <v>0</v>
      </c>
    </row>
    <row r="2292" spans="1:36">
      <c r="A2292" s="1900" t="s">
        <v>945</v>
      </c>
      <c r="C2292" s="528">
        <f>C2396+C2500</f>
        <v>109500</v>
      </c>
      <c r="D2292" s="528">
        <f>D2396+D2500</f>
        <v>132544</v>
      </c>
      <c r="F2292" s="2001">
        <v>0.255</v>
      </c>
      <c r="G2292" s="1992"/>
      <c r="H2292" s="1644">
        <f>ROUND($F2292*C2292,0)</f>
        <v>27923</v>
      </c>
      <c r="I2292" s="1644">
        <f>ROUND($F2292*D2292,0)</f>
        <v>33799</v>
      </c>
      <c r="K2292" s="2001"/>
      <c r="L2292" s="1992"/>
      <c r="M2292" s="2001"/>
      <c r="N2292" s="1992"/>
      <c r="O2292" s="2001"/>
      <c r="P2292" s="1992"/>
      <c r="Q2292" s="2001"/>
      <c r="R2292" s="1992"/>
      <c r="S2292" s="1644"/>
      <c r="T2292" s="1645"/>
      <c r="U2292" s="1644"/>
      <c r="V2292" s="1645"/>
      <c r="W2292" s="1644"/>
      <c r="X2292" s="1645"/>
      <c r="Y2292" s="1644"/>
      <c r="AI2292" s="2023">
        <f>W2292-'Blocking-Step2'!W2292</f>
        <v>0</v>
      </c>
      <c r="AJ2292" s="2054">
        <f>O2292-'Blocking-Step2'!O2292</f>
        <v>0</v>
      </c>
    </row>
    <row r="2293" spans="1:36">
      <c r="A2293" s="1900" t="s">
        <v>317</v>
      </c>
      <c r="C2293" s="528"/>
      <c r="D2293" s="528"/>
      <c r="F2293" s="2000"/>
      <c r="G2293" s="1902"/>
      <c r="H2293" s="1644"/>
      <c r="I2293" s="1644"/>
      <c r="K2293" s="2000"/>
      <c r="L2293" s="1902"/>
      <c r="M2293" s="2000"/>
      <c r="N2293" s="1902"/>
      <c r="O2293" s="2000"/>
      <c r="P2293" s="1902"/>
      <c r="Q2293" s="2000"/>
      <c r="R2293" s="1902"/>
      <c r="S2293" s="1644"/>
      <c r="T2293" s="1643"/>
      <c r="U2293" s="1644"/>
      <c r="V2293" s="1643"/>
      <c r="W2293" s="1644"/>
      <c r="X2293" s="1643"/>
      <c r="Y2293" s="1644"/>
      <c r="AI2293" s="2023">
        <f>W2293-'Blocking-Step2'!W2293</f>
        <v>0</v>
      </c>
      <c r="AJ2293" s="2054">
        <f>O2293-'Blocking-Step2'!O2293</f>
        <v>0</v>
      </c>
    </row>
    <row r="2294" spans="1:36">
      <c r="A2294" s="1900" t="s">
        <v>944</v>
      </c>
      <c r="C2294" s="528">
        <f>C2398+C2502</f>
        <v>8738</v>
      </c>
      <c r="D2294" s="528">
        <f>D2398+D2502</f>
        <v>8339</v>
      </c>
      <c r="F2294" s="2000">
        <v>32.35</v>
      </c>
      <c r="G2294" s="1902"/>
      <c r="H2294" s="1644">
        <f>ROUND($F2294*C2294,0)</f>
        <v>282674</v>
      </c>
      <c r="I2294" s="1644">
        <f>ROUND($F2294*D2294,0)</f>
        <v>269767</v>
      </c>
      <c r="K2294" s="2000"/>
      <c r="L2294" s="1902"/>
      <c r="M2294" s="2000"/>
      <c r="N2294" s="1902"/>
      <c r="O2294" s="2000"/>
      <c r="P2294" s="1902"/>
      <c r="Q2294" s="2000"/>
      <c r="R2294" s="1902"/>
      <c r="S2294" s="1644"/>
      <c r="T2294" s="1643"/>
      <c r="U2294" s="1644"/>
      <c r="V2294" s="1643"/>
      <c r="W2294" s="1644"/>
      <c r="X2294" s="1643"/>
      <c r="Y2294" s="1644"/>
      <c r="AI2294" s="2023">
        <f>W2294-'Blocking-Step2'!W2294</f>
        <v>0</v>
      </c>
      <c r="AJ2294" s="2054">
        <f>O2294-'Blocking-Step2'!O2294</f>
        <v>0</v>
      </c>
    </row>
    <row r="2295" spans="1:36">
      <c r="A2295" s="1900" t="s">
        <v>945</v>
      </c>
      <c r="C2295" s="528">
        <f>C2399+C2503</f>
        <v>984</v>
      </c>
      <c r="D2295" s="528">
        <f>D2399+D2503</f>
        <v>939</v>
      </c>
      <c r="F2295" s="2000">
        <v>23.36</v>
      </c>
      <c r="G2295" s="1902"/>
      <c r="H2295" s="1644">
        <f>ROUND($F2295*C2295,0)</f>
        <v>22986</v>
      </c>
      <c r="I2295" s="1644">
        <f>ROUND($F2295*D2295,0)</f>
        <v>21935</v>
      </c>
      <c r="K2295" s="2000"/>
      <c r="L2295" s="1902"/>
      <c r="M2295" s="2000"/>
      <c r="N2295" s="1902"/>
      <c r="O2295" s="2000"/>
      <c r="P2295" s="1902"/>
      <c r="Q2295" s="2000"/>
      <c r="R2295" s="1902"/>
      <c r="S2295" s="1644"/>
      <c r="T2295" s="1643"/>
      <c r="U2295" s="1644"/>
      <c r="V2295" s="1643"/>
      <c r="W2295" s="1644"/>
      <c r="X2295" s="1643"/>
      <c r="Y2295" s="1644"/>
      <c r="AI2295" s="2023">
        <f>W2295-'Blocking-Step2'!W2295</f>
        <v>0</v>
      </c>
      <c r="AJ2295" s="2054">
        <f>O2295-'Blocking-Step2'!O2295</f>
        <v>0</v>
      </c>
    </row>
    <row r="2296" spans="1:36">
      <c r="A2296" s="1900" t="s">
        <v>397</v>
      </c>
      <c r="C2296" s="585"/>
      <c r="D2296" s="585"/>
      <c r="F2296" s="1943"/>
      <c r="G2296" s="1957"/>
      <c r="H2296" s="1030">
        <f>SUM(H2231:H2295)</f>
        <v>2036745</v>
      </c>
      <c r="I2296" s="1030">
        <f>SUM(I2231:I2295)</f>
        <v>2179358</v>
      </c>
      <c r="K2296" s="1943"/>
      <c r="L2296" s="1957"/>
      <c r="M2296" s="1943"/>
      <c r="N2296" s="1957"/>
      <c r="O2296" s="1943"/>
      <c r="P2296" s="1957"/>
      <c r="Q2296" s="1943"/>
      <c r="R2296" s="1957"/>
      <c r="S2296" s="1030">
        <f>SUM(S2231:S2295)</f>
        <v>1402980</v>
      </c>
      <c r="T2296" s="1645"/>
      <c r="U2296" s="1030">
        <f>SUM(U2231:U2295)</f>
        <v>757093</v>
      </c>
      <c r="V2296" s="1645"/>
      <c r="W2296" s="1030">
        <f>SUM(W2231:W2295)</f>
        <v>0</v>
      </c>
      <c r="X2296" s="1645"/>
      <c r="Y2296" s="1030">
        <f>SUM(Y2231:Y2295)</f>
        <v>2160073</v>
      </c>
      <c r="AI2296" s="2023">
        <f>W2296-'Blocking-Step2'!W2296</f>
        <v>0</v>
      </c>
      <c r="AJ2296" s="2054">
        <f>O2296-'Blocking-Step2'!O2296</f>
        <v>0</v>
      </c>
    </row>
    <row r="2297" spans="1:36">
      <c r="A2297" s="1987" t="s">
        <v>442</v>
      </c>
      <c r="S2297" s="1638"/>
      <c r="U2297" s="1638"/>
      <c r="W2297" s="1638"/>
      <c r="AI2297" s="2023">
        <f>W2297-'Blocking-Step2'!W2297</f>
        <v>0</v>
      </c>
      <c r="AJ2297" s="2054">
        <f>O2297-'Blocking-Step2'!O2297</f>
        <v>0</v>
      </c>
    </row>
    <row r="2298" spans="1:36">
      <c r="A2298" s="1897" t="s">
        <v>443</v>
      </c>
      <c r="C2298" s="528"/>
      <c r="D2298" s="528"/>
      <c r="F2298" s="1944"/>
      <c r="G2298" s="597"/>
      <c r="H2298" s="1644"/>
      <c r="I2298" s="1644"/>
      <c r="K2298" s="1944"/>
      <c r="L2298" s="597"/>
      <c r="M2298" s="1944"/>
      <c r="N2298" s="597"/>
      <c r="O2298" s="1944"/>
      <c r="P2298" s="597"/>
      <c r="Q2298" s="1944"/>
      <c r="R2298" s="597"/>
      <c r="S2298" s="1644"/>
      <c r="T2298" s="1645"/>
      <c r="U2298" s="1644"/>
      <c r="V2298" s="1645"/>
      <c r="W2298" s="1644"/>
      <c r="X2298" s="1645"/>
      <c r="Y2298" s="1644"/>
      <c r="AI2298" s="2023">
        <f>W2298-'Blocking-Step2'!W2298</f>
        <v>0</v>
      </c>
      <c r="AJ2298" s="2054">
        <f>O2298-'Blocking-Step2'!O2298</f>
        <v>0</v>
      </c>
    </row>
    <row r="2299" spans="1:36">
      <c r="A2299" s="1900" t="s">
        <v>168</v>
      </c>
      <c r="C2299" s="528">
        <f>C2403+C2507</f>
        <v>29129</v>
      </c>
      <c r="D2299" s="528">
        <f>D2403+D2507</f>
        <v>27799</v>
      </c>
      <c r="F2299" s="1944">
        <v>4.76</v>
      </c>
      <c r="G2299" s="597"/>
      <c r="H2299" s="1644">
        <f t="shared" ref="H2299:I2308" si="1333">ROUND($F2299*C2299,0)</f>
        <v>138654</v>
      </c>
      <c r="I2299" s="1644">
        <f t="shared" si="1333"/>
        <v>132323</v>
      </c>
      <c r="K2299" s="1944">
        <f t="shared" ref="K2299:K2305" si="1334">K1378</f>
        <v>4.78</v>
      </c>
      <c r="L2299" s="597"/>
      <c r="M2299" s="1944">
        <f t="shared" ref="M2299:M2305" si="1335">M1378</f>
        <v>0</v>
      </c>
      <c r="N2299" s="597"/>
      <c r="O2299" s="1944">
        <f t="shared" ref="O2299:O2305" si="1336">O1378</f>
        <v>0</v>
      </c>
      <c r="P2299" s="597"/>
      <c r="Q2299" s="1944">
        <f t="shared" ref="Q2299:Q2305" si="1337">Q1378</f>
        <v>4.78</v>
      </c>
      <c r="R2299" s="597"/>
      <c r="S2299" s="1644">
        <f t="shared" ref="S2299:Y2301" si="1338">ROUND($D2299*K2299,0)</f>
        <v>132879</v>
      </c>
      <c r="T2299" s="1645"/>
      <c r="U2299" s="1644">
        <f t="shared" si="1338"/>
        <v>0</v>
      </c>
      <c r="V2299" s="1645"/>
      <c r="W2299" s="1644">
        <f t="shared" si="1338"/>
        <v>0</v>
      </c>
      <c r="X2299" s="1645"/>
      <c r="Y2299" s="1644">
        <f t="shared" si="1338"/>
        <v>132879</v>
      </c>
      <c r="AI2299" s="2023">
        <f>W2299-'Blocking-Step2'!W2299</f>
        <v>0</v>
      </c>
      <c r="AJ2299" s="2054">
        <f>O2299-'Blocking-Step2'!O2299</f>
        <v>0</v>
      </c>
    </row>
    <row r="2300" spans="1:36">
      <c r="A2300" s="1900" t="s">
        <v>1651</v>
      </c>
      <c r="C2300" s="528">
        <f t="shared" ref="C2300:D2311" si="1339">C2404+C2508</f>
        <v>2828.2164038624519</v>
      </c>
      <c r="D2300" s="528">
        <f t="shared" si="1339"/>
        <v>2699</v>
      </c>
      <c r="F2300" s="1944"/>
      <c r="G2300" s="597"/>
      <c r="H2300" s="1644"/>
      <c r="I2300" s="1644"/>
      <c r="K2300" s="1944">
        <f t="shared" si="1334"/>
        <v>7.09</v>
      </c>
      <c r="L2300" s="597"/>
      <c r="M2300" s="1944">
        <f t="shared" si="1335"/>
        <v>8.5400000000000009</v>
      </c>
      <c r="N2300" s="597"/>
      <c r="O2300" s="1944">
        <f t="shared" si="1336"/>
        <v>0</v>
      </c>
      <c r="P2300" s="597"/>
      <c r="Q2300" s="1944">
        <f t="shared" si="1337"/>
        <v>15.63</v>
      </c>
      <c r="R2300" s="597"/>
      <c r="S2300" s="1644">
        <f t="shared" si="1338"/>
        <v>19136</v>
      </c>
      <c r="T2300" s="1645"/>
      <c r="U2300" s="1644">
        <f t="shared" si="1338"/>
        <v>23049</v>
      </c>
      <c r="V2300" s="1645"/>
      <c r="W2300" s="1644">
        <f t="shared" si="1338"/>
        <v>0</v>
      </c>
      <c r="X2300" s="1645"/>
      <c r="Y2300" s="1644">
        <f t="shared" si="1338"/>
        <v>42185</v>
      </c>
      <c r="AI2300" s="2023">
        <f>W2300-'Blocking-Step2'!W2300</f>
        <v>0</v>
      </c>
      <c r="AJ2300" s="2054">
        <f>O2300-'Blocking-Step2'!O2300</f>
        <v>0</v>
      </c>
    </row>
    <row r="2301" spans="1:36">
      <c r="A2301" s="1900" t="s">
        <v>1652</v>
      </c>
      <c r="C2301" s="528">
        <f t="shared" si="1339"/>
        <v>28169.780665940372</v>
      </c>
      <c r="D2301" s="528">
        <f t="shared" si="1339"/>
        <v>26884</v>
      </c>
      <c r="F2301" s="1944"/>
      <c r="G2301" s="597"/>
      <c r="H2301" s="1644"/>
      <c r="I2301" s="1644"/>
      <c r="K2301" s="1944">
        <f t="shared" si="1334"/>
        <v>6.28</v>
      </c>
      <c r="L2301" s="597"/>
      <c r="M2301" s="1944">
        <f t="shared" si="1335"/>
        <v>7.55</v>
      </c>
      <c r="N2301" s="597"/>
      <c r="O2301" s="1944">
        <f t="shared" si="1336"/>
        <v>0</v>
      </c>
      <c r="P2301" s="597"/>
      <c r="Q2301" s="1944">
        <f t="shared" si="1337"/>
        <v>13.83</v>
      </c>
      <c r="R2301" s="597"/>
      <c r="S2301" s="1644">
        <f t="shared" si="1338"/>
        <v>168832</v>
      </c>
      <c r="T2301" s="1645"/>
      <c r="U2301" s="1644">
        <f t="shared" si="1338"/>
        <v>202974</v>
      </c>
      <c r="V2301" s="1645"/>
      <c r="W2301" s="1644">
        <f t="shared" si="1338"/>
        <v>0</v>
      </c>
      <c r="X2301" s="1645"/>
      <c r="Y2301" s="1644">
        <f t="shared" si="1338"/>
        <v>371806</v>
      </c>
      <c r="AI2301" s="2023">
        <f>W2301-'Blocking-Step2'!W2301</f>
        <v>0</v>
      </c>
      <c r="AJ2301" s="2054">
        <f>O2301-'Blocking-Step2'!O2301</f>
        <v>0</v>
      </c>
    </row>
    <row r="2302" spans="1:36">
      <c r="A2302" s="1900" t="s">
        <v>1532</v>
      </c>
      <c r="C2302" s="528">
        <f t="shared" si="1339"/>
        <v>943370.68349318916</v>
      </c>
      <c r="D2302" s="528">
        <f t="shared" si="1339"/>
        <v>905085</v>
      </c>
      <c r="F2302" s="1943"/>
      <c r="G2302" s="1921"/>
      <c r="H2302" s="1644"/>
      <c r="I2302" s="1644"/>
      <c r="K2302" s="1943">
        <f t="shared" si="1334"/>
        <v>0</v>
      </c>
      <c r="L2302" s="1921" t="s">
        <v>495</v>
      </c>
      <c r="M2302" s="1943">
        <f t="shared" si="1335"/>
        <v>1.3503076530939992</v>
      </c>
      <c r="N2302" s="1921" t="s">
        <v>495</v>
      </c>
      <c r="O2302" s="1943">
        <f t="shared" si="1336"/>
        <v>4.4476704152740005</v>
      </c>
      <c r="P2302" s="1921" t="s">
        <v>495</v>
      </c>
      <c r="Q2302" s="1943">
        <f t="shared" si="1337"/>
        <v>5.7979780683679998</v>
      </c>
      <c r="R2302" s="1921" t="s">
        <v>495</v>
      </c>
      <c r="S2302" s="1644">
        <f>ROUND($D2302*K2302/100,0)</f>
        <v>0</v>
      </c>
      <c r="T2302" s="1648"/>
      <c r="U2302" s="1644">
        <f>ROUND($D2302*M2302/100,0)</f>
        <v>12221</v>
      </c>
      <c r="V2302" s="1648"/>
      <c r="W2302" s="1644">
        <f>ROUND($D2302*O2302/100,0)</f>
        <v>40255</v>
      </c>
      <c r="X2302" s="1648"/>
      <c r="Y2302" s="1644">
        <f>ROUND($D2302*Q2302/100,0)</f>
        <v>52477</v>
      </c>
      <c r="AI2302" s="2023">
        <f>W2302-'Blocking-Step2'!W2302</f>
        <v>0</v>
      </c>
      <c r="AJ2302" s="2054">
        <f>O2302-'Blocking-Step2'!O2302</f>
        <v>0</v>
      </c>
    </row>
    <row r="2303" spans="1:36">
      <c r="A2303" s="1900" t="s">
        <v>1653</v>
      </c>
      <c r="C2303" s="528">
        <f t="shared" si="1339"/>
        <v>2666759.3334862269</v>
      </c>
      <c r="D2303" s="528">
        <f t="shared" si="1339"/>
        <v>2558532</v>
      </c>
      <c r="F2303" s="1943"/>
      <c r="G2303" s="1921"/>
      <c r="H2303" s="1644"/>
      <c r="I2303" s="1644"/>
      <c r="K2303" s="1943">
        <f t="shared" si="1334"/>
        <v>0</v>
      </c>
      <c r="L2303" s="1921" t="s">
        <v>495</v>
      </c>
      <c r="M2303" s="1943">
        <f t="shared" si="1335"/>
        <v>1.3579342062780002</v>
      </c>
      <c r="N2303" s="1921" t="s">
        <v>495</v>
      </c>
      <c r="O2303" s="1943">
        <f t="shared" si="1336"/>
        <v>3.7730198365260001</v>
      </c>
      <c r="P2303" s="1921" t="s">
        <v>495</v>
      </c>
      <c r="Q2303" s="1943">
        <f t="shared" si="1337"/>
        <v>5.1309540428040004</v>
      </c>
      <c r="R2303" s="1921" t="s">
        <v>495</v>
      </c>
      <c r="S2303" s="1644">
        <f t="shared" ref="S2303:Y2305" si="1340">ROUND($D2303*K2303/100,0)</f>
        <v>0</v>
      </c>
      <c r="T2303" s="1648"/>
      <c r="U2303" s="1644">
        <f t="shared" si="1340"/>
        <v>34743</v>
      </c>
      <c r="V2303" s="1648"/>
      <c r="W2303" s="1644">
        <f t="shared" si="1340"/>
        <v>96534</v>
      </c>
      <c r="X2303" s="1648"/>
      <c r="Y2303" s="1644">
        <f t="shared" si="1340"/>
        <v>131277</v>
      </c>
      <c r="AI2303" s="2023">
        <f>W2303-'Blocking-Step2'!W2303</f>
        <v>0</v>
      </c>
      <c r="AJ2303" s="2054">
        <f>O2303-'Blocking-Step2'!O2303</f>
        <v>0</v>
      </c>
    </row>
    <row r="2304" spans="1:36">
      <c r="A2304" s="1900" t="s">
        <v>1533</v>
      </c>
      <c r="C2304" s="528">
        <f t="shared" si="1339"/>
        <v>4194488.0053539481</v>
      </c>
      <c r="D2304" s="528">
        <f t="shared" si="1339"/>
        <v>4024260</v>
      </c>
      <c r="F2304" s="1943"/>
      <c r="G2304" s="1921"/>
      <c r="H2304" s="1644"/>
      <c r="I2304" s="1644"/>
      <c r="K2304" s="1943">
        <f t="shared" si="1334"/>
        <v>0</v>
      </c>
      <c r="L2304" s="1921" t="s">
        <v>495</v>
      </c>
      <c r="M2304" s="1943">
        <f t="shared" si="1335"/>
        <v>1.3829047660919997</v>
      </c>
      <c r="N2304" s="1921" t="s">
        <v>495</v>
      </c>
      <c r="O2304" s="1943">
        <f t="shared" si="1336"/>
        <v>1.5641055047420001</v>
      </c>
      <c r="P2304" s="1921" t="s">
        <v>495</v>
      </c>
      <c r="Q2304" s="1943">
        <f t="shared" si="1337"/>
        <v>2.9470102708339998</v>
      </c>
      <c r="R2304" s="1921" t="s">
        <v>495</v>
      </c>
      <c r="S2304" s="1644">
        <f t="shared" si="1340"/>
        <v>0</v>
      </c>
      <c r="T2304" s="1648"/>
      <c r="U2304" s="1644">
        <f t="shared" si="1340"/>
        <v>55652</v>
      </c>
      <c r="V2304" s="1648"/>
      <c r="W2304" s="1644">
        <f t="shared" si="1340"/>
        <v>62944</v>
      </c>
      <c r="X2304" s="1648"/>
      <c r="Y2304" s="1644">
        <f t="shared" si="1340"/>
        <v>118595</v>
      </c>
      <c r="AI2304" s="2023">
        <f>W2304-'Blocking-Step2'!W2304</f>
        <v>0</v>
      </c>
      <c r="AJ2304" s="2054">
        <f>O2304-'Blocking-Step2'!O2304</f>
        <v>0</v>
      </c>
    </row>
    <row r="2305" spans="1:36">
      <c r="A2305" s="1900" t="s">
        <v>2177</v>
      </c>
      <c r="C2305" s="528">
        <f t="shared" si="1339"/>
        <v>7840981.977666636</v>
      </c>
      <c r="D2305" s="528">
        <f t="shared" si="1339"/>
        <v>7522766</v>
      </c>
      <c r="F2305" s="1943"/>
      <c r="G2305" s="1921"/>
      <c r="H2305" s="1644"/>
      <c r="I2305" s="1644"/>
      <c r="K2305" s="1943">
        <f t="shared" si="1334"/>
        <v>0</v>
      </c>
      <c r="L2305" s="1921" t="s">
        <v>495</v>
      </c>
      <c r="M2305" s="1943">
        <f t="shared" si="1335"/>
        <v>1.3867812089310003</v>
      </c>
      <c r="N2305" s="1921" t="s">
        <v>495</v>
      </c>
      <c r="O2305" s="1943">
        <f t="shared" si="1336"/>
        <v>1.2211924820729998</v>
      </c>
      <c r="P2305" s="1921" t="s">
        <v>495</v>
      </c>
      <c r="Q2305" s="1943">
        <f t="shared" si="1337"/>
        <v>2.6079736910040001</v>
      </c>
      <c r="R2305" s="1921" t="s">
        <v>495</v>
      </c>
      <c r="S2305" s="1644">
        <f t="shared" si="1340"/>
        <v>0</v>
      </c>
      <c r="T2305" s="1648"/>
      <c r="U2305" s="1644">
        <f t="shared" si="1340"/>
        <v>104324</v>
      </c>
      <c r="V2305" s="1648"/>
      <c r="W2305" s="1644">
        <f t="shared" si="1340"/>
        <v>91867</v>
      </c>
      <c r="X2305" s="1648"/>
      <c r="Y2305" s="1644">
        <f t="shared" si="1340"/>
        <v>196192</v>
      </c>
      <c r="AI2305" s="2023">
        <f>W2305-'Blocking-Step2'!W2305</f>
        <v>0</v>
      </c>
      <c r="AJ2305" s="2054">
        <f>O2305-'Blocking-Step2'!O2305</f>
        <v>0</v>
      </c>
    </row>
    <row r="2306" spans="1:36">
      <c r="A2306" s="1900" t="s">
        <v>18</v>
      </c>
      <c r="C2306" s="528">
        <f t="shared" si="1339"/>
        <v>3500</v>
      </c>
      <c r="D2306" s="528">
        <f t="shared" si="1339"/>
        <v>3340</v>
      </c>
      <c r="F2306" s="1944">
        <v>15.56</v>
      </c>
      <c r="G2306" s="597"/>
      <c r="H2306" s="1644">
        <f t="shared" si="1333"/>
        <v>54460</v>
      </c>
      <c r="I2306" s="1644">
        <f t="shared" si="1333"/>
        <v>51970</v>
      </c>
      <c r="K2306" s="1944"/>
      <c r="L2306" s="597"/>
      <c r="M2306" s="1944"/>
      <c r="N2306" s="597"/>
      <c r="O2306" s="1944"/>
      <c r="P2306" s="597"/>
      <c r="Q2306" s="1944"/>
      <c r="R2306" s="597"/>
      <c r="S2306" s="1644"/>
      <c r="T2306" s="1645"/>
      <c r="U2306" s="1644"/>
      <c r="V2306" s="1645"/>
      <c r="W2306" s="1644"/>
      <c r="X2306" s="1645"/>
      <c r="Y2306" s="1644"/>
      <c r="AI2306" s="2023">
        <f>W2306-'Blocking-Step2'!W2306</f>
        <v>0</v>
      </c>
      <c r="AJ2306" s="2054">
        <f>O2306-'Blocking-Step2'!O2306</f>
        <v>0</v>
      </c>
    </row>
    <row r="2307" spans="1:36">
      <c r="A2307" s="1900" t="s">
        <v>166</v>
      </c>
      <c r="C2307" s="528">
        <f t="shared" si="1339"/>
        <v>25538</v>
      </c>
      <c r="D2307" s="528">
        <f t="shared" si="1339"/>
        <v>24372</v>
      </c>
      <c r="F2307" s="1944">
        <v>11.19</v>
      </c>
      <c r="G2307" s="597"/>
      <c r="H2307" s="1644">
        <f t="shared" si="1333"/>
        <v>285770</v>
      </c>
      <c r="I2307" s="1644">
        <f t="shared" si="1333"/>
        <v>272723</v>
      </c>
      <c r="K2307" s="1944"/>
      <c r="L2307" s="597"/>
      <c r="M2307" s="1944"/>
      <c r="N2307" s="597"/>
      <c r="O2307" s="1944"/>
      <c r="P2307" s="597"/>
      <c r="Q2307" s="1944"/>
      <c r="R2307" s="597"/>
      <c r="S2307" s="1644"/>
      <c r="T2307" s="1645"/>
      <c r="U2307" s="1644"/>
      <c r="V2307" s="1645"/>
      <c r="W2307" s="1644"/>
      <c r="X2307" s="1645"/>
      <c r="Y2307" s="1644"/>
      <c r="AI2307" s="2023">
        <f>W2307-'Blocking-Step2'!W2307</f>
        <v>0</v>
      </c>
      <c r="AJ2307" s="2054">
        <f>O2307-'Blocking-Step2'!O2307</f>
        <v>0</v>
      </c>
    </row>
    <row r="2308" spans="1:36">
      <c r="A2308" s="1900" t="s">
        <v>261</v>
      </c>
      <c r="C2308" s="528">
        <f t="shared" si="1339"/>
        <v>29038</v>
      </c>
      <c r="D2308" s="528">
        <f t="shared" si="1339"/>
        <v>27713</v>
      </c>
      <c r="F2308" s="1944">
        <v>-1.1299999999999999</v>
      </c>
      <c r="G2308" s="597"/>
      <c r="H2308" s="1644">
        <f t="shared" si="1333"/>
        <v>-32813</v>
      </c>
      <c r="I2308" s="1644">
        <f t="shared" si="1333"/>
        <v>-31316</v>
      </c>
      <c r="K2308" s="1944">
        <f>K1387</f>
        <v>-1.1299999999999999</v>
      </c>
      <c r="L2308" s="597"/>
      <c r="M2308" s="1944">
        <f>M1387</f>
        <v>0</v>
      </c>
      <c r="N2308" s="597"/>
      <c r="O2308" s="1944">
        <f>O1387</f>
        <v>0</v>
      </c>
      <c r="P2308" s="597"/>
      <c r="Q2308" s="1944">
        <f>Q1387</f>
        <v>-1.1299999999999999</v>
      </c>
      <c r="R2308" s="597"/>
      <c r="S2308" s="1644">
        <f t="shared" ref="S2308:Y2308" si="1341">ROUND($D2308*K2308,0)</f>
        <v>-31316</v>
      </c>
      <c r="T2308" s="1645"/>
      <c r="U2308" s="1644">
        <f t="shared" si="1341"/>
        <v>0</v>
      </c>
      <c r="V2308" s="1645"/>
      <c r="W2308" s="1644">
        <f t="shared" si="1341"/>
        <v>0</v>
      </c>
      <c r="X2308" s="1645"/>
      <c r="Y2308" s="1644">
        <f t="shared" si="1341"/>
        <v>-31316</v>
      </c>
      <c r="AI2308" s="2023">
        <f>W2308-'Blocking-Step2'!W2308</f>
        <v>0</v>
      </c>
      <c r="AJ2308" s="2054">
        <f>O2308-'Blocking-Step2'!O2308</f>
        <v>0</v>
      </c>
    </row>
    <row r="2309" spans="1:36">
      <c r="A2309" s="1900" t="s">
        <v>188</v>
      </c>
      <c r="C2309" s="528">
        <f t="shared" si="1339"/>
        <v>1183200</v>
      </c>
      <c r="D2309" s="528">
        <f t="shared" si="1339"/>
        <v>1135181.6666666567</v>
      </c>
      <c r="F2309" s="1943">
        <v>5.0473999999999997</v>
      </c>
      <c r="G2309" s="1921" t="s">
        <v>495</v>
      </c>
      <c r="H2309" s="1644">
        <f t="shared" ref="H2309:I2311" si="1342">ROUND($F2309*C2309/100,0)</f>
        <v>59721</v>
      </c>
      <c r="I2309" s="1644">
        <f t="shared" si="1342"/>
        <v>57297</v>
      </c>
      <c r="K2309" s="1943"/>
      <c r="L2309" s="1921"/>
      <c r="M2309" s="1943"/>
      <c r="N2309" s="1921"/>
      <c r="O2309" s="1943"/>
      <c r="P2309" s="1921"/>
      <c r="Q2309" s="1943"/>
      <c r="R2309" s="1921"/>
      <c r="S2309" s="1644"/>
      <c r="T2309" s="1648"/>
      <c r="U2309" s="1644"/>
      <c r="V2309" s="1648"/>
      <c r="W2309" s="1644"/>
      <c r="X2309" s="1648"/>
      <c r="Y2309" s="1644"/>
      <c r="AI2309" s="2023">
        <f>W2309-'Blocking-Step2'!W2309</f>
        <v>0</v>
      </c>
      <c r="AJ2309" s="2054">
        <f>O2309-'Blocking-Step2'!O2309</f>
        <v>0</v>
      </c>
    </row>
    <row r="2310" spans="1:36">
      <c r="A2310" s="1900" t="s">
        <v>163</v>
      </c>
      <c r="C2310" s="528">
        <f t="shared" si="1339"/>
        <v>5407200</v>
      </c>
      <c r="D2310" s="528">
        <f t="shared" si="1339"/>
        <v>5187756</v>
      </c>
      <c r="F2310" s="1943">
        <v>3.9510999999999998</v>
      </c>
      <c r="G2310" s="1921" t="s">
        <v>495</v>
      </c>
      <c r="H2310" s="1644">
        <f t="shared" si="1342"/>
        <v>213644</v>
      </c>
      <c r="I2310" s="1644">
        <f t="shared" si="1342"/>
        <v>204973</v>
      </c>
      <c r="K2310" s="1943"/>
      <c r="L2310" s="1921"/>
      <c r="M2310" s="1943"/>
      <c r="N2310" s="1921"/>
      <c r="O2310" s="1943"/>
      <c r="P2310" s="1921"/>
      <c r="Q2310" s="1943"/>
      <c r="R2310" s="1921"/>
      <c r="S2310" s="1644"/>
      <c r="T2310" s="1648"/>
      <c r="U2310" s="1644"/>
      <c r="V2310" s="1648"/>
      <c r="W2310" s="1644"/>
      <c r="X2310" s="1648"/>
      <c r="Y2310" s="1644"/>
      <c r="AI2310" s="2023">
        <f>W2310-'Blocking-Step2'!W2310</f>
        <v>0</v>
      </c>
      <c r="AJ2310" s="2054">
        <f>O2310-'Blocking-Step2'!O2310</f>
        <v>0</v>
      </c>
    </row>
    <row r="2311" spans="1:36">
      <c r="A2311" s="1900" t="s">
        <v>249</v>
      </c>
      <c r="C2311" s="856">
        <f t="shared" si="1339"/>
        <v>9055200</v>
      </c>
      <c r="D2311" s="856">
        <f t="shared" si="1339"/>
        <v>8687706</v>
      </c>
      <c r="F2311" s="2003">
        <v>3.4001999999999999</v>
      </c>
      <c r="G2311" s="1921" t="s">
        <v>495</v>
      </c>
      <c r="H2311" s="1654">
        <f t="shared" si="1342"/>
        <v>307895</v>
      </c>
      <c r="I2311" s="1654">
        <f t="shared" si="1342"/>
        <v>295399</v>
      </c>
      <c r="K2311" s="2003"/>
      <c r="L2311" s="1921"/>
      <c r="M2311" s="2003"/>
      <c r="N2311" s="1921"/>
      <c r="O2311" s="2003"/>
      <c r="P2311" s="1921"/>
      <c r="Q2311" s="2003"/>
      <c r="R2311" s="1921"/>
      <c r="S2311" s="1654"/>
      <c r="T2311" s="1648"/>
      <c r="U2311" s="1654"/>
      <c r="V2311" s="1648"/>
      <c r="W2311" s="1654"/>
      <c r="X2311" s="1648"/>
      <c r="Y2311" s="1654"/>
      <c r="AI2311" s="2023">
        <f>W2311-'Blocking-Step2'!W2311</f>
        <v>0</v>
      </c>
      <c r="AJ2311" s="2054">
        <f>O2311-'Blocking-Step2'!O2311</f>
        <v>0</v>
      </c>
    </row>
    <row r="2312" spans="1:36">
      <c r="A2312" s="1900" t="s">
        <v>1240</v>
      </c>
      <c r="C2312" s="584"/>
      <c r="D2312" s="584"/>
      <c r="F2312" s="1930">
        <v>-3.1800000000000002E-2</v>
      </c>
      <c r="G2312" s="597"/>
      <c r="H2312" s="1644">
        <f>SUM(H2306:H2307,H2309:H2311)*$F2312</f>
        <v>-29303.382000000001</v>
      </c>
      <c r="I2312" s="1644">
        <f>SUM(I2306:I2307,I2309:I2311)*$F2312</f>
        <v>-28059.1116</v>
      </c>
      <c r="K2312" s="1930"/>
      <c r="L2312" s="597"/>
      <c r="M2312" s="1930"/>
      <c r="N2312" s="597"/>
      <c r="O2312" s="1931" t="str">
        <f>$O$43</f>
        <v>Tax Year 1 (1/1/2021)</v>
      </c>
      <c r="P2312" s="597"/>
      <c r="Q2312" s="1930">
        <f>Q1392</f>
        <v>-1.46E-2</v>
      </c>
      <c r="R2312" s="597"/>
      <c r="S2312" s="1644"/>
      <c r="T2312" s="1645"/>
      <c r="U2312" s="1644"/>
      <c r="V2312" s="1645"/>
      <c r="W2312" s="1644"/>
      <c r="X2312" s="1645"/>
      <c r="Y2312" s="1644">
        <f>Q2312*SUM(Y2300:Y2305)</f>
        <v>-13322.967200000001</v>
      </c>
      <c r="AI2312" s="2023">
        <f>W2312-'Blocking-Step2'!W2312</f>
        <v>0</v>
      </c>
      <c r="AJ2312" s="2054">
        <f>O2312-'Blocking-Step2'!O2312</f>
        <v>0</v>
      </c>
    </row>
    <row r="2313" spans="1:36">
      <c r="A2313" s="1900"/>
      <c r="C2313" s="584"/>
      <c r="D2313" s="584"/>
      <c r="F2313" s="1930"/>
      <c r="G2313" s="597"/>
      <c r="H2313" s="1644"/>
      <c r="I2313" s="1644"/>
      <c r="K2313" s="1930"/>
      <c r="L2313" s="597"/>
      <c r="M2313" s="1930"/>
      <c r="N2313" s="597"/>
      <c r="O2313" s="1931">
        <f>$O$44</f>
        <v>0</v>
      </c>
      <c r="P2313" s="597"/>
      <c r="Q2313" s="1930">
        <f>Q1393</f>
        <v>0</v>
      </c>
      <c r="R2313" s="597"/>
      <c r="S2313" s="1644"/>
      <c r="T2313" s="1645"/>
      <c r="U2313" s="1644"/>
      <c r="V2313" s="1645"/>
      <c r="W2313" s="1644"/>
      <c r="X2313" s="1645"/>
      <c r="Y2313" s="1644">
        <f>Q2313*SUM(Y2300:Y2305)</f>
        <v>0</v>
      </c>
      <c r="AI2313" s="2023">
        <f>W2313-'Blocking-Step2'!W2313</f>
        <v>0</v>
      </c>
      <c r="AJ2313" s="2054">
        <f>O2313-'Blocking-Step2'!O2313</f>
        <v>0</v>
      </c>
    </row>
    <row r="2314" spans="1:36">
      <c r="A2314" s="1897" t="s">
        <v>444</v>
      </c>
      <c r="C2314" s="528"/>
      <c r="D2314" s="528"/>
      <c r="F2314" s="1944"/>
      <c r="G2314" s="597"/>
      <c r="H2314" s="1644"/>
      <c r="I2314" s="1644"/>
      <c r="K2314" s="1944"/>
      <c r="L2314" s="597"/>
      <c r="M2314" s="1944"/>
      <c r="N2314" s="597"/>
      <c r="O2314" s="1944"/>
      <c r="P2314" s="597"/>
      <c r="Q2314" s="1944"/>
      <c r="R2314" s="597"/>
      <c r="S2314" s="1644"/>
      <c r="T2314" s="1645"/>
      <c r="U2314" s="1644"/>
      <c r="V2314" s="1645"/>
      <c r="W2314" s="1644"/>
      <c r="X2314" s="1645"/>
      <c r="Y2314" s="1644"/>
      <c r="AI2314" s="2023">
        <f>W2314-'Blocking-Step2'!W2314</f>
        <v>0</v>
      </c>
      <c r="AJ2314" s="2054">
        <f>O2314-'Blocking-Step2'!O2314</f>
        <v>0</v>
      </c>
    </row>
    <row r="2315" spans="1:36">
      <c r="A2315" s="1900" t="s">
        <v>168</v>
      </c>
      <c r="C2315" s="528">
        <f>C2419+C2523</f>
        <v>272193</v>
      </c>
      <c r="D2315" s="528">
        <f>D2419+D2523</f>
        <v>283278</v>
      </c>
      <c r="F2315" s="1944">
        <v>2.2200000000000002</v>
      </c>
      <c r="G2315" s="597"/>
      <c r="H2315" s="1644">
        <f t="shared" ref="H2315:I2323" si="1343">ROUND($F2315*C2315,0)</f>
        <v>604268</v>
      </c>
      <c r="I2315" s="1644">
        <f t="shared" si="1343"/>
        <v>628877</v>
      </c>
      <c r="K2315" s="1944">
        <f t="shared" ref="K2315:K2321" si="1344">K1480</f>
        <v>2.27</v>
      </c>
      <c r="L2315" s="597"/>
      <c r="M2315" s="1944">
        <f t="shared" ref="M2315:M2321" si="1345">M1480</f>
        <v>0</v>
      </c>
      <c r="N2315" s="597"/>
      <c r="O2315" s="1944">
        <f t="shared" ref="O2315:O2321" si="1346">O1480</f>
        <v>0</v>
      </c>
      <c r="P2315" s="597"/>
      <c r="Q2315" s="1944">
        <f t="shared" ref="Q2315:Q2321" si="1347">Q1480</f>
        <v>2.27</v>
      </c>
      <c r="R2315" s="597"/>
      <c r="S2315" s="1644">
        <f t="shared" ref="S2315:Y2317" si="1348">ROUND($D2315*K2315,0)</f>
        <v>643041</v>
      </c>
      <c r="T2315" s="1645"/>
      <c r="U2315" s="1644">
        <f t="shared" si="1348"/>
        <v>0</v>
      </c>
      <c r="V2315" s="1645"/>
      <c r="W2315" s="1644">
        <f t="shared" si="1348"/>
        <v>0</v>
      </c>
      <c r="X2315" s="1645"/>
      <c r="Y2315" s="1644">
        <f t="shared" si="1348"/>
        <v>643041</v>
      </c>
      <c r="AI2315" s="2023">
        <f>W2315-'Blocking-Step2'!W2315</f>
        <v>0</v>
      </c>
      <c r="AJ2315" s="2054">
        <f>O2315-'Blocking-Step2'!O2315</f>
        <v>0</v>
      </c>
    </row>
    <row r="2316" spans="1:36">
      <c r="A2316" s="1900" t="s">
        <v>1651</v>
      </c>
      <c r="C2316" s="528">
        <f t="shared" ref="C2316:D2326" si="1349">C2420+C2524</f>
        <v>94439.903634551389</v>
      </c>
      <c r="D2316" s="528">
        <f t="shared" si="1349"/>
        <v>96907</v>
      </c>
      <c r="F2316" s="1944"/>
      <c r="G2316" s="597"/>
      <c r="H2316" s="1644"/>
      <c r="I2316" s="1644"/>
      <c r="K2316" s="1944">
        <f t="shared" si="1344"/>
        <v>4.6900000000000004</v>
      </c>
      <c r="L2316" s="597"/>
      <c r="M2316" s="1944">
        <f t="shared" si="1345"/>
        <v>9.61</v>
      </c>
      <c r="N2316" s="597"/>
      <c r="O2316" s="1944">
        <f t="shared" si="1346"/>
        <v>0</v>
      </c>
      <c r="P2316" s="597"/>
      <c r="Q2316" s="1944">
        <f t="shared" si="1347"/>
        <v>14.3</v>
      </c>
      <c r="R2316" s="597"/>
      <c r="S2316" s="1644">
        <f t="shared" si="1348"/>
        <v>454494</v>
      </c>
      <c r="T2316" s="1645"/>
      <c r="U2316" s="1644">
        <f t="shared" si="1348"/>
        <v>931276</v>
      </c>
      <c r="V2316" s="1645"/>
      <c r="W2316" s="1644">
        <f t="shared" si="1348"/>
        <v>0</v>
      </c>
      <c r="X2316" s="1645"/>
      <c r="Y2316" s="1644">
        <f t="shared" si="1348"/>
        <v>1385770</v>
      </c>
      <c r="AI2316" s="2023">
        <f>W2316-'Blocking-Step2'!W2316</f>
        <v>0</v>
      </c>
      <c r="AJ2316" s="2054">
        <f>O2316-'Blocking-Step2'!O2316</f>
        <v>0</v>
      </c>
    </row>
    <row r="2317" spans="1:36">
      <c r="A2317" s="1900" t="s">
        <v>1652</v>
      </c>
      <c r="C2317" s="528">
        <f t="shared" si="1349"/>
        <v>171966.98186467227</v>
      </c>
      <c r="D2317" s="528">
        <f t="shared" si="1349"/>
        <v>180946</v>
      </c>
      <c r="F2317" s="1944"/>
      <c r="G2317" s="597"/>
      <c r="H2317" s="1644"/>
      <c r="I2317" s="1644"/>
      <c r="K2317" s="1944">
        <f t="shared" si="1344"/>
        <v>4.1500000000000004</v>
      </c>
      <c r="L2317" s="597"/>
      <c r="M2317" s="1944">
        <f t="shared" si="1345"/>
        <v>8.5</v>
      </c>
      <c r="N2317" s="597"/>
      <c r="O2317" s="1944">
        <f t="shared" si="1346"/>
        <v>0</v>
      </c>
      <c r="P2317" s="597"/>
      <c r="Q2317" s="1944">
        <f t="shared" si="1347"/>
        <v>12.65</v>
      </c>
      <c r="R2317" s="597"/>
      <c r="S2317" s="1644">
        <f t="shared" si="1348"/>
        <v>750926</v>
      </c>
      <c r="T2317" s="1645"/>
      <c r="U2317" s="1644">
        <f t="shared" si="1348"/>
        <v>1538041</v>
      </c>
      <c r="V2317" s="1645"/>
      <c r="W2317" s="1644">
        <f t="shared" si="1348"/>
        <v>0</v>
      </c>
      <c r="X2317" s="1645"/>
      <c r="Y2317" s="1644">
        <f t="shared" si="1348"/>
        <v>2288967</v>
      </c>
      <c r="AI2317" s="2023">
        <f>W2317-'Blocking-Step2'!W2317</f>
        <v>0</v>
      </c>
      <c r="AJ2317" s="2054">
        <f>O2317-'Blocking-Step2'!O2317</f>
        <v>0</v>
      </c>
    </row>
    <row r="2318" spans="1:36">
      <c r="A2318" s="1900" t="s">
        <v>1532</v>
      </c>
      <c r="C2318" s="528">
        <f t="shared" si="1349"/>
        <v>14297570.662985027</v>
      </c>
      <c r="D2318" s="528">
        <f t="shared" si="1349"/>
        <v>14609917</v>
      </c>
      <c r="F2318" s="1942"/>
      <c r="G2318" s="1921"/>
      <c r="H2318" s="1644"/>
      <c r="I2318" s="1644"/>
      <c r="K2318" s="1942">
        <f t="shared" si="1344"/>
        <v>0</v>
      </c>
      <c r="L2318" s="1921" t="s">
        <v>495</v>
      </c>
      <c r="M2318" s="1942">
        <f t="shared" si="1345"/>
        <v>1.0266514814000001</v>
      </c>
      <c r="N2318" s="1921" t="s">
        <v>495</v>
      </c>
      <c r="O2318" s="1942">
        <f t="shared" si="1346"/>
        <v>4.1108761607000002</v>
      </c>
      <c r="P2318" s="1921" t="s">
        <v>495</v>
      </c>
      <c r="Q2318" s="1942">
        <f t="shared" si="1347"/>
        <v>5.1375276421000002</v>
      </c>
      <c r="R2318" s="1921" t="s">
        <v>495</v>
      </c>
      <c r="S2318" s="1644">
        <f>ROUND($D2318*K2318/100,0)</f>
        <v>0</v>
      </c>
      <c r="T2318" s="1648"/>
      <c r="U2318" s="1644">
        <f>ROUND($D2318*M2318/100,0)</f>
        <v>149993</v>
      </c>
      <c r="V2318" s="1648"/>
      <c r="W2318" s="1644">
        <f>ROUND($D2318*O2318/100,0)</f>
        <v>600596</v>
      </c>
      <c r="X2318" s="1648"/>
      <c r="Y2318" s="1644">
        <f>ROUND($D2318*Q2318/100,0)</f>
        <v>750589</v>
      </c>
      <c r="AI2318" s="2023">
        <f>W2318-'Blocking-Step2'!W2318</f>
        <v>0</v>
      </c>
      <c r="AJ2318" s="2054">
        <f>O2318-'Blocking-Step2'!O2318</f>
        <v>0</v>
      </c>
    </row>
    <row r="2319" spans="1:36">
      <c r="A2319" s="1900" t="s">
        <v>1653</v>
      </c>
      <c r="C2319" s="528">
        <f t="shared" si="1349"/>
        <v>20978455.284624182</v>
      </c>
      <c r="D2319" s="528">
        <f t="shared" si="1349"/>
        <v>21736230</v>
      </c>
      <c r="F2319" s="1942"/>
      <c r="G2319" s="1921"/>
      <c r="H2319" s="1644"/>
      <c r="I2319" s="1644"/>
      <c r="K2319" s="1942">
        <f t="shared" si="1344"/>
        <v>0</v>
      </c>
      <c r="L2319" s="1921" t="s">
        <v>495</v>
      </c>
      <c r="M2319" s="1942">
        <f t="shared" si="1345"/>
        <v>1.0342499835399996</v>
      </c>
      <c r="N2319" s="1921" t="s">
        <v>495</v>
      </c>
      <c r="O2319" s="1942">
        <f t="shared" si="1346"/>
        <v>3.5122346554870001</v>
      </c>
      <c r="P2319" s="1921" t="s">
        <v>495</v>
      </c>
      <c r="Q2319" s="1942">
        <f t="shared" si="1347"/>
        <v>4.5464846390269997</v>
      </c>
      <c r="R2319" s="1921" t="s">
        <v>495</v>
      </c>
      <c r="S2319" s="1644">
        <f t="shared" ref="S2319:Y2321" si="1350">ROUND($D2319*K2319/100,0)</f>
        <v>0</v>
      </c>
      <c r="T2319" s="1648"/>
      <c r="U2319" s="1644">
        <f t="shared" si="1350"/>
        <v>224807</v>
      </c>
      <c r="V2319" s="1648"/>
      <c r="W2319" s="1644">
        <f t="shared" si="1350"/>
        <v>763427</v>
      </c>
      <c r="X2319" s="1648"/>
      <c r="Y2319" s="1644">
        <f t="shared" si="1350"/>
        <v>988234</v>
      </c>
      <c r="AI2319" s="2023">
        <f>W2319-'Blocking-Step2'!W2319</f>
        <v>0</v>
      </c>
      <c r="AJ2319" s="2054">
        <f>O2319-'Blocking-Step2'!O2319</f>
        <v>0</v>
      </c>
    </row>
    <row r="2320" spans="1:36">
      <c r="A2320" s="1900" t="s">
        <v>1533</v>
      </c>
      <c r="C2320" s="528">
        <f t="shared" si="1349"/>
        <v>46087699.508693144</v>
      </c>
      <c r="D2320" s="528">
        <f t="shared" si="1349"/>
        <v>47389695</v>
      </c>
      <c r="F2320" s="1942"/>
      <c r="G2320" s="1921"/>
      <c r="H2320" s="1644"/>
      <c r="I2320" s="1644"/>
      <c r="K2320" s="1942">
        <f t="shared" si="1344"/>
        <v>0</v>
      </c>
      <c r="L2320" s="1921" t="s">
        <v>495</v>
      </c>
      <c r="M2320" s="1942">
        <f t="shared" si="1345"/>
        <v>1.0591286997309999</v>
      </c>
      <c r="N2320" s="1921" t="s">
        <v>495</v>
      </c>
      <c r="O2320" s="1942">
        <f t="shared" si="1346"/>
        <v>1.5521862361710002</v>
      </c>
      <c r="P2320" s="1921" t="s">
        <v>495</v>
      </c>
      <c r="Q2320" s="1942">
        <f t="shared" si="1347"/>
        <v>2.611314935902</v>
      </c>
      <c r="R2320" s="1921" t="s">
        <v>495</v>
      </c>
      <c r="S2320" s="1644">
        <f t="shared" si="1350"/>
        <v>0</v>
      </c>
      <c r="T2320" s="1648"/>
      <c r="U2320" s="1644">
        <f t="shared" si="1350"/>
        <v>501918</v>
      </c>
      <c r="V2320" s="1648"/>
      <c r="W2320" s="1644">
        <f t="shared" si="1350"/>
        <v>735576</v>
      </c>
      <c r="X2320" s="1648"/>
      <c r="Y2320" s="1644">
        <f t="shared" si="1350"/>
        <v>1237494</v>
      </c>
      <c r="AI2320" s="2023">
        <f>W2320-'Blocking-Step2'!W2320</f>
        <v>0</v>
      </c>
      <c r="AJ2320" s="2054">
        <f>O2320-'Blocking-Step2'!O2320</f>
        <v>0</v>
      </c>
    </row>
    <row r="2321" spans="1:36">
      <c r="A2321" s="1900" t="s">
        <v>2177</v>
      </c>
      <c r="C2321" s="586">
        <f t="shared" si="1349"/>
        <v>88097430.543697655</v>
      </c>
      <c r="D2321" s="586">
        <f t="shared" si="1349"/>
        <v>90512657.666666657</v>
      </c>
      <c r="F2321" s="2004"/>
      <c r="G2321" s="1921"/>
      <c r="H2321" s="1649"/>
      <c r="I2321" s="1649"/>
      <c r="K2321" s="2004">
        <f t="shared" si="1344"/>
        <v>0</v>
      </c>
      <c r="L2321" s="1921" t="s">
        <v>495</v>
      </c>
      <c r="M2321" s="2004">
        <f t="shared" si="1345"/>
        <v>1.0629908847180001</v>
      </c>
      <c r="N2321" s="1921" t="s">
        <v>495</v>
      </c>
      <c r="O2321" s="2004">
        <f t="shared" si="1346"/>
        <v>1.247907288647</v>
      </c>
      <c r="P2321" s="1921" t="s">
        <v>495</v>
      </c>
      <c r="Q2321" s="2004">
        <f t="shared" si="1347"/>
        <v>2.310898173365</v>
      </c>
      <c r="R2321" s="1921" t="s">
        <v>495</v>
      </c>
      <c r="S2321" s="1644">
        <f t="shared" si="1350"/>
        <v>0</v>
      </c>
      <c r="T2321" s="1648"/>
      <c r="U2321" s="1644">
        <f t="shared" si="1350"/>
        <v>962141</v>
      </c>
      <c r="V2321" s="1648"/>
      <c r="W2321" s="1644">
        <f t="shared" si="1350"/>
        <v>1129514</v>
      </c>
      <c r="X2321" s="1648"/>
      <c r="Y2321" s="1644">
        <f t="shared" si="1350"/>
        <v>2091655</v>
      </c>
      <c r="AI2321" s="2023">
        <f>W2321-'Blocking-Step2'!W2321</f>
        <v>0</v>
      </c>
      <c r="AJ2321" s="2054">
        <f>O2321-'Blocking-Step2'!O2321</f>
        <v>0</v>
      </c>
    </row>
    <row r="2322" spans="1:36">
      <c r="A2322" s="1900" t="s">
        <v>18</v>
      </c>
      <c r="C2322" s="528">
        <f t="shared" si="1349"/>
        <v>116387</v>
      </c>
      <c r="D2322" s="528">
        <f t="shared" si="1349"/>
        <v>119427</v>
      </c>
      <c r="F2322" s="1944">
        <v>13.96</v>
      </c>
      <c r="G2322" s="597"/>
      <c r="H2322" s="1644">
        <f t="shared" si="1343"/>
        <v>1624763</v>
      </c>
      <c r="I2322" s="1644">
        <f t="shared" si="1343"/>
        <v>1667201</v>
      </c>
      <c r="K2322" s="1944"/>
      <c r="L2322" s="597"/>
      <c r="M2322" s="1944"/>
      <c r="N2322" s="597"/>
      <c r="O2322" s="1944"/>
      <c r="P2322" s="597"/>
      <c r="Q2322" s="1944"/>
      <c r="R2322" s="597"/>
      <c r="S2322" s="1644"/>
      <c r="T2322" s="1645"/>
      <c r="U2322" s="1644"/>
      <c r="V2322" s="1645"/>
      <c r="W2322" s="1644"/>
      <c r="X2322" s="1645"/>
      <c r="Y2322" s="1644"/>
      <c r="AI2322" s="2023">
        <f>W2322-'Blocking-Step2'!W2322</f>
        <v>0</v>
      </c>
      <c r="AJ2322" s="2054">
        <f>O2322-'Blocking-Step2'!O2322</f>
        <v>0</v>
      </c>
    </row>
    <row r="2323" spans="1:36">
      <c r="A2323" s="1900" t="s">
        <v>166</v>
      </c>
      <c r="C2323" s="528">
        <f t="shared" si="1349"/>
        <v>151388</v>
      </c>
      <c r="D2323" s="528">
        <f t="shared" si="1349"/>
        <v>159292</v>
      </c>
      <c r="F2323" s="1944">
        <v>9.4700000000000006</v>
      </c>
      <c r="G2323" s="597"/>
      <c r="H2323" s="1644">
        <f t="shared" si="1343"/>
        <v>1433644</v>
      </c>
      <c r="I2323" s="1644">
        <f t="shared" si="1343"/>
        <v>1508495</v>
      </c>
      <c r="K2323" s="1944"/>
      <c r="L2323" s="597"/>
      <c r="M2323" s="1944"/>
      <c r="N2323" s="597"/>
      <c r="O2323" s="1944"/>
      <c r="P2323" s="597"/>
      <c r="Q2323" s="1944"/>
      <c r="R2323" s="597"/>
      <c r="S2323" s="1644"/>
      <c r="T2323" s="1645"/>
      <c r="U2323" s="1644"/>
      <c r="V2323" s="1645"/>
      <c r="W2323" s="1644"/>
      <c r="X2323" s="1645"/>
      <c r="Y2323" s="1644"/>
      <c r="AI2323" s="2023">
        <f>W2323-'Blocking-Step2'!W2323</f>
        <v>0</v>
      </c>
      <c r="AJ2323" s="2054">
        <f>O2323-'Blocking-Step2'!O2323</f>
        <v>0</v>
      </c>
    </row>
    <row r="2324" spans="1:36">
      <c r="A2324" s="1900" t="s">
        <v>19</v>
      </c>
      <c r="C2324" s="528">
        <f t="shared" si="1349"/>
        <v>20671943</v>
      </c>
      <c r="D2324" s="528">
        <f t="shared" si="1349"/>
        <v>21123545</v>
      </c>
      <c r="F2324" s="1942">
        <v>4.6531000000000002</v>
      </c>
      <c r="G2324" s="1921" t="s">
        <v>495</v>
      </c>
      <c r="H2324" s="1644">
        <f t="shared" ref="H2324:I2326" si="1351">ROUND($F2324*C2324/100,0)</f>
        <v>961886</v>
      </c>
      <c r="I2324" s="1644">
        <f t="shared" si="1351"/>
        <v>982900</v>
      </c>
      <c r="K2324" s="1942"/>
      <c r="L2324" s="1921"/>
      <c r="M2324" s="1942"/>
      <c r="N2324" s="1921"/>
      <c r="O2324" s="1942"/>
      <c r="P2324" s="1921"/>
      <c r="Q2324" s="1942"/>
      <c r="R2324" s="1921"/>
      <c r="S2324" s="1644"/>
      <c r="T2324" s="1648"/>
      <c r="U2324" s="1644"/>
      <c r="V2324" s="1648"/>
      <c r="W2324" s="1644"/>
      <c r="X2324" s="1648"/>
      <c r="Y2324" s="1644"/>
      <c r="AI2324" s="2023">
        <f>W2324-'Blocking-Step2'!W2324</f>
        <v>0</v>
      </c>
      <c r="AJ2324" s="2054">
        <f>O2324-'Blocking-Step2'!O2324</f>
        <v>0</v>
      </c>
    </row>
    <row r="2325" spans="1:36">
      <c r="A2325" s="1900" t="s">
        <v>257</v>
      </c>
      <c r="C2325" s="528">
        <f t="shared" si="1349"/>
        <v>41988517</v>
      </c>
      <c r="D2325" s="528">
        <f t="shared" si="1349"/>
        <v>43505207</v>
      </c>
      <c r="F2325" s="1942">
        <v>3.4988999999999999</v>
      </c>
      <c r="G2325" s="1921" t="s">
        <v>495</v>
      </c>
      <c r="H2325" s="1644">
        <f t="shared" si="1351"/>
        <v>1469136</v>
      </c>
      <c r="I2325" s="1644">
        <f t="shared" si="1351"/>
        <v>1522204</v>
      </c>
      <c r="K2325" s="1942"/>
      <c r="L2325" s="1921"/>
      <c r="M2325" s="1942"/>
      <c r="N2325" s="1921"/>
      <c r="O2325" s="1942"/>
      <c r="P2325" s="1921"/>
      <c r="Q2325" s="1942"/>
      <c r="R2325" s="1921"/>
      <c r="S2325" s="1644"/>
      <c r="T2325" s="1648"/>
      <c r="U2325" s="1644"/>
      <c r="V2325" s="1648"/>
      <c r="W2325" s="1644"/>
      <c r="X2325" s="1648"/>
      <c r="Y2325" s="1644"/>
      <c r="AA2325" s="1104" t="s">
        <v>1743</v>
      </c>
      <c r="AB2325" s="1890">
        <f>Y2331/I2331-1</f>
        <v>1.4924032311934399E-2</v>
      </c>
      <c r="AI2325" s="2023">
        <f>W2325-'Blocking-Step2'!W2325</f>
        <v>0</v>
      </c>
      <c r="AJ2325" s="2054">
        <f>O2325-'Blocking-Step2'!O2325</f>
        <v>0</v>
      </c>
    </row>
    <row r="2326" spans="1:36">
      <c r="A2326" s="1900" t="s">
        <v>249</v>
      </c>
      <c r="C2326" s="586">
        <f t="shared" si="1349"/>
        <v>106800696</v>
      </c>
      <c r="D2326" s="586">
        <f t="shared" si="1349"/>
        <v>109619747</v>
      </c>
      <c r="F2326" s="2004">
        <v>2.9224999999999999</v>
      </c>
      <c r="G2326" s="1921" t="s">
        <v>495</v>
      </c>
      <c r="H2326" s="1649">
        <f t="shared" si="1351"/>
        <v>3121250</v>
      </c>
      <c r="I2326" s="1649">
        <f t="shared" si="1351"/>
        <v>3203637</v>
      </c>
      <c r="K2326" s="2004"/>
      <c r="L2326" s="1921"/>
      <c r="M2326" s="2004"/>
      <c r="N2326" s="1921"/>
      <c r="O2326" s="2004"/>
      <c r="P2326" s="1921"/>
      <c r="Q2326" s="2004"/>
      <c r="R2326" s="1921"/>
      <c r="S2326" s="1649"/>
      <c r="T2326" s="1648"/>
      <c r="U2326" s="1649"/>
      <c r="V2326" s="1648"/>
      <c r="W2326" s="1649"/>
      <c r="X2326" s="1648"/>
      <c r="Y2326" s="1649"/>
      <c r="AI2326" s="2023">
        <f>W2326-'Blocking-Step2'!W2326</f>
        <v>0</v>
      </c>
      <c r="AJ2326" s="2054">
        <f>O2326-'Blocking-Step2'!O2326</f>
        <v>0</v>
      </c>
    </row>
    <row r="2327" spans="1:36">
      <c r="A2327" s="1900" t="s">
        <v>1240</v>
      </c>
      <c r="C2327" s="584"/>
      <c r="D2327" s="584"/>
      <c r="F2327" s="2005">
        <v>-3.0700000000000002E-2</v>
      </c>
      <c r="G2327" s="597"/>
      <c r="H2327" s="2006">
        <f>SUM(H2322:H2326)*$F2327</f>
        <v>-264347.84529999999</v>
      </c>
      <c r="I2327" s="2006">
        <f>SUM(I2322:I2326)*$F2327</f>
        <v>-272752.21590000001</v>
      </c>
      <c r="K2327" s="2005"/>
      <c r="L2327" s="597"/>
      <c r="M2327" s="2005"/>
      <c r="N2327" s="597"/>
      <c r="O2327" s="1931" t="str">
        <f>$O$43</f>
        <v>Tax Year 1 (1/1/2021)</v>
      </c>
      <c r="P2327" s="597"/>
      <c r="Q2327" s="1930">
        <f>Q1493</f>
        <v>-1.41E-2</v>
      </c>
      <c r="R2327" s="597"/>
      <c r="S2327" s="1644"/>
      <c r="T2327" s="1645"/>
      <c r="U2327" s="1644"/>
      <c r="V2327" s="1645"/>
      <c r="W2327" s="1644"/>
      <c r="X2327" s="1645"/>
      <c r="Y2327" s="1644">
        <f>Q2327*SUM(Y2316:Y2321)</f>
        <v>-123272.1969</v>
      </c>
      <c r="AI2327" s="2023">
        <f>W2327-'Blocking-Step2'!W2327</f>
        <v>0</v>
      </c>
      <c r="AJ2327" s="2054">
        <f>O2327-'Blocking-Step2'!O2327</f>
        <v>0</v>
      </c>
    </row>
    <row r="2328" spans="1:36">
      <c r="A2328" s="1900"/>
      <c r="C2328" s="584"/>
      <c r="D2328" s="584"/>
      <c r="F2328" s="1997"/>
      <c r="G2328" s="597"/>
      <c r="H2328" s="1645"/>
      <c r="I2328" s="1645"/>
      <c r="K2328" s="1997"/>
      <c r="L2328" s="597"/>
      <c r="M2328" s="1997"/>
      <c r="N2328" s="597"/>
      <c r="O2328" s="1931">
        <f>$O$44</f>
        <v>0</v>
      </c>
      <c r="P2328" s="597"/>
      <c r="Q2328" s="1930">
        <f>Q1494</f>
        <v>0</v>
      </c>
      <c r="R2328" s="597"/>
      <c r="S2328" s="1644"/>
      <c r="T2328" s="1645"/>
      <c r="U2328" s="1644"/>
      <c r="V2328" s="1645"/>
      <c r="W2328" s="1644"/>
      <c r="X2328" s="1645"/>
      <c r="Y2328" s="1644">
        <f>Q2328*SUM(Y2316:Y2321)</f>
        <v>0</v>
      </c>
      <c r="AI2328" s="2023">
        <f>W2328-'Blocking-Step2'!W2328</f>
        <v>0</v>
      </c>
      <c r="AJ2328" s="2054">
        <f>O2328-'Blocking-Step2'!O2328</f>
        <v>0</v>
      </c>
    </row>
    <row r="2329" spans="1:36">
      <c r="A2329" s="1900" t="s">
        <v>397</v>
      </c>
      <c r="C2329" s="584"/>
      <c r="D2329" s="584"/>
      <c r="F2329" s="1872"/>
      <c r="G2329" s="1921"/>
      <c r="H2329" s="1645">
        <f>SUM(H2299:H2327)</f>
        <v>9948626.7727000006</v>
      </c>
      <c r="I2329" s="1645">
        <f>SUM(I2299:I2327)</f>
        <v>10195871.672499999</v>
      </c>
      <c r="K2329" s="1872"/>
      <c r="L2329" s="1921"/>
      <c r="M2329" s="1872"/>
      <c r="N2329" s="1921"/>
      <c r="O2329" s="1872"/>
      <c r="P2329" s="1921"/>
      <c r="Q2329" s="1872"/>
      <c r="R2329" s="1921"/>
      <c r="S2329" s="1645">
        <f>SUM(S2299:S2311,S2315:S2326)</f>
        <v>2137992</v>
      </c>
      <c r="T2329" s="1648"/>
      <c r="U2329" s="1645">
        <f>SUM(U2299:U2311,U2315:U2326)</f>
        <v>4741139</v>
      </c>
      <c r="V2329" s="1648"/>
      <c r="W2329" s="1645">
        <f>SUM(W2299:W2311,W2315:W2326)</f>
        <v>3520713</v>
      </c>
      <c r="X2329" s="1648"/>
      <c r="Y2329" s="1645">
        <f>SUM(Y2299:Y2311,Y2315:Y2326)</f>
        <v>10399845</v>
      </c>
      <c r="AA2329" s="1932" t="s">
        <v>1940</v>
      </c>
      <c r="AB2329" s="1932"/>
      <c r="AC2329" s="1932"/>
      <c r="AD2329" s="1932"/>
      <c r="AI2329" s="2023">
        <f>W2329-'Blocking-Step2'!W2329</f>
        <v>0</v>
      </c>
      <c r="AJ2329" s="2054">
        <f>O2329-'Blocking-Step2'!O2329</f>
        <v>0</v>
      </c>
    </row>
    <row r="2330" spans="1:36">
      <c r="A2330" s="1869" t="s">
        <v>136</v>
      </c>
      <c r="C2330" s="585">
        <f>C2434+C2538</f>
        <v>-102498</v>
      </c>
      <c r="D2330" s="585">
        <f>D2434+D2538</f>
        <v>0</v>
      </c>
      <c r="F2330" s="1943"/>
      <c r="G2330" s="1957"/>
      <c r="H2330" s="1030">
        <f>H2434+H2538</f>
        <v>-7456</v>
      </c>
      <c r="I2330" s="1030">
        <f>I2434+I2538</f>
        <v>0</v>
      </c>
      <c r="K2330" s="1943"/>
      <c r="L2330" s="1957"/>
      <c r="M2330" s="1943"/>
      <c r="N2330" s="1957"/>
      <c r="O2330" s="1943"/>
      <c r="P2330" s="1957"/>
      <c r="Q2330" s="1943"/>
      <c r="R2330" s="1957"/>
      <c r="S2330" s="1030"/>
      <c r="T2330" s="1645"/>
      <c r="U2330" s="1030"/>
      <c r="V2330" s="1645"/>
      <c r="W2330" s="1030"/>
      <c r="X2330" s="1645"/>
      <c r="Y2330" s="1030"/>
      <c r="AA2330" s="1933" t="s">
        <v>1660</v>
      </c>
      <c r="AB2330" s="1933" t="s">
        <v>1661</v>
      </c>
      <c r="AC2330" s="1933" t="s">
        <v>1662</v>
      </c>
      <c r="AD2330" s="1933" t="s">
        <v>93</v>
      </c>
      <c r="AI2330" s="2023">
        <f>W2330-'Blocking-Step2'!W2330</f>
        <v>0</v>
      </c>
      <c r="AJ2330" s="2054">
        <f>O2330-'Blocking-Step2'!O2330</f>
        <v>0</v>
      </c>
    </row>
    <row r="2331" spans="1:36" ht="16.5" thickBot="1">
      <c r="A2331" s="1900" t="s">
        <v>173</v>
      </c>
      <c r="C2331" s="1949">
        <f>SUM(C2309:C2311,C2324:C2326,C2330)</f>
        <v>185004258</v>
      </c>
      <c r="D2331" s="1949">
        <f>SUM(D2309:D2311,D2324:D2326,D2330)</f>
        <v>189259142.66666666</v>
      </c>
      <c r="F2331" s="1939"/>
      <c r="H2331" s="1647">
        <f>H2296+H2329+H2330</f>
        <v>11977915.772700001</v>
      </c>
      <c r="I2331" s="1647">
        <f>I2296+I2329+I2330</f>
        <v>12375229.672499999</v>
      </c>
      <c r="K2331" s="1939"/>
      <c r="M2331" s="1939"/>
      <c r="O2331" s="1939"/>
      <c r="Q2331" s="1939"/>
      <c r="S2331" s="1647">
        <f>S2296+S2329</f>
        <v>3540972</v>
      </c>
      <c r="T2331" s="1646"/>
      <c r="U2331" s="1647">
        <f>U2296+U2329</f>
        <v>5498232</v>
      </c>
      <c r="V2331" s="1646"/>
      <c r="W2331" s="1647">
        <f>W2296+W2329</f>
        <v>3520713</v>
      </c>
      <c r="Y2331" s="1647">
        <f>Y2296+Y2329</f>
        <v>12559918</v>
      </c>
      <c r="AA2331" s="1937">
        <f>'Unit Cost Target'!$H$87+'Unit Cost Target'!$H$123+'Unit Cost Target'!$H$129+'Unit Cost Target'!$H$75+'Unit Cost Target'!$H$81</f>
        <v>59241729.768442243</v>
      </c>
      <c r="AB2331" s="1937">
        <f>'Unit Cost Target'!$H$45+'Unit Cost Target'!$H$51</f>
        <v>130872894.84307647</v>
      </c>
      <c r="AC2331" s="1937">
        <f>'Unit Cost Target'!$H$33+'Unit Cost Target'!$H$39+'Unit Cost Target'!$H$63+'Unit Cost Target'!$H$69</f>
        <v>97407843.091679543</v>
      </c>
      <c r="AD2331" s="1937">
        <f>SUM(AA2331:AC2331)</f>
        <v>287522467.70319825</v>
      </c>
      <c r="AE2331" s="1937">
        <f>AD2331-'Unit Cost Target'!$H$21</f>
        <v>0</v>
      </c>
      <c r="AI2331" s="2023">
        <f>W2331-'Blocking-Step2'!W2331</f>
        <v>0</v>
      </c>
      <c r="AJ2331" s="2054">
        <f>O2331-'Blocking-Step2'!O2331</f>
        <v>0</v>
      </c>
    </row>
    <row r="2332" spans="1:36" ht="16.5" hidden="1" thickTop="1">
      <c r="AA2332" s="1937">
        <f>SUM(S2296,S2329)-S2331</f>
        <v>0</v>
      </c>
      <c r="AB2332" s="1937">
        <f>SUM(U2296,U2329)-U2331</f>
        <v>0</v>
      </c>
      <c r="AC2332" s="1937">
        <f>SUM(W2296,W2329)-W2331</f>
        <v>0</v>
      </c>
      <c r="AD2332" s="1937">
        <f>SUM(AA2332:AC2332)</f>
        <v>0</v>
      </c>
      <c r="AE2332" s="1937"/>
      <c r="AI2332" s="2023">
        <f>W2332-'Blocking-Step2'!W2332</f>
        <v>0</v>
      </c>
      <c r="AJ2332" s="2054">
        <f>O2332-'Blocking-Step2'!O2332</f>
        <v>0</v>
      </c>
    </row>
    <row r="2333" spans="1:36" hidden="1">
      <c r="A2333" s="1897" t="s">
        <v>938</v>
      </c>
      <c r="C2333" s="528"/>
      <c r="D2333" s="528"/>
      <c r="F2333" s="1943"/>
      <c r="G2333" s="1957"/>
      <c r="K2333" s="1943"/>
      <c r="L2333" s="1957"/>
      <c r="M2333" s="1943"/>
      <c r="N2333" s="1957"/>
      <c r="O2333" s="1943"/>
      <c r="P2333" s="1957"/>
      <c r="Q2333" s="1943"/>
      <c r="R2333" s="1957"/>
      <c r="S2333" s="1645"/>
      <c r="T2333" s="1645"/>
      <c r="U2333" s="1645"/>
      <c r="V2333" s="1645"/>
      <c r="W2333" s="1645"/>
      <c r="X2333" s="1645"/>
      <c r="AI2333" s="2023">
        <f>W2333-'Blocking-Step2'!W2333</f>
        <v>0</v>
      </c>
      <c r="AJ2333" s="2054">
        <f>O2333-'Blocking-Step2'!O2333</f>
        <v>0</v>
      </c>
    </row>
    <row r="2334" spans="1:36" hidden="1">
      <c r="A2334" s="1987" t="s">
        <v>181</v>
      </c>
      <c r="C2334" s="528"/>
      <c r="D2334" s="528"/>
      <c r="AI2334" s="2023">
        <f>W2334-'Blocking-Step2'!W2334</f>
        <v>0</v>
      </c>
      <c r="AJ2334" s="2054">
        <f>O2334-'Blocking-Step2'!O2334</f>
        <v>0</v>
      </c>
    </row>
    <row r="2335" spans="1:36" hidden="1">
      <c r="A2335" s="1900" t="s">
        <v>312</v>
      </c>
      <c r="B2335" s="1900"/>
      <c r="C2335" s="528"/>
      <c r="D2335" s="528"/>
      <c r="F2335" s="2000">
        <v>133</v>
      </c>
      <c r="G2335" s="1902"/>
      <c r="H2335" s="1644">
        <f>ROUND($F2335*C2335,0)</f>
        <v>0</v>
      </c>
      <c r="I2335" s="1644">
        <f>ROUND($F2335*D2335,0)</f>
        <v>0</v>
      </c>
      <c r="K2335" s="2000">
        <f>K2231</f>
        <v>136</v>
      </c>
      <c r="L2335" s="1902"/>
      <c r="M2335" s="2000">
        <f>M2231</f>
        <v>0</v>
      </c>
      <c r="N2335" s="1902"/>
      <c r="O2335" s="2000">
        <f>O2231</f>
        <v>0</v>
      </c>
      <c r="P2335" s="1902"/>
      <c r="Q2335" s="2000">
        <f>Q2231</f>
        <v>136</v>
      </c>
      <c r="R2335" s="1902"/>
      <c r="S2335" s="1644">
        <f>ROUND($D2335*K2335,0)</f>
        <v>0</v>
      </c>
      <c r="T2335" s="1643"/>
      <c r="U2335" s="1644">
        <f>ROUND($D2335*M2335,0)</f>
        <v>0</v>
      </c>
      <c r="V2335" s="1643"/>
      <c r="W2335" s="1644">
        <f>ROUND($D2335*O2335,0)</f>
        <v>0</v>
      </c>
      <c r="X2335" s="1643"/>
      <c r="Y2335" s="1644">
        <f>ROUND($D2335*Q2335,0)</f>
        <v>0</v>
      </c>
      <c r="AI2335" s="2023">
        <f>W2335-'Blocking-Step2'!W2335</f>
        <v>0</v>
      </c>
      <c r="AJ2335" s="2054">
        <f>O2335-'Blocking-Step2'!O2335</f>
        <v>0</v>
      </c>
    </row>
    <row r="2336" spans="1:36" hidden="1">
      <c r="A2336" s="1900" t="s">
        <v>313</v>
      </c>
      <c r="B2336" s="1900"/>
      <c r="C2336" s="528"/>
      <c r="D2336" s="528"/>
      <c r="F2336" s="2000">
        <v>5.6</v>
      </c>
      <c r="G2336" s="1902"/>
      <c r="H2336" s="1644">
        <f>ROUND($F2336*C2336,0)</f>
        <v>0</v>
      </c>
      <c r="I2336" s="1644">
        <f>ROUND($F2336*D2336,0)</f>
        <v>0</v>
      </c>
      <c r="K2336" s="2000">
        <f>K2232</f>
        <v>5.74</v>
      </c>
      <c r="L2336" s="1902"/>
      <c r="M2336" s="2000">
        <f>M2232</f>
        <v>0</v>
      </c>
      <c r="N2336" s="1902"/>
      <c r="O2336" s="2000">
        <f>O2232</f>
        <v>0</v>
      </c>
      <c r="P2336" s="1902"/>
      <c r="Q2336" s="2000">
        <f>Q2232</f>
        <v>5.74</v>
      </c>
      <c r="R2336" s="1902"/>
      <c r="S2336" s="1644">
        <f>ROUND($D2336*K2336,0)</f>
        <v>0</v>
      </c>
      <c r="T2336" s="1643"/>
      <c r="U2336" s="1644">
        <f>ROUND($D2336*M2336,0)</f>
        <v>0</v>
      </c>
      <c r="V2336" s="1643"/>
      <c r="W2336" s="1644">
        <f>ROUND($D2336*O2336,0)</f>
        <v>0</v>
      </c>
      <c r="X2336" s="1643"/>
      <c r="Y2336" s="1644">
        <f>ROUND($D2336*Q2336,0)</f>
        <v>0</v>
      </c>
      <c r="AI2336" s="2023">
        <f>W2336-'Blocking-Step2'!W2336</f>
        <v>0</v>
      </c>
      <c r="AJ2336" s="2054">
        <f>O2336-'Blocking-Step2'!O2336</f>
        <v>0</v>
      </c>
    </row>
    <row r="2337" spans="1:36" hidden="1">
      <c r="A2337" s="1900" t="s">
        <v>314</v>
      </c>
      <c r="B2337" s="1900"/>
      <c r="C2337" s="528"/>
      <c r="D2337" s="528"/>
      <c r="F2337" s="2001"/>
      <c r="G2337" s="597"/>
      <c r="H2337" s="1644"/>
      <c r="I2337" s="1644"/>
      <c r="K2337" s="2001"/>
      <c r="L2337" s="597"/>
      <c r="M2337" s="2001"/>
      <c r="N2337" s="597"/>
      <c r="O2337" s="2001"/>
      <c r="P2337" s="597"/>
      <c r="Q2337" s="2001"/>
      <c r="R2337" s="597"/>
      <c r="S2337" s="1644"/>
      <c r="T2337" s="1645"/>
      <c r="U2337" s="1644"/>
      <c r="V2337" s="1645"/>
      <c r="W2337" s="1644"/>
      <c r="X2337" s="1645"/>
      <c r="Y2337" s="1644"/>
      <c r="AI2337" s="2023">
        <f>W2337-'Blocking-Step2'!W2337</f>
        <v>0</v>
      </c>
      <c r="AJ2337" s="2054">
        <f>O2337-'Blocking-Step2'!O2337</f>
        <v>0</v>
      </c>
    </row>
    <row r="2338" spans="1:36" hidden="1">
      <c r="A2338" s="1900" t="s">
        <v>315</v>
      </c>
      <c r="B2338" s="1900"/>
      <c r="C2338" s="528"/>
      <c r="D2338" s="528"/>
      <c r="F2338" s="2000"/>
      <c r="G2338" s="1991"/>
      <c r="H2338" s="1644"/>
      <c r="I2338" s="1644"/>
      <c r="K2338" s="2000"/>
      <c r="L2338" s="1991"/>
      <c r="M2338" s="2000"/>
      <c r="N2338" s="1991"/>
      <c r="O2338" s="2000"/>
      <c r="P2338" s="1991"/>
      <c r="Q2338" s="2000"/>
      <c r="R2338" s="1991"/>
      <c r="S2338" s="1644"/>
      <c r="T2338" s="1643"/>
      <c r="U2338" s="1644"/>
      <c r="V2338" s="1643"/>
      <c r="W2338" s="1644"/>
      <c r="X2338" s="1643"/>
      <c r="Y2338" s="1644"/>
      <c r="Z2338" s="1878" t="s">
        <v>251</v>
      </c>
      <c r="AI2338" s="2023">
        <f>W2338-'Blocking-Step2'!W2338</f>
        <v>0</v>
      </c>
      <c r="AJ2338" s="2054">
        <f>O2338-'Blocking-Step2'!O2338</f>
        <v>0</v>
      </c>
    </row>
    <row r="2339" spans="1:36" hidden="1">
      <c r="A2339" s="1900" t="s">
        <v>1668</v>
      </c>
      <c r="B2339" s="1900"/>
      <c r="C2339" s="528"/>
      <c r="D2339" s="528"/>
      <c r="F2339" s="2000"/>
      <c r="G2339" s="1991"/>
      <c r="H2339" s="1644"/>
      <c r="I2339" s="1644"/>
      <c r="K2339" s="2000">
        <f t="shared" ref="K2339:K2340" si="1352">K2235</f>
        <v>0.41</v>
      </c>
      <c r="L2339" s="1991"/>
      <c r="M2339" s="2000">
        <f t="shared" ref="M2339:M2340" si="1353">M2235</f>
        <v>0.49000000000000005</v>
      </c>
      <c r="N2339" s="1991"/>
      <c r="O2339" s="2000">
        <f t="shared" ref="O2339:O2340" si="1354">O2235</f>
        <v>0</v>
      </c>
      <c r="P2339" s="1991"/>
      <c r="Q2339" s="2000">
        <f t="shared" ref="Q2339:Q2340" si="1355">Q2235</f>
        <v>0.9</v>
      </c>
      <c r="R2339" s="1991"/>
      <c r="S2339" s="1644">
        <f t="shared" ref="S2339:S2340" si="1356">ROUND($D2339*K2339,0)</f>
        <v>0</v>
      </c>
      <c r="T2339" s="1643"/>
      <c r="U2339" s="1644">
        <f t="shared" ref="U2339:Y2340" si="1357">ROUND($D2339*M2339,0)</f>
        <v>0</v>
      </c>
      <c r="V2339" s="1643"/>
      <c r="W2339" s="1644">
        <f t="shared" si="1357"/>
        <v>0</v>
      </c>
      <c r="X2339" s="1643"/>
      <c r="Y2339" s="1644">
        <f t="shared" si="1357"/>
        <v>0</v>
      </c>
      <c r="Z2339" s="1878">
        <f>'Large Profile'!L10</f>
        <v>0.81143000192935111</v>
      </c>
      <c r="AI2339" s="2023">
        <f>W2339-'Blocking-Step2'!W2339</f>
        <v>0</v>
      </c>
      <c r="AJ2339" s="2054">
        <f>O2339-'Blocking-Step2'!O2339</f>
        <v>0</v>
      </c>
    </row>
    <row r="2340" spans="1:36" hidden="1">
      <c r="A2340" s="1900" t="s">
        <v>1669</v>
      </c>
      <c r="B2340" s="1900"/>
      <c r="C2340" s="528"/>
      <c r="D2340" s="528"/>
      <c r="F2340" s="2000"/>
      <c r="G2340" s="1991"/>
      <c r="H2340" s="1644"/>
      <c r="I2340" s="1644"/>
      <c r="K2340" s="2000">
        <f t="shared" si="1352"/>
        <v>0.36</v>
      </c>
      <c r="L2340" s="1991"/>
      <c r="M2340" s="2000">
        <f t="shared" si="1353"/>
        <v>0.44000000000000006</v>
      </c>
      <c r="N2340" s="1991"/>
      <c r="O2340" s="2000">
        <f t="shared" si="1354"/>
        <v>0</v>
      </c>
      <c r="P2340" s="1991"/>
      <c r="Q2340" s="2000">
        <f t="shared" si="1355"/>
        <v>0.8</v>
      </c>
      <c r="R2340" s="1991"/>
      <c r="S2340" s="1644">
        <f t="shared" si="1356"/>
        <v>0</v>
      </c>
      <c r="T2340" s="1643"/>
      <c r="U2340" s="1644">
        <f t="shared" si="1357"/>
        <v>0</v>
      </c>
      <c r="V2340" s="1643"/>
      <c r="W2340" s="1644">
        <f t="shared" si="1357"/>
        <v>0</v>
      </c>
      <c r="X2340" s="1643"/>
      <c r="Y2340" s="1644">
        <f t="shared" si="1357"/>
        <v>0</v>
      </c>
      <c r="Z2340" s="1878">
        <f>'Large Profile'!P10</f>
        <v>1.1359353572586484</v>
      </c>
      <c r="AI2340" s="2023">
        <f>W2340-'Blocking-Step2'!W2340</f>
        <v>0</v>
      </c>
      <c r="AJ2340" s="2054">
        <f>O2340-'Blocking-Step2'!O2340</f>
        <v>0</v>
      </c>
    </row>
    <row r="2341" spans="1:36" hidden="1">
      <c r="A2341" s="1900" t="s">
        <v>316</v>
      </c>
      <c r="B2341" s="1900"/>
      <c r="C2341" s="528"/>
      <c r="D2341" s="528"/>
      <c r="F2341" s="2001"/>
      <c r="G2341" s="1992"/>
      <c r="H2341" s="1644"/>
      <c r="I2341" s="1644"/>
      <c r="K2341" s="2001"/>
      <c r="L2341" s="1992"/>
      <c r="M2341" s="2001"/>
      <c r="N2341" s="1992"/>
      <c r="O2341" s="2001"/>
      <c r="P2341" s="1992"/>
      <c r="Q2341" s="2001"/>
      <c r="R2341" s="1992"/>
      <c r="S2341" s="1644"/>
      <c r="T2341" s="1645"/>
      <c r="U2341" s="1644"/>
      <c r="V2341" s="1645"/>
      <c r="W2341" s="1644"/>
      <c r="X2341" s="1645"/>
      <c r="Y2341" s="1644"/>
      <c r="AI2341" s="2023">
        <f>W2341-'Blocking-Step2'!W2341</f>
        <v>0</v>
      </c>
      <c r="AJ2341" s="2054">
        <f>O2341-'Blocking-Step2'!O2341</f>
        <v>0</v>
      </c>
    </row>
    <row r="2342" spans="1:36" hidden="1">
      <c r="A2342" s="1900" t="s">
        <v>1668</v>
      </c>
      <c r="B2342" s="1900"/>
      <c r="C2342" s="528"/>
      <c r="D2342" s="528"/>
      <c r="F2342" s="2001"/>
      <c r="G2342" s="1992"/>
      <c r="H2342" s="1644"/>
      <c r="I2342" s="1644"/>
      <c r="K2342" s="2001">
        <f t="shared" ref="K2342:K2343" si="1358">K2238</f>
        <v>0.21</v>
      </c>
      <c r="L2342" s="1992"/>
      <c r="M2342" s="2001">
        <f t="shared" ref="M2342:M2343" si="1359">M2238</f>
        <v>0.24000000000000002</v>
      </c>
      <c r="N2342" s="1992"/>
      <c r="O2342" s="2001">
        <f t="shared" ref="O2342:O2343" si="1360">O2238</f>
        <v>0</v>
      </c>
      <c r="P2342" s="1992"/>
      <c r="Q2342" s="2001">
        <f t="shared" ref="Q2342:Q2343" si="1361">Q2238</f>
        <v>0.45</v>
      </c>
      <c r="R2342" s="1992"/>
      <c r="S2342" s="1644">
        <f t="shared" ref="S2342:S2343" si="1362">ROUND($D2342*K2342,0)</f>
        <v>0</v>
      </c>
      <c r="T2342" s="1645"/>
      <c r="U2342" s="1644">
        <f t="shared" ref="U2342:Y2343" si="1363">ROUND($D2342*M2342,0)</f>
        <v>0</v>
      </c>
      <c r="V2342" s="1645"/>
      <c r="W2342" s="1644">
        <f t="shared" si="1363"/>
        <v>0</v>
      </c>
      <c r="X2342" s="1645"/>
      <c r="Y2342" s="1644">
        <f t="shared" si="1363"/>
        <v>0</v>
      </c>
      <c r="Z2342" s="1878">
        <f>Z2339</f>
        <v>0.81143000192935111</v>
      </c>
      <c r="AI2342" s="2023">
        <f>W2342-'Blocking-Step2'!W2342</f>
        <v>0</v>
      </c>
      <c r="AJ2342" s="2054">
        <f>O2342-'Blocking-Step2'!O2342</f>
        <v>0</v>
      </c>
    </row>
    <row r="2343" spans="1:36" hidden="1">
      <c r="A2343" s="1900" t="s">
        <v>1669</v>
      </c>
      <c r="B2343" s="1900"/>
      <c r="C2343" s="528"/>
      <c r="D2343" s="528"/>
      <c r="F2343" s="2001"/>
      <c r="G2343" s="1992"/>
      <c r="H2343" s="1644"/>
      <c r="I2343" s="1644"/>
      <c r="K2343" s="2001">
        <f t="shared" si="1358"/>
        <v>0.18</v>
      </c>
      <c r="L2343" s="1992"/>
      <c r="M2343" s="2001">
        <f t="shared" si="1359"/>
        <v>0.22000000000000003</v>
      </c>
      <c r="N2343" s="1992"/>
      <c r="O2343" s="2001">
        <f t="shared" si="1360"/>
        <v>0</v>
      </c>
      <c r="P2343" s="1992"/>
      <c r="Q2343" s="2001">
        <f t="shared" si="1361"/>
        <v>0.4</v>
      </c>
      <c r="R2343" s="1992"/>
      <c r="S2343" s="1644">
        <f t="shared" si="1362"/>
        <v>0</v>
      </c>
      <c r="T2343" s="1645"/>
      <c r="U2343" s="1644">
        <f t="shared" si="1363"/>
        <v>0</v>
      </c>
      <c r="V2343" s="1645"/>
      <c r="W2343" s="1644">
        <f t="shared" si="1363"/>
        <v>0</v>
      </c>
      <c r="X2343" s="1645"/>
      <c r="Y2343" s="1644">
        <f t="shared" si="1363"/>
        <v>0</v>
      </c>
      <c r="Z2343" s="1878">
        <f>Z2340</f>
        <v>1.1359353572586484</v>
      </c>
      <c r="AI2343" s="2023">
        <f>W2343-'Blocking-Step2'!W2343</f>
        <v>0</v>
      </c>
      <c r="AJ2343" s="2054">
        <f>O2343-'Blocking-Step2'!O2343</f>
        <v>0</v>
      </c>
    </row>
    <row r="2344" spans="1:36" hidden="1">
      <c r="A2344" s="1900" t="s">
        <v>317</v>
      </c>
      <c r="B2344" s="1900"/>
      <c r="C2344" s="528"/>
      <c r="D2344" s="528"/>
      <c r="F2344" s="2000"/>
      <c r="G2344" s="1902"/>
      <c r="H2344" s="1644"/>
      <c r="I2344" s="1644"/>
      <c r="K2344" s="2000"/>
      <c r="L2344" s="1902"/>
      <c r="M2344" s="2000"/>
      <c r="N2344" s="1902"/>
      <c r="O2344" s="2000"/>
      <c r="P2344" s="1902"/>
      <c r="Q2344" s="2000"/>
      <c r="R2344" s="1902"/>
      <c r="S2344" s="1644"/>
      <c r="T2344" s="1643"/>
      <c r="U2344" s="1644"/>
      <c r="V2344" s="1643"/>
      <c r="W2344" s="1644"/>
      <c r="X2344" s="1643"/>
      <c r="Y2344" s="1644"/>
      <c r="AI2344" s="2023">
        <f>W2344-'Blocking-Step2'!W2344</f>
        <v>0</v>
      </c>
      <c r="AJ2344" s="2054">
        <f>O2344-'Blocking-Step2'!O2344</f>
        <v>0</v>
      </c>
    </row>
    <row r="2345" spans="1:36" hidden="1">
      <c r="A2345" s="1900" t="s">
        <v>1668</v>
      </c>
      <c r="B2345" s="1900"/>
      <c r="C2345" s="528"/>
      <c r="D2345" s="528"/>
      <c r="F2345" s="2000"/>
      <c r="G2345" s="1902"/>
      <c r="H2345" s="1644"/>
      <c r="I2345" s="1644"/>
      <c r="K2345" s="2000">
        <f t="shared" ref="K2345:K2346" si="1364">K2241</f>
        <v>19.05</v>
      </c>
      <c r="L2345" s="1902"/>
      <c r="M2345" s="2000">
        <f t="shared" ref="M2345:M2346" si="1365">M2241</f>
        <v>22.76</v>
      </c>
      <c r="N2345" s="1902"/>
      <c r="O2345" s="2000">
        <f t="shared" ref="O2345:O2346" si="1366">O2241</f>
        <v>0</v>
      </c>
      <c r="P2345" s="1902"/>
      <c r="Q2345" s="2000">
        <f t="shared" ref="Q2345:Q2346" si="1367">Q2241</f>
        <v>41.81</v>
      </c>
      <c r="R2345" s="1902"/>
      <c r="S2345" s="1644">
        <f t="shared" ref="S2345:S2346" si="1368">ROUND($D2345*K2345,0)</f>
        <v>0</v>
      </c>
      <c r="T2345" s="1643"/>
      <c r="U2345" s="1644">
        <f t="shared" ref="U2345:Y2346" si="1369">ROUND($D2345*M2345,0)</f>
        <v>0</v>
      </c>
      <c r="V2345" s="1643"/>
      <c r="W2345" s="1644">
        <f t="shared" si="1369"/>
        <v>0</v>
      </c>
      <c r="X2345" s="1643"/>
      <c r="Y2345" s="1644">
        <f t="shared" si="1369"/>
        <v>0</v>
      </c>
      <c r="Z2345" s="1878">
        <f>Z2339</f>
        <v>0.81143000192935111</v>
      </c>
      <c r="AI2345" s="2023">
        <f>W2345-'Blocking-Step2'!W2345</f>
        <v>0</v>
      </c>
      <c r="AJ2345" s="2054">
        <f>O2345-'Blocking-Step2'!O2345</f>
        <v>0</v>
      </c>
    </row>
    <row r="2346" spans="1:36" hidden="1">
      <c r="A2346" s="1900" t="s">
        <v>1669</v>
      </c>
      <c r="B2346" s="1900"/>
      <c r="C2346" s="528"/>
      <c r="D2346" s="528"/>
      <c r="F2346" s="2000"/>
      <c r="G2346" s="1902"/>
      <c r="H2346" s="1644"/>
      <c r="I2346" s="1644"/>
      <c r="K2346" s="2000">
        <f t="shared" si="1364"/>
        <v>16.649999999999999</v>
      </c>
      <c r="L2346" s="1902"/>
      <c r="M2346" s="2000">
        <f t="shared" si="1365"/>
        <v>20.350000000000001</v>
      </c>
      <c r="N2346" s="1902"/>
      <c r="O2346" s="2000">
        <f t="shared" si="1366"/>
        <v>0</v>
      </c>
      <c r="P2346" s="1902"/>
      <c r="Q2346" s="2000">
        <f t="shared" si="1367"/>
        <v>37</v>
      </c>
      <c r="R2346" s="1902"/>
      <c r="S2346" s="1644">
        <f t="shared" si="1368"/>
        <v>0</v>
      </c>
      <c r="T2346" s="1643"/>
      <c r="U2346" s="1644">
        <f t="shared" si="1369"/>
        <v>0</v>
      </c>
      <c r="V2346" s="1643"/>
      <c r="W2346" s="1644">
        <f t="shared" si="1369"/>
        <v>0</v>
      </c>
      <c r="X2346" s="1643"/>
      <c r="Y2346" s="1644">
        <f t="shared" si="1369"/>
        <v>0</v>
      </c>
      <c r="Z2346" s="1878">
        <f>Z2340</f>
        <v>1.1359353572586484</v>
      </c>
      <c r="AI2346" s="2023">
        <f>W2346-'Blocking-Step2'!W2346</f>
        <v>0</v>
      </c>
      <c r="AJ2346" s="2054">
        <f>O2346-'Blocking-Step2'!O2346</f>
        <v>0</v>
      </c>
    </row>
    <row r="2347" spans="1:36" hidden="1">
      <c r="A2347" s="1900" t="s">
        <v>315</v>
      </c>
      <c r="B2347" s="1900"/>
      <c r="C2347" s="528"/>
      <c r="D2347" s="528"/>
      <c r="F2347" s="2000"/>
      <c r="G2347" s="1991"/>
      <c r="H2347" s="1644"/>
      <c r="I2347" s="1644"/>
      <c r="K2347" s="2000"/>
      <c r="L2347" s="1991"/>
      <c r="M2347" s="2000"/>
      <c r="N2347" s="1991"/>
      <c r="O2347" s="2000"/>
      <c r="P2347" s="1991"/>
      <c r="Q2347" s="2000"/>
      <c r="R2347" s="1991"/>
      <c r="S2347" s="1644"/>
      <c r="T2347" s="1643"/>
      <c r="U2347" s="1644"/>
      <c r="V2347" s="1643"/>
      <c r="W2347" s="1644"/>
      <c r="X2347" s="1643"/>
      <c r="Y2347" s="1644"/>
      <c r="AI2347" s="2023">
        <f>W2347-'Blocking-Step2'!W2347</f>
        <v>0</v>
      </c>
      <c r="AJ2347" s="2054">
        <f>O2347-'Blocking-Step2'!O2347</f>
        <v>0</v>
      </c>
    </row>
    <row r="2348" spans="1:36" hidden="1">
      <c r="A2348" s="1900" t="s">
        <v>944</v>
      </c>
      <c r="B2348" s="1900"/>
      <c r="C2348" s="528"/>
      <c r="D2348" s="528"/>
      <c r="F2348" s="2000">
        <v>0.88</v>
      </c>
      <c r="G2348" s="1991"/>
      <c r="H2348" s="1644">
        <f>ROUND($F2348*C2348,0)</f>
        <v>0</v>
      </c>
      <c r="I2348" s="1644">
        <f>ROUND($F2348*D2348,0)</f>
        <v>0</v>
      </c>
      <c r="K2348" s="2000"/>
      <c r="L2348" s="1991"/>
      <c r="M2348" s="2000"/>
      <c r="N2348" s="1991"/>
      <c r="O2348" s="2000"/>
      <c r="P2348" s="1991"/>
      <c r="Q2348" s="2000"/>
      <c r="R2348" s="1991"/>
      <c r="S2348" s="1644"/>
      <c r="T2348" s="1643"/>
      <c r="U2348" s="1644"/>
      <c r="V2348" s="1643"/>
      <c r="W2348" s="1644"/>
      <c r="X2348" s="1643"/>
      <c r="Y2348" s="1644"/>
      <c r="AI2348" s="2023">
        <f>W2348-'Blocking-Step2'!W2348</f>
        <v>0</v>
      </c>
      <c r="AJ2348" s="2054">
        <f>O2348-'Blocking-Step2'!O2348</f>
        <v>0</v>
      </c>
    </row>
    <row r="2349" spans="1:36" hidden="1">
      <c r="A2349" s="1900" t="s">
        <v>945</v>
      </c>
      <c r="B2349" s="1900"/>
      <c r="C2349" s="528"/>
      <c r="D2349" s="528"/>
      <c r="F2349" s="2000">
        <v>0.62</v>
      </c>
      <c r="G2349" s="1991"/>
      <c r="H2349" s="1644">
        <f>ROUND($F2349*C2349,0)</f>
        <v>0</v>
      </c>
      <c r="I2349" s="1644">
        <f>ROUND($F2349*D2349,0)</f>
        <v>0</v>
      </c>
      <c r="K2349" s="2000"/>
      <c r="L2349" s="1991"/>
      <c r="M2349" s="2000"/>
      <c r="N2349" s="1991"/>
      <c r="O2349" s="2000"/>
      <c r="P2349" s="1991"/>
      <c r="Q2349" s="2000"/>
      <c r="R2349" s="1991"/>
      <c r="S2349" s="1644"/>
      <c r="T2349" s="1643"/>
      <c r="U2349" s="1644"/>
      <c r="V2349" s="1643"/>
      <c r="W2349" s="1644"/>
      <c r="X2349" s="1643"/>
      <c r="Y2349" s="1644"/>
      <c r="AI2349" s="2023">
        <f>W2349-'Blocking-Step2'!W2349</f>
        <v>0</v>
      </c>
      <c r="AJ2349" s="2054">
        <f>O2349-'Blocking-Step2'!O2349</f>
        <v>0</v>
      </c>
    </row>
    <row r="2350" spans="1:36" hidden="1">
      <c r="A2350" s="1900" t="s">
        <v>316</v>
      </c>
      <c r="B2350" s="1900"/>
      <c r="C2350" s="528"/>
      <c r="D2350" s="528"/>
      <c r="F2350" s="2001"/>
      <c r="G2350" s="1992"/>
      <c r="H2350" s="1644"/>
      <c r="I2350" s="1644"/>
      <c r="K2350" s="2001"/>
      <c r="L2350" s="1992"/>
      <c r="M2350" s="2001"/>
      <c r="N2350" s="1992"/>
      <c r="O2350" s="2001"/>
      <c r="P2350" s="1992"/>
      <c r="Q2350" s="2001"/>
      <c r="R2350" s="1992"/>
      <c r="S2350" s="1644"/>
      <c r="T2350" s="1645"/>
      <c r="U2350" s="1644"/>
      <c r="V2350" s="1645"/>
      <c r="W2350" s="1644"/>
      <c r="X2350" s="1645"/>
      <c r="Y2350" s="1644"/>
      <c r="AI2350" s="2023">
        <f>W2350-'Blocking-Step2'!W2350</f>
        <v>0</v>
      </c>
      <c r="AJ2350" s="2054">
        <f>O2350-'Blocking-Step2'!O2350</f>
        <v>0</v>
      </c>
    </row>
    <row r="2351" spans="1:36" hidden="1">
      <c r="A2351" s="1900" t="s">
        <v>944</v>
      </c>
      <c r="B2351" s="1900"/>
      <c r="C2351" s="528"/>
      <c r="D2351" s="528"/>
      <c r="F2351" s="2001">
        <v>0.44</v>
      </c>
      <c r="G2351" s="1992"/>
      <c r="H2351" s="1644">
        <f>ROUND($F2351*C2351,0)</f>
        <v>0</v>
      </c>
      <c r="I2351" s="1644">
        <f>ROUND($F2351*D2351,0)</f>
        <v>0</v>
      </c>
      <c r="K2351" s="2001"/>
      <c r="L2351" s="1992"/>
      <c r="M2351" s="2001"/>
      <c r="N2351" s="1992"/>
      <c r="O2351" s="2001"/>
      <c r="P2351" s="1992"/>
      <c r="Q2351" s="2001"/>
      <c r="R2351" s="1992"/>
      <c r="S2351" s="1644"/>
      <c r="T2351" s="1645"/>
      <c r="U2351" s="1644"/>
      <c r="V2351" s="1645"/>
      <c r="W2351" s="1644"/>
      <c r="X2351" s="1645"/>
      <c r="Y2351" s="1644"/>
      <c r="AI2351" s="2023">
        <f>W2351-'Blocking-Step2'!W2351</f>
        <v>0</v>
      </c>
      <c r="AJ2351" s="2054">
        <f>O2351-'Blocking-Step2'!O2351</f>
        <v>0</v>
      </c>
    </row>
    <row r="2352" spans="1:36" hidden="1">
      <c r="A2352" s="1900" t="s">
        <v>945</v>
      </c>
      <c r="B2352" s="1900"/>
      <c r="C2352" s="528"/>
      <c r="D2352" s="528"/>
      <c r="F2352" s="2001">
        <v>0.31</v>
      </c>
      <c r="G2352" s="1992"/>
      <c r="H2352" s="1644">
        <f>ROUND($F2352*C2352,0)</f>
        <v>0</v>
      </c>
      <c r="I2352" s="1644">
        <f>ROUND($F2352*D2352,0)</f>
        <v>0</v>
      </c>
      <c r="K2352" s="2001"/>
      <c r="L2352" s="1992"/>
      <c r="M2352" s="2001"/>
      <c r="N2352" s="1992"/>
      <c r="O2352" s="2001"/>
      <c r="P2352" s="1992"/>
      <c r="Q2352" s="2001"/>
      <c r="R2352" s="1992"/>
      <c r="S2352" s="1644"/>
      <c r="T2352" s="1645"/>
      <c r="U2352" s="1644"/>
      <c r="V2352" s="1645"/>
      <c r="W2352" s="1644"/>
      <c r="X2352" s="1645"/>
      <c r="Y2352" s="1644"/>
      <c r="AI2352" s="2023">
        <f>W2352-'Blocking-Step2'!W2352</f>
        <v>0</v>
      </c>
      <c r="AJ2352" s="2054">
        <f>O2352-'Blocking-Step2'!O2352</f>
        <v>0</v>
      </c>
    </row>
    <row r="2353" spans="1:36" hidden="1">
      <c r="A2353" s="1900" t="s">
        <v>317</v>
      </c>
      <c r="B2353" s="1900"/>
      <c r="C2353" s="528"/>
      <c r="D2353" s="528"/>
      <c r="F2353" s="2000"/>
      <c r="G2353" s="1902"/>
      <c r="H2353" s="1644"/>
      <c r="I2353" s="1644"/>
      <c r="K2353" s="2000"/>
      <c r="L2353" s="1902"/>
      <c r="M2353" s="2000"/>
      <c r="N2353" s="1902"/>
      <c r="O2353" s="2000"/>
      <c r="P2353" s="1902"/>
      <c r="Q2353" s="2000"/>
      <c r="R2353" s="1902"/>
      <c r="S2353" s="1644"/>
      <c r="T2353" s="1643"/>
      <c r="U2353" s="1644"/>
      <c r="V2353" s="1643"/>
      <c r="W2353" s="1644"/>
      <c r="X2353" s="1643"/>
      <c r="Y2353" s="1644"/>
      <c r="AI2353" s="2023">
        <f>W2353-'Blocking-Step2'!W2353</f>
        <v>0</v>
      </c>
      <c r="AJ2353" s="2054">
        <f>O2353-'Blocking-Step2'!O2353</f>
        <v>0</v>
      </c>
    </row>
    <row r="2354" spans="1:36" hidden="1">
      <c r="A2354" s="1900" t="s">
        <v>944</v>
      </c>
      <c r="B2354" s="1900"/>
      <c r="C2354" s="528"/>
      <c r="D2354" s="528"/>
      <c r="F2354" s="2000">
        <v>40.81</v>
      </c>
      <c r="G2354" s="1902"/>
      <c r="H2354" s="1644">
        <f>ROUND($F2354*C2354,0)</f>
        <v>0</v>
      </c>
      <c r="I2354" s="1644">
        <f>ROUND($F2354*D2354,0)</f>
        <v>0</v>
      </c>
      <c r="K2354" s="2000"/>
      <c r="L2354" s="1902"/>
      <c r="M2354" s="2000"/>
      <c r="N2354" s="1902"/>
      <c r="O2354" s="2000"/>
      <c r="P2354" s="1902"/>
      <c r="Q2354" s="2000"/>
      <c r="R2354" s="1902"/>
      <c r="S2354" s="1644"/>
      <c r="T2354" s="1643"/>
      <c r="U2354" s="1644"/>
      <c r="V2354" s="1643"/>
      <c r="W2354" s="1644"/>
      <c r="X2354" s="1643"/>
      <c r="Y2354" s="1644"/>
      <c r="AI2354" s="2023">
        <f>W2354-'Blocking-Step2'!W2354</f>
        <v>0</v>
      </c>
      <c r="AJ2354" s="2054">
        <f>O2354-'Blocking-Step2'!O2354</f>
        <v>0</v>
      </c>
    </row>
    <row r="2355" spans="1:36" hidden="1">
      <c r="A2355" s="1900" t="s">
        <v>945</v>
      </c>
      <c r="B2355" s="1900"/>
      <c r="C2355" s="528"/>
      <c r="D2355" s="528"/>
      <c r="F2355" s="2000">
        <v>32.04</v>
      </c>
      <c r="G2355" s="1902"/>
      <c r="H2355" s="1644">
        <f>ROUND($F2355*C2355,0)</f>
        <v>0</v>
      </c>
      <c r="I2355" s="1644">
        <f>ROUND($F2355*D2355,0)</f>
        <v>0</v>
      </c>
      <c r="K2355" s="2000"/>
      <c r="L2355" s="1902"/>
      <c r="M2355" s="2000"/>
      <c r="N2355" s="1902"/>
      <c r="O2355" s="2000"/>
      <c r="P2355" s="1902"/>
      <c r="Q2355" s="2000"/>
      <c r="R2355" s="1902"/>
      <c r="S2355" s="1644"/>
      <c r="T2355" s="1643"/>
      <c r="U2355" s="1644"/>
      <c r="V2355" s="1643"/>
      <c r="W2355" s="1644"/>
      <c r="X2355" s="1643"/>
      <c r="Y2355" s="1644"/>
      <c r="AI2355" s="2023">
        <f>W2355-'Blocking-Step2'!W2355</f>
        <v>0</v>
      </c>
      <c r="AJ2355" s="2054">
        <f>O2355-'Blocking-Step2'!O2355</f>
        <v>0</v>
      </c>
    </row>
    <row r="2356" spans="1:36" hidden="1">
      <c r="A2356" s="1987" t="s">
        <v>183</v>
      </c>
      <c r="C2356" s="528"/>
      <c r="D2356" s="528"/>
      <c r="F2356" s="2002"/>
      <c r="K2356" s="2002"/>
      <c r="M2356" s="2002"/>
      <c r="O2356" s="2002"/>
      <c r="Q2356" s="2002"/>
      <c r="S2356" s="1638"/>
      <c r="U2356" s="1638"/>
      <c r="W2356" s="1638"/>
      <c r="AI2356" s="2023">
        <f>W2356-'Blocking-Step2'!W2356</f>
        <v>0</v>
      </c>
      <c r="AJ2356" s="2054">
        <f>O2356-'Blocking-Step2'!O2356</f>
        <v>0</v>
      </c>
    </row>
    <row r="2357" spans="1:36" hidden="1">
      <c r="A2357" s="1900" t="s">
        <v>312</v>
      </c>
      <c r="C2357" s="528">
        <f>'31'!I2</f>
        <v>24</v>
      </c>
      <c r="D2357" s="528">
        <f>ROUND(C2357/(C2357+C2379)*Bill!P42,0)</f>
        <v>25</v>
      </c>
      <c r="F2357" s="2000">
        <v>605</v>
      </c>
      <c r="G2357" s="1902"/>
      <c r="H2357" s="1644">
        <f>ROUND($F2357*C2357,0)</f>
        <v>14520</v>
      </c>
      <c r="I2357" s="1644">
        <f>ROUND($F2357*D2357,0)</f>
        <v>15125</v>
      </c>
      <c r="K2357" s="2000">
        <f t="shared" ref="K2357:K2358" si="1370">K2253</f>
        <v>620</v>
      </c>
      <c r="L2357" s="1902"/>
      <c r="M2357" s="2000">
        <f t="shared" ref="M2357:M2358" si="1371">M2253</f>
        <v>0</v>
      </c>
      <c r="N2357" s="1902"/>
      <c r="O2357" s="2000">
        <f t="shared" ref="O2357:O2358" si="1372">O2253</f>
        <v>0</v>
      </c>
      <c r="P2357" s="1902"/>
      <c r="Q2357" s="2000">
        <f t="shared" ref="Q2357:Q2358" si="1373">Q2253</f>
        <v>620</v>
      </c>
      <c r="R2357" s="1902"/>
      <c r="S2357" s="1644">
        <f>ROUND($D2357*K2357,0)</f>
        <v>15500</v>
      </c>
      <c r="T2357" s="1643"/>
      <c r="U2357" s="1644">
        <f>ROUND($D2357*M2357,0)</f>
        <v>0</v>
      </c>
      <c r="V2357" s="1643"/>
      <c r="W2357" s="1644">
        <f>ROUND($D2357*O2357,0)</f>
        <v>0</v>
      </c>
      <c r="X2357" s="1643"/>
      <c r="Y2357" s="1644">
        <f>ROUND($D2357*Q2357,0)</f>
        <v>15500</v>
      </c>
      <c r="AI2357" s="2023">
        <f>W2357-'Blocking-Step2'!W2357</f>
        <v>0</v>
      </c>
      <c r="AJ2357" s="2054">
        <f>O2357-'Blocking-Step2'!O2357</f>
        <v>0</v>
      </c>
    </row>
    <row r="2358" spans="1:36" hidden="1">
      <c r="A2358" s="1900" t="s">
        <v>313</v>
      </c>
      <c r="C2358" s="528">
        <f>'31'!J2</f>
        <v>36600</v>
      </c>
      <c r="D2358" s="528">
        <f>ROUND(C2358/$C$2435*$D$2435,0)</f>
        <v>34929</v>
      </c>
      <c r="F2358" s="2000">
        <v>4.46</v>
      </c>
      <c r="G2358" s="1902"/>
      <c r="H2358" s="1644">
        <f>ROUND($F2358*C2358,0)</f>
        <v>163236</v>
      </c>
      <c r="I2358" s="1644">
        <f>ROUND($F2358*D2358,0)</f>
        <v>155783</v>
      </c>
      <c r="K2358" s="2000">
        <f t="shared" si="1370"/>
        <v>4.57</v>
      </c>
      <c r="L2358" s="1902"/>
      <c r="M2358" s="2000">
        <f t="shared" si="1371"/>
        <v>0</v>
      </c>
      <c r="N2358" s="1902"/>
      <c r="O2358" s="2000">
        <f t="shared" si="1372"/>
        <v>0</v>
      </c>
      <c r="P2358" s="1902"/>
      <c r="Q2358" s="2000">
        <f t="shared" si="1373"/>
        <v>4.57</v>
      </c>
      <c r="R2358" s="1902"/>
      <c r="S2358" s="1644">
        <f>ROUND($D2358*K2358,0)</f>
        <v>159626</v>
      </c>
      <c r="T2358" s="1643"/>
      <c r="U2358" s="1644">
        <f>ROUND($D2358*M2358,0)</f>
        <v>0</v>
      </c>
      <c r="V2358" s="1643"/>
      <c r="W2358" s="1644">
        <f>ROUND($D2358*O2358,0)</f>
        <v>0</v>
      </c>
      <c r="X2358" s="1643"/>
      <c r="Y2358" s="1644">
        <f>ROUND($D2358*Q2358,0)</f>
        <v>159626</v>
      </c>
      <c r="AI2358" s="2023">
        <f>W2358-'Blocking-Step2'!W2358</f>
        <v>0</v>
      </c>
      <c r="AJ2358" s="2054">
        <f>O2358-'Blocking-Step2'!O2358</f>
        <v>0</v>
      </c>
    </row>
    <row r="2359" spans="1:36" hidden="1">
      <c r="A2359" s="1900" t="s">
        <v>314</v>
      </c>
      <c r="C2359" s="528"/>
      <c r="D2359" s="528"/>
      <c r="F2359" s="2000"/>
      <c r="G2359" s="1902"/>
      <c r="H2359" s="1644"/>
      <c r="I2359" s="1644"/>
      <c r="K2359" s="2000"/>
      <c r="L2359" s="1902"/>
      <c r="M2359" s="2000"/>
      <c r="N2359" s="1902"/>
      <c r="O2359" s="2000"/>
      <c r="P2359" s="1902"/>
      <c r="Q2359" s="2000"/>
      <c r="R2359" s="1902"/>
      <c r="S2359" s="1644"/>
      <c r="T2359" s="1643"/>
      <c r="U2359" s="1644"/>
      <c r="V2359" s="1643"/>
      <c r="W2359" s="1644"/>
      <c r="X2359" s="1643"/>
      <c r="Y2359" s="1644"/>
      <c r="AI2359" s="2023">
        <f>W2359-'Blocking-Step2'!W2359</f>
        <v>0</v>
      </c>
      <c r="AJ2359" s="2054">
        <f>O2359-'Blocking-Step2'!O2359</f>
        <v>0</v>
      </c>
    </row>
    <row r="2360" spans="1:36" hidden="1">
      <c r="A2360" s="1900" t="s">
        <v>315</v>
      </c>
      <c r="C2360" s="528"/>
      <c r="D2360" s="528"/>
      <c r="F2360" s="2000"/>
      <c r="G2360" s="1991"/>
      <c r="H2360" s="1644"/>
      <c r="I2360" s="1644"/>
      <c r="K2360" s="2000"/>
      <c r="L2360" s="1991"/>
      <c r="M2360" s="2000"/>
      <c r="N2360" s="1991"/>
      <c r="O2360" s="2000"/>
      <c r="P2360" s="1991"/>
      <c r="Q2360" s="2000"/>
      <c r="R2360" s="1991"/>
      <c r="S2360" s="1644"/>
      <c r="T2360" s="1643"/>
      <c r="U2360" s="1644"/>
      <c r="V2360" s="1643"/>
      <c r="W2360" s="1644"/>
      <c r="X2360" s="1643"/>
      <c r="Y2360" s="1644"/>
      <c r="Z2360" s="1878" t="s">
        <v>251</v>
      </c>
      <c r="AI2360" s="2023">
        <f>W2360-'Blocking-Step2'!W2360</f>
        <v>0</v>
      </c>
      <c r="AJ2360" s="2054">
        <f>O2360-'Blocking-Step2'!O2360</f>
        <v>0</v>
      </c>
    </row>
    <row r="2361" spans="1:36" hidden="1">
      <c r="A2361" s="1900" t="s">
        <v>1668</v>
      </c>
      <c r="C2361" s="528">
        <f>C2370*Z2361</f>
        <v>70696.650348096649</v>
      </c>
      <c r="D2361" s="528">
        <f>ROUND(C2361/$C$2435*$D$2435,0)</f>
        <v>67470</v>
      </c>
      <c r="F2361" s="2000"/>
      <c r="G2361" s="1991"/>
      <c r="H2361" s="1644"/>
      <c r="I2361" s="1644"/>
      <c r="K2361" s="2000">
        <f t="shared" ref="K2361:K2362" si="1374">K2257</f>
        <v>0.4</v>
      </c>
      <c r="L2361" s="1991"/>
      <c r="M2361" s="2000">
        <f t="shared" ref="M2361:M2362" si="1375">M2257</f>
        <v>0.48</v>
      </c>
      <c r="N2361" s="1991"/>
      <c r="O2361" s="2000">
        <f t="shared" ref="O2361:O2362" si="1376">O2257</f>
        <v>0</v>
      </c>
      <c r="P2361" s="1991"/>
      <c r="Q2361" s="2000">
        <f t="shared" ref="Q2361:Q2362" si="1377">Q2257</f>
        <v>0.88</v>
      </c>
      <c r="R2361" s="1991"/>
      <c r="S2361" s="1644">
        <f t="shared" ref="S2361:S2362" si="1378">ROUND($D2361*K2361,0)</f>
        <v>26988</v>
      </c>
      <c r="T2361" s="1643"/>
      <c r="U2361" s="1644">
        <f t="shared" ref="U2361:Y2362" si="1379">ROUND($D2361*M2361,0)</f>
        <v>32386</v>
      </c>
      <c r="V2361" s="1643"/>
      <c r="W2361" s="1644">
        <f t="shared" si="1379"/>
        <v>0</v>
      </c>
      <c r="X2361" s="1643"/>
      <c r="Y2361" s="1644">
        <f t="shared" si="1379"/>
        <v>59374</v>
      </c>
      <c r="Z2361" s="1878">
        <f>Z2339</f>
        <v>0.81143000192935111</v>
      </c>
      <c r="AI2361" s="2023">
        <f>W2361-'Blocking-Step2'!W2361</f>
        <v>0</v>
      </c>
      <c r="AJ2361" s="2054">
        <f>O2361-'Blocking-Step2'!O2361</f>
        <v>0</v>
      </c>
    </row>
    <row r="2362" spans="1:36" hidden="1">
      <c r="A2362" s="1900" t="s">
        <v>1669</v>
      </c>
      <c r="C2362" s="528">
        <f>C2371*Z2362</f>
        <v>49579.034602910964</v>
      </c>
      <c r="D2362" s="528">
        <f>ROUND(C2362/$C$2435*$D$2435,0)</f>
        <v>47316</v>
      </c>
      <c r="F2362" s="2000"/>
      <c r="G2362" s="1991"/>
      <c r="H2362" s="1644"/>
      <c r="I2362" s="1644"/>
      <c r="K2362" s="2000">
        <f t="shared" si="1374"/>
        <v>0.35</v>
      </c>
      <c r="L2362" s="1991"/>
      <c r="M2362" s="2000">
        <f t="shared" si="1375"/>
        <v>0.43000000000000005</v>
      </c>
      <c r="N2362" s="1991"/>
      <c r="O2362" s="2000">
        <f t="shared" si="1376"/>
        <v>0</v>
      </c>
      <c r="P2362" s="1991"/>
      <c r="Q2362" s="2000">
        <f t="shared" si="1377"/>
        <v>0.78</v>
      </c>
      <c r="R2362" s="1991"/>
      <c r="S2362" s="1644">
        <f t="shared" si="1378"/>
        <v>16561</v>
      </c>
      <c r="T2362" s="1643"/>
      <c r="U2362" s="1644">
        <f t="shared" si="1379"/>
        <v>20346</v>
      </c>
      <c r="V2362" s="1643"/>
      <c r="W2362" s="1644">
        <f t="shared" si="1379"/>
        <v>0</v>
      </c>
      <c r="X2362" s="1643"/>
      <c r="Y2362" s="1644">
        <f t="shared" si="1379"/>
        <v>36906</v>
      </c>
      <c r="Z2362" s="1878">
        <f>Z2340</f>
        <v>1.1359353572586484</v>
      </c>
      <c r="AI2362" s="2023">
        <f>W2362-'Blocking-Step2'!W2362</f>
        <v>0</v>
      </c>
      <c r="AJ2362" s="2054">
        <f>O2362-'Blocking-Step2'!O2362</f>
        <v>0</v>
      </c>
    </row>
    <row r="2363" spans="1:36" hidden="1">
      <c r="A2363" s="1900" t="s">
        <v>316</v>
      </c>
      <c r="C2363" s="528"/>
      <c r="D2363" s="528"/>
      <c r="F2363" s="2001"/>
      <c r="G2363" s="1992"/>
      <c r="H2363" s="1644"/>
      <c r="I2363" s="1644"/>
      <c r="K2363" s="2001"/>
      <c r="L2363" s="1992"/>
      <c r="M2363" s="2001"/>
      <c r="N2363" s="1992"/>
      <c r="O2363" s="2001"/>
      <c r="P2363" s="1992"/>
      <c r="Q2363" s="2001"/>
      <c r="R2363" s="1992"/>
      <c r="S2363" s="1644"/>
      <c r="T2363" s="1645"/>
      <c r="U2363" s="1644"/>
      <c r="V2363" s="1645"/>
      <c r="W2363" s="1644"/>
      <c r="X2363" s="1645"/>
      <c r="Y2363" s="1644"/>
      <c r="AI2363" s="2023">
        <f>W2363-'Blocking-Step2'!W2363</f>
        <v>0</v>
      </c>
      <c r="AJ2363" s="2054">
        <f>O2363-'Blocking-Step2'!O2363</f>
        <v>0</v>
      </c>
    </row>
    <row r="2364" spans="1:36" hidden="1">
      <c r="A2364" s="1900" t="s">
        <v>1668</v>
      </c>
      <c r="C2364" s="528">
        <f>C2373*Z2364</f>
        <v>1582.2885037622348</v>
      </c>
      <c r="D2364" s="528">
        <f>ROUND(C2364/$C$2435*$D$2435,0)</f>
        <v>1510</v>
      </c>
      <c r="F2364" s="2001"/>
      <c r="G2364" s="1992"/>
      <c r="H2364" s="1644"/>
      <c r="I2364" s="1644"/>
      <c r="K2364" s="2001">
        <f t="shared" ref="K2364:K2365" si="1380">K2260</f>
        <v>0.2</v>
      </c>
      <c r="L2364" s="1992"/>
      <c r="M2364" s="2001">
        <f t="shared" ref="M2364:M2365" si="1381">M2260</f>
        <v>0.24</v>
      </c>
      <c r="N2364" s="1992"/>
      <c r="O2364" s="2001">
        <f t="shared" ref="O2364:O2365" si="1382">O2260</f>
        <v>0</v>
      </c>
      <c r="P2364" s="1992"/>
      <c r="Q2364" s="2001">
        <f t="shared" ref="Q2364:Q2365" si="1383">Q2260</f>
        <v>0.44</v>
      </c>
      <c r="R2364" s="1992"/>
      <c r="S2364" s="1644">
        <f t="shared" ref="S2364:S2365" si="1384">ROUND($D2364*K2364,0)</f>
        <v>302</v>
      </c>
      <c r="T2364" s="1645"/>
      <c r="U2364" s="1644">
        <f t="shared" ref="U2364:Y2365" si="1385">ROUND($D2364*M2364,0)</f>
        <v>362</v>
      </c>
      <c r="V2364" s="1645"/>
      <c r="W2364" s="1644">
        <f t="shared" si="1385"/>
        <v>0</v>
      </c>
      <c r="X2364" s="1645"/>
      <c r="Y2364" s="1644">
        <f t="shared" si="1385"/>
        <v>664</v>
      </c>
      <c r="Z2364" s="1878">
        <f t="shared" ref="Z2364:Z2365" si="1386">Z2342</f>
        <v>0.81143000192935111</v>
      </c>
      <c r="AI2364" s="2023">
        <f>W2364-'Blocking-Step2'!W2364</f>
        <v>0</v>
      </c>
      <c r="AJ2364" s="2054">
        <f>O2364-'Blocking-Step2'!O2364</f>
        <v>0</v>
      </c>
    </row>
    <row r="2365" spans="1:36" hidden="1">
      <c r="A2365" s="1900" t="s">
        <v>1669</v>
      </c>
      <c r="C2365" s="528">
        <f>C2374*Z2365</f>
        <v>0</v>
      </c>
      <c r="D2365" s="528">
        <f>ROUND(C2365/$C$2435*$D$2435,0)</f>
        <v>0</v>
      </c>
      <c r="F2365" s="2001"/>
      <c r="G2365" s="1992"/>
      <c r="H2365" s="1644"/>
      <c r="I2365" s="1644"/>
      <c r="K2365" s="2001">
        <f t="shared" si="1380"/>
        <v>0.18</v>
      </c>
      <c r="L2365" s="1992"/>
      <c r="M2365" s="2001">
        <f t="shared" si="1381"/>
        <v>0.21000000000000002</v>
      </c>
      <c r="N2365" s="1992"/>
      <c r="O2365" s="2001">
        <f t="shared" si="1382"/>
        <v>0</v>
      </c>
      <c r="P2365" s="1992"/>
      <c r="Q2365" s="2001">
        <f t="shared" si="1383"/>
        <v>0.39</v>
      </c>
      <c r="R2365" s="1992"/>
      <c r="S2365" s="1644">
        <f t="shared" si="1384"/>
        <v>0</v>
      </c>
      <c r="T2365" s="1645"/>
      <c r="U2365" s="1644">
        <f t="shared" si="1385"/>
        <v>0</v>
      </c>
      <c r="V2365" s="1645"/>
      <c r="W2365" s="1644">
        <f t="shared" si="1385"/>
        <v>0</v>
      </c>
      <c r="X2365" s="1645"/>
      <c r="Y2365" s="1644">
        <f t="shared" si="1385"/>
        <v>0</v>
      </c>
      <c r="Z2365" s="1878">
        <f t="shared" si="1386"/>
        <v>1.1359353572586484</v>
      </c>
      <c r="AI2365" s="2023">
        <f>W2365-'Blocking-Step2'!W2365</f>
        <v>0</v>
      </c>
      <c r="AJ2365" s="2054">
        <f>O2365-'Blocking-Step2'!O2365</f>
        <v>0</v>
      </c>
    </row>
    <row r="2366" spans="1:36" hidden="1">
      <c r="A2366" s="1900" t="s">
        <v>317</v>
      </c>
      <c r="C2366" s="528"/>
      <c r="D2366" s="528"/>
      <c r="F2366" s="2000"/>
      <c r="G2366" s="1902"/>
      <c r="H2366" s="1644"/>
      <c r="I2366" s="1644"/>
      <c r="K2366" s="2000"/>
      <c r="L2366" s="1902"/>
      <c r="M2366" s="2000"/>
      <c r="N2366" s="1902"/>
      <c r="O2366" s="2000"/>
      <c r="P2366" s="1902"/>
      <c r="Q2366" s="2000"/>
      <c r="R2366" s="1902"/>
      <c r="S2366" s="1644"/>
      <c r="T2366" s="1643"/>
      <c r="U2366" s="1644"/>
      <c r="V2366" s="1643"/>
      <c r="W2366" s="1644"/>
      <c r="X2366" s="1643"/>
      <c r="Y2366" s="1644"/>
      <c r="AI2366" s="2023">
        <f>W2366-'Blocking-Step2'!W2366</f>
        <v>0</v>
      </c>
      <c r="AJ2366" s="2054">
        <f>O2366-'Blocking-Step2'!O2366</f>
        <v>0</v>
      </c>
    </row>
    <row r="2367" spans="1:36" hidden="1">
      <c r="A2367" s="1900" t="s">
        <v>1668</v>
      </c>
      <c r="C2367" s="528">
        <f>C2376*Z2367</f>
        <v>148.49169035307125</v>
      </c>
      <c r="D2367" s="528">
        <f>ROUND(C2367/$C$2435*$D$2435,0)</f>
        <v>142</v>
      </c>
      <c r="F2367" s="2000"/>
      <c r="G2367" s="1902"/>
      <c r="H2367" s="1644"/>
      <c r="I2367" s="1644"/>
      <c r="K2367" s="2000">
        <f t="shared" ref="K2367:K2368" si="1387">K2263</f>
        <v>17.95</v>
      </c>
      <c r="L2367" s="1902"/>
      <c r="M2367" s="2000">
        <f t="shared" ref="M2367:M2368" si="1388">M2263</f>
        <v>21.529999999999998</v>
      </c>
      <c r="N2367" s="1902"/>
      <c r="O2367" s="2000">
        <f t="shared" ref="O2367:O2368" si="1389">O2263</f>
        <v>0</v>
      </c>
      <c r="P2367" s="1902"/>
      <c r="Q2367" s="2000">
        <f t="shared" ref="Q2367:Q2368" si="1390">Q2263</f>
        <v>39.479999999999997</v>
      </c>
      <c r="R2367" s="1902"/>
      <c r="S2367" s="1644">
        <f t="shared" ref="S2367:S2368" si="1391">ROUND($D2367*K2367,0)</f>
        <v>2549</v>
      </c>
      <c r="T2367" s="1643"/>
      <c r="U2367" s="1644">
        <f t="shared" ref="U2367:Y2368" si="1392">ROUND($D2367*M2367,0)</f>
        <v>3057</v>
      </c>
      <c r="V2367" s="1643"/>
      <c r="W2367" s="1644">
        <f t="shared" si="1392"/>
        <v>0</v>
      </c>
      <c r="X2367" s="1643"/>
      <c r="Y2367" s="1644">
        <f t="shared" si="1392"/>
        <v>5606</v>
      </c>
      <c r="Z2367" s="1878">
        <f t="shared" ref="Z2367:Z2368" si="1393">Z2345</f>
        <v>0.81143000192935111</v>
      </c>
      <c r="AI2367" s="2023">
        <f>W2367-'Blocking-Step2'!W2367</f>
        <v>0</v>
      </c>
      <c r="AJ2367" s="2054">
        <f>O2367-'Blocking-Step2'!O2367</f>
        <v>0</v>
      </c>
    </row>
    <row r="2368" spans="1:36" hidden="1">
      <c r="A2368" s="1900" t="s">
        <v>1669</v>
      </c>
      <c r="C2368" s="528">
        <f>C2377*Z2368</f>
        <v>686.10495578422365</v>
      </c>
      <c r="D2368" s="528">
        <f>ROUND(C2368/$C$2435*$D$2435,0)</f>
        <v>655</v>
      </c>
      <c r="F2368" s="2000"/>
      <c r="G2368" s="1902"/>
      <c r="H2368" s="1644"/>
      <c r="I2368" s="1644"/>
      <c r="K2368" s="2000">
        <f t="shared" si="1387"/>
        <v>15.68</v>
      </c>
      <c r="L2368" s="1902"/>
      <c r="M2368" s="2000">
        <f t="shared" si="1388"/>
        <v>19.259999999999998</v>
      </c>
      <c r="N2368" s="1902"/>
      <c r="O2368" s="2000">
        <f t="shared" si="1389"/>
        <v>0</v>
      </c>
      <c r="P2368" s="1902"/>
      <c r="Q2368" s="2000">
        <f t="shared" si="1390"/>
        <v>34.94</v>
      </c>
      <c r="R2368" s="1902"/>
      <c r="S2368" s="1644">
        <f t="shared" si="1391"/>
        <v>10270</v>
      </c>
      <c r="T2368" s="1643"/>
      <c r="U2368" s="1644">
        <f t="shared" si="1392"/>
        <v>12615</v>
      </c>
      <c r="V2368" s="1643"/>
      <c r="W2368" s="1644">
        <f t="shared" si="1392"/>
        <v>0</v>
      </c>
      <c r="X2368" s="1643"/>
      <c r="Y2368" s="1644">
        <f t="shared" si="1392"/>
        <v>22886</v>
      </c>
      <c r="Z2368" s="1878">
        <f t="shared" si="1393"/>
        <v>1.1359353572586484</v>
      </c>
      <c r="AI2368" s="2023">
        <f>W2368-'Blocking-Step2'!W2368</f>
        <v>0</v>
      </c>
      <c r="AJ2368" s="2054">
        <f>O2368-'Blocking-Step2'!O2368</f>
        <v>0</v>
      </c>
    </row>
    <row r="2369" spans="1:36" hidden="1">
      <c r="A2369" s="1900" t="s">
        <v>315</v>
      </c>
      <c r="C2369" s="528"/>
      <c r="D2369" s="528"/>
      <c r="F2369" s="2000"/>
      <c r="G2369" s="1991"/>
      <c r="H2369" s="1644"/>
      <c r="I2369" s="1644"/>
      <c r="K2369" s="2000"/>
      <c r="L2369" s="1991"/>
      <c r="M2369" s="2000"/>
      <c r="N2369" s="1991"/>
      <c r="O2369" s="2000"/>
      <c r="P2369" s="1991"/>
      <c r="Q2369" s="2000"/>
      <c r="R2369" s="1991"/>
      <c r="S2369" s="1644"/>
      <c r="T2369" s="1643"/>
      <c r="U2369" s="1644"/>
      <c r="V2369" s="1643"/>
      <c r="W2369" s="1644"/>
      <c r="X2369" s="1643"/>
      <c r="Y2369" s="1644"/>
      <c r="AI2369" s="2023">
        <f>W2369-'Blocking-Step2'!W2369</f>
        <v>0</v>
      </c>
      <c r="AJ2369" s="2054">
        <f>O2369-'Blocking-Step2'!O2369</f>
        <v>0</v>
      </c>
    </row>
    <row r="2370" spans="1:36" hidden="1">
      <c r="A2370" s="1900" t="s">
        <v>944</v>
      </c>
      <c r="C2370" s="528">
        <f>'31'!N2</f>
        <v>87126</v>
      </c>
      <c r="D2370" s="528">
        <f>ROUND(C2370/$C$2435*$D$2435,0)</f>
        <v>83149</v>
      </c>
      <c r="F2370" s="2000">
        <v>0.86</v>
      </c>
      <c r="G2370" s="1991"/>
      <c r="H2370" s="1644">
        <f>ROUND($F2370*C2370,0)</f>
        <v>74928</v>
      </c>
      <c r="I2370" s="1644">
        <f>ROUND($F2370*D2370,0)</f>
        <v>71508</v>
      </c>
      <c r="K2370" s="2000"/>
      <c r="L2370" s="1991"/>
      <c r="M2370" s="2000"/>
      <c r="N2370" s="1991"/>
      <c r="O2370" s="2000"/>
      <c r="P2370" s="1991"/>
      <c r="Q2370" s="2000"/>
      <c r="R2370" s="1991"/>
      <c r="S2370" s="1644"/>
      <c r="T2370" s="1643"/>
      <c r="U2370" s="1644"/>
      <c r="V2370" s="1643"/>
      <c r="W2370" s="1644"/>
      <c r="X2370" s="1643"/>
      <c r="Y2370" s="1644"/>
      <c r="AI2370" s="2023">
        <f>W2370-'Blocking-Step2'!W2370</f>
        <v>0</v>
      </c>
      <c r="AJ2370" s="2054">
        <f>O2370-'Blocking-Step2'!O2370</f>
        <v>0</v>
      </c>
    </row>
    <row r="2371" spans="1:36" hidden="1">
      <c r="A2371" s="1900" t="s">
        <v>945</v>
      </c>
      <c r="C2371" s="528">
        <f>'31'!O2</f>
        <v>43646</v>
      </c>
      <c r="D2371" s="528">
        <f>ROUND(C2371/$C$2435*$D$2435,0)</f>
        <v>41654</v>
      </c>
      <c r="F2371" s="2000">
        <v>0.6</v>
      </c>
      <c r="G2371" s="1991"/>
      <c r="H2371" s="1644">
        <f>ROUND($F2371*C2371,0)</f>
        <v>26188</v>
      </c>
      <c r="I2371" s="1644">
        <f>ROUND($F2371*D2371,0)</f>
        <v>24992</v>
      </c>
      <c r="K2371" s="2000"/>
      <c r="L2371" s="1991"/>
      <c r="M2371" s="2000"/>
      <c r="N2371" s="1991"/>
      <c r="O2371" s="2000"/>
      <c r="P2371" s="1991"/>
      <c r="Q2371" s="2000"/>
      <c r="R2371" s="1991"/>
      <c r="S2371" s="1644"/>
      <c r="T2371" s="1643"/>
      <c r="U2371" s="1644"/>
      <c r="V2371" s="1643"/>
      <c r="W2371" s="1644"/>
      <c r="X2371" s="1643"/>
      <c r="Y2371" s="1644"/>
      <c r="AI2371" s="2023">
        <f>W2371-'Blocking-Step2'!W2371</f>
        <v>0</v>
      </c>
      <c r="AJ2371" s="2054">
        <f>O2371-'Blocking-Step2'!O2371</f>
        <v>0</v>
      </c>
    </row>
    <row r="2372" spans="1:36" hidden="1">
      <c r="A2372" s="1900" t="s">
        <v>316</v>
      </c>
      <c r="C2372" s="528"/>
      <c r="D2372" s="528"/>
      <c r="F2372" s="2001"/>
      <c r="G2372" s="1992"/>
      <c r="H2372" s="1644"/>
      <c r="I2372" s="1644"/>
      <c r="K2372" s="2001"/>
      <c r="L2372" s="1992"/>
      <c r="M2372" s="2001"/>
      <c r="N2372" s="1992"/>
      <c r="O2372" s="2001"/>
      <c r="P2372" s="1992"/>
      <c r="Q2372" s="2001"/>
      <c r="R2372" s="1992"/>
      <c r="S2372" s="1644"/>
      <c r="T2372" s="1645"/>
      <c r="U2372" s="1644"/>
      <c r="V2372" s="1645"/>
      <c r="W2372" s="1644"/>
      <c r="X2372" s="1645"/>
      <c r="Y2372" s="1644"/>
      <c r="AI2372" s="2023">
        <f>W2372-'Blocking-Step2'!W2372</f>
        <v>0</v>
      </c>
      <c r="AJ2372" s="2054">
        <f>O2372-'Blocking-Step2'!O2372</f>
        <v>0</v>
      </c>
    </row>
    <row r="2373" spans="1:36" hidden="1">
      <c r="A2373" s="1900" t="s">
        <v>944</v>
      </c>
      <c r="C2373" s="528">
        <f>'31'!Q2</f>
        <v>1950</v>
      </c>
      <c r="D2373" s="528">
        <f>ROUND(C2373/$C$2435*$D$2435,0)</f>
        <v>1861</v>
      </c>
      <c r="F2373" s="2001">
        <v>0.43</v>
      </c>
      <c r="G2373" s="1992"/>
      <c r="H2373" s="1644">
        <f>ROUND($F2373*C2373,0)</f>
        <v>839</v>
      </c>
      <c r="I2373" s="1644">
        <f>ROUND($F2373*D2373,0)</f>
        <v>800</v>
      </c>
      <c r="K2373" s="2001"/>
      <c r="L2373" s="1992"/>
      <c r="M2373" s="2001"/>
      <c r="N2373" s="1992"/>
      <c r="O2373" s="2001"/>
      <c r="P2373" s="1992"/>
      <c r="Q2373" s="2001"/>
      <c r="R2373" s="1992"/>
      <c r="S2373" s="1644"/>
      <c r="T2373" s="1645"/>
      <c r="U2373" s="1644"/>
      <c r="V2373" s="1645"/>
      <c r="W2373" s="1644"/>
      <c r="X2373" s="1645"/>
      <c r="Y2373" s="1644"/>
      <c r="AI2373" s="2023">
        <f>W2373-'Blocking-Step2'!W2373</f>
        <v>0</v>
      </c>
      <c r="AJ2373" s="2054">
        <f>O2373-'Blocking-Step2'!O2373</f>
        <v>0</v>
      </c>
    </row>
    <row r="2374" spans="1:36" hidden="1">
      <c r="A2374" s="1900" t="s">
        <v>945</v>
      </c>
      <c r="C2374" s="528">
        <f>'31'!R2</f>
        <v>0</v>
      </c>
      <c r="D2374" s="528">
        <f>ROUND(C2374/$C$2435*$D$2435,0)</f>
        <v>0</v>
      </c>
      <c r="F2374" s="2001">
        <v>0.3</v>
      </c>
      <c r="G2374" s="1992"/>
      <c r="H2374" s="1644">
        <f>ROUND($F2374*C2374,0)</f>
        <v>0</v>
      </c>
      <c r="I2374" s="1644">
        <f>ROUND($F2374*D2374,0)</f>
        <v>0</v>
      </c>
      <c r="K2374" s="2001"/>
      <c r="L2374" s="1992"/>
      <c r="M2374" s="2001"/>
      <c r="N2374" s="1992"/>
      <c r="O2374" s="2001"/>
      <c r="P2374" s="1992"/>
      <c r="Q2374" s="2001"/>
      <c r="R2374" s="1992"/>
      <c r="S2374" s="1644"/>
      <c r="T2374" s="1645"/>
      <c r="U2374" s="1644"/>
      <c r="V2374" s="1645"/>
      <c r="W2374" s="1644"/>
      <c r="X2374" s="1645"/>
      <c r="Y2374" s="1644"/>
      <c r="AI2374" s="2023">
        <f>W2374-'Blocking-Step2'!W2374</f>
        <v>0</v>
      </c>
      <c r="AJ2374" s="2054">
        <f>O2374-'Blocking-Step2'!O2374</f>
        <v>0</v>
      </c>
    </row>
    <row r="2375" spans="1:36" hidden="1">
      <c r="A2375" s="1900" t="s">
        <v>317</v>
      </c>
      <c r="C2375" s="528"/>
      <c r="D2375" s="528"/>
      <c r="F2375" s="2000"/>
      <c r="G2375" s="1902"/>
      <c r="H2375" s="1644"/>
      <c r="I2375" s="1644"/>
      <c r="K2375" s="2000"/>
      <c r="L2375" s="1902"/>
      <c r="M2375" s="2000"/>
      <c r="N2375" s="1902"/>
      <c r="O2375" s="2000"/>
      <c r="P2375" s="1902"/>
      <c r="Q2375" s="2000"/>
      <c r="R2375" s="1902"/>
      <c r="S2375" s="1644"/>
      <c r="T2375" s="1643"/>
      <c r="U2375" s="1644"/>
      <c r="V2375" s="1643"/>
      <c r="W2375" s="1644"/>
      <c r="X2375" s="1643"/>
      <c r="Y2375" s="1644"/>
      <c r="AI2375" s="2023">
        <f>W2375-'Blocking-Step2'!W2375</f>
        <v>0</v>
      </c>
      <c r="AJ2375" s="2054">
        <f>O2375-'Blocking-Step2'!O2375</f>
        <v>0</v>
      </c>
    </row>
    <row r="2376" spans="1:36" hidden="1">
      <c r="A2376" s="1900" t="s">
        <v>944</v>
      </c>
      <c r="C2376" s="528">
        <f>'31'!T2</f>
        <v>183</v>
      </c>
      <c r="D2376" s="528">
        <f>ROUND(C2376/$C$2435*$D$2435,0)</f>
        <v>175</v>
      </c>
      <c r="F2376" s="2000">
        <v>38.54</v>
      </c>
      <c r="G2376" s="1902"/>
      <c r="H2376" s="1644">
        <f>ROUND($F2376*C2376,0)</f>
        <v>7053</v>
      </c>
      <c r="I2376" s="1644">
        <f>ROUND($F2376*D2376,0)</f>
        <v>6745</v>
      </c>
      <c r="K2376" s="2000"/>
      <c r="L2376" s="1902"/>
      <c r="M2376" s="2000"/>
      <c r="N2376" s="1902"/>
      <c r="O2376" s="2000"/>
      <c r="P2376" s="1902"/>
      <c r="Q2376" s="2000"/>
      <c r="R2376" s="1902"/>
      <c r="S2376" s="1644"/>
      <c r="T2376" s="1643"/>
      <c r="U2376" s="1644"/>
      <c r="V2376" s="1643"/>
      <c r="W2376" s="1644"/>
      <c r="X2376" s="1643"/>
      <c r="Y2376" s="1644"/>
      <c r="AI2376" s="2023">
        <f>W2376-'Blocking-Step2'!W2376</f>
        <v>0</v>
      </c>
      <c r="AJ2376" s="2054">
        <f>O2376-'Blocking-Step2'!O2376</f>
        <v>0</v>
      </c>
    </row>
    <row r="2377" spans="1:36" hidden="1">
      <c r="A2377" s="1900" t="s">
        <v>945</v>
      </c>
      <c r="C2377" s="528">
        <f>'31'!U2</f>
        <v>604</v>
      </c>
      <c r="D2377" s="528">
        <f>ROUND(C2377/$C$2435*$D$2435,0)</f>
        <v>576</v>
      </c>
      <c r="F2377" s="2000">
        <v>29.77</v>
      </c>
      <c r="G2377" s="1902"/>
      <c r="H2377" s="1644">
        <f>ROUND($F2377*C2377,0)</f>
        <v>17981</v>
      </c>
      <c r="I2377" s="1644">
        <f>ROUND($F2377*D2377,0)</f>
        <v>17148</v>
      </c>
      <c r="K2377" s="2000"/>
      <c r="L2377" s="1902"/>
      <c r="M2377" s="2000"/>
      <c r="N2377" s="1902"/>
      <c r="O2377" s="2000"/>
      <c r="P2377" s="1902"/>
      <c r="Q2377" s="2000"/>
      <c r="R2377" s="1902"/>
      <c r="S2377" s="1644"/>
      <c r="T2377" s="1643"/>
      <c r="U2377" s="1644"/>
      <c r="V2377" s="1643"/>
      <c r="W2377" s="1644"/>
      <c r="X2377" s="1643"/>
      <c r="Y2377" s="1644"/>
      <c r="AI2377" s="2023">
        <f>W2377-'Blocking-Step2'!W2377</f>
        <v>0</v>
      </c>
      <c r="AJ2377" s="2054">
        <f>O2377-'Blocking-Step2'!O2377</f>
        <v>0</v>
      </c>
    </row>
    <row r="2378" spans="1:36" hidden="1">
      <c r="A2378" s="1987" t="s">
        <v>182</v>
      </c>
      <c r="C2378" s="528"/>
      <c r="D2378" s="528"/>
      <c r="F2378" s="2002"/>
      <c r="K2378" s="2002"/>
      <c r="M2378" s="2002"/>
      <c r="O2378" s="2002"/>
      <c r="Q2378" s="2002"/>
      <c r="S2378" s="1638"/>
      <c r="U2378" s="1638"/>
      <c r="W2378" s="1638"/>
      <c r="AI2378" s="2023">
        <f>W2378-'Blocking-Step2'!W2378</f>
        <v>0</v>
      </c>
      <c r="AJ2378" s="2054">
        <f>O2378-'Blocking-Step2'!O2378</f>
        <v>0</v>
      </c>
    </row>
    <row r="2379" spans="1:36" hidden="1">
      <c r="A2379" s="1900" t="s">
        <v>312</v>
      </c>
      <c r="C2379" s="528">
        <f>'31'!I3</f>
        <v>23</v>
      </c>
      <c r="D2379" s="528">
        <f>Bill!P42-'Blocking-Step1'!D2357</f>
        <v>23</v>
      </c>
      <c r="F2379" s="2000">
        <v>678</v>
      </c>
      <c r="G2379" s="1902"/>
      <c r="H2379" s="1644">
        <f>ROUND($F2379*C2379,0)</f>
        <v>15594</v>
      </c>
      <c r="I2379" s="1644">
        <f>ROUND($F2379*D2379,0)</f>
        <v>15594</v>
      </c>
      <c r="K2379" s="2000">
        <f t="shared" ref="K2379:K2380" si="1394">K2275</f>
        <v>695</v>
      </c>
      <c r="L2379" s="1902"/>
      <c r="M2379" s="2000">
        <f t="shared" ref="M2379:M2380" si="1395">M2275</f>
        <v>0</v>
      </c>
      <c r="N2379" s="1902"/>
      <c r="O2379" s="2000">
        <f t="shared" ref="O2379:O2380" si="1396">O2275</f>
        <v>0</v>
      </c>
      <c r="P2379" s="1902"/>
      <c r="Q2379" s="2000">
        <f t="shared" ref="Q2379:Q2380" si="1397">Q2275</f>
        <v>695</v>
      </c>
      <c r="R2379" s="1902"/>
      <c r="S2379" s="1644">
        <f>ROUND($D2379*K2379,0)</f>
        <v>15985</v>
      </c>
      <c r="T2379" s="1643"/>
      <c r="U2379" s="1644">
        <f>ROUND($D2379*M2379,0)</f>
        <v>0</v>
      </c>
      <c r="V2379" s="1643"/>
      <c r="W2379" s="1644">
        <f>ROUND($D2379*O2379,0)</f>
        <v>0</v>
      </c>
      <c r="X2379" s="1643"/>
      <c r="Y2379" s="1644">
        <f>ROUND($D2379*Q2379,0)</f>
        <v>15985</v>
      </c>
      <c r="AI2379" s="2023">
        <f>W2379-'Blocking-Step2'!W2379</f>
        <v>0</v>
      </c>
      <c r="AJ2379" s="2054">
        <f>O2379-'Blocking-Step2'!O2379</f>
        <v>0</v>
      </c>
    </row>
    <row r="2380" spans="1:36" hidden="1">
      <c r="A2380" s="1900" t="s">
        <v>313</v>
      </c>
      <c r="C2380" s="528">
        <f>'31'!J3</f>
        <v>66100</v>
      </c>
      <c r="D2380" s="528">
        <f>ROUND(C2380/$C$2435*$D$2435,0)</f>
        <v>63083</v>
      </c>
      <c r="F2380" s="2000">
        <v>2.63</v>
      </c>
      <c r="G2380" s="1902"/>
      <c r="H2380" s="1644">
        <f>ROUND($F2380*C2380,0)</f>
        <v>173843</v>
      </c>
      <c r="I2380" s="1644">
        <f>ROUND($F2380*D2380,0)</f>
        <v>165908</v>
      </c>
      <c r="K2380" s="2000">
        <f t="shared" si="1394"/>
        <v>2.69</v>
      </c>
      <c r="L2380" s="1902"/>
      <c r="M2380" s="2000">
        <f t="shared" si="1395"/>
        <v>0</v>
      </c>
      <c r="N2380" s="1902"/>
      <c r="O2380" s="2000">
        <f t="shared" si="1396"/>
        <v>0</v>
      </c>
      <c r="P2380" s="1902"/>
      <c r="Q2380" s="2000">
        <f t="shared" si="1397"/>
        <v>2.69</v>
      </c>
      <c r="R2380" s="1902"/>
      <c r="S2380" s="1644">
        <f>ROUND($D2380*K2380,0)</f>
        <v>169693</v>
      </c>
      <c r="T2380" s="1643"/>
      <c r="U2380" s="1644">
        <f>ROUND($D2380*M2380,0)</f>
        <v>0</v>
      </c>
      <c r="V2380" s="1643"/>
      <c r="W2380" s="1644">
        <f>ROUND($D2380*O2380,0)</f>
        <v>0</v>
      </c>
      <c r="X2380" s="1643"/>
      <c r="Y2380" s="1644">
        <f>ROUND($D2380*Q2380,0)</f>
        <v>169693</v>
      </c>
      <c r="AI2380" s="2023">
        <f>W2380-'Blocking-Step2'!W2380</f>
        <v>0</v>
      </c>
      <c r="AJ2380" s="2054">
        <f>O2380-'Blocking-Step2'!O2380</f>
        <v>0</v>
      </c>
    </row>
    <row r="2381" spans="1:36" hidden="1">
      <c r="A2381" s="1900" t="s">
        <v>314</v>
      </c>
      <c r="C2381" s="528"/>
      <c r="D2381" s="528"/>
      <c r="F2381" s="2001"/>
      <c r="G2381" s="597"/>
      <c r="H2381" s="1644"/>
      <c r="I2381" s="1644"/>
      <c r="K2381" s="2001"/>
      <c r="L2381" s="597"/>
      <c r="M2381" s="2001"/>
      <c r="N2381" s="597"/>
      <c r="O2381" s="2001"/>
      <c r="P2381" s="597"/>
      <c r="Q2381" s="2001"/>
      <c r="R2381" s="597"/>
      <c r="S2381" s="1644"/>
      <c r="T2381" s="1645"/>
      <c r="U2381" s="1644"/>
      <c r="V2381" s="1645"/>
      <c r="W2381" s="1644"/>
      <c r="X2381" s="1645"/>
      <c r="Y2381" s="1644"/>
      <c r="AI2381" s="2023">
        <f>W2381-'Blocking-Step2'!W2381</f>
        <v>0</v>
      </c>
      <c r="AJ2381" s="2054">
        <f>O2381-'Blocking-Step2'!O2381</f>
        <v>0</v>
      </c>
    </row>
    <row r="2382" spans="1:36" hidden="1">
      <c r="A2382" s="1900" t="s">
        <v>315</v>
      </c>
      <c r="C2382" s="528"/>
      <c r="D2382" s="528"/>
      <c r="F2382" s="2000"/>
      <c r="G2382" s="1991"/>
      <c r="H2382" s="1644"/>
      <c r="I2382" s="1644"/>
      <c r="K2382" s="2000"/>
      <c r="L2382" s="1991"/>
      <c r="M2382" s="2000"/>
      <c r="N2382" s="1991"/>
      <c r="O2382" s="2000"/>
      <c r="P2382" s="1991"/>
      <c r="Q2382" s="2000"/>
      <c r="R2382" s="1991"/>
      <c r="S2382" s="1644"/>
      <c r="T2382" s="1643"/>
      <c r="U2382" s="1644"/>
      <c r="V2382" s="1643"/>
      <c r="W2382" s="1644"/>
      <c r="X2382" s="1643"/>
      <c r="Y2382" s="1644"/>
      <c r="Z2382" s="1878" t="s">
        <v>251</v>
      </c>
      <c r="AI2382" s="2023">
        <f>W2382-'Blocking-Step2'!W2382</f>
        <v>0</v>
      </c>
      <c r="AJ2382" s="2054">
        <f>O2382-'Blocking-Step2'!O2382</f>
        <v>0</v>
      </c>
    </row>
    <row r="2383" spans="1:36" hidden="1">
      <c r="A2383" s="1900" t="s">
        <v>1668</v>
      </c>
      <c r="C2383" s="528">
        <f>C2392*Z2383</f>
        <v>271132.84370467725</v>
      </c>
      <c r="D2383" s="528">
        <f>ROUND(C2383/$C$2435*$D$2435,0)</f>
        <v>258756</v>
      </c>
      <c r="F2383" s="2000"/>
      <c r="G2383" s="1991"/>
      <c r="H2383" s="1644"/>
      <c r="I2383" s="1644"/>
      <c r="K2383" s="2000">
        <f t="shared" ref="K2383:K2384" si="1398">K2279</f>
        <v>0.26</v>
      </c>
      <c r="L2383" s="1991"/>
      <c r="M2383" s="2000">
        <f t="shared" ref="M2383:M2384" si="1399">M2279</f>
        <v>0.52</v>
      </c>
      <c r="N2383" s="1991"/>
      <c r="O2383" s="2000">
        <f t="shared" ref="O2383:O2384" si="1400">O2279</f>
        <v>0</v>
      </c>
      <c r="P2383" s="1991"/>
      <c r="Q2383" s="2000">
        <f t="shared" ref="Q2383:Q2384" si="1401">Q2279</f>
        <v>0.78</v>
      </c>
      <c r="R2383" s="1991"/>
      <c r="S2383" s="1644">
        <f t="shared" ref="S2383:S2384" si="1402">ROUND($D2383*K2383,0)</f>
        <v>67277</v>
      </c>
      <c r="T2383" s="1643"/>
      <c r="U2383" s="1644">
        <f t="shared" ref="U2383:Y2384" si="1403">ROUND($D2383*M2383,0)</f>
        <v>134553</v>
      </c>
      <c r="V2383" s="1643"/>
      <c r="W2383" s="1644">
        <f t="shared" si="1403"/>
        <v>0</v>
      </c>
      <c r="X2383" s="1643"/>
      <c r="Y2383" s="1644">
        <f t="shared" si="1403"/>
        <v>201830</v>
      </c>
      <c r="Z2383" s="1878">
        <f>Z2339</f>
        <v>0.81143000192935111</v>
      </c>
      <c r="AI2383" s="2023">
        <f>W2383-'Blocking-Step2'!W2383</f>
        <v>0</v>
      </c>
      <c r="AJ2383" s="2054">
        <f>O2383-'Blocking-Step2'!O2383</f>
        <v>0</v>
      </c>
    </row>
    <row r="2384" spans="1:36" hidden="1">
      <c r="A2384" s="1900" t="s">
        <v>1669</v>
      </c>
      <c r="C2384" s="528">
        <f>C2393*Z2384</f>
        <v>112904.02296400884</v>
      </c>
      <c r="D2384" s="528">
        <f>ROUND(C2384/$C$2435*$D$2435,0)</f>
        <v>107750</v>
      </c>
      <c r="F2384" s="2000"/>
      <c r="G2384" s="1991"/>
      <c r="H2384" s="1644"/>
      <c r="I2384" s="1644"/>
      <c r="K2384" s="2000">
        <f t="shared" si="1398"/>
        <v>0.23</v>
      </c>
      <c r="L2384" s="1991"/>
      <c r="M2384" s="2000">
        <f t="shared" si="1399"/>
        <v>0.45999999999999996</v>
      </c>
      <c r="N2384" s="1991"/>
      <c r="O2384" s="2000">
        <f t="shared" si="1400"/>
        <v>0</v>
      </c>
      <c r="P2384" s="1991"/>
      <c r="Q2384" s="2000">
        <f t="shared" si="1401"/>
        <v>0.69</v>
      </c>
      <c r="R2384" s="1991"/>
      <c r="S2384" s="1644">
        <f t="shared" si="1402"/>
        <v>24783</v>
      </c>
      <c r="T2384" s="1643"/>
      <c r="U2384" s="1644">
        <f t="shared" si="1403"/>
        <v>49565</v>
      </c>
      <c r="V2384" s="1643"/>
      <c r="W2384" s="1644">
        <f t="shared" si="1403"/>
        <v>0</v>
      </c>
      <c r="X2384" s="1643"/>
      <c r="Y2384" s="1644">
        <f t="shared" si="1403"/>
        <v>74348</v>
      </c>
      <c r="Z2384" s="1878">
        <f>Z2340</f>
        <v>1.1359353572586484</v>
      </c>
      <c r="AI2384" s="2023">
        <f>W2384-'Blocking-Step2'!W2384</f>
        <v>0</v>
      </c>
      <c r="AJ2384" s="2054">
        <f>O2384-'Blocking-Step2'!O2384</f>
        <v>0</v>
      </c>
    </row>
    <row r="2385" spans="1:36" hidden="1">
      <c r="A2385" s="1900" t="s">
        <v>316</v>
      </c>
      <c r="C2385" s="528"/>
      <c r="D2385" s="528"/>
      <c r="F2385" s="2001"/>
      <c r="G2385" s="1992"/>
      <c r="H2385" s="1644"/>
      <c r="I2385" s="1644"/>
      <c r="K2385" s="2001"/>
      <c r="L2385" s="1992"/>
      <c r="M2385" s="2001"/>
      <c r="N2385" s="1992"/>
      <c r="O2385" s="2001"/>
      <c r="P2385" s="1992"/>
      <c r="Q2385" s="2001"/>
      <c r="R2385" s="1992"/>
      <c r="S2385" s="1644"/>
      <c r="T2385" s="1645"/>
      <c r="U2385" s="1644"/>
      <c r="V2385" s="1645"/>
      <c r="W2385" s="1644"/>
      <c r="X2385" s="1645"/>
      <c r="Y2385" s="1644"/>
      <c r="AI2385" s="2023">
        <f>W2385-'Blocking-Step2'!W2385</f>
        <v>0</v>
      </c>
      <c r="AJ2385" s="2054">
        <f>O2385-'Blocking-Step2'!O2385</f>
        <v>0</v>
      </c>
    </row>
    <row r="2386" spans="1:36" hidden="1">
      <c r="A2386" s="1900" t="s">
        <v>1668</v>
      </c>
      <c r="C2386" s="528">
        <f>C2395*Z2386</f>
        <v>0</v>
      </c>
      <c r="D2386" s="528">
        <f>ROUND(C2386/$C$2435*$D$2435,0)</f>
        <v>0</v>
      </c>
      <c r="F2386" s="2001"/>
      <c r="G2386" s="1992"/>
      <c r="H2386" s="1644"/>
      <c r="I2386" s="1644"/>
      <c r="K2386" s="2001">
        <f t="shared" ref="K2386:K2387" si="1404">K2282</f>
        <v>0.13</v>
      </c>
      <c r="L2386" s="1992"/>
      <c r="M2386" s="2001">
        <f t="shared" ref="M2386:M2387" si="1405">M2282</f>
        <v>0.26</v>
      </c>
      <c r="N2386" s="1992"/>
      <c r="O2386" s="2001">
        <f t="shared" ref="O2386:O2387" si="1406">O2282</f>
        <v>0</v>
      </c>
      <c r="P2386" s="1992"/>
      <c r="Q2386" s="2001">
        <f t="shared" ref="Q2386:Q2387" si="1407">Q2282</f>
        <v>0.39</v>
      </c>
      <c r="R2386" s="1992"/>
      <c r="S2386" s="1644">
        <f t="shared" ref="S2386:S2387" si="1408">ROUND($D2386*K2386,0)</f>
        <v>0</v>
      </c>
      <c r="T2386" s="1645"/>
      <c r="U2386" s="1644">
        <f t="shared" ref="U2386:Y2387" si="1409">ROUND($D2386*M2386,0)</f>
        <v>0</v>
      </c>
      <c r="V2386" s="1645"/>
      <c r="W2386" s="1644">
        <f t="shared" si="1409"/>
        <v>0</v>
      </c>
      <c r="X2386" s="1645"/>
      <c r="Y2386" s="1644">
        <f t="shared" si="1409"/>
        <v>0</v>
      </c>
      <c r="Z2386" s="1878">
        <f t="shared" ref="Z2386:Z2387" si="1410">Z2342</f>
        <v>0.81143000192935111</v>
      </c>
      <c r="AI2386" s="2023">
        <f>W2386-'Blocking-Step2'!W2386</f>
        <v>0</v>
      </c>
      <c r="AJ2386" s="2054">
        <f>O2386-'Blocking-Step2'!O2386</f>
        <v>0</v>
      </c>
    </row>
    <row r="2387" spans="1:36" hidden="1">
      <c r="A2387" s="1900" t="s">
        <v>1669</v>
      </c>
      <c r="C2387" s="528">
        <f>C2396*Z2387</f>
        <v>0</v>
      </c>
      <c r="D2387" s="528">
        <f>ROUND(C2387/$C$2435*$D$2435,0)</f>
        <v>0</v>
      </c>
      <c r="F2387" s="2001"/>
      <c r="G2387" s="1992"/>
      <c r="H2387" s="1644"/>
      <c r="I2387" s="1644"/>
      <c r="K2387" s="2001">
        <f t="shared" si="1404"/>
        <v>0.12</v>
      </c>
      <c r="L2387" s="1992"/>
      <c r="M2387" s="2001">
        <f t="shared" si="1405"/>
        <v>0.22999999999999998</v>
      </c>
      <c r="N2387" s="1992"/>
      <c r="O2387" s="2001">
        <f t="shared" si="1406"/>
        <v>0</v>
      </c>
      <c r="P2387" s="1992"/>
      <c r="Q2387" s="2001">
        <f t="shared" si="1407"/>
        <v>0.35</v>
      </c>
      <c r="R2387" s="1992"/>
      <c r="S2387" s="1644">
        <f t="shared" si="1408"/>
        <v>0</v>
      </c>
      <c r="T2387" s="1645"/>
      <c r="U2387" s="1644">
        <f t="shared" si="1409"/>
        <v>0</v>
      </c>
      <c r="V2387" s="1645"/>
      <c r="W2387" s="1644">
        <f t="shared" si="1409"/>
        <v>0</v>
      </c>
      <c r="X2387" s="1645"/>
      <c r="Y2387" s="1644">
        <f t="shared" si="1409"/>
        <v>0</v>
      </c>
      <c r="Z2387" s="1878">
        <f t="shared" si="1410"/>
        <v>1.1359353572586484</v>
      </c>
      <c r="AI2387" s="2023">
        <f>W2387-'Blocking-Step2'!W2387</f>
        <v>0</v>
      </c>
      <c r="AJ2387" s="2054">
        <f>O2387-'Blocking-Step2'!O2387</f>
        <v>0</v>
      </c>
    </row>
    <row r="2388" spans="1:36" hidden="1">
      <c r="A2388" s="1900" t="s">
        <v>317</v>
      </c>
      <c r="C2388" s="528"/>
      <c r="D2388" s="528"/>
      <c r="F2388" s="2000"/>
      <c r="G2388" s="1902"/>
      <c r="H2388" s="1644"/>
      <c r="I2388" s="1644"/>
      <c r="K2388" s="2000"/>
      <c r="L2388" s="1902"/>
      <c r="M2388" s="2000"/>
      <c r="N2388" s="1902"/>
      <c r="O2388" s="2000"/>
      <c r="P2388" s="1902"/>
      <c r="Q2388" s="2000"/>
      <c r="R2388" s="1902"/>
      <c r="S2388" s="1644"/>
      <c r="T2388" s="1643"/>
      <c r="U2388" s="1644"/>
      <c r="V2388" s="1643"/>
      <c r="W2388" s="1644"/>
      <c r="X2388" s="1643"/>
      <c r="Y2388" s="1644"/>
      <c r="AI2388" s="2023">
        <f>W2388-'Blocking-Step2'!W2388</f>
        <v>0</v>
      </c>
      <c r="AJ2388" s="2054">
        <f>O2388-'Blocking-Step2'!O2388</f>
        <v>0</v>
      </c>
    </row>
    <row r="2389" spans="1:36" hidden="1">
      <c r="A2389" s="1900" t="s">
        <v>1668</v>
      </c>
      <c r="C2389" s="528">
        <f>C2398*Z2389</f>
        <v>7090.2753568586704</v>
      </c>
      <c r="D2389" s="528">
        <f>ROUND(C2389/$C$2435*$D$2435,0)</f>
        <v>6767</v>
      </c>
      <c r="F2389" s="2000"/>
      <c r="G2389" s="1902"/>
      <c r="H2389" s="1644"/>
      <c r="I2389" s="1644"/>
      <c r="K2389" s="2000">
        <f t="shared" ref="K2389:K2390" si="1411">K2285</f>
        <v>11.05</v>
      </c>
      <c r="L2389" s="1902"/>
      <c r="M2389" s="2000">
        <f t="shared" ref="M2389:M2390" si="1412">M2285</f>
        <v>22.09</v>
      </c>
      <c r="N2389" s="1902"/>
      <c r="O2389" s="2000">
        <f t="shared" ref="O2389:O2390" si="1413">O2285</f>
        <v>0</v>
      </c>
      <c r="P2389" s="1902"/>
      <c r="Q2389" s="2000">
        <f t="shared" ref="Q2389:Q2390" si="1414">Q2285</f>
        <v>33.14</v>
      </c>
      <c r="R2389" s="1902"/>
      <c r="S2389" s="1644">
        <f t="shared" ref="S2389:S2390" si="1415">ROUND($D2389*K2389,0)</f>
        <v>74775</v>
      </c>
      <c r="T2389" s="1643"/>
      <c r="U2389" s="1644">
        <f t="shared" ref="U2389:Y2390" si="1416">ROUND($D2389*M2389,0)</f>
        <v>149483</v>
      </c>
      <c r="V2389" s="1643"/>
      <c r="W2389" s="1644">
        <f t="shared" si="1416"/>
        <v>0</v>
      </c>
      <c r="X2389" s="1643"/>
      <c r="Y2389" s="1644">
        <f t="shared" si="1416"/>
        <v>224258</v>
      </c>
      <c r="Z2389" s="1878">
        <f t="shared" ref="Z2389:Z2390" si="1417">Z2345</f>
        <v>0.81143000192935111</v>
      </c>
      <c r="AI2389" s="2023">
        <f>W2389-'Blocking-Step2'!W2389</f>
        <v>0</v>
      </c>
      <c r="AJ2389" s="2054">
        <f>O2389-'Blocking-Step2'!O2389</f>
        <v>0</v>
      </c>
    </row>
    <row r="2390" spans="1:36" hidden="1">
      <c r="A2390" s="1900" t="s">
        <v>1669</v>
      </c>
      <c r="C2390" s="528">
        <f>C2399*Z2390</f>
        <v>1117.76039154251</v>
      </c>
      <c r="D2390" s="528">
        <f>ROUND(C2390/$C$2435*$D$2435,0)</f>
        <v>1067</v>
      </c>
      <c r="F2390" s="2000"/>
      <c r="G2390" s="1902"/>
      <c r="H2390" s="1644"/>
      <c r="I2390" s="1644"/>
      <c r="K2390" s="2000">
        <f t="shared" si="1411"/>
        <v>9.7799999999999994</v>
      </c>
      <c r="L2390" s="1902"/>
      <c r="M2390" s="2000">
        <f t="shared" si="1412"/>
        <v>19.549999999999997</v>
      </c>
      <c r="N2390" s="1902"/>
      <c r="O2390" s="2000">
        <f t="shared" si="1413"/>
        <v>0</v>
      </c>
      <c r="P2390" s="1902"/>
      <c r="Q2390" s="2000">
        <f t="shared" si="1414"/>
        <v>29.33</v>
      </c>
      <c r="R2390" s="1902"/>
      <c r="S2390" s="1644">
        <f t="shared" si="1415"/>
        <v>10435</v>
      </c>
      <c r="T2390" s="1643"/>
      <c r="U2390" s="1644">
        <f t="shared" si="1416"/>
        <v>20860</v>
      </c>
      <c r="V2390" s="1643"/>
      <c r="W2390" s="1644">
        <f t="shared" si="1416"/>
        <v>0</v>
      </c>
      <c r="X2390" s="1643"/>
      <c r="Y2390" s="1644">
        <f t="shared" si="1416"/>
        <v>31295</v>
      </c>
      <c r="Z2390" s="1878">
        <f t="shared" si="1417"/>
        <v>1.1359353572586484</v>
      </c>
      <c r="AI2390" s="2023">
        <f>W2390-'Blocking-Step2'!W2390</f>
        <v>0</v>
      </c>
      <c r="AJ2390" s="2054">
        <f>O2390-'Blocking-Step2'!O2390</f>
        <v>0</v>
      </c>
    </row>
    <row r="2391" spans="1:36" hidden="1">
      <c r="A2391" s="1900" t="s">
        <v>315</v>
      </c>
      <c r="C2391" s="528"/>
      <c r="D2391" s="528"/>
      <c r="F2391" s="2000"/>
      <c r="G2391" s="1991"/>
      <c r="H2391" s="1644"/>
      <c r="I2391" s="1644"/>
      <c r="K2391" s="2000"/>
      <c r="L2391" s="1991"/>
      <c r="M2391" s="2000"/>
      <c r="N2391" s="1991"/>
      <c r="O2391" s="2000"/>
      <c r="P2391" s="1991"/>
      <c r="Q2391" s="2000"/>
      <c r="R2391" s="1991"/>
      <c r="S2391" s="1644"/>
      <c r="T2391" s="1643"/>
      <c r="U2391" s="1644"/>
      <c r="V2391" s="1643"/>
      <c r="W2391" s="1644"/>
      <c r="X2391" s="1643"/>
      <c r="Y2391" s="1644"/>
      <c r="AI2391" s="2023">
        <f>W2391-'Blocking-Step2'!W2391</f>
        <v>0</v>
      </c>
      <c r="AJ2391" s="2054">
        <f>O2391-'Blocking-Step2'!O2391</f>
        <v>0</v>
      </c>
    </row>
    <row r="2392" spans="1:36" hidden="1">
      <c r="A2392" s="1900" t="s">
        <v>944</v>
      </c>
      <c r="C2392" s="528">
        <f>'31'!N3</f>
        <v>334142</v>
      </c>
      <c r="D2392" s="528">
        <f>ROUND(C2392/$C$2435*$D$2435,0)</f>
        <v>318889</v>
      </c>
      <c r="F2392" s="2000">
        <v>0.76</v>
      </c>
      <c r="G2392" s="1991"/>
      <c r="H2392" s="1644">
        <f>ROUND($F2392*C2392,0)</f>
        <v>253948</v>
      </c>
      <c r="I2392" s="1644">
        <f>ROUND($F2392*D2392,0)</f>
        <v>242356</v>
      </c>
      <c r="K2392" s="2000"/>
      <c r="L2392" s="1991"/>
      <c r="M2392" s="2000"/>
      <c r="N2392" s="1991"/>
      <c r="O2392" s="2000"/>
      <c r="P2392" s="1991"/>
      <c r="Q2392" s="2000"/>
      <c r="R2392" s="1991"/>
      <c r="S2392" s="1644"/>
      <c r="T2392" s="1643"/>
      <c r="U2392" s="1644"/>
      <c r="V2392" s="1643"/>
      <c r="W2392" s="1644"/>
      <c r="X2392" s="1643"/>
      <c r="Y2392" s="1644"/>
      <c r="AI2392" s="2023">
        <f>W2392-'Blocking-Step2'!W2392</f>
        <v>0</v>
      </c>
      <c r="AJ2392" s="2054">
        <f>O2392-'Blocking-Step2'!O2392</f>
        <v>0</v>
      </c>
    </row>
    <row r="2393" spans="1:36" hidden="1">
      <c r="A2393" s="1900" t="s">
        <v>945</v>
      </c>
      <c r="C2393" s="528">
        <f>'31'!O3</f>
        <v>99393</v>
      </c>
      <c r="D2393" s="528">
        <f>ROUND(C2393/$C$2435*$D$2435,0)</f>
        <v>94856</v>
      </c>
      <c r="F2393" s="2000">
        <v>0.51</v>
      </c>
      <c r="G2393" s="1991"/>
      <c r="H2393" s="1644">
        <f>ROUND($F2393*C2393,0)</f>
        <v>50690</v>
      </c>
      <c r="I2393" s="1644">
        <f>ROUND($F2393*D2393,0)</f>
        <v>48377</v>
      </c>
      <c r="K2393" s="2000"/>
      <c r="L2393" s="1991"/>
      <c r="M2393" s="2000"/>
      <c r="N2393" s="1991"/>
      <c r="O2393" s="2000"/>
      <c r="P2393" s="1991"/>
      <c r="Q2393" s="2000"/>
      <c r="R2393" s="1991"/>
      <c r="S2393" s="1644"/>
      <c r="T2393" s="1643"/>
      <c r="U2393" s="1644"/>
      <c r="V2393" s="1643"/>
      <c r="W2393" s="1644"/>
      <c r="X2393" s="1643"/>
      <c r="Y2393" s="1644"/>
      <c r="AI2393" s="2023">
        <f>W2393-'Blocking-Step2'!W2393</f>
        <v>0</v>
      </c>
      <c r="AJ2393" s="2054">
        <f>O2393-'Blocking-Step2'!O2393</f>
        <v>0</v>
      </c>
    </row>
    <row r="2394" spans="1:36" hidden="1">
      <c r="A2394" s="1900" t="s">
        <v>316</v>
      </c>
      <c r="C2394" s="528"/>
      <c r="D2394" s="528"/>
      <c r="F2394" s="2001"/>
      <c r="G2394" s="1992"/>
      <c r="H2394" s="1644"/>
      <c r="I2394" s="1644"/>
      <c r="K2394" s="2001"/>
      <c r="L2394" s="1992"/>
      <c r="M2394" s="2001"/>
      <c r="N2394" s="1992"/>
      <c r="O2394" s="2001"/>
      <c r="P2394" s="1992"/>
      <c r="Q2394" s="2001"/>
      <c r="R2394" s="1992"/>
      <c r="S2394" s="1644"/>
      <c r="T2394" s="1645"/>
      <c r="U2394" s="1644"/>
      <c r="V2394" s="1645"/>
      <c r="W2394" s="1644"/>
      <c r="X2394" s="1645"/>
      <c r="Y2394" s="1644"/>
      <c r="AI2394" s="2023">
        <f>W2394-'Blocking-Step2'!W2394</f>
        <v>0</v>
      </c>
      <c r="AJ2394" s="2054">
        <f>O2394-'Blocking-Step2'!O2394</f>
        <v>0</v>
      </c>
    </row>
    <row r="2395" spans="1:36" hidden="1">
      <c r="A2395" s="1900" t="s">
        <v>944</v>
      </c>
      <c r="C2395" s="528">
        <f>'31'!Q3</f>
        <v>0</v>
      </c>
      <c r="D2395" s="528">
        <f>ROUND(C2395/$C$2435*$D$2435,0)</f>
        <v>0</v>
      </c>
      <c r="F2395" s="2001">
        <v>0.38</v>
      </c>
      <c r="G2395" s="1992"/>
      <c r="H2395" s="1644">
        <f>ROUND($F2395*C2395,0)</f>
        <v>0</v>
      </c>
      <c r="I2395" s="1644">
        <f>ROUND($F2395*D2395,0)</f>
        <v>0</v>
      </c>
      <c r="K2395" s="2001"/>
      <c r="L2395" s="1992"/>
      <c r="M2395" s="2001"/>
      <c r="N2395" s="1992"/>
      <c r="O2395" s="2001"/>
      <c r="P2395" s="1992"/>
      <c r="Q2395" s="2001"/>
      <c r="R2395" s="1992"/>
      <c r="S2395" s="1644"/>
      <c r="T2395" s="1645"/>
      <c r="U2395" s="1644"/>
      <c r="V2395" s="1645"/>
      <c r="W2395" s="1644"/>
      <c r="X2395" s="1645"/>
      <c r="Y2395" s="1644"/>
      <c r="AI2395" s="2023">
        <f>W2395-'Blocking-Step2'!W2395</f>
        <v>0</v>
      </c>
      <c r="AJ2395" s="2054">
        <f>O2395-'Blocking-Step2'!O2395</f>
        <v>0</v>
      </c>
    </row>
    <row r="2396" spans="1:36" hidden="1">
      <c r="A2396" s="1900" t="s">
        <v>945</v>
      </c>
      <c r="C2396" s="528">
        <f>'31'!R3</f>
        <v>0</v>
      </c>
      <c r="D2396" s="528">
        <f>ROUND(C2396/$C$2435*$D$2435,0)</f>
        <v>0</v>
      </c>
      <c r="F2396" s="2001">
        <v>0.255</v>
      </c>
      <c r="G2396" s="1992"/>
      <c r="H2396" s="1644">
        <f>ROUND($F2396*C2396,0)</f>
        <v>0</v>
      </c>
      <c r="I2396" s="1644">
        <f>ROUND($F2396*D2396,0)</f>
        <v>0</v>
      </c>
      <c r="K2396" s="2001"/>
      <c r="L2396" s="1992"/>
      <c r="M2396" s="2001"/>
      <c r="N2396" s="1992"/>
      <c r="O2396" s="2001"/>
      <c r="P2396" s="1992"/>
      <c r="Q2396" s="2001"/>
      <c r="R2396" s="1992"/>
      <c r="S2396" s="1644"/>
      <c r="T2396" s="1645"/>
      <c r="U2396" s="1644"/>
      <c r="V2396" s="1645"/>
      <c r="W2396" s="1644"/>
      <c r="X2396" s="1645"/>
      <c r="Y2396" s="1644"/>
      <c r="AI2396" s="2023">
        <f>W2396-'Blocking-Step2'!W2396</f>
        <v>0</v>
      </c>
      <c r="AJ2396" s="2054">
        <f>O2396-'Blocking-Step2'!O2396</f>
        <v>0</v>
      </c>
    </row>
    <row r="2397" spans="1:36" hidden="1">
      <c r="A2397" s="1900" t="s">
        <v>317</v>
      </c>
      <c r="C2397" s="528"/>
      <c r="D2397" s="528"/>
      <c r="F2397" s="2000"/>
      <c r="G2397" s="1902"/>
      <c r="H2397" s="1644"/>
      <c r="I2397" s="1644"/>
      <c r="K2397" s="2000"/>
      <c r="L2397" s="1902"/>
      <c r="M2397" s="2000"/>
      <c r="N2397" s="1902"/>
      <c r="O2397" s="2000"/>
      <c r="P2397" s="1902"/>
      <c r="Q2397" s="2000"/>
      <c r="R2397" s="1902"/>
      <c r="S2397" s="1644"/>
      <c r="T2397" s="1643"/>
      <c r="U2397" s="1644"/>
      <c r="V2397" s="1643"/>
      <c r="W2397" s="1644"/>
      <c r="X2397" s="1643"/>
      <c r="Y2397" s="1644"/>
      <c r="AI2397" s="2023">
        <f>W2397-'Blocking-Step2'!W2397</f>
        <v>0</v>
      </c>
      <c r="AJ2397" s="2054">
        <f>O2397-'Blocking-Step2'!O2397</f>
        <v>0</v>
      </c>
    </row>
    <row r="2398" spans="1:36" hidden="1">
      <c r="A2398" s="1900" t="s">
        <v>944</v>
      </c>
      <c r="C2398" s="528">
        <f>'31'!T3</f>
        <v>8738</v>
      </c>
      <c r="D2398" s="528">
        <f>ROUND(C2398/$C$2435*$D$2435,0)</f>
        <v>8339</v>
      </c>
      <c r="F2398" s="2000">
        <v>32.35</v>
      </c>
      <c r="G2398" s="1902"/>
      <c r="H2398" s="1644">
        <f>ROUND($F2398*C2398,0)</f>
        <v>282674</v>
      </c>
      <c r="I2398" s="1644">
        <f>ROUND($F2398*D2398,0)</f>
        <v>269767</v>
      </c>
      <c r="K2398" s="2000"/>
      <c r="L2398" s="1902"/>
      <c r="M2398" s="2000"/>
      <c r="N2398" s="1902"/>
      <c r="O2398" s="2000"/>
      <c r="P2398" s="1902"/>
      <c r="Q2398" s="2000"/>
      <c r="R2398" s="1902"/>
      <c r="S2398" s="1644"/>
      <c r="T2398" s="1643"/>
      <c r="U2398" s="1644"/>
      <c r="V2398" s="1643"/>
      <c r="W2398" s="1644"/>
      <c r="X2398" s="1643"/>
      <c r="Y2398" s="1644"/>
      <c r="AI2398" s="2023">
        <f>W2398-'Blocking-Step2'!W2398</f>
        <v>0</v>
      </c>
      <c r="AJ2398" s="2054">
        <f>O2398-'Blocking-Step2'!O2398</f>
        <v>0</v>
      </c>
    </row>
    <row r="2399" spans="1:36" hidden="1">
      <c r="A2399" s="1900" t="s">
        <v>945</v>
      </c>
      <c r="C2399" s="528">
        <f>'31'!U3</f>
        <v>984</v>
      </c>
      <c r="D2399" s="528">
        <f>ROUND(C2399/$C$2435*$D$2435,0)</f>
        <v>939</v>
      </c>
      <c r="F2399" s="2000">
        <v>23.36</v>
      </c>
      <c r="G2399" s="1902"/>
      <c r="H2399" s="1644">
        <f>ROUND($F2399*C2399,0)</f>
        <v>22986</v>
      </c>
      <c r="I2399" s="1644">
        <f>ROUND($F2399*D2399,0)</f>
        <v>21935</v>
      </c>
      <c r="K2399" s="2000"/>
      <c r="L2399" s="1902"/>
      <c r="M2399" s="2000"/>
      <c r="N2399" s="1902"/>
      <c r="O2399" s="2000"/>
      <c r="P2399" s="1902"/>
      <c r="Q2399" s="2000"/>
      <c r="R2399" s="1902"/>
      <c r="S2399" s="1644"/>
      <c r="T2399" s="1643"/>
      <c r="U2399" s="1644"/>
      <c r="V2399" s="1643"/>
      <c r="W2399" s="1644"/>
      <c r="X2399" s="1643"/>
      <c r="Y2399" s="1644"/>
      <c r="AI2399" s="2023">
        <f>W2399-'Blocking-Step2'!W2399</f>
        <v>0</v>
      </c>
      <c r="AJ2399" s="2054">
        <f>O2399-'Blocking-Step2'!O2399</f>
        <v>0</v>
      </c>
    </row>
    <row r="2400" spans="1:36" hidden="1">
      <c r="A2400" s="1900" t="s">
        <v>397</v>
      </c>
      <c r="C2400" s="585"/>
      <c r="D2400" s="585"/>
      <c r="F2400" s="1943"/>
      <c r="G2400" s="1957"/>
      <c r="H2400" s="1030">
        <f>SUM(H2335:H2399)</f>
        <v>1104480</v>
      </c>
      <c r="I2400" s="1030">
        <f>SUM(I2335:I2399)</f>
        <v>1056038</v>
      </c>
      <c r="K2400" s="1943"/>
      <c r="L2400" s="1957"/>
      <c r="M2400" s="1943"/>
      <c r="N2400" s="1957"/>
      <c r="O2400" s="1943"/>
      <c r="P2400" s="1957"/>
      <c r="Q2400" s="1943"/>
      <c r="R2400" s="1957"/>
      <c r="S2400" s="1030">
        <f>SUM(S2335:S2399)</f>
        <v>594744</v>
      </c>
      <c r="T2400" s="1645"/>
      <c r="U2400" s="1030">
        <f>SUM(U2335:U2399)</f>
        <v>423227</v>
      </c>
      <c r="V2400" s="1645"/>
      <c r="W2400" s="1030">
        <f>SUM(W2335:W2399)</f>
        <v>0</v>
      </c>
      <c r="X2400" s="1645"/>
      <c r="Y2400" s="1030">
        <f>SUM(Y2335:Y2399)</f>
        <v>1017971</v>
      </c>
      <c r="AI2400" s="2023">
        <f>W2400-'Blocking-Step2'!W2400</f>
        <v>0</v>
      </c>
      <c r="AJ2400" s="2054">
        <f>O2400-'Blocking-Step2'!O2400</f>
        <v>0</v>
      </c>
    </row>
    <row r="2401" spans="1:36" hidden="1">
      <c r="A2401" s="1987" t="s">
        <v>442</v>
      </c>
      <c r="S2401" s="1638"/>
      <c r="U2401" s="1638"/>
      <c r="W2401" s="1638"/>
      <c r="AI2401" s="2023">
        <f>W2401-'Blocking-Step2'!W2401</f>
        <v>0</v>
      </c>
      <c r="AJ2401" s="2054">
        <f>O2401-'Blocking-Step2'!O2401</f>
        <v>0</v>
      </c>
    </row>
    <row r="2402" spans="1:36" hidden="1">
      <c r="A2402" s="1897" t="s">
        <v>443</v>
      </c>
      <c r="C2402" s="528"/>
      <c r="D2402" s="528"/>
      <c r="F2402" s="1944"/>
      <c r="G2402" s="597"/>
      <c r="H2402" s="1644"/>
      <c r="I2402" s="1644"/>
      <c r="K2402" s="1944"/>
      <c r="L2402" s="597"/>
      <c r="M2402" s="1944"/>
      <c r="N2402" s="597"/>
      <c r="O2402" s="1944"/>
      <c r="P2402" s="597"/>
      <c r="Q2402" s="1944"/>
      <c r="R2402" s="597"/>
      <c r="S2402" s="1644"/>
      <c r="T2402" s="1645"/>
      <c r="U2402" s="1644"/>
      <c r="V2402" s="1645"/>
      <c r="W2402" s="1644"/>
      <c r="X2402" s="1645"/>
      <c r="Y2402" s="1644"/>
      <c r="AI2402" s="2023">
        <f>W2402-'Blocking-Step2'!W2402</f>
        <v>0</v>
      </c>
      <c r="AJ2402" s="2054">
        <f>O2402-'Blocking-Step2'!O2402</f>
        <v>0</v>
      </c>
    </row>
    <row r="2403" spans="1:36" hidden="1">
      <c r="A2403" s="1900" t="s">
        <v>168</v>
      </c>
      <c r="C2403" s="528">
        <f>'31'!K2</f>
        <v>29129</v>
      </c>
      <c r="D2403" s="528">
        <f>ROUND(C2403/$C$2435*$D$2435,0)</f>
        <v>27799</v>
      </c>
      <c r="F2403" s="1944">
        <v>4.76</v>
      </c>
      <c r="G2403" s="597"/>
      <c r="H2403" s="1644">
        <f t="shared" ref="H2403:I2412" si="1418">ROUND($F2403*C2403,0)</f>
        <v>138654</v>
      </c>
      <c r="I2403" s="1644">
        <f t="shared" si="1418"/>
        <v>132323</v>
      </c>
      <c r="K2403" s="1944">
        <f t="shared" ref="K2403:K2409" si="1419">K2299</f>
        <v>4.78</v>
      </c>
      <c r="L2403" s="597"/>
      <c r="M2403" s="1944">
        <f t="shared" ref="M2403:M2409" si="1420">M2299</f>
        <v>0</v>
      </c>
      <c r="N2403" s="597"/>
      <c r="O2403" s="1944">
        <f t="shared" ref="O2403:O2409" si="1421">O2299</f>
        <v>0</v>
      </c>
      <c r="P2403" s="597"/>
      <c r="Q2403" s="1944">
        <f t="shared" ref="Q2403:Q2409" si="1422">Q2299</f>
        <v>4.78</v>
      </c>
      <c r="R2403" s="597"/>
      <c r="S2403" s="1644">
        <f t="shared" ref="S2403:Y2405" si="1423">ROUND($D2403*K2403,0)</f>
        <v>132879</v>
      </c>
      <c r="T2403" s="1645"/>
      <c r="U2403" s="1644">
        <f t="shared" si="1423"/>
        <v>0</v>
      </c>
      <c r="V2403" s="1645"/>
      <c r="W2403" s="1644">
        <f t="shared" si="1423"/>
        <v>0</v>
      </c>
      <c r="X2403" s="1645"/>
      <c r="Y2403" s="1644">
        <f t="shared" si="1423"/>
        <v>132879</v>
      </c>
      <c r="Z2403" s="1878" t="s">
        <v>251</v>
      </c>
      <c r="AI2403" s="2023">
        <f>W2403-'Blocking-Step2'!W2403</f>
        <v>0</v>
      </c>
      <c r="AJ2403" s="2054">
        <f>O2403-'Blocking-Step2'!O2403</f>
        <v>0</v>
      </c>
    </row>
    <row r="2404" spans="1:36" hidden="1">
      <c r="A2404" s="1900" t="s">
        <v>1651</v>
      </c>
      <c r="C2404" s="528">
        <f>C2410*Z2404</f>
        <v>2828.2164038624519</v>
      </c>
      <c r="D2404" s="528">
        <f>ROUND(C2404/$C$2435*$D$2435,0)</f>
        <v>2699</v>
      </c>
      <c r="F2404" s="1944"/>
      <c r="G2404" s="597"/>
      <c r="H2404" s="1644"/>
      <c r="I2404" s="1644"/>
      <c r="K2404" s="1944">
        <f t="shared" si="1419"/>
        <v>7.09</v>
      </c>
      <c r="L2404" s="597"/>
      <c r="M2404" s="1944">
        <f t="shared" si="1420"/>
        <v>8.5400000000000009</v>
      </c>
      <c r="N2404" s="597"/>
      <c r="O2404" s="1944">
        <f t="shared" si="1421"/>
        <v>0</v>
      </c>
      <c r="P2404" s="597"/>
      <c r="Q2404" s="1944">
        <f t="shared" si="1422"/>
        <v>15.63</v>
      </c>
      <c r="R2404" s="597"/>
      <c r="S2404" s="1644">
        <f t="shared" si="1423"/>
        <v>19136</v>
      </c>
      <c r="T2404" s="1645"/>
      <c r="U2404" s="1644">
        <f t="shared" si="1423"/>
        <v>23049</v>
      </c>
      <c r="V2404" s="1645"/>
      <c r="W2404" s="1644">
        <f t="shared" si="1423"/>
        <v>0</v>
      </c>
      <c r="X2404" s="1645"/>
      <c r="Y2404" s="1644">
        <f t="shared" si="1423"/>
        <v>42185</v>
      </c>
      <c r="Z2404" s="1878">
        <f>Z1401</f>
        <v>0.8080618296749863</v>
      </c>
      <c r="AI2404" s="2023">
        <f>W2404-'Blocking-Step2'!W2404</f>
        <v>0</v>
      </c>
      <c r="AJ2404" s="2054">
        <f>O2404-'Blocking-Step2'!O2404</f>
        <v>0</v>
      </c>
    </row>
    <row r="2405" spans="1:36" hidden="1">
      <c r="A2405" s="1900" t="s">
        <v>1652</v>
      </c>
      <c r="C2405" s="528">
        <f>C2411*Z2405</f>
        <v>28169.780665940372</v>
      </c>
      <c r="D2405" s="528">
        <f>ROUND(C2405/$C$2435*$D$2435,0)</f>
        <v>26884</v>
      </c>
      <c r="F2405" s="1944"/>
      <c r="G2405" s="597"/>
      <c r="H2405" s="1644"/>
      <c r="I2405" s="1644"/>
      <c r="K2405" s="1944">
        <f t="shared" si="1419"/>
        <v>6.28</v>
      </c>
      <c r="L2405" s="597"/>
      <c r="M2405" s="1944">
        <f t="shared" si="1420"/>
        <v>7.55</v>
      </c>
      <c r="N2405" s="597"/>
      <c r="O2405" s="1944">
        <f t="shared" si="1421"/>
        <v>0</v>
      </c>
      <c r="P2405" s="597"/>
      <c r="Q2405" s="1944">
        <f t="shared" si="1422"/>
        <v>13.83</v>
      </c>
      <c r="R2405" s="597"/>
      <c r="S2405" s="1644">
        <f t="shared" si="1423"/>
        <v>168832</v>
      </c>
      <c r="T2405" s="1645"/>
      <c r="U2405" s="1644">
        <f t="shared" si="1423"/>
        <v>202974</v>
      </c>
      <c r="V2405" s="1645"/>
      <c r="W2405" s="1644">
        <f t="shared" si="1423"/>
        <v>0</v>
      </c>
      <c r="X2405" s="1645"/>
      <c r="Y2405" s="1644">
        <f t="shared" si="1423"/>
        <v>371806</v>
      </c>
      <c r="Z2405" s="1878">
        <f>Z1402</f>
        <v>1.1030535149949241</v>
      </c>
      <c r="AI2405" s="2023">
        <f>W2405-'Blocking-Step2'!W2405</f>
        <v>0</v>
      </c>
      <c r="AJ2405" s="2054">
        <f>O2405-'Blocking-Step2'!O2405</f>
        <v>0</v>
      </c>
    </row>
    <row r="2406" spans="1:36" hidden="1">
      <c r="A2406" s="1900" t="s">
        <v>1532</v>
      </c>
      <c r="C2406" s="528">
        <f>C2413*Z2406</f>
        <v>943370.68349318916</v>
      </c>
      <c r="D2406" s="528">
        <f>ROUND(C2406/($C$2435-$C$2434)*$D$2435,0)</f>
        <v>905085</v>
      </c>
      <c r="F2406" s="1943"/>
      <c r="G2406" s="1921"/>
      <c r="H2406" s="1644"/>
      <c r="I2406" s="1644"/>
      <c r="K2406" s="1943">
        <f t="shared" si="1419"/>
        <v>0</v>
      </c>
      <c r="L2406" s="1921" t="s">
        <v>495</v>
      </c>
      <c r="M2406" s="1943">
        <f t="shared" si="1420"/>
        <v>1.3503076530939992</v>
      </c>
      <c r="N2406" s="1921" t="s">
        <v>495</v>
      </c>
      <c r="O2406" s="1943">
        <f t="shared" si="1421"/>
        <v>4.4476704152740005</v>
      </c>
      <c r="P2406" s="1921" t="s">
        <v>495</v>
      </c>
      <c r="Q2406" s="1943">
        <f t="shared" si="1422"/>
        <v>5.7979780683679998</v>
      </c>
      <c r="R2406" s="1921" t="s">
        <v>495</v>
      </c>
      <c r="S2406" s="1644">
        <f>ROUND($D2406*K2406/100,0)</f>
        <v>0</v>
      </c>
      <c r="T2406" s="1648"/>
      <c r="U2406" s="1644">
        <f>ROUND($D2406*M2406/100,0)</f>
        <v>12221</v>
      </c>
      <c r="V2406" s="1648"/>
      <c r="W2406" s="1644">
        <f>ROUND($D2406*O2406/100,0)</f>
        <v>40255</v>
      </c>
      <c r="X2406" s="1648"/>
      <c r="Y2406" s="1644">
        <f>ROUND($D2406*Q2406/100,0)</f>
        <v>52477</v>
      </c>
      <c r="Z2406" s="1878">
        <f>Z1403</f>
        <v>0.79730449923359459</v>
      </c>
      <c r="AI2406" s="2023">
        <f>W2406-'Blocking-Step2'!W2406</f>
        <v>0</v>
      </c>
      <c r="AJ2406" s="2054">
        <f>O2406-'Blocking-Step2'!O2406</f>
        <v>0</v>
      </c>
    </row>
    <row r="2407" spans="1:36" hidden="1">
      <c r="A2407" s="1900" t="s">
        <v>1653</v>
      </c>
      <c r="C2407" s="528">
        <f>C2414*Z2407</f>
        <v>2666759.3334862269</v>
      </c>
      <c r="D2407" s="528">
        <f t="shared" ref="D2407:D2408" si="1424">ROUND(C2407/($C$2435-$C$2434)*$D$2435,0)</f>
        <v>2558532</v>
      </c>
      <c r="F2407" s="1943"/>
      <c r="G2407" s="1921"/>
      <c r="H2407" s="1644"/>
      <c r="I2407" s="1644"/>
      <c r="K2407" s="1943">
        <f t="shared" si="1419"/>
        <v>0</v>
      </c>
      <c r="L2407" s="1921" t="s">
        <v>495</v>
      </c>
      <c r="M2407" s="1943">
        <f t="shared" si="1420"/>
        <v>1.3579342062780002</v>
      </c>
      <c r="N2407" s="1921" t="s">
        <v>495</v>
      </c>
      <c r="O2407" s="1943">
        <f t="shared" si="1421"/>
        <v>3.7730198365260001</v>
      </c>
      <c r="P2407" s="1921" t="s">
        <v>495</v>
      </c>
      <c r="Q2407" s="1943">
        <f t="shared" si="1422"/>
        <v>5.1309540428040004</v>
      </c>
      <c r="R2407" s="1921" t="s">
        <v>495</v>
      </c>
      <c r="S2407" s="1644">
        <f t="shared" ref="S2407:Y2409" si="1425">ROUND($D2407*K2407/100,0)</f>
        <v>0</v>
      </c>
      <c r="T2407" s="1648"/>
      <c r="U2407" s="1644">
        <f t="shared" si="1425"/>
        <v>34743</v>
      </c>
      <c r="V2407" s="1648"/>
      <c r="W2407" s="1644">
        <f t="shared" si="1425"/>
        <v>96534</v>
      </c>
      <c r="X2407" s="1648"/>
      <c r="Y2407" s="1644">
        <f t="shared" si="1425"/>
        <v>131277</v>
      </c>
      <c r="Z2407" s="1878">
        <f>Z1404</f>
        <v>0.49318673869770435</v>
      </c>
      <c r="AI2407" s="2023">
        <f>W2407-'Blocking-Step2'!W2407</f>
        <v>0</v>
      </c>
      <c r="AJ2407" s="2054">
        <f>O2407-'Blocking-Step2'!O2407</f>
        <v>0</v>
      </c>
    </row>
    <row r="2408" spans="1:36" hidden="1">
      <c r="A2408" s="1900" t="s">
        <v>1533</v>
      </c>
      <c r="C2408" s="528">
        <f>SUM(C2413:C2415)*Z2408</f>
        <v>4194488.0053539481</v>
      </c>
      <c r="D2408" s="528">
        <f t="shared" si="1424"/>
        <v>4024260</v>
      </c>
      <c r="F2408" s="1943"/>
      <c r="G2408" s="1921"/>
      <c r="H2408" s="1644"/>
      <c r="I2408" s="1644"/>
      <c r="K2408" s="1943">
        <f t="shared" si="1419"/>
        <v>0</v>
      </c>
      <c r="L2408" s="1921" t="s">
        <v>495</v>
      </c>
      <c r="M2408" s="1943">
        <f t="shared" si="1420"/>
        <v>1.3829047660919997</v>
      </c>
      <c r="N2408" s="1921" t="s">
        <v>495</v>
      </c>
      <c r="O2408" s="1943">
        <f t="shared" si="1421"/>
        <v>1.5641055047420001</v>
      </c>
      <c r="P2408" s="1921" t="s">
        <v>495</v>
      </c>
      <c r="Q2408" s="1943">
        <f t="shared" si="1422"/>
        <v>2.9470102708339998</v>
      </c>
      <c r="R2408" s="1921" t="s">
        <v>495</v>
      </c>
      <c r="S2408" s="1644">
        <f t="shared" si="1425"/>
        <v>0</v>
      </c>
      <c r="T2408" s="1648"/>
      <c r="U2408" s="1644">
        <f t="shared" si="1425"/>
        <v>55652</v>
      </c>
      <c r="V2408" s="1648"/>
      <c r="W2408" s="1644">
        <f t="shared" si="1425"/>
        <v>62944</v>
      </c>
      <c r="X2408" s="1648"/>
      <c r="Y2408" s="1644">
        <f t="shared" si="1425"/>
        <v>118595</v>
      </c>
      <c r="Z2408" s="1878">
        <f>Z1405</f>
        <v>0.26809377750638824</v>
      </c>
      <c r="AI2408" s="2023">
        <f>W2408-'Blocking-Step2'!W2408</f>
        <v>0</v>
      </c>
      <c r="AJ2408" s="2054">
        <f>O2408-'Blocking-Step2'!O2408</f>
        <v>0</v>
      </c>
    </row>
    <row r="2409" spans="1:36" hidden="1">
      <c r="A2409" s="1900" t="s">
        <v>2177</v>
      </c>
      <c r="C2409" s="528">
        <f>SUM(C2413:C2415)-SUM(C2406:C2408)</f>
        <v>7840981.977666636</v>
      </c>
      <c r="D2409" s="528">
        <f>ROUND(C2409/($C$2435-$C$2434)*$D$2435,0)</f>
        <v>7522766</v>
      </c>
      <c r="F2409" s="1943"/>
      <c r="G2409" s="1921"/>
      <c r="H2409" s="1644"/>
      <c r="I2409" s="1644"/>
      <c r="K2409" s="1943">
        <f t="shared" si="1419"/>
        <v>0</v>
      </c>
      <c r="L2409" s="1921" t="s">
        <v>495</v>
      </c>
      <c r="M2409" s="1943">
        <f t="shared" si="1420"/>
        <v>1.3867812089310003</v>
      </c>
      <c r="N2409" s="1921" t="s">
        <v>495</v>
      </c>
      <c r="O2409" s="1943">
        <f t="shared" si="1421"/>
        <v>1.2211924820729998</v>
      </c>
      <c r="P2409" s="1921" t="s">
        <v>495</v>
      </c>
      <c r="Q2409" s="1943">
        <f t="shared" si="1422"/>
        <v>2.6079736910040001</v>
      </c>
      <c r="R2409" s="1921" t="s">
        <v>495</v>
      </c>
      <c r="S2409" s="1644">
        <f t="shared" si="1425"/>
        <v>0</v>
      </c>
      <c r="T2409" s="1648"/>
      <c r="U2409" s="1644">
        <f t="shared" si="1425"/>
        <v>104324</v>
      </c>
      <c r="V2409" s="1648"/>
      <c r="W2409" s="1644">
        <f t="shared" si="1425"/>
        <v>91867</v>
      </c>
      <c r="X2409" s="1648"/>
      <c r="Y2409" s="1644">
        <f t="shared" si="1425"/>
        <v>196192</v>
      </c>
      <c r="AI2409" s="2023">
        <f>W2409-'Blocking-Step2'!W2409</f>
        <v>0</v>
      </c>
      <c r="AJ2409" s="2054">
        <f>O2409-'Blocking-Step2'!O2409</f>
        <v>0</v>
      </c>
    </row>
    <row r="2410" spans="1:36" hidden="1">
      <c r="A2410" s="1900" t="s">
        <v>18</v>
      </c>
      <c r="C2410" s="528">
        <f>'31'!W2</f>
        <v>3500</v>
      </c>
      <c r="D2410" s="528">
        <f>ROUND(C2410/$C$2435*$D$2435,0)</f>
        <v>3340</v>
      </c>
      <c r="F2410" s="1944">
        <v>15.56</v>
      </c>
      <c r="G2410" s="597"/>
      <c r="H2410" s="1644">
        <f t="shared" si="1418"/>
        <v>54460</v>
      </c>
      <c r="I2410" s="1644">
        <f t="shared" si="1418"/>
        <v>51970</v>
      </c>
      <c r="K2410" s="1944"/>
      <c r="L2410" s="597"/>
      <c r="M2410" s="1944"/>
      <c r="N2410" s="597"/>
      <c r="O2410" s="1944"/>
      <c r="P2410" s="597"/>
      <c r="Q2410" s="1944"/>
      <c r="R2410" s="597"/>
      <c r="S2410" s="1644"/>
      <c r="T2410" s="1645"/>
      <c r="U2410" s="1644"/>
      <c r="V2410" s="1645"/>
      <c r="W2410" s="1644"/>
      <c r="X2410" s="1645"/>
      <c r="Y2410" s="1644"/>
      <c r="AI2410" s="2023">
        <f>W2410-'Blocking-Step2'!W2410</f>
        <v>0</v>
      </c>
      <c r="AJ2410" s="2054">
        <f>O2410-'Blocking-Step2'!O2410</f>
        <v>0</v>
      </c>
    </row>
    <row r="2411" spans="1:36" hidden="1">
      <c r="A2411" s="1900" t="s">
        <v>166</v>
      </c>
      <c r="C2411" s="528">
        <f>'31'!X2</f>
        <v>25538</v>
      </c>
      <c r="D2411" s="528">
        <f>ROUND(C2411/$C$2435*$D$2435,0)</f>
        <v>24372</v>
      </c>
      <c r="F2411" s="1944">
        <v>11.19</v>
      </c>
      <c r="G2411" s="597"/>
      <c r="H2411" s="1644">
        <f t="shared" si="1418"/>
        <v>285770</v>
      </c>
      <c r="I2411" s="1644">
        <f t="shared" si="1418"/>
        <v>272723</v>
      </c>
      <c r="K2411" s="1944"/>
      <c r="L2411" s="597"/>
      <c r="M2411" s="1944"/>
      <c r="N2411" s="597"/>
      <c r="O2411" s="1944"/>
      <c r="P2411" s="597"/>
      <c r="Q2411" s="1944"/>
      <c r="R2411" s="597"/>
      <c r="S2411" s="1644"/>
      <c r="T2411" s="1645"/>
      <c r="U2411" s="1644"/>
      <c r="V2411" s="1645"/>
      <c r="W2411" s="1644"/>
      <c r="X2411" s="1645"/>
      <c r="Y2411" s="1644"/>
      <c r="AI2411" s="2023">
        <f>W2411-'Blocking-Step2'!W2411</f>
        <v>0</v>
      </c>
      <c r="AJ2411" s="2054">
        <f>O2411-'Blocking-Step2'!O2411</f>
        <v>0</v>
      </c>
    </row>
    <row r="2412" spans="1:36" hidden="1">
      <c r="A2412" s="1900" t="s">
        <v>261</v>
      </c>
      <c r="C2412" s="528">
        <f>'31'!Y2</f>
        <v>29038</v>
      </c>
      <c r="D2412" s="528">
        <f>ROUND(C2412/$C$2435*$D$2435,0)</f>
        <v>27713</v>
      </c>
      <c r="F2412" s="1944">
        <v>-1.1299999999999999</v>
      </c>
      <c r="G2412" s="597"/>
      <c r="H2412" s="1644">
        <f t="shared" si="1418"/>
        <v>-32813</v>
      </c>
      <c r="I2412" s="1644">
        <f t="shared" si="1418"/>
        <v>-31316</v>
      </c>
      <c r="K2412" s="1944">
        <f>K2308</f>
        <v>-1.1299999999999999</v>
      </c>
      <c r="L2412" s="597"/>
      <c r="M2412" s="1944">
        <f>M2308</f>
        <v>0</v>
      </c>
      <c r="N2412" s="597"/>
      <c r="O2412" s="1944">
        <f>O2308</f>
        <v>0</v>
      </c>
      <c r="P2412" s="597"/>
      <c r="Q2412" s="1944">
        <f>Q2308</f>
        <v>-1.1299999999999999</v>
      </c>
      <c r="R2412" s="597"/>
      <c r="S2412" s="1644">
        <f t="shared" ref="S2412:Y2412" si="1426">ROUND($D2412*K2412,0)</f>
        <v>-31316</v>
      </c>
      <c r="T2412" s="1645"/>
      <c r="U2412" s="1644">
        <f t="shared" si="1426"/>
        <v>0</v>
      </c>
      <c r="V2412" s="1645"/>
      <c r="W2412" s="1644">
        <f t="shared" si="1426"/>
        <v>0</v>
      </c>
      <c r="X2412" s="1645"/>
      <c r="Y2412" s="1644">
        <f t="shared" si="1426"/>
        <v>-31316</v>
      </c>
      <c r="AI2412" s="2023">
        <f>W2412-'Blocking-Step2'!W2412</f>
        <v>0</v>
      </c>
      <c r="AJ2412" s="2054">
        <f>O2412-'Blocking-Step2'!O2412</f>
        <v>0</v>
      </c>
    </row>
    <row r="2413" spans="1:36" hidden="1">
      <c r="A2413" s="1900" t="s">
        <v>188</v>
      </c>
      <c r="C2413" s="528">
        <f>'31'!AA2</f>
        <v>1183200</v>
      </c>
      <c r="D2413" s="528">
        <f>D2435-SUM(D2414:D2415,D2428:D2430)</f>
        <v>1135181.6666666567</v>
      </c>
      <c r="F2413" s="1943">
        <v>5.0473999999999997</v>
      </c>
      <c r="G2413" s="1921" t="s">
        <v>495</v>
      </c>
      <c r="H2413" s="1644">
        <f t="shared" ref="H2413:I2415" si="1427">ROUND($F2413*C2413/100,0)</f>
        <v>59721</v>
      </c>
      <c r="I2413" s="1644">
        <f t="shared" si="1427"/>
        <v>57297</v>
      </c>
      <c r="K2413" s="1943"/>
      <c r="L2413" s="1921"/>
      <c r="M2413" s="1943"/>
      <c r="N2413" s="1921"/>
      <c r="O2413" s="1943"/>
      <c r="P2413" s="1921"/>
      <c r="Q2413" s="1943"/>
      <c r="R2413" s="1921"/>
      <c r="S2413" s="1644"/>
      <c r="T2413" s="1648"/>
      <c r="U2413" s="1644"/>
      <c r="V2413" s="1648"/>
      <c r="W2413" s="1644"/>
      <c r="X2413" s="1648"/>
      <c r="Y2413" s="1644"/>
      <c r="AI2413" s="2023">
        <f>W2413-'Blocking-Step2'!W2413</f>
        <v>0</v>
      </c>
      <c r="AJ2413" s="2054">
        <f>O2413-'Blocking-Step2'!O2413</f>
        <v>0</v>
      </c>
    </row>
    <row r="2414" spans="1:36" hidden="1">
      <c r="A2414" s="1900" t="s">
        <v>163</v>
      </c>
      <c r="C2414" s="528">
        <f>'31'!AB2</f>
        <v>5407200</v>
      </c>
      <c r="D2414" s="528">
        <f>ROUND(C2414/($C$2435-$C$2434)*$D$2435,0)</f>
        <v>5187756</v>
      </c>
      <c r="F2414" s="1943">
        <v>3.9510999999999998</v>
      </c>
      <c r="G2414" s="1921" t="s">
        <v>495</v>
      </c>
      <c r="H2414" s="1644">
        <f t="shared" si="1427"/>
        <v>213644</v>
      </c>
      <c r="I2414" s="1644">
        <f t="shared" si="1427"/>
        <v>204973</v>
      </c>
      <c r="K2414" s="1943"/>
      <c r="L2414" s="1921"/>
      <c r="M2414" s="1943"/>
      <c r="N2414" s="1921"/>
      <c r="O2414" s="1943"/>
      <c r="P2414" s="1921"/>
      <c r="Q2414" s="1943"/>
      <c r="R2414" s="1921"/>
      <c r="S2414" s="1644"/>
      <c r="T2414" s="1648"/>
      <c r="U2414" s="1644"/>
      <c r="V2414" s="1648"/>
      <c r="W2414" s="1644"/>
      <c r="X2414" s="1648"/>
      <c r="Y2414" s="1644"/>
      <c r="AI2414" s="2023">
        <f>W2414-'Blocking-Step2'!W2414</f>
        <v>0</v>
      </c>
      <c r="AJ2414" s="2054">
        <f>O2414-'Blocking-Step2'!O2414</f>
        <v>0</v>
      </c>
    </row>
    <row r="2415" spans="1:36" hidden="1">
      <c r="A2415" s="1900" t="s">
        <v>249</v>
      </c>
      <c r="C2415" s="856">
        <f>'31'!AC2</f>
        <v>9055200</v>
      </c>
      <c r="D2415" s="856">
        <f>ROUND(C2415/($C$2435-$C$2434)*$D$2435,0)</f>
        <v>8687706</v>
      </c>
      <c r="F2415" s="2003">
        <v>3.4001999999999999</v>
      </c>
      <c r="G2415" s="1921" t="s">
        <v>495</v>
      </c>
      <c r="H2415" s="1654">
        <f t="shared" si="1427"/>
        <v>307895</v>
      </c>
      <c r="I2415" s="1654">
        <f t="shared" si="1427"/>
        <v>295399</v>
      </c>
      <c r="K2415" s="2003"/>
      <c r="L2415" s="1921"/>
      <c r="M2415" s="2003"/>
      <c r="N2415" s="1921"/>
      <c r="O2415" s="2003"/>
      <c r="P2415" s="1921"/>
      <c r="Q2415" s="2003"/>
      <c r="R2415" s="1921"/>
      <c r="S2415" s="1654"/>
      <c r="T2415" s="1648"/>
      <c r="U2415" s="1654"/>
      <c r="V2415" s="1648"/>
      <c r="W2415" s="1654"/>
      <c r="X2415" s="1648"/>
      <c r="Y2415" s="1654"/>
      <c r="AI2415" s="2023">
        <f>W2415-'Blocking-Step2'!W2415</f>
        <v>0</v>
      </c>
      <c r="AJ2415" s="2054">
        <f>O2415-'Blocking-Step2'!O2415</f>
        <v>0</v>
      </c>
    </row>
    <row r="2416" spans="1:36" hidden="1">
      <c r="A2416" s="1900" t="s">
        <v>1240</v>
      </c>
      <c r="C2416" s="584"/>
      <c r="D2416" s="584"/>
      <c r="F2416" s="1930">
        <v>-3.1800000000000002E-2</v>
      </c>
      <c r="G2416" s="597"/>
      <c r="H2416" s="1644">
        <f>SUM(H2410:H2411,H2413:H2415)*$F2416</f>
        <v>-29303.382000000001</v>
      </c>
      <c r="I2416" s="1644">
        <f>SUM(I2410:I2411,I2413:I2415)*$F2416</f>
        <v>-28059.1116</v>
      </c>
      <c r="K2416" s="1930"/>
      <c r="L2416" s="597"/>
      <c r="M2416" s="1930"/>
      <c r="N2416" s="597"/>
      <c r="O2416" s="1931" t="str">
        <f>$O$43</f>
        <v>Tax Year 1 (1/1/2021)</v>
      </c>
      <c r="P2416" s="597"/>
      <c r="Q2416" s="1930">
        <f t="shared" ref="Q2416:Q2417" si="1428">Q2312</f>
        <v>-1.46E-2</v>
      </c>
      <c r="R2416" s="597"/>
      <c r="S2416" s="1644"/>
      <c r="T2416" s="1645"/>
      <c r="U2416" s="1644"/>
      <c r="V2416" s="1645"/>
      <c r="W2416" s="1644"/>
      <c r="X2416" s="1645"/>
      <c r="Y2416" s="1644">
        <f>Q2416*SUM(Y2404:Y2409)</f>
        <v>-13322.967200000001</v>
      </c>
      <c r="AI2416" s="2023">
        <f>W2416-'Blocking-Step2'!W2416</f>
        <v>0</v>
      </c>
      <c r="AJ2416" s="2054">
        <f>O2416-'Blocking-Step2'!O2416</f>
        <v>0</v>
      </c>
    </row>
    <row r="2417" spans="1:36" hidden="1">
      <c r="A2417" s="1900"/>
      <c r="C2417" s="584"/>
      <c r="D2417" s="584"/>
      <c r="F2417" s="1930"/>
      <c r="G2417" s="597"/>
      <c r="H2417" s="1644"/>
      <c r="I2417" s="1644"/>
      <c r="K2417" s="1930"/>
      <c r="L2417" s="597"/>
      <c r="M2417" s="1930"/>
      <c r="N2417" s="597"/>
      <c r="O2417" s="1931">
        <f>$O$44</f>
        <v>0</v>
      </c>
      <c r="P2417" s="597"/>
      <c r="Q2417" s="1930">
        <f t="shared" si="1428"/>
        <v>0</v>
      </c>
      <c r="R2417" s="597"/>
      <c r="S2417" s="1644"/>
      <c r="T2417" s="1645"/>
      <c r="U2417" s="1644"/>
      <c r="V2417" s="1645"/>
      <c r="W2417" s="1644"/>
      <c r="X2417" s="1645"/>
      <c r="Y2417" s="1644">
        <f>Q2417*SUM(Y2404:Y2409)</f>
        <v>0</v>
      </c>
      <c r="AI2417" s="2023">
        <f>W2417-'Blocking-Step2'!W2417</f>
        <v>0</v>
      </c>
      <c r="AJ2417" s="2054">
        <f>O2417-'Blocking-Step2'!O2417</f>
        <v>0</v>
      </c>
    </row>
    <row r="2418" spans="1:36" hidden="1">
      <c r="A2418" s="1897" t="s">
        <v>444</v>
      </c>
      <c r="C2418" s="528"/>
      <c r="D2418" s="528"/>
      <c r="F2418" s="1944"/>
      <c r="G2418" s="597"/>
      <c r="H2418" s="1644"/>
      <c r="I2418" s="1644"/>
      <c r="K2418" s="1944"/>
      <c r="L2418" s="597"/>
      <c r="M2418" s="1944"/>
      <c r="N2418" s="597"/>
      <c r="O2418" s="1944"/>
      <c r="P2418" s="597"/>
      <c r="Q2418" s="1944"/>
      <c r="R2418" s="597"/>
      <c r="S2418" s="1644"/>
      <c r="T2418" s="1645"/>
      <c r="U2418" s="1644"/>
      <c r="V2418" s="1645"/>
      <c r="W2418" s="1644"/>
      <c r="X2418" s="1645"/>
      <c r="Y2418" s="1644"/>
      <c r="AI2418" s="2023">
        <f>W2418-'Blocking-Step2'!W2418</f>
        <v>0</v>
      </c>
      <c r="AJ2418" s="2054">
        <f>O2418-'Blocking-Step2'!O2418</f>
        <v>0</v>
      </c>
    </row>
    <row r="2419" spans="1:36" hidden="1">
      <c r="A2419" s="1900" t="s">
        <v>168</v>
      </c>
      <c r="C2419" s="528">
        <f>'31'!K3</f>
        <v>180394</v>
      </c>
      <c r="D2419" s="528">
        <f>ROUND(C2419/$C$2435*$D$2435,0)</f>
        <v>172160</v>
      </c>
      <c r="F2419" s="1944">
        <v>2.2200000000000002</v>
      </c>
      <c r="G2419" s="597"/>
      <c r="H2419" s="1644">
        <f t="shared" ref="H2419:I2427" si="1429">ROUND($F2419*C2419,0)</f>
        <v>400475</v>
      </c>
      <c r="I2419" s="1644">
        <f t="shared" si="1429"/>
        <v>382195</v>
      </c>
      <c r="K2419" s="1944">
        <f t="shared" ref="K2419:K2425" si="1430">K2315</f>
        <v>2.27</v>
      </c>
      <c r="L2419" s="597"/>
      <c r="M2419" s="1944">
        <f t="shared" ref="M2419:M2425" si="1431">M2315</f>
        <v>0</v>
      </c>
      <c r="N2419" s="597"/>
      <c r="O2419" s="1944">
        <f t="shared" ref="O2419:O2425" si="1432">O2315</f>
        <v>0</v>
      </c>
      <c r="P2419" s="597"/>
      <c r="Q2419" s="1944">
        <f t="shared" ref="Q2419:Q2425" si="1433">Q2315</f>
        <v>2.27</v>
      </c>
      <c r="R2419" s="597"/>
      <c r="S2419" s="1644">
        <f t="shared" ref="S2419:Y2421" si="1434">ROUND($D2419*K2419,0)</f>
        <v>390803</v>
      </c>
      <c r="T2419" s="1645"/>
      <c r="U2419" s="1644">
        <f t="shared" si="1434"/>
        <v>0</v>
      </c>
      <c r="V2419" s="1645"/>
      <c r="W2419" s="1644">
        <f t="shared" si="1434"/>
        <v>0</v>
      </c>
      <c r="X2419" s="1645"/>
      <c r="Y2419" s="1644">
        <f t="shared" si="1434"/>
        <v>390803</v>
      </c>
      <c r="Z2419" s="1878" t="s">
        <v>251</v>
      </c>
      <c r="AI2419" s="2023">
        <f>W2419-'Blocking-Step2'!W2419</f>
        <v>0</v>
      </c>
      <c r="AJ2419" s="2054">
        <f>O2419-'Blocking-Step2'!O2419</f>
        <v>0</v>
      </c>
    </row>
    <row r="2420" spans="1:36" hidden="1">
      <c r="A2420" s="1900" t="s">
        <v>1651</v>
      </c>
      <c r="C2420" s="528">
        <f>C2426*Z2420</f>
        <v>67973.491261621748</v>
      </c>
      <c r="D2420" s="528">
        <f>ROUND(C2420/$C$2435*$D$2435,0)</f>
        <v>64871</v>
      </c>
      <c r="F2420" s="1944"/>
      <c r="G2420" s="597"/>
      <c r="H2420" s="1644"/>
      <c r="I2420" s="1644"/>
      <c r="K2420" s="1944">
        <f t="shared" si="1430"/>
        <v>4.6900000000000004</v>
      </c>
      <c r="L2420" s="597"/>
      <c r="M2420" s="1944">
        <f t="shared" si="1431"/>
        <v>9.61</v>
      </c>
      <c r="N2420" s="597"/>
      <c r="O2420" s="1944">
        <f t="shared" si="1432"/>
        <v>0</v>
      </c>
      <c r="P2420" s="597"/>
      <c r="Q2420" s="1944">
        <f t="shared" si="1433"/>
        <v>14.3</v>
      </c>
      <c r="R2420" s="597"/>
      <c r="S2420" s="1644">
        <f t="shared" si="1434"/>
        <v>304245</v>
      </c>
      <c r="T2420" s="1645"/>
      <c r="U2420" s="1644">
        <f t="shared" si="1434"/>
        <v>623410</v>
      </c>
      <c r="V2420" s="1645"/>
      <c r="W2420" s="1644">
        <f t="shared" si="1434"/>
        <v>0</v>
      </c>
      <c r="X2420" s="1645"/>
      <c r="Y2420" s="1644">
        <f t="shared" si="1434"/>
        <v>927655</v>
      </c>
      <c r="Z2420" s="1878">
        <f>Z1502</f>
        <v>0.81143000192935111</v>
      </c>
      <c r="AI2420" s="2023">
        <f>W2420-'Blocking-Step2'!W2420</f>
        <v>0</v>
      </c>
      <c r="AJ2420" s="2054">
        <f>O2420-'Blocking-Step2'!O2420</f>
        <v>0</v>
      </c>
    </row>
    <row r="2421" spans="1:36" hidden="1">
      <c r="A2421" s="1900" t="s">
        <v>1652</v>
      </c>
      <c r="C2421" s="528">
        <f>C2427*Z2421</f>
        <v>106254.25738261671</v>
      </c>
      <c r="D2421" s="528">
        <f>ROUND(C2421/$C$2435*$D$2435,0)</f>
        <v>101404</v>
      </c>
      <c r="F2421" s="1944"/>
      <c r="G2421" s="597"/>
      <c r="H2421" s="1644"/>
      <c r="I2421" s="1644"/>
      <c r="K2421" s="1944">
        <f t="shared" si="1430"/>
        <v>4.1500000000000004</v>
      </c>
      <c r="L2421" s="597"/>
      <c r="M2421" s="1944">
        <f t="shared" si="1431"/>
        <v>8.5</v>
      </c>
      <c r="N2421" s="597"/>
      <c r="O2421" s="1944">
        <f t="shared" si="1432"/>
        <v>0</v>
      </c>
      <c r="P2421" s="597"/>
      <c r="Q2421" s="1944">
        <f t="shared" si="1433"/>
        <v>12.65</v>
      </c>
      <c r="R2421" s="597"/>
      <c r="S2421" s="1644">
        <f t="shared" si="1434"/>
        <v>420827</v>
      </c>
      <c r="T2421" s="1645"/>
      <c r="U2421" s="1644">
        <f t="shared" si="1434"/>
        <v>861934</v>
      </c>
      <c r="V2421" s="1645"/>
      <c r="W2421" s="1644">
        <f t="shared" si="1434"/>
        <v>0</v>
      </c>
      <c r="X2421" s="1645"/>
      <c r="Y2421" s="1644">
        <f t="shared" si="1434"/>
        <v>1282761</v>
      </c>
      <c r="Z2421" s="1878">
        <f>Z1503</f>
        <v>1.1359353572586484</v>
      </c>
      <c r="AI2421" s="2023">
        <f>W2421-'Blocking-Step2'!W2421</f>
        <v>0</v>
      </c>
      <c r="AJ2421" s="2054">
        <f>O2421-'Blocking-Step2'!O2421</f>
        <v>0</v>
      </c>
    </row>
    <row r="2422" spans="1:36" hidden="1">
      <c r="A2422" s="1900" t="s">
        <v>1532</v>
      </c>
      <c r="C2422" s="528">
        <f>C2428*Z2422</f>
        <v>10440367.057631113</v>
      </c>
      <c r="D2422" s="528">
        <f>ROUND(C2422/($C$2435-$C$2434)*$D$2435,0)</f>
        <v>10016658</v>
      </c>
      <c r="F2422" s="1942"/>
      <c r="G2422" s="1921"/>
      <c r="H2422" s="1644"/>
      <c r="I2422" s="1644"/>
      <c r="K2422" s="1942">
        <f t="shared" si="1430"/>
        <v>0</v>
      </c>
      <c r="L2422" s="1921" t="s">
        <v>495</v>
      </c>
      <c r="M2422" s="1942">
        <f t="shared" si="1431"/>
        <v>1.0266514814000001</v>
      </c>
      <c r="N2422" s="1921" t="s">
        <v>495</v>
      </c>
      <c r="O2422" s="1942">
        <f t="shared" si="1432"/>
        <v>4.1108761607000002</v>
      </c>
      <c r="P2422" s="1921" t="s">
        <v>495</v>
      </c>
      <c r="Q2422" s="1942">
        <f t="shared" si="1433"/>
        <v>5.1375276421000002</v>
      </c>
      <c r="R2422" s="1921" t="s">
        <v>495</v>
      </c>
      <c r="S2422" s="1644">
        <f>ROUND($D2422*K2422/100,0)</f>
        <v>0</v>
      </c>
      <c r="T2422" s="1648"/>
      <c r="U2422" s="1644">
        <f>ROUND($D2422*M2422/100,0)</f>
        <v>102836</v>
      </c>
      <c r="V2422" s="1648"/>
      <c r="W2422" s="1644">
        <f>ROUND($D2422*O2422/100,0)</f>
        <v>411772</v>
      </c>
      <c r="X2422" s="1648"/>
      <c r="Y2422" s="1644">
        <f>ROUND($D2422*Q2422/100,0)</f>
        <v>514609</v>
      </c>
      <c r="Z2422" s="1878">
        <f>Z1504</f>
        <v>0.69164135480564293</v>
      </c>
      <c r="AI2422" s="2023">
        <f>W2422-'Blocking-Step2'!W2422</f>
        <v>0</v>
      </c>
      <c r="AJ2422" s="2054">
        <f>O2422-'Blocking-Step2'!O2422</f>
        <v>0</v>
      </c>
    </row>
    <row r="2423" spans="1:36" hidden="1">
      <c r="A2423" s="1900" t="s">
        <v>1653</v>
      </c>
      <c r="C2423" s="528">
        <f>C2429*Z2423</f>
        <v>14024745.062600741</v>
      </c>
      <c r="D2423" s="528">
        <f t="shared" ref="D2423:D2424" si="1435">ROUND(C2423/($C$2435-$C$2434)*$D$2435,0)</f>
        <v>13455569</v>
      </c>
      <c r="F2423" s="1942"/>
      <c r="G2423" s="1921"/>
      <c r="H2423" s="1644"/>
      <c r="I2423" s="1644"/>
      <c r="K2423" s="1942">
        <f t="shared" si="1430"/>
        <v>0</v>
      </c>
      <c r="L2423" s="1921" t="s">
        <v>495</v>
      </c>
      <c r="M2423" s="1942">
        <f t="shared" si="1431"/>
        <v>1.0342499835399996</v>
      </c>
      <c r="N2423" s="1921" t="s">
        <v>495</v>
      </c>
      <c r="O2423" s="1942">
        <f t="shared" si="1432"/>
        <v>3.5122346554870001</v>
      </c>
      <c r="P2423" s="1921" t="s">
        <v>495</v>
      </c>
      <c r="Q2423" s="1942">
        <f t="shared" si="1433"/>
        <v>4.5464846390269997</v>
      </c>
      <c r="R2423" s="1921" t="s">
        <v>495</v>
      </c>
      <c r="S2423" s="1644">
        <f t="shared" ref="S2423:Y2425" si="1436">ROUND($D2423*K2423/100,0)</f>
        <v>0</v>
      </c>
      <c r="T2423" s="1648"/>
      <c r="U2423" s="1644">
        <f t="shared" si="1436"/>
        <v>139164</v>
      </c>
      <c r="V2423" s="1648"/>
      <c r="W2423" s="1644">
        <f t="shared" si="1436"/>
        <v>472591</v>
      </c>
      <c r="X2423" s="1648"/>
      <c r="Y2423" s="1644">
        <f t="shared" si="1436"/>
        <v>611755</v>
      </c>
      <c r="Z2423" s="1878">
        <f>Z1505</f>
        <v>0.49962363006591026</v>
      </c>
      <c r="AI2423" s="2023">
        <f>W2423-'Blocking-Step2'!W2423</f>
        <v>0</v>
      </c>
      <c r="AJ2423" s="2054">
        <f>O2423-'Blocking-Step2'!O2423</f>
        <v>0</v>
      </c>
    </row>
    <row r="2424" spans="1:36" hidden="1">
      <c r="A2424" s="1900" t="s">
        <v>1533</v>
      </c>
      <c r="C2424" s="528">
        <f>SUM(C2428:C2430)*Z2424</f>
        <v>32378671.743687563</v>
      </c>
      <c r="D2424" s="528">
        <f t="shared" si="1435"/>
        <v>31064625</v>
      </c>
      <c r="F2424" s="1942"/>
      <c r="G2424" s="1921"/>
      <c r="H2424" s="1644"/>
      <c r="I2424" s="1644"/>
      <c r="K2424" s="1942">
        <f t="shared" si="1430"/>
        <v>0</v>
      </c>
      <c r="L2424" s="1921" t="s">
        <v>495</v>
      </c>
      <c r="M2424" s="1942">
        <f t="shared" si="1431"/>
        <v>1.0591286997309999</v>
      </c>
      <c r="N2424" s="1921" t="s">
        <v>495</v>
      </c>
      <c r="O2424" s="1942">
        <f t="shared" si="1432"/>
        <v>1.5521862361710002</v>
      </c>
      <c r="P2424" s="1921" t="s">
        <v>495</v>
      </c>
      <c r="Q2424" s="1942">
        <f t="shared" si="1433"/>
        <v>2.611314935902</v>
      </c>
      <c r="R2424" s="1921" t="s">
        <v>495</v>
      </c>
      <c r="S2424" s="1644">
        <f t="shared" si="1436"/>
        <v>0</v>
      </c>
      <c r="T2424" s="1648"/>
      <c r="U2424" s="1644">
        <f t="shared" si="1436"/>
        <v>329014</v>
      </c>
      <c r="V2424" s="1648"/>
      <c r="W2424" s="1644">
        <f t="shared" si="1436"/>
        <v>482181</v>
      </c>
      <c r="X2424" s="1648"/>
      <c r="Y2424" s="1644">
        <f t="shared" si="1436"/>
        <v>811195</v>
      </c>
      <c r="Z2424" s="1878">
        <f>Z1506</f>
        <v>0.27196615788867357</v>
      </c>
      <c r="AI2424" s="2023">
        <f>W2424-'Blocking-Step2'!W2424</f>
        <v>0</v>
      </c>
      <c r="AJ2424" s="2054">
        <f>O2424-'Blocking-Step2'!O2424</f>
        <v>0</v>
      </c>
    </row>
    <row r="2425" spans="1:36" hidden="1">
      <c r="A2425" s="1900" t="s">
        <v>2177</v>
      </c>
      <c r="C2425" s="528">
        <f>SUM(C2428:C2430)-SUM(C2422:C2424)</f>
        <v>62210263.136080585</v>
      </c>
      <c r="D2425" s="528">
        <f>D2435-SUM(D2406:D2409,D2422:D2424)</f>
        <v>59685538.666666657</v>
      </c>
      <c r="F2425" s="2004"/>
      <c r="G2425" s="1921"/>
      <c r="H2425" s="1649"/>
      <c r="I2425" s="1649"/>
      <c r="K2425" s="2004">
        <f t="shared" si="1430"/>
        <v>0</v>
      </c>
      <c r="L2425" s="1921" t="s">
        <v>495</v>
      </c>
      <c r="M2425" s="2004">
        <f t="shared" si="1431"/>
        <v>1.0629908847180001</v>
      </c>
      <c r="N2425" s="1921" t="s">
        <v>495</v>
      </c>
      <c r="O2425" s="2004">
        <f t="shared" si="1432"/>
        <v>1.247907288647</v>
      </c>
      <c r="P2425" s="1921" t="s">
        <v>495</v>
      </c>
      <c r="Q2425" s="2004">
        <f t="shared" si="1433"/>
        <v>2.310898173365</v>
      </c>
      <c r="R2425" s="1921" t="s">
        <v>495</v>
      </c>
      <c r="S2425" s="1644">
        <f t="shared" si="1436"/>
        <v>0</v>
      </c>
      <c r="T2425" s="1648"/>
      <c r="U2425" s="1644">
        <f t="shared" si="1436"/>
        <v>634452</v>
      </c>
      <c r="V2425" s="1648"/>
      <c r="W2425" s="1644">
        <f t="shared" si="1436"/>
        <v>744820</v>
      </c>
      <c r="X2425" s="1648"/>
      <c r="Y2425" s="1644">
        <f t="shared" si="1436"/>
        <v>1379272</v>
      </c>
      <c r="AI2425" s="2023">
        <f>W2425-'Blocking-Step2'!W2425</f>
        <v>0</v>
      </c>
      <c r="AJ2425" s="2054">
        <f>O2425-'Blocking-Step2'!O2425</f>
        <v>0</v>
      </c>
    </row>
    <row r="2426" spans="1:36" hidden="1">
      <c r="A2426" s="1900" t="s">
        <v>18</v>
      </c>
      <c r="C2426" s="528">
        <f>'31'!W3</f>
        <v>83770</v>
      </c>
      <c r="D2426" s="528">
        <f>ROUND(C2426/$C$2435*$D$2435,0)</f>
        <v>79946</v>
      </c>
      <c r="F2426" s="1944">
        <v>13.96</v>
      </c>
      <c r="G2426" s="597"/>
      <c r="H2426" s="1644">
        <f t="shared" si="1429"/>
        <v>1169429</v>
      </c>
      <c r="I2426" s="1644">
        <f t="shared" si="1429"/>
        <v>1116046</v>
      </c>
      <c r="K2426" s="1944"/>
      <c r="L2426" s="597"/>
      <c r="M2426" s="1944"/>
      <c r="N2426" s="597"/>
      <c r="O2426" s="1944"/>
      <c r="P2426" s="597"/>
      <c r="Q2426" s="1944"/>
      <c r="R2426" s="597"/>
      <c r="S2426" s="1644"/>
      <c r="T2426" s="1645"/>
      <c r="U2426" s="1644"/>
      <c r="V2426" s="1645"/>
      <c r="W2426" s="1644"/>
      <c r="X2426" s="1645"/>
      <c r="Y2426" s="1644"/>
      <c r="AI2426" s="2023">
        <f>W2426-'Blocking-Step2'!W2426</f>
        <v>0</v>
      </c>
      <c r="AJ2426" s="2054">
        <f>O2426-'Blocking-Step2'!O2426</f>
        <v>0</v>
      </c>
    </row>
    <row r="2427" spans="1:36" hidden="1">
      <c r="A2427" s="1900" t="s">
        <v>166</v>
      </c>
      <c r="C2427" s="528">
        <f>'31'!X3</f>
        <v>93539</v>
      </c>
      <c r="D2427" s="528">
        <f>ROUND(C2427/$C$2435*$D$2435,0)</f>
        <v>89269</v>
      </c>
      <c r="F2427" s="1944">
        <v>9.4700000000000006</v>
      </c>
      <c r="G2427" s="597"/>
      <c r="H2427" s="1644">
        <f t="shared" si="1429"/>
        <v>885814</v>
      </c>
      <c r="I2427" s="1644">
        <f t="shared" si="1429"/>
        <v>845377</v>
      </c>
      <c r="K2427" s="1944"/>
      <c r="L2427" s="597"/>
      <c r="M2427" s="1944"/>
      <c r="N2427" s="597"/>
      <c r="O2427" s="1944"/>
      <c r="P2427" s="597"/>
      <c r="Q2427" s="1944"/>
      <c r="R2427" s="597"/>
      <c r="S2427" s="1644"/>
      <c r="T2427" s="1645"/>
      <c r="U2427" s="1644"/>
      <c r="V2427" s="1645"/>
      <c r="W2427" s="1644"/>
      <c r="X2427" s="1645"/>
      <c r="Y2427" s="1644"/>
      <c r="AI2427" s="2023">
        <f>W2427-'Blocking-Step2'!W2427</f>
        <v>0</v>
      </c>
      <c r="AJ2427" s="2054">
        <f>O2427-'Blocking-Step2'!O2427</f>
        <v>0</v>
      </c>
    </row>
    <row r="2428" spans="1:36" hidden="1">
      <c r="A2428" s="1900" t="s">
        <v>19</v>
      </c>
      <c r="C2428" s="528">
        <f>'31'!AA3</f>
        <v>15095059</v>
      </c>
      <c r="D2428" s="528">
        <f>ROUND(C2428/($C$2435-$C$2434)*$D$2435,0)</f>
        <v>14482445</v>
      </c>
      <c r="F2428" s="1942">
        <v>4.6531000000000002</v>
      </c>
      <c r="G2428" s="1921" t="s">
        <v>495</v>
      </c>
      <c r="H2428" s="1644">
        <f t="shared" ref="H2428:I2430" si="1437">ROUND($F2428*C2428/100,0)</f>
        <v>702388</v>
      </c>
      <c r="I2428" s="1644">
        <f t="shared" si="1437"/>
        <v>673883</v>
      </c>
      <c r="K2428" s="1942"/>
      <c r="L2428" s="1921"/>
      <c r="M2428" s="1942"/>
      <c r="N2428" s="1921"/>
      <c r="O2428" s="1942"/>
      <c r="P2428" s="1921"/>
      <c r="Q2428" s="1942"/>
      <c r="R2428" s="1921"/>
      <c r="S2428" s="1644"/>
      <c r="T2428" s="1648"/>
      <c r="U2428" s="1644"/>
      <c r="V2428" s="1648"/>
      <c r="W2428" s="1644"/>
      <c r="X2428" s="1648"/>
      <c r="Y2428" s="1644"/>
      <c r="AI2428" s="2023">
        <f>W2428-'Blocking-Step2'!W2428</f>
        <v>0</v>
      </c>
      <c r="AJ2428" s="2054">
        <f>O2428-'Blocking-Step2'!O2428</f>
        <v>0</v>
      </c>
    </row>
    <row r="2429" spans="1:36" hidden="1">
      <c r="A2429" s="1900" t="s">
        <v>257</v>
      </c>
      <c r="C2429" s="528">
        <f>'31'!AB3</f>
        <v>28070620</v>
      </c>
      <c r="D2429" s="528">
        <f>ROUND(C2429/($C$2435-$C$2434)*$D$2435,0)</f>
        <v>26931410</v>
      </c>
      <c r="F2429" s="1942">
        <v>3.4988999999999999</v>
      </c>
      <c r="G2429" s="1921" t="s">
        <v>495</v>
      </c>
      <c r="H2429" s="1644">
        <f t="shared" si="1437"/>
        <v>982163</v>
      </c>
      <c r="I2429" s="1644">
        <f t="shared" si="1437"/>
        <v>942303</v>
      </c>
      <c r="K2429" s="1942"/>
      <c r="L2429" s="1921"/>
      <c r="M2429" s="1942"/>
      <c r="N2429" s="1921"/>
      <c r="O2429" s="1942"/>
      <c r="P2429" s="1921"/>
      <c r="Q2429" s="1942"/>
      <c r="R2429" s="1921"/>
      <c r="S2429" s="1644"/>
      <c r="T2429" s="1648"/>
      <c r="U2429" s="1644"/>
      <c r="V2429" s="1648"/>
      <c r="W2429" s="1644"/>
      <c r="X2429" s="1648"/>
      <c r="Y2429" s="1644"/>
      <c r="AI2429" s="2023">
        <f>W2429-'Blocking-Step2'!W2429</f>
        <v>0</v>
      </c>
      <c r="AJ2429" s="2054">
        <f>O2429-'Blocking-Step2'!O2429</f>
        <v>0</v>
      </c>
    </row>
    <row r="2430" spans="1:36" hidden="1">
      <c r="A2430" s="1900" t="s">
        <v>249</v>
      </c>
      <c r="C2430" s="586">
        <f>'31'!AC3</f>
        <v>75888368</v>
      </c>
      <c r="D2430" s="586">
        <f>ROUND(C2430/($C$2435-$C$2434)*$D$2435,0)</f>
        <v>72808535</v>
      </c>
      <c r="F2430" s="2004">
        <v>2.9224999999999999</v>
      </c>
      <c r="G2430" s="1921" t="s">
        <v>495</v>
      </c>
      <c r="H2430" s="1649">
        <f t="shared" si="1437"/>
        <v>2217838</v>
      </c>
      <c r="I2430" s="1649">
        <f t="shared" si="1437"/>
        <v>2127829</v>
      </c>
      <c r="K2430" s="2004"/>
      <c r="L2430" s="1921"/>
      <c r="M2430" s="2004"/>
      <c r="N2430" s="1921"/>
      <c r="O2430" s="2004"/>
      <c r="P2430" s="1921"/>
      <c r="Q2430" s="2004"/>
      <c r="R2430" s="1921"/>
      <c r="S2430" s="1649"/>
      <c r="T2430" s="1648"/>
      <c r="U2430" s="1649"/>
      <c r="V2430" s="1648"/>
      <c r="W2430" s="1649"/>
      <c r="X2430" s="1648"/>
      <c r="Y2430" s="1649"/>
      <c r="AI2430" s="2023">
        <f>W2430-'Blocking-Step2'!W2430</f>
        <v>0</v>
      </c>
      <c r="AJ2430" s="2054">
        <f>O2430-'Blocking-Step2'!O2430</f>
        <v>0</v>
      </c>
    </row>
    <row r="2431" spans="1:36" hidden="1">
      <c r="A2431" s="1900" t="s">
        <v>1240</v>
      </c>
      <c r="C2431" s="584"/>
      <c r="D2431" s="584"/>
      <c r="F2431" s="2005">
        <v>-3.0700000000000002E-2</v>
      </c>
      <c r="G2431" s="597"/>
      <c r="H2431" s="2006">
        <f>SUM(H2426:H2430)*$F2431</f>
        <v>-182899.30240000002</v>
      </c>
      <c r="I2431" s="2006">
        <f>SUM(I2426:I2430)*$F2431</f>
        <v>-175156.9466</v>
      </c>
      <c r="K2431" s="2005"/>
      <c r="L2431" s="597"/>
      <c r="M2431" s="2005"/>
      <c r="N2431" s="597"/>
      <c r="O2431" s="1931" t="str">
        <f>$O$43</f>
        <v>Tax Year 1 (1/1/2021)</v>
      </c>
      <c r="P2431" s="597"/>
      <c r="Q2431" s="1930">
        <f t="shared" ref="Q2431:Q2432" si="1438">Q2327</f>
        <v>-1.41E-2</v>
      </c>
      <c r="R2431" s="597"/>
      <c r="S2431" s="1644"/>
      <c r="T2431" s="1645"/>
      <c r="U2431" s="1644"/>
      <c r="V2431" s="1645"/>
      <c r="W2431" s="1644"/>
      <c r="X2431" s="1645"/>
      <c r="Y2431" s="1644">
        <f>Q2431*SUM(Y2420:Y2425)</f>
        <v>-77934.182700000005</v>
      </c>
      <c r="AI2431" s="2023">
        <f>W2431-'Blocking-Step2'!W2431</f>
        <v>0</v>
      </c>
      <c r="AJ2431" s="2054">
        <f>O2431-'Blocking-Step2'!O2431</f>
        <v>0</v>
      </c>
    </row>
    <row r="2432" spans="1:36" hidden="1">
      <c r="A2432" s="1900"/>
      <c r="C2432" s="584"/>
      <c r="D2432" s="584"/>
      <c r="F2432" s="1997"/>
      <c r="G2432" s="597"/>
      <c r="H2432" s="1645"/>
      <c r="I2432" s="1645"/>
      <c r="K2432" s="1997"/>
      <c r="L2432" s="597"/>
      <c r="M2432" s="1997"/>
      <c r="N2432" s="597"/>
      <c r="O2432" s="1931">
        <f>$O$44</f>
        <v>0</v>
      </c>
      <c r="P2432" s="597"/>
      <c r="Q2432" s="1930">
        <f t="shared" si="1438"/>
        <v>0</v>
      </c>
      <c r="R2432" s="597"/>
      <c r="S2432" s="1644"/>
      <c r="T2432" s="1645"/>
      <c r="U2432" s="1644"/>
      <c r="V2432" s="1645"/>
      <c r="W2432" s="1644"/>
      <c r="X2432" s="1645"/>
      <c r="Y2432" s="1644">
        <f>Q2432*SUM(Y2420:Y2425)</f>
        <v>0</v>
      </c>
      <c r="AI2432" s="2023">
        <f>W2432-'Blocking-Step2'!W2432</f>
        <v>0</v>
      </c>
      <c r="AJ2432" s="2054">
        <f>O2432-'Blocking-Step2'!O2432</f>
        <v>0</v>
      </c>
    </row>
    <row r="2433" spans="1:36" hidden="1">
      <c r="A2433" s="1900" t="s">
        <v>397</v>
      </c>
      <c r="C2433" s="584"/>
      <c r="D2433" s="584"/>
      <c r="F2433" s="1872"/>
      <c r="G2433" s="1921"/>
      <c r="H2433" s="1645">
        <f>SUM(H2403:H2431)</f>
        <v>7173235.3155999994</v>
      </c>
      <c r="I2433" s="1645">
        <f>SUM(I2403:I2431)</f>
        <v>6867785.9417999992</v>
      </c>
      <c r="K2433" s="1872"/>
      <c r="L2433" s="1921"/>
      <c r="M2433" s="1872"/>
      <c r="N2433" s="1921"/>
      <c r="O2433" s="1872"/>
      <c r="P2433" s="1921"/>
      <c r="Q2433" s="1872"/>
      <c r="R2433" s="1921"/>
      <c r="S2433" s="1645">
        <f>SUM(S2403:S2415,S2419:S2430)</f>
        <v>1405406</v>
      </c>
      <c r="T2433" s="1648"/>
      <c r="U2433" s="1645">
        <f>SUM(U2403:U2415,U2419:U2430)</f>
        <v>3123773</v>
      </c>
      <c r="V2433" s="1648"/>
      <c r="W2433" s="1645">
        <f>SUM(W2403:W2415,W2419:W2430)</f>
        <v>2402964</v>
      </c>
      <c r="X2433" s="1648"/>
      <c r="Y2433" s="1645">
        <f>SUM(Y2403:Y2415,Y2419:Y2430)</f>
        <v>6932145</v>
      </c>
      <c r="AI2433" s="2023">
        <f>W2433-'Blocking-Step2'!W2433</f>
        <v>0</v>
      </c>
      <c r="AJ2433" s="2054">
        <f>O2433-'Blocking-Step2'!O2433</f>
        <v>0</v>
      </c>
    </row>
    <row r="2434" spans="1:36" hidden="1">
      <c r="A2434" s="1869" t="s">
        <v>136</v>
      </c>
      <c r="C2434" s="585">
        <f>'Table 2'!J63</f>
        <v>714620</v>
      </c>
      <c r="D2434" s="585">
        <v>0</v>
      </c>
      <c r="F2434" s="1943"/>
      <c r="G2434" s="1957"/>
      <c r="H2434" s="1030">
        <f>'Table 3'!F63</f>
        <v>48878</v>
      </c>
      <c r="I2434" s="1030">
        <v>0</v>
      </c>
      <c r="K2434" s="1943"/>
      <c r="L2434" s="1957"/>
      <c r="M2434" s="1943"/>
      <c r="N2434" s="1957"/>
      <c r="O2434" s="1943"/>
      <c r="P2434" s="1957"/>
      <c r="Q2434" s="1943"/>
      <c r="R2434" s="1957"/>
      <c r="S2434" s="1030"/>
      <c r="T2434" s="1645"/>
      <c r="U2434" s="1030"/>
      <c r="V2434" s="1645"/>
      <c r="W2434" s="1030"/>
      <c r="X2434" s="1645"/>
      <c r="Y2434" s="1030"/>
      <c r="AI2434" s="2023">
        <f>W2434-'Blocking-Step2'!W2434</f>
        <v>0</v>
      </c>
      <c r="AJ2434" s="2054">
        <f>O2434-'Blocking-Step2'!O2434</f>
        <v>0</v>
      </c>
    </row>
    <row r="2435" spans="1:36" ht="16.5" hidden="1" thickBot="1">
      <c r="A2435" s="1900" t="s">
        <v>173</v>
      </c>
      <c r="C2435" s="1949">
        <f>SUM(C2413:C2415,C2428:C2430,C2434)</f>
        <v>135414267</v>
      </c>
      <c r="D2435" s="1949">
        <f>Energy!P42</f>
        <v>129233033.66666666</v>
      </c>
      <c r="F2435" s="1939"/>
      <c r="H2435" s="1647">
        <f>H2400+H2433+H2434</f>
        <v>8326593.3155999994</v>
      </c>
      <c r="I2435" s="1647">
        <f>I2400+I2433+I2434</f>
        <v>7923823.9417999992</v>
      </c>
      <c r="K2435" s="1939"/>
      <c r="M2435" s="1939"/>
      <c r="O2435" s="1939"/>
      <c r="Q2435" s="1939"/>
      <c r="S2435" s="1647">
        <f>S2400+S2433</f>
        <v>2000150</v>
      </c>
      <c r="U2435" s="1647">
        <f>U2400+U2433</f>
        <v>3547000</v>
      </c>
      <c r="W2435" s="1647">
        <f>W2400+W2433</f>
        <v>2402964</v>
      </c>
      <c r="Y2435" s="1647">
        <f>Y2400+Y2433</f>
        <v>7950116</v>
      </c>
      <c r="AA2435" s="1104" t="s">
        <v>1743</v>
      </c>
      <c r="AB2435" s="1890">
        <f>Y2435/I2435-1</f>
        <v>3.3181022689441342E-3</v>
      </c>
      <c r="AI2435" s="2023">
        <f>W2435-'Blocking-Step2'!W2435</f>
        <v>0</v>
      </c>
      <c r="AJ2435" s="2054">
        <f>O2435-'Blocking-Step2'!O2435</f>
        <v>0</v>
      </c>
    </row>
    <row r="2436" spans="1:36" ht="16.5" hidden="1" thickTop="1">
      <c r="AI2436" s="2023">
        <f>W2436-'Blocking-Step2'!W2436</f>
        <v>0</v>
      </c>
      <c r="AJ2436" s="2054">
        <f>O2436-'Blocking-Step2'!O2436</f>
        <v>0</v>
      </c>
    </row>
    <row r="2437" spans="1:36" hidden="1">
      <c r="A2437" s="1897" t="s">
        <v>939</v>
      </c>
      <c r="C2437" s="528"/>
      <c r="D2437" s="528"/>
      <c r="F2437" s="1943"/>
      <c r="G2437" s="1957"/>
      <c r="K2437" s="1943"/>
      <c r="L2437" s="1957"/>
      <c r="M2437" s="1943"/>
      <c r="N2437" s="1957"/>
      <c r="O2437" s="1943"/>
      <c r="P2437" s="1957"/>
      <c r="Q2437" s="1943"/>
      <c r="R2437" s="1957"/>
      <c r="S2437" s="1645"/>
      <c r="T2437" s="1645"/>
      <c r="U2437" s="1645"/>
      <c r="V2437" s="1645"/>
      <c r="W2437" s="1645"/>
      <c r="X2437" s="1645"/>
      <c r="AI2437" s="2023">
        <f>W2437-'Blocking-Step2'!W2437</f>
        <v>0</v>
      </c>
      <c r="AJ2437" s="2054">
        <f>O2437-'Blocking-Step2'!O2437</f>
        <v>0</v>
      </c>
    </row>
    <row r="2438" spans="1:36" hidden="1">
      <c r="A2438" s="1987" t="s">
        <v>181</v>
      </c>
      <c r="C2438" s="528"/>
      <c r="D2438" s="528"/>
      <c r="AI2438" s="2023">
        <f>W2438-'Blocking-Step2'!W2438</f>
        <v>0</v>
      </c>
      <c r="AJ2438" s="2054">
        <f>O2438-'Blocking-Step2'!O2438</f>
        <v>0</v>
      </c>
    </row>
    <row r="2439" spans="1:36" hidden="1">
      <c r="A2439" s="1900" t="s">
        <v>312</v>
      </c>
      <c r="C2439" s="528"/>
      <c r="D2439" s="528"/>
      <c r="F2439" s="2000">
        <v>133</v>
      </c>
      <c r="G2439" s="1902"/>
      <c r="H2439" s="1644">
        <f>ROUND($F2439*C2439,0)</f>
        <v>0</v>
      </c>
      <c r="I2439" s="1644">
        <f>ROUND($F2439*D2439,0)</f>
        <v>0</v>
      </c>
      <c r="K2439" s="2000">
        <f>K2231</f>
        <v>136</v>
      </c>
      <c r="L2439" s="1902"/>
      <c r="M2439" s="2000">
        <f>M2231</f>
        <v>0</v>
      </c>
      <c r="N2439" s="1902"/>
      <c r="O2439" s="2000">
        <f>O2231</f>
        <v>0</v>
      </c>
      <c r="P2439" s="1902"/>
      <c r="Q2439" s="2000">
        <f>Q2231</f>
        <v>136</v>
      </c>
      <c r="R2439" s="1902"/>
      <c r="S2439" s="1644">
        <f>ROUND($D2439*K2439,0)</f>
        <v>0</v>
      </c>
      <c r="T2439" s="1643"/>
      <c r="U2439" s="1644">
        <f>ROUND($D2439*M2439,0)</f>
        <v>0</v>
      </c>
      <c r="V2439" s="1643"/>
      <c r="W2439" s="1644">
        <f>ROUND($D2439*O2439,0)</f>
        <v>0</v>
      </c>
      <c r="X2439" s="1643"/>
      <c r="Y2439" s="1644">
        <f>ROUND($D2439*Q2439,0)</f>
        <v>0</v>
      </c>
      <c r="AI2439" s="2023">
        <f>W2439-'Blocking-Step2'!W2439</f>
        <v>0</v>
      </c>
      <c r="AJ2439" s="2054">
        <f>O2439-'Blocking-Step2'!O2439</f>
        <v>0</v>
      </c>
    </row>
    <row r="2440" spans="1:36" hidden="1">
      <c r="A2440" s="1900" t="s">
        <v>313</v>
      </c>
      <c r="C2440" s="528"/>
      <c r="D2440" s="528"/>
      <c r="F2440" s="2000">
        <v>5.6</v>
      </c>
      <c r="G2440" s="1902"/>
      <c r="H2440" s="1644">
        <f>ROUND($F2440*C2440,0)</f>
        <v>0</v>
      </c>
      <c r="I2440" s="1644">
        <f>ROUND($F2440*D2440,0)</f>
        <v>0</v>
      </c>
      <c r="K2440" s="2000">
        <f>K2232</f>
        <v>5.74</v>
      </c>
      <c r="L2440" s="1902"/>
      <c r="M2440" s="2000">
        <f>M2232</f>
        <v>0</v>
      </c>
      <c r="N2440" s="1902"/>
      <c r="O2440" s="2000">
        <f>O2232</f>
        <v>0</v>
      </c>
      <c r="P2440" s="1902"/>
      <c r="Q2440" s="2000">
        <f>Q2232</f>
        <v>5.74</v>
      </c>
      <c r="R2440" s="1902"/>
      <c r="S2440" s="1644">
        <f>ROUND($D2440*K2440,0)</f>
        <v>0</v>
      </c>
      <c r="T2440" s="1643"/>
      <c r="U2440" s="1644">
        <f>ROUND($D2440*M2440,0)</f>
        <v>0</v>
      </c>
      <c r="V2440" s="1643"/>
      <c r="W2440" s="1644">
        <f>ROUND($D2440*O2440,0)</f>
        <v>0</v>
      </c>
      <c r="X2440" s="1643"/>
      <c r="Y2440" s="1644">
        <f>ROUND($D2440*Q2440,0)</f>
        <v>0</v>
      </c>
      <c r="AI2440" s="2023">
        <f>W2440-'Blocking-Step2'!W2440</f>
        <v>0</v>
      </c>
      <c r="AJ2440" s="2054">
        <f>O2440-'Blocking-Step2'!O2440</f>
        <v>0</v>
      </c>
    </row>
    <row r="2441" spans="1:36" hidden="1">
      <c r="A2441" s="1900" t="s">
        <v>314</v>
      </c>
      <c r="C2441" s="528"/>
      <c r="D2441" s="528"/>
      <c r="F2441" s="2001"/>
      <c r="G2441" s="597"/>
      <c r="H2441" s="1644"/>
      <c r="I2441" s="1644"/>
      <c r="K2441" s="2001"/>
      <c r="L2441" s="597"/>
      <c r="M2441" s="2001"/>
      <c r="N2441" s="597"/>
      <c r="O2441" s="2001"/>
      <c r="P2441" s="597"/>
      <c r="Q2441" s="2001"/>
      <c r="R2441" s="597"/>
      <c r="S2441" s="1644"/>
      <c r="T2441" s="1645"/>
      <c r="U2441" s="1644"/>
      <c r="V2441" s="1645"/>
      <c r="W2441" s="1644"/>
      <c r="X2441" s="1645"/>
      <c r="Y2441" s="1644"/>
      <c r="AI2441" s="2023">
        <f>W2441-'Blocking-Step2'!W2441</f>
        <v>0</v>
      </c>
      <c r="AJ2441" s="2054">
        <f>O2441-'Blocking-Step2'!O2441</f>
        <v>0</v>
      </c>
    </row>
    <row r="2442" spans="1:36" hidden="1">
      <c r="A2442" s="1900" t="s">
        <v>315</v>
      </c>
      <c r="C2442" s="528"/>
      <c r="D2442" s="528"/>
      <c r="F2442" s="2000"/>
      <c r="G2442" s="1991"/>
      <c r="H2442" s="1644"/>
      <c r="I2442" s="1644"/>
      <c r="K2442" s="2000"/>
      <c r="L2442" s="1991"/>
      <c r="M2442" s="2000"/>
      <c r="N2442" s="1991"/>
      <c r="O2442" s="2000"/>
      <c r="P2442" s="1991"/>
      <c r="Q2442" s="2000"/>
      <c r="R2442" s="1991"/>
      <c r="S2442" s="1644"/>
      <c r="T2442" s="1643"/>
      <c r="U2442" s="1644"/>
      <c r="V2442" s="1643"/>
      <c r="W2442" s="1644"/>
      <c r="X2442" s="1643"/>
      <c r="Y2442" s="1644"/>
      <c r="Z2442" s="1878" t="s">
        <v>251</v>
      </c>
      <c r="AI2442" s="2023">
        <f>W2442-'Blocking-Step2'!W2442</f>
        <v>0</v>
      </c>
      <c r="AJ2442" s="2054">
        <f>O2442-'Blocking-Step2'!O2442</f>
        <v>0</v>
      </c>
    </row>
    <row r="2443" spans="1:36" hidden="1">
      <c r="A2443" s="1900" t="s">
        <v>1668</v>
      </c>
      <c r="C2443" s="528"/>
      <c r="D2443" s="528"/>
      <c r="F2443" s="2000"/>
      <c r="G2443" s="1991"/>
      <c r="H2443" s="1644"/>
      <c r="I2443" s="1644"/>
      <c r="K2443" s="2000">
        <f t="shared" ref="K2443:K2444" si="1439">K2235</f>
        <v>0.41</v>
      </c>
      <c r="L2443" s="1991"/>
      <c r="M2443" s="2000">
        <f t="shared" ref="M2443:M2444" si="1440">M2235</f>
        <v>0.49000000000000005</v>
      </c>
      <c r="N2443" s="1991"/>
      <c r="O2443" s="2000">
        <f t="shared" ref="O2443:O2444" si="1441">O2235</f>
        <v>0</v>
      </c>
      <c r="P2443" s="1991"/>
      <c r="Q2443" s="2000">
        <f t="shared" ref="Q2443:Q2444" si="1442">Q2235</f>
        <v>0.9</v>
      </c>
      <c r="R2443" s="1991"/>
      <c r="S2443" s="1644">
        <f t="shared" ref="S2443:S2444" si="1443">ROUND($D2443*K2443,0)</f>
        <v>0</v>
      </c>
      <c r="T2443" s="1643"/>
      <c r="U2443" s="1644">
        <f t="shared" ref="U2443:Y2444" si="1444">ROUND($D2443*M2443,0)</f>
        <v>0</v>
      </c>
      <c r="V2443" s="1643"/>
      <c r="W2443" s="1644">
        <f t="shared" si="1444"/>
        <v>0</v>
      </c>
      <c r="X2443" s="1643"/>
      <c r="Y2443" s="1644">
        <f t="shared" si="1444"/>
        <v>0</v>
      </c>
      <c r="Z2443" s="1878">
        <f>Z2339</f>
        <v>0.81143000192935111</v>
      </c>
      <c r="AI2443" s="2023">
        <f>W2443-'Blocking-Step2'!W2443</f>
        <v>0</v>
      </c>
      <c r="AJ2443" s="2054">
        <f>O2443-'Blocking-Step2'!O2443</f>
        <v>0</v>
      </c>
    </row>
    <row r="2444" spans="1:36" hidden="1">
      <c r="A2444" s="1900" t="s">
        <v>1669</v>
      </c>
      <c r="C2444" s="528"/>
      <c r="D2444" s="528"/>
      <c r="F2444" s="2000"/>
      <c r="G2444" s="1991"/>
      <c r="H2444" s="1644"/>
      <c r="I2444" s="1644"/>
      <c r="K2444" s="2000">
        <f t="shared" si="1439"/>
        <v>0.36</v>
      </c>
      <c r="L2444" s="1991"/>
      <c r="M2444" s="2000">
        <f t="shared" si="1440"/>
        <v>0.44000000000000006</v>
      </c>
      <c r="N2444" s="1991"/>
      <c r="O2444" s="2000">
        <f t="shared" si="1441"/>
        <v>0</v>
      </c>
      <c r="P2444" s="1991"/>
      <c r="Q2444" s="2000">
        <f t="shared" si="1442"/>
        <v>0.8</v>
      </c>
      <c r="R2444" s="1991"/>
      <c r="S2444" s="1644">
        <f t="shared" si="1443"/>
        <v>0</v>
      </c>
      <c r="T2444" s="1643"/>
      <c r="U2444" s="1644">
        <f t="shared" si="1444"/>
        <v>0</v>
      </c>
      <c r="V2444" s="1643"/>
      <c r="W2444" s="1644">
        <f t="shared" si="1444"/>
        <v>0</v>
      </c>
      <c r="X2444" s="1643"/>
      <c r="Y2444" s="1644">
        <f t="shared" si="1444"/>
        <v>0</v>
      </c>
      <c r="Z2444" s="1878">
        <f>Z2340</f>
        <v>1.1359353572586484</v>
      </c>
      <c r="AI2444" s="2023">
        <f>W2444-'Blocking-Step2'!W2444</f>
        <v>0</v>
      </c>
      <c r="AJ2444" s="2054">
        <f>O2444-'Blocking-Step2'!O2444</f>
        <v>0</v>
      </c>
    </row>
    <row r="2445" spans="1:36" hidden="1">
      <c r="A2445" s="1900" t="s">
        <v>316</v>
      </c>
      <c r="C2445" s="528"/>
      <c r="D2445" s="528"/>
      <c r="F2445" s="2001"/>
      <c r="G2445" s="1992"/>
      <c r="H2445" s="1644"/>
      <c r="I2445" s="1644"/>
      <c r="K2445" s="2001"/>
      <c r="L2445" s="1992"/>
      <c r="M2445" s="2001"/>
      <c r="N2445" s="1992"/>
      <c r="O2445" s="2001"/>
      <c r="P2445" s="1992"/>
      <c r="Q2445" s="2001"/>
      <c r="R2445" s="1992"/>
      <c r="S2445" s="1644"/>
      <c r="T2445" s="1645"/>
      <c r="U2445" s="1644"/>
      <c r="V2445" s="1645"/>
      <c r="W2445" s="1644"/>
      <c r="X2445" s="1645"/>
      <c r="Y2445" s="1644"/>
      <c r="AI2445" s="2023">
        <f>W2445-'Blocking-Step2'!W2445</f>
        <v>0</v>
      </c>
      <c r="AJ2445" s="2054">
        <f>O2445-'Blocking-Step2'!O2445</f>
        <v>0</v>
      </c>
    </row>
    <row r="2446" spans="1:36" hidden="1">
      <c r="A2446" s="1900" t="s">
        <v>1668</v>
      </c>
      <c r="C2446" s="528"/>
      <c r="D2446" s="528"/>
      <c r="F2446" s="2001"/>
      <c r="G2446" s="1992"/>
      <c r="H2446" s="1644"/>
      <c r="I2446" s="1644"/>
      <c r="K2446" s="2001">
        <f t="shared" ref="K2446:K2447" si="1445">K2238</f>
        <v>0.21</v>
      </c>
      <c r="L2446" s="1992"/>
      <c r="M2446" s="2001">
        <f t="shared" ref="M2446:M2447" si="1446">M2238</f>
        <v>0.24000000000000002</v>
      </c>
      <c r="N2446" s="1992"/>
      <c r="O2446" s="2001">
        <f t="shared" ref="O2446:O2447" si="1447">O2238</f>
        <v>0</v>
      </c>
      <c r="P2446" s="1992"/>
      <c r="Q2446" s="2001">
        <f t="shared" ref="Q2446:Q2447" si="1448">Q2238</f>
        <v>0.45</v>
      </c>
      <c r="R2446" s="1992"/>
      <c r="S2446" s="1644">
        <f t="shared" ref="S2446:S2447" si="1449">ROUND($D2446*K2446,0)</f>
        <v>0</v>
      </c>
      <c r="T2446" s="1645"/>
      <c r="U2446" s="1644">
        <f t="shared" ref="U2446:Y2447" si="1450">ROUND($D2446*M2446,0)</f>
        <v>0</v>
      </c>
      <c r="V2446" s="1645"/>
      <c r="W2446" s="1644">
        <f t="shared" si="1450"/>
        <v>0</v>
      </c>
      <c r="X2446" s="1645"/>
      <c r="Y2446" s="1644">
        <f t="shared" si="1450"/>
        <v>0</v>
      </c>
      <c r="Z2446" s="1878">
        <f t="shared" ref="Z2446:Z2447" si="1451">Z2342</f>
        <v>0.81143000192935111</v>
      </c>
      <c r="AI2446" s="2023">
        <f>W2446-'Blocking-Step2'!W2446</f>
        <v>0</v>
      </c>
      <c r="AJ2446" s="2054">
        <f>O2446-'Blocking-Step2'!O2446</f>
        <v>0</v>
      </c>
    </row>
    <row r="2447" spans="1:36" hidden="1">
      <c r="A2447" s="1900" t="s">
        <v>1669</v>
      </c>
      <c r="C2447" s="528"/>
      <c r="D2447" s="528"/>
      <c r="F2447" s="2001"/>
      <c r="G2447" s="1992"/>
      <c r="H2447" s="1644"/>
      <c r="I2447" s="1644"/>
      <c r="K2447" s="2001">
        <f t="shared" si="1445"/>
        <v>0.18</v>
      </c>
      <c r="L2447" s="1992"/>
      <c r="M2447" s="2001">
        <f t="shared" si="1446"/>
        <v>0.22000000000000003</v>
      </c>
      <c r="N2447" s="1992"/>
      <c r="O2447" s="2001">
        <f t="shared" si="1447"/>
        <v>0</v>
      </c>
      <c r="P2447" s="1992"/>
      <c r="Q2447" s="2001">
        <f t="shared" si="1448"/>
        <v>0.4</v>
      </c>
      <c r="R2447" s="1992"/>
      <c r="S2447" s="1644">
        <f t="shared" si="1449"/>
        <v>0</v>
      </c>
      <c r="T2447" s="1645"/>
      <c r="U2447" s="1644">
        <f t="shared" si="1450"/>
        <v>0</v>
      </c>
      <c r="V2447" s="1645"/>
      <c r="W2447" s="1644">
        <f t="shared" si="1450"/>
        <v>0</v>
      </c>
      <c r="X2447" s="1645"/>
      <c r="Y2447" s="1644">
        <f t="shared" si="1450"/>
        <v>0</v>
      </c>
      <c r="Z2447" s="1878">
        <f t="shared" si="1451"/>
        <v>1.1359353572586484</v>
      </c>
      <c r="AI2447" s="2023">
        <f>W2447-'Blocking-Step2'!W2447</f>
        <v>0</v>
      </c>
      <c r="AJ2447" s="2054">
        <f>O2447-'Blocking-Step2'!O2447</f>
        <v>0</v>
      </c>
    </row>
    <row r="2448" spans="1:36" hidden="1">
      <c r="A2448" s="1900" t="s">
        <v>317</v>
      </c>
      <c r="C2448" s="528"/>
      <c r="D2448" s="528"/>
      <c r="F2448" s="2000"/>
      <c r="G2448" s="1902"/>
      <c r="H2448" s="1644"/>
      <c r="I2448" s="1644"/>
      <c r="K2448" s="2000"/>
      <c r="L2448" s="1902"/>
      <c r="M2448" s="2000"/>
      <c r="N2448" s="1902"/>
      <c r="O2448" s="2000"/>
      <c r="P2448" s="1902"/>
      <c r="Q2448" s="2000"/>
      <c r="R2448" s="1902"/>
      <c r="S2448" s="1644"/>
      <c r="T2448" s="1643"/>
      <c r="U2448" s="1644"/>
      <c r="V2448" s="1643"/>
      <c r="W2448" s="1644"/>
      <c r="X2448" s="1643"/>
      <c r="Y2448" s="1644"/>
      <c r="AI2448" s="2023">
        <f>W2448-'Blocking-Step2'!W2448</f>
        <v>0</v>
      </c>
      <c r="AJ2448" s="2054">
        <f>O2448-'Blocking-Step2'!O2448</f>
        <v>0</v>
      </c>
    </row>
    <row r="2449" spans="1:36" hidden="1">
      <c r="A2449" s="1900" t="s">
        <v>1668</v>
      </c>
      <c r="C2449" s="528"/>
      <c r="D2449" s="528"/>
      <c r="F2449" s="2000"/>
      <c r="G2449" s="1902"/>
      <c r="H2449" s="1644"/>
      <c r="I2449" s="1644"/>
      <c r="K2449" s="2000">
        <f t="shared" ref="K2449:K2450" si="1452">K2241</f>
        <v>19.05</v>
      </c>
      <c r="L2449" s="1902"/>
      <c r="M2449" s="2000">
        <f t="shared" ref="M2449:M2450" si="1453">M2241</f>
        <v>22.76</v>
      </c>
      <c r="N2449" s="1902"/>
      <c r="O2449" s="2000">
        <f t="shared" ref="O2449:O2450" si="1454">O2241</f>
        <v>0</v>
      </c>
      <c r="P2449" s="1902"/>
      <c r="Q2449" s="2000">
        <f t="shared" ref="Q2449:Q2450" si="1455">Q2241</f>
        <v>41.81</v>
      </c>
      <c r="R2449" s="1902"/>
      <c r="S2449" s="1644">
        <f t="shared" ref="S2449:S2450" si="1456">ROUND($D2449*K2449,0)</f>
        <v>0</v>
      </c>
      <c r="T2449" s="1643"/>
      <c r="U2449" s="1644">
        <f t="shared" ref="U2449:Y2450" si="1457">ROUND($D2449*M2449,0)</f>
        <v>0</v>
      </c>
      <c r="V2449" s="1643"/>
      <c r="W2449" s="1644">
        <f t="shared" si="1457"/>
        <v>0</v>
      </c>
      <c r="X2449" s="1643"/>
      <c r="Y2449" s="1644">
        <f t="shared" si="1457"/>
        <v>0</v>
      </c>
      <c r="Z2449" s="1878">
        <f t="shared" ref="Z2449:Z2450" si="1458">Z2345</f>
        <v>0.81143000192935111</v>
      </c>
      <c r="AI2449" s="2023">
        <f>W2449-'Blocking-Step2'!W2449</f>
        <v>0</v>
      </c>
      <c r="AJ2449" s="2054">
        <f>O2449-'Blocking-Step2'!O2449</f>
        <v>0</v>
      </c>
    </row>
    <row r="2450" spans="1:36" hidden="1">
      <c r="A2450" s="1900" t="s">
        <v>1669</v>
      </c>
      <c r="C2450" s="528"/>
      <c r="D2450" s="528"/>
      <c r="F2450" s="2000"/>
      <c r="G2450" s="1902"/>
      <c r="H2450" s="1644"/>
      <c r="I2450" s="1644"/>
      <c r="K2450" s="2000">
        <f t="shared" si="1452"/>
        <v>16.649999999999999</v>
      </c>
      <c r="L2450" s="1902"/>
      <c r="M2450" s="2000">
        <f t="shared" si="1453"/>
        <v>20.350000000000001</v>
      </c>
      <c r="N2450" s="1902"/>
      <c r="O2450" s="2000">
        <f t="shared" si="1454"/>
        <v>0</v>
      </c>
      <c r="P2450" s="1902"/>
      <c r="Q2450" s="2000">
        <f t="shared" si="1455"/>
        <v>37</v>
      </c>
      <c r="R2450" s="1902"/>
      <c r="S2450" s="1644">
        <f t="shared" si="1456"/>
        <v>0</v>
      </c>
      <c r="T2450" s="1643"/>
      <c r="U2450" s="1644">
        <f t="shared" si="1457"/>
        <v>0</v>
      </c>
      <c r="V2450" s="1643"/>
      <c r="W2450" s="1644">
        <f t="shared" si="1457"/>
        <v>0</v>
      </c>
      <c r="X2450" s="1643"/>
      <c r="Y2450" s="1644">
        <f t="shared" si="1457"/>
        <v>0</v>
      </c>
      <c r="Z2450" s="1878">
        <f t="shared" si="1458"/>
        <v>1.1359353572586484</v>
      </c>
      <c r="AI2450" s="2023">
        <f>W2450-'Blocking-Step2'!W2450</f>
        <v>0</v>
      </c>
      <c r="AJ2450" s="2054">
        <f>O2450-'Blocking-Step2'!O2450</f>
        <v>0</v>
      </c>
    </row>
    <row r="2451" spans="1:36" hidden="1">
      <c r="A2451" s="1900" t="s">
        <v>315</v>
      </c>
      <c r="C2451" s="528"/>
      <c r="D2451" s="528"/>
      <c r="F2451" s="2000"/>
      <c r="G2451" s="1991"/>
      <c r="H2451" s="1644"/>
      <c r="I2451" s="1644"/>
      <c r="K2451" s="2000"/>
      <c r="L2451" s="1991"/>
      <c r="M2451" s="2000"/>
      <c r="N2451" s="1991"/>
      <c r="O2451" s="2000"/>
      <c r="P2451" s="1991"/>
      <c r="Q2451" s="2000"/>
      <c r="R2451" s="1991"/>
      <c r="S2451" s="1644"/>
      <c r="T2451" s="1643"/>
      <c r="U2451" s="1644"/>
      <c r="V2451" s="1643"/>
      <c r="W2451" s="1644"/>
      <c r="X2451" s="1643"/>
      <c r="Y2451" s="1644"/>
      <c r="AI2451" s="2023">
        <f>W2451-'Blocking-Step2'!W2451</f>
        <v>0</v>
      </c>
      <c r="AJ2451" s="2054">
        <f>O2451-'Blocking-Step2'!O2451</f>
        <v>0</v>
      </c>
    </row>
    <row r="2452" spans="1:36" hidden="1">
      <c r="A2452" s="1900" t="s">
        <v>944</v>
      </c>
      <c r="C2452" s="528"/>
      <c r="D2452" s="528"/>
      <c r="F2452" s="2000">
        <v>0.88</v>
      </c>
      <c r="G2452" s="1991"/>
      <c r="H2452" s="1644">
        <f>ROUND($F2452*C2452,0)</f>
        <v>0</v>
      </c>
      <c r="I2452" s="1644">
        <f>ROUND($F2452*D2452,0)</f>
        <v>0</v>
      </c>
      <c r="K2452" s="2000"/>
      <c r="L2452" s="1991"/>
      <c r="M2452" s="2000"/>
      <c r="N2452" s="1991"/>
      <c r="O2452" s="2000"/>
      <c r="P2452" s="1991"/>
      <c r="Q2452" s="2000"/>
      <c r="R2452" s="1991"/>
      <c r="S2452" s="1644"/>
      <c r="T2452" s="1643"/>
      <c r="U2452" s="1644"/>
      <c r="V2452" s="1643"/>
      <c r="W2452" s="1644"/>
      <c r="X2452" s="1643"/>
      <c r="Y2452" s="1644"/>
      <c r="AI2452" s="2023">
        <f>W2452-'Blocking-Step2'!W2452</f>
        <v>0</v>
      </c>
      <c r="AJ2452" s="2054">
        <f>O2452-'Blocking-Step2'!O2452</f>
        <v>0</v>
      </c>
    </row>
    <row r="2453" spans="1:36" hidden="1">
      <c r="A2453" s="1900" t="s">
        <v>945</v>
      </c>
      <c r="C2453" s="528"/>
      <c r="D2453" s="528"/>
      <c r="F2453" s="2000">
        <v>0.62</v>
      </c>
      <c r="G2453" s="1991"/>
      <c r="H2453" s="1644">
        <f>ROUND($F2453*C2453,0)</f>
        <v>0</v>
      </c>
      <c r="I2453" s="1644">
        <f>ROUND($F2453*D2453,0)</f>
        <v>0</v>
      </c>
      <c r="K2453" s="2000"/>
      <c r="L2453" s="1991"/>
      <c r="M2453" s="2000"/>
      <c r="N2453" s="1991"/>
      <c r="O2453" s="2000"/>
      <c r="P2453" s="1991"/>
      <c r="Q2453" s="2000"/>
      <c r="R2453" s="1991"/>
      <c r="S2453" s="1644"/>
      <c r="T2453" s="1643"/>
      <c r="U2453" s="1644"/>
      <c r="V2453" s="1643"/>
      <c r="W2453" s="1644"/>
      <c r="X2453" s="1643"/>
      <c r="Y2453" s="1644"/>
      <c r="AI2453" s="2023">
        <f>W2453-'Blocking-Step2'!W2453</f>
        <v>0</v>
      </c>
      <c r="AJ2453" s="2054">
        <f>O2453-'Blocking-Step2'!O2453</f>
        <v>0</v>
      </c>
    </row>
    <row r="2454" spans="1:36" hidden="1">
      <c r="A2454" s="1900" t="s">
        <v>316</v>
      </c>
      <c r="C2454" s="528"/>
      <c r="D2454" s="528"/>
      <c r="F2454" s="2001"/>
      <c r="G2454" s="1992"/>
      <c r="H2454" s="1644"/>
      <c r="I2454" s="1644"/>
      <c r="K2454" s="2001"/>
      <c r="L2454" s="1992"/>
      <c r="M2454" s="2001"/>
      <c r="N2454" s="1992"/>
      <c r="O2454" s="2001"/>
      <c r="P2454" s="1992"/>
      <c r="Q2454" s="2001"/>
      <c r="R2454" s="1992"/>
      <c r="S2454" s="1644"/>
      <c r="T2454" s="1645"/>
      <c r="U2454" s="1644"/>
      <c r="V2454" s="1645"/>
      <c r="W2454" s="1644"/>
      <c r="X2454" s="1645"/>
      <c r="Y2454" s="1644"/>
      <c r="AI2454" s="2023">
        <f>W2454-'Blocking-Step2'!W2454</f>
        <v>0</v>
      </c>
      <c r="AJ2454" s="2054">
        <f>O2454-'Blocking-Step2'!O2454</f>
        <v>0</v>
      </c>
    </row>
    <row r="2455" spans="1:36" hidden="1">
      <c r="A2455" s="1900" t="s">
        <v>944</v>
      </c>
      <c r="C2455" s="528"/>
      <c r="D2455" s="528"/>
      <c r="F2455" s="2001">
        <v>0.44</v>
      </c>
      <c r="G2455" s="1992"/>
      <c r="H2455" s="1644">
        <f>ROUND($F2455*C2455,0)</f>
        <v>0</v>
      </c>
      <c r="I2455" s="1644">
        <f>ROUND($F2455*D2455,0)</f>
        <v>0</v>
      </c>
      <c r="K2455" s="2001"/>
      <c r="L2455" s="1992"/>
      <c r="M2455" s="2001"/>
      <c r="N2455" s="1992"/>
      <c r="O2455" s="2001"/>
      <c r="P2455" s="1992"/>
      <c r="Q2455" s="2001"/>
      <c r="R2455" s="1992"/>
      <c r="S2455" s="1644"/>
      <c r="T2455" s="1645"/>
      <c r="U2455" s="1644"/>
      <c r="V2455" s="1645"/>
      <c r="W2455" s="1644"/>
      <c r="X2455" s="1645"/>
      <c r="Y2455" s="1644"/>
      <c r="AI2455" s="2023">
        <f>W2455-'Blocking-Step2'!W2455</f>
        <v>0</v>
      </c>
      <c r="AJ2455" s="2054">
        <f>O2455-'Blocking-Step2'!O2455</f>
        <v>0</v>
      </c>
    </row>
    <row r="2456" spans="1:36" hidden="1">
      <c r="A2456" s="1900" t="s">
        <v>945</v>
      </c>
      <c r="C2456" s="528"/>
      <c r="D2456" s="528"/>
      <c r="F2456" s="2001">
        <v>0.31</v>
      </c>
      <c r="G2456" s="1992"/>
      <c r="H2456" s="1644">
        <f>ROUND($F2456*C2456,0)</f>
        <v>0</v>
      </c>
      <c r="I2456" s="1644">
        <f>ROUND($F2456*D2456,0)</f>
        <v>0</v>
      </c>
      <c r="K2456" s="2001"/>
      <c r="L2456" s="1992"/>
      <c r="M2456" s="2001"/>
      <c r="N2456" s="1992"/>
      <c r="O2456" s="2001"/>
      <c r="P2456" s="1992"/>
      <c r="Q2456" s="2001"/>
      <c r="R2456" s="1992"/>
      <c r="S2456" s="1644"/>
      <c r="T2456" s="1645"/>
      <c r="U2456" s="1644"/>
      <c r="V2456" s="1645"/>
      <c r="W2456" s="1644"/>
      <c r="X2456" s="1645"/>
      <c r="Y2456" s="1644"/>
      <c r="AI2456" s="2023">
        <f>W2456-'Blocking-Step2'!W2456</f>
        <v>0</v>
      </c>
      <c r="AJ2456" s="2054">
        <f>O2456-'Blocking-Step2'!O2456</f>
        <v>0</v>
      </c>
    </row>
    <row r="2457" spans="1:36" hidden="1">
      <c r="A2457" s="1900" t="s">
        <v>317</v>
      </c>
      <c r="C2457" s="528"/>
      <c r="D2457" s="528"/>
      <c r="F2457" s="2000"/>
      <c r="G2457" s="1902"/>
      <c r="H2457" s="1644"/>
      <c r="I2457" s="1644"/>
      <c r="K2457" s="2000"/>
      <c r="L2457" s="1902"/>
      <c r="M2457" s="2000"/>
      <c r="N2457" s="1902"/>
      <c r="O2457" s="2000"/>
      <c r="P2457" s="1902"/>
      <c r="Q2457" s="2000"/>
      <c r="R2457" s="1902"/>
      <c r="S2457" s="1644"/>
      <c r="T2457" s="1643"/>
      <c r="U2457" s="1644"/>
      <c r="V2457" s="1643"/>
      <c r="W2457" s="1644"/>
      <c r="X2457" s="1643"/>
      <c r="Y2457" s="1644"/>
      <c r="AI2457" s="2023">
        <f>W2457-'Blocking-Step2'!W2457</f>
        <v>0</v>
      </c>
      <c r="AJ2457" s="2054">
        <f>O2457-'Blocking-Step2'!O2457</f>
        <v>0</v>
      </c>
    </row>
    <row r="2458" spans="1:36" hidden="1">
      <c r="A2458" s="1900" t="s">
        <v>944</v>
      </c>
      <c r="C2458" s="528"/>
      <c r="D2458" s="528"/>
      <c r="F2458" s="2000">
        <v>40.81</v>
      </c>
      <c r="G2458" s="1902"/>
      <c r="H2458" s="1644">
        <f>ROUND($F2458*C2458,0)</f>
        <v>0</v>
      </c>
      <c r="I2458" s="1644">
        <f>ROUND($F2458*D2458,0)</f>
        <v>0</v>
      </c>
      <c r="K2458" s="2000"/>
      <c r="L2458" s="1902"/>
      <c r="M2458" s="2000"/>
      <c r="N2458" s="1902"/>
      <c r="O2458" s="2000"/>
      <c r="P2458" s="1902"/>
      <c r="Q2458" s="2000"/>
      <c r="R2458" s="1902"/>
      <c r="S2458" s="1644"/>
      <c r="T2458" s="1643"/>
      <c r="U2458" s="1644"/>
      <c r="V2458" s="1643"/>
      <c r="W2458" s="1644"/>
      <c r="X2458" s="1643"/>
      <c r="Y2458" s="1644"/>
      <c r="AI2458" s="2023">
        <f>W2458-'Blocking-Step2'!W2458</f>
        <v>0</v>
      </c>
      <c r="AJ2458" s="2054">
        <f>O2458-'Blocking-Step2'!O2458</f>
        <v>0</v>
      </c>
    </row>
    <row r="2459" spans="1:36" hidden="1">
      <c r="A2459" s="1900" t="s">
        <v>945</v>
      </c>
      <c r="C2459" s="528"/>
      <c r="D2459" s="528"/>
      <c r="F2459" s="2000">
        <v>32.04</v>
      </c>
      <c r="G2459" s="1902"/>
      <c r="H2459" s="1644">
        <f>ROUND($F2459*C2459,0)</f>
        <v>0</v>
      </c>
      <c r="I2459" s="1644">
        <f>ROUND($F2459*D2459,0)</f>
        <v>0</v>
      </c>
      <c r="K2459" s="2000"/>
      <c r="L2459" s="1902"/>
      <c r="M2459" s="2000"/>
      <c r="N2459" s="1902"/>
      <c r="O2459" s="2000"/>
      <c r="P2459" s="1902"/>
      <c r="Q2459" s="2000"/>
      <c r="R2459" s="1902"/>
      <c r="S2459" s="1644"/>
      <c r="T2459" s="1643"/>
      <c r="U2459" s="1644"/>
      <c r="V2459" s="1643"/>
      <c r="W2459" s="1644"/>
      <c r="X2459" s="1643"/>
      <c r="Y2459" s="1644"/>
      <c r="AI2459" s="2023">
        <f>W2459-'Blocking-Step2'!W2459</f>
        <v>0</v>
      </c>
      <c r="AJ2459" s="2054">
        <f>O2459-'Blocking-Step2'!O2459</f>
        <v>0</v>
      </c>
    </row>
    <row r="2460" spans="1:36" hidden="1">
      <c r="A2460" s="1987" t="s">
        <v>183</v>
      </c>
      <c r="C2460" s="528"/>
      <c r="D2460" s="528"/>
      <c r="F2460" s="2002"/>
      <c r="K2460" s="2002"/>
      <c r="M2460" s="2002"/>
      <c r="O2460" s="2002"/>
      <c r="Q2460" s="2002"/>
      <c r="S2460" s="1638"/>
      <c r="U2460" s="1638"/>
      <c r="W2460" s="1638"/>
      <c r="AI2460" s="2023">
        <f>W2460-'Blocking-Step2'!W2460</f>
        <v>0</v>
      </c>
      <c r="AJ2460" s="2054">
        <f>O2460-'Blocking-Step2'!O2460</f>
        <v>0</v>
      </c>
    </row>
    <row r="2461" spans="1:36" hidden="1">
      <c r="A2461" s="1900" t="s">
        <v>312</v>
      </c>
      <c r="C2461" s="528"/>
      <c r="D2461" s="528"/>
      <c r="F2461" s="2000">
        <v>605</v>
      </c>
      <c r="G2461" s="1902"/>
      <c r="H2461" s="1644">
        <f>ROUND($F2461*C2461,0)</f>
        <v>0</v>
      </c>
      <c r="I2461" s="1644">
        <f>ROUND($F2461*D2461,0)</f>
        <v>0</v>
      </c>
      <c r="K2461" s="2000">
        <f t="shared" ref="K2461:K2462" si="1459">K2253</f>
        <v>620</v>
      </c>
      <c r="L2461" s="1902"/>
      <c r="M2461" s="2000">
        <f t="shared" ref="M2461:M2462" si="1460">M2253</f>
        <v>0</v>
      </c>
      <c r="N2461" s="1902"/>
      <c r="O2461" s="2000">
        <f t="shared" ref="O2461:O2462" si="1461">O2253</f>
        <v>0</v>
      </c>
      <c r="P2461" s="1902"/>
      <c r="Q2461" s="2000">
        <f t="shared" ref="Q2461:Q2462" si="1462">Q2253</f>
        <v>620</v>
      </c>
      <c r="R2461" s="1902"/>
      <c r="S2461" s="1644">
        <f>ROUND($D2461*K2461,0)</f>
        <v>0</v>
      </c>
      <c r="T2461" s="1643"/>
      <c r="U2461" s="1644">
        <f>ROUND($D2461*M2461,0)</f>
        <v>0</v>
      </c>
      <c r="V2461" s="1643"/>
      <c r="W2461" s="1644">
        <f>ROUND($D2461*O2461,0)</f>
        <v>0</v>
      </c>
      <c r="X2461" s="1643"/>
      <c r="Y2461" s="1644">
        <f>ROUND($D2461*Q2461,0)</f>
        <v>0</v>
      </c>
      <c r="AI2461" s="2023">
        <f>W2461-'Blocking-Step2'!W2461</f>
        <v>0</v>
      </c>
      <c r="AJ2461" s="2054">
        <f>O2461-'Blocking-Step2'!O2461</f>
        <v>0</v>
      </c>
    </row>
    <row r="2462" spans="1:36" hidden="1">
      <c r="A2462" s="1900" t="s">
        <v>313</v>
      </c>
      <c r="C2462" s="528"/>
      <c r="D2462" s="528"/>
      <c r="F2462" s="2000">
        <v>4.46</v>
      </c>
      <c r="G2462" s="1902"/>
      <c r="H2462" s="1644">
        <f>ROUND($F2462*C2462,0)</f>
        <v>0</v>
      </c>
      <c r="I2462" s="1644">
        <f>ROUND($F2462*D2462,0)</f>
        <v>0</v>
      </c>
      <c r="K2462" s="2000">
        <f t="shared" si="1459"/>
        <v>4.57</v>
      </c>
      <c r="L2462" s="1902"/>
      <c r="M2462" s="2000">
        <f t="shared" si="1460"/>
        <v>0</v>
      </c>
      <c r="N2462" s="1902"/>
      <c r="O2462" s="2000">
        <f t="shared" si="1461"/>
        <v>0</v>
      </c>
      <c r="P2462" s="1902"/>
      <c r="Q2462" s="2000">
        <f t="shared" si="1462"/>
        <v>4.57</v>
      </c>
      <c r="R2462" s="1902"/>
      <c r="S2462" s="1644">
        <f>ROUND($D2462*K2462,0)</f>
        <v>0</v>
      </c>
      <c r="T2462" s="1643"/>
      <c r="U2462" s="1644">
        <f>ROUND($D2462*M2462,0)</f>
        <v>0</v>
      </c>
      <c r="V2462" s="1643"/>
      <c r="W2462" s="1644">
        <f>ROUND($D2462*O2462,0)</f>
        <v>0</v>
      </c>
      <c r="X2462" s="1643"/>
      <c r="Y2462" s="1644">
        <f>ROUND($D2462*Q2462,0)</f>
        <v>0</v>
      </c>
      <c r="AI2462" s="2023">
        <f>W2462-'Blocking-Step2'!W2462</f>
        <v>0</v>
      </c>
      <c r="AJ2462" s="2054">
        <f>O2462-'Blocking-Step2'!O2462</f>
        <v>0</v>
      </c>
    </row>
    <row r="2463" spans="1:36" hidden="1">
      <c r="A2463" s="1900" t="s">
        <v>314</v>
      </c>
      <c r="C2463" s="528"/>
      <c r="D2463" s="528"/>
      <c r="F2463" s="2000"/>
      <c r="G2463" s="1902"/>
      <c r="H2463" s="1644"/>
      <c r="I2463" s="1644"/>
      <c r="K2463" s="2000"/>
      <c r="L2463" s="1902"/>
      <c r="M2463" s="2000"/>
      <c r="N2463" s="1902"/>
      <c r="O2463" s="2000"/>
      <c r="P2463" s="1902"/>
      <c r="Q2463" s="2000"/>
      <c r="R2463" s="1902"/>
      <c r="S2463" s="1644"/>
      <c r="T2463" s="1643"/>
      <c r="U2463" s="1644"/>
      <c r="V2463" s="1643"/>
      <c r="W2463" s="1644"/>
      <c r="X2463" s="1643"/>
      <c r="Y2463" s="1644"/>
      <c r="AI2463" s="2023">
        <f>W2463-'Blocking-Step2'!W2463</f>
        <v>0</v>
      </c>
      <c r="AJ2463" s="2054">
        <f>O2463-'Blocking-Step2'!O2463</f>
        <v>0</v>
      </c>
    </row>
    <row r="2464" spans="1:36" hidden="1">
      <c r="A2464" s="1900" t="s">
        <v>315</v>
      </c>
      <c r="C2464" s="528"/>
      <c r="D2464" s="528"/>
      <c r="F2464" s="2000"/>
      <c r="G2464" s="1991"/>
      <c r="H2464" s="1644"/>
      <c r="I2464" s="1644"/>
      <c r="K2464" s="2000"/>
      <c r="L2464" s="1991"/>
      <c r="M2464" s="2000"/>
      <c r="N2464" s="1991"/>
      <c r="O2464" s="2000"/>
      <c r="P2464" s="1991"/>
      <c r="Q2464" s="2000"/>
      <c r="R2464" s="1991"/>
      <c r="S2464" s="1644"/>
      <c r="T2464" s="1643"/>
      <c r="U2464" s="1644"/>
      <c r="V2464" s="1643"/>
      <c r="W2464" s="1644"/>
      <c r="X2464" s="1643"/>
      <c r="Y2464" s="1644"/>
      <c r="Z2464" s="1878" t="s">
        <v>251</v>
      </c>
      <c r="AI2464" s="2023">
        <f>W2464-'Blocking-Step2'!W2464</f>
        <v>0</v>
      </c>
      <c r="AJ2464" s="2054">
        <f>O2464-'Blocking-Step2'!O2464</f>
        <v>0</v>
      </c>
    </row>
    <row r="2465" spans="1:36" hidden="1">
      <c r="A2465" s="1900" t="s">
        <v>1668</v>
      </c>
      <c r="C2465" s="528"/>
      <c r="D2465" s="528"/>
      <c r="F2465" s="2000"/>
      <c r="G2465" s="1991"/>
      <c r="H2465" s="1644"/>
      <c r="I2465" s="1644"/>
      <c r="K2465" s="2000">
        <f t="shared" ref="K2465:K2466" si="1463">K2257</f>
        <v>0.4</v>
      </c>
      <c r="L2465" s="1991"/>
      <c r="M2465" s="2000">
        <f t="shared" ref="M2465:M2466" si="1464">M2257</f>
        <v>0.48</v>
      </c>
      <c r="N2465" s="1991"/>
      <c r="O2465" s="2000">
        <f t="shared" ref="O2465:O2466" si="1465">O2257</f>
        <v>0</v>
      </c>
      <c r="P2465" s="1991"/>
      <c r="Q2465" s="2000">
        <f t="shared" ref="Q2465:Q2466" si="1466">Q2257</f>
        <v>0.88</v>
      </c>
      <c r="R2465" s="1991"/>
      <c r="S2465" s="1644">
        <f t="shared" ref="S2465:S2466" si="1467">ROUND($D2465*K2465,0)</f>
        <v>0</v>
      </c>
      <c r="T2465" s="1643"/>
      <c r="U2465" s="1644">
        <f t="shared" ref="U2465:Y2466" si="1468">ROUND($D2465*M2465,0)</f>
        <v>0</v>
      </c>
      <c r="V2465" s="1643"/>
      <c r="W2465" s="1644">
        <f t="shared" si="1468"/>
        <v>0</v>
      </c>
      <c r="X2465" s="1643"/>
      <c r="Y2465" s="1644">
        <f t="shared" si="1468"/>
        <v>0</v>
      </c>
      <c r="Z2465" s="1878">
        <f t="shared" ref="Z2465:Z2466" si="1469">Z2361</f>
        <v>0.81143000192935111</v>
      </c>
      <c r="AI2465" s="2023">
        <f>W2465-'Blocking-Step2'!W2465</f>
        <v>0</v>
      </c>
      <c r="AJ2465" s="2054">
        <f>O2465-'Blocking-Step2'!O2465</f>
        <v>0</v>
      </c>
    </row>
    <row r="2466" spans="1:36" hidden="1">
      <c r="A2466" s="1900" t="s">
        <v>1669</v>
      </c>
      <c r="C2466" s="528"/>
      <c r="D2466" s="528"/>
      <c r="F2466" s="2000"/>
      <c r="G2466" s="1991"/>
      <c r="H2466" s="1644"/>
      <c r="I2466" s="1644"/>
      <c r="K2466" s="2000">
        <f t="shared" si="1463"/>
        <v>0.35</v>
      </c>
      <c r="L2466" s="1991"/>
      <c r="M2466" s="2000">
        <f t="shared" si="1464"/>
        <v>0.43000000000000005</v>
      </c>
      <c r="N2466" s="1991"/>
      <c r="O2466" s="2000">
        <f t="shared" si="1465"/>
        <v>0</v>
      </c>
      <c r="P2466" s="1991"/>
      <c r="Q2466" s="2000">
        <f t="shared" si="1466"/>
        <v>0.78</v>
      </c>
      <c r="R2466" s="1991"/>
      <c r="S2466" s="1644">
        <f t="shared" si="1467"/>
        <v>0</v>
      </c>
      <c r="T2466" s="1643"/>
      <c r="U2466" s="1644">
        <f t="shared" si="1468"/>
        <v>0</v>
      </c>
      <c r="V2466" s="1643"/>
      <c r="W2466" s="1644">
        <f t="shared" si="1468"/>
        <v>0</v>
      </c>
      <c r="X2466" s="1643"/>
      <c r="Y2466" s="1644">
        <f t="shared" si="1468"/>
        <v>0</v>
      </c>
      <c r="Z2466" s="1878">
        <f t="shared" si="1469"/>
        <v>1.1359353572586484</v>
      </c>
      <c r="AI2466" s="2023">
        <f>W2466-'Blocking-Step2'!W2466</f>
        <v>0</v>
      </c>
      <c r="AJ2466" s="2054">
        <f>O2466-'Blocking-Step2'!O2466</f>
        <v>0</v>
      </c>
    </row>
    <row r="2467" spans="1:36" hidden="1">
      <c r="A2467" s="1900" t="s">
        <v>316</v>
      </c>
      <c r="C2467" s="528"/>
      <c r="D2467" s="528"/>
      <c r="F2467" s="2001"/>
      <c r="G2467" s="1992"/>
      <c r="H2467" s="1644"/>
      <c r="I2467" s="1644"/>
      <c r="K2467" s="2001"/>
      <c r="L2467" s="1992"/>
      <c r="M2467" s="2001"/>
      <c r="N2467" s="1992"/>
      <c r="O2467" s="2001"/>
      <c r="P2467" s="1992"/>
      <c r="Q2467" s="2001"/>
      <c r="R2467" s="1992"/>
      <c r="S2467" s="1644"/>
      <c r="T2467" s="1645"/>
      <c r="U2467" s="1644"/>
      <c r="V2467" s="1645"/>
      <c r="W2467" s="1644"/>
      <c r="X2467" s="1645"/>
      <c r="Y2467" s="1644"/>
      <c r="AI2467" s="2023">
        <f>W2467-'Blocking-Step2'!W2467</f>
        <v>0</v>
      </c>
      <c r="AJ2467" s="2054">
        <f>O2467-'Blocking-Step2'!O2467</f>
        <v>0</v>
      </c>
    </row>
    <row r="2468" spans="1:36" hidden="1">
      <c r="A2468" s="1900" t="s">
        <v>1668</v>
      </c>
      <c r="C2468" s="528"/>
      <c r="D2468" s="528"/>
      <c r="F2468" s="2001"/>
      <c r="G2468" s="1992"/>
      <c r="H2468" s="1644"/>
      <c r="I2468" s="1644"/>
      <c r="K2468" s="2001">
        <f t="shared" ref="K2468:K2469" si="1470">K2260</f>
        <v>0.2</v>
      </c>
      <c r="L2468" s="1992"/>
      <c r="M2468" s="2001">
        <f t="shared" ref="M2468:M2469" si="1471">M2260</f>
        <v>0.24</v>
      </c>
      <c r="N2468" s="1992"/>
      <c r="O2468" s="2001">
        <f t="shared" ref="O2468:O2469" si="1472">O2260</f>
        <v>0</v>
      </c>
      <c r="P2468" s="1992"/>
      <c r="Q2468" s="2001">
        <f t="shared" ref="Q2468:Q2469" si="1473">Q2260</f>
        <v>0.44</v>
      </c>
      <c r="R2468" s="1992"/>
      <c r="S2468" s="1644">
        <f t="shared" ref="S2468:S2469" si="1474">ROUND($D2468*K2468,0)</f>
        <v>0</v>
      </c>
      <c r="T2468" s="1645"/>
      <c r="U2468" s="1644">
        <f t="shared" ref="U2468:Y2469" si="1475">ROUND($D2468*M2468,0)</f>
        <v>0</v>
      </c>
      <c r="V2468" s="1645"/>
      <c r="W2468" s="1644">
        <f t="shared" si="1475"/>
        <v>0</v>
      </c>
      <c r="X2468" s="1645"/>
      <c r="Y2468" s="1644">
        <f t="shared" si="1475"/>
        <v>0</v>
      </c>
      <c r="Z2468" s="1878">
        <f t="shared" ref="Z2468:Z2469" si="1476">Z2364</f>
        <v>0.81143000192935111</v>
      </c>
      <c r="AI2468" s="2023">
        <f>W2468-'Blocking-Step2'!W2468</f>
        <v>0</v>
      </c>
      <c r="AJ2468" s="2054">
        <f>O2468-'Blocking-Step2'!O2468</f>
        <v>0</v>
      </c>
    </row>
    <row r="2469" spans="1:36" hidden="1">
      <c r="A2469" s="1900" t="s">
        <v>1669</v>
      </c>
      <c r="C2469" s="528"/>
      <c r="D2469" s="528"/>
      <c r="F2469" s="2001"/>
      <c r="G2469" s="1992"/>
      <c r="H2469" s="1644"/>
      <c r="I2469" s="1644"/>
      <c r="K2469" s="2001">
        <f t="shared" si="1470"/>
        <v>0.18</v>
      </c>
      <c r="L2469" s="1992"/>
      <c r="M2469" s="2001">
        <f t="shared" si="1471"/>
        <v>0.21000000000000002</v>
      </c>
      <c r="N2469" s="1992"/>
      <c r="O2469" s="2001">
        <f t="shared" si="1472"/>
        <v>0</v>
      </c>
      <c r="P2469" s="1992"/>
      <c r="Q2469" s="2001">
        <f t="shared" si="1473"/>
        <v>0.39</v>
      </c>
      <c r="R2469" s="1992"/>
      <c r="S2469" s="1644">
        <f t="shared" si="1474"/>
        <v>0</v>
      </c>
      <c r="T2469" s="1645"/>
      <c r="U2469" s="1644">
        <f t="shared" si="1475"/>
        <v>0</v>
      </c>
      <c r="V2469" s="1645"/>
      <c r="W2469" s="1644">
        <f t="shared" si="1475"/>
        <v>0</v>
      </c>
      <c r="X2469" s="1645"/>
      <c r="Y2469" s="1644">
        <f t="shared" si="1475"/>
        <v>0</v>
      </c>
      <c r="Z2469" s="1878">
        <f t="shared" si="1476"/>
        <v>1.1359353572586484</v>
      </c>
      <c r="AI2469" s="2023">
        <f>W2469-'Blocking-Step2'!W2469</f>
        <v>0</v>
      </c>
      <c r="AJ2469" s="2054">
        <f>O2469-'Blocking-Step2'!O2469</f>
        <v>0</v>
      </c>
    </row>
    <row r="2470" spans="1:36" hidden="1">
      <c r="A2470" s="1900" t="s">
        <v>317</v>
      </c>
      <c r="C2470" s="528"/>
      <c r="D2470" s="528"/>
      <c r="F2470" s="2000"/>
      <c r="G2470" s="1902"/>
      <c r="H2470" s="1644"/>
      <c r="I2470" s="1644"/>
      <c r="K2470" s="2000"/>
      <c r="L2470" s="1902"/>
      <c r="M2470" s="2000"/>
      <c r="N2470" s="1902"/>
      <c r="O2470" s="2000"/>
      <c r="P2470" s="1902"/>
      <c r="Q2470" s="2000"/>
      <c r="R2470" s="1902"/>
      <c r="S2470" s="1644"/>
      <c r="T2470" s="1643"/>
      <c r="U2470" s="1644"/>
      <c r="V2470" s="1643"/>
      <c r="W2470" s="1644"/>
      <c r="X2470" s="1643"/>
      <c r="Y2470" s="1644"/>
      <c r="AI2470" s="2023">
        <f>W2470-'Blocking-Step2'!W2470</f>
        <v>0</v>
      </c>
      <c r="AJ2470" s="2054">
        <f>O2470-'Blocking-Step2'!O2470</f>
        <v>0</v>
      </c>
    </row>
    <row r="2471" spans="1:36" hidden="1">
      <c r="A2471" s="1900" t="s">
        <v>1668</v>
      </c>
      <c r="C2471" s="528"/>
      <c r="D2471" s="528"/>
      <c r="F2471" s="2000"/>
      <c r="G2471" s="1902"/>
      <c r="H2471" s="1644"/>
      <c r="I2471" s="1644"/>
      <c r="K2471" s="2000">
        <f t="shared" ref="K2471:K2472" si="1477">K2263</f>
        <v>17.95</v>
      </c>
      <c r="L2471" s="1902"/>
      <c r="M2471" s="2000">
        <f t="shared" ref="M2471:M2472" si="1478">M2263</f>
        <v>21.529999999999998</v>
      </c>
      <c r="N2471" s="1902"/>
      <c r="O2471" s="2000">
        <f t="shared" ref="O2471:O2472" si="1479">O2263</f>
        <v>0</v>
      </c>
      <c r="P2471" s="1902"/>
      <c r="Q2471" s="2000">
        <f t="shared" ref="Q2471:Q2472" si="1480">Q2263</f>
        <v>39.479999999999997</v>
      </c>
      <c r="R2471" s="1902"/>
      <c r="S2471" s="1644">
        <f t="shared" ref="S2471:S2472" si="1481">ROUND($D2471*K2471,0)</f>
        <v>0</v>
      </c>
      <c r="T2471" s="1643"/>
      <c r="U2471" s="1644">
        <f t="shared" ref="U2471:Y2472" si="1482">ROUND($D2471*M2471,0)</f>
        <v>0</v>
      </c>
      <c r="V2471" s="1643"/>
      <c r="W2471" s="1644">
        <f t="shared" si="1482"/>
        <v>0</v>
      </c>
      <c r="X2471" s="1643"/>
      <c r="Y2471" s="1644">
        <f t="shared" si="1482"/>
        <v>0</v>
      </c>
      <c r="Z2471" s="1878">
        <f t="shared" ref="Z2471:Z2472" si="1483">Z2367</f>
        <v>0.81143000192935111</v>
      </c>
      <c r="AI2471" s="2023">
        <f>W2471-'Blocking-Step2'!W2471</f>
        <v>0</v>
      </c>
      <c r="AJ2471" s="2054">
        <f>O2471-'Blocking-Step2'!O2471</f>
        <v>0</v>
      </c>
    </row>
    <row r="2472" spans="1:36" hidden="1">
      <c r="A2472" s="1900" t="s">
        <v>1669</v>
      </c>
      <c r="C2472" s="528"/>
      <c r="D2472" s="528"/>
      <c r="F2472" s="2000"/>
      <c r="G2472" s="1902"/>
      <c r="H2472" s="1644"/>
      <c r="I2472" s="1644"/>
      <c r="K2472" s="2000">
        <f t="shared" si="1477"/>
        <v>15.68</v>
      </c>
      <c r="L2472" s="1902"/>
      <c r="M2472" s="2000">
        <f t="shared" si="1478"/>
        <v>19.259999999999998</v>
      </c>
      <c r="N2472" s="1902"/>
      <c r="O2472" s="2000">
        <f t="shared" si="1479"/>
        <v>0</v>
      </c>
      <c r="P2472" s="1902"/>
      <c r="Q2472" s="2000">
        <f t="shared" si="1480"/>
        <v>34.94</v>
      </c>
      <c r="R2472" s="1902"/>
      <c r="S2472" s="1644">
        <f t="shared" si="1481"/>
        <v>0</v>
      </c>
      <c r="T2472" s="1643"/>
      <c r="U2472" s="1644">
        <f t="shared" si="1482"/>
        <v>0</v>
      </c>
      <c r="V2472" s="1643"/>
      <c r="W2472" s="1644">
        <f t="shared" si="1482"/>
        <v>0</v>
      </c>
      <c r="X2472" s="1643"/>
      <c r="Y2472" s="1644">
        <f t="shared" si="1482"/>
        <v>0</v>
      </c>
      <c r="Z2472" s="1878">
        <f t="shared" si="1483"/>
        <v>1.1359353572586484</v>
      </c>
      <c r="AI2472" s="2023">
        <f>W2472-'Blocking-Step2'!W2472</f>
        <v>0</v>
      </c>
      <c r="AJ2472" s="2054">
        <f>O2472-'Blocking-Step2'!O2472</f>
        <v>0</v>
      </c>
    </row>
    <row r="2473" spans="1:36" hidden="1">
      <c r="A2473" s="1900" t="s">
        <v>315</v>
      </c>
      <c r="C2473" s="528"/>
      <c r="D2473" s="528"/>
      <c r="F2473" s="2000"/>
      <c r="G2473" s="1991"/>
      <c r="H2473" s="1644"/>
      <c r="I2473" s="1644"/>
      <c r="K2473" s="2000"/>
      <c r="L2473" s="1991"/>
      <c r="M2473" s="2000"/>
      <c r="N2473" s="1991"/>
      <c r="O2473" s="2000"/>
      <c r="P2473" s="1991"/>
      <c r="Q2473" s="2000"/>
      <c r="R2473" s="1991"/>
      <c r="S2473" s="1644"/>
      <c r="T2473" s="1643"/>
      <c r="U2473" s="1644"/>
      <c r="V2473" s="1643"/>
      <c r="W2473" s="1644"/>
      <c r="X2473" s="1643"/>
      <c r="Y2473" s="1644"/>
      <c r="AI2473" s="2023">
        <f>W2473-'Blocking-Step2'!W2473</f>
        <v>0</v>
      </c>
      <c r="AJ2473" s="2054">
        <f>O2473-'Blocking-Step2'!O2473</f>
        <v>0</v>
      </c>
    </row>
    <row r="2474" spans="1:36" hidden="1">
      <c r="A2474" s="1900" t="s">
        <v>944</v>
      </c>
      <c r="C2474" s="528"/>
      <c r="D2474" s="528"/>
      <c r="F2474" s="2000">
        <v>0.86</v>
      </c>
      <c r="G2474" s="1991"/>
      <c r="H2474" s="1644">
        <f>ROUND($F2474*C2474,0)</f>
        <v>0</v>
      </c>
      <c r="I2474" s="1644">
        <f>ROUND($F2474*D2474,0)</f>
        <v>0</v>
      </c>
      <c r="K2474" s="2000"/>
      <c r="L2474" s="1991"/>
      <c r="M2474" s="2000"/>
      <c r="N2474" s="1991"/>
      <c r="O2474" s="2000"/>
      <c r="P2474" s="1991"/>
      <c r="Q2474" s="2000"/>
      <c r="R2474" s="1991"/>
      <c r="S2474" s="1644"/>
      <c r="T2474" s="1643"/>
      <c r="U2474" s="1644"/>
      <c r="V2474" s="1643"/>
      <c r="W2474" s="1644"/>
      <c r="X2474" s="1643"/>
      <c r="Y2474" s="1644"/>
      <c r="AI2474" s="2023">
        <f>W2474-'Blocking-Step2'!W2474</f>
        <v>0</v>
      </c>
      <c r="AJ2474" s="2054">
        <f>O2474-'Blocking-Step2'!O2474</f>
        <v>0</v>
      </c>
    </row>
    <row r="2475" spans="1:36" hidden="1">
      <c r="A2475" s="1900" t="s">
        <v>945</v>
      </c>
      <c r="C2475" s="528"/>
      <c r="D2475" s="528"/>
      <c r="F2475" s="2000">
        <v>0.6</v>
      </c>
      <c r="G2475" s="1991"/>
      <c r="H2475" s="1644">
        <f>ROUND($F2475*C2475,0)</f>
        <v>0</v>
      </c>
      <c r="I2475" s="1644">
        <f>ROUND($F2475*D2475,0)</f>
        <v>0</v>
      </c>
      <c r="K2475" s="2000"/>
      <c r="L2475" s="1991"/>
      <c r="M2475" s="2000"/>
      <c r="N2475" s="1991"/>
      <c r="O2475" s="2000"/>
      <c r="P2475" s="1991"/>
      <c r="Q2475" s="2000"/>
      <c r="R2475" s="1991"/>
      <c r="S2475" s="1644"/>
      <c r="T2475" s="1643"/>
      <c r="U2475" s="1644"/>
      <c r="V2475" s="1643"/>
      <c r="W2475" s="1644"/>
      <c r="X2475" s="1643"/>
      <c r="Y2475" s="1644"/>
      <c r="AI2475" s="2023">
        <f>W2475-'Blocking-Step2'!W2475</f>
        <v>0</v>
      </c>
      <c r="AJ2475" s="2054">
        <f>O2475-'Blocking-Step2'!O2475</f>
        <v>0</v>
      </c>
    </row>
    <row r="2476" spans="1:36" hidden="1">
      <c r="A2476" s="1900" t="s">
        <v>316</v>
      </c>
      <c r="C2476" s="528"/>
      <c r="D2476" s="528"/>
      <c r="F2476" s="2001"/>
      <c r="G2476" s="1992"/>
      <c r="H2476" s="1644"/>
      <c r="I2476" s="1644"/>
      <c r="K2476" s="2001"/>
      <c r="L2476" s="1992"/>
      <c r="M2476" s="2001"/>
      <c r="N2476" s="1992"/>
      <c r="O2476" s="2001"/>
      <c r="P2476" s="1992"/>
      <c r="Q2476" s="2001"/>
      <c r="R2476" s="1992"/>
      <c r="S2476" s="1644"/>
      <c r="T2476" s="1645"/>
      <c r="U2476" s="1644"/>
      <c r="V2476" s="1645"/>
      <c r="W2476" s="1644"/>
      <c r="X2476" s="1645"/>
      <c r="Y2476" s="1644"/>
      <c r="AI2476" s="2023">
        <f>W2476-'Blocking-Step2'!W2476</f>
        <v>0</v>
      </c>
      <c r="AJ2476" s="2054">
        <f>O2476-'Blocking-Step2'!O2476</f>
        <v>0</v>
      </c>
    </row>
    <row r="2477" spans="1:36" hidden="1">
      <c r="A2477" s="1900" t="s">
        <v>944</v>
      </c>
      <c r="C2477" s="528"/>
      <c r="D2477" s="528"/>
      <c r="F2477" s="2001">
        <v>0.43</v>
      </c>
      <c r="G2477" s="1992"/>
      <c r="H2477" s="1644">
        <f>ROUND($F2477*C2477,0)</f>
        <v>0</v>
      </c>
      <c r="I2477" s="1644">
        <f>ROUND($F2477*D2477,0)</f>
        <v>0</v>
      </c>
      <c r="K2477" s="2001"/>
      <c r="L2477" s="1992"/>
      <c r="M2477" s="2001"/>
      <c r="N2477" s="1992"/>
      <c r="O2477" s="2001"/>
      <c r="P2477" s="1992"/>
      <c r="Q2477" s="2001"/>
      <c r="R2477" s="1992"/>
      <c r="S2477" s="1644"/>
      <c r="T2477" s="1645"/>
      <c r="U2477" s="1644"/>
      <c r="V2477" s="1645"/>
      <c r="W2477" s="1644"/>
      <c r="X2477" s="1645"/>
      <c r="Y2477" s="1644"/>
      <c r="AI2477" s="2023">
        <f>W2477-'Blocking-Step2'!W2477</f>
        <v>0</v>
      </c>
      <c r="AJ2477" s="2054">
        <f>O2477-'Blocking-Step2'!O2477</f>
        <v>0</v>
      </c>
    </row>
    <row r="2478" spans="1:36" hidden="1">
      <c r="A2478" s="1900" t="s">
        <v>945</v>
      </c>
      <c r="C2478" s="528"/>
      <c r="D2478" s="528"/>
      <c r="F2478" s="2001">
        <v>0.3</v>
      </c>
      <c r="G2478" s="1992"/>
      <c r="H2478" s="1644">
        <f>ROUND($F2478*C2478,0)</f>
        <v>0</v>
      </c>
      <c r="I2478" s="1644">
        <f>ROUND($F2478*D2478,0)</f>
        <v>0</v>
      </c>
      <c r="K2478" s="2001"/>
      <c r="L2478" s="1992"/>
      <c r="M2478" s="2001"/>
      <c r="N2478" s="1992"/>
      <c r="O2478" s="2001"/>
      <c r="P2478" s="1992"/>
      <c r="Q2478" s="2001"/>
      <c r="R2478" s="1992"/>
      <c r="S2478" s="1644"/>
      <c r="T2478" s="1645"/>
      <c r="U2478" s="1644"/>
      <c r="V2478" s="1645"/>
      <c r="W2478" s="1644"/>
      <c r="X2478" s="1645"/>
      <c r="Y2478" s="1644"/>
      <c r="AI2478" s="2023">
        <f>W2478-'Blocking-Step2'!W2478</f>
        <v>0</v>
      </c>
      <c r="AJ2478" s="2054">
        <f>O2478-'Blocking-Step2'!O2478</f>
        <v>0</v>
      </c>
    </row>
    <row r="2479" spans="1:36" hidden="1">
      <c r="A2479" s="1900" t="s">
        <v>317</v>
      </c>
      <c r="C2479" s="528"/>
      <c r="D2479" s="528"/>
      <c r="F2479" s="2000"/>
      <c r="G2479" s="1902"/>
      <c r="H2479" s="1644"/>
      <c r="I2479" s="1644"/>
      <c r="K2479" s="2000"/>
      <c r="L2479" s="1902"/>
      <c r="M2479" s="2000"/>
      <c r="N2479" s="1902"/>
      <c r="O2479" s="2000"/>
      <c r="P2479" s="1902"/>
      <c r="Q2479" s="2000"/>
      <c r="R2479" s="1902"/>
      <c r="S2479" s="1644"/>
      <c r="T2479" s="1643"/>
      <c r="U2479" s="1644"/>
      <c r="V2479" s="1643"/>
      <c r="W2479" s="1644"/>
      <c r="X2479" s="1643"/>
      <c r="Y2479" s="1644"/>
      <c r="AI2479" s="2023">
        <f>W2479-'Blocking-Step2'!W2479</f>
        <v>0</v>
      </c>
      <c r="AJ2479" s="2054">
        <f>O2479-'Blocking-Step2'!O2479</f>
        <v>0</v>
      </c>
    </row>
    <row r="2480" spans="1:36" hidden="1">
      <c r="A2480" s="1900" t="s">
        <v>944</v>
      </c>
      <c r="C2480" s="528"/>
      <c r="D2480" s="528"/>
      <c r="F2480" s="2000">
        <v>38.54</v>
      </c>
      <c r="G2480" s="1902"/>
      <c r="H2480" s="1644">
        <f>ROUND($F2480*C2480,0)</f>
        <v>0</v>
      </c>
      <c r="I2480" s="1644">
        <f>ROUND($F2480*D2480,0)</f>
        <v>0</v>
      </c>
      <c r="K2480" s="2000"/>
      <c r="L2480" s="1902"/>
      <c r="M2480" s="2000"/>
      <c r="N2480" s="1902"/>
      <c r="O2480" s="2000"/>
      <c r="P2480" s="1902"/>
      <c r="Q2480" s="2000"/>
      <c r="R2480" s="1902"/>
      <c r="S2480" s="1644"/>
      <c r="T2480" s="1643"/>
      <c r="U2480" s="1644"/>
      <c r="V2480" s="1643"/>
      <c r="W2480" s="1644"/>
      <c r="X2480" s="1643"/>
      <c r="Y2480" s="1644"/>
      <c r="AI2480" s="2023">
        <f>W2480-'Blocking-Step2'!W2480</f>
        <v>0</v>
      </c>
      <c r="AJ2480" s="2054">
        <f>O2480-'Blocking-Step2'!O2480</f>
        <v>0</v>
      </c>
    </row>
    <row r="2481" spans="1:36" hidden="1">
      <c r="A2481" s="1900" t="s">
        <v>945</v>
      </c>
      <c r="C2481" s="528"/>
      <c r="D2481" s="528"/>
      <c r="F2481" s="2000">
        <v>29.77</v>
      </c>
      <c r="G2481" s="1902"/>
      <c r="H2481" s="1644">
        <f>ROUND($F2481*C2481,0)</f>
        <v>0</v>
      </c>
      <c r="I2481" s="1644">
        <f>ROUND($F2481*D2481,0)</f>
        <v>0</v>
      </c>
      <c r="K2481" s="2000"/>
      <c r="L2481" s="1902"/>
      <c r="M2481" s="2000"/>
      <c r="N2481" s="1902"/>
      <c r="O2481" s="2000"/>
      <c r="P2481" s="1902"/>
      <c r="Q2481" s="2000"/>
      <c r="R2481" s="1902"/>
      <c r="S2481" s="1644"/>
      <c r="T2481" s="1643"/>
      <c r="U2481" s="1644"/>
      <c r="V2481" s="1643"/>
      <c r="W2481" s="1644"/>
      <c r="X2481" s="1643"/>
      <c r="Y2481" s="1644"/>
      <c r="AI2481" s="2023">
        <f>W2481-'Blocking-Step2'!W2481</f>
        <v>0</v>
      </c>
      <c r="AJ2481" s="2054">
        <f>O2481-'Blocking-Step2'!O2481</f>
        <v>0</v>
      </c>
    </row>
    <row r="2482" spans="1:36" hidden="1">
      <c r="A2482" s="1987" t="s">
        <v>182</v>
      </c>
      <c r="C2482" s="528"/>
      <c r="D2482" s="528"/>
      <c r="F2482" s="2002"/>
      <c r="K2482" s="2002"/>
      <c r="M2482" s="2002"/>
      <c r="O2482" s="2002"/>
      <c r="Q2482" s="2002"/>
      <c r="S2482" s="1638"/>
      <c r="U2482" s="1638"/>
      <c r="W2482" s="1638"/>
      <c r="AI2482" s="2023">
        <f>W2482-'Blocking-Step2'!W2482</f>
        <v>0</v>
      </c>
      <c r="AJ2482" s="2054">
        <f>O2482-'Blocking-Step2'!O2482</f>
        <v>0</v>
      </c>
    </row>
    <row r="2483" spans="1:36" hidden="1">
      <c r="A2483" s="1900" t="s">
        <v>312</v>
      </c>
      <c r="C2483" s="528">
        <f>'31'!I4</f>
        <v>36</v>
      </c>
      <c r="D2483" s="528">
        <f>Bill!P67</f>
        <v>36</v>
      </c>
      <c r="F2483" s="2000">
        <v>678</v>
      </c>
      <c r="G2483" s="1902"/>
      <c r="H2483" s="1644">
        <f>ROUND($F2483*C2483,0)</f>
        <v>24408</v>
      </c>
      <c r="I2483" s="1644">
        <f>ROUND($F2483*D2483,0)</f>
        <v>24408</v>
      </c>
      <c r="K2483" s="2000">
        <f t="shared" ref="K2483:K2484" si="1484">K2275</f>
        <v>695</v>
      </c>
      <c r="L2483" s="1902"/>
      <c r="M2483" s="2000">
        <f t="shared" ref="M2483:M2484" si="1485">M2275</f>
        <v>0</v>
      </c>
      <c r="N2483" s="1902"/>
      <c r="O2483" s="2000">
        <f t="shared" ref="O2483:O2484" si="1486">O2275</f>
        <v>0</v>
      </c>
      <c r="P2483" s="1902"/>
      <c r="Q2483" s="2000">
        <f t="shared" ref="Q2483:Q2484" si="1487">Q2275</f>
        <v>695</v>
      </c>
      <c r="R2483" s="1902"/>
      <c r="S2483" s="1644">
        <f>ROUND($D2483*K2483,0)</f>
        <v>25020</v>
      </c>
      <c r="T2483" s="1643"/>
      <c r="U2483" s="1644">
        <f>ROUND($D2483*M2483,0)</f>
        <v>0</v>
      </c>
      <c r="V2483" s="1643"/>
      <c r="W2483" s="1644">
        <f>ROUND($D2483*O2483,0)</f>
        <v>0</v>
      </c>
      <c r="X2483" s="1643"/>
      <c r="Y2483" s="1644">
        <f>ROUND($D2483*Q2483,0)</f>
        <v>25020</v>
      </c>
      <c r="AI2483" s="2023">
        <f>W2483-'Blocking-Step2'!W2483</f>
        <v>0</v>
      </c>
      <c r="AJ2483" s="2054">
        <f>O2483-'Blocking-Step2'!O2483</f>
        <v>0</v>
      </c>
    </row>
    <row r="2484" spans="1:36" hidden="1">
      <c r="A2484" s="1900" t="s">
        <v>313</v>
      </c>
      <c r="C2484" s="528">
        <f>'31'!J4</f>
        <v>189039</v>
      </c>
      <c r="D2484" s="528">
        <f>ROUND(C2484/$C$2539*$D$2539,0)</f>
        <v>228822</v>
      </c>
      <c r="F2484" s="2000">
        <v>2.63</v>
      </c>
      <c r="G2484" s="1902"/>
      <c r="H2484" s="1644">
        <f>ROUND($F2484*C2484,0)</f>
        <v>497173</v>
      </c>
      <c r="I2484" s="1644">
        <f>ROUND($F2484*D2484,0)</f>
        <v>601802</v>
      </c>
      <c r="K2484" s="2000">
        <f t="shared" si="1484"/>
        <v>2.69</v>
      </c>
      <c r="L2484" s="1902"/>
      <c r="M2484" s="2000">
        <f t="shared" si="1485"/>
        <v>0</v>
      </c>
      <c r="N2484" s="1902"/>
      <c r="O2484" s="2000">
        <f t="shared" si="1486"/>
        <v>0</v>
      </c>
      <c r="P2484" s="1902"/>
      <c r="Q2484" s="2000">
        <f t="shared" si="1487"/>
        <v>2.69</v>
      </c>
      <c r="R2484" s="1902"/>
      <c r="S2484" s="1644">
        <f>ROUND($D2484*K2484,0)</f>
        <v>615531</v>
      </c>
      <c r="T2484" s="1643"/>
      <c r="U2484" s="1644">
        <f>ROUND($D2484*M2484,0)</f>
        <v>0</v>
      </c>
      <c r="V2484" s="1643"/>
      <c r="W2484" s="1644">
        <f>ROUND($D2484*O2484,0)</f>
        <v>0</v>
      </c>
      <c r="X2484" s="1643"/>
      <c r="Y2484" s="1644">
        <f>ROUND($D2484*Q2484,0)</f>
        <v>615531</v>
      </c>
      <c r="AI2484" s="2023">
        <f>W2484-'Blocking-Step2'!W2484</f>
        <v>0</v>
      </c>
      <c r="AJ2484" s="2054">
        <f>O2484-'Blocking-Step2'!O2484</f>
        <v>0</v>
      </c>
    </row>
    <row r="2485" spans="1:36" hidden="1">
      <c r="A2485" s="1900" t="s">
        <v>314</v>
      </c>
      <c r="C2485" s="528"/>
      <c r="D2485" s="528"/>
      <c r="F2485" s="2001"/>
      <c r="G2485" s="597"/>
      <c r="H2485" s="1644"/>
      <c r="I2485" s="1644"/>
      <c r="K2485" s="2001"/>
      <c r="L2485" s="597"/>
      <c r="M2485" s="2001"/>
      <c r="N2485" s="597"/>
      <c r="O2485" s="2001"/>
      <c r="P2485" s="597"/>
      <c r="Q2485" s="2001"/>
      <c r="R2485" s="597"/>
      <c r="S2485" s="1644"/>
      <c r="T2485" s="1645"/>
      <c r="U2485" s="1644"/>
      <c r="V2485" s="1645"/>
      <c r="W2485" s="1644"/>
      <c r="X2485" s="1645"/>
      <c r="Y2485" s="1644"/>
      <c r="AI2485" s="2023">
        <f>W2485-'Blocking-Step2'!W2485</f>
        <v>0</v>
      </c>
      <c r="AJ2485" s="2054">
        <f>O2485-'Blocking-Step2'!O2485</f>
        <v>0</v>
      </c>
    </row>
    <row r="2486" spans="1:36" hidden="1">
      <c r="A2486" s="1900" t="s">
        <v>315</v>
      </c>
      <c r="C2486" s="528"/>
      <c r="D2486" s="528"/>
      <c r="F2486" s="2000"/>
      <c r="G2486" s="1991"/>
      <c r="H2486" s="1644"/>
      <c r="I2486" s="1644"/>
      <c r="K2486" s="2000"/>
      <c r="L2486" s="1991"/>
      <c r="M2486" s="2000"/>
      <c r="N2486" s="1991"/>
      <c r="O2486" s="2000"/>
      <c r="P2486" s="1991"/>
      <c r="Q2486" s="2000"/>
      <c r="R2486" s="1991"/>
      <c r="S2486" s="1644"/>
      <c r="T2486" s="1643"/>
      <c r="U2486" s="1644"/>
      <c r="V2486" s="1643"/>
      <c r="W2486" s="1644"/>
      <c r="X2486" s="1643"/>
      <c r="Y2486" s="1644"/>
      <c r="Z2486" s="1878" t="s">
        <v>251</v>
      </c>
      <c r="AI2486" s="2023">
        <f>W2486-'Blocking-Step2'!W2486</f>
        <v>0</v>
      </c>
      <c r="AJ2486" s="2054">
        <f>O2486-'Blocking-Step2'!O2486</f>
        <v>0</v>
      </c>
    </row>
    <row r="2487" spans="1:36" hidden="1">
      <c r="A2487" s="1900" t="s">
        <v>1668</v>
      </c>
      <c r="C2487" s="528">
        <f>C2496*Z2487</f>
        <v>329715.6555539706</v>
      </c>
      <c r="D2487" s="528">
        <f>ROUND(C2487/$C$2539*$D$2539,0)</f>
        <v>399104</v>
      </c>
      <c r="F2487" s="2000"/>
      <c r="G2487" s="1991"/>
      <c r="H2487" s="1644"/>
      <c r="I2487" s="1644"/>
      <c r="K2487" s="2000">
        <f t="shared" ref="K2487:K2488" si="1488">K2279</f>
        <v>0.26</v>
      </c>
      <c r="L2487" s="1991"/>
      <c r="M2487" s="2000">
        <f t="shared" ref="M2487:M2488" si="1489">M2279</f>
        <v>0.52</v>
      </c>
      <c r="N2487" s="1991"/>
      <c r="O2487" s="2000">
        <f t="shared" ref="O2487:O2488" si="1490">O2279</f>
        <v>0</v>
      </c>
      <c r="P2487" s="1991"/>
      <c r="Q2487" s="2000">
        <f t="shared" ref="Q2487:Q2488" si="1491">Q2279</f>
        <v>0.78</v>
      </c>
      <c r="R2487" s="1991"/>
      <c r="S2487" s="1644">
        <f t="shared" ref="S2487:S2488" si="1492">ROUND($D2487*K2487,0)</f>
        <v>103767</v>
      </c>
      <c r="T2487" s="1643"/>
      <c r="U2487" s="1644">
        <f t="shared" ref="U2487:Y2488" si="1493">ROUND($D2487*M2487,0)</f>
        <v>207534</v>
      </c>
      <c r="V2487" s="1643"/>
      <c r="W2487" s="1644">
        <f t="shared" si="1493"/>
        <v>0</v>
      </c>
      <c r="X2487" s="1643"/>
      <c r="Y2487" s="1644">
        <f t="shared" si="1493"/>
        <v>311301</v>
      </c>
      <c r="Z2487" s="1878">
        <f t="shared" ref="Z2487:Z2488" si="1494">Z2383</f>
        <v>0.81143000192935111</v>
      </c>
      <c r="AI2487" s="2023">
        <f>W2487-'Blocking-Step2'!W2487</f>
        <v>0</v>
      </c>
      <c r="AJ2487" s="2054">
        <f>O2487-'Blocking-Step2'!O2487</f>
        <v>0</v>
      </c>
    </row>
    <row r="2488" spans="1:36" hidden="1">
      <c r="A2488" s="1900" t="s">
        <v>1669</v>
      </c>
      <c r="C2488" s="528">
        <f>C2497*Z2488</f>
        <v>164694.72370750239</v>
      </c>
      <c r="D2488" s="528">
        <f>ROUND(C2488/$C$2539*$D$2539,0)</f>
        <v>199354</v>
      </c>
      <c r="F2488" s="2000"/>
      <c r="G2488" s="1991"/>
      <c r="H2488" s="1644"/>
      <c r="I2488" s="1644"/>
      <c r="K2488" s="2000">
        <f t="shared" si="1488"/>
        <v>0.23</v>
      </c>
      <c r="L2488" s="1991"/>
      <c r="M2488" s="2000">
        <f t="shared" si="1489"/>
        <v>0.45999999999999996</v>
      </c>
      <c r="N2488" s="1991"/>
      <c r="O2488" s="2000">
        <f t="shared" si="1490"/>
        <v>0</v>
      </c>
      <c r="P2488" s="1991"/>
      <c r="Q2488" s="2000">
        <f t="shared" si="1491"/>
        <v>0.69</v>
      </c>
      <c r="R2488" s="1991"/>
      <c r="S2488" s="1644">
        <f t="shared" si="1492"/>
        <v>45851</v>
      </c>
      <c r="T2488" s="1643"/>
      <c r="U2488" s="1644">
        <f t="shared" si="1493"/>
        <v>91703</v>
      </c>
      <c r="V2488" s="1643"/>
      <c r="W2488" s="1644">
        <f t="shared" si="1493"/>
        <v>0</v>
      </c>
      <c r="X2488" s="1643"/>
      <c r="Y2488" s="1644">
        <f t="shared" si="1493"/>
        <v>137554</v>
      </c>
      <c r="Z2488" s="1878">
        <f t="shared" si="1494"/>
        <v>1.1359353572586484</v>
      </c>
      <c r="AI2488" s="2023">
        <f>W2488-'Blocking-Step2'!W2488</f>
        <v>0</v>
      </c>
      <c r="AJ2488" s="2054">
        <f>O2488-'Blocking-Step2'!O2488</f>
        <v>0</v>
      </c>
    </row>
    <row r="2489" spans="1:36" hidden="1">
      <c r="A2489" s="1900" t="s">
        <v>316</v>
      </c>
      <c r="C2489" s="528"/>
      <c r="D2489" s="528"/>
      <c r="F2489" s="2001"/>
      <c r="G2489" s="1992"/>
      <c r="H2489" s="1644"/>
      <c r="I2489" s="1644"/>
      <c r="K2489" s="2001"/>
      <c r="L2489" s="1992"/>
      <c r="M2489" s="2001"/>
      <c r="N2489" s="1992"/>
      <c r="O2489" s="2001"/>
      <c r="P2489" s="1992"/>
      <c r="Q2489" s="2001"/>
      <c r="R2489" s="1992"/>
      <c r="S2489" s="1644"/>
      <c r="T2489" s="1645"/>
      <c r="U2489" s="1644"/>
      <c r="V2489" s="1645"/>
      <c r="W2489" s="1644"/>
      <c r="X2489" s="1645"/>
      <c r="Y2489" s="1644"/>
      <c r="AI2489" s="2023">
        <f>W2489-'Blocking-Step2'!W2489</f>
        <v>0</v>
      </c>
      <c r="AJ2489" s="2054">
        <f>O2489-'Blocking-Step2'!O2489</f>
        <v>0</v>
      </c>
    </row>
    <row r="2490" spans="1:36" hidden="1">
      <c r="A2490" s="1900" t="s">
        <v>1668</v>
      </c>
      <c r="C2490" s="528">
        <f>C2499*Z2490</f>
        <v>0</v>
      </c>
      <c r="D2490" s="528">
        <f>ROUND(C2490/$C$2539*$D$2539,0)</f>
        <v>0</v>
      </c>
      <c r="F2490" s="2001"/>
      <c r="G2490" s="1992"/>
      <c r="H2490" s="1644"/>
      <c r="I2490" s="1644"/>
      <c r="K2490" s="2001">
        <f t="shared" ref="K2490:K2491" si="1495">K2282</f>
        <v>0.13</v>
      </c>
      <c r="L2490" s="1992"/>
      <c r="M2490" s="2001">
        <f t="shared" ref="M2490:M2491" si="1496">M2282</f>
        <v>0.26</v>
      </c>
      <c r="N2490" s="1992"/>
      <c r="O2490" s="2001">
        <f t="shared" ref="O2490:O2491" si="1497">O2282</f>
        <v>0</v>
      </c>
      <c r="P2490" s="1992"/>
      <c r="Q2490" s="2001">
        <f t="shared" ref="Q2490:Q2491" si="1498">Q2282</f>
        <v>0.39</v>
      </c>
      <c r="R2490" s="1992"/>
      <c r="S2490" s="1644">
        <f t="shared" ref="S2490:S2491" si="1499">ROUND($D2490*K2490,0)</f>
        <v>0</v>
      </c>
      <c r="T2490" s="1645"/>
      <c r="U2490" s="1644">
        <f t="shared" ref="U2490:Y2491" si="1500">ROUND($D2490*M2490,0)</f>
        <v>0</v>
      </c>
      <c r="V2490" s="1645"/>
      <c r="W2490" s="1644">
        <f t="shared" si="1500"/>
        <v>0</v>
      </c>
      <c r="X2490" s="1645"/>
      <c r="Y2490" s="1644">
        <f t="shared" si="1500"/>
        <v>0</v>
      </c>
      <c r="Z2490" s="1878">
        <f t="shared" ref="Z2490:Z2491" si="1501">Z2386</f>
        <v>0.81143000192935111</v>
      </c>
      <c r="AI2490" s="2023">
        <f>W2490-'Blocking-Step2'!W2490</f>
        <v>0</v>
      </c>
      <c r="AJ2490" s="2054">
        <f>O2490-'Blocking-Step2'!O2490</f>
        <v>0</v>
      </c>
    </row>
    <row r="2491" spans="1:36" hidden="1">
      <c r="A2491" s="1900" t="s">
        <v>1669</v>
      </c>
      <c r="C2491" s="528">
        <f>C2500*Z2491</f>
        <v>124384.92161982199</v>
      </c>
      <c r="D2491" s="528">
        <f>ROUND(C2491/$C$2539*$D$2539,0)</f>
        <v>150561</v>
      </c>
      <c r="F2491" s="2001"/>
      <c r="G2491" s="1992"/>
      <c r="H2491" s="1644"/>
      <c r="I2491" s="1644"/>
      <c r="K2491" s="2001">
        <f t="shared" si="1495"/>
        <v>0.12</v>
      </c>
      <c r="L2491" s="1992"/>
      <c r="M2491" s="2001">
        <f t="shared" si="1496"/>
        <v>0.22999999999999998</v>
      </c>
      <c r="N2491" s="1992"/>
      <c r="O2491" s="2001">
        <f t="shared" si="1497"/>
        <v>0</v>
      </c>
      <c r="P2491" s="1992"/>
      <c r="Q2491" s="2001">
        <f t="shared" si="1498"/>
        <v>0.35</v>
      </c>
      <c r="R2491" s="1992"/>
      <c r="S2491" s="1644">
        <f t="shared" si="1499"/>
        <v>18067</v>
      </c>
      <c r="T2491" s="1645"/>
      <c r="U2491" s="1644">
        <f t="shared" si="1500"/>
        <v>34629</v>
      </c>
      <c r="V2491" s="1645"/>
      <c r="W2491" s="1644">
        <f t="shared" si="1500"/>
        <v>0</v>
      </c>
      <c r="X2491" s="1645"/>
      <c r="Y2491" s="1644">
        <f t="shared" si="1500"/>
        <v>52696</v>
      </c>
      <c r="Z2491" s="1878">
        <f t="shared" si="1501"/>
        <v>1.1359353572586484</v>
      </c>
      <c r="AI2491" s="2023">
        <f>W2491-'Blocking-Step2'!W2491</f>
        <v>0</v>
      </c>
      <c r="AJ2491" s="2054">
        <f>O2491-'Blocking-Step2'!O2491</f>
        <v>0</v>
      </c>
    </row>
    <row r="2492" spans="1:36" hidden="1">
      <c r="A2492" s="1900" t="s">
        <v>317</v>
      </c>
      <c r="C2492" s="528"/>
      <c r="D2492" s="528"/>
      <c r="F2492" s="2000"/>
      <c r="G2492" s="1902"/>
      <c r="H2492" s="1644"/>
      <c r="I2492" s="1644"/>
      <c r="K2492" s="2000"/>
      <c r="L2492" s="1902"/>
      <c r="M2492" s="2000"/>
      <c r="N2492" s="1902"/>
      <c r="O2492" s="2000"/>
      <c r="P2492" s="1902"/>
      <c r="Q2492" s="2000"/>
      <c r="R2492" s="1902"/>
      <c r="S2492" s="1644"/>
      <c r="T2492" s="1643"/>
      <c r="U2492" s="1644"/>
      <c r="V2492" s="1643"/>
      <c r="W2492" s="1644"/>
      <c r="X2492" s="1643"/>
      <c r="Y2492" s="1644"/>
      <c r="AI2492" s="2023">
        <f>W2492-'Blocking-Step2'!W2492</f>
        <v>0</v>
      </c>
      <c r="AJ2492" s="2054">
        <f>O2492-'Blocking-Step2'!O2492</f>
        <v>0</v>
      </c>
    </row>
    <row r="2493" spans="1:36" hidden="1">
      <c r="A2493" s="1900" t="s">
        <v>1668</v>
      </c>
      <c r="C2493" s="528">
        <f>C2502*Z2493</f>
        <v>0</v>
      </c>
      <c r="D2493" s="528">
        <f>ROUND(C2493/$C$2539*$D$2539,0)</f>
        <v>0</v>
      </c>
      <c r="F2493" s="2000"/>
      <c r="G2493" s="1902"/>
      <c r="H2493" s="1644"/>
      <c r="I2493" s="1644"/>
      <c r="K2493" s="2000">
        <f t="shared" ref="K2493:K2494" si="1502">K2285</f>
        <v>11.05</v>
      </c>
      <c r="L2493" s="1902"/>
      <c r="M2493" s="2000">
        <f t="shared" ref="M2493:M2494" si="1503">M2285</f>
        <v>22.09</v>
      </c>
      <c r="N2493" s="1902"/>
      <c r="O2493" s="2000">
        <f t="shared" ref="O2493:O2494" si="1504">O2285</f>
        <v>0</v>
      </c>
      <c r="P2493" s="1902"/>
      <c r="Q2493" s="2000">
        <f t="shared" ref="Q2493:Q2494" si="1505">Q2285</f>
        <v>33.14</v>
      </c>
      <c r="R2493" s="1902"/>
      <c r="S2493" s="1644">
        <f t="shared" ref="S2493:S2494" si="1506">ROUND($D2493*K2493,0)</f>
        <v>0</v>
      </c>
      <c r="T2493" s="1643"/>
      <c r="U2493" s="1644">
        <f t="shared" ref="U2493:Y2494" si="1507">ROUND($D2493*M2493,0)</f>
        <v>0</v>
      </c>
      <c r="V2493" s="1643"/>
      <c r="W2493" s="1644">
        <f t="shared" si="1507"/>
        <v>0</v>
      </c>
      <c r="X2493" s="1643"/>
      <c r="Y2493" s="1644">
        <f t="shared" si="1507"/>
        <v>0</v>
      </c>
      <c r="Z2493" s="1878">
        <f t="shared" ref="Z2493:Z2494" si="1508">Z2389</f>
        <v>0.81143000192935111</v>
      </c>
      <c r="AI2493" s="2023">
        <f>W2493-'Blocking-Step2'!W2493</f>
        <v>0</v>
      </c>
      <c r="AJ2493" s="2054">
        <f>O2493-'Blocking-Step2'!O2493</f>
        <v>0</v>
      </c>
    </row>
    <row r="2494" spans="1:36" hidden="1">
      <c r="A2494" s="1900" t="s">
        <v>1669</v>
      </c>
      <c r="C2494" s="528">
        <f>C2503*Z2494</f>
        <v>0</v>
      </c>
      <c r="D2494" s="528">
        <f>ROUND(C2494/$C$2539*$D$2539,0)</f>
        <v>0</v>
      </c>
      <c r="F2494" s="2000"/>
      <c r="G2494" s="1902"/>
      <c r="H2494" s="1644"/>
      <c r="I2494" s="1644"/>
      <c r="K2494" s="2000">
        <f t="shared" si="1502"/>
        <v>9.7799999999999994</v>
      </c>
      <c r="L2494" s="1902"/>
      <c r="M2494" s="2000">
        <f t="shared" si="1503"/>
        <v>19.549999999999997</v>
      </c>
      <c r="N2494" s="1902"/>
      <c r="O2494" s="2000">
        <f t="shared" si="1504"/>
        <v>0</v>
      </c>
      <c r="P2494" s="1902"/>
      <c r="Q2494" s="2000">
        <f t="shared" si="1505"/>
        <v>29.33</v>
      </c>
      <c r="R2494" s="1902"/>
      <c r="S2494" s="1644">
        <f t="shared" si="1506"/>
        <v>0</v>
      </c>
      <c r="T2494" s="1643"/>
      <c r="U2494" s="1644">
        <f t="shared" si="1507"/>
        <v>0</v>
      </c>
      <c r="V2494" s="1643"/>
      <c r="W2494" s="1644">
        <f t="shared" si="1507"/>
        <v>0</v>
      </c>
      <c r="X2494" s="1643"/>
      <c r="Y2494" s="1644">
        <f t="shared" si="1507"/>
        <v>0</v>
      </c>
      <c r="Z2494" s="1878">
        <f t="shared" si="1508"/>
        <v>1.1359353572586484</v>
      </c>
      <c r="AI2494" s="2023">
        <f>W2494-'Blocking-Step2'!W2494</f>
        <v>0</v>
      </c>
      <c r="AJ2494" s="2054">
        <f>O2494-'Blocking-Step2'!O2494</f>
        <v>0</v>
      </c>
    </row>
    <row r="2495" spans="1:36" hidden="1">
      <c r="A2495" s="1900" t="s">
        <v>315</v>
      </c>
      <c r="C2495" s="528"/>
      <c r="D2495" s="528"/>
      <c r="F2495" s="2000"/>
      <c r="G2495" s="1991"/>
      <c r="H2495" s="1644"/>
      <c r="I2495" s="1644"/>
      <c r="K2495" s="2000"/>
      <c r="L2495" s="1991"/>
      <c r="M2495" s="2000"/>
      <c r="N2495" s="1991"/>
      <c r="O2495" s="2000"/>
      <c r="P2495" s="1991"/>
      <c r="Q2495" s="2000"/>
      <c r="R2495" s="1991"/>
      <c r="S2495" s="1644"/>
      <c r="T2495" s="1643"/>
      <c r="U2495" s="1644"/>
      <c r="V2495" s="1643"/>
      <c r="W2495" s="1644"/>
      <c r="X2495" s="1643"/>
      <c r="Y2495" s="1644"/>
      <c r="AI2495" s="2023">
        <f>W2495-'Blocking-Step2'!W2495</f>
        <v>0</v>
      </c>
      <c r="AJ2495" s="2054">
        <f>O2495-'Blocking-Step2'!O2495</f>
        <v>0</v>
      </c>
    </row>
    <row r="2496" spans="1:36" hidden="1">
      <c r="A2496" s="1900" t="s">
        <v>944</v>
      </c>
      <c r="C2496" s="528">
        <f>'31'!N4</f>
        <v>406339</v>
      </c>
      <c r="D2496" s="528">
        <f>ROUND(C2496/$C$2539*$D$2539,0)</f>
        <v>491852</v>
      </c>
      <c r="F2496" s="2000">
        <v>0.76</v>
      </c>
      <c r="G2496" s="1991"/>
      <c r="H2496" s="1644">
        <f>ROUND($F2496*C2496,0)</f>
        <v>308818</v>
      </c>
      <c r="I2496" s="1644">
        <f>ROUND($F2496*D2496,0)</f>
        <v>373808</v>
      </c>
      <c r="K2496" s="2000"/>
      <c r="L2496" s="1991"/>
      <c r="M2496" s="2000"/>
      <c r="N2496" s="1991"/>
      <c r="O2496" s="2000"/>
      <c r="P2496" s="1991"/>
      <c r="Q2496" s="2000"/>
      <c r="R2496" s="1991"/>
      <c r="S2496" s="1644"/>
      <c r="T2496" s="1643"/>
      <c r="U2496" s="1644"/>
      <c r="V2496" s="1643"/>
      <c r="W2496" s="1644"/>
      <c r="X2496" s="1643"/>
      <c r="Y2496" s="1644"/>
      <c r="AI2496" s="2023">
        <f>W2496-'Blocking-Step2'!W2496</f>
        <v>0</v>
      </c>
      <c r="AJ2496" s="2054">
        <f>O2496-'Blocking-Step2'!O2496</f>
        <v>0</v>
      </c>
    </row>
    <row r="2497" spans="1:36" hidden="1">
      <c r="A2497" s="1900" t="s">
        <v>945</v>
      </c>
      <c r="C2497" s="528">
        <f>'31'!O4</f>
        <v>144986</v>
      </c>
      <c r="D2497" s="528">
        <f>ROUND(C2497/$C$2539*$D$2539,0)</f>
        <v>175498</v>
      </c>
      <c r="F2497" s="2000">
        <v>0.51</v>
      </c>
      <c r="G2497" s="1991"/>
      <c r="H2497" s="1644">
        <f>ROUND($F2497*C2497,0)</f>
        <v>73943</v>
      </c>
      <c r="I2497" s="1644">
        <f>ROUND($F2497*D2497,0)</f>
        <v>89504</v>
      </c>
      <c r="K2497" s="2000"/>
      <c r="L2497" s="1991"/>
      <c r="M2497" s="2000"/>
      <c r="N2497" s="1991"/>
      <c r="O2497" s="2000"/>
      <c r="P2497" s="1991"/>
      <c r="Q2497" s="2000"/>
      <c r="R2497" s="1991"/>
      <c r="S2497" s="1644"/>
      <c r="T2497" s="1643"/>
      <c r="U2497" s="1644"/>
      <c r="V2497" s="1643"/>
      <c r="W2497" s="1644"/>
      <c r="X2497" s="1643"/>
      <c r="Y2497" s="1644"/>
      <c r="AI2497" s="2023">
        <f>W2497-'Blocking-Step2'!W2497</f>
        <v>0</v>
      </c>
      <c r="AJ2497" s="2054">
        <f>O2497-'Blocking-Step2'!O2497</f>
        <v>0</v>
      </c>
    </row>
    <row r="2498" spans="1:36" hidden="1">
      <c r="A2498" s="1900" t="s">
        <v>316</v>
      </c>
      <c r="C2498" s="528"/>
      <c r="D2498" s="528"/>
      <c r="F2498" s="2001"/>
      <c r="G2498" s="1992"/>
      <c r="H2498" s="1644"/>
      <c r="I2498" s="1644"/>
      <c r="K2498" s="2001"/>
      <c r="L2498" s="1992"/>
      <c r="M2498" s="2001"/>
      <c r="N2498" s="1992"/>
      <c r="O2498" s="2001"/>
      <c r="P2498" s="1992"/>
      <c r="Q2498" s="2001"/>
      <c r="R2498" s="1992"/>
      <c r="S2498" s="1644"/>
      <c r="T2498" s="1645"/>
      <c r="U2498" s="1644"/>
      <c r="V2498" s="1645"/>
      <c r="W2498" s="1644"/>
      <c r="X2498" s="1645"/>
      <c r="Y2498" s="1644"/>
      <c r="AI2498" s="2023">
        <f>W2498-'Blocking-Step2'!W2498</f>
        <v>0</v>
      </c>
      <c r="AJ2498" s="2054">
        <f>O2498-'Blocking-Step2'!O2498</f>
        <v>0</v>
      </c>
    </row>
    <row r="2499" spans="1:36" hidden="1">
      <c r="A2499" s="1900" t="s">
        <v>944</v>
      </c>
      <c r="C2499" s="528">
        <f>'31'!Q4</f>
        <v>0</v>
      </c>
      <c r="D2499" s="528">
        <f>ROUND(C2499/$C$2539*$D$2539,0)</f>
        <v>0</v>
      </c>
      <c r="F2499" s="2001">
        <v>0.38</v>
      </c>
      <c r="G2499" s="1992"/>
      <c r="H2499" s="1644">
        <f>ROUND($F2499*C2499,0)</f>
        <v>0</v>
      </c>
      <c r="I2499" s="1644">
        <f>ROUND($F2499*D2499,0)</f>
        <v>0</v>
      </c>
      <c r="K2499" s="2001"/>
      <c r="L2499" s="1992"/>
      <c r="M2499" s="2001"/>
      <c r="N2499" s="1992"/>
      <c r="O2499" s="2001"/>
      <c r="P2499" s="1992"/>
      <c r="Q2499" s="2001"/>
      <c r="R2499" s="1992"/>
      <c r="S2499" s="1644"/>
      <c r="T2499" s="1645"/>
      <c r="U2499" s="1644"/>
      <c r="V2499" s="1645"/>
      <c r="W2499" s="1644"/>
      <c r="X2499" s="1645"/>
      <c r="Y2499" s="1644"/>
      <c r="AI2499" s="2023">
        <f>W2499-'Blocking-Step2'!W2499</f>
        <v>0</v>
      </c>
      <c r="AJ2499" s="2054">
        <f>O2499-'Blocking-Step2'!O2499</f>
        <v>0</v>
      </c>
    </row>
    <row r="2500" spans="1:36" hidden="1">
      <c r="A2500" s="1900" t="s">
        <v>945</v>
      </c>
      <c r="C2500" s="528">
        <f>'31'!R4</f>
        <v>109500</v>
      </c>
      <c r="D2500" s="528">
        <f>ROUND(C2500/$C$2539*$D$2539,0)</f>
        <v>132544</v>
      </c>
      <c r="F2500" s="2001">
        <v>0.255</v>
      </c>
      <c r="G2500" s="1992"/>
      <c r="H2500" s="1644">
        <f>ROUND($F2500*C2500,0)</f>
        <v>27923</v>
      </c>
      <c r="I2500" s="1644">
        <f>ROUND($F2500*D2500,0)</f>
        <v>33799</v>
      </c>
      <c r="K2500" s="2001"/>
      <c r="L2500" s="1992"/>
      <c r="M2500" s="2001"/>
      <c r="N2500" s="1992"/>
      <c r="O2500" s="2001"/>
      <c r="P2500" s="1992"/>
      <c r="Q2500" s="2001"/>
      <c r="R2500" s="1992"/>
      <c r="S2500" s="1644"/>
      <c r="T2500" s="1645"/>
      <c r="U2500" s="1644"/>
      <c r="V2500" s="1645"/>
      <c r="W2500" s="1644"/>
      <c r="X2500" s="1645"/>
      <c r="Y2500" s="1644"/>
      <c r="AI2500" s="2023">
        <f>W2500-'Blocking-Step2'!W2500</f>
        <v>0</v>
      </c>
      <c r="AJ2500" s="2054">
        <f>O2500-'Blocking-Step2'!O2500</f>
        <v>0</v>
      </c>
    </row>
    <row r="2501" spans="1:36" hidden="1">
      <c r="A2501" s="1900" t="s">
        <v>317</v>
      </c>
      <c r="C2501" s="528"/>
      <c r="D2501" s="528"/>
      <c r="F2501" s="2000"/>
      <c r="G2501" s="1902"/>
      <c r="H2501" s="1644"/>
      <c r="I2501" s="1644"/>
      <c r="K2501" s="2000"/>
      <c r="L2501" s="1902"/>
      <c r="M2501" s="2000"/>
      <c r="N2501" s="1902"/>
      <c r="O2501" s="2000"/>
      <c r="P2501" s="1902"/>
      <c r="Q2501" s="2000"/>
      <c r="R2501" s="1902"/>
      <c r="S2501" s="1644"/>
      <c r="T2501" s="1643"/>
      <c r="U2501" s="1644"/>
      <c r="V2501" s="1643"/>
      <c r="W2501" s="1644"/>
      <c r="X2501" s="1643"/>
      <c r="Y2501" s="1644"/>
      <c r="AI2501" s="2023">
        <f>W2501-'Blocking-Step2'!W2501</f>
        <v>0</v>
      </c>
      <c r="AJ2501" s="2054">
        <f>O2501-'Blocking-Step2'!O2501</f>
        <v>0</v>
      </c>
    </row>
    <row r="2502" spans="1:36" hidden="1">
      <c r="A2502" s="1900" t="s">
        <v>944</v>
      </c>
      <c r="C2502" s="528">
        <f>'31'!T4</f>
        <v>0</v>
      </c>
      <c r="D2502" s="528">
        <f>ROUND(C2502/$C$2539*$D$2539,0)</f>
        <v>0</v>
      </c>
      <c r="F2502" s="2000">
        <v>32.35</v>
      </c>
      <c r="G2502" s="1902"/>
      <c r="H2502" s="1644">
        <f>ROUND($F2502*C2502,0)</f>
        <v>0</v>
      </c>
      <c r="I2502" s="1644">
        <f>ROUND($F2502*D2502,0)</f>
        <v>0</v>
      </c>
      <c r="K2502" s="2000"/>
      <c r="L2502" s="1902"/>
      <c r="M2502" s="2000"/>
      <c r="N2502" s="1902"/>
      <c r="O2502" s="2000"/>
      <c r="P2502" s="1902"/>
      <c r="Q2502" s="2000"/>
      <c r="R2502" s="1902"/>
      <c r="S2502" s="1644"/>
      <c r="T2502" s="1643"/>
      <c r="U2502" s="1644"/>
      <c r="V2502" s="1643"/>
      <c r="W2502" s="1644"/>
      <c r="X2502" s="1643"/>
      <c r="Y2502" s="1644"/>
      <c r="AI2502" s="2023">
        <f>W2502-'Blocking-Step2'!W2502</f>
        <v>0</v>
      </c>
      <c r="AJ2502" s="2054">
        <f>O2502-'Blocking-Step2'!O2502</f>
        <v>0</v>
      </c>
    </row>
    <row r="2503" spans="1:36" hidden="1">
      <c r="A2503" s="1900" t="s">
        <v>945</v>
      </c>
      <c r="C2503" s="528">
        <f>'31'!U4</f>
        <v>0</v>
      </c>
      <c r="D2503" s="528">
        <f>ROUND(C2503/$C$2539*$D$2539,0)</f>
        <v>0</v>
      </c>
      <c r="F2503" s="2000">
        <v>23.36</v>
      </c>
      <c r="G2503" s="1902"/>
      <c r="H2503" s="1644">
        <f>ROUND($F2503*C2503,0)</f>
        <v>0</v>
      </c>
      <c r="I2503" s="1644">
        <f>ROUND($F2503*D2503,0)</f>
        <v>0</v>
      </c>
      <c r="K2503" s="2000"/>
      <c r="L2503" s="1902"/>
      <c r="M2503" s="2000"/>
      <c r="N2503" s="1902"/>
      <c r="O2503" s="2000"/>
      <c r="P2503" s="1902"/>
      <c r="Q2503" s="2000"/>
      <c r="R2503" s="1902"/>
      <c r="S2503" s="1644"/>
      <c r="T2503" s="1643"/>
      <c r="U2503" s="1644"/>
      <c r="V2503" s="1643"/>
      <c r="W2503" s="1644"/>
      <c r="X2503" s="1643"/>
      <c r="Y2503" s="1644"/>
      <c r="AI2503" s="2023">
        <f>W2503-'Blocking-Step2'!W2503</f>
        <v>0</v>
      </c>
      <c r="AJ2503" s="2054">
        <f>O2503-'Blocking-Step2'!O2503</f>
        <v>0</v>
      </c>
    </row>
    <row r="2504" spans="1:36" hidden="1">
      <c r="A2504" s="1900" t="s">
        <v>397</v>
      </c>
      <c r="C2504" s="585"/>
      <c r="D2504" s="585"/>
      <c r="F2504" s="1943"/>
      <c r="G2504" s="1957"/>
      <c r="H2504" s="1030">
        <f>SUM(H2439:H2503)</f>
        <v>932265</v>
      </c>
      <c r="I2504" s="1030">
        <f>SUM(I2439:I2503)</f>
        <v>1123321</v>
      </c>
      <c r="K2504" s="1943"/>
      <c r="L2504" s="1957"/>
      <c r="M2504" s="1943"/>
      <c r="N2504" s="1957"/>
      <c r="O2504" s="1943"/>
      <c r="P2504" s="1957"/>
      <c r="Q2504" s="1943"/>
      <c r="R2504" s="1957"/>
      <c r="S2504" s="1030">
        <f>SUM(S2439:S2503)</f>
        <v>808236</v>
      </c>
      <c r="T2504" s="1645"/>
      <c r="U2504" s="1030">
        <f>SUM(U2439:U2503)</f>
        <v>333866</v>
      </c>
      <c r="V2504" s="1645"/>
      <c r="W2504" s="1030">
        <f>SUM(W2439:W2503)</f>
        <v>0</v>
      </c>
      <c r="X2504" s="1645"/>
      <c r="Y2504" s="1030">
        <f>SUM(Y2439:Y2503)</f>
        <v>1142102</v>
      </c>
      <c r="AI2504" s="2023">
        <f>W2504-'Blocking-Step2'!W2504</f>
        <v>0</v>
      </c>
      <c r="AJ2504" s="2054">
        <f>O2504-'Blocking-Step2'!O2504</f>
        <v>0</v>
      </c>
    </row>
    <row r="2505" spans="1:36" hidden="1">
      <c r="A2505" s="1987" t="s">
        <v>442</v>
      </c>
      <c r="S2505" s="1638"/>
      <c r="U2505" s="1638"/>
      <c r="W2505" s="1638"/>
      <c r="AI2505" s="2023">
        <f>W2505-'Blocking-Step2'!W2505</f>
        <v>0</v>
      </c>
      <c r="AJ2505" s="2054">
        <f>O2505-'Blocking-Step2'!O2505</f>
        <v>0</v>
      </c>
    </row>
    <row r="2506" spans="1:36" hidden="1">
      <c r="A2506" s="1897" t="s">
        <v>443</v>
      </c>
      <c r="C2506" s="528"/>
      <c r="D2506" s="528"/>
      <c r="F2506" s="1944"/>
      <c r="G2506" s="597"/>
      <c r="H2506" s="1644"/>
      <c r="I2506" s="1644"/>
      <c r="K2506" s="1944"/>
      <c r="L2506" s="597"/>
      <c r="M2506" s="1944"/>
      <c r="N2506" s="597"/>
      <c r="O2506" s="1944"/>
      <c r="P2506" s="597"/>
      <c r="Q2506" s="1944"/>
      <c r="R2506" s="597"/>
      <c r="S2506" s="1644"/>
      <c r="T2506" s="1645"/>
      <c r="U2506" s="1644"/>
      <c r="V2506" s="1645"/>
      <c r="W2506" s="1644"/>
      <c r="X2506" s="1645"/>
      <c r="Y2506" s="1644"/>
      <c r="AI2506" s="2023">
        <f>W2506-'Blocking-Step2'!W2506</f>
        <v>0</v>
      </c>
      <c r="AJ2506" s="2054">
        <f>O2506-'Blocking-Step2'!O2506</f>
        <v>0</v>
      </c>
    </row>
    <row r="2507" spans="1:36" hidden="1">
      <c r="A2507" s="1900" t="s">
        <v>168</v>
      </c>
      <c r="C2507" s="528"/>
      <c r="D2507" s="528"/>
      <c r="F2507" s="1944">
        <v>4.76</v>
      </c>
      <c r="G2507" s="597"/>
      <c r="H2507" s="1644">
        <f t="shared" ref="H2507:I2516" si="1509">ROUND($F2507*C2507,0)</f>
        <v>0</v>
      </c>
      <c r="I2507" s="1644">
        <f t="shared" si="1509"/>
        <v>0</v>
      </c>
      <c r="K2507" s="1944">
        <f t="shared" ref="K2507:K2513" si="1510">K2299</f>
        <v>4.78</v>
      </c>
      <c r="L2507" s="597"/>
      <c r="M2507" s="1944">
        <f t="shared" ref="M2507:M2513" si="1511">M2299</f>
        <v>0</v>
      </c>
      <c r="N2507" s="597"/>
      <c r="O2507" s="1944">
        <f t="shared" ref="O2507:O2513" si="1512">O2299</f>
        <v>0</v>
      </c>
      <c r="P2507" s="597"/>
      <c r="Q2507" s="1944">
        <f t="shared" ref="Q2507:Q2513" si="1513">Q2299</f>
        <v>4.78</v>
      </c>
      <c r="R2507" s="597"/>
      <c r="S2507" s="1644">
        <f t="shared" ref="S2507:Y2509" si="1514">ROUND($D2507*K2507,0)</f>
        <v>0</v>
      </c>
      <c r="T2507" s="1645"/>
      <c r="U2507" s="1644">
        <f t="shared" si="1514"/>
        <v>0</v>
      </c>
      <c r="V2507" s="1645"/>
      <c r="W2507" s="1644">
        <f t="shared" si="1514"/>
        <v>0</v>
      </c>
      <c r="X2507" s="1645"/>
      <c r="Y2507" s="1644">
        <f t="shared" si="1514"/>
        <v>0</v>
      </c>
      <c r="Z2507" s="1878" t="s">
        <v>251</v>
      </c>
      <c r="AI2507" s="2023">
        <f>W2507-'Blocking-Step2'!W2507</f>
        <v>0</v>
      </c>
      <c r="AJ2507" s="2054">
        <f>O2507-'Blocking-Step2'!O2507</f>
        <v>0</v>
      </c>
    </row>
    <row r="2508" spans="1:36" hidden="1">
      <c r="A2508" s="1900" t="s">
        <v>1651</v>
      </c>
      <c r="C2508" s="528"/>
      <c r="D2508" s="528"/>
      <c r="F2508" s="1944"/>
      <c r="G2508" s="597"/>
      <c r="H2508" s="1644"/>
      <c r="I2508" s="1644"/>
      <c r="K2508" s="1944">
        <f t="shared" si="1510"/>
        <v>7.09</v>
      </c>
      <c r="L2508" s="597"/>
      <c r="M2508" s="1944">
        <f t="shared" si="1511"/>
        <v>8.5400000000000009</v>
      </c>
      <c r="N2508" s="597"/>
      <c r="O2508" s="1944">
        <f t="shared" si="1512"/>
        <v>0</v>
      </c>
      <c r="P2508" s="597"/>
      <c r="Q2508" s="1944">
        <f t="shared" si="1513"/>
        <v>15.63</v>
      </c>
      <c r="R2508" s="597"/>
      <c r="S2508" s="1644">
        <f t="shared" si="1514"/>
        <v>0</v>
      </c>
      <c r="T2508" s="1645"/>
      <c r="U2508" s="1644">
        <f t="shared" si="1514"/>
        <v>0</v>
      </c>
      <c r="V2508" s="1645"/>
      <c r="W2508" s="1644">
        <f t="shared" si="1514"/>
        <v>0</v>
      </c>
      <c r="X2508" s="1645"/>
      <c r="Y2508" s="1644">
        <f t="shared" si="1514"/>
        <v>0</v>
      </c>
      <c r="Z2508" s="1878">
        <f t="shared" ref="Z2508:Z2512" si="1515">Z2404</f>
        <v>0.8080618296749863</v>
      </c>
      <c r="AI2508" s="2023">
        <f>W2508-'Blocking-Step2'!W2508</f>
        <v>0</v>
      </c>
      <c r="AJ2508" s="2054">
        <f>O2508-'Blocking-Step2'!O2508</f>
        <v>0</v>
      </c>
    </row>
    <row r="2509" spans="1:36" hidden="1">
      <c r="A2509" s="1900" t="s">
        <v>1652</v>
      </c>
      <c r="C2509" s="528"/>
      <c r="D2509" s="528"/>
      <c r="F2509" s="1944"/>
      <c r="G2509" s="597"/>
      <c r="H2509" s="1644"/>
      <c r="I2509" s="1644"/>
      <c r="K2509" s="1944">
        <f t="shared" si="1510"/>
        <v>6.28</v>
      </c>
      <c r="L2509" s="597"/>
      <c r="M2509" s="1944">
        <f t="shared" si="1511"/>
        <v>7.55</v>
      </c>
      <c r="N2509" s="597"/>
      <c r="O2509" s="1944">
        <f t="shared" si="1512"/>
        <v>0</v>
      </c>
      <c r="P2509" s="597"/>
      <c r="Q2509" s="1944">
        <f t="shared" si="1513"/>
        <v>13.83</v>
      </c>
      <c r="R2509" s="597"/>
      <c r="S2509" s="1644">
        <f t="shared" si="1514"/>
        <v>0</v>
      </c>
      <c r="T2509" s="1645"/>
      <c r="U2509" s="1644">
        <f t="shared" si="1514"/>
        <v>0</v>
      </c>
      <c r="V2509" s="1645"/>
      <c r="W2509" s="1644">
        <f t="shared" si="1514"/>
        <v>0</v>
      </c>
      <c r="X2509" s="1645"/>
      <c r="Y2509" s="1644">
        <f t="shared" si="1514"/>
        <v>0</v>
      </c>
      <c r="Z2509" s="1878">
        <f t="shared" si="1515"/>
        <v>1.1030535149949241</v>
      </c>
      <c r="AI2509" s="2023">
        <f>W2509-'Blocking-Step2'!W2509</f>
        <v>0</v>
      </c>
      <c r="AJ2509" s="2054">
        <f>O2509-'Blocking-Step2'!O2509</f>
        <v>0</v>
      </c>
    </row>
    <row r="2510" spans="1:36" hidden="1">
      <c r="A2510" s="1900" t="s">
        <v>1532</v>
      </c>
      <c r="C2510" s="528"/>
      <c r="D2510" s="528"/>
      <c r="F2510" s="1943"/>
      <c r="G2510" s="1921"/>
      <c r="H2510" s="1644"/>
      <c r="I2510" s="1644"/>
      <c r="K2510" s="1943">
        <f t="shared" si="1510"/>
        <v>0</v>
      </c>
      <c r="L2510" s="1921" t="s">
        <v>495</v>
      </c>
      <c r="M2510" s="1943">
        <f t="shared" si="1511"/>
        <v>1.3503076530939992</v>
      </c>
      <c r="N2510" s="1921" t="s">
        <v>495</v>
      </c>
      <c r="O2510" s="1943">
        <f t="shared" si="1512"/>
        <v>4.4476704152740005</v>
      </c>
      <c r="P2510" s="1921" t="s">
        <v>495</v>
      </c>
      <c r="Q2510" s="1943">
        <f t="shared" si="1513"/>
        <v>5.7979780683679998</v>
      </c>
      <c r="R2510" s="1921" t="s">
        <v>495</v>
      </c>
      <c r="S2510" s="1644">
        <f>ROUND($D2510*K2510/100,0)</f>
        <v>0</v>
      </c>
      <c r="T2510" s="1648"/>
      <c r="U2510" s="1644">
        <f>ROUND($D2510*M2510/100,0)</f>
        <v>0</v>
      </c>
      <c r="V2510" s="1648"/>
      <c r="W2510" s="1644">
        <f>ROUND($D2510*O2510/100,0)</f>
        <v>0</v>
      </c>
      <c r="X2510" s="1648"/>
      <c r="Y2510" s="1644">
        <f>ROUND($D2510*Q2510/100,0)</f>
        <v>0</v>
      </c>
      <c r="Z2510" s="1878">
        <f t="shared" si="1515"/>
        <v>0.79730449923359459</v>
      </c>
      <c r="AI2510" s="2023">
        <f>W2510-'Blocking-Step2'!W2510</f>
        <v>0</v>
      </c>
      <c r="AJ2510" s="2054">
        <f>O2510-'Blocking-Step2'!O2510</f>
        <v>0</v>
      </c>
    </row>
    <row r="2511" spans="1:36" hidden="1">
      <c r="A2511" s="1900" t="s">
        <v>1653</v>
      </c>
      <c r="C2511" s="528"/>
      <c r="D2511" s="528"/>
      <c r="F2511" s="1943"/>
      <c r="G2511" s="1921"/>
      <c r="H2511" s="1644"/>
      <c r="I2511" s="1644"/>
      <c r="K2511" s="1943">
        <f t="shared" si="1510"/>
        <v>0</v>
      </c>
      <c r="L2511" s="1921" t="s">
        <v>495</v>
      </c>
      <c r="M2511" s="1943">
        <f t="shared" si="1511"/>
        <v>1.3579342062780002</v>
      </c>
      <c r="N2511" s="1921" t="s">
        <v>495</v>
      </c>
      <c r="O2511" s="1943">
        <f t="shared" si="1512"/>
        <v>3.7730198365260001</v>
      </c>
      <c r="P2511" s="1921" t="s">
        <v>495</v>
      </c>
      <c r="Q2511" s="1943">
        <f t="shared" si="1513"/>
        <v>5.1309540428040004</v>
      </c>
      <c r="R2511" s="1921" t="s">
        <v>495</v>
      </c>
      <c r="S2511" s="1644">
        <f t="shared" ref="S2511:Y2513" si="1516">ROUND($D2511*K2511/100,0)</f>
        <v>0</v>
      </c>
      <c r="T2511" s="1648"/>
      <c r="U2511" s="1644">
        <f t="shared" si="1516"/>
        <v>0</v>
      </c>
      <c r="V2511" s="1648"/>
      <c r="W2511" s="1644">
        <f t="shared" si="1516"/>
        <v>0</v>
      </c>
      <c r="X2511" s="1648"/>
      <c r="Y2511" s="1644">
        <f t="shared" si="1516"/>
        <v>0</v>
      </c>
      <c r="Z2511" s="1878">
        <f t="shared" si="1515"/>
        <v>0.49318673869770435</v>
      </c>
      <c r="AI2511" s="2023">
        <f>W2511-'Blocking-Step2'!W2511</f>
        <v>0</v>
      </c>
      <c r="AJ2511" s="2054">
        <f>O2511-'Blocking-Step2'!O2511</f>
        <v>0</v>
      </c>
    </row>
    <row r="2512" spans="1:36" hidden="1">
      <c r="A2512" s="1900" t="s">
        <v>1533</v>
      </c>
      <c r="C2512" s="528"/>
      <c r="D2512" s="528"/>
      <c r="F2512" s="1943"/>
      <c r="G2512" s="1921"/>
      <c r="H2512" s="1644"/>
      <c r="I2512" s="1644"/>
      <c r="K2512" s="1943">
        <f t="shared" si="1510"/>
        <v>0</v>
      </c>
      <c r="L2512" s="1921" t="s">
        <v>495</v>
      </c>
      <c r="M2512" s="1943">
        <f t="shared" si="1511"/>
        <v>1.3829047660919997</v>
      </c>
      <c r="N2512" s="1921" t="s">
        <v>495</v>
      </c>
      <c r="O2512" s="1943">
        <f t="shared" si="1512"/>
        <v>1.5641055047420001</v>
      </c>
      <c r="P2512" s="1921" t="s">
        <v>495</v>
      </c>
      <c r="Q2512" s="1943">
        <f t="shared" si="1513"/>
        <v>2.9470102708339998</v>
      </c>
      <c r="R2512" s="1921" t="s">
        <v>495</v>
      </c>
      <c r="S2512" s="1644">
        <f t="shared" si="1516"/>
        <v>0</v>
      </c>
      <c r="T2512" s="1648"/>
      <c r="U2512" s="1644">
        <f t="shared" si="1516"/>
        <v>0</v>
      </c>
      <c r="V2512" s="1648"/>
      <c r="W2512" s="1644">
        <f t="shared" si="1516"/>
        <v>0</v>
      </c>
      <c r="X2512" s="1648"/>
      <c r="Y2512" s="1644">
        <f t="shared" si="1516"/>
        <v>0</v>
      </c>
      <c r="Z2512" s="1878">
        <f t="shared" si="1515"/>
        <v>0.26809377750638824</v>
      </c>
      <c r="AI2512" s="2023">
        <f>W2512-'Blocking-Step2'!W2512</f>
        <v>0</v>
      </c>
      <c r="AJ2512" s="2054">
        <f>O2512-'Blocking-Step2'!O2512</f>
        <v>0</v>
      </c>
    </row>
    <row r="2513" spans="1:36" hidden="1">
      <c r="A2513" s="1900" t="s">
        <v>2177</v>
      </c>
      <c r="C2513" s="528"/>
      <c r="D2513" s="528"/>
      <c r="F2513" s="1943"/>
      <c r="G2513" s="1921"/>
      <c r="H2513" s="1654"/>
      <c r="I2513" s="1654"/>
      <c r="K2513" s="1943">
        <f t="shared" si="1510"/>
        <v>0</v>
      </c>
      <c r="L2513" s="1921" t="s">
        <v>495</v>
      </c>
      <c r="M2513" s="1943">
        <f t="shared" si="1511"/>
        <v>1.3867812089310003</v>
      </c>
      <c r="N2513" s="1921" t="s">
        <v>495</v>
      </c>
      <c r="O2513" s="1943">
        <f t="shared" si="1512"/>
        <v>1.2211924820729998</v>
      </c>
      <c r="P2513" s="1921" t="s">
        <v>495</v>
      </c>
      <c r="Q2513" s="1943">
        <f t="shared" si="1513"/>
        <v>2.6079736910040001</v>
      </c>
      <c r="R2513" s="1921" t="s">
        <v>495</v>
      </c>
      <c r="S2513" s="1644">
        <f t="shared" si="1516"/>
        <v>0</v>
      </c>
      <c r="T2513" s="1648"/>
      <c r="U2513" s="1644">
        <f t="shared" si="1516"/>
        <v>0</v>
      </c>
      <c r="V2513" s="1648"/>
      <c r="W2513" s="1644">
        <f t="shared" si="1516"/>
        <v>0</v>
      </c>
      <c r="X2513" s="1648"/>
      <c r="Y2513" s="1644">
        <f t="shared" si="1516"/>
        <v>0</v>
      </c>
      <c r="AI2513" s="2023">
        <f>W2513-'Blocking-Step2'!W2513</f>
        <v>0</v>
      </c>
      <c r="AJ2513" s="2054">
        <f>O2513-'Blocking-Step2'!O2513</f>
        <v>0</v>
      </c>
    </row>
    <row r="2514" spans="1:36" hidden="1">
      <c r="A2514" s="1900" t="s">
        <v>18</v>
      </c>
      <c r="C2514" s="528"/>
      <c r="D2514" s="528"/>
      <c r="F2514" s="1944">
        <v>15.56</v>
      </c>
      <c r="G2514" s="597"/>
      <c r="H2514" s="1644">
        <f t="shared" si="1509"/>
        <v>0</v>
      </c>
      <c r="I2514" s="1644">
        <f t="shared" si="1509"/>
        <v>0</v>
      </c>
      <c r="K2514" s="1944"/>
      <c r="L2514" s="597"/>
      <c r="M2514" s="1944"/>
      <c r="N2514" s="597"/>
      <c r="O2514" s="1944"/>
      <c r="P2514" s="597"/>
      <c r="Q2514" s="1944"/>
      <c r="R2514" s="597"/>
      <c r="S2514" s="1644"/>
      <c r="T2514" s="1645"/>
      <c r="U2514" s="1644"/>
      <c r="V2514" s="1645"/>
      <c r="W2514" s="1644"/>
      <c r="X2514" s="1645"/>
      <c r="Y2514" s="1644"/>
      <c r="AI2514" s="2023">
        <f>W2514-'Blocking-Step2'!W2514</f>
        <v>0</v>
      </c>
      <c r="AJ2514" s="2054">
        <f>O2514-'Blocking-Step2'!O2514</f>
        <v>0</v>
      </c>
    </row>
    <row r="2515" spans="1:36" hidden="1">
      <c r="A2515" s="1900" t="s">
        <v>166</v>
      </c>
      <c r="C2515" s="528"/>
      <c r="D2515" s="528"/>
      <c r="F2515" s="1944">
        <v>11.19</v>
      </c>
      <c r="G2515" s="597"/>
      <c r="H2515" s="1644">
        <f t="shared" si="1509"/>
        <v>0</v>
      </c>
      <c r="I2515" s="1644">
        <f t="shared" si="1509"/>
        <v>0</v>
      </c>
      <c r="K2515" s="1944"/>
      <c r="L2515" s="597"/>
      <c r="M2515" s="1944"/>
      <c r="N2515" s="597"/>
      <c r="O2515" s="1944"/>
      <c r="P2515" s="597"/>
      <c r="Q2515" s="1944"/>
      <c r="R2515" s="597"/>
      <c r="S2515" s="1644"/>
      <c r="T2515" s="1645"/>
      <c r="U2515" s="1644"/>
      <c r="V2515" s="1645"/>
      <c r="W2515" s="1644"/>
      <c r="X2515" s="1645"/>
      <c r="Y2515" s="1644"/>
      <c r="AI2515" s="2023">
        <f>W2515-'Blocking-Step2'!W2515</f>
        <v>0</v>
      </c>
      <c r="AJ2515" s="2054">
        <f>O2515-'Blocking-Step2'!O2515</f>
        <v>0</v>
      </c>
    </row>
    <row r="2516" spans="1:36" hidden="1">
      <c r="A2516" s="1900" t="s">
        <v>261</v>
      </c>
      <c r="C2516" s="528"/>
      <c r="D2516" s="528"/>
      <c r="F2516" s="1944">
        <v>-1.1299999999999999</v>
      </c>
      <c r="G2516" s="597"/>
      <c r="H2516" s="1644">
        <f t="shared" si="1509"/>
        <v>0</v>
      </c>
      <c r="I2516" s="1644">
        <f t="shared" si="1509"/>
        <v>0</v>
      </c>
      <c r="K2516" s="1944">
        <f>K2308</f>
        <v>-1.1299999999999999</v>
      </c>
      <c r="L2516" s="597"/>
      <c r="M2516" s="1944">
        <f>M2308</f>
        <v>0</v>
      </c>
      <c r="N2516" s="597"/>
      <c r="O2516" s="1944">
        <f>O2308</f>
        <v>0</v>
      </c>
      <c r="P2516" s="597"/>
      <c r="Q2516" s="1944">
        <f>Q2308</f>
        <v>-1.1299999999999999</v>
      </c>
      <c r="R2516" s="597"/>
      <c r="S2516" s="1644">
        <f t="shared" ref="S2516:Y2516" si="1517">ROUND($D2516*K2516,0)</f>
        <v>0</v>
      </c>
      <c r="T2516" s="1645"/>
      <c r="U2516" s="1644">
        <f t="shared" si="1517"/>
        <v>0</v>
      </c>
      <c r="V2516" s="1645"/>
      <c r="W2516" s="1644">
        <f t="shared" si="1517"/>
        <v>0</v>
      </c>
      <c r="X2516" s="1645"/>
      <c r="Y2516" s="1644">
        <f t="shared" si="1517"/>
        <v>0</v>
      </c>
      <c r="AI2516" s="2023">
        <f>W2516-'Blocking-Step2'!W2516</f>
        <v>0</v>
      </c>
      <c r="AJ2516" s="2054">
        <f>O2516-'Blocking-Step2'!O2516</f>
        <v>0</v>
      </c>
    </row>
    <row r="2517" spans="1:36" hidden="1">
      <c r="A2517" s="1900" t="s">
        <v>188</v>
      </c>
      <c r="C2517" s="528"/>
      <c r="D2517" s="528"/>
      <c r="F2517" s="1943">
        <v>5.0473999999999997</v>
      </c>
      <c r="G2517" s="1921" t="s">
        <v>495</v>
      </c>
      <c r="H2517" s="1644">
        <f t="shared" ref="H2517:I2519" si="1518">ROUND($F2517*C2517/100,0)</f>
        <v>0</v>
      </c>
      <c r="I2517" s="1644">
        <f t="shared" si="1518"/>
        <v>0</v>
      </c>
      <c r="K2517" s="1943"/>
      <c r="L2517" s="1921"/>
      <c r="M2517" s="1943"/>
      <c r="N2517" s="1921"/>
      <c r="O2517" s="1943"/>
      <c r="P2517" s="1921"/>
      <c r="Q2517" s="1943"/>
      <c r="R2517" s="1921"/>
      <c r="S2517" s="1644"/>
      <c r="T2517" s="1648"/>
      <c r="U2517" s="1644"/>
      <c r="V2517" s="1648"/>
      <c r="W2517" s="1644"/>
      <c r="X2517" s="1648"/>
      <c r="Y2517" s="1644"/>
      <c r="AI2517" s="2023">
        <f>W2517-'Blocking-Step2'!W2517</f>
        <v>0</v>
      </c>
      <c r="AJ2517" s="2054">
        <f>O2517-'Blocking-Step2'!O2517</f>
        <v>0</v>
      </c>
    </row>
    <row r="2518" spans="1:36" hidden="1">
      <c r="A2518" s="1900" t="s">
        <v>163</v>
      </c>
      <c r="C2518" s="528"/>
      <c r="D2518" s="528"/>
      <c r="F2518" s="1943">
        <v>3.9510999999999998</v>
      </c>
      <c r="G2518" s="1921" t="s">
        <v>495</v>
      </c>
      <c r="H2518" s="1644">
        <f t="shared" si="1518"/>
        <v>0</v>
      </c>
      <c r="I2518" s="1644">
        <f t="shared" si="1518"/>
        <v>0</v>
      </c>
      <c r="K2518" s="1943"/>
      <c r="L2518" s="1921"/>
      <c r="M2518" s="1943"/>
      <c r="N2518" s="1921"/>
      <c r="O2518" s="1943"/>
      <c r="P2518" s="1921"/>
      <c r="Q2518" s="1943"/>
      <c r="R2518" s="1921"/>
      <c r="S2518" s="1644"/>
      <c r="T2518" s="1648"/>
      <c r="U2518" s="1644"/>
      <c r="V2518" s="1648"/>
      <c r="W2518" s="1644"/>
      <c r="X2518" s="1648"/>
      <c r="Y2518" s="1644"/>
      <c r="AI2518" s="2023">
        <f>W2518-'Blocking-Step2'!W2518</f>
        <v>0</v>
      </c>
      <c r="AJ2518" s="2054">
        <f>O2518-'Blocking-Step2'!O2518</f>
        <v>0</v>
      </c>
    </row>
    <row r="2519" spans="1:36" hidden="1">
      <c r="A2519" s="1900" t="s">
        <v>249</v>
      </c>
      <c r="C2519" s="856"/>
      <c r="D2519" s="856"/>
      <c r="F2519" s="1943">
        <v>3.4001999999999999</v>
      </c>
      <c r="G2519" s="1921" t="s">
        <v>495</v>
      </c>
      <c r="H2519" s="1654">
        <f t="shared" si="1518"/>
        <v>0</v>
      </c>
      <c r="I2519" s="1654">
        <f t="shared" si="1518"/>
        <v>0</v>
      </c>
      <c r="K2519" s="1943"/>
      <c r="L2519" s="1921"/>
      <c r="M2519" s="1943"/>
      <c r="N2519" s="1921"/>
      <c r="O2519" s="1943"/>
      <c r="P2519" s="1921"/>
      <c r="Q2519" s="1943"/>
      <c r="R2519" s="1921"/>
      <c r="S2519" s="1654"/>
      <c r="T2519" s="1648"/>
      <c r="U2519" s="1654"/>
      <c r="V2519" s="1648"/>
      <c r="W2519" s="1654"/>
      <c r="X2519" s="1648"/>
      <c r="Y2519" s="1654"/>
      <c r="AI2519" s="2023">
        <f>W2519-'Blocking-Step2'!W2519</f>
        <v>0</v>
      </c>
      <c r="AJ2519" s="2054">
        <f>O2519-'Blocking-Step2'!O2519</f>
        <v>0</v>
      </c>
    </row>
    <row r="2520" spans="1:36" hidden="1">
      <c r="A2520" s="1900" t="s">
        <v>1240</v>
      </c>
      <c r="C2520" s="584"/>
      <c r="D2520" s="584"/>
      <c r="F2520" s="1930">
        <v>-3.1800000000000002E-2</v>
      </c>
      <c r="G2520" s="597"/>
      <c r="H2520" s="1644">
        <f>SUM(H2514:H2515,H2517:H2519)*$F2520</f>
        <v>0</v>
      </c>
      <c r="I2520" s="1644">
        <f>SUM(I2514:I2515,I2517:I2519)*$F2520</f>
        <v>0</v>
      </c>
      <c r="K2520" s="1930"/>
      <c r="L2520" s="597"/>
      <c r="M2520" s="1930"/>
      <c r="N2520" s="597"/>
      <c r="O2520" s="1931" t="str">
        <f>$O$43</f>
        <v>Tax Year 1 (1/1/2021)</v>
      </c>
      <c r="P2520" s="597"/>
      <c r="Q2520" s="1930">
        <f t="shared" ref="Q2520:Q2521" si="1519">Q2312</f>
        <v>-1.46E-2</v>
      </c>
      <c r="R2520" s="597"/>
      <c r="S2520" s="1644"/>
      <c r="T2520" s="1645"/>
      <c r="U2520" s="1644"/>
      <c r="V2520" s="1645"/>
      <c r="W2520" s="1644"/>
      <c r="X2520" s="1645"/>
      <c r="Y2520" s="1644">
        <f>Q2520*SUM(Y2508:Y2513)</f>
        <v>0</v>
      </c>
      <c r="AI2520" s="2023">
        <f>W2520-'Blocking-Step2'!W2520</f>
        <v>0</v>
      </c>
      <c r="AJ2520" s="2054">
        <f>O2520-'Blocking-Step2'!O2520</f>
        <v>0</v>
      </c>
    </row>
    <row r="2521" spans="1:36" hidden="1">
      <c r="A2521" s="1900"/>
      <c r="C2521" s="584"/>
      <c r="D2521" s="584"/>
      <c r="F2521" s="1930"/>
      <c r="G2521" s="597"/>
      <c r="H2521" s="1644"/>
      <c r="I2521" s="1644"/>
      <c r="K2521" s="1930"/>
      <c r="L2521" s="597"/>
      <c r="M2521" s="1930"/>
      <c r="N2521" s="597"/>
      <c r="O2521" s="1931">
        <f>$O$44</f>
        <v>0</v>
      </c>
      <c r="P2521" s="597"/>
      <c r="Q2521" s="1930">
        <f t="shared" si="1519"/>
        <v>0</v>
      </c>
      <c r="R2521" s="597"/>
      <c r="S2521" s="1644"/>
      <c r="T2521" s="1645"/>
      <c r="U2521" s="1644"/>
      <c r="V2521" s="1645"/>
      <c r="W2521" s="1644"/>
      <c r="X2521" s="1645"/>
      <c r="Y2521" s="1644">
        <f>Q2521*SUM(Y2508:Y2513)</f>
        <v>0</v>
      </c>
      <c r="AI2521" s="2023">
        <f>W2521-'Blocking-Step2'!W2521</f>
        <v>0</v>
      </c>
      <c r="AJ2521" s="2054">
        <f>O2521-'Blocking-Step2'!O2521</f>
        <v>0</v>
      </c>
    </row>
    <row r="2522" spans="1:36" hidden="1">
      <c r="A2522" s="1897" t="s">
        <v>444</v>
      </c>
      <c r="C2522" s="528"/>
      <c r="D2522" s="528"/>
      <c r="F2522" s="1943"/>
      <c r="G2522" s="1921"/>
      <c r="H2522" s="1644"/>
      <c r="I2522" s="1644"/>
      <c r="K2522" s="1943"/>
      <c r="L2522" s="1921"/>
      <c r="M2522" s="1943"/>
      <c r="N2522" s="1921"/>
      <c r="O2522" s="1943"/>
      <c r="P2522" s="1921"/>
      <c r="Q2522" s="1943"/>
      <c r="R2522" s="1921"/>
      <c r="S2522" s="1644"/>
      <c r="T2522" s="1648"/>
      <c r="U2522" s="1644"/>
      <c r="V2522" s="1648"/>
      <c r="W2522" s="1644"/>
      <c r="X2522" s="1648"/>
      <c r="Y2522" s="1644"/>
      <c r="AI2522" s="2023">
        <f>W2522-'Blocking-Step2'!W2522</f>
        <v>0</v>
      </c>
      <c r="AJ2522" s="2054">
        <f>O2522-'Blocking-Step2'!O2522</f>
        <v>0</v>
      </c>
    </row>
    <row r="2523" spans="1:36" hidden="1">
      <c r="A2523" s="1900" t="s">
        <v>168</v>
      </c>
      <c r="C2523" s="528">
        <f>'31'!K4</f>
        <v>91799</v>
      </c>
      <c r="D2523" s="528">
        <f>ROUND(C2523/$C$2539*$D$2539,0)</f>
        <v>111118</v>
      </c>
      <c r="F2523" s="1944">
        <v>2.2200000000000002</v>
      </c>
      <c r="G2523" s="597"/>
      <c r="H2523" s="1644">
        <f t="shared" ref="H2523:I2531" si="1520">ROUND($F2523*C2523,0)</f>
        <v>203794</v>
      </c>
      <c r="I2523" s="1644">
        <f t="shared" si="1520"/>
        <v>246682</v>
      </c>
      <c r="K2523" s="1944">
        <f t="shared" ref="K2523:K2529" si="1521">K2315</f>
        <v>2.27</v>
      </c>
      <c r="L2523" s="597"/>
      <c r="M2523" s="1944">
        <f t="shared" ref="M2523:M2529" si="1522">M2315</f>
        <v>0</v>
      </c>
      <c r="N2523" s="597"/>
      <c r="O2523" s="1944">
        <f t="shared" ref="O2523:Q2529" si="1523">O2315</f>
        <v>0</v>
      </c>
      <c r="P2523" s="597"/>
      <c r="Q2523" s="1944">
        <f t="shared" si="1523"/>
        <v>2.27</v>
      </c>
      <c r="R2523" s="597"/>
      <c r="S2523" s="1644">
        <f t="shared" ref="S2523:Y2525" si="1524">ROUND($D2523*K2523,0)</f>
        <v>252238</v>
      </c>
      <c r="T2523" s="1645"/>
      <c r="U2523" s="1644">
        <f t="shared" si="1524"/>
        <v>0</v>
      </c>
      <c r="V2523" s="1645"/>
      <c r="W2523" s="1644">
        <f t="shared" si="1524"/>
        <v>0</v>
      </c>
      <c r="X2523" s="1645"/>
      <c r="Y2523" s="1644">
        <f t="shared" si="1524"/>
        <v>252238</v>
      </c>
      <c r="Z2523" s="1878" t="s">
        <v>251</v>
      </c>
      <c r="AI2523" s="2023">
        <f>W2523-'Blocking-Step2'!W2523</f>
        <v>0</v>
      </c>
      <c r="AJ2523" s="2054">
        <f>O2523-'Blocking-Step2'!O2523</f>
        <v>0</v>
      </c>
    </row>
    <row r="2524" spans="1:36" hidden="1">
      <c r="A2524" s="1900" t="s">
        <v>1651</v>
      </c>
      <c r="C2524" s="528">
        <f>C2530*Z2524</f>
        <v>26466.412372929644</v>
      </c>
      <c r="D2524" s="528">
        <f>ROUND(C2524/$C$2539*$D$2539,0)</f>
        <v>32036</v>
      </c>
      <c r="F2524" s="1944"/>
      <c r="G2524" s="597"/>
      <c r="H2524" s="1644"/>
      <c r="I2524" s="1644"/>
      <c r="K2524" s="1944">
        <f t="shared" si="1521"/>
        <v>4.6900000000000004</v>
      </c>
      <c r="L2524" s="597"/>
      <c r="M2524" s="1944">
        <f t="shared" si="1522"/>
        <v>9.61</v>
      </c>
      <c r="N2524" s="597"/>
      <c r="O2524" s="1944">
        <f t="shared" si="1523"/>
        <v>0</v>
      </c>
      <c r="P2524" s="597"/>
      <c r="Q2524" s="1944">
        <f t="shared" si="1523"/>
        <v>14.3</v>
      </c>
      <c r="R2524" s="597"/>
      <c r="S2524" s="1644">
        <f t="shared" si="1524"/>
        <v>150249</v>
      </c>
      <c r="T2524" s="1645"/>
      <c r="U2524" s="1644">
        <f t="shared" si="1524"/>
        <v>307866</v>
      </c>
      <c r="V2524" s="1645"/>
      <c r="W2524" s="1644">
        <f t="shared" si="1524"/>
        <v>0</v>
      </c>
      <c r="X2524" s="1645"/>
      <c r="Y2524" s="1644">
        <f t="shared" si="1524"/>
        <v>458115</v>
      </c>
      <c r="Z2524" s="1878">
        <f t="shared" ref="Z2524:Z2527" si="1525">Z2420</f>
        <v>0.81143000192935111</v>
      </c>
      <c r="AI2524" s="2023">
        <f>W2524-'Blocking-Step2'!W2524</f>
        <v>0</v>
      </c>
      <c r="AJ2524" s="2054">
        <f>O2524-'Blocking-Step2'!O2524</f>
        <v>0</v>
      </c>
    </row>
    <row r="2525" spans="1:36" hidden="1">
      <c r="A2525" s="1900" t="s">
        <v>1652</v>
      </c>
      <c r="C2525" s="528">
        <f>C2531*Z2525</f>
        <v>65712.72448205555</v>
      </c>
      <c r="D2525" s="528">
        <f>ROUND(C2525/$C$2539*$D$2539,0)</f>
        <v>79542</v>
      </c>
      <c r="F2525" s="1944"/>
      <c r="G2525" s="597"/>
      <c r="H2525" s="1644"/>
      <c r="I2525" s="1644"/>
      <c r="K2525" s="1944">
        <f t="shared" si="1521"/>
        <v>4.1500000000000004</v>
      </c>
      <c r="L2525" s="597"/>
      <c r="M2525" s="1944">
        <f t="shared" si="1522"/>
        <v>8.5</v>
      </c>
      <c r="N2525" s="597"/>
      <c r="O2525" s="1944">
        <f t="shared" si="1523"/>
        <v>0</v>
      </c>
      <c r="P2525" s="597"/>
      <c r="Q2525" s="1944">
        <f t="shared" si="1523"/>
        <v>12.65</v>
      </c>
      <c r="R2525" s="597"/>
      <c r="S2525" s="1644">
        <f t="shared" si="1524"/>
        <v>330099</v>
      </c>
      <c r="T2525" s="1645"/>
      <c r="U2525" s="1644">
        <f t="shared" si="1524"/>
        <v>676107</v>
      </c>
      <c r="V2525" s="1645"/>
      <c r="W2525" s="1644">
        <f t="shared" si="1524"/>
        <v>0</v>
      </c>
      <c r="X2525" s="1645"/>
      <c r="Y2525" s="1644">
        <f t="shared" si="1524"/>
        <v>1006206</v>
      </c>
      <c r="Z2525" s="1878">
        <f t="shared" si="1525"/>
        <v>1.1359353572586484</v>
      </c>
      <c r="AI2525" s="2023">
        <f>W2525-'Blocking-Step2'!W2525</f>
        <v>0</v>
      </c>
      <c r="AJ2525" s="2054">
        <f>O2525-'Blocking-Step2'!O2525</f>
        <v>0</v>
      </c>
    </row>
    <row r="2526" spans="1:36" hidden="1">
      <c r="A2526" s="1900" t="s">
        <v>1532</v>
      </c>
      <c r="C2526" s="528">
        <f>C2532*Z2526</f>
        <v>3857203.6053539133</v>
      </c>
      <c r="D2526" s="528">
        <f>ROUND(C2526/($C$2539-$C$2538)*$D$2539,0)</f>
        <v>4593259</v>
      </c>
      <c r="F2526" s="1942"/>
      <c r="G2526" s="1921"/>
      <c r="H2526" s="1644"/>
      <c r="I2526" s="1644"/>
      <c r="K2526" s="1942">
        <f t="shared" si="1521"/>
        <v>0</v>
      </c>
      <c r="L2526" s="1921" t="s">
        <v>495</v>
      </c>
      <c r="M2526" s="1942">
        <f t="shared" si="1522"/>
        <v>1.0266514814000001</v>
      </c>
      <c r="N2526" s="1921" t="s">
        <v>495</v>
      </c>
      <c r="O2526" s="1942">
        <f t="shared" si="1523"/>
        <v>4.1108761607000002</v>
      </c>
      <c r="P2526" s="1921" t="s">
        <v>495</v>
      </c>
      <c r="Q2526" s="1942">
        <f t="shared" si="1523"/>
        <v>5.1375276421000002</v>
      </c>
      <c r="R2526" s="1921" t="s">
        <v>495</v>
      </c>
      <c r="S2526" s="1644">
        <f>ROUND($D2526*K2526/100,0)</f>
        <v>0</v>
      </c>
      <c r="T2526" s="1648"/>
      <c r="U2526" s="1644">
        <f>ROUND($D2526*M2526/100,0)</f>
        <v>47157</v>
      </c>
      <c r="V2526" s="1648"/>
      <c r="W2526" s="1644">
        <f>ROUND($D2526*O2526/100,0)</f>
        <v>188823</v>
      </c>
      <c r="X2526" s="1648"/>
      <c r="Y2526" s="1644">
        <f>ROUND($D2526*Q2526/100,0)</f>
        <v>235980</v>
      </c>
      <c r="Z2526" s="1878">
        <f t="shared" si="1525"/>
        <v>0.69164135480564293</v>
      </c>
      <c r="AI2526" s="2023">
        <f>W2526-'Blocking-Step2'!W2526</f>
        <v>0</v>
      </c>
      <c r="AJ2526" s="2054">
        <f>O2526-'Blocking-Step2'!O2526</f>
        <v>0</v>
      </c>
    </row>
    <row r="2527" spans="1:36" hidden="1">
      <c r="A2527" s="1900" t="s">
        <v>1653</v>
      </c>
      <c r="C2527" s="528">
        <f>C2533*Z2527</f>
        <v>6953710.2220234424</v>
      </c>
      <c r="D2527" s="528">
        <f>ROUND(C2527/($C$2539-$C$2538)*$D$2539,0)</f>
        <v>8280661</v>
      </c>
      <c r="F2527" s="1942"/>
      <c r="G2527" s="1921"/>
      <c r="H2527" s="1644"/>
      <c r="I2527" s="1644"/>
      <c r="K2527" s="1942">
        <f t="shared" si="1521"/>
        <v>0</v>
      </c>
      <c r="L2527" s="1921" t="s">
        <v>495</v>
      </c>
      <c r="M2527" s="1942">
        <f t="shared" si="1522"/>
        <v>1.0342499835399996</v>
      </c>
      <c r="N2527" s="1921" t="s">
        <v>495</v>
      </c>
      <c r="O2527" s="1942">
        <f t="shared" si="1523"/>
        <v>3.5122346554870001</v>
      </c>
      <c r="P2527" s="1921" t="s">
        <v>495</v>
      </c>
      <c r="Q2527" s="1942">
        <f t="shared" si="1523"/>
        <v>4.5464846390269997</v>
      </c>
      <c r="R2527" s="1921" t="s">
        <v>495</v>
      </c>
      <c r="S2527" s="1644">
        <f t="shared" ref="S2527:Y2529" si="1526">ROUND($D2527*K2527/100,0)</f>
        <v>0</v>
      </c>
      <c r="T2527" s="1648"/>
      <c r="U2527" s="1644">
        <f t="shared" si="1526"/>
        <v>85643</v>
      </c>
      <c r="V2527" s="1648"/>
      <c r="W2527" s="1644">
        <f t="shared" si="1526"/>
        <v>290836</v>
      </c>
      <c r="X2527" s="1648"/>
      <c r="Y2527" s="1644">
        <f t="shared" si="1526"/>
        <v>376479</v>
      </c>
      <c r="Z2527" s="1878">
        <f t="shared" si="1525"/>
        <v>0.49962363006591026</v>
      </c>
      <c r="AI2527" s="2023">
        <f>W2527-'Blocking-Step2'!W2527</f>
        <v>0</v>
      </c>
      <c r="AJ2527" s="2054">
        <f>O2527-'Blocking-Step2'!O2527</f>
        <v>0</v>
      </c>
    </row>
    <row r="2528" spans="1:36" hidden="1">
      <c r="A2528" s="1900" t="s">
        <v>1533</v>
      </c>
      <c r="C2528" s="528">
        <f>SUM(C2532:C2534)*Z2528</f>
        <v>13709027.765005577</v>
      </c>
      <c r="D2528" s="528">
        <f>ROUND(C2528/($C$2539-$C$2538)*$D$2539,0)</f>
        <v>16325070</v>
      </c>
      <c r="F2528" s="1942"/>
      <c r="G2528" s="1921"/>
      <c r="H2528" s="1644"/>
      <c r="I2528" s="1644"/>
      <c r="K2528" s="1942">
        <f t="shared" si="1521"/>
        <v>0</v>
      </c>
      <c r="L2528" s="1921" t="s">
        <v>495</v>
      </c>
      <c r="M2528" s="1942">
        <f t="shared" si="1522"/>
        <v>1.0591286997309999</v>
      </c>
      <c r="N2528" s="1921" t="s">
        <v>495</v>
      </c>
      <c r="O2528" s="1942">
        <f t="shared" si="1523"/>
        <v>1.5521862361710002</v>
      </c>
      <c r="P2528" s="1921" t="s">
        <v>495</v>
      </c>
      <c r="Q2528" s="1942">
        <f t="shared" si="1523"/>
        <v>2.611314935902</v>
      </c>
      <c r="R2528" s="1921" t="s">
        <v>495</v>
      </c>
      <c r="S2528" s="1644">
        <f t="shared" si="1526"/>
        <v>0</v>
      </c>
      <c r="T2528" s="1648"/>
      <c r="U2528" s="1644">
        <f t="shared" si="1526"/>
        <v>172904</v>
      </c>
      <c r="V2528" s="1648"/>
      <c r="W2528" s="1644">
        <f t="shared" si="1526"/>
        <v>253395</v>
      </c>
      <c r="X2528" s="1648"/>
      <c r="Y2528" s="1644">
        <f t="shared" si="1526"/>
        <v>426299</v>
      </c>
      <c r="Z2528" s="1878">
        <f>Z2424</f>
        <v>0.27196615788867357</v>
      </c>
      <c r="AI2528" s="2023">
        <f>W2528-'Blocking-Step2'!W2528</f>
        <v>0</v>
      </c>
      <c r="AJ2528" s="2054">
        <f>O2528-'Blocking-Step2'!O2528</f>
        <v>0</v>
      </c>
    </row>
    <row r="2529" spans="1:36" hidden="1">
      <c r="A2529" s="1900" t="s">
        <v>2177</v>
      </c>
      <c r="C2529" s="528">
        <f>SUM(C2532:C2534)-SUM(C2526:C2528)</f>
        <v>25887167.407617066</v>
      </c>
      <c r="D2529" s="528">
        <f>D2539-SUM(D2510:D2513,D2526:D2528)</f>
        <v>30827119</v>
      </c>
      <c r="F2529" s="2004"/>
      <c r="G2529" s="1921"/>
      <c r="H2529" s="1649"/>
      <c r="I2529" s="1649"/>
      <c r="K2529" s="2004">
        <f t="shared" si="1521"/>
        <v>0</v>
      </c>
      <c r="L2529" s="1921" t="s">
        <v>495</v>
      </c>
      <c r="M2529" s="2004">
        <f t="shared" si="1522"/>
        <v>1.0629908847180001</v>
      </c>
      <c r="N2529" s="1921" t="s">
        <v>495</v>
      </c>
      <c r="O2529" s="2004">
        <f t="shared" si="1523"/>
        <v>1.247907288647</v>
      </c>
      <c r="P2529" s="1921" t="s">
        <v>495</v>
      </c>
      <c r="Q2529" s="2004">
        <f t="shared" si="1523"/>
        <v>2.310898173365</v>
      </c>
      <c r="R2529" s="1921" t="s">
        <v>495</v>
      </c>
      <c r="S2529" s="1644">
        <f t="shared" si="1526"/>
        <v>0</v>
      </c>
      <c r="T2529" s="1648"/>
      <c r="U2529" s="1644">
        <f t="shared" si="1526"/>
        <v>327689</v>
      </c>
      <c r="V2529" s="1648"/>
      <c r="W2529" s="1644">
        <f t="shared" si="1526"/>
        <v>384694</v>
      </c>
      <c r="X2529" s="1648"/>
      <c r="Y2529" s="1644">
        <f t="shared" si="1526"/>
        <v>712383</v>
      </c>
      <c r="AI2529" s="2023">
        <f>W2529-'Blocking-Step2'!W2529</f>
        <v>0</v>
      </c>
      <c r="AJ2529" s="2054">
        <f>O2529-'Blocking-Step2'!O2529</f>
        <v>0</v>
      </c>
    </row>
    <row r="2530" spans="1:36" hidden="1">
      <c r="A2530" s="1900" t="s">
        <v>18</v>
      </c>
      <c r="C2530" s="528">
        <f>'31'!W4</f>
        <v>32617</v>
      </c>
      <c r="D2530" s="528">
        <f>ROUND(C2530/$C$2539*$D$2539,0)</f>
        <v>39481</v>
      </c>
      <c r="F2530" s="1944">
        <v>13.96</v>
      </c>
      <c r="G2530" s="597"/>
      <c r="H2530" s="1644">
        <f t="shared" si="1520"/>
        <v>455333</v>
      </c>
      <c r="I2530" s="1644">
        <f t="shared" si="1520"/>
        <v>551155</v>
      </c>
      <c r="K2530" s="1944"/>
      <c r="L2530" s="597"/>
      <c r="M2530" s="1944"/>
      <c r="N2530" s="597"/>
      <c r="O2530" s="1944"/>
      <c r="P2530" s="597"/>
      <c r="Q2530" s="1944"/>
      <c r="R2530" s="597"/>
      <c r="S2530" s="1644"/>
      <c r="T2530" s="1645"/>
      <c r="U2530" s="1644"/>
      <c r="V2530" s="1645"/>
      <c r="W2530" s="1644"/>
      <c r="X2530" s="1645"/>
      <c r="Y2530" s="1644"/>
      <c r="AI2530" s="2023">
        <f>W2530-'Blocking-Step2'!W2530</f>
        <v>0</v>
      </c>
      <c r="AJ2530" s="2054">
        <f>O2530-'Blocking-Step2'!O2530</f>
        <v>0</v>
      </c>
    </row>
    <row r="2531" spans="1:36" hidden="1">
      <c r="A2531" s="1900" t="s">
        <v>166</v>
      </c>
      <c r="C2531" s="528">
        <f>'31'!X4</f>
        <v>57849</v>
      </c>
      <c r="D2531" s="528">
        <f>ROUND(C2531/$C$2539*$D$2539,0)</f>
        <v>70023</v>
      </c>
      <c r="F2531" s="1944">
        <v>9.4700000000000006</v>
      </c>
      <c r="G2531" s="597"/>
      <c r="H2531" s="1644">
        <f t="shared" si="1520"/>
        <v>547830</v>
      </c>
      <c r="I2531" s="1644">
        <f t="shared" si="1520"/>
        <v>663118</v>
      </c>
      <c r="K2531" s="1944"/>
      <c r="L2531" s="597"/>
      <c r="M2531" s="1944"/>
      <c r="N2531" s="597"/>
      <c r="O2531" s="1944"/>
      <c r="P2531" s="597"/>
      <c r="Q2531" s="1944"/>
      <c r="R2531" s="597"/>
      <c r="S2531" s="1644"/>
      <c r="T2531" s="1645"/>
      <c r="U2531" s="1644"/>
      <c r="V2531" s="1645"/>
      <c r="W2531" s="1644"/>
      <c r="X2531" s="1645"/>
      <c r="Y2531" s="1644"/>
      <c r="AI2531" s="2023">
        <f>W2531-'Blocking-Step2'!W2531</f>
        <v>0</v>
      </c>
      <c r="AJ2531" s="2054">
        <f>O2531-'Blocking-Step2'!O2531</f>
        <v>0</v>
      </c>
    </row>
    <row r="2532" spans="1:36" hidden="1">
      <c r="A2532" s="1900" t="s">
        <v>19</v>
      </c>
      <c r="C2532" s="528">
        <f>'31'!AA4</f>
        <v>5576884</v>
      </c>
      <c r="D2532" s="528">
        <f>ROUND(C2532/($C$2539-$C$2538)*$D$2539,0)</f>
        <v>6641100</v>
      </c>
      <c r="F2532" s="1942">
        <v>4.6531000000000002</v>
      </c>
      <c r="G2532" s="1921" t="s">
        <v>495</v>
      </c>
      <c r="H2532" s="1644">
        <f t="shared" ref="H2532:I2534" si="1527">ROUND($F2532*C2532/100,0)</f>
        <v>259498</v>
      </c>
      <c r="I2532" s="1644">
        <f t="shared" si="1527"/>
        <v>309017</v>
      </c>
      <c r="K2532" s="1942"/>
      <c r="L2532" s="1921"/>
      <c r="M2532" s="1942"/>
      <c r="N2532" s="1921"/>
      <c r="O2532" s="1942"/>
      <c r="P2532" s="1921"/>
      <c r="Q2532" s="1942"/>
      <c r="R2532" s="1921"/>
      <c r="S2532" s="1644"/>
      <c r="T2532" s="1648"/>
      <c r="U2532" s="1644"/>
      <c r="V2532" s="1648"/>
      <c r="W2532" s="1644"/>
      <c r="X2532" s="1648"/>
      <c r="Y2532" s="1644"/>
      <c r="AI2532" s="2023">
        <f>W2532-'Blocking-Step2'!W2532</f>
        <v>0</v>
      </c>
      <c r="AJ2532" s="2054">
        <f>O2532-'Blocking-Step2'!O2532</f>
        <v>0</v>
      </c>
    </row>
    <row r="2533" spans="1:36" hidden="1">
      <c r="A2533" s="1900" t="s">
        <v>257</v>
      </c>
      <c r="C2533" s="528">
        <f>'31'!AB4</f>
        <v>13917897</v>
      </c>
      <c r="D2533" s="528">
        <f>ROUND(C2533/($C$2539-$C$2538)*$D$2539,0)</f>
        <v>16573797</v>
      </c>
      <c r="F2533" s="1942">
        <v>3.4988999999999999</v>
      </c>
      <c r="G2533" s="1921" t="s">
        <v>495</v>
      </c>
      <c r="H2533" s="1644">
        <f t="shared" si="1527"/>
        <v>486973</v>
      </c>
      <c r="I2533" s="1644">
        <f t="shared" si="1527"/>
        <v>579901</v>
      </c>
      <c r="K2533" s="1942"/>
      <c r="L2533" s="1921"/>
      <c r="M2533" s="1942"/>
      <c r="N2533" s="1921"/>
      <c r="O2533" s="1942"/>
      <c r="P2533" s="1921"/>
      <c r="Q2533" s="1942"/>
      <c r="R2533" s="1921"/>
      <c r="S2533" s="1644"/>
      <c r="T2533" s="1648"/>
      <c r="U2533" s="1644"/>
      <c r="V2533" s="1648"/>
      <c r="W2533" s="1644"/>
      <c r="X2533" s="1648"/>
      <c r="Y2533" s="1644"/>
      <c r="AI2533" s="2023">
        <f>W2533-'Blocking-Step2'!W2533</f>
        <v>0</v>
      </c>
      <c r="AJ2533" s="2054">
        <f>O2533-'Blocking-Step2'!O2533</f>
        <v>0</v>
      </c>
    </row>
    <row r="2534" spans="1:36" hidden="1">
      <c r="A2534" s="1900" t="s">
        <v>249</v>
      </c>
      <c r="C2534" s="586">
        <f>'31'!AC4</f>
        <v>30912328</v>
      </c>
      <c r="D2534" s="586">
        <f>ROUND(C2534/($C$2539-$C$2538)*$D$2539,0)</f>
        <v>36811212</v>
      </c>
      <c r="F2534" s="2004">
        <v>2.9224999999999999</v>
      </c>
      <c r="G2534" s="1921" t="s">
        <v>495</v>
      </c>
      <c r="H2534" s="1649">
        <f t="shared" si="1527"/>
        <v>903413</v>
      </c>
      <c r="I2534" s="1649">
        <f t="shared" si="1527"/>
        <v>1075808</v>
      </c>
      <c r="K2534" s="2004"/>
      <c r="L2534" s="1921"/>
      <c r="M2534" s="2004"/>
      <c r="N2534" s="1921"/>
      <c r="O2534" s="2004"/>
      <c r="P2534" s="1921"/>
      <c r="Q2534" s="2004"/>
      <c r="R2534" s="1921"/>
      <c r="S2534" s="1649"/>
      <c r="T2534" s="1648"/>
      <c r="U2534" s="1649"/>
      <c r="V2534" s="1648"/>
      <c r="W2534" s="1649"/>
      <c r="X2534" s="1648"/>
      <c r="Y2534" s="1649"/>
      <c r="AI2534" s="2023">
        <f>W2534-'Blocking-Step2'!W2534</f>
        <v>0</v>
      </c>
      <c r="AJ2534" s="2054">
        <f>O2534-'Blocking-Step2'!O2534</f>
        <v>0</v>
      </c>
    </row>
    <row r="2535" spans="1:36" hidden="1">
      <c r="A2535" s="1900" t="s">
        <v>1240</v>
      </c>
      <c r="C2535" s="584"/>
      <c r="D2535" s="584"/>
      <c r="F2535" s="2005">
        <v>-3.0700000000000002E-2</v>
      </c>
      <c r="G2535" s="597"/>
      <c r="H2535" s="2006">
        <f>SUM(H2530:H2534)*$F2535</f>
        <v>-81448.5429</v>
      </c>
      <c r="I2535" s="2006">
        <f>SUM(I2530:I2534)*$F2535</f>
        <v>-97595.2693</v>
      </c>
      <c r="K2535" s="2005"/>
      <c r="L2535" s="597"/>
      <c r="M2535" s="2005"/>
      <c r="N2535" s="597"/>
      <c r="O2535" s="1931" t="str">
        <f>$O$43</f>
        <v>Tax Year 1 (1/1/2021)</v>
      </c>
      <c r="P2535" s="597"/>
      <c r="Q2535" s="1930">
        <f t="shared" ref="Q2535:Q2536" si="1528">Q2327</f>
        <v>-1.41E-2</v>
      </c>
      <c r="R2535" s="597"/>
      <c r="S2535" s="1644"/>
      <c r="T2535" s="1645"/>
      <c r="U2535" s="1644"/>
      <c r="V2535" s="1645"/>
      <c r="W2535" s="1644"/>
      <c r="X2535" s="1645"/>
      <c r="Y2535" s="1644">
        <f>Q2535*SUM(Y2524:Y2529)</f>
        <v>-45338.014199999998</v>
      </c>
      <c r="AI2535" s="2023">
        <f>W2535-'Blocking-Step2'!W2535</f>
        <v>0</v>
      </c>
      <c r="AJ2535" s="2054">
        <f>O2535-'Blocking-Step2'!O2535</f>
        <v>0</v>
      </c>
    </row>
    <row r="2536" spans="1:36" hidden="1">
      <c r="A2536" s="1900"/>
      <c r="C2536" s="584"/>
      <c r="D2536" s="584"/>
      <c r="F2536" s="1997"/>
      <c r="G2536" s="597"/>
      <c r="H2536" s="1645"/>
      <c r="I2536" s="1645"/>
      <c r="K2536" s="1997"/>
      <c r="L2536" s="597"/>
      <c r="M2536" s="1997"/>
      <c r="N2536" s="597"/>
      <c r="O2536" s="1931">
        <f>$O$44</f>
        <v>0</v>
      </c>
      <c r="P2536" s="597"/>
      <c r="Q2536" s="1930">
        <f t="shared" si="1528"/>
        <v>0</v>
      </c>
      <c r="R2536" s="597"/>
      <c r="S2536" s="1644"/>
      <c r="T2536" s="1645"/>
      <c r="U2536" s="1644"/>
      <c r="V2536" s="1645"/>
      <c r="W2536" s="1644"/>
      <c r="X2536" s="1645"/>
      <c r="Y2536" s="1644">
        <f>Q2536*SUM(Y2524:Y2529)</f>
        <v>0</v>
      </c>
      <c r="AI2536" s="2023">
        <f>W2536-'Blocking-Step2'!W2536</f>
        <v>0</v>
      </c>
      <c r="AJ2536" s="2054">
        <f>O2536-'Blocking-Step2'!O2536</f>
        <v>0</v>
      </c>
    </row>
    <row r="2537" spans="1:36" hidden="1">
      <c r="A2537" s="1900" t="s">
        <v>397</v>
      </c>
      <c r="C2537" s="584"/>
      <c r="D2537" s="584"/>
      <c r="F2537" s="1872"/>
      <c r="G2537" s="1921"/>
      <c r="H2537" s="1645">
        <f>SUM(H2507:H2535)</f>
        <v>2775392.4571000002</v>
      </c>
      <c r="I2537" s="1645">
        <f>SUM(I2507:I2535)</f>
        <v>3328085.7307000002</v>
      </c>
      <c r="K2537" s="1872"/>
      <c r="L2537" s="1921"/>
      <c r="M2537" s="1872"/>
      <c r="N2537" s="1921"/>
      <c r="O2537" s="1872"/>
      <c r="P2537" s="1921"/>
      <c r="Q2537" s="1872"/>
      <c r="R2537" s="1921"/>
      <c r="S2537" s="1645">
        <f>SUM(S2507:S2519,S2523:S2534)</f>
        <v>732586</v>
      </c>
      <c r="T2537" s="1648"/>
      <c r="U2537" s="1645">
        <f>SUM(U2507:U2519,U2523:U2534)</f>
        <v>1617366</v>
      </c>
      <c r="V2537" s="1648"/>
      <c r="W2537" s="1645">
        <f>SUM(W2507:W2519,W2523:W2534)</f>
        <v>1117748</v>
      </c>
      <c r="X2537" s="1648"/>
      <c r="Y2537" s="1645">
        <f>SUM(Y2507:Y2519,Y2523:Y2534)</f>
        <v>3467700</v>
      </c>
      <c r="AI2537" s="2023">
        <f>W2537-'Blocking-Step2'!W2537</f>
        <v>0</v>
      </c>
      <c r="AJ2537" s="2054">
        <f>O2537-'Blocking-Step2'!O2537</f>
        <v>0</v>
      </c>
    </row>
    <row r="2538" spans="1:36" hidden="1">
      <c r="A2538" s="1869" t="s">
        <v>136</v>
      </c>
      <c r="C2538" s="585">
        <f>'Table 2'!J98</f>
        <v>-817118</v>
      </c>
      <c r="D2538" s="585">
        <v>0</v>
      </c>
      <c r="F2538" s="1943"/>
      <c r="G2538" s="1957"/>
      <c r="H2538" s="1030">
        <f>'Table 3'!F98</f>
        <v>-56334</v>
      </c>
      <c r="I2538" s="1030">
        <v>0</v>
      </c>
      <c r="K2538" s="1943"/>
      <c r="L2538" s="1957"/>
      <c r="M2538" s="1943"/>
      <c r="N2538" s="1957"/>
      <c r="O2538" s="1943"/>
      <c r="P2538" s="1957"/>
      <c r="Q2538" s="1943"/>
      <c r="R2538" s="1957"/>
      <c r="S2538" s="1030"/>
      <c r="T2538" s="1645"/>
      <c r="U2538" s="1030"/>
      <c r="V2538" s="1645"/>
      <c r="W2538" s="1030"/>
      <c r="X2538" s="1645"/>
      <c r="Y2538" s="1030"/>
      <c r="AI2538" s="2023">
        <f>W2538-'Blocking-Step2'!W2538</f>
        <v>0</v>
      </c>
      <c r="AJ2538" s="2054">
        <f>O2538-'Blocking-Step2'!O2538</f>
        <v>0</v>
      </c>
    </row>
    <row r="2539" spans="1:36" ht="16.5" hidden="1" thickBot="1">
      <c r="A2539" s="1900" t="s">
        <v>173</v>
      </c>
      <c r="C2539" s="1949">
        <f>SUM(C2517:C2519,C2532:C2534,C2538)</f>
        <v>49589991</v>
      </c>
      <c r="D2539" s="1949">
        <f>Energy!P67</f>
        <v>60026109</v>
      </c>
      <c r="F2539" s="1939"/>
      <c r="H2539" s="1647">
        <f>H2504+H2537+H2538</f>
        <v>3651323.4571000002</v>
      </c>
      <c r="I2539" s="1647">
        <f>I2504+I2537+I2538</f>
        <v>4451406.7307000002</v>
      </c>
      <c r="K2539" s="1939"/>
      <c r="M2539" s="1939"/>
      <c r="O2539" s="1939"/>
      <c r="Q2539" s="1939"/>
      <c r="S2539" s="1647">
        <f>S2504+S2537</f>
        <v>1540822</v>
      </c>
      <c r="U2539" s="1647">
        <f>U2504+U2537</f>
        <v>1951232</v>
      </c>
      <c r="W2539" s="1647">
        <f>W2504+W2537</f>
        <v>1117748</v>
      </c>
      <c r="Y2539" s="1647">
        <f>Y2504+Y2537</f>
        <v>4609802</v>
      </c>
      <c r="AA2539" s="1104" t="s">
        <v>1743</v>
      </c>
      <c r="AB2539" s="1890">
        <f>Y2539/I2539-1</f>
        <v>3.5583194006423957E-2</v>
      </c>
      <c r="AI2539" s="2023">
        <f>W2539-'Blocking-Step2'!W2539</f>
        <v>0</v>
      </c>
      <c r="AJ2539" s="2054">
        <f>O2539-'Blocking-Step2'!O2539</f>
        <v>0</v>
      </c>
    </row>
    <row r="2540" spans="1:36" s="1104" customFormat="1" ht="16.5" thickTop="1">
      <c r="A2540" s="1993"/>
      <c r="C2540" s="1105"/>
      <c r="D2540" s="1105"/>
      <c r="E2540" s="1105"/>
      <c r="F2540" s="1105"/>
      <c r="G2540" s="1106"/>
      <c r="H2540" s="1114"/>
      <c r="I2540" s="1627"/>
      <c r="S2540" s="1627"/>
      <c r="T2540" s="1627"/>
      <c r="U2540" s="1627"/>
      <c r="V2540" s="1627"/>
      <c r="W2540" s="1627"/>
      <c r="X2540" s="1627"/>
      <c r="Y2540" s="1627"/>
      <c r="Z2540" s="1497"/>
      <c r="AB2540" s="1874"/>
      <c r="AC2540" s="1874"/>
      <c r="AD2540" s="1874"/>
      <c r="AI2540" s="2023">
        <f>W2540-'Blocking-Step2'!W2540</f>
        <v>0</v>
      </c>
      <c r="AJ2540" s="2054">
        <f>O2540-'Blocking-Step2'!O2540</f>
        <v>0</v>
      </c>
    </row>
    <row r="2541" spans="1:36" s="1104" customFormat="1" ht="18.75">
      <c r="A2541" s="2007" t="s">
        <v>1488</v>
      </c>
      <c r="C2541" s="1105"/>
      <c r="D2541" s="1105"/>
      <c r="E2541" s="1105"/>
      <c r="F2541" s="1105"/>
      <c r="G2541" s="1106"/>
      <c r="H2541" s="1114"/>
      <c r="I2541" s="1627"/>
      <c r="S2541" s="1627"/>
      <c r="T2541" s="1627"/>
      <c r="U2541" s="1627"/>
      <c r="V2541" s="1627"/>
      <c r="W2541" s="1627"/>
      <c r="X2541" s="1627"/>
      <c r="Y2541" s="1627"/>
      <c r="Z2541" s="1497"/>
      <c r="AI2541" s="2023">
        <f>W2541-'Blocking-Step2'!W2541</f>
        <v>0</v>
      </c>
      <c r="AJ2541" s="2054">
        <f>O2541-'Blocking-Step2'!O2541</f>
        <v>0</v>
      </c>
    </row>
    <row r="2542" spans="1:36" s="1104" customFormat="1">
      <c r="A2542" s="1116" t="s">
        <v>1434</v>
      </c>
      <c r="C2542" s="1024"/>
      <c r="D2542" s="1024"/>
      <c r="E2542" s="1024"/>
      <c r="F2542" s="1024"/>
      <c r="G2542" s="1109"/>
      <c r="H2542" s="1628"/>
      <c r="I2542" s="1628"/>
      <c r="J2542" s="1109"/>
      <c r="K2542" s="1109"/>
      <c r="L2542" s="1109"/>
      <c r="M2542" s="1109"/>
      <c r="N2542" s="1109"/>
      <c r="O2542" s="1109"/>
      <c r="P2542" s="1109"/>
      <c r="Q2542" s="1109"/>
      <c r="R2542" s="1109"/>
      <c r="S2542" s="1628"/>
      <c r="T2542" s="1628"/>
      <c r="U2542" s="1628"/>
      <c r="V2542" s="1628"/>
      <c r="W2542" s="1628"/>
      <c r="X2542" s="1628"/>
      <c r="Y2542" s="1628"/>
      <c r="Z2542" s="1498"/>
      <c r="AA2542" s="1104" t="s">
        <v>1846</v>
      </c>
      <c r="AB2542" s="1024"/>
      <c r="AI2542" s="2023">
        <f>W2542-'Blocking-Step2'!W2542</f>
        <v>0</v>
      </c>
      <c r="AJ2542" s="2054">
        <f>O2542-'Blocking-Step2'!O2542</f>
        <v>0</v>
      </c>
    </row>
    <row r="2543" spans="1:36" s="1104" customFormat="1">
      <c r="A2543" s="1116" t="s">
        <v>1435</v>
      </c>
      <c r="B2543" s="1116"/>
      <c r="C2543" s="1024"/>
      <c r="D2543" s="1024"/>
      <c r="E2543" s="1024"/>
      <c r="F2543" s="1139">
        <v>54</v>
      </c>
      <c r="G2543" s="1110"/>
      <c r="H2543" s="1629"/>
      <c r="I2543" s="1146">
        <f>ROUND($F2543*D2543,0)</f>
        <v>0</v>
      </c>
      <c r="J2543" s="1114"/>
      <c r="K2543" s="2000">
        <f>ROUND($Q2543*K2231/$Q2231,2)</f>
        <v>55</v>
      </c>
      <c r="L2543" s="1902"/>
      <c r="M2543" s="2000">
        <f>Q2543-K2543-O2543</f>
        <v>0</v>
      </c>
      <c r="N2543" s="1902"/>
      <c r="O2543" s="2000">
        <f>'Blocking-Step2'!O2543</f>
        <v>0</v>
      </c>
      <c r="P2543" s="1114"/>
      <c r="Q2543" s="1139">
        <f>ROUND(F2543*(1+$AB$1483),0)</f>
        <v>55</v>
      </c>
      <c r="R2543" s="1114"/>
      <c r="S2543" s="1114">
        <f>ROUND($D2543*K2543,0)</f>
        <v>0</v>
      </c>
      <c r="T2543" s="1114"/>
      <c r="U2543" s="1114">
        <f>ROUND($D2543*M2543,0)</f>
        <v>0</v>
      </c>
      <c r="V2543" s="1114"/>
      <c r="W2543" s="1114">
        <f>ROUND($D2543*O2543,0)</f>
        <v>0</v>
      </c>
      <c r="X2543" s="1114"/>
      <c r="Y2543" s="1114">
        <f>ROUND($D2543*Q2543,0)</f>
        <v>0</v>
      </c>
      <c r="Z2543" s="1499"/>
      <c r="AA2543" s="1903" t="s">
        <v>1741</v>
      </c>
      <c r="AB2543" s="1904">
        <f>Y2606</f>
        <v>13405413</v>
      </c>
      <c r="AI2543" s="2023">
        <f>W2543-'Blocking-Step2'!W2543</f>
        <v>0</v>
      </c>
      <c r="AJ2543" s="2054">
        <f>O2543-'Blocking-Step2'!O2543</f>
        <v>0</v>
      </c>
    </row>
    <row r="2544" spans="1:36" s="1104" customFormat="1">
      <c r="A2544" s="1116" t="s">
        <v>1436</v>
      </c>
      <c r="B2544" s="1116"/>
      <c r="C2544" s="1024"/>
      <c r="D2544" s="1024"/>
      <c r="E2544" s="1024"/>
      <c r="F2544" s="1139">
        <v>70</v>
      </c>
      <c r="G2544" s="1110"/>
      <c r="H2544" s="1629"/>
      <c r="I2544" s="1146">
        <f>ROUND($F2544*D2544,0)</f>
        <v>0</v>
      </c>
      <c r="J2544" s="1114"/>
      <c r="K2544" s="2000">
        <f>ROUND($Q2544*K2543/$Q2543,2)</f>
        <v>72</v>
      </c>
      <c r="L2544" s="1902"/>
      <c r="M2544" s="2000">
        <f t="shared" ref="M2544:M2545" si="1529">Q2544-K2544-O2544</f>
        <v>0</v>
      </c>
      <c r="N2544" s="1902"/>
      <c r="O2544" s="2000">
        <f>'Blocking-Step2'!O2544</f>
        <v>0</v>
      </c>
      <c r="P2544" s="1114"/>
      <c r="Q2544" s="1139">
        <f>ROUND(F2544*(1+$AB$1483),0)</f>
        <v>72</v>
      </c>
      <c r="R2544" s="1114"/>
      <c r="S2544" s="1114">
        <f t="shared" ref="S2544:S2545" si="1530">ROUND($D2544*K2544,0)</f>
        <v>0</v>
      </c>
      <c r="T2544" s="1114"/>
      <c r="U2544" s="1114">
        <f t="shared" ref="U2544:U2545" si="1531">ROUND($D2544*M2544,0)</f>
        <v>0</v>
      </c>
      <c r="V2544" s="1114"/>
      <c r="W2544" s="1114">
        <f t="shared" ref="W2544:Y2545" si="1532">ROUND($D2544*O2544,0)</f>
        <v>0</v>
      </c>
      <c r="X2544" s="1114"/>
      <c r="Y2544" s="1114">
        <f t="shared" si="1532"/>
        <v>0</v>
      </c>
      <c r="Z2544" s="1499"/>
      <c r="AA2544" s="1905" t="s">
        <v>1742</v>
      </c>
      <c r="AB2544" s="1906">
        <f>'Blocking-Step2'!AB2544*RateSpread!$Q$87</f>
        <v>13325683.199941901</v>
      </c>
      <c r="AI2544" s="2023">
        <f>W2544-'Blocking-Step2'!W2544</f>
        <v>0</v>
      </c>
      <c r="AJ2544" s="2054">
        <f>O2544-'Blocking-Step2'!O2544</f>
        <v>0</v>
      </c>
    </row>
    <row r="2545" spans="1:36" s="1104" customFormat="1">
      <c r="A2545" s="1116" t="s">
        <v>1437</v>
      </c>
      <c r="B2545" s="1116"/>
      <c r="C2545" s="1024">
        <f>'32-9'!G2+'32'!G2</f>
        <v>36.133359073359102</v>
      </c>
      <c r="D2545" s="1105">
        <f>'32-forecast'!E17</f>
        <v>36</v>
      </c>
      <c r="E2545" s="1024"/>
      <c r="F2545" s="1140">
        <v>259</v>
      </c>
      <c r="G2545" s="617"/>
      <c r="H2545" s="1146">
        <f>ROUND($F2545*C2545,0)</f>
        <v>9359</v>
      </c>
      <c r="I2545" s="1146">
        <f>ROUND($F2545*D2545,0)</f>
        <v>9324</v>
      </c>
      <c r="J2545" s="1114"/>
      <c r="K2545" s="2000">
        <f>ROUND($Q2545*K2275/$Q2275,2)</f>
        <v>265</v>
      </c>
      <c r="L2545" s="1902"/>
      <c r="M2545" s="2000">
        <f t="shared" si="1529"/>
        <v>0</v>
      </c>
      <c r="N2545" s="1902"/>
      <c r="O2545" s="2000">
        <f>'Blocking-Step2'!O2545</f>
        <v>0</v>
      </c>
      <c r="P2545" s="1114"/>
      <c r="Q2545" s="1139">
        <f>ROUND(F2545*(1+$AB$1483),0)</f>
        <v>265</v>
      </c>
      <c r="R2545" s="1114"/>
      <c r="S2545" s="1114">
        <f t="shared" si="1530"/>
        <v>9540</v>
      </c>
      <c r="T2545" s="1114"/>
      <c r="U2545" s="1114">
        <f t="shared" si="1531"/>
        <v>0</v>
      </c>
      <c r="V2545" s="1114"/>
      <c r="W2545" s="1114">
        <f t="shared" si="1532"/>
        <v>0</v>
      </c>
      <c r="X2545" s="1114"/>
      <c r="Y2545" s="1114">
        <f t="shared" si="1532"/>
        <v>9540</v>
      </c>
      <c r="Z2545" s="1499"/>
      <c r="AA2545" s="1908" t="s">
        <v>87</v>
      </c>
      <c r="AB2545" s="1909">
        <f>AB2544-AB2543</f>
        <v>-79729.80005809851</v>
      </c>
      <c r="AI2545" s="2023">
        <f>W2545-'Blocking-Step2'!W2545</f>
        <v>0</v>
      </c>
      <c r="AJ2545" s="2054">
        <f>O2545-'Blocking-Step2'!O2545</f>
        <v>0</v>
      </c>
    </row>
    <row r="2546" spans="1:36" s="1104" customFormat="1">
      <c r="A2546" s="1116" t="s">
        <v>1438</v>
      </c>
      <c r="B2546" s="1116"/>
      <c r="C2546" s="1024"/>
      <c r="D2546" s="1105"/>
      <c r="E2546" s="1024"/>
      <c r="F2546" s="1139"/>
      <c r="G2546" s="1111"/>
      <c r="H2546" s="1629"/>
      <c r="I2546" s="1146"/>
      <c r="J2546" s="1114"/>
      <c r="K2546" s="1139"/>
      <c r="L2546" s="1114"/>
      <c r="M2546" s="1139"/>
      <c r="N2546" s="1114"/>
      <c r="O2546" s="1139"/>
      <c r="P2546" s="1114"/>
      <c r="Q2546" s="1139"/>
      <c r="R2546" s="1114"/>
      <c r="S2546" s="1114"/>
      <c r="T2546" s="1114"/>
      <c r="U2546" s="1114"/>
      <c r="V2546" s="1114"/>
      <c r="W2546" s="1114"/>
      <c r="X2546" s="1114"/>
      <c r="Y2546" s="1114"/>
      <c r="Z2546" s="1499"/>
      <c r="AA2546" s="1903" t="s">
        <v>1743</v>
      </c>
      <c r="AB2546" s="1958">
        <f>AB2543/I2606-1</f>
        <v>3.0587363106663545E-2</v>
      </c>
      <c r="AI2546" s="2023">
        <f>W2546-'Blocking-Step2'!W2546</f>
        <v>0</v>
      </c>
      <c r="AJ2546" s="2054">
        <f>O2546-'Blocking-Step2'!O2546</f>
        <v>0</v>
      </c>
    </row>
    <row r="2547" spans="1:36" s="1104" customFormat="1">
      <c r="A2547" s="1116" t="s">
        <v>1439</v>
      </c>
      <c r="B2547" s="1116"/>
      <c r="C2547" s="1024">
        <f>'32'!U2</f>
        <v>2</v>
      </c>
      <c r="D2547" s="1105">
        <f>'32-forecast'!S17</f>
        <v>12.83952950842653</v>
      </c>
      <c r="E2547" s="1024"/>
      <c r="F2547" s="1139">
        <v>110</v>
      </c>
      <c r="G2547" s="1111"/>
      <c r="H2547" s="1146">
        <f t="shared" ref="H2547:H2548" si="1533">ROUND($F2547*C2547,0)</f>
        <v>220</v>
      </c>
      <c r="I2547" s="1146">
        <f>ROUND($F2547*D2547,0)</f>
        <v>1412</v>
      </c>
      <c r="J2547" s="1114"/>
      <c r="K2547" s="1139">
        <f>Q2547</f>
        <v>113</v>
      </c>
      <c r="L2547" s="1114"/>
      <c r="M2547" s="1139">
        <f t="shared" ref="M2547:M2548" si="1534">Q2547-K2547-O2547</f>
        <v>0</v>
      </c>
      <c r="N2547" s="1114"/>
      <c r="O2547" s="2000">
        <f>'Blocking-Step2'!O2547</f>
        <v>0</v>
      </c>
      <c r="P2547" s="1114"/>
      <c r="Q2547" s="1139">
        <f>ROUND(F2547*(1+$AB$1483),0)</f>
        <v>113</v>
      </c>
      <c r="R2547" s="1114"/>
      <c r="S2547" s="1114">
        <f t="shared" ref="S2547:S2548" si="1535">ROUND($D2547*K2547,0)</f>
        <v>1451</v>
      </c>
      <c r="T2547" s="1114"/>
      <c r="U2547" s="1114">
        <f t="shared" ref="U2547:U2548" si="1536">ROUND($D2547*M2547,0)</f>
        <v>0</v>
      </c>
      <c r="V2547" s="1114"/>
      <c r="W2547" s="1114">
        <f t="shared" ref="W2547:Y2548" si="1537">ROUND($D2547*O2547,0)</f>
        <v>0</v>
      </c>
      <c r="X2547" s="1114"/>
      <c r="Y2547" s="1114">
        <f t="shared" si="1537"/>
        <v>1451</v>
      </c>
      <c r="Z2547" s="1499"/>
      <c r="AA2547" s="1905" t="s">
        <v>1744</v>
      </c>
      <c r="AB2547" s="1953">
        <f>AB2544/I2606-1</f>
        <v>2.4457859718524988E-2</v>
      </c>
      <c r="AI2547" s="2023">
        <f>W2547-'Blocking-Step2'!W2547</f>
        <v>0</v>
      </c>
      <c r="AJ2547" s="2054">
        <f>O2547-'Blocking-Step2'!O2547</f>
        <v>0</v>
      </c>
    </row>
    <row r="2548" spans="1:36" s="1874" customFormat="1">
      <c r="A2548" s="1116" t="s">
        <v>1440</v>
      </c>
      <c r="B2548" s="1116"/>
      <c r="C2548" s="1024">
        <f>'32'!V2</f>
        <v>6</v>
      </c>
      <c r="D2548" s="1105">
        <f>'32-forecast'!T17</f>
        <v>38.518588525279576</v>
      </c>
      <c r="E2548" s="1024"/>
      <c r="F2548" s="1139">
        <v>150</v>
      </c>
      <c r="G2548" s="1111"/>
      <c r="H2548" s="1146">
        <f t="shared" si="1533"/>
        <v>900</v>
      </c>
      <c r="I2548" s="1146">
        <f>ROUND($F2548*D2548,0)</f>
        <v>5778</v>
      </c>
      <c r="J2548" s="1114"/>
      <c r="K2548" s="1139">
        <f>Q2548</f>
        <v>154</v>
      </c>
      <c r="L2548" s="1114"/>
      <c r="M2548" s="1139">
        <f t="shared" si="1534"/>
        <v>0</v>
      </c>
      <c r="N2548" s="1114"/>
      <c r="O2548" s="2000">
        <f>'Blocking-Step2'!O2548</f>
        <v>0</v>
      </c>
      <c r="P2548" s="1114"/>
      <c r="Q2548" s="1139">
        <f>ROUND(F2548*(1+$AB$1483),0)</f>
        <v>154</v>
      </c>
      <c r="R2548" s="1114"/>
      <c r="S2548" s="1114">
        <f t="shared" si="1535"/>
        <v>5932</v>
      </c>
      <c r="T2548" s="1114"/>
      <c r="U2548" s="1114">
        <f t="shared" si="1536"/>
        <v>0</v>
      </c>
      <c r="V2548" s="1114"/>
      <c r="W2548" s="1114">
        <f t="shared" si="1537"/>
        <v>0</v>
      </c>
      <c r="X2548" s="1114"/>
      <c r="Y2548" s="1114">
        <f t="shared" si="1537"/>
        <v>5932</v>
      </c>
      <c r="Z2548" s="1499"/>
      <c r="AA2548" s="1915"/>
      <c r="AB2548" s="1954"/>
      <c r="AC2548" s="1104"/>
      <c r="AD2548" s="1104"/>
      <c r="AE2548" s="1104"/>
      <c r="AF2548" s="1104"/>
      <c r="AG2548" s="1104"/>
      <c r="AI2548" s="2023">
        <f>W2548-'Blocking-Step2'!W2548</f>
        <v>0</v>
      </c>
      <c r="AJ2548" s="2054">
        <f>O2548-'Blocking-Step2'!O2548</f>
        <v>0</v>
      </c>
    </row>
    <row r="2549" spans="1:36" s="1874" customFormat="1">
      <c r="A2549" s="1116" t="s">
        <v>1441</v>
      </c>
      <c r="B2549" s="1116"/>
      <c r="C2549" s="1024"/>
      <c r="D2549" s="1105"/>
      <c r="E2549" s="1024"/>
      <c r="F2549" s="1140"/>
      <c r="G2549" s="1112"/>
      <c r="H2549" s="1114"/>
      <c r="I2549" s="1146"/>
      <c r="J2549" s="1114"/>
      <c r="K2549" s="1140"/>
      <c r="L2549" s="1114"/>
      <c r="M2549" s="1140"/>
      <c r="N2549" s="1114"/>
      <c r="O2549" s="1140"/>
      <c r="P2549" s="1114"/>
      <c r="Q2549" s="1140"/>
      <c r="R2549" s="1114"/>
      <c r="S2549" s="1114"/>
      <c r="T2549" s="1114"/>
      <c r="U2549" s="1114"/>
      <c r="V2549" s="1114"/>
      <c r="W2549" s="1114"/>
      <c r="X2549" s="1114"/>
      <c r="Y2549" s="1114"/>
      <c r="Z2549" s="1499"/>
      <c r="AA2549" s="1109"/>
      <c r="AB2549" s="1104"/>
      <c r="AC2549" s="1104"/>
      <c r="AD2549" s="1104"/>
      <c r="AE2549" s="1104"/>
      <c r="AF2549" s="1104"/>
      <c r="AG2549" s="1104"/>
      <c r="AI2549" s="2023">
        <f>W2549-'Blocking-Step2'!W2549</f>
        <v>0</v>
      </c>
      <c r="AJ2549" s="2054">
        <f>O2549-'Blocking-Step2'!O2549</f>
        <v>0</v>
      </c>
    </row>
    <row r="2550" spans="1:36" s="1874" customFormat="1">
      <c r="A2550" s="1116" t="s">
        <v>1442</v>
      </c>
      <c r="B2550" s="1116"/>
      <c r="C2550" s="1024"/>
      <c r="D2550" s="1105"/>
      <c r="E2550" s="1024"/>
      <c r="F2550" s="1139">
        <v>7.62</v>
      </c>
      <c r="G2550" s="1111"/>
      <c r="H2550" s="1629"/>
      <c r="I2550" s="1146">
        <f>ROUND($F2550*D2550,0)</f>
        <v>0</v>
      </c>
      <c r="J2550" s="1114"/>
      <c r="K2550" s="2042">
        <f>ROUND('Blocking-Step2'!K2550*RateSpread!$Q$87,2)</f>
        <v>7.6</v>
      </c>
      <c r="L2550" s="1902"/>
      <c r="M2550" s="2000">
        <f t="shared" ref="M2550:M2554" si="1538">Q2550-K2550-O2550</f>
        <v>0</v>
      </c>
      <c r="N2550" s="1902"/>
      <c r="O2550" s="2000">
        <f>'Blocking-Step2'!O2550</f>
        <v>0</v>
      </c>
      <c r="P2550" s="1114"/>
      <c r="Q2550" s="1139">
        <f>K2550</f>
        <v>7.6</v>
      </c>
      <c r="R2550" s="1114"/>
      <c r="S2550" s="1114">
        <f t="shared" ref="S2550:S2554" si="1539">ROUND($D2550*K2550,0)</f>
        <v>0</v>
      </c>
      <c r="T2550" s="1114"/>
      <c r="U2550" s="1114">
        <f t="shared" ref="U2550:U2554" si="1540">ROUND($D2550*M2550,0)</f>
        <v>0</v>
      </c>
      <c r="V2550" s="1114"/>
      <c r="W2550" s="1114">
        <f t="shared" ref="W2550:Y2554" si="1541">ROUND($D2550*O2550,0)</f>
        <v>0</v>
      </c>
      <c r="X2550" s="1114"/>
      <c r="Y2550" s="1114">
        <f t="shared" si="1541"/>
        <v>0</v>
      </c>
      <c r="Z2550" s="1499"/>
      <c r="AA2550" s="1109"/>
      <c r="AB2550" s="1104"/>
      <c r="AC2550" s="1104"/>
      <c r="AD2550" s="1104"/>
      <c r="AE2550" s="1104"/>
      <c r="AF2550" s="1104"/>
      <c r="AG2550" s="1104"/>
      <c r="AI2550" s="2023">
        <f>W2550-'Blocking-Step2'!W2550</f>
        <v>0</v>
      </c>
      <c r="AJ2550" s="2054">
        <f>O2550-'Blocking-Step2'!O2550</f>
        <v>0</v>
      </c>
    </row>
    <row r="2551" spans="1:36" s="1874" customFormat="1">
      <c r="A2551" s="1116" t="s">
        <v>1443</v>
      </c>
      <c r="B2551" s="1116"/>
      <c r="C2551" s="1024"/>
      <c r="D2551" s="1105"/>
      <c r="E2551" s="1024"/>
      <c r="F2551" s="1139">
        <v>6.67</v>
      </c>
      <c r="G2551" s="1111"/>
      <c r="H2551" s="1629"/>
      <c r="I2551" s="1146">
        <f>ROUND($F2551*D2551,0)</f>
        <v>0</v>
      </c>
      <c r="J2551" s="1114"/>
      <c r="K2551" s="2042">
        <f>ROUND('Blocking-Step2'!K2551*RateSpread!$Q$87,2)</f>
        <v>6.65</v>
      </c>
      <c r="L2551" s="1902"/>
      <c r="M2551" s="2000">
        <f t="shared" si="1538"/>
        <v>0</v>
      </c>
      <c r="N2551" s="1902"/>
      <c r="O2551" s="2000">
        <f>'Blocking-Step2'!O2551</f>
        <v>0</v>
      </c>
      <c r="P2551" s="1114"/>
      <c r="Q2551" s="1139">
        <f t="shared" ref="Q2551:Q2554" si="1542">K2551</f>
        <v>6.65</v>
      </c>
      <c r="R2551" s="1114"/>
      <c r="S2551" s="1114">
        <f t="shared" si="1539"/>
        <v>0</v>
      </c>
      <c r="T2551" s="1114"/>
      <c r="U2551" s="1114">
        <f t="shared" si="1540"/>
        <v>0</v>
      </c>
      <c r="V2551" s="1114"/>
      <c r="W2551" s="1114">
        <f t="shared" si="1541"/>
        <v>0</v>
      </c>
      <c r="X2551" s="1114"/>
      <c r="Y2551" s="1114">
        <f t="shared" si="1541"/>
        <v>0</v>
      </c>
      <c r="Z2551" s="1499"/>
      <c r="AA2551" s="1109"/>
      <c r="AB2551" s="1104"/>
      <c r="AC2551" s="1104"/>
      <c r="AD2551" s="1104"/>
      <c r="AE2551" s="1104"/>
      <c r="AF2551" s="1104"/>
      <c r="AG2551" s="1104"/>
      <c r="AI2551" s="2023">
        <f>W2551-'Blocking-Step2'!W2551</f>
        <v>0</v>
      </c>
      <c r="AJ2551" s="2054">
        <f>O2551-'Blocking-Step2'!O2551</f>
        <v>0</v>
      </c>
    </row>
    <row r="2552" spans="1:36" s="1874" customFormat="1">
      <c r="A2552" s="1116" t="s">
        <v>1444</v>
      </c>
      <c r="B2552" s="1116"/>
      <c r="C2552" s="1024"/>
      <c r="D2552" s="1105"/>
      <c r="E2552" s="1024"/>
      <c r="F2552" s="1139">
        <v>7.9</v>
      </c>
      <c r="G2552" s="1110"/>
      <c r="H2552" s="1629"/>
      <c r="I2552" s="1146">
        <f>ROUND($F2552*D2552,0)</f>
        <v>0</v>
      </c>
      <c r="J2552" s="1114"/>
      <c r="K2552" s="2042">
        <f>ROUND('Blocking-Step2'!K2552*RateSpread!$Q$87,2)</f>
        <v>8.4499999999999993</v>
      </c>
      <c r="L2552" s="1902"/>
      <c r="M2552" s="2000">
        <f t="shared" si="1538"/>
        <v>0</v>
      </c>
      <c r="N2552" s="1902"/>
      <c r="O2552" s="2000">
        <f>'Blocking-Step2'!O2552</f>
        <v>0</v>
      </c>
      <c r="P2552" s="1114"/>
      <c r="Q2552" s="1139">
        <f t="shared" si="1542"/>
        <v>8.4499999999999993</v>
      </c>
      <c r="R2552" s="1114"/>
      <c r="S2552" s="1114">
        <f t="shared" si="1539"/>
        <v>0</v>
      </c>
      <c r="T2552" s="1114"/>
      <c r="U2552" s="1114">
        <f t="shared" si="1540"/>
        <v>0</v>
      </c>
      <c r="V2552" s="1114"/>
      <c r="W2552" s="1114">
        <f t="shared" si="1541"/>
        <v>0</v>
      </c>
      <c r="X2552" s="1114"/>
      <c r="Y2552" s="1114">
        <f t="shared" si="1541"/>
        <v>0</v>
      </c>
      <c r="Z2552" s="1499"/>
      <c r="AA2552" s="1109"/>
      <c r="AB2552" s="1104"/>
      <c r="AC2552" s="1104"/>
      <c r="AD2552" s="1104"/>
      <c r="AE2552" s="1104"/>
      <c r="AF2552" s="1104"/>
      <c r="AG2552" s="1104"/>
      <c r="AI2552" s="2023">
        <f>W2552-'Blocking-Step2'!W2552</f>
        <v>0</v>
      </c>
      <c r="AJ2552" s="2054">
        <f>O2552-'Blocking-Step2'!O2552</f>
        <v>0</v>
      </c>
    </row>
    <row r="2553" spans="1:36" s="1874" customFormat="1">
      <c r="A2553" s="1116" t="s">
        <v>1445</v>
      </c>
      <c r="B2553" s="1116"/>
      <c r="C2553" s="1024"/>
      <c r="D2553" s="1105"/>
      <c r="E2553" s="1024"/>
      <c r="F2553" s="1139">
        <v>6.75</v>
      </c>
      <c r="G2553" s="1111"/>
      <c r="H2553" s="1629"/>
      <c r="I2553" s="1146">
        <f>ROUND($F2553*D2553,0)</f>
        <v>0</v>
      </c>
      <c r="J2553" s="1114"/>
      <c r="K2553" s="2042">
        <f>ROUND('Blocking-Step2'!K2553*RateSpread!$Q$87,2)</f>
        <v>7.33</v>
      </c>
      <c r="L2553" s="1902"/>
      <c r="M2553" s="2000">
        <f t="shared" si="1538"/>
        <v>0</v>
      </c>
      <c r="N2553" s="1902"/>
      <c r="O2553" s="2000">
        <f>'Blocking-Step2'!O2553</f>
        <v>0</v>
      </c>
      <c r="P2553" s="1114"/>
      <c r="Q2553" s="1139">
        <f t="shared" si="1542"/>
        <v>7.33</v>
      </c>
      <c r="R2553" s="1114"/>
      <c r="S2553" s="1114">
        <f t="shared" si="1539"/>
        <v>0</v>
      </c>
      <c r="T2553" s="1114"/>
      <c r="U2553" s="1114">
        <f t="shared" si="1540"/>
        <v>0</v>
      </c>
      <c r="V2553" s="1114"/>
      <c r="W2553" s="1114">
        <f t="shared" si="1541"/>
        <v>0</v>
      </c>
      <c r="X2553" s="1114"/>
      <c r="Y2553" s="1114">
        <f t="shared" si="1541"/>
        <v>0</v>
      </c>
      <c r="Z2553" s="1499"/>
      <c r="AA2553" s="1109"/>
      <c r="AB2553" s="1104"/>
      <c r="AC2553" s="1104"/>
      <c r="AD2553" s="1104"/>
      <c r="AE2553" s="1104"/>
      <c r="AF2553" s="1104"/>
      <c r="AG2553" s="1104"/>
      <c r="AI2553" s="2023">
        <f>W2553-'Blocking-Step2'!W2553</f>
        <v>0</v>
      </c>
      <c r="AJ2553" s="2054">
        <f>O2553-'Blocking-Step2'!O2553</f>
        <v>0</v>
      </c>
    </row>
    <row r="2554" spans="1:36" s="1874" customFormat="1">
      <c r="A2554" s="1116" t="s">
        <v>1437</v>
      </c>
      <c r="B2554" s="1116"/>
      <c r="C2554" s="1024">
        <f>'32'!H2</f>
        <v>38848</v>
      </c>
      <c r="D2554" s="1105">
        <f>'32-forecast'!F17</f>
        <v>245395.50772980196</v>
      </c>
      <c r="E2554" s="1024"/>
      <c r="F2554" s="1139">
        <v>3.85</v>
      </c>
      <c r="G2554" s="1111"/>
      <c r="H2554" s="1146">
        <f>ROUND($F2554*C2554,0)</f>
        <v>149565</v>
      </c>
      <c r="I2554" s="1146">
        <f>ROUND($F2554*D2554,0)</f>
        <v>944773</v>
      </c>
      <c r="J2554" s="1114"/>
      <c r="K2554" s="2042">
        <f>ROUND('Blocking-Step2'!K2554*RateSpread!$Q$87,2)</f>
        <v>4.95</v>
      </c>
      <c r="L2554" s="1902"/>
      <c r="M2554" s="2000">
        <f t="shared" si="1538"/>
        <v>0</v>
      </c>
      <c r="N2554" s="1902"/>
      <c r="O2554" s="2000">
        <f>'Blocking-Step2'!O2554</f>
        <v>0</v>
      </c>
      <c r="P2554" s="1114"/>
      <c r="Q2554" s="1139">
        <f t="shared" si="1542"/>
        <v>4.95</v>
      </c>
      <c r="R2554" s="1114"/>
      <c r="S2554" s="1114">
        <f t="shared" si="1539"/>
        <v>1214708</v>
      </c>
      <c r="T2554" s="1114"/>
      <c r="U2554" s="1114">
        <f t="shared" si="1540"/>
        <v>0</v>
      </c>
      <c r="V2554" s="1114"/>
      <c r="W2554" s="1114">
        <f t="shared" si="1541"/>
        <v>0</v>
      </c>
      <c r="X2554" s="1114"/>
      <c r="Y2554" s="1114">
        <f t="shared" si="1541"/>
        <v>1214708</v>
      </c>
      <c r="Z2554" s="1499"/>
      <c r="AA2554" s="1109"/>
      <c r="AB2554" s="1104"/>
      <c r="AC2554" s="1104"/>
      <c r="AD2554" s="1104"/>
      <c r="AE2554" s="1104"/>
      <c r="AF2554" s="1104"/>
      <c r="AG2554" s="1104"/>
      <c r="AI2554" s="2023">
        <f>W2554-'Blocking-Step2'!W2554</f>
        <v>0</v>
      </c>
      <c r="AJ2554" s="2054">
        <f>O2554-'Blocking-Step2'!O2554</f>
        <v>0</v>
      </c>
    </row>
    <row r="2555" spans="1:36" s="1874" customFormat="1">
      <c r="A2555" s="1116" t="s">
        <v>1446</v>
      </c>
      <c r="B2555" s="1104"/>
      <c r="C2555" s="1024"/>
      <c r="D2555" s="1105"/>
      <c r="E2555" s="1024"/>
      <c r="F2555" s="1141"/>
      <c r="G2555" s="1109"/>
      <c r="H2555" s="1628"/>
      <c r="I2555" s="1627"/>
      <c r="J2555" s="1109"/>
      <c r="K2555" s="1141"/>
      <c r="L2555" s="1109"/>
      <c r="M2555" s="1141"/>
      <c r="N2555" s="1109"/>
      <c r="O2555" s="1141"/>
      <c r="P2555" s="1109"/>
      <c r="Q2555" s="1141"/>
      <c r="R2555" s="1109"/>
      <c r="S2555" s="1628"/>
      <c r="T2555" s="1628"/>
      <c r="U2555" s="1628"/>
      <c r="V2555" s="1628"/>
      <c r="W2555" s="1628"/>
      <c r="X2555" s="1628"/>
      <c r="Y2555" s="1628"/>
      <c r="Z2555" s="1498"/>
      <c r="AA2555" s="1109"/>
      <c r="AB2555" s="1104"/>
      <c r="AC2555" s="1104"/>
      <c r="AD2555" s="1104"/>
      <c r="AE2555" s="1104"/>
      <c r="AF2555" s="1104"/>
      <c r="AG2555" s="1104"/>
      <c r="AI2555" s="2023">
        <f>W2555-'Blocking-Step2'!W2555</f>
        <v>0</v>
      </c>
      <c r="AJ2555" s="2054">
        <f>O2555-'Blocking-Step2'!O2555</f>
        <v>0</v>
      </c>
    </row>
    <row r="2556" spans="1:36" s="1874" customFormat="1">
      <c r="A2556" s="1116" t="s">
        <v>1447</v>
      </c>
      <c r="B2556" s="1104"/>
      <c r="C2556" s="1024"/>
      <c r="D2556" s="1105"/>
      <c r="E2556" s="1024"/>
      <c r="F2556" s="1139"/>
      <c r="G2556" s="1110"/>
      <c r="H2556" s="1629"/>
      <c r="I2556" s="1146"/>
      <c r="J2556" s="1114"/>
      <c r="K2556" s="1139"/>
      <c r="L2556" s="1114"/>
      <c r="M2556" s="1139"/>
      <c r="N2556" s="1114"/>
      <c r="O2556" s="1139"/>
      <c r="P2556" s="1114"/>
      <c r="Q2556" s="1139"/>
      <c r="R2556" s="1114"/>
      <c r="S2556" s="1114"/>
      <c r="T2556" s="1114"/>
      <c r="U2556" s="1114"/>
      <c r="V2556" s="1114"/>
      <c r="W2556" s="1114"/>
      <c r="X2556" s="1114"/>
      <c r="Y2556" s="1114"/>
      <c r="Z2556" s="1499"/>
      <c r="AA2556" s="1109"/>
      <c r="AB2556" s="1104"/>
      <c r="AC2556" s="1104"/>
      <c r="AD2556" s="1104"/>
      <c r="AE2556" s="1104"/>
      <c r="AF2556" s="1104"/>
      <c r="AG2556" s="1104"/>
      <c r="AI2556" s="2023">
        <f>W2556-'Blocking-Step2'!W2556</f>
        <v>0</v>
      </c>
      <c r="AJ2556" s="2054">
        <f>O2556-'Blocking-Step2'!O2556</f>
        <v>0</v>
      </c>
    </row>
    <row r="2557" spans="1:36" s="1874" customFormat="1">
      <c r="A2557" s="1116" t="s">
        <v>1670</v>
      </c>
      <c r="B2557" s="1104"/>
      <c r="C2557" s="1024"/>
      <c r="D2557" s="1105"/>
      <c r="E2557" s="1024"/>
      <c r="F2557" s="1139"/>
      <c r="G2557" s="1110"/>
      <c r="H2557" s="1629"/>
      <c r="I2557" s="1146"/>
      <c r="J2557" s="1114"/>
      <c r="K2557" s="2000">
        <f>ROUND($Q2557*K1379/$Q1379,2)</f>
        <v>0.25</v>
      </c>
      <c r="L2557" s="1991"/>
      <c r="M2557" s="2000">
        <f t="shared" ref="M2557:M2558" si="1543">Q2557-K2557-O2557</f>
        <v>0.31000000000000005</v>
      </c>
      <c r="N2557" s="1991"/>
      <c r="O2557" s="2000">
        <f>'Blocking-Step2'!O2557</f>
        <v>0</v>
      </c>
      <c r="P2557" s="1114"/>
      <c r="Q2557" s="2039">
        <f>ROUND('Blocking-Step2'!Q2557*RateSpread!$Q$87,2)</f>
        <v>0.56000000000000005</v>
      </c>
      <c r="R2557" s="1114"/>
      <c r="S2557" s="1114">
        <f t="shared" ref="S2557:S2558" si="1544">ROUND($D2557*K2557,0)</f>
        <v>0</v>
      </c>
      <c r="T2557" s="1114"/>
      <c r="U2557" s="1114">
        <f t="shared" ref="U2557:U2558" si="1545">ROUND($D2557*M2557,0)</f>
        <v>0</v>
      </c>
      <c r="V2557" s="1114"/>
      <c r="W2557" s="1114">
        <f t="shared" ref="W2557:Y2558" si="1546">ROUND($D2557*O2557,0)</f>
        <v>0</v>
      </c>
      <c r="X2557" s="1114"/>
      <c r="Y2557" s="1114">
        <f t="shared" si="1546"/>
        <v>0</v>
      </c>
      <c r="Z2557" s="1499">
        <f>Z2339</f>
        <v>0.81143000192935111</v>
      </c>
      <c r="AA2557" s="1109"/>
      <c r="AB2557" s="1104"/>
      <c r="AC2557" s="1104"/>
      <c r="AD2557" s="1104"/>
      <c r="AE2557" s="1104"/>
      <c r="AF2557" s="1104"/>
      <c r="AG2557" s="1104"/>
      <c r="AI2557" s="2023">
        <f>W2557-'Blocking-Step2'!W2557</f>
        <v>0</v>
      </c>
      <c r="AJ2557" s="2054">
        <f>O2557-'Blocking-Step2'!O2557</f>
        <v>0</v>
      </c>
    </row>
    <row r="2558" spans="1:36" s="1874" customFormat="1">
      <c r="A2558" s="1116" t="s">
        <v>1671</v>
      </c>
      <c r="B2558" s="1104"/>
      <c r="C2558" s="1024"/>
      <c r="D2558" s="1105"/>
      <c r="E2558" s="1024"/>
      <c r="F2558" s="1139"/>
      <c r="G2558" s="1110"/>
      <c r="H2558" s="1629"/>
      <c r="I2558" s="1146"/>
      <c r="J2558" s="1114"/>
      <c r="K2558" s="2000">
        <f>ROUND($Q2558*K1380/$Q1380,2)</f>
        <v>0.21</v>
      </c>
      <c r="L2558" s="1991"/>
      <c r="M2558" s="2000">
        <f t="shared" si="1543"/>
        <v>0.26</v>
      </c>
      <c r="N2558" s="1991"/>
      <c r="O2558" s="2000">
        <f>'Blocking-Step2'!O2558</f>
        <v>0</v>
      </c>
      <c r="P2558" s="1114"/>
      <c r="Q2558" s="2039">
        <f>ROUND('Blocking-Step2'!Q2558*RateSpread!$Q$87,2)</f>
        <v>0.47</v>
      </c>
      <c r="R2558" s="1114"/>
      <c r="S2558" s="1114">
        <f t="shared" si="1544"/>
        <v>0</v>
      </c>
      <c r="T2558" s="1114"/>
      <c r="U2558" s="1114">
        <f t="shared" si="1545"/>
        <v>0</v>
      </c>
      <c r="V2558" s="1114"/>
      <c r="W2558" s="1114">
        <f t="shared" si="1546"/>
        <v>0</v>
      </c>
      <c r="X2558" s="1114"/>
      <c r="Y2558" s="1114">
        <f t="shared" si="1546"/>
        <v>0</v>
      </c>
      <c r="Z2558" s="1499">
        <f>Z2340</f>
        <v>1.1359353572586484</v>
      </c>
      <c r="AA2558" s="1109"/>
      <c r="AB2558" s="1104"/>
      <c r="AC2558" s="1104"/>
      <c r="AD2558" s="1104"/>
      <c r="AE2558" s="1104"/>
      <c r="AF2558" s="1104"/>
      <c r="AG2558" s="1104"/>
      <c r="AI2558" s="2023">
        <f>W2558-'Blocking-Step2'!W2558</f>
        <v>0</v>
      </c>
      <c r="AJ2558" s="2054">
        <f>O2558-'Blocking-Step2'!O2558</f>
        <v>0</v>
      </c>
    </row>
    <row r="2559" spans="1:36" s="1874" customFormat="1">
      <c r="A2559" s="1116" t="s">
        <v>1450</v>
      </c>
      <c r="B2559" s="1104"/>
      <c r="C2559" s="1024"/>
      <c r="D2559" s="1105"/>
      <c r="E2559" s="1024"/>
      <c r="F2559" s="1139"/>
      <c r="G2559" s="1111"/>
      <c r="H2559" s="1629"/>
      <c r="I2559" s="1146"/>
      <c r="J2559" s="1114"/>
      <c r="K2559" s="1139"/>
      <c r="L2559" s="1114"/>
      <c r="M2559" s="1139"/>
      <c r="N2559" s="1114"/>
      <c r="O2559" s="1139"/>
      <c r="P2559" s="1114"/>
      <c r="Q2559" s="2039"/>
      <c r="R2559" s="1114"/>
      <c r="S2559" s="1114"/>
      <c r="T2559" s="1114"/>
      <c r="U2559" s="1114"/>
      <c r="V2559" s="1114"/>
      <c r="W2559" s="1114"/>
      <c r="X2559" s="1114"/>
      <c r="Y2559" s="1114"/>
      <c r="Z2559" s="1499"/>
      <c r="AA2559" s="1109"/>
      <c r="AB2559" s="1104"/>
      <c r="AC2559" s="1104"/>
      <c r="AD2559" s="1104"/>
      <c r="AE2559" s="1104"/>
      <c r="AF2559" s="1104"/>
      <c r="AG2559" s="1104"/>
      <c r="AI2559" s="2023">
        <f>W2559-'Blocking-Step2'!W2559</f>
        <v>0</v>
      </c>
      <c r="AJ2559" s="2054">
        <f>O2559-'Blocking-Step2'!O2559</f>
        <v>0</v>
      </c>
    </row>
    <row r="2560" spans="1:36" s="1874" customFormat="1">
      <c r="A2560" s="1116" t="s">
        <v>1670</v>
      </c>
      <c r="B2560" s="1104"/>
      <c r="C2560" s="1024"/>
      <c r="D2560" s="1105"/>
      <c r="E2560" s="1024"/>
      <c r="F2560" s="1139"/>
      <c r="G2560" s="1111"/>
      <c r="H2560" s="1629"/>
      <c r="I2560" s="1146"/>
      <c r="J2560" s="1114"/>
      <c r="K2560" s="1139">
        <f>ROUND($Q2560*K2557/$Q2557,2)</f>
        <v>0.25</v>
      </c>
      <c r="L2560" s="1114"/>
      <c r="M2560" s="1139">
        <f t="shared" ref="M2560:M2561" si="1547">Q2560-K2560-O2560</f>
        <v>0.31000000000000005</v>
      </c>
      <c r="N2560" s="1114"/>
      <c r="O2560" s="1139">
        <f>'Blocking-Step2'!O2560</f>
        <v>0</v>
      </c>
      <c r="P2560" s="1114"/>
      <c r="Q2560" s="2039">
        <f>ROUND('Blocking-Step2'!Q2560*RateSpread!$Q$87,2)</f>
        <v>0.56000000000000005</v>
      </c>
      <c r="R2560" s="1114"/>
      <c r="S2560" s="1114">
        <f t="shared" ref="S2560:S2561" si="1548">ROUND($D2560*K2560,0)</f>
        <v>0</v>
      </c>
      <c r="T2560" s="1114"/>
      <c r="U2560" s="1114">
        <f t="shared" ref="U2560:U2561" si="1549">ROUND($D2560*M2560,0)</f>
        <v>0</v>
      </c>
      <c r="V2560" s="1114"/>
      <c r="W2560" s="1114">
        <f t="shared" ref="W2560:Y2561" si="1550">ROUND($D2560*O2560,0)</f>
        <v>0</v>
      </c>
      <c r="X2560" s="1114"/>
      <c r="Y2560" s="1114">
        <f t="shared" si="1550"/>
        <v>0</v>
      </c>
      <c r="Z2560" s="1499">
        <f>Z2557</f>
        <v>0.81143000192935111</v>
      </c>
      <c r="AA2560" s="1109"/>
      <c r="AB2560" s="1104"/>
      <c r="AC2560" s="1104"/>
      <c r="AD2560" s="1104"/>
      <c r="AE2560" s="1104"/>
      <c r="AF2560" s="1104"/>
      <c r="AG2560" s="1104"/>
      <c r="AI2560" s="2023">
        <f>W2560-'Blocking-Step2'!W2560</f>
        <v>0</v>
      </c>
      <c r="AJ2560" s="2054">
        <f>O2560-'Blocking-Step2'!O2560</f>
        <v>0</v>
      </c>
    </row>
    <row r="2561" spans="1:36" s="1874" customFormat="1">
      <c r="A2561" s="1116" t="s">
        <v>1671</v>
      </c>
      <c r="B2561" s="1104"/>
      <c r="C2561" s="1024"/>
      <c r="D2561" s="1105"/>
      <c r="E2561" s="1024"/>
      <c r="F2561" s="1139"/>
      <c r="G2561" s="1111"/>
      <c r="H2561" s="1629"/>
      <c r="I2561" s="1146"/>
      <c r="J2561" s="1114"/>
      <c r="K2561" s="1139">
        <f>ROUND($Q2561*K2558/$Q2558,2)</f>
        <v>0.21</v>
      </c>
      <c r="L2561" s="1114"/>
      <c r="M2561" s="1139">
        <f t="shared" si="1547"/>
        <v>0.25</v>
      </c>
      <c r="N2561" s="1114"/>
      <c r="O2561" s="1139">
        <f>'Blocking-Step2'!O2561</f>
        <v>0</v>
      </c>
      <c r="P2561" s="1114"/>
      <c r="Q2561" s="2039">
        <f>ROUND('Blocking-Step2'!Q2561*RateSpread!$Q$87,2)</f>
        <v>0.46</v>
      </c>
      <c r="R2561" s="1114"/>
      <c r="S2561" s="1114">
        <f t="shared" si="1548"/>
        <v>0</v>
      </c>
      <c r="T2561" s="1114"/>
      <c r="U2561" s="1114">
        <f t="shared" si="1549"/>
        <v>0</v>
      </c>
      <c r="V2561" s="1114"/>
      <c r="W2561" s="1114">
        <f t="shared" si="1550"/>
        <v>0</v>
      </c>
      <c r="X2561" s="1114"/>
      <c r="Y2561" s="1114">
        <f t="shared" si="1550"/>
        <v>0</v>
      </c>
      <c r="Z2561" s="1499">
        <f>Z2558</f>
        <v>1.1359353572586484</v>
      </c>
      <c r="AA2561" s="1109"/>
      <c r="AB2561" s="1104"/>
      <c r="AC2561" s="1104"/>
      <c r="AD2561" s="1104"/>
      <c r="AE2561" s="1104"/>
      <c r="AF2561" s="1104"/>
      <c r="AG2561" s="1104"/>
      <c r="AI2561" s="2023">
        <f>W2561-'Blocking-Step2'!W2561</f>
        <v>0</v>
      </c>
      <c r="AJ2561" s="2054">
        <f>O2561-'Blocking-Step2'!O2561</f>
        <v>0</v>
      </c>
    </row>
    <row r="2562" spans="1:36" s="1874" customFormat="1">
      <c r="A2562" s="1116" t="s">
        <v>1451</v>
      </c>
      <c r="B2562" s="1104"/>
      <c r="C2562" s="1024"/>
      <c r="D2562" s="1105"/>
      <c r="E2562" s="1024"/>
      <c r="F2562" s="1140"/>
      <c r="G2562" s="1112"/>
      <c r="H2562" s="1114"/>
      <c r="I2562" s="1146"/>
      <c r="J2562" s="1114"/>
      <c r="K2562" s="1140"/>
      <c r="L2562" s="1114"/>
      <c r="M2562" s="1140"/>
      <c r="N2562" s="1114"/>
      <c r="O2562" s="1140"/>
      <c r="P2562" s="1114"/>
      <c r="Q2562" s="2040"/>
      <c r="R2562" s="1114"/>
      <c r="S2562" s="1114"/>
      <c r="T2562" s="1114"/>
      <c r="U2562" s="1114"/>
      <c r="V2562" s="1114"/>
      <c r="W2562" s="1114"/>
      <c r="X2562" s="1114"/>
      <c r="Y2562" s="1114"/>
      <c r="Z2562" s="1499"/>
      <c r="AA2562" s="1109"/>
      <c r="AB2562" s="1104"/>
      <c r="AC2562" s="1104"/>
      <c r="AD2562" s="1104"/>
      <c r="AE2562" s="1104"/>
      <c r="AF2562" s="1104"/>
      <c r="AG2562" s="1104"/>
      <c r="AI2562" s="2023">
        <f>W2562-'Blocking-Step2'!W2562</f>
        <v>0</v>
      </c>
      <c r="AJ2562" s="2054">
        <f>O2562-'Blocking-Step2'!O2562</f>
        <v>0</v>
      </c>
    </row>
    <row r="2563" spans="1:36" s="1874" customFormat="1">
      <c r="A2563" s="1116" t="s">
        <v>1670</v>
      </c>
      <c r="B2563" s="1104"/>
      <c r="C2563" s="1024"/>
      <c r="D2563" s="1105"/>
      <c r="E2563" s="1024"/>
      <c r="F2563" s="1139"/>
      <c r="G2563" s="1111"/>
      <c r="H2563" s="1629"/>
      <c r="I2563" s="1146"/>
      <c r="J2563" s="1114"/>
      <c r="K2563" s="1139">
        <f>ROUND($Q2563*K2560/$Q2560,2)</f>
        <v>0.31</v>
      </c>
      <c r="L2563" s="1114"/>
      <c r="M2563" s="1139">
        <f t="shared" ref="M2563:M2564" si="1551">Q2563-K2563-O2563</f>
        <v>0.38999999999999996</v>
      </c>
      <c r="N2563" s="1114"/>
      <c r="O2563" s="1139">
        <f>'Blocking-Step2'!O2563</f>
        <v>0</v>
      </c>
      <c r="P2563" s="1114"/>
      <c r="Q2563" s="2039">
        <f>ROUND('Blocking-Step2'!Q2563*RateSpread!$Q$87,2)</f>
        <v>0.7</v>
      </c>
      <c r="R2563" s="1114"/>
      <c r="S2563" s="1114">
        <f t="shared" ref="S2563:S2564" si="1552">ROUND($D2563*K2563,0)</f>
        <v>0</v>
      </c>
      <c r="T2563" s="1114"/>
      <c r="U2563" s="1114">
        <f t="shared" ref="U2563:U2564" si="1553">ROUND($D2563*M2563,0)</f>
        <v>0</v>
      </c>
      <c r="V2563" s="1114"/>
      <c r="W2563" s="1114">
        <f t="shared" ref="W2563:Y2564" si="1554">ROUND($D2563*O2563,0)</f>
        <v>0</v>
      </c>
      <c r="X2563" s="1114"/>
      <c r="Y2563" s="1114">
        <f t="shared" si="1554"/>
        <v>0</v>
      </c>
      <c r="Z2563" s="1499">
        <f>Z2557</f>
        <v>0.81143000192935111</v>
      </c>
      <c r="AA2563" s="1109"/>
      <c r="AB2563" s="1104"/>
      <c r="AC2563" s="1104"/>
      <c r="AD2563" s="1104"/>
      <c r="AE2563" s="1104"/>
      <c r="AF2563" s="1104"/>
      <c r="AG2563" s="1104"/>
      <c r="AI2563" s="2023">
        <f>W2563-'Blocking-Step2'!W2563</f>
        <v>0</v>
      </c>
      <c r="AJ2563" s="2054">
        <f>O2563-'Blocking-Step2'!O2563</f>
        <v>0</v>
      </c>
    </row>
    <row r="2564" spans="1:36" s="1874" customFormat="1">
      <c r="A2564" s="1116" t="s">
        <v>1671</v>
      </c>
      <c r="B2564" s="1104"/>
      <c r="C2564" s="1024"/>
      <c r="D2564" s="1105"/>
      <c r="E2564" s="1024"/>
      <c r="F2564" s="1139"/>
      <c r="G2564" s="1111"/>
      <c r="H2564" s="1629"/>
      <c r="I2564" s="1146"/>
      <c r="J2564" s="1114"/>
      <c r="K2564" s="1139">
        <f>ROUND($Q2564*K2561/$Q2561,2)</f>
        <v>0.27</v>
      </c>
      <c r="L2564" s="1114"/>
      <c r="M2564" s="1139">
        <f t="shared" si="1551"/>
        <v>0.32999999999999996</v>
      </c>
      <c r="N2564" s="1114"/>
      <c r="O2564" s="1139">
        <f>'Blocking-Step2'!O2564</f>
        <v>0</v>
      </c>
      <c r="P2564" s="1114"/>
      <c r="Q2564" s="2039">
        <f>ROUND('Blocking-Step2'!Q2564*RateSpread!$Q$87,2)</f>
        <v>0.6</v>
      </c>
      <c r="R2564" s="1114"/>
      <c r="S2564" s="1114">
        <f t="shared" si="1552"/>
        <v>0</v>
      </c>
      <c r="T2564" s="1114"/>
      <c r="U2564" s="1114">
        <f t="shared" si="1553"/>
        <v>0</v>
      </c>
      <c r="V2564" s="1114"/>
      <c r="W2564" s="1114">
        <f t="shared" si="1554"/>
        <v>0</v>
      </c>
      <c r="X2564" s="1114"/>
      <c r="Y2564" s="1114">
        <f t="shared" si="1554"/>
        <v>0</v>
      </c>
      <c r="Z2564" s="1499">
        <f>Z2558</f>
        <v>1.1359353572586484</v>
      </c>
      <c r="AA2564" s="1109"/>
      <c r="AB2564" s="1104"/>
      <c r="AC2564" s="1104"/>
      <c r="AD2564" s="1104"/>
      <c r="AE2564" s="1104"/>
      <c r="AF2564" s="1104"/>
      <c r="AG2564" s="1104"/>
      <c r="AI2564" s="2023">
        <f>W2564-'Blocking-Step2'!W2564</f>
        <v>0</v>
      </c>
      <c r="AJ2564" s="2054">
        <f>O2564-'Blocking-Step2'!O2564</f>
        <v>0</v>
      </c>
    </row>
    <row r="2565" spans="1:36" s="1874" customFormat="1">
      <c r="A2565" s="1116" t="s">
        <v>1452</v>
      </c>
      <c r="B2565" s="1104"/>
      <c r="C2565" s="1024"/>
      <c r="D2565" s="1105"/>
      <c r="E2565" s="1024"/>
      <c r="F2565" s="1139"/>
      <c r="G2565" s="1110"/>
      <c r="H2565" s="1629"/>
      <c r="I2565" s="1146"/>
      <c r="J2565" s="1114"/>
      <c r="K2565" s="1139"/>
      <c r="L2565" s="1114"/>
      <c r="M2565" s="1139"/>
      <c r="N2565" s="1114"/>
      <c r="O2565" s="1139"/>
      <c r="P2565" s="1114"/>
      <c r="Q2565" s="2039"/>
      <c r="R2565" s="1114"/>
      <c r="S2565" s="1114"/>
      <c r="T2565" s="1114"/>
      <c r="U2565" s="1114"/>
      <c r="V2565" s="1114"/>
      <c r="W2565" s="1114"/>
      <c r="X2565" s="1114"/>
      <c r="Y2565" s="1114"/>
      <c r="Z2565" s="1499"/>
      <c r="AA2565" s="1109"/>
      <c r="AB2565" s="1104"/>
      <c r="AC2565" s="1104"/>
      <c r="AD2565" s="1104"/>
      <c r="AE2565" s="1104"/>
      <c r="AF2565" s="1104"/>
      <c r="AG2565" s="1104"/>
      <c r="AI2565" s="2023">
        <f>W2565-'Blocking-Step2'!W2565</f>
        <v>0</v>
      </c>
      <c r="AJ2565" s="2054">
        <f>O2565-'Blocking-Step2'!O2565</f>
        <v>0</v>
      </c>
    </row>
    <row r="2566" spans="1:36" s="1874" customFormat="1">
      <c r="A2566" s="1116" t="s">
        <v>1670</v>
      </c>
      <c r="B2566" s="1104"/>
      <c r="C2566" s="1024"/>
      <c r="D2566" s="1105"/>
      <c r="E2566" s="1024"/>
      <c r="F2566" s="1139"/>
      <c r="G2566" s="1111"/>
      <c r="H2566" s="1629"/>
      <c r="I2566" s="1146"/>
      <c r="J2566" s="1114"/>
      <c r="K2566" s="1139">
        <f>ROUND($Q2566*K2563/$Q2563,2)</f>
        <v>0.31</v>
      </c>
      <c r="L2566" s="1114"/>
      <c r="M2566" s="1139">
        <f t="shared" ref="M2566:M2567" si="1555">Q2566-K2566-O2566</f>
        <v>0.37999999999999995</v>
      </c>
      <c r="N2566" s="1114"/>
      <c r="O2566" s="1139">
        <f>'Blocking-Step2'!O2566</f>
        <v>0</v>
      </c>
      <c r="P2566" s="1114"/>
      <c r="Q2566" s="2039">
        <f>ROUND('Blocking-Step2'!Q2566*RateSpread!$Q$87,2)</f>
        <v>0.69</v>
      </c>
      <c r="R2566" s="1114"/>
      <c r="S2566" s="1114">
        <f t="shared" ref="S2566:S2567" si="1556">ROUND($D2566*K2566,0)</f>
        <v>0</v>
      </c>
      <c r="T2566" s="1114"/>
      <c r="U2566" s="1114">
        <f t="shared" ref="U2566:U2567" si="1557">ROUND($D2566*M2566,0)</f>
        <v>0</v>
      </c>
      <c r="V2566" s="1114"/>
      <c r="W2566" s="1114">
        <f t="shared" ref="W2566:Y2567" si="1558">ROUND($D2566*O2566,0)</f>
        <v>0</v>
      </c>
      <c r="X2566" s="1114"/>
      <c r="Y2566" s="1114">
        <f t="shared" si="1558"/>
        <v>0</v>
      </c>
      <c r="Z2566" s="1499">
        <f>Z2557</f>
        <v>0.81143000192935111</v>
      </c>
      <c r="AA2566" s="1109"/>
      <c r="AB2566" s="1104"/>
      <c r="AC2566" s="1104"/>
      <c r="AD2566" s="1104"/>
      <c r="AE2566" s="1104"/>
      <c r="AF2566" s="1104"/>
      <c r="AG2566" s="1104"/>
      <c r="AI2566" s="2023">
        <f>W2566-'Blocking-Step2'!W2566</f>
        <v>0</v>
      </c>
      <c r="AJ2566" s="2054">
        <f>O2566-'Blocking-Step2'!O2566</f>
        <v>0</v>
      </c>
    </row>
    <row r="2567" spans="1:36" s="1874" customFormat="1">
      <c r="A2567" s="1116" t="s">
        <v>1671</v>
      </c>
      <c r="B2567" s="1104"/>
      <c r="C2567" s="1024"/>
      <c r="D2567" s="1105"/>
      <c r="E2567" s="1024"/>
      <c r="F2567" s="1139"/>
      <c r="G2567" s="1111"/>
      <c r="H2567" s="1629"/>
      <c r="I2567" s="1146"/>
      <c r="J2567" s="1114"/>
      <c r="K2567" s="1139">
        <f>ROUND($Q2567*K2564/$Q2564,2)</f>
        <v>0.26</v>
      </c>
      <c r="L2567" s="1114"/>
      <c r="M2567" s="1139">
        <f t="shared" si="1555"/>
        <v>0.31999999999999995</v>
      </c>
      <c r="N2567" s="1114"/>
      <c r="O2567" s="1139">
        <f>'Blocking-Step2'!O2567</f>
        <v>0</v>
      </c>
      <c r="P2567" s="1114"/>
      <c r="Q2567" s="2039">
        <f>ROUND('Blocking-Step2'!Q2567*RateSpread!$Q$87,2)</f>
        <v>0.57999999999999996</v>
      </c>
      <c r="R2567" s="1114"/>
      <c r="S2567" s="1114">
        <f t="shared" si="1556"/>
        <v>0</v>
      </c>
      <c r="T2567" s="1114"/>
      <c r="U2567" s="1114">
        <f t="shared" si="1557"/>
        <v>0</v>
      </c>
      <c r="V2567" s="1114"/>
      <c r="W2567" s="1114">
        <f t="shared" si="1558"/>
        <v>0</v>
      </c>
      <c r="X2567" s="1114"/>
      <c r="Y2567" s="1114">
        <f t="shared" si="1558"/>
        <v>0</v>
      </c>
      <c r="Z2567" s="1499">
        <f>Z2558</f>
        <v>1.1359353572586484</v>
      </c>
      <c r="AA2567" s="1109"/>
      <c r="AB2567" s="1104"/>
      <c r="AC2567" s="1104"/>
      <c r="AD2567" s="1104"/>
      <c r="AE2567" s="1104"/>
      <c r="AF2567" s="1104"/>
      <c r="AG2567" s="1104"/>
      <c r="AI2567" s="2023">
        <f>W2567-'Blocking-Step2'!W2567</f>
        <v>0</v>
      </c>
      <c r="AJ2567" s="2054">
        <f>O2567-'Blocking-Step2'!O2567</f>
        <v>0</v>
      </c>
    </row>
    <row r="2568" spans="1:36" s="1874" customFormat="1">
      <c r="A2568" s="1116" t="s">
        <v>1453</v>
      </c>
      <c r="B2568" s="1104"/>
      <c r="C2568" s="1024"/>
      <c r="D2568" s="1105"/>
      <c r="E2568" s="1024"/>
      <c r="F2568" s="1141"/>
      <c r="G2568" s="1109"/>
      <c r="H2568" s="1628"/>
      <c r="I2568" s="1627"/>
      <c r="J2568" s="1109"/>
      <c r="K2568" s="1141"/>
      <c r="L2568" s="1109"/>
      <c r="M2568" s="1141"/>
      <c r="N2568" s="1109"/>
      <c r="O2568" s="1141"/>
      <c r="P2568" s="1109"/>
      <c r="Q2568" s="2041"/>
      <c r="R2568" s="1109"/>
      <c r="S2568" s="1628"/>
      <c r="T2568" s="1628"/>
      <c r="U2568" s="1628"/>
      <c r="V2568" s="1628"/>
      <c r="W2568" s="1628"/>
      <c r="X2568" s="1628"/>
      <c r="Y2568" s="1628"/>
      <c r="Z2568" s="1499"/>
      <c r="AA2568" s="1109"/>
      <c r="AB2568" s="1104"/>
      <c r="AC2568" s="1104"/>
      <c r="AD2568" s="1104"/>
      <c r="AE2568" s="1104"/>
      <c r="AF2568" s="1104"/>
      <c r="AG2568" s="1104"/>
      <c r="AI2568" s="2023">
        <f>W2568-'Blocking-Step2'!W2568</f>
        <v>0</v>
      </c>
      <c r="AJ2568" s="2054">
        <f>O2568-'Blocking-Step2'!O2568</f>
        <v>0</v>
      </c>
    </row>
    <row r="2569" spans="1:36" s="1874" customFormat="1">
      <c r="A2569" s="1116" t="s">
        <v>1670</v>
      </c>
      <c r="B2569" s="1104"/>
      <c r="C2569" s="1024">
        <f>C2584</f>
        <v>0</v>
      </c>
      <c r="D2569" s="1105">
        <f>D2584*Z2569</f>
        <v>526626.49852888589</v>
      </c>
      <c r="E2569" s="1024"/>
      <c r="F2569" s="1139"/>
      <c r="G2569" s="1110"/>
      <c r="H2569" s="1146"/>
      <c r="I2569" s="1146"/>
      <c r="J2569" s="1114"/>
      <c r="K2569" s="2000">
        <f>ROUND($Q2569*K1481/$Q1481,2)</f>
        <v>0.21</v>
      </c>
      <c r="L2569" s="1991"/>
      <c r="M2569" s="2000">
        <f t="shared" ref="M2569:M2570" si="1559">Q2569-K2569-O2569</f>
        <v>0.43000000000000005</v>
      </c>
      <c r="N2569" s="1991"/>
      <c r="O2569" s="2000">
        <f>'Blocking-Step2'!O2569</f>
        <v>0</v>
      </c>
      <c r="P2569" s="1114"/>
      <c r="Q2569" s="2039">
        <f>ROUND('Blocking-Step2'!Q2569*RateSpread!$Q$87,2)</f>
        <v>0.64</v>
      </c>
      <c r="R2569" s="1114"/>
      <c r="S2569" s="1114">
        <f t="shared" ref="S2569:S2570" si="1560">ROUND($D2569*K2569,0)</f>
        <v>110592</v>
      </c>
      <c r="T2569" s="1114"/>
      <c r="U2569" s="1114">
        <f t="shared" ref="U2569:U2570" si="1561">ROUND($D2569*M2569,0)</f>
        <v>226449</v>
      </c>
      <c r="V2569" s="1114"/>
      <c r="W2569" s="1114">
        <f t="shared" ref="W2569:Y2570" si="1562">ROUND($D2569*O2569,0)</f>
        <v>0</v>
      </c>
      <c r="X2569" s="1114"/>
      <c r="Y2569" s="1114">
        <f t="shared" si="1562"/>
        <v>337041</v>
      </c>
      <c r="Z2569" s="1499">
        <f>Z2557</f>
        <v>0.81143000192935111</v>
      </c>
      <c r="AA2569" s="1109"/>
      <c r="AB2569" s="1104"/>
      <c r="AC2569" s="1104"/>
      <c r="AD2569" s="1104"/>
      <c r="AE2569" s="1104"/>
      <c r="AF2569" s="1104"/>
      <c r="AG2569" s="1104"/>
      <c r="AI2569" s="2023">
        <f>W2569-'Blocking-Step2'!W2569</f>
        <v>0</v>
      </c>
      <c r="AJ2569" s="2054">
        <f>O2569-'Blocking-Step2'!O2569</f>
        <v>0</v>
      </c>
    </row>
    <row r="2570" spans="1:36" s="1874" customFormat="1">
      <c r="A2570" s="1116" t="s">
        <v>1671</v>
      </c>
      <c r="B2570" s="1104"/>
      <c r="C2570" s="1024">
        <f>C2585</f>
        <v>249715</v>
      </c>
      <c r="D2570" s="1105">
        <f>D2585*Z2570</f>
        <v>913270.88847378257</v>
      </c>
      <c r="E2570" s="1024"/>
      <c r="F2570" s="1139"/>
      <c r="G2570" s="1110"/>
      <c r="H2570" s="1146"/>
      <c r="I2570" s="1146"/>
      <c r="J2570" s="1114"/>
      <c r="K2570" s="2000">
        <f>ROUND($Q2570*K1482/$Q1482,2)</f>
        <v>0.18</v>
      </c>
      <c r="L2570" s="1991"/>
      <c r="M2570" s="2000">
        <f t="shared" si="1559"/>
        <v>0.37000000000000005</v>
      </c>
      <c r="N2570" s="1991"/>
      <c r="O2570" s="2000">
        <f>'Blocking-Step2'!O2570</f>
        <v>0</v>
      </c>
      <c r="P2570" s="1114"/>
      <c r="Q2570" s="2039">
        <f>ROUND('Blocking-Step2'!Q2570*RateSpread!$Q$87,2)</f>
        <v>0.55000000000000004</v>
      </c>
      <c r="R2570" s="1114"/>
      <c r="S2570" s="1114">
        <f t="shared" si="1560"/>
        <v>164389</v>
      </c>
      <c r="T2570" s="1114"/>
      <c r="U2570" s="1114">
        <f t="shared" si="1561"/>
        <v>337910</v>
      </c>
      <c r="V2570" s="1114"/>
      <c r="W2570" s="1114">
        <f t="shared" si="1562"/>
        <v>0</v>
      </c>
      <c r="X2570" s="1114"/>
      <c r="Y2570" s="1114">
        <f t="shared" si="1562"/>
        <v>502299</v>
      </c>
      <c r="Z2570" s="1499">
        <f>Z2558</f>
        <v>1.1359353572586484</v>
      </c>
      <c r="AA2570" s="1109"/>
      <c r="AB2570" s="1104"/>
      <c r="AC2570" s="1104"/>
      <c r="AD2570" s="1104"/>
      <c r="AE2570" s="1104"/>
      <c r="AF2570" s="1104"/>
      <c r="AG2570" s="1104"/>
      <c r="AI2570" s="2023">
        <f>W2570-'Blocking-Step2'!W2570</f>
        <v>0</v>
      </c>
      <c r="AJ2570" s="2054">
        <f>O2570-'Blocking-Step2'!O2570</f>
        <v>0</v>
      </c>
    </row>
    <row r="2571" spans="1:36" s="1874" customFormat="1">
      <c r="A2571" s="1116" t="s">
        <v>1447</v>
      </c>
      <c r="B2571" s="1104"/>
      <c r="C2571" s="1024"/>
      <c r="D2571" s="1105"/>
      <c r="E2571" s="1024"/>
      <c r="F2571" s="1139"/>
      <c r="G2571" s="1110"/>
      <c r="H2571" s="1629"/>
      <c r="I2571" s="1146"/>
      <c r="J2571" s="1114"/>
      <c r="K2571" s="1114"/>
      <c r="L2571" s="1114"/>
      <c r="M2571" s="1114"/>
      <c r="N2571" s="1114"/>
      <c r="O2571" s="1114"/>
      <c r="P2571" s="1114"/>
      <c r="Q2571" s="1114"/>
      <c r="R2571" s="1114"/>
      <c r="S2571" s="1114"/>
      <c r="T2571" s="1114"/>
      <c r="U2571" s="1114"/>
      <c r="V2571" s="1114"/>
      <c r="W2571" s="1114"/>
      <c r="X2571" s="1114"/>
      <c r="Y2571" s="1114"/>
      <c r="Z2571" s="1499"/>
      <c r="AA2571" s="1109"/>
      <c r="AB2571" s="1104"/>
      <c r="AC2571" s="1104"/>
      <c r="AD2571" s="1104"/>
      <c r="AE2571" s="1104"/>
      <c r="AF2571" s="1104"/>
      <c r="AG2571" s="1104"/>
      <c r="AI2571" s="2023">
        <f>W2571-'Blocking-Step2'!W2571</f>
        <v>0</v>
      </c>
      <c r="AJ2571" s="2054">
        <f>O2571-'Blocking-Step2'!O2571</f>
        <v>0</v>
      </c>
    </row>
    <row r="2572" spans="1:36" s="1874" customFormat="1">
      <c r="A2572" s="1116" t="s">
        <v>1448</v>
      </c>
      <c r="B2572" s="1104"/>
      <c r="C2572" s="1024"/>
      <c r="D2572" s="1105"/>
      <c r="E2572" s="1024"/>
      <c r="F2572" s="1139">
        <v>0.64</v>
      </c>
      <c r="G2572" s="1110"/>
      <c r="H2572" s="1629"/>
      <c r="I2572" s="1146">
        <f>ROUND($F2572*D2572,0)</f>
        <v>0</v>
      </c>
      <c r="J2572" s="1114"/>
      <c r="K2572" s="1114"/>
      <c r="L2572" s="1114"/>
      <c r="M2572" s="1114"/>
      <c r="N2572" s="1114"/>
      <c r="O2572" s="1114"/>
      <c r="P2572" s="1114"/>
      <c r="Q2572" s="1114"/>
      <c r="R2572" s="1114"/>
      <c r="S2572" s="1114"/>
      <c r="T2572" s="1114"/>
      <c r="U2572" s="1114"/>
      <c r="V2572" s="1114"/>
      <c r="W2572" s="1114"/>
      <c r="X2572" s="1114"/>
      <c r="Y2572" s="1114"/>
      <c r="Z2572" s="1499"/>
      <c r="AA2572" s="1109"/>
      <c r="AB2572" s="1104"/>
      <c r="AC2572" s="1104"/>
      <c r="AD2572" s="1104"/>
      <c r="AE2572" s="1104"/>
      <c r="AF2572" s="1104"/>
      <c r="AG2572" s="1104"/>
      <c r="AI2572" s="2023">
        <f>W2572-'Blocking-Step2'!W2572</f>
        <v>0</v>
      </c>
      <c r="AJ2572" s="2054">
        <f>O2572-'Blocking-Step2'!O2572</f>
        <v>0</v>
      </c>
    </row>
    <row r="2573" spans="1:36" s="1874" customFormat="1">
      <c r="A2573" s="1116" t="s">
        <v>1449</v>
      </c>
      <c r="B2573" s="1104"/>
      <c r="C2573" s="1024"/>
      <c r="D2573" s="1105"/>
      <c r="E2573" s="1024"/>
      <c r="F2573" s="1139">
        <v>0.42</v>
      </c>
      <c r="G2573" s="1110"/>
      <c r="H2573" s="1629"/>
      <c r="I2573" s="1146">
        <f>ROUND($F2573*D2573,0)</f>
        <v>0</v>
      </c>
      <c r="J2573" s="1114"/>
      <c r="K2573" s="1114"/>
      <c r="L2573" s="1114"/>
      <c r="M2573" s="1114"/>
      <c r="N2573" s="1114"/>
      <c r="O2573" s="1114"/>
      <c r="P2573" s="1114"/>
      <c r="Q2573" s="1114"/>
      <c r="R2573" s="1114"/>
      <c r="S2573" s="1114"/>
      <c r="T2573" s="1114"/>
      <c r="U2573" s="1114"/>
      <c r="V2573" s="1114"/>
      <c r="W2573" s="1114"/>
      <c r="X2573" s="1114"/>
      <c r="Y2573" s="1114"/>
      <c r="Z2573" s="1499"/>
      <c r="AA2573" s="1109"/>
      <c r="AB2573" s="1104"/>
      <c r="AC2573" s="1104"/>
      <c r="AD2573" s="1104"/>
      <c r="AE2573" s="1104"/>
      <c r="AF2573" s="1104"/>
      <c r="AG2573" s="1104"/>
      <c r="AI2573" s="2023">
        <f>W2573-'Blocking-Step2'!W2573</f>
        <v>0</v>
      </c>
      <c r="AJ2573" s="2054">
        <f>O2573-'Blocking-Step2'!O2573</f>
        <v>0</v>
      </c>
    </row>
    <row r="2574" spans="1:36" s="1874" customFormat="1">
      <c r="A2574" s="1116" t="s">
        <v>1450</v>
      </c>
      <c r="B2574" s="1104"/>
      <c r="C2574" s="1024"/>
      <c r="D2574" s="1105"/>
      <c r="E2574" s="1024"/>
      <c r="F2574" s="1139"/>
      <c r="G2574" s="1111"/>
      <c r="H2574" s="1629"/>
      <c r="I2574" s="1146"/>
      <c r="J2574" s="1114"/>
      <c r="K2574" s="1114"/>
      <c r="L2574" s="1114"/>
      <c r="M2574" s="1114"/>
      <c r="N2574" s="1114"/>
      <c r="O2574" s="1114"/>
      <c r="P2574" s="1114"/>
      <c r="Q2574" s="1114"/>
      <c r="R2574" s="1114"/>
      <c r="S2574" s="1114"/>
      <c r="T2574" s="1114"/>
      <c r="U2574" s="1114"/>
      <c r="V2574" s="1114"/>
      <c r="W2574" s="1114"/>
      <c r="X2574" s="1114"/>
      <c r="Y2574" s="1114"/>
      <c r="Z2574" s="1499"/>
      <c r="AA2574" s="1109"/>
      <c r="AB2574" s="1104"/>
      <c r="AC2574" s="1104"/>
      <c r="AD2574" s="1104"/>
      <c r="AE2574" s="1104"/>
      <c r="AF2574" s="1104"/>
      <c r="AG2574" s="1104"/>
      <c r="AI2574" s="2023">
        <f>W2574-'Blocking-Step2'!W2574</f>
        <v>0</v>
      </c>
      <c r="AJ2574" s="2054">
        <f>O2574-'Blocking-Step2'!O2574</f>
        <v>0</v>
      </c>
    </row>
    <row r="2575" spans="1:36" s="1874" customFormat="1">
      <c r="A2575" s="1116" t="s">
        <v>1448</v>
      </c>
      <c r="B2575" s="1104"/>
      <c r="C2575" s="1024"/>
      <c r="D2575" s="1105"/>
      <c r="E2575" s="1024"/>
      <c r="F2575" s="1139">
        <v>0.63</v>
      </c>
      <c r="G2575" s="1111"/>
      <c r="H2575" s="1629"/>
      <c r="I2575" s="1146">
        <f>ROUND($F2575*D2575,0)</f>
        <v>0</v>
      </c>
      <c r="J2575" s="1114"/>
      <c r="K2575" s="1114"/>
      <c r="L2575" s="1114"/>
      <c r="M2575" s="1114"/>
      <c r="N2575" s="1114"/>
      <c r="O2575" s="1114"/>
      <c r="P2575" s="1114"/>
      <c r="Q2575" s="1114"/>
      <c r="R2575" s="1114"/>
      <c r="S2575" s="1114"/>
      <c r="T2575" s="1114"/>
      <c r="U2575" s="1114"/>
      <c r="V2575" s="1114"/>
      <c r="W2575" s="1114"/>
      <c r="X2575" s="1114"/>
      <c r="Y2575" s="1114"/>
      <c r="Z2575" s="1499"/>
      <c r="AA2575" s="1109"/>
      <c r="AB2575" s="1104"/>
      <c r="AC2575" s="1104"/>
      <c r="AD2575" s="1104"/>
      <c r="AE2575" s="1104"/>
      <c r="AF2575" s="1104"/>
      <c r="AG2575" s="1104"/>
      <c r="AI2575" s="2023">
        <f>W2575-'Blocking-Step2'!W2575</f>
        <v>0</v>
      </c>
      <c r="AJ2575" s="2054">
        <f>O2575-'Blocking-Step2'!O2575</f>
        <v>0</v>
      </c>
    </row>
    <row r="2576" spans="1:36" s="1874" customFormat="1">
      <c r="A2576" s="1116" t="s">
        <v>1449</v>
      </c>
      <c r="B2576" s="1104"/>
      <c r="C2576" s="1024"/>
      <c r="D2576" s="1105"/>
      <c r="E2576" s="1024"/>
      <c r="F2576" s="1139">
        <v>0.41</v>
      </c>
      <c r="G2576" s="1111"/>
      <c r="H2576" s="1629"/>
      <c r="I2576" s="1146">
        <f>ROUND($F2576*D2576,0)</f>
        <v>0</v>
      </c>
      <c r="J2576" s="1114"/>
      <c r="K2576" s="1114"/>
      <c r="L2576" s="1114"/>
      <c r="M2576" s="1114"/>
      <c r="N2576" s="1114"/>
      <c r="O2576" s="1114"/>
      <c r="P2576" s="1114"/>
      <c r="Q2576" s="1114"/>
      <c r="R2576" s="1114"/>
      <c r="S2576" s="1114"/>
      <c r="T2576" s="1114"/>
      <c r="U2576" s="1114"/>
      <c r="V2576" s="1114"/>
      <c r="W2576" s="1114"/>
      <c r="X2576" s="1114"/>
      <c r="Y2576" s="1114"/>
      <c r="Z2576" s="1499"/>
      <c r="AA2576" s="1109"/>
      <c r="AB2576" s="1104"/>
      <c r="AC2576" s="1104"/>
      <c r="AD2576" s="1104"/>
      <c r="AE2576" s="1104"/>
      <c r="AF2576" s="1104"/>
      <c r="AG2576" s="1104"/>
      <c r="AI2576" s="2023">
        <f>W2576-'Blocking-Step2'!W2576</f>
        <v>0</v>
      </c>
      <c r="AJ2576" s="2054">
        <f>O2576-'Blocking-Step2'!O2576</f>
        <v>0</v>
      </c>
    </row>
    <row r="2577" spans="1:36" s="1874" customFormat="1">
      <c r="A2577" s="1116" t="s">
        <v>1451</v>
      </c>
      <c r="B2577" s="1104"/>
      <c r="C2577" s="1024"/>
      <c r="D2577" s="1105"/>
      <c r="E2577" s="1024"/>
      <c r="F2577" s="1140"/>
      <c r="G2577" s="1112"/>
      <c r="H2577" s="1114"/>
      <c r="I2577" s="1146"/>
      <c r="J2577" s="1114"/>
      <c r="K2577" s="1114"/>
      <c r="L2577" s="1114"/>
      <c r="M2577" s="1114"/>
      <c r="N2577" s="1114"/>
      <c r="O2577" s="1114"/>
      <c r="P2577" s="1114"/>
      <c r="Q2577" s="1114"/>
      <c r="R2577" s="1114"/>
      <c r="S2577" s="1114"/>
      <c r="T2577" s="1114"/>
      <c r="U2577" s="1114"/>
      <c r="V2577" s="1114"/>
      <c r="W2577" s="1114"/>
      <c r="X2577" s="1114"/>
      <c r="Y2577" s="1114"/>
      <c r="Z2577" s="1499"/>
      <c r="AA2577" s="1109"/>
      <c r="AB2577" s="1104"/>
      <c r="AC2577" s="1104"/>
      <c r="AD2577" s="1104"/>
      <c r="AE2577" s="1104"/>
      <c r="AF2577" s="1104"/>
      <c r="AG2577" s="1104"/>
      <c r="AI2577" s="2023">
        <f>W2577-'Blocking-Step2'!W2577</f>
        <v>0</v>
      </c>
      <c r="AJ2577" s="2054">
        <f>O2577-'Blocking-Step2'!O2577</f>
        <v>0</v>
      </c>
    </row>
    <row r="2578" spans="1:36" s="1874" customFormat="1">
      <c r="A2578" s="1116" t="s">
        <v>1448</v>
      </c>
      <c r="B2578" s="1104"/>
      <c r="C2578" s="1024"/>
      <c r="D2578" s="1105"/>
      <c r="E2578" s="1024"/>
      <c r="F2578" s="1139">
        <v>0.72</v>
      </c>
      <c r="G2578" s="1111"/>
      <c r="H2578" s="1629"/>
      <c r="I2578" s="1146">
        <f>ROUND($F2578*D2578,0)</f>
        <v>0</v>
      </c>
      <c r="J2578" s="1114"/>
      <c r="K2578" s="1114"/>
      <c r="L2578" s="1114"/>
      <c r="M2578" s="1114"/>
      <c r="N2578" s="1114"/>
      <c r="O2578" s="1114"/>
      <c r="P2578" s="1114"/>
      <c r="Q2578" s="1114"/>
      <c r="R2578" s="1114"/>
      <c r="S2578" s="1114"/>
      <c r="T2578" s="1114"/>
      <c r="U2578" s="1114"/>
      <c r="V2578" s="1114"/>
      <c r="W2578" s="1114"/>
      <c r="X2578" s="1114"/>
      <c r="Y2578" s="1114"/>
      <c r="Z2578" s="1499"/>
      <c r="AA2578" s="1109"/>
      <c r="AB2578" s="1104"/>
      <c r="AC2578" s="1104"/>
      <c r="AD2578" s="1104"/>
      <c r="AE2578" s="1104"/>
      <c r="AF2578" s="1104"/>
      <c r="AG2578" s="1104"/>
      <c r="AI2578" s="2023">
        <f>W2578-'Blocking-Step2'!W2578</f>
        <v>0</v>
      </c>
      <c r="AJ2578" s="2054">
        <f>O2578-'Blocking-Step2'!O2578</f>
        <v>0</v>
      </c>
    </row>
    <row r="2579" spans="1:36" s="1874" customFormat="1">
      <c r="A2579" s="1116" t="s">
        <v>1449</v>
      </c>
      <c r="B2579" s="1104"/>
      <c r="C2579" s="1024"/>
      <c r="D2579" s="1105"/>
      <c r="E2579" s="1024"/>
      <c r="F2579" s="1139">
        <v>0.46</v>
      </c>
      <c r="G2579" s="1111"/>
      <c r="H2579" s="1629"/>
      <c r="I2579" s="1146">
        <f>ROUND($F2579*D2579,0)</f>
        <v>0</v>
      </c>
      <c r="J2579" s="1114"/>
      <c r="K2579" s="1114"/>
      <c r="L2579" s="1114"/>
      <c r="M2579" s="1114"/>
      <c r="N2579" s="1114"/>
      <c r="O2579" s="1114"/>
      <c r="P2579" s="1114"/>
      <c r="Q2579" s="1114"/>
      <c r="R2579" s="1114"/>
      <c r="S2579" s="1114"/>
      <c r="T2579" s="1114"/>
      <c r="U2579" s="1114"/>
      <c r="V2579" s="1114"/>
      <c r="W2579" s="1114"/>
      <c r="X2579" s="1114"/>
      <c r="Y2579" s="1114"/>
      <c r="Z2579" s="1499"/>
      <c r="AA2579" s="1109"/>
      <c r="AB2579" s="1104"/>
      <c r="AC2579" s="1104"/>
      <c r="AD2579" s="1104"/>
      <c r="AE2579" s="1104"/>
      <c r="AF2579" s="1104"/>
      <c r="AG2579" s="1104"/>
      <c r="AI2579" s="2023">
        <f>W2579-'Blocking-Step2'!W2579</f>
        <v>0</v>
      </c>
      <c r="AJ2579" s="2054">
        <f>O2579-'Blocking-Step2'!O2579</f>
        <v>0</v>
      </c>
    </row>
    <row r="2580" spans="1:36" s="1874" customFormat="1">
      <c r="A2580" s="1116" t="s">
        <v>1452</v>
      </c>
      <c r="B2580" s="1104"/>
      <c r="C2580" s="1024"/>
      <c r="D2580" s="1105"/>
      <c r="E2580" s="1024"/>
      <c r="F2580" s="1139"/>
      <c r="G2580" s="1110"/>
      <c r="H2580" s="1629"/>
      <c r="I2580" s="1146"/>
      <c r="J2580" s="1114"/>
      <c r="K2580" s="1114"/>
      <c r="L2580" s="1114"/>
      <c r="M2580" s="1114"/>
      <c r="N2580" s="1114"/>
      <c r="O2580" s="1114"/>
      <c r="P2580" s="1114"/>
      <c r="Q2580" s="1114"/>
      <c r="R2580" s="1114"/>
      <c r="S2580" s="1114"/>
      <c r="T2580" s="1114"/>
      <c r="U2580" s="1114"/>
      <c r="V2580" s="1114"/>
      <c r="W2580" s="1114"/>
      <c r="X2580" s="1114"/>
      <c r="Y2580" s="1114"/>
      <c r="Z2580" s="1499"/>
      <c r="AA2580" s="1109"/>
      <c r="AB2580" s="1104"/>
      <c r="AC2580" s="1104"/>
      <c r="AD2580" s="1104"/>
      <c r="AE2580" s="1104"/>
      <c r="AF2580" s="1104"/>
      <c r="AG2580" s="1104"/>
      <c r="AI2580" s="2023">
        <f>W2580-'Blocking-Step2'!W2580</f>
        <v>0</v>
      </c>
      <c r="AJ2580" s="2054">
        <f>O2580-'Blocking-Step2'!O2580</f>
        <v>0</v>
      </c>
    </row>
    <row r="2581" spans="1:36" s="1874" customFormat="1">
      <c r="A2581" s="1116" t="s">
        <v>1448</v>
      </c>
      <c r="B2581" s="1104"/>
      <c r="C2581" s="1024"/>
      <c r="D2581" s="1105"/>
      <c r="E2581" s="1024"/>
      <c r="F2581" s="1139">
        <v>0.7</v>
      </c>
      <c r="G2581" s="1111"/>
      <c r="H2581" s="1629"/>
      <c r="I2581" s="1146">
        <f>ROUND($F2581*D2581,0)</f>
        <v>0</v>
      </c>
      <c r="J2581" s="1114"/>
      <c r="K2581" s="1114"/>
      <c r="L2581" s="1114"/>
      <c r="M2581" s="1114"/>
      <c r="N2581" s="1114"/>
      <c r="O2581" s="1114"/>
      <c r="P2581" s="1114"/>
      <c r="Q2581" s="1114"/>
      <c r="R2581" s="1114"/>
      <c r="S2581" s="1114"/>
      <c r="T2581" s="1114"/>
      <c r="U2581" s="1114"/>
      <c r="V2581" s="1114"/>
      <c r="W2581" s="1114"/>
      <c r="X2581" s="1114"/>
      <c r="Y2581" s="1114"/>
      <c r="Z2581" s="1499"/>
      <c r="AA2581" s="1109"/>
      <c r="AB2581" s="1104"/>
      <c r="AC2581" s="1104"/>
      <c r="AD2581" s="1104"/>
      <c r="AE2581" s="1104"/>
      <c r="AF2581" s="1104"/>
      <c r="AG2581" s="1104"/>
      <c r="AI2581" s="2023">
        <f>W2581-'Blocking-Step2'!W2581</f>
        <v>0</v>
      </c>
      <c r="AJ2581" s="2054">
        <f>O2581-'Blocking-Step2'!O2581</f>
        <v>0</v>
      </c>
    </row>
    <row r="2582" spans="1:36" s="1874" customFormat="1">
      <c r="A2582" s="1116" t="s">
        <v>1449</v>
      </c>
      <c r="B2582" s="1104"/>
      <c r="C2582" s="1024"/>
      <c r="D2582" s="1105"/>
      <c r="E2582" s="1024"/>
      <c r="F2582" s="1139">
        <v>0.45</v>
      </c>
      <c r="G2582" s="1111"/>
      <c r="H2582" s="1629"/>
      <c r="I2582" s="1146">
        <f>ROUND($F2582*D2582,0)</f>
        <v>0</v>
      </c>
      <c r="J2582" s="1114"/>
      <c r="K2582" s="1114"/>
      <c r="L2582" s="1114"/>
      <c r="M2582" s="1114"/>
      <c r="N2582" s="1114"/>
      <c r="O2582" s="1114"/>
      <c r="P2582" s="1114"/>
      <c r="Q2582" s="1114"/>
      <c r="R2582" s="1114"/>
      <c r="S2582" s="1114"/>
      <c r="T2582" s="1114"/>
      <c r="U2582" s="1114"/>
      <c r="V2582" s="1114"/>
      <c r="W2582" s="1114"/>
      <c r="X2582" s="1114"/>
      <c r="Y2582" s="1114"/>
      <c r="Z2582" s="1499"/>
      <c r="AA2582" s="1109"/>
      <c r="AB2582" s="1104"/>
      <c r="AC2582" s="1104"/>
      <c r="AD2582" s="1104"/>
      <c r="AE2582" s="1104"/>
      <c r="AF2582" s="1104"/>
      <c r="AG2582" s="1104"/>
      <c r="AI2582" s="2023">
        <f>W2582-'Blocking-Step2'!W2582</f>
        <v>0</v>
      </c>
      <c r="AJ2582" s="2054">
        <f>O2582-'Blocking-Step2'!O2582</f>
        <v>0</v>
      </c>
    </row>
    <row r="2583" spans="1:36" s="1874" customFormat="1">
      <c r="A2583" s="1116" t="s">
        <v>1453</v>
      </c>
      <c r="B2583" s="1104"/>
      <c r="C2583" s="1024"/>
      <c r="D2583" s="1105"/>
      <c r="E2583" s="1024"/>
      <c r="F2583" s="1141"/>
      <c r="G2583" s="1109"/>
      <c r="H2583" s="1628"/>
      <c r="I2583" s="1627"/>
      <c r="J2583" s="1109"/>
      <c r="K2583" s="1109"/>
      <c r="L2583" s="1109"/>
      <c r="M2583" s="1109"/>
      <c r="N2583" s="1109"/>
      <c r="O2583" s="1109"/>
      <c r="P2583" s="1109"/>
      <c r="Q2583" s="1109"/>
      <c r="R2583" s="1109"/>
      <c r="S2583" s="1628"/>
      <c r="T2583" s="1628"/>
      <c r="U2583" s="1628"/>
      <c r="V2583" s="1628"/>
      <c r="W2583" s="1628"/>
      <c r="X2583" s="1628"/>
      <c r="Y2583" s="1628"/>
      <c r="Z2583" s="1498"/>
      <c r="AA2583" s="1109"/>
      <c r="AB2583" s="1104"/>
      <c r="AC2583" s="1104"/>
      <c r="AD2583" s="1104"/>
      <c r="AE2583" s="1104"/>
      <c r="AF2583" s="1104"/>
      <c r="AG2583" s="1104"/>
      <c r="AI2583" s="2023">
        <f>W2583-'Blocking-Step2'!W2583</f>
        <v>0</v>
      </c>
      <c r="AJ2583" s="2054">
        <f>O2583-'Blocking-Step2'!O2583</f>
        <v>0</v>
      </c>
    </row>
    <row r="2584" spans="1:36" s="1874" customFormat="1">
      <c r="A2584" s="1116" t="s">
        <v>1448</v>
      </c>
      <c r="B2584" s="1104"/>
      <c r="C2584" s="1024">
        <f>'32'!AA2</f>
        <v>0</v>
      </c>
      <c r="D2584" s="1105">
        <f>'32-forecast'!X15</f>
        <v>649010.38571006362</v>
      </c>
      <c r="E2584" s="1024"/>
      <c r="F2584" s="1139">
        <v>0.66</v>
      </c>
      <c r="G2584" s="1110"/>
      <c r="H2584" s="1146">
        <f t="shared" ref="H2584:H2585" si="1563">ROUND($F2584*C2584,0)</f>
        <v>0</v>
      </c>
      <c r="I2584" s="1146">
        <f>ROUND($F2584*D2584,0)</f>
        <v>428347</v>
      </c>
      <c r="J2584" s="1114"/>
      <c r="K2584" s="1114"/>
      <c r="L2584" s="1114"/>
      <c r="M2584" s="1114"/>
      <c r="N2584" s="1114"/>
      <c r="O2584" s="1114"/>
      <c r="P2584" s="1114"/>
      <c r="Q2584" s="1114"/>
      <c r="R2584" s="1114"/>
      <c r="S2584" s="1114"/>
      <c r="T2584" s="1114"/>
      <c r="U2584" s="1114"/>
      <c r="V2584" s="1114"/>
      <c r="W2584" s="1114"/>
      <c r="X2584" s="1114"/>
      <c r="Y2584" s="1114"/>
      <c r="Z2584" s="1499"/>
      <c r="AA2584" s="1109"/>
      <c r="AB2584" s="1104"/>
      <c r="AC2584" s="1104"/>
      <c r="AD2584" s="1104"/>
      <c r="AE2584" s="1104"/>
      <c r="AF2584" s="1104"/>
      <c r="AG2584" s="1104"/>
      <c r="AI2584" s="2023">
        <f>W2584-'Blocking-Step2'!W2584</f>
        <v>0</v>
      </c>
      <c r="AJ2584" s="2054">
        <f>O2584-'Blocking-Step2'!O2584</f>
        <v>0</v>
      </c>
    </row>
    <row r="2585" spans="1:36" s="1874" customFormat="1">
      <c r="A2585" s="1116" t="s">
        <v>1454</v>
      </c>
      <c r="B2585" s="1104"/>
      <c r="C2585" s="1024">
        <f>'32'!AB2</f>
        <v>249715</v>
      </c>
      <c r="D2585" s="1105">
        <f>'32-forecast'!X16</f>
        <v>803981.39087577863</v>
      </c>
      <c r="E2585" s="1024"/>
      <c r="F2585" s="1139">
        <v>0.41</v>
      </c>
      <c r="G2585" s="1110"/>
      <c r="H2585" s="1146">
        <f t="shared" si="1563"/>
        <v>102383</v>
      </c>
      <c r="I2585" s="1146">
        <f>ROUND($F2585*D2585,0)</f>
        <v>329632</v>
      </c>
      <c r="J2585" s="1114"/>
      <c r="K2585" s="1114"/>
      <c r="L2585" s="1114"/>
      <c r="M2585" s="1114"/>
      <c r="N2585" s="1114"/>
      <c r="O2585" s="1114"/>
      <c r="P2585" s="1114"/>
      <c r="Q2585" s="1114"/>
      <c r="R2585" s="1114"/>
      <c r="S2585" s="1114"/>
      <c r="T2585" s="1114"/>
      <c r="U2585" s="1114"/>
      <c r="V2585" s="1114"/>
      <c r="W2585" s="1114"/>
      <c r="X2585" s="1114"/>
      <c r="Y2585" s="1114"/>
      <c r="Z2585" s="1499"/>
      <c r="AA2585" s="1109"/>
      <c r="AB2585" s="1104"/>
      <c r="AC2585" s="1104"/>
      <c r="AD2585" s="1104"/>
      <c r="AE2585" s="1104"/>
      <c r="AF2585" s="1104"/>
      <c r="AG2585" s="1104"/>
      <c r="AI2585" s="2023">
        <f>W2585-'Blocking-Step2'!W2585</f>
        <v>0</v>
      </c>
      <c r="AJ2585" s="2054">
        <f>O2585-'Blocking-Step2'!O2585</f>
        <v>0</v>
      </c>
    </row>
    <row r="2586" spans="1:36" s="1874" customFormat="1">
      <c r="A2586" s="1116" t="s">
        <v>1455</v>
      </c>
      <c r="B2586" s="1104"/>
      <c r="C2586" s="1024">
        <f>'32'!AC2</f>
        <v>24611000</v>
      </c>
      <c r="D2586" s="1105">
        <f>'32-forecast'!AA17</f>
        <v>172556856.82849827</v>
      </c>
      <c r="E2586" s="1024"/>
      <c r="F2586" s="1143">
        <v>5.7290000000000001</v>
      </c>
      <c r="G2586" s="1875" t="s">
        <v>495</v>
      </c>
      <c r="H2586" s="1146">
        <f t="shared" ref="H2586:I2586" si="1564">ROUND($F2586*C2586/100,0)</f>
        <v>1409964</v>
      </c>
      <c r="I2586" s="1146">
        <f t="shared" si="1564"/>
        <v>9885782</v>
      </c>
      <c r="J2586" s="1114"/>
      <c r="K2586" s="1143">
        <f>ROUND(Q2586*AA1495/(AA1495+AB1495),4)</f>
        <v>1.7851999999999999</v>
      </c>
      <c r="L2586" s="1875" t="s">
        <v>495</v>
      </c>
      <c r="M2586" s="1143">
        <f>Q2586-K2586-O2586</f>
        <v>3.9438000000000004</v>
      </c>
      <c r="N2586" s="1875" t="s">
        <v>495</v>
      </c>
      <c r="O2586" s="1143">
        <f>'Blocking-Step2'!O2586</f>
        <v>0</v>
      </c>
      <c r="P2586" s="1875" t="s">
        <v>495</v>
      </c>
      <c r="Q2586" s="1143">
        <f>F2586</f>
        <v>5.7290000000000001</v>
      </c>
      <c r="R2586" s="1875" t="s">
        <v>495</v>
      </c>
      <c r="S2586" s="1114">
        <f>ROUND($D2586*K2586/100,0)</f>
        <v>3080485</v>
      </c>
      <c r="T2586" s="1876"/>
      <c r="U2586" s="1114">
        <f>ROUND($D2586*M2586/100,0)</f>
        <v>6805297</v>
      </c>
      <c r="V2586" s="1876"/>
      <c r="W2586" s="1114">
        <f>ROUND($D2586*O2586/100,0)</f>
        <v>0</v>
      </c>
      <c r="X2586" s="1876"/>
      <c r="Y2586" s="1114">
        <f>ROUND($D2586*Q2586/100,0)</f>
        <v>9885782</v>
      </c>
      <c r="Z2586" s="1499"/>
      <c r="AA2586" s="1109"/>
      <c r="AB2586" s="1104"/>
      <c r="AC2586" s="1104"/>
      <c r="AD2586" s="1104"/>
      <c r="AE2586" s="1104"/>
      <c r="AF2586" s="1104"/>
      <c r="AG2586" s="1104"/>
      <c r="AI2586" s="2023">
        <f>W2586-'Blocking-Step2'!W2586</f>
        <v>0</v>
      </c>
      <c r="AJ2586" s="2054">
        <f>O2586-'Blocking-Step2'!O2586</f>
        <v>0</v>
      </c>
    </row>
    <row r="2587" spans="1:36" s="1104" customFormat="1">
      <c r="A2587" s="1116" t="s">
        <v>397</v>
      </c>
      <c r="C2587" s="1117"/>
      <c r="D2587" s="1136">
        <f>D2586</f>
        <v>172556856.82849827</v>
      </c>
      <c r="E2587" s="1117"/>
      <c r="F2587" s="1106"/>
      <c r="G2587" s="1107"/>
      <c r="H2587" s="1147">
        <f>SUM(H2543:H2586)</f>
        <v>1672391</v>
      </c>
      <c r="I2587" s="1147">
        <f>SUM(I2543:I2586)</f>
        <v>11605048</v>
      </c>
      <c r="J2587" s="1114"/>
      <c r="K2587" s="1114"/>
      <c r="L2587" s="1114"/>
      <c r="M2587" s="1114"/>
      <c r="N2587" s="1114"/>
      <c r="O2587" s="1114"/>
      <c r="P2587" s="1114"/>
      <c r="Q2587" s="1114"/>
      <c r="R2587" s="1114"/>
      <c r="S2587" s="1147">
        <f>SUM(S2543:S2586)</f>
        <v>4587097</v>
      </c>
      <c r="T2587" s="1114"/>
      <c r="U2587" s="1147">
        <f>SUM(U2543:U2586)</f>
        <v>7369656</v>
      </c>
      <c r="V2587" s="1114"/>
      <c r="W2587" s="1147">
        <f>SUM(W2543:W2586)</f>
        <v>0</v>
      </c>
      <c r="X2587" s="1114"/>
      <c r="Y2587" s="1147">
        <f>SUM(Y2543:Y2586)</f>
        <v>11956753</v>
      </c>
      <c r="Z2587" s="1499"/>
      <c r="AA2587" s="1109"/>
      <c r="AI2587" s="2023">
        <f>W2587-'Blocking-Step2'!W2587</f>
        <v>0</v>
      </c>
      <c r="AJ2587" s="2054">
        <f>O2587-'Blocking-Step2'!O2587</f>
        <v>0</v>
      </c>
    </row>
    <row r="2588" spans="1:36" s="1104" customFormat="1">
      <c r="A2588" s="2008" t="s">
        <v>442</v>
      </c>
      <c r="C2588" s="1632"/>
      <c r="D2588" s="1631"/>
      <c r="E2588" s="1109"/>
      <c r="G2588" s="1109"/>
      <c r="H2588" s="1628"/>
      <c r="I2588" s="1627"/>
      <c r="J2588" s="1109"/>
      <c r="K2588" s="1109"/>
      <c r="L2588" s="1109"/>
      <c r="M2588" s="1109"/>
      <c r="N2588" s="1109"/>
      <c r="O2588" s="1109"/>
      <c r="P2588" s="1109"/>
      <c r="Q2588" s="1109"/>
      <c r="R2588" s="1109"/>
      <c r="S2588" s="1628"/>
      <c r="T2588" s="1628"/>
      <c r="U2588" s="1628"/>
      <c r="V2588" s="1628"/>
      <c r="W2588" s="1628"/>
      <c r="X2588" s="1628"/>
      <c r="Y2588" s="1628"/>
      <c r="Z2588" s="1498"/>
      <c r="AA2588" s="1109"/>
      <c r="AI2588" s="2023">
        <f>W2588-'Blocking-Step2'!W2588</f>
        <v>0</v>
      </c>
      <c r="AJ2588" s="2054">
        <f>O2588-'Blocking-Step2'!O2588</f>
        <v>0</v>
      </c>
    </row>
    <row r="2589" spans="1:36" s="1104" customFormat="1">
      <c r="A2589" s="1115" t="s">
        <v>444</v>
      </c>
      <c r="C2589" s="1024"/>
      <c r="D2589" s="1105"/>
      <c r="E2589" s="1024"/>
      <c r="F2589" s="1142"/>
      <c r="G2589" s="617"/>
      <c r="H2589" s="1114"/>
      <c r="I2589" s="1146"/>
      <c r="J2589" s="1114"/>
      <c r="K2589" s="1114"/>
      <c r="L2589" s="1114"/>
      <c r="M2589" s="1114"/>
      <c r="N2589" s="1114"/>
      <c r="O2589" s="1114"/>
      <c r="P2589" s="1114"/>
      <c r="Q2589" s="1114"/>
      <c r="R2589" s="1114"/>
      <c r="S2589" s="1114"/>
      <c r="T2589" s="1114"/>
      <c r="U2589" s="1114"/>
      <c r="V2589" s="1114"/>
      <c r="W2589" s="1114"/>
      <c r="X2589" s="1114"/>
      <c r="Y2589" s="1114"/>
      <c r="Z2589" s="1499"/>
      <c r="AA2589" s="1109"/>
      <c r="AI2589" s="2023">
        <f>W2589-'Blocking-Step2'!W2589</f>
        <v>0</v>
      </c>
      <c r="AJ2589" s="2054">
        <f>O2589-'Blocking-Step2'!O2589</f>
        <v>0</v>
      </c>
    </row>
    <row r="2590" spans="1:36" s="1104" customFormat="1">
      <c r="A2590" s="1116" t="s">
        <v>168</v>
      </c>
      <c r="C2590" s="1105">
        <f>'32-9'!H2+'32'!W2</f>
        <v>271679.46396396402</v>
      </c>
      <c r="D2590" s="1105">
        <f>'32-forecast'!U17</f>
        <v>41882.545256487327</v>
      </c>
      <c r="E2590" s="1024"/>
      <c r="F2590" s="1142">
        <v>2.2200000000000002</v>
      </c>
      <c r="G2590" s="617"/>
      <c r="H2590" s="1146">
        <f t="shared" ref="H2590:I2598" si="1565">ROUND($F2590*C2590,0)</f>
        <v>603128</v>
      </c>
      <c r="I2590" s="1146">
        <f t="shared" si="1565"/>
        <v>92979</v>
      </c>
      <c r="J2590" s="1114"/>
      <c r="K2590" s="1142">
        <f t="shared" ref="K2590:K2596" si="1566">K1480</f>
        <v>2.27</v>
      </c>
      <c r="L2590" s="617"/>
      <c r="M2590" s="1142">
        <f t="shared" ref="M2590:M2596" si="1567">M1480</f>
        <v>0</v>
      </c>
      <c r="N2590" s="617"/>
      <c r="O2590" s="1142">
        <f t="shared" ref="O2590:O2596" si="1568">O1480</f>
        <v>0</v>
      </c>
      <c r="P2590" s="1114"/>
      <c r="Q2590" s="1142">
        <f t="shared" ref="Q2590:Q2596" si="1569">Q1480</f>
        <v>2.27</v>
      </c>
      <c r="R2590" s="617"/>
      <c r="S2590" s="1193">
        <f t="shared" ref="S2590:S2592" si="1570">ROUND($D2590*K2590,0)</f>
        <v>95073</v>
      </c>
      <c r="T2590" s="1114"/>
      <c r="U2590" s="1193">
        <f t="shared" ref="U2590:Y2592" si="1571">ROUND($D2590*M2590,0)</f>
        <v>0</v>
      </c>
      <c r="V2590" s="1114"/>
      <c r="W2590" s="1193">
        <f t="shared" si="1571"/>
        <v>0</v>
      </c>
      <c r="X2590" s="1114"/>
      <c r="Y2590" s="1193">
        <f t="shared" si="1571"/>
        <v>95073</v>
      </c>
      <c r="Z2590" s="1878" t="s">
        <v>251</v>
      </c>
      <c r="AA2590" s="1109"/>
      <c r="AI2590" s="2023">
        <f>W2590-'Blocking-Step2'!W2590</f>
        <v>0</v>
      </c>
      <c r="AJ2590" s="2054">
        <f>O2590-'Blocking-Step2'!O2590</f>
        <v>0</v>
      </c>
    </row>
    <row r="2591" spans="1:36" s="1104" customFormat="1">
      <c r="A2591" s="1900" t="s">
        <v>1651</v>
      </c>
      <c r="C2591" s="528">
        <f>C2597*Z2591</f>
        <v>113286.1768593625</v>
      </c>
      <c r="D2591" s="528">
        <f>D2597*Z2591</f>
        <v>15180.02958676651</v>
      </c>
      <c r="E2591" s="1024"/>
      <c r="F2591" s="1142"/>
      <c r="G2591" s="617"/>
      <c r="H2591" s="1146"/>
      <c r="I2591" s="1146"/>
      <c r="J2591" s="1114"/>
      <c r="K2591" s="1142">
        <f t="shared" si="1566"/>
        <v>4.6900000000000004</v>
      </c>
      <c r="L2591" s="617"/>
      <c r="M2591" s="1142">
        <f t="shared" si="1567"/>
        <v>9.61</v>
      </c>
      <c r="N2591" s="617"/>
      <c r="O2591" s="1142">
        <f t="shared" si="1568"/>
        <v>0</v>
      </c>
      <c r="P2591" s="1118"/>
      <c r="Q2591" s="1142">
        <f t="shared" si="1569"/>
        <v>14.3</v>
      </c>
      <c r="R2591" s="617"/>
      <c r="S2591" s="1644">
        <f t="shared" si="1570"/>
        <v>71194</v>
      </c>
      <c r="T2591" s="1114"/>
      <c r="U2591" s="1644">
        <f t="shared" si="1571"/>
        <v>145880</v>
      </c>
      <c r="V2591" s="1114"/>
      <c r="W2591" s="1644">
        <f t="shared" si="1571"/>
        <v>0</v>
      </c>
      <c r="X2591" s="1114"/>
      <c r="Y2591" s="1644">
        <f t="shared" si="1571"/>
        <v>217074</v>
      </c>
      <c r="Z2591" s="1878">
        <f>Z1502</f>
        <v>0.81143000192935111</v>
      </c>
      <c r="AA2591" s="1109"/>
      <c r="AI2591" s="2023">
        <f>W2591-'Blocking-Step2'!W2591</f>
        <v>0</v>
      </c>
      <c r="AJ2591" s="2054">
        <f>O2591-'Blocking-Step2'!O2591</f>
        <v>0</v>
      </c>
    </row>
    <row r="2592" spans="1:36" s="1104" customFormat="1">
      <c r="A2592" s="1900" t="s">
        <v>1652</v>
      </c>
      <c r="C2592" s="528">
        <f>C2598*Z2592</f>
        <v>147021.2356670486</v>
      </c>
      <c r="D2592" s="528">
        <f>D2598*Z2592</f>
        <v>26325.06937362958</v>
      </c>
      <c r="E2592" s="1024"/>
      <c r="F2592" s="1142"/>
      <c r="G2592" s="617"/>
      <c r="H2592" s="1146"/>
      <c r="I2592" s="1146"/>
      <c r="J2592" s="1114"/>
      <c r="K2592" s="1142">
        <f t="shared" si="1566"/>
        <v>4.1500000000000004</v>
      </c>
      <c r="L2592" s="617"/>
      <c r="M2592" s="1142">
        <f t="shared" si="1567"/>
        <v>8.5</v>
      </c>
      <c r="N2592" s="617"/>
      <c r="O2592" s="1142">
        <f t="shared" si="1568"/>
        <v>0</v>
      </c>
      <c r="P2592" s="1118"/>
      <c r="Q2592" s="1142">
        <f t="shared" si="1569"/>
        <v>12.65</v>
      </c>
      <c r="R2592" s="617"/>
      <c r="S2592" s="1644">
        <f t="shared" si="1570"/>
        <v>109249</v>
      </c>
      <c r="T2592" s="1114"/>
      <c r="U2592" s="1644">
        <f t="shared" si="1571"/>
        <v>223763</v>
      </c>
      <c r="V2592" s="1114"/>
      <c r="W2592" s="1644">
        <f t="shared" si="1571"/>
        <v>0</v>
      </c>
      <c r="X2592" s="1114"/>
      <c r="Y2592" s="1644">
        <f t="shared" si="1571"/>
        <v>333012</v>
      </c>
      <c r="Z2592" s="1878">
        <f>Z1503</f>
        <v>1.1359353572586484</v>
      </c>
      <c r="AA2592" s="1109"/>
      <c r="AI2592" s="2023">
        <f>W2592-'Blocking-Step2'!W2592</f>
        <v>0</v>
      </c>
      <c r="AJ2592" s="2054">
        <f>O2592-'Blocking-Step2'!O2592</f>
        <v>0</v>
      </c>
    </row>
    <row r="2593" spans="1:36" s="1104" customFormat="1">
      <c r="A2593" s="1900" t="s">
        <v>1532</v>
      </c>
      <c r="C2593" s="528">
        <f>C2599*Z2593</f>
        <v>13810694.572759079</v>
      </c>
      <c r="D2593" s="528">
        <f>D2599*Z2593</f>
        <v>4703542.3042796534</v>
      </c>
      <c r="E2593" s="1024"/>
      <c r="F2593" s="1143"/>
      <c r="G2593" s="1875"/>
      <c r="H2593" s="1146"/>
      <c r="I2593" s="1146"/>
      <c r="J2593" s="1114"/>
      <c r="K2593" s="1143">
        <f t="shared" si="1566"/>
        <v>0</v>
      </c>
      <c r="L2593" s="1875" t="s">
        <v>495</v>
      </c>
      <c r="M2593" s="1143">
        <f t="shared" si="1567"/>
        <v>1.0266514814000001</v>
      </c>
      <c r="N2593" s="1875" t="s">
        <v>495</v>
      </c>
      <c r="O2593" s="1143">
        <f t="shared" si="1568"/>
        <v>4.1108761607000002</v>
      </c>
      <c r="P2593" s="1875" t="s">
        <v>495</v>
      </c>
      <c r="Q2593" s="1143">
        <f t="shared" si="1569"/>
        <v>5.1375276421000002</v>
      </c>
      <c r="R2593" s="1875" t="s">
        <v>495</v>
      </c>
      <c r="S2593" s="1644">
        <f>ROUND($D2593*K2593/100,0)</f>
        <v>0</v>
      </c>
      <c r="T2593" s="1876"/>
      <c r="U2593" s="1644">
        <f>ROUND($D2593*M2593/100,0)</f>
        <v>48289</v>
      </c>
      <c r="V2593" s="1876"/>
      <c r="W2593" s="1644">
        <f>ROUND($D2593*O2593/100,0)</f>
        <v>193357</v>
      </c>
      <c r="X2593" s="1876"/>
      <c r="Y2593" s="1644">
        <f>ROUND($D2593*Q2593/100,0)</f>
        <v>241646</v>
      </c>
      <c r="Z2593" s="1878">
        <f>Z1504</f>
        <v>0.69164135480564293</v>
      </c>
      <c r="AA2593" s="1109"/>
      <c r="AI2593" s="2023">
        <f>W2593-'Blocking-Step2'!W2593</f>
        <v>0</v>
      </c>
      <c r="AJ2593" s="2054">
        <f>O2593-'Blocking-Step2'!O2593</f>
        <v>0</v>
      </c>
    </row>
    <row r="2594" spans="1:36" s="1104" customFormat="1">
      <c r="A2594" s="1900" t="s">
        <v>1653</v>
      </c>
      <c r="C2594" s="528">
        <f>C2600*Z2594</f>
        <v>19233159.527981713</v>
      </c>
      <c r="D2594" s="528">
        <f>D2600*Z2594</f>
        <v>4209024.1937161162</v>
      </c>
      <c r="E2594" s="1024"/>
      <c r="F2594" s="1143"/>
      <c r="G2594" s="1875"/>
      <c r="H2594" s="1146"/>
      <c r="I2594" s="1146"/>
      <c r="J2594" s="1114"/>
      <c r="K2594" s="1143">
        <f t="shared" si="1566"/>
        <v>0</v>
      </c>
      <c r="L2594" s="1875" t="s">
        <v>495</v>
      </c>
      <c r="M2594" s="1143">
        <f t="shared" si="1567"/>
        <v>1.0342499835399996</v>
      </c>
      <c r="N2594" s="1875" t="s">
        <v>495</v>
      </c>
      <c r="O2594" s="1143">
        <f t="shared" si="1568"/>
        <v>3.5122346554870001</v>
      </c>
      <c r="P2594" s="1875" t="s">
        <v>495</v>
      </c>
      <c r="Q2594" s="1143">
        <f t="shared" si="1569"/>
        <v>4.5464846390269997</v>
      </c>
      <c r="R2594" s="1875" t="s">
        <v>495</v>
      </c>
      <c r="S2594" s="1644">
        <f t="shared" ref="S2594:S2596" si="1572">ROUND($D2594*K2594/100,0)</f>
        <v>0</v>
      </c>
      <c r="T2594" s="1876"/>
      <c r="U2594" s="1644">
        <f t="shared" ref="U2594:Y2596" si="1573">ROUND($D2594*M2594/100,0)</f>
        <v>43532</v>
      </c>
      <c r="V2594" s="1876"/>
      <c r="W2594" s="1644">
        <f t="shared" si="1573"/>
        <v>147831</v>
      </c>
      <c r="X2594" s="1876"/>
      <c r="Y2594" s="1644">
        <f t="shared" si="1573"/>
        <v>191363</v>
      </c>
      <c r="Z2594" s="1878">
        <f>Z1505</f>
        <v>0.49962363006591026</v>
      </c>
      <c r="AA2594" s="1109"/>
      <c r="AI2594" s="2023">
        <f>W2594-'Blocking-Step2'!W2594</f>
        <v>0</v>
      </c>
      <c r="AJ2594" s="2054">
        <f>O2594-'Blocking-Step2'!O2594</f>
        <v>0</v>
      </c>
    </row>
    <row r="2595" spans="1:36" s="1104" customFormat="1">
      <c r="A2595" s="1900" t="s">
        <v>1533</v>
      </c>
      <c r="C2595" s="528">
        <f>SUM(C2599:C2601)*Z2595</f>
        <v>42155021.54351145</v>
      </c>
      <c r="D2595" s="528">
        <f>SUM(D2599:D2601)*Z2595</f>
        <v>6552516.860153473</v>
      </c>
      <c r="E2595" s="1024"/>
      <c r="F2595" s="1143"/>
      <c r="G2595" s="1875"/>
      <c r="H2595" s="1146"/>
      <c r="I2595" s="1146"/>
      <c r="J2595" s="1114"/>
      <c r="K2595" s="1143">
        <f t="shared" si="1566"/>
        <v>0</v>
      </c>
      <c r="L2595" s="1875" t="s">
        <v>495</v>
      </c>
      <c r="M2595" s="1143">
        <f t="shared" si="1567"/>
        <v>1.0591286997309999</v>
      </c>
      <c r="N2595" s="1875" t="s">
        <v>495</v>
      </c>
      <c r="O2595" s="1143">
        <f t="shared" si="1568"/>
        <v>1.5521862361710002</v>
      </c>
      <c r="P2595" s="1875" t="s">
        <v>495</v>
      </c>
      <c r="Q2595" s="1143">
        <f t="shared" si="1569"/>
        <v>2.611314935902</v>
      </c>
      <c r="R2595" s="1875" t="s">
        <v>495</v>
      </c>
      <c r="S2595" s="1644">
        <f t="shared" si="1572"/>
        <v>0</v>
      </c>
      <c r="T2595" s="1876"/>
      <c r="U2595" s="1644">
        <f t="shared" si="1573"/>
        <v>69400</v>
      </c>
      <c r="V2595" s="1876"/>
      <c r="W2595" s="1644">
        <f t="shared" si="1573"/>
        <v>101707</v>
      </c>
      <c r="X2595" s="1876"/>
      <c r="Y2595" s="1644">
        <f t="shared" si="1573"/>
        <v>171107</v>
      </c>
      <c r="Z2595" s="1878">
        <f>Z1506</f>
        <v>0.27196615788867357</v>
      </c>
      <c r="AA2595" s="1109"/>
      <c r="AI2595" s="2023">
        <f>W2595-'Blocking-Step2'!W2595</f>
        <v>0</v>
      </c>
      <c r="AJ2595" s="2054">
        <f>O2595-'Blocking-Step2'!O2595</f>
        <v>0</v>
      </c>
    </row>
    <row r="2596" spans="1:36" s="1104" customFormat="1">
      <c r="A2596" s="1900" t="s">
        <v>2177</v>
      </c>
      <c r="C2596" s="528">
        <f>SUM(C2599:C2601)-SUM(C2593:C2595)</f>
        <v>79802106.355747759</v>
      </c>
      <c r="D2596" s="528">
        <f>SUM(D2599:D2601)-SUM(D2593:D2595)</f>
        <v>8628049.8133524694</v>
      </c>
      <c r="E2596" s="1024"/>
      <c r="F2596" s="1144"/>
      <c r="G2596" s="1875"/>
      <c r="H2596" s="1148"/>
      <c r="I2596" s="1148"/>
      <c r="J2596" s="1114"/>
      <c r="K2596" s="1144">
        <f t="shared" si="1566"/>
        <v>0</v>
      </c>
      <c r="L2596" s="1875" t="s">
        <v>495</v>
      </c>
      <c r="M2596" s="1144">
        <f t="shared" si="1567"/>
        <v>1.0629908847180001</v>
      </c>
      <c r="N2596" s="1875" t="s">
        <v>495</v>
      </c>
      <c r="O2596" s="1144">
        <f t="shared" si="1568"/>
        <v>1.247907288647</v>
      </c>
      <c r="P2596" s="1875" t="s">
        <v>495</v>
      </c>
      <c r="Q2596" s="1144">
        <f t="shared" si="1569"/>
        <v>2.310898173365</v>
      </c>
      <c r="R2596" s="1875" t="s">
        <v>495</v>
      </c>
      <c r="S2596" s="1644">
        <f t="shared" si="1572"/>
        <v>0</v>
      </c>
      <c r="T2596" s="1876"/>
      <c r="U2596" s="1644">
        <f t="shared" si="1573"/>
        <v>91715</v>
      </c>
      <c r="V2596" s="1876"/>
      <c r="W2596" s="1644">
        <f t="shared" si="1573"/>
        <v>107670</v>
      </c>
      <c r="X2596" s="1876"/>
      <c r="Y2596" s="1644">
        <f t="shared" si="1573"/>
        <v>199385</v>
      </c>
      <c r="Z2596" s="1878"/>
      <c r="AA2596" s="1109"/>
      <c r="AI2596" s="2023">
        <f>W2596-'Blocking-Step2'!W2596</f>
        <v>0</v>
      </c>
      <c r="AJ2596" s="2054">
        <f>O2596-'Blocking-Step2'!O2596</f>
        <v>0</v>
      </c>
    </row>
    <row r="2597" spans="1:36" s="1104" customFormat="1">
      <c r="A2597" s="1116" t="s">
        <v>18</v>
      </c>
      <c r="C2597" s="1105">
        <f>'32-9'!J2+'32'!J2</f>
        <v>139613</v>
      </c>
      <c r="D2597" s="1105">
        <f>'32-forecast'!G15</f>
        <v>18707.749960776273</v>
      </c>
      <c r="E2597" s="1024"/>
      <c r="F2597" s="1142">
        <v>13.96</v>
      </c>
      <c r="G2597" s="617"/>
      <c r="H2597" s="1146">
        <f t="shared" si="1565"/>
        <v>1948997</v>
      </c>
      <c r="I2597" s="1146">
        <f t="shared" si="1565"/>
        <v>261160</v>
      </c>
      <c r="J2597" s="1114"/>
      <c r="K2597" s="1114"/>
      <c r="L2597" s="1118"/>
      <c r="M2597" s="1114"/>
      <c r="N2597" s="1118"/>
      <c r="O2597" s="1114"/>
      <c r="P2597" s="1118"/>
      <c r="Q2597" s="1114"/>
      <c r="R2597" s="1118"/>
      <c r="S2597" s="1114"/>
      <c r="T2597" s="1114"/>
      <c r="U2597" s="1114"/>
      <c r="V2597" s="1114"/>
      <c r="W2597" s="1114"/>
      <c r="X2597" s="1114"/>
      <c r="Y2597" s="1114"/>
      <c r="Z2597" s="1499"/>
      <c r="AA2597" s="1109"/>
      <c r="AI2597" s="2023">
        <f>W2597-'Blocking-Step2'!W2597</f>
        <v>0</v>
      </c>
      <c r="AJ2597" s="2054">
        <f>O2597-'Blocking-Step2'!O2597</f>
        <v>0</v>
      </c>
    </row>
    <row r="2598" spans="1:36" s="1104" customFormat="1">
      <c r="A2598" s="1116" t="s">
        <v>166</v>
      </c>
      <c r="C2598" s="1105">
        <f>'32-9'!K2+'32'!K2</f>
        <v>129427.46673706399</v>
      </c>
      <c r="D2598" s="1105">
        <f>'32-forecast'!G16</f>
        <v>23174.795295711054</v>
      </c>
      <c r="E2598" s="1024"/>
      <c r="F2598" s="1142">
        <v>9.4700000000000006</v>
      </c>
      <c r="G2598" s="617"/>
      <c r="H2598" s="1146">
        <f t="shared" si="1565"/>
        <v>1225678</v>
      </c>
      <c r="I2598" s="1146">
        <f t="shared" si="1565"/>
        <v>219465</v>
      </c>
      <c r="J2598" s="1114"/>
      <c r="K2598" s="1114"/>
      <c r="L2598" s="1118"/>
      <c r="M2598" s="1114"/>
      <c r="N2598" s="1118"/>
      <c r="O2598" s="1114"/>
      <c r="P2598" s="1118"/>
      <c r="Q2598" s="1114"/>
      <c r="R2598" s="1118"/>
      <c r="S2598" s="1114"/>
      <c r="T2598" s="1114"/>
      <c r="U2598" s="1114"/>
      <c r="V2598" s="1114"/>
      <c r="W2598" s="1114"/>
      <c r="X2598" s="1114"/>
      <c r="Y2598" s="1114"/>
      <c r="Z2598" s="1499"/>
      <c r="AA2598" s="1109"/>
      <c r="AI2598" s="2023">
        <f>W2598-'Blocking-Step2'!W2598</f>
        <v>0</v>
      </c>
      <c r="AJ2598" s="2054">
        <f>O2598-'Blocking-Step2'!O2598</f>
        <v>0</v>
      </c>
    </row>
    <row r="2599" spans="1:36" s="1104" customFormat="1">
      <c r="A2599" s="1116" t="s">
        <v>19</v>
      </c>
      <c r="C2599" s="1105">
        <f>'32-9'!M2+'32'!M2</f>
        <v>19968000</v>
      </c>
      <c r="D2599" s="1105">
        <f>'32-forecast'!L15</f>
        <v>6800550.9959730338</v>
      </c>
      <c r="E2599" s="1024"/>
      <c r="F2599" s="1143">
        <v>4.6531000000000002</v>
      </c>
      <c r="G2599" s="1875" t="s">
        <v>495</v>
      </c>
      <c r="H2599" s="1146">
        <f t="shared" ref="H2599:I2601" si="1574">ROUND($F2599*C2599/100,0)</f>
        <v>929131</v>
      </c>
      <c r="I2599" s="1146">
        <f t="shared" si="1574"/>
        <v>316436</v>
      </c>
      <c r="J2599" s="1114"/>
      <c r="K2599" s="1114"/>
      <c r="L2599" s="1118"/>
      <c r="M2599" s="1114"/>
      <c r="N2599" s="1118"/>
      <c r="O2599" s="1114"/>
      <c r="P2599" s="1118"/>
      <c r="Q2599" s="1114"/>
      <c r="R2599" s="1118"/>
      <c r="S2599" s="1114"/>
      <c r="T2599" s="1114"/>
      <c r="U2599" s="1114"/>
      <c r="V2599" s="1114"/>
      <c r="W2599" s="1114"/>
      <c r="X2599" s="1114"/>
      <c r="Y2599" s="1114"/>
      <c r="Z2599" s="1499"/>
      <c r="AA2599" s="1109"/>
      <c r="AI2599" s="2023">
        <f>W2599-'Blocking-Step2'!W2599</f>
        <v>0</v>
      </c>
      <c r="AJ2599" s="2054">
        <f>O2599-'Blocking-Step2'!O2599</f>
        <v>0</v>
      </c>
    </row>
    <row r="2600" spans="1:36" s="1104" customFormat="1">
      <c r="A2600" s="1116" t="s">
        <v>257</v>
      </c>
      <c r="C2600" s="1105">
        <f>'32-9'!N2+'32'!N2</f>
        <v>38495296</v>
      </c>
      <c r="D2600" s="1105">
        <f>'32-forecast'!L16</f>
        <v>8424389.7614707742</v>
      </c>
      <c r="E2600" s="1024"/>
      <c r="F2600" s="1143">
        <v>3.4988999999999999</v>
      </c>
      <c r="G2600" s="1875" t="s">
        <v>495</v>
      </c>
      <c r="H2600" s="1146">
        <f t="shared" si="1574"/>
        <v>1346912</v>
      </c>
      <c r="I2600" s="1146">
        <f t="shared" si="1574"/>
        <v>294761</v>
      </c>
      <c r="J2600" s="1114"/>
      <c r="K2600" s="1114"/>
      <c r="L2600" s="1118"/>
      <c r="M2600" s="1114"/>
      <c r="N2600" s="1118"/>
      <c r="O2600" s="1114"/>
      <c r="P2600" s="1118"/>
      <c r="Q2600" s="1114"/>
      <c r="R2600" s="1118"/>
      <c r="S2600" s="1114"/>
      <c r="T2600" s="1114"/>
      <c r="U2600" s="1114"/>
      <c r="V2600" s="1114"/>
      <c r="W2600" s="1114"/>
      <c r="X2600" s="1114"/>
      <c r="Y2600" s="1114"/>
      <c r="Z2600" s="1499"/>
      <c r="AA2600" s="1109"/>
      <c r="AI2600" s="2023">
        <f>W2600-'Blocking-Step2'!W2600</f>
        <v>0</v>
      </c>
      <c r="AJ2600" s="2054">
        <f>O2600-'Blocking-Step2'!O2600</f>
        <v>0</v>
      </c>
    </row>
    <row r="2601" spans="1:36" s="1104" customFormat="1">
      <c r="A2601" s="1116" t="s">
        <v>249</v>
      </c>
      <c r="C2601" s="1137">
        <f>'32-9'!O2+'32'!O2</f>
        <v>96537686</v>
      </c>
      <c r="D2601" s="1137">
        <f>'32-forecast'!M17</f>
        <v>8868192.4140579049</v>
      </c>
      <c r="E2601" s="1024"/>
      <c r="F2601" s="1144">
        <v>2.9224999999999999</v>
      </c>
      <c r="G2601" s="1875" t="s">
        <v>495</v>
      </c>
      <c r="H2601" s="1148">
        <f t="shared" si="1574"/>
        <v>2821314</v>
      </c>
      <c r="I2601" s="1148">
        <f t="shared" si="1574"/>
        <v>259173</v>
      </c>
      <c r="J2601" s="1114"/>
      <c r="K2601" s="1114"/>
      <c r="L2601" s="1118"/>
      <c r="M2601" s="1114"/>
      <c r="N2601" s="1118"/>
      <c r="O2601" s="1114"/>
      <c r="P2601" s="1118"/>
      <c r="Q2601" s="1114"/>
      <c r="R2601" s="1118"/>
      <c r="S2601" s="1114"/>
      <c r="T2601" s="1114"/>
      <c r="U2601" s="1114"/>
      <c r="V2601" s="1114"/>
      <c r="W2601" s="1114"/>
      <c r="X2601" s="1114"/>
      <c r="Y2601" s="1114"/>
      <c r="Z2601" s="1499"/>
      <c r="AA2601" s="1109"/>
      <c r="AI2601" s="2023">
        <f>W2601-'Blocking-Step2'!W2601</f>
        <v>0</v>
      </c>
      <c r="AJ2601" s="2054">
        <f>O2601-'Blocking-Step2'!O2601</f>
        <v>0</v>
      </c>
    </row>
    <row r="2602" spans="1:36">
      <c r="A2602" s="1900" t="s">
        <v>1240</v>
      </c>
      <c r="C2602" s="584"/>
      <c r="D2602" s="584"/>
      <c r="F2602" s="2005">
        <v>-3.0700000000000002E-2</v>
      </c>
      <c r="G2602" s="597"/>
      <c r="H2602" s="2006">
        <f>SUM(H2597:H2601)*$F2602</f>
        <v>-253951.3824</v>
      </c>
      <c r="I2602" s="2006">
        <f>SUM(I2597:I2601)*$F2602</f>
        <v>-41475.546500000004</v>
      </c>
      <c r="K2602" s="2005"/>
      <c r="L2602" s="597"/>
      <c r="M2602" s="2005"/>
      <c r="N2602" s="597"/>
      <c r="O2602" s="1931" t="str">
        <f>$O$43</f>
        <v>Tax Year 1 (1/1/2021)</v>
      </c>
      <c r="P2602" s="597"/>
      <c r="Q2602" s="1930">
        <f>Q1493</f>
        <v>-1.41E-2</v>
      </c>
      <c r="R2602" s="597"/>
      <c r="S2602" s="1644"/>
      <c r="T2602" s="1645"/>
      <c r="U2602" s="1644"/>
      <c r="V2602" s="1645"/>
      <c r="W2602" s="1644"/>
      <c r="X2602" s="1645"/>
      <c r="Y2602" s="1644">
        <f>Q2602*SUM(Y2591:Y2596)</f>
        <v>-19085.576699999998</v>
      </c>
      <c r="AI2602" s="2023">
        <f>W2602-'Blocking-Step2'!W2602</f>
        <v>0</v>
      </c>
      <c r="AJ2602" s="2054">
        <f>O2602-'Blocking-Step2'!O2602</f>
        <v>0</v>
      </c>
    </row>
    <row r="2603" spans="1:36">
      <c r="A2603" s="1900"/>
      <c r="C2603" s="584"/>
      <c r="D2603" s="584"/>
      <c r="F2603" s="1997"/>
      <c r="G2603" s="597"/>
      <c r="H2603" s="1645"/>
      <c r="I2603" s="1645"/>
      <c r="K2603" s="1997"/>
      <c r="L2603" s="597"/>
      <c r="M2603" s="1997"/>
      <c r="N2603" s="597"/>
      <c r="O2603" s="1931">
        <f>$O$44</f>
        <v>0</v>
      </c>
      <c r="P2603" s="597"/>
      <c r="Q2603" s="1930">
        <f>Q1494</f>
        <v>0</v>
      </c>
      <c r="R2603" s="597"/>
      <c r="S2603" s="1644"/>
      <c r="T2603" s="1645"/>
      <c r="U2603" s="1644"/>
      <c r="V2603" s="1645"/>
      <c r="W2603" s="1644"/>
      <c r="X2603" s="1645"/>
      <c r="Y2603" s="1644">
        <f>Q2603*SUM(Y2591:Y2596)</f>
        <v>0</v>
      </c>
      <c r="AI2603" s="2023">
        <f>W2603-'Blocking-Step2'!W2603</f>
        <v>0</v>
      </c>
      <c r="AJ2603" s="2054">
        <f>O2603-'Blocking-Step2'!O2603</f>
        <v>0</v>
      </c>
    </row>
    <row r="2604" spans="1:36" s="1104" customFormat="1">
      <c r="A2604" s="1116" t="s">
        <v>397</v>
      </c>
      <c r="C2604" s="1024"/>
      <c r="D2604" s="1024"/>
      <c r="E2604" s="1024"/>
      <c r="F2604" s="1113"/>
      <c r="G2604" s="1875"/>
      <c r="H2604" s="1114">
        <f>SUM(H2590:H2602)</f>
        <v>8621208.6175999995</v>
      </c>
      <c r="I2604" s="1114">
        <f>SUM(I2590:I2602)</f>
        <v>1402498.4535000001</v>
      </c>
      <c r="J2604" s="1114"/>
      <c r="K2604" s="1114"/>
      <c r="L2604" s="1114"/>
      <c r="M2604" s="1114"/>
      <c r="N2604" s="1114"/>
      <c r="O2604" s="1114"/>
      <c r="P2604" s="1114"/>
      <c r="Q2604" s="1114"/>
      <c r="R2604" s="1114"/>
      <c r="S2604" s="1114">
        <f>SUM(S2590:S2596)</f>
        <v>275516</v>
      </c>
      <c r="T2604" s="1114"/>
      <c r="U2604" s="1114">
        <f>SUM(U2590:U2596)</f>
        <v>622579</v>
      </c>
      <c r="V2604" s="1114"/>
      <c r="W2604" s="1114">
        <f>SUM(W2590:W2596)</f>
        <v>550565</v>
      </c>
      <c r="X2604" s="1114"/>
      <c r="Y2604" s="1114">
        <f>SUM(Y2590:Y2596)</f>
        <v>1448660</v>
      </c>
      <c r="Z2604" s="1499"/>
      <c r="AA2604" s="1109"/>
      <c r="AI2604" s="2023">
        <f>W2604-'Blocking-Step2'!W2604</f>
        <v>0</v>
      </c>
      <c r="AJ2604" s="2054">
        <f>O2604-'Blocking-Step2'!O2604</f>
        <v>0</v>
      </c>
    </row>
    <row r="2605" spans="1:36">
      <c r="A2605" s="1869" t="s">
        <v>136</v>
      </c>
      <c r="C2605" s="585">
        <f>'Table 2'!J64</f>
        <v>952892</v>
      </c>
      <c r="D2605" s="585">
        <v>0</v>
      </c>
      <c r="F2605" s="1943"/>
      <c r="G2605" s="1957"/>
      <c r="H2605" s="1030">
        <f>'Table 3'!F64</f>
        <v>60349</v>
      </c>
      <c r="I2605" s="1030">
        <v>0</v>
      </c>
      <c r="K2605" s="1943"/>
      <c r="L2605" s="1957"/>
      <c r="M2605" s="1943"/>
      <c r="N2605" s="1957"/>
      <c r="O2605" s="1943"/>
      <c r="P2605" s="1957"/>
      <c r="Q2605" s="1943"/>
      <c r="R2605" s="1957"/>
      <c r="S2605" s="1030"/>
      <c r="T2605" s="1645"/>
      <c r="U2605" s="1030"/>
      <c r="V2605" s="1645"/>
      <c r="W2605" s="1030"/>
      <c r="X2605" s="1645"/>
      <c r="Y2605" s="1030"/>
      <c r="AI2605" s="2023">
        <f>W2605-'Blocking-Step2'!W2605</f>
        <v>0</v>
      </c>
      <c r="AJ2605" s="2054">
        <f>O2605-'Blocking-Step2'!O2605</f>
        <v>0</v>
      </c>
    </row>
    <row r="2606" spans="1:36" s="1104" customFormat="1" ht="16.5" thickBot="1">
      <c r="A2606" s="1116" t="s">
        <v>173</v>
      </c>
      <c r="C2606" s="1138">
        <f>SUM(C2586,C2599:C2601,C2605)</f>
        <v>180564874</v>
      </c>
      <c r="D2606" s="1138">
        <f>SUM(D2587,D2599:D2601,D2605)</f>
        <v>196649989.99999997</v>
      </c>
      <c r="E2606" s="1024"/>
      <c r="F2606" s="1145"/>
      <c r="G2606" s="1109"/>
      <c r="H2606" s="1149">
        <f>H2587+H2604+H2605</f>
        <v>10353948.6176</v>
      </c>
      <c r="I2606" s="1149">
        <f>I2587+I2604+I2605</f>
        <v>13007546.453500001</v>
      </c>
      <c r="J2606" s="1114"/>
      <c r="K2606" s="1114"/>
      <c r="L2606" s="1114"/>
      <c r="M2606" s="1114"/>
      <c r="N2606" s="1114"/>
      <c r="O2606" s="1114"/>
      <c r="P2606" s="1114"/>
      <c r="Q2606" s="1114"/>
      <c r="R2606" s="1114"/>
      <c r="S2606" s="1149">
        <f>S2587+S2604</f>
        <v>4862613</v>
      </c>
      <c r="T2606" s="1114"/>
      <c r="U2606" s="1149">
        <f>U2587+U2604</f>
        <v>7992235</v>
      </c>
      <c r="V2606" s="1114"/>
      <c r="W2606" s="1149">
        <f>W2587+W2604</f>
        <v>550565</v>
      </c>
      <c r="X2606" s="1114"/>
      <c r="Y2606" s="1149">
        <f>Y2587+Y2604</f>
        <v>13405413</v>
      </c>
      <c r="Z2606" s="1499"/>
      <c r="AA2606" s="1104" t="s">
        <v>1743</v>
      </c>
      <c r="AB2606" s="1890">
        <f>Y2606/I2606-1</f>
        <v>3.0587363106663545E-2</v>
      </c>
      <c r="AI2606" s="2023">
        <f>W2606-'Blocking-Step2'!W2606</f>
        <v>0</v>
      </c>
      <c r="AJ2606" s="2054">
        <f>O2606-'Blocking-Step2'!O2606</f>
        <v>0</v>
      </c>
    </row>
    <row r="2607" spans="1:36" s="1104" customFormat="1" ht="16.5" thickTop="1">
      <c r="C2607" s="1632"/>
      <c r="D2607" s="1632"/>
      <c r="E2607" s="1109"/>
      <c r="F2607" s="1109"/>
      <c r="G2607" s="1109"/>
      <c r="H2607" s="1628"/>
      <c r="I2607" s="1628"/>
      <c r="J2607" s="1109"/>
      <c r="K2607" s="1109"/>
      <c r="L2607" s="1109"/>
      <c r="M2607" s="1109"/>
      <c r="N2607" s="1109"/>
      <c r="O2607" s="1109"/>
      <c r="P2607" s="1109"/>
      <c r="Q2607" s="1109"/>
      <c r="R2607" s="1109"/>
      <c r="S2607" s="1628"/>
      <c r="T2607" s="1628"/>
      <c r="U2607" s="1628"/>
      <c r="V2607" s="1628"/>
      <c r="W2607" s="1628"/>
      <c r="X2607" s="1628"/>
      <c r="Y2607" s="1628"/>
      <c r="Z2607" s="1498"/>
      <c r="AA2607" s="1109"/>
      <c r="AI2607" s="2023">
        <f>W2607-'Blocking-Step2'!W2607</f>
        <v>0</v>
      </c>
      <c r="AJ2607" s="2054">
        <f>O2607-'Blocking-Step2'!O2607</f>
        <v>0</v>
      </c>
    </row>
    <row r="2608" spans="1:36" s="1104" customFormat="1">
      <c r="A2608" s="1115" t="s">
        <v>1487</v>
      </c>
      <c r="C2608" s="1024"/>
      <c r="D2608" s="1024"/>
      <c r="E2608" s="1024"/>
      <c r="F2608" s="1024"/>
      <c r="G2608" s="1107"/>
      <c r="H2608" s="1114"/>
      <c r="I2608" s="1628"/>
      <c r="J2608" s="1109"/>
      <c r="K2608" s="1109"/>
      <c r="L2608" s="1109"/>
      <c r="M2608" s="1109"/>
      <c r="N2608" s="1109"/>
      <c r="O2608" s="1109"/>
      <c r="P2608" s="1109"/>
      <c r="Q2608" s="1109"/>
      <c r="R2608" s="1109"/>
      <c r="S2608" s="1628"/>
      <c r="T2608" s="1628"/>
      <c r="U2608" s="1628"/>
      <c r="V2608" s="1628"/>
      <c r="W2608" s="1628"/>
      <c r="X2608" s="1628"/>
      <c r="Y2608" s="1628"/>
      <c r="Z2608" s="1498"/>
      <c r="AA2608" s="1109"/>
      <c r="AI2608" s="2023">
        <f>W2608-'Blocking-Step2'!W2608</f>
        <v>0</v>
      </c>
      <c r="AJ2608" s="2054">
        <f>O2608-'Blocking-Step2'!O2608</f>
        <v>0</v>
      </c>
    </row>
    <row r="2609" spans="1:36" s="1104" customFormat="1">
      <c r="A2609" s="1993" t="s">
        <v>925</v>
      </c>
      <c r="C2609" s="1024"/>
      <c r="D2609" s="1024">
        <v>12</v>
      </c>
      <c r="E2609" s="1024"/>
      <c r="F2609" s="1024"/>
      <c r="G2609" s="1107"/>
      <c r="H2609" s="1114"/>
      <c r="I2609" s="1628"/>
      <c r="J2609" s="1109"/>
      <c r="K2609" s="1109"/>
      <c r="L2609" s="1109"/>
      <c r="M2609" s="1109"/>
      <c r="N2609" s="1109"/>
      <c r="O2609" s="1109"/>
      <c r="P2609" s="1109"/>
      <c r="Q2609" s="1109"/>
      <c r="R2609" s="1109"/>
      <c r="S2609" s="1628"/>
      <c r="T2609" s="1628"/>
      <c r="U2609" s="1628"/>
      <c r="V2609" s="1628"/>
      <c r="W2609" s="1628"/>
      <c r="X2609" s="1628"/>
      <c r="Y2609" s="1628"/>
      <c r="Z2609" s="1498"/>
      <c r="AA2609" s="1109"/>
      <c r="AI2609" s="2023">
        <f>W2609-'Blocking-Step2'!W2609</f>
        <v>0</v>
      </c>
      <c r="AJ2609" s="2054">
        <f>O2609-'Blocking-Step2'!O2609</f>
        <v>0</v>
      </c>
    </row>
    <row r="2610" spans="1:36" s="1104" customFormat="1" ht="16.5" thickBot="1">
      <c r="A2610" s="1116" t="s">
        <v>402</v>
      </c>
      <c r="C2610" s="1024"/>
      <c r="D2610" s="1138">
        <f>('34'!B17+'34'!B18+'34'!B20)*1000</f>
        <v>242230000</v>
      </c>
      <c r="E2610" s="1024"/>
      <c r="F2610" s="1024"/>
      <c r="G2610" s="1107"/>
      <c r="H2610" s="1114"/>
      <c r="I2610" s="1154">
        <f>'34'!B22+'34'!B23</f>
        <v>13027758.191234671</v>
      </c>
      <c r="J2610" s="1114"/>
      <c r="K2610" s="1143">
        <f>ROUND(Q2610*AA1495/(AA1495+AB1495),4)</f>
        <v>1.6758999999999999</v>
      </c>
      <c r="L2610" s="1875" t="s">
        <v>495</v>
      </c>
      <c r="M2610" s="1143">
        <f>Q2610-K2610-O2610</f>
        <v>3.7024000000000004</v>
      </c>
      <c r="N2610" s="1875" t="s">
        <v>495</v>
      </c>
      <c r="O2610" s="1143">
        <v>0</v>
      </c>
      <c r="P2610" s="1921" t="s">
        <v>495</v>
      </c>
      <c r="Q2610" s="1942">
        <f>ROUND(Y2610/D2610*100,4)</f>
        <v>5.3783000000000003</v>
      </c>
      <c r="R2610" s="1921" t="s">
        <v>495</v>
      </c>
      <c r="S2610" s="1154">
        <f>ROUND($D2610*K2610/100,0)</f>
        <v>4059533</v>
      </c>
      <c r="T2610" s="1646"/>
      <c r="U2610" s="1154">
        <f>ROUND($D2610*M2610/100,0)</f>
        <v>8968324</v>
      </c>
      <c r="V2610" s="1646"/>
      <c r="W2610" s="1154">
        <f>ROUND($D2610*O2610/100,0)</f>
        <v>0</v>
      </c>
      <c r="X2610" s="1114"/>
      <c r="Y2610" s="1154">
        <f>I2610</f>
        <v>13027758.191234671</v>
      </c>
      <c r="Z2610" s="1499"/>
      <c r="AA2610" s="1937"/>
      <c r="AB2610" s="1937"/>
      <c r="AC2610" s="1937"/>
      <c r="AD2610" s="1937"/>
      <c r="AE2610" s="1937"/>
      <c r="AF2610" s="1877"/>
      <c r="AI2610" s="2023">
        <f>W2610-'Blocking-Step2'!W2610</f>
        <v>0</v>
      </c>
      <c r="AJ2610" s="2054">
        <f>O2610-'Blocking-Step2'!O2610</f>
        <v>0</v>
      </c>
    </row>
    <row r="2611" spans="1:36" ht="16.5" thickTop="1">
      <c r="AA2611" s="1937"/>
      <c r="AB2611" s="1937"/>
      <c r="AC2611" s="1937"/>
      <c r="AD2611" s="1937"/>
      <c r="AE2611" s="1937"/>
      <c r="AI2611" s="2023">
        <f>W2611-'Blocking-Step2'!W2611</f>
        <v>0</v>
      </c>
      <c r="AJ2611" s="2054">
        <f>O2611-'Blocking-Step2'!O2611</f>
        <v>0</v>
      </c>
    </row>
    <row r="2612" spans="1:36">
      <c r="A2612" s="1897" t="s">
        <v>680</v>
      </c>
      <c r="C2612" s="528"/>
      <c r="D2612" s="528"/>
      <c r="AI2612" s="2023">
        <f>W2612-'Blocking-Step2'!W2612</f>
        <v>0</v>
      </c>
      <c r="AJ2612" s="2054">
        <f>O2612-'Blocking-Step2'!O2612</f>
        <v>0</v>
      </c>
    </row>
    <row r="2613" spans="1:36">
      <c r="A2613" s="1900" t="s">
        <v>1022</v>
      </c>
      <c r="C2613" s="528">
        <v>12</v>
      </c>
      <c r="D2613" s="528">
        <f>Bill!P68</f>
        <v>12</v>
      </c>
      <c r="F2613" s="617">
        <v>235.66</v>
      </c>
      <c r="G2613" s="1957"/>
      <c r="H2613" s="1644">
        <f t="shared" ref="H2613:I2616" si="1575">ROUND($F2613*C2613,0)</f>
        <v>2828</v>
      </c>
      <c r="I2613" s="1644">
        <f t="shared" si="1575"/>
        <v>2828</v>
      </c>
      <c r="K2613" s="617">
        <f t="shared" ref="K2613:K2615" si="1576">ROUND(S2613/$D2613,2)</f>
        <v>234</v>
      </c>
      <c r="L2613" s="1957"/>
      <c r="M2613" s="617">
        <f>Q2613-K2613-O2613</f>
        <v>0</v>
      </c>
      <c r="N2613" s="1957"/>
      <c r="O2613" s="617">
        <f>'Blocking-Step2'!O2613</f>
        <v>0</v>
      </c>
      <c r="P2613" s="1957"/>
      <c r="Q2613" s="617">
        <f>ROUND(F2613*(1+$AB$2617),0)</f>
        <v>234</v>
      </c>
      <c r="R2613" s="1957"/>
      <c r="S2613" s="1645">
        <f>MIN(S2623,Y2613)</f>
        <v>2808</v>
      </c>
      <c r="T2613" s="1645"/>
      <c r="U2613" s="1193">
        <f t="shared" ref="U2613:W2616" si="1577">ROUND($D2613*M2613,0)</f>
        <v>0</v>
      </c>
      <c r="V2613" s="1645"/>
      <c r="W2613" s="1193">
        <f t="shared" si="1577"/>
        <v>0</v>
      </c>
      <c r="X2613" s="1645"/>
      <c r="Y2613" s="1644">
        <f>ROUND($D2613*Q2613,0)</f>
        <v>2808</v>
      </c>
      <c r="AA2613" s="1903" t="s">
        <v>1741</v>
      </c>
      <c r="AB2613" s="1904">
        <f>Y2623</f>
        <v>32114516</v>
      </c>
      <c r="AI2613" s="2023">
        <f>W2613-'Blocking-Step2'!W2613</f>
        <v>0</v>
      </c>
      <c r="AJ2613" s="2054">
        <f>O2613-'Blocking-Step2'!O2613</f>
        <v>0</v>
      </c>
    </row>
    <row r="2614" spans="1:36">
      <c r="A2614" s="1900" t="s">
        <v>1023</v>
      </c>
      <c r="C2614" s="528">
        <f>'C1'!G21</f>
        <v>981560</v>
      </c>
      <c r="D2614" s="528">
        <f t="shared" ref="D2614:D2620" si="1578">ROUND(C2614/$C$2623*$D$2623,0)</f>
        <v>1004562</v>
      </c>
      <c r="F2614" s="617">
        <v>1.95</v>
      </c>
      <c r="G2614" s="1957"/>
      <c r="H2614" s="1644">
        <f t="shared" si="1575"/>
        <v>1914042</v>
      </c>
      <c r="I2614" s="1644">
        <f t="shared" si="1575"/>
        <v>1958896</v>
      </c>
      <c r="K2614" s="617">
        <f t="shared" si="1576"/>
        <v>1.93</v>
      </c>
      <c r="L2614" s="1957"/>
      <c r="M2614" s="617">
        <f t="shared" ref="M2614:M2620" si="1579">Q2614-K2614-O2614</f>
        <v>0</v>
      </c>
      <c r="N2614" s="1957"/>
      <c r="O2614" s="617">
        <f>'Blocking-Step2'!O2614</f>
        <v>0</v>
      </c>
      <c r="P2614" s="1957"/>
      <c r="Q2614" s="617">
        <f>ROUND(F2614*(1+$AB$2617),2)</f>
        <v>1.93</v>
      </c>
      <c r="R2614" s="1957"/>
      <c r="S2614" s="1645">
        <f>MIN(S2623-S2613,Y2614)</f>
        <v>1938805</v>
      </c>
      <c r="T2614" s="1645"/>
      <c r="U2614" s="1193">
        <f t="shared" si="1577"/>
        <v>0</v>
      </c>
      <c r="V2614" s="1645"/>
      <c r="W2614" s="1193">
        <f t="shared" si="1577"/>
        <v>0</v>
      </c>
      <c r="X2614" s="1645"/>
      <c r="Y2614" s="1644">
        <f t="shared" ref="Y2614:Y2616" si="1580">ROUND($D2614*Q2614,0)</f>
        <v>1938805</v>
      </c>
      <c r="AA2614" s="1905" t="s">
        <v>1742</v>
      </c>
      <c r="AB2614" s="1906">
        <f>'Blocking-Step2'!AB2614*RateSpread!$Q$87</f>
        <v>32114042.02416731</v>
      </c>
      <c r="AI2614" s="2023">
        <f>W2614-'Blocking-Step2'!W2614</f>
        <v>0</v>
      </c>
      <c r="AJ2614" s="2054">
        <f>O2614-'Blocking-Step2'!O2614</f>
        <v>0</v>
      </c>
    </row>
    <row r="2615" spans="1:36">
      <c r="A2615" s="1900" t="s">
        <v>1024</v>
      </c>
      <c r="C2615" s="528">
        <f>SUM('C1'!K11:K15)</f>
        <v>373210</v>
      </c>
      <c r="D2615" s="528">
        <f t="shared" si="1578"/>
        <v>381956</v>
      </c>
      <c r="F2615" s="617">
        <v>13.15</v>
      </c>
      <c r="G2615" s="1957"/>
      <c r="H2615" s="1644">
        <f t="shared" si="1575"/>
        <v>4907712</v>
      </c>
      <c r="I2615" s="1644">
        <f t="shared" si="1575"/>
        <v>5022721</v>
      </c>
      <c r="K2615" s="617">
        <f t="shared" si="1576"/>
        <v>6.1</v>
      </c>
      <c r="L2615" s="1957"/>
      <c r="M2615" s="617">
        <f t="shared" si="1579"/>
        <v>6.93</v>
      </c>
      <c r="N2615" s="1957"/>
      <c r="O2615" s="617">
        <f>'Blocking-Step2'!O2615</f>
        <v>0</v>
      </c>
      <c r="P2615" s="1957"/>
      <c r="Q2615" s="617">
        <f>ROUND(F2615*(1+$AB$2617),2)</f>
        <v>13.03</v>
      </c>
      <c r="R2615" s="1957"/>
      <c r="S2615" s="1645">
        <f>MIN($S$2623-$S$2613-$S$2614,SUM($Y$2615:$Y$2616))*Y2615/SUM($Y$2615:$Y$2616)</f>
        <v>2330383.610815519</v>
      </c>
      <c r="T2615" s="1645"/>
      <c r="U2615" s="1193">
        <f t="shared" si="1577"/>
        <v>2646955</v>
      </c>
      <c r="V2615" s="1645"/>
      <c r="W2615" s="1193">
        <f t="shared" si="1577"/>
        <v>0</v>
      </c>
      <c r="X2615" s="1645"/>
      <c r="Y2615" s="1644">
        <f t="shared" si="1580"/>
        <v>4976887</v>
      </c>
      <c r="AA2615" s="1969" t="s">
        <v>87</v>
      </c>
      <c r="AB2615" s="1906">
        <f>AB2614-AB2613</f>
        <v>-473.9758326895535</v>
      </c>
      <c r="AI2615" s="2023">
        <f>W2615-'Blocking-Step2'!W2615</f>
        <v>0</v>
      </c>
      <c r="AJ2615" s="2054">
        <f>O2615-'Blocking-Step2'!O2615</f>
        <v>0</v>
      </c>
    </row>
    <row r="2616" spans="1:36">
      <c r="A2616" s="1900" t="s">
        <v>1025</v>
      </c>
      <c r="C2616" s="528">
        <f>-C2615+'C1'!K21</f>
        <v>608350</v>
      </c>
      <c r="D2616" s="528">
        <f t="shared" si="1578"/>
        <v>622606</v>
      </c>
      <c r="F2616" s="617">
        <v>8.81</v>
      </c>
      <c r="G2616" s="1957"/>
      <c r="H2616" s="1644">
        <f t="shared" si="1575"/>
        <v>5359564</v>
      </c>
      <c r="I2616" s="1644">
        <f t="shared" si="1575"/>
        <v>5485159</v>
      </c>
      <c r="K2616" s="617">
        <f>ROUND(S2616/$D2616,2)</f>
        <v>4.09</v>
      </c>
      <c r="L2616" s="1957"/>
      <c r="M2616" s="617">
        <f t="shared" si="1579"/>
        <v>4.6400000000000006</v>
      </c>
      <c r="N2616" s="1957"/>
      <c r="O2616" s="617">
        <f>'Blocking-Step2'!O2616</f>
        <v>0</v>
      </c>
      <c r="P2616" s="1957"/>
      <c r="Q2616" s="617">
        <f>ROUND(F2616*(1+$AB$2617),2)</f>
        <v>8.73</v>
      </c>
      <c r="R2616" s="1957"/>
      <c r="S2616" s="1645">
        <f>MIN($S$2623-$S$2613-$S$2614,SUM($Y$2615:$Y$2616))*Y2616/SUM($Y$2615:$Y$2616)</f>
        <v>2545054.8825091128</v>
      </c>
      <c r="T2616" s="1645"/>
      <c r="U2616" s="1193">
        <f t="shared" si="1577"/>
        <v>2888892</v>
      </c>
      <c r="V2616" s="1645"/>
      <c r="W2616" s="1193">
        <f t="shared" si="1577"/>
        <v>0</v>
      </c>
      <c r="X2616" s="1645"/>
      <c r="Y2616" s="1644">
        <f t="shared" si="1580"/>
        <v>5435350</v>
      </c>
      <c r="AA2616" s="1903" t="s">
        <v>1743</v>
      </c>
      <c r="AB2616" s="1958">
        <f>AB2613/I2623-1</f>
        <v>2.3334743026339533E-2</v>
      </c>
      <c r="AI2616" s="2023">
        <f>W2616-'Blocking-Step2'!W2616</f>
        <v>0</v>
      </c>
      <c r="AJ2616" s="2054">
        <f>O2616-'Blocking-Step2'!O2616</f>
        <v>0</v>
      </c>
    </row>
    <row r="2617" spans="1:36">
      <c r="A2617" s="1900" t="s">
        <v>1026</v>
      </c>
      <c r="C2617" s="528">
        <f>SUM('C1'!O11:O15)</f>
        <v>98922553</v>
      </c>
      <c r="D2617" s="528">
        <f t="shared" si="1578"/>
        <v>101240704</v>
      </c>
      <c r="F2617" s="1942">
        <v>4.47</v>
      </c>
      <c r="G2617" s="1921" t="s">
        <v>495</v>
      </c>
      <c r="H2617" s="1644">
        <f t="shared" ref="H2617:I2620" si="1581">ROUND($F2617*C2617/100,0)</f>
        <v>4421838</v>
      </c>
      <c r="I2617" s="1644">
        <f t="shared" si="1581"/>
        <v>4525459</v>
      </c>
      <c r="K2617" s="1942">
        <f>ROUND(S2617/$D2617*100,4)</f>
        <v>0</v>
      </c>
      <c r="L2617" s="1921" t="s">
        <v>495</v>
      </c>
      <c r="M2617" s="1942">
        <f t="shared" si="1579"/>
        <v>2.073</v>
      </c>
      <c r="N2617" s="1921" t="s">
        <v>495</v>
      </c>
      <c r="O2617" s="1942">
        <f>'Blocking-Step2'!O2617</f>
        <v>2.36</v>
      </c>
      <c r="P2617" s="1921" t="s">
        <v>495</v>
      </c>
      <c r="Q2617" s="1942">
        <f>ROUND((AB2614-SUM(Y2613:Y2616,Y2618:Y2620))/D2617*100,3)</f>
        <v>4.4329999999999998</v>
      </c>
      <c r="R2617" s="1921" t="s">
        <v>495</v>
      </c>
      <c r="S2617" s="1648"/>
      <c r="T2617" s="1648"/>
      <c r="U2617" s="1645">
        <f>ROUND($D2617*M2617/100,0)</f>
        <v>2098720</v>
      </c>
      <c r="V2617" s="1648"/>
      <c r="W2617" s="1645">
        <f>ROUND($D2617*O2617/100,0)</f>
        <v>2389281</v>
      </c>
      <c r="X2617" s="1648"/>
      <c r="Y2617" s="1644">
        <f>ROUND($D2617*Q2617/100,0)</f>
        <v>4488000</v>
      </c>
      <c r="AA2617" s="1915" t="s">
        <v>1744</v>
      </c>
      <c r="AB2617" s="1954">
        <f>AB2614/(I2623-I2621)-1</f>
        <v>-8.9824075268817305E-3</v>
      </c>
      <c r="AC2617" s="1918">
        <f>AB2614/I2623-1</f>
        <v>2.3319639702442441E-2</v>
      </c>
      <c r="AI2617" s="2023">
        <f>W2617-'Blocking-Step2'!W2617</f>
        <v>13.962074811570346</v>
      </c>
      <c r="AJ2617" s="2054">
        <f>O2617-'Blocking-Step2'!O2617</f>
        <v>0</v>
      </c>
    </row>
    <row r="2618" spans="1:36">
      <c r="A2618" s="1900" t="s">
        <v>1027</v>
      </c>
      <c r="C2618" s="528">
        <f>SUM('C1'!S11:S15)</f>
        <v>139678447</v>
      </c>
      <c r="D2618" s="528">
        <f t="shared" si="1578"/>
        <v>142951672</v>
      </c>
      <c r="F2618" s="1942">
        <v>2.806</v>
      </c>
      <c r="G2618" s="1921" t="s">
        <v>495</v>
      </c>
      <c r="H2618" s="1644">
        <f t="shared" si="1581"/>
        <v>3919377</v>
      </c>
      <c r="I2618" s="1644">
        <f t="shared" si="1581"/>
        <v>4011224</v>
      </c>
      <c r="K2618" s="1942">
        <f t="shared" ref="K2618:K2620" si="1582">ROUND(S2618/$D2618*100,4)</f>
        <v>0</v>
      </c>
      <c r="L2618" s="1921" t="s">
        <v>495</v>
      </c>
      <c r="M2618" s="1942">
        <f t="shared" si="1579"/>
        <v>1.2991000000000001</v>
      </c>
      <c r="N2618" s="1921" t="s">
        <v>495</v>
      </c>
      <c r="O2618" s="1942">
        <f>'Blocking-Step2'!O2618</f>
        <v>1.4819</v>
      </c>
      <c r="P2618" s="1921" t="s">
        <v>495</v>
      </c>
      <c r="Q2618" s="1942">
        <f>ROUND(F2618*(1+$AB$2617),3)</f>
        <v>2.7810000000000001</v>
      </c>
      <c r="R2618" s="1921" t="s">
        <v>495</v>
      </c>
      <c r="S2618" s="1648"/>
      <c r="T2618" s="1648"/>
      <c r="U2618" s="1645">
        <f t="shared" ref="U2618:W2620" si="1583">ROUND($D2618*M2618/100,0)</f>
        <v>1857085</v>
      </c>
      <c r="V2618" s="1648"/>
      <c r="W2618" s="1645">
        <f t="shared" si="1583"/>
        <v>2118401</v>
      </c>
      <c r="X2618" s="1648"/>
      <c r="Y2618" s="1644">
        <f t="shared" ref="Y2618:Y2620" si="1584">ROUND($D2618*Q2618/100,0)</f>
        <v>3975486</v>
      </c>
      <c r="AA2618" s="1905" t="s">
        <v>1938</v>
      </c>
      <c r="AB2618" s="2009">
        <f>RateSpread!V50*1000</f>
        <v>-421837</v>
      </c>
      <c r="AC2618" s="1918">
        <f>ROUND(AB2618/SUM(Y2615:Y2620),4)</f>
        <v>-1.4E-2</v>
      </c>
      <c r="AI2618" s="2023">
        <f>W2618-'Blocking-Step2'!W2618</f>
        <v>-1.3946137763559818</v>
      </c>
      <c r="AJ2618" s="2054">
        <f>O2618-'Blocking-Step2'!O2618</f>
        <v>0</v>
      </c>
    </row>
    <row r="2619" spans="1:36">
      <c r="A2619" s="1900" t="s">
        <v>1028</v>
      </c>
      <c r="C2619" s="528">
        <f>-C2617+'C1'!O21</f>
        <v>164618614</v>
      </c>
      <c r="D2619" s="528">
        <f t="shared" si="1578"/>
        <v>168476287</v>
      </c>
      <c r="F2619" s="1942">
        <v>3.3610000000000002</v>
      </c>
      <c r="G2619" s="1921" t="s">
        <v>495</v>
      </c>
      <c r="H2619" s="1644">
        <f t="shared" si="1581"/>
        <v>5532832</v>
      </c>
      <c r="I2619" s="1644">
        <f t="shared" si="1581"/>
        <v>5662488</v>
      </c>
      <c r="K2619" s="1942">
        <f t="shared" si="1582"/>
        <v>0</v>
      </c>
      <c r="L2619" s="1921" t="s">
        <v>495</v>
      </c>
      <c r="M2619" s="1942">
        <f t="shared" si="1579"/>
        <v>1.5559000000000001</v>
      </c>
      <c r="N2619" s="1921" t="s">
        <v>495</v>
      </c>
      <c r="O2619" s="1942">
        <f>'Blocking-Step2'!O2619</f>
        <v>1.7750999999999999</v>
      </c>
      <c r="P2619" s="1921" t="s">
        <v>495</v>
      </c>
      <c r="Q2619" s="1942">
        <f>ROUND(F2619*(1+$AB$2617),3)</f>
        <v>3.331</v>
      </c>
      <c r="R2619" s="1921" t="s">
        <v>495</v>
      </c>
      <c r="S2619" s="1648"/>
      <c r="T2619" s="1648"/>
      <c r="U2619" s="1645">
        <f t="shared" si="1583"/>
        <v>2621323</v>
      </c>
      <c r="V2619" s="1648"/>
      <c r="W2619" s="1645">
        <f t="shared" si="1583"/>
        <v>2990623</v>
      </c>
      <c r="X2619" s="1648"/>
      <c r="Y2619" s="1644">
        <f t="shared" si="1584"/>
        <v>5611945</v>
      </c>
      <c r="AA2619" s="1915" t="s">
        <v>1939</v>
      </c>
      <c r="AB2619" s="2010">
        <v>0</v>
      </c>
      <c r="AC2619" s="1918">
        <f>ROUND(AB2619/SUM(Y2615:Y2620),4)</f>
        <v>0</v>
      </c>
      <c r="AI2619" s="2023">
        <f>W2619-'Blocking-Step2'!W2619</f>
        <v>-37.341058165766299</v>
      </c>
      <c r="AJ2619" s="2054">
        <f>O2619-'Blocking-Step2'!O2619</f>
        <v>0</v>
      </c>
    </row>
    <row r="2620" spans="1:36">
      <c r="A2620" s="1900" t="s">
        <v>1029</v>
      </c>
      <c r="C2620" s="586">
        <f>-C2618+'C1'!S21</f>
        <v>199750386</v>
      </c>
      <c r="D2620" s="586">
        <f t="shared" si="1578"/>
        <v>204431337</v>
      </c>
      <c r="F2620" s="1942">
        <v>2.806</v>
      </c>
      <c r="G2620" s="1921" t="s">
        <v>495</v>
      </c>
      <c r="H2620" s="1030">
        <f t="shared" si="1581"/>
        <v>5604996</v>
      </c>
      <c r="I2620" s="1030">
        <f t="shared" si="1581"/>
        <v>5736343</v>
      </c>
      <c r="K2620" s="1942">
        <f t="shared" si="1582"/>
        <v>0</v>
      </c>
      <c r="L2620" s="1921" t="s">
        <v>495</v>
      </c>
      <c r="M2620" s="1942">
        <f t="shared" si="1579"/>
        <v>1.2991000000000001</v>
      </c>
      <c r="N2620" s="1921" t="s">
        <v>495</v>
      </c>
      <c r="O2620" s="1942">
        <f>'Blocking-Step2'!O2620</f>
        <v>1.4819</v>
      </c>
      <c r="P2620" s="1921" t="s">
        <v>495</v>
      </c>
      <c r="Q2620" s="1942">
        <f>Q2618</f>
        <v>2.7810000000000001</v>
      </c>
      <c r="R2620" s="1921" t="s">
        <v>495</v>
      </c>
      <c r="S2620" s="1648"/>
      <c r="T2620" s="1648"/>
      <c r="U2620" s="1645">
        <f t="shared" si="1583"/>
        <v>2655767</v>
      </c>
      <c r="V2620" s="1648"/>
      <c r="W2620" s="1645">
        <f t="shared" si="1583"/>
        <v>3029468</v>
      </c>
      <c r="X2620" s="1648"/>
      <c r="Y2620" s="1644">
        <f t="shared" si="1584"/>
        <v>5685235</v>
      </c>
      <c r="AI2620" s="2023">
        <f>W2620-'Blocking-Step2'!W2620</f>
        <v>-1.8262674226425588</v>
      </c>
      <c r="AJ2620" s="2054">
        <f>O2620-'Blocking-Step2'!O2620</f>
        <v>0</v>
      </c>
    </row>
    <row r="2621" spans="1:36">
      <c r="A2621" s="1900" t="s">
        <v>1240</v>
      </c>
      <c r="C2621" s="584"/>
      <c r="D2621" s="584"/>
      <c r="F2621" s="2005">
        <v>-3.3599999999999998E-2</v>
      </c>
      <c r="G2621" s="597"/>
      <c r="H2621" s="2006">
        <f>SUM(H2615:H2620)*$F2621</f>
        <v>-999476.31839999999</v>
      </c>
      <c r="I2621" s="2006">
        <f>SUM(I2615:I2620)*$F2621</f>
        <v>-1022898.0384</v>
      </c>
      <c r="K2621" s="2005"/>
      <c r="L2621" s="597"/>
      <c r="M2621" s="2005"/>
      <c r="N2621" s="597"/>
      <c r="O2621" s="1931" t="str">
        <f>$O$43</f>
        <v>Tax Year 1 (1/1/2021)</v>
      </c>
      <c r="P2621" s="597"/>
      <c r="Q2621" s="1930">
        <f>AC2618</f>
        <v>-1.4E-2</v>
      </c>
      <c r="R2621" s="597"/>
      <c r="S2621" s="1645"/>
      <c r="T2621" s="1645"/>
      <c r="U2621" s="1645"/>
      <c r="V2621" s="1645"/>
      <c r="W2621" s="1645"/>
      <c r="X2621" s="1645"/>
      <c r="Y2621" s="1644">
        <f>Q2621*SUM(Y2615:Y2620)</f>
        <v>-422420.64199999999</v>
      </c>
      <c r="AI2621" s="2023">
        <f>W2621-'Blocking-Step2'!W2621</f>
        <v>0</v>
      </c>
      <c r="AJ2621" s="2054">
        <f>O2621-'Blocking-Step2'!O2621</f>
        <v>0</v>
      </c>
    </row>
    <row r="2622" spans="1:36">
      <c r="A2622" s="1900"/>
      <c r="C2622" s="584"/>
      <c r="D2622" s="584"/>
      <c r="F2622" s="1997"/>
      <c r="G2622" s="597"/>
      <c r="H2622" s="1645"/>
      <c r="I2622" s="1645"/>
      <c r="K2622" s="1997"/>
      <c r="L2622" s="597"/>
      <c r="M2622" s="1997"/>
      <c r="N2622" s="597"/>
      <c r="O2622" s="1931">
        <f>$O$44</f>
        <v>0</v>
      </c>
      <c r="P2622" s="597"/>
      <c r="Q2622" s="1930">
        <f>AC2619</f>
        <v>0</v>
      </c>
      <c r="R2622" s="597"/>
      <c r="S2622" s="1645"/>
      <c r="T2622" s="1645"/>
      <c r="U2622" s="1645"/>
      <c r="V2622" s="1645"/>
      <c r="W2622" s="1645"/>
      <c r="X2622" s="1645"/>
      <c r="Y2622" s="1644">
        <f>Q2622*SUM(Y2615:Y2620)</f>
        <v>0</v>
      </c>
      <c r="AA2622" s="1933" t="s">
        <v>1660</v>
      </c>
      <c r="AB2622" s="1933" t="s">
        <v>1661</v>
      </c>
      <c r="AC2622" s="1933" t="s">
        <v>1662</v>
      </c>
      <c r="AD2622" s="1933" t="s">
        <v>93</v>
      </c>
      <c r="AI2622" s="2023">
        <f>W2622-'Blocking-Step2'!W2622</f>
        <v>0</v>
      </c>
      <c r="AJ2622" s="2054">
        <f>O2622-'Blocking-Step2'!O2622</f>
        <v>0</v>
      </c>
    </row>
    <row r="2623" spans="1:36" ht="16.5" thickBot="1">
      <c r="A2623" s="1900" t="s">
        <v>247</v>
      </c>
      <c r="C2623" s="1949">
        <f>SUM(C2617:C2620)</f>
        <v>602970000</v>
      </c>
      <c r="D2623" s="1949">
        <f>Energy!P68</f>
        <v>617100000</v>
      </c>
      <c r="F2623" s="2011"/>
      <c r="G2623" s="1957"/>
      <c r="H2623" s="1647">
        <f>SUM(H2613:H2621)</f>
        <v>30663712.681600001</v>
      </c>
      <c r="I2623" s="1647">
        <f>SUM(I2613:I2621)</f>
        <v>31382219.961599998</v>
      </c>
      <c r="K2623" s="2011"/>
      <c r="L2623" s="1957"/>
      <c r="M2623" s="2011"/>
      <c r="N2623" s="1957"/>
      <c r="O2623" s="2011"/>
      <c r="P2623" s="1957"/>
      <c r="Q2623" s="2011"/>
      <c r="R2623" s="1957"/>
      <c r="S2623" s="1154">
        <f>($Y2623-$W2623)*AA2623/(AA2623+AB2623)</f>
        <v>6817051.4933246318</v>
      </c>
      <c r="T2623" s="1154"/>
      <c r="U2623" s="1154">
        <f>Y2623-S2623-W2623</f>
        <v>14769691.50667537</v>
      </c>
      <c r="V2623" s="1154"/>
      <c r="W2623" s="1154">
        <f>SUM(W2613:W2622)</f>
        <v>10527773</v>
      </c>
      <c r="X2623" s="1645"/>
      <c r="Y2623" s="1647">
        <f>SUM(Y2613:Y2620)</f>
        <v>32114516</v>
      </c>
      <c r="AA2623" s="1937">
        <f>'Unit Cost Target'!$M$87+'Unit Cost Target'!$M$123+'Unit Cost Target'!$M$129+'Unit Cost Target'!$M$75+'Unit Cost Target'!$M$81</f>
        <v>7534331.9734210689</v>
      </c>
      <c r="AB2623" s="1937">
        <f>'Unit Cost Target'!$M$45+'Unit Cost Target'!$M$51</f>
        <v>16323737.478773158</v>
      </c>
      <c r="AC2623" s="1937">
        <f>'Unit Cost Target'!$M$33+'Unit Cost Target'!$M$39+'Unit Cost Target'!$M$63+'Unit Cost Target'!$M$69</f>
        <v>12290807.898677185</v>
      </c>
      <c r="AD2623" s="1937">
        <f>SUM(AA2623:AC2623)</f>
        <v>36148877.350871414</v>
      </c>
      <c r="AE2623" s="1937">
        <f>AD2623-'Unit Cost Target'!$M$21</f>
        <v>0</v>
      </c>
      <c r="AI2623" s="2023">
        <f>W2623-'Blocking-Step2'!W2623</f>
        <v>-26.599864553660154</v>
      </c>
      <c r="AJ2623" s="2054">
        <f>O2623-'Blocking-Step2'!O2623</f>
        <v>0</v>
      </c>
    </row>
    <row r="2624" spans="1:36" ht="16.5" thickTop="1">
      <c r="C2624" s="528"/>
      <c r="D2624" s="528"/>
      <c r="H2624" s="1644"/>
      <c r="I2624" s="1644"/>
      <c r="Y2624" s="1644"/>
      <c r="AA2624" s="1937">
        <f>S2623-SUM(S2613:S2622)</f>
        <v>0</v>
      </c>
      <c r="AB2624" s="1937">
        <f>U2623-SUM(U2613:U2622)</f>
        <v>949.50667537003756</v>
      </c>
      <c r="AC2624" s="1937">
        <f>W2623-SUM(W2613:W2622)</f>
        <v>0</v>
      </c>
      <c r="AD2624" s="1937">
        <f>SUM(AA2624:AC2624)</f>
        <v>949.50667537003756</v>
      </c>
      <c r="AE2624" s="1937"/>
      <c r="AI2624" s="2023">
        <f>W2624-'Blocking-Step2'!W2624</f>
        <v>0</v>
      </c>
      <c r="AJ2624" s="2054">
        <f>O2624-'Blocking-Step2'!O2624</f>
        <v>0</v>
      </c>
    </row>
    <row r="2625" spans="1:36">
      <c r="A2625" s="2012" t="s">
        <v>681</v>
      </c>
      <c r="B2625" s="596"/>
      <c r="C2625" s="528"/>
      <c r="D2625" s="528"/>
      <c r="F2625" s="1943"/>
      <c r="G2625" s="1957"/>
      <c r="K2625" s="1943"/>
      <c r="L2625" s="1957"/>
      <c r="M2625" s="1943"/>
      <c r="N2625" s="1957"/>
      <c r="O2625" s="1943"/>
      <c r="P2625" s="1957"/>
      <c r="Q2625" s="1943"/>
      <c r="R2625" s="1957"/>
      <c r="S2625" s="1645"/>
      <c r="T2625" s="1645"/>
      <c r="U2625" s="1645"/>
      <c r="V2625" s="1645"/>
      <c r="W2625" s="1645"/>
      <c r="X2625" s="1645"/>
      <c r="AA2625" s="1903" t="s">
        <v>1741</v>
      </c>
      <c r="AB2625" s="1904">
        <f>Y2633</f>
        <v>32219462</v>
      </c>
      <c r="AI2625" s="2023">
        <f>W2625-'Blocking-Step2'!W2625</f>
        <v>0</v>
      </c>
      <c r="AJ2625" s="2054">
        <f>O2625-'Blocking-Step2'!O2625</f>
        <v>0</v>
      </c>
    </row>
    <row r="2626" spans="1:36">
      <c r="A2626" s="1993" t="s">
        <v>240</v>
      </c>
      <c r="B2626" s="596"/>
      <c r="C2626" s="528">
        <v>12</v>
      </c>
      <c r="D2626" s="528">
        <f>Bill!P69</f>
        <v>12</v>
      </c>
      <c r="AA2626" s="1905" t="s">
        <v>1742</v>
      </c>
      <c r="AB2626" s="1906">
        <f>'Blocking-Step2'!AB2626*RateSpread!$Q$87</f>
        <v>32219352.833092432</v>
      </c>
      <c r="AI2626" s="2023">
        <f>W2626-'Blocking-Step2'!W2626</f>
        <v>0</v>
      </c>
      <c r="AJ2626" s="2054">
        <f>O2626-'Blocking-Step2'!O2626</f>
        <v>0</v>
      </c>
    </row>
    <row r="2627" spans="1:36">
      <c r="A2627" s="1116" t="s">
        <v>19</v>
      </c>
      <c r="C2627" s="528">
        <f>SUM('C2'!F11:F15)</f>
        <v>65661217</v>
      </c>
      <c r="D2627" s="528">
        <f>ROUND(C2627/(C2627+C2629)*Energy!Q109,0)</f>
        <v>57264151</v>
      </c>
      <c r="F2627" s="1942">
        <v>6.68</v>
      </c>
      <c r="G2627" s="1921" t="s">
        <v>495</v>
      </c>
      <c r="H2627" s="1644">
        <f t="shared" ref="H2627:I2630" si="1585">ROUND($F2627*C2627/100,0)</f>
        <v>4386169</v>
      </c>
      <c r="I2627" s="1644">
        <f t="shared" si="1585"/>
        <v>3825245</v>
      </c>
      <c r="K2627" s="1942">
        <f>ROUND(S2627/$D2627*100,4)</f>
        <v>1.2013</v>
      </c>
      <c r="L2627" s="1921" t="s">
        <v>495</v>
      </c>
      <c r="M2627" s="1942">
        <f>Q2627-K2627-O2627</f>
        <v>2.5869000000000004</v>
      </c>
      <c r="N2627" s="1921" t="s">
        <v>495</v>
      </c>
      <c r="O2627" s="1942">
        <f>'Blocking-Step2'!O2627</f>
        <v>2.8298000000000001</v>
      </c>
      <c r="P2627" s="1921" t="s">
        <v>495</v>
      </c>
      <c r="Q2627" s="1942">
        <f>ROUND((AB2626-SUM(Y2628:Y2630))/D2627*100,3)</f>
        <v>6.6180000000000003</v>
      </c>
      <c r="R2627" s="1921" t="s">
        <v>495</v>
      </c>
      <c r="S2627" s="1648">
        <f>MIN($S$2633,SUM($Y$2627:$Y$2630))*$Y2627/SUM($Y$2627:$Y$2630)</f>
        <v>687910.67513322004</v>
      </c>
      <c r="T2627" s="1648"/>
      <c r="U2627" s="1645">
        <f t="shared" ref="U2627:W2630" si="1586">ROUND($D2627*M2627/100,0)</f>
        <v>1481366</v>
      </c>
      <c r="V2627" s="1648"/>
      <c r="W2627" s="1645">
        <f t="shared" si="1586"/>
        <v>1620461</v>
      </c>
      <c r="X2627" s="1648"/>
      <c r="Y2627" s="1644">
        <f>ROUND($Q2627*D2627/100,0)</f>
        <v>3789742</v>
      </c>
      <c r="AA2627" s="1969" t="s">
        <v>87</v>
      </c>
      <c r="AB2627" s="1906">
        <f>AB2626-AB2625</f>
        <v>-109.16690756753087</v>
      </c>
      <c r="AI2627" s="2023">
        <f>W2627-'Blocking-Step2'!W2627</f>
        <v>9.4754812037572265</v>
      </c>
      <c r="AJ2627" s="2054">
        <f>O2627-'Blocking-Step2'!O2627</f>
        <v>0</v>
      </c>
    </row>
    <row r="2628" spans="1:36">
      <c r="A2628" s="1116" t="s">
        <v>257</v>
      </c>
      <c r="C2628" s="528">
        <f>-C2627+'C2'!F21</f>
        <v>195234517</v>
      </c>
      <c r="D2628" s="528">
        <f>ROUND(C2628/(C2628+C2630)*Energy!R109,0)</f>
        <v>179663027</v>
      </c>
      <c r="F2628" s="1942">
        <v>5.0229999999999997</v>
      </c>
      <c r="G2628" s="1921" t="s">
        <v>495</v>
      </c>
      <c r="H2628" s="1644">
        <f t="shared" si="1585"/>
        <v>9806630</v>
      </c>
      <c r="I2628" s="1644">
        <f t="shared" si="1585"/>
        <v>9024474</v>
      </c>
      <c r="K2628" s="1942">
        <f>ROUND(S2628/$D2628*100,4)</f>
        <v>0.90359999999999996</v>
      </c>
      <c r="L2628" s="1921" t="s">
        <v>495</v>
      </c>
      <c r="M2628" s="1942">
        <f t="shared" ref="M2628:M2630" si="1587">Q2628-K2628-O2628</f>
        <v>1.9466999999999999</v>
      </c>
      <c r="N2628" s="1921" t="s">
        <v>495</v>
      </c>
      <c r="O2628" s="1942">
        <f>'Blocking-Step2'!O2628</f>
        <v>2.1276999999999999</v>
      </c>
      <c r="P2628" s="1921" t="s">
        <v>495</v>
      </c>
      <c r="Q2628" s="1942">
        <f>ROUND(F2628*(1+$AB$2629),3)</f>
        <v>4.9779999999999998</v>
      </c>
      <c r="R2628" s="1921" t="s">
        <v>495</v>
      </c>
      <c r="S2628" s="1648">
        <f t="shared" ref="S2628:S2630" si="1588">MIN($S$2633,SUM($Y$2627:$Y$2630))*$Y2628/SUM($Y$2627:$Y$2630)</f>
        <v>1623439.0393563323</v>
      </c>
      <c r="T2628" s="1648"/>
      <c r="U2628" s="1645">
        <f t="shared" si="1586"/>
        <v>3497500</v>
      </c>
      <c r="V2628" s="1648"/>
      <c r="W2628" s="1645">
        <f t="shared" si="1586"/>
        <v>3822690</v>
      </c>
      <c r="X2628" s="1648"/>
      <c r="Y2628" s="1644">
        <f>ROUND($Q2628*D2628/100,0)</f>
        <v>8943625</v>
      </c>
      <c r="AA2628" s="1903" t="s">
        <v>1743</v>
      </c>
      <c r="AB2628" s="1958">
        <f>AB2625/I2633-1</f>
        <v>2.3323099771068057E-2</v>
      </c>
      <c r="AI2628" s="2023">
        <f>W2628-'Blocking-Step2'!W2628</f>
        <v>-36.901459773536772</v>
      </c>
      <c r="AJ2628" s="2054">
        <f>O2628-'Blocking-Step2'!O2628</f>
        <v>0</v>
      </c>
    </row>
    <row r="2629" spans="1:36">
      <c r="A2629" s="1116" t="s">
        <v>189</v>
      </c>
      <c r="C2629" s="528">
        <f>SUM('C2'!J11:J15)</f>
        <v>274611200</v>
      </c>
      <c r="D2629" s="528">
        <f>Energy!Q109-'Blocking-Step1'!D2627</f>
        <v>239492625.9472512</v>
      </c>
      <c r="F2629" s="1942">
        <v>4.1959999999999997</v>
      </c>
      <c r="G2629" s="1921" t="s">
        <v>495</v>
      </c>
      <c r="H2629" s="1644">
        <f t="shared" si="1585"/>
        <v>11522686</v>
      </c>
      <c r="I2629" s="1644">
        <f t="shared" si="1585"/>
        <v>10049111</v>
      </c>
      <c r="K2629" s="1942">
        <f t="shared" ref="K2629:K2630" si="1589">ROUND(S2629/$D2629*100,4)</f>
        <v>0.75490000000000002</v>
      </c>
      <c r="L2629" s="1921" t="s">
        <v>495</v>
      </c>
      <c r="M2629" s="1942">
        <f t="shared" si="1587"/>
        <v>1.6267999999999996</v>
      </c>
      <c r="N2629" s="1921" t="s">
        <v>495</v>
      </c>
      <c r="O2629" s="1942">
        <f>'Blocking-Step2'!O2629</f>
        <v>1.7773000000000001</v>
      </c>
      <c r="P2629" s="1921" t="s">
        <v>495</v>
      </c>
      <c r="Q2629" s="1942">
        <f>ROUND(F2629*(1+$AB$2629),3)</f>
        <v>4.1589999999999998</v>
      </c>
      <c r="R2629" s="1921" t="s">
        <v>495</v>
      </c>
      <c r="S2629" s="1648">
        <f t="shared" si="1588"/>
        <v>1808020.9428090591</v>
      </c>
      <c r="T2629" s="1648"/>
      <c r="U2629" s="1645">
        <f t="shared" si="1586"/>
        <v>3896066</v>
      </c>
      <c r="V2629" s="1648"/>
      <c r="W2629" s="1645">
        <f t="shared" si="1586"/>
        <v>4256502</v>
      </c>
      <c r="X2629" s="1648"/>
      <c r="Y2629" s="1644">
        <f>ROUND($Q2629*D2629/100,0)</f>
        <v>9960498</v>
      </c>
      <c r="AA2629" s="1915" t="s">
        <v>1744</v>
      </c>
      <c r="AB2629" s="1954">
        <f>AB2626/(I2633-I2631)-1</f>
        <v>-8.9149359060095579E-3</v>
      </c>
      <c r="AC2629" s="1918">
        <f>AB2626/I2633-1</f>
        <v>2.331963251831759E-2</v>
      </c>
      <c r="AI2629" s="2023">
        <f>W2629-'Blocking-Step2'!W2629</f>
        <v>-53.141280725598335</v>
      </c>
      <c r="AJ2629" s="2054">
        <f>O2629-'Blocking-Step2'!O2629</f>
        <v>0</v>
      </c>
    </row>
    <row r="2630" spans="1:36">
      <c r="A2630" s="1116" t="s">
        <v>1039</v>
      </c>
      <c r="C2630" s="586">
        <f>-C2629+'C2'!J21</f>
        <v>248886394</v>
      </c>
      <c r="D2630" s="586">
        <f>Energy!R109-'Blocking-Step1'!D2628</f>
        <v>229035744.99930882</v>
      </c>
      <c r="F2630" s="1942">
        <v>4.1959999999999997</v>
      </c>
      <c r="G2630" s="1921" t="s">
        <v>495</v>
      </c>
      <c r="H2630" s="1030">
        <f t="shared" si="1585"/>
        <v>10443273</v>
      </c>
      <c r="I2630" s="1030">
        <f t="shared" si="1585"/>
        <v>9610340</v>
      </c>
      <c r="K2630" s="1942">
        <f t="shared" si="1589"/>
        <v>0.75490000000000002</v>
      </c>
      <c r="L2630" s="1921" t="s">
        <v>495</v>
      </c>
      <c r="M2630" s="1942">
        <f t="shared" si="1587"/>
        <v>1.6267999999999996</v>
      </c>
      <c r="N2630" s="1921" t="s">
        <v>495</v>
      </c>
      <c r="O2630" s="1942">
        <f>'Blocking-Step2'!O2630</f>
        <v>1.7773000000000001</v>
      </c>
      <c r="P2630" s="1921" t="s">
        <v>495</v>
      </c>
      <c r="Q2630" s="1942">
        <f>Q2629</f>
        <v>4.1589999999999998</v>
      </c>
      <c r="R2630" s="1921" t="s">
        <v>495</v>
      </c>
      <c r="S2630" s="1648">
        <f t="shared" si="1588"/>
        <v>1729078.0911515811</v>
      </c>
      <c r="T2630" s="1648"/>
      <c r="U2630" s="1645">
        <f t="shared" si="1586"/>
        <v>3725953</v>
      </c>
      <c r="V2630" s="1648"/>
      <c r="W2630" s="1645">
        <f t="shared" si="1586"/>
        <v>4070652</v>
      </c>
      <c r="X2630" s="1648"/>
      <c r="Y2630" s="1030">
        <f>ROUND($Q2630*D2630/100,0)</f>
        <v>9525597</v>
      </c>
      <c r="AA2630" s="1109" t="s">
        <v>1938</v>
      </c>
      <c r="AB2630" s="1917">
        <f>RateSpread!V51*1000</f>
        <v>-423220</v>
      </c>
      <c r="AC2630" s="1918">
        <f>ROUND(AB2630/SUM(Y2627:Y2630),4)</f>
        <v>-1.3100000000000001E-2</v>
      </c>
      <c r="AI2630" s="2023">
        <f>W2630-'Blocking-Step2'!W2630</f>
        <v>-50.571653949096799</v>
      </c>
      <c r="AJ2630" s="2054">
        <f>O2630-'Blocking-Step2'!O2630</f>
        <v>0</v>
      </c>
    </row>
    <row r="2631" spans="1:36">
      <c r="A2631" s="1900" t="s">
        <v>1240</v>
      </c>
      <c r="C2631" s="584"/>
      <c r="D2631" s="584"/>
      <c r="F2631" s="2005">
        <v>-3.15E-2</v>
      </c>
      <c r="G2631" s="597"/>
      <c r="H2631" s="2006">
        <f>SUM(H2627:H2630)*$F2631</f>
        <v>-1139000.8770000001</v>
      </c>
      <c r="I2631" s="2006">
        <f>SUM(I2627:I2630)*$F2631</f>
        <v>-1024038.855</v>
      </c>
      <c r="K2631" s="2005"/>
      <c r="L2631" s="597"/>
      <c r="M2631" s="2005"/>
      <c r="N2631" s="597"/>
      <c r="O2631" s="1931" t="str">
        <f>$O$43</f>
        <v>Tax Year 1 (1/1/2021)</v>
      </c>
      <c r="P2631" s="597"/>
      <c r="Q2631" s="1930">
        <f>AC2630</f>
        <v>-1.3100000000000001E-2</v>
      </c>
      <c r="R2631" s="597"/>
      <c r="S2631" s="1645"/>
      <c r="T2631" s="1645"/>
      <c r="U2631" s="1645"/>
      <c r="V2631" s="1645"/>
      <c r="W2631" s="1645"/>
      <c r="X2631" s="1645"/>
      <c r="Y2631" s="1644">
        <f>Q2631*SUM(Y2627:Y2630)</f>
        <v>-422074.9522</v>
      </c>
      <c r="AA2631" s="1109" t="s">
        <v>1939</v>
      </c>
      <c r="AB2631" s="1917">
        <v>0</v>
      </c>
      <c r="AC2631" s="1918">
        <f>ROUND(AB2631/SUM(Y2627:Y2630),4)</f>
        <v>0</v>
      </c>
      <c r="AI2631" s="2023">
        <f>W2631-'Blocking-Step2'!W2631</f>
        <v>0</v>
      </c>
      <c r="AJ2631" s="2054">
        <f>O2631-'Blocking-Step2'!O2631</f>
        <v>0</v>
      </c>
    </row>
    <row r="2632" spans="1:36">
      <c r="A2632" s="1900"/>
      <c r="C2632" s="584"/>
      <c r="D2632" s="584"/>
      <c r="F2632" s="1997"/>
      <c r="G2632" s="597"/>
      <c r="H2632" s="1645"/>
      <c r="I2632" s="1645"/>
      <c r="K2632" s="1997"/>
      <c r="L2632" s="597"/>
      <c r="M2632" s="1997"/>
      <c r="N2632" s="597"/>
      <c r="O2632" s="1931">
        <f>$O$44</f>
        <v>0</v>
      </c>
      <c r="P2632" s="597"/>
      <c r="Q2632" s="1930">
        <f>AC2631</f>
        <v>0</v>
      </c>
      <c r="R2632" s="597"/>
      <c r="S2632" s="1645"/>
      <c r="T2632" s="1645"/>
      <c r="U2632" s="1645"/>
      <c r="V2632" s="1645"/>
      <c r="W2632" s="1645"/>
      <c r="X2632" s="1645"/>
      <c r="Y2632" s="1644">
        <f>Q2632*SUM(Y2627:Y2630)</f>
        <v>0</v>
      </c>
      <c r="AA2632" s="1933" t="s">
        <v>1660</v>
      </c>
      <c r="AB2632" s="1933" t="s">
        <v>1661</v>
      </c>
      <c r="AC2632" s="1933" t="s">
        <v>1662</v>
      </c>
      <c r="AD2632" s="1933" t="s">
        <v>93</v>
      </c>
      <c r="AI2632" s="2023">
        <f>W2632-'Blocking-Step2'!W2632</f>
        <v>0</v>
      </c>
      <c r="AJ2632" s="2054">
        <f>O2632-'Blocking-Step2'!O2632</f>
        <v>0</v>
      </c>
    </row>
    <row r="2633" spans="1:36" ht="16.5" thickBot="1">
      <c r="A2633" s="1900" t="s">
        <v>247</v>
      </c>
      <c r="B2633" s="596"/>
      <c r="C2633" s="2013">
        <f>SUM(C2627:C2630)</f>
        <v>784393328</v>
      </c>
      <c r="D2633" s="2013">
        <f>SUM(D2627:D2630)</f>
        <v>705455548.94656003</v>
      </c>
      <c r="F2633" s="2014"/>
      <c r="G2633" s="1957"/>
      <c r="H2633" s="1646">
        <f>SUM(H2627:H2631)</f>
        <v>35019757.123000003</v>
      </c>
      <c r="I2633" s="1646">
        <f>SUM(I2627:I2631)</f>
        <v>31485131.145</v>
      </c>
      <c r="K2633" s="2014"/>
      <c r="L2633" s="1957"/>
      <c r="M2633" s="2014"/>
      <c r="N2633" s="1957"/>
      <c r="O2633" s="2014"/>
      <c r="P2633" s="1957"/>
      <c r="Q2633" s="2014"/>
      <c r="R2633" s="1957"/>
      <c r="S2633" s="1154">
        <f>($Y2633-$W2633)*AA2633/(AA2633+AB2633)</f>
        <v>5848448.7484501926</v>
      </c>
      <c r="T2633" s="1154"/>
      <c r="U2633" s="1154">
        <f>Y2633-S2633-W2633</f>
        <v>12600708.251549806</v>
      </c>
      <c r="V2633" s="1154"/>
      <c r="W2633" s="1154">
        <f>SUM(W2627:W2632)</f>
        <v>13770305</v>
      </c>
      <c r="X2633" s="1645"/>
      <c r="Y2633" s="1646">
        <f>SUM(Y2627:Y2630)</f>
        <v>32219462</v>
      </c>
      <c r="AA2633" s="1937">
        <f>'Unit Cost Target'!$N$87+'Unit Cost Target'!$N$123+'Unit Cost Target'!$N$129+'Unit Cost Target'!$N$75+'Unit Cost Target'!$N$81</f>
        <v>5718175.8939075284</v>
      </c>
      <c r="AB2633" s="1937">
        <f>'Unit Cost Target'!$N$45+'Unit Cost Target'!$N$51</f>
        <v>12320030.365191702</v>
      </c>
      <c r="AC2633" s="1937">
        <f>'Unit Cost Target'!$N$33+'Unit Cost Target'!$N$39+'Unit Cost Target'!$N$63+'Unit Cost Target'!$N$69</f>
        <v>13944694.076718183</v>
      </c>
      <c r="AD2633" s="1937">
        <f>SUM(AA2633:AC2633)</f>
        <v>31982900.335817412</v>
      </c>
      <c r="AE2633" s="1937">
        <f>AD2633-'Unit Cost Target'!$N$21</f>
        <v>0</v>
      </c>
      <c r="AI2633" s="2023">
        <f>W2633-'Blocking-Step2'!W2633</f>
        <v>-131.13891324400902</v>
      </c>
      <c r="AJ2633" s="2054">
        <f>O2633-'Blocking-Step2'!O2633</f>
        <v>0</v>
      </c>
    </row>
    <row r="2634" spans="1:36" ht="16.5" thickTop="1">
      <c r="A2634" s="1993"/>
      <c r="B2634" s="596"/>
      <c r="C2634" s="584"/>
      <c r="D2634" s="584"/>
      <c r="F2634" s="1986"/>
      <c r="G2634" s="1986"/>
      <c r="H2634" s="1645"/>
      <c r="I2634" s="1645"/>
      <c r="K2634" s="1986"/>
      <c r="L2634" s="1986"/>
      <c r="M2634" s="1986"/>
      <c r="N2634" s="1986"/>
      <c r="O2634" s="1986"/>
      <c r="P2634" s="1986"/>
      <c r="Q2634" s="1986"/>
      <c r="R2634" s="1986"/>
      <c r="S2634" s="1652"/>
      <c r="T2634" s="1652"/>
      <c r="U2634" s="1652"/>
      <c r="V2634" s="1652"/>
      <c r="W2634" s="1652"/>
      <c r="X2634" s="1652"/>
      <c r="Y2634" s="1645"/>
      <c r="AA2634" s="1937">
        <f>S2633-SUM(S2627:S2632)</f>
        <v>0</v>
      </c>
      <c r="AB2634" s="1937">
        <f>U2633-SUM(U2627:U2632)</f>
        <v>-176.74845019355416</v>
      </c>
      <c r="AC2634" s="1937">
        <f>W2633-SUM(W2627:W2632)</f>
        <v>0</v>
      </c>
      <c r="AD2634" s="1937">
        <f>SUM(AA2634:AC2634)</f>
        <v>-176.74845019355416</v>
      </c>
      <c r="AE2634" s="1937"/>
      <c r="AI2634" s="2023">
        <f>W2634-'Blocking-Step2'!W2634</f>
        <v>0</v>
      </c>
      <c r="AJ2634" s="2054">
        <f>O2634-'Blocking-Step2'!O2634</f>
        <v>0</v>
      </c>
    </row>
    <row r="2635" spans="1:36">
      <c r="A2635" s="1897" t="s">
        <v>682</v>
      </c>
      <c r="C2635" s="528"/>
      <c r="D2635" s="528"/>
      <c r="F2635" s="1943"/>
      <c r="G2635" s="1957"/>
      <c r="K2635" s="1943"/>
      <c r="L2635" s="1957"/>
      <c r="M2635" s="1943"/>
      <c r="N2635" s="1957"/>
      <c r="O2635" s="1943"/>
      <c r="P2635" s="1957"/>
      <c r="Q2635" s="1943"/>
      <c r="R2635" s="1957"/>
      <c r="S2635" s="1645"/>
      <c r="T2635" s="1645"/>
      <c r="U2635" s="1645"/>
      <c r="V2635" s="1645"/>
      <c r="W2635" s="1645"/>
      <c r="X2635" s="1645"/>
      <c r="AI2635" s="2023">
        <f>W2635-'Blocking-Step2'!W2635</f>
        <v>0</v>
      </c>
      <c r="AJ2635" s="2054">
        <f>O2635-'Blocking-Step2'!O2635</f>
        <v>0</v>
      </c>
    </row>
    <row r="2636" spans="1:36">
      <c r="A2636" s="1993" t="s">
        <v>240</v>
      </c>
      <c r="B2636" s="596"/>
      <c r="C2636" s="528">
        <v>12</v>
      </c>
      <c r="D2636" s="528">
        <f>Bill!P70</f>
        <v>12</v>
      </c>
      <c r="AI2636" s="2023">
        <f>W2636-'Blocking-Step2'!W2636</f>
        <v>0</v>
      </c>
      <c r="AJ2636" s="2054">
        <f>O2636-'Blocking-Step2'!O2636</f>
        <v>0</v>
      </c>
    </row>
    <row r="2637" spans="1:36">
      <c r="A2637" s="1900" t="s">
        <v>1174</v>
      </c>
      <c r="C2637" s="528">
        <f>'C3'!F21</f>
        <v>375537561</v>
      </c>
      <c r="D2637" s="528">
        <f>'C3-Forecast'!N5</f>
        <v>376680000</v>
      </c>
      <c r="F2637" s="1942">
        <f>ROUND(H2637/C2637*100,4)</f>
        <v>5.6154999999999999</v>
      </c>
      <c r="G2637" s="1921" t="s">
        <v>495</v>
      </c>
      <c r="H2637" s="1644">
        <f>'C3'!H21</f>
        <v>21088466.710000001</v>
      </c>
      <c r="I2637" s="1644">
        <f>'C3-Forecast'!N9</f>
        <v>22005408.239999995</v>
      </c>
      <c r="K2637" s="1143">
        <f>ROUND(Q2637*AA1495/(AA1495+AB1495),4)</f>
        <v>1.8204</v>
      </c>
      <c r="L2637" s="1875" t="s">
        <v>495</v>
      </c>
      <c r="M2637" s="1143">
        <f>Q2637-K2637-O2637</f>
        <v>4.0214999999999996</v>
      </c>
      <c r="N2637" s="1875" t="s">
        <v>495</v>
      </c>
      <c r="O2637" s="1143">
        <v>0</v>
      </c>
      <c r="P2637" s="1921" t="s">
        <v>495</v>
      </c>
      <c r="Q2637" s="1942">
        <f>ROUND(Y2637/D2637*100,4)</f>
        <v>5.8418999999999999</v>
      </c>
      <c r="R2637" s="1921" t="s">
        <v>495</v>
      </c>
      <c r="S2637" s="1193">
        <f>ROUND($D2637*K2637/100,0)</f>
        <v>6857083</v>
      </c>
      <c r="T2637" s="1114"/>
      <c r="U2637" s="1193">
        <f>ROUND($D2637*M2637/100,0)</f>
        <v>15148186</v>
      </c>
      <c r="V2637" s="1114"/>
      <c r="W2637" s="1193">
        <f>ROUND($D2637*O2637/100,0)</f>
        <v>0</v>
      </c>
      <c r="X2637" s="1648"/>
      <c r="Y2637" s="1644">
        <f>I2637</f>
        <v>22005408.239999995</v>
      </c>
      <c r="AI2637" s="2023">
        <f>W2637-'Blocking-Step2'!W2637</f>
        <v>0</v>
      </c>
      <c r="AJ2637" s="2054">
        <f>O2637-'Blocking-Step2'!O2637</f>
        <v>0</v>
      </c>
    </row>
    <row r="2638" spans="1:36">
      <c r="A2638" s="1900" t="s">
        <v>1175</v>
      </c>
      <c r="C2638" s="528"/>
      <c r="D2638" s="528"/>
      <c r="F2638" s="1942"/>
      <c r="G2638" s="1921"/>
      <c r="H2638" s="1644"/>
      <c r="I2638" s="1644"/>
      <c r="K2638" s="1942"/>
      <c r="L2638" s="1921"/>
      <c r="M2638" s="1942"/>
      <c r="N2638" s="1921"/>
      <c r="O2638" s="1942"/>
      <c r="P2638" s="1921"/>
      <c r="Q2638" s="1942"/>
      <c r="R2638" s="1921"/>
      <c r="S2638" s="1648"/>
      <c r="T2638" s="1648"/>
      <c r="U2638" s="1648"/>
      <c r="V2638" s="1648"/>
      <c r="W2638" s="1648"/>
      <c r="X2638" s="1648"/>
      <c r="Y2638" s="1644"/>
      <c r="AI2638" s="2023">
        <f>W2638-'Blocking-Step2'!W2638</f>
        <v>0</v>
      </c>
      <c r="AJ2638" s="2054">
        <f>O2638-'Blocking-Step2'!O2638</f>
        <v>0</v>
      </c>
    </row>
    <row r="2639" spans="1:36">
      <c r="A2639" s="1900" t="s">
        <v>1176</v>
      </c>
      <c r="C2639" s="528">
        <f>'C3'!N21</f>
        <v>909325685</v>
      </c>
      <c r="D2639" s="528">
        <f>D2640-D2637-D2638</f>
        <v>911946197</v>
      </c>
      <c r="F2639" s="1942">
        <f>ROUND(H2639/C2639*100,4)</f>
        <v>4.9291</v>
      </c>
      <c r="G2639" s="1921" t="s">
        <v>495</v>
      </c>
      <c r="H2639" s="1644">
        <f>'C3'!P21</f>
        <v>44821227.529999994</v>
      </c>
      <c r="I2639" s="1644">
        <f>'C3-Forecast'!N14</f>
        <v>40952184.777309686</v>
      </c>
      <c r="K2639" s="1143">
        <f>ROUND(Q2639*AA1495/(AA1495+AB1495),4)</f>
        <v>1.3993</v>
      </c>
      <c r="L2639" s="1875" t="s">
        <v>495</v>
      </c>
      <c r="M2639" s="1143">
        <f>Q2639-K2639-O2639</f>
        <v>3.0912999999999995</v>
      </c>
      <c r="N2639" s="1875" t="s">
        <v>495</v>
      </c>
      <c r="O2639" s="1143">
        <v>0</v>
      </c>
      <c r="P2639" s="1921" t="s">
        <v>495</v>
      </c>
      <c r="Q2639" s="1942">
        <f>ROUND(Y2639/D2639*100,4)</f>
        <v>4.4905999999999997</v>
      </c>
      <c r="R2639" s="1921" t="s">
        <v>495</v>
      </c>
      <c r="S2639" s="1193">
        <f>ROUND($D2639*K2639/100,0)</f>
        <v>12760863</v>
      </c>
      <c r="T2639" s="1114"/>
      <c r="U2639" s="1193">
        <f>ROUND($D2639*M2639/100,0)</f>
        <v>28190993</v>
      </c>
      <c r="V2639" s="1114"/>
      <c r="W2639" s="1193">
        <f>ROUND($D2639*O2639/100,0)</f>
        <v>0</v>
      </c>
      <c r="X2639" s="1648"/>
      <c r="Y2639" s="1644">
        <f>I2639</f>
        <v>40952184.777309686</v>
      </c>
      <c r="AA2639" s="1933"/>
      <c r="AB2639" s="1933"/>
      <c r="AC2639" s="1933"/>
      <c r="AD2639" s="1933"/>
      <c r="AI2639" s="2023">
        <f>W2639-'Blocking-Step2'!W2639</f>
        <v>0</v>
      </c>
      <c r="AJ2639" s="2054">
        <f>O2639-'Blocking-Step2'!O2639</f>
        <v>0</v>
      </c>
    </row>
    <row r="2640" spans="1:36" ht="16.5" thickBot="1">
      <c r="A2640" s="1900" t="s">
        <v>402</v>
      </c>
      <c r="C2640" s="1949">
        <f>SUM(C2637:C2639)</f>
        <v>1284863246</v>
      </c>
      <c r="D2640" s="1949">
        <f>Energy!P70</f>
        <v>1288626197</v>
      </c>
      <c r="F2640" s="2011"/>
      <c r="G2640" s="1957"/>
      <c r="H2640" s="1647">
        <f>SUM(H2637:H2639)</f>
        <v>65909694.239999995</v>
      </c>
      <c r="I2640" s="1647">
        <f>SUM(I2637:I2639)</f>
        <v>62957593.017309681</v>
      </c>
      <c r="K2640" s="2011"/>
      <c r="L2640" s="1957"/>
      <c r="M2640" s="2011"/>
      <c r="N2640" s="1957"/>
      <c r="O2640" s="2011"/>
      <c r="P2640" s="1957"/>
      <c r="Q2640" s="2011"/>
      <c r="R2640" s="1957"/>
      <c r="S2640" s="1647">
        <f>SUM(S2637:S2639)</f>
        <v>19617946</v>
      </c>
      <c r="T2640" s="1646"/>
      <c r="U2640" s="1647">
        <f>SUM(U2637:U2639)</f>
        <v>43339179</v>
      </c>
      <c r="V2640" s="1646"/>
      <c r="W2640" s="1647">
        <f>SUM(W2637:W2639)</f>
        <v>0</v>
      </c>
      <c r="X2640" s="1645"/>
      <c r="Y2640" s="1647">
        <f>SUM(Y2637:Y2639)</f>
        <v>62957593.017309681</v>
      </c>
      <c r="AA2640" s="1937"/>
      <c r="AB2640" s="1937"/>
      <c r="AC2640" s="1937"/>
      <c r="AD2640" s="1937"/>
      <c r="AE2640" s="1937"/>
      <c r="AI2640" s="2023">
        <f>W2640-'Blocking-Step2'!W2640</f>
        <v>0</v>
      </c>
      <c r="AJ2640" s="2054">
        <f>O2640-'Blocking-Step2'!O2640</f>
        <v>0</v>
      </c>
    </row>
    <row r="2641" spans="1:36" ht="16.5" thickTop="1">
      <c r="C2641" s="528"/>
      <c r="D2641" s="528"/>
      <c r="F2641" s="1943"/>
      <c r="G2641" s="1957"/>
      <c r="K2641" s="1943"/>
      <c r="L2641" s="1957"/>
      <c r="M2641" s="1943"/>
      <c r="N2641" s="1957"/>
      <c r="O2641" s="1943"/>
      <c r="P2641" s="1957"/>
      <c r="Q2641" s="1943"/>
      <c r="R2641" s="1957"/>
      <c r="S2641" s="1645"/>
      <c r="T2641" s="1645"/>
      <c r="U2641" s="1645"/>
      <c r="V2641" s="1645"/>
      <c r="W2641" s="1645"/>
      <c r="X2641" s="1645"/>
      <c r="AA2641" s="1937"/>
      <c r="AB2641" s="1937"/>
      <c r="AC2641" s="1937"/>
      <c r="AD2641" s="1937"/>
      <c r="AE2641" s="1937"/>
      <c r="AI2641" s="2023">
        <f>W2641-'Blocking-Step2'!W2641</f>
        <v>0</v>
      </c>
      <c r="AJ2641" s="2054">
        <f>O2641-'Blocking-Step2'!O2641</f>
        <v>0</v>
      </c>
    </row>
    <row r="2642" spans="1:36">
      <c r="A2642" s="1897" t="s">
        <v>928</v>
      </c>
      <c r="C2642" s="528"/>
      <c r="D2642" s="528"/>
      <c r="AI2642" s="2023">
        <f>W2642-'Blocking-Step2'!W2642</f>
        <v>0</v>
      </c>
      <c r="AJ2642" s="2054">
        <f>O2642-'Blocking-Step2'!O2642</f>
        <v>0</v>
      </c>
    </row>
    <row r="2643" spans="1:36">
      <c r="A2643" s="1900" t="s">
        <v>141</v>
      </c>
      <c r="C2643" s="1025">
        <f t="shared" ref="C2643:D2645" si="1590">C2652+C2661</f>
        <v>4</v>
      </c>
      <c r="D2643" s="1025">
        <f t="shared" si="1590"/>
        <v>4</v>
      </c>
      <c r="F2643" s="596"/>
      <c r="H2643" s="1637"/>
      <c r="I2643" s="1637"/>
      <c r="K2643" s="596"/>
      <c r="M2643" s="596"/>
      <c r="O2643" s="596"/>
      <c r="Q2643" s="596"/>
      <c r="Y2643" s="1637"/>
      <c r="AI2643" s="2023">
        <f>W2643-'Blocking-Step2'!W2643</f>
        <v>0</v>
      </c>
      <c r="AJ2643" s="2054">
        <f>O2643-'Blocking-Step2'!O2643</f>
        <v>0</v>
      </c>
    </row>
    <row r="2644" spans="1:36">
      <c r="A2644" s="1900" t="s">
        <v>152</v>
      </c>
      <c r="C2644" s="528">
        <f t="shared" si="1590"/>
        <v>48</v>
      </c>
      <c r="D2644" s="528">
        <f t="shared" si="1590"/>
        <v>48</v>
      </c>
      <c r="F2644" s="2015">
        <v>2.1800000000000002</v>
      </c>
      <c r="G2644" s="1902"/>
      <c r="H2644" s="1644">
        <f>ROUND($F2644*C2644,0)</f>
        <v>105</v>
      </c>
      <c r="I2644" s="1644">
        <f>ROUND($F2644*D2644,0)</f>
        <v>105</v>
      </c>
      <c r="K2644" s="1901">
        <f>ROUND(S2644/$D2644,4)</f>
        <v>1.605</v>
      </c>
      <c r="L2644" s="1902"/>
      <c r="M2644" s="1901">
        <f>ROUND(U2644/$D2644,4)</f>
        <v>0.2374</v>
      </c>
      <c r="N2644" s="1902"/>
      <c r="O2644" s="1901">
        <f>ROUND(Q2644-K2644-M2644,4)</f>
        <v>0.33760000000000001</v>
      </c>
      <c r="P2644" s="1902"/>
      <c r="Q2644" s="2015">
        <v>2.1800000000000002</v>
      </c>
      <c r="R2644" s="1902"/>
      <c r="S2644" s="1643">
        <f>$Y2644*S$2649/$Y$2649</f>
        <v>77.040476626574062</v>
      </c>
      <c r="T2644" s="1643"/>
      <c r="U2644" s="1643">
        <f>$Y2644*U$2649/$Y$2649</f>
        <v>11.396032860096977</v>
      </c>
      <c r="V2644" s="1643"/>
      <c r="W2644" s="1643">
        <f>Y2644-S2644-U2644</f>
        <v>16.563490513328961</v>
      </c>
      <c r="X2644" s="1643"/>
      <c r="Y2644" s="1644">
        <f>ROUND($D2644*Q2644,0)</f>
        <v>105</v>
      </c>
      <c r="AI2644" s="2023">
        <f>W2644-'Blocking-Step2'!W2644</f>
        <v>0</v>
      </c>
      <c r="AJ2644" s="2054">
        <f>O2644-'Blocking-Step2'!O2644</f>
        <v>0</v>
      </c>
    </row>
    <row r="2645" spans="1:36">
      <c r="A2645" s="1900" t="s">
        <v>153</v>
      </c>
      <c r="C2645" s="584">
        <f t="shared" si="1590"/>
        <v>206.830451093421</v>
      </c>
      <c r="D2645" s="584">
        <f t="shared" si="1590"/>
        <v>207</v>
      </c>
      <c r="F2645" s="1992">
        <v>2.1858</v>
      </c>
      <c r="G2645" s="1921"/>
      <c r="H2645" s="1644">
        <f>ROUND($F2645*C2645,0)</f>
        <v>452</v>
      </c>
      <c r="I2645" s="1644">
        <f>ROUND($F2645*D2645,0)</f>
        <v>452</v>
      </c>
      <c r="K2645" s="1901">
        <f>ROUND(S2645/$D2645,4)</f>
        <v>1.6021000000000001</v>
      </c>
      <c r="L2645" s="1902"/>
      <c r="M2645" s="1901">
        <f>ROUND(U2645/$D2645,4)</f>
        <v>0.23699999999999999</v>
      </c>
      <c r="N2645" s="1902"/>
      <c r="O2645" s="1901">
        <f>ROUND(Q2645-K2645-M2645,4)</f>
        <v>0.34670000000000001</v>
      </c>
      <c r="P2645" s="1921"/>
      <c r="Q2645" s="1992">
        <v>2.1858</v>
      </c>
      <c r="R2645" s="1921"/>
      <c r="S2645" s="1643">
        <f>$Y2645*S$2649/$Y$2649</f>
        <v>331.64090890677602</v>
      </c>
      <c r="T2645" s="1648"/>
      <c r="U2645" s="1643">
        <f>$Y2645*U$2649/$Y$2649</f>
        <v>49.057208121560315</v>
      </c>
      <c r="V2645" s="1648"/>
      <c r="W2645" s="1643">
        <f>Y2645-S2645-U2645</f>
        <v>71.301882971663673</v>
      </c>
      <c r="X2645" s="1648"/>
      <c r="Y2645" s="1644">
        <f>ROUND($D2645*Q2645,0)</f>
        <v>452</v>
      </c>
      <c r="AI2645" s="2023">
        <f>W2645-'Blocking-Step2'!W2645</f>
        <v>0</v>
      </c>
      <c r="AJ2645" s="2054">
        <f>O2645-'Blocking-Step2'!O2645</f>
        <v>0</v>
      </c>
    </row>
    <row r="2646" spans="1:36">
      <c r="A2646" s="1900" t="s">
        <v>154</v>
      </c>
      <c r="C2646" s="586">
        <f>SUM(C2644:C2645)</f>
        <v>254.830451093421</v>
      </c>
      <c r="D2646" s="586">
        <f>SUM(D2644:D2645)</f>
        <v>255</v>
      </c>
      <c r="F2646" s="2004"/>
      <c r="G2646" s="1921"/>
      <c r="H2646" s="1649">
        <f>SUM(H2644:H2645)</f>
        <v>557</v>
      </c>
      <c r="I2646" s="1649">
        <f>SUM(I2644:I2645)</f>
        <v>557</v>
      </c>
      <c r="K2646" s="2004"/>
      <c r="L2646" s="1921"/>
      <c r="M2646" s="2004"/>
      <c r="N2646" s="1921"/>
      <c r="O2646" s="2004"/>
      <c r="P2646" s="1921"/>
      <c r="Q2646" s="2004"/>
      <c r="R2646" s="1921"/>
      <c r="S2646" s="1648"/>
      <c r="T2646" s="1648"/>
      <c r="U2646" s="1648"/>
      <c r="V2646" s="1648"/>
      <c r="W2646" s="1648"/>
      <c r="X2646" s="1648"/>
      <c r="Y2646" s="1649">
        <f>SUM(Y2644:Y2645)</f>
        <v>557</v>
      </c>
      <c r="AI2646" s="2023">
        <f>W2646-'Blocking-Step2'!W2646</f>
        <v>0</v>
      </c>
      <c r="AJ2646" s="2054">
        <f>O2646-'Blocking-Step2'!O2646</f>
        <v>0</v>
      </c>
    </row>
    <row r="2647" spans="1:36">
      <c r="A2647" s="1900" t="s">
        <v>301</v>
      </c>
      <c r="C2647" s="1025">
        <f>C2656+C2665</f>
        <v>7390.0830817092101</v>
      </c>
      <c r="D2647" s="1025">
        <f>D2656+D2665</f>
        <v>7387</v>
      </c>
      <c r="F2647" s="596"/>
      <c r="H2647" s="1637"/>
      <c r="I2647" s="1637"/>
      <c r="K2647" s="596"/>
      <c r="M2647" s="596"/>
      <c r="O2647" s="596"/>
      <c r="Q2647" s="596"/>
      <c r="Y2647" s="1637"/>
      <c r="AI2647" s="2023">
        <f>W2647-'Blocking-Step2'!W2647</f>
        <v>0</v>
      </c>
      <c r="AJ2647" s="2054">
        <f>O2647-'Blocking-Step2'!O2647</f>
        <v>0</v>
      </c>
    </row>
    <row r="2648" spans="1:36">
      <c r="A2648" s="1900" t="s">
        <v>136</v>
      </c>
      <c r="C2648" s="1025">
        <f>C2657+C2666</f>
        <v>40</v>
      </c>
      <c r="D2648" s="1025">
        <f>D2657+D2666</f>
        <v>0</v>
      </c>
      <c r="F2648" s="596"/>
      <c r="H2648" s="1645">
        <f>H2657+H2666</f>
        <v>4</v>
      </c>
      <c r="I2648" s="1645">
        <f>I2657+I2666</f>
        <v>0</v>
      </c>
      <c r="K2648" s="596"/>
      <c r="M2648" s="596"/>
      <c r="O2648" s="596"/>
      <c r="Q2648" s="596"/>
      <c r="Y2648" s="1645"/>
      <c r="AI2648" s="2023">
        <f>W2648-'Blocking-Step2'!W2648</f>
        <v>0</v>
      </c>
      <c r="AJ2648" s="2054">
        <f>O2648-'Blocking-Step2'!O2648</f>
        <v>0</v>
      </c>
    </row>
    <row r="2649" spans="1:36" ht="16.5" thickBot="1">
      <c r="A2649" s="1900" t="s">
        <v>93</v>
      </c>
      <c r="C2649" s="1026">
        <f>C2648+C2647</f>
        <v>7430.0830817092101</v>
      </c>
      <c r="D2649" s="1026">
        <f>D2648+D2647</f>
        <v>7387</v>
      </c>
      <c r="F2649" s="1979"/>
      <c r="G2649" s="1980"/>
      <c r="H2649" s="1651">
        <f>H2648+H2646</f>
        <v>561</v>
      </c>
      <c r="I2649" s="1651">
        <f>I2648+I2646</f>
        <v>557</v>
      </c>
      <c r="K2649" s="1979"/>
      <c r="L2649" s="1980"/>
      <c r="M2649" s="1979"/>
      <c r="N2649" s="1980"/>
      <c r="O2649" s="1979"/>
      <c r="P2649" s="1980"/>
      <c r="Q2649" s="1979"/>
      <c r="R2649" s="1980"/>
      <c r="S2649" s="1651">
        <f>$Y2649*AA$1797/$AD$1797</f>
        <v>408.68138553335007</v>
      </c>
      <c r="U2649" s="1651">
        <f>$Y2649*AB$1797/$AD$1797</f>
        <v>60.453240981657288</v>
      </c>
      <c r="W2649" s="1651">
        <f>Y2649-S2649-U2649</f>
        <v>87.865373484992645</v>
      </c>
      <c r="X2649" s="1650"/>
      <c r="Y2649" s="1651">
        <f>Y2648+Y2646</f>
        <v>557</v>
      </c>
      <c r="AA2649" s="1104" t="s">
        <v>1743</v>
      </c>
      <c r="AB2649" s="1890">
        <f>Y2649/I2649-1</f>
        <v>0</v>
      </c>
      <c r="AI2649" s="2023">
        <f>W2649-'Blocking-Step2'!W2649</f>
        <v>0</v>
      </c>
      <c r="AJ2649" s="2054">
        <f>O2649-'Blocking-Step2'!O2649</f>
        <v>0</v>
      </c>
    </row>
    <row r="2650" spans="1:36" ht="16.5" hidden="1" thickTop="1">
      <c r="C2650" s="528"/>
      <c r="D2650" s="528"/>
      <c r="F2650" s="1943"/>
      <c r="G2650" s="1957"/>
      <c r="K2650" s="1943"/>
      <c r="L2650" s="1957"/>
      <c r="M2650" s="1943"/>
      <c r="N2650" s="1957"/>
      <c r="O2650" s="1943"/>
      <c r="P2650" s="1957"/>
      <c r="Q2650" s="1943"/>
      <c r="R2650" s="1957"/>
      <c r="S2650" s="1645"/>
      <c r="T2650" s="1645"/>
      <c r="U2650" s="1645"/>
      <c r="V2650" s="1645"/>
      <c r="W2650" s="1645"/>
      <c r="X2650" s="1645"/>
      <c r="AI2650" s="2023">
        <f>W2650-'Blocking-Step2'!W2650</f>
        <v>0</v>
      </c>
      <c r="AJ2650" s="2054">
        <f>O2650-'Blocking-Step2'!O2650</f>
        <v>0</v>
      </c>
    </row>
    <row r="2651" spans="1:36" hidden="1">
      <c r="A2651" s="1897" t="s">
        <v>929</v>
      </c>
      <c r="C2651" s="528"/>
      <c r="D2651" s="528"/>
      <c r="AI2651" s="2023">
        <f>W2651-'Blocking-Step2'!W2651</f>
        <v>0</v>
      </c>
      <c r="AJ2651" s="2054">
        <f>O2651-'Blocking-Step2'!O2651</f>
        <v>0</v>
      </c>
    </row>
    <row r="2652" spans="1:36" hidden="1">
      <c r="A2652" s="1900" t="s">
        <v>141</v>
      </c>
      <c r="C2652" s="1025">
        <f>'Table 2'!F66</f>
        <v>2</v>
      </c>
      <c r="D2652" s="1025">
        <f>ROUND(Bill!P45/12,0)</f>
        <v>2</v>
      </c>
      <c r="F2652" s="596"/>
      <c r="H2652" s="1637"/>
      <c r="I2652" s="1637"/>
      <c r="K2652" s="596"/>
      <c r="M2652" s="596"/>
      <c r="O2652" s="596"/>
      <c r="Q2652" s="596"/>
      <c r="Y2652" s="1637"/>
      <c r="AI2652" s="2023">
        <f>W2652-'Blocking-Step2'!W2652</f>
        <v>0</v>
      </c>
      <c r="AJ2652" s="2054">
        <f>O2652-'Blocking-Step2'!O2652</f>
        <v>0</v>
      </c>
    </row>
    <row r="2653" spans="1:36" hidden="1">
      <c r="A2653" s="1900" t="s">
        <v>152</v>
      </c>
      <c r="C2653" s="528">
        <v>0</v>
      </c>
      <c r="D2653" s="528">
        <f>ROUND(C2653/C2656*D2656,0)</f>
        <v>0</v>
      </c>
      <c r="F2653" s="2015">
        <v>2.1800000000000002</v>
      </c>
      <c r="G2653" s="1902"/>
      <c r="H2653" s="1644">
        <f>ROUND($F2653*C2653,0)</f>
        <v>0</v>
      </c>
      <c r="I2653" s="1644">
        <f>ROUND($F2653*D2653,0)</f>
        <v>0</v>
      </c>
      <c r="K2653" s="2015">
        <f>K2644</f>
        <v>1.605</v>
      </c>
      <c r="L2653" s="1902"/>
      <c r="M2653" s="2015">
        <f>M2644</f>
        <v>0.2374</v>
      </c>
      <c r="N2653" s="1902"/>
      <c r="O2653" s="2015">
        <f>O2644</f>
        <v>0.33760000000000001</v>
      </c>
      <c r="P2653" s="1902"/>
      <c r="Q2653" s="2015">
        <v>2.1800000000000002</v>
      </c>
      <c r="R2653" s="1902"/>
      <c r="S2653" s="1644">
        <f t="shared" ref="S2653:S2654" si="1591">ROUND($D2653*K2653,0)</f>
        <v>0</v>
      </c>
      <c r="T2653" s="1645"/>
      <c r="U2653" s="1644">
        <f t="shared" ref="U2653:U2654" si="1592">ROUND($D2653*M2653,0)</f>
        <v>0</v>
      </c>
      <c r="V2653" s="1645"/>
      <c r="W2653" s="1644">
        <f t="shared" ref="W2653:W2654" si="1593">ROUND($D2653*O2653,0)</f>
        <v>0</v>
      </c>
      <c r="X2653" s="1643"/>
      <c r="Y2653" s="1644">
        <f>ROUND($D2653*Q2653,0)</f>
        <v>0</v>
      </c>
      <c r="AI2653" s="2023">
        <f>W2653-'Blocking-Step2'!W2653</f>
        <v>0</v>
      </c>
      <c r="AJ2653" s="2054">
        <f>O2653-'Blocking-Step2'!O2653</f>
        <v>0</v>
      </c>
    </row>
    <row r="2654" spans="1:36" hidden="1">
      <c r="A2654" s="1900" t="s">
        <v>153</v>
      </c>
      <c r="C2654" s="584">
        <f>PTL!K2</f>
        <v>206.830451093421</v>
      </c>
      <c r="D2654" s="528">
        <f>ROUND(C2654/C2656*D2656,0)</f>
        <v>207</v>
      </c>
      <c r="F2654" s="1992">
        <v>2.1858</v>
      </c>
      <c r="G2654" s="1921"/>
      <c r="H2654" s="1644">
        <f>ROUND($F2654*C2654,0)</f>
        <v>452</v>
      </c>
      <c r="I2654" s="1644">
        <f>ROUND($F2654*D2654,0)</f>
        <v>452</v>
      </c>
      <c r="K2654" s="2015">
        <f>K2645</f>
        <v>1.6021000000000001</v>
      </c>
      <c r="L2654" s="1921"/>
      <c r="M2654" s="2015">
        <f>M2645</f>
        <v>0.23699999999999999</v>
      </c>
      <c r="N2654" s="1921"/>
      <c r="O2654" s="2015">
        <f>O2645</f>
        <v>0.34670000000000001</v>
      </c>
      <c r="P2654" s="1921"/>
      <c r="Q2654" s="1992">
        <v>2.1858</v>
      </c>
      <c r="R2654" s="1921"/>
      <c r="S2654" s="1644">
        <f t="shared" si="1591"/>
        <v>332</v>
      </c>
      <c r="T2654" s="1645"/>
      <c r="U2654" s="1644">
        <f t="shared" si="1592"/>
        <v>49</v>
      </c>
      <c r="V2654" s="1645"/>
      <c r="W2654" s="1644">
        <f t="shared" si="1593"/>
        <v>72</v>
      </c>
      <c r="X2654" s="1648"/>
      <c r="Y2654" s="1644">
        <f>ROUND($D2654*Q2654,0)</f>
        <v>452</v>
      </c>
      <c r="AI2654" s="2023">
        <f>W2654-'Blocking-Step2'!W2654</f>
        <v>0</v>
      </c>
      <c r="AJ2654" s="2054">
        <f>O2654-'Blocking-Step2'!O2654</f>
        <v>0</v>
      </c>
    </row>
    <row r="2655" spans="1:36" hidden="1">
      <c r="A2655" s="1900" t="s">
        <v>154</v>
      </c>
      <c r="C2655" s="586">
        <f>SUM(C2653:C2654)</f>
        <v>206.830451093421</v>
      </c>
      <c r="D2655" s="586">
        <f>SUM(D2653:D2654)</f>
        <v>207</v>
      </c>
      <c r="F2655" s="2004"/>
      <c r="G2655" s="1921"/>
      <c r="H2655" s="1649">
        <f>SUM(H2653:H2654)</f>
        <v>452</v>
      </c>
      <c r="I2655" s="1649">
        <f>SUM(I2653:I2654)</f>
        <v>452</v>
      </c>
      <c r="K2655" s="2004"/>
      <c r="L2655" s="1921"/>
      <c r="M2655" s="2004"/>
      <c r="N2655" s="1921"/>
      <c r="O2655" s="2004"/>
      <c r="P2655" s="1921"/>
      <c r="Q2655" s="2004"/>
      <c r="R2655" s="1921"/>
      <c r="S2655" s="1649">
        <f>SUM(S2653:S2654)</f>
        <v>332</v>
      </c>
      <c r="T2655" s="1648"/>
      <c r="U2655" s="1649">
        <f>SUM(U2653:U2654)</f>
        <v>49</v>
      </c>
      <c r="V2655" s="1648"/>
      <c r="W2655" s="1649">
        <f>SUM(W2653:W2654)</f>
        <v>72</v>
      </c>
      <c r="X2655" s="1648"/>
      <c r="Y2655" s="1649">
        <f>SUM(Y2653:Y2654)</f>
        <v>452</v>
      </c>
      <c r="AI2655" s="2023">
        <f>W2655-'Blocking-Step2'!W2655</f>
        <v>0</v>
      </c>
      <c r="AJ2655" s="2054">
        <f>O2655-'Blocking-Step2'!O2655</f>
        <v>0</v>
      </c>
    </row>
    <row r="2656" spans="1:36" hidden="1">
      <c r="A2656" s="1900" t="s">
        <v>301</v>
      </c>
      <c r="C2656" s="1025">
        <f>PTL!L2</f>
        <v>5998.0830817092101</v>
      </c>
      <c r="D2656" s="1025">
        <f>D2658-D2657</f>
        <v>5995</v>
      </c>
      <c r="F2656" s="596"/>
      <c r="H2656" s="1637"/>
      <c r="I2656" s="1637"/>
      <c r="K2656" s="596"/>
      <c r="M2656" s="596"/>
      <c r="O2656" s="596"/>
      <c r="Q2656" s="596"/>
      <c r="Y2656" s="1637"/>
      <c r="AI2656" s="2023">
        <f>W2656-'Blocking-Step2'!W2656</f>
        <v>0</v>
      </c>
      <c r="AJ2656" s="2054">
        <f>O2656-'Blocking-Step2'!O2656</f>
        <v>0</v>
      </c>
    </row>
    <row r="2657" spans="1:36" hidden="1">
      <c r="A2657" s="1900" t="s">
        <v>136</v>
      </c>
      <c r="C2657" s="1025">
        <f>'Table 2'!J66</f>
        <v>32</v>
      </c>
      <c r="D2657" s="1025">
        <v>0</v>
      </c>
      <c r="F2657" s="596"/>
      <c r="H2657" s="1645">
        <f>'Table 3'!F66</f>
        <v>3</v>
      </c>
      <c r="I2657" s="1645">
        <v>0</v>
      </c>
      <c r="K2657" s="596"/>
      <c r="M2657" s="596"/>
      <c r="O2657" s="596"/>
      <c r="Q2657" s="596"/>
      <c r="S2657" s="1645"/>
      <c r="U2657" s="1645"/>
      <c r="W2657" s="1645"/>
      <c r="Y2657" s="1645"/>
      <c r="AI2657" s="2023">
        <f>W2657-'Blocking-Step2'!W2657</f>
        <v>0</v>
      </c>
      <c r="AJ2657" s="2054">
        <f>O2657-'Blocking-Step2'!O2657</f>
        <v>0</v>
      </c>
    </row>
    <row r="2658" spans="1:36" ht="16.5" hidden="1" thickBot="1">
      <c r="A2658" s="1900" t="s">
        <v>93</v>
      </c>
      <c r="C2658" s="1026">
        <f>C2657+C2656</f>
        <v>6030.0830817092101</v>
      </c>
      <c r="D2658" s="1026">
        <f>Energy!P45</f>
        <v>5995</v>
      </c>
      <c r="F2658" s="1979"/>
      <c r="G2658" s="1980"/>
      <c r="H2658" s="1651">
        <f>H2657+H2655</f>
        <v>455</v>
      </c>
      <c r="I2658" s="1651">
        <f>I2657+I2655</f>
        <v>452</v>
      </c>
      <c r="K2658" s="1979"/>
      <c r="L2658" s="1980"/>
      <c r="M2658" s="1979"/>
      <c r="N2658" s="1980"/>
      <c r="O2658" s="1979"/>
      <c r="P2658" s="1980"/>
      <c r="Q2658" s="1979"/>
      <c r="R2658" s="1980"/>
      <c r="S2658" s="1651">
        <f>S2657+S2655</f>
        <v>332</v>
      </c>
      <c r="T2658" s="1650"/>
      <c r="U2658" s="1651">
        <f>U2657+U2655</f>
        <v>49</v>
      </c>
      <c r="V2658" s="1650"/>
      <c r="W2658" s="1651">
        <f>W2657+W2655</f>
        <v>72</v>
      </c>
      <c r="X2658" s="1650"/>
      <c r="Y2658" s="1651">
        <f>Y2657+Y2655</f>
        <v>452</v>
      </c>
      <c r="AA2658" s="1104" t="s">
        <v>1743</v>
      </c>
      <c r="AB2658" s="1890">
        <f>Y2658/I2658-1</f>
        <v>0</v>
      </c>
      <c r="AI2658" s="2023">
        <f>W2658-'Blocking-Step2'!W2658</f>
        <v>0</v>
      </c>
      <c r="AJ2658" s="2054">
        <f>O2658-'Blocking-Step2'!O2658</f>
        <v>0</v>
      </c>
    </row>
    <row r="2659" spans="1:36" ht="16.5" hidden="1" thickTop="1">
      <c r="C2659" s="528"/>
      <c r="D2659" s="528"/>
      <c r="F2659" s="1943"/>
      <c r="G2659" s="1957"/>
      <c r="K2659" s="1943"/>
      <c r="L2659" s="1957"/>
      <c r="M2659" s="1943"/>
      <c r="N2659" s="1957"/>
      <c r="O2659" s="1943"/>
      <c r="P2659" s="1957"/>
      <c r="Q2659" s="1943"/>
      <c r="R2659" s="1957"/>
      <c r="S2659" s="1645"/>
      <c r="T2659" s="1645"/>
      <c r="U2659" s="1645"/>
      <c r="V2659" s="1645"/>
      <c r="W2659" s="1645"/>
      <c r="X2659" s="1645"/>
      <c r="AI2659" s="2023">
        <f>W2659-'Blocking-Step2'!W2659</f>
        <v>0</v>
      </c>
      <c r="AJ2659" s="2054">
        <f>O2659-'Blocking-Step2'!O2659</f>
        <v>0</v>
      </c>
    </row>
    <row r="2660" spans="1:36" hidden="1">
      <c r="A2660" s="1897" t="s">
        <v>930</v>
      </c>
      <c r="C2660" s="528"/>
      <c r="D2660" s="528"/>
      <c r="AI2660" s="2023">
        <f>W2660-'Blocking-Step2'!W2660</f>
        <v>0</v>
      </c>
      <c r="AJ2660" s="2054">
        <f>O2660-'Blocking-Step2'!O2660</f>
        <v>0</v>
      </c>
    </row>
    <row r="2661" spans="1:36" hidden="1">
      <c r="A2661" s="1900" t="s">
        <v>141</v>
      </c>
      <c r="C2661" s="1025">
        <f>'Table 2'!F28</f>
        <v>2</v>
      </c>
      <c r="D2661" s="1025">
        <f>ROUND(Bill!P15/12,0)</f>
        <v>2</v>
      </c>
      <c r="F2661" s="596"/>
      <c r="H2661" s="1637"/>
      <c r="I2661" s="1637"/>
      <c r="K2661" s="596"/>
      <c r="M2661" s="596"/>
      <c r="O2661" s="596"/>
      <c r="Q2661" s="596"/>
      <c r="Y2661" s="1637"/>
      <c r="AI2661" s="2023">
        <f>W2661-'Blocking-Step2'!W2661</f>
        <v>0</v>
      </c>
      <c r="AJ2661" s="2054">
        <f>O2661-'Blocking-Step2'!O2661</f>
        <v>0</v>
      </c>
    </row>
    <row r="2662" spans="1:36" hidden="1">
      <c r="A2662" s="1900" t="s">
        <v>152</v>
      </c>
      <c r="C2662" s="528">
        <f>PTL!K3</f>
        <v>48</v>
      </c>
      <c r="D2662" s="528">
        <f>ROUND(C2662/C2665*D2665,0)</f>
        <v>48</v>
      </c>
      <c r="F2662" s="1901">
        <v>2.1800000000000002</v>
      </c>
      <c r="G2662" s="1902"/>
      <c r="H2662" s="1644">
        <f>ROUND($F2662*C2662,0)</f>
        <v>105</v>
      </c>
      <c r="I2662" s="1644">
        <f>ROUND($F2662*D2662,0)</f>
        <v>105</v>
      </c>
      <c r="K2662" s="2015">
        <f>K2653</f>
        <v>1.605</v>
      </c>
      <c r="L2662" s="1902"/>
      <c r="M2662" s="2015">
        <f>M2653</f>
        <v>0.2374</v>
      </c>
      <c r="N2662" s="1902"/>
      <c r="O2662" s="2015">
        <f>O2653</f>
        <v>0.33760000000000001</v>
      </c>
      <c r="P2662" s="1902"/>
      <c r="Q2662" s="1901">
        <v>2.1800000000000002</v>
      </c>
      <c r="R2662" s="1902"/>
      <c r="S2662" s="1644">
        <f t="shared" ref="S2662:S2663" si="1594">ROUND($D2662*K2662,0)</f>
        <v>77</v>
      </c>
      <c r="T2662" s="1645"/>
      <c r="U2662" s="1644">
        <f t="shared" ref="U2662:U2663" si="1595">ROUND($D2662*M2662,0)</f>
        <v>11</v>
      </c>
      <c r="V2662" s="1645"/>
      <c r="W2662" s="1644">
        <f t="shared" ref="W2662:W2663" si="1596">ROUND($D2662*O2662,0)</f>
        <v>16</v>
      </c>
      <c r="X2662" s="1643"/>
      <c r="Y2662" s="1644">
        <f>ROUND($D2662*Q2662,0)</f>
        <v>105</v>
      </c>
      <c r="AI2662" s="2023">
        <f>W2662-'Blocking-Step2'!W2662</f>
        <v>0</v>
      </c>
      <c r="AJ2662" s="2054">
        <f>O2662-'Blocking-Step2'!O2662</f>
        <v>0</v>
      </c>
    </row>
    <row r="2663" spans="1:36" hidden="1">
      <c r="A2663" s="1900" t="s">
        <v>153</v>
      </c>
      <c r="C2663" s="584">
        <v>0</v>
      </c>
      <c r="D2663" s="528">
        <f>ROUND(C2663/C2665*D2665,0)</f>
        <v>0</v>
      </c>
      <c r="F2663" s="1992">
        <v>2.1858</v>
      </c>
      <c r="G2663" s="1921"/>
      <c r="H2663" s="1644">
        <f>ROUND($F2663*C2663,0)</f>
        <v>0</v>
      </c>
      <c r="I2663" s="1644">
        <f>ROUND($F2663*D2663,0)</f>
        <v>0</v>
      </c>
      <c r="K2663" s="2015">
        <f>K2654</f>
        <v>1.6021000000000001</v>
      </c>
      <c r="L2663" s="1921"/>
      <c r="M2663" s="2015">
        <f>M2654</f>
        <v>0.23699999999999999</v>
      </c>
      <c r="N2663" s="1921"/>
      <c r="O2663" s="2015">
        <f>O2654</f>
        <v>0.34670000000000001</v>
      </c>
      <c r="P2663" s="1921"/>
      <c r="Q2663" s="1992">
        <v>2.1858</v>
      </c>
      <c r="R2663" s="1921"/>
      <c r="S2663" s="1644">
        <f t="shared" si="1594"/>
        <v>0</v>
      </c>
      <c r="T2663" s="1645"/>
      <c r="U2663" s="1644">
        <f t="shared" si="1595"/>
        <v>0</v>
      </c>
      <c r="V2663" s="1645"/>
      <c r="W2663" s="1644">
        <f t="shared" si="1596"/>
        <v>0</v>
      </c>
      <c r="X2663" s="1648"/>
      <c r="Y2663" s="1644">
        <f>ROUND($D2663*Q2663,0)</f>
        <v>0</v>
      </c>
      <c r="AI2663" s="2023">
        <f>W2663-'Blocking-Step2'!W2663</f>
        <v>0</v>
      </c>
      <c r="AJ2663" s="2054">
        <f>O2663-'Blocking-Step2'!O2663</f>
        <v>0</v>
      </c>
    </row>
    <row r="2664" spans="1:36" hidden="1">
      <c r="A2664" s="1900" t="s">
        <v>154</v>
      </c>
      <c r="C2664" s="586">
        <f>SUM(C2662:C2663)</f>
        <v>48</v>
      </c>
      <c r="D2664" s="586">
        <f>SUM(D2662:D2663)</f>
        <v>48</v>
      </c>
      <c r="F2664" s="2004"/>
      <c r="G2664" s="1921"/>
      <c r="H2664" s="1649">
        <f>SUM(H2662:H2663)</f>
        <v>105</v>
      </c>
      <c r="I2664" s="1649">
        <f>SUM(I2662:I2663)</f>
        <v>105</v>
      </c>
      <c r="K2664" s="2004"/>
      <c r="L2664" s="1921"/>
      <c r="M2664" s="2004"/>
      <c r="N2664" s="1921"/>
      <c r="O2664" s="2004"/>
      <c r="P2664" s="1921"/>
      <c r="Q2664" s="2004"/>
      <c r="R2664" s="1921"/>
      <c r="S2664" s="1649">
        <f>SUM(S2662:S2663)</f>
        <v>77</v>
      </c>
      <c r="T2664" s="1648"/>
      <c r="U2664" s="1649">
        <f>SUM(U2662:U2663)</f>
        <v>11</v>
      </c>
      <c r="V2664" s="1648"/>
      <c r="W2664" s="1649">
        <f>SUM(W2662:W2663)</f>
        <v>16</v>
      </c>
      <c r="X2664" s="1648"/>
      <c r="Y2664" s="1649">
        <f>SUM(Y2662:Y2663)</f>
        <v>105</v>
      </c>
      <c r="AI2664" s="2023">
        <f>W2664-'Blocking-Step2'!W2664</f>
        <v>0</v>
      </c>
      <c r="AJ2664" s="2054">
        <f>O2664-'Blocking-Step2'!O2664</f>
        <v>0</v>
      </c>
    </row>
    <row r="2665" spans="1:36" hidden="1">
      <c r="A2665" s="1900" t="s">
        <v>301</v>
      </c>
      <c r="C2665" s="1025">
        <f>PTL!L3</f>
        <v>1392</v>
      </c>
      <c r="D2665" s="1025">
        <f>D2667-D2666</f>
        <v>1392</v>
      </c>
      <c r="F2665" s="596"/>
      <c r="H2665" s="1637"/>
      <c r="I2665" s="1637"/>
      <c r="K2665" s="596"/>
      <c r="M2665" s="596"/>
      <c r="O2665" s="596"/>
      <c r="Q2665" s="596"/>
      <c r="Y2665" s="1637"/>
      <c r="AI2665" s="2023">
        <f>W2665-'Blocking-Step2'!W2665</f>
        <v>0</v>
      </c>
      <c r="AJ2665" s="2054">
        <f>O2665-'Blocking-Step2'!O2665</f>
        <v>0</v>
      </c>
    </row>
    <row r="2666" spans="1:36" hidden="1">
      <c r="A2666" s="1900" t="s">
        <v>136</v>
      </c>
      <c r="C2666" s="1025">
        <f>'Table 2'!J28</f>
        <v>8</v>
      </c>
      <c r="D2666" s="1025">
        <v>0</v>
      </c>
      <c r="F2666" s="596"/>
      <c r="H2666" s="1645">
        <f>'Table 3'!F28</f>
        <v>1</v>
      </c>
      <c r="I2666" s="1645">
        <v>0</v>
      </c>
      <c r="K2666" s="596"/>
      <c r="M2666" s="596"/>
      <c r="O2666" s="596"/>
      <c r="Q2666" s="596"/>
      <c r="S2666" s="1645"/>
      <c r="U2666" s="1645"/>
      <c r="W2666" s="1645"/>
      <c r="Y2666" s="1645"/>
      <c r="AI2666" s="2023">
        <f>W2666-'Blocking-Step2'!W2666</f>
        <v>0</v>
      </c>
      <c r="AJ2666" s="2054">
        <f>O2666-'Blocking-Step2'!O2666</f>
        <v>0</v>
      </c>
    </row>
    <row r="2667" spans="1:36" ht="16.5" hidden="1" thickBot="1">
      <c r="A2667" s="1900" t="s">
        <v>93</v>
      </c>
      <c r="C2667" s="1026">
        <f>C2666+C2665</f>
        <v>1400</v>
      </c>
      <c r="D2667" s="1026">
        <f>Energy!P15</f>
        <v>1392</v>
      </c>
      <c r="F2667" s="1979"/>
      <c r="G2667" s="1980"/>
      <c r="H2667" s="1651">
        <f>H2666+H2664</f>
        <v>106</v>
      </c>
      <c r="I2667" s="1651">
        <f>I2666+I2664</f>
        <v>105</v>
      </c>
      <c r="K2667" s="1979"/>
      <c r="L2667" s="1980"/>
      <c r="M2667" s="1979"/>
      <c r="N2667" s="1980"/>
      <c r="O2667" s="1979"/>
      <c r="P2667" s="1980"/>
      <c r="Q2667" s="1979"/>
      <c r="R2667" s="1980"/>
      <c r="S2667" s="1651">
        <f>S2666+S2664</f>
        <v>77</v>
      </c>
      <c r="T2667" s="1650"/>
      <c r="U2667" s="1651">
        <f>U2666+U2664</f>
        <v>11</v>
      </c>
      <c r="V2667" s="1650"/>
      <c r="W2667" s="1651">
        <f>W2666+W2664</f>
        <v>16</v>
      </c>
      <c r="X2667" s="1650"/>
      <c r="Y2667" s="1651">
        <f>Y2666+Y2664</f>
        <v>105</v>
      </c>
      <c r="AA2667" s="1104" t="s">
        <v>1743</v>
      </c>
      <c r="AB2667" s="1890">
        <f>Y2667/I2667-1</f>
        <v>0</v>
      </c>
      <c r="AI2667" s="2023">
        <f>W2667-'Blocking-Step2'!W2667</f>
        <v>0</v>
      </c>
      <c r="AJ2667" s="2054">
        <f>O2667-'Blocking-Step2'!O2667</f>
        <v>0</v>
      </c>
    </row>
    <row r="2668" spans="1:36" ht="16.5" thickTop="1">
      <c r="C2668" s="528"/>
      <c r="D2668" s="528"/>
      <c r="AI2668" s="2023">
        <f>W2668-'Blocking-Step2'!W2668</f>
        <v>0</v>
      </c>
      <c r="AJ2668" s="2054">
        <f>O2668-'Blocking-Step2'!O2668</f>
        <v>0</v>
      </c>
    </row>
    <row r="2669" spans="1:36">
      <c r="A2669" s="2012" t="s">
        <v>486</v>
      </c>
      <c r="B2669" s="596"/>
      <c r="F2669" s="1943"/>
      <c r="G2669" s="1957"/>
      <c r="K2669" s="1943"/>
      <c r="L2669" s="1957"/>
      <c r="M2669" s="1943"/>
      <c r="N2669" s="1957"/>
      <c r="O2669" s="1943"/>
      <c r="P2669" s="1957"/>
      <c r="Q2669" s="1943"/>
      <c r="R2669" s="1957"/>
      <c r="S2669" s="1645"/>
      <c r="T2669" s="1645"/>
      <c r="U2669" s="1645"/>
      <c r="V2669" s="1645"/>
      <c r="W2669" s="1645"/>
      <c r="X2669" s="1645"/>
      <c r="AI2669" s="2023">
        <f>W2669-'Blocking-Step2'!W2669</f>
        <v>0</v>
      </c>
      <c r="AJ2669" s="2054">
        <f>O2669-'Blocking-Step2'!O2669</f>
        <v>0</v>
      </c>
    </row>
    <row r="2670" spans="1:36">
      <c r="A2670" s="1993" t="s">
        <v>405</v>
      </c>
      <c r="B2670" s="596"/>
      <c r="C2670" s="2016"/>
      <c r="D2670" s="2016"/>
      <c r="F2670" s="1943"/>
      <c r="G2670" s="1957"/>
      <c r="H2670" s="1644">
        <f>'Table 3'!L41</f>
        <v>6795.090000000062</v>
      </c>
      <c r="I2670" s="1644">
        <f t="shared" ref="I2670:I2675" si="1597">H2670</f>
        <v>6795.090000000062</v>
      </c>
      <c r="K2670" s="1943"/>
      <c r="L2670" s="1957"/>
      <c r="M2670" s="1943"/>
      <c r="N2670" s="1957"/>
      <c r="O2670" s="1943"/>
      <c r="P2670" s="1957"/>
      <c r="Q2670" s="1943"/>
      <c r="R2670" s="1957"/>
      <c r="S2670" s="597">
        <f>$Y2670*S$2679/($S$2679+$U$2679)</f>
        <v>3474.0394229332824</v>
      </c>
      <c r="T2670" s="1645"/>
      <c r="U2670" s="597">
        <f>$Y2670*U$2679/($S$2679+$U$2679)</f>
        <v>3321.0505770667805</v>
      </c>
      <c r="V2670" s="1645"/>
      <c r="W2670" s="1645"/>
      <c r="X2670" s="1645"/>
      <c r="Y2670" s="1644">
        <f>I2670</f>
        <v>6795.090000000062</v>
      </c>
      <c r="AI2670" s="2023">
        <f>W2670-'Blocking-Step2'!W2670</f>
        <v>0</v>
      </c>
      <c r="AJ2670" s="2054">
        <f>O2670-'Blocking-Step2'!O2670</f>
        <v>0</v>
      </c>
    </row>
    <row r="2671" spans="1:36">
      <c r="A2671" s="1993" t="s">
        <v>406</v>
      </c>
      <c r="B2671" s="596"/>
      <c r="C2671" s="2016"/>
      <c r="D2671" s="2016"/>
      <c r="F2671" s="1943"/>
      <c r="G2671" s="1957"/>
      <c r="H2671" s="1644">
        <f>'Table 3'!L79</f>
        <v>3742344.1399999997</v>
      </c>
      <c r="I2671" s="1644">
        <f t="shared" si="1597"/>
        <v>3742344.1399999997</v>
      </c>
      <c r="K2671" s="1943"/>
      <c r="L2671" s="1957"/>
      <c r="M2671" s="1943"/>
      <c r="N2671" s="1957"/>
      <c r="O2671" s="1943"/>
      <c r="P2671" s="1957"/>
      <c r="Q2671" s="1943"/>
      <c r="R2671" s="1957"/>
      <c r="S2671" s="597">
        <f t="shared" ref="S2671:U2674" si="1598">$Y2671*S$2679/($S$2679+$U$2679)</f>
        <v>1913300.7916809388</v>
      </c>
      <c r="T2671" s="1645"/>
      <c r="U2671" s="597">
        <f t="shared" si="1598"/>
        <v>1829043.3483190613</v>
      </c>
      <c r="V2671" s="1645"/>
      <c r="W2671" s="1645"/>
      <c r="X2671" s="1645"/>
      <c r="Y2671" s="1644">
        <f t="shared" ref="Y2671:Y2675" si="1599">I2671</f>
        <v>3742344.1399999997</v>
      </c>
      <c r="AI2671" s="2023">
        <f>W2671-'Blocking-Step2'!W2671</f>
        <v>0</v>
      </c>
      <c r="AJ2671" s="2054">
        <f>O2671-'Blocking-Step2'!O2671</f>
        <v>0</v>
      </c>
    </row>
    <row r="2672" spans="1:36">
      <c r="A2672" s="1993" t="s">
        <v>407</v>
      </c>
      <c r="B2672" s="596"/>
      <c r="C2672" s="2016"/>
      <c r="D2672" s="2016"/>
      <c r="F2672" s="1943"/>
      <c r="G2672" s="1957"/>
      <c r="H2672" s="1644">
        <f>'Table 3'!L114</f>
        <v>823369.79999999993</v>
      </c>
      <c r="I2672" s="1644">
        <f t="shared" si="1597"/>
        <v>823369.79999999993</v>
      </c>
      <c r="K2672" s="1943"/>
      <c r="L2672" s="1957"/>
      <c r="M2672" s="1943"/>
      <c r="N2672" s="1957"/>
      <c r="O2672" s="1943"/>
      <c r="P2672" s="1957"/>
      <c r="Q2672" s="1943"/>
      <c r="R2672" s="1957"/>
      <c r="S2672" s="597">
        <f t="shared" si="1598"/>
        <v>420953.82766860566</v>
      </c>
      <c r="T2672" s="1645"/>
      <c r="U2672" s="597">
        <f t="shared" si="1598"/>
        <v>402415.97233139433</v>
      </c>
      <c r="V2672" s="1645"/>
      <c r="W2672" s="1645"/>
      <c r="X2672" s="1645"/>
      <c r="Y2672" s="1644">
        <f t="shared" si="1599"/>
        <v>823369.79999999993</v>
      </c>
      <c r="AI2672" s="2023">
        <f>W2672-'Blocking-Step2'!W2672</f>
        <v>0</v>
      </c>
      <c r="AJ2672" s="2054">
        <f>O2672-'Blocking-Step2'!O2672</f>
        <v>0</v>
      </c>
    </row>
    <row r="2673" spans="1:36">
      <c r="A2673" s="1993" t="s">
        <v>371</v>
      </c>
      <c r="B2673" s="596"/>
      <c r="C2673" s="2016"/>
      <c r="D2673" s="2016"/>
      <c r="F2673" s="1943"/>
      <c r="G2673" s="1957"/>
      <c r="H2673" s="1644">
        <f>'Table 3'!L132</f>
        <v>231622.84</v>
      </c>
      <c r="I2673" s="1644">
        <f t="shared" si="1597"/>
        <v>231622.84</v>
      </c>
      <c r="K2673" s="1943"/>
      <c r="L2673" s="1957"/>
      <c r="M2673" s="1943"/>
      <c r="N2673" s="1957"/>
      <c r="O2673" s="1943"/>
      <c r="P2673" s="1957"/>
      <c r="Q2673" s="1943"/>
      <c r="R2673" s="1957"/>
      <c r="S2673" s="597">
        <f t="shared" si="1598"/>
        <v>118418.86971500902</v>
      </c>
      <c r="T2673" s="1645"/>
      <c r="U2673" s="597">
        <f t="shared" si="1598"/>
        <v>113203.97028499101</v>
      </c>
      <c r="V2673" s="1645"/>
      <c r="W2673" s="1645"/>
      <c r="X2673" s="1645"/>
      <c r="Y2673" s="1644">
        <f t="shared" si="1599"/>
        <v>231622.84</v>
      </c>
      <c r="AI2673" s="2023">
        <f>W2673-'Blocking-Step2'!W2673</f>
        <v>0</v>
      </c>
      <c r="AJ2673" s="2054">
        <f>O2673-'Blocking-Step2'!O2673</f>
        <v>0</v>
      </c>
    </row>
    <row r="2674" spans="1:36">
      <c r="A2674" s="1993" t="s">
        <v>408</v>
      </c>
      <c r="B2674" s="596"/>
      <c r="C2674" s="2016"/>
      <c r="D2674" s="2016"/>
      <c r="F2674" s="1943"/>
      <c r="G2674" s="1957"/>
      <c r="H2674" s="1644">
        <f>'Table 3'!L155</f>
        <v>4655.0400000000009</v>
      </c>
      <c r="I2674" s="1644">
        <f t="shared" si="1597"/>
        <v>4655.0400000000009</v>
      </c>
      <c r="K2674" s="1943"/>
      <c r="L2674" s="1957"/>
      <c r="M2674" s="1943"/>
      <c r="N2674" s="1957"/>
      <c r="O2674" s="1943"/>
      <c r="P2674" s="1957"/>
      <c r="Q2674" s="1943"/>
      <c r="R2674" s="1957"/>
      <c r="S2674" s="597">
        <f t="shared" si="1598"/>
        <v>2379.9232203445727</v>
      </c>
      <c r="T2674" s="1645"/>
      <c r="U2674" s="597">
        <f t="shared" si="1598"/>
        <v>2275.1167796554287</v>
      </c>
      <c r="V2674" s="1645"/>
      <c r="W2674" s="1645"/>
      <c r="X2674" s="1645"/>
      <c r="Y2674" s="1644">
        <f t="shared" si="1599"/>
        <v>4655.0400000000009</v>
      </c>
      <c r="AI2674" s="2023">
        <f>W2674-'Blocking-Step2'!W2674</f>
        <v>0</v>
      </c>
      <c r="AJ2674" s="2054">
        <f>O2674-'Blocking-Step2'!O2674</f>
        <v>0</v>
      </c>
    </row>
    <row r="2675" spans="1:36" ht="16.5" thickBot="1">
      <c r="A2675" s="1993" t="s">
        <v>409</v>
      </c>
      <c r="B2675" s="596"/>
      <c r="C2675" s="2017"/>
      <c r="D2675" s="2017"/>
      <c r="F2675" s="2014"/>
      <c r="G2675" s="1957"/>
      <c r="H2675" s="1646">
        <f>SUM(H2670:H2674)</f>
        <v>4808786.9099999992</v>
      </c>
      <c r="I2675" s="1646">
        <f t="shared" si="1597"/>
        <v>4808786.9099999992</v>
      </c>
      <c r="K2675" s="2014"/>
      <c r="L2675" s="1957"/>
      <c r="M2675" s="2014"/>
      <c r="N2675" s="1957"/>
      <c r="O2675" s="2014"/>
      <c r="P2675" s="1957"/>
      <c r="Q2675" s="2014"/>
      <c r="R2675" s="1957"/>
      <c r="S2675" s="1646">
        <f>SUM(S2670:S2674)</f>
        <v>2458527.4517078311</v>
      </c>
      <c r="T2675" s="1645"/>
      <c r="U2675" s="1646">
        <f>SUM(U2670:U2674)</f>
        <v>2350259.4582921686</v>
      </c>
      <c r="V2675" s="1645"/>
      <c r="W2675" s="1646"/>
      <c r="X2675" s="1645"/>
      <c r="Y2675" s="1646">
        <f t="shared" si="1599"/>
        <v>4808786.9099999992</v>
      </c>
      <c r="AI2675" s="2023">
        <f>W2675-'Blocking-Step2'!W2675</f>
        <v>0</v>
      </c>
      <c r="AJ2675" s="2054">
        <f>O2675-'Blocking-Step2'!O2675</f>
        <v>0</v>
      </c>
    </row>
    <row r="2676" spans="1:36" ht="16.5" thickTop="1">
      <c r="A2676" s="596"/>
      <c r="B2676" s="596"/>
      <c r="F2676" s="1943"/>
      <c r="G2676" s="1957"/>
      <c r="H2676" s="1644"/>
      <c r="I2676" s="1644"/>
      <c r="K2676" s="1943"/>
      <c r="L2676" s="1957"/>
      <c r="M2676" s="1943"/>
      <c r="N2676" s="1957"/>
      <c r="O2676" s="1943"/>
      <c r="P2676" s="1957"/>
      <c r="Q2676" s="1943"/>
      <c r="R2676" s="1957"/>
      <c r="S2676" s="1645"/>
      <c r="T2676" s="1645"/>
      <c r="U2676" s="1645"/>
      <c r="V2676" s="1645"/>
      <c r="W2676" s="1645"/>
      <c r="X2676" s="1645"/>
      <c r="Y2676" s="1644"/>
      <c r="AI2676" s="2023">
        <f>W2676-'Blocking-Step2'!W2676</f>
        <v>0</v>
      </c>
      <c r="AJ2676" s="2054">
        <f>O2676-'Blocking-Step2'!O2676</f>
        <v>0</v>
      </c>
    </row>
    <row r="2677" spans="1:36" ht="16.5" thickBot="1">
      <c r="A2677" s="1935" t="s">
        <v>410</v>
      </c>
      <c r="B2677" s="1935"/>
      <c r="C2677" s="2017">
        <f>C45+C82+C111+C148+C185+C222+C690+C772+C848+C904+C982+C1076+C1164+C1206+C1394+C1456+C1476+C1495+C1557+C1619+C1639+C1657+C1716+C1807+C1818+C1859+C1935+C1998+C2092+C2181+C2331+C2606+C2610+C2623+C2633+C2640+C2649+C2675</f>
        <v>24473583899.403015</v>
      </c>
      <c r="D2677" s="2017">
        <f>D45+D82+D111+D148+D185+D222+D690+D772+D848+D904+D982+D1076+D1164+D1206+D1394+D1456+D1476+D1495+D1557+D1619+D1639+D1657+D1716+D1807+D1818+D1859+D1935+D1998+D2092+D2181+D2331+D2606+D2610+D2623+D2633+D2640+D2649+D2675</f>
        <v>24837388160.662254</v>
      </c>
      <c r="F2677" s="1935"/>
      <c r="H2677" s="1646">
        <f>H45+H82+H111+H148+H185+H222+H690+H772+H848+H904+H982+H1076+H1164+H1206+H1394+H1456+H1476+H1495+H1557+H1619+H1639+H1657+H1716+H1807+H1818+H1859+H1935+H1998+H2092+H2181+H2331+H2606+H2610+H2623+H2633+H2640+H2649+H2675</f>
        <v>1981660112.7811136</v>
      </c>
      <c r="I2677" s="1646">
        <f>I45+I82+I111+I148+I185+I222+I690+I772+I848+I904+I982+I1076+I1164+I1206+I1394+I1456+I1476+I1495+I1557+I1619+I1639+I1657+I1716+I1807+I1818+I1859+I1935+I1998+I2092+I2181+I2331+I2606+I2610+I2623+I2633+I2640+I2649+I2675</f>
        <v>2001695942.310344</v>
      </c>
      <c r="K2677" s="1935"/>
      <c r="M2677" s="1935"/>
      <c r="O2677" s="1935"/>
      <c r="Q2677" s="1935"/>
      <c r="S2677" s="1646">
        <f>S45+S82+S111+S148+S185+S222+S690+S772+S848+S904+S982+S1076+S1164+S1206+S1394+S1456+S1476+S1495+S1557+S1619+S1639+S1657+S1716+S1807+S1818+S1859+S1935+1970+S1998+S2092+S2181+S2331+S2606+S2610+S2623+S2633+S2640+S2649+S2675-S258+S238-S400+S382-S536+S518-S569+S552</f>
        <v>790164488.56366658</v>
      </c>
      <c r="U2677" s="1646">
        <f>U45+U82+U111+U148+U185+U222+U690+U772+U848+U904+U982+U1076+U1164+U1206+U1394+U1456+U1476+U1495+U1557+U1619+U1639+U1657+U1716+U1807+U1818+U1859+U1935+1970+U1998+U2092+U2181+U2331+U2606+U2610+U2623+U2633+U2640+U2649+U2675-U258+U238-U400+U382-U536+U518-U569+U552</f>
        <v>793762867.73079884</v>
      </c>
      <c r="W2677" s="1646">
        <f>W45+W82+W111+W148+W185+W222+W690+W772+W848+W904+W982+W1076+W1164+W1206+W1394+W1456+W1476+W1495+W1557+W1619+W1639+W1657+W1716+W1807+W1818+W1859+W1935+1970+W1998+W2092+W2181+W2331+W2606+W2610+W2623+W2633+W2640+W2649+W2675-W258+W238-W400+W382-W536+W518-W569+W552</f>
        <v>467287359.62602454</v>
      </c>
      <c r="Y2677" s="1646">
        <f>Y45+Y82+Y111+Y148+Y185+Y222+Y690+Y772+Y848+Y904+Y982+Y1076+Y1164+Y1206+Y1394+Y1456+Y1476+Y1495+Y1557+Y1619+Y1639+Y1657+Y1716+Y1807+Y1818+Y1859+Y1935+1970+Y1998+Y2092+Y2181+Y2331+Y2606+Y2610+Y2623+Y2633+Y2640+Y2649+Y2675-Y258+Y238-Y400+Y382-Y536+Y518-Y569+Y552</f>
        <v>2051209708.1290345</v>
      </c>
      <c r="AA2677" s="1104" t="s">
        <v>1743</v>
      </c>
      <c r="AB2677" s="1890">
        <f>Y2677/I2677-1</f>
        <v>2.4735907573226079E-2</v>
      </c>
      <c r="AC2677" s="1644">
        <f>Y2677-S2677-U2677-W2677</f>
        <v>-5007.7914554476738</v>
      </c>
      <c r="AI2677" s="2023">
        <f>W2677-'Blocking-Step2'!W2677</f>
        <v>941.30908173322678</v>
      </c>
      <c r="AJ2677" s="2054">
        <f>O2677-'Blocking-Step2'!O2677</f>
        <v>0</v>
      </c>
    </row>
    <row r="2678" spans="1:36" ht="16.5" thickTop="1"/>
    <row r="2679" spans="1:36">
      <c r="E2679" s="1869"/>
      <c r="G2679" s="1869"/>
      <c r="H2679" s="1644"/>
      <c r="I2679" s="1644"/>
      <c r="J2679" s="1869"/>
      <c r="L2679" s="1869"/>
      <c r="N2679" s="1869"/>
      <c r="O2679" s="1964" t="s">
        <v>2212</v>
      </c>
      <c r="P2679" s="1964"/>
      <c r="Q2679" s="1964" t="s">
        <v>1958</v>
      </c>
      <c r="R2679" s="1869"/>
      <c r="S2679" s="1638">
        <f>'Unit Cost Target'!C87+'Unit Cost Target'!C123+'Unit Cost Target'!C129+'Unit Cost Target'!C75+'Unit Cost Target'!C81</f>
        <v>766911221.0876286</v>
      </c>
      <c r="T2679" s="1638"/>
      <c r="U2679" s="1638">
        <f>Y2679-S2679-W2679</f>
        <v>733138183.90741146</v>
      </c>
      <c r="V2679" s="1638"/>
      <c r="W2679" s="1638">
        <f>'Unit Cost Target'!C33+'Unit Cost Target'!C39+'Unit Cost Target'!C63+'Unit Cost Target'!C69</f>
        <v>467286419.83260977</v>
      </c>
      <c r="X2679" s="1638"/>
      <c r="Y2679" s="1644">
        <f>'Unit Cost Target'!C21</f>
        <v>1967335824.8276498</v>
      </c>
    </row>
    <row r="2680" spans="1:36">
      <c r="E2680" s="1869"/>
      <c r="G2680" s="1869"/>
      <c r="H2680" s="1644"/>
      <c r="I2680" s="1644"/>
      <c r="J2680" s="1869"/>
      <c r="L2680" s="1869"/>
      <c r="N2680" s="1869"/>
      <c r="P2680" s="1869"/>
      <c r="R2680" s="1869"/>
      <c r="S2680" s="1655">
        <f>S2679/$Y$2679</f>
        <v>0.38982222120354798</v>
      </c>
      <c r="T2680" s="1655"/>
      <c r="U2680" s="1655">
        <f>U2679/$Y$2679</f>
        <v>0.37265533146667457</v>
      </c>
      <c r="V2680" s="1655"/>
      <c r="W2680" s="1655">
        <f>W2679/$Y$2679</f>
        <v>0.23752244732977748</v>
      </c>
      <c r="X2680" s="1878"/>
      <c r="Y2680" s="1655">
        <f>SUM(S2680:W2680)</f>
        <v>1</v>
      </c>
    </row>
    <row r="2681" spans="1:36">
      <c r="E2681" s="1869"/>
      <c r="G2681" s="1869"/>
      <c r="J2681" s="1869"/>
      <c r="L2681" s="1869"/>
      <c r="N2681" s="1869"/>
      <c r="P2681" s="1869"/>
      <c r="Q2681" s="1869" t="s">
        <v>2213</v>
      </c>
      <c r="R2681" s="1869"/>
      <c r="S2681" s="1655">
        <f>S2677/$Y$2677</f>
        <v>0.38521877379587754</v>
      </c>
      <c r="T2681" s="1655"/>
      <c r="U2681" s="1655">
        <f>U2677/$Y$2677</f>
        <v>0.38697304550825867</v>
      </c>
      <c r="V2681" s="1655"/>
      <c r="W2681" s="1655">
        <f>W2677/$Y$2677</f>
        <v>0.22781062208029931</v>
      </c>
      <c r="X2681" s="1878"/>
      <c r="Y2681" s="1655">
        <f>SUM(S2681:W2681)</f>
        <v>1.0000024413844355</v>
      </c>
      <c r="Z2681" s="1638"/>
      <c r="AA2681" s="1878"/>
      <c r="AB2681" s="1638"/>
      <c r="AC2681" s="1878"/>
      <c r="AD2681" s="1638"/>
      <c r="AE2681" s="1655"/>
    </row>
    <row r="2682" spans="1:36">
      <c r="S2682" s="1637">
        <f>S2677-S2679</f>
        <v>23253267.476037979</v>
      </c>
      <c r="U2682" s="1637">
        <f>U2677-U2679</f>
        <v>60624683.823387384</v>
      </c>
      <c r="W2682" s="1637">
        <f>W2677-W2679</f>
        <v>939.79341477155685</v>
      </c>
    </row>
    <row r="2683" spans="1:36">
      <c r="U2683" s="1833"/>
      <c r="W2683" s="2018"/>
    </row>
  </sheetData>
  <scenarios current="1" show="0">
    <scenario name="Present Basic" locked="1" count="14" user="Michael Reid" comment="Created by Michael Reid on 3/2/2001_x000a_Modified by Michael Reid on 3/13/2001">
      <inputCells r="F1399" val="3.54" numFmtId="7"/>
      <inputCells r="F1407" val="10.62" numFmtId="7"/>
      <inputCells r="F1743" val="14.74" numFmtId="7"/>
      <inputCells r="F1802" val="29.49" numFmtId="7"/>
      <inputCells r="F1479" val="98.29" numFmtId="7"/>
      <inputCells r="F1582" val="176.93" numFmtId="7"/>
      <inputCells r="F1560" val="10.5" numFmtId="7"/>
      <inputCells r="F1604" val="78.63" numFmtId="7"/>
      <inputCells r="F1605" val="24.57" numFmtId="7"/>
      <inputCells r="F1606" val="9.83" numFmtId="7"/>
      <inputCells r="F1613" val="9.83" numFmtId="7"/>
      <inputCells r="F2335" val="54.06" numFmtId="7"/>
      <inputCells r="F2357" val="245.73" numFmtId="7"/>
      <inputCells r="F2379" val="275.22" numFmtId="7"/>
    </scenario>
    <scenario name="Present Energy" locked="1" count="9" user="Michael Reid" comment="Created by Michael Reid on 3/2/2001">
      <inputCells r="F1746" val="2.6294" numFmtId="164"/>
      <inputCells r="F1596" val="4.4789" numFmtId="164"/>
      <inputCells r="F1597" val="1.9244" numFmtId="164"/>
      <inputCells r="F1609" val="3.9804" numFmtId="164"/>
      <inputCells r="F1610" val="2.9319" numFmtId="164"/>
      <inputCells r="F1614" val="2.7286" numFmtId="164"/>
      <inputCells r="F1647" val="7.9366" numFmtId="166"/>
      <inputCells r="F1648" val="2.2624" numFmtId="166"/>
      <inputCells r="J616" undone="1" val="2.0165" numFmtId="165"/>
    </scenario>
    <scenario name="Present Demand" locked="1" count="14" user="Michael Reid" comment="Created by Michael Reid on 3/2/2001">
      <inputCells r="F1744" val="7.67" numFmtId="7"/>
      <inputCells r="F1803" val="3.27" numFmtId="7"/>
      <inputCells r="F1480" val="5.71" numFmtId="7"/>
      <inputCells r="F1583" val="1.31" numFmtId="7"/>
      <inputCells r="F1607" val="3.99" numFmtId="7"/>
      <inputCells r="F2336" val="2.59" numFmtId="7"/>
      <inputCells r="F2347" val="0.3511" numFmtId="173"/>
      <inputCells r="F2353" val="33.22" numFmtId="7"/>
      <inputCells r="F2358" val="2.08" numFmtId="7"/>
      <inputCells r="F2369" val="0.3511" numFmtId="173"/>
      <inputCells r="F2375" val="31.22" numFmtId="7"/>
      <inputCells r="F2380" val="1.4" numFmtId="7"/>
      <inputCells r="F2391" val="0.2684" numFmtId="173"/>
      <inputCells r="F2397" val="23.08" numFmtId="7"/>
    </scenario>
    <scenario name="Present 7" locked="1" count="29" user="Michael Reid" comment="Created by Michael Reid on 3/5/2001">
      <inputCells r="F1168" val="3.93" numFmtId="7"/>
      <inputCells r="F1169" val="11.32" numFmtId="7"/>
      <inputCells r="F1170" val="5.57" numFmtId="7"/>
      <inputCells r="F1171" val="18.5" numFmtId="7"/>
      <inputCells r="F1173" val="10.08" numFmtId="7"/>
      <inputCells r="F1174" val="8.45" numFmtId="7"/>
      <inputCells r="F1175" val="10.7" numFmtId="7"/>
      <inputCells r="F1176" val="9.2" numFmtId="7"/>
      <inputCells r="F1177" val="13.44" numFmtId="7"/>
      <inputCells r="F1178" val="11.84" numFmtId="7"/>
      <inputCells r="F1179" val="14.55" numFmtId="7"/>
      <inputCells r="F1180" val="16.25" numFmtId="7"/>
      <inputCells r="F1181" val="14.66" numFmtId="7"/>
      <inputCells r="F1182" val="19.55" numFmtId="7"/>
      <inputCells r="F1183" val="17.97" numFmtId="7"/>
      <inputCells r="F1185" val="13.44" numFmtId="7"/>
      <inputCells r="F1186" val="11.84" numFmtId="7"/>
      <inputCells r="F1187" val="16.25" numFmtId="7"/>
      <inputCells r="F1188" val="14.66" numFmtId="7"/>
      <inputCells r="F1189" val="19.55" numFmtId="7"/>
      <inputCells r="F1190" val="17.97" numFmtId="7"/>
      <inputCells r="F1192" val="20.32" numFmtId="7"/>
      <inputCells r="F1193" val="15.06" numFmtId="7"/>
      <inputCells r="F1194" val="23.73" numFmtId="7"/>
      <inputCells r="F1195" val="18.95" numFmtId="7"/>
      <inputCells r="F1196" val="25.36" numFmtId="7"/>
      <inputCells r="F1197" val="20.54" numFmtId="7"/>
      <inputCells r="F1198" val="39.79" numFmtId="7"/>
      <inputCells r="F1199" val="34.84" numFmtId="7"/>
    </scenario>
    <scenario name="Proposed Demand" locked="1" count="14" user="Michael Reid" comment="Created by Michael Reid on 3/5/2001_x000a_Modified by Michael Reid on 3/5/2001">
      <inputCells r="F1744" val="9.07" numFmtId="7"/>
      <inputCells r="F1803" val="3.89" numFmtId="7"/>
      <inputCells r="F1480" val="6.75" numFmtId="7"/>
      <inputCells r="F1583" val="2.02" numFmtId="7"/>
      <inputCells r="F1607" val="4.73" numFmtId="7"/>
      <inputCells r="F2336" val="3.08" numFmtId="7"/>
      <inputCells r="F2347" val="0.4177" numFmtId="173"/>
      <inputCells r="F2353" val="39.5" numFmtId="7"/>
      <inputCells r="F2358" val="2.47" numFmtId="7"/>
      <inputCells r="F2369" val="0.4175" numFmtId="173"/>
      <inputCells r="F2375" val="37.11" numFmtId="7"/>
      <inputCells r="F2380" val="1.66" numFmtId="7"/>
      <inputCells r="F2391" val="0.3193" numFmtId="173"/>
      <inputCells r="F2397" val="27.44" numFmtId="7"/>
    </scenario>
    <scenario name="Proposed Energy" locked="1" count="9" user="Michael Reid" comment="Created by Michael Reid on 3/5/2001_x000a_Modified by Michael Reid on 3/5/2001">
      <inputCells r="F1746" val="3.1106" numFmtId="164"/>
      <inputCells r="F1596" val="4.7317" numFmtId="164"/>
      <inputCells r="F1597" val="2.3449" numFmtId="164"/>
      <inputCells r="F1609" val="4.7233" numFmtId="164"/>
      <inputCells r="F1610" val="3.4792" numFmtId="164"/>
      <inputCells r="F1614" val="3.2379" numFmtId="164"/>
      <inputCells r="F1647" val="9.418" numFmtId="166"/>
      <inputCells r="F1648" val="2.6847" numFmtId="166"/>
      <inputCells r="J616" undone="1" val="2.3826" numFmtId="165"/>
    </scenario>
    <scenario name="Proposed 7" locked="1" count="29" user="Michael Reid" comment="Created by Michael Reid on 3/5/2001">
      <inputCells r="F1168" val="4.64" numFmtId="7"/>
      <inputCells r="F1169" val="13.35" numFmtId="7"/>
      <inputCells r="F1170" val="6.57" numFmtId="7"/>
      <inputCells r="F1171" val="21.82" numFmtId="7"/>
      <inputCells r="F1173" val="11.89" numFmtId="7"/>
      <inputCells r="F1174" val="9.97" numFmtId="7"/>
      <inputCells r="F1175" val="12.62" numFmtId="7"/>
      <inputCells r="F1176" val="10.85" numFmtId="7"/>
      <inputCells r="F1177" val="15.85" numFmtId="7"/>
      <inputCells r="F1178" val="13.96" numFmtId="7"/>
      <inputCells r="F1179" val="17.16" numFmtId="7"/>
      <inputCells r="F1180" val="19.17" numFmtId="7"/>
      <inputCells r="F1181" val="17.29" numFmtId="7"/>
      <inputCells r="F1182" val="23.06" numFmtId="7"/>
      <inputCells r="F1183" val="21.19" numFmtId="7"/>
      <inputCells r="F1185" val="15.85" numFmtId="7"/>
      <inputCells r="F1186" val="13.96" numFmtId="7"/>
      <inputCells r="F1187" val="19.17" numFmtId="7"/>
      <inputCells r="F1188" val="17.29" numFmtId="7"/>
      <inputCells r="F1189" val="23.06" numFmtId="7"/>
      <inputCells r="F1190" val="21.19" numFmtId="7"/>
      <inputCells r="F1192" val="23.97" numFmtId="7"/>
      <inputCells r="F1193" val="17.76" numFmtId="7"/>
      <inputCells r="F1194" val="27.99" numFmtId="7"/>
      <inputCells r="F1195" val="22.35" numFmtId="7"/>
      <inputCells r="F1196" val="29.91" numFmtId="7"/>
      <inputCells r="F1197" val="24.23" numFmtId="7"/>
      <inputCells r="F1198" val="46.93" numFmtId="7"/>
      <inputCells r="F1199" val="41.09" numFmtId="7"/>
    </scenario>
  </scenarios>
  <printOptions horizontalCentered="1"/>
  <pageMargins left="1" right="0.5" top="1" bottom="0.55000000000000004" header="0.25" footer="0.25"/>
  <pageSetup scale="50" fitToHeight="88" orientation="landscape" r:id="rId1"/>
  <headerFooter alignWithMargins="0">
    <oddFooter>Page &amp;P of &amp;N</oddFooter>
  </headerFooter>
  <rowBreaks count="26" manualBreakCount="26">
    <brk id="45" max="24" man="1"/>
    <brk id="82" max="24" man="1"/>
    <brk id="112" max="24" man="1"/>
    <brk id="149" max="24" man="1"/>
    <brk id="186" max="24" man="1"/>
    <brk id="223" max="24" man="1"/>
    <brk id="367" max="24" man="1"/>
    <brk id="537" max="24" man="1"/>
    <brk id="670" max="24" man="1"/>
    <brk id="830" max="24" man="1"/>
    <brk id="959" max="24" man="1"/>
    <brk id="1165" max="24" man="1"/>
    <brk id="1375" max="24" man="1"/>
    <brk id="1536" max="24" man="1"/>
    <brk id="1620" max="24" man="1"/>
    <brk id="1658" max="24" man="1"/>
    <brk id="1717" max="24" man="1"/>
    <brk id="1774" max="24" man="1"/>
    <brk id="1852" max="24" man="1"/>
    <brk id="1936" max="24" man="1"/>
    <brk id="1975" max="24" man="1"/>
    <brk id="2159" max="24" man="1"/>
    <brk id="2251" max="24" man="1"/>
    <brk id="2313" max="24" man="1"/>
    <brk id="2587" max="24" man="1"/>
    <brk id="2634" max="24" man="1"/>
  </rowBreaks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92D050"/>
    <pageSetUpPr fitToPage="1"/>
  </sheetPr>
  <dimension ref="A1:Z17"/>
  <sheetViews>
    <sheetView workbookViewId="0">
      <selection activeCell="W28" sqref="W28"/>
    </sheetView>
  </sheetViews>
  <sheetFormatPr defaultColWidth="8" defaultRowHeight="12.75"/>
  <cols>
    <col min="1" max="1" width="6" style="122" customWidth="1"/>
    <col min="2" max="2" width="13.25" style="122" customWidth="1"/>
    <col min="3" max="3" width="12.625" style="122" bestFit="1" customWidth="1"/>
    <col min="4" max="4" width="10.125" style="122" bestFit="1" customWidth="1"/>
    <col min="5" max="5" width="9.625" style="122" bestFit="1" customWidth="1"/>
    <col min="6" max="6" width="8.75" style="122" bestFit="1" customWidth="1"/>
    <col min="7" max="7" width="5.625" style="122" bestFit="1" customWidth="1"/>
    <col min="8" max="8" width="9.75" style="122" bestFit="1" customWidth="1"/>
    <col min="9" max="11" width="9.125" style="122" bestFit="1" customWidth="1"/>
    <col min="12" max="12" width="11.25" style="122" bestFit="1" customWidth="1"/>
    <col min="13" max="13" width="10.75" style="122" bestFit="1" customWidth="1"/>
    <col min="14" max="14" width="11.125" style="122" bestFit="1" customWidth="1"/>
    <col min="15" max="15" width="13.125" style="122" customWidth="1"/>
    <col min="16" max="16" width="11.625" style="122" bestFit="1" customWidth="1"/>
    <col min="17" max="17" width="10.75" style="122" bestFit="1" customWidth="1"/>
    <col min="18" max="18" width="11.125" style="122" bestFit="1" customWidth="1"/>
    <col min="19" max="19" width="7.625" style="122" bestFit="1" customWidth="1"/>
    <col min="20" max="20" width="8.125" style="122" bestFit="1" customWidth="1"/>
    <col min="21" max="21" width="10" style="122" bestFit="1" customWidth="1"/>
    <col min="22" max="22" width="11.25" style="122" bestFit="1" customWidth="1"/>
    <col min="23" max="23" width="10.125" style="122" bestFit="1" customWidth="1"/>
    <col min="24" max="25" width="8" style="122"/>
    <col min="26" max="26" width="7.25" style="122" bestFit="1" customWidth="1"/>
    <col min="27" max="16384" width="8" style="122"/>
  </cols>
  <sheetData>
    <row r="1" spans="1:26" ht="13.5" customHeight="1">
      <c r="A1" s="1155" t="s">
        <v>191</v>
      </c>
      <c r="B1" s="1155" t="s">
        <v>192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711</v>
      </c>
      <c r="I1" s="1155" t="s">
        <v>712</v>
      </c>
      <c r="J1" s="1155" t="s">
        <v>638</v>
      </c>
      <c r="K1" s="1155" t="s">
        <v>639</v>
      </c>
      <c r="L1" s="1155" t="s">
        <v>70</v>
      </c>
      <c r="M1" s="1155" t="s">
        <v>632</v>
      </c>
      <c r="N1" s="1155" t="s">
        <v>648</v>
      </c>
      <c r="O1" s="1155" t="s">
        <v>649</v>
      </c>
      <c r="P1" s="1155" t="s">
        <v>633</v>
      </c>
      <c r="Q1" s="1155" t="s">
        <v>71</v>
      </c>
      <c r="R1" s="1155" t="s">
        <v>619</v>
      </c>
      <c r="S1" s="1155" t="s">
        <v>714</v>
      </c>
      <c r="T1" s="1155" t="s">
        <v>715</v>
      </c>
      <c r="U1" s="1155" t="s">
        <v>796</v>
      </c>
      <c r="V1" s="1155" t="s">
        <v>1225</v>
      </c>
      <c r="W1" s="1155" t="s">
        <v>1256</v>
      </c>
    </row>
    <row r="2" spans="1:26" ht="14.25" customHeight="1">
      <c r="A2" s="1156" t="s">
        <v>429</v>
      </c>
      <c r="B2" s="1156" t="s">
        <v>430</v>
      </c>
      <c r="C2" s="1157">
        <v>713038857</v>
      </c>
      <c r="D2" s="1157">
        <v>39836733.789999999</v>
      </c>
      <c r="E2" s="1157">
        <v>12327400</v>
      </c>
      <c r="F2" s="1157">
        <v>653174.18000000005</v>
      </c>
      <c r="G2" s="1157">
        <v>457.39992277992297</v>
      </c>
      <c r="H2" s="1157">
        <v>1398238.7972973001</v>
      </c>
      <c r="I2" s="1157">
        <v>1309934.6354632201</v>
      </c>
      <c r="J2" s="1157">
        <v>542543.00716332404</v>
      </c>
      <c r="K2" s="1157">
        <v>767391.62829989404</v>
      </c>
      <c r="L2" s="1157">
        <v>725366257</v>
      </c>
      <c r="M2" s="1157">
        <v>75556896</v>
      </c>
      <c r="N2" s="1157">
        <v>196676294</v>
      </c>
      <c r="O2" s="1157">
        <v>453133067</v>
      </c>
      <c r="P2" s="1157">
        <v>222590857.01697999</v>
      </c>
      <c r="Q2" s="1157">
        <v>41703714.990000002</v>
      </c>
      <c r="R2" s="1157">
        <v>41703714.471616998</v>
      </c>
      <c r="S2" s="1157">
        <v>0</v>
      </c>
      <c r="T2" s="1157">
        <v>0</v>
      </c>
      <c r="U2" s="1158">
        <v>41703714.471616998</v>
      </c>
      <c r="V2" s="1159">
        <v>-1213807.02</v>
      </c>
      <c r="W2" s="1159">
        <v>-1186694.1399999999</v>
      </c>
      <c r="Y2" s="226">
        <f>R2-Q2</f>
        <v>-0.51838300377130508</v>
      </c>
      <c r="Z2" s="338">
        <f>W2-V2</f>
        <v>27112.880000000121</v>
      </c>
    </row>
    <row r="3" spans="1:26" ht="14.25" customHeight="1">
      <c r="A3" s="371"/>
      <c r="B3" s="1156" t="s">
        <v>433</v>
      </c>
      <c r="C3" s="1157">
        <v>236383901</v>
      </c>
      <c r="D3" s="1157">
        <v>13174610.01</v>
      </c>
      <c r="E3" s="1157">
        <v>0</v>
      </c>
      <c r="F3" s="1157">
        <v>0</v>
      </c>
      <c r="G3" s="1157">
        <v>12</v>
      </c>
      <c r="H3" s="1157">
        <v>444536</v>
      </c>
      <c r="I3" s="1157">
        <v>431332</v>
      </c>
      <c r="J3" s="1157">
        <v>176975</v>
      </c>
      <c r="K3" s="1157">
        <v>254357</v>
      </c>
      <c r="L3" s="1157">
        <v>236383901</v>
      </c>
      <c r="M3" s="1157">
        <v>22887539</v>
      </c>
      <c r="N3" s="1157">
        <v>69853928</v>
      </c>
      <c r="O3" s="1157">
        <v>143642434</v>
      </c>
      <c r="P3" s="1157">
        <v>74965633</v>
      </c>
      <c r="Q3" s="1157">
        <v>13576359.02</v>
      </c>
      <c r="R3" s="1157">
        <v>13576359.007650999</v>
      </c>
      <c r="S3" s="1157">
        <v>0</v>
      </c>
      <c r="T3" s="1157">
        <v>0</v>
      </c>
      <c r="U3" s="1158">
        <v>13576359.007650999</v>
      </c>
      <c r="V3" s="1159">
        <v>-401749.01</v>
      </c>
      <c r="W3" s="1159">
        <v>-401749.01</v>
      </c>
      <c r="Y3" s="226">
        <f t="shared" ref="Y3:Y10" si="0">R3-Q3</f>
        <v>-1.2349000200629234E-2</v>
      </c>
      <c r="Z3" s="338">
        <f t="shared" ref="Z3:Z10" si="1">W3-V3</f>
        <v>0</v>
      </c>
    </row>
    <row r="4" spans="1:26" ht="14.25" customHeight="1">
      <c r="A4" s="1156" t="s">
        <v>438</v>
      </c>
      <c r="B4" s="1156" t="s">
        <v>430</v>
      </c>
      <c r="C4" s="1157">
        <v>2914667019</v>
      </c>
      <c r="D4" s="1157">
        <v>159066309.31</v>
      </c>
      <c r="E4" s="1157">
        <v>40327616</v>
      </c>
      <c r="F4" s="1157">
        <v>2016150.03</v>
      </c>
      <c r="G4" s="1157">
        <v>1216.5</v>
      </c>
      <c r="H4" s="1157">
        <v>5193203.5315315304</v>
      </c>
      <c r="I4" s="1157">
        <v>5109912.4995431202</v>
      </c>
      <c r="J4" s="1157">
        <v>2134637.5143266502</v>
      </c>
      <c r="K4" s="1157">
        <v>2975274.98521647</v>
      </c>
      <c r="L4" s="1157">
        <v>2954994635</v>
      </c>
      <c r="M4" s="1157">
        <v>299180543</v>
      </c>
      <c r="N4" s="1157">
        <v>795876124</v>
      </c>
      <c r="O4" s="1157">
        <v>1859937968</v>
      </c>
      <c r="P4" s="1157">
        <v>956002329.72226906</v>
      </c>
      <c r="Q4" s="1157">
        <v>165944146.16999999</v>
      </c>
      <c r="R4" s="1157">
        <v>165944145.81376901</v>
      </c>
      <c r="S4" s="1157">
        <v>0</v>
      </c>
      <c r="T4" s="1157">
        <v>0</v>
      </c>
      <c r="U4" s="1158">
        <v>165944145.81376901</v>
      </c>
      <c r="V4" s="1159">
        <v>-4861686.83</v>
      </c>
      <c r="W4" s="1159">
        <v>-4763899.0599999996</v>
      </c>
      <c r="Y4" s="226">
        <f t="shared" si="0"/>
        <v>-0.3562309741973877</v>
      </c>
      <c r="Z4" s="338">
        <f t="shared" si="1"/>
        <v>97787.770000000484</v>
      </c>
    </row>
    <row r="5" spans="1:26" ht="14.25" customHeight="1">
      <c r="A5" s="372"/>
      <c r="B5" s="1160" t="s">
        <v>433</v>
      </c>
      <c r="C5" s="1161">
        <v>678975648</v>
      </c>
      <c r="D5" s="1161">
        <v>35491545.060000002</v>
      </c>
      <c r="E5" s="1161">
        <v>-482357</v>
      </c>
      <c r="F5" s="1161">
        <v>-33263.67</v>
      </c>
      <c r="G5" s="1161">
        <v>136.633204633205</v>
      </c>
      <c r="H5" s="1161">
        <v>1168538</v>
      </c>
      <c r="I5" s="1161">
        <v>1046447.99979123</v>
      </c>
      <c r="J5" s="1161">
        <v>438715.19197707699</v>
      </c>
      <c r="K5" s="1161">
        <v>607732.80781415</v>
      </c>
      <c r="L5" s="1161">
        <v>678493291</v>
      </c>
      <c r="M5" s="1161">
        <v>63949964</v>
      </c>
      <c r="N5" s="1161">
        <v>174145921</v>
      </c>
      <c r="O5" s="1161">
        <v>440397406</v>
      </c>
      <c r="P5" s="1161">
        <v>222585949.88918099</v>
      </c>
      <c r="Q5" s="1161">
        <v>36536444.359999999</v>
      </c>
      <c r="R5" s="1161">
        <v>36448697.725102998</v>
      </c>
      <c r="S5" s="1161">
        <v>0</v>
      </c>
      <c r="T5" s="1161">
        <v>0</v>
      </c>
      <c r="U5" s="1162">
        <v>36448697.725102998</v>
      </c>
      <c r="V5" s="1163">
        <v>-1078162.97</v>
      </c>
      <c r="W5" s="1163">
        <v>-1080649.69</v>
      </c>
      <c r="Y5" s="226">
        <f t="shared" si="0"/>
        <v>-87746.634897001088</v>
      </c>
      <c r="Z5" s="338">
        <f t="shared" si="1"/>
        <v>-2486.7199999999721</v>
      </c>
    </row>
    <row r="6" spans="1:26" ht="14.25" customHeight="1">
      <c r="Y6" s="226">
        <f t="shared" si="0"/>
        <v>0</v>
      </c>
      <c r="Z6" s="338">
        <f t="shared" si="1"/>
        <v>0</v>
      </c>
    </row>
    <row r="7" spans="1:26" ht="12" customHeight="1">
      <c r="A7" s="271" t="s">
        <v>256</v>
      </c>
      <c r="Y7" s="226">
        <f t="shared" si="0"/>
        <v>0</v>
      </c>
      <c r="Z7" s="338">
        <f t="shared" si="1"/>
        <v>0</v>
      </c>
    </row>
    <row r="8" spans="1:26" s="170" customFormat="1" ht="14.25" customHeight="1">
      <c r="A8" s="172" t="s">
        <v>429</v>
      </c>
      <c r="B8" s="172"/>
      <c r="C8" s="173">
        <f>SUM(C2:C3)</f>
        <v>949422758</v>
      </c>
      <c r="D8" s="173">
        <f t="shared" ref="D8:W8" si="2">SUM(D2:D3)</f>
        <v>53011343.799999997</v>
      </c>
      <c r="E8" s="173">
        <f t="shared" si="2"/>
        <v>12327400</v>
      </c>
      <c r="F8" s="173">
        <f t="shared" si="2"/>
        <v>653174.18000000005</v>
      </c>
      <c r="G8" s="173">
        <f t="shared" si="2"/>
        <v>469.39992277992297</v>
      </c>
      <c r="H8" s="173">
        <f t="shared" si="2"/>
        <v>1842774.7972973001</v>
      </c>
      <c r="I8" s="173">
        <f t="shared" si="2"/>
        <v>1741266.6354632201</v>
      </c>
      <c r="J8" s="173">
        <f t="shared" si="2"/>
        <v>719518.00716332404</v>
      </c>
      <c r="K8" s="173">
        <f t="shared" si="2"/>
        <v>1021748.628299894</v>
      </c>
      <c r="L8" s="173">
        <f t="shared" si="2"/>
        <v>961750158</v>
      </c>
      <c r="M8" s="173">
        <f t="shared" si="2"/>
        <v>98444435</v>
      </c>
      <c r="N8" s="173">
        <f t="shared" si="2"/>
        <v>266530222</v>
      </c>
      <c r="O8" s="173">
        <f t="shared" si="2"/>
        <v>596775501</v>
      </c>
      <c r="P8" s="173">
        <f t="shared" si="2"/>
        <v>297556490.01697999</v>
      </c>
      <c r="Q8" s="173">
        <f t="shared" si="2"/>
        <v>55280074.010000005</v>
      </c>
      <c r="R8" s="173">
        <f t="shared" si="2"/>
        <v>55280073.479268</v>
      </c>
      <c r="S8" s="173">
        <f t="shared" si="2"/>
        <v>0</v>
      </c>
      <c r="T8" s="173">
        <f t="shared" si="2"/>
        <v>0</v>
      </c>
      <c r="U8" s="173">
        <f t="shared" si="2"/>
        <v>55280073.479268</v>
      </c>
      <c r="V8" s="173">
        <f t="shared" si="2"/>
        <v>-1615556.03</v>
      </c>
      <c r="W8" s="173">
        <f t="shared" si="2"/>
        <v>-1588443.15</v>
      </c>
      <c r="Y8" s="226">
        <f t="shared" si="0"/>
        <v>-0.53073200583457947</v>
      </c>
      <c r="Z8" s="338">
        <f t="shared" si="1"/>
        <v>27112.880000000121</v>
      </c>
    </row>
    <row r="9" spans="1:26" s="170" customFormat="1" ht="14.25" customHeight="1">
      <c r="A9" s="172" t="s">
        <v>438</v>
      </c>
      <c r="B9" s="172"/>
      <c r="C9" s="173">
        <f>C4+C5</f>
        <v>3593642667</v>
      </c>
      <c r="D9" s="173">
        <f t="shared" ref="D9:W9" si="3">D4+D5</f>
        <v>194557854.37</v>
      </c>
      <c r="E9" s="173">
        <f t="shared" si="3"/>
        <v>39845259</v>
      </c>
      <c r="F9" s="173">
        <f t="shared" si="3"/>
        <v>1982886.36</v>
      </c>
      <c r="G9" s="173">
        <f t="shared" si="3"/>
        <v>1353.133204633205</v>
      </c>
      <c r="H9" s="173">
        <f t="shared" si="3"/>
        <v>6361741.5315315304</v>
      </c>
      <c r="I9" s="173">
        <f t="shared" si="3"/>
        <v>6156360.4993343502</v>
      </c>
      <c r="J9" s="173">
        <f t="shared" si="3"/>
        <v>2573352.7063037273</v>
      </c>
      <c r="K9" s="173">
        <f t="shared" si="3"/>
        <v>3583007.7930306201</v>
      </c>
      <c r="L9" s="173">
        <f t="shared" si="3"/>
        <v>3633487926</v>
      </c>
      <c r="M9" s="173">
        <f t="shared" si="3"/>
        <v>363130507</v>
      </c>
      <c r="N9" s="173">
        <f t="shared" si="3"/>
        <v>970022045</v>
      </c>
      <c r="O9" s="173">
        <f t="shared" si="3"/>
        <v>2300335374</v>
      </c>
      <c r="P9" s="173">
        <f t="shared" si="3"/>
        <v>1178588279.61145</v>
      </c>
      <c r="Q9" s="173">
        <f t="shared" si="3"/>
        <v>202480590.52999997</v>
      </c>
      <c r="R9" s="173">
        <f t="shared" si="3"/>
        <v>202392843.538872</v>
      </c>
      <c r="S9" s="173">
        <f t="shared" si="3"/>
        <v>0</v>
      </c>
      <c r="T9" s="173">
        <f t="shared" si="3"/>
        <v>0</v>
      </c>
      <c r="U9" s="173">
        <f t="shared" si="3"/>
        <v>202392843.538872</v>
      </c>
      <c r="V9" s="173">
        <f t="shared" si="3"/>
        <v>-5939849.7999999998</v>
      </c>
      <c r="W9" s="173">
        <f t="shared" si="3"/>
        <v>-5844548.75</v>
      </c>
      <c r="Y9" s="226">
        <f t="shared" si="0"/>
        <v>-87746.991127967834</v>
      </c>
      <c r="Z9" s="338">
        <f t="shared" si="1"/>
        <v>95301.049999999814</v>
      </c>
    </row>
    <row r="10" spans="1:26" s="171" customFormat="1" ht="17.25" customHeight="1">
      <c r="A10" s="175" t="s">
        <v>93</v>
      </c>
      <c r="B10" s="175"/>
      <c r="C10" s="176">
        <f t="shared" ref="C10" si="4">SUM(C8:C9)</f>
        <v>4543065425</v>
      </c>
      <c r="D10" s="176">
        <f t="shared" ref="D10:W10" si="5">SUM(D8:D9)</f>
        <v>247569198.17000002</v>
      </c>
      <c r="E10" s="176">
        <f t="shared" si="5"/>
        <v>52172659</v>
      </c>
      <c r="F10" s="176">
        <f t="shared" si="5"/>
        <v>2636060.54</v>
      </c>
      <c r="G10" s="176">
        <f t="shared" si="5"/>
        <v>1822.5331274131279</v>
      </c>
      <c r="H10" s="176">
        <f t="shared" si="5"/>
        <v>8204516.3288288303</v>
      </c>
      <c r="I10" s="176">
        <f t="shared" si="5"/>
        <v>7897627.1347975703</v>
      </c>
      <c r="J10" s="176">
        <f t="shared" si="5"/>
        <v>3292870.7134670513</v>
      </c>
      <c r="K10" s="176">
        <f t="shared" si="5"/>
        <v>4604756.4213305144</v>
      </c>
      <c r="L10" s="176">
        <f t="shared" si="5"/>
        <v>4595238084</v>
      </c>
      <c r="M10" s="176">
        <f t="shared" si="5"/>
        <v>461574942</v>
      </c>
      <c r="N10" s="176">
        <f t="shared" si="5"/>
        <v>1236552267</v>
      </c>
      <c r="O10" s="176">
        <f t="shared" si="5"/>
        <v>2897110875</v>
      </c>
      <c r="P10" s="176">
        <f t="shared" si="5"/>
        <v>1476144769.6284299</v>
      </c>
      <c r="Q10" s="176">
        <f t="shared" si="5"/>
        <v>257760664.53999996</v>
      </c>
      <c r="R10" s="176">
        <f t="shared" si="5"/>
        <v>257672917.01814002</v>
      </c>
      <c r="S10" s="176">
        <f t="shared" si="5"/>
        <v>0</v>
      </c>
      <c r="T10" s="176">
        <f t="shared" si="5"/>
        <v>0</v>
      </c>
      <c r="U10" s="176">
        <f t="shared" si="5"/>
        <v>257672917.01814002</v>
      </c>
      <c r="V10" s="176">
        <f t="shared" si="5"/>
        <v>-7555405.8300000001</v>
      </c>
      <c r="W10" s="176">
        <f t="shared" si="5"/>
        <v>-7432991.9000000004</v>
      </c>
      <c r="Y10" s="226">
        <f t="shared" si="0"/>
        <v>-87747.521859943867</v>
      </c>
      <c r="Z10" s="338">
        <f t="shared" si="1"/>
        <v>122413.9299999997</v>
      </c>
    </row>
    <row r="11" spans="1:26" ht="15.75">
      <c r="A11" s="150"/>
      <c r="B11" s="148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</row>
    <row r="12" spans="1:26" s="169" customFormat="1">
      <c r="A12" s="270" t="s">
        <v>463</v>
      </c>
      <c r="B12" s="270"/>
      <c r="C12" s="270">
        <f>C10-SUM(C2:C5)</f>
        <v>0</v>
      </c>
      <c r="D12" s="270">
        <f t="shared" ref="D12:W12" si="6">D10-SUM(D2:D5)</f>
        <v>0</v>
      </c>
      <c r="E12" s="270">
        <f t="shared" si="6"/>
        <v>0</v>
      </c>
      <c r="F12" s="270">
        <f t="shared" si="6"/>
        <v>0</v>
      </c>
      <c r="G12" s="270">
        <f t="shared" si="6"/>
        <v>0</v>
      </c>
      <c r="H12" s="270">
        <f t="shared" si="6"/>
        <v>0</v>
      </c>
      <c r="I12" s="270">
        <f t="shared" si="6"/>
        <v>0</v>
      </c>
      <c r="J12" s="270">
        <f t="shared" si="6"/>
        <v>0</v>
      </c>
      <c r="K12" s="270">
        <f t="shared" si="6"/>
        <v>0</v>
      </c>
      <c r="L12" s="270">
        <f t="shared" si="6"/>
        <v>0</v>
      </c>
      <c r="M12" s="270">
        <f t="shared" si="6"/>
        <v>0</v>
      </c>
      <c r="N12" s="270">
        <f t="shared" si="6"/>
        <v>0</v>
      </c>
      <c r="O12" s="270">
        <f t="shared" si="6"/>
        <v>0</v>
      </c>
      <c r="P12" s="270">
        <f t="shared" si="6"/>
        <v>0</v>
      </c>
      <c r="Q12" s="270">
        <f t="shared" si="6"/>
        <v>0</v>
      </c>
      <c r="R12" s="270">
        <f t="shared" si="6"/>
        <v>0</v>
      </c>
      <c r="S12" s="270">
        <f t="shared" si="6"/>
        <v>0</v>
      </c>
      <c r="T12" s="270">
        <f t="shared" si="6"/>
        <v>0</v>
      </c>
      <c r="U12" s="270">
        <f t="shared" si="6"/>
        <v>0</v>
      </c>
      <c r="V12" s="270">
        <f t="shared" si="6"/>
        <v>0</v>
      </c>
      <c r="W12" s="270">
        <f t="shared" si="6"/>
        <v>0</v>
      </c>
    </row>
    <row r="13" spans="1:26" s="169" customFormat="1">
      <c r="A13" s="270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</row>
    <row r="14" spans="1:26" s="167" customFormat="1">
      <c r="L14" s="690"/>
      <c r="M14" s="691" t="s">
        <v>906</v>
      </c>
      <c r="N14" s="691" t="s">
        <v>907</v>
      </c>
      <c r="O14" s="691" t="s">
        <v>38</v>
      </c>
      <c r="P14" s="692">
        <f>P10/O10</f>
        <v>0.50952305014161048</v>
      </c>
      <c r="Q14" s="659" t="s">
        <v>418</v>
      </c>
      <c r="R14" s="660">
        <v>0</v>
      </c>
    </row>
    <row r="15" spans="1:26">
      <c r="L15" s="693" t="s">
        <v>429</v>
      </c>
      <c r="M15" s="687">
        <f>M8/(M8+P8)</f>
        <v>0.24859647738393245</v>
      </c>
      <c r="N15" s="687">
        <f>N8/(N8+(O8-P8))</f>
        <v>0.47111017825807538</v>
      </c>
      <c r="O15" s="694" t="s">
        <v>39</v>
      </c>
      <c r="P15" s="695">
        <f>1-P14</f>
        <v>0.49047694985838952</v>
      </c>
      <c r="Q15" s="661" t="s">
        <v>136</v>
      </c>
      <c r="R15" s="662">
        <f>'Blocking-Step2'!H1492</f>
        <v>-2671415</v>
      </c>
      <c r="V15" s="126" t="s">
        <v>1241</v>
      </c>
    </row>
    <row r="16" spans="1:26">
      <c r="L16" s="693" t="s">
        <v>438</v>
      </c>
      <c r="M16" s="687">
        <f>M9/(M9+P9)</f>
        <v>0.2355361497527873</v>
      </c>
      <c r="N16" s="687">
        <f>N9/(N9+(O9-P9))</f>
        <v>0.46373284065350989</v>
      </c>
      <c r="O16" s="696" t="s">
        <v>504</v>
      </c>
      <c r="P16" s="695">
        <f>(M10+N10)/L10</f>
        <v>0.36954063705918744</v>
      </c>
      <c r="Q16" s="661" t="s">
        <v>411</v>
      </c>
      <c r="R16" s="662">
        <f>'Blocking-Step2'!H1495</f>
        <v>247664604.58219999</v>
      </c>
      <c r="V16" s="859">
        <f>'Blocking-Step2'!H1493</f>
        <v>-7336896.4177999999</v>
      </c>
    </row>
    <row r="17" spans="12:18">
      <c r="L17" s="697"/>
      <c r="M17" s="689"/>
      <c r="N17" s="689"/>
      <c r="O17" s="698" t="s">
        <v>503</v>
      </c>
      <c r="P17" s="699">
        <f>1-P16</f>
        <v>0.63045936294081262</v>
      </c>
      <c r="Q17" s="663" t="s">
        <v>498</v>
      </c>
      <c r="R17" s="664">
        <f>R16-R10-R14-R15-V16</f>
        <v>-1.0181400272995234</v>
      </c>
    </row>
  </sheetData>
  <phoneticPr fontId="8" type="noConversion"/>
  <printOptions horizontalCentered="1"/>
  <pageMargins left="0" right="0" top="1.0720000000000001" bottom="0.79400000000000004" header="0.5" footer="0.5"/>
  <pageSetup scale="50" orientation="landscape" r:id="rId1"/>
  <headerFooter alignWithMargins="0">
    <oddHeader>&amp;C&amp;"Times New Roman,Bold"&amp;14Utah Schedule 9 Billing Determinants
12 Months Ending June 2007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</sheetPr>
  <dimension ref="A1:V14"/>
  <sheetViews>
    <sheetView workbookViewId="0">
      <selection activeCell="F28" sqref="F28:N28"/>
    </sheetView>
  </sheetViews>
  <sheetFormatPr defaultColWidth="8" defaultRowHeight="12.75"/>
  <cols>
    <col min="1" max="1" width="8.25" style="122" bestFit="1" customWidth="1"/>
    <col min="2" max="2" width="11.25" style="122" bestFit="1" customWidth="1"/>
    <col min="3" max="3" width="9.125" style="122" bestFit="1" customWidth="1"/>
    <col min="4" max="4" width="8" style="122" bestFit="1" customWidth="1"/>
    <col min="5" max="5" width="9.125" style="122" bestFit="1" customWidth="1"/>
    <col min="6" max="6" width="8.75" style="122" bestFit="1" customWidth="1"/>
    <col min="7" max="7" width="5.125" style="122" bestFit="1" customWidth="1"/>
    <col min="8" max="8" width="7.625" style="122" bestFit="1" customWidth="1"/>
    <col min="9" max="11" width="10.125" style="122" bestFit="1" customWidth="1"/>
    <col min="12" max="12" width="9.125" style="122" bestFit="1" customWidth="1"/>
    <col min="13" max="13" width="9.625" style="122" bestFit="1" customWidth="1"/>
    <col min="14" max="14" width="8.125" style="122" bestFit="1" customWidth="1"/>
    <col min="15" max="16384" width="8" style="122"/>
  </cols>
  <sheetData>
    <row r="1" spans="1:22" ht="13.5" customHeight="1">
      <c r="A1" s="1601" t="s">
        <v>191</v>
      </c>
      <c r="B1" s="1601" t="s">
        <v>192</v>
      </c>
      <c r="C1" s="1601" t="s">
        <v>125</v>
      </c>
      <c r="D1" s="1601" t="s">
        <v>126</v>
      </c>
      <c r="E1" s="1601" t="s">
        <v>127</v>
      </c>
      <c r="F1" s="1601" t="s">
        <v>128</v>
      </c>
      <c r="G1" s="1601" t="s">
        <v>72</v>
      </c>
      <c r="H1" s="1601" t="s">
        <v>711</v>
      </c>
      <c r="I1" s="1601" t="s">
        <v>70</v>
      </c>
      <c r="J1" s="1601" t="s">
        <v>650</v>
      </c>
      <c r="K1" s="1601" t="s">
        <v>649</v>
      </c>
      <c r="L1" s="1601" t="s">
        <v>71</v>
      </c>
      <c r="M1" s="1601" t="s">
        <v>619</v>
      </c>
      <c r="N1" s="1601" t="s">
        <v>796</v>
      </c>
      <c r="O1" s="1601" t="s">
        <v>1225</v>
      </c>
      <c r="P1" s="1601" t="s">
        <v>1256</v>
      </c>
      <c r="Q1" s="1601" t="s">
        <v>2183</v>
      </c>
      <c r="R1" s="1601" t="s">
        <v>2184</v>
      </c>
      <c r="S1" s="1601" t="s">
        <v>638</v>
      </c>
    </row>
    <row r="2" spans="1:22" s="170" customFormat="1" ht="14.25" customHeight="1">
      <c r="A2" s="1602" t="s">
        <v>429</v>
      </c>
      <c r="B2" s="1602" t="s">
        <v>432</v>
      </c>
      <c r="C2" s="1603">
        <v>22539691</v>
      </c>
      <c r="D2" s="1603">
        <v>1480550.65</v>
      </c>
      <c r="E2" s="1603">
        <v>378000</v>
      </c>
      <c r="F2" s="1603">
        <v>23149</v>
      </c>
      <c r="G2" s="1603">
        <v>24</v>
      </c>
      <c r="H2" s="1603">
        <v>72449</v>
      </c>
      <c r="I2" s="1603">
        <v>22917691</v>
      </c>
      <c r="J2" s="1603">
        <v>11052119</v>
      </c>
      <c r="K2" s="1603">
        <v>11865572</v>
      </c>
      <c r="L2" s="1603">
        <v>1556656.22</v>
      </c>
      <c r="M2" s="1603">
        <v>1556656.243583</v>
      </c>
      <c r="N2" s="1604">
        <v>1556656.243583</v>
      </c>
      <c r="O2" s="1605">
        <v>-52956.57</v>
      </c>
      <c r="P2" s="1605">
        <v>-51723.9</v>
      </c>
      <c r="Q2" s="1606">
        <v>4022753</v>
      </c>
      <c r="R2" s="1606">
        <v>3931360</v>
      </c>
      <c r="S2" s="1606">
        <v>23732</v>
      </c>
      <c r="U2" s="889">
        <f>M2-L2</f>
        <v>2.3583000060170889E-2</v>
      </c>
      <c r="V2" s="889">
        <f>P2-O2</f>
        <v>1232.6699999999983</v>
      </c>
    </row>
    <row r="3" spans="1:22" s="170" customFormat="1" ht="14.25" customHeight="1">
      <c r="A3" s="1607" t="s">
        <v>438</v>
      </c>
      <c r="B3" s="1607" t="s">
        <v>432</v>
      </c>
      <c r="C3" s="1608">
        <v>17623260</v>
      </c>
      <c r="D3" s="1608">
        <v>1569320.4</v>
      </c>
      <c r="E3" s="1608">
        <v>0</v>
      </c>
      <c r="F3" s="1608">
        <v>0</v>
      </c>
      <c r="G3" s="1608">
        <v>84</v>
      </c>
      <c r="H3" s="1608">
        <v>161957</v>
      </c>
      <c r="I3" s="1608">
        <v>17623260</v>
      </c>
      <c r="J3" s="1608">
        <v>12062480</v>
      </c>
      <c r="K3" s="1608">
        <v>5560780</v>
      </c>
      <c r="L3" s="1608">
        <v>1624666.84</v>
      </c>
      <c r="M3" s="1608">
        <v>1624666.8370999999</v>
      </c>
      <c r="N3" s="1609">
        <v>1624666.8370999999</v>
      </c>
      <c r="O3" s="1610">
        <v>-55346.44</v>
      </c>
      <c r="P3" s="1610">
        <v>-55346.44</v>
      </c>
      <c r="Q3" s="1611">
        <v>5416860</v>
      </c>
      <c r="R3" s="1611">
        <v>2596740</v>
      </c>
      <c r="S3" s="1611">
        <v>66685</v>
      </c>
      <c r="U3" s="889">
        <f>M3-L3</f>
        <v>-2.9000001959502697E-3</v>
      </c>
      <c r="V3" s="889">
        <f>P3-O3</f>
        <v>0</v>
      </c>
    </row>
    <row r="4" spans="1:22" s="170" customFormat="1">
      <c r="M4" s="183"/>
    </row>
    <row r="5" spans="1:22" s="170" customFormat="1">
      <c r="A5" s="182" t="s">
        <v>256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</row>
    <row r="6" spans="1:22" s="170" customFormat="1" ht="14.25" customHeight="1">
      <c r="A6" s="172" t="s">
        <v>429</v>
      </c>
      <c r="B6" s="172"/>
      <c r="C6" s="173">
        <f>C2</f>
        <v>22539691</v>
      </c>
      <c r="D6" s="173">
        <f t="shared" ref="D6:P6" si="0">D2</f>
        <v>1480550.65</v>
      </c>
      <c r="E6" s="173">
        <f t="shared" si="0"/>
        <v>378000</v>
      </c>
      <c r="F6" s="173">
        <f t="shared" si="0"/>
        <v>23149</v>
      </c>
      <c r="G6" s="173">
        <f t="shared" si="0"/>
        <v>24</v>
      </c>
      <c r="H6" s="173">
        <f t="shared" si="0"/>
        <v>72449</v>
      </c>
      <c r="I6" s="173">
        <f t="shared" si="0"/>
        <v>22917691</v>
      </c>
      <c r="J6" s="173">
        <f t="shared" si="0"/>
        <v>11052119</v>
      </c>
      <c r="K6" s="173">
        <f t="shared" si="0"/>
        <v>11865572</v>
      </c>
      <c r="L6" s="173">
        <f t="shared" si="0"/>
        <v>1556656.22</v>
      </c>
      <c r="M6" s="173">
        <f t="shared" si="0"/>
        <v>1556656.243583</v>
      </c>
      <c r="N6" s="173">
        <f t="shared" si="0"/>
        <v>1556656.243583</v>
      </c>
      <c r="O6" s="173">
        <f t="shared" si="0"/>
        <v>-52956.57</v>
      </c>
      <c r="P6" s="173">
        <f t="shared" si="0"/>
        <v>-51723.9</v>
      </c>
      <c r="Q6" s="173">
        <f t="shared" ref="Q6:S6" si="1">Q2</f>
        <v>4022753</v>
      </c>
      <c r="R6" s="173">
        <f t="shared" si="1"/>
        <v>3931360</v>
      </c>
      <c r="S6" s="173">
        <f t="shared" si="1"/>
        <v>23732</v>
      </c>
    </row>
    <row r="7" spans="1:22" s="170" customFormat="1" ht="14.25" customHeight="1" thickBot="1">
      <c r="A7" s="174" t="s">
        <v>438</v>
      </c>
      <c r="B7" s="174"/>
      <c r="C7" s="173">
        <f>C3</f>
        <v>17623260</v>
      </c>
      <c r="D7" s="173">
        <f t="shared" ref="D7:P7" si="2">D3</f>
        <v>1569320.4</v>
      </c>
      <c r="E7" s="173">
        <f t="shared" si="2"/>
        <v>0</v>
      </c>
      <c r="F7" s="173">
        <f t="shared" si="2"/>
        <v>0</v>
      </c>
      <c r="G7" s="173">
        <f t="shared" si="2"/>
        <v>84</v>
      </c>
      <c r="H7" s="173">
        <f t="shared" si="2"/>
        <v>161957</v>
      </c>
      <c r="I7" s="173">
        <f t="shared" si="2"/>
        <v>17623260</v>
      </c>
      <c r="J7" s="173">
        <f t="shared" si="2"/>
        <v>12062480</v>
      </c>
      <c r="K7" s="173">
        <f t="shared" si="2"/>
        <v>5560780</v>
      </c>
      <c r="L7" s="173">
        <f t="shared" si="2"/>
        <v>1624666.84</v>
      </c>
      <c r="M7" s="173">
        <f t="shared" si="2"/>
        <v>1624666.8370999999</v>
      </c>
      <c r="N7" s="173">
        <f t="shared" si="2"/>
        <v>1624666.8370999999</v>
      </c>
      <c r="O7" s="173">
        <f t="shared" si="2"/>
        <v>-55346.44</v>
      </c>
      <c r="P7" s="173">
        <f t="shared" si="2"/>
        <v>-55346.44</v>
      </c>
      <c r="Q7" s="173">
        <f t="shared" ref="Q7:S7" si="3">Q3</f>
        <v>5416860</v>
      </c>
      <c r="R7" s="173">
        <f t="shared" si="3"/>
        <v>2596740</v>
      </c>
      <c r="S7" s="173">
        <f t="shared" si="3"/>
        <v>66685</v>
      </c>
    </row>
    <row r="8" spans="1:22" s="170" customFormat="1" ht="14.25" customHeight="1" thickTop="1">
      <c r="A8" s="540" t="s">
        <v>450</v>
      </c>
      <c r="B8" s="540"/>
      <c r="C8" s="541">
        <f>SUM(C6:C7)</f>
        <v>40162951</v>
      </c>
      <c r="D8" s="541">
        <f t="shared" ref="D8:P8" si="4">SUM(D6:D7)</f>
        <v>3049871.05</v>
      </c>
      <c r="E8" s="541">
        <f t="shared" si="4"/>
        <v>378000</v>
      </c>
      <c r="F8" s="541">
        <f t="shared" si="4"/>
        <v>23149</v>
      </c>
      <c r="G8" s="541">
        <f t="shared" si="4"/>
        <v>108</v>
      </c>
      <c r="H8" s="541">
        <f t="shared" si="4"/>
        <v>234406</v>
      </c>
      <c r="I8" s="541">
        <f t="shared" si="4"/>
        <v>40540951</v>
      </c>
      <c r="J8" s="541">
        <f t="shared" si="4"/>
        <v>23114599</v>
      </c>
      <c r="K8" s="541">
        <f t="shared" si="4"/>
        <v>17426352</v>
      </c>
      <c r="L8" s="541">
        <f t="shared" si="4"/>
        <v>3181323.06</v>
      </c>
      <c r="M8" s="541">
        <f t="shared" si="4"/>
        <v>3181323.0806829999</v>
      </c>
      <c r="N8" s="541">
        <f t="shared" si="4"/>
        <v>3181323.0806829999</v>
      </c>
      <c r="O8" s="541">
        <f t="shared" si="4"/>
        <v>-108303.01000000001</v>
      </c>
      <c r="P8" s="541">
        <f t="shared" si="4"/>
        <v>-107070.34</v>
      </c>
      <c r="Q8" s="541">
        <f t="shared" ref="Q8:S8" si="5">SUM(Q6:Q7)</f>
        <v>9439613</v>
      </c>
      <c r="R8" s="541">
        <f t="shared" si="5"/>
        <v>6528100</v>
      </c>
      <c r="S8" s="541">
        <f t="shared" si="5"/>
        <v>90417</v>
      </c>
    </row>
    <row r="9" spans="1:22" s="170" customFormat="1"/>
    <row r="10" spans="1:22">
      <c r="A10" s="225" t="s">
        <v>463</v>
      </c>
      <c r="C10" s="226">
        <f t="shared" ref="C10:N10" si="6">C8-SUM(C2:C3)</f>
        <v>0</v>
      </c>
      <c r="D10" s="226">
        <f t="shared" si="6"/>
        <v>0</v>
      </c>
      <c r="E10" s="226">
        <f t="shared" si="6"/>
        <v>0</v>
      </c>
      <c r="F10" s="226">
        <f t="shared" si="6"/>
        <v>0</v>
      </c>
      <c r="G10" s="226">
        <f t="shared" si="6"/>
        <v>0</v>
      </c>
      <c r="H10" s="226">
        <f t="shared" si="6"/>
        <v>0</v>
      </c>
      <c r="I10" s="226">
        <f t="shared" si="6"/>
        <v>0</v>
      </c>
      <c r="J10" s="226">
        <f t="shared" si="6"/>
        <v>0</v>
      </c>
      <c r="K10" s="226">
        <f t="shared" si="6"/>
        <v>0</v>
      </c>
      <c r="L10" s="226">
        <f t="shared" si="6"/>
        <v>0</v>
      </c>
      <c r="M10" s="226">
        <f t="shared" si="6"/>
        <v>0</v>
      </c>
      <c r="N10" s="226">
        <f t="shared" si="6"/>
        <v>0</v>
      </c>
    </row>
    <row r="11" spans="1:22">
      <c r="L11" s="659" t="s">
        <v>418</v>
      </c>
      <c r="M11" s="660">
        <v>0</v>
      </c>
    </row>
    <row r="12" spans="1:22">
      <c r="L12" s="661" t="s">
        <v>136</v>
      </c>
      <c r="M12" s="662">
        <f>'Blocking-Step2'!H1554</f>
        <v>-14979</v>
      </c>
      <c r="O12" s="122" t="s">
        <v>1241</v>
      </c>
    </row>
    <row r="13" spans="1:22">
      <c r="L13" s="661" t="s">
        <v>411</v>
      </c>
      <c r="M13" s="662">
        <f>'Blocking-Step2'!H1557</f>
        <v>3076559.7230000002</v>
      </c>
      <c r="O13" s="859">
        <f>'Blocking-Step2'!H1555</f>
        <v>-89784.277000000002</v>
      </c>
    </row>
    <row r="14" spans="1:22">
      <c r="L14" s="663" t="s">
        <v>498</v>
      </c>
      <c r="M14" s="664">
        <f>M13-M11-M12-M8-O13</f>
        <v>-8.068299968726933E-2</v>
      </c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Schedule 9A Billing Determinants
12 Months Ending September 2005&amp;R&amp;"Arial"&amp;8Date: 12/14/2005</oddHeader>
    <oddFooter>&amp;L&amp;C&amp;"Arial"&amp;10Page &amp;P&amp;R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AC34"/>
  <sheetViews>
    <sheetView topLeftCell="J10" zoomScale="110" zoomScaleNormal="110" workbookViewId="0">
      <selection activeCell="W28" sqref="W28"/>
    </sheetView>
  </sheetViews>
  <sheetFormatPr defaultColWidth="8.625" defaultRowHeight="12.75"/>
  <cols>
    <col min="1" max="1" width="8.25" style="130" bestFit="1" customWidth="1"/>
    <col min="2" max="2" width="5.75" style="130" bestFit="1" customWidth="1"/>
    <col min="3" max="3" width="9.125" style="130" bestFit="1" customWidth="1"/>
    <col min="4" max="4" width="11.25" style="130" bestFit="1" customWidth="1"/>
    <col min="5" max="5" width="10" style="130" bestFit="1" customWidth="1"/>
    <col min="6" max="7" width="9.125" style="130" bestFit="1" customWidth="1"/>
    <col min="8" max="8" width="8.625" style="130" customWidth="1"/>
    <col min="9" max="9" width="6" style="130" bestFit="1" customWidth="1"/>
    <col min="10" max="10" width="7" style="130" bestFit="1" customWidth="1"/>
    <col min="11" max="11" width="6.625" style="130" bestFit="1" customWidth="1"/>
    <col min="12" max="12" width="7" style="130" bestFit="1" customWidth="1"/>
    <col min="13" max="13" width="7.25" style="130" bestFit="1" customWidth="1"/>
    <col min="14" max="14" width="7.625" style="130" bestFit="1" customWidth="1"/>
    <col min="15" max="15" width="8" style="130" bestFit="1" customWidth="1"/>
    <col min="16" max="16" width="11.125" style="130" bestFit="1" customWidth="1"/>
    <col min="17" max="17" width="10" style="130" bestFit="1" customWidth="1"/>
    <col min="18" max="18" width="11" style="130" bestFit="1" customWidth="1"/>
    <col min="19" max="21" width="10.125" style="130" bestFit="1" customWidth="1"/>
    <col min="22" max="22" width="9.125" style="130" bestFit="1" customWidth="1"/>
    <col min="23" max="23" width="10.25" style="130" bestFit="1" customWidth="1"/>
    <col min="24" max="25" width="9.125" style="130" bestFit="1" customWidth="1"/>
    <col min="26" max="16384" width="8.625" style="130"/>
  </cols>
  <sheetData>
    <row r="1" spans="1:29" s="158" customFormat="1">
      <c r="A1" s="1164" t="s">
        <v>191</v>
      </c>
      <c r="B1" s="1164" t="s">
        <v>472</v>
      </c>
      <c r="C1" s="1164" t="s">
        <v>303</v>
      </c>
      <c r="D1" s="1164" t="s">
        <v>192</v>
      </c>
      <c r="E1" s="1164" t="s">
        <v>125</v>
      </c>
      <c r="F1" s="1164" t="s">
        <v>126</v>
      </c>
      <c r="G1" s="1164" t="s">
        <v>127</v>
      </c>
      <c r="H1" s="1164" t="s">
        <v>128</v>
      </c>
      <c r="I1" s="1164" t="s">
        <v>151</v>
      </c>
      <c r="J1" s="1164" t="s">
        <v>627</v>
      </c>
      <c r="K1" s="1164" t="s">
        <v>628</v>
      </c>
      <c r="L1" s="1164" t="s">
        <v>629</v>
      </c>
      <c r="M1" s="1164" t="s">
        <v>630</v>
      </c>
      <c r="N1" s="1164" t="s">
        <v>462</v>
      </c>
      <c r="O1" s="1164" t="s">
        <v>631</v>
      </c>
      <c r="P1" s="1164" t="s">
        <v>70</v>
      </c>
      <c r="Q1" s="1164" t="s">
        <v>626</v>
      </c>
      <c r="R1" s="1164" t="s">
        <v>632</v>
      </c>
      <c r="S1" s="1164" t="s">
        <v>633</v>
      </c>
      <c r="T1" s="1164" t="s">
        <v>623</v>
      </c>
      <c r="U1" s="1164" t="s">
        <v>624</v>
      </c>
      <c r="V1" s="1164" t="s">
        <v>71</v>
      </c>
      <c r="W1" s="1164" t="s">
        <v>619</v>
      </c>
      <c r="X1" s="1164" t="s">
        <v>796</v>
      </c>
      <c r="Y1" s="1164" t="s">
        <v>1225</v>
      </c>
      <c r="Z1" s="1164" t="s">
        <v>1256</v>
      </c>
    </row>
    <row r="2" spans="1:29" ht="13.5" customHeight="1">
      <c r="A2" s="1160" t="s">
        <v>429</v>
      </c>
      <c r="B2" s="1160" t="s">
        <v>20</v>
      </c>
      <c r="C2" s="1160" t="s">
        <v>202</v>
      </c>
      <c r="D2" s="1160" t="s">
        <v>132</v>
      </c>
      <c r="E2" s="1161">
        <v>1197</v>
      </c>
      <c r="F2" s="1161">
        <v>70.38</v>
      </c>
      <c r="G2" s="1161">
        <v>0</v>
      </c>
      <c r="H2" s="1161">
        <v>0</v>
      </c>
      <c r="I2" s="1161">
        <v>1</v>
      </c>
      <c r="J2" s="1161">
        <v>0</v>
      </c>
      <c r="K2" s="1161">
        <v>0.93357142857142905</v>
      </c>
      <c r="L2" s="1161">
        <v>0</v>
      </c>
      <c r="M2" s="1161">
        <v>0.93357142857142905</v>
      </c>
      <c r="N2" s="1161">
        <v>0</v>
      </c>
      <c r="O2" s="1161">
        <v>0</v>
      </c>
      <c r="P2" s="1161">
        <v>1197</v>
      </c>
      <c r="Q2" s="1161">
        <v>1197</v>
      </c>
      <c r="R2" s="1161">
        <v>0</v>
      </c>
      <c r="S2" s="1161">
        <v>0</v>
      </c>
      <c r="T2" s="1161">
        <v>0</v>
      </c>
      <c r="U2" s="1161">
        <v>0</v>
      </c>
      <c r="V2" s="1161">
        <v>72.900000000000006</v>
      </c>
      <c r="W2" s="1161">
        <v>72.899651000000006</v>
      </c>
      <c r="X2" s="1162">
        <v>72.899651000000006</v>
      </c>
      <c r="Y2" s="1163">
        <v>-2.52</v>
      </c>
      <c r="Z2" s="1163">
        <v>-2.52</v>
      </c>
      <c r="AB2" s="889">
        <f>W2-V2</f>
        <v>-3.489999999999327E-4</v>
      </c>
      <c r="AC2" s="889">
        <f>Z2-Y2</f>
        <v>0</v>
      </c>
    </row>
    <row r="3" spans="1:29" ht="14.25" customHeight="1">
      <c r="A3" s="1156" t="s">
        <v>440</v>
      </c>
      <c r="B3" s="1156" t="s">
        <v>20</v>
      </c>
      <c r="C3" s="1156" t="s">
        <v>460</v>
      </c>
      <c r="D3" s="1156" t="s">
        <v>132</v>
      </c>
      <c r="E3" s="1157">
        <v>69274</v>
      </c>
      <c r="F3" s="1157">
        <v>8273.74</v>
      </c>
      <c r="G3" s="1157">
        <v>0</v>
      </c>
      <c r="H3" s="1157">
        <v>0</v>
      </c>
      <c r="I3" s="1157">
        <v>4</v>
      </c>
      <c r="J3" s="1157">
        <v>4</v>
      </c>
      <c r="K3" s="1157">
        <v>24.000714285714299</v>
      </c>
      <c r="L3" s="1157">
        <v>17.600000000000001</v>
      </c>
      <c r="M3" s="1157">
        <v>6.4007142857142902</v>
      </c>
      <c r="N3" s="1157">
        <v>576.03956343792595</v>
      </c>
      <c r="O3" s="1157">
        <v>576.04390243902401</v>
      </c>
      <c r="P3" s="1157">
        <v>69274</v>
      </c>
      <c r="Q3" s="1157">
        <v>12135</v>
      </c>
      <c r="R3" s="1157">
        <v>0</v>
      </c>
      <c r="S3" s="1157">
        <v>0</v>
      </c>
      <c r="T3" s="1157">
        <v>57139</v>
      </c>
      <c r="U3" s="1157">
        <v>0</v>
      </c>
      <c r="V3" s="1157">
        <v>8653.52</v>
      </c>
      <c r="W3" s="1157">
        <v>8653.523674</v>
      </c>
      <c r="X3" s="1158">
        <v>8653.523674</v>
      </c>
      <c r="Y3" s="1159">
        <v>-379.78</v>
      </c>
      <c r="Z3" s="1159">
        <v>-379.78</v>
      </c>
      <c r="AB3" s="889">
        <f t="shared" ref="AB3:AB14" si="0">W3-V3</f>
        <v>3.6739999995916151E-3</v>
      </c>
      <c r="AC3" s="889">
        <f t="shared" ref="AC3:AC14" si="1">Z3-Y3</f>
        <v>0</v>
      </c>
    </row>
    <row r="4" spans="1:29" ht="14.25" customHeight="1">
      <c r="A4" s="371"/>
      <c r="B4" s="371"/>
      <c r="C4" s="371"/>
      <c r="D4" s="1156" t="s">
        <v>422</v>
      </c>
      <c r="E4" s="1157">
        <v>1906408</v>
      </c>
      <c r="F4" s="1157">
        <v>123574.37</v>
      </c>
      <c r="G4" s="1157">
        <v>0</v>
      </c>
      <c r="H4" s="1157">
        <v>0</v>
      </c>
      <c r="I4" s="1157">
        <v>8</v>
      </c>
      <c r="J4" s="1157">
        <v>5.5836800000000002</v>
      </c>
      <c r="K4" s="1157">
        <v>81.3</v>
      </c>
      <c r="L4" s="1157">
        <v>37.299999999999997</v>
      </c>
      <c r="M4" s="1157">
        <v>44</v>
      </c>
      <c r="N4" s="1157">
        <v>3671.1869031377901</v>
      </c>
      <c r="O4" s="1157">
        <v>3646.8878048780498</v>
      </c>
      <c r="P4" s="1157">
        <v>1906408</v>
      </c>
      <c r="Q4" s="1157">
        <v>760097</v>
      </c>
      <c r="R4" s="1157">
        <v>0</v>
      </c>
      <c r="S4" s="1157">
        <v>0</v>
      </c>
      <c r="T4" s="1157">
        <v>429318</v>
      </c>
      <c r="U4" s="1157">
        <v>716993</v>
      </c>
      <c r="V4" s="1157">
        <v>129261.35</v>
      </c>
      <c r="W4" s="1157">
        <v>129261.266577</v>
      </c>
      <c r="X4" s="1158">
        <v>129261.266577</v>
      </c>
      <c r="Y4" s="1159">
        <v>-5686.98</v>
      </c>
      <c r="Z4" s="1159">
        <v>-5686.98</v>
      </c>
      <c r="AB4" s="889">
        <f t="shared" si="0"/>
        <v>-8.3423000003676862E-2</v>
      </c>
      <c r="AC4" s="889">
        <f t="shared" si="1"/>
        <v>0</v>
      </c>
    </row>
    <row r="5" spans="1:29" customFormat="1" ht="14.25" customHeight="1">
      <c r="A5" s="371"/>
      <c r="B5" s="371"/>
      <c r="C5" s="1156" t="s">
        <v>202</v>
      </c>
      <c r="D5" s="1156" t="s">
        <v>132</v>
      </c>
      <c r="E5" s="1157">
        <v>154715620</v>
      </c>
      <c r="F5" s="1157">
        <v>11934365.109999999</v>
      </c>
      <c r="G5" s="1157">
        <v>282982</v>
      </c>
      <c r="H5" s="1157">
        <v>13196.74</v>
      </c>
      <c r="I5" s="1157">
        <v>3043</v>
      </c>
      <c r="J5" s="1157">
        <v>2829.1715789473701</v>
      </c>
      <c r="K5" s="1157">
        <v>17465.672142857398</v>
      </c>
      <c r="L5" s="1157">
        <v>12688.6021428572</v>
      </c>
      <c r="M5" s="1157">
        <v>4777.0699999999597</v>
      </c>
      <c r="N5" s="1157">
        <v>332547.24010914098</v>
      </c>
      <c r="O5" s="1157">
        <v>0</v>
      </c>
      <c r="P5" s="1157">
        <v>154998602</v>
      </c>
      <c r="Q5" s="1157">
        <v>35154762</v>
      </c>
      <c r="R5" s="1157">
        <v>0</v>
      </c>
      <c r="S5" s="1157">
        <v>0</v>
      </c>
      <c r="T5" s="1157">
        <v>75998283</v>
      </c>
      <c r="U5" s="1157">
        <v>43845557</v>
      </c>
      <c r="V5" s="1157">
        <v>12457268.789999999</v>
      </c>
      <c r="W5" s="1157">
        <v>12457264.340190999</v>
      </c>
      <c r="X5" s="1158">
        <v>12457264.340190999</v>
      </c>
      <c r="Y5" s="1159">
        <v>-509706.94</v>
      </c>
      <c r="Z5" s="1159">
        <v>-508823.86</v>
      </c>
      <c r="AB5" s="889">
        <f t="shared" si="0"/>
        <v>-4.4498089998960495</v>
      </c>
      <c r="AC5" s="889">
        <f t="shared" si="1"/>
        <v>883.0800000000163</v>
      </c>
    </row>
    <row r="6" spans="1:29" ht="14.25" customHeight="1">
      <c r="A6" s="371"/>
      <c r="B6" s="371"/>
      <c r="C6" s="371"/>
      <c r="D6" s="1156" t="s">
        <v>422</v>
      </c>
      <c r="E6" s="1157">
        <v>21560919</v>
      </c>
      <c r="F6" s="1157">
        <v>1595349.84</v>
      </c>
      <c r="G6" s="1157">
        <v>28573</v>
      </c>
      <c r="H6" s="1157">
        <v>1426.47</v>
      </c>
      <c r="I6" s="1157">
        <v>280</v>
      </c>
      <c r="J6" s="1157">
        <v>270.84894736842102</v>
      </c>
      <c r="K6" s="1157">
        <v>3149.2</v>
      </c>
      <c r="L6" s="1157">
        <v>1321.76642857143</v>
      </c>
      <c r="M6" s="1157">
        <v>1827.4335714285701</v>
      </c>
      <c r="N6" s="1157">
        <v>45365.8594815826</v>
      </c>
      <c r="O6" s="1157">
        <v>0</v>
      </c>
      <c r="P6" s="1157">
        <v>21589492</v>
      </c>
      <c r="Q6" s="1157">
        <v>7762442</v>
      </c>
      <c r="R6" s="1157">
        <v>0</v>
      </c>
      <c r="S6" s="1157">
        <v>0</v>
      </c>
      <c r="T6" s="1157">
        <v>7575969</v>
      </c>
      <c r="U6" s="1157">
        <v>6251081</v>
      </c>
      <c r="V6" s="1157">
        <v>1664887.88</v>
      </c>
      <c r="W6" s="1157">
        <v>1664887.2872009999</v>
      </c>
      <c r="X6" s="1158">
        <v>1664887.2872009999</v>
      </c>
      <c r="Y6" s="1159">
        <v>-68111.570000000007</v>
      </c>
      <c r="Z6" s="1159">
        <v>-68146.25</v>
      </c>
      <c r="AB6" s="889">
        <f t="shared" si="0"/>
        <v>-0.59279899997636676</v>
      </c>
      <c r="AC6" s="889">
        <f t="shared" si="1"/>
        <v>-34.679999999993015</v>
      </c>
    </row>
    <row r="7" spans="1:29" ht="14.25" customHeight="1">
      <c r="A7" s="371"/>
      <c r="B7" s="371"/>
      <c r="C7" s="371"/>
      <c r="D7" s="1156" t="s">
        <v>1165</v>
      </c>
      <c r="E7" s="1157">
        <v>44215</v>
      </c>
      <c r="F7" s="1157">
        <v>7829.32</v>
      </c>
      <c r="G7" s="1157">
        <v>0</v>
      </c>
      <c r="H7" s="1157">
        <v>-14</v>
      </c>
      <c r="I7" s="1157">
        <v>3</v>
      </c>
      <c r="J7" s="1157">
        <v>2</v>
      </c>
      <c r="K7" s="1157">
        <v>24</v>
      </c>
      <c r="L7" s="1157">
        <v>10</v>
      </c>
      <c r="M7" s="1157">
        <v>14</v>
      </c>
      <c r="N7" s="1157">
        <v>673.727148703956</v>
      </c>
      <c r="O7" s="1157">
        <v>0</v>
      </c>
      <c r="P7" s="1157">
        <v>44215</v>
      </c>
      <c r="Q7" s="1157">
        <v>18973</v>
      </c>
      <c r="R7" s="1157">
        <v>0</v>
      </c>
      <c r="S7" s="1157">
        <v>0</v>
      </c>
      <c r="T7" s="1157">
        <v>25242</v>
      </c>
      <c r="U7" s="1157">
        <v>0</v>
      </c>
      <c r="V7" s="1157">
        <v>8140.69</v>
      </c>
      <c r="W7" s="1157">
        <v>8140.6814409999997</v>
      </c>
      <c r="X7" s="1158">
        <v>8140.6814409999997</v>
      </c>
      <c r="Y7" s="1159">
        <v>-325.37</v>
      </c>
      <c r="Z7" s="1159">
        <v>-325.37</v>
      </c>
      <c r="AB7" s="889">
        <f t="shared" si="0"/>
        <v>-8.5589999998774147E-3</v>
      </c>
      <c r="AC7" s="889">
        <f t="shared" si="1"/>
        <v>0</v>
      </c>
    </row>
    <row r="8" spans="1:29" ht="14.25" customHeight="1">
      <c r="A8" s="371"/>
      <c r="B8" s="1156" t="s">
        <v>966</v>
      </c>
      <c r="C8" s="1156" t="s">
        <v>202</v>
      </c>
      <c r="D8" s="1156" t="s">
        <v>174</v>
      </c>
      <c r="E8" s="1157">
        <v>8071584</v>
      </c>
      <c r="F8" s="1157">
        <v>638005.94999999995</v>
      </c>
      <c r="G8" s="1157">
        <v>0</v>
      </c>
      <c r="H8" s="1157">
        <v>0</v>
      </c>
      <c r="I8" s="1157">
        <v>75</v>
      </c>
      <c r="J8" s="1157">
        <v>57.7226315789474</v>
      </c>
      <c r="K8" s="1157">
        <v>401.82857142857102</v>
      </c>
      <c r="L8" s="1157">
        <v>294.37</v>
      </c>
      <c r="M8" s="1157">
        <v>107.45857142857101</v>
      </c>
      <c r="N8" s="1157">
        <v>21462.482946794</v>
      </c>
      <c r="O8" s="1157">
        <v>0</v>
      </c>
      <c r="P8" s="1157">
        <v>8071584</v>
      </c>
      <c r="Q8" s="1157">
        <v>1357997</v>
      </c>
      <c r="R8" s="1157">
        <v>109917</v>
      </c>
      <c r="S8" s="1157">
        <v>273299</v>
      </c>
      <c r="T8" s="1157">
        <v>3365000</v>
      </c>
      <c r="U8" s="1157">
        <v>2965371</v>
      </c>
      <c r="V8" s="1157">
        <v>665702.92000000004</v>
      </c>
      <c r="W8" s="1157">
        <v>665702.95075299998</v>
      </c>
      <c r="X8" s="1158">
        <v>665702.95075299998</v>
      </c>
      <c r="Y8" s="1159">
        <v>-27696.97</v>
      </c>
      <c r="Z8" s="1159">
        <v>-27696.97</v>
      </c>
      <c r="AB8" s="889">
        <f t="shared" si="0"/>
        <v>3.0752999940887094E-2</v>
      </c>
      <c r="AC8" s="889">
        <f t="shared" si="1"/>
        <v>0</v>
      </c>
    </row>
    <row r="9" spans="1:29" ht="14.25" customHeight="1">
      <c r="A9" s="371"/>
      <c r="B9" s="1156" t="s">
        <v>203</v>
      </c>
      <c r="C9" s="1156" t="s">
        <v>460</v>
      </c>
      <c r="D9" s="1156" t="s">
        <v>132</v>
      </c>
      <c r="E9" s="1157">
        <v>0</v>
      </c>
      <c r="F9" s="1157">
        <v>11.67</v>
      </c>
      <c r="G9" s="1157">
        <v>0</v>
      </c>
      <c r="H9" s="1157">
        <v>-11.67</v>
      </c>
      <c r="I9" s="1157">
        <v>1</v>
      </c>
      <c r="J9" s="1157">
        <v>0</v>
      </c>
      <c r="K9" s="1157">
        <v>0</v>
      </c>
      <c r="L9" s="1157">
        <v>0</v>
      </c>
      <c r="M9" s="1157">
        <v>0</v>
      </c>
      <c r="N9" s="1157">
        <v>0</v>
      </c>
      <c r="O9" s="1157">
        <v>0</v>
      </c>
      <c r="P9" s="1157">
        <v>0</v>
      </c>
      <c r="Q9" s="1157">
        <v>0</v>
      </c>
      <c r="R9" s="1157">
        <v>0</v>
      </c>
      <c r="S9" s="1157">
        <v>0</v>
      </c>
      <c r="T9" s="1157">
        <v>0</v>
      </c>
      <c r="U9" s="1157">
        <v>0</v>
      </c>
      <c r="V9" s="1157">
        <v>0</v>
      </c>
      <c r="W9" s="1157">
        <v>0</v>
      </c>
      <c r="X9" s="1158">
        <v>0</v>
      </c>
      <c r="Y9" s="1159">
        <v>0</v>
      </c>
      <c r="Z9" s="1159">
        <v>0</v>
      </c>
      <c r="AB9" s="889">
        <f t="shared" si="0"/>
        <v>0</v>
      </c>
      <c r="AC9" s="889">
        <f t="shared" si="1"/>
        <v>0</v>
      </c>
    </row>
    <row r="10" spans="1:29" ht="14.25" customHeight="1">
      <c r="A10" s="371"/>
      <c r="B10" s="371"/>
      <c r="C10" s="371"/>
      <c r="D10" s="1156" t="s">
        <v>422</v>
      </c>
      <c r="E10" s="1157">
        <v>1306560</v>
      </c>
      <c r="F10" s="1157">
        <v>89996.04</v>
      </c>
      <c r="G10" s="1157">
        <v>8640</v>
      </c>
      <c r="H10" s="1157">
        <v>416.2</v>
      </c>
      <c r="I10" s="1157">
        <v>4</v>
      </c>
      <c r="J10" s="1157">
        <v>3</v>
      </c>
      <c r="K10" s="1157">
        <v>36</v>
      </c>
      <c r="L10" s="1157">
        <v>15</v>
      </c>
      <c r="M10" s="1157">
        <v>21</v>
      </c>
      <c r="N10" s="1157">
        <v>2123.3301500682101</v>
      </c>
      <c r="O10" s="1157">
        <v>2123.3268292682901</v>
      </c>
      <c r="P10" s="1157">
        <v>1315200</v>
      </c>
      <c r="Q10" s="1157">
        <v>433834</v>
      </c>
      <c r="R10" s="1157">
        <v>235390</v>
      </c>
      <c r="S10" s="1157">
        <v>645976</v>
      </c>
      <c r="T10" s="1157">
        <v>0</v>
      </c>
      <c r="U10" s="1157">
        <v>0</v>
      </c>
      <c r="V10" s="1157">
        <v>94544.45</v>
      </c>
      <c r="W10" s="1157">
        <v>94544.413774000001</v>
      </c>
      <c r="X10" s="1158">
        <v>94544.413774000001</v>
      </c>
      <c r="Y10" s="1159">
        <v>-4132.21</v>
      </c>
      <c r="Z10" s="1159">
        <v>-4116.5600000000004</v>
      </c>
      <c r="AB10" s="889">
        <f t="shared" si="0"/>
        <v>-3.6225999996531755E-2</v>
      </c>
      <c r="AC10" s="889">
        <f t="shared" si="1"/>
        <v>15.649999999999636</v>
      </c>
    </row>
    <row r="11" spans="1:29" ht="13.35" customHeight="1">
      <c r="A11" s="371"/>
      <c r="B11" s="371"/>
      <c r="C11" s="371"/>
      <c r="D11" s="1156" t="s">
        <v>1165</v>
      </c>
      <c r="E11" s="1157">
        <v>8761</v>
      </c>
      <c r="F11" s="1157">
        <v>776.79</v>
      </c>
      <c r="G11" s="1157">
        <v>0</v>
      </c>
      <c r="H11" s="1157">
        <v>0</v>
      </c>
      <c r="I11" s="1157">
        <v>1</v>
      </c>
      <c r="J11" s="1157">
        <v>1</v>
      </c>
      <c r="K11" s="1157">
        <v>12</v>
      </c>
      <c r="L11" s="1157">
        <v>5</v>
      </c>
      <c r="M11" s="1157">
        <v>7</v>
      </c>
      <c r="N11" s="1157">
        <v>8.4529331514324699</v>
      </c>
      <c r="O11" s="1157">
        <v>8.4536585365853707</v>
      </c>
      <c r="P11" s="1157">
        <v>8761</v>
      </c>
      <c r="Q11" s="1157">
        <v>5946</v>
      </c>
      <c r="R11" s="1157">
        <v>464</v>
      </c>
      <c r="S11" s="1157">
        <v>2351</v>
      </c>
      <c r="T11" s="1157">
        <v>0</v>
      </c>
      <c r="U11" s="1157">
        <v>0</v>
      </c>
      <c r="V11" s="1157">
        <v>799.39</v>
      </c>
      <c r="W11" s="1157">
        <v>799.386256</v>
      </c>
      <c r="X11" s="1158">
        <v>799.386256</v>
      </c>
      <c r="Y11" s="1159">
        <v>-22.6</v>
      </c>
      <c r="Z11" s="1159">
        <v>-22.6</v>
      </c>
      <c r="AB11" s="889">
        <f t="shared" si="0"/>
        <v>-3.7439999999833162E-3</v>
      </c>
      <c r="AC11" s="889">
        <f t="shared" si="1"/>
        <v>0</v>
      </c>
    </row>
    <row r="12" spans="1:29" s="157" customFormat="1" ht="15.75">
      <c r="A12" s="371"/>
      <c r="B12" s="371"/>
      <c r="C12" s="1156" t="s">
        <v>202</v>
      </c>
      <c r="D12" s="1156" t="s">
        <v>132</v>
      </c>
      <c r="E12" s="1157">
        <v>17547139</v>
      </c>
      <c r="F12" s="1157">
        <v>1412463.78</v>
      </c>
      <c r="G12" s="1157">
        <v>29295</v>
      </c>
      <c r="H12" s="1157">
        <v>1330.87</v>
      </c>
      <c r="I12" s="1157">
        <v>243</v>
      </c>
      <c r="J12" s="1157">
        <v>227.37552631578899</v>
      </c>
      <c r="K12" s="1157">
        <v>1384.2728571428599</v>
      </c>
      <c r="L12" s="1157">
        <v>997.19928571428704</v>
      </c>
      <c r="M12" s="1157">
        <v>387.07357142857097</v>
      </c>
      <c r="N12" s="1157">
        <v>44094.186903137801</v>
      </c>
      <c r="O12" s="1157">
        <v>0</v>
      </c>
      <c r="P12" s="1157">
        <v>17576434</v>
      </c>
      <c r="Q12" s="1157">
        <v>3836617</v>
      </c>
      <c r="R12" s="1157">
        <v>3517215</v>
      </c>
      <c r="S12" s="1157">
        <v>10222602</v>
      </c>
      <c r="T12" s="1157">
        <v>0</v>
      </c>
      <c r="U12" s="1157">
        <v>0</v>
      </c>
      <c r="V12" s="1157">
        <v>1474719.43</v>
      </c>
      <c r="W12" s="1157">
        <v>1474719.223055</v>
      </c>
      <c r="X12" s="1158">
        <v>1474719.223055</v>
      </c>
      <c r="Y12" s="1159">
        <v>-60924.78</v>
      </c>
      <c r="Z12" s="1159">
        <v>-60833.41</v>
      </c>
      <c r="AB12" s="889">
        <f t="shared" si="0"/>
        <v>-0.20694499998353422</v>
      </c>
      <c r="AC12" s="889">
        <f t="shared" si="1"/>
        <v>91.369999999995343</v>
      </c>
    </row>
    <row r="13" spans="1:29" s="189" customFormat="1" ht="15.75">
      <c r="A13" s="371"/>
      <c r="B13" s="371"/>
      <c r="C13" s="371"/>
      <c r="D13" s="1156" t="s">
        <v>422</v>
      </c>
      <c r="E13" s="1157">
        <v>3194585</v>
      </c>
      <c r="F13" s="1157">
        <v>250590.37</v>
      </c>
      <c r="G13" s="1157">
        <v>12198</v>
      </c>
      <c r="H13" s="1157">
        <v>549.92999999999995</v>
      </c>
      <c r="I13" s="1157">
        <v>25</v>
      </c>
      <c r="J13" s="1157">
        <v>24</v>
      </c>
      <c r="K13" s="1157">
        <v>283</v>
      </c>
      <c r="L13" s="1157">
        <v>119</v>
      </c>
      <c r="M13" s="1157">
        <v>164</v>
      </c>
      <c r="N13" s="1157">
        <v>10396.6180081855</v>
      </c>
      <c r="O13" s="1157">
        <v>0</v>
      </c>
      <c r="P13" s="1157">
        <v>3206783</v>
      </c>
      <c r="Q13" s="1157">
        <v>1091452</v>
      </c>
      <c r="R13" s="1157">
        <v>374974</v>
      </c>
      <c r="S13" s="1157">
        <v>1740357</v>
      </c>
      <c r="T13" s="1157">
        <v>0</v>
      </c>
      <c r="U13" s="1157">
        <v>0</v>
      </c>
      <c r="V13" s="1157">
        <v>261990.8</v>
      </c>
      <c r="W13" s="1157">
        <v>261990.91754600001</v>
      </c>
      <c r="X13" s="1158">
        <v>261990.91754600001</v>
      </c>
      <c r="Y13" s="1159">
        <v>-10850.5</v>
      </c>
      <c r="Z13" s="1159">
        <v>-10832.75</v>
      </c>
      <c r="AB13" s="889">
        <f t="shared" si="0"/>
        <v>0.11754600002313964</v>
      </c>
      <c r="AC13" s="889">
        <f t="shared" si="1"/>
        <v>17.75</v>
      </c>
    </row>
    <row r="14" spans="1:29" s="189" customFormat="1" ht="15.75">
      <c r="A14" s="372"/>
      <c r="B14" s="372"/>
      <c r="C14" s="372"/>
      <c r="D14" s="1160" t="s">
        <v>1165</v>
      </c>
      <c r="E14" s="1161">
        <v>192593</v>
      </c>
      <c r="F14" s="1161">
        <v>14420.01</v>
      </c>
      <c r="G14" s="1161">
        <v>2700</v>
      </c>
      <c r="H14" s="1161">
        <v>1848.25</v>
      </c>
      <c r="I14" s="1161">
        <v>2</v>
      </c>
      <c r="J14" s="1161">
        <v>1</v>
      </c>
      <c r="K14" s="1161">
        <v>12</v>
      </c>
      <c r="L14" s="1161">
        <v>5</v>
      </c>
      <c r="M14" s="1161">
        <v>7</v>
      </c>
      <c r="N14" s="1161">
        <v>1055.7435197817199</v>
      </c>
      <c r="O14" s="1161">
        <v>0</v>
      </c>
      <c r="P14" s="1161">
        <v>195293</v>
      </c>
      <c r="Q14" s="1161">
        <v>25221</v>
      </c>
      <c r="R14" s="1161">
        <v>6900</v>
      </c>
      <c r="S14" s="1161">
        <v>163172</v>
      </c>
      <c r="T14" s="1161">
        <v>0</v>
      </c>
      <c r="U14" s="1161">
        <v>0</v>
      </c>
      <c r="V14" s="1161">
        <v>16978.43</v>
      </c>
      <c r="W14" s="1161">
        <v>16978.444067</v>
      </c>
      <c r="X14" s="1162">
        <v>16978.444067</v>
      </c>
      <c r="Y14" s="1163">
        <v>-710.17</v>
      </c>
      <c r="Z14" s="1163">
        <v>-585.5</v>
      </c>
      <c r="AB14" s="889">
        <f t="shared" si="0"/>
        <v>1.4067000000068219E-2</v>
      </c>
      <c r="AC14" s="889">
        <f t="shared" si="1"/>
        <v>124.66999999999996</v>
      </c>
    </row>
    <row r="15" spans="1:29" s="189" customFormat="1" ht="15.75">
      <c r="A15" s="31"/>
      <c r="B15" s="31"/>
      <c r="C15" s="31"/>
      <c r="D15" s="31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</row>
    <row r="16" spans="1:29" s="189" customFormat="1">
      <c r="A16" s="182" t="s">
        <v>256</v>
      </c>
      <c r="B16" s="190"/>
      <c r="C16" s="190"/>
      <c r="D16" s="191"/>
      <c r="E16" s="192"/>
      <c r="F16" s="191"/>
      <c r="G16" s="192"/>
      <c r="H16" s="191"/>
      <c r="I16" s="192"/>
      <c r="J16" s="191"/>
      <c r="K16" s="191"/>
      <c r="L16" s="191"/>
      <c r="M16" s="191"/>
      <c r="N16" s="191"/>
      <c r="O16" s="193"/>
      <c r="P16" s="191"/>
      <c r="Q16" s="192"/>
      <c r="R16" s="191"/>
      <c r="S16" s="193"/>
      <c r="T16" s="193"/>
      <c r="U16" s="191"/>
      <c r="V16" s="193"/>
      <c r="W16" s="193"/>
    </row>
    <row r="17" spans="1:26" s="189" customFormat="1">
      <c r="A17" s="187"/>
      <c r="B17" s="187" t="s">
        <v>20</v>
      </c>
      <c r="C17" s="187" t="s">
        <v>460</v>
      </c>
      <c r="D17" s="187"/>
      <c r="E17" s="725">
        <f>SUM(E3:E4)</f>
        <v>1975682</v>
      </c>
      <c r="F17" s="725">
        <f>SUM(F3:F4)</f>
        <v>131848.10999999999</v>
      </c>
      <c r="G17" s="725">
        <f t="shared" ref="G17:Y17" si="2">SUM(G3:G4)</f>
        <v>0</v>
      </c>
      <c r="H17" s="725">
        <f t="shared" si="2"/>
        <v>0</v>
      </c>
      <c r="I17" s="725">
        <f t="shared" si="2"/>
        <v>12</v>
      </c>
      <c r="J17" s="725">
        <f t="shared" si="2"/>
        <v>9.5836800000000011</v>
      </c>
      <c r="K17" s="725">
        <f t="shared" si="2"/>
        <v>105.30071428571429</v>
      </c>
      <c r="L17" s="725">
        <f t="shared" si="2"/>
        <v>54.9</v>
      </c>
      <c r="M17" s="725">
        <f t="shared" si="2"/>
        <v>50.400714285714287</v>
      </c>
      <c r="N17" s="725">
        <f t="shared" si="2"/>
        <v>4247.2264665757157</v>
      </c>
      <c r="O17" s="725">
        <f t="shared" si="2"/>
        <v>4222.9317073170741</v>
      </c>
      <c r="P17" s="725">
        <f t="shared" si="2"/>
        <v>1975682</v>
      </c>
      <c r="Q17" s="725">
        <f t="shared" si="2"/>
        <v>772232</v>
      </c>
      <c r="R17" s="725">
        <f t="shared" si="2"/>
        <v>0</v>
      </c>
      <c r="S17" s="725">
        <f t="shared" si="2"/>
        <v>0</v>
      </c>
      <c r="T17" s="725">
        <f t="shared" si="2"/>
        <v>486457</v>
      </c>
      <c r="U17" s="725">
        <f t="shared" si="2"/>
        <v>716993</v>
      </c>
      <c r="V17" s="725">
        <f t="shared" si="2"/>
        <v>137914.87</v>
      </c>
      <c r="W17" s="725">
        <f t="shared" si="2"/>
        <v>137914.790251</v>
      </c>
      <c r="X17" s="725">
        <f t="shared" si="2"/>
        <v>137914.790251</v>
      </c>
      <c r="Y17" s="725">
        <f t="shared" si="2"/>
        <v>-6066.7599999999993</v>
      </c>
      <c r="Z17" s="725">
        <f t="shared" ref="Z17" si="3">SUM(Z3:Z4)</f>
        <v>-6066.7599999999993</v>
      </c>
    </row>
    <row r="18" spans="1:26" s="157" customFormat="1">
      <c r="A18" s="187"/>
      <c r="B18" s="187"/>
      <c r="C18" s="187" t="s">
        <v>202</v>
      </c>
      <c r="D18" s="187"/>
      <c r="E18" s="725">
        <f>SUM(E2,E5:E6)</f>
        <v>176277736</v>
      </c>
      <c r="F18" s="725">
        <f>SUM(F2,F5:F6)</f>
        <v>13529785.33</v>
      </c>
      <c r="G18" s="725">
        <f t="shared" ref="G18:Y18" si="4">SUM(G2,G5:G6)</f>
        <v>311555</v>
      </c>
      <c r="H18" s="725">
        <f t="shared" si="4"/>
        <v>14623.21</v>
      </c>
      <c r="I18" s="725">
        <f t="shared" si="4"/>
        <v>3324</v>
      </c>
      <c r="J18" s="725">
        <f t="shared" si="4"/>
        <v>3100.0205263157914</v>
      </c>
      <c r="K18" s="725">
        <f t="shared" si="4"/>
        <v>20615.805714285969</v>
      </c>
      <c r="L18" s="725">
        <f t="shared" si="4"/>
        <v>14010.368571428629</v>
      </c>
      <c r="M18" s="725">
        <f t="shared" si="4"/>
        <v>6605.4371428571012</v>
      </c>
      <c r="N18" s="725">
        <f t="shared" si="4"/>
        <v>377913.09959072358</v>
      </c>
      <c r="O18" s="725">
        <f t="shared" si="4"/>
        <v>0</v>
      </c>
      <c r="P18" s="725">
        <f t="shared" si="4"/>
        <v>176589291</v>
      </c>
      <c r="Q18" s="725">
        <f t="shared" si="4"/>
        <v>42918401</v>
      </c>
      <c r="R18" s="725">
        <f t="shared" si="4"/>
        <v>0</v>
      </c>
      <c r="S18" s="725">
        <f t="shared" si="4"/>
        <v>0</v>
      </c>
      <c r="T18" s="725">
        <f t="shared" si="4"/>
        <v>83574252</v>
      </c>
      <c r="U18" s="725">
        <f t="shared" si="4"/>
        <v>50096638</v>
      </c>
      <c r="V18" s="725">
        <f t="shared" si="4"/>
        <v>14122229.57</v>
      </c>
      <c r="W18" s="725">
        <f t="shared" si="4"/>
        <v>14122224.527043</v>
      </c>
      <c r="X18" s="725">
        <f t="shared" si="4"/>
        <v>14122224.527043</v>
      </c>
      <c r="Y18" s="725">
        <f t="shared" si="4"/>
        <v>-577821.03</v>
      </c>
      <c r="Z18" s="725">
        <f t="shared" ref="Z18" si="5">SUM(Z2,Z5:Z6)</f>
        <v>-576972.63</v>
      </c>
    </row>
    <row r="19" spans="1:26" s="157" customFormat="1">
      <c r="A19" s="187"/>
      <c r="B19" s="187"/>
      <c r="C19" s="187" t="s">
        <v>491</v>
      </c>
      <c r="D19" s="187"/>
      <c r="E19" s="725">
        <f t="shared" ref="E19" si="6">SUM(E17:E18)</f>
        <v>178253418</v>
      </c>
      <c r="F19" s="725">
        <f t="shared" ref="F19" si="7">SUM(F17:F18)</f>
        <v>13661633.439999999</v>
      </c>
      <c r="G19" s="725">
        <f t="shared" ref="G19:Y19" si="8">SUM(G17:G18)</f>
        <v>311555</v>
      </c>
      <c r="H19" s="725">
        <f t="shared" si="8"/>
        <v>14623.21</v>
      </c>
      <c r="I19" s="725">
        <f t="shared" si="8"/>
        <v>3336</v>
      </c>
      <c r="J19" s="725">
        <f t="shared" si="8"/>
        <v>3109.6042063157915</v>
      </c>
      <c r="K19" s="725">
        <f t="shared" si="8"/>
        <v>20721.106428571682</v>
      </c>
      <c r="L19" s="725">
        <f t="shared" si="8"/>
        <v>14065.268571428629</v>
      </c>
      <c r="M19" s="725">
        <f t="shared" si="8"/>
        <v>6655.8378571428157</v>
      </c>
      <c r="N19" s="725">
        <f t="shared" si="8"/>
        <v>382160.32605729927</v>
      </c>
      <c r="O19" s="725">
        <f t="shared" si="8"/>
        <v>4222.9317073170741</v>
      </c>
      <c r="P19" s="725">
        <f t="shared" si="8"/>
        <v>178564973</v>
      </c>
      <c r="Q19" s="725">
        <f t="shared" si="8"/>
        <v>43690633</v>
      </c>
      <c r="R19" s="725">
        <f t="shared" si="8"/>
        <v>0</v>
      </c>
      <c r="S19" s="725">
        <f t="shared" si="8"/>
        <v>0</v>
      </c>
      <c r="T19" s="725">
        <f t="shared" si="8"/>
        <v>84060709</v>
      </c>
      <c r="U19" s="725">
        <f t="shared" si="8"/>
        <v>50813631</v>
      </c>
      <c r="V19" s="725">
        <f t="shared" si="8"/>
        <v>14260144.439999999</v>
      </c>
      <c r="W19" s="725">
        <f t="shared" si="8"/>
        <v>14260139.317294</v>
      </c>
      <c r="X19" s="725">
        <f t="shared" si="8"/>
        <v>14260139.317294</v>
      </c>
      <c r="Y19" s="725">
        <f t="shared" si="8"/>
        <v>-583887.79</v>
      </c>
      <c r="Z19" s="725">
        <f t="shared" ref="Z19" si="9">SUM(Z17:Z18)</f>
        <v>-583039.39</v>
      </c>
    </row>
    <row r="20" spans="1:26">
      <c r="A20" s="187"/>
      <c r="B20" s="187" t="s">
        <v>203</v>
      </c>
      <c r="C20" s="187" t="s">
        <v>460</v>
      </c>
      <c r="D20" s="187"/>
      <c r="E20" s="725">
        <f>SUM(E9:E10)</f>
        <v>1306560</v>
      </c>
      <c r="F20" s="725">
        <f>SUM(F9:F10)</f>
        <v>90007.709999999992</v>
      </c>
      <c r="G20" s="725">
        <f t="shared" ref="G20:Y20" si="10">SUM(G9:G10)</f>
        <v>8640</v>
      </c>
      <c r="H20" s="725">
        <f t="shared" si="10"/>
        <v>404.53</v>
      </c>
      <c r="I20" s="725">
        <f t="shared" si="10"/>
        <v>5</v>
      </c>
      <c r="J20" s="725">
        <f t="shared" si="10"/>
        <v>3</v>
      </c>
      <c r="K20" s="725">
        <f t="shared" si="10"/>
        <v>36</v>
      </c>
      <c r="L20" s="725">
        <f t="shared" si="10"/>
        <v>15</v>
      </c>
      <c r="M20" s="725">
        <f t="shared" si="10"/>
        <v>21</v>
      </c>
      <c r="N20" s="725">
        <f t="shared" si="10"/>
        <v>2123.3301500682101</v>
      </c>
      <c r="O20" s="725">
        <f t="shared" si="10"/>
        <v>2123.3268292682901</v>
      </c>
      <c r="P20" s="725">
        <f t="shared" si="10"/>
        <v>1315200</v>
      </c>
      <c r="Q20" s="725">
        <f t="shared" si="10"/>
        <v>433834</v>
      </c>
      <c r="R20" s="725">
        <f t="shared" si="10"/>
        <v>235390</v>
      </c>
      <c r="S20" s="725">
        <f t="shared" si="10"/>
        <v>645976</v>
      </c>
      <c r="T20" s="725">
        <f t="shared" si="10"/>
        <v>0</v>
      </c>
      <c r="U20" s="725">
        <f t="shared" si="10"/>
        <v>0</v>
      </c>
      <c r="V20" s="725">
        <f t="shared" si="10"/>
        <v>94544.45</v>
      </c>
      <c r="W20" s="725">
        <f t="shared" si="10"/>
        <v>94544.413774000001</v>
      </c>
      <c r="X20" s="725">
        <f t="shared" si="10"/>
        <v>94544.413774000001</v>
      </c>
      <c r="Y20" s="725">
        <f t="shared" si="10"/>
        <v>-4132.21</v>
      </c>
      <c r="Z20" s="725">
        <f t="shared" ref="Z20" si="11">SUM(Z9:Z10)</f>
        <v>-4116.5600000000004</v>
      </c>
    </row>
    <row r="21" spans="1:26">
      <c r="A21" s="187"/>
      <c r="B21" s="187"/>
      <c r="C21" s="187" t="s">
        <v>202</v>
      </c>
      <c r="D21" s="187"/>
      <c r="E21" s="725">
        <f>SUM(E12:E13)</f>
        <v>20741724</v>
      </c>
      <c r="F21" s="725">
        <f>SUM(F12:F13)</f>
        <v>1663054.15</v>
      </c>
      <c r="G21" s="725">
        <f t="shared" ref="G21:Y21" si="12">SUM(G12:G13)</f>
        <v>41493</v>
      </c>
      <c r="H21" s="725">
        <f t="shared" si="12"/>
        <v>1880.7999999999997</v>
      </c>
      <c r="I21" s="725">
        <f t="shared" si="12"/>
        <v>268</v>
      </c>
      <c r="J21" s="725">
        <f t="shared" si="12"/>
        <v>251.37552631578899</v>
      </c>
      <c r="K21" s="725">
        <f t="shared" si="12"/>
        <v>1667.2728571428599</v>
      </c>
      <c r="L21" s="725">
        <f t="shared" si="12"/>
        <v>1116.199285714287</v>
      </c>
      <c r="M21" s="725">
        <f t="shared" si="12"/>
        <v>551.07357142857097</v>
      </c>
      <c r="N21" s="725">
        <f t="shared" si="12"/>
        <v>54490.804911323299</v>
      </c>
      <c r="O21" s="725">
        <f t="shared" si="12"/>
        <v>0</v>
      </c>
      <c r="P21" s="725">
        <f t="shared" si="12"/>
        <v>20783217</v>
      </c>
      <c r="Q21" s="725">
        <f t="shared" si="12"/>
        <v>4928069</v>
      </c>
      <c r="R21" s="725">
        <f t="shared" si="12"/>
        <v>3892189</v>
      </c>
      <c r="S21" s="725">
        <f t="shared" si="12"/>
        <v>11962959</v>
      </c>
      <c r="T21" s="725">
        <f t="shared" si="12"/>
        <v>0</v>
      </c>
      <c r="U21" s="725">
        <f t="shared" si="12"/>
        <v>0</v>
      </c>
      <c r="V21" s="725">
        <f t="shared" si="12"/>
        <v>1736710.23</v>
      </c>
      <c r="W21" s="725">
        <f t="shared" si="12"/>
        <v>1736710.1406010001</v>
      </c>
      <c r="X21" s="725">
        <f t="shared" si="12"/>
        <v>1736710.1406010001</v>
      </c>
      <c r="Y21" s="725">
        <f t="shared" si="12"/>
        <v>-71775.28</v>
      </c>
      <c r="Z21" s="725">
        <f t="shared" ref="Z21" si="13">SUM(Z12:Z13)</f>
        <v>-71666.16</v>
      </c>
    </row>
    <row r="22" spans="1:26">
      <c r="A22" s="187"/>
      <c r="B22" s="187"/>
      <c r="C22" s="187" t="s">
        <v>491</v>
      </c>
      <c r="D22" s="187"/>
      <c r="E22" s="725">
        <f t="shared" ref="E22" si="14">SUM(E20:E21)</f>
        <v>22048284</v>
      </c>
      <c r="F22" s="725">
        <f t="shared" ref="F22" si="15">SUM(F20:F21)</f>
        <v>1753061.8599999999</v>
      </c>
      <c r="G22" s="725">
        <f t="shared" ref="G22:Y22" si="16">SUM(G20:G21)</f>
        <v>50133</v>
      </c>
      <c r="H22" s="725">
        <f t="shared" si="16"/>
        <v>2285.33</v>
      </c>
      <c r="I22" s="725">
        <f t="shared" si="16"/>
        <v>273</v>
      </c>
      <c r="J22" s="725">
        <f t="shared" si="16"/>
        <v>254.37552631578899</v>
      </c>
      <c r="K22" s="725">
        <f t="shared" si="16"/>
        <v>1703.2728571428599</v>
      </c>
      <c r="L22" s="725">
        <f t="shared" si="16"/>
        <v>1131.199285714287</v>
      </c>
      <c r="M22" s="725">
        <f t="shared" si="16"/>
        <v>572.07357142857097</v>
      </c>
      <c r="N22" s="725">
        <f t="shared" si="16"/>
        <v>56614.135061391513</v>
      </c>
      <c r="O22" s="725">
        <f t="shared" si="16"/>
        <v>2123.3268292682901</v>
      </c>
      <c r="P22" s="725">
        <f t="shared" si="16"/>
        <v>22098417</v>
      </c>
      <c r="Q22" s="725">
        <f t="shared" si="16"/>
        <v>5361903</v>
      </c>
      <c r="R22" s="725">
        <f t="shared" si="16"/>
        <v>4127579</v>
      </c>
      <c r="S22" s="725">
        <f t="shared" si="16"/>
        <v>12608935</v>
      </c>
      <c r="T22" s="725">
        <f t="shared" si="16"/>
        <v>0</v>
      </c>
      <c r="U22" s="725">
        <f t="shared" si="16"/>
        <v>0</v>
      </c>
      <c r="V22" s="725">
        <f t="shared" si="16"/>
        <v>1831254.68</v>
      </c>
      <c r="W22" s="725">
        <f t="shared" si="16"/>
        <v>1831254.5543750001</v>
      </c>
      <c r="X22" s="725">
        <f t="shared" si="16"/>
        <v>1831254.5543750001</v>
      </c>
      <c r="Y22" s="725">
        <f t="shared" si="16"/>
        <v>-75907.490000000005</v>
      </c>
      <c r="Z22" s="725">
        <f t="shared" ref="Z22" si="17">SUM(Z20:Z21)</f>
        <v>-75782.720000000001</v>
      </c>
    </row>
    <row r="23" spans="1:26">
      <c r="A23" s="187"/>
      <c r="B23" s="187" t="s">
        <v>966</v>
      </c>
      <c r="C23" s="187" t="s">
        <v>460</v>
      </c>
      <c r="D23" s="187"/>
      <c r="E23" s="725">
        <f>E11</f>
        <v>8761</v>
      </c>
      <c r="F23" s="725">
        <f t="shared" ref="F23:Z23" si="18">F11</f>
        <v>776.79</v>
      </c>
      <c r="G23" s="725">
        <f t="shared" si="18"/>
        <v>0</v>
      </c>
      <c r="H23" s="725">
        <f t="shared" si="18"/>
        <v>0</v>
      </c>
      <c r="I23" s="725">
        <f t="shared" si="18"/>
        <v>1</v>
      </c>
      <c r="J23" s="725">
        <f t="shared" si="18"/>
        <v>1</v>
      </c>
      <c r="K23" s="725">
        <f t="shared" si="18"/>
        <v>12</v>
      </c>
      <c r="L23" s="725">
        <f t="shared" si="18"/>
        <v>5</v>
      </c>
      <c r="M23" s="725">
        <f t="shared" si="18"/>
        <v>7</v>
      </c>
      <c r="N23" s="725">
        <f t="shared" si="18"/>
        <v>8.4529331514324699</v>
      </c>
      <c r="O23" s="725">
        <f t="shared" si="18"/>
        <v>8.4536585365853707</v>
      </c>
      <c r="P23" s="725">
        <f t="shared" si="18"/>
        <v>8761</v>
      </c>
      <c r="Q23" s="725">
        <f t="shared" si="18"/>
        <v>5946</v>
      </c>
      <c r="R23" s="725">
        <f t="shared" si="18"/>
        <v>464</v>
      </c>
      <c r="S23" s="725">
        <f t="shared" si="18"/>
        <v>2351</v>
      </c>
      <c r="T23" s="725">
        <f t="shared" si="18"/>
        <v>0</v>
      </c>
      <c r="U23" s="725">
        <f t="shared" si="18"/>
        <v>0</v>
      </c>
      <c r="V23" s="725">
        <f t="shared" si="18"/>
        <v>799.39</v>
      </c>
      <c r="W23" s="725">
        <f t="shared" si="18"/>
        <v>799.386256</v>
      </c>
      <c r="X23" s="725">
        <f t="shared" si="18"/>
        <v>799.386256</v>
      </c>
      <c r="Y23" s="725">
        <f t="shared" si="18"/>
        <v>-22.6</v>
      </c>
      <c r="Z23" s="725">
        <f t="shared" si="18"/>
        <v>-22.6</v>
      </c>
    </row>
    <row r="24" spans="1:26">
      <c r="A24" s="187"/>
      <c r="B24" s="187"/>
      <c r="C24" s="187" t="s">
        <v>202</v>
      </c>
      <c r="D24" s="187"/>
      <c r="E24" s="725">
        <f>E7+E8+E14</f>
        <v>8308392</v>
      </c>
      <c r="F24" s="725">
        <f t="shared" ref="F24:Z24" si="19">F7+F8+F14</f>
        <v>660255.27999999991</v>
      </c>
      <c r="G24" s="725">
        <f t="shared" si="19"/>
        <v>2700</v>
      </c>
      <c r="H24" s="725">
        <f t="shared" si="19"/>
        <v>1834.25</v>
      </c>
      <c r="I24" s="725">
        <f t="shared" si="19"/>
        <v>80</v>
      </c>
      <c r="J24" s="725">
        <f t="shared" si="19"/>
        <v>60.7226315789474</v>
      </c>
      <c r="K24" s="725">
        <f t="shared" si="19"/>
        <v>437.82857142857102</v>
      </c>
      <c r="L24" s="725">
        <f t="shared" si="19"/>
        <v>309.37</v>
      </c>
      <c r="M24" s="725">
        <f t="shared" si="19"/>
        <v>128.45857142857102</v>
      </c>
      <c r="N24" s="725">
        <f t="shared" si="19"/>
        <v>23191.953615279675</v>
      </c>
      <c r="O24" s="725">
        <f t="shared" si="19"/>
        <v>0</v>
      </c>
      <c r="P24" s="725">
        <f t="shared" si="19"/>
        <v>8311092</v>
      </c>
      <c r="Q24" s="725">
        <f t="shared" si="19"/>
        <v>1402191</v>
      </c>
      <c r="R24" s="725">
        <f t="shared" si="19"/>
        <v>116817</v>
      </c>
      <c r="S24" s="725">
        <f t="shared" si="19"/>
        <v>436471</v>
      </c>
      <c r="T24" s="725">
        <f t="shared" si="19"/>
        <v>3390242</v>
      </c>
      <c r="U24" s="725">
        <f t="shared" si="19"/>
        <v>2965371</v>
      </c>
      <c r="V24" s="725">
        <f t="shared" si="19"/>
        <v>690822.04</v>
      </c>
      <c r="W24" s="725">
        <f t="shared" si="19"/>
        <v>690822.07626099989</v>
      </c>
      <c r="X24" s="725">
        <f t="shared" si="19"/>
        <v>690822.07626099989</v>
      </c>
      <c r="Y24" s="725">
        <f t="shared" si="19"/>
        <v>-28732.51</v>
      </c>
      <c r="Z24" s="725">
        <f t="shared" si="19"/>
        <v>-28607.84</v>
      </c>
    </row>
    <row r="25" spans="1:26">
      <c r="A25" s="187"/>
      <c r="B25" s="187"/>
      <c r="C25" s="187" t="s">
        <v>491</v>
      </c>
      <c r="D25" s="187"/>
      <c r="E25" s="725">
        <f>E23+E24</f>
        <v>8317153</v>
      </c>
      <c r="F25" s="725">
        <f t="shared" ref="F25:Z25" si="20">F23+F24</f>
        <v>661032.06999999995</v>
      </c>
      <c r="G25" s="725">
        <f t="shared" si="20"/>
        <v>2700</v>
      </c>
      <c r="H25" s="725">
        <f t="shared" si="20"/>
        <v>1834.25</v>
      </c>
      <c r="I25" s="725">
        <f t="shared" si="20"/>
        <v>81</v>
      </c>
      <c r="J25" s="725">
        <f t="shared" si="20"/>
        <v>61.7226315789474</v>
      </c>
      <c r="K25" s="725">
        <f t="shared" si="20"/>
        <v>449.82857142857102</v>
      </c>
      <c r="L25" s="725">
        <f t="shared" si="20"/>
        <v>314.37</v>
      </c>
      <c r="M25" s="725">
        <f t="shared" si="20"/>
        <v>135.45857142857102</v>
      </c>
      <c r="N25" s="725">
        <f t="shared" si="20"/>
        <v>23200.406548431107</v>
      </c>
      <c r="O25" s="725">
        <f t="shared" si="20"/>
        <v>8.4536585365853707</v>
      </c>
      <c r="P25" s="725">
        <f t="shared" si="20"/>
        <v>8319853</v>
      </c>
      <c r="Q25" s="725">
        <f t="shared" si="20"/>
        <v>1408137</v>
      </c>
      <c r="R25" s="725">
        <f t="shared" si="20"/>
        <v>117281</v>
      </c>
      <c r="S25" s="725">
        <f t="shared" si="20"/>
        <v>438822</v>
      </c>
      <c r="T25" s="725">
        <f t="shared" si="20"/>
        <v>3390242</v>
      </c>
      <c r="U25" s="725">
        <f t="shared" si="20"/>
        <v>2965371</v>
      </c>
      <c r="V25" s="725">
        <f t="shared" si="20"/>
        <v>691621.43</v>
      </c>
      <c r="W25" s="725">
        <f t="shared" si="20"/>
        <v>691621.46251699992</v>
      </c>
      <c r="X25" s="725">
        <f t="shared" si="20"/>
        <v>691621.46251699992</v>
      </c>
      <c r="Y25" s="725">
        <f t="shared" si="20"/>
        <v>-28755.109999999997</v>
      </c>
      <c r="Z25" s="725">
        <f t="shared" si="20"/>
        <v>-28630.44</v>
      </c>
    </row>
    <row r="26" spans="1:26">
      <c r="A26" s="196"/>
      <c r="B26" s="196" t="s">
        <v>450</v>
      </c>
      <c r="C26" s="196"/>
      <c r="D26" s="196"/>
      <c r="E26" s="726">
        <f>E19+E22+E25</f>
        <v>208618855</v>
      </c>
      <c r="F26" s="726">
        <f t="shared" ref="F26" si="21">F19+F22+F25</f>
        <v>16075727.369999999</v>
      </c>
      <c r="G26" s="726">
        <f t="shared" ref="G26:Y26" si="22">G19+G22+G25</f>
        <v>364388</v>
      </c>
      <c r="H26" s="726">
        <f t="shared" si="22"/>
        <v>18742.79</v>
      </c>
      <c r="I26" s="726">
        <f t="shared" si="22"/>
        <v>3690</v>
      </c>
      <c r="J26" s="726">
        <f t="shared" si="22"/>
        <v>3425.7023642105282</v>
      </c>
      <c r="K26" s="726">
        <f t="shared" si="22"/>
        <v>22874.207857143112</v>
      </c>
      <c r="L26" s="726">
        <f t="shared" si="22"/>
        <v>15510.837857142917</v>
      </c>
      <c r="M26" s="726">
        <f t="shared" si="22"/>
        <v>7363.3699999999581</v>
      </c>
      <c r="N26" s="726">
        <f t="shared" si="22"/>
        <v>461974.86766712187</v>
      </c>
      <c r="O26" s="726">
        <f t="shared" si="22"/>
        <v>6354.7121951219497</v>
      </c>
      <c r="P26" s="726">
        <f t="shared" si="22"/>
        <v>208983243</v>
      </c>
      <c r="Q26" s="726">
        <f t="shared" si="22"/>
        <v>50460673</v>
      </c>
      <c r="R26" s="726">
        <f t="shared" si="22"/>
        <v>4244860</v>
      </c>
      <c r="S26" s="726">
        <f t="shared" si="22"/>
        <v>13047757</v>
      </c>
      <c r="T26" s="726">
        <f t="shared" si="22"/>
        <v>87450951</v>
      </c>
      <c r="U26" s="726">
        <f t="shared" si="22"/>
        <v>53779002</v>
      </c>
      <c r="V26" s="726">
        <f t="shared" si="22"/>
        <v>16783020.550000001</v>
      </c>
      <c r="W26" s="726">
        <f t="shared" si="22"/>
        <v>16783015.334185999</v>
      </c>
      <c r="X26" s="726">
        <f t="shared" si="22"/>
        <v>16783015.334185999</v>
      </c>
      <c r="Y26" s="726">
        <f t="shared" si="22"/>
        <v>-688550.39</v>
      </c>
      <c r="Z26" s="726">
        <f t="shared" ref="Z26" si="23">Z19+Z22+Z25</f>
        <v>-687452.54999999993</v>
      </c>
    </row>
    <row r="28" spans="1:26">
      <c r="A28" s="227" t="s">
        <v>463</v>
      </c>
      <c r="E28" s="228">
        <f>E26-SUM(E2:E14)</f>
        <v>0</v>
      </c>
      <c r="F28" s="228">
        <f t="shared" ref="F28:W28" si="24">F26-SUM(F2:F14)</f>
        <v>0</v>
      </c>
      <c r="G28" s="228">
        <f t="shared" si="24"/>
        <v>0</v>
      </c>
      <c r="H28" s="228">
        <f t="shared" si="24"/>
        <v>0</v>
      </c>
      <c r="I28" s="228">
        <f t="shared" si="24"/>
        <v>0</v>
      </c>
      <c r="J28" s="228">
        <f t="shared" si="24"/>
        <v>0</v>
      </c>
      <c r="K28" s="228">
        <f t="shared" si="24"/>
        <v>0</v>
      </c>
      <c r="L28" s="228">
        <f t="shared" si="24"/>
        <v>0</v>
      </c>
      <c r="M28" s="228">
        <f t="shared" si="24"/>
        <v>0</v>
      </c>
      <c r="N28" s="228">
        <f t="shared" si="24"/>
        <v>0</v>
      </c>
      <c r="O28" s="228">
        <f t="shared" si="24"/>
        <v>0</v>
      </c>
      <c r="P28" s="228">
        <f t="shared" si="24"/>
        <v>0</v>
      </c>
      <c r="Q28" s="228">
        <f t="shared" si="24"/>
        <v>0</v>
      </c>
      <c r="R28" s="228">
        <f t="shared" si="24"/>
        <v>0</v>
      </c>
      <c r="S28" s="228">
        <f t="shared" si="24"/>
        <v>0</v>
      </c>
      <c r="T28" s="228">
        <f t="shared" si="24"/>
        <v>0</v>
      </c>
      <c r="U28" s="228">
        <f t="shared" si="24"/>
        <v>0</v>
      </c>
      <c r="V28" s="228">
        <f t="shared" si="24"/>
        <v>0</v>
      </c>
      <c r="W28" s="228">
        <f t="shared" si="24"/>
        <v>0</v>
      </c>
      <c r="X28" s="228">
        <f>X26-SUM(X2:X14)</f>
        <v>0</v>
      </c>
      <c r="Y28" s="228">
        <f t="shared" ref="Y28:Z28" si="25">Y26-SUM(Y2:Y14)</f>
        <v>0</v>
      </c>
      <c r="Z28" s="228">
        <f t="shared" si="25"/>
        <v>0</v>
      </c>
    </row>
    <row r="29" spans="1:26">
      <c r="A29" s="227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</row>
    <row r="30" spans="1:26">
      <c r="P30" s="700" t="s">
        <v>903</v>
      </c>
      <c r="Q30" s="701"/>
      <c r="R30" s="701" t="s">
        <v>905</v>
      </c>
      <c r="S30" s="701"/>
      <c r="T30" s="702" t="s">
        <v>904</v>
      </c>
      <c r="V30" s="659" t="s">
        <v>418</v>
      </c>
      <c r="W30" s="660">
        <f>TempRev!I360*(1-TempRev!Y16)</f>
        <v>-181523.24268499998</v>
      </c>
    </row>
    <row r="31" spans="1:26">
      <c r="P31" s="703">
        <f>P19/P26</f>
        <v>0.85444636821910169</v>
      </c>
      <c r="Q31" s="704"/>
      <c r="R31" s="705">
        <f>R22/(R22+S22)</f>
        <v>0.24662119005188296</v>
      </c>
      <c r="S31" s="704"/>
      <c r="T31" s="706">
        <f>T19/(T19+U19)</f>
        <v>0.62325205076073031</v>
      </c>
      <c r="V31" s="661" t="s">
        <v>136</v>
      </c>
      <c r="W31" s="662">
        <f>'Blocking-Step2'!H1616+'Blocking-Step2'!H1654+'Blocking-Step2'!H1636</f>
        <v>24000</v>
      </c>
      <c r="Y31" s="130" t="s">
        <v>1241</v>
      </c>
    </row>
    <row r="32" spans="1:26">
      <c r="V32" s="661" t="s">
        <v>411</v>
      </c>
      <c r="W32" s="662">
        <f>'Blocking-Step2'!H1619+'Blocking-Step2'!H1657+'Blocking-Step2'!H1639</f>
        <v>15944725.4979</v>
      </c>
      <c r="Y32" s="885">
        <f>'Blocking-Step2'!H1617+'Blocking-Step2'!H1655+'Blocking-Step2'!H1637</f>
        <v>-680445.50210000004</v>
      </c>
    </row>
    <row r="33" spans="15:23">
      <c r="O33" s="649"/>
      <c r="P33" s="650" t="s">
        <v>1037</v>
      </c>
      <c r="V33" s="663" t="s">
        <v>498</v>
      </c>
      <c r="W33" s="664">
        <f>W32-W26-W30-W31-Y32</f>
        <v>-321.09150099905673</v>
      </c>
    </row>
    <row r="34" spans="15:23">
      <c r="O34" s="651"/>
      <c r="P34" s="638">
        <f>P25/(P25+P19+P22)</f>
        <v>3.9811101026889513E-2</v>
      </c>
    </row>
  </sheetData>
  <phoneticPr fontId="26" type="noConversion"/>
  <pageMargins left="1" right="1" top="1.82" bottom="1.54" header="1" footer="1"/>
  <pageSetup orientation="landscape" r:id="rId1"/>
  <headerFooter alignWithMargins="0">
    <oddHeader>&amp;L&amp;C&amp;B&amp;"Times New Roman"&amp;14Utah Schedule 10 Non-TOD Billing Determinants
12 Months Ending September 2005&amp;R&amp;"Arial"&amp;8Date: 12/27/2005</oddHeader>
    <oddFooter>&amp;L&amp;C&amp;"Arial"&amp;10Page &amp;P&amp;R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T37"/>
  <sheetViews>
    <sheetView topLeftCell="A10" workbookViewId="0">
      <selection activeCell="W28" sqref="W28"/>
    </sheetView>
  </sheetViews>
  <sheetFormatPr defaultColWidth="8" defaultRowHeight="12.75"/>
  <cols>
    <col min="1" max="1" width="11.625" style="131" bestFit="1" customWidth="1"/>
    <col min="2" max="2" width="4.625" style="131" bestFit="1" customWidth="1"/>
    <col min="3" max="4" width="4.625" style="131" customWidth="1"/>
    <col min="5" max="5" width="12" style="131" customWidth="1"/>
    <col min="6" max="6" width="12.625" style="131" customWidth="1"/>
    <col min="7" max="7" width="10.125" style="131" customWidth="1"/>
    <col min="8" max="8" width="9.125" style="131" customWidth="1"/>
    <col min="9" max="9" width="9.625" style="131" customWidth="1"/>
    <col min="10" max="10" width="9.25" style="131" customWidth="1"/>
    <col min="11" max="11" width="7.625" style="131" customWidth="1"/>
    <col min="12" max="12" width="9" style="131" bestFit="1" customWidth="1"/>
    <col min="13" max="13" width="10.125" style="131" customWidth="1"/>
    <col min="14" max="14" width="9.625" style="131" customWidth="1"/>
    <col min="15" max="15" width="9.625" style="131" bestFit="1" customWidth="1"/>
    <col min="16" max="17" width="9.625" style="131" customWidth="1"/>
    <col min="18" max="19" width="8" style="131"/>
    <col min="20" max="20" width="3.125" style="131" bestFit="1" customWidth="1"/>
    <col min="21" max="16384" width="8" style="131"/>
  </cols>
  <sheetData>
    <row r="1" spans="1:20" ht="13.5" customHeight="1">
      <c r="A1" s="1155" t="s">
        <v>192</v>
      </c>
      <c r="B1" s="1155" t="s">
        <v>562</v>
      </c>
      <c r="C1" s="1155" t="s">
        <v>726</v>
      </c>
      <c r="D1" s="1155" t="s">
        <v>727</v>
      </c>
      <c r="E1" s="1155" t="s">
        <v>728</v>
      </c>
      <c r="F1" s="1155" t="s">
        <v>710</v>
      </c>
      <c r="G1" s="1155" t="s">
        <v>125</v>
      </c>
      <c r="H1" s="1155" t="s">
        <v>126</v>
      </c>
      <c r="I1" s="1155" t="s">
        <v>127</v>
      </c>
      <c r="J1" s="1155" t="s">
        <v>128</v>
      </c>
      <c r="K1" s="1155" t="s">
        <v>151</v>
      </c>
      <c r="L1" s="1155" t="s">
        <v>175</v>
      </c>
      <c r="M1" s="1155" t="s">
        <v>70</v>
      </c>
      <c r="N1" s="1155" t="s">
        <v>71</v>
      </c>
      <c r="O1" s="1155" t="s">
        <v>619</v>
      </c>
      <c r="P1" s="1155" t="s">
        <v>1225</v>
      </c>
      <c r="Q1" s="1155" t="s">
        <v>1256</v>
      </c>
    </row>
    <row r="2" spans="1:20" ht="14.25" customHeight="1">
      <c r="A2" s="1156" t="s">
        <v>134</v>
      </c>
      <c r="B2" s="1181">
        <v>42</v>
      </c>
      <c r="C2" s="1156" t="s">
        <v>512</v>
      </c>
      <c r="D2" s="1156" t="s">
        <v>576</v>
      </c>
      <c r="E2" s="1181">
        <v>28</v>
      </c>
      <c r="F2" s="1182">
        <v>11.8</v>
      </c>
      <c r="G2" s="1157">
        <v>806263.10847457603</v>
      </c>
      <c r="H2" s="1157">
        <v>339782.31</v>
      </c>
      <c r="I2" s="1157">
        <v>-4928</v>
      </c>
      <c r="J2" s="1157">
        <v>-2076.8000000000002</v>
      </c>
      <c r="K2" s="1157">
        <v>66</v>
      </c>
      <c r="L2" s="1157">
        <v>28619.111016949199</v>
      </c>
      <c r="M2" s="1157">
        <v>801335.10847457603</v>
      </c>
      <c r="N2" s="1157">
        <v>337705.51</v>
      </c>
      <c r="O2" s="1157">
        <v>337705.50999999698</v>
      </c>
      <c r="P2" s="1159">
        <v>-6766.73</v>
      </c>
      <c r="Q2" s="1159">
        <v>-6830.05</v>
      </c>
      <c r="S2" s="889">
        <f>O2-N2</f>
        <v>-3.0267983675003052E-9</v>
      </c>
      <c r="T2" s="889">
        <f>Q2-P2</f>
        <v>-63.320000000000618</v>
      </c>
    </row>
    <row r="3" spans="1:20" ht="14.25" customHeight="1">
      <c r="A3" s="371"/>
      <c r="B3" s="1181">
        <v>43</v>
      </c>
      <c r="C3" s="1156" t="s">
        <v>513</v>
      </c>
      <c r="D3" s="1156" t="s">
        <v>576</v>
      </c>
      <c r="E3" s="1181">
        <v>39</v>
      </c>
      <c r="F3" s="1182">
        <v>12.78</v>
      </c>
      <c r="G3" s="1157">
        <v>7542101.4225352099</v>
      </c>
      <c r="H3" s="1157">
        <v>2471488.62</v>
      </c>
      <c r="I3" s="1157">
        <v>28382.906103286401</v>
      </c>
      <c r="J3" s="1157">
        <v>9300.86</v>
      </c>
      <c r="K3" s="1157">
        <v>249</v>
      </c>
      <c r="L3" s="1157">
        <v>194114.982785603</v>
      </c>
      <c r="M3" s="1157">
        <v>7570484.3286384996</v>
      </c>
      <c r="N3" s="1157">
        <v>2480789.48</v>
      </c>
      <c r="O3" s="1157">
        <v>2480789.4799999502</v>
      </c>
      <c r="P3" s="1159">
        <v>-49678.94</v>
      </c>
      <c r="Q3" s="1159">
        <v>-49594.85</v>
      </c>
      <c r="S3" s="889">
        <f t="shared" ref="S3:S31" si="0">O3-N3</f>
        <v>-4.9825757741928101E-8</v>
      </c>
      <c r="T3" s="889">
        <f t="shared" ref="T3:T31" si="1">Q3-P3</f>
        <v>84.090000000003783</v>
      </c>
    </row>
    <row r="4" spans="1:20" ht="14.25" customHeight="1">
      <c r="A4" s="371"/>
      <c r="B4" s="1181">
        <v>44</v>
      </c>
      <c r="C4" s="1156" t="s">
        <v>514</v>
      </c>
      <c r="D4" s="1156" t="s">
        <v>576</v>
      </c>
      <c r="E4" s="1181">
        <v>39</v>
      </c>
      <c r="F4" s="1182">
        <v>11.5</v>
      </c>
      <c r="G4" s="1157">
        <v>5616</v>
      </c>
      <c r="H4" s="1157">
        <v>1656</v>
      </c>
      <c r="I4" s="1157">
        <v>0</v>
      </c>
      <c r="J4" s="1157">
        <v>0</v>
      </c>
      <c r="K4" s="1157">
        <v>7</v>
      </c>
      <c r="L4" s="1157">
        <v>144</v>
      </c>
      <c r="M4" s="1157">
        <v>5616</v>
      </c>
      <c r="N4" s="1157">
        <v>1656</v>
      </c>
      <c r="O4" s="1157">
        <v>1656</v>
      </c>
      <c r="P4" s="1159">
        <v>-33.229999999999997</v>
      </c>
      <c r="Q4" s="1159">
        <v>-33.229999999999997</v>
      </c>
      <c r="S4" s="889">
        <f t="shared" si="0"/>
        <v>0</v>
      </c>
      <c r="T4" s="889">
        <f t="shared" si="1"/>
        <v>0</v>
      </c>
    </row>
    <row r="5" spans="1:20" ht="14.25" customHeight="1">
      <c r="A5" s="371"/>
      <c r="B5" s="1181">
        <v>45</v>
      </c>
      <c r="C5" s="1156" t="s">
        <v>515</v>
      </c>
      <c r="D5" s="1156" t="s">
        <v>576</v>
      </c>
      <c r="E5" s="1181">
        <v>59</v>
      </c>
      <c r="F5" s="1182">
        <v>16.940000000000001</v>
      </c>
      <c r="G5" s="1157">
        <v>1098064.0808736701</v>
      </c>
      <c r="H5" s="1157">
        <v>315274.67</v>
      </c>
      <c r="I5" s="1157">
        <v>42575.570247933902</v>
      </c>
      <c r="J5" s="1157">
        <v>12224.24</v>
      </c>
      <c r="K5" s="1157">
        <v>105</v>
      </c>
      <c r="L5" s="1157">
        <v>19332.8754427391</v>
      </c>
      <c r="M5" s="1157">
        <v>1140639.6511216101</v>
      </c>
      <c r="N5" s="1157">
        <v>327498.90999999997</v>
      </c>
      <c r="O5" s="1157">
        <v>327498.91000000603</v>
      </c>
      <c r="P5" s="1159">
        <v>-6550.35</v>
      </c>
      <c r="Q5" s="1159">
        <v>-6216.92</v>
      </c>
      <c r="S5" s="889">
        <f t="shared" si="0"/>
        <v>6.0535967350006104E-9</v>
      </c>
      <c r="T5" s="889">
        <f t="shared" si="1"/>
        <v>333.43000000000029</v>
      </c>
    </row>
    <row r="6" spans="1:20" ht="14.25" customHeight="1">
      <c r="A6" s="371"/>
      <c r="B6" s="1181">
        <v>46</v>
      </c>
      <c r="C6" s="1156" t="s">
        <v>516</v>
      </c>
      <c r="D6" s="1156" t="s">
        <v>576</v>
      </c>
      <c r="E6" s="1181">
        <v>38</v>
      </c>
      <c r="F6" s="1182">
        <v>15.25</v>
      </c>
      <c r="G6" s="1157">
        <v>1824</v>
      </c>
      <c r="H6" s="1157">
        <v>732</v>
      </c>
      <c r="I6" s="1157">
        <v>0</v>
      </c>
      <c r="J6" s="1157">
        <v>0</v>
      </c>
      <c r="K6" s="1157">
        <v>2</v>
      </c>
      <c r="L6" s="1157">
        <v>48</v>
      </c>
      <c r="M6" s="1157">
        <v>1824</v>
      </c>
      <c r="N6" s="1157">
        <v>732</v>
      </c>
      <c r="O6" s="1157">
        <v>732</v>
      </c>
      <c r="P6" s="1159">
        <v>-14.82</v>
      </c>
      <c r="Q6" s="1159">
        <v>-14.82</v>
      </c>
      <c r="S6" s="889">
        <f t="shared" si="0"/>
        <v>0</v>
      </c>
      <c r="T6" s="889">
        <f t="shared" si="1"/>
        <v>0</v>
      </c>
    </row>
    <row r="7" spans="1:20" ht="14.25" customHeight="1">
      <c r="A7" s="371"/>
      <c r="B7" s="1181">
        <v>47</v>
      </c>
      <c r="C7" s="1156" t="s">
        <v>517</v>
      </c>
      <c r="D7" s="1156" t="s">
        <v>576</v>
      </c>
      <c r="E7" s="1181">
        <v>96</v>
      </c>
      <c r="F7" s="1182">
        <v>21.14</v>
      </c>
      <c r="G7" s="1157">
        <v>2157572.9801324499</v>
      </c>
      <c r="H7" s="1157">
        <v>475115.55</v>
      </c>
      <c r="I7" s="1157">
        <v>-4704</v>
      </c>
      <c r="J7" s="1157">
        <v>-1035.8599999999999</v>
      </c>
      <c r="K7" s="1157">
        <v>108</v>
      </c>
      <c r="L7" s="1157">
        <v>22425.718543046401</v>
      </c>
      <c r="M7" s="1157">
        <v>2152868.9801324499</v>
      </c>
      <c r="N7" s="1157">
        <v>474079.69</v>
      </c>
      <c r="O7" s="1157">
        <v>474079.69000000798</v>
      </c>
      <c r="P7" s="1159">
        <v>-9504.91</v>
      </c>
      <c r="Q7" s="1159">
        <v>-9549.2900000000009</v>
      </c>
      <c r="S7" s="889">
        <f t="shared" si="0"/>
        <v>7.9744495451450348E-9</v>
      </c>
      <c r="T7" s="889">
        <f t="shared" si="1"/>
        <v>-44.380000000001019</v>
      </c>
    </row>
    <row r="8" spans="1:20" ht="14.25" customHeight="1">
      <c r="A8" s="371"/>
      <c r="B8" s="1181">
        <v>48</v>
      </c>
      <c r="C8" s="1156" t="s">
        <v>528</v>
      </c>
      <c r="D8" s="1156" t="s">
        <v>576</v>
      </c>
      <c r="E8" s="1181">
        <v>62</v>
      </c>
      <c r="F8" s="1182">
        <v>19.03</v>
      </c>
      <c r="G8" s="1157">
        <v>744</v>
      </c>
      <c r="H8" s="1157">
        <v>228.36</v>
      </c>
      <c r="I8" s="1157">
        <v>0</v>
      </c>
      <c r="J8" s="1157">
        <v>0</v>
      </c>
      <c r="K8" s="1157">
        <v>1</v>
      </c>
      <c r="L8" s="1157">
        <v>12</v>
      </c>
      <c r="M8" s="1157">
        <v>744</v>
      </c>
      <c r="N8" s="1157">
        <v>228.36</v>
      </c>
      <c r="O8" s="1157">
        <v>228.36</v>
      </c>
      <c r="P8" s="1159">
        <v>-4.5599999999999996</v>
      </c>
      <c r="Q8" s="1159">
        <v>-4.7300000000000004</v>
      </c>
      <c r="S8" s="889">
        <f t="shared" si="0"/>
        <v>0</v>
      </c>
      <c r="T8" s="889">
        <f t="shared" si="1"/>
        <v>-0.17000000000000082</v>
      </c>
    </row>
    <row r="9" spans="1:20" ht="14.25" customHeight="1">
      <c r="A9" s="371"/>
      <c r="B9" s="1181">
        <v>49</v>
      </c>
      <c r="C9" s="1156" t="s">
        <v>518</v>
      </c>
      <c r="D9" s="1156" t="s">
        <v>576</v>
      </c>
      <c r="E9" s="1181">
        <v>148</v>
      </c>
      <c r="F9" s="1182">
        <v>26.02</v>
      </c>
      <c r="G9" s="1157">
        <v>1136219.20676403</v>
      </c>
      <c r="H9" s="1157">
        <v>199759.62</v>
      </c>
      <c r="I9" s="1157">
        <v>-1184</v>
      </c>
      <c r="J9" s="1157">
        <v>-208.16</v>
      </c>
      <c r="K9" s="1157">
        <v>70</v>
      </c>
      <c r="L9" s="1157">
        <v>7669.15680245965</v>
      </c>
      <c r="M9" s="1157">
        <v>1135035.20676403</v>
      </c>
      <c r="N9" s="1157">
        <v>199551.46</v>
      </c>
      <c r="O9" s="1157">
        <v>199551.459999999</v>
      </c>
      <c r="P9" s="1159">
        <v>-4002.67</v>
      </c>
      <c r="Q9" s="1159">
        <v>-4010.88</v>
      </c>
      <c r="S9" s="889">
        <f t="shared" si="0"/>
        <v>-9.8953023552894592E-10</v>
      </c>
      <c r="T9" s="889">
        <f t="shared" si="1"/>
        <v>-8.2100000000000364</v>
      </c>
    </row>
    <row r="10" spans="1:20" ht="14.25" customHeight="1">
      <c r="A10" s="371"/>
      <c r="B10" s="1181">
        <v>51</v>
      </c>
      <c r="C10" s="1156" t="s">
        <v>529</v>
      </c>
      <c r="D10" s="1156" t="s">
        <v>576</v>
      </c>
      <c r="E10" s="1181">
        <v>39</v>
      </c>
      <c r="F10" s="1182">
        <v>46.54</v>
      </c>
      <c r="G10" s="1157">
        <v>16848</v>
      </c>
      <c r="H10" s="1157">
        <v>20105.28</v>
      </c>
      <c r="I10" s="1157">
        <v>0</v>
      </c>
      <c r="J10" s="1157">
        <v>0</v>
      </c>
      <c r="K10" s="1157">
        <v>3</v>
      </c>
      <c r="L10" s="1157">
        <v>432</v>
      </c>
      <c r="M10" s="1157">
        <v>16848</v>
      </c>
      <c r="N10" s="1157">
        <v>20105.28</v>
      </c>
      <c r="O10" s="1157">
        <v>20105.28</v>
      </c>
      <c r="P10" s="1159">
        <v>-401.47</v>
      </c>
      <c r="Q10" s="1159">
        <v>-401.47</v>
      </c>
      <c r="S10" s="889">
        <f t="shared" si="0"/>
        <v>0</v>
      </c>
      <c r="T10" s="889">
        <f t="shared" si="1"/>
        <v>0</v>
      </c>
    </row>
    <row r="11" spans="1:20" ht="14.25" customHeight="1">
      <c r="A11" s="371"/>
      <c r="B11" s="1181">
        <v>52</v>
      </c>
      <c r="C11" s="1156" t="s">
        <v>530</v>
      </c>
      <c r="D11" s="1156" t="s">
        <v>576</v>
      </c>
      <c r="E11" s="1181">
        <v>59</v>
      </c>
      <c r="F11" s="1182">
        <v>47.83</v>
      </c>
      <c r="G11" s="1157">
        <v>140066</v>
      </c>
      <c r="H11" s="1157">
        <v>113548.42</v>
      </c>
      <c r="I11" s="1157">
        <v>118</v>
      </c>
      <c r="J11" s="1157">
        <v>95.66</v>
      </c>
      <c r="K11" s="1157">
        <v>4</v>
      </c>
      <c r="L11" s="1157">
        <v>2376</v>
      </c>
      <c r="M11" s="1157">
        <v>140184</v>
      </c>
      <c r="N11" s="1157">
        <v>113644.08</v>
      </c>
      <c r="O11" s="1157">
        <v>113644.08</v>
      </c>
      <c r="P11" s="1159">
        <v>-2268.5100000000002</v>
      </c>
      <c r="Q11" s="1159">
        <v>-2267.48</v>
      </c>
      <c r="S11" s="889">
        <f t="shared" si="0"/>
        <v>0</v>
      </c>
      <c r="T11" s="889">
        <f t="shared" si="1"/>
        <v>1.0300000000002001</v>
      </c>
    </row>
    <row r="12" spans="1:20" ht="14.25" customHeight="1">
      <c r="A12" s="371"/>
      <c r="B12" s="1181">
        <v>53</v>
      </c>
      <c r="C12" s="1156" t="s">
        <v>531</v>
      </c>
      <c r="D12" s="1156" t="s">
        <v>576</v>
      </c>
      <c r="E12" s="1181">
        <v>96</v>
      </c>
      <c r="F12" s="1182">
        <v>51.48</v>
      </c>
      <c r="G12" s="1157">
        <v>119808</v>
      </c>
      <c r="H12" s="1157">
        <v>64247.040000000001</v>
      </c>
      <c r="I12" s="1157">
        <v>0</v>
      </c>
      <c r="J12" s="1157">
        <v>0</v>
      </c>
      <c r="K12" s="1157">
        <v>1</v>
      </c>
      <c r="L12" s="1157">
        <v>1248</v>
      </c>
      <c r="M12" s="1157">
        <v>119808</v>
      </c>
      <c r="N12" s="1157">
        <v>64247.040000000001</v>
      </c>
      <c r="O12" s="1157">
        <v>64247.040000000001</v>
      </c>
      <c r="P12" s="1159">
        <v>-1280.95</v>
      </c>
      <c r="Q12" s="1159">
        <v>-1280.95</v>
      </c>
      <c r="S12" s="889">
        <f t="shared" si="0"/>
        <v>0</v>
      </c>
      <c r="T12" s="889">
        <f t="shared" si="1"/>
        <v>0</v>
      </c>
    </row>
    <row r="13" spans="1:20" ht="14.25" customHeight="1">
      <c r="A13" s="371"/>
      <c r="B13" s="1181">
        <v>54</v>
      </c>
      <c r="C13" s="1156" t="s">
        <v>532</v>
      </c>
      <c r="D13" s="1156" t="s">
        <v>576</v>
      </c>
      <c r="E13" s="1181">
        <v>39</v>
      </c>
      <c r="F13" s="1182">
        <v>38.049999999999997</v>
      </c>
      <c r="G13" s="1157">
        <v>1939.6785808147199</v>
      </c>
      <c r="H13" s="1157">
        <v>1892.43</v>
      </c>
      <c r="I13" s="1157">
        <v>0</v>
      </c>
      <c r="J13" s="1157">
        <v>0</v>
      </c>
      <c r="K13" s="1157">
        <v>3</v>
      </c>
      <c r="L13" s="1157">
        <v>49.735348226018402</v>
      </c>
      <c r="M13" s="1157">
        <v>1939.6785808147199</v>
      </c>
      <c r="N13" s="1157">
        <v>1892.43</v>
      </c>
      <c r="O13" s="1157">
        <v>1892.43</v>
      </c>
      <c r="P13" s="1159">
        <v>-37.51</v>
      </c>
      <c r="Q13" s="1159">
        <v>-38.19</v>
      </c>
      <c r="S13" s="889">
        <f t="shared" si="0"/>
        <v>0</v>
      </c>
      <c r="T13" s="889">
        <f t="shared" si="1"/>
        <v>-0.67999999999999972</v>
      </c>
    </row>
    <row r="14" spans="1:20" ht="14.25" customHeight="1">
      <c r="A14" s="371"/>
      <c r="B14" s="1181">
        <v>55</v>
      </c>
      <c r="C14" s="1156" t="s">
        <v>533</v>
      </c>
      <c r="D14" s="1156" t="s">
        <v>576</v>
      </c>
      <c r="E14" s="1181">
        <v>59</v>
      </c>
      <c r="F14" s="1182">
        <v>39.340000000000003</v>
      </c>
      <c r="G14" s="1157">
        <v>23364</v>
      </c>
      <c r="H14" s="1157">
        <v>15578.64</v>
      </c>
      <c r="I14" s="1157">
        <v>0</v>
      </c>
      <c r="J14" s="1157">
        <v>0</v>
      </c>
      <c r="K14" s="1157">
        <v>2</v>
      </c>
      <c r="L14" s="1157">
        <v>396</v>
      </c>
      <c r="M14" s="1157">
        <v>23364</v>
      </c>
      <c r="N14" s="1157">
        <v>15578.64</v>
      </c>
      <c r="O14" s="1157">
        <v>15578.64</v>
      </c>
      <c r="P14" s="1159">
        <v>-308.58</v>
      </c>
      <c r="Q14" s="1159">
        <v>-319.83</v>
      </c>
      <c r="S14" s="889">
        <f t="shared" si="0"/>
        <v>0</v>
      </c>
      <c r="T14" s="889">
        <f t="shared" si="1"/>
        <v>-11.25</v>
      </c>
    </row>
    <row r="15" spans="1:20" ht="14.25" customHeight="1">
      <c r="A15" s="371"/>
      <c r="B15" s="1181">
        <v>57</v>
      </c>
      <c r="C15" s="1156" t="s">
        <v>716</v>
      </c>
      <c r="D15" s="1156" t="s">
        <v>577</v>
      </c>
      <c r="E15" s="1181">
        <v>69</v>
      </c>
      <c r="F15" s="1182">
        <v>20.13</v>
      </c>
      <c r="G15" s="1157">
        <v>3249.8897168405401</v>
      </c>
      <c r="H15" s="1157">
        <v>948.12</v>
      </c>
      <c r="I15" s="1157">
        <v>69</v>
      </c>
      <c r="J15" s="1157">
        <v>20.13</v>
      </c>
      <c r="K15" s="1157">
        <v>3</v>
      </c>
      <c r="L15" s="1157">
        <v>48.0998509687034</v>
      </c>
      <c r="M15" s="1157">
        <v>3318.8897168405401</v>
      </c>
      <c r="N15" s="1157">
        <v>968.25</v>
      </c>
      <c r="O15" s="1157">
        <v>968.25</v>
      </c>
      <c r="P15" s="1159">
        <v>-19.649999999999999</v>
      </c>
      <c r="Q15" s="1159">
        <v>-19.25</v>
      </c>
      <c r="S15" s="889">
        <f t="shared" si="0"/>
        <v>0</v>
      </c>
      <c r="T15" s="889">
        <f t="shared" si="1"/>
        <v>0.39999999999999858</v>
      </c>
    </row>
    <row r="16" spans="1:20" ht="14.25" customHeight="1">
      <c r="A16" s="371"/>
      <c r="B16" s="1181">
        <v>58</v>
      </c>
      <c r="C16" s="1156" t="s">
        <v>717</v>
      </c>
      <c r="D16" s="1156" t="s">
        <v>577</v>
      </c>
      <c r="E16" s="1181">
        <v>93</v>
      </c>
      <c r="F16" s="1182">
        <v>22.13</v>
      </c>
      <c r="G16" s="1157">
        <v>29016</v>
      </c>
      <c r="H16" s="1157">
        <v>6904.56</v>
      </c>
      <c r="I16" s="1157">
        <v>0</v>
      </c>
      <c r="J16" s="1157">
        <v>0</v>
      </c>
      <c r="K16" s="1157">
        <v>2</v>
      </c>
      <c r="L16" s="1157">
        <v>312</v>
      </c>
      <c r="M16" s="1157">
        <v>29016</v>
      </c>
      <c r="N16" s="1157">
        <v>6904.56</v>
      </c>
      <c r="O16" s="1157">
        <v>6904.56</v>
      </c>
      <c r="P16" s="1159">
        <v>-137.31</v>
      </c>
      <c r="Q16" s="1159">
        <v>-137.31</v>
      </c>
      <c r="S16" s="889">
        <f t="shared" si="0"/>
        <v>0</v>
      </c>
      <c r="T16" s="889">
        <f t="shared" si="1"/>
        <v>0</v>
      </c>
    </row>
    <row r="17" spans="1:20" ht="14.25" customHeight="1">
      <c r="A17" s="371"/>
      <c r="B17" s="1181">
        <v>59</v>
      </c>
      <c r="C17" s="1156" t="s">
        <v>718</v>
      </c>
      <c r="D17" s="1156" t="s">
        <v>577</v>
      </c>
      <c r="E17" s="1181">
        <v>39</v>
      </c>
      <c r="F17" s="1182">
        <v>48.74</v>
      </c>
      <c r="G17" s="1157">
        <v>1086.6228970045099</v>
      </c>
      <c r="H17" s="1157">
        <v>1358</v>
      </c>
      <c r="I17" s="1157">
        <v>0</v>
      </c>
      <c r="J17" s="1157">
        <v>0</v>
      </c>
      <c r="K17" s="1157">
        <v>1</v>
      </c>
      <c r="L17" s="1157">
        <v>27.862125564218299</v>
      </c>
      <c r="M17" s="1157">
        <v>1086.6228970045099</v>
      </c>
      <c r="N17" s="1157">
        <v>1358</v>
      </c>
      <c r="O17" s="1157">
        <v>1358</v>
      </c>
      <c r="P17" s="1159">
        <v>-27.03</v>
      </c>
      <c r="Q17" s="1159">
        <v>-27.03</v>
      </c>
      <c r="S17" s="889">
        <f t="shared" si="0"/>
        <v>0</v>
      </c>
      <c r="T17" s="889">
        <f t="shared" si="1"/>
        <v>0</v>
      </c>
    </row>
    <row r="18" spans="1:20" ht="14.25" customHeight="1">
      <c r="A18" s="371"/>
      <c r="B18" s="1181">
        <v>63</v>
      </c>
      <c r="C18" s="1156" t="s">
        <v>719</v>
      </c>
      <c r="D18" s="1156" t="s">
        <v>577</v>
      </c>
      <c r="E18" s="1181">
        <v>39</v>
      </c>
      <c r="F18" s="1182">
        <v>40.270000000000003</v>
      </c>
      <c r="G18" s="1157">
        <v>1404</v>
      </c>
      <c r="H18" s="1157">
        <v>1449.72</v>
      </c>
      <c r="I18" s="1157">
        <v>0</v>
      </c>
      <c r="J18" s="1157">
        <v>0</v>
      </c>
      <c r="K18" s="1157">
        <v>1</v>
      </c>
      <c r="L18" s="1157">
        <v>36</v>
      </c>
      <c r="M18" s="1157">
        <v>1404</v>
      </c>
      <c r="N18" s="1157">
        <v>1449.72</v>
      </c>
      <c r="O18" s="1157">
        <v>1449.72</v>
      </c>
      <c r="P18" s="1159">
        <v>-29.08</v>
      </c>
      <c r="Q18" s="1159">
        <v>-29.08</v>
      </c>
      <c r="S18" s="889">
        <f t="shared" si="0"/>
        <v>0</v>
      </c>
      <c r="T18" s="889">
        <f t="shared" si="1"/>
        <v>0</v>
      </c>
    </row>
    <row r="19" spans="1:20" ht="14.25" customHeight="1">
      <c r="A19" s="371"/>
      <c r="B19" s="1181">
        <v>64</v>
      </c>
      <c r="C19" s="1156" t="s">
        <v>720</v>
      </c>
      <c r="D19" s="1156" t="s">
        <v>577</v>
      </c>
      <c r="E19" s="1181">
        <v>69</v>
      </c>
      <c r="F19" s="1182">
        <v>42.17</v>
      </c>
      <c r="G19" s="1157">
        <v>828</v>
      </c>
      <c r="H19" s="1157">
        <v>506.04</v>
      </c>
      <c r="I19" s="1157">
        <v>0</v>
      </c>
      <c r="J19" s="1157">
        <v>0</v>
      </c>
      <c r="K19" s="1157">
        <v>1</v>
      </c>
      <c r="L19" s="1157">
        <v>12</v>
      </c>
      <c r="M19" s="1157">
        <v>828</v>
      </c>
      <c r="N19" s="1157">
        <v>506.04</v>
      </c>
      <c r="O19" s="1157">
        <v>506.04</v>
      </c>
      <c r="P19" s="1159">
        <v>-10.11</v>
      </c>
      <c r="Q19" s="1159">
        <v>-10.11</v>
      </c>
      <c r="S19" s="889">
        <f t="shared" si="0"/>
        <v>0</v>
      </c>
      <c r="T19" s="889">
        <f t="shared" si="1"/>
        <v>0</v>
      </c>
    </row>
    <row r="20" spans="1:20" ht="14.25" customHeight="1">
      <c r="A20" s="371"/>
      <c r="B20" s="1181">
        <v>65</v>
      </c>
      <c r="C20" s="1156" t="s">
        <v>721</v>
      </c>
      <c r="D20" s="1156" t="s">
        <v>577</v>
      </c>
      <c r="E20" s="1181">
        <v>93</v>
      </c>
      <c r="F20" s="1182">
        <v>45.2</v>
      </c>
      <c r="G20" s="1157">
        <v>47988</v>
      </c>
      <c r="H20" s="1157">
        <v>23323.200000000001</v>
      </c>
      <c r="I20" s="1157">
        <v>0</v>
      </c>
      <c r="J20" s="1157">
        <v>0</v>
      </c>
      <c r="K20" s="1157">
        <v>2</v>
      </c>
      <c r="L20" s="1157">
        <v>516</v>
      </c>
      <c r="M20" s="1157">
        <v>47988</v>
      </c>
      <c r="N20" s="1157">
        <v>23323.200000000001</v>
      </c>
      <c r="O20" s="1157">
        <v>23323.200000000001</v>
      </c>
      <c r="P20" s="1159">
        <v>-462.11</v>
      </c>
      <c r="Q20" s="1159">
        <v>-462.11</v>
      </c>
      <c r="S20" s="889">
        <f t="shared" si="0"/>
        <v>0</v>
      </c>
      <c r="T20" s="889">
        <f t="shared" si="1"/>
        <v>0</v>
      </c>
    </row>
    <row r="21" spans="1:20" ht="14.25" customHeight="1">
      <c r="A21" s="371"/>
      <c r="B21" s="1181">
        <v>66</v>
      </c>
      <c r="C21" s="1156" t="s">
        <v>509</v>
      </c>
      <c r="D21" s="1156" t="s">
        <v>579</v>
      </c>
      <c r="E21" s="1181">
        <v>39</v>
      </c>
      <c r="F21" s="1182">
        <v>11.09</v>
      </c>
      <c r="G21" s="1157">
        <v>10764</v>
      </c>
      <c r="H21" s="1157">
        <v>3060.84</v>
      </c>
      <c r="I21" s="1157">
        <v>0</v>
      </c>
      <c r="J21" s="1157">
        <v>0</v>
      </c>
      <c r="K21" s="1157">
        <v>9</v>
      </c>
      <c r="L21" s="1157">
        <v>276</v>
      </c>
      <c r="M21" s="1157">
        <v>10764</v>
      </c>
      <c r="N21" s="1157">
        <v>3060.84</v>
      </c>
      <c r="O21" s="1157">
        <v>3060.84</v>
      </c>
      <c r="P21" s="1159">
        <v>-61.49</v>
      </c>
      <c r="Q21" s="1159">
        <v>-61.49</v>
      </c>
      <c r="S21" s="889">
        <f t="shared" si="0"/>
        <v>0</v>
      </c>
      <c r="T21" s="889">
        <f t="shared" si="1"/>
        <v>0</v>
      </c>
    </row>
    <row r="22" spans="1:20" ht="14.25" customHeight="1">
      <c r="A22" s="371"/>
      <c r="B22" s="1181">
        <v>67</v>
      </c>
      <c r="C22" s="1156" t="s">
        <v>510</v>
      </c>
      <c r="D22" s="1156" t="s">
        <v>579</v>
      </c>
      <c r="E22" s="1181">
        <v>69</v>
      </c>
      <c r="F22" s="1182">
        <v>13.83</v>
      </c>
      <c r="G22" s="1157">
        <v>201071.88720173499</v>
      </c>
      <c r="H22" s="1157">
        <v>40301.800000000003</v>
      </c>
      <c r="I22" s="1157">
        <v>-966</v>
      </c>
      <c r="J22" s="1157">
        <v>-193.62</v>
      </c>
      <c r="K22" s="1157">
        <v>35</v>
      </c>
      <c r="L22" s="1157">
        <v>2900.0853217642798</v>
      </c>
      <c r="M22" s="1157">
        <v>200105.88720173499</v>
      </c>
      <c r="N22" s="1157">
        <v>40108.18</v>
      </c>
      <c r="O22" s="1157">
        <v>40108.180000000299</v>
      </c>
      <c r="P22" s="1159">
        <v>-799.68</v>
      </c>
      <c r="Q22" s="1159">
        <v>-812.97</v>
      </c>
      <c r="S22" s="889">
        <f t="shared" si="0"/>
        <v>2.9831426218152046E-10</v>
      </c>
      <c r="T22" s="889">
        <f t="shared" si="1"/>
        <v>-13.290000000000077</v>
      </c>
    </row>
    <row r="23" spans="1:20" ht="14.25" customHeight="1">
      <c r="A23" s="371"/>
      <c r="B23" s="1181">
        <v>68</v>
      </c>
      <c r="C23" s="1156" t="s">
        <v>722</v>
      </c>
      <c r="D23" s="1156" t="s">
        <v>579</v>
      </c>
      <c r="E23" s="1181">
        <v>93</v>
      </c>
      <c r="F23" s="1182">
        <v>19.399999999999999</v>
      </c>
      <c r="G23" s="1157">
        <v>8928</v>
      </c>
      <c r="H23" s="1157">
        <v>1862.4</v>
      </c>
      <c r="I23" s="1157">
        <v>0</v>
      </c>
      <c r="J23" s="1157">
        <v>0</v>
      </c>
      <c r="K23" s="1157">
        <v>2</v>
      </c>
      <c r="L23" s="1157">
        <v>96</v>
      </c>
      <c r="M23" s="1157">
        <v>8928</v>
      </c>
      <c r="N23" s="1157">
        <v>1862.4</v>
      </c>
      <c r="O23" s="1157">
        <v>1862.4</v>
      </c>
      <c r="P23" s="1159">
        <v>-36.9</v>
      </c>
      <c r="Q23" s="1159">
        <v>-38.11</v>
      </c>
      <c r="S23" s="889">
        <f t="shared" si="0"/>
        <v>0</v>
      </c>
      <c r="T23" s="889">
        <f t="shared" si="1"/>
        <v>-1.2100000000000009</v>
      </c>
    </row>
    <row r="24" spans="1:20" ht="13.35" customHeight="1">
      <c r="A24" s="371"/>
      <c r="B24" s="1181">
        <v>69</v>
      </c>
      <c r="C24" s="1156" t="s">
        <v>511</v>
      </c>
      <c r="D24" s="1156" t="s">
        <v>579</v>
      </c>
      <c r="E24" s="1181">
        <v>145</v>
      </c>
      <c r="F24" s="1182">
        <v>24.43</v>
      </c>
      <c r="G24" s="1157">
        <v>37250.517805976298</v>
      </c>
      <c r="H24" s="1157">
        <v>6276.07</v>
      </c>
      <c r="I24" s="1157">
        <v>-1595</v>
      </c>
      <c r="J24" s="1157">
        <v>-268.73</v>
      </c>
      <c r="K24" s="1157">
        <v>10</v>
      </c>
      <c r="L24" s="1157">
        <v>245.900122799836</v>
      </c>
      <c r="M24" s="1157">
        <v>35655.517805976298</v>
      </c>
      <c r="N24" s="1157">
        <v>6007.34</v>
      </c>
      <c r="O24" s="1157">
        <v>6007.3399999999901</v>
      </c>
      <c r="P24" s="1159">
        <v>-119.32</v>
      </c>
      <c r="Q24" s="1159">
        <v>-127.15</v>
      </c>
      <c r="S24" s="889">
        <f t="shared" si="0"/>
        <v>-1.0004441719502211E-11</v>
      </c>
      <c r="T24" s="889">
        <f t="shared" si="1"/>
        <v>-7.8300000000000125</v>
      </c>
    </row>
    <row r="25" spans="1:20" ht="15.75">
      <c r="A25" s="371"/>
      <c r="B25" s="1181">
        <v>71</v>
      </c>
      <c r="C25" s="1156" t="s">
        <v>723</v>
      </c>
      <c r="D25" s="1156" t="s">
        <v>578</v>
      </c>
      <c r="E25" s="1181">
        <v>24</v>
      </c>
      <c r="F25" s="1182">
        <v>4.24</v>
      </c>
      <c r="G25" s="1157">
        <v>3456</v>
      </c>
      <c r="H25" s="1157">
        <v>610.55999999999995</v>
      </c>
      <c r="I25" s="1157">
        <v>0</v>
      </c>
      <c r="J25" s="1157">
        <v>0</v>
      </c>
      <c r="K25" s="1157">
        <v>2</v>
      </c>
      <c r="L25" s="1157">
        <v>144</v>
      </c>
      <c r="M25" s="1157">
        <v>3456</v>
      </c>
      <c r="N25" s="1157">
        <v>610.55999999999995</v>
      </c>
      <c r="O25" s="1157">
        <v>610.55999999999995</v>
      </c>
      <c r="P25" s="1159">
        <v>-12.15</v>
      </c>
      <c r="Q25" s="1159">
        <v>-12.15</v>
      </c>
      <c r="S25" s="889">
        <f t="shared" si="0"/>
        <v>0</v>
      </c>
      <c r="T25" s="889">
        <f t="shared" si="1"/>
        <v>0</v>
      </c>
    </row>
    <row r="26" spans="1:20" ht="15.75">
      <c r="A26" s="371"/>
      <c r="B26" s="1181">
        <v>73</v>
      </c>
      <c r="C26" s="1156" t="s">
        <v>724</v>
      </c>
      <c r="D26" s="1156" t="s">
        <v>578</v>
      </c>
      <c r="E26" s="1181">
        <v>99</v>
      </c>
      <c r="F26" s="1182">
        <v>20.43</v>
      </c>
      <c r="G26" s="1157">
        <v>5310.8678414096903</v>
      </c>
      <c r="H26" s="1157">
        <v>1095.97</v>
      </c>
      <c r="I26" s="1157">
        <v>0</v>
      </c>
      <c r="J26" s="1157">
        <v>0</v>
      </c>
      <c r="K26" s="1157">
        <v>3</v>
      </c>
      <c r="L26" s="1157">
        <v>53.645129711209002</v>
      </c>
      <c r="M26" s="1157">
        <v>5310.8678414096903</v>
      </c>
      <c r="N26" s="1157">
        <v>1095.97</v>
      </c>
      <c r="O26" s="1157">
        <v>1095.97</v>
      </c>
      <c r="P26" s="1159">
        <v>-22.31</v>
      </c>
      <c r="Q26" s="1159">
        <v>-22.31</v>
      </c>
      <c r="S26" s="889">
        <f t="shared" si="0"/>
        <v>0</v>
      </c>
      <c r="T26" s="889">
        <f t="shared" si="1"/>
        <v>0</v>
      </c>
    </row>
    <row r="27" spans="1:20" ht="15.75">
      <c r="A27" s="371"/>
      <c r="B27" s="1181">
        <v>76</v>
      </c>
      <c r="C27" s="1156" t="s">
        <v>725</v>
      </c>
      <c r="D27" s="1156" t="s">
        <v>534</v>
      </c>
      <c r="E27" s="1181">
        <v>154</v>
      </c>
      <c r="F27" s="1182">
        <v>27.85</v>
      </c>
      <c r="G27" s="1157">
        <v>2956.8</v>
      </c>
      <c r="H27" s="1157">
        <v>534.72</v>
      </c>
      <c r="I27" s="1157">
        <v>-646.79999999999995</v>
      </c>
      <c r="J27" s="1157">
        <v>-116.97</v>
      </c>
      <c r="K27" s="1157">
        <v>2</v>
      </c>
      <c r="L27" s="1157">
        <v>15</v>
      </c>
      <c r="M27" s="1157">
        <v>2310</v>
      </c>
      <c r="N27" s="1157">
        <v>417.75</v>
      </c>
      <c r="O27" s="1157">
        <v>417.75</v>
      </c>
      <c r="P27" s="1159">
        <v>-8.66</v>
      </c>
      <c r="Q27" s="1159">
        <v>-12.13</v>
      </c>
      <c r="S27" s="889">
        <f t="shared" si="0"/>
        <v>0</v>
      </c>
      <c r="T27" s="889">
        <f t="shared" si="1"/>
        <v>-3.4700000000000006</v>
      </c>
    </row>
    <row r="28" spans="1:20" ht="15.75">
      <c r="A28" s="371"/>
      <c r="B28" s="1181">
        <v>81</v>
      </c>
      <c r="C28" s="1156" t="s">
        <v>1167</v>
      </c>
      <c r="D28" s="1156" t="s">
        <v>856</v>
      </c>
      <c r="E28" s="1181">
        <v>44</v>
      </c>
      <c r="F28" s="1182">
        <v>19.8</v>
      </c>
      <c r="G28" s="1157">
        <v>2792.5333333333301</v>
      </c>
      <c r="H28" s="1157">
        <v>1256.6400000000001</v>
      </c>
      <c r="I28" s="1157">
        <v>-44</v>
      </c>
      <c r="J28" s="1157">
        <v>-19.8</v>
      </c>
      <c r="K28" s="1157">
        <v>5</v>
      </c>
      <c r="L28" s="1157">
        <v>62.466666666666697</v>
      </c>
      <c r="M28" s="1157">
        <v>2748.5333333333301</v>
      </c>
      <c r="N28" s="1157">
        <v>1236.8399999999999</v>
      </c>
      <c r="O28" s="1157">
        <v>1236.8399999999999</v>
      </c>
      <c r="P28" s="1159">
        <v>-24.62</v>
      </c>
      <c r="Q28" s="1159">
        <v>-25.61</v>
      </c>
      <c r="S28" s="889">
        <f t="shared" si="0"/>
        <v>0</v>
      </c>
      <c r="T28" s="889">
        <f t="shared" si="1"/>
        <v>-0.98999999999999844</v>
      </c>
    </row>
    <row r="29" spans="1:20" ht="15.75">
      <c r="A29" s="371"/>
      <c r="B29" s="1181">
        <v>83</v>
      </c>
      <c r="C29" s="1156" t="s">
        <v>1054</v>
      </c>
      <c r="D29" s="1156" t="s">
        <v>856</v>
      </c>
      <c r="E29" s="1181">
        <v>17</v>
      </c>
      <c r="F29" s="1182">
        <v>11.32</v>
      </c>
      <c r="G29" s="1157">
        <v>46575.689929328597</v>
      </c>
      <c r="H29" s="1157">
        <v>31013.93</v>
      </c>
      <c r="I29" s="1157">
        <v>-14.732332155477</v>
      </c>
      <c r="J29" s="1157">
        <v>-9.81</v>
      </c>
      <c r="K29" s="1157">
        <v>19</v>
      </c>
      <c r="L29" s="1157">
        <v>2738.8798586572402</v>
      </c>
      <c r="M29" s="1157">
        <v>46560.957597173103</v>
      </c>
      <c r="N29" s="1157">
        <v>31004.12</v>
      </c>
      <c r="O29" s="1157">
        <v>31004.119999999901</v>
      </c>
      <c r="P29" s="1159">
        <v>-622.63</v>
      </c>
      <c r="Q29" s="1159">
        <v>-624.26</v>
      </c>
      <c r="S29" s="889">
        <f t="shared" si="0"/>
        <v>-9.822542779147625E-11</v>
      </c>
      <c r="T29" s="889">
        <f t="shared" si="1"/>
        <v>-1.6299999999999955</v>
      </c>
    </row>
    <row r="30" spans="1:20" ht="15.75">
      <c r="A30" s="371"/>
      <c r="B30" s="1181">
        <v>84</v>
      </c>
      <c r="C30" s="1156" t="s">
        <v>1168</v>
      </c>
      <c r="D30" s="1156" t="s">
        <v>856</v>
      </c>
      <c r="E30" s="1181">
        <v>23</v>
      </c>
      <c r="F30" s="1182">
        <v>14.52</v>
      </c>
      <c r="G30" s="1157">
        <v>26915.623278236901</v>
      </c>
      <c r="H30" s="1157">
        <v>16991.95</v>
      </c>
      <c r="I30" s="1157">
        <v>23</v>
      </c>
      <c r="J30" s="1157">
        <v>14.52</v>
      </c>
      <c r="K30" s="1157">
        <v>11</v>
      </c>
      <c r="L30" s="1157">
        <v>1171.24449035813</v>
      </c>
      <c r="M30" s="1157">
        <v>26938.623278236901</v>
      </c>
      <c r="N30" s="1157">
        <v>17006.47</v>
      </c>
      <c r="O30" s="1157">
        <v>17006.47</v>
      </c>
      <c r="P30" s="1159">
        <v>-342.47</v>
      </c>
      <c r="Q30" s="1159">
        <v>-342.83</v>
      </c>
      <c r="S30" s="889">
        <f t="shared" si="0"/>
        <v>0</v>
      </c>
      <c r="T30" s="889">
        <f t="shared" si="1"/>
        <v>-0.3599999999999568</v>
      </c>
    </row>
    <row r="31" spans="1:20" ht="15.75">
      <c r="A31" s="372"/>
      <c r="B31" s="1183">
        <v>85</v>
      </c>
      <c r="C31" s="1160" t="s">
        <v>1169</v>
      </c>
      <c r="D31" s="1160" t="s">
        <v>856</v>
      </c>
      <c r="E31" s="1183">
        <v>60</v>
      </c>
      <c r="F31" s="1184">
        <v>22.95</v>
      </c>
      <c r="G31" s="1161">
        <v>6848</v>
      </c>
      <c r="H31" s="1161">
        <v>2619.36</v>
      </c>
      <c r="I31" s="1161">
        <v>0</v>
      </c>
      <c r="J31" s="1161">
        <v>0</v>
      </c>
      <c r="K31" s="1161">
        <v>4</v>
      </c>
      <c r="L31" s="1161">
        <v>114.133333333333</v>
      </c>
      <c r="M31" s="1161">
        <v>6848</v>
      </c>
      <c r="N31" s="1161">
        <v>2619.36</v>
      </c>
      <c r="O31" s="1161">
        <v>2619.36</v>
      </c>
      <c r="P31" s="1163">
        <v>-52.06</v>
      </c>
      <c r="Q31" s="1163">
        <v>-52.88</v>
      </c>
      <c r="S31" s="889">
        <f t="shared" si="0"/>
        <v>0</v>
      </c>
      <c r="T31" s="889">
        <f t="shared" si="1"/>
        <v>-0.82000000000000028</v>
      </c>
    </row>
    <row r="33" spans="1:17">
      <c r="A33" s="357" t="s">
        <v>256</v>
      </c>
      <c r="G33" s="356">
        <f t="shared" ref="G33:O33" si="2">SUM(G2:G31)</f>
        <v>13486872.909364616</v>
      </c>
      <c r="H33" s="356">
        <f t="shared" si="2"/>
        <v>4159522.8200000008</v>
      </c>
      <c r="I33" s="356">
        <f t="shared" si="2"/>
        <v>57085.944019064824</v>
      </c>
      <c r="J33" s="356">
        <f t="shared" si="2"/>
        <v>17725.66</v>
      </c>
      <c r="K33" s="356">
        <f t="shared" si="2"/>
        <v>733</v>
      </c>
      <c r="L33" s="356">
        <f t="shared" si="2"/>
        <v>285636.89683884702</v>
      </c>
      <c r="M33" s="356">
        <f t="shared" si="2"/>
        <v>13543958.85338369</v>
      </c>
      <c r="N33" s="356">
        <f t="shared" si="2"/>
        <v>4177248.4800000009</v>
      </c>
      <c r="O33" s="356">
        <f t="shared" si="2"/>
        <v>4177248.4799999609</v>
      </c>
      <c r="P33" s="356">
        <f t="shared" ref="P33" si="3">SUM(P2:P31)</f>
        <v>-83640.809999999969</v>
      </c>
      <c r="Q33" s="356">
        <f>SUM(Q2:Q31)</f>
        <v>-83379.47</v>
      </c>
    </row>
    <row r="34" spans="1:17">
      <c r="N34" s="659" t="s">
        <v>418</v>
      </c>
      <c r="O34" s="660">
        <v>0</v>
      </c>
      <c r="P34" s="870"/>
      <c r="Q34" s="870"/>
    </row>
    <row r="35" spans="1:17">
      <c r="L35" s="356">
        <f>L33-'Blocking-Step2'!C1710</f>
        <v>0</v>
      </c>
      <c r="N35" s="661" t="s">
        <v>136</v>
      </c>
      <c r="O35" s="662">
        <f>'Blocking-Step2'!H1713</f>
        <v>-143813</v>
      </c>
      <c r="P35" s="870"/>
      <c r="Q35" s="882" t="s">
        <v>1241</v>
      </c>
    </row>
    <row r="36" spans="1:17">
      <c r="N36" s="661" t="s">
        <v>411</v>
      </c>
      <c r="O36" s="662">
        <f>'Blocking-Step2'!H1716</f>
        <v>3950724.5093999999</v>
      </c>
      <c r="P36" s="870"/>
      <c r="Q36" s="870">
        <f>'Blocking-Step2'!H1714</f>
        <v>-82709.490600000005</v>
      </c>
    </row>
    <row r="37" spans="1:17">
      <c r="N37" s="663" t="s">
        <v>498</v>
      </c>
      <c r="O37" s="664">
        <f>O36-O33-O34-O35-Q36</f>
        <v>-1.4799999609967927</v>
      </c>
      <c r="P37" s="870"/>
      <c r="Q37" s="870"/>
    </row>
  </sheetData>
  <phoneticPr fontId="8" type="noConversion"/>
  <pageMargins left="1" right="1" top="1.8220000000000001" bottom="1.544" header="1" footer="1"/>
  <pageSetup scale="70" orientation="landscape" r:id="rId1"/>
  <headerFooter alignWithMargins="0">
    <oddHeader>&amp;L&amp;C&amp;B&amp;"Times New Roman"&amp;14Utah Schedule 11 Billing Determinants
12 Months Ending September 2005&amp;R&amp;"Arial"&amp;8Date: 12/28/2005</oddHeader>
    <oddFooter>&amp;L&amp;C&amp;"Arial"&amp;10Page &amp;P&amp;R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104"/>
  <sheetViews>
    <sheetView workbookViewId="0">
      <selection activeCell="W28" sqref="W28"/>
    </sheetView>
  </sheetViews>
  <sheetFormatPr defaultColWidth="9" defaultRowHeight="12.75"/>
  <cols>
    <col min="1" max="1" width="9" style="336"/>
    <col min="2" max="2" width="12" style="336" customWidth="1"/>
    <col min="3" max="3" width="9.625" style="336" bestFit="1" customWidth="1"/>
    <col min="4" max="5" width="9.625" style="336" customWidth="1"/>
    <col min="6" max="7" width="7.125" style="336" customWidth="1"/>
    <col min="8" max="8" width="9.125" style="336" bestFit="1" customWidth="1"/>
    <col min="9" max="9" width="8" style="336" bestFit="1" customWidth="1"/>
    <col min="10" max="10" width="8.125" style="336" bestFit="1" customWidth="1"/>
    <col min="11" max="11" width="7.75" style="336" bestFit="1" customWidth="1"/>
    <col min="12" max="12" width="6" style="336" bestFit="1" customWidth="1"/>
    <col min="13" max="13" width="6.625" style="336" bestFit="1" customWidth="1"/>
    <col min="14" max="14" width="9.625" style="336" bestFit="1" customWidth="1"/>
    <col min="15" max="15" width="9.125" style="336" bestFit="1" customWidth="1"/>
    <col min="16" max="16" width="8.625" style="336" bestFit="1" customWidth="1"/>
    <col min="17" max="17" width="9.625" style="336" bestFit="1" customWidth="1"/>
    <col min="18" max="16384" width="9" style="336"/>
  </cols>
  <sheetData>
    <row r="1" spans="1:20" ht="13.5" customHeight="1">
      <c r="A1" s="336" t="s">
        <v>26</v>
      </c>
      <c r="B1" s="1155" t="s">
        <v>192</v>
      </c>
      <c r="C1" s="1155" t="s">
        <v>562</v>
      </c>
      <c r="D1" s="1155" t="s">
        <v>726</v>
      </c>
      <c r="E1" s="1155" t="s">
        <v>727</v>
      </c>
      <c r="F1" s="1155" t="s">
        <v>728</v>
      </c>
      <c r="G1" s="1155" t="s">
        <v>710</v>
      </c>
      <c r="H1" s="1155" t="s">
        <v>125</v>
      </c>
      <c r="I1" s="1155" t="s">
        <v>126</v>
      </c>
      <c r="J1" s="1155" t="s">
        <v>127</v>
      </c>
      <c r="K1" s="1155" t="s">
        <v>128</v>
      </c>
      <c r="L1" s="1155" t="s">
        <v>151</v>
      </c>
      <c r="M1" s="1155" t="s">
        <v>175</v>
      </c>
      <c r="N1" s="1155" t="s">
        <v>70</v>
      </c>
      <c r="O1" s="1155" t="s">
        <v>620</v>
      </c>
      <c r="P1" s="1155" t="s">
        <v>71</v>
      </c>
      <c r="Q1" s="1155" t="s">
        <v>619</v>
      </c>
      <c r="R1" s="1155" t="s">
        <v>1225</v>
      </c>
      <c r="S1" s="1155" t="s">
        <v>1256</v>
      </c>
    </row>
    <row r="2" spans="1:20" ht="14.25" customHeight="1">
      <c r="A2" s="336" t="str">
        <f>IF(OR(C2=26,C2=27,C2=28,C2=29,C2=30,C2=34,C2=36,C2=37,C2=38),"S","N")</f>
        <v>N</v>
      </c>
      <c r="B2" s="1156" t="s">
        <v>358</v>
      </c>
      <c r="C2" s="1181">
        <v>24</v>
      </c>
      <c r="D2" s="1156" t="s">
        <v>992</v>
      </c>
      <c r="E2" s="1156" t="s">
        <v>729</v>
      </c>
      <c r="F2" s="1157">
        <v>0</v>
      </c>
      <c r="G2" s="1182">
        <v>6.5279000000000004E-2</v>
      </c>
      <c r="H2" s="1157">
        <v>408</v>
      </c>
      <c r="I2" s="1157">
        <v>26.64</v>
      </c>
      <c r="J2" s="1157">
        <v>0</v>
      </c>
      <c r="K2" s="1157">
        <v>0</v>
      </c>
      <c r="L2" s="1157">
        <v>1</v>
      </c>
      <c r="M2" s="1157">
        <v>0</v>
      </c>
      <c r="N2" s="1157">
        <v>408</v>
      </c>
      <c r="O2" s="1157">
        <v>408</v>
      </c>
      <c r="P2" s="1157">
        <v>26.64</v>
      </c>
      <c r="Q2" s="1157">
        <v>26.633832000000002</v>
      </c>
      <c r="R2" s="1159">
        <v>-0.5</v>
      </c>
      <c r="S2" s="1159">
        <v>-0.5</v>
      </c>
      <c r="T2" s="366">
        <f>Q2-P2</f>
        <v>-6.1679999999988411E-3</v>
      </c>
    </row>
    <row r="3" spans="1:20" ht="14.25" customHeight="1">
      <c r="A3" s="336" t="str">
        <f t="shared" ref="A3:A85" si="0">IF(OR(C3=26,C3=27,C3=28,C3=29,C3=30,C3=34,C3=36,C3=37,C3=38),"S","N")</f>
        <v>N</v>
      </c>
      <c r="B3" s="371"/>
      <c r="C3" s="1181">
        <v>25</v>
      </c>
      <c r="D3" s="1156" t="s">
        <v>730</v>
      </c>
      <c r="E3" s="1156" t="s">
        <v>438</v>
      </c>
      <c r="F3" s="1157">
        <v>60</v>
      </c>
      <c r="G3" s="1182">
        <v>3.92</v>
      </c>
      <c r="H3" s="1157">
        <v>97240.255102040799</v>
      </c>
      <c r="I3" s="1157">
        <v>6353.03</v>
      </c>
      <c r="J3" s="1157">
        <v>0</v>
      </c>
      <c r="K3" s="1157">
        <v>0</v>
      </c>
      <c r="L3" s="1157">
        <v>3</v>
      </c>
      <c r="M3" s="1157">
        <v>1620.6709183673499</v>
      </c>
      <c r="N3" s="1157">
        <v>97240.255102040799</v>
      </c>
      <c r="O3" s="1157">
        <v>107460</v>
      </c>
      <c r="P3" s="1157">
        <v>6353.03</v>
      </c>
      <c r="Q3" s="1157">
        <v>6353.03</v>
      </c>
      <c r="R3" s="1159">
        <v>-126.42</v>
      </c>
      <c r="S3" s="1159">
        <v>-126.42</v>
      </c>
      <c r="T3" s="366">
        <f t="shared" ref="T3:T66" si="1">Q3-P3</f>
        <v>0</v>
      </c>
    </row>
    <row r="4" spans="1:20" ht="14.25" customHeight="1">
      <c r="A4" s="336" t="str">
        <f t="shared" si="0"/>
        <v>S</v>
      </c>
      <c r="B4" s="371"/>
      <c r="C4" s="1181">
        <v>26</v>
      </c>
      <c r="D4" s="1156" t="s">
        <v>731</v>
      </c>
      <c r="E4" s="1156" t="s">
        <v>576</v>
      </c>
      <c r="F4" s="1157">
        <v>28</v>
      </c>
      <c r="G4" s="1182">
        <v>1.83</v>
      </c>
      <c r="H4" s="1157">
        <v>2478482.2732240399</v>
      </c>
      <c r="I4" s="1157">
        <v>161986.51999999999</v>
      </c>
      <c r="J4" s="1157">
        <v>0</v>
      </c>
      <c r="K4" s="1157">
        <v>0</v>
      </c>
      <c r="L4" s="1157">
        <v>33</v>
      </c>
      <c r="M4" s="1157">
        <v>88517.224043715803</v>
      </c>
      <c r="N4" s="1157">
        <v>2478482.2732240399</v>
      </c>
      <c r="O4" s="1157">
        <v>3796016</v>
      </c>
      <c r="P4" s="1157">
        <v>161986.51999999999</v>
      </c>
      <c r="Q4" s="1157">
        <v>161986.51999999999</v>
      </c>
      <c r="R4" s="1159">
        <v>-3248.89</v>
      </c>
      <c r="S4" s="1159">
        <v>-3248.93</v>
      </c>
      <c r="T4" s="366">
        <f t="shared" si="1"/>
        <v>0</v>
      </c>
    </row>
    <row r="5" spans="1:20" ht="14.25" customHeight="1">
      <c r="A5" s="336" t="str">
        <f t="shared" si="0"/>
        <v>S</v>
      </c>
      <c r="B5" s="371"/>
      <c r="C5" s="1181">
        <v>27</v>
      </c>
      <c r="D5" s="1156" t="s">
        <v>732</v>
      </c>
      <c r="E5" s="1156" t="s">
        <v>576</v>
      </c>
      <c r="F5" s="1157">
        <v>39</v>
      </c>
      <c r="G5" s="1182">
        <v>2.5</v>
      </c>
      <c r="H5" s="1157">
        <v>5424499.0800000001</v>
      </c>
      <c r="I5" s="1157">
        <v>347724.3</v>
      </c>
      <c r="J5" s="1157">
        <v>2974.1399999999799</v>
      </c>
      <c r="K5" s="1157">
        <v>190.65</v>
      </c>
      <c r="L5" s="1157">
        <v>61</v>
      </c>
      <c r="M5" s="1157">
        <v>139165.98000000001</v>
      </c>
      <c r="N5" s="1157">
        <v>5427473.2199999997</v>
      </c>
      <c r="O5" s="1157">
        <v>7576491</v>
      </c>
      <c r="P5" s="1157">
        <v>347914.95</v>
      </c>
      <c r="Q5" s="1157">
        <v>347914.95</v>
      </c>
      <c r="R5" s="1159">
        <v>-7005.38</v>
      </c>
      <c r="S5" s="1159">
        <v>-7030.02</v>
      </c>
      <c r="T5" s="366">
        <f t="shared" si="1"/>
        <v>0</v>
      </c>
    </row>
    <row r="6" spans="1:20" ht="14.25" customHeight="1">
      <c r="A6" s="336" t="str">
        <f t="shared" si="0"/>
        <v>S</v>
      </c>
      <c r="B6" s="371"/>
      <c r="C6" s="1181">
        <v>28</v>
      </c>
      <c r="D6" s="1156" t="s">
        <v>733</v>
      </c>
      <c r="E6" s="1156" t="s">
        <v>576</v>
      </c>
      <c r="F6" s="1157">
        <v>59</v>
      </c>
      <c r="G6" s="1182">
        <v>3.66</v>
      </c>
      <c r="H6" s="1157">
        <v>6928338.4043715801</v>
      </c>
      <c r="I6" s="1157">
        <v>429791.84</v>
      </c>
      <c r="J6" s="1157">
        <v>-41822.295081967299</v>
      </c>
      <c r="K6" s="1157">
        <v>-2594.4</v>
      </c>
      <c r="L6" s="1157">
        <v>41</v>
      </c>
      <c r="M6" s="1157">
        <v>116720.612021858</v>
      </c>
      <c r="N6" s="1157">
        <v>6886516.1092896201</v>
      </c>
      <c r="O6" s="1157">
        <v>9888813</v>
      </c>
      <c r="P6" s="1157">
        <v>427197.44</v>
      </c>
      <c r="Q6" s="1157">
        <v>427197.44</v>
      </c>
      <c r="R6" s="1159">
        <v>-8541.49</v>
      </c>
      <c r="S6" s="1159">
        <v>-8620.09</v>
      </c>
      <c r="T6" s="366">
        <f t="shared" si="1"/>
        <v>0</v>
      </c>
    </row>
    <row r="7" spans="1:20" ht="14.25" customHeight="1">
      <c r="A7" s="336" t="str">
        <f t="shared" si="0"/>
        <v>S</v>
      </c>
      <c r="B7" s="371"/>
      <c r="C7" s="1181">
        <v>29</v>
      </c>
      <c r="D7" s="1156" t="s">
        <v>734</v>
      </c>
      <c r="E7" s="1156" t="s">
        <v>576</v>
      </c>
      <c r="F7" s="1157">
        <v>96</v>
      </c>
      <c r="G7" s="1182">
        <v>6.52</v>
      </c>
      <c r="H7" s="1157">
        <v>2852829.4969325201</v>
      </c>
      <c r="I7" s="1157">
        <v>193754.67</v>
      </c>
      <c r="J7" s="1157">
        <v>-4416</v>
      </c>
      <c r="K7" s="1157">
        <v>-299.92</v>
      </c>
      <c r="L7" s="1157">
        <v>48</v>
      </c>
      <c r="M7" s="1157">
        <v>29670.9739263804</v>
      </c>
      <c r="N7" s="1157">
        <v>2848413.4969325201</v>
      </c>
      <c r="O7" s="1157">
        <v>3526368</v>
      </c>
      <c r="P7" s="1157">
        <v>193454.75</v>
      </c>
      <c r="Q7" s="1157">
        <v>193454.75</v>
      </c>
      <c r="R7" s="1159">
        <v>-3888.44</v>
      </c>
      <c r="S7" s="1159">
        <v>-3919.28</v>
      </c>
      <c r="T7" s="366">
        <f t="shared" si="1"/>
        <v>0</v>
      </c>
    </row>
    <row r="8" spans="1:20" ht="14.25" customHeight="1">
      <c r="A8" s="336" t="str">
        <f t="shared" si="0"/>
        <v>S</v>
      </c>
      <c r="B8" s="371"/>
      <c r="C8" s="1181">
        <v>30</v>
      </c>
      <c r="D8" s="1156" t="s">
        <v>735</v>
      </c>
      <c r="E8" s="1156" t="s">
        <v>576</v>
      </c>
      <c r="F8" s="1157">
        <v>148</v>
      </c>
      <c r="G8" s="1182">
        <v>10.02</v>
      </c>
      <c r="H8" s="1157">
        <v>2584461.2255489002</v>
      </c>
      <c r="I8" s="1157">
        <v>174975.01</v>
      </c>
      <c r="J8" s="1157">
        <v>-1036</v>
      </c>
      <c r="K8" s="1157">
        <v>-70.14</v>
      </c>
      <c r="L8" s="1157">
        <v>63</v>
      </c>
      <c r="M8" s="1157">
        <v>17455.575848303401</v>
      </c>
      <c r="N8" s="1157">
        <v>2583425.2255489002</v>
      </c>
      <c r="O8" s="1157">
        <v>2723200</v>
      </c>
      <c r="P8" s="1157">
        <v>174904.87</v>
      </c>
      <c r="Q8" s="1157">
        <v>174904.87000000101</v>
      </c>
      <c r="R8" s="1159">
        <v>-3507.8</v>
      </c>
      <c r="S8" s="1159">
        <v>-3531.75</v>
      </c>
      <c r="T8" s="366">
        <f t="shared" si="1"/>
        <v>1.0186340659856796E-9</v>
      </c>
    </row>
    <row r="9" spans="1:20" ht="14.25" customHeight="1">
      <c r="A9" s="336" t="str">
        <f t="shared" si="0"/>
        <v>N</v>
      </c>
      <c r="B9" s="371"/>
      <c r="C9" s="1181">
        <v>31</v>
      </c>
      <c r="D9" s="1156" t="s">
        <v>736</v>
      </c>
      <c r="E9" s="1156" t="s">
        <v>576</v>
      </c>
      <c r="F9" s="1157">
        <v>363</v>
      </c>
      <c r="G9" s="1182">
        <v>23.7</v>
      </c>
      <c r="H9" s="1157">
        <v>1180476</v>
      </c>
      <c r="I9" s="1157">
        <v>77072.399999999994</v>
      </c>
      <c r="J9" s="1157">
        <v>0</v>
      </c>
      <c r="K9" s="1157">
        <v>0</v>
      </c>
      <c r="L9" s="1157">
        <v>1</v>
      </c>
      <c r="M9" s="1157">
        <v>3252</v>
      </c>
      <c r="N9" s="1157">
        <v>1180476</v>
      </c>
      <c r="O9" s="1157">
        <v>1180476</v>
      </c>
      <c r="P9" s="1157">
        <v>77072.399999999994</v>
      </c>
      <c r="Q9" s="1157">
        <v>77072.399999999994</v>
      </c>
      <c r="R9" s="1159">
        <v>-1540.39</v>
      </c>
      <c r="S9" s="1159">
        <v>-1540.39</v>
      </c>
      <c r="T9" s="366">
        <f t="shared" si="1"/>
        <v>0</v>
      </c>
    </row>
    <row r="10" spans="1:20" ht="14.25" customHeight="1">
      <c r="A10" s="336" t="str">
        <f t="shared" si="0"/>
        <v>N</v>
      </c>
      <c r="B10" s="371"/>
      <c r="C10" s="1181">
        <v>32</v>
      </c>
      <c r="D10" s="1156" t="s">
        <v>737</v>
      </c>
      <c r="E10" s="1156" t="s">
        <v>577</v>
      </c>
      <c r="F10" s="1157">
        <v>13</v>
      </c>
      <c r="G10" s="1182">
        <v>0.85</v>
      </c>
      <c r="H10" s="1157">
        <v>294.41176470588198</v>
      </c>
      <c r="I10" s="1157">
        <v>19.25</v>
      </c>
      <c r="J10" s="1157">
        <v>0</v>
      </c>
      <c r="K10" s="1157">
        <v>0</v>
      </c>
      <c r="L10" s="1157">
        <v>1</v>
      </c>
      <c r="M10" s="1157">
        <v>22.647058823529399</v>
      </c>
      <c r="N10" s="1157">
        <v>294.41176470588198</v>
      </c>
      <c r="O10" s="1157">
        <v>312</v>
      </c>
      <c r="P10" s="1157">
        <v>19.25</v>
      </c>
      <c r="Q10" s="1157">
        <v>19.25</v>
      </c>
      <c r="R10" s="1159">
        <v>-0.37</v>
      </c>
      <c r="S10" s="1159">
        <v>-0.37</v>
      </c>
      <c r="T10" s="366">
        <f t="shared" si="1"/>
        <v>0</v>
      </c>
    </row>
    <row r="11" spans="1:20" ht="14.25" customHeight="1">
      <c r="A11" s="336" t="str">
        <f t="shared" si="0"/>
        <v>N</v>
      </c>
      <c r="B11" s="371"/>
      <c r="C11" s="1181">
        <v>33</v>
      </c>
      <c r="D11" s="1156" t="s">
        <v>738</v>
      </c>
      <c r="E11" s="1156" t="s">
        <v>577</v>
      </c>
      <c r="F11" s="1157">
        <v>28</v>
      </c>
      <c r="G11" s="1182">
        <v>1.83</v>
      </c>
      <c r="H11" s="1157">
        <v>88847.213114754093</v>
      </c>
      <c r="I11" s="1157">
        <v>5806.8</v>
      </c>
      <c r="J11" s="1157">
        <v>0</v>
      </c>
      <c r="K11" s="1157">
        <v>0</v>
      </c>
      <c r="L11" s="1157">
        <v>4</v>
      </c>
      <c r="M11" s="1157">
        <v>3173.1147540983602</v>
      </c>
      <c r="N11" s="1157">
        <v>88847.213114754093</v>
      </c>
      <c r="O11" s="1157">
        <v>98476</v>
      </c>
      <c r="P11" s="1157">
        <v>5806.8</v>
      </c>
      <c r="Q11" s="1157">
        <v>5806.8</v>
      </c>
      <c r="R11" s="1159">
        <v>-116.92</v>
      </c>
      <c r="S11" s="1159">
        <v>-116.92</v>
      </c>
      <c r="T11" s="366">
        <f t="shared" si="1"/>
        <v>0</v>
      </c>
    </row>
    <row r="12" spans="1:20" ht="14.25" customHeight="1">
      <c r="A12" s="336" t="str">
        <f t="shared" si="0"/>
        <v>S</v>
      </c>
      <c r="B12" s="371"/>
      <c r="C12" s="1181">
        <v>34</v>
      </c>
      <c r="D12" s="1156" t="s">
        <v>739</v>
      </c>
      <c r="E12" s="1156" t="s">
        <v>577</v>
      </c>
      <c r="F12" s="1157">
        <v>39</v>
      </c>
      <c r="G12" s="1182">
        <v>2.5499999999999998</v>
      </c>
      <c r="H12" s="1157">
        <v>294694.09411764698</v>
      </c>
      <c r="I12" s="1157">
        <v>19268.46</v>
      </c>
      <c r="J12" s="1157">
        <v>0</v>
      </c>
      <c r="K12" s="1157">
        <v>0</v>
      </c>
      <c r="L12" s="1157">
        <v>19</v>
      </c>
      <c r="M12" s="1157">
        <v>7556.2588235294097</v>
      </c>
      <c r="N12" s="1157">
        <v>294694.09411764698</v>
      </c>
      <c r="O12" s="1157">
        <v>357357</v>
      </c>
      <c r="P12" s="1157">
        <v>19268.46</v>
      </c>
      <c r="Q12" s="1157">
        <v>19268.46</v>
      </c>
      <c r="R12" s="1159">
        <v>-390.63</v>
      </c>
      <c r="S12" s="1159">
        <v>-390.79</v>
      </c>
      <c r="T12" s="366">
        <f t="shared" si="1"/>
        <v>0</v>
      </c>
    </row>
    <row r="13" spans="1:20" ht="14.25" customHeight="1">
      <c r="A13" s="336" t="str">
        <f t="shared" si="0"/>
        <v>N</v>
      </c>
      <c r="B13" s="371"/>
      <c r="C13" s="1181">
        <v>35</v>
      </c>
      <c r="D13" s="1156" t="s">
        <v>740</v>
      </c>
      <c r="E13" s="1156" t="s">
        <v>577</v>
      </c>
      <c r="F13" s="1157">
        <v>57</v>
      </c>
      <c r="G13" s="1182">
        <v>3.72</v>
      </c>
      <c r="H13" s="1157">
        <v>226967.41129032301</v>
      </c>
      <c r="I13" s="1157">
        <v>14812.61</v>
      </c>
      <c r="J13" s="1157">
        <v>0</v>
      </c>
      <c r="K13" s="1157">
        <v>0</v>
      </c>
      <c r="L13" s="1157">
        <v>16</v>
      </c>
      <c r="M13" s="1157">
        <v>3981.88440860215</v>
      </c>
      <c r="N13" s="1157">
        <v>226967.41129032301</v>
      </c>
      <c r="O13" s="1157">
        <v>237291</v>
      </c>
      <c r="P13" s="1157">
        <v>14812.61</v>
      </c>
      <c r="Q13" s="1157">
        <v>14812.61</v>
      </c>
      <c r="R13" s="1159">
        <v>-298.13</v>
      </c>
      <c r="S13" s="1159">
        <v>-298.13</v>
      </c>
      <c r="T13" s="366">
        <f t="shared" si="1"/>
        <v>0</v>
      </c>
    </row>
    <row r="14" spans="1:20" ht="14.25" customHeight="1">
      <c r="A14" s="336" t="str">
        <f t="shared" si="0"/>
        <v>S</v>
      </c>
      <c r="B14" s="371"/>
      <c r="C14" s="1181">
        <v>36</v>
      </c>
      <c r="D14" s="1156" t="s">
        <v>741</v>
      </c>
      <c r="E14" s="1156" t="s">
        <v>577</v>
      </c>
      <c r="F14" s="1157">
        <v>69</v>
      </c>
      <c r="G14" s="1182">
        <v>4.46</v>
      </c>
      <c r="H14" s="1157">
        <v>1112544.8609865501</v>
      </c>
      <c r="I14" s="1157">
        <v>71912.320000000007</v>
      </c>
      <c r="J14" s="1157">
        <v>1518</v>
      </c>
      <c r="K14" s="1157">
        <v>98.12</v>
      </c>
      <c r="L14" s="1157">
        <v>17</v>
      </c>
      <c r="M14" s="1157">
        <v>16145.838565022401</v>
      </c>
      <c r="N14" s="1157">
        <v>1114062.8609865501</v>
      </c>
      <c r="O14" s="1157">
        <v>1325697</v>
      </c>
      <c r="P14" s="1157">
        <v>72010.44</v>
      </c>
      <c r="Q14" s="1157">
        <v>72010.4399999999</v>
      </c>
      <c r="R14" s="1159">
        <v>-1457.6</v>
      </c>
      <c r="S14" s="1159">
        <v>-1459.13</v>
      </c>
      <c r="T14" s="366">
        <f t="shared" si="1"/>
        <v>0</v>
      </c>
    </row>
    <row r="15" spans="1:20" ht="14.25" customHeight="1">
      <c r="A15" s="336" t="str">
        <f t="shared" si="0"/>
        <v>S</v>
      </c>
      <c r="B15" s="371"/>
      <c r="C15" s="1181">
        <v>37</v>
      </c>
      <c r="D15" s="1156" t="s">
        <v>742</v>
      </c>
      <c r="E15" s="1156" t="s">
        <v>577</v>
      </c>
      <c r="F15" s="1157">
        <v>93</v>
      </c>
      <c r="G15" s="1182">
        <v>6.17</v>
      </c>
      <c r="H15" s="1157">
        <v>1630616.78119935</v>
      </c>
      <c r="I15" s="1157">
        <v>108181.78</v>
      </c>
      <c r="J15" s="1157">
        <v>0</v>
      </c>
      <c r="K15" s="1157">
        <v>0</v>
      </c>
      <c r="L15" s="1157">
        <v>15</v>
      </c>
      <c r="M15" s="1157">
        <v>17533.513776337099</v>
      </c>
      <c r="N15" s="1157">
        <v>1630616.78119935</v>
      </c>
      <c r="O15" s="1157">
        <v>2069622</v>
      </c>
      <c r="P15" s="1157">
        <v>108181.78</v>
      </c>
      <c r="Q15" s="1157">
        <v>108181.78</v>
      </c>
      <c r="R15" s="1159">
        <v>-2199.0300000000002</v>
      </c>
      <c r="S15" s="1159">
        <v>-2199.25</v>
      </c>
      <c r="T15" s="366">
        <f t="shared" si="1"/>
        <v>0</v>
      </c>
    </row>
    <row r="16" spans="1:20" ht="14.25" customHeight="1">
      <c r="A16" s="336" t="str">
        <f t="shared" si="0"/>
        <v>S</v>
      </c>
      <c r="B16" s="371"/>
      <c r="C16" s="1181">
        <v>38</v>
      </c>
      <c r="D16" s="1156" t="s">
        <v>743</v>
      </c>
      <c r="E16" s="1156" t="s">
        <v>577</v>
      </c>
      <c r="F16" s="1157">
        <v>145</v>
      </c>
      <c r="G16" s="1182">
        <v>9.77</v>
      </c>
      <c r="H16" s="1157">
        <v>1549921.7707267101</v>
      </c>
      <c r="I16" s="1157">
        <v>104432.66</v>
      </c>
      <c r="J16" s="1157">
        <v>-1740</v>
      </c>
      <c r="K16" s="1157">
        <v>-117.24</v>
      </c>
      <c r="L16" s="1157">
        <v>11</v>
      </c>
      <c r="M16" s="1157">
        <v>10677.115660184199</v>
      </c>
      <c r="N16" s="1157">
        <v>1548181.7707267101</v>
      </c>
      <c r="O16" s="1157">
        <v>2007815</v>
      </c>
      <c r="P16" s="1157">
        <v>104315.42</v>
      </c>
      <c r="Q16" s="1157">
        <v>104315.42</v>
      </c>
      <c r="R16" s="1159">
        <v>-2126.87</v>
      </c>
      <c r="S16" s="1159">
        <v>-2129.19</v>
      </c>
      <c r="T16" s="366">
        <f t="shared" si="1"/>
        <v>0</v>
      </c>
    </row>
    <row r="17" spans="1:20" ht="14.25" customHeight="1">
      <c r="A17" s="336" t="str">
        <f t="shared" si="0"/>
        <v>N</v>
      </c>
      <c r="B17" s="371"/>
      <c r="C17" s="1181">
        <v>40</v>
      </c>
      <c r="D17" s="1156" t="s">
        <v>744</v>
      </c>
      <c r="E17" s="1156" t="s">
        <v>578</v>
      </c>
      <c r="F17" s="1157">
        <v>19</v>
      </c>
      <c r="G17" s="1182">
        <v>1.24</v>
      </c>
      <c r="H17" s="1157">
        <v>228</v>
      </c>
      <c r="I17" s="1157">
        <v>14.88</v>
      </c>
      <c r="J17" s="1157">
        <v>0</v>
      </c>
      <c r="K17" s="1157">
        <v>0</v>
      </c>
      <c r="L17" s="1157">
        <v>1</v>
      </c>
      <c r="M17" s="1157">
        <v>12</v>
      </c>
      <c r="N17" s="1157">
        <v>228</v>
      </c>
      <c r="O17" s="1157">
        <v>228</v>
      </c>
      <c r="P17" s="1157">
        <v>14.88</v>
      </c>
      <c r="Q17" s="1157">
        <v>14.88</v>
      </c>
      <c r="R17" s="1159">
        <v>-0.25</v>
      </c>
      <c r="S17" s="1159">
        <v>-0.25</v>
      </c>
      <c r="T17" s="366">
        <f t="shared" si="1"/>
        <v>0</v>
      </c>
    </row>
    <row r="18" spans="1:20" ht="14.25" customHeight="1">
      <c r="A18" s="336" t="str">
        <f t="shared" si="0"/>
        <v>N</v>
      </c>
      <c r="B18" s="371"/>
      <c r="C18" s="1181">
        <v>41</v>
      </c>
      <c r="D18" s="1156" t="s">
        <v>745</v>
      </c>
      <c r="E18" s="1156" t="s">
        <v>578</v>
      </c>
      <c r="F18" s="1157">
        <v>64</v>
      </c>
      <c r="G18" s="1182">
        <v>4.18</v>
      </c>
      <c r="H18" s="1157">
        <v>6144</v>
      </c>
      <c r="I18" s="1157">
        <v>401.28</v>
      </c>
      <c r="J18" s="1157">
        <v>0</v>
      </c>
      <c r="K18" s="1157">
        <v>0</v>
      </c>
      <c r="L18" s="1157">
        <v>2</v>
      </c>
      <c r="M18" s="1157">
        <v>96</v>
      </c>
      <c r="N18" s="1157">
        <v>6144</v>
      </c>
      <c r="O18" s="1157">
        <v>6144</v>
      </c>
      <c r="P18" s="1157">
        <v>401.28</v>
      </c>
      <c r="Q18" s="1157">
        <v>401.28</v>
      </c>
      <c r="R18" s="1159">
        <v>-8.1</v>
      </c>
      <c r="S18" s="1159">
        <v>-8.1</v>
      </c>
      <c r="T18" s="366">
        <f t="shared" si="1"/>
        <v>0</v>
      </c>
    </row>
    <row r="19" spans="1:20" ht="14.25" customHeight="1">
      <c r="A19" s="336" t="str">
        <f t="shared" si="0"/>
        <v>N</v>
      </c>
      <c r="B19" s="371"/>
      <c r="C19" s="1181">
        <v>45</v>
      </c>
      <c r="D19" s="1156" t="s">
        <v>746</v>
      </c>
      <c r="E19" s="1156" t="s">
        <v>579</v>
      </c>
      <c r="F19" s="1157">
        <v>39</v>
      </c>
      <c r="G19" s="1182">
        <v>2.5499999999999998</v>
      </c>
      <c r="H19" s="1157">
        <v>25040.447058823502</v>
      </c>
      <c r="I19" s="1157">
        <v>1637.26</v>
      </c>
      <c r="J19" s="1157">
        <v>0</v>
      </c>
      <c r="K19" s="1157">
        <v>0</v>
      </c>
      <c r="L19" s="1157">
        <v>4</v>
      </c>
      <c r="M19" s="1157">
        <v>642.06274509803904</v>
      </c>
      <c r="N19" s="1157">
        <v>25040.447058823502</v>
      </c>
      <c r="O19" s="1157">
        <v>25116</v>
      </c>
      <c r="P19" s="1157">
        <v>1637.26</v>
      </c>
      <c r="Q19" s="1157">
        <v>1637.26</v>
      </c>
      <c r="R19" s="1159">
        <v>-32.42</v>
      </c>
      <c r="S19" s="1159">
        <v>-32.42</v>
      </c>
      <c r="T19" s="366">
        <f t="shared" si="1"/>
        <v>0</v>
      </c>
    </row>
    <row r="20" spans="1:20" ht="14.25" customHeight="1">
      <c r="A20" s="336" t="str">
        <f t="shared" si="0"/>
        <v>N</v>
      </c>
      <c r="B20" s="371"/>
      <c r="C20" s="1181">
        <v>46</v>
      </c>
      <c r="D20" s="1156" t="s">
        <v>747</v>
      </c>
      <c r="E20" s="1156" t="s">
        <v>579</v>
      </c>
      <c r="F20" s="1157">
        <v>69</v>
      </c>
      <c r="G20" s="1182">
        <v>4.5</v>
      </c>
      <c r="H20" s="1157">
        <v>38088</v>
      </c>
      <c r="I20" s="1157">
        <v>2484</v>
      </c>
      <c r="J20" s="1157">
        <v>0</v>
      </c>
      <c r="K20" s="1157">
        <v>0</v>
      </c>
      <c r="L20" s="1157">
        <v>6</v>
      </c>
      <c r="M20" s="1157">
        <v>552</v>
      </c>
      <c r="N20" s="1157">
        <v>38088</v>
      </c>
      <c r="O20" s="1157">
        <v>38088</v>
      </c>
      <c r="P20" s="1157">
        <v>2484</v>
      </c>
      <c r="Q20" s="1157">
        <v>2484</v>
      </c>
      <c r="R20" s="1159">
        <v>-50.31</v>
      </c>
      <c r="S20" s="1159">
        <v>-50.31</v>
      </c>
      <c r="T20" s="366">
        <f t="shared" si="1"/>
        <v>0</v>
      </c>
    </row>
    <row r="21" spans="1:20" ht="14.25" customHeight="1">
      <c r="A21" s="336" t="str">
        <f t="shared" si="0"/>
        <v>N</v>
      </c>
      <c r="B21" s="371"/>
      <c r="C21" s="1181">
        <v>47</v>
      </c>
      <c r="D21" s="1156" t="s">
        <v>748</v>
      </c>
      <c r="E21" s="1156" t="s">
        <v>579</v>
      </c>
      <c r="F21" s="1157">
        <v>93</v>
      </c>
      <c r="G21" s="1182">
        <v>6.07</v>
      </c>
      <c r="H21" s="1157">
        <v>32364</v>
      </c>
      <c r="I21" s="1157">
        <v>2112.36</v>
      </c>
      <c r="J21" s="1157">
        <v>0</v>
      </c>
      <c r="K21" s="1157">
        <v>0</v>
      </c>
      <c r="L21" s="1157">
        <v>2</v>
      </c>
      <c r="M21" s="1157">
        <v>348</v>
      </c>
      <c r="N21" s="1157">
        <v>32364</v>
      </c>
      <c r="O21" s="1157">
        <v>32364</v>
      </c>
      <c r="P21" s="1157">
        <v>2112.36</v>
      </c>
      <c r="Q21" s="1157">
        <v>2112.36</v>
      </c>
      <c r="R21" s="1159">
        <v>-43.12</v>
      </c>
      <c r="S21" s="1159">
        <v>-43.12</v>
      </c>
      <c r="T21" s="366">
        <f t="shared" si="1"/>
        <v>0</v>
      </c>
    </row>
    <row r="22" spans="1:20" ht="14.25" customHeight="1">
      <c r="A22" s="336" t="str">
        <f t="shared" si="0"/>
        <v>N</v>
      </c>
      <c r="B22" s="371"/>
      <c r="C22" s="1181">
        <v>48</v>
      </c>
      <c r="D22" s="1156" t="s">
        <v>749</v>
      </c>
      <c r="E22" s="1156" t="s">
        <v>579</v>
      </c>
      <c r="F22" s="1157">
        <v>145</v>
      </c>
      <c r="G22" s="1182">
        <v>9.4700000000000006</v>
      </c>
      <c r="H22" s="1157">
        <v>3480</v>
      </c>
      <c r="I22" s="1157">
        <v>227.28</v>
      </c>
      <c r="J22" s="1157">
        <v>0</v>
      </c>
      <c r="K22" s="1157">
        <v>0</v>
      </c>
      <c r="L22" s="1157">
        <v>2</v>
      </c>
      <c r="M22" s="1157">
        <v>24</v>
      </c>
      <c r="N22" s="1157">
        <v>3480</v>
      </c>
      <c r="O22" s="1157">
        <v>3480</v>
      </c>
      <c r="P22" s="1157">
        <v>227.28</v>
      </c>
      <c r="Q22" s="1157">
        <v>227.28</v>
      </c>
      <c r="R22" s="1159">
        <v>-4.63</v>
      </c>
      <c r="S22" s="1159">
        <v>-4.63</v>
      </c>
      <c r="T22" s="366">
        <f t="shared" si="1"/>
        <v>0</v>
      </c>
    </row>
    <row r="23" spans="1:20" ht="15.75">
      <c r="A23" s="336" t="str">
        <f t="shared" si="0"/>
        <v>N</v>
      </c>
      <c r="B23" s="371"/>
      <c r="C23" s="1181">
        <v>49</v>
      </c>
      <c r="D23" s="1156" t="s">
        <v>750</v>
      </c>
      <c r="E23" s="1156" t="s">
        <v>751</v>
      </c>
      <c r="F23" s="1157">
        <v>19</v>
      </c>
      <c r="G23" s="1182">
        <v>1.24</v>
      </c>
      <c r="H23" s="1157">
        <v>375333.66129032301</v>
      </c>
      <c r="I23" s="1157">
        <v>24495.46</v>
      </c>
      <c r="J23" s="1157">
        <v>0</v>
      </c>
      <c r="K23" s="1157">
        <v>0</v>
      </c>
      <c r="L23" s="1157">
        <v>7</v>
      </c>
      <c r="M23" s="1157">
        <v>19754.403225806502</v>
      </c>
      <c r="N23" s="1157">
        <v>375333.66129032301</v>
      </c>
      <c r="O23" s="1157">
        <v>522386</v>
      </c>
      <c r="P23" s="1157">
        <v>24495.46</v>
      </c>
      <c r="Q23" s="1157">
        <v>24495.46</v>
      </c>
      <c r="R23" s="1159">
        <v>-495.13</v>
      </c>
      <c r="S23" s="1159">
        <v>-495.13</v>
      </c>
      <c r="T23" s="366">
        <f t="shared" si="1"/>
        <v>0</v>
      </c>
    </row>
    <row r="24" spans="1:20" ht="15" customHeight="1">
      <c r="A24" s="336" t="str">
        <f t="shared" si="0"/>
        <v>N</v>
      </c>
      <c r="B24" s="371"/>
      <c r="C24" s="1181">
        <v>50</v>
      </c>
      <c r="D24" s="1156" t="s">
        <v>752</v>
      </c>
      <c r="E24" s="1156" t="s">
        <v>751</v>
      </c>
      <c r="F24" s="1157">
        <v>29</v>
      </c>
      <c r="G24" s="1182">
        <v>1.89</v>
      </c>
      <c r="H24" s="1157">
        <v>334860.85185185203</v>
      </c>
      <c r="I24" s="1157">
        <v>21823.69</v>
      </c>
      <c r="J24" s="1157">
        <v>87</v>
      </c>
      <c r="K24" s="1157">
        <v>5.67</v>
      </c>
      <c r="L24" s="1157">
        <v>12</v>
      </c>
      <c r="M24" s="1157">
        <v>11549.9259259259</v>
      </c>
      <c r="N24" s="1157">
        <v>334947.85185185203</v>
      </c>
      <c r="O24" s="1157">
        <v>423400</v>
      </c>
      <c r="P24" s="1157">
        <v>21829.360000000001</v>
      </c>
      <c r="Q24" s="1157">
        <v>21829.360000000001</v>
      </c>
      <c r="R24" s="1159">
        <v>-443.52</v>
      </c>
      <c r="S24" s="1159">
        <v>-443.41</v>
      </c>
      <c r="T24" s="366">
        <f t="shared" si="1"/>
        <v>0</v>
      </c>
    </row>
    <row r="25" spans="1:20" ht="15.75">
      <c r="A25" s="336" t="str">
        <f t="shared" si="0"/>
        <v>N</v>
      </c>
      <c r="B25" s="371"/>
      <c r="C25" s="1181">
        <v>52</v>
      </c>
      <c r="D25" s="1156" t="s">
        <v>753</v>
      </c>
      <c r="E25" s="1156" t="s">
        <v>578</v>
      </c>
      <c r="F25" s="1157">
        <v>26</v>
      </c>
      <c r="G25" s="1182">
        <v>1.7</v>
      </c>
      <c r="H25" s="1157">
        <v>133083.29411764699</v>
      </c>
      <c r="I25" s="1157">
        <v>8701.6</v>
      </c>
      <c r="J25" s="1157">
        <v>0</v>
      </c>
      <c r="K25" s="1157">
        <v>0</v>
      </c>
      <c r="L25" s="1157">
        <v>33</v>
      </c>
      <c r="M25" s="1157">
        <v>5118.5882352941198</v>
      </c>
      <c r="N25" s="1157">
        <v>133083.29411764699</v>
      </c>
      <c r="O25" s="1157">
        <v>133068</v>
      </c>
      <c r="P25" s="1157">
        <v>8701.6</v>
      </c>
      <c r="Q25" s="1157">
        <v>8701.6000000000204</v>
      </c>
      <c r="R25" s="1159">
        <v>-175.86</v>
      </c>
      <c r="S25" s="1159">
        <v>-175.86</v>
      </c>
      <c r="T25" s="366">
        <f t="shared" si="1"/>
        <v>2.0008883439004421E-11</v>
      </c>
    </row>
    <row r="26" spans="1:20" ht="15.75">
      <c r="A26" s="336" t="str">
        <f t="shared" si="0"/>
        <v>N</v>
      </c>
      <c r="B26" s="371"/>
      <c r="C26" s="1181">
        <v>54</v>
      </c>
      <c r="D26" s="1156" t="s">
        <v>754</v>
      </c>
      <c r="E26" s="1156" t="s">
        <v>438</v>
      </c>
      <c r="F26" s="1157">
        <v>13</v>
      </c>
      <c r="G26" s="1182">
        <v>0.85</v>
      </c>
      <c r="H26" s="1157">
        <v>319109.47058823501</v>
      </c>
      <c r="I26" s="1157">
        <v>20864.849999999999</v>
      </c>
      <c r="J26" s="1157">
        <v>64.999999999999901</v>
      </c>
      <c r="K26" s="1157">
        <v>4.25</v>
      </c>
      <c r="L26" s="1157">
        <v>9</v>
      </c>
      <c r="M26" s="1157">
        <v>24551.8823529412</v>
      </c>
      <c r="N26" s="1157">
        <v>319174.47058823501</v>
      </c>
      <c r="O26" s="1157">
        <v>366496</v>
      </c>
      <c r="P26" s="1157">
        <v>20869.099999999999</v>
      </c>
      <c r="Q26" s="1157">
        <v>20869.099999999999</v>
      </c>
      <c r="R26" s="1159">
        <v>-416.93</v>
      </c>
      <c r="S26" s="1159">
        <v>-416.85</v>
      </c>
      <c r="T26" s="366">
        <f t="shared" si="1"/>
        <v>0</v>
      </c>
    </row>
    <row r="27" spans="1:20" ht="15.75">
      <c r="A27" s="336" t="str">
        <f t="shared" si="0"/>
        <v>N</v>
      </c>
      <c r="B27" s="371"/>
      <c r="C27" s="1181">
        <v>55</v>
      </c>
      <c r="D27" s="1156" t="s">
        <v>755</v>
      </c>
      <c r="E27" s="1156" t="s">
        <v>438</v>
      </c>
      <c r="F27" s="1157">
        <v>14</v>
      </c>
      <c r="G27" s="1182">
        <v>0.91</v>
      </c>
      <c r="H27" s="1157">
        <v>138230.615384615</v>
      </c>
      <c r="I27" s="1157">
        <v>8984.99</v>
      </c>
      <c r="J27" s="1157">
        <v>0</v>
      </c>
      <c r="K27" s="1157">
        <v>0</v>
      </c>
      <c r="L27" s="1157">
        <v>5</v>
      </c>
      <c r="M27" s="1157">
        <v>9873.6153846153793</v>
      </c>
      <c r="N27" s="1157">
        <v>138230.615384615</v>
      </c>
      <c r="O27" s="1157">
        <v>175308</v>
      </c>
      <c r="P27" s="1157">
        <v>8984.99</v>
      </c>
      <c r="Q27" s="1157">
        <v>8984.99</v>
      </c>
      <c r="R27" s="1159">
        <v>-182.29</v>
      </c>
      <c r="S27" s="1159">
        <v>-182.29</v>
      </c>
      <c r="T27" s="366">
        <f t="shared" si="1"/>
        <v>0</v>
      </c>
    </row>
    <row r="28" spans="1:20" ht="15.75">
      <c r="A28" s="336" t="str">
        <f t="shared" si="0"/>
        <v>N</v>
      </c>
      <c r="B28" s="371"/>
      <c r="C28" s="1181">
        <v>56</v>
      </c>
      <c r="D28" s="1156" t="s">
        <v>993</v>
      </c>
      <c r="E28" s="1156" t="s">
        <v>438</v>
      </c>
      <c r="F28" s="1157">
        <v>28</v>
      </c>
      <c r="G28" s="1182">
        <v>1.83</v>
      </c>
      <c r="H28" s="1157">
        <v>29510.775956284098</v>
      </c>
      <c r="I28" s="1157">
        <v>1928.74</v>
      </c>
      <c r="J28" s="1157">
        <v>0</v>
      </c>
      <c r="K28" s="1157">
        <v>0</v>
      </c>
      <c r="L28" s="1157">
        <v>4</v>
      </c>
      <c r="M28" s="1157">
        <v>1053.9562841530101</v>
      </c>
      <c r="N28" s="1157">
        <v>29510.775956284098</v>
      </c>
      <c r="O28" s="1157">
        <v>30968</v>
      </c>
      <c r="P28" s="1157">
        <v>1928.74</v>
      </c>
      <c r="Q28" s="1157">
        <v>1928.74</v>
      </c>
      <c r="R28" s="1159">
        <v>-39.31</v>
      </c>
      <c r="S28" s="1159">
        <v>-39.31</v>
      </c>
      <c r="T28" s="366">
        <f t="shared" si="1"/>
        <v>0</v>
      </c>
    </row>
    <row r="29" spans="1:20" ht="15.75">
      <c r="A29" s="336" t="str">
        <f t="shared" si="0"/>
        <v>N</v>
      </c>
      <c r="B29" s="371"/>
      <c r="C29" s="1181">
        <v>57</v>
      </c>
      <c r="D29" s="1156" t="s">
        <v>756</v>
      </c>
      <c r="E29" s="1156" t="s">
        <v>438</v>
      </c>
      <c r="F29" s="1157">
        <v>52</v>
      </c>
      <c r="G29" s="1182">
        <v>3.39</v>
      </c>
      <c r="H29" s="1157">
        <v>59477.876106194701</v>
      </c>
      <c r="I29" s="1157">
        <v>3877.5</v>
      </c>
      <c r="J29" s="1157">
        <v>0</v>
      </c>
      <c r="K29" s="1157">
        <v>0</v>
      </c>
      <c r="L29" s="1157">
        <v>7</v>
      </c>
      <c r="M29" s="1157">
        <v>1143.80530973451</v>
      </c>
      <c r="N29" s="1157">
        <v>59477.876106194701</v>
      </c>
      <c r="O29" s="1157">
        <v>63856</v>
      </c>
      <c r="P29" s="1157">
        <v>3877.5</v>
      </c>
      <c r="Q29" s="1157">
        <v>3877.5</v>
      </c>
      <c r="R29" s="1159">
        <v>-77.959999999999994</v>
      </c>
      <c r="S29" s="1159">
        <v>-77.959999999999994</v>
      </c>
      <c r="T29" s="366">
        <f t="shared" si="1"/>
        <v>0</v>
      </c>
    </row>
    <row r="30" spans="1:20" ht="15.75">
      <c r="A30" s="336" t="str">
        <f t="shared" si="0"/>
        <v>N</v>
      </c>
      <c r="B30" s="371"/>
      <c r="C30" s="1181">
        <v>59</v>
      </c>
      <c r="D30" s="1156" t="s">
        <v>855</v>
      </c>
      <c r="E30" s="1156" t="s">
        <v>534</v>
      </c>
      <c r="F30" s="1157">
        <v>9</v>
      </c>
      <c r="G30" s="1182">
        <v>0.59</v>
      </c>
      <c r="H30" s="1157">
        <v>648</v>
      </c>
      <c r="I30" s="1157">
        <v>42.48</v>
      </c>
      <c r="J30" s="1157">
        <v>0</v>
      </c>
      <c r="K30" s="1157">
        <v>0</v>
      </c>
      <c r="L30" s="1157">
        <v>1</v>
      </c>
      <c r="M30" s="1157">
        <v>72</v>
      </c>
      <c r="N30" s="1157">
        <v>648</v>
      </c>
      <c r="O30" s="1157">
        <v>648</v>
      </c>
      <c r="P30" s="1157">
        <v>42.48</v>
      </c>
      <c r="Q30" s="1157">
        <v>42.48</v>
      </c>
      <c r="R30" s="1159">
        <v>-0.84</v>
      </c>
      <c r="S30" s="1159">
        <v>-0.84</v>
      </c>
      <c r="T30" s="366">
        <f t="shared" si="1"/>
        <v>0</v>
      </c>
    </row>
    <row r="31" spans="1:20" ht="15.75">
      <c r="A31" s="336" t="str">
        <f t="shared" si="0"/>
        <v>N</v>
      </c>
      <c r="B31" s="371"/>
      <c r="C31" s="1181">
        <v>69</v>
      </c>
      <c r="D31" s="1156" t="s">
        <v>857</v>
      </c>
      <c r="E31" s="1156" t="s">
        <v>578</v>
      </c>
      <c r="F31" s="1157">
        <v>49</v>
      </c>
      <c r="G31" s="1182">
        <v>3.2</v>
      </c>
      <c r="H31" s="1157">
        <v>27048</v>
      </c>
      <c r="I31" s="1157">
        <v>1766.4</v>
      </c>
      <c r="J31" s="1157">
        <v>0</v>
      </c>
      <c r="K31" s="1157">
        <v>0</v>
      </c>
      <c r="L31" s="1157">
        <v>3</v>
      </c>
      <c r="M31" s="1157">
        <v>552</v>
      </c>
      <c r="N31" s="1157">
        <v>27048</v>
      </c>
      <c r="O31" s="1157">
        <v>27048</v>
      </c>
      <c r="P31" s="1157">
        <v>1766.4</v>
      </c>
      <c r="Q31" s="1157">
        <v>1766.4</v>
      </c>
      <c r="R31" s="1159">
        <v>-36.020000000000003</v>
      </c>
      <c r="S31" s="1159">
        <v>-36.020000000000003</v>
      </c>
      <c r="T31" s="366">
        <f t="shared" si="1"/>
        <v>0</v>
      </c>
    </row>
    <row r="32" spans="1:20" ht="14.25" customHeight="1">
      <c r="A32" s="336" t="str">
        <f t="shared" si="0"/>
        <v>N</v>
      </c>
      <c r="B32" s="371"/>
      <c r="C32" s="1181">
        <v>70</v>
      </c>
      <c r="D32" s="1156" t="s">
        <v>858</v>
      </c>
      <c r="E32" s="1156" t="s">
        <v>578</v>
      </c>
      <c r="F32" s="1157">
        <v>118</v>
      </c>
      <c r="G32" s="1182">
        <v>7.7</v>
      </c>
      <c r="H32" s="1157">
        <v>123000.748051948</v>
      </c>
      <c r="I32" s="1157">
        <v>8026.32</v>
      </c>
      <c r="J32" s="1157">
        <v>0</v>
      </c>
      <c r="K32" s="1157">
        <v>0</v>
      </c>
      <c r="L32" s="1157">
        <v>3</v>
      </c>
      <c r="M32" s="1157">
        <v>1042.3792207792201</v>
      </c>
      <c r="N32" s="1157">
        <v>123000.748051948</v>
      </c>
      <c r="O32" s="1157">
        <v>129446</v>
      </c>
      <c r="P32" s="1157">
        <v>8026.32</v>
      </c>
      <c r="Q32" s="1157">
        <v>8026.3200000000097</v>
      </c>
      <c r="R32" s="1159">
        <v>-162.68</v>
      </c>
      <c r="S32" s="1159">
        <v>-162.68</v>
      </c>
      <c r="T32" s="366">
        <f t="shared" si="1"/>
        <v>1.0004441719502211E-11</v>
      </c>
    </row>
    <row r="33" spans="1:20" ht="14.25" customHeight="1">
      <c r="A33" s="336" t="str">
        <f t="shared" si="0"/>
        <v>N</v>
      </c>
      <c r="B33" s="371"/>
      <c r="C33" s="1181">
        <v>72</v>
      </c>
      <c r="D33" s="1156" t="s">
        <v>859</v>
      </c>
      <c r="E33" s="1156" t="s">
        <v>577</v>
      </c>
      <c r="F33" s="1157">
        <v>18</v>
      </c>
      <c r="G33" s="1182">
        <v>1.18</v>
      </c>
      <c r="H33" s="1157">
        <v>60455.898305084702</v>
      </c>
      <c r="I33" s="1157">
        <v>3963.22</v>
      </c>
      <c r="J33" s="1157">
        <v>0</v>
      </c>
      <c r="K33" s="1157">
        <v>0</v>
      </c>
      <c r="L33" s="1157">
        <v>2</v>
      </c>
      <c r="M33" s="1157">
        <v>3358.6610169491501</v>
      </c>
      <c r="N33" s="1157">
        <v>60455.898305084702</v>
      </c>
      <c r="O33" s="1157">
        <v>64962</v>
      </c>
      <c r="P33" s="1157">
        <v>3963.22</v>
      </c>
      <c r="Q33" s="1157">
        <v>3963.22</v>
      </c>
      <c r="R33" s="1159">
        <v>-79.63</v>
      </c>
      <c r="S33" s="1159">
        <v>-79.63</v>
      </c>
      <c r="T33" s="366">
        <f t="shared" si="1"/>
        <v>0</v>
      </c>
    </row>
    <row r="34" spans="1:20" ht="14.25" customHeight="1">
      <c r="A34" s="336" t="str">
        <f t="shared" si="0"/>
        <v>N</v>
      </c>
      <c r="B34" s="371"/>
      <c r="C34" s="1181">
        <v>73</v>
      </c>
      <c r="D34" s="1156" t="s">
        <v>860</v>
      </c>
      <c r="E34" s="1156" t="s">
        <v>576</v>
      </c>
      <c r="F34" s="1157">
        <v>18</v>
      </c>
      <c r="G34" s="1182">
        <v>1.18</v>
      </c>
      <c r="H34" s="1157">
        <v>90016.016949152501</v>
      </c>
      <c r="I34" s="1157">
        <v>5901.05</v>
      </c>
      <c r="J34" s="1157">
        <v>0</v>
      </c>
      <c r="K34" s="1157">
        <v>0</v>
      </c>
      <c r="L34" s="1157">
        <v>4</v>
      </c>
      <c r="M34" s="1157">
        <v>5000.8898305084704</v>
      </c>
      <c r="N34" s="1157">
        <v>90016.016949152501</v>
      </c>
      <c r="O34" s="1157">
        <v>97650</v>
      </c>
      <c r="P34" s="1157">
        <v>5901.05</v>
      </c>
      <c r="Q34" s="1157">
        <v>5901.05</v>
      </c>
      <c r="R34" s="1159">
        <v>-118.4</v>
      </c>
      <c r="S34" s="1159">
        <v>-118.4</v>
      </c>
      <c r="T34" s="366">
        <f t="shared" si="1"/>
        <v>0</v>
      </c>
    </row>
    <row r="35" spans="1:20" ht="14.25" customHeight="1">
      <c r="A35" s="336" t="str">
        <f t="shared" si="0"/>
        <v>N</v>
      </c>
      <c r="B35" s="371"/>
      <c r="C35" s="1181">
        <v>80</v>
      </c>
      <c r="D35" s="1156" t="s">
        <v>994</v>
      </c>
      <c r="E35" s="1156" t="s">
        <v>856</v>
      </c>
      <c r="F35" s="1157">
        <v>9</v>
      </c>
      <c r="G35" s="1182">
        <v>0.59</v>
      </c>
      <c r="H35" s="1157">
        <v>91538.694915254193</v>
      </c>
      <c r="I35" s="1157">
        <v>6000.87</v>
      </c>
      <c r="J35" s="1157">
        <v>0</v>
      </c>
      <c r="K35" s="1157">
        <v>0</v>
      </c>
      <c r="L35" s="1157">
        <v>13</v>
      </c>
      <c r="M35" s="1157">
        <v>10170.966101694899</v>
      </c>
      <c r="N35" s="1157">
        <v>91538.694915254193</v>
      </c>
      <c r="O35" s="1157">
        <v>93222</v>
      </c>
      <c r="P35" s="1157">
        <v>6000.87</v>
      </c>
      <c r="Q35" s="1157">
        <v>6000.87</v>
      </c>
      <c r="R35" s="1159">
        <v>-119.1</v>
      </c>
      <c r="S35" s="1159">
        <v>-122.49</v>
      </c>
      <c r="T35" s="366">
        <f t="shared" si="1"/>
        <v>0</v>
      </c>
    </row>
    <row r="36" spans="1:20" ht="14.25" customHeight="1">
      <c r="A36" s="336" t="str">
        <f t="shared" si="0"/>
        <v>N</v>
      </c>
      <c r="B36" s="371"/>
      <c r="C36" s="1181">
        <v>81</v>
      </c>
      <c r="D36" s="1156" t="s">
        <v>861</v>
      </c>
      <c r="E36" s="1156" t="s">
        <v>856</v>
      </c>
      <c r="F36" s="1157">
        <v>11</v>
      </c>
      <c r="G36" s="1182">
        <v>0.72</v>
      </c>
      <c r="H36" s="1157">
        <v>87736.916666666701</v>
      </c>
      <c r="I36" s="1157">
        <v>5742.78</v>
      </c>
      <c r="J36" s="1157">
        <v>0</v>
      </c>
      <c r="K36" s="1157">
        <v>0</v>
      </c>
      <c r="L36" s="1157">
        <v>11</v>
      </c>
      <c r="M36" s="1157">
        <v>7976.0833333333303</v>
      </c>
      <c r="N36" s="1157">
        <v>87736.916666666701</v>
      </c>
      <c r="O36" s="1157">
        <v>99770</v>
      </c>
      <c r="P36" s="1157">
        <v>5742.78</v>
      </c>
      <c r="Q36" s="1157">
        <v>5742.78</v>
      </c>
      <c r="R36" s="1159">
        <v>-116.09</v>
      </c>
      <c r="S36" s="1159">
        <v>-116.09</v>
      </c>
      <c r="T36" s="366">
        <f t="shared" si="1"/>
        <v>0</v>
      </c>
    </row>
    <row r="37" spans="1:20" ht="14.25" customHeight="1">
      <c r="A37" s="336" t="str">
        <f t="shared" si="0"/>
        <v>N</v>
      </c>
      <c r="B37" s="371"/>
      <c r="C37" s="1181">
        <v>82</v>
      </c>
      <c r="D37" s="1156" t="s">
        <v>862</v>
      </c>
      <c r="E37" s="1156" t="s">
        <v>856</v>
      </c>
      <c r="F37" s="1157">
        <v>17</v>
      </c>
      <c r="G37" s="1182">
        <v>1.1100000000000001</v>
      </c>
      <c r="H37" s="1157">
        <v>216971</v>
      </c>
      <c r="I37" s="1157">
        <v>14166.93</v>
      </c>
      <c r="J37" s="1157">
        <v>408</v>
      </c>
      <c r="K37" s="1157">
        <v>26.64</v>
      </c>
      <c r="L37" s="1157">
        <v>46</v>
      </c>
      <c r="M37" s="1157">
        <v>12787</v>
      </c>
      <c r="N37" s="1157">
        <v>217379</v>
      </c>
      <c r="O37" s="1157">
        <v>283900</v>
      </c>
      <c r="P37" s="1157">
        <v>14193.57</v>
      </c>
      <c r="Q37" s="1157">
        <v>14193.57</v>
      </c>
      <c r="R37" s="1159">
        <v>-284.33</v>
      </c>
      <c r="S37" s="1159">
        <v>-283.87</v>
      </c>
      <c r="T37" s="366">
        <f t="shared" si="1"/>
        <v>0</v>
      </c>
    </row>
    <row r="38" spans="1:20" ht="14.25" customHeight="1">
      <c r="A38" s="336" t="str">
        <f t="shared" si="0"/>
        <v>N</v>
      </c>
      <c r="B38" s="371"/>
      <c r="C38" s="1181">
        <v>83</v>
      </c>
      <c r="D38" s="1156" t="s">
        <v>863</v>
      </c>
      <c r="E38" s="1156" t="s">
        <v>856</v>
      </c>
      <c r="F38" s="1157">
        <v>19</v>
      </c>
      <c r="G38" s="1182">
        <v>1.24</v>
      </c>
      <c r="H38" s="1157">
        <v>270742.95161290298</v>
      </c>
      <c r="I38" s="1157">
        <v>17669.54</v>
      </c>
      <c r="J38" s="1157">
        <v>0</v>
      </c>
      <c r="K38" s="1157">
        <v>0</v>
      </c>
      <c r="L38" s="1157">
        <v>20</v>
      </c>
      <c r="M38" s="1157">
        <v>14249.629032258101</v>
      </c>
      <c r="N38" s="1157">
        <v>270742.95161290298</v>
      </c>
      <c r="O38" s="1157">
        <v>362520</v>
      </c>
      <c r="P38" s="1157">
        <v>17669.54</v>
      </c>
      <c r="Q38" s="1157">
        <v>17669.540000000099</v>
      </c>
      <c r="R38" s="1159">
        <v>-360.47</v>
      </c>
      <c r="S38" s="1159">
        <v>-360.47</v>
      </c>
      <c r="T38" s="366">
        <f t="shared" si="1"/>
        <v>9.822542779147625E-11</v>
      </c>
    </row>
    <row r="39" spans="1:20" ht="14.25" customHeight="1">
      <c r="A39" s="336" t="str">
        <f t="shared" si="0"/>
        <v>N</v>
      </c>
      <c r="B39" s="371"/>
      <c r="C39" s="1181">
        <v>84</v>
      </c>
      <c r="D39" s="1156" t="s">
        <v>864</v>
      </c>
      <c r="E39" s="1156" t="s">
        <v>856</v>
      </c>
      <c r="F39" s="1157">
        <v>24</v>
      </c>
      <c r="G39" s="1182">
        <v>1.57</v>
      </c>
      <c r="H39" s="1157">
        <v>583697.57961783395</v>
      </c>
      <c r="I39" s="1157">
        <v>38183.550000000003</v>
      </c>
      <c r="J39" s="1157">
        <v>-1425.32484076433</v>
      </c>
      <c r="K39" s="1157">
        <v>-93.24</v>
      </c>
      <c r="L39" s="1157">
        <v>44</v>
      </c>
      <c r="M39" s="1157">
        <v>24261.3439490446</v>
      </c>
      <c r="N39" s="1157">
        <v>582272.25477707002</v>
      </c>
      <c r="O39" s="1157">
        <v>685536</v>
      </c>
      <c r="P39" s="1157">
        <v>38090.31</v>
      </c>
      <c r="Q39" s="1157">
        <v>38090.309999999801</v>
      </c>
      <c r="R39" s="1159">
        <v>-764.37</v>
      </c>
      <c r="S39" s="1159">
        <v>-768.75</v>
      </c>
      <c r="T39" s="366">
        <f t="shared" si="1"/>
        <v>-1.964508555829525E-10</v>
      </c>
    </row>
    <row r="40" spans="1:20" ht="14.25" customHeight="1">
      <c r="A40" s="336" t="str">
        <f t="shared" si="0"/>
        <v>N</v>
      </c>
      <c r="B40" s="371"/>
      <c r="C40" s="1181">
        <v>85</v>
      </c>
      <c r="D40" s="1156" t="s">
        <v>865</v>
      </c>
      <c r="E40" s="1156" t="s">
        <v>856</v>
      </c>
      <c r="F40" s="1157">
        <v>29</v>
      </c>
      <c r="G40" s="1182">
        <v>1.89</v>
      </c>
      <c r="H40" s="1157">
        <v>160954.44973545001</v>
      </c>
      <c r="I40" s="1157">
        <v>10489.79</v>
      </c>
      <c r="J40" s="1157">
        <v>0</v>
      </c>
      <c r="K40" s="1157">
        <v>0</v>
      </c>
      <c r="L40" s="1157">
        <v>17</v>
      </c>
      <c r="M40" s="1157">
        <v>5550.1534391534396</v>
      </c>
      <c r="N40" s="1157">
        <v>160954.44973545001</v>
      </c>
      <c r="O40" s="1157">
        <v>207176</v>
      </c>
      <c r="P40" s="1157">
        <v>10489.79</v>
      </c>
      <c r="Q40" s="1157">
        <v>10489.79</v>
      </c>
      <c r="R40" s="1159">
        <v>-210.89</v>
      </c>
      <c r="S40" s="1159">
        <v>-211.09</v>
      </c>
      <c r="T40" s="366">
        <f t="shared" si="1"/>
        <v>0</v>
      </c>
    </row>
    <row r="41" spans="1:20" ht="14.25" customHeight="1">
      <c r="A41" s="336" t="str">
        <f t="shared" si="0"/>
        <v>N</v>
      </c>
      <c r="B41" s="371"/>
      <c r="C41" s="1181">
        <v>86</v>
      </c>
      <c r="D41" s="1156" t="s">
        <v>866</v>
      </c>
      <c r="E41" s="1156" t="s">
        <v>856</v>
      </c>
      <c r="F41" s="1157">
        <v>30</v>
      </c>
      <c r="G41" s="1182">
        <v>1.96</v>
      </c>
      <c r="H41" s="1157">
        <v>177622.959183673</v>
      </c>
      <c r="I41" s="1157">
        <v>11604.7</v>
      </c>
      <c r="J41" s="1157">
        <v>0</v>
      </c>
      <c r="K41" s="1157">
        <v>0</v>
      </c>
      <c r="L41" s="1157">
        <v>4</v>
      </c>
      <c r="M41" s="1157">
        <v>5920.7653061224501</v>
      </c>
      <c r="N41" s="1157">
        <v>177622.959183673</v>
      </c>
      <c r="O41" s="1157">
        <v>181020</v>
      </c>
      <c r="P41" s="1157">
        <v>11604.7</v>
      </c>
      <c r="Q41" s="1157">
        <v>11604.7</v>
      </c>
      <c r="R41" s="1159">
        <v>-232.76</v>
      </c>
      <c r="S41" s="1159">
        <v>-232.76</v>
      </c>
      <c r="T41" s="366">
        <f t="shared" si="1"/>
        <v>0</v>
      </c>
    </row>
    <row r="42" spans="1:20" ht="14.25" customHeight="1">
      <c r="A42" s="336" t="str">
        <f t="shared" si="0"/>
        <v>N</v>
      </c>
      <c r="B42" s="371"/>
      <c r="C42" s="1181">
        <v>87</v>
      </c>
      <c r="D42" s="1156" t="s">
        <v>867</v>
      </c>
      <c r="E42" s="1156" t="s">
        <v>856</v>
      </c>
      <c r="F42" s="1157">
        <v>33</v>
      </c>
      <c r="G42" s="1182">
        <v>2.15</v>
      </c>
      <c r="H42" s="1157">
        <v>218086.71627907001</v>
      </c>
      <c r="I42" s="1157">
        <v>14208.68</v>
      </c>
      <c r="J42" s="1157">
        <v>-231</v>
      </c>
      <c r="K42" s="1157">
        <v>-15.05</v>
      </c>
      <c r="L42" s="1157">
        <v>34</v>
      </c>
      <c r="M42" s="1157">
        <v>6601.68837209302</v>
      </c>
      <c r="N42" s="1157">
        <v>217855.71627907001</v>
      </c>
      <c r="O42" s="1157">
        <v>272250</v>
      </c>
      <c r="P42" s="1157">
        <v>14193.63</v>
      </c>
      <c r="Q42" s="1157">
        <v>14193.63</v>
      </c>
      <c r="R42" s="1159">
        <v>-283.42</v>
      </c>
      <c r="S42" s="1159">
        <v>-284.82</v>
      </c>
      <c r="T42" s="366">
        <f t="shared" si="1"/>
        <v>0</v>
      </c>
    </row>
    <row r="43" spans="1:20" ht="14.25" customHeight="1">
      <c r="A43" s="336" t="str">
        <f t="shared" si="0"/>
        <v>N</v>
      </c>
      <c r="B43" s="371"/>
      <c r="C43" s="1181">
        <v>88</v>
      </c>
      <c r="D43" s="1156" t="s">
        <v>868</v>
      </c>
      <c r="E43" s="1156" t="s">
        <v>856</v>
      </c>
      <c r="F43" s="1157">
        <v>35</v>
      </c>
      <c r="G43" s="1182">
        <v>2.2799999999999998</v>
      </c>
      <c r="H43" s="1157">
        <v>227807.63157894701</v>
      </c>
      <c r="I43" s="1157">
        <v>14840.04</v>
      </c>
      <c r="J43" s="1157">
        <v>35</v>
      </c>
      <c r="K43" s="1157">
        <v>2.2799999999999998</v>
      </c>
      <c r="L43" s="1157">
        <v>16</v>
      </c>
      <c r="M43" s="1157">
        <v>6509.78947368421</v>
      </c>
      <c r="N43" s="1157">
        <v>227842.63157894701</v>
      </c>
      <c r="O43" s="1157">
        <v>247310</v>
      </c>
      <c r="P43" s="1157">
        <v>14842.32</v>
      </c>
      <c r="Q43" s="1157">
        <v>14842.32</v>
      </c>
      <c r="R43" s="1159">
        <v>-298.05</v>
      </c>
      <c r="S43" s="1159">
        <v>-298</v>
      </c>
      <c r="T43" s="366">
        <f t="shared" si="1"/>
        <v>0</v>
      </c>
    </row>
    <row r="44" spans="1:20" ht="14.25" customHeight="1">
      <c r="A44" s="336" t="str">
        <f t="shared" si="0"/>
        <v>N</v>
      </c>
      <c r="B44" s="371"/>
      <c r="C44" s="1181">
        <v>89</v>
      </c>
      <c r="D44" s="1156" t="s">
        <v>869</v>
      </c>
      <c r="E44" s="1156" t="s">
        <v>856</v>
      </c>
      <c r="F44" s="1157">
        <v>38</v>
      </c>
      <c r="G44" s="1182">
        <v>2.48</v>
      </c>
      <c r="H44" s="1157">
        <v>111797.685483871</v>
      </c>
      <c r="I44" s="1157">
        <v>7296.27</v>
      </c>
      <c r="J44" s="1157">
        <v>0</v>
      </c>
      <c r="K44" s="1157">
        <v>0</v>
      </c>
      <c r="L44" s="1157">
        <v>4</v>
      </c>
      <c r="M44" s="1157">
        <v>2942.0443548387102</v>
      </c>
      <c r="N44" s="1157">
        <v>111797.685483871</v>
      </c>
      <c r="O44" s="1157">
        <v>129314</v>
      </c>
      <c r="P44" s="1157">
        <v>7296.27</v>
      </c>
      <c r="Q44" s="1157">
        <v>7296.27</v>
      </c>
      <c r="R44" s="1159">
        <v>-148.1</v>
      </c>
      <c r="S44" s="1159">
        <v>-148.1</v>
      </c>
      <c r="T44" s="366">
        <f t="shared" si="1"/>
        <v>0</v>
      </c>
    </row>
    <row r="45" spans="1:20" ht="14.25" customHeight="1">
      <c r="A45" s="336" t="str">
        <f t="shared" si="0"/>
        <v>N</v>
      </c>
      <c r="B45" s="371"/>
      <c r="C45" s="1181">
        <v>90</v>
      </c>
      <c r="D45" s="1156" t="s">
        <v>870</v>
      </c>
      <c r="E45" s="1156" t="s">
        <v>856</v>
      </c>
      <c r="F45" s="1157">
        <v>42</v>
      </c>
      <c r="G45" s="1182">
        <v>2.74</v>
      </c>
      <c r="H45" s="1157">
        <v>10840.4452554745</v>
      </c>
      <c r="I45" s="1157">
        <v>707.21</v>
      </c>
      <c r="J45" s="1157">
        <v>-42</v>
      </c>
      <c r="K45" s="1157">
        <v>-2.74</v>
      </c>
      <c r="L45" s="1157">
        <v>4</v>
      </c>
      <c r="M45" s="1157">
        <v>257.10583941605802</v>
      </c>
      <c r="N45" s="1157">
        <v>10798.4452554745</v>
      </c>
      <c r="O45" s="1157">
        <v>11382</v>
      </c>
      <c r="P45" s="1157">
        <v>704.47</v>
      </c>
      <c r="Q45" s="1157">
        <v>704.47</v>
      </c>
      <c r="R45" s="1159">
        <v>-14.15</v>
      </c>
      <c r="S45" s="1159">
        <v>-14.23</v>
      </c>
      <c r="T45" s="366">
        <f t="shared" si="1"/>
        <v>0</v>
      </c>
    </row>
    <row r="46" spans="1:20" ht="14.25" customHeight="1">
      <c r="A46" s="336" t="str">
        <f t="shared" si="0"/>
        <v>N</v>
      </c>
      <c r="B46" s="371"/>
      <c r="C46" s="1181">
        <v>91</v>
      </c>
      <c r="D46" s="1156" t="s">
        <v>871</v>
      </c>
      <c r="E46" s="1156" t="s">
        <v>856</v>
      </c>
      <c r="F46" s="1157">
        <v>48</v>
      </c>
      <c r="G46" s="1182">
        <v>3.13</v>
      </c>
      <c r="H46" s="1157">
        <v>823477.87859424902</v>
      </c>
      <c r="I46" s="1157">
        <v>53697.62</v>
      </c>
      <c r="J46" s="1157">
        <v>96</v>
      </c>
      <c r="K46" s="1157">
        <v>6.26</v>
      </c>
      <c r="L46" s="1157">
        <v>14</v>
      </c>
      <c r="M46" s="1157">
        <v>17157.789137380201</v>
      </c>
      <c r="N46" s="1157">
        <v>823573.87859424902</v>
      </c>
      <c r="O46" s="1157">
        <v>1610496</v>
      </c>
      <c r="P46" s="1157">
        <v>53703.88</v>
      </c>
      <c r="Q46" s="1157">
        <v>53703.879999999903</v>
      </c>
      <c r="R46" s="1159">
        <v>-1097.19</v>
      </c>
      <c r="S46" s="1159">
        <v>-1097.07</v>
      </c>
      <c r="T46" s="366">
        <f t="shared" si="1"/>
        <v>-9.4587448984384537E-11</v>
      </c>
    </row>
    <row r="47" spans="1:20" ht="14.25" customHeight="1">
      <c r="A47" s="336" t="str">
        <f t="shared" si="0"/>
        <v>N</v>
      </c>
      <c r="B47" s="371"/>
      <c r="C47" s="1181">
        <v>92</v>
      </c>
      <c r="D47" s="1156" t="s">
        <v>872</v>
      </c>
      <c r="E47" s="1156" t="s">
        <v>856</v>
      </c>
      <c r="F47" s="1157">
        <v>50</v>
      </c>
      <c r="G47" s="1182">
        <v>3.26</v>
      </c>
      <c r="H47" s="1157">
        <v>700449.84662576695</v>
      </c>
      <c r="I47" s="1157">
        <v>45669.33</v>
      </c>
      <c r="J47" s="1157">
        <v>935.58282208589003</v>
      </c>
      <c r="K47" s="1157">
        <v>61</v>
      </c>
      <c r="L47" s="1157">
        <v>32</v>
      </c>
      <c r="M47" s="1157">
        <v>14027.708588957101</v>
      </c>
      <c r="N47" s="1157">
        <v>701385.42944785301</v>
      </c>
      <c r="O47" s="1157">
        <v>735500</v>
      </c>
      <c r="P47" s="1157">
        <v>45730.33</v>
      </c>
      <c r="Q47" s="1157">
        <v>45730.330000000104</v>
      </c>
      <c r="R47" s="1159">
        <v>-928.7</v>
      </c>
      <c r="S47" s="1159">
        <v>-927.74</v>
      </c>
      <c r="T47" s="366">
        <f t="shared" si="1"/>
        <v>1.0186340659856796E-10</v>
      </c>
    </row>
    <row r="48" spans="1:20" ht="14.25" customHeight="1">
      <c r="A48" s="336" t="str">
        <f t="shared" si="0"/>
        <v>N</v>
      </c>
      <c r="B48" s="371"/>
      <c r="C48" s="1181">
        <v>93</v>
      </c>
      <c r="D48" s="1156" t="s">
        <v>873</v>
      </c>
      <c r="E48" s="1156" t="s">
        <v>856</v>
      </c>
      <c r="F48" s="1157">
        <v>53</v>
      </c>
      <c r="G48" s="1182">
        <v>3.46</v>
      </c>
      <c r="H48" s="1157">
        <v>220905.684971098</v>
      </c>
      <c r="I48" s="1157">
        <v>14421.39</v>
      </c>
      <c r="J48" s="1157">
        <v>-106</v>
      </c>
      <c r="K48" s="1157">
        <v>-6.92</v>
      </c>
      <c r="L48" s="1157">
        <v>6</v>
      </c>
      <c r="M48" s="1157">
        <v>4166.0317919075196</v>
      </c>
      <c r="N48" s="1157">
        <v>220799.684971098</v>
      </c>
      <c r="O48" s="1157">
        <v>220957</v>
      </c>
      <c r="P48" s="1157">
        <v>14414.47</v>
      </c>
      <c r="Q48" s="1157">
        <v>14414.47</v>
      </c>
      <c r="R48" s="1159">
        <v>-287.38</v>
      </c>
      <c r="S48" s="1159">
        <v>-287.58</v>
      </c>
      <c r="T48" s="366">
        <f t="shared" si="1"/>
        <v>0</v>
      </c>
    </row>
    <row r="49" spans="1:20" ht="14.25" customHeight="1">
      <c r="A49" s="336" t="str">
        <f t="shared" si="0"/>
        <v>N</v>
      </c>
      <c r="B49" s="371"/>
      <c r="C49" s="1181">
        <v>95</v>
      </c>
      <c r="D49" s="1156" t="s">
        <v>874</v>
      </c>
      <c r="E49" s="1156" t="s">
        <v>856</v>
      </c>
      <c r="F49" s="1157">
        <v>43</v>
      </c>
      <c r="G49" s="1182">
        <v>2.81</v>
      </c>
      <c r="H49" s="1157">
        <v>512626.87188612099</v>
      </c>
      <c r="I49" s="1157">
        <v>33499.57</v>
      </c>
      <c r="J49" s="1157">
        <v>-85.999999999981796</v>
      </c>
      <c r="K49" s="1157">
        <v>-5.62</v>
      </c>
      <c r="L49" s="1157">
        <v>20</v>
      </c>
      <c r="M49" s="1157">
        <v>11919.555160142399</v>
      </c>
      <c r="N49" s="1157">
        <v>512540.87188612099</v>
      </c>
      <c r="O49" s="1157">
        <v>736719</v>
      </c>
      <c r="P49" s="1157">
        <v>33493.949999999997</v>
      </c>
      <c r="Q49" s="1157">
        <v>33493.950000000099</v>
      </c>
      <c r="R49" s="1159">
        <v>-674.28</v>
      </c>
      <c r="S49" s="1159">
        <v>-674.52</v>
      </c>
      <c r="T49" s="366">
        <f t="shared" si="1"/>
        <v>1.0186340659856796E-10</v>
      </c>
    </row>
    <row r="50" spans="1:20" ht="14.25" customHeight="1">
      <c r="A50" s="336" t="str">
        <f t="shared" si="0"/>
        <v>N</v>
      </c>
      <c r="B50" s="371"/>
      <c r="C50" s="1181">
        <v>96</v>
      </c>
      <c r="D50" s="1156" t="s">
        <v>875</v>
      </c>
      <c r="E50" s="1156" t="s">
        <v>438</v>
      </c>
      <c r="F50" s="1157">
        <v>53</v>
      </c>
      <c r="G50" s="1182">
        <v>3.46</v>
      </c>
      <c r="H50" s="1157">
        <v>16536</v>
      </c>
      <c r="I50" s="1157">
        <v>1079.52</v>
      </c>
      <c r="J50" s="1157">
        <v>0</v>
      </c>
      <c r="K50" s="1157">
        <v>0</v>
      </c>
      <c r="L50" s="1157">
        <v>1</v>
      </c>
      <c r="M50" s="1157">
        <v>312</v>
      </c>
      <c r="N50" s="1157">
        <v>16536</v>
      </c>
      <c r="O50" s="1157">
        <v>16536</v>
      </c>
      <c r="P50" s="1157">
        <v>1079.52</v>
      </c>
      <c r="Q50" s="1157">
        <v>1079.52</v>
      </c>
      <c r="R50" s="1159">
        <v>-22.07</v>
      </c>
      <c r="S50" s="1159">
        <v>-22.07</v>
      </c>
      <c r="T50" s="366">
        <f t="shared" si="1"/>
        <v>0</v>
      </c>
    </row>
    <row r="51" spans="1:20" ht="14.25" customHeight="1">
      <c r="A51" s="336" t="str">
        <f t="shared" si="0"/>
        <v>N</v>
      </c>
      <c r="B51" s="371"/>
      <c r="C51" s="1181">
        <v>98</v>
      </c>
      <c r="D51" s="1156" t="s">
        <v>877</v>
      </c>
      <c r="E51" s="1156" t="s">
        <v>578</v>
      </c>
      <c r="F51" s="1157">
        <v>9</v>
      </c>
      <c r="G51" s="1182">
        <v>0.59</v>
      </c>
      <c r="H51" s="1157">
        <v>2484</v>
      </c>
      <c r="I51" s="1157">
        <v>162.84</v>
      </c>
      <c r="J51" s="1157">
        <v>0</v>
      </c>
      <c r="K51" s="1157">
        <v>0</v>
      </c>
      <c r="L51" s="1157">
        <v>2</v>
      </c>
      <c r="M51" s="1157">
        <v>276</v>
      </c>
      <c r="N51" s="1157">
        <v>2484</v>
      </c>
      <c r="O51" s="1157">
        <v>2484</v>
      </c>
      <c r="P51" s="1157">
        <v>162.84</v>
      </c>
      <c r="Q51" s="1157">
        <v>162.84</v>
      </c>
      <c r="R51" s="1159">
        <v>-3.3</v>
      </c>
      <c r="S51" s="1159">
        <v>-3.3</v>
      </c>
      <c r="T51" s="366">
        <f t="shared" si="1"/>
        <v>0</v>
      </c>
    </row>
    <row r="52" spans="1:20" ht="15.75">
      <c r="A52" s="336" t="str">
        <f t="shared" si="0"/>
        <v>N</v>
      </c>
      <c r="B52" s="371"/>
      <c r="C52" s="1181">
        <v>99</v>
      </c>
      <c r="D52" s="1156" t="s">
        <v>878</v>
      </c>
      <c r="E52" s="1156" t="s">
        <v>578</v>
      </c>
      <c r="F52" s="1157">
        <v>4</v>
      </c>
      <c r="G52" s="1182">
        <v>0.26</v>
      </c>
      <c r="H52" s="1157">
        <v>2448</v>
      </c>
      <c r="I52" s="1157">
        <v>159.12</v>
      </c>
      <c r="J52" s="1157">
        <v>0</v>
      </c>
      <c r="K52" s="1157">
        <v>0</v>
      </c>
      <c r="L52" s="1157">
        <v>1</v>
      </c>
      <c r="M52" s="1157">
        <v>612</v>
      </c>
      <c r="N52" s="1157">
        <v>2448</v>
      </c>
      <c r="O52" s="1157">
        <v>2448</v>
      </c>
      <c r="P52" s="1157">
        <v>159.12</v>
      </c>
      <c r="Q52" s="1157">
        <v>159.12</v>
      </c>
      <c r="R52" s="1159">
        <v>-3.22</v>
      </c>
      <c r="S52" s="1159">
        <v>-3.22</v>
      </c>
      <c r="T52" s="366">
        <f t="shared" si="1"/>
        <v>0</v>
      </c>
    </row>
    <row r="53" spans="1:20" ht="15" customHeight="1">
      <c r="A53" s="336" t="str">
        <f t="shared" si="0"/>
        <v>N</v>
      </c>
      <c r="B53" s="371"/>
      <c r="C53" s="1181">
        <v>100</v>
      </c>
      <c r="D53" s="1156" t="s">
        <v>995</v>
      </c>
      <c r="E53" s="1156" t="s">
        <v>856</v>
      </c>
      <c r="F53" s="1157">
        <v>55</v>
      </c>
      <c r="G53" s="1182">
        <v>3.59</v>
      </c>
      <c r="H53" s="1157">
        <v>115661.32311977699</v>
      </c>
      <c r="I53" s="1157">
        <v>7549.53</v>
      </c>
      <c r="J53" s="1157">
        <v>0</v>
      </c>
      <c r="K53" s="1157">
        <v>0</v>
      </c>
      <c r="L53" s="1157">
        <v>11</v>
      </c>
      <c r="M53" s="1157">
        <v>2102.93314763231</v>
      </c>
      <c r="N53" s="1157">
        <v>115661.32311977699</v>
      </c>
      <c r="O53" s="1157">
        <v>121330</v>
      </c>
      <c r="P53" s="1157">
        <v>7549.53</v>
      </c>
      <c r="Q53" s="1157">
        <v>7549.53</v>
      </c>
      <c r="R53" s="1159">
        <v>-153.57</v>
      </c>
      <c r="S53" s="1159">
        <v>-153.57</v>
      </c>
      <c r="T53" s="366">
        <f t="shared" si="1"/>
        <v>0</v>
      </c>
    </row>
    <row r="54" spans="1:20" ht="15.75">
      <c r="A54" s="336" t="str">
        <f t="shared" ref="A54:A69" si="2">IF(OR(C54=26,C54=27,C54=28,C54=29,C54=30,C54=34,C54=36,C54=37,C54=38),"S","N")</f>
        <v>N</v>
      </c>
      <c r="B54" s="371"/>
      <c r="C54" s="1181">
        <v>101</v>
      </c>
      <c r="D54" s="1156" t="s">
        <v>879</v>
      </c>
      <c r="E54" s="1156" t="s">
        <v>856</v>
      </c>
      <c r="F54" s="1157">
        <v>12</v>
      </c>
      <c r="G54" s="1182">
        <v>0.78</v>
      </c>
      <c r="H54" s="1157">
        <v>591914.92307692301</v>
      </c>
      <c r="I54" s="1157">
        <v>38474.47</v>
      </c>
      <c r="J54" s="1157">
        <v>-1.13687E-13</v>
      </c>
      <c r="K54" s="1157">
        <v>0</v>
      </c>
      <c r="L54" s="1157">
        <v>19</v>
      </c>
      <c r="M54" s="1157">
        <v>49326.243589743601</v>
      </c>
      <c r="N54" s="1157">
        <v>591914.92307692301</v>
      </c>
      <c r="O54" s="1157">
        <v>729684</v>
      </c>
      <c r="P54" s="1157">
        <v>38474.47</v>
      </c>
      <c r="Q54" s="1157">
        <v>38474.47</v>
      </c>
      <c r="R54" s="1159">
        <v>-781.71</v>
      </c>
      <c r="S54" s="1159">
        <v>-781.71</v>
      </c>
      <c r="T54" s="366">
        <f t="shared" si="1"/>
        <v>0</v>
      </c>
    </row>
    <row r="55" spans="1:20" ht="15.75">
      <c r="A55" s="336" t="str">
        <f t="shared" si="2"/>
        <v>N</v>
      </c>
      <c r="B55" s="371"/>
      <c r="C55" s="1181">
        <v>102</v>
      </c>
      <c r="D55" s="1156" t="s">
        <v>880</v>
      </c>
      <c r="E55" s="1156" t="s">
        <v>856</v>
      </c>
      <c r="F55" s="1157">
        <v>14</v>
      </c>
      <c r="G55" s="1182">
        <v>0.91</v>
      </c>
      <c r="H55" s="1157">
        <v>328131.84615384601</v>
      </c>
      <c r="I55" s="1157">
        <v>21328.57</v>
      </c>
      <c r="J55" s="1157">
        <v>-98</v>
      </c>
      <c r="K55" s="1157">
        <v>-6.37</v>
      </c>
      <c r="L55" s="1157">
        <v>49</v>
      </c>
      <c r="M55" s="1157">
        <v>23430.989010989</v>
      </c>
      <c r="N55" s="1157">
        <v>328033.84615384601</v>
      </c>
      <c r="O55" s="1157">
        <v>465304</v>
      </c>
      <c r="P55" s="1157">
        <v>21322.2</v>
      </c>
      <c r="Q55" s="1157">
        <v>21322.2</v>
      </c>
      <c r="R55" s="1159">
        <v>-428.49</v>
      </c>
      <c r="S55" s="1159">
        <v>-429.24</v>
      </c>
      <c r="T55" s="366">
        <f t="shared" si="1"/>
        <v>0</v>
      </c>
    </row>
    <row r="56" spans="1:20" ht="15.75">
      <c r="A56" s="336" t="str">
        <f t="shared" si="2"/>
        <v>N</v>
      </c>
      <c r="B56" s="371"/>
      <c r="C56" s="1181">
        <v>103</v>
      </c>
      <c r="D56" s="1156" t="s">
        <v>881</v>
      </c>
      <c r="E56" s="1156" t="s">
        <v>438</v>
      </c>
      <c r="F56" s="1157">
        <v>17</v>
      </c>
      <c r="G56" s="1182">
        <v>1.1100000000000001</v>
      </c>
      <c r="H56" s="1157">
        <v>461025.29729729699</v>
      </c>
      <c r="I56" s="1157">
        <v>30102.240000000002</v>
      </c>
      <c r="J56" s="1157">
        <v>1478.99999999999</v>
      </c>
      <c r="K56" s="1157">
        <v>96.57</v>
      </c>
      <c r="L56" s="1157">
        <v>8</v>
      </c>
      <c r="M56" s="1157">
        <v>27206.1351351351</v>
      </c>
      <c r="N56" s="1157">
        <v>462504.29729729699</v>
      </c>
      <c r="O56" s="1157">
        <v>653225</v>
      </c>
      <c r="P56" s="1157">
        <v>30198.81</v>
      </c>
      <c r="Q56" s="1157">
        <v>30198.81</v>
      </c>
      <c r="R56" s="1159">
        <v>-599.05999999999995</v>
      </c>
      <c r="S56" s="1159">
        <v>-597.15</v>
      </c>
      <c r="T56" s="366">
        <f t="shared" si="1"/>
        <v>0</v>
      </c>
    </row>
    <row r="57" spans="1:20" ht="15.75">
      <c r="A57" s="336" t="str">
        <f t="shared" si="2"/>
        <v>N</v>
      </c>
      <c r="B57" s="371"/>
      <c r="C57" s="1181">
        <v>104</v>
      </c>
      <c r="D57" s="1156" t="s">
        <v>882</v>
      </c>
      <c r="E57" s="1156" t="s">
        <v>438</v>
      </c>
      <c r="F57" s="1157">
        <v>47</v>
      </c>
      <c r="G57" s="1182">
        <v>3.07</v>
      </c>
      <c r="H57" s="1157">
        <v>77608.175895765497</v>
      </c>
      <c r="I57" s="1157">
        <v>5069.3</v>
      </c>
      <c r="J57" s="1157">
        <v>94</v>
      </c>
      <c r="K57" s="1157">
        <v>6.14</v>
      </c>
      <c r="L57" s="1157">
        <v>3</v>
      </c>
      <c r="M57" s="1157">
        <v>1653.23778501629</v>
      </c>
      <c r="N57" s="1157">
        <v>77702.175895765497</v>
      </c>
      <c r="O57" s="1157">
        <v>86292</v>
      </c>
      <c r="P57" s="1157">
        <v>5075.4399999999996</v>
      </c>
      <c r="Q57" s="1157">
        <v>5075.4399999999996</v>
      </c>
      <c r="R57" s="1159">
        <v>-100.7</v>
      </c>
      <c r="S57" s="1159">
        <v>-100.58</v>
      </c>
      <c r="T57" s="366">
        <f t="shared" si="1"/>
        <v>0</v>
      </c>
    </row>
    <row r="58" spans="1:20" ht="15.75">
      <c r="A58" s="336" t="str">
        <f t="shared" si="2"/>
        <v>N</v>
      </c>
      <c r="B58" s="371"/>
      <c r="C58" s="1181">
        <v>105</v>
      </c>
      <c r="D58" s="1156" t="s">
        <v>883</v>
      </c>
      <c r="E58" s="1156" t="s">
        <v>856</v>
      </c>
      <c r="F58" s="1157">
        <v>20</v>
      </c>
      <c r="G58" s="1182">
        <v>1.31</v>
      </c>
      <c r="H58" s="1157">
        <v>1152799.0839694701</v>
      </c>
      <c r="I58" s="1157">
        <v>75508.34</v>
      </c>
      <c r="J58" s="1157">
        <v>20</v>
      </c>
      <c r="K58" s="1157">
        <v>1.31</v>
      </c>
      <c r="L58" s="1157">
        <v>39</v>
      </c>
      <c r="M58" s="1157">
        <v>57640.9541984733</v>
      </c>
      <c r="N58" s="1157">
        <v>1152819.0839694701</v>
      </c>
      <c r="O58" s="1157">
        <v>1177000</v>
      </c>
      <c r="P58" s="1157">
        <v>75509.649999999994</v>
      </c>
      <c r="Q58" s="1157">
        <v>75509.649999999994</v>
      </c>
      <c r="R58" s="1159">
        <v>-1538.78</v>
      </c>
      <c r="S58" s="1159">
        <v>-1538.81</v>
      </c>
      <c r="T58" s="366">
        <f t="shared" si="1"/>
        <v>0</v>
      </c>
    </row>
    <row r="59" spans="1:20" ht="15.75">
      <c r="A59" s="336" t="str">
        <f t="shared" si="2"/>
        <v>N</v>
      </c>
      <c r="B59" s="371"/>
      <c r="C59" s="1181">
        <v>106</v>
      </c>
      <c r="D59" s="1156" t="s">
        <v>884</v>
      </c>
      <c r="E59" s="1156" t="s">
        <v>856</v>
      </c>
      <c r="F59" s="1157">
        <v>27</v>
      </c>
      <c r="G59" s="1182">
        <v>1.76</v>
      </c>
      <c r="H59" s="1157">
        <v>138965.318181818</v>
      </c>
      <c r="I59" s="1157">
        <v>9058.48</v>
      </c>
      <c r="J59" s="1157">
        <v>27</v>
      </c>
      <c r="K59" s="1157">
        <v>1.76</v>
      </c>
      <c r="L59" s="1157">
        <v>21</v>
      </c>
      <c r="M59" s="1157">
        <v>5147.8636363636397</v>
      </c>
      <c r="N59" s="1157">
        <v>138992.318181818</v>
      </c>
      <c r="O59" s="1157">
        <v>177930</v>
      </c>
      <c r="P59" s="1157">
        <v>9060.24</v>
      </c>
      <c r="Q59" s="1157">
        <v>9060.24</v>
      </c>
      <c r="R59" s="1159">
        <v>-182.88</v>
      </c>
      <c r="S59" s="1159">
        <v>-183.13</v>
      </c>
      <c r="T59" s="366">
        <f t="shared" si="1"/>
        <v>0</v>
      </c>
    </row>
    <row r="60" spans="1:20" ht="15.75">
      <c r="A60" s="336" t="str">
        <f t="shared" si="2"/>
        <v>N</v>
      </c>
      <c r="B60" s="371"/>
      <c r="C60" s="1181">
        <v>107</v>
      </c>
      <c r="D60" s="1156" t="s">
        <v>876</v>
      </c>
      <c r="E60" s="1156" t="s">
        <v>577</v>
      </c>
      <c r="F60" s="1157">
        <v>74</v>
      </c>
      <c r="G60" s="1182">
        <v>4.83</v>
      </c>
      <c r="H60" s="1157">
        <v>406.463768115942</v>
      </c>
      <c r="I60" s="1157">
        <v>26.53</v>
      </c>
      <c r="J60" s="1157">
        <v>0</v>
      </c>
      <c r="K60" s="1157">
        <v>0</v>
      </c>
      <c r="L60" s="1157">
        <v>1</v>
      </c>
      <c r="M60" s="1157">
        <v>5.4927536231884098</v>
      </c>
      <c r="N60" s="1157">
        <v>406.463768115942</v>
      </c>
      <c r="O60" s="1157">
        <v>666</v>
      </c>
      <c r="P60" s="1157">
        <v>26.53</v>
      </c>
      <c r="Q60" s="1157">
        <v>26.53</v>
      </c>
      <c r="R60" s="1159">
        <v>-0.56000000000000005</v>
      </c>
      <c r="S60" s="1159">
        <v>-0.56000000000000005</v>
      </c>
      <c r="T60" s="366">
        <f t="shared" si="1"/>
        <v>0</v>
      </c>
    </row>
    <row r="61" spans="1:20" ht="14.25" customHeight="1">
      <c r="A61" s="336" t="str">
        <f t="shared" si="2"/>
        <v>N</v>
      </c>
      <c r="B61" s="371"/>
      <c r="C61" s="1181">
        <v>109</v>
      </c>
      <c r="D61" s="1156" t="s">
        <v>885</v>
      </c>
      <c r="E61" s="1156" t="s">
        <v>856</v>
      </c>
      <c r="F61" s="1157">
        <v>15</v>
      </c>
      <c r="G61" s="1182">
        <v>0.98</v>
      </c>
      <c r="H61" s="1157">
        <v>507135.15306122502</v>
      </c>
      <c r="I61" s="1157">
        <v>33132.83</v>
      </c>
      <c r="J61" s="1157">
        <v>3333.8265306122398</v>
      </c>
      <c r="K61" s="1157">
        <v>217.81</v>
      </c>
      <c r="L61" s="1157">
        <v>37</v>
      </c>
      <c r="M61" s="1157">
        <v>34031.265306122499</v>
      </c>
      <c r="N61" s="1157">
        <v>510468.97959183698</v>
      </c>
      <c r="O61" s="1157">
        <v>725145</v>
      </c>
      <c r="P61" s="1157">
        <v>33350.639999999999</v>
      </c>
      <c r="Q61" s="1157">
        <v>33350.639999999999</v>
      </c>
      <c r="R61" s="1159">
        <v>-668.07</v>
      </c>
      <c r="S61" s="1159">
        <v>-664.5</v>
      </c>
      <c r="T61" s="366">
        <f t="shared" si="1"/>
        <v>0</v>
      </c>
    </row>
    <row r="62" spans="1:20" ht="14.25" customHeight="1">
      <c r="A62" s="336" t="str">
        <f t="shared" si="2"/>
        <v>N</v>
      </c>
      <c r="B62" s="371"/>
      <c r="C62" s="1181">
        <v>110</v>
      </c>
      <c r="D62" s="1156" t="s">
        <v>996</v>
      </c>
      <c r="E62" s="1156" t="s">
        <v>856</v>
      </c>
      <c r="F62" s="1157">
        <v>40</v>
      </c>
      <c r="G62" s="1182">
        <v>2.61</v>
      </c>
      <c r="H62" s="1157">
        <v>52296.398467432999</v>
      </c>
      <c r="I62" s="1157">
        <v>3412.34</v>
      </c>
      <c r="J62" s="1157">
        <v>0</v>
      </c>
      <c r="K62" s="1157">
        <v>0</v>
      </c>
      <c r="L62" s="1157">
        <v>7</v>
      </c>
      <c r="M62" s="1157">
        <v>1307.40996168582</v>
      </c>
      <c r="N62" s="1157">
        <v>52296.398467432999</v>
      </c>
      <c r="O62" s="1157">
        <v>56040</v>
      </c>
      <c r="P62" s="1157">
        <v>3412.34</v>
      </c>
      <c r="Q62" s="1157">
        <v>3412.34</v>
      </c>
      <c r="R62" s="1159">
        <v>-68.59</v>
      </c>
      <c r="S62" s="1159">
        <v>-68.709999999999994</v>
      </c>
      <c r="T62" s="366">
        <f t="shared" si="1"/>
        <v>0</v>
      </c>
    </row>
    <row r="63" spans="1:20" ht="14.25" customHeight="1">
      <c r="A63" s="336" t="str">
        <f t="shared" si="2"/>
        <v>N</v>
      </c>
      <c r="B63" s="371"/>
      <c r="C63" s="1181">
        <v>112</v>
      </c>
      <c r="D63" s="1156" t="s">
        <v>886</v>
      </c>
      <c r="E63" s="1156" t="s">
        <v>578</v>
      </c>
      <c r="F63" s="1157">
        <v>38</v>
      </c>
      <c r="G63" s="1182">
        <v>2.48</v>
      </c>
      <c r="H63" s="1157">
        <v>456</v>
      </c>
      <c r="I63" s="1157">
        <v>29.76</v>
      </c>
      <c r="J63" s="1157">
        <v>0</v>
      </c>
      <c r="K63" s="1157">
        <v>0</v>
      </c>
      <c r="L63" s="1157">
        <v>1</v>
      </c>
      <c r="M63" s="1157">
        <v>12</v>
      </c>
      <c r="N63" s="1157">
        <v>456</v>
      </c>
      <c r="O63" s="1157">
        <v>456</v>
      </c>
      <c r="P63" s="1157">
        <v>29.76</v>
      </c>
      <c r="Q63" s="1157">
        <v>29.76</v>
      </c>
      <c r="R63" s="1159">
        <v>-0.62</v>
      </c>
      <c r="S63" s="1159">
        <v>-0.62</v>
      </c>
      <c r="T63" s="366">
        <f t="shared" si="1"/>
        <v>0</v>
      </c>
    </row>
    <row r="64" spans="1:20" ht="14.25" customHeight="1">
      <c r="A64" s="336" t="str">
        <f t="shared" si="2"/>
        <v>N</v>
      </c>
      <c r="B64" s="371"/>
      <c r="C64" s="1181">
        <v>113</v>
      </c>
      <c r="D64" s="1156" t="s">
        <v>887</v>
      </c>
      <c r="E64" s="1156" t="s">
        <v>534</v>
      </c>
      <c r="F64" s="1157">
        <v>10</v>
      </c>
      <c r="G64" s="1182">
        <v>0.65</v>
      </c>
      <c r="H64" s="1157">
        <v>693.69230769230796</v>
      </c>
      <c r="I64" s="1157">
        <v>45.09</v>
      </c>
      <c r="J64" s="1157">
        <v>10</v>
      </c>
      <c r="K64" s="1157">
        <v>0.65</v>
      </c>
      <c r="L64" s="1157">
        <v>2</v>
      </c>
      <c r="M64" s="1157">
        <v>70.369230769230796</v>
      </c>
      <c r="N64" s="1157">
        <v>703.69230769230796</v>
      </c>
      <c r="O64" s="1157">
        <v>750</v>
      </c>
      <c r="P64" s="1157">
        <v>45.74</v>
      </c>
      <c r="Q64" s="1157">
        <v>45.74</v>
      </c>
      <c r="R64" s="1159">
        <v>-0.86</v>
      </c>
      <c r="S64" s="1159">
        <v>-0.85</v>
      </c>
      <c r="T64" s="366">
        <f t="shared" si="1"/>
        <v>0</v>
      </c>
    </row>
    <row r="65" spans="1:20" ht="14.25" customHeight="1">
      <c r="A65" s="336" t="str">
        <f t="shared" si="2"/>
        <v>N</v>
      </c>
      <c r="B65" s="371"/>
      <c r="C65" s="1181">
        <v>114</v>
      </c>
      <c r="D65" s="1156" t="s">
        <v>888</v>
      </c>
      <c r="E65" s="1156" t="s">
        <v>534</v>
      </c>
      <c r="F65" s="1157">
        <v>15</v>
      </c>
      <c r="G65" s="1182">
        <v>0.98</v>
      </c>
      <c r="H65" s="1157">
        <v>3960</v>
      </c>
      <c r="I65" s="1157">
        <v>258.72000000000003</v>
      </c>
      <c r="J65" s="1157">
        <v>0</v>
      </c>
      <c r="K65" s="1157">
        <v>0</v>
      </c>
      <c r="L65" s="1157">
        <v>2</v>
      </c>
      <c r="M65" s="1157">
        <v>264</v>
      </c>
      <c r="N65" s="1157">
        <v>3960</v>
      </c>
      <c r="O65" s="1157">
        <v>3960</v>
      </c>
      <c r="P65" s="1157">
        <v>258.72000000000003</v>
      </c>
      <c r="Q65" s="1157">
        <v>258.72000000000003</v>
      </c>
      <c r="R65" s="1159">
        <v>-5.22</v>
      </c>
      <c r="S65" s="1159">
        <v>-5.22</v>
      </c>
      <c r="T65" s="366">
        <f t="shared" si="1"/>
        <v>0</v>
      </c>
    </row>
    <row r="66" spans="1:20" ht="14.25" customHeight="1">
      <c r="A66" s="336" t="str">
        <f t="shared" si="2"/>
        <v>N</v>
      </c>
      <c r="B66" s="371"/>
      <c r="C66" s="1181">
        <v>116</v>
      </c>
      <c r="D66" s="1156" t="s">
        <v>889</v>
      </c>
      <c r="E66" s="1156" t="s">
        <v>438</v>
      </c>
      <c r="F66" s="1157">
        <v>79</v>
      </c>
      <c r="G66" s="1182">
        <v>5.16</v>
      </c>
      <c r="H66" s="1157">
        <v>38868</v>
      </c>
      <c r="I66" s="1157">
        <v>2538.7199999999998</v>
      </c>
      <c r="J66" s="1157">
        <v>0</v>
      </c>
      <c r="K66" s="1157">
        <v>0</v>
      </c>
      <c r="L66" s="1157">
        <v>1</v>
      </c>
      <c r="M66" s="1157">
        <v>492</v>
      </c>
      <c r="N66" s="1157">
        <v>38868</v>
      </c>
      <c r="O66" s="1157">
        <v>38868</v>
      </c>
      <c r="P66" s="1157">
        <v>2538.7199999999998</v>
      </c>
      <c r="Q66" s="1157">
        <v>2538.7199999999998</v>
      </c>
      <c r="R66" s="1159">
        <v>-51.63</v>
      </c>
      <c r="S66" s="1159">
        <v>-51.63</v>
      </c>
      <c r="T66" s="366">
        <f t="shared" si="1"/>
        <v>0</v>
      </c>
    </row>
    <row r="67" spans="1:20" ht="14.25" customHeight="1">
      <c r="A67" s="336" t="str">
        <f t="shared" si="2"/>
        <v>N</v>
      </c>
      <c r="B67" s="371"/>
      <c r="C67" s="1181">
        <v>117</v>
      </c>
      <c r="D67" s="1156" t="s">
        <v>997</v>
      </c>
      <c r="E67" s="1156" t="s">
        <v>856</v>
      </c>
      <c r="F67" s="1157">
        <v>37</v>
      </c>
      <c r="G67" s="1182">
        <v>2.42</v>
      </c>
      <c r="H67" s="1157">
        <v>44594.785123966903</v>
      </c>
      <c r="I67" s="1157">
        <v>2916.74</v>
      </c>
      <c r="J67" s="1157">
        <v>-111</v>
      </c>
      <c r="K67" s="1157">
        <v>-7.26</v>
      </c>
      <c r="L67" s="1157">
        <v>13</v>
      </c>
      <c r="M67" s="1157">
        <v>1202.2644628099199</v>
      </c>
      <c r="N67" s="1157">
        <v>44483.785123966903</v>
      </c>
      <c r="O67" s="1157">
        <v>52947</v>
      </c>
      <c r="P67" s="1157">
        <v>2909.48</v>
      </c>
      <c r="Q67" s="1157">
        <v>2909.48</v>
      </c>
      <c r="R67" s="1159">
        <v>-58.2</v>
      </c>
      <c r="S67" s="1159">
        <v>-58.64</v>
      </c>
      <c r="T67" s="366">
        <f t="shared" ref="T67:T98" si="3">Q67-P67</f>
        <v>0</v>
      </c>
    </row>
    <row r="68" spans="1:20" ht="14.25" customHeight="1">
      <c r="A68" s="336" t="str">
        <f t="shared" si="2"/>
        <v>N</v>
      </c>
      <c r="B68" s="371"/>
      <c r="C68" s="1181">
        <v>118</v>
      </c>
      <c r="D68" s="1156" t="s">
        <v>890</v>
      </c>
      <c r="E68" s="1156" t="s">
        <v>856</v>
      </c>
      <c r="F68" s="1157">
        <v>83</v>
      </c>
      <c r="G68" s="1182">
        <v>5.42</v>
      </c>
      <c r="H68" s="1157">
        <v>40504</v>
      </c>
      <c r="I68" s="1157">
        <v>2644.96</v>
      </c>
      <c r="J68" s="1157">
        <v>-2656</v>
      </c>
      <c r="K68" s="1157">
        <v>-173.44</v>
      </c>
      <c r="L68" s="1157">
        <v>4</v>
      </c>
      <c r="M68" s="1157">
        <v>456</v>
      </c>
      <c r="N68" s="1157">
        <v>37848</v>
      </c>
      <c r="O68" s="1157">
        <v>37848</v>
      </c>
      <c r="P68" s="1157">
        <v>2471.52</v>
      </c>
      <c r="Q68" s="1157">
        <v>2471.52</v>
      </c>
      <c r="R68" s="1159">
        <v>-48.97</v>
      </c>
      <c r="S68" s="1159">
        <v>-54.14</v>
      </c>
      <c r="T68" s="366">
        <f t="shared" si="3"/>
        <v>0</v>
      </c>
    </row>
    <row r="69" spans="1:20" ht="14.25" customHeight="1">
      <c r="A69" s="336" t="str">
        <f t="shared" si="2"/>
        <v>N</v>
      </c>
      <c r="B69" s="371"/>
      <c r="C69" s="1181">
        <v>119</v>
      </c>
      <c r="D69" s="1156" t="s">
        <v>891</v>
      </c>
      <c r="E69" s="1156" t="s">
        <v>438</v>
      </c>
      <c r="F69" s="1157">
        <v>28</v>
      </c>
      <c r="G69" s="1182">
        <v>1.83</v>
      </c>
      <c r="H69" s="1157">
        <v>2688</v>
      </c>
      <c r="I69" s="1157">
        <v>175.68</v>
      </c>
      <c r="J69" s="1157">
        <v>0</v>
      </c>
      <c r="K69" s="1157">
        <v>0</v>
      </c>
      <c r="L69" s="1157">
        <v>1</v>
      </c>
      <c r="M69" s="1157">
        <v>96</v>
      </c>
      <c r="N69" s="1157">
        <v>2688</v>
      </c>
      <c r="O69" s="1157">
        <v>2688</v>
      </c>
      <c r="P69" s="1157">
        <v>175.68</v>
      </c>
      <c r="Q69" s="1157">
        <v>175.68</v>
      </c>
      <c r="R69" s="1159">
        <v>-3.57</v>
      </c>
      <c r="S69" s="1159">
        <v>-3.57</v>
      </c>
      <c r="T69" s="366">
        <f t="shared" si="3"/>
        <v>0</v>
      </c>
    </row>
    <row r="70" spans="1:20" ht="15.75">
      <c r="A70" s="336" t="str">
        <f t="shared" si="0"/>
        <v>N</v>
      </c>
      <c r="B70" s="371"/>
      <c r="C70" s="1181">
        <v>120</v>
      </c>
      <c r="D70" s="1156" t="s">
        <v>892</v>
      </c>
      <c r="E70" s="1156" t="s">
        <v>856</v>
      </c>
      <c r="F70" s="1157">
        <v>68</v>
      </c>
      <c r="G70" s="1182">
        <v>4.4400000000000004</v>
      </c>
      <c r="H70" s="1157">
        <v>269280</v>
      </c>
      <c r="I70" s="1157">
        <v>17582.400000000001</v>
      </c>
      <c r="J70" s="1157">
        <v>0</v>
      </c>
      <c r="K70" s="1157">
        <v>0</v>
      </c>
      <c r="L70" s="1157">
        <v>15</v>
      </c>
      <c r="M70" s="1157">
        <v>3960</v>
      </c>
      <c r="N70" s="1157">
        <v>269280</v>
      </c>
      <c r="O70" s="1157">
        <v>269280</v>
      </c>
      <c r="P70" s="1157">
        <v>17582.400000000001</v>
      </c>
      <c r="Q70" s="1157">
        <v>17582.400000000001</v>
      </c>
      <c r="R70" s="1159">
        <v>-348.48</v>
      </c>
      <c r="S70" s="1159">
        <v>-348.48</v>
      </c>
      <c r="T70" s="366">
        <f t="shared" si="3"/>
        <v>0</v>
      </c>
    </row>
    <row r="71" spans="1:20" ht="15.75">
      <c r="A71" s="336" t="str">
        <f t="shared" si="0"/>
        <v>N</v>
      </c>
      <c r="B71" s="371"/>
      <c r="C71" s="1181">
        <v>121</v>
      </c>
      <c r="D71" s="1156" t="s">
        <v>893</v>
      </c>
      <c r="E71" s="1156" t="s">
        <v>856</v>
      </c>
      <c r="F71" s="1157">
        <v>73</v>
      </c>
      <c r="G71" s="1182">
        <v>4.7699999999999996</v>
      </c>
      <c r="H71" s="1157">
        <v>904032</v>
      </c>
      <c r="I71" s="1157">
        <v>59071.68</v>
      </c>
      <c r="J71" s="1157">
        <v>0</v>
      </c>
      <c r="K71" s="1157">
        <v>0</v>
      </c>
      <c r="L71" s="1157">
        <v>2</v>
      </c>
      <c r="M71" s="1157">
        <v>12384</v>
      </c>
      <c r="N71" s="1157">
        <v>904032</v>
      </c>
      <c r="O71" s="1157">
        <v>904032</v>
      </c>
      <c r="P71" s="1157">
        <v>59071.68</v>
      </c>
      <c r="Q71" s="1157">
        <v>59071.68</v>
      </c>
      <c r="R71" s="1159">
        <v>-1173.96</v>
      </c>
      <c r="S71" s="1159">
        <v>-1173.96</v>
      </c>
      <c r="T71" s="366">
        <f t="shared" si="3"/>
        <v>0</v>
      </c>
    </row>
    <row r="72" spans="1:20" ht="15.75">
      <c r="A72" s="336" t="str">
        <f t="shared" si="0"/>
        <v>N</v>
      </c>
      <c r="B72" s="371"/>
      <c r="C72" s="1181">
        <v>122</v>
      </c>
      <c r="D72" s="1156" t="s">
        <v>894</v>
      </c>
      <c r="E72" s="1156" t="s">
        <v>856</v>
      </c>
      <c r="F72" s="1157">
        <v>76</v>
      </c>
      <c r="G72" s="1182">
        <v>4.96</v>
      </c>
      <c r="H72" s="1157">
        <v>44722.629032258097</v>
      </c>
      <c r="I72" s="1157">
        <v>2918.74</v>
      </c>
      <c r="J72" s="1157">
        <v>0</v>
      </c>
      <c r="K72" s="1157">
        <v>0</v>
      </c>
      <c r="L72" s="1157">
        <v>2</v>
      </c>
      <c r="M72" s="1157">
        <v>588.45564516129002</v>
      </c>
      <c r="N72" s="1157">
        <v>44722.629032258097</v>
      </c>
      <c r="O72" s="1157">
        <v>48184</v>
      </c>
      <c r="P72" s="1157">
        <v>2918.74</v>
      </c>
      <c r="Q72" s="1157">
        <v>2918.74</v>
      </c>
      <c r="R72" s="1159">
        <v>-59.53</v>
      </c>
      <c r="S72" s="1159">
        <v>-59.53</v>
      </c>
      <c r="T72" s="366">
        <f t="shared" si="3"/>
        <v>0</v>
      </c>
    </row>
    <row r="73" spans="1:20" ht="15.75">
      <c r="A73" s="336" t="str">
        <f t="shared" si="0"/>
        <v>N</v>
      </c>
      <c r="B73" s="371"/>
      <c r="C73" s="1181">
        <v>126</v>
      </c>
      <c r="D73" s="1156" t="s">
        <v>998</v>
      </c>
      <c r="E73" s="1156" t="s">
        <v>578</v>
      </c>
      <c r="F73" s="1157">
        <v>66</v>
      </c>
      <c r="G73" s="1182">
        <v>4.3099999999999996</v>
      </c>
      <c r="H73" s="1157">
        <v>2376</v>
      </c>
      <c r="I73" s="1157">
        <v>155.16</v>
      </c>
      <c r="J73" s="1157">
        <v>0</v>
      </c>
      <c r="K73" s="1157">
        <v>0</v>
      </c>
      <c r="L73" s="1157">
        <v>1</v>
      </c>
      <c r="M73" s="1157">
        <v>36</v>
      </c>
      <c r="N73" s="1157">
        <v>2376</v>
      </c>
      <c r="O73" s="1157">
        <v>2376</v>
      </c>
      <c r="P73" s="1157">
        <v>155.16</v>
      </c>
      <c r="Q73" s="1157">
        <v>155.16</v>
      </c>
      <c r="R73" s="1159">
        <v>-3.21</v>
      </c>
      <c r="S73" s="1159">
        <v>-3.21</v>
      </c>
      <c r="T73" s="366">
        <f t="shared" si="3"/>
        <v>0</v>
      </c>
    </row>
    <row r="74" spans="1:20" ht="15.75">
      <c r="A74" s="336" t="str">
        <f t="shared" si="0"/>
        <v>N</v>
      </c>
      <c r="B74" s="371"/>
      <c r="C74" s="1181">
        <v>127</v>
      </c>
      <c r="D74" s="1156" t="s">
        <v>999</v>
      </c>
      <c r="E74" s="1156" t="s">
        <v>856</v>
      </c>
      <c r="F74" s="1157">
        <v>45</v>
      </c>
      <c r="G74" s="1182">
        <v>2.94</v>
      </c>
      <c r="H74" s="1157">
        <v>2302023.2142857099</v>
      </c>
      <c r="I74" s="1157">
        <v>150398.85</v>
      </c>
      <c r="J74" s="1157">
        <v>0</v>
      </c>
      <c r="K74" s="1157">
        <v>0</v>
      </c>
      <c r="L74" s="1157">
        <v>15</v>
      </c>
      <c r="M74" s="1157">
        <v>51156.071428571398</v>
      </c>
      <c r="N74" s="1157">
        <v>2302023.2142857099</v>
      </c>
      <c r="O74" s="1157">
        <v>4482630</v>
      </c>
      <c r="P74" s="1157">
        <v>150398.85</v>
      </c>
      <c r="Q74" s="1157">
        <v>150398.850000001</v>
      </c>
      <c r="R74" s="1159">
        <v>-3066.25</v>
      </c>
      <c r="S74" s="1159">
        <v>-3066.25</v>
      </c>
      <c r="T74" s="366">
        <f t="shared" si="3"/>
        <v>9.8953023552894592E-10</v>
      </c>
    </row>
    <row r="75" spans="1:20" ht="15.75">
      <c r="A75" s="336" t="str">
        <f t="shared" si="0"/>
        <v>N</v>
      </c>
      <c r="B75" s="371"/>
      <c r="C75" s="1181">
        <v>128</v>
      </c>
      <c r="D75" s="1156" t="s">
        <v>1000</v>
      </c>
      <c r="E75" s="1156" t="s">
        <v>438</v>
      </c>
      <c r="F75" s="1157">
        <v>21</v>
      </c>
      <c r="G75" s="1182">
        <v>1.37</v>
      </c>
      <c r="H75" s="1157">
        <v>2016</v>
      </c>
      <c r="I75" s="1157">
        <v>131.52000000000001</v>
      </c>
      <c r="J75" s="1157">
        <v>0</v>
      </c>
      <c r="K75" s="1157">
        <v>0</v>
      </c>
      <c r="L75" s="1157">
        <v>1</v>
      </c>
      <c r="M75" s="1157">
        <v>96</v>
      </c>
      <c r="N75" s="1157">
        <v>2016</v>
      </c>
      <c r="O75" s="1157">
        <v>2016</v>
      </c>
      <c r="P75" s="1157">
        <v>131.52000000000001</v>
      </c>
      <c r="Q75" s="1157">
        <v>131.52000000000001</v>
      </c>
      <c r="R75" s="1159">
        <v>-2.71</v>
      </c>
      <c r="S75" s="1159">
        <v>-2.71</v>
      </c>
      <c r="T75" s="366">
        <f t="shared" si="3"/>
        <v>0</v>
      </c>
    </row>
    <row r="76" spans="1:20" ht="15.75">
      <c r="A76" s="336" t="str">
        <f t="shared" si="0"/>
        <v>N</v>
      </c>
      <c r="B76" s="371"/>
      <c r="C76" s="1181">
        <v>129</v>
      </c>
      <c r="D76" s="1156" t="s">
        <v>757</v>
      </c>
      <c r="E76" s="1156" t="s">
        <v>438</v>
      </c>
      <c r="F76" s="1157">
        <v>66</v>
      </c>
      <c r="G76" s="1182">
        <v>4.3099999999999996</v>
      </c>
      <c r="H76" s="1157">
        <v>165101.83294663599</v>
      </c>
      <c r="I76" s="1157">
        <v>10781.65</v>
      </c>
      <c r="J76" s="1157">
        <v>132</v>
      </c>
      <c r="K76" s="1157">
        <v>8.6199999999999992</v>
      </c>
      <c r="L76" s="1157">
        <v>8</v>
      </c>
      <c r="M76" s="1157">
        <v>2503.5429234338699</v>
      </c>
      <c r="N76" s="1157">
        <v>165233.83294663599</v>
      </c>
      <c r="O76" s="1157">
        <v>170016</v>
      </c>
      <c r="P76" s="1157">
        <v>10790.27</v>
      </c>
      <c r="Q76" s="1157">
        <v>10790.27</v>
      </c>
      <c r="R76" s="1159">
        <v>-216.98</v>
      </c>
      <c r="S76" s="1159">
        <v>-216.81</v>
      </c>
      <c r="T76" s="366">
        <f t="shared" si="3"/>
        <v>0</v>
      </c>
    </row>
    <row r="77" spans="1:20" ht="14.25" customHeight="1">
      <c r="A77" s="336" t="str">
        <f t="shared" si="0"/>
        <v>N</v>
      </c>
      <c r="B77" s="371"/>
      <c r="C77" s="1181">
        <v>130</v>
      </c>
      <c r="D77" s="1156" t="s">
        <v>1001</v>
      </c>
      <c r="E77" s="1156" t="s">
        <v>856</v>
      </c>
      <c r="F77" s="1157">
        <v>60</v>
      </c>
      <c r="G77" s="1182">
        <v>3.92</v>
      </c>
      <c r="H77" s="1157">
        <v>138120</v>
      </c>
      <c r="I77" s="1157">
        <v>9023.84</v>
      </c>
      <c r="J77" s="1157">
        <v>0</v>
      </c>
      <c r="K77" s="1157">
        <v>0</v>
      </c>
      <c r="L77" s="1157">
        <v>10</v>
      </c>
      <c r="M77" s="1157">
        <v>2302</v>
      </c>
      <c r="N77" s="1157">
        <v>138120</v>
      </c>
      <c r="O77" s="1157">
        <v>138300</v>
      </c>
      <c r="P77" s="1157">
        <v>9023.84</v>
      </c>
      <c r="Q77" s="1157">
        <v>9023.8400000000092</v>
      </c>
      <c r="R77" s="1159">
        <v>-181.27</v>
      </c>
      <c r="S77" s="1159">
        <v>-181.27</v>
      </c>
      <c r="T77" s="366">
        <f t="shared" si="3"/>
        <v>0</v>
      </c>
    </row>
    <row r="78" spans="1:20" ht="14.25" customHeight="1">
      <c r="A78" s="336" t="str">
        <f t="shared" si="0"/>
        <v>N</v>
      </c>
      <c r="B78" s="371"/>
      <c r="C78" s="1181">
        <v>131</v>
      </c>
      <c r="D78" s="1156" t="s">
        <v>1002</v>
      </c>
      <c r="E78" s="1156" t="s">
        <v>534</v>
      </c>
      <c r="F78" s="1157">
        <v>12</v>
      </c>
      <c r="G78" s="1182">
        <v>0.78</v>
      </c>
      <c r="H78" s="1157">
        <v>2304</v>
      </c>
      <c r="I78" s="1157">
        <v>149.76</v>
      </c>
      <c r="J78" s="1157">
        <v>0</v>
      </c>
      <c r="K78" s="1157">
        <v>0</v>
      </c>
      <c r="L78" s="1157">
        <v>1</v>
      </c>
      <c r="M78" s="1157">
        <v>192</v>
      </c>
      <c r="N78" s="1157">
        <v>2304</v>
      </c>
      <c r="O78" s="1157">
        <v>2304</v>
      </c>
      <c r="P78" s="1157">
        <v>149.76</v>
      </c>
      <c r="Q78" s="1157">
        <v>149.76</v>
      </c>
      <c r="R78" s="1159">
        <v>-3.04</v>
      </c>
      <c r="S78" s="1159">
        <v>-3.04</v>
      </c>
      <c r="T78" s="366">
        <f t="shared" si="3"/>
        <v>0</v>
      </c>
    </row>
    <row r="79" spans="1:20" ht="14.25" customHeight="1">
      <c r="A79" s="336" t="str">
        <f t="shared" si="0"/>
        <v>N</v>
      </c>
      <c r="B79" s="371"/>
      <c r="C79" s="1181">
        <v>132</v>
      </c>
      <c r="D79" s="1156" t="s">
        <v>1003</v>
      </c>
      <c r="E79" s="1156" t="s">
        <v>534</v>
      </c>
      <c r="F79" s="1157">
        <v>25</v>
      </c>
      <c r="G79" s="1182">
        <v>1.63</v>
      </c>
      <c r="H79" s="1157">
        <v>63200.766871165702</v>
      </c>
      <c r="I79" s="1157">
        <v>4120.6899999999996</v>
      </c>
      <c r="J79" s="1157">
        <v>25</v>
      </c>
      <c r="K79" s="1157">
        <v>1.63</v>
      </c>
      <c r="L79" s="1157">
        <v>5</v>
      </c>
      <c r="M79" s="1157">
        <v>2529.0306748466301</v>
      </c>
      <c r="N79" s="1157">
        <v>63225.766871165702</v>
      </c>
      <c r="O79" s="1157">
        <v>63250</v>
      </c>
      <c r="P79" s="1157">
        <v>4122.32</v>
      </c>
      <c r="Q79" s="1157">
        <v>4122.32</v>
      </c>
      <c r="R79" s="1159">
        <v>-84.19</v>
      </c>
      <c r="S79" s="1159">
        <v>-84.16</v>
      </c>
      <c r="T79" s="366">
        <f t="shared" si="3"/>
        <v>0</v>
      </c>
    </row>
    <row r="80" spans="1:20" ht="14.25" customHeight="1">
      <c r="A80" s="336" t="str">
        <f t="shared" si="0"/>
        <v>N</v>
      </c>
      <c r="B80" s="371"/>
      <c r="C80" s="1181">
        <v>134</v>
      </c>
      <c r="D80" s="1156" t="s">
        <v>1004</v>
      </c>
      <c r="E80" s="1156" t="s">
        <v>438</v>
      </c>
      <c r="F80" s="1157">
        <v>39</v>
      </c>
      <c r="G80" s="1182">
        <v>2.5499999999999998</v>
      </c>
      <c r="H80" s="1157">
        <v>46074.6</v>
      </c>
      <c r="I80" s="1157">
        <v>3012.57</v>
      </c>
      <c r="J80" s="1157">
        <v>0</v>
      </c>
      <c r="K80" s="1157">
        <v>0</v>
      </c>
      <c r="L80" s="1157">
        <v>3</v>
      </c>
      <c r="M80" s="1157">
        <v>1181.4000000000001</v>
      </c>
      <c r="N80" s="1157">
        <v>46074.6</v>
      </c>
      <c r="O80" s="1157">
        <v>46566</v>
      </c>
      <c r="P80" s="1157">
        <v>3012.57</v>
      </c>
      <c r="Q80" s="1157">
        <v>3012.57</v>
      </c>
      <c r="R80" s="1159">
        <v>-61.44</v>
      </c>
      <c r="S80" s="1159">
        <v>-61.44</v>
      </c>
      <c r="T80" s="366">
        <f t="shared" si="3"/>
        <v>0</v>
      </c>
    </row>
    <row r="81" spans="1:20" ht="14.25" customHeight="1">
      <c r="A81" s="336" t="str">
        <f t="shared" si="0"/>
        <v>N</v>
      </c>
      <c r="B81" s="371"/>
      <c r="C81" s="1181">
        <v>135</v>
      </c>
      <c r="D81" s="1156" t="s">
        <v>1005</v>
      </c>
      <c r="E81" s="1156" t="s">
        <v>856</v>
      </c>
      <c r="F81" s="1157">
        <v>7</v>
      </c>
      <c r="G81" s="1182">
        <v>0.46</v>
      </c>
      <c r="H81" s="1157">
        <v>180232.80434782599</v>
      </c>
      <c r="I81" s="1157">
        <v>11843.87</v>
      </c>
      <c r="J81" s="1157">
        <v>-1.8189900000000001E-12</v>
      </c>
      <c r="K81" s="1157">
        <v>0</v>
      </c>
      <c r="L81" s="1157">
        <v>9</v>
      </c>
      <c r="M81" s="1157">
        <v>25747.543478260901</v>
      </c>
      <c r="N81" s="1157">
        <v>180232.80434782599</v>
      </c>
      <c r="O81" s="1157">
        <v>248549</v>
      </c>
      <c r="P81" s="1157">
        <v>11843.87</v>
      </c>
      <c r="Q81" s="1157">
        <v>11843.87</v>
      </c>
      <c r="R81" s="1159">
        <v>-237.14</v>
      </c>
      <c r="S81" s="1159">
        <v>-237.14</v>
      </c>
      <c r="T81" s="366">
        <f t="shared" si="3"/>
        <v>0</v>
      </c>
    </row>
    <row r="82" spans="1:20" ht="14.25" customHeight="1">
      <c r="A82" s="336" t="str">
        <f t="shared" si="0"/>
        <v>N</v>
      </c>
      <c r="B82" s="371"/>
      <c r="C82" s="1181">
        <v>136</v>
      </c>
      <c r="D82" s="1156" t="s">
        <v>1006</v>
      </c>
      <c r="E82" s="1156" t="s">
        <v>856</v>
      </c>
      <c r="F82" s="1157">
        <v>47</v>
      </c>
      <c r="G82" s="1182">
        <v>3.07</v>
      </c>
      <c r="H82" s="1157">
        <v>40168.465798045603</v>
      </c>
      <c r="I82" s="1157">
        <v>2623.77</v>
      </c>
      <c r="J82" s="1157">
        <v>47</v>
      </c>
      <c r="K82" s="1157">
        <v>3.07</v>
      </c>
      <c r="L82" s="1157">
        <v>13</v>
      </c>
      <c r="M82" s="1157">
        <v>855.64820846905502</v>
      </c>
      <c r="N82" s="1157">
        <v>40215.465798045603</v>
      </c>
      <c r="O82" s="1157">
        <v>45073</v>
      </c>
      <c r="P82" s="1157">
        <v>2626.84</v>
      </c>
      <c r="Q82" s="1157">
        <v>2626.8400000000101</v>
      </c>
      <c r="R82" s="1159">
        <v>-52.33</v>
      </c>
      <c r="S82" s="1159">
        <v>-52.32</v>
      </c>
      <c r="T82" s="366">
        <f t="shared" si="3"/>
        <v>1.0004441719502211E-11</v>
      </c>
    </row>
    <row r="83" spans="1:20" ht="14.25" customHeight="1">
      <c r="A83" s="336" t="str">
        <f t="shared" si="0"/>
        <v>N</v>
      </c>
      <c r="B83" s="371"/>
      <c r="C83" s="1181">
        <v>137</v>
      </c>
      <c r="D83" s="1156" t="s">
        <v>1007</v>
      </c>
      <c r="E83" s="1156" t="s">
        <v>438</v>
      </c>
      <c r="F83" s="1157">
        <v>82</v>
      </c>
      <c r="G83" s="1182">
        <v>5.35</v>
      </c>
      <c r="H83" s="1157">
        <v>77736</v>
      </c>
      <c r="I83" s="1157">
        <v>5071.8</v>
      </c>
      <c r="J83" s="1157">
        <v>0</v>
      </c>
      <c r="K83" s="1157">
        <v>0</v>
      </c>
      <c r="L83" s="1157">
        <v>3</v>
      </c>
      <c r="M83" s="1157">
        <v>948</v>
      </c>
      <c r="N83" s="1157">
        <v>77736</v>
      </c>
      <c r="O83" s="1157">
        <v>77736</v>
      </c>
      <c r="P83" s="1157">
        <v>5071.8</v>
      </c>
      <c r="Q83" s="1157">
        <v>5071.8</v>
      </c>
      <c r="R83" s="1159">
        <v>-101.73</v>
      </c>
      <c r="S83" s="1159">
        <v>-101.73</v>
      </c>
      <c r="T83" s="366">
        <f t="shared" si="3"/>
        <v>0</v>
      </c>
    </row>
    <row r="84" spans="1:20" ht="14.25" customHeight="1">
      <c r="A84" s="336" t="str">
        <f t="shared" si="0"/>
        <v>N</v>
      </c>
      <c r="B84" s="371"/>
      <c r="C84" s="1181">
        <v>138</v>
      </c>
      <c r="D84" s="1156" t="s">
        <v>1008</v>
      </c>
      <c r="E84" s="1156" t="s">
        <v>856</v>
      </c>
      <c r="F84" s="1157">
        <v>23</v>
      </c>
      <c r="G84" s="1182">
        <v>1.5</v>
      </c>
      <c r="H84" s="1157">
        <v>42138.606666666703</v>
      </c>
      <c r="I84" s="1157">
        <v>2748.17</v>
      </c>
      <c r="J84" s="1157">
        <v>-23</v>
      </c>
      <c r="K84" s="1157">
        <v>-1.5</v>
      </c>
      <c r="L84" s="1157">
        <v>12</v>
      </c>
      <c r="M84" s="1157">
        <v>1831.11333333333</v>
      </c>
      <c r="N84" s="1157">
        <v>42115.606666666703</v>
      </c>
      <c r="O84" s="1157">
        <v>46092</v>
      </c>
      <c r="P84" s="1157">
        <v>2746.67</v>
      </c>
      <c r="Q84" s="1157">
        <v>2746.67</v>
      </c>
      <c r="R84" s="1159">
        <v>-55.76</v>
      </c>
      <c r="S84" s="1159">
        <v>-55.83</v>
      </c>
      <c r="T84" s="366">
        <f t="shared" si="3"/>
        <v>0</v>
      </c>
    </row>
    <row r="85" spans="1:20" ht="14.25" customHeight="1">
      <c r="A85" s="336" t="str">
        <f t="shared" si="0"/>
        <v>N</v>
      </c>
      <c r="B85" s="371"/>
      <c r="C85" s="1181">
        <v>139</v>
      </c>
      <c r="D85" s="1156" t="s">
        <v>1009</v>
      </c>
      <c r="E85" s="1156" t="s">
        <v>856</v>
      </c>
      <c r="F85" s="1157">
        <v>147</v>
      </c>
      <c r="G85" s="1182">
        <v>9.6</v>
      </c>
      <c r="H85" s="1157">
        <v>5292</v>
      </c>
      <c r="I85" s="1157">
        <v>345.6</v>
      </c>
      <c r="J85" s="1157">
        <v>0</v>
      </c>
      <c r="K85" s="1157">
        <v>0</v>
      </c>
      <c r="L85" s="1157">
        <v>2</v>
      </c>
      <c r="M85" s="1157">
        <v>36</v>
      </c>
      <c r="N85" s="1157">
        <v>5292</v>
      </c>
      <c r="O85" s="1157">
        <v>5292</v>
      </c>
      <c r="P85" s="1157">
        <v>345.6</v>
      </c>
      <c r="Q85" s="1157">
        <v>345.6</v>
      </c>
      <c r="R85" s="1159">
        <v>-6.91</v>
      </c>
      <c r="S85" s="1159">
        <v>-6.91</v>
      </c>
      <c r="T85" s="366">
        <f t="shared" si="3"/>
        <v>0</v>
      </c>
    </row>
    <row r="86" spans="1:20" ht="14.25" customHeight="1">
      <c r="A86" s="336" t="str">
        <f t="shared" ref="A86:A94" si="4">IF(OR(C86=26,C86=27,C86=28,C86=29,C86=30,C86=34,C86=36,C86=37,C86=38),"S","N")</f>
        <v>N</v>
      </c>
      <c r="B86" s="805"/>
      <c r="C86" s="1181">
        <v>141</v>
      </c>
      <c r="D86" s="1156" t="s">
        <v>1010</v>
      </c>
      <c r="E86" s="1156" t="s">
        <v>856</v>
      </c>
      <c r="F86" s="1157">
        <v>34</v>
      </c>
      <c r="G86" s="1182">
        <v>2.2200000000000002</v>
      </c>
      <c r="H86" s="1157">
        <v>156250.52252252301</v>
      </c>
      <c r="I86" s="1157">
        <v>10202.24</v>
      </c>
      <c r="J86" s="1157">
        <v>0</v>
      </c>
      <c r="K86" s="1157">
        <v>0</v>
      </c>
      <c r="L86" s="1157">
        <v>11</v>
      </c>
      <c r="M86" s="1157">
        <v>4595.6036036036003</v>
      </c>
      <c r="N86" s="1157">
        <v>156250.52252252301</v>
      </c>
      <c r="O86" s="1157">
        <v>175610</v>
      </c>
      <c r="P86" s="1157">
        <v>10202.24</v>
      </c>
      <c r="Q86" s="1157">
        <v>10202.24</v>
      </c>
      <c r="R86" s="1159">
        <v>-206.82</v>
      </c>
      <c r="S86" s="1159">
        <v>-207</v>
      </c>
      <c r="T86" s="366">
        <f t="shared" si="3"/>
        <v>0</v>
      </c>
    </row>
    <row r="87" spans="1:20" ht="14.25" customHeight="1">
      <c r="A87" s="336" t="str">
        <f t="shared" si="4"/>
        <v>N</v>
      </c>
      <c r="B87" s="371"/>
      <c r="C87" s="1181">
        <v>142</v>
      </c>
      <c r="D87" s="1156" t="s">
        <v>1170</v>
      </c>
      <c r="E87" s="1156" t="s">
        <v>856</v>
      </c>
      <c r="F87" s="1157">
        <v>26</v>
      </c>
      <c r="G87" s="1182">
        <v>1.7</v>
      </c>
      <c r="H87" s="1157">
        <v>14705.6</v>
      </c>
      <c r="I87" s="1157">
        <v>961.52</v>
      </c>
      <c r="J87" s="1157">
        <v>0</v>
      </c>
      <c r="K87" s="1157">
        <v>0</v>
      </c>
      <c r="L87" s="1157">
        <v>5</v>
      </c>
      <c r="M87" s="1157">
        <v>565.6</v>
      </c>
      <c r="N87" s="1157">
        <v>14705.6</v>
      </c>
      <c r="O87" s="1157">
        <v>14742</v>
      </c>
      <c r="P87" s="1157">
        <v>961.52</v>
      </c>
      <c r="Q87" s="1157">
        <v>961.52</v>
      </c>
      <c r="R87" s="1159">
        <v>-19.47</v>
      </c>
      <c r="S87" s="1159">
        <v>-19.47</v>
      </c>
      <c r="T87" s="366">
        <f t="shared" si="3"/>
        <v>0</v>
      </c>
    </row>
    <row r="88" spans="1:20" ht="14.25" customHeight="1">
      <c r="A88" s="336" t="str">
        <f t="shared" si="4"/>
        <v>N</v>
      </c>
      <c r="B88" s="371"/>
      <c r="C88" s="1181">
        <v>143</v>
      </c>
      <c r="D88" s="1156" t="s">
        <v>1171</v>
      </c>
      <c r="E88" s="1156" t="s">
        <v>856</v>
      </c>
      <c r="F88" s="1157">
        <v>70</v>
      </c>
      <c r="G88" s="1182">
        <v>4.57</v>
      </c>
      <c r="H88" s="1157">
        <v>106179.43107221001</v>
      </c>
      <c r="I88" s="1157">
        <v>6932</v>
      </c>
      <c r="J88" s="1157">
        <v>0</v>
      </c>
      <c r="K88" s="1157">
        <v>0</v>
      </c>
      <c r="L88" s="1157">
        <v>4</v>
      </c>
      <c r="M88" s="1157">
        <v>1516.84901531729</v>
      </c>
      <c r="N88" s="1157">
        <v>106179.43107221001</v>
      </c>
      <c r="O88" s="1157">
        <v>113890</v>
      </c>
      <c r="P88" s="1157">
        <v>6932</v>
      </c>
      <c r="Q88" s="1157">
        <v>6932</v>
      </c>
      <c r="R88" s="1159">
        <v>-140.76</v>
      </c>
      <c r="S88" s="1159">
        <v>-140.76</v>
      </c>
      <c r="T88" s="366">
        <f t="shared" si="3"/>
        <v>0</v>
      </c>
    </row>
    <row r="89" spans="1:20" ht="14.25" customHeight="1">
      <c r="A89" s="336" t="str">
        <f t="shared" ref="A89:A91" si="5">IF(OR(C89=26,C89=27,C89=28,C89=29,C89=30,C89=34,C89=36,C89=37,C89=38),"S","N")</f>
        <v>N</v>
      </c>
      <c r="B89" s="371"/>
      <c r="C89" s="1181">
        <v>144</v>
      </c>
      <c r="D89" s="1156" t="s">
        <v>1172</v>
      </c>
      <c r="E89" s="1156" t="s">
        <v>856</v>
      </c>
      <c r="F89" s="1157">
        <v>68</v>
      </c>
      <c r="G89" s="1182">
        <v>4.4400000000000004</v>
      </c>
      <c r="H89" s="1157">
        <v>3264</v>
      </c>
      <c r="I89" s="1157">
        <v>213.12</v>
      </c>
      <c r="J89" s="1157">
        <v>0</v>
      </c>
      <c r="K89" s="1157">
        <v>0</v>
      </c>
      <c r="L89" s="1157">
        <v>1</v>
      </c>
      <c r="M89" s="1157">
        <v>48</v>
      </c>
      <c r="N89" s="1157">
        <v>3264</v>
      </c>
      <c r="O89" s="1157">
        <v>3264</v>
      </c>
      <c r="P89" s="1157">
        <v>213.12</v>
      </c>
      <c r="Q89" s="1157">
        <v>213.12</v>
      </c>
      <c r="R89" s="1159">
        <v>-4.34</v>
      </c>
      <c r="S89" s="1159">
        <v>-4.34</v>
      </c>
      <c r="T89" s="366">
        <f t="shared" si="3"/>
        <v>0</v>
      </c>
    </row>
    <row r="90" spans="1:20" ht="14.25" customHeight="1">
      <c r="A90" s="336" t="str">
        <f t="shared" si="5"/>
        <v>N</v>
      </c>
      <c r="B90" s="371"/>
      <c r="C90" s="1181">
        <v>145</v>
      </c>
      <c r="D90" s="1156" t="s">
        <v>1173</v>
      </c>
      <c r="E90" s="1156" t="s">
        <v>856</v>
      </c>
      <c r="F90" s="1157">
        <v>61</v>
      </c>
      <c r="G90" s="1182">
        <v>3.98</v>
      </c>
      <c r="H90" s="1157">
        <v>8784</v>
      </c>
      <c r="I90" s="1157">
        <v>573.12</v>
      </c>
      <c r="J90" s="1157">
        <v>0</v>
      </c>
      <c r="K90" s="1157">
        <v>0</v>
      </c>
      <c r="L90" s="1157">
        <v>1</v>
      </c>
      <c r="M90" s="1157">
        <v>144</v>
      </c>
      <c r="N90" s="1157">
        <v>8784</v>
      </c>
      <c r="O90" s="1157">
        <v>8784</v>
      </c>
      <c r="P90" s="1157">
        <v>573.12</v>
      </c>
      <c r="Q90" s="1157">
        <v>573.12</v>
      </c>
      <c r="R90" s="1159">
        <v>-11.48</v>
      </c>
      <c r="S90" s="1159">
        <v>-11.48</v>
      </c>
      <c r="T90" s="366">
        <f t="shared" si="3"/>
        <v>0</v>
      </c>
    </row>
    <row r="91" spans="1:20" ht="14.25" customHeight="1">
      <c r="A91" s="336" t="str">
        <f t="shared" si="5"/>
        <v>N</v>
      </c>
      <c r="B91" s="371"/>
      <c r="C91" s="1181">
        <v>146</v>
      </c>
      <c r="D91" s="1156" t="s">
        <v>1257</v>
      </c>
      <c r="E91" s="1156" t="s">
        <v>856</v>
      </c>
      <c r="F91" s="1157">
        <v>140</v>
      </c>
      <c r="G91" s="1182">
        <v>9.14</v>
      </c>
      <c r="H91" s="1157">
        <v>48720</v>
      </c>
      <c r="I91" s="1157">
        <v>3180.72</v>
      </c>
      <c r="J91" s="1157">
        <v>0</v>
      </c>
      <c r="K91" s="1157">
        <v>0</v>
      </c>
      <c r="L91" s="1157">
        <v>1</v>
      </c>
      <c r="M91" s="1157">
        <v>348</v>
      </c>
      <c r="N91" s="1157">
        <v>48720</v>
      </c>
      <c r="O91" s="1157">
        <v>48720</v>
      </c>
      <c r="P91" s="1157">
        <v>3180.72</v>
      </c>
      <c r="Q91" s="1157">
        <v>3180.72</v>
      </c>
      <c r="R91" s="1159">
        <v>-63</v>
      </c>
      <c r="S91" s="1159">
        <v>-63</v>
      </c>
      <c r="T91" s="366">
        <f t="shared" si="3"/>
        <v>0</v>
      </c>
    </row>
    <row r="92" spans="1:20" ht="14.25" customHeight="1">
      <c r="A92" s="336" t="str">
        <f t="shared" si="4"/>
        <v>N</v>
      </c>
      <c r="B92" s="371"/>
      <c r="C92" s="1181">
        <v>147</v>
      </c>
      <c r="D92" s="1156" t="s">
        <v>1258</v>
      </c>
      <c r="E92" s="1156" t="s">
        <v>856</v>
      </c>
      <c r="F92" s="1157">
        <v>6</v>
      </c>
      <c r="G92" s="1182">
        <v>0.39</v>
      </c>
      <c r="H92" s="1157">
        <v>2088</v>
      </c>
      <c r="I92" s="1157">
        <v>135.72</v>
      </c>
      <c r="J92" s="1157">
        <v>0</v>
      </c>
      <c r="K92" s="1157">
        <v>0</v>
      </c>
      <c r="L92" s="1157">
        <v>3</v>
      </c>
      <c r="M92" s="1157">
        <v>348</v>
      </c>
      <c r="N92" s="1157">
        <v>2088</v>
      </c>
      <c r="O92" s="1157">
        <v>2088</v>
      </c>
      <c r="P92" s="1157">
        <v>135.72</v>
      </c>
      <c r="Q92" s="1157">
        <v>135.72</v>
      </c>
      <c r="R92" s="1159">
        <v>-2.68</v>
      </c>
      <c r="S92" s="1159">
        <v>-2.68</v>
      </c>
      <c r="T92" s="366">
        <f t="shared" si="3"/>
        <v>0</v>
      </c>
    </row>
    <row r="93" spans="1:20" ht="14.25" customHeight="1">
      <c r="A93" s="336" t="str">
        <f t="shared" si="4"/>
        <v>N</v>
      </c>
      <c r="B93" s="371"/>
      <c r="C93" s="1181">
        <v>148</v>
      </c>
      <c r="D93" s="1156" t="s">
        <v>1259</v>
      </c>
      <c r="E93" s="1156" t="s">
        <v>856</v>
      </c>
      <c r="F93" s="1157">
        <v>65</v>
      </c>
      <c r="G93" s="1182">
        <v>4.24</v>
      </c>
      <c r="H93" s="1157">
        <v>780</v>
      </c>
      <c r="I93" s="1157">
        <v>50.88</v>
      </c>
      <c r="J93" s="1157">
        <v>0</v>
      </c>
      <c r="K93" s="1157">
        <v>0</v>
      </c>
      <c r="L93" s="1157">
        <v>1</v>
      </c>
      <c r="M93" s="1157">
        <v>12</v>
      </c>
      <c r="N93" s="1157">
        <v>780</v>
      </c>
      <c r="O93" s="1157">
        <v>780</v>
      </c>
      <c r="P93" s="1157">
        <v>50.88</v>
      </c>
      <c r="Q93" s="1157">
        <v>50.88</v>
      </c>
      <c r="R93" s="1159">
        <v>-0.96</v>
      </c>
      <c r="S93" s="1159">
        <v>-0.96</v>
      </c>
      <c r="T93" s="366">
        <f t="shared" si="3"/>
        <v>0</v>
      </c>
    </row>
    <row r="94" spans="1:20" ht="15.75">
      <c r="A94" s="336" t="str">
        <f t="shared" si="4"/>
        <v>N</v>
      </c>
      <c r="B94" s="372"/>
      <c r="C94" s="1183">
        <v>149</v>
      </c>
      <c r="D94" s="1160" t="s">
        <v>1260</v>
      </c>
      <c r="E94" s="1160" t="s">
        <v>856</v>
      </c>
      <c r="F94" s="1161">
        <v>133</v>
      </c>
      <c r="G94" s="1184">
        <v>8.68</v>
      </c>
      <c r="H94" s="1161">
        <v>606480</v>
      </c>
      <c r="I94" s="1161">
        <v>39580.800000000003</v>
      </c>
      <c r="J94" s="1161">
        <v>0</v>
      </c>
      <c r="K94" s="1161">
        <v>0</v>
      </c>
      <c r="L94" s="1161">
        <v>1</v>
      </c>
      <c r="M94" s="1161">
        <v>4560</v>
      </c>
      <c r="N94" s="1161">
        <v>606480</v>
      </c>
      <c r="O94" s="1161">
        <v>606480</v>
      </c>
      <c r="P94" s="1161">
        <v>39580.800000000003</v>
      </c>
      <c r="Q94" s="1161">
        <v>39580.800000000003</v>
      </c>
      <c r="R94" s="1163">
        <v>-791.09</v>
      </c>
      <c r="S94" s="1163">
        <v>-791.09</v>
      </c>
      <c r="T94" s="366">
        <f t="shared" si="3"/>
        <v>0</v>
      </c>
    </row>
    <row r="95" spans="1:20" ht="15.75">
      <c r="B95" s="216"/>
      <c r="C95" s="354"/>
      <c r="D95" s="354"/>
      <c r="E95" s="354"/>
      <c r="F95" s="186"/>
      <c r="G95" s="355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T95" s="366"/>
    </row>
    <row r="96" spans="1:20">
      <c r="G96" s="364" t="s">
        <v>93</v>
      </c>
      <c r="H96" s="366">
        <f t="shared" ref="H96:P96" si="6">SUM(H2:H94)</f>
        <v>41473245.180412054</v>
      </c>
      <c r="I96" s="366">
        <f t="shared" si="6"/>
        <v>2697053.8900000006</v>
      </c>
      <c r="J96" s="366">
        <f t="shared" si="6"/>
        <v>-42506.070570033509</v>
      </c>
      <c r="K96" s="366">
        <f t="shared" si="6"/>
        <v>-2661.4099999999989</v>
      </c>
      <c r="L96" s="366">
        <f t="shared" si="6"/>
        <v>1079</v>
      </c>
      <c r="M96" s="366">
        <f t="shared" si="6"/>
        <v>1008867.2497464143</v>
      </c>
      <c r="N96" s="366">
        <f t="shared" si="6"/>
        <v>41430739.109842025</v>
      </c>
      <c r="O96" s="366">
        <f t="shared" si="6"/>
        <v>54791185</v>
      </c>
      <c r="P96" s="366">
        <f t="shared" si="6"/>
        <v>2694392.4800000014</v>
      </c>
      <c r="Q96" s="366">
        <f>SUM(Q2:Q94)</f>
        <v>2694392.4738320028</v>
      </c>
      <c r="R96" s="366">
        <f t="shared" ref="R96:S96" si="7">SUM(R2:R94)</f>
        <v>-54251.13999999997</v>
      </c>
      <c r="S96" s="366">
        <f t="shared" si="7"/>
        <v>-54422.739999999976</v>
      </c>
      <c r="T96" s="366">
        <f t="shared" si="3"/>
        <v>-6.1679985374212265E-3</v>
      </c>
    </row>
    <row r="97" spans="7:20" s="365" customFormat="1">
      <c r="G97" s="368" t="s">
        <v>916</v>
      </c>
      <c r="H97" s="367">
        <f t="shared" ref="H97:Q97" si="8">SUMIF($A$2:$A$94,"N",H$2:H$94)</f>
        <v>16616857.193304732</v>
      </c>
      <c r="I97" s="367">
        <f t="shared" si="8"/>
        <v>1085026.3299999998</v>
      </c>
      <c r="J97" s="367">
        <f t="shared" si="8"/>
        <v>2016.0845119338064</v>
      </c>
      <c r="K97" s="367">
        <f t="shared" si="8"/>
        <v>131.51999999999998</v>
      </c>
      <c r="L97" s="367">
        <f t="shared" si="8"/>
        <v>771</v>
      </c>
      <c r="M97" s="367">
        <f t="shared" si="8"/>
        <v>565424.15708108398</v>
      </c>
      <c r="N97" s="367">
        <f t="shared" si="8"/>
        <v>16618873.277816664</v>
      </c>
      <c r="O97" s="367">
        <f t="shared" si="8"/>
        <v>21519806</v>
      </c>
      <c r="P97" s="367">
        <f t="shared" si="8"/>
        <v>1085157.8499999999</v>
      </c>
      <c r="Q97" s="367">
        <f t="shared" si="8"/>
        <v>1085157.8438320011</v>
      </c>
      <c r="R97" s="367">
        <f t="shared" ref="R97:S97" si="9">SUMIF($A$2:$A$94,"N",R$2:R$94)</f>
        <v>-21885.009999999991</v>
      </c>
      <c r="S97" s="367">
        <f t="shared" si="9"/>
        <v>-21894.30999999999</v>
      </c>
      <c r="T97" s="366">
        <f t="shared" si="3"/>
        <v>-6.1679987702518702E-3</v>
      </c>
    </row>
    <row r="98" spans="7:20" s="365" customFormat="1">
      <c r="G98" s="368" t="s">
        <v>915</v>
      </c>
      <c r="H98" s="367">
        <f t="shared" ref="H98:Q98" si="10">SUMIF($A$2:$A$94,"S",H$2:H$94)</f>
        <v>24856387.987107299</v>
      </c>
      <c r="I98" s="367">
        <f t="shared" si="10"/>
        <v>1612027.5599999998</v>
      </c>
      <c r="J98" s="367">
        <f t="shared" si="10"/>
        <v>-44522.155081967321</v>
      </c>
      <c r="K98" s="367">
        <f t="shared" si="10"/>
        <v>-2792.93</v>
      </c>
      <c r="L98" s="367">
        <f t="shared" si="10"/>
        <v>308</v>
      </c>
      <c r="M98" s="367">
        <f t="shared" si="10"/>
        <v>443443.09266533068</v>
      </c>
      <c r="N98" s="367">
        <f t="shared" si="10"/>
        <v>24811865.832025338</v>
      </c>
      <c r="O98" s="367">
        <f t="shared" si="10"/>
        <v>33271379</v>
      </c>
      <c r="P98" s="367">
        <f t="shared" si="10"/>
        <v>1609234.6299999997</v>
      </c>
      <c r="Q98" s="367">
        <f t="shared" si="10"/>
        <v>1609234.6300000008</v>
      </c>
      <c r="R98" s="367">
        <f t="shared" ref="R98:S98" si="11">SUMIF($A$2:$A$94,"S",R$2:R$94)</f>
        <v>-32366.129999999997</v>
      </c>
      <c r="S98" s="367">
        <f t="shared" si="11"/>
        <v>-32528.43</v>
      </c>
      <c r="T98" s="366">
        <f t="shared" si="3"/>
        <v>0</v>
      </c>
    </row>
    <row r="99" spans="7:20" s="365" customFormat="1">
      <c r="G99" s="368" t="s">
        <v>463</v>
      </c>
      <c r="H99" s="367">
        <f t="shared" ref="H99:Q99" si="12">H96-H97-H98</f>
        <v>0</v>
      </c>
      <c r="I99" s="367">
        <f t="shared" si="12"/>
        <v>0</v>
      </c>
      <c r="J99" s="367">
        <f t="shared" si="12"/>
        <v>0</v>
      </c>
      <c r="K99" s="367">
        <f t="shared" si="12"/>
        <v>0</v>
      </c>
      <c r="L99" s="367">
        <f t="shared" si="12"/>
        <v>0</v>
      </c>
      <c r="M99" s="367">
        <f t="shared" si="12"/>
        <v>0</v>
      </c>
      <c r="N99" s="367">
        <f t="shared" si="12"/>
        <v>0</v>
      </c>
      <c r="O99" s="367">
        <f t="shared" si="12"/>
        <v>0</v>
      </c>
      <c r="P99" s="367">
        <f t="shared" si="12"/>
        <v>1.862645149230957E-9</v>
      </c>
      <c r="Q99" s="367">
        <f t="shared" si="12"/>
        <v>0</v>
      </c>
      <c r="R99" s="367">
        <f t="shared" ref="R99:S99" si="13">R96-R97-R98</f>
        <v>0</v>
      </c>
      <c r="S99" s="367">
        <f t="shared" si="13"/>
        <v>0</v>
      </c>
    </row>
    <row r="100" spans="7:20" s="365" customFormat="1">
      <c r="G100" s="368"/>
      <c r="H100" s="367"/>
      <c r="I100" s="367"/>
      <c r="J100" s="367"/>
      <c r="K100" s="367"/>
      <c r="L100" s="367"/>
      <c r="M100" s="367"/>
      <c r="N100" s="367"/>
      <c r="O100" s="367"/>
      <c r="P100" s="367"/>
      <c r="Q100" s="367"/>
    </row>
    <row r="101" spans="7:20">
      <c r="P101" s="659" t="s">
        <v>418</v>
      </c>
      <c r="Q101" s="660">
        <v>0</v>
      </c>
    </row>
    <row r="102" spans="7:20">
      <c r="N102" s="893">
        <f>'Blocking-Step2'!C1733</f>
        <v>-1535086</v>
      </c>
      <c r="P102" s="661" t="s">
        <v>136</v>
      </c>
      <c r="Q102" s="662">
        <f>'Blocking-Step2'!H1733</f>
        <v>-92739</v>
      </c>
      <c r="S102" s="874" t="s">
        <v>1241</v>
      </c>
    </row>
    <row r="103" spans="7:20">
      <c r="N103" s="893">
        <f>'Blocking-Step2'!C1736</f>
        <v>39895653.109842025</v>
      </c>
      <c r="P103" s="661" t="s">
        <v>411</v>
      </c>
      <c r="Q103" s="662">
        <f>'Blocking-Step2'!H1736</f>
        <v>2548014.8794</v>
      </c>
      <c r="S103" s="871">
        <f>'Blocking-Step2'!H1734</f>
        <v>-53343.120600000002</v>
      </c>
    </row>
    <row r="104" spans="7:20">
      <c r="N104" s="893">
        <f>N103-N102-N96</f>
        <v>0</v>
      </c>
      <c r="P104" s="663" t="s">
        <v>498</v>
      </c>
      <c r="Q104" s="664">
        <f>Q103-Q96-Q101-Q102-S103</f>
        <v>-295.47383200286276</v>
      </c>
    </row>
  </sheetData>
  <phoneticPr fontId="8" type="noConversion"/>
  <pageMargins left="1" right="1" top="1.8220000000000001" bottom="1.544" header="1" footer="1"/>
  <pageSetup orientation="portrait" r:id="rId1"/>
  <headerFooter alignWithMargins="0">
    <oddHeader>&amp;L&amp;C&amp;B&amp;"Times New Roman"&amp;14&lt;Type here to customize title&gt;&amp;R&amp;"Arial"&amp;8Date: 11/05/2008</oddHeader>
    <oddFooter>&amp;L&amp;C&amp;"Arial"&amp;10Page &amp;P&amp;R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92D050"/>
  </sheetPr>
  <dimension ref="A1:T19"/>
  <sheetViews>
    <sheetView workbookViewId="0">
      <selection activeCell="W28" sqref="W28"/>
    </sheetView>
  </sheetViews>
  <sheetFormatPr defaultColWidth="8" defaultRowHeight="12.75"/>
  <cols>
    <col min="1" max="1" width="10.625" style="134" bestFit="1" customWidth="1"/>
    <col min="2" max="2" width="8.125" style="134" bestFit="1" customWidth="1"/>
    <col min="3" max="4" width="8.125" style="134" customWidth="1"/>
    <col min="5" max="5" width="9.125" style="134" bestFit="1" customWidth="1"/>
    <col min="6" max="6" width="10.125" style="134" bestFit="1" customWidth="1"/>
    <col min="7" max="7" width="9" style="134" customWidth="1"/>
    <col min="8" max="9" width="9.125" style="134" customWidth="1"/>
    <col min="10" max="10" width="10.125" style="134" customWidth="1"/>
    <col min="11" max="11" width="7.125" style="134" customWidth="1"/>
    <col min="12" max="13" width="10.125" style="134" customWidth="1"/>
    <col min="14" max="14" width="9.625" style="134" bestFit="1" customWidth="1"/>
    <col min="15" max="15" width="9.125" style="134" customWidth="1"/>
    <col min="16" max="16384" width="8" style="134"/>
  </cols>
  <sheetData>
    <row r="1" spans="1:20" ht="13.5" customHeight="1">
      <c r="A1" s="1155" t="s">
        <v>192</v>
      </c>
      <c r="B1" s="1155" t="s">
        <v>562</v>
      </c>
      <c r="C1" s="1155" t="s">
        <v>726</v>
      </c>
      <c r="D1" s="1155" t="s">
        <v>727</v>
      </c>
      <c r="E1" s="1155" t="s">
        <v>728</v>
      </c>
      <c r="F1" s="1155" t="s">
        <v>710</v>
      </c>
      <c r="G1" s="1155" t="s">
        <v>125</v>
      </c>
      <c r="H1" s="1155" t="s">
        <v>126</v>
      </c>
      <c r="I1" s="1155" t="s">
        <v>127</v>
      </c>
      <c r="J1" s="1155" t="s">
        <v>128</v>
      </c>
      <c r="K1" s="1155" t="s">
        <v>151</v>
      </c>
      <c r="L1" s="1155" t="s">
        <v>175</v>
      </c>
      <c r="M1" s="1155" t="s">
        <v>70</v>
      </c>
      <c r="N1" s="1155" t="s">
        <v>71</v>
      </c>
      <c r="O1" s="1155" t="s">
        <v>619</v>
      </c>
      <c r="P1" s="1155" t="s">
        <v>1225</v>
      </c>
      <c r="Q1" s="1155" t="s">
        <v>1256</v>
      </c>
    </row>
    <row r="2" spans="1:20" ht="14.25" customHeight="1">
      <c r="A2" s="1156" t="s">
        <v>354</v>
      </c>
      <c r="B2" s="1181">
        <v>5</v>
      </c>
      <c r="C2" s="1156" t="s">
        <v>536</v>
      </c>
      <c r="D2" s="1156" t="s">
        <v>578</v>
      </c>
      <c r="E2" s="1157">
        <v>136</v>
      </c>
      <c r="F2" s="1182">
        <v>17.73</v>
      </c>
      <c r="G2" s="1157">
        <v>5304</v>
      </c>
      <c r="H2" s="1157">
        <v>691.47</v>
      </c>
      <c r="I2" s="1157">
        <v>-408</v>
      </c>
      <c r="J2" s="1157">
        <v>-53.19</v>
      </c>
      <c r="K2" s="1157">
        <v>1</v>
      </c>
      <c r="L2" s="1157">
        <v>36</v>
      </c>
      <c r="M2" s="1157">
        <v>4896</v>
      </c>
      <c r="N2" s="1157">
        <v>638.28</v>
      </c>
      <c r="O2" s="1157">
        <v>638.28</v>
      </c>
      <c r="P2" s="1159">
        <v>-12.6</v>
      </c>
      <c r="Q2" s="1159">
        <v>-14.13</v>
      </c>
      <c r="S2" s="889">
        <f>O2-N2</f>
        <v>0</v>
      </c>
      <c r="T2" s="889">
        <f>Q2-P2</f>
        <v>-1.5300000000000011</v>
      </c>
    </row>
    <row r="3" spans="1:20" ht="14.25" customHeight="1">
      <c r="A3" s="371"/>
      <c r="B3" s="1181">
        <v>7</v>
      </c>
      <c r="C3" s="1156" t="s">
        <v>537</v>
      </c>
      <c r="D3" s="1156" t="s">
        <v>578</v>
      </c>
      <c r="E3" s="1157">
        <v>209</v>
      </c>
      <c r="F3" s="1182">
        <v>23.4</v>
      </c>
      <c r="G3" s="1157">
        <v>2717</v>
      </c>
      <c r="H3" s="1157">
        <v>304.2</v>
      </c>
      <c r="I3" s="1157">
        <v>-209</v>
      </c>
      <c r="J3" s="1157">
        <v>-23.4</v>
      </c>
      <c r="K3" s="1157">
        <v>1</v>
      </c>
      <c r="L3" s="1157">
        <v>12</v>
      </c>
      <c r="M3" s="1157">
        <v>2508</v>
      </c>
      <c r="N3" s="1157">
        <v>280.8</v>
      </c>
      <c r="O3" s="1157">
        <v>280.8</v>
      </c>
      <c r="P3" s="1159">
        <v>-5.52</v>
      </c>
      <c r="Q3" s="1159">
        <v>-6.19</v>
      </c>
      <c r="S3" s="889">
        <f t="shared" ref="S3:S12" si="0">O3-N3</f>
        <v>0</v>
      </c>
      <c r="T3" s="889">
        <f t="shared" ref="T3:T12" si="1">Q3-P3</f>
        <v>-0.67000000000000082</v>
      </c>
    </row>
    <row r="4" spans="1:20" ht="14.25" customHeight="1">
      <c r="A4" s="371"/>
      <c r="B4" s="1181">
        <v>11</v>
      </c>
      <c r="C4" s="1156" t="s">
        <v>538</v>
      </c>
      <c r="D4" s="1156" t="s">
        <v>579</v>
      </c>
      <c r="E4" s="1157">
        <v>69</v>
      </c>
      <c r="F4" s="1182">
        <v>8.0299999999999994</v>
      </c>
      <c r="G4" s="1157">
        <v>1725</v>
      </c>
      <c r="H4" s="1157">
        <v>200.75</v>
      </c>
      <c r="I4" s="1157">
        <v>-69</v>
      </c>
      <c r="J4" s="1157">
        <v>-8.0299999999999994</v>
      </c>
      <c r="K4" s="1157">
        <v>2</v>
      </c>
      <c r="L4" s="1157">
        <v>24</v>
      </c>
      <c r="M4" s="1157">
        <v>1656</v>
      </c>
      <c r="N4" s="1157">
        <v>192.72</v>
      </c>
      <c r="O4" s="1157">
        <v>192.72</v>
      </c>
      <c r="P4" s="1159">
        <v>-3.84</v>
      </c>
      <c r="Q4" s="1159">
        <v>-4.08</v>
      </c>
      <c r="S4" s="889">
        <f t="shared" si="0"/>
        <v>0</v>
      </c>
      <c r="T4" s="889">
        <f t="shared" si="1"/>
        <v>-0.24000000000000021</v>
      </c>
    </row>
    <row r="5" spans="1:20" ht="14.25" customHeight="1">
      <c r="A5" s="371"/>
      <c r="B5" s="1181">
        <v>21</v>
      </c>
      <c r="C5" s="1156" t="s">
        <v>539</v>
      </c>
      <c r="D5" s="1156" t="s">
        <v>576</v>
      </c>
      <c r="E5" s="1157">
        <v>28</v>
      </c>
      <c r="F5" s="1182">
        <v>4.68</v>
      </c>
      <c r="G5" s="1157">
        <v>113737.675213675</v>
      </c>
      <c r="H5" s="1157">
        <v>19010.439999999999</v>
      </c>
      <c r="I5" s="1157">
        <v>-672</v>
      </c>
      <c r="J5" s="1157">
        <v>-112.32</v>
      </c>
      <c r="K5" s="1157">
        <v>7</v>
      </c>
      <c r="L5" s="1157">
        <v>4038.05982905983</v>
      </c>
      <c r="M5" s="1157">
        <v>113065.675213675</v>
      </c>
      <c r="N5" s="1157">
        <v>18898.12</v>
      </c>
      <c r="O5" s="1157">
        <v>18898.120000000101</v>
      </c>
      <c r="P5" s="1159">
        <v>-374.48</v>
      </c>
      <c r="Q5" s="1159">
        <v>-377.74</v>
      </c>
      <c r="S5" s="889">
        <f t="shared" si="0"/>
        <v>1.0186340659856796E-10</v>
      </c>
      <c r="T5" s="889">
        <f t="shared" si="1"/>
        <v>-3.2599999999999909</v>
      </c>
    </row>
    <row r="6" spans="1:20" ht="14.25" customHeight="1">
      <c r="A6" s="371"/>
      <c r="B6" s="1181">
        <v>23</v>
      </c>
      <c r="C6" s="1156" t="s">
        <v>540</v>
      </c>
      <c r="D6" s="1156" t="s">
        <v>576</v>
      </c>
      <c r="E6" s="1157">
        <v>39</v>
      </c>
      <c r="F6" s="1182">
        <v>6.16</v>
      </c>
      <c r="G6" s="1157">
        <v>270256.13474026002</v>
      </c>
      <c r="H6" s="1157">
        <v>42686.61</v>
      </c>
      <c r="I6" s="1157">
        <v>-585</v>
      </c>
      <c r="J6" s="1157">
        <v>-92.4</v>
      </c>
      <c r="K6" s="1157">
        <v>22</v>
      </c>
      <c r="L6" s="1157">
        <v>6914.6444805194797</v>
      </c>
      <c r="M6" s="1157">
        <v>269671.13474026002</v>
      </c>
      <c r="N6" s="1157">
        <v>42594.21</v>
      </c>
      <c r="O6" s="1157">
        <v>42594.210000000101</v>
      </c>
      <c r="P6" s="1159">
        <v>-856.07</v>
      </c>
      <c r="Q6" s="1159">
        <v>-860.09</v>
      </c>
      <c r="S6" s="889">
        <f t="shared" si="0"/>
        <v>1.0186340659856796E-10</v>
      </c>
      <c r="T6" s="889">
        <f t="shared" si="1"/>
        <v>-4.0199999999999818</v>
      </c>
    </row>
    <row r="7" spans="1:20" ht="14.25" customHeight="1">
      <c r="A7" s="371"/>
      <c r="B7" s="1181">
        <v>25</v>
      </c>
      <c r="C7" s="1156" t="s">
        <v>541</v>
      </c>
      <c r="D7" s="1156" t="s">
        <v>576</v>
      </c>
      <c r="E7" s="1157">
        <v>59</v>
      </c>
      <c r="F7" s="1182">
        <v>7.47</v>
      </c>
      <c r="G7" s="1157">
        <v>34161</v>
      </c>
      <c r="H7" s="1157">
        <v>4325.13</v>
      </c>
      <c r="I7" s="1157">
        <v>-177</v>
      </c>
      <c r="J7" s="1157">
        <v>-22.41</v>
      </c>
      <c r="K7" s="1157">
        <v>9</v>
      </c>
      <c r="L7" s="1157">
        <v>576</v>
      </c>
      <c r="M7" s="1157">
        <v>33984</v>
      </c>
      <c r="N7" s="1157">
        <v>4302.72</v>
      </c>
      <c r="O7" s="1157">
        <v>4302.7199999999903</v>
      </c>
      <c r="P7" s="1159">
        <v>-85.94</v>
      </c>
      <c r="Q7" s="1159">
        <v>-86.66</v>
      </c>
      <c r="S7" s="889">
        <f t="shared" si="0"/>
        <v>-1.0004441719502211E-11</v>
      </c>
      <c r="T7" s="889">
        <f t="shared" si="1"/>
        <v>-0.71999999999999886</v>
      </c>
    </row>
    <row r="8" spans="1:20" ht="14.25" customHeight="1">
      <c r="A8" s="371"/>
      <c r="B8" s="1181">
        <v>27</v>
      </c>
      <c r="C8" s="1156" t="s">
        <v>542</v>
      </c>
      <c r="D8" s="1156" t="s">
        <v>576</v>
      </c>
      <c r="E8" s="1157">
        <v>96</v>
      </c>
      <c r="F8" s="1182">
        <v>10.99</v>
      </c>
      <c r="G8" s="1157">
        <v>117436.65150136501</v>
      </c>
      <c r="H8" s="1157">
        <v>13444.05</v>
      </c>
      <c r="I8" s="1157">
        <v>0</v>
      </c>
      <c r="J8" s="1157">
        <v>0</v>
      </c>
      <c r="K8" s="1157">
        <v>8</v>
      </c>
      <c r="L8" s="1157">
        <v>1223.2984531392201</v>
      </c>
      <c r="M8" s="1157">
        <v>117436.65150136501</v>
      </c>
      <c r="N8" s="1157">
        <v>13444.05</v>
      </c>
      <c r="O8" s="1157">
        <v>13444.05</v>
      </c>
      <c r="P8" s="1159">
        <v>-267.52999999999997</v>
      </c>
      <c r="Q8" s="1159">
        <v>-267.52999999999997</v>
      </c>
      <c r="S8" s="889">
        <f t="shared" si="0"/>
        <v>0</v>
      </c>
      <c r="T8" s="889">
        <f t="shared" si="1"/>
        <v>0</v>
      </c>
    </row>
    <row r="9" spans="1:20" ht="14.25" customHeight="1">
      <c r="A9" s="371"/>
      <c r="B9" s="1181">
        <v>29</v>
      </c>
      <c r="C9" s="1156" t="s">
        <v>543</v>
      </c>
      <c r="D9" s="1156" t="s">
        <v>576</v>
      </c>
      <c r="E9" s="1157">
        <v>148</v>
      </c>
      <c r="F9" s="1182">
        <v>16.02</v>
      </c>
      <c r="G9" s="1157">
        <v>238401.76279650399</v>
      </c>
      <c r="H9" s="1157">
        <v>25805.38</v>
      </c>
      <c r="I9" s="1157">
        <v>-1628</v>
      </c>
      <c r="J9" s="1157">
        <v>-176.22</v>
      </c>
      <c r="K9" s="1157">
        <v>10</v>
      </c>
      <c r="L9" s="1157">
        <v>1599.822721598</v>
      </c>
      <c r="M9" s="1157">
        <v>236773.76279650399</v>
      </c>
      <c r="N9" s="1157">
        <v>25629.16</v>
      </c>
      <c r="O9" s="1157">
        <v>25629.16</v>
      </c>
      <c r="P9" s="1159">
        <v>-512.91999999999996</v>
      </c>
      <c r="Q9" s="1159">
        <v>-518.70000000000005</v>
      </c>
      <c r="S9" s="889">
        <f t="shared" si="0"/>
        <v>0</v>
      </c>
      <c r="T9" s="889">
        <f t="shared" si="1"/>
        <v>-5.7800000000000864</v>
      </c>
    </row>
    <row r="10" spans="1:20" ht="14.25" customHeight="1">
      <c r="A10" s="371"/>
      <c r="B10" s="1181">
        <v>31</v>
      </c>
      <c r="C10" s="1156" t="s">
        <v>545</v>
      </c>
      <c r="D10" s="1156" t="s">
        <v>577</v>
      </c>
      <c r="E10" s="1157">
        <v>69</v>
      </c>
      <c r="F10" s="1182">
        <v>15.58</v>
      </c>
      <c r="G10" s="1157">
        <v>2313.8029525032098</v>
      </c>
      <c r="H10" s="1157">
        <v>522.45000000000005</v>
      </c>
      <c r="I10" s="1157">
        <v>0</v>
      </c>
      <c r="J10" s="1157">
        <v>0</v>
      </c>
      <c r="K10" s="1157">
        <v>3</v>
      </c>
      <c r="L10" s="1157">
        <v>33.533376123234902</v>
      </c>
      <c r="M10" s="1157">
        <v>2313.8029525032098</v>
      </c>
      <c r="N10" s="1157">
        <v>522.45000000000005</v>
      </c>
      <c r="O10" s="1157">
        <v>522.45000000000005</v>
      </c>
      <c r="P10" s="1159">
        <v>-10.49</v>
      </c>
      <c r="Q10" s="1159">
        <v>-10.49</v>
      </c>
      <c r="S10" s="889">
        <f t="shared" si="0"/>
        <v>0</v>
      </c>
      <c r="T10" s="889">
        <f t="shared" si="1"/>
        <v>0</v>
      </c>
    </row>
    <row r="11" spans="1:20" ht="14.25" customHeight="1">
      <c r="A11" s="371"/>
      <c r="B11" s="1181">
        <v>33</v>
      </c>
      <c r="C11" s="1156" t="s">
        <v>546</v>
      </c>
      <c r="D11" s="1156" t="s">
        <v>577</v>
      </c>
      <c r="E11" s="1157">
        <v>93</v>
      </c>
      <c r="F11" s="1182">
        <v>15.73</v>
      </c>
      <c r="G11" s="1157">
        <v>67177.985378258105</v>
      </c>
      <c r="H11" s="1157">
        <v>11362.47</v>
      </c>
      <c r="I11" s="1157">
        <v>0</v>
      </c>
      <c r="J11" s="1157">
        <v>0</v>
      </c>
      <c r="K11" s="1157">
        <v>3</v>
      </c>
      <c r="L11" s="1157">
        <v>722.34392879847405</v>
      </c>
      <c r="M11" s="1157">
        <v>67177.985378258105</v>
      </c>
      <c r="N11" s="1157">
        <v>11362.47</v>
      </c>
      <c r="O11" s="1157">
        <v>11362.47</v>
      </c>
      <c r="P11" s="1159">
        <v>-224.97</v>
      </c>
      <c r="Q11" s="1159">
        <v>-228.06</v>
      </c>
      <c r="S11" s="889">
        <f t="shared" si="0"/>
        <v>0</v>
      </c>
      <c r="T11" s="889">
        <f t="shared" si="1"/>
        <v>-3.0900000000000034</v>
      </c>
    </row>
    <row r="12" spans="1:20" ht="14.25" customHeight="1">
      <c r="A12" s="372"/>
      <c r="B12" s="1183">
        <v>35</v>
      </c>
      <c r="C12" s="1160" t="s">
        <v>758</v>
      </c>
      <c r="D12" s="1160" t="s">
        <v>577</v>
      </c>
      <c r="E12" s="1161">
        <v>145</v>
      </c>
      <c r="F12" s="1184">
        <v>16.72</v>
      </c>
      <c r="G12" s="1161">
        <v>97493.160885167497</v>
      </c>
      <c r="H12" s="1161">
        <v>11241.97</v>
      </c>
      <c r="I12" s="1161">
        <v>0</v>
      </c>
      <c r="J12" s="1161">
        <v>0</v>
      </c>
      <c r="K12" s="1161">
        <v>3</v>
      </c>
      <c r="L12" s="1161">
        <v>672.36662679425797</v>
      </c>
      <c r="M12" s="1161">
        <v>97493.160885167497</v>
      </c>
      <c r="N12" s="1161">
        <v>11241.97</v>
      </c>
      <c r="O12" s="1161">
        <v>11241.97</v>
      </c>
      <c r="P12" s="1163">
        <v>-222.79</v>
      </c>
      <c r="Q12" s="1163">
        <v>-222.79</v>
      </c>
      <c r="S12" s="889">
        <f t="shared" si="0"/>
        <v>0</v>
      </c>
      <c r="T12" s="889">
        <f t="shared" si="1"/>
        <v>0</v>
      </c>
    </row>
    <row r="13" spans="1:20" ht="14.25" customHeight="1">
      <c r="A13" s="150"/>
      <c r="B13" s="148"/>
      <c r="C13" s="148"/>
      <c r="D13" s="148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</row>
    <row r="14" spans="1:20" ht="14.25" customHeight="1">
      <c r="A14" s="209" t="s">
        <v>256</v>
      </c>
      <c r="B14" s="207"/>
      <c r="C14" s="207"/>
      <c r="D14" s="207"/>
      <c r="E14" s="195"/>
      <c r="F14" s="208"/>
      <c r="G14" s="195">
        <f t="shared" ref="G14:Q14" si="2">SUM(G2:G12)</f>
        <v>950724.17346773273</v>
      </c>
      <c r="H14" s="195">
        <f t="shared" si="2"/>
        <v>129594.92000000001</v>
      </c>
      <c r="I14" s="195">
        <f t="shared" si="2"/>
        <v>-3748</v>
      </c>
      <c r="J14" s="195">
        <f t="shared" si="2"/>
        <v>-487.97</v>
      </c>
      <c r="K14" s="195">
        <f t="shared" si="2"/>
        <v>69</v>
      </c>
      <c r="L14" s="195">
        <f t="shared" si="2"/>
        <v>15852.069416032495</v>
      </c>
      <c r="M14" s="195">
        <f t="shared" si="2"/>
        <v>946976.17346773273</v>
      </c>
      <c r="N14" s="195">
        <f t="shared" si="2"/>
        <v>129106.95</v>
      </c>
      <c r="O14" s="195">
        <f t="shared" si="2"/>
        <v>129106.9500000002</v>
      </c>
      <c r="P14" s="195">
        <f t="shared" si="2"/>
        <v>-2577.1499999999996</v>
      </c>
      <c r="Q14" s="195">
        <f t="shared" si="2"/>
        <v>-2596.4599999999996</v>
      </c>
    </row>
    <row r="15" spans="1:20" ht="14.25" customHeight="1">
      <c r="A15" s="216"/>
      <c r="B15" s="354"/>
      <c r="C15" s="354"/>
      <c r="D15" s="354"/>
      <c r="E15" s="186"/>
      <c r="F15" s="355"/>
      <c r="G15" s="186"/>
      <c r="H15" s="186"/>
      <c r="I15" s="186"/>
      <c r="J15" s="186"/>
      <c r="K15" s="186"/>
      <c r="L15" s="186"/>
      <c r="M15" s="186"/>
      <c r="N15" s="186"/>
      <c r="O15" s="186"/>
    </row>
    <row r="16" spans="1:20" s="369" customFormat="1">
      <c r="L16" s="385">
        <f>L14-SUM('Blocking-Step2'!C1777:C1794)</f>
        <v>0</v>
      </c>
      <c r="N16" s="659" t="s">
        <v>418</v>
      </c>
      <c r="O16" s="660">
        <v>0</v>
      </c>
    </row>
    <row r="17" spans="14:17">
      <c r="N17" s="661" t="s">
        <v>136</v>
      </c>
      <c r="O17" s="662">
        <f>'Blocking-Step2'!H1796</f>
        <v>-4439</v>
      </c>
      <c r="Q17" s="873" t="s">
        <v>1241</v>
      </c>
    </row>
    <row r="18" spans="14:17">
      <c r="N18" s="661" t="s">
        <v>411</v>
      </c>
      <c r="O18" s="662">
        <f>'Blocking-Step2'!H1799</f>
        <v>122110.7012</v>
      </c>
      <c r="Q18" s="872">
        <f>'Blocking-Step2'!H1797</f>
        <v>-2556.2988</v>
      </c>
    </row>
    <row r="19" spans="14:17">
      <c r="N19" s="663" t="s">
        <v>498</v>
      </c>
      <c r="O19" s="664">
        <f>O18-O14-O16-O17-Q18</f>
        <v>-0.95000000020490916</v>
      </c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Schedule 12B Billing Determinants
12 Months Ending September 2005&amp;R&amp;"Arial"&amp;8Date: 12/28/2005</oddHeader>
    <oddFooter>&amp;L&amp;C&amp;"Arial"&amp;10Page &amp;P&amp;R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92D050"/>
  </sheetPr>
  <dimension ref="A1:T29"/>
  <sheetViews>
    <sheetView workbookViewId="0">
      <selection activeCell="W28" sqref="W28"/>
    </sheetView>
  </sheetViews>
  <sheetFormatPr defaultColWidth="8" defaultRowHeight="12.75"/>
  <cols>
    <col min="1" max="1" width="12.125" style="133" customWidth="1"/>
    <col min="2" max="2" width="4.125" style="133" bestFit="1" customWidth="1"/>
    <col min="3" max="3" width="24.625" style="133" bestFit="1" customWidth="1"/>
    <col min="4" max="4" width="4.125" style="133" customWidth="1"/>
    <col min="5" max="5" width="11" style="133" bestFit="1" customWidth="1"/>
    <col min="6" max="6" width="11.125" style="133" bestFit="1" customWidth="1"/>
    <col min="7" max="7" width="10.125" style="133" customWidth="1"/>
    <col min="8" max="8" width="8" style="133" customWidth="1"/>
    <col min="9" max="9" width="9.125" style="133" customWidth="1"/>
    <col min="10" max="10" width="8.625" style="133" customWidth="1"/>
    <col min="11" max="11" width="6" style="133" customWidth="1"/>
    <col min="12" max="12" width="7.625" style="133" customWidth="1"/>
    <col min="13" max="13" width="10.125" style="133" customWidth="1"/>
    <col min="14" max="14" width="8.625" style="133" customWidth="1"/>
    <col min="15" max="15" width="9.125" style="133" customWidth="1"/>
    <col min="16" max="16384" width="8" style="133"/>
  </cols>
  <sheetData>
    <row r="1" spans="1:20" ht="13.5" customHeight="1">
      <c r="A1" s="1155" t="s">
        <v>192</v>
      </c>
      <c r="B1" s="1155" t="s">
        <v>562</v>
      </c>
      <c r="C1" s="1155" t="s">
        <v>726</v>
      </c>
      <c r="D1" s="1155" t="s">
        <v>727</v>
      </c>
      <c r="E1" s="1155" t="s">
        <v>728</v>
      </c>
      <c r="F1" s="1155" t="s">
        <v>710</v>
      </c>
      <c r="G1" s="1155" t="s">
        <v>125</v>
      </c>
      <c r="H1" s="1155" t="s">
        <v>126</v>
      </c>
      <c r="I1" s="1155" t="s">
        <v>127</v>
      </c>
      <c r="J1" s="1155" t="s">
        <v>128</v>
      </c>
      <c r="K1" s="1155" t="s">
        <v>151</v>
      </c>
      <c r="L1" s="1155" t="s">
        <v>175</v>
      </c>
      <c r="M1" s="1155" t="s">
        <v>70</v>
      </c>
      <c r="N1" s="1155" t="s">
        <v>71</v>
      </c>
      <c r="O1" s="1155" t="s">
        <v>619</v>
      </c>
      <c r="P1" s="1155" t="s">
        <v>1225</v>
      </c>
      <c r="Q1" s="1155" t="s">
        <v>1256</v>
      </c>
    </row>
    <row r="2" spans="1:20" ht="14.25" customHeight="1">
      <c r="A2" s="1156" t="s">
        <v>353</v>
      </c>
      <c r="B2" s="1181">
        <v>1</v>
      </c>
      <c r="C2" s="1156" t="s">
        <v>507</v>
      </c>
      <c r="D2" s="1156" t="s">
        <v>578</v>
      </c>
      <c r="E2" s="1157">
        <v>64</v>
      </c>
      <c r="F2" s="1182">
        <v>8.9600000000000009</v>
      </c>
      <c r="G2" s="1157">
        <v>4608</v>
      </c>
      <c r="H2" s="1157">
        <v>645.12</v>
      </c>
      <c r="I2" s="1157">
        <v>0</v>
      </c>
      <c r="J2" s="1157">
        <v>0</v>
      </c>
      <c r="K2" s="1157">
        <v>1</v>
      </c>
      <c r="L2" s="1157">
        <v>72</v>
      </c>
      <c r="M2" s="1157">
        <v>4608</v>
      </c>
      <c r="N2" s="1157">
        <v>645.12</v>
      </c>
      <c r="O2" s="1157">
        <v>645.12</v>
      </c>
      <c r="P2" s="1159">
        <v>-12.82</v>
      </c>
      <c r="Q2" s="1159">
        <v>-12.82</v>
      </c>
      <c r="S2" s="889">
        <f>O2-N2</f>
        <v>0</v>
      </c>
      <c r="T2" s="889">
        <f>Q2-P2</f>
        <v>0</v>
      </c>
    </row>
    <row r="3" spans="1:20" ht="14.25" customHeight="1">
      <c r="A3" s="371"/>
      <c r="B3" s="1181">
        <v>3</v>
      </c>
      <c r="C3" s="1156" t="s">
        <v>508</v>
      </c>
      <c r="D3" s="1156" t="s">
        <v>578</v>
      </c>
      <c r="E3" s="1157">
        <v>99</v>
      </c>
      <c r="F3" s="1182">
        <v>12.19</v>
      </c>
      <c r="G3" s="1157">
        <v>3267</v>
      </c>
      <c r="H3" s="1157">
        <v>402.27</v>
      </c>
      <c r="I3" s="1157">
        <v>297</v>
      </c>
      <c r="J3" s="1157">
        <v>36.57</v>
      </c>
      <c r="K3" s="1157">
        <v>1</v>
      </c>
      <c r="L3" s="1157">
        <v>36</v>
      </c>
      <c r="M3" s="1157">
        <v>3564</v>
      </c>
      <c r="N3" s="1157">
        <v>438.84</v>
      </c>
      <c r="O3" s="1157">
        <v>438.84</v>
      </c>
      <c r="P3" s="1159">
        <v>-8.64</v>
      </c>
      <c r="Q3" s="1159">
        <v>-7.92</v>
      </c>
      <c r="S3" s="889">
        <f t="shared" ref="S3:S22" si="0">O3-N3</f>
        <v>0</v>
      </c>
      <c r="T3" s="889">
        <f t="shared" ref="T3:T22" si="1">Q3-P3</f>
        <v>0.72000000000000064</v>
      </c>
    </row>
    <row r="4" spans="1:20" ht="14.25" customHeight="1">
      <c r="A4" s="371"/>
      <c r="B4" s="1181">
        <v>11</v>
      </c>
      <c r="C4" s="1156" t="s">
        <v>510</v>
      </c>
      <c r="D4" s="1156" t="s">
        <v>579</v>
      </c>
      <c r="E4" s="1157">
        <v>69</v>
      </c>
      <c r="F4" s="1182">
        <v>7</v>
      </c>
      <c r="G4" s="1157">
        <v>44229</v>
      </c>
      <c r="H4" s="1157">
        <v>4487</v>
      </c>
      <c r="I4" s="1157">
        <v>-345</v>
      </c>
      <c r="J4" s="1157">
        <v>-35</v>
      </c>
      <c r="K4" s="1157">
        <v>6</v>
      </c>
      <c r="L4" s="1157">
        <v>636</v>
      </c>
      <c r="M4" s="1157">
        <v>43884</v>
      </c>
      <c r="N4" s="1157">
        <v>4452</v>
      </c>
      <c r="O4" s="1157">
        <v>4452</v>
      </c>
      <c r="P4" s="1159">
        <v>-89.03</v>
      </c>
      <c r="Q4" s="1159">
        <v>-90.05</v>
      </c>
      <c r="S4" s="889">
        <f t="shared" si="0"/>
        <v>0</v>
      </c>
      <c r="T4" s="889">
        <f t="shared" si="1"/>
        <v>-1.019999999999996</v>
      </c>
    </row>
    <row r="5" spans="1:20" ht="14.25" customHeight="1">
      <c r="A5" s="371"/>
      <c r="B5" s="1181">
        <v>15</v>
      </c>
      <c r="C5" s="1156" t="s">
        <v>511</v>
      </c>
      <c r="D5" s="1156" t="s">
        <v>579</v>
      </c>
      <c r="E5" s="1157">
        <v>145</v>
      </c>
      <c r="F5" s="1182">
        <v>13.33</v>
      </c>
      <c r="G5" s="1157">
        <v>12035</v>
      </c>
      <c r="H5" s="1157">
        <v>1106.3900000000001</v>
      </c>
      <c r="I5" s="1157">
        <v>145</v>
      </c>
      <c r="J5" s="1157">
        <v>13.33</v>
      </c>
      <c r="K5" s="1157">
        <v>3</v>
      </c>
      <c r="L5" s="1157">
        <v>84</v>
      </c>
      <c r="M5" s="1157">
        <v>12180</v>
      </c>
      <c r="N5" s="1157">
        <v>1119.72</v>
      </c>
      <c r="O5" s="1157">
        <v>1119.72</v>
      </c>
      <c r="P5" s="1159">
        <v>-22.43</v>
      </c>
      <c r="Q5" s="1159">
        <v>-22.17</v>
      </c>
      <c r="S5" s="889">
        <f t="shared" si="0"/>
        <v>0</v>
      </c>
      <c r="T5" s="889">
        <f t="shared" si="1"/>
        <v>0.25999999999999801</v>
      </c>
    </row>
    <row r="6" spans="1:20" ht="14.25" customHeight="1">
      <c r="A6" s="371"/>
      <c r="B6" s="1181">
        <v>22</v>
      </c>
      <c r="C6" s="1156" t="s">
        <v>512</v>
      </c>
      <c r="D6" s="1156" t="s">
        <v>576</v>
      </c>
      <c r="E6" s="1157">
        <v>28</v>
      </c>
      <c r="F6" s="1182">
        <v>4.08</v>
      </c>
      <c r="G6" s="1157">
        <v>65869.382352941204</v>
      </c>
      <c r="H6" s="1157">
        <v>9598.11</v>
      </c>
      <c r="I6" s="1157">
        <v>-3472</v>
      </c>
      <c r="J6" s="1157">
        <v>-505.92</v>
      </c>
      <c r="K6" s="1157">
        <v>10</v>
      </c>
      <c r="L6" s="1157">
        <v>2228.4779411764698</v>
      </c>
      <c r="M6" s="1157">
        <v>62397.382352941197</v>
      </c>
      <c r="N6" s="1157">
        <v>9092.19</v>
      </c>
      <c r="O6" s="1157">
        <v>9092.1899999999805</v>
      </c>
      <c r="P6" s="1159">
        <v>-180.93</v>
      </c>
      <c r="Q6" s="1159">
        <v>-195.73</v>
      </c>
      <c r="S6" s="889">
        <f t="shared" si="0"/>
        <v>-2.0008883439004421E-11</v>
      </c>
      <c r="T6" s="889">
        <f t="shared" si="1"/>
        <v>-14.799999999999983</v>
      </c>
    </row>
    <row r="7" spans="1:20" ht="14.25" customHeight="1">
      <c r="A7" s="371"/>
      <c r="B7" s="1181">
        <v>25</v>
      </c>
      <c r="C7" s="1156" t="s">
        <v>513</v>
      </c>
      <c r="D7" s="1156" t="s">
        <v>576</v>
      </c>
      <c r="E7" s="1157">
        <v>39</v>
      </c>
      <c r="F7" s="1182">
        <v>5.37</v>
      </c>
      <c r="G7" s="1157">
        <v>433498.36312849203</v>
      </c>
      <c r="H7" s="1157">
        <v>59689.39</v>
      </c>
      <c r="I7" s="1157">
        <v>-22487.603351955298</v>
      </c>
      <c r="J7" s="1157">
        <v>-3096.37</v>
      </c>
      <c r="K7" s="1157">
        <v>26</v>
      </c>
      <c r="L7" s="1157">
        <v>10538.737430167601</v>
      </c>
      <c r="M7" s="1157">
        <v>411010.75977653603</v>
      </c>
      <c r="N7" s="1157">
        <v>56593.02</v>
      </c>
      <c r="O7" s="1157">
        <v>56593.019999999902</v>
      </c>
      <c r="P7" s="1159">
        <v>-1126.18</v>
      </c>
      <c r="Q7" s="1159">
        <v>-1216.3900000000001</v>
      </c>
      <c r="S7" s="889">
        <f t="shared" si="0"/>
        <v>-9.4587448984384537E-11</v>
      </c>
      <c r="T7" s="889">
        <f t="shared" si="1"/>
        <v>-90.210000000000036</v>
      </c>
    </row>
    <row r="8" spans="1:20" ht="14.25" customHeight="1">
      <c r="A8" s="371"/>
      <c r="B8" s="1181">
        <v>27</v>
      </c>
      <c r="C8" s="1156" t="s">
        <v>515</v>
      </c>
      <c r="D8" s="1156" t="s">
        <v>576</v>
      </c>
      <c r="E8" s="1157">
        <v>59</v>
      </c>
      <c r="F8" s="1182">
        <v>6.52</v>
      </c>
      <c r="G8" s="1157">
        <v>56775.283742331303</v>
      </c>
      <c r="H8" s="1157">
        <v>6274.15</v>
      </c>
      <c r="I8" s="1157">
        <v>-2419</v>
      </c>
      <c r="J8" s="1157">
        <v>-267.32</v>
      </c>
      <c r="K8" s="1157">
        <v>10</v>
      </c>
      <c r="L8" s="1157">
        <v>921.29294478527595</v>
      </c>
      <c r="M8" s="1157">
        <v>54356.283742331303</v>
      </c>
      <c r="N8" s="1157">
        <v>6006.83</v>
      </c>
      <c r="O8" s="1157">
        <v>6006.83</v>
      </c>
      <c r="P8" s="1159">
        <v>-119.48</v>
      </c>
      <c r="Q8" s="1159">
        <v>-127.26</v>
      </c>
      <c r="S8" s="889">
        <f t="shared" si="0"/>
        <v>0</v>
      </c>
      <c r="T8" s="889">
        <f t="shared" si="1"/>
        <v>-7.7800000000000011</v>
      </c>
    </row>
    <row r="9" spans="1:20" ht="14.25" customHeight="1">
      <c r="A9" s="371"/>
      <c r="B9" s="1181">
        <v>31</v>
      </c>
      <c r="C9" s="1156" t="s">
        <v>517</v>
      </c>
      <c r="D9" s="1156" t="s">
        <v>576</v>
      </c>
      <c r="E9" s="1157">
        <v>96</v>
      </c>
      <c r="F9" s="1182">
        <v>9.59</v>
      </c>
      <c r="G9" s="1157">
        <v>263533.01355578698</v>
      </c>
      <c r="H9" s="1157">
        <v>26325.85</v>
      </c>
      <c r="I9" s="1157">
        <v>-768</v>
      </c>
      <c r="J9" s="1157">
        <v>-76.72</v>
      </c>
      <c r="K9" s="1157">
        <v>19</v>
      </c>
      <c r="L9" s="1157">
        <v>2737.1355578727798</v>
      </c>
      <c r="M9" s="1157">
        <v>262765.01355578698</v>
      </c>
      <c r="N9" s="1157">
        <v>26249.13</v>
      </c>
      <c r="O9" s="1157">
        <v>26249.13</v>
      </c>
      <c r="P9" s="1159">
        <v>-526.77</v>
      </c>
      <c r="Q9" s="1159">
        <v>-530.17999999999995</v>
      </c>
      <c r="S9" s="889">
        <f t="shared" si="0"/>
        <v>0</v>
      </c>
      <c r="T9" s="889">
        <f t="shared" si="1"/>
        <v>-3.4099999999999682</v>
      </c>
    </row>
    <row r="10" spans="1:20" ht="14.25" customHeight="1">
      <c r="A10" s="371"/>
      <c r="B10" s="1181">
        <v>33</v>
      </c>
      <c r="C10" s="1156" t="s">
        <v>518</v>
      </c>
      <c r="D10" s="1156" t="s">
        <v>576</v>
      </c>
      <c r="E10" s="1157">
        <v>148</v>
      </c>
      <c r="F10" s="1182">
        <v>14</v>
      </c>
      <c r="G10" s="1157">
        <v>1009759.10034188</v>
      </c>
      <c r="H10" s="1157">
        <v>95509.69</v>
      </c>
      <c r="I10" s="1157">
        <v>52494.0910866911</v>
      </c>
      <c r="J10" s="1157">
        <v>4973.72</v>
      </c>
      <c r="K10" s="1157">
        <v>45</v>
      </c>
      <c r="L10" s="1157">
        <v>7177.3864285714299</v>
      </c>
      <c r="M10" s="1157">
        <v>1062253.1914285701</v>
      </c>
      <c r="N10" s="1157">
        <v>100483.41</v>
      </c>
      <c r="O10" s="1157">
        <v>100483.41</v>
      </c>
      <c r="P10" s="1159">
        <v>-2005.58</v>
      </c>
      <c r="Q10" s="1159">
        <v>-1999.07</v>
      </c>
      <c r="S10" s="889">
        <f t="shared" si="0"/>
        <v>0</v>
      </c>
      <c r="T10" s="889">
        <f t="shared" si="1"/>
        <v>6.5099999999999909</v>
      </c>
    </row>
    <row r="11" spans="1:20" ht="14.25" customHeight="1">
      <c r="A11" s="371"/>
      <c r="B11" s="1181">
        <v>37</v>
      </c>
      <c r="C11" s="1156" t="s">
        <v>519</v>
      </c>
      <c r="D11" s="1156" t="s">
        <v>577</v>
      </c>
      <c r="E11" s="1157">
        <v>69</v>
      </c>
      <c r="F11" s="1182">
        <v>13.57</v>
      </c>
      <c r="G11" s="1157">
        <v>91908</v>
      </c>
      <c r="H11" s="1157">
        <v>18075.240000000002</v>
      </c>
      <c r="I11" s="1157">
        <v>0</v>
      </c>
      <c r="J11" s="1157">
        <v>0</v>
      </c>
      <c r="K11" s="1157">
        <v>5</v>
      </c>
      <c r="L11" s="1157">
        <v>1332</v>
      </c>
      <c r="M11" s="1157">
        <v>91908</v>
      </c>
      <c r="N11" s="1157">
        <v>18075.240000000002</v>
      </c>
      <c r="O11" s="1157">
        <v>18075.240000000002</v>
      </c>
      <c r="P11" s="1159">
        <v>-358.6</v>
      </c>
      <c r="Q11" s="1159">
        <v>-358.6</v>
      </c>
      <c r="S11" s="889">
        <f t="shared" si="0"/>
        <v>0</v>
      </c>
      <c r="T11" s="889">
        <f t="shared" si="1"/>
        <v>0</v>
      </c>
    </row>
    <row r="12" spans="1:20" ht="14.25" customHeight="1">
      <c r="A12" s="371"/>
      <c r="B12" s="1181">
        <v>39</v>
      </c>
      <c r="C12" s="1156" t="s">
        <v>520</v>
      </c>
      <c r="D12" s="1156" t="s">
        <v>577</v>
      </c>
      <c r="E12" s="1157">
        <v>93</v>
      </c>
      <c r="F12" s="1182">
        <v>13.71</v>
      </c>
      <c r="G12" s="1157">
        <v>36177</v>
      </c>
      <c r="H12" s="1157">
        <v>5333.19</v>
      </c>
      <c r="I12" s="1157">
        <v>-465</v>
      </c>
      <c r="J12" s="1157">
        <v>-68.55</v>
      </c>
      <c r="K12" s="1157">
        <v>5</v>
      </c>
      <c r="L12" s="1157">
        <v>384</v>
      </c>
      <c r="M12" s="1157">
        <v>35712</v>
      </c>
      <c r="N12" s="1157">
        <v>5264.64</v>
      </c>
      <c r="O12" s="1157">
        <v>5264.64</v>
      </c>
      <c r="P12" s="1159">
        <v>-104.43</v>
      </c>
      <c r="Q12" s="1159">
        <v>-107.64</v>
      </c>
      <c r="S12" s="889">
        <f t="shared" si="0"/>
        <v>0</v>
      </c>
      <c r="T12" s="889">
        <f t="shared" si="1"/>
        <v>-3.2099999999999937</v>
      </c>
    </row>
    <row r="13" spans="1:20" ht="14.25" customHeight="1">
      <c r="A13" s="371"/>
      <c r="B13" s="1181">
        <v>41</v>
      </c>
      <c r="C13" s="1156" t="s">
        <v>521</v>
      </c>
      <c r="D13" s="1156" t="s">
        <v>577</v>
      </c>
      <c r="E13" s="1157">
        <v>145</v>
      </c>
      <c r="F13" s="1182">
        <v>14.58</v>
      </c>
      <c r="G13" s="1157">
        <v>27840</v>
      </c>
      <c r="H13" s="1157">
        <v>2799.36</v>
      </c>
      <c r="I13" s="1157">
        <v>0</v>
      </c>
      <c r="J13" s="1157">
        <v>0</v>
      </c>
      <c r="K13" s="1157">
        <v>3</v>
      </c>
      <c r="L13" s="1157">
        <v>192</v>
      </c>
      <c r="M13" s="1157">
        <v>27840</v>
      </c>
      <c r="N13" s="1157">
        <v>2799.36</v>
      </c>
      <c r="O13" s="1157">
        <v>2799.36</v>
      </c>
      <c r="P13" s="1159">
        <v>-56.61</v>
      </c>
      <c r="Q13" s="1159">
        <v>-56.61</v>
      </c>
      <c r="S13" s="889">
        <f t="shared" si="0"/>
        <v>0</v>
      </c>
      <c r="T13" s="889">
        <f t="shared" si="1"/>
        <v>0</v>
      </c>
    </row>
    <row r="14" spans="1:20" ht="14.25" customHeight="1">
      <c r="A14" s="371"/>
      <c r="B14" s="1181">
        <v>47</v>
      </c>
      <c r="C14" s="1156" t="s">
        <v>522</v>
      </c>
      <c r="D14" s="1156" t="s">
        <v>534</v>
      </c>
      <c r="E14" s="1157">
        <v>135</v>
      </c>
      <c r="F14" s="1182">
        <v>13.92</v>
      </c>
      <c r="G14" s="1157">
        <v>11340</v>
      </c>
      <c r="H14" s="1157">
        <v>1169.28</v>
      </c>
      <c r="I14" s="1157">
        <v>0</v>
      </c>
      <c r="J14" s="1157">
        <v>0</v>
      </c>
      <c r="K14" s="1157">
        <v>2</v>
      </c>
      <c r="L14" s="1157">
        <v>84</v>
      </c>
      <c r="M14" s="1157">
        <v>11340</v>
      </c>
      <c r="N14" s="1157">
        <v>1169.28</v>
      </c>
      <c r="O14" s="1157">
        <v>1169.28</v>
      </c>
      <c r="P14" s="1159">
        <v>-23.62</v>
      </c>
      <c r="Q14" s="1159">
        <v>-23.62</v>
      </c>
      <c r="S14" s="889">
        <f t="shared" si="0"/>
        <v>0</v>
      </c>
      <c r="T14" s="889">
        <f t="shared" si="1"/>
        <v>0</v>
      </c>
    </row>
    <row r="15" spans="1:20" ht="14.25" customHeight="1">
      <c r="A15" s="371"/>
      <c r="B15" s="1181">
        <v>65</v>
      </c>
      <c r="C15" s="1156" t="s">
        <v>523</v>
      </c>
      <c r="D15" s="1156" t="s">
        <v>576</v>
      </c>
      <c r="E15" s="1157">
        <v>39</v>
      </c>
      <c r="F15" s="1182">
        <v>6.96</v>
      </c>
      <c r="G15" s="1157">
        <v>237715.14224137901</v>
      </c>
      <c r="H15" s="1157">
        <v>42423.01</v>
      </c>
      <c r="I15" s="1157">
        <v>-351</v>
      </c>
      <c r="J15" s="1157">
        <v>-62.64</v>
      </c>
      <c r="K15" s="1157">
        <v>10</v>
      </c>
      <c r="L15" s="1157">
        <v>6086.2600574712596</v>
      </c>
      <c r="M15" s="1157">
        <v>237364.14224137901</v>
      </c>
      <c r="N15" s="1157">
        <v>42360.37</v>
      </c>
      <c r="O15" s="1157">
        <v>42360.369999999901</v>
      </c>
      <c r="P15" s="1159">
        <v>-839.6</v>
      </c>
      <c r="Q15" s="1159">
        <v>-841.43</v>
      </c>
      <c r="S15" s="889">
        <f t="shared" si="0"/>
        <v>-1.0186340659856796E-10</v>
      </c>
      <c r="T15" s="889">
        <f t="shared" si="1"/>
        <v>-1.8299999999999272</v>
      </c>
    </row>
    <row r="16" spans="1:20" ht="14.25" customHeight="1">
      <c r="A16" s="371"/>
      <c r="B16" s="1181">
        <v>66</v>
      </c>
      <c r="C16" s="1156" t="s">
        <v>524</v>
      </c>
      <c r="D16" s="1156" t="s">
        <v>576</v>
      </c>
      <c r="E16" s="1157">
        <v>59</v>
      </c>
      <c r="F16" s="1182">
        <v>8.27</v>
      </c>
      <c r="G16" s="1157">
        <v>24942.802902055599</v>
      </c>
      <c r="H16" s="1157">
        <v>3496.22</v>
      </c>
      <c r="I16" s="1157">
        <v>0</v>
      </c>
      <c r="J16" s="1157">
        <v>0</v>
      </c>
      <c r="K16" s="1157">
        <v>5</v>
      </c>
      <c r="L16" s="1157">
        <v>422.75937122128198</v>
      </c>
      <c r="M16" s="1157">
        <v>24942.802902055599</v>
      </c>
      <c r="N16" s="1157">
        <v>3496.22</v>
      </c>
      <c r="O16" s="1157">
        <v>3496.22</v>
      </c>
      <c r="P16" s="1159">
        <v>-69.31</v>
      </c>
      <c r="Q16" s="1159">
        <v>-69.31</v>
      </c>
      <c r="S16" s="889">
        <f t="shared" si="0"/>
        <v>0</v>
      </c>
      <c r="T16" s="889">
        <f t="shared" si="1"/>
        <v>0</v>
      </c>
    </row>
    <row r="17" spans="1:20" ht="14.25" customHeight="1">
      <c r="A17" s="371"/>
      <c r="B17" s="1181">
        <v>67</v>
      </c>
      <c r="C17" s="1156" t="s">
        <v>525</v>
      </c>
      <c r="D17" s="1156" t="s">
        <v>576</v>
      </c>
      <c r="E17" s="1157">
        <v>96</v>
      </c>
      <c r="F17" s="1182">
        <v>11.93</v>
      </c>
      <c r="G17" s="1157">
        <v>11587.191953059501</v>
      </c>
      <c r="H17" s="1157">
        <v>1439.95</v>
      </c>
      <c r="I17" s="1157">
        <v>0</v>
      </c>
      <c r="J17" s="1157">
        <v>0</v>
      </c>
      <c r="K17" s="1157">
        <v>2</v>
      </c>
      <c r="L17" s="1157">
        <v>120.699916177703</v>
      </c>
      <c r="M17" s="1157">
        <v>11587.191953059501</v>
      </c>
      <c r="N17" s="1157">
        <v>1439.95</v>
      </c>
      <c r="O17" s="1157">
        <v>1439.95</v>
      </c>
      <c r="P17" s="1159">
        <v>-28.49</v>
      </c>
      <c r="Q17" s="1159">
        <v>-28.49</v>
      </c>
      <c r="S17" s="889">
        <f t="shared" si="0"/>
        <v>0</v>
      </c>
      <c r="T17" s="889">
        <f t="shared" si="1"/>
        <v>0</v>
      </c>
    </row>
    <row r="18" spans="1:20" ht="14.25" customHeight="1">
      <c r="A18" s="371"/>
      <c r="B18" s="1181">
        <v>68</v>
      </c>
      <c r="C18" s="1156" t="s">
        <v>526</v>
      </c>
      <c r="D18" s="1156" t="s">
        <v>576</v>
      </c>
      <c r="E18" s="1157">
        <v>148</v>
      </c>
      <c r="F18" s="1182">
        <v>15.56</v>
      </c>
      <c r="G18" s="1157">
        <v>17760</v>
      </c>
      <c r="H18" s="1157">
        <v>1867.2</v>
      </c>
      <c r="I18" s="1157">
        <v>0</v>
      </c>
      <c r="J18" s="1157">
        <v>0</v>
      </c>
      <c r="K18" s="1157">
        <v>2</v>
      </c>
      <c r="L18" s="1157">
        <v>120</v>
      </c>
      <c r="M18" s="1157">
        <v>17760</v>
      </c>
      <c r="N18" s="1157">
        <v>1867.2</v>
      </c>
      <c r="O18" s="1157">
        <v>1867.2</v>
      </c>
      <c r="P18" s="1159">
        <v>-37.17</v>
      </c>
      <c r="Q18" s="1159">
        <v>-37.17</v>
      </c>
      <c r="S18" s="889">
        <f t="shared" si="0"/>
        <v>0</v>
      </c>
      <c r="T18" s="889">
        <f t="shared" si="1"/>
        <v>0</v>
      </c>
    </row>
    <row r="19" spans="1:20" ht="14.25" customHeight="1">
      <c r="A19" s="371"/>
      <c r="B19" s="1181">
        <v>69</v>
      </c>
      <c r="C19" s="1156" t="s">
        <v>759</v>
      </c>
      <c r="D19" s="1156" t="s">
        <v>577</v>
      </c>
      <c r="E19" s="1157">
        <v>39</v>
      </c>
      <c r="F19" s="1182">
        <v>9.19</v>
      </c>
      <c r="G19" s="1157">
        <v>36273.522306855302</v>
      </c>
      <c r="H19" s="1157">
        <v>8547.5300000000007</v>
      </c>
      <c r="I19" s="1157">
        <v>-234</v>
      </c>
      <c r="J19" s="1157">
        <v>-55.14</v>
      </c>
      <c r="K19" s="1157">
        <v>7</v>
      </c>
      <c r="L19" s="1157">
        <v>924.09031556039201</v>
      </c>
      <c r="M19" s="1157">
        <v>36039.522306855302</v>
      </c>
      <c r="N19" s="1157">
        <v>8492.39</v>
      </c>
      <c r="O19" s="1157">
        <v>8492.3899999999903</v>
      </c>
      <c r="P19" s="1159">
        <v>-168.88</v>
      </c>
      <c r="Q19" s="1159">
        <v>-170.49</v>
      </c>
      <c r="S19" s="889">
        <f t="shared" si="0"/>
        <v>0</v>
      </c>
      <c r="T19" s="889">
        <f t="shared" si="1"/>
        <v>-1.6100000000000136</v>
      </c>
    </row>
    <row r="20" spans="1:20" ht="14.25" customHeight="1">
      <c r="A20" s="371"/>
      <c r="B20" s="1181">
        <v>70</v>
      </c>
      <c r="C20" s="1156" t="s">
        <v>760</v>
      </c>
      <c r="D20" s="1156" t="s">
        <v>577</v>
      </c>
      <c r="E20" s="1157">
        <v>69</v>
      </c>
      <c r="F20" s="1182">
        <v>11.09</v>
      </c>
      <c r="G20" s="1157">
        <v>14076</v>
      </c>
      <c r="H20" s="1157">
        <v>2262.36</v>
      </c>
      <c r="I20" s="1157">
        <v>0</v>
      </c>
      <c r="J20" s="1157">
        <v>0</v>
      </c>
      <c r="K20" s="1157">
        <v>1</v>
      </c>
      <c r="L20" s="1157">
        <v>204</v>
      </c>
      <c r="M20" s="1157">
        <v>14076</v>
      </c>
      <c r="N20" s="1157">
        <v>2262.36</v>
      </c>
      <c r="O20" s="1157">
        <v>2262.36</v>
      </c>
      <c r="P20" s="1159">
        <v>-44.76</v>
      </c>
      <c r="Q20" s="1159">
        <v>-44.76</v>
      </c>
      <c r="S20" s="889">
        <f t="shared" si="0"/>
        <v>0</v>
      </c>
      <c r="T20" s="889">
        <f t="shared" si="1"/>
        <v>0</v>
      </c>
    </row>
    <row r="21" spans="1:20" ht="14.25" customHeight="1">
      <c r="A21" s="371"/>
      <c r="B21" s="1181">
        <v>71</v>
      </c>
      <c r="C21" s="1156" t="s">
        <v>761</v>
      </c>
      <c r="D21" s="1156" t="s">
        <v>577</v>
      </c>
      <c r="E21" s="1157">
        <v>93</v>
      </c>
      <c r="F21" s="1182">
        <v>14.13</v>
      </c>
      <c r="G21" s="1157">
        <v>537912</v>
      </c>
      <c r="H21" s="1157">
        <v>81727.92</v>
      </c>
      <c r="I21" s="1157">
        <v>0</v>
      </c>
      <c r="J21" s="1157">
        <v>0</v>
      </c>
      <c r="K21" s="1157">
        <v>6</v>
      </c>
      <c r="L21" s="1157">
        <v>5784</v>
      </c>
      <c r="M21" s="1157">
        <v>537912</v>
      </c>
      <c r="N21" s="1157">
        <v>81727.92</v>
      </c>
      <c r="O21" s="1157">
        <v>81727.9200000001</v>
      </c>
      <c r="P21" s="1159">
        <v>-1623.57</v>
      </c>
      <c r="Q21" s="1159">
        <v>-1623.57</v>
      </c>
      <c r="S21" s="889">
        <f t="shared" si="0"/>
        <v>0</v>
      </c>
      <c r="T21" s="889">
        <f t="shared" si="1"/>
        <v>0</v>
      </c>
    </row>
    <row r="22" spans="1:20" ht="14.25" customHeight="1">
      <c r="A22" s="372"/>
      <c r="B22" s="1183">
        <v>72</v>
      </c>
      <c r="C22" s="1160" t="s">
        <v>762</v>
      </c>
      <c r="D22" s="1160" t="s">
        <v>577</v>
      </c>
      <c r="E22" s="1161">
        <v>145</v>
      </c>
      <c r="F22" s="1184">
        <v>15.79</v>
      </c>
      <c r="G22" s="1161">
        <v>80279.952501583306</v>
      </c>
      <c r="H22" s="1161">
        <v>8742.2099999999991</v>
      </c>
      <c r="I22" s="1161">
        <v>0</v>
      </c>
      <c r="J22" s="1161">
        <v>0</v>
      </c>
      <c r="K22" s="1161">
        <v>2</v>
      </c>
      <c r="L22" s="1161">
        <v>553.65484483850503</v>
      </c>
      <c r="M22" s="1161">
        <v>80279.952501583306</v>
      </c>
      <c r="N22" s="1161">
        <v>8742.2099999999991</v>
      </c>
      <c r="O22" s="1161">
        <v>8742.2099999999991</v>
      </c>
      <c r="P22" s="1163">
        <v>-173.08</v>
      </c>
      <c r="Q22" s="1163">
        <v>-173.08</v>
      </c>
      <c r="S22" s="889">
        <f t="shared" si="0"/>
        <v>0</v>
      </c>
      <c r="T22" s="889">
        <f t="shared" si="1"/>
        <v>0</v>
      </c>
    </row>
    <row r="24" spans="1:20">
      <c r="A24" s="353" t="s">
        <v>256</v>
      </c>
      <c r="B24" s="353"/>
      <c r="C24" s="353"/>
      <c r="D24" s="353"/>
      <c r="E24" s="353"/>
      <c r="F24" s="353"/>
      <c r="G24" s="352">
        <f t="shared" ref="G24:Q24" si="2">SUM(G2:G22)</f>
        <v>3021385.7550263642</v>
      </c>
      <c r="H24" s="352">
        <f t="shared" si="2"/>
        <v>381921.44</v>
      </c>
      <c r="I24" s="352">
        <f t="shared" si="2"/>
        <v>22394.487734735801</v>
      </c>
      <c r="J24" s="352">
        <f t="shared" si="2"/>
        <v>855.96000000000049</v>
      </c>
      <c r="K24" s="352">
        <f t="shared" si="2"/>
        <v>171</v>
      </c>
      <c r="L24" s="352">
        <f t="shared" si="2"/>
        <v>40638.494807842704</v>
      </c>
      <c r="M24" s="352">
        <f t="shared" si="2"/>
        <v>3043780.2427610983</v>
      </c>
      <c r="N24" s="352">
        <f t="shared" si="2"/>
        <v>382777.4</v>
      </c>
      <c r="O24" s="352">
        <f t="shared" si="2"/>
        <v>382777.39999999991</v>
      </c>
      <c r="P24" s="352">
        <f t="shared" si="2"/>
        <v>-7619.9800000000005</v>
      </c>
      <c r="Q24" s="352">
        <f t="shared" si="2"/>
        <v>-7736.3600000000006</v>
      </c>
    </row>
    <row r="25" spans="1:20">
      <c r="O25" s="370"/>
    </row>
    <row r="26" spans="1:20">
      <c r="L26" s="352">
        <f>L24-SUM('Blocking-Step2'!C1740:C1768)</f>
        <v>0</v>
      </c>
      <c r="N26" s="659" t="s">
        <v>418</v>
      </c>
      <c r="O26" s="660">
        <v>0</v>
      </c>
    </row>
    <row r="27" spans="1:20">
      <c r="N27" s="661" t="s">
        <v>136</v>
      </c>
      <c r="O27" s="662">
        <f>'Blocking-Step2'!H1770</f>
        <v>-13175</v>
      </c>
      <c r="Q27" s="873" t="s">
        <v>1241</v>
      </c>
    </row>
    <row r="28" spans="1:20">
      <c r="N28" s="661" t="s">
        <v>411</v>
      </c>
      <c r="O28" s="662">
        <f>'Blocking-Step2'!H1773</f>
        <v>362021.05499999999</v>
      </c>
      <c r="Q28" s="872">
        <f>'Blocking-Step2'!H1771</f>
        <v>-7578.9450000000006</v>
      </c>
    </row>
    <row r="29" spans="1:20">
      <c r="N29" s="663" t="s">
        <v>498</v>
      </c>
      <c r="O29" s="664">
        <f>O28-O24-O26-O27-Q28</f>
        <v>-2.3999999999132342</v>
      </c>
    </row>
  </sheetData>
  <phoneticPr fontId="8" type="noConversion"/>
  <printOptions horizontalCentered="1"/>
  <pageMargins left="0.25" right="0.25" top="0.32200000000000001" bottom="0.29399999999999998" header="1" footer="1"/>
  <pageSetup scale="84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92D050"/>
  </sheetPr>
  <dimension ref="A1:R9"/>
  <sheetViews>
    <sheetView workbookViewId="0">
      <selection activeCell="W28" sqref="W28"/>
    </sheetView>
  </sheetViews>
  <sheetFormatPr defaultColWidth="8" defaultRowHeight="12.75"/>
  <cols>
    <col min="1" max="1" width="11.625" style="138" customWidth="1"/>
    <col min="2" max="2" width="6.625" style="138" bestFit="1" customWidth="1"/>
    <col min="3" max="3" width="9.625" style="138" bestFit="1" customWidth="1"/>
    <col min="4" max="4" width="8.625" style="138" bestFit="1" customWidth="1"/>
    <col min="5" max="5" width="9.625" style="138" bestFit="1" customWidth="1"/>
    <col min="6" max="6" width="9.25" style="138" bestFit="1" customWidth="1"/>
    <col min="7" max="7" width="7" style="138" bestFit="1" customWidth="1"/>
    <col min="8" max="8" width="5.25" style="138" bestFit="1" customWidth="1"/>
    <col min="9" max="9" width="6" style="138" bestFit="1" customWidth="1"/>
    <col min="10" max="10" width="6.625" style="138" bestFit="1" customWidth="1"/>
    <col min="11" max="13" width="9.625" style="138" bestFit="1" customWidth="1"/>
    <col min="14" max="15" width="8.125" style="138" bestFit="1" customWidth="1"/>
    <col min="16" max="16384" width="8" style="138"/>
  </cols>
  <sheetData>
    <row r="1" spans="1:18" ht="13.5" customHeight="1">
      <c r="A1" s="1155" t="s">
        <v>192</v>
      </c>
      <c r="B1" s="1155" t="s">
        <v>191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505</v>
      </c>
      <c r="H1" s="1155" t="s">
        <v>487</v>
      </c>
      <c r="I1" s="1155" t="s">
        <v>72</v>
      </c>
      <c r="J1" s="1155" t="s">
        <v>462</v>
      </c>
      <c r="K1" s="1155" t="s">
        <v>70</v>
      </c>
      <c r="L1" s="1155" t="s">
        <v>71</v>
      </c>
      <c r="M1" s="1155" t="s">
        <v>619</v>
      </c>
      <c r="N1" s="1155" t="s">
        <v>1225</v>
      </c>
      <c r="O1" s="1155" t="s">
        <v>1256</v>
      </c>
    </row>
    <row r="2" spans="1:18" ht="14.25" customHeight="1">
      <c r="A2" s="1156" t="s">
        <v>356</v>
      </c>
      <c r="B2" s="1156" t="s">
        <v>429</v>
      </c>
      <c r="C2" s="1157">
        <v>14553989</v>
      </c>
      <c r="D2" s="1157">
        <v>1049398.6399999999</v>
      </c>
      <c r="E2" s="1157">
        <v>130590</v>
      </c>
      <c r="F2" s="1157">
        <v>7307.45</v>
      </c>
      <c r="G2" s="1157">
        <v>537.54239204909402</v>
      </c>
      <c r="H2" s="1157">
        <v>0</v>
      </c>
      <c r="I2" s="1157">
        <v>6440.3306451612898</v>
      </c>
      <c r="J2" s="1157">
        <v>19597.669688767299</v>
      </c>
      <c r="K2" s="1157">
        <v>14684579</v>
      </c>
      <c r="L2" s="1157">
        <v>1079175.23</v>
      </c>
      <c r="M2" s="1157">
        <v>1079176.0880229799</v>
      </c>
      <c r="N2" s="1159">
        <v>-22469.14</v>
      </c>
      <c r="O2" s="1159">
        <v>-22391.08</v>
      </c>
      <c r="Q2" s="889">
        <f>M2-L2</f>
        <v>0.85802297992631793</v>
      </c>
      <c r="R2" s="889">
        <f>O2-N2</f>
        <v>78.059999999997672</v>
      </c>
    </row>
    <row r="3" spans="1:18" ht="14.25" customHeight="1">
      <c r="A3" s="371"/>
      <c r="B3" s="1156" t="s">
        <v>438</v>
      </c>
      <c r="C3" s="1157">
        <v>12527</v>
      </c>
      <c r="D3" s="1157">
        <v>2295.5700000000002</v>
      </c>
      <c r="E3" s="1157">
        <v>0</v>
      </c>
      <c r="F3" s="1157">
        <v>6.2</v>
      </c>
      <c r="G3" s="1157">
        <v>6</v>
      </c>
      <c r="H3" s="1157">
        <v>0</v>
      </c>
      <c r="I3" s="1157">
        <v>72</v>
      </c>
      <c r="J3" s="1157">
        <v>70</v>
      </c>
      <c r="K3" s="1157">
        <v>12527</v>
      </c>
      <c r="L3" s="1157">
        <v>2320.8000000000002</v>
      </c>
      <c r="M3" s="1157">
        <v>2320.8052990000001</v>
      </c>
      <c r="N3" s="1159">
        <v>-19.03</v>
      </c>
      <c r="O3" s="1159">
        <v>-19.03</v>
      </c>
      <c r="Q3" s="889">
        <f t="shared" ref="Q3:Q4" si="0">M3-L3</f>
        <v>5.2989999999226711E-3</v>
      </c>
      <c r="R3" s="889">
        <f t="shared" ref="R3:R4" si="1">O3-N3</f>
        <v>0</v>
      </c>
    </row>
    <row r="4" spans="1:18" ht="14.25" customHeight="1">
      <c r="A4" s="372"/>
      <c r="B4" s="1160" t="s">
        <v>441</v>
      </c>
      <c r="C4" s="1161">
        <v>848753</v>
      </c>
      <c r="D4" s="1161">
        <v>68635.67</v>
      </c>
      <c r="E4" s="1161">
        <v>19908</v>
      </c>
      <c r="F4" s="1161">
        <v>1265.55</v>
      </c>
      <c r="G4" s="1161">
        <v>93.490352941176496</v>
      </c>
      <c r="H4" s="1161">
        <v>0</v>
      </c>
      <c r="I4" s="1161">
        <v>1119.53548387097</v>
      </c>
      <c r="J4" s="1161">
        <v>1008.45176470588</v>
      </c>
      <c r="K4" s="1161">
        <v>868661</v>
      </c>
      <c r="L4" s="1161">
        <v>71230.649999999994</v>
      </c>
      <c r="M4" s="1161">
        <v>71230.777856999994</v>
      </c>
      <c r="N4" s="1163">
        <v>-1329.43</v>
      </c>
      <c r="O4" s="1163">
        <v>-1310.75</v>
      </c>
      <c r="Q4" s="889">
        <f t="shared" si="0"/>
        <v>0.12785699999949429</v>
      </c>
      <c r="R4" s="889">
        <f t="shared" si="1"/>
        <v>18.680000000000064</v>
      </c>
    </row>
    <row r="5" spans="1:18">
      <c r="A5" s="230" t="s">
        <v>93</v>
      </c>
      <c r="C5" s="229">
        <f>SUM(C2:C4)</f>
        <v>15415269</v>
      </c>
      <c r="D5" s="229">
        <f t="shared" ref="D5:O5" si="2">SUM(D2:D4)</f>
        <v>1120329.8799999999</v>
      </c>
      <c r="E5" s="229">
        <f t="shared" si="2"/>
        <v>150498</v>
      </c>
      <c r="F5" s="229">
        <f t="shared" si="2"/>
        <v>8579.1999999999989</v>
      </c>
      <c r="G5" s="229">
        <f>SUM(G2:G4)</f>
        <v>637.03274499027054</v>
      </c>
      <c r="H5" s="229">
        <f t="shared" si="2"/>
        <v>0</v>
      </c>
      <c r="I5" s="229">
        <f t="shared" si="2"/>
        <v>7631.8661290322598</v>
      </c>
      <c r="J5" s="229">
        <f>SUM(J2:J4)</f>
        <v>20676.121453473177</v>
      </c>
      <c r="K5" s="229">
        <f t="shared" si="2"/>
        <v>15565767</v>
      </c>
      <c r="L5" s="229">
        <f t="shared" si="2"/>
        <v>1152726.68</v>
      </c>
      <c r="M5" s="229">
        <f t="shared" si="2"/>
        <v>1152727.67117898</v>
      </c>
      <c r="N5" s="229">
        <f t="shared" si="2"/>
        <v>-23817.599999999999</v>
      </c>
      <c r="O5" s="229">
        <f t="shared" si="2"/>
        <v>-23720.86</v>
      </c>
    </row>
    <row r="7" spans="1:18">
      <c r="G7" s="231"/>
      <c r="J7" s="151"/>
      <c r="K7" s="139"/>
      <c r="L7" s="139" t="s">
        <v>1294</v>
      </c>
      <c r="M7" s="386">
        <f>'Blocking-Step2'!H1815</f>
        <v>3753</v>
      </c>
      <c r="N7" s="138" t="s">
        <v>1241</v>
      </c>
    </row>
    <row r="8" spans="1:18">
      <c r="K8" s="139"/>
      <c r="L8" s="139" t="s">
        <v>1295</v>
      </c>
      <c r="M8" s="891">
        <f>'Blocking-Step2'!H1818</f>
        <v>1133190.936</v>
      </c>
      <c r="N8" s="891">
        <f>'Blocking-Step2'!H1816</f>
        <v>-23290.064000000002</v>
      </c>
    </row>
    <row r="9" spans="1:18">
      <c r="L9" s="138" t="s">
        <v>1296</v>
      </c>
      <c r="M9" s="386">
        <f>M8-M5-M7-N8</f>
        <v>0.328821019957104</v>
      </c>
    </row>
  </sheetData>
  <phoneticPr fontId="8" type="noConversion"/>
  <pageMargins left="1" right="1" top="1.82" bottom="1.54" header="1" footer="1"/>
  <pageSetup orientation="landscape" r:id="rId1"/>
  <headerFooter alignWithMargins="0">
    <oddHeader>&amp;L&amp;C&amp;B&amp;"Times New Roman"&amp;14Utah Schedule 1203 Billing Determinants
12 Months Ending September 2005&amp;R&amp;"Arial"&amp;8Date: 1/4/2006</oddHeader>
    <oddFooter>&amp;L&amp;C&amp;"Arial"&amp;10Page &amp;P&amp;R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92D050"/>
  </sheetPr>
  <dimension ref="A1:P21"/>
  <sheetViews>
    <sheetView workbookViewId="0">
      <selection activeCell="W28" sqref="W28"/>
    </sheetView>
  </sheetViews>
  <sheetFormatPr defaultColWidth="8" defaultRowHeight="12.75"/>
  <cols>
    <col min="1" max="1" width="11.625" style="135" bestFit="1" customWidth="1"/>
    <col min="2" max="2" width="10.25" style="135" bestFit="1" customWidth="1"/>
    <col min="3" max="3" width="9.125" style="135" bestFit="1" customWidth="1"/>
    <col min="4" max="4" width="8.625" style="135" bestFit="1" customWidth="1"/>
    <col min="5" max="5" width="9.625" style="135" bestFit="1" customWidth="1"/>
    <col min="6" max="6" width="9.25" style="135" bestFit="1" customWidth="1"/>
    <col min="7" max="7" width="6.625" style="135" bestFit="1" customWidth="1"/>
    <col min="8" max="8" width="9.125" style="135" bestFit="1" customWidth="1"/>
    <col min="9" max="9" width="9.625" style="135" bestFit="1" customWidth="1"/>
    <col min="10" max="10" width="8.625" style="135" bestFit="1" customWidth="1"/>
    <col min="11" max="11" width="8" style="135"/>
    <col min="12" max="13" width="8.125" style="135" bestFit="1" customWidth="1"/>
    <col min="14" max="16384" width="8" style="135"/>
  </cols>
  <sheetData>
    <row r="1" spans="1:16" ht="13.5" customHeight="1">
      <c r="A1" s="1155" t="s">
        <v>192</v>
      </c>
      <c r="B1" s="1155" t="s">
        <v>191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70</v>
      </c>
      <c r="I1" s="1155" t="s">
        <v>71</v>
      </c>
      <c r="J1" s="1155" t="s">
        <v>619</v>
      </c>
      <c r="K1" s="1155" t="s">
        <v>796</v>
      </c>
      <c r="L1" s="1155" t="s">
        <v>1225</v>
      </c>
      <c r="M1" s="1155" t="s">
        <v>1256</v>
      </c>
    </row>
    <row r="2" spans="1:16" ht="14.25" customHeight="1">
      <c r="A2" s="1156" t="s">
        <v>355</v>
      </c>
      <c r="B2" s="1156" t="s">
        <v>429</v>
      </c>
      <c r="C2" s="1157">
        <v>3061904</v>
      </c>
      <c r="D2" s="1157">
        <v>316345.36</v>
      </c>
      <c r="E2" s="1157">
        <v>84729</v>
      </c>
      <c r="F2" s="1157">
        <v>8196.9699999999993</v>
      </c>
      <c r="G2" s="1157">
        <v>12777.365454545499</v>
      </c>
      <c r="H2" s="1157">
        <v>3146633</v>
      </c>
      <c r="I2" s="1157">
        <v>334745.62</v>
      </c>
      <c r="J2" s="1157">
        <v>334746.867016993</v>
      </c>
      <c r="K2" s="1158">
        <v>334746.867016993</v>
      </c>
      <c r="L2" s="1159">
        <v>-10203.290000000001</v>
      </c>
      <c r="M2" s="1159">
        <v>-9998.8700000000008</v>
      </c>
      <c r="O2" s="889">
        <f>J2-I2</f>
        <v>1.2470169930020347</v>
      </c>
      <c r="P2" s="889">
        <f>M2-L2</f>
        <v>204.42000000000007</v>
      </c>
    </row>
    <row r="3" spans="1:16" ht="14.25" customHeight="1">
      <c r="A3" s="371"/>
      <c r="B3" s="1156" t="s">
        <v>438</v>
      </c>
      <c r="C3" s="1157">
        <v>47617</v>
      </c>
      <c r="D3" s="1157">
        <v>4639.6499999999996</v>
      </c>
      <c r="E3" s="1157">
        <v>0</v>
      </c>
      <c r="F3" s="1157">
        <v>0</v>
      </c>
      <c r="G3" s="1157">
        <v>144.23454545454501</v>
      </c>
      <c r="H3" s="1157">
        <v>47617</v>
      </c>
      <c r="I3" s="1157">
        <v>4795.43</v>
      </c>
      <c r="J3" s="1157">
        <v>4795.4512329999998</v>
      </c>
      <c r="K3" s="1158">
        <v>4795.4512329999998</v>
      </c>
      <c r="L3" s="1159">
        <v>-155.78</v>
      </c>
      <c r="M3" s="1159">
        <v>-155.78</v>
      </c>
      <c r="O3" s="889">
        <f t="shared" ref="O3:O16" si="0">J3-I3</f>
        <v>2.1232999999483582E-2</v>
      </c>
      <c r="P3" s="889">
        <f t="shared" ref="P3:P16" si="1">M3-L3</f>
        <v>0</v>
      </c>
    </row>
    <row r="4" spans="1:16" ht="14.25" customHeight="1">
      <c r="A4" s="372"/>
      <c r="B4" s="1160" t="s">
        <v>441</v>
      </c>
      <c r="C4" s="1161">
        <v>3137569</v>
      </c>
      <c r="D4" s="1161">
        <v>349126.85</v>
      </c>
      <c r="E4" s="1161">
        <v>72850</v>
      </c>
      <c r="F4" s="1161">
        <v>7556.62</v>
      </c>
      <c r="G4" s="1161">
        <v>17682.156363636299</v>
      </c>
      <c r="H4" s="1161">
        <v>3210419</v>
      </c>
      <c r="I4" s="1161">
        <v>367080.79</v>
      </c>
      <c r="J4" s="1161">
        <v>367084.36653098901</v>
      </c>
      <c r="K4" s="1162">
        <v>367084.36653098901</v>
      </c>
      <c r="L4" s="1163">
        <v>-10397.32</v>
      </c>
      <c r="M4" s="1163">
        <v>-10186.59</v>
      </c>
      <c r="O4" s="889">
        <f t="shared" si="0"/>
        <v>3.5765309890266508</v>
      </c>
      <c r="P4" s="889">
        <f t="shared" si="1"/>
        <v>210.72999999999956</v>
      </c>
    </row>
    <row r="5" spans="1:16" ht="13.35" customHeight="1">
      <c r="A5" s="212"/>
      <c r="B5" s="211" t="s">
        <v>491</v>
      </c>
      <c r="C5" s="195">
        <f>SUM(C2:C4)</f>
        <v>6247090</v>
      </c>
      <c r="D5" s="195">
        <f t="shared" ref="D5:I5" si="2">SUM(D2:D4)</f>
        <v>670111.86</v>
      </c>
      <c r="E5" s="195">
        <f t="shared" si="2"/>
        <v>157579</v>
      </c>
      <c r="F5" s="195">
        <f t="shared" si="2"/>
        <v>15753.59</v>
      </c>
      <c r="G5" s="195">
        <f t="shared" si="2"/>
        <v>30603.756363636341</v>
      </c>
      <c r="H5" s="195">
        <f t="shared" si="2"/>
        <v>6404669</v>
      </c>
      <c r="I5" s="195">
        <f t="shared" si="2"/>
        <v>706621.84</v>
      </c>
      <c r="J5" s="195">
        <f>SUM(J2:J4)</f>
        <v>706626.68478098209</v>
      </c>
      <c r="K5" s="195">
        <f t="shared" ref="K5:M5" si="3">SUM(K2:K4)</f>
        <v>706626.68478098209</v>
      </c>
      <c r="L5" s="195">
        <f t="shared" si="3"/>
        <v>-20756.39</v>
      </c>
      <c r="M5" s="195">
        <f t="shared" si="3"/>
        <v>-20341.240000000002</v>
      </c>
      <c r="O5" s="889">
        <f t="shared" si="0"/>
        <v>4.8447809821227565</v>
      </c>
      <c r="P5" s="889">
        <f t="shared" si="1"/>
        <v>415.14999999999782</v>
      </c>
    </row>
    <row r="6" spans="1:16">
      <c r="O6" s="889"/>
      <c r="P6" s="889"/>
    </row>
    <row r="7" spans="1:16">
      <c r="O7" s="889"/>
      <c r="P7" s="889"/>
    </row>
    <row r="8" spans="1:16" s="159" customFormat="1">
      <c r="A8" s="1155" t="s">
        <v>192</v>
      </c>
      <c r="B8" s="1155" t="s">
        <v>191</v>
      </c>
      <c r="C8" s="1155" t="s">
        <v>125</v>
      </c>
      <c r="D8" s="1155" t="s">
        <v>126</v>
      </c>
      <c r="E8" s="1155" t="s">
        <v>127</v>
      </c>
      <c r="F8" s="1155" t="s">
        <v>128</v>
      </c>
      <c r="G8" s="1155" t="s">
        <v>72</v>
      </c>
      <c r="H8" s="1155" t="s">
        <v>70</v>
      </c>
      <c r="I8" s="1155" t="s">
        <v>71</v>
      </c>
      <c r="J8" s="1155" t="s">
        <v>619</v>
      </c>
      <c r="K8" s="1155" t="s">
        <v>796</v>
      </c>
      <c r="L8" s="1155" t="s">
        <v>1225</v>
      </c>
      <c r="M8" s="1155" t="s">
        <v>1256</v>
      </c>
      <c r="O8" s="889"/>
      <c r="P8" s="889"/>
    </row>
    <row r="9" spans="1:16">
      <c r="A9" s="1156" t="s">
        <v>357</v>
      </c>
      <c r="B9" s="1156" t="s">
        <v>429</v>
      </c>
      <c r="C9" s="1157">
        <v>170916</v>
      </c>
      <c r="D9" s="1157">
        <v>15276.8</v>
      </c>
      <c r="E9" s="1157">
        <v>0</v>
      </c>
      <c r="F9" s="1157">
        <v>1.29</v>
      </c>
      <c r="G9" s="1157">
        <v>276</v>
      </c>
      <c r="H9" s="1157">
        <v>170916</v>
      </c>
      <c r="I9" s="1157">
        <v>15883.8</v>
      </c>
      <c r="J9" s="1157">
        <v>15883.318884</v>
      </c>
      <c r="K9" s="1158">
        <v>15883.318884</v>
      </c>
      <c r="L9" s="1159">
        <v>-605.71</v>
      </c>
      <c r="M9" s="1159">
        <v>-607</v>
      </c>
      <c r="O9" s="889">
        <f t="shared" si="0"/>
        <v>-0.48111599999901955</v>
      </c>
      <c r="P9" s="889">
        <f t="shared" si="1"/>
        <v>-1.2899999999999636</v>
      </c>
    </row>
    <row r="10" spans="1:16" ht="15.75">
      <c r="A10" s="372"/>
      <c r="B10" s="1160" t="s">
        <v>441</v>
      </c>
      <c r="C10" s="1161">
        <v>1151082</v>
      </c>
      <c r="D10" s="1161">
        <v>101247.91</v>
      </c>
      <c r="E10" s="1161">
        <v>750</v>
      </c>
      <c r="F10" s="1161">
        <v>65.959999999999994</v>
      </c>
      <c r="G10" s="1161">
        <v>1548</v>
      </c>
      <c r="H10" s="1161">
        <v>1151832</v>
      </c>
      <c r="I10" s="1161">
        <v>105326.64</v>
      </c>
      <c r="J10" s="1161">
        <v>105324.327768</v>
      </c>
      <c r="K10" s="1162">
        <v>105324.327768</v>
      </c>
      <c r="L10" s="1163">
        <v>-4012.77</v>
      </c>
      <c r="M10" s="1163">
        <v>-4010.19</v>
      </c>
      <c r="O10" s="889">
        <f t="shared" si="0"/>
        <v>-2.3122319999965839</v>
      </c>
      <c r="P10" s="889">
        <f t="shared" si="1"/>
        <v>2.5799999999999272</v>
      </c>
    </row>
    <row r="11" spans="1:16">
      <c r="A11" s="212"/>
      <c r="B11" s="211" t="s">
        <v>491</v>
      </c>
      <c r="C11" s="195">
        <f>SUM(C9:C10)</f>
        <v>1321998</v>
      </c>
      <c r="D11" s="195">
        <f t="shared" ref="D11:M11" si="4">SUM(D9:D10)</f>
        <v>116524.71</v>
      </c>
      <c r="E11" s="195">
        <f t="shared" si="4"/>
        <v>750</v>
      </c>
      <c r="F11" s="195">
        <f t="shared" si="4"/>
        <v>67.25</v>
      </c>
      <c r="G11" s="195">
        <f t="shared" si="4"/>
        <v>1824</v>
      </c>
      <c r="H11" s="195">
        <f t="shared" si="4"/>
        <v>1322748</v>
      </c>
      <c r="I11" s="195">
        <f t="shared" si="4"/>
        <v>121210.44</v>
      </c>
      <c r="J11" s="195">
        <f t="shared" si="4"/>
        <v>121207.646652</v>
      </c>
      <c r="K11" s="195">
        <f t="shared" si="4"/>
        <v>121207.646652</v>
      </c>
      <c r="L11" s="195">
        <f t="shared" si="4"/>
        <v>-4618.4799999999996</v>
      </c>
      <c r="M11" s="195">
        <f t="shared" si="4"/>
        <v>-4617.1900000000005</v>
      </c>
      <c r="O11" s="889">
        <f t="shared" si="0"/>
        <v>-2.7933480000065174</v>
      </c>
      <c r="P11" s="889">
        <f t="shared" si="1"/>
        <v>1.2899999999990541</v>
      </c>
    </row>
    <row r="12" spans="1:16">
      <c r="C12" s="210"/>
      <c r="D12" s="210"/>
      <c r="E12" s="210"/>
      <c r="F12" s="210"/>
      <c r="G12" s="210"/>
      <c r="H12" s="210"/>
      <c r="I12" s="210"/>
      <c r="J12" s="210"/>
      <c r="O12" s="889"/>
      <c r="P12" s="889"/>
    </row>
    <row r="13" spans="1:16">
      <c r="A13" s="211" t="s">
        <v>450</v>
      </c>
      <c r="B13" s="124" t="s">
        <v>429</v>
      </c>
      <c r="C13" s="337">
        <f>C2+C9</f>
        <v>3232820</v>
      </c>
      <c r="D13" s="337">
        <f t="shared" ref="D13:J13" si="5">D2+D9</f>
        <v>331622.15999999997</v>
      </c>
      <c r="E13" s="337">
        <f t="shared" si="5"/>
        <v>84729</v>
      </c>
      <c r="F13" s="337">
        <f t="shared" si="5"/>
        <v>8198.26</v>
      </c>
      <c r="G13" s="337">
        <f t="shared" si="5"/>
        <v>13053.365454545499</v>
      </c>
      <c r="H13" s="337">
        <f t="shared" si="5"/>
        <v>3317549</v>
      </c>
      <c r="I13" s="337">
        <f t="shared" si="5"/>
        <v>350629.42</v>
      </c>
      <c r="J13" s="337">
        <f t="shared" si="5"/>
        <v>350630.185900993</v>
      </c>
      <c r="K13" s="337">
        <f t="shared" ref="K13:M13" si="6">K2+K9</f>
        <v>350630.185900993</v>
      </c>
      <c r="L13" s="337">
        <f t="shared" si="6"/>
        <v>-10809</v>
      </c>
      <c r="M13" s="337">
        <f t="shared" si="6"/>
        <v>-10605.87</v>
      </c>
      <c r="O13" s="889">
        <f t="shared" si="0"/>
        <v>0.76590099302120507</v>
      </c>
      <c r="P13" s="889">
        <f t="shared" si="1"/>
        <v>203.1299999999992</v>
      </c>
    </row>
    <row r="14" spans="1:16">
      <c r="B14" s="124" t="s">
        <v>438</v>
      </c>
      <c r="C14" s="337">
        <f>C3</f>
        <v>47617</v>
      </c>
      <c r="D14" s="337">
        <f t="shared" ref="D14:J14" si="7">D3</f>
        <v>4639.6499999999996</v>
      </c>
      <c r="E14" s="337">
        <f t="shared" si="7"/>
        <v>0</v>
      </c>
      <c r="F14" s="337">
        <f t="shared" si="7"/>
        <v>0</v>
      </c>
      <c r="G14" s="337">
        <f t="shared" si="7"/>
        <v>144.23454545454501</v>
      </c>
      <c r="H14" s="337">
        <f t="shared" si="7"/>
        <v>47617</v>
      </c>
      <c r="I14" s="337">
        <f t="shared" si="7"/>
        <v>4795.43</v>
      </c>
      <c r="J14" s="337">
        <f t="shared" si="7"/>
        <v>4795.4512329999998</v>
      </c>
      <c r="K14" s="337">
        <f t="shared" ref="K14:M14" si="8">K3</f>
        <v>4795.4512329999998</v>
      </c>
      <c r="L14" s="337">
        <f t="shared" si="8"/>
        <v>-155.78</v>
      </c>
      <c r="M14" s="337">
        <f t="shared" si="8"/>
        <v>-155.78</v>
      </c>
      <c r="O14" s="889">
        <f t="shared" si="0"/>
        <v>2.1232999999483582E-2</v>
      </c>
      <c r="P14" s="889">
        <f t="shared" si="1"/>
        <v>0</v>
      </c>
    </row>
    <row r="15" spans="1:16">
      <c r="B15" s="125" t="s">
        <v>441</v>
      </c>
      <c r="C15" s="337">
        <f>C4+C10</f>
        <v>4288651</v>
      </c>
      <c r="D15" s="337">
        <f t="shared" ref="D15:J15" si="9">D4+D10</f>
        <v>450374.76</v>
      </c>
      <c r="E15" s="337">
        <f t="shared" si="9"/>
        <v>73600</v>
      </c>
      <c r="F15" s="337">
        <f t="shared" si="9"/>
        <v>7622.58</v>
      </c>
      <c r="G15" s="337">
        <f t="shared" si="9"/>
        <v>19230.156363636299</v>
      </c>
      <c r="H15" s="337">
        <f t="shared" si="9"/>
        <v>4362251</v>
      </c>
      <c r="I15" s="337">
        <f t="shared" si="9"/>
        <v>472407.43</v>
      </c>
      <c r="J15" s="337">
        <f t="shared" si="9"/>
        <v>472408.69429898902</v>
      </c>
      <c r="K15" s="337">
        <f t="shared" ref="K15:M15" si="10">K4+K10</f>
        <v>472408.69429898902</v>
      </c>
      <c r="L15" s="337">
        <f t="shared" si="10"/>
        <v>-14410.09</v>
      </c>
      <c r="M15" s="337">
        <f t="shared" si="10"/>
        <v>-14196.78</v>
      </c>
      <c r="O15" s="889">
        <f t="shared" si="0"/>
        <v>1.2642989890300669</v>
      </c>
      <c r="P15" s="889">
        <f t="shared" si="1"/>
        <v>213.30999999999949</v>
      </c>
    </row>
    <row r="16" spans="1:16">
      <c r="A16" s="212"/>
      <c r="B16" s="211" t="s">
        <v>450</v>
      </c>
      <c r="C16" s="195">
        <f>C5+C11</f>
        <v>7569088</v>
      </c>
      <c r="D16" s="195">
        <f t="shared" ref="D16:I16" si="11">D5+D11</f>
        <v>786636.57</v>
      </c>
      <c r="E16" s="195">
        <f t="shared" si="11"/>
        <v>158329</v>
      </c>
      <c r="F16" s="195">
        <f t="shared" si="11"/>
        <v>15820.84</v>
      </c>
      <c r="G16" s="195">
        <f>G5+G11</f>
        <v>32427.756363636341</v>
      </c>
      <c r="H16" s="195">
        <f t="shared" si="11"/>
        <v>7727417</v>
      </c>
      <c r="I16" s="195">
        <f t="shared" si="11"/>
        <v>827832.28</v>
      </c>
      <c r="J16" s="195">
        <f>J5+J11</f>
        <v>827834.33143298212</v>
      </c>
      <c r="K16" s="195">
        <f t="shared" ref="K16:M16" si="12">K5+K11</f>
        <v>827834.33143298212</v>
      </c>
      <c r="L16" s="195">
        <f t="shared" si="12"/>
        <v>-25374.87</v>
      </c>
      <c r="M16" s="195">
        <f t="shared" si="12"/>
        <v>-24958.43</v>
      </c>
      <c r="O16" s="889">
        <f t="shared" si="0"/>
        <v>2.0514329820871353</v>
      </c>
      <c r="P16" s="889">
        <f t="shared" si="1"/>
        <v>416.43999999999869</v>
      </c>
    </row>
    <row r="18" spans="1:11">
      <c r="A18" s="330" t="s">
        <v>463</v>
      </c>
      <c r="C18" s="337">
        <f t="shared" ref="C18:J18" si="13">C16-C13-C14-C15</f>
        <v>0</v>
      </c>
      <c r="D18" s="337">
        <f t="shared" si="13"/>
        <v>0</v>
      </c>
      <c r="E18" s="337">
        <f t="shared" si="13"/>
        <v>0</v>
      </c>
      <c r="F18" s="337">
        <f t="shared" si="13"/>
        <v>0</v>
      </c>
      <c r="G18" s="337">
        <f t="shared" si="13"/>
        <v>0</v>
      </c>
      <c r="H18" s="337">
        <f t="shared" si="13"/>
        <v>0</v>
      </c>
      <c r="I18" s="337">
        <f t="shared" si="13"/>
        <v>0</v>
      </c>
      <c r="J18" s="337">
        <f t="shared" si="13"/>
        <v>0</v>
      </c>
      <c r="K18" s="337">
        <f t="shared" ref="K18" si="14">K16-K13-K14-K15</f>
        <v>0</v>
      </c>
    </row>
    <row r="19" spans="1:11">
      <c r="I19" s="139" t="s">
        <v>1294</v>
      </c>
      <c r="J19" s="386">
        <f>'Blocking-Step2'!H1856</f>
        <v>-14152</v>
      </c>
      <c r="K19" s="138" t="s">
        <v>1241</v>
      </c>
    </row>
    <row r="20" spans="1:11">
      <c r="I20" s="139" t="s">
        <v>1295</v>
      </c>
      <c r="J20" s="891">
        <f>'Blocking-Step2'!H1859</f>
        <v>782473.62049999996</v>
      </c>
      <c r="K20" s="891">
        <f>'Blocking-Step2'!H1857</f>
        <v>-31209.379499999999</v>
      </c>
    </row>
    <row r="21" spans="1:11">
      <c r="I21" s="138" t="s">
        <v>1296</v>
      </c>
      <c r="J21" s="386">
        <f>J20-J16-J19-K20</f>
        <v>0.66856701784490724</v>
      </c>
      <c r="K21" s="138"/>
    </row>
  </sheetData>
  <phoneticPr fontId="8" type="noConversion"/>
  <dataValidations count="1">
    <dataValidation type="decimal" allowBlank="1" showInputMessage="1" showErrorMessage="1" promptTitle="It's dangerous!" sqref="C1:C3">
      <formula1>-10000000</formula1>
      <formula2>-1</formula2>
    </dataValidation>
  </dataValidations>
  <pageMargins left="1" right="1" top="1.8220000000000001" bottom="1.544" header="1" footer="1"/>
  <pageSetup orientation="landscape" r:id="rId1"/>
  <headerFooter alignWithMargins="0">
    <oddHeader>&amp;L&amp;C&amp;B&amp;"Times New Roman"&amp;14Utah Schedule 1202 Billing Determinants
12 Months Ending September 2005&amp;R&amp;"Arial"&amp;8Date: 12/29/2005</oddHeader>
    <oddFooter>&amp;L&amp;C&amp;"Arial"&amp;10Page &amp;P&amp;R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2D050"/>
  </sheetPr>
  <dimension ref="A1:V38"/>
  <sheetViews>
    <sheetView workbookViewId="0">
      <selection activeCell="J33" sqref="J33"/>
    </sheetView>
  </sheetViews>
  <sheetFormatPr defaultColWidth="8" defaultRowHeight="12.75"/>
  <cols>
    <col min="1" max="1" width="27" style="132" bestFit="1" customWidth="1"/>
    <col min="2" max="2" width="8.625" style="132" bestFit="1" customWidth="1"/>
    <col min="3" max="3" width="11.25" style="132" bestFit="1" customWidth="1"/>
    <col min="4" max="4" width="27" style="132" bestFit="1" customWidth="1"/>
    <col min="5" max="5" width="6.75" style="132" bestFit="1" customWidth="1"/>
    <col min="6" max="6" width="8.25" style="132" bestFit="1" customWidth="1"/>
    <col min="7" max="7" width="7.75" style="132" bestFit="1" customWidth="1"/>
    <col min="8" max="8" width="9.125" style="132" bestFit="1" customWidth="1"/>
    <col min="9" max="9" width="10.75" style="132" bestFit="1" customWidth="1"/>
    <col min="10" max="10" width="8.125" style="132" bestFit="1" customWidth="1"/>
    <col min="11" max="11" width="10.25" style="132" bestFit="1" customWidth="1"/>
    <col min="12" max="12" width="10.75" style="132" bestFit="1" customWidth="1"/>
    <col min="13" max="13" width="8.75" style="132" bestFit="1" customWidth="1"/>
    <col min="14" max="14" width="8" style="132" bestFit="1" customWidth="1"/>
    <col min="15" max="15" width="8.625" style="132" bestFit="1" customWidth="1"/>
    <col min="16" max="16" width="10.5" style="132" bestFit="1" customWidth="1"/>
    <col min="17" max="16384" width="8" style="132"/>
  </cols>
  <sheetData>
    <row r="1" spans="1:22" ht="13.5" customHeight="1">
      <c r="A1" s="1155" t="s">
        <v>303</v>
      </c>
      <c r="B1" s="1155" t="s">
        <v>191</v>
      </c>
      <c r="C1" s="1155" t="s">
        <v>192</v>
      </c>
      <c r="D1" s="1155" t="s">
        <v>125</v>
      </c>
      <c r="E1" s="1155" t="s">
        <v>126</v>
      </c>
      <c r="F1" s="1155" t="s">
        <v>127</v>
      </c>
      <c r="G1" s="1155" t="s">
        <v>128</v>
      </c>
      <c r="H1" s="1155" t="s">
        <v>72</v>
      </c>
      <c r="I1" s="1155" t="s">
        <v>462</v>
      </c>
      <c r="J1" s="1155" t="s">
        <v>70</v>
      </c>
      <c r="K1" s="1155" t="s">
        <v>634</v>
      </c>
      <c r="L1" s="1155" t="s">
        <v>635</v>
      </c>
      <c r="M1" s="1155" t="s">
        <v>636</v>
      </c>
      <c r="N1" s="1155" t="s">
        <v>637</v>
      </c>
      <c r="O1" s="1155" t="s">
        <v>71</v>
      </c>
      <c r="P1" s="1155" t="s">
        <v>619</v>
      </c>
      <c r="Q1" s="1155" t="s">
        <v>796</v>
      </c>
      <c r="R1" s="1155" t="s">
        <v>1225</v>
      </c>
      <c r="S1" s="1155" t="s">
        <v>1256</v>
      </c>
    </row>
    <row r="2" spans="1:22" ht="14.25" customHeight="1">
      <c r="A2" s="1156" t="s">
        <v>460</v>
      </c>
      <c r="B2" s="1156" t="s">
        <v>438</v>
      </c>
      <c r="C2" s="1156" t="s">
        <v>439</v>
      </c>
      <c r="D2" s="1157">
        <v>160397</v>
      </c>
      <c r="E2" s="1157">
        <v>32710.41</v>
      </c>
      <c r="F2" s="1157">
        <v>0</v>
      </c>
      <c r="G2" s="1157">
        <v>0</v>
      </c>
      <c r="H2" s="1157">
        <v>12</v>
      </c>
      <c r="I2" s="1157">
        <v>5197</v>
      </c>
      <c r="J2" s="1157">
        <v>160397</v>
      </c>
      <c r="K2" s="1157">
        <v>160397</v>
      </c>
      <c r="L2" s="1157">
        <v>0</v>
      </c>
      <c r="M2" s="1157">
        <v>0</v>
      </c>
      <c r="N2" s="1157">
        <v>0</v>
      </c>
      <c r="O2" s="1157">
        <v>34849.769999999997</v>
      </c>
      <c r="P2" s="1158">
        <v>34849.793459</v>
      </c>
      <c r="Q2" s="1158">
        <v>34849.793459</v>
      </c>
      <c r="R2" s="1159">
        <v>-2139.36</v>
      </c>
      <c r="S2" s="1159">
        <v>-2139.36</v>
      </c>
      <c r="U2" s="889">
        <f>P2-O2</f>
        <v>2.345900000364054E-2</v>
      </c>
      <c r="V2" s="889">
        <f>S2-R2</f>
        <v>0</v>
      </c>
    </row>
    <row r="3" spans="1:22" ht="14.25" customHeight="1">
      <c r="A3" s="1156" t="s">
        <v>304</v>
      </c>
      <c r="B3" s="1156" t="s">
        <v>438</v>
      </c>
      <c r="C3" s="1156" t="s">
        <v>437</v>
      </c>
      <c r="D3" s="1157">
        <v>254400</v>
      </c>
      <c r="E3" s="1157">
        <v>17636.46</v>
      </c>
      <c r="F3" s="1157">
        <v>0</v>
      </c>
      <c r="G3" s="1157">
        <v>0</v>
      </c>
      <c r="H3" s="1157">
        <v>4.5999212598425201</v>
      </c>
      <c r="I3" s="1157">
        <v>1061.66744186047</v>
      </c>
      <c r="J3" s="1157">
        <v>254400</v>
      </c>
      <c r="K3" s="1157">
        <v>0</v>
      </c>
      <c r="L3" s="1157">
        <v>0</v>
      </c>
      <c r="M3" s="1157">
        <v>254400</v>
      </c>
      <c r="N3" s="1157">
        <v>0</v>
      </c>
      <c r="O3" s="1157">
        <v>18849.060000000001</v>
      </c>
      <c r="P3" s="1158">
        <v>18849.054400000001</v>
      </c>
      <c r="Q3" s="1158">
        <v>18849.054400000001</v>
      </c>
      <c r="R3" s="1159">
        <v>-1212.5999999999999</v>
      </c>
      <c r="S3" s="1159">
        <v>-1212.5999999999999</v>
      </c>
      <c r="U3" s="889">
        <f t="shared" ref="U3:U4" si="0">P3-O3</f>
        <v>-5.6000000004132744E-3</v>
      </c>
      <c r="V3" s="889">
        <f t="shared" ref="V3:V4" si="1">S3-R3</f>
        <v>0</v>
      </c>
    </row>
    <row r="4" spans="1:22" ht="14.25" customHeight="1">
      <c r="A4" s="372"/>
      <c r="B4" s="372"/>
      <c r="C4" s="1160" t="s">
        <v>439</v>
      </c>
      <c r="D4" s="1161">
        <v>841285</v>
      </c>
      <c r="E4" s="1161">
        <v>108890.65</v>
      </c>
      <c r="F4" s="1161">
        <v>0</v>
      </c>
      <c r="G4" s="1161">
        <v>0</v>
      </c>
      <c r="H4" s="1161">
        <v>12</v>
      </c>
      <c r="I4" s="1161">
        <v>16155</v>
      </c>
      <c r="J4" s="1161">
        <v>841285</v>
      </c>
      <c r="K4" s="1161">
        <v>0</v>
      </c>
      <c r="L4" s="1161">
        <v>0</v>
      </c>
      <c r="M4" s="1161">
        <v>841285</v>
      </c>
      <c r="N4" s="1161">
        <v>0</v>
      </c>
      <c r="O4" s="1161">
        <v>116294.54</v>
      </c>
      <c r="P4" s="1162">
        <v>116294.538535</v>
      </c>
      <c r="Q4" s="1162">
        <v>116294.538535</v>
      </c>
      <c r="R4" s="1163">
        <v>-7403.89</v>
      </c>
      <c r="S4" s="1163">
        <v>-7403.89</v>
      </c>
      <c r="U4" s="889">
        <f t="shared" si="0"/>
        <v>-1.464999993913807E-3</v>
      </c>
      <c r="V4" s="889">
        <f t="shared" si="1"/>
        <v>0</v>
      </c>
    </row>
    <row r="5" spans="1:22" ht="14.25" customHeight="1">
      <c r="A5" s="372"/>
      <c r="B5" s="372"/>
      <c r="C5" s="374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553"/>
      <c r="Q5" s="553"/>
      <c r="R5" s="855"/>
      <c r="S5" s="855"/>
      <c r="U5" s="889"/>
      <c r="V5" s="889"/>
    </row>
    <row r="6" spans="1:22" ht="14.25" customHeight="1">
      <c r="A6" s="150"/>
      <c r="B6" s="150"/>
      <c r="C6" s="147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440"/>
    </row>
    <row r="7" spans="1:22" ht="13.35" customHeight="1">
      <c r="A7" s="233" t="s">
        <v>460</v>
      </c>
      <c r="B7" s="234"/>
      <c r="C7" s="234"/>
      <c r="D7" s="234">
        <f>D2</f>
        <v>160397</v>
      </c>
      <c r="E7" s="234">
        <f t="shared" ref="E7:S7" si="2">E2</f>
        <v>32710.41</v>
      </c>
      <c r="F7" s="234">
        <f t="shared" si="2"/>
        <v>0</v>
      </c>
      <c r="G7" s="234">
        <f t="shared" si="2"/>
        <v>0</v>
      </c>
      <c r="H7" s="234">
        <f t="shared" si="2"/>
        <v>12</v>
      </c>
      <c r="I7" s="234">
        <f t="shared" si="2"/>
        <v>5197</v>
      </c>
      <c r="J7" s="234">
        <f t="shared" si="2"/>
        <v>160397</v>
      </c>
      <c r="K7" s="234">
        <f t="shared" si="2"/>
        <v>160397</v>
      </c>
      <c r="L7" s="234">
        <f t="shared" si="2"/>
        <v>0</v>
      </c>
      <c r="M7" s="234">
        <f t="shared" si="2"/>
        <v>0</v>
      </c>
      <c r="N7" s="234">
        <f t="shared" si="2"/>
        <v>0</v>
      </c>
      <c r="O7" s="234">
        <f t="shared" si="2"/>
        <v>34849.769999999997</v>
      </c>
      <c r="P7" s="234">
        <f t="shared" si="2"/>
        <v>34849.793459</v>
      </c>
      <c r="Q7" s="234">
        <f t="shared" si="2"/>
        <v>34849.793459</v>
      </c>
      <c r="R7" s="234">
        <f t="shared" si="2"/>
        <v>-2139.36</v>
      </c>
      <c r="S7" s="234">
        <f t="shared" si="2"/>
        <v>-2139.36</v>
      </c>
    </row>
    <row r="8" spans="1:22" ht="13.5" thickBot="1">
      <c r="A8" s="542" t="s">
        <v>304</v>
      </c>
      <c r="B8" s="543"/>
      <c r="C8" s="543"/>
      <c r="D8" s="543">
        <f>D3+D4</f>
        <v>1095685</v>
      </c>
      <c r="E8" s="543">
        <f t="shared" ref="E8:S8" si="3">E3+E4</f>
        <v>126527.10999999999</v>
      </c>
      <c r="F8" s="543">
        <f t="shared" si="3"/>
        <v>0</v>
      </c>
      <c r="G8" s="543">
        <f t="shared" si="3"/>
        <v>0</v>
      </c>
      <c r="H8" s="543">
        <f t="shared" si="3"/>
        <v>16.599921259842521</v>
      </c>
      <c r="I8" s="543">
        <f t="shared" si="3"/>
        <v>17216.667441860471</v>
      </c>
      <c r="J8" s="543">
        <f t="shared" si="3"/>
        <v>1095685</v>
      </c>
      <c r="K8" s="543">
        <f t="shared" si="3"/>
        <v>0</v>
      </c>
      <c r="L8" s="543">
        <f t="shared" si="3"/>
        <v>0</v>
      </c>
      <c r="M8" s="543">
        <f t="shared" si="3"/>
        <v>1095685</v>
      </c>
      <c r="N8" s="543">
        <f t="shared" si="3"/>
        <v>0</v>
      </c>
      <c r="O8" s="543">
        <f t="shared" si="3"/>
        <v>135143.6</v>
      </c>
      <c r="P8" s="543">
        <f t="shared" si="3"/>
        <v>135143.59293499999</v>
      </c>
      <c r="Q8" s="543">
        <f t="shared" si="3"/>
        <v>135143.59293499999</v>
      </c>
      <c r="R8" s="543">
        <f t="shared" si="3"/>
        <v>-8616.49</v>
      </c>
      <c r="S8" s="543">
        <f t="shared" si="3"/>
        <v>-8616.49</v>
      </c>
    </row>
    <row r="9" spans="1:22" ht="13.5" thickTop="1">
      <c r="A9" s="235" t="s">
        <v>93</v>
      </c>
      <c r="B9" s="236"/>
      <c r="C9" s="236"/>
      <c r="D9" s="236">
        <f>D7+D8</f>
        <v>1256082</v>
      </c>
      <c r="E9" s="236">
        <f t="shared" ref="E9:S9" si="4">E7+E8</f>
        <v>159237.51999999999</v>
      </c>
      <c r="F9" s="236">
        <f t="shared" si="4"/>
        <v>0</v>
      </c>
      <c r="G9" s="236">
        <f t="shared" si="4"/>
        <v>0</v>
      </c>
      <c r="H9" s="236">
        <f t="shared" si="4"/>
        <v>28.599921259842521</v>
      </c>
      <c r="I9" s="236">
        <f t="shared" si="4"/>
        <v>22413.667441860471</v>
      </c>
      <c r="J9" s="236">
        <f t="shared" si="4"/>
        <v>1256082</v>
      </c>
      <c r="K9" s="236">
        <f t="shared" si="4"/>
        <v>160397</v>
      </c>
      <c r="L9" s="236">
        <f t="shared" si="4"/>
        <v>0</v>
      </c>
      <c r="M9" s="236">
        <f t="shared" si="4"/>
        <v>1095685</v>
      </c>
      <c r="N9" s="236">
        <f t="shared" si="4"/>
        <v>0</v>
      </c>
      <c r="O9" s="236">
        <f t="shared" si="4"/>
        <v>169993.37</v>
      </c>
      <c r="P9" s="236">
        <f t="shared" si="4"/>
        <v>169993.386394</v>
      </c>
      <c r="Q9" s="236">
        <f t="shared" si="4"/>
        <v>169993.386394</v>
      </c>
      <c r="R9" s="236">
        <f t="shared" si="4"/>
        <v>-10755.85</v>
      </c>
      <c r="S9" s="236">
        <f t="shared" si="4"/>
        <v>-10755.85</v>
      </c>
    </row>
    <row r="10" spans="1:22">
      <c r="Q10" s="440"/>
    </row>
    <row r="11" spans="1:22">
      <c r="O11" s="132" t="s">
        <v>1294</v>
      </c>
      <c r="P11" s="890">
        <f>'Blocking-Step2'!H1931</f>
        <v>-2422</v>
      </c>
      <c r="Q11" s="440"/>
      <c r="R11" s="132" t="s">
        <v>1241</v>
      </c>
    </row>
    <row r="12" spans="1:22">
      <c r="O12" s="132" t="s">
        <v>1295</v>
      </c>
      <c r="P12" s="530">
        <f>'Blocking-Step2'!H1935</f>
        <v>157257.55599999998</v>
      </c>
      <c r="Q12" s="440"/>
      <c r="R12" s="890">
        <f>'Blocking-Step2'!H1934</f>
        <v>0</v>
      </c>
    </row>
    <row r="13" spans="1:22">
      <c r="O13" s="132" t="s">
        <v>1296</v>
      </c>
      <c r="P13" s="530">
        <f>P12-P9-P11-R12</f>
        <v>-10313.830394000019</v>
      </c>
      <c r="Q13" s="440"/>
    </row>
    <row r="14" spans="1:22">
      <c r="Q14" s="440"/>
    </row>
    <row r="15" spans="1:22">
      <c r="A15" s="1601" t="s">
        <v>303</v>
      </c>
      <c r="B15" s="1601" t="s">
        <v>191</v>
      </c>
      <c r="C15" s="1601" t="s">
        <v>192</v>
      </c>
      <c r="D15" s="1601" t="s">
        <v>1480</v>
      </c>
      <c r="E15" s="1601" t="s">
        <v>72</v>
      </c>
      <c r="F15" s="1601" t="s">
        <v>1663</v>
      </c>
      <c r="G15" s="1601" t="s">
        <v>462</v>
      </c>
      <c r="H15" s="1601" t="s">
        <v>2199</v>
      </c>
      <c r="I15" s="1601" t="s">
        <v>2200</v>
      </c>
      <c r="J15" s="1601" t="s">
        <v>70</v>
      </c>
      <c r="K15" s="1601" t="s">
        <v>2201</v>
      </c>
      <c r="L15" s="1601" t="s">
        <v>2202</v>
      </c>
      <c r="M15" s="1601" t="s">
        <v>71</v>
      </c>
      <c r="N15" s="1601" t="s">
        <v>619</v>
      </c>
      <c r="Q15" s="440"/>
    </row>
    <row r="16" spans="1:22">
      <c r="A16" s="1602" t="s">
        <v>460</v>
      </c>
      <c r="B16" s="1602" t="s">
        <v>438</v>
      </c>
      <c r="C16" s="1602" t="s">
        <v>439</v>
      </c>
      <c r="D16" s="1602" t="s">
        <v>1665</v>
      </c>
      <c r="E16" s="1603">
        <v>12</v>
      </c>
      <c r="F16" s="1606">
        <v>445</v>
      </c>
      <c r="G16" s="1603">
        <v>5197</v>
      </c>
      <c r="H16" s="1603">
        <v>1732</v>
      </c>
      <c r="I16" s="1606">
        <v>2165</v>
      </c>
      <c r="J16" s="1603">
        <v>160397</v>
      </c>
      <c r="K16" s="1606">
        <v>55256</v>
      </c>
      <c r="L16" s="1606">
        <v>70390</v>
      </c>
      <c r="M16" s="1603">
        <v>34849.769999999997</v>
      </c>
      <c r="N16" s="1604">
        <v>34849.793459</v>
      </c>
      <c r="Q16" s="440"/>
    </row>
    <row r="17" spans="1:17">
      <c r="A17" s="1602" t="s">
        <v>304</v>
      </c>
      <c r="B17" s="1602" t="s">
        <v>438</v>
      </c>
      <c r="C17" s="1602" t="s">
        <v>437</v>
      </c>
      <c r="D17" s="1602" t="s">
        <v>1664</v>
      </c>
      <c r="E17" s="1603">
        <v>2.8333070866141701</v>
      </c>
      <c r="F17" s="1606">
        <v>238</v>
      </c>
      <c r="G17" s="1603">
        <v>645.16744186046503</v>
      </c>
      <c r="H17" s="1603">
        <v>0</v>
      </c>
      <c r="I17" s="1606">
        <v>0</v>
      </c>
      <c r="J17" s="1603">
        <v>160800</v>
      </c>
      <c r="K17" s="1606">
        <v>0</v>
      </c>
      <c r="L17" s="1606">
        <v>0</v>
      </c>
      <c r="M17" s="1603">
        <v>11793.3</v>
      </c>
      <c r="N17" s="1604">
        <v>11793.290800000001</v>
      </c>
      <c r="Q17" s="440"/>
    </row>
    <row r="18" spans="1:17" ht="15.75">
      <c r="A18" s="371"/>
      <c r="B18" s="371"/>
      <c r="C18" s="371"/>
      <c r="D18" s="1602" t="s">
        <v>1667</v>
      </c>
      <c r="E18" s="1603">
        <v>1.76661417322835</v>
      </c>
      <c r="F18" s="1606">
        <v>230</v>
      </c>
      <c r="G18" s="1603">
        <v>416.5</v>
      </c>
      <c r="H18" s="1603">
        <v>0</v>
      </c>
      <c r="I18" s="1606">
        <v>147.56744186046501</v>
      </c>
      <c r="J18" s="1603">
        <v>93600</v>
      </c>
      <c r="K18" s="1606">
        <v>0</v>
      </c>
      <c r="L18" s="1606">
        <v>36000</v>
      </c>
      <c r="M18" s="1603">
        <v>7055.76</v>
      </c>
      <c r="N18" s="1604">
        <v>7055.7636000000002</v>
      </c>
      <c r="Q18" s="440"/>
    </row>
    <row r="19" spans="1:17" ht="15.75">
      <c r="A19" s="372"/>
      <c r="B19" s="372"/>
      <c r="C19" s="1607" t="s">
        <v>439</v>
      </c>
      <c r="D19" s="1607" t="s">
        <v>1666</v>
      </c>
      <c r="E19" s="1608">
        <v>12</v>
      </c>
      <c r="F19" s="1611">
        <v>1602</v>
      </c>
      <c r="G19" s="1608">
        <v>16155</v>
      </c>
      <c r="H19" s="1608">
        <v>5423</v>
      </c>
      <c r="I19" s="1611">
        <v>6752</v>
      </c>
      <c r="J19" s="1608">
        <v>841285</v>
      </c>
      <c r="K19" s="1611">
        <v>285551</v>
      </c>
      <c r="L19" s="1611">
        <v>351854</v>
      </c>
      <c r="M19" s="1608">
        <v>116294.54</v>
      </c>
      <c r="N19" s="1609">
        <v>116294.538535</v>
      </c>
      <c r="Q19" s="440"/>
    </row>
    <row r="20" spans="1:17">
      <c r="E20" s="132">
        <f>SUM(E17:E19)</f>
        <v>16.599921259842521</v>
      </c>
      <c r="F20" s="132">
        <f>SUM(F17:F19)</f>
        <v>2070</v>
      </c>
      <c r="G20" s="132">
        <f t="shared" ref="G20:N20" si="5">SUM(G17:G19)</f>
        <v>17216.667441860463</v>
      </c>
      <c r="H20" s="132">
        <f t="shared" si="5"/>
        <v>5423</v>
      </c>
      <c r="I20" s="132">
        <f>SUM(I17:I19)</f>
        <v>6899.5674418604649</v>
      </c>
      <c r="J20" s="132">
        <f t="shared" si="5"/>
        <v>1095685</v>
      </c>
      <c r="K20" s="132">
        <f t="shared" si="5"/>
        <v>285551</v>
      </c>
      <c r="L20" s="132">
        <f t="shared" si="5"/>
        <v>387854</v>
      </c>
      <c r="M20" s="132">
        <f t="shared" si="5"/>
        <v>135143.59999999998</v>
      </c>
      <c r="N20" s="132">
        <f t="shared" si="5"/>
        <v>135143.59293499999</v>
      </c>
      <c r="Q20" s="440"/>
    </row>
    <row r="21" spans="1:17">
      <c r="Q21" s="440"/>
    </row>
    <row r="22" spans="1:17">
      <c r="Q22" s="440"/>
    </row>
    <row r="23" spans="1:17">
      <c r="Q23" s="440"/>
    </row>
    <row r="24" spans="1:17">
      <c r="Q24" s="440"/>
    </row>
    <row r="25" spans="1:17">
      <c r="Q25" s="440"/>
    </row>
    <row r="26" spans="1:17">
      <c r="Q26" s="440"/>
    </row>
    <row r="27" spans="1:17">
      <c r="Q27" s="440"/>
    </row>
    <row r="28" spans="1:17">
      <c r="Q28" s="440"/>
    </row>
    <row r="29" spans="1:17">
      <c r="Q29" s="440"/>
    </row>
    <row r="30" spans="1:17">
      <c r="Q30" s="440"/>
    </row>
    <row r="31" spans="1:17">
      <c r="Q31" s="440"/>
    </row>
    <row r="32" spans="1:17">
      <c r="Q32" s="440"/>
    </row>
    <row r="33" spans="17:17">
      <c r="Q33" s="440"/>
    </row>
    <row r="34" spans="17:17">
      <c r="Q34" s="440"/>
    </row>
    <row r="35" spans="17:17">
      <c r="Q35" s="440"/>
    </row>
    <row r="36" spans="17:17">
      <c r="Q36" s="440"/>
    </row>
    <row r="37" spans="17:17">
      <c r="Q37" s="440"/>
    </row>
    <row r="38" spans="17:17">
      <c r="Q38" s="440"/>
    </row>
  </sheetData>
  <phoneticPr fontId="8" type="noConversion"/>
  <pageMargins left="1" right="1" top="1.82" bottom="1.54" header="1" footer="1"/>
  <pageSetup orientation="landscape" r:id="rId1"/>
  <headerFooter alignWithMargins="0">
    <oddHeader>&amp;L&amp;C&amp;B&amp;"Times New Roman"&amp;14Utah Schedule 21 Billing Determinants
12 Months Ending September 2005&amp;R&amp;"Arial"&amp;8Date: 12/29/2005</oddHeader>
    <oddFooter>&amp;L&amp;C&amp;"Arial"&amp;10Page &amp;P&amp;R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L43"/>
  <sheetViews>
    <sheetView view="pageBreakPreview" topLeftCell="A16" zoomScale="90" zoomScaleNormal="100" zoomScaleSheetLayoutView="90" workbookViewId="0">
      <selection activeCell="B32" sqref="B32"/>
    </sheetView>
  </sheetViews>
  <sheetFormatPr defaultColWidth="8.375" defaultRowHeight="15.75"/>
  <cols>
    <col min="1" max="1" width="1.625" style="1249" customWidth="1"/>
    <col min="2" max="2" width="71.5" style="1249" bestFit="1" customWidth="1"/>
    <col min="3" max="3" width="7.375" style="1249" bestFit="1" customWidth="1"/>
    <col min="4" max="4" width="10.25" style="1249" bestFit="1" customWidth="1"/>
    <col min="5" max="5" width="11.25" style="1249" bestFit="1" customWidth="1"/>
    <col min="6" max="6" width="13.375" style="1249" bestFit="1" customWidth="1"/>
    <col min="7" max="7" width="9.75" style="1249" bestFit="1" customWidth="1"/>
    <col min="8" max="8" width="9.875" style="1249" bestFit="1" customWidth="1"/>
    <col min="9" max="9" width="1.625" style="1249" customWidth="1"/>
    <col min="10" max="21" width="12.625" style="1249" customWidth="1"/>
    <col min="22" max="47" width="11.875" style="1249" customWidth="1"/>
    <col min="48" max="16384" width="8.375" style="1249"/>
  </cols>
  <sheetData>
    <row r="1" spans="2:12">
      <c r="B1" s="1682" t="s">
        <v>547</v>
      </c>
      <c r="C1" s="1682"/>
      <c r="D1" s="1682"/>
      <c r="E1" s="1682"/>
      <c r="F1" s="1682"/>
      <c r="G1" s="1682"/>
      <c r="H1" s="1682"/>
    </row>
    <row r="2" spans="2:12">
      <c r="B2" s="1682" t="s">
        <v>83</v>
      </c>
      <c r="C2" s="1682"/>
      <c r="D2" s="1682"/>
      <c r="E2" s="1682"/>
      <c r="F2" s="1682"/>
      <c r="G2" s="1682"/>
      <c r="H2" s="1682"/>
    </row>
    <row r="3" spans="2:12">
      <c r="B3" s="1682" t="s">
        <v>2261</v>
      </c>
      <c r="C3" s="1682"/>
      <c r="D3" s="1682"/>
      <c r="E3" s="1682"/>
      <c r="F3" s="1682"/>
      <c r="G3" s="1682"/>
      <c r="H3" s="1682"/>
      <c r="K3" s="1505"/>
      <c r="L3" s="1837"/>
    </row>
    <row r="4" spans="2:12">
      <c r="B4" s="1682" t="s">
        <v>2262</v>
      </c>
      <c r="C4" s="1682"/>
      <c r="D4" s="1682"/>
      <c r="E4" s="1682"/>
      <c r="F4" s="1682"/>
      <c r="G4" s="1682"/>
      <c r="H4" s="1682"/>
      <c r="K4" s="1505"/>
      <c r="L4" s="1837"/>
    </row>
    <row r="5" spans="2:12">
      <c r="B5" s="1682" t="s">
        <v>2263</v>
      </c>
      <c r="C5" s="1682"/>
      <c r="D5" s="1682"/>
      <c r="E5" s="1682"/>
      <c r="F5" s="1682"/>
      <c r="G5" s="1682"/>
      <c r="H5" s="1682"/>
    </row>
    <row r="6" spans="2:12">
      <c r="B6" s="1682"/>
      <c r="C6" s="1682"/>
      <c r="D6" s="1682"/>
      <c r="E6" s="1682"/>
      <c r="F6" s="1682"/>
      <c r="G6" s="1682"/>
      <c r="H6" s="1682"/>
    </row>
    <row r="7" spans="2:12">
      <c r="B7" s="1838"/>
      <c r="C7" s="1682"/>
      <c r="F7" s="1839"/>
      <c r="G7" s="1839"/>
      <c r="H7" s="1682"/>
      <c r="I7" s="1840"/>
    </row>
    <row r="8" spans="2:12">
      <c r="B8" s="1841" t="s">
        <v>220</v>
      </c>
      <c r="C8" s="1842" t="s">
        <v>2264</v>
      </c>
      <c r="D8" s="1842" t="s">
        <v>2265</v>
      </c>
      <c r="E8" s="1842" t="s">
        <v>111</v>
      </c>
      <c r="F8" s="1842" t="s">
        <v>99</v>
      </c>
      <c r="G8" s="1842" t="s">
        <v>2266</v>
      </c>
      <c r="H8" s="1842" t="s">
        <v>82</v>
      </c>
      <c r="I8" s="1840"/>
    </row>
    <row r="9" spans="2:12">
      <c r="B9" s="1840"/>
      <c r="I9" s="1840"/>
    </row>
    <row r="10" spans="2:12">
      <c r="B10" s="1840" t="s">
        <v>232</v>
      </c>
      <c r="I10" s="1840"/>
    </row>
    <row r="11" spans="2:12">
      <c r="B11" s="1843" t="s">
        <v>2267</v>
      </c>
      <c r="C11" s="1844">
        <v>7</v>
      </c>
      <c r="D11" s="1845">
        <v>80036.668179696673</v>
      </c>
      <c r="E11" s="1845"/>
      <c r="F11" s="1846">
        <v>9.1</v>
      </c>
      <c r="G11" s="1847" t="s">
        <v>2268</v>
      </c>
      <c r="H11" s="1848">
        <v>728333.68043523969</v>
      </c>
      <c r="I11" s="1840"/>
    </row>
    <row r="12" spans="2:12">
      <c r="B12" s="1843" t="s">
        <v>2269</v>
      </c>
      <c r="C12" s="1844">
        <v>7</v>
      </c>
      <c r="D12" s="1845">
        <v>23297.820701740242</v>
      </c>
      <c r="E12" s="1845"/>
      <c r="F12" s="1846">
        <v>10.61</v>
      </c>
      <c r="G12" s="1847" t="s">
        <v>2268</v>
      </c>
      <c r="H12" s="1848">
        <v>247189.87764546394</v>
      </c>
      <c r="I12" s="1840"/>
    </row>
    <row r="13" spans="2:12">
      <c r="B13" s="1843" t="s">
        <v>2270</v>
      </c>
      <c r="C13" s="1844">
        <v>7</v>
      </c>
      <c r="D13" s="1845">
        <v>31461.675344580435</v>
      </c>
      <c r="E13" s="1845"/>
      <c r="F13" s="1846">
        <v>12.96</v>
      </c>
      <c r="G13" s="1847" t="s">
        <v>2268</v>
      </c>
      <c r="H13" s="1848">
        <v>407743.31246576249</v>
      </c>
      <c r="I13" s="1840"/>
    </row>
    <row r="14" spans="2:12">
      <c r="B14" s="1840"/>
      <c r="C14" s="1844"/>
      <c r="F14" s="1846"/>
      <c r="G14" s="1846"/>
      <c r="H14" s="1848"/>
      <c r="I14" s="1840"/>
    </row>
    <row r="15" spans="2:12">
      <c r="B15" s="1840" t="s">
        <v>2271</v>
      </c>
      <c r="C15" s="1844"/>
      <c r="F15" s="1846"/>
      <c r="G15" s="1846"/>
      <c r="H15" s="1848"/>
      <c r="I15" s="1840"/>
    </row>
    <row r="16" spans="2:12">
      <c r="B16" s="1843" t="s">
        <v>2272</v>
      </c>
      <c r="C16" s="1844">
        <v>11</v>
      </c>
      <c r="D16" s="1845">
        <v>32060.279342838538</v>
      </c>
      <c r="E16" s="1845"/>
      <c r="F16" s="1846">
        <v>11.82</v>
      </c>
      <c r="G16" s="1847" t="s">
        <v>2268</v>
      </c>
      <c r="H16" s="1848">
        <v>378952.5018323515</v>
      </c>
      <c r="I16" s="1840"/>
    </row>
    <row r="17" spans="2:9">
      <c r="B17" s="1843" t="s">
        <v>2273</v>
      </c>
      <c r="C17" s="1844">
        <v>11</v>
      </c>
      <c r="D17" s="1845">
        <v>197233.31780693663</v>
      </c>
      <c r="E17" s="1845"/>
      <c r="F17" s="1846">
        <v>12.74</v>
      </c>
      <c r="G17" s="1847" t="s">
        <v>2268</v>
      </c>
      <c r="H17" s="1848">
        <v>2512752.4688603724</v>
      </c>
      <c r="I17" s="1840"/>
    </row>
    <row r="18" spans="2:9">
      <c r="B18" s="1843" t="s">
        <v>2274</v>
      </c>
      <c r="C18" s="1844">
        <v>11</v>
      </c>
      <c r="D18" s="1845">
        <v>20643.643092872899</v>
      </c>
      <c r="E18" s="1845"/>
      <c r="F18" s="1846">
        <v>13.19</v>
      </c>
      <c r="G18" s="1847" t="s">
        <v>2268</v>
      </c>
      <c r="H18" s="1848">
        <v>272289.65239499352</v>
      </c>
      <c r="I18" s="1840"/>
    </row>
    <row r="19" spans="2:9">
      <c r="B19" s="1843" t="s">
        <v>2275</v>
      </c>
      <c r="C19" s="1844">
        <v>11</v>
      </c>
      <c r="D19" s="1845">
        <v>574.1077419033528</v>
      </c>
      <c r="E19" s="1845"/>
      <c r="F19" s="1846">
        <v>13.71</v>
      </c>
      <c r="G19" s="1847" t="s">
        <v>2268</v>
      </c>
      <c r="H19" s="1848">
        <v>7871.0171414949673</v>
      </c>
      <c r="I19" s="1840"/>
    </row>
    <row r="20" spans="2:9">
      <c r="B20" s="1843" t="s">
        <v>2276</v>
      </c>
      <c r="C20" s="1844">
        <v>11</v>
      </c>
      <c r="D20" s="1845">
        <v>22535.613465373277</v>
      </c>
      <c r="E20" s="1845"/>
      <c r="F20" s="1846">
        <v>14.6</v>
      </c>
      <c r="G20" s="1847" t="s">
        <v>2268</v>
      </c>
      <c r="H20" s="1848">
        <v>329019.95659444982</v>
      </c>
      <c r="I20" s="1840"/>
    </row>
    <row r="21" spans="2:9">
      <c r="B21" s="1843" t="s">
        <v>2277</v>
      </c>
      <c r="C21" s="1844">
        <v>11</v>
      </c>
      <c r="D21" s="1845">
        <v>7799.6965729399371</v>
      </c>
      <c r="E21" s="1845"/>
      <c r="F21" s="1846">
        <v>17.75</v>
      </c>
      <c r="G21" s="1847" t="s">
        <v>2268</v>
      </c>
      <c r="H21" s="1848">
        <v>138444.61416968389</v>
      </c>
      <c r="I21" s="1840"/>
    </row>
    <row r="22" spans="2:9">
      <c r="B22" s="1843" t="s">
        <v>2278</v>
      </c>
      <c r="C22" s="1844">
        <v>11</v>
      </c>
      <c r="D22" s="1845">
        <v>5104.3342939970698</v>
      </c>
      <c r="E22" s="1845"/>
      <c r="F22" s="1846">
        <v>23.15</v>
      </c>
      <c r="G22" s="1847" t="s">
        <v>2268</v>
      </c>
      <c r="H22" s="1848">
        <v>118165.33890603216</v>
      </c>
      <c r="I22" s="1840"/>
    </row>
    <row r="23" spans="2:9">
      <c r="B23" s="1843" t="s">
        <v>2279</v>
      </c>
      <c r="C23" s="1844">
        <v>11</v>
      </c>
      <c r="D23" s="1845">
        <v>0</v>
      </c>
      <c r="E23" s="1845"/>
      <c r="F23" s="1846">
        <v>6.04</v>
      </c>
      <c r="G23" s="1847" t="s">
        <v>2268</v>
      </c>
      <c r="H23" s="1848">
        <v>0</v>
      </c>
      <c r="I23" s="1840"/>
    </row>
    <row r="24" spans="2:9">
      <c r="B24" s="1843" t="s">
        <v>2280</v>
      </c>
      <c r="C24" s="1844">
        <v>11</v>
      </c>
      <c r="D24" s="1845">
        <v>276</v>
      </c>
      <c r="E24" s="1845"/>
      <c r="F24" s="1846">
        <v>6.57</v>
      </c>
      <c r="G24" s="1847" t="s">
        <v>2268</v>
      </c>
      <c r="H24" s="1848">
        <v>1813.3200000000002</v>
      </c>
      <c r="I24" s="1840"/>
    </row>
    <row r="25" spans="2:9">
      <c r="B25" s="1843" t="s">
        <v>2281</v>
      </c>
      <c r="C25" s="1844">
        <v>11</v>
      </c>
      <c r="D25" s="1845">
        <v>0</v>
      </c>
      <c r="E25" s="1845"/>
      <c r="F25" s="1846">
        <v>6.99</v>
      </c>
      <c r="G25" s="1847" t="s">
        <v>2268</v>
      </c>
      <c r="H25" s="1848">
        <v>0</v>
      </c>
      <c r="I25" s="1840"/>
    </row>
    <row r="26" spans="2:9">
      <c r="B26" s="1843" t="s">
        <v>2282</v>
      </c>
      <c r="C26" s="1844">
        <v>11</v>
      </c>
      <c r="D26" s="1845">
        <v>0</v>
      </c>
      <c r="E26" s="1845"/>
      <c r="F26" s="1846">
        <v>7.46</v>
      </c>
      <c r="G26" s="1847" t="s">
        <v>2268</v>
      </c>
      <c r="H26" s="1848">
        <v>0</v>
      </c>
      <c r="I26" s="1840"/>
    </row>
    <row r="27" spans="2:9">
      <c r="B27" s="1843" t="s">
        <v>2283</v>
      </c>
      <c r="C27" s="1844">
        <v>11</v>
      </c>
      <c r="D27" s="1845">
        <v>12</v>
      </c>
      <c r="E27" s="1845"/>
      <c r="F27" s="1846">
        <v>8</v>
      </c>
      <c r="G27" s="1847" t="s">
        <v>2268</v>
      </c>
      <c r="H27" s="1848">
        <v>96</v>
      </c>
      <c r="I27" s="1840"/>
    </row>
    <row r="28" spans="2:9">
      <c r="B28" s="1843" t="s">
        <v>2284</v>
      </c>
      <c r="C28" s="1844">
        <v>11</v>
      </c>
      <c r="D28" s="1845">
        <v>0</v>
      </c>
      <c r="E28" s="1845"/>
      <c r="F28" s="1846">
        <v>9.7200000000000006</v>
      </c>
      <c r="G28" s="1847" t="s">
        <v>2268</v>
      </c>
      <c r="H28" s="1848">
        <v>0</v>
      </c>
      <c r="I28" s="1840"/>
    </row>
    <row r="29" spans="2:9">
      <c r="B29" s="1843" t="s">
        <v>2285</v>
      </c>
      <c r="C29" s="1844">
        <v>11</v>
      </c>
      <c r="D29" s="1845">
        <v>0</v>
      </c>
      <c r="E29" s="1845"/>
      <c r="F29" s="1846">
        <v>5.52</v>
      </c>
      <c r="G29" s="1847" t="s">
        <v>2268</v>
      </c>
      <c r="H29" s="1848">
        <v>0</v>
      </c>
      <c r="I29" s="1840"/>
    </row>
    <row r="30" spans="2:9">
      <c r="B30" s="1849"/>
      <c r="D30" s="1845"/>
      <c r="E30" s="1845"/>
      <c r="F30" s="1846"/>
      <c r="G30" s="1847"/>
      <c r="H30" s="1850"/>
      <c r="I30" s="1840"/>
    </row>
    <row r="31" spans="2:9">
      <c r="B31" s="1851" t="s">
        <v>2286</v>
      </c>
      <c r="C31" s="1844">
        <v>12</v>
      </c>
      <c r="D31" s="1845"/>
      <c r="E31" s="1845">
        <v>26868874.204370778</v>
      </c>
      <c r="F31" s="1852">
        <v>4.5465000000000005E-2</v>
      </c>
      <c r="G31" s="1847" t="s">
        <v>2287</v>
      </c>
      <c r="H31" s="1848">
        <v>1402868.2700442893</v>
      </c>
      <c r="I31" s="1840"/>
    </row>
    <row r="32" spans="2:9">
      <c r="B32" s="1840"/>
      <c r="C32" s="1844"/>
      <c r="H32" s="1850"/>
      <c r="I32" s="1840"/>
    </row>
    <row r="33" spans="2:9">
      <c r="B33" s="1853"/>
      <c r="C33" s="1854"/>
      <c r="D33" s="1854"/>
      <c r="E33" s="1854"/>
      <c r="F33" s="1854"/>
      <c r="G33" s="1854"/>
      <c r="H33" s="1855"/>
      <c r="I33" s="1840"/>
    </row>
    <row r="34" spans="2:9">
      <c r="B34" s="1851" t="s">
        <v>2288</v>
      </c>
      <c r="H34" s="1848">
        <v>6545540.0104901334</v>
      </c>
      <c r="I34" s="1840"/>
    </row>
    <row r="35" spans="2:9">
      <c r="B35" s="1851" t="s">
        <v>2289</v>
      </c>
      <c r="F35" s="1844">
        <v>17</v>
      </c>
      <c r="G35" s="1844"/>
      <c r="I35" s="1840"/>
    </row>
    <row r="38" spans="2:9">
      <c r="D38" s="1845"/>
      <c r="E38" s="1845"/>
      <c r="F38" s="1845"/>
      <c r="G38" s="1845"/>
    </row>
    <row r="39" spans="2:9">
      <c r="D39" s="1845"/>
      <c r="E39" s="1845"/>
      <c r="F39" s="1845"/>
      <c r="G39" s="1845"/>
    </row>
    <row r="40" spans="2:9">
      <c r="D40" s="1846"/>
      <c r="E40" s="1846"/>
      <c r="F40" s="1846"/>
      <c r="G40" s="1846"/>
    </row>
    <row r="41" spans="2:9">
      <c r="D41" s="1845"/>
      <c r="E41" s="1845"/>
      <c r="F41" s="1845"/>
      <c r="G41" s="1845"/>
    </row>
    <row r="42" spans="2:9">
      <c r="D42" s="1845"/>
      <c r="E42" s="1845"/>
      <c r="F42" s="1845"/>
      <c r="G42" s="1845"/>
    </row>
    <row r="43" spans="2:9">
      <c r="D43" s="1845"/>
      <c r="E43" s="1845"/>
      <c r="F43" s="1845"/>
      <c r="G43" s="1845"/>
    </row>
  </sheetData>
  <printOptions horizontalCentered="1"/>
  <pageMargins left="0.7" right="0.7" top="0.75" bottom="0.75" header="0.3" footer="0.3"/>
  <pageSetup scale="62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C26"/>
  <sheetViews>
    <sheetView topLeftCell="R1" zoomScaleNormal="100" workbookViewId="0">
      <pane ySplit="1" topLeftCell="A2" activePane="bottomLeft" state="frozen"/>
      <selection activeCell="V22" sqref="V22"/>
      <selection pane="bottomLeft" activeCell="C17" sqref="C17"/>
    </sheetView>
  </sheetViews>
  <sheetFormatPr defaultColWidth="8.625" defaultRowHeight="15.75"/>
  <cols>
    <col min="1" max="1" width="14.125" style="1618" bestFit="1" customWidth="1"/>
    <col min="2" max="4" width="11.625" style="1612" customWidth="1"/>
    <col min="5" max="5" width="4.625" style="1615" bestFit="1" customWidth="1"/>
    <col min="6" max="6" width="4.75" style="1624" bestFit="1" customWidth="1"/>
    <col min="7" max="7" width="5.625" style="1624" bestFit="1" customWidth="1"/>
    <col min="8" max="8" width="6.5" style="1624" bestFit="1" customWidth="1"/>
    <col min="9" max="9" width="7.25" style="1624" bestFit="1" customWidth="1"/>
    <col min="10" max="10" width="8" style="1624" bestFit="1" customWidth="1"/>
    <col min="11" max="11" width="6.75" style="1624" bestFit="1" customWidth="1"/>
    <col min="12" max="12" width="8" style="1624" bestFit="1" customWidth="1"/>
    <col min="13" max="13" width="5.75" style="1624" bestFit="1" customWidth="1"/>
    <col min="14" max="14" width="10.75" style="1612" bestFit="1" customWidth="1"/>
    <col min="15" max="15" width="11.625" style="1612" bestFit="1" customWidth="1"/>
    <col min="16" max="16" width="8.125" style="1612" bestFit="1" customWidth="1"/>
    <col min="17" max="17" width="8.25" style="1612" bestFit="1" customWidth="1"/>
    <col min="18" max="18" width="9.25" style="1612" bestFit="1" customWidth="1"/>
    <col min="19" max="19" width="12.25" style="1612" bestFit="1" customWidth="1"/>
    <col min="20" max="21" width="8.75" style="1612" bestFit="1" customWidth="1"/>
    <col min="22" max="22" width="6.625" style="1612" bestFit="1" customWidth="1"/>
    <col min="23" max="23" width="7.625" style="1612" bestFit="1" customWidth="1"/>
    <col min="24" max="24" width="5.75" style="1612" bestFit="1" customWidth="1"/>
    <col min="25" max="26" width="2.75" style="1612" customWidth="1"/>
    <col min="27" max="27" width="3.625" style="1612" customWidth="1"/>
    <col min="28" max="28" width="20.5" style="1612" bestFit="1" customWidth="1"/>
    <col min="29" max="29" width="9.125" style="1612" bestFit="1" customWidth="1"/>
    <col min="30" max="43" width="11.625" style="1612" customWidth="1"/>
    <col min="44" max="16384" width="8.625" style="1612"/>
  </cols>
  <sheetData>
    <row r="1" spans="1:29" ht="15">
      <c r="A1" s="1612" t="s">
        <v>1480</v>
      </c>
      <c r="B1" s="1612" t="s">
        <v>192</v>
      </c>
      <c r="C1" s="1612" t="s">
        <v>1479</v>
      </c>
      <c r="D1" s="1612" t="s">
        <v>191</v>
      </c>
      <c r="E1" s="1612" t="s">
        <v>72</v>
      </c>
      <c r="F1" s="1612" t="s">
        <v>462</v>
      </c>
      <c r="G1" s="1612" t="s">
        <v>638</v>
      </c>
      <c r="H1" s="1612" t="s">
        <v>639</v>
      </c>
      <c r="I1" s="1612" t="s">
        <v>631</v>
      </c>
      <c r="J1" s="1612" t="s">
        <v>70</v>
      </c>
      <c r="K1" s="1612" t="s">
        <v>622</v>
      </c>
      <c r="L1" s="1612" t="s">
        <v>626</v>
      </c>
      <c r="M1" s="1612" t="s">
        <v>1152</v>
      </c>
      <c r="N1" s="1613" t="s">
        <v>1861</v>
      </c>
      <c r="O1" s="1613" t="s">
        <v>1862</v>
      </c>
      <c r="P1" s="1613" t="s">
        <v>1865</v>
      </c>
      <c r="Q1" s="1613" t="s">
        <v>1866</v>
      </c>
      <c r="R1" s="1613" t="s">
        <v>1863</v>
      </c>
      <c r="S1" s="1613" t="s">
        <v>1864</v>
      </c>
      <c r="T1" s="1613" t="s">
        <v>1867</v>
      </c>
      <c r="U1" s="1613" t="s">
        <v>1868</v>
      </c>
      <c r="V1" s="1613" t="s">
        <v>2191</v>
      </c>
      <c r="W1" s="1613" t="s">
        <v>2192</v>
      </c>
      <c r="X1" s="1614" t="s">
        <v>2193</v>
      </c>
      <c r="Y1" s="1614"/>
      <c r="Z1" s="1614"/>
    </row>
    <row r="2" spans="1:29" ht="15">
      <c r="A2" s="1612">
        <v>1</v>
      </c>
      <c r="B2" s="1612" t="s">
        <v>439</v>
      </c>
      <c r="C2" s="1612">
        <v>201901</v>
      </c>
      <c r="D2" s="1612" t="s">
        <v>438</v>
      </c>
      <c r="E2" s="1612">
        <v>1</v>
      </c>
      <c r="F2" s="1612">
        <v>438</v>
      </c>
      <c r="G2" s="1612">
        <v>0</v>
      </c>
      <c r="H2" s="1612">
        <v>438</v>
      </c>
      <c r="I2" s="1612"/>
      <c r="J2" s="1612">
        <v>11974</v>
      </c>
      <c r="K2" s="1612">
        <v>0</v>
      </c>
      <c r="L2" s="1612">
        <v>11974</v>
      </c>
      <c r="M2" s="1612"/>
      <c r="N2" s="1615">
        <f t="shared" ref="N2:N13" si="0">IF(AND($C2&gt;201905,$C2&lt;201910),MIN($J2,$AC$24*$F2),0)</f>
        <v>0</v>
      </c>
      <c r="O2" s="1615">
        <f t="shared" ref="O2:O13" si="1">IF(AND($C2&gt;201905,$C2&lt;201910),$J2-N2,0)</f>
        <v>0</v>
      </c>
      <c r="P2" s="1615">
        <f t="shared" ref="P2:P13" si="2">IF(AND($C2&gt;201905,$C2&lt;201910),$J2*$AC$25,0)</f>
        <v>0</v>
      </c>
      <c r="Q2" s="1615">
        <f t="shared" ref="Q2:Q13" si="3">IF(AND($C2&gt;201905,$C2&lt;201910),$J2-P2,0)</f>
        <v>0</v>
      </c>
      <c r="R2" s="1615">
        <f t="shared" ref="R2:R13" si="4">IF(OR($C2&gt;201909,$C2&lt;201906),MIN($J2,$AC$24*$F2),0)</f>
        <v>11974</v>
      </c>
      <c r="S2" s="1615">
        <f t="shared" ref="S2:S13" si="5">IF(OR($C2&gt;201909,$C2&lt;201906),$J2-R2,0)</f>
        <v>0</v>
      </c>
      <c r="T2" s="1615">
        <f t="shared" ref="T2:T13" si="6">IF(OR($C2&gt;201909,$C2&lt;201906),$J2*$AC$25,0)</f>
        <v>6649.7669322958563</v>
      </c>
      <c r="U2" s="1615">
        <f t="shared" ref="U2:U13" si="7">IF(OR($C2&gt;201909,$C2&lt;201906),$J2-T2,0)</f>
        <v>5324.2330677041437</v>
      </c>
      <c r="V2" s="1616">
        <f>E2*$AC$2+F2*$AC$3+G2*$AC$4+H2*$AC$5+I2*$AC$6+K2*$AC$7+L2*$AC$8+M2*$AC$9</f>
        <v>7022.902282</v>
      </c>
      <c r="W2" s="1616">
        <f t="shared" ref="W2:W13" si="8">E2*$AC$12+N2*$AC$13+O2*$AC$14+P2*$AC$17+Q2*$AC$18+R2*$AC$15+S2*$AC$16+T2*$AC$19+U2*$AC$20+I2*$AC$21+M2*$AC$22</f>
        <v>2628.2435130616009</v>
      </c>
      <c r="X2" s="1617">
        <f>IF(V2&lt;&gt;0,W2/V2-1,0)</f>
        <v>-0.62576105895736278</v>
      </c>
      <c r="Y2" s="1617"/>
      <c r="Z2" s="1617"/>
      <c r="AB2" s="1618" t="s">
        <v>925</v>
      </c>
      <c r="AC2" s="1619">
        <v>54</v>
      </c>
    </row>
    <row r="3" spans="1:29" ht="15">
      <c r="A3" s="1612">
        <v>1</v>
      </c>
      <c r="B3" s="1612" t="s">
        <v>439</v>
      </c>
      <c r="C3" s="1612">
        <v>201902</v>
      </c>
      <c r="D3" s="1612" t="s">
        <v>438</v>
      </c>
      <c r="E3" s="1612">
        <v>1</v>
      </c>
      <c r="F3" s="1612">
        <v>427</v>
      </c>
      <c r="G3" s="1612">
        <v>0</v>
      </c>
      <c r="H3" s="1612">
        <v>427</v>
      </c>
      <c r="I3" s="1612"/>
      <c r="J3" s="1612">
        <v>16315</v>
      </c>
      <c r="K3" s="1612">
        <v>0</v>
      </c>
      <c r="L3" s="1612">
        <v>16315</v>
      </c>
      <c r="M3" s="1612"/>
      <c r="N3" s="1615">
        <f t="shared" si="0"/>
        <v>0</v>
      </c>
      <c r="O3" s="1615">
        <f t="shared" si="1"/>
        <v>0</v>
      </c>
      <c r="P3" s="1615">
        <f t="shared" si="2"/>
        <v>0</v>
      </c>
      <c r="Q3" s="1615">
        <f t="shared" si="3"/>
        <v>0</v>
      </c>
      <c r="R3" s="1615">
        <f t="shared" si="4"/>
        <v>16315</v>
      </c>
      <c r="S3" s="1615">
        <f t="shared" si="5"/>
        <v>0</v>
      </c>
      <c r="T3" s="1615">
        <f t="shared" si="6"/>
        <v>9060.543469217213</v>
      </c>
      <c r="U3" s="1615">
        <f t="shared" si="7"/>
        <v>7254.456530782787</v>
      </c>
      <c r="V3" s="1616">
        <f t="shared" ref="V3:V13" si="9">E3*$AC$2+F3*$AC$3+G3*$AC$4+H3*$AC$5+I3*$AC$6+K3*$AC$7+L3*$AC$8+M3*$AC$9</f>
        <v>7011.0080449999996</v>
      </c>
      <c r="W3" s="1616">
        <f t="shared" si="8"/>
        <v>3561.4981556372154</v>
      </c>
      <c r="X3" s="1617">
        <f t="shared" ref="X3:X12" si="10">IF(V3&lt;&gt;0,W3/V3-1,0)</f>
        <v>-0.49201339767722152</v>
      </c>
      <c r="Y3" s="1617"/>
      <c r="Z3" s="1617"/>
      <c r="AB3" s="1618" t="s">
        <v>1893</v>
      </c>
      <c r="AC3" s="1619">
        <v>4.04</v>
      </c>
    </row>
    <row r="4" spans="1:29" ht="15">
      <c r="A4" s="1612">
        <v>1</v>
      </c>
      <c r="B4" s="1612" t="s">
        <v>439</v>
      </c>
      <c r="C4" s="1612">
        <v>201903</v>
      </c>
      <c r="D4" s="1612" t="s">
        <v>438</v>
      </c>
      <c r="E4" s="1612">
        <v>1</v>
      </c>
      <c r="F4" s="1612">
        <v>441</v>
      </c>
      <c r="G4" s="1612">
        <v>0</v>
      </c>
      <c r="H4" s="1612">
        <v>441</v>
      </c>
      <c r="I4" s="1612"/>
      <c r="J4" s="1612">
        <v>16034</v>
      </c>
      <c r="K4" s="1612">
        <v>0</v>
      </c>
      <c r="L4" s="1612">
        <v>16034</v>
      </c>
      <c r="M4" s="1612"/>
      <c r="N4" s="1615">
        <f t="shared" si="0"/>
        <v>0</v>
      </c>
      <c r="O4" s="1615">
        <f t="shared" si="1"/>
        <v>0</v>
      </c>
      <c r="P4" s="1615">
        <f t="shared" si="2"/>
        <v>0</v>
      </c>
      <c r="Q4" s="1615">
        <f t="shared" si="3"/>
        <v>0</v>
      </c>
      <c r="R4" s="1615">
        <f t="shared" si="4"/>
        <v>16034</v>
      </c>
      <c r="S4" s="1615">
        <f t="shared" si="5"/>
        <v>0</v>
      </c>
      <c r="T4" s="1615">
        <f t="shared" si="6"/>
        <v>8904.4899776542316</v>
      </c>
      <c r="U4" s="1615">
        <f t="shared" si="7"/>
        <v>7129.5100223457684</v>
      </c>
      <c r="V4" s="1616">
        <f t="shared" si="9"/>
        <v>7210.4328620000006</v>
      </c>
      <c r="W4" s="1616">
        <f t="shared" si="8"/>
        <v>3501.0870626715969</v>
      </c>
      <c r="X4" s="1617">
        <f t="shared" si="10"/>
        <v>-0.51444148642964005</v>
      </c>
      <c r="Y4" s="1617"/>
      <c r="Z4" s="1617"/>
      <c r="AB4" s="1618" t="s">
        <v>2194</v>
      </c>
      <c r="AC4" s="1619">
        <v>14.62</v>
      </c>
    </row>
    <row r="5" spans="1:29" ht="15">
      <c r="A5" s="1612">
        <v>1</v>
      </c>
      <c r="B5" s="1612" t="s">
        <v>439</v>
      </c>
      <c r="C5" s="1612">
        <v>201904</v>
      </c>
      <c r="D5" s="1612" t="s">
        <v>438</v>
      </c>
      <c r="E5" s="1612">
        <v>1</v>
      </c>
      <c r="F5" s="1612">
        <v>438</v>
      </c>
      <c r="G5" s="1612">
        <v>0</v>
      </c>
      <c r="H5" s="1612">
        <v>438</v>
      </c>
      <c r="I5" s="1612"/>
      <c r="J5" s="1612">
        <v>12477</v>
      </c>
      <c r="K5" s="1612">
        <v>0</v>
      </c>
      <c r="L5" s="1612">
        <v>12477</v>
      </c>
      <c r="M5" s="1612"/>
      <c r="N5" s="1615">
        <f t="shared" si="0"/>
        <v>0</v>
      </c>
      <c r="O5" s="1615">
        <f t="shared" si="1"/>
        <v>0</v>
      </c>
      <c r="P5" s="1615">
        <f t="shared" si="2"/>
        <v>0</v>
      </c>
      <c r="Q5" s="1615">
        <f t="shared" si="3"/>
        <v>0</v>
      </c>
      <c r="R5" s="1615">
        <f t="shared" si="4"/>
        <v>12477</v>
      </c>
      <c r="S5" s="1615">
        <f t="shared" si="5"/>
        <v>0</v>
      </c>
      <c r="T5" s="1615">
        <f t="shared" si="6"/>
        <v>6929.1082356986308</v>
      </c>
      <c r="U5" s="1615">
        <f t="shared" si="7"/>
        <v>5547.8917643013692</v>
      </c>
      <c r="V5" s="1616">
        <f t="shared" si="9"/>
        <v>7040.5792110000002</v>
      </c>
      <c r="W5" s="1616">
        <f t="shared" si="8"/>
        <v>2736.3815193310165</v>
      </c>
      <c r="X5" s="1617">
        <f t="shared" si="10"/>
        <v>-0.61134141988548718</v>
      </c>
      <c r="Y5" s="1617"/>
      <c r="Z5" s="1617"/>
      <c r="AB5" s="1618" t="s">
        <v>2195</v>
      </c>
      <c r="AC5" s="1619">
        <v>10.91</v>
      </c>
    </row>
    <row r="6" spans="1:29" ht="15">
      <c r="A6" s="1612">
        <v>1</v>
      </c>
      <c r="B6" s="1612" t="s">
        <v>439</v>
      </c>
      <c r="C6" s="1612">
        <v>201905</v>
      </c>
      <c r="D6" s="1612" t="s">
        <v>438</v>
      </c>
      <c r="E6" s="1612">
        <v>1</v>
      </c>
      <c r="F6" s="1612">
        <v>433</v>
      </c>
      <c r="G6" s="1612">
        <v>433</v>
      </c>
      <c r="H6" s="1612">
        <v>0</v>
      </c>
      <c r="I6" s="1612"/>
      <c r="J6" s="1612">
        <v>15134</v>
      </c>
      <c r="K6" s="1612">
        <v>15134</v>
      </c>
      <c r="L6" s="1612">
        <v>0</v>
      </c>
      <c r="M6" s="1612"/>
      <c r="N6" s="1615">
        <f t="shared" si="0"/>
        <v>0</v>
      </c>
      <c r="O6" s="1615">
        <f t="shared" si="1"/>
        <v>0</v>
      </c>
      <c r="P6" s="1615">
        <f t="shared" si="2"/>
        <v>0</v>
      </c>
      <c r="Q6" s="1615">
        <f t="shared" si="3"/>
        <v>0</v>
      </c>
      <c r="R6" s="1615">
        <f t="shared" si="4"/>
        <v>15134</v>
      </c>
      <c r="S6" s="1615">
        <f t="shared" si="5"/>
        <v>0</v>
      </c>
      <c r="T6" s="1615">
        <f t="shared" si="6"/>
        <v>8404.6745242496654</v>
      </c>
      <c r="U6" s="1615">
        <f t="shared" si="7"/>
        <v>6729.3254757503346</v>
      </c>
      <c r="V6" s="1616">
        <f t="shared" si="9"/>
        <v>8710.7940180000005</v>
      </c>
      <c r="W6" s="1616">
        <f t="shared" si="8"/>
        <v>3307.5995763048495</v>
      </c>
      <c r="X6" s="1617">
        <f t="shared" si="10"/>
        <v>-0.6202872471246571</v>
      </c>
      <c r="Y6" s="1617"/>
      <c r="Z6" s="1617"/>
      <c r="AB6" s="1618" t="s">
        <v>1869</v>
      </c>
      <c r="AC6" s="1619">
        <v>-0.96</v>
      </c>
    </row>
    <row r="7" spans="1:29" ht="15">
      <c r="A7" s="1612">
        <v>1</v>
      </c>
      <c r="B7" s="1612" t="s">
        <v>439</v>
      </c>
      <c r="C7" s="1612">
        <v>201906</v>
      </c>
      <c r="D7" s="1612" t="s">
        <v>438</v>
      </c>
      <c r="E7" s="1612">
        <v>1</v>
      </c>
      <c r="F7" s="1612">
        <v>440</v>
      </c>
      <c r="G7" s="1612">
        <v>440</v>
      </c>
      <c r="H7" s="1612">
        <v>0</v>
      </c>
      <c r="I7" s="1612"/>
      <c r="J7" s="1612">
        <v>14762</v>
      </c>
      <c r="K7" s="1612">
        <v>14762</v>
      </c>
      <c r="L7" s="1612">
        <v>0</v>
      </c>
      <c r="M7" s="1612"/>
      <c r="N7" s="1615">
        <f t="shared" si="0"/>
        <v>14762</v>
      </c>
      <c r="O7" s="1615">
        <f t="shared" si="1"/>
        <v>0</v>
      </c>
      <c r="P7" s="1615">
        <f t="shared" si="2"/>
        <v>8198.0841368424444</v>
      </c>
      <c r="Q7" s="1615">
        <f t="shared" si="3"/>
        <v>6563.9158631575556</v>
      </c>
      <c r="R7" s="1615">
        <f t="shared" si="4"/>
        <v>0</v>
      </c>
      <c r="S7" s="1615">
        <f t="shared" si="5"/>
        <v>0</v>
      </c>
      <c r="T7" s="1615">
        <f t="shared" si="6"/>
        <v>0</v>
      </c>
      <c r="U7" s="1615">
        <f t="shared" si="7"/>
        <v>0</v>
      </c>
      <c r="V7" s="1616">
        <f t="shared" si="9"/>
        <v>8827.2307739999997</v>
      </c>
      <c r="W7" s="1616">
        <f t="shared" si="8"/>
        <v>3640.2051014789126</v>
      </c>
      <c r="X7" s="1617">
        <f t="shared" si="10"/>
        <v>-0.58761641168361822</v>
      </c>
      <c r="Y7" s="1617"/>
      <c r="Z7" s="1617"/>
      <c r="AB7" s="1618" t="s">
        <v>2196</v>
      </c>
      <c r="AC7" s="1620">
        <v>3.8127000000000001E-2</v>
      </c>
    </row>
    <row r="8" spans="1:29" ht="15">
      <c r="A8" s="1612">
        <v>1</v>
      </c>
      <c r="B8" s="1612" t="s">
        <v>439</v>
      </c>
      <c r="C8" s="1612">
        <v>201907</v>
      </c>
      <c r="D8" s="1612" t="s">
        <v>438</v>
      </c>
      <c r="E8" s="1612">
        <v>1</v>
      </c>
      <c r="F8" s="1612">
        <v>437</v>
      </c>
      <c r="G8" s="1612">
        <v>437</v>
      </c>
      <c r="H8" s="1612">
        <v>0</v>
      </c>
      <c r="I8" s="1612"/>
      <c r="J8" s="1612">
        <v>15512</v>
      </c>
      <c r="K8" s="1612">
        <v>15512</v>
      </c>
      <c r="L8" s="1612">
        <v>0</v>
      </c>
      <c r="M8" s="1612"/>
      <c r="N8" s="1615">
        <f t="shared" si="0"/>
        <v>15512</v>
      </c>
      <c r="O8" s="1615">
        <f t="shared" si="1"/>
        <v>0</v>
      </c>
      <c r="P8" s="1615">
        <f t="shared" si="2"/>
        <v>8614.5970146795826</v>
      </c>
      <c r="Q8" s="1615">
        <f t="shared" si="3"/>
        <v>6897.4029853204174</v>
      </c>
      <c r="R8" s="1615">
        <f t="shared" si="4"/>
        <v>0</v>
      </c>
      <c r="S8" s="1615">
        <f t="shared" si="5"/>
        <v>0</v>
      </c>
      <c r="T8" s="1615">
        <f t="shared" si="6"/>
        <v>0</v>
      </c>
      <c r="U8" s="1615">
        <f t="shared" si="7"/>
        <v>0</v>
      </c>
      <c r="V8" s="1616">
        <f t="shared" si="9"/>
        <v>8799.8460240000004</v>
      </c>
      <c r="W8" s="1616">
        <f t="shared" si="8"/>
        <v>3822.4062819496603</v>
      </c>
      <c r="X8" s="1617">
        <f t="shared" si="10"/>
        <v>-0.56562804945396394</v>
      </c>
      <c r="Y8" s="1617"/>
      <c r="Z8" s="1617"/>
      <c r="AB8" s="1618" t="s">
        <v>2197</v>
      </c>
      <c r="AC8" s="1620">
        <v>3.5143000000000001E-2</v>
      </c>
    </row>
    <row r="9" spans="1:29" ht="15">
      <c r="A9" s="1612">
        <v>1</v>
      </c>
      <c r="B9" s="1612" t="s">
        <v>439</v>
      </c>
      <c r="C9" s="1612">
        <v>201908</v>
      </c>
      <c r="D9" s="1612" t="s">
        <v>438</v>
      </c>
      <c r="E9" s="1612">
        <v>1</v>
      </c>
      <c r="F9" s="1612">
        <v>445</v>
      </c>
      <c r="G9" s="1612">
        <v>445</v>
      </c>
      <c r="H9" s="1612">
        <v>0</v>
      </c>
      <c r="I9" s="1612"/>
      <c r="J9" s="1612">
        <v>12753</v>
      </c>
      <c r="K9" s="1612">
        <v>12753</v>
      </c>
      <c r="L9" s="1612">
        <v>0</v>
      </c>
      <c r="M9" s="1612"/>
      <c r="N9" s="1615">
        <f t="shared" si="0"/>
        <v>12753</v>
      </c>
      <c r="O9" s="1615">
        <f t="shared" si="1"/>
        <v>0</v>
      </c>
      <c r="P9" s="1615">
        <f t="shared" si="2"/>
        <v>7082.3849747426975</v>
      </c>
      <c r="Q9" s="1615">
        <f t="shared" si="3"/>
        <v>5670.6150252573025</v>
      </c>
      <c r="R9" s="1615">
        <f t="shared" si="4"/>
        <v>0</v>
      </c>
      <c r="S9" s="1615">
        <f t="shared" si="5"/>
        <v>0</v>
      </c>
      <c r="T9" s="1615">
        <f t="shared" si="6"/>
        <v>0</v>
      </c>
      <c r="U9" s="1615">
        <f t="shared" si="7"/>
        <v>0</v>
      </c>
      <c r="V9" s="1616">
        <f t="shared" si="9"/>
        <v>8843.9336309999981</v>
      </c>
      <c r="W9" s="1616">
        <f t="shared" si="8"/>
        <v>3152.1488727246015</v>
      </c>
      <c r="X9" s="1617">
        <f t="shared" si="10"/>
        <v>-0.64358067300781152</v>
      </c>
      <c r="Y9" s="1617"/>
      <c r="Z9" s="1617"/>
      <c r="AB9" s="1618" t="s">
        <v>1157</v>
      </c>
      <c r="AC9" s="1620">
        <v>7.1249999999999994E-2</v>
      </c>
    </row>
    <row r="10" spans="1:29" ht="15">
      <c r="A10" s="1612">
        <v>1</v>
      </c>
      <c r="B10" s="1612" t="s">
        <v>439</v>
      </c>
      <c r="C10" s="1612">
        <v>201909</v>
      </c>
      <c r="D10" s="1612" t="s">
        <v>438</v>
      </c>
      <c r="E10" s="1612">
        <v>1</v>
      </c>
      <c r="F10" s="1612">
        <v>410</v>
      </c>
      <c r="G10" s="1612">
        <v>410</v>
      </c>
      <c r="H10" s="1612">
        <v>0</v>
      </c>
      <c r="I10" s="1612"/>
      <c r="J10" s="1612">
        <v>12229</v>
      </c>
      <c r="K10" s="1612">
        <v>12229</v>
      </c>
      <c r="L10" s="1612">
        <v>0</v>
      </c>
      <c r="M10" s="1612"/>
      <c r="N10" s="1615">
        <f t="shared" si="0"/>
        <v>12229</v>
      </c>
      <c r="O10" s="1615">
        <f t="shared" si="1"/>
        <v>0</v>
      </c>
      <c r="P10" s="1615">
        <f t="shared" si="2"/>
        <v>6791.3813107604838</v>
      </c>
      <c r="Q10" s="1615">
        <f t="shared" si="3"/>
        <v>5437.6186892395162</v>
      </c>
      <c r="R10" s="1615">
        <f t="shared" si="4"/>
        <v>0</v>
      </c>
      <c r="S10" s="1615">
        <f t="shared" si="5"/>
        <v>0</v>
      </c>
      <c r="T10" s="1615">
        <f t="shared" si="6"/>
        <v>0</v>
      </c>
      <c r="U10" s="1615">
        <f t="shared" si="7"/>
        <v>0</v>
      </c>
      <c r="V10" s="1616">
        <f t="shared" si="9"/>
        <v>8170.8550830000004</v>
      </c>
      <c r="W10" s="1616">
        <f t="shared" si="8"/>
        <v>3024.8509813023725</v>
      </c>
      <c r="X10" s="1617">
        <f t="shared" si="10"/>
        <v>-0.62979994742584866</v>
      </c>
      <c r="Y10" s="1617"/>
      <c r="Z10" s="1617"/>
      <c r="AB10" s="1618"/>
    </row>
    <row r="11" spans="1:29" ht="15">
      <c r="A11" s="1612">
        <v>1</v>
      </c>
      <c r="B11" s="1612" t="s">
        <v>439</v>
      </c>
      <c r="C11" s="1612">
        <v>201910</v>
      </c>
      <c r="D11" s="1612" t="s">
        <v>438</v>
      </c>
      <c r="E11" s="1612">
        <v>1</v>
      </c>
      <c r="F11" s="1612">
        <v>425</v>
      </c>
      <c r="G11" s="1612">
        <v>0</v>
      </c>
      <c r="H11" s="1612">
        <v>425</v>
      </c>
      <c r="I11" s="1612"/>
      <c r="J11" s="1612">
        <v>9031</v>
      </c>
      <c r="K11" s="1612">
        <v>0</v>
      </c>
      <c r="L11" s="1612">
        <v>9031</v>
      </c>
      <c r="M11" s="1612"/>
      <c r="N11" s="1615">
        <f t="shared" si="0"/>
        <v>0</v>
      </c>
      <c r="O11" s="1615">
        <f t="shared" si="1"/>
        <v>0</v>
      </c>
      <c r="P11" s="1615">
        <f t="shared" si="2"/>
        <v>0</v>
      </c>
      <c r="Q11" s="1615">
        <f t="shared" si="3"/>
        <v>0</v>
      </c>
      <c r="R11" s="1615">
        <f t="shared" si="4"/>
        <v>9031</v>
      </c>
      <c r="S11" s="1615">
        <f t="shared" si="5"/>
        <v>0</v>
      </c>
      <c r="T11" s="1615">
        <f t="shared" si="6"/>
        <v>5015.3703996629265</v>
      </c>
      <c r="U11" s="1615">
        <f t="shared" si="7"/>
        <v>4015.6296003370735</v>
      </c>
      <c r="V11" s="1616">
        <f t="shared" si="9"/>
        <v>6725.1264330000004</v>
      </c>
      <c r="W11" s="1616">
        <f t="shared" si="8"/>
        <v>1995.5394326423348</v>
      </c>
      <c r="X11" s="1617">
        <f t="shared" si="10"/>
        <v>-0.70327109051061387</v>
      </c>
      <c r="Y11" s="1617"/>
      <c r="Z11" s="1617"/>
      <c r="AB11" s="1618"/>
      <c r="AC11" s="1612" t="s">
        <v>2192</v>
      </c>
    </row>
    <row r="12" spans="1:29" ht="15">
      <c r="A12" s="1612">
        <v>1</v>
      </c>
      <c r="B12" s="1612" t="s">
        <v>439</v>
      </c>
      <c r="C12" s="1612">
        <v>201911</v>
      </c>
      <c r="D12" s="1612" t="s">
        <v>438</v>
      </c>
      <c r="E12" s="1612">
        <v>1</v>
      </c>
      <c r="F12" s="1612">
        <v>435</v>
      </c>
      <c r="G12" s="1612">
        <v>0</v>
      </c>
      <c r="H12" s="1612">
        <v>435</v>
      </c>
      <c r="I12" s="1612"/>
      <c r="J12" s="1612">
        <v>12608</v>
      </c>
      <c r="K12" s="1612">
        <v>0</v>
      </c>
      <c r="L12" s="1612">
        <v>12608</v>
      </c>
      <c r="M12" s="1612"/>
      <c r="N12" s="1615">
        <f t="shared" si="0"/>
        <v>0</v>
      </c>
      <c r="O12" s="1615">
        <f t="shared" si="1"/>
        <v>0</v>
      </c>
      <c r="P12" s="1615">
        <f t="shared" si="2"/>
        <v>0</v>
      </c>
      <c r="Q12" s="1615">
        <f t="shared" si="3"/>
        <v>0</v>
      </c>
      <c r="R12" s="1615">
        <f t="shared" si="4"/>
        <v>12608</v>
      </c>
      <c r="S12" s="1615">
        <f t="shared" si="5"/>
        <v>0</v>
      </c>
      <c r="T12" s="1615">
        <f t="shared" si="6"/>
        <v>7001.8591516941842</v>
      </c>
      <c r="U12" s="1615">
        <f t="shared" si="7"/>
        <v>5606.1408483058158</v>
      </c>
      <c r="V12" s="1616">
        <f t="shared" si="9"/>
        <v>7000.3329439999998</v>
      </c>
      <c r="W12" s="1616">
        <f t="shared" si="8"/>
        <v>2764.5446979021763</v>
      </c>
      <c r="X12" s="1617">
        <f t="shared" si="10"/>
        <v>-0.60508382672403127</v>
      </c>
      <c r="Y12" s="1617"/>
      <c r="Z12" s="1617"/>
      <c r="AB12" s="1618" t="s">
        <v>925</v>
      </c>
      <c r="AC12" s="1621">
        <v>54</v>
      </c>
    </row>
    <row r="13" spans="1:29" ht="15">
      <c r="A13" s="1612">
        <v>1</v>
      </c>
      <c r="B13" s="1612" t="s">
        <v>439</v>
      </c>
      <c r="C13" s="1612">
        <v>201912</v>
      </c>
      <c r="D13" s="1612" t="s">
        <v>438</v>
      </c>
      <c r="E13" s="1612">
        <v>1</v>
      </c>
      <c r="F13" s="1612">
        <v>428</v>
      </c>
      <c r="G13" s="1612">
        <v>0</v>
      </c>
      <c r="H13" s="1612">
        <v>428</v>
      </c>
      <c r="I13" s="1612"/>
      <c r="J13" s="1612">
        <v>11568</v>
      </c>
      <c r="K13" s="1612">
        <v>0</v>
      </c>
      <c r="L13" s="1612">
        <v>11568</v>
      </c>
      <c r="M13" s="1612"/>
      <c r="N13" s="1615">
        <f t="shared" si="0"/>
        <v>0</v>
      </c>
      <c r="O13" s="1615">
        <f t="shared" si="1"/>
        <v>0</v>
      </c>
      <c r="P13" s="1615">
        <f t="shared" si="2"/>
        <v>0</v>
      </c>
      <c r="Q13" s="1615">
        <f t="shared" si="3"/>
        <v>0</v>
      </c>
      <c r="R13" s="1615">
        <f t="shared" si="4"/>
        <v>11568</v>
      </c>
      <c r="S13" s="1615">
        <f t="shared" si="5"/>
        <v>0</v>
      </c>
      <c r="T13" s="1615">
        <f t="shared" si="6"/>
        <v>6424.2946277600195</v>
      </c>
      <c r="U13" s="1615">
        <f t="shared" si="7"/>
        <v>5143.7053722399805</v>
      </c>
      <c r="V13" s="1616">
        <f t="shared" si="9"/>
        <v>6859.1342240000004</v>
      </c>
      <c r="W13" s="1616">
        <f t="shared" si="8"/>
        <v>2540.9591581006016</v>
      </c>
      <c r="X13" s="1617">
        <f>IF(V13&lt;&gt;0,W13/V13-1,0)</f>
        <v>-0.62955103732919726</v>
      </c>
      <c r="Y13" s="1617"/>
      <c r="Z13" s="1617"/>
      <c r="AB13" s="1618" t="s">
        <v>1904</v>
      </c>
      <c r="AC13" s="1622">
        <v>0.22</v>
      </c>
    </row>
    <row r="14" spans="1:29" ht="15">
      <c r="A14" s="1612"/>
      <c r="E14" s="1625">
        <f>SUM(E2:E13)</f>
        <v>12</v>
      </c>
      <c r="F14" s="1625">
        <f t="shared" ref="F14:W14" si="11">SUM(F2:F13)</f>
        <v>5197</v>
      </c>
      <c r="G14" s="1625">
        <f t="shared" si="11"/>
        <v>2165</v>
      </c>
      <c r="H14" s="1625">
        <f t="shared" si="11"/>
        <v>3032</v>
      </c>
      <c r="I14" s="1625">
        <f t="shared" si="11"/>
        <v>0</v>
      </c>
      <c r="J14" s="1625">
        <f t="shared" si="11"/>
        <v>160397</v>
      </c>
      <c r="K14" s="1625">
        <f t="shared" si="11"/>
        <v>70390</v>
      </c>
      <c r="L14" s="1625">
        <f t="shared" si="11"/>
        <v>90007</v>
      </c>
      <c r="M14" s="1625">
        <f t="shared" si="11"/>
        <v>0</v>
      </c>
      <c r="N14" s="1625">
        <f t="shared" si="11"/>
        <v>55256</v>
      </c>
      <c r="O14" s="1625">
        <f t="shared" si="11"/>
        <v>0</v>
      </c>
      <c r="P14" s="1625">
        <f t="shared" si="11"/>
        <v>30686.447437025206</v>
      </c>
      <c r="Q14" s="1625">
        <f t="shared" si="11"/>
        <v>24569.55256297479</v>
      </c>
      <c r="R14" s="1625">
        <f t="shared" si="11"/>
        <v>105141</v>
      </c>
      <c r="S14" s="1625">
        <f t="shared" si="11"/>
        <v>0</v>
      </c>
      <c r="T14" s="1625">
        <f t="shared" si="11"/>
        <v>58390.107318232724</v>
      </c>
      <c r="U14" s="1625">
        <f t="shared" si="11"/>
        <v>46750.892681767269</v>
      </c>
      <c r="V14" s="1625">
        <f t="shared" si="11"/>
        <v>92222.175530999972</v>
      </c>
      <c r="W14" s="1625">
        <f t="shared" si="11"/>
        <v>36675.464353106945</v>
      </c>
      <c r="X14" s="1626">
        <f>IF(V14&lt;&gt;0,W14/V14-1,0)</f>
        <v>-0.60231404060969385</v>
      </c>
      <c r="Y14" s="1617"/>
      <c r="Z14" s="1617"/>
      <c r="AB14" s="1618" t="s">
        <v>1899</v>
      </c>
      <c r="AC14" s="1622">
        <v>4.3259225059520533E-2</v>
      </c>
    </row>
    <row r="15" spans="1:29" ht="15">
      <c r="A15" s="1612"/>
      <c r="F15" s="1615"/>
      <c r="G15" s="1615"/>
      <c r="H15" s="1615"/>
      <c r="I15" s="1615"/>
      <c r="J15" s="1615"/>
      <c r="K15" s="1615"/>
      <c r="L15" s="1615"/>
      <c r="M15" s="1615"/>
      <c r="N15" s="1615"/>
      <c r="O15" s="1615"/>
      <c r="P15" s="1615"/>
      <c r="Q15" s="1615"/>
      <c r="R15" s="1615"/>
      <c r="S15" s="1615"/>
      <c r="T15" s="1615"/>
      <c r="U15" s="1615"/>
      <c r="V15" s="1616"/>
      <c r="W15" s="1616"/>
      <c r="X15" s="1617"/>
      <c r="Y15" s="1617"/>
      <c r="Z15" s="1617"/>
      <c r="AB15" s="1618" t="s">
        <v>1905</v>
      </c>
      <c r="AC15" s="1622">
        <v>0.19469</v>
      </c>
    </row>
    <row r="16" spans="1:29" ht="15">
      <c r="A16" s="1612"/>
      <c r="F16" s="1615"/>
      <c r="G16" s="1615"/>
      <c r="H16" s="1615"/>
      <c r="I16" s="1615"/>
      <c r="J16" s="1615"/>
      <c r="K16" s="1615"/>
      <c r="L16" s="1615"/>
      <c r="M16" s="1615"/>
      <c r="N16" s="1615"/>
      <c r="O16" s="1615"/>
      <c r="P16" s="1615"/>
      <c r="Q16" s="1615"/>
      <c r="R16" s="1615"/>
      <c r="S16" s="1615"/>
      <c r="T16" s="1615"/>
      <c r="U16" s="1615"/>
      <c r="V16" s="1616"/>
      <c r="W16" s="1616"/>
      <c r="X16" s="1617"/>
      <c r="Y16" s="1617"/>
      <c r="Z16" s="1617"/>
      <c r="AB16" s="1618" t="s">
        <v>1898</v>
      </c>
      <c r="AC16" s="1622">
        <v>3.8282999999999998E-2</v>
      </c>
    </row>
    <row r="17" spans="1:29" ht="15">
      <c r="A17" s="1612"/>
      <c r="F17" s="1615"/>
      <c r="G17" s="1615"/>
      <c r="H17" s="1615"/>
      <c r="I17" s="1615"/>
      <c r="J17" s="1615"/>
      <c r="K17" s="1615"/>
      <c r="L17" s="1615"/>
      <c r="M17" s="1615"/>
      <c r="N17" s="1615"/>
      <c r="O17" s="1615"/>
      <c r="P17" s="1615"/>
      <c r="Q17" s="1615"/>
      <c r="R17" s="1615"/>
      <c r="S17" s="1615"/>
      <c r="T17" s="1615"/>
      <c r="U17" s="1615"/>
      <c r="V17" s="1616"/>
      <c r="W17" s="1616"/>
      <c r="X17" s="1617"/>
      <c r="Y17" s="1617"/>
      <c r="Z17" s="1617"/>
      <c r="AB17" s="1618" t="s">
        <v>1900</v>
      </c>
      <c r="AC17" s="1622">
        <v>0.06</v>
      </c>
    </row>
    <row r="18" spans="1:29" ht="15">
      <c r="A18" s="1612"/>
      <c r="F18" s="1615"/>
      <c r="G18" s="1615"/>
      <c r="H18" s="1615"/>
      <c r="I18" s="1615"/>
      <c r="J18" s="1615"/>
      <c r="K18" s="1615"/>
      <c r="L18" s="1615"/>
      <c r="M18" s="1615"/>
      <c r="N18" s="1615"/>
      <c r="O18" s="1615"/>
      <c r="P18" s="1615"/>
      <c r="Q18" s="1615"/>
      <c r="R18" s="1615"/>
      <c r="S18" s="1615"/>
      <c r="T18" s="1615"/>
      <c r="U18" s="1615"/>
      <c r="V18" s="1616"/>
      <c r="W18" s="1616"/>
      <c r="X18" s="1617"/>
      <c r="Y18" s="1617"/>
      <c r="Z18" s="1617"/>
      <c r="AB18" s="1618" t="s">
        <v>1901</v>
      </c>
      <c r="AC18" s="1622">
        <v>-2.3358E-2</v>
      </c>
    </row>
    <row r="19" spans="1:29" ht="15">
      <c r="A19" s="1612"/>
      <c r="F19" s="1615"/>
      <c r="G19" s="1615"/>
      <c r="H19" s="1615"/>
      <c r="I19" s="1615"/>
      <c r="J19" s="1615"/>
      <c r="K19" s="1615"/>
      <c r="L19" s="1615"/>
      <c r="M19" s="1615"/>
      <c r="N19" s="1615"/>
      <c r="O19" s="1615"/>
      <c r="P19" s="1615"/>
      <c r="Q19" s="1615"/>
      <c r="R19" s="1615"/>
      <c r="S19" s="1615"/>
      <c r="T19" s="1615"/>
      <c r="U19" s="1615"/>
      <c r="V19" s="1616"/>
      <c r="W19" s="1616"/>
      <c r="X19" s="1617"/>
      <c r="Y19" s="1617"/>
      <c r="Z19" s="1617"/>
      <c r="AB19" s="1618" t="s">
        <v>1902</v>
      </c>
      <c r="AC19" s="1622">
        <v>5.3096999999999998E-2</v>
      </c>
    </row>
    <row r="20" spans="1:29" ht="15">
      <c r="A20" s="1612"/>
      <c r="F20" s="1615"/>
      <c r="G20" s="1615"/>
      <c r="H20" s="1615"/>
      <c r="I20" s="1615"/>
      <c r="J20" s="1615"/>
      <c r="K20" s="1615"/>
      <c r="L20" s="1615"/>
      <c r="M20" s="1615"/>
      <c r="N20" s="1615"/>
      <c r="O20" s="1615"/>
      <c r="P20" s="1615"/>
      <c r="Q20" s="1615"/>
      <c r="R20" s="1615"/>
      <c r="S20" s="1615"/>
      <c r="T20" s="1615"/>
      <c r="U20" s="1615"/>
      <c r="V20" s="1616"/>
      <c r="W20" s="1616"/>
      <c r="X20" s="1617"/>
      <c r="Y20" s="1617"/>
      <c r="Z20" s="1617"/>
      <c r="AB20" s="1618" t="s">
        <v>1903</v>
      </c>
      <c r="AC20" s="1622">
        <v>-2.0670999999999998E-2</v>
      </c>
    </row>
    <row r="21" spans="1:29" ht="15">
      <c r="A21" s="1612"/>
      <c r="F21" s="1615"/>
      <c r="G21" s="1615"/>
      <c r="H21" s="1615"/>
      <c r="I21" s="1615"/>
      <c r="J21" s="1615"/>
      <c r="K21" s="1615"/>
      <c r="L21" s="1615"/>
      <c r="M21" s="1615"/>
      <c r="N21" s="1615"/>
      <c r="O21" s="1615"/>
      <c r="P21" s="1615"/>
      <c r="Q21" s="1615"/>
      <c r="R21" s="1615"/>
      <c r="S21" s="1615"/>
      <c r="T21" s="1615"/>
      <c r="U21" s="1615"/>
      <c r="V21" s="1616"/>
      <c r="W21" s="1616"/>
      <c r="X21" s="1617"/>
      <c r="Y21" s="1617"/>
      <c r="Z21" s="1617"/>
      <c r="AB21" s="1618" t="s">
        <v>1869</v>
      </c>
      <c r="AC21" s="1622">
        <v>-0.61</v>
      </c>
    </row>
    <row r="22" spans="1:29" ht="15">
      <c r="A22" s="1612"/>
      <c r="F22" s="1615"/>
      <c r="G22" s="1615"/>
      <c r="H22" s="1615"/>
      <c r="I22" s="1615"/>
      <c r="J22" s="1615"/>
      <c r="K22" s="1615"/>
      <c r="L22" s="1615"/>
      <c r="M22" s="1615"/>
      <c r="N22" s="1615"/>
      <c r="O22" s="1615"/>
      <c r="P22" s="1615"/>
      <c r="Q22" s="1615"/>
      <c r="R22" s="1615"/>
      <c r="S22" s="1615"/>
      <c r="T22" s="1615"/>
      <c r="U22" s="1615"/>
      <c r="V22" s="1616"/>
      <c r="W22" s="1616"/>
      <c r="X22" s="1617"/>
      <c r="Y22" s="1617"/>
      <c r="Z22" s="1617"/>
      <c r="AB22" s="1618" t="s">
        <v>1157</v>
      </c>
      <c r="AC22" s="1622">
        <v>7.1249999999999994E-2</v>
      </c>
    </row>
    <row r="23" spans="1:29" ht="15">
      <c r="A23" s="1612"/>
      <c r="F23" s="1615"/>
      <c r="G23" s="1615"/>
      <c r="H23" s="1615"/>
      <c r="I23" s="1615"/>
      <c r="J23" s="1615"/>
      <c r="K23" s="1615"/>
      <c r="L23" s="1615"/>
      <c r="M23" s="1615"/>
      <c r="N23" s="1615"/>
      <c r="O23" s="1615"/>
      <c r="P23" s="1615"/>
      <c r="Q23" s="1615"/>
      <c r="R23" s="1615"/>
      <c r="S23" s="1615"/>
      <c r="T23" s="1615"/>
      <c r="U23" s="1615"/>
      <c r="V23" s="1616"/>
      <c r="W23" s="1616"/>
      <c r="X23" s="1617"/>
      <c r="Y23" s="1617"/>
      <c r="Z23" s="1617"/>
    </row>
    <row r="24" spans="1:29" ht="15">
      <c r="A24" s="1612"/>
      <c r="F24" s="1615"/>
      <c r="G24" s="1615"/>
      <c r="H24" s="1615"/>
      <c r="I24" s="1615"/>
      <c r="J24" s="1615"/>
      <c r="K24" s="1615"/>
      <c r="L24" s="1615"/>
      <c r="M24" s="1615"/>
      <c r="N24" s="1615"/>
      <c r="O24" s="1615"/>
      <c r="P24" s="1615"/>
      <c r="Q24" s="1615"/>
      <c r="R24" s="1615"/>
      <c r="S24" s="1615"/>
      <c r="T24" s="1615"/>
      <c r="U24" s="1615"/>
      <c r="V24" s="1616"/>
      <c r="W24" s="1616"/>
      <c r="X24" s="1617"/>
      <c r="Y24" s="1617"/>
      <c r="Z24" s="1617"/>
      <c r="AB24" s="1618" t="s">
        <v>2198</v>
      </c>
      <c r="AC24" s="1612">
        <v>50</v>
      </c>
    </row>
    <row r="25" spans="1:29" ht="15">
      <c r="A25" s="1612"/>
      <c r="F25" s="1615"/>
      <c r="G25" s="1615"/>
      <c r="H25" s="1615"/>
      <c r="I25" s="1615"/>
      <c r="J25" s="1615"/>
      <c r="K25" s="1615"/>
      <c r="L25" s="1615"/>
      <c r="M25" s="1615"/>
      <c r="N25" s="1615"/>
      <c r="O25" s="1615"/>
      <c r="P25" s="1615"/>
      <c r="Q25" s="1615"/>
      <c r="R25" s="1615"/>
      <c r="S25" s="1615"/>
      <c r="T25" s="1615"/>
      <c r="U25" s="1615"/>
      <c r="V25" s="1616"/>
      <c r="W25" s="1616"/>
      <c r="X25" s="1617"/>
      <c r="Y25" s="1617"/>
      <c r="Z25" s="1617"/>
      <c r="AB25" s="1618" t="s">
        <v>905</v>
      </c>
      <c r="AC25" s="1623">
        <v>0.55535050378285089</v>
      </c>
    </row>
    <row r="26" spans="1:29" ht="15">
      <c r="A26" s="1612"/>
      <c r="F26" s="1615"/>
      <c r="G26" s="1615"/>
      <c r="H26" s="1615"/>
      <c r="I26" s="1615"/>
      <c r="J26" s="1615"/>
      <c r="K26" s="1615"/>
      <c r="L26" s="1615"/>
      <c r="M26" s="1615"/>
      <c r="N26" s="1615"/>
      <c r="O26" s="1615"/>
      <c r="P26" s="1615"/>
      <c r="Q26" s="1615"/>
      <c r="R26" s="1615"/>
      <c r="S26" s="1615"/>
      <c r="T26" s="1615"/>
      <c r="U26" s="1615"/>
      <c r="V26" s="1616"/>
      <c r="W26" s="1616"/>
      <c r="X26" s="1617"/>
      <c r="Y26" s="1617"/>
      <c r="Z26" s="1617"/>
      <c r="AB26" s="1618"/>
    </row>
  </sheetData>
  <autoFilter ref="A1:X26"/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92D050"/>
  </sheetPr>
  <dimension ref="A1:AL46"/>
  <sheetViews>
    <sheetView workbookViewId="0">
      <pane xSplit="2" ySplit="1" topLeftCell="C5" activePane="bottomRight" state="frozen"/>
      <selection activeCell="W28" sqref="W28"/>
      <selection pane="topRight" activeCell="W28" sqref="W28"/>
      <selection pane="bottomLeft" activeCell="W28" sqref="W28"/>
      <selection pane="bottomRight" activeCell="J11" sqref="J11"/>
    </sheetView>
  </sheetViews>
  <sheetFormatPr defaultColWidth="7.75" defaultRowHeight="12.75"/>
  <cols>
    <col min="1" max="1" width="9.25" style="122" bestFit="1" customWidth="1"/>
    <col min="2" max="2" width="22.125" style="122" customWidth="1"/>
    <col min="3" max="3" width="12.625" style="122" bestFit="1" customWidth="1"/>
    <col min="4" max="4" width="10.625" style="122" bestFit="1" customWidth="1"/>
    <col min="5" max="5" width="9.625" style="122" bestFit="1" customWidth="1"/>
    <col min="6" max="6" width="8.5" style="122" bestFit="1" customWidth="1"/>
    <col min="7" max="7" width="10.125" style="122" bestFit="1" customWidth="1"/>
    <col min="8" max="10" width="7.625" style="122" bestFit="1" customWidth="1"/>
    <col min="11" max="11" width="8.75" style="122" bestFit="1" customWidth="1"/>
    <col min="12" max="12" width="13.625" style="122" bestFit="1" customWidth="1"/>
    <col min="13" max="18" width="11.125" style="122" bestFit="1" customWidth="1"/>
    <col min="19" max="19" width="10.625" style="122" bestFit="1" customWidth="1"/>
    <col min="20" max="20" width="11.25" style="122" bestFit="1" customWidth="1"/>
    <col min="21" max="21" width="11" style="122" bestFit="1" customWidth="1"/>
    <col min="22" max="22" width="10.125" style="122" bestFit="1" customWidth="1"/>
    <col min="23" max="23" width="8" style="122" bestFit="1" customWidth="1"/>
    <col min="24" max="25" width="8.625" style="122" bestFit="1" customWidth="1"/>
    <col min="26" max="31" width="8" style="122" bestFit="1" customWidth="1"/>
    <col min="32" max="33" width="12" style="122" bestFit="1" customWidth="1"/>
    <col min="34" max="34" width="10.125" style="122" customWidth="1"/>
    <col min="35" max="35" width="10.125" style="122" bestFit="1" customWidth="1"/>
    <col min="36" max="16384" width="7.75" style="122"/>
  </cols>
  <sheetData>
    <row r="1" spans="1:38" ht="13.5" customHeight="1">
      <c r="A1" s="1155" t="s">
        <v>191</v>
      </c>
      <c r="B1" s="1155" t="s">
        <v>192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462</v>
      </c>
      <c r="I1" s="1155" t="s">
        <v>638</v>
      </c>
      <c r="J1" s="1155" t="s">
        <v>639</v>
      </c>
      <c r="K1" s="1155" t="s">
        <v>631</v>
      </c>
      <c r="L1" s="1155" t="s">
        <v>70</v>
      </c>
      <c r="M1" s="1155" t="s">
        <v>622</v>
      </c>
      <c r="N1" s="1155" t="s">
        <v>623</v>
      </c>
      <c r="O1" s="1155" t="s">
        <v>624</v>
      </c>
      <c r="P1" s="1155" t="s">
        <v>626</v>
      </c>
      <c r="Q1" s="1155" t="s">
        <v>640</v>
      </c>
      <c r="R1" s="1155" t="s">
        <v>641</v>
      </c>
      <c r="S1" s="1155" t="s">
        <v>71</v>
      </c>
      <c r="T1" s="1155" t="s">
        <v>619</v>
      </c>
      <c r="U1" s="1155" t="s">
        <v>796</v>
      </c>
      <c r="V1" s="1155" t="s">
        <v>1152</v>
      </c>
      <c r="W1" s="1155" t="s">
        <v>627</v>
      </c>
      <c r="X1" s="1155" t="s">
        <v>1221</v>
      </c>
      <c r="Y1" s="1155" t="s">
        <v>1222</v>
      </c>
      <c r="Z1" s="1155" t="s">
        <v>1223</v>
      </c>
      <c r="AA1" s="1155" t="s">
        <v>1224</v>
      </c>
      <c r="AB1" s="1155" t="s">
        <v>1261</v>
      </c>
      <c r="AC1" s="1155" t="s">
        <v>1262</v>
      </c>
      <c r="AD1" s="1155" t="s">
        <v>1263</v>
      </c>
      <c r="AE1" s="1155" t="s">
        <v>1264</v>
      </c>
      <c r="AF1" s="1155" t="s">
        <v>1225</v>
      </c>
      <c r="AG1" s="1155" t="s">
        <v>1256</v>
      </c>
      <c r="AH1" s="1155" t="s">
        <v>1297</v>
      </c>
      <c r="AI1" s="122" t="s">
        <v>192</v>
      </c>
      <c r="AL1" s="122" t="s">
        <v>1315</v>
      </c>
    </row>
    <row r="2" spans="1:38" ht="14.25" customHeight="1">
      <c r="A2" s="1156" t="s">
        <v>429</v>
      </c>
      <c r="B2" s="1156" t="s">
        <v>1265</v>
      </c>
      <c r="C2" s="1157">
        <v>210062</v>
      </c>
      <c r="D2" s="1157">
        <v>21284.61</v>
      </c>
      <c r="E2" s="1157">
        <v>-8944</v>
      </c>
      <c r="F2" s="1157">
        <v>-1012.32</v>
      </c>
      <c r="G2" s="1157">
        <v>102.867</v>
      </c>
      <c r="H2" s="1157">
        <v>192</v>
      </c>
      <c r="I2" s="1157">
        <v>141</v>
      </c>
      <c r="J2" s="1157">
        <v>51</v>
      </c>
      <c r="K2" s="1157">
        <v>0</v>
      </c>
      <c r="L2" s="1157">
        <v>201118</v>
      </c>
      <c r="M2" s="1157">
        <v>119087</v>
      </c>
      <c r="N2" s="1157">
        <v>58380</v>
      </c>
      <c r="O2" s="1157">
        <v>60707</v>
      </c>
      <c r="P2" s="1157">
        <v>82031</v>
      </c>
      <c r="Q2" s="1157">
        <v>46663</v>
      </c>
      <c r="R2" s="1157">
        <v>35368</v>
      </c>
      <c r="S2" s="1157">
        <v>20927.240000000002</v>
      </c>
      <c r="T2" s="1157">
        <v>20927.321917000001</v>
      </c>
      <c r="U2" s="1158">
        <v>20927.321917000001</v>
      </c>
      <c r="V2" s="1180">
        <v>0</v>
      </c>
      <c r="W2" s="1180">
        <v>105</v>
      </c>
      <c r="X2" s="1180">
        <v>0</v>
      </c>
      <c r="Y2" s="1180">
        <v>0</v>
      </c>
      <c r="Z2" s="1180">
        <v>0</v>
      </c>
      <c r="AA2" s="1180">
        <v>0</v>
      </c>
      <c r="AB2" s="1180">
        <v>0</v>
      </c>
      <c r="AC2" s="1180">
        <v>0</v>
      </c>
      <c r="AD2" s="1180">
        <v>0</v>
      </c>
      <c r="AE2" s="1180">
        <v>0</v>
      </c>
      <c r="AF2" s="1159">
        <v>-654.95000000000005</v>
      </c>
      <c r="AG2" s="1159">
        <v>-702.92</v>
      </c>
      <c r="AH2" s="1180">
        <v>0</v>
      </c>
      <c r="AI2" s="860" t="s">
        <v>1271</v>
      </c>
      <c r="AJ2" s="226">
        <f>T2-S2</f>
        <v>8.1916999999521067E-2</v>
      </c>
      <c r="AK2" s="886">
        <f>AG2-AF2</f>
        <v>-47.969999999999914</v>
      </c>
      <c r="AL2" s="226">
        <f>L2-N2-O2-Q2-R2-V2-AB2-AC2-AD2-AE2</f>
        <v>0</v>
      </c>
    </row>
    <row r="3" spans="1:38" ht="14.25" customHeight="1">
      <c r="A3" s="371"/>
      <c r="B3" s="1156" t="s">
        <v>1266</v>
      </c>
      <c r="C3" s="1157">
        <v>918846</v>
      </c>
      <c r="D3" s="1157">
        <v>86473.8</v>
      </c>
      <c r="E3" s="1157">
        <v>29243</v>
      </c>
      <c r="F3" s="1157">
        <v>2603.46</v>
      </c>
      <c r="G3" s="1157">
        <v>394.37099999999998</v>
      </c>
      <c r="H3" s="1157">
        <v>1113.83648926982</v>
      </c>
      <c r="I3" s="1157">
        <v>511.14913294797702</v>
      </c>
      <c r="J3" s="1157">
        <v>602.68735632183905</v>
      </c>
      <c r="K3" s="1157">
        <v>0</v>
      </c>
      <c r="L3" s="1157">
        <v>948089</v>
      </c>
      <c r="M3" s="1157">
        <v>374801</v>
      </c>
      <c r="N3" s="1157">
        <v>166799</v>
      </c>
      <c r="O3" s="1157">
        <v>208002</v>
      </c>
      <c r="P3" s="1157">
        <v>573288</v>
      </c>
      <c r="Q3" s="1157">
        <v>219884</v>
      </c>
      <c r="R3" s="1157">
        <v>353404</v>
      </c>
      <c r="S3" s="1157">
        <v>92014.88</v>
      </c>
      <c r="T3" s="1157">
        <v>92015.145097999994</v>
      </c>
      <c r="U3" s="1158">
        <v>92015.145097999994</v>
      </c>
      <c r="V3" s="1180">
        <v>0</v>
      </c>
      <c r="W3" s="1180">
        <v>0</v>
      </c>
      <c r="X3" s="1180">
        <v>0</v>
      </c>
      <c r="Y3" s="1180">
        <v>0</v>
      </c>
      <c r="Z3" s="1180">
        <v>0</v>
      </c>
      <c r="AA3" s="1180">
        <v>0</v>
      </c>
      <c r="AB3" s="1180">
        <v>0</v>
      </c>
      <c r="AC3" s="1180">
        <v>0</v>
      </c>
      <c r="AD3" s="1180">
        <v>0</v>
      </c>
      <c r="AE3" s="1180">
        <v>0</v>
      </c>
      <c r="AF3" s="1159">
        <v>-2937.62</v>
      </c>
      <c r="AG3" s="1159">
        <v>-2847.05</v>
      </c>
      <c r="AH3" s="1180">
        <v>0</v>
      </c>
      <c r="AI3" s="860" t="s">
        <v>1271</v>
      </c>
      <c r="AJ3" s="226">
        <f t="shared" ref="AJ3:AJ20" si="0">T3-S3</f>
        <v>0.26509799998893868</v>
      </c>
      <c r="AK3" s="886">
        <f t="shared" ref="AK3:AK20" si="1">AG3-AF3</f>
        <v>90.569999999999709</v>
      </c>
      <c r="AL3" s="226">
        <f t="shared" ref="AL3:AL35" si="2">L3-N3-O3-Q3-R3-V3-AB3-AC3-AD3-AE3</f>
        <v>0</v>
      </c>
    </row>
    <row r="4" spans="1:38" ht="14.25" customHeight="1">
      <c r="A4" s="371"/>
      <c r="B4" s="1156" t="s">
        <v>138</v>
      </c>
      <c r="C4" s="1157">
        <v>1241511223</v>
      </c>
      <c r="D4" s="1157">
        <v>120464519.03</v>
      </c>
      <c r="E4" s="1157">
        <v>637198</v>
      </c>
      <c r="F4" s="1157">
        <v>51239.14</v>
      </c>
      <c r="G4" s="1157">
        <v>884745.45999988704</v>
      </c>
      <c r="H4" s="1157">
        <v>606540.02462295</v>
      </c>
      <c r="I4" s="1157">
        <v>332836.88439306</v>
      </c>
      <c r="J4" s="1157">
        <v>273703.14022988401</v>
      </c>
      <c r="K4" s="1157">
        <v>9699.6041666666697</v>
      </c>
      <c r="L4" s="1157">
        <v>1242148421</v>
      </c>
      <c r="M4" s="1157">
        <v>547793524</v>
      </c>
      <c r="N4" s="1157">
        <v>274035209</v>
      </c>
      <c r="O4" s="1157">
        <v>273758315</v>
      </c>
      <c r="P4" s="1157">
        <v>694354897</v>
      </c>
      <c r="Q4" s="1157">
        <v>381447712</v>
      </c>
      <c r="R4" s="1157">
        <v>312907185</v>
      </c>
      <c r="S4" s="1157">
        <v>124414531.28</v>
      </c>
      <c r="T4" s="1157">
        <v>124414883.368769</v>
      </c>
      <c r="U4" s="1158">
        <v>124414883.368769</v>
      </c>
      <c r="V4" s="1180">
        <v>0</v>
      </c>
      <c r="W4" s="1180">
        <v>0</v>
      </c>
      <c r="X4" s="1180">
        <v>0</v>
      </c>
      <c r="Y4" s="1180">
        <v>0</v>
      </c>
      <c r="Z4" s="1180">
        <v>0</v>
      </c>
      <c r="AA4" s="1180">
        <v>0</v>
      </c>
      <c r="AB4" s="1180">
        <v>0</v>
      </c>
      <c r="AC4" s="1180">
        <v>0</v>
      </c>
      <c r="AD4" s="1180">
        <v>0</v>
      </c>
      <c r="AE4" s="1180">
        <v>0</v>
      </c>
      <c r="AF4" s="1159">
        <v>-3898773.11</v>
      </c>
      <c r="AG4" s="1159">
        <v>-3903370.11</v>
      </c>
      <c r="AH4" s="1180">
        <v>78.731999999999999</v>
      </c>
      <c r="AI4" s="860" t="s">
        <v>44</v>
      </c>
      <c r="AJ4" s="226">
        <f t="shared" si="0"/>
        <v>352.08876900374889</v>
      </c>
      <c r="AK4" s="886">
        <f t="shared" si="1"/>
        <v>-4597</v>
      </c>
      <c r="AL4" s="226">
        <f t="shared" si="2"/>
        <v>0</v>
      </c>
    </row>
    <row r="5" spans="1:38" ht="14.25" customHeight="1">
      <c r="A5" s="371"/>
      <c r="B5" s="1156" t="s">
        <v>263</v>
      </c>
      <c r="C5" s="1157">
        <v>49380</v>
      </c>
      <c r="D5" s="1157">
        <v>15166.67</v>
      </c>
      <c r="E5" s="1157">
        <v>0</v>
      </c>
      <c r="F5" s="1157">
        <v>9.94</v>
      </c>
      <c r="G5" s="1157">
        <v>1548</v>
      </c>
      <c r="H5" s="1157">
        <v>0</v>
      </c>
      <c r="I5" s="1157">
        <v>0</v>
      </c>
      <c r="J5" s="1157">
        <v>0</v>
      </c>
      <c r="K5" s="1157">
        <v>0</v>
      </c>
      <c r="L5" s="1157">
        <v>49380</v>
      </c>
      <c r="M5" s="1157">
        <v>20575</v>
      </c>
      <c r="N5" s="1157">
        <v>20575</v>
      </c>
      <c r="O5" s="1157">
        <v>0</v>
      </c>
      <c r="P5" s="1157">
        <v>28805</v>
      </c>
      <c r="Q5" s="1157">
        <v>28805</v>
      </c>
      <c r="R5" s="1157">
        <v>0</v>
      </c>
      <c r="S5" s="1157">
        <v>21005.200000000001</v>
      </c>
      <c r="T5" s="1157">
        <v>21005.128199999901</v>
      </c>
      <c r="U5" s="1158">
        <v>21005.128199999901</v>
      </c>
      <c r="V5" s="1180">
        <v>0</v>
      </c>
      <c r="W5" s="1180">
        <v>0</v>
      </c>
      <c r="X5" s="1180">
        <v>0</v>
      </c>
      <c r="Y5" s="1180">
        <v>0</v>
      </c>
      <c r="Z5" s="1180">
        <v>0</v>
      </c>
      <c r="AA5" s="1180">
        <v>0</v>
      </c>
      <c r="AB5" s="1180">
        <v>0</v>
      </c>
      <c r="AC5" s="1180">
        <v>0</v>
      </c>
      <c r="AD5" s="1180">
        <v>0</v>
      </c>
      <c r="AE5" s="1180">
        <v>0</v>
      </c>
      <c r="AF5" s="1159">
        <v>-5828.59</v>
      </c>
      <c r="AG5" s="1159">
        <v>-5828.53</v>
      </c>
      <c r="AH5" s="1180">
        <v>0</v>
      </c>
      <c r="AI5" s="860" t="s">
        <v>44</v>
      </c>
      <c r="AJ5" s="226">
        <f t="shared" si="0"/>
        <v>-7.1800000099756289E-2</v>
      </c>
      <c r="AK5" s="886">
        <f t="shared" si="1"/>
        <v>6.0000000000400178E-2</v>
      </c>
      <c r="AL5" s="226">
        <f t="shared" si="2"/>
        <v>0</v>
      </c>
    </row>
    <row r="6" spans="1:38" ht="14.25" customHeight="1">
      <c r="A6" s="371"/>
      <c r="B6" s="1156" t="s">
        <v>434</v>
      </c>
      <c r="C6" s="1157">
        <v>245038</v>
      </c>
      <c r="D6" s="1157">
        <v>18124.21</v>
      </c>
      <c r="E6" s="1157">
        <v>0</v>
      </c>
      <c r="F6" s="1157">
        <v>0</v>
      </c>
      <c r="G6" s="1157">
        <v>36</v>
      </c>
      <c r="H6" s="1157">
        <v>100.999601355392</v>
      </c>
      <c r="I6" s="1157">
        <v>33.930635838150302</v>
      </c>
      <c r="J6" s="1157">
        <v>67.068965517241395</v>
      </c>
      <c r="K6" s="1157">
        <v>0</v>
      </c>
      <c r="L6" s="1157">
        <v>245038</v>
      </c>
      <c r="M6" s="1157">
        <v>71133</v>
      </c>
      <c r="N6" s="1157">
        <v>8482</v>
      </c>
      <c r="O6" s="1157">
        <v>62651</v>
      </c>
      <c r="P6" s="1157">
        <v>173905</v>
      </c>
      <c r="Q6" s="1157">
        <v>39589</v>
      </c>
      <c r="R6" s="1157">
        <v>134316</v>
      </c>
      <c r="S6" s="1157">
        <v>18764.259999999998</v>
      </c>
      <c r="T6" s="1157">
        <v>18764.343857</v>
      </c>
      <c r="U6" s="1158">
        <v>18764.343857</v>
      </c>
      <c r="V6" s="1180">
        <v>0</v>
      </c>
      <c r="W6" s="1180">
        <v>0</v>
      </c>
      <c r="X6" s="1180">
        <v>0</v>
      </c>
      <c r="Y6" s="1180">
        <v>0</v>
      </c>
      <c r="Z6" s="1180">
        <v>0</v>
      </c>
      <c r="AA6" s="1180">
        <v>0</v>
      </c>
      <c r="AB6" s="1180">
        <v>0</v>
      </c>
      <c r="AC6" s="1180">
        <v>0</v>
      </c>
      <c r="AD6" s="1180">
        <v>0</v>
      </c>
      <c r="AE6" s="1180">
        <v>0</v>
      </c>
      <c r="AF6" s="1159">
        <v>-640.04999999999995</v>
      </c>
      <c r="AG6" s="1159">
        <v>-640.04999999999995</v>
      </c>
      <c r="AH6" s="1180">
        <v>0</v>
      </c>
      <c r="AI6" s="860" t="s">
        <v>44</v>
      </c>
      <c r="AJ6" s="226">
        <f t="shared" si="0"/>
        <v>8.3857000001444248E-2</v>
      </c>
      <c r="AK6" s="886">
        <f t="shared" si="1"/>
        <v>0</v>
      </c>
      <c r="AL6" s="226">
        <f t="shared" si="2"/>
        <v>0</v>
      </c>
    </row>
    <row r="7" spans="1:38" ht="14.25" customHeight="1">
      <c r="A7" s="371"/>
      <c r="B7" s="1156" t="s">
        <v>621</v>
      </c>
      <c r="C7" s="1157">
        <v>9741310</v>
      </c>
      <c r="D7" s="1157">
        <v>1021527.86</v>
      </c>
      <c r="E7" s="1157">
        <v>-16744</v>
      </c>
      <c r="F7" s="1157">
        <v>-1899.14</v>
      </c>
      <c r="G7" s="1157">
        <v>9847.2289999999903</v>
      </c>
      <c r="H7" s="1157">
        <v>11991.501162713401</v>
      </c>
      <c r="I7" s="1157">
        <v>5645.4023121387299</v>
      </c>
      <c r="J7" s="1157">
        <v>6346.09885057471</v>
      </c>
      <c r="K7" s="1157">
        <v>0</v>
      </c>
      <c r="L7" s="1157">
        <v>9724566</v>
      </c>
      <c r="M7" s="1157">
        <v>3119828</v>
      </c>
      <c r="N7" s="1157">
        <v>1602973</v>
      </c>
      <c r="O7" s="1157">
        <v>1516855</v>
      </c>
      <c r="P7" s="1157">
        <v>6604738</v>
      </c>
      <c r="Q7" s="1157">
        <v>3406467</v>
      </c>
      <c r="R7" s="1157">
        <v>3198271</v>
      </c>
      <c r="S7" s="1157">
        <v>1052074.43</v>
      </c>
      <c r="T7" s="1157">
        <v>1052076.5780499999</v>
      </c>
      <c r="U7" s="1158">
        <v>1052076.5780499999</v>
      </c>
      <c r="V7" s="1180">
        <v>0</v>
      </c>
      <c r="W7" s="1180">
        <v>0</v>
      </c>
      <c r="X7" s="1180">
        <v>0</v>
      </c>
      <c r="Y7" s="1180">
        <v>0</v>
      </c>
      <c r="Z7" s="1180">
        <v>0</v>
      </c>
      <c r="AA7" s="1180">
        <v>0</v>
      </c>
      <c r="AB7" s="1180">
        <v>0</v>
      </c>
      <c r="AC7" s="1180">
        <v>0</v>
      </c>
      <c r="AD7" s="1180">
        <v>0</v>
      </c>
      <c r="AE7" s="1180">
        <v>0</v>
      </c>
      <c r="AF7" s="1159">
        <v>-32445.71</v>
      </c>
      <c r="AG7" s="1159">
        <v>-32723.43</v>
      </c>
      <c r="AH7" s="1180">
        <v>8.2669999999999995</v>
      </c>
      <c r="AI7" s="860" t="s">
        <v>1269</v>
      </c>
      <c r="AJ7" s="226">
        <f t="shared" si="0"/>
        <v>2.1480499999597669</v>
      </c>
      <c r="AK7" s="886">
        <f t="shared" si="1"/>
        <v>-277.72000000000116</v>
      </c>
      <c r="AL7" s="226">
        <f t="shared" si="2"/>
        <v>0</v>
      </c>
    </row>
    <row r="8" spans="1:38" ht="14.25" customHeight="1">
      <c r="A8" s="371"/>
      <c r="B8" s="1156" t="s">
        <v>895</v>
      </c>
      <c r="C8" s="1157">
        <v>-13485</v>
      </c>
      <c r="D8" s="1157">
        <v>-1040.22</v>
      </c>
      <c r="E8" s="1157">
        <v>13485</v>
      </c>
      <c r="F8" s="1157">
        <v>1060.22</v>
      </c>
      <c r="G8" s="1157">
        <v>2</v>
      </c>
      <c r="H8" s="1157">
        <v>0</v>
      </c>
      <c r="I8" s="1157">
        <v>0</v>
      </c>
      <c r="J8" s="1157">
        <v>0</v>
      </c>
      <c r="K8" s="1157">
        <v>0</v>
      </c>
      <c r="L8" s="1157">
        <v>0</v>
      </c>
      <c r="M8" s="1157">
        <v>0</v>
      </c>
      <c r="N8" s="1157">
        <v>0</v>
      </c>
      <c r="O8" s="1157">
        <v>0</v>
      </c>
      <c r="P8" s="1157">
        <v>0</v>
      </c>
      <c r="Q8" s="1157">
        <v>0</v>
      </c>
      <c r="R8" s="1157">
        <v>0</v>
      </c>
      <c r="S8" s="1157">
        <v>20</v>
      </c>
      <c r="T8" s="1157">
        <v>20</v>
      </c>
      <c r="U8" s="1158">
        <v>20</v>
      </c>
      <c r="V8" s="1180">
        <v>0</v>
      </c>
      <c r="W8" s="1180">
        <v>0</v>
      </c>
      <c r="X8" s="1180">
        <v>0</v>
      </c>
      <c r="Y8" s="1180">
        <v>0</v>
      </c>
      <c r="Z8" s="1180">
        <v>0</v>
      </c>
      <c r="AA8" s="1180">
        <v>0</v>
      </c>
      <c r="AB8" s="1180">
        <v>0</v>
      </c>
      <c r="AC8" s="1180">
        <v>0</v>
      </c>
      <c r="AD8" s="1180">
        <v>0</v>
      </c>
      <c r="AE8" s="1180">
        <v>0</v>
      </c>
      <c r="AF8" s="1159">
        <v>0</v>
      </c>
      <c r="AG8" s="1159">
        <v>35.770000000000003</v>
      </c>
      <c r="AH8" s="1180">
        <v>0</v>
      </c>
      <c r="AI8" s="860" t="s">
        <v>44</v>
      </c>
      <c r="AJ8" s="226">
        <f t="shared" si="0"/>
        <v>0</v>
      </c>
      <c r="AK8" s="886">
        <f t="shared" si="1"/>
        <v>35.770000000000003</v>
      </c>
      <c r="AL8" s="226">
        <f t="shared" si="2"/>
        <v>0</v>
      </c>
    </row>
    <row r="9" spans="1:38" ht="14.25" customHeight="1">
      <c r="A9" s="371"/>
      <c r="B9" s="1156" t="s">
        <v>1163</v>
      </c>
      <c r="C9" s="1157">
        <v>4043499</v>
      </c>
      <c r="D9" s="1157">
        <v>347796.84</v>
      </c>
      <c r="E9" s="1157">
        <v>-977646</v>
      </c>
      <c r="F9" s="1157">
        <v>976.88</v>
      </c>
      <c r="G9" s="1157">
        <v>3404.3609999999999</v>
      </c>
      <c r="H9" s="1157">
        <v>431.70029233937902</v>
      </c>
      <c r="I9" s="1157">
        <v>169.450867052023</v>
      </c>
      <c r="J9" s="1157">
        <v>262.24942528735602</v>
      </c>
      <c r="K9" s="1157">
        <v>0</v>
      </c>
      <c r="L9" s="1157">
        <v>3065853</v>
      </c>
      <c r="M9" s="1157">
        <v>0</v>
      </c>
      <c r="N9" s="1157">
        <v>0</v>
      </c>
      <c r="O9" s="1157">
        <v>0</v>
      </c>
      <c r="P9" s="1157">
        <v>0</v>
      </c>
      <c r="Q9" s="1157">
        <v>0</v>
      </c>
      <c r="R9" s="1157">
        <v>0</v>
      </c>
      <c r="S9" s="1157">
        <v>359839.58</v>
      </c>
      <c r="T9" s="1157">
        <v>359845.79110099998</v>
      </c>
      <c r="U9" s="1158">
        <v>359845.79110099998</v>
      </c>
      <c r="V9" s="1180">
        <v>1948912</v>
      </c>
      <c r="W9" s="1180">
        <v>0</v>
      </c>
      <c r="X9" s="1180">
        <v>3212416</v>
      </c>
      <c r="Y9" s="1180">
        <v>1263504</v>
      </c>
      <c r="Z9" s="1180">
        <v>389086</v>
      </c>
      <c r="AA9" s="1180">
        <v>874418</v>
      </c>
      <c r="AB9" s="1180">
        <v>316963</v>
      </c>
      <c r="AC9" s="1180">
        <v>72123</v>
      </c>
      <c r="AD9" s="1180">
        <v>630634</v>
      </c>
      <c r="AE9" s="1180">
        <v>243784</v>
      </c>
      <c r="AF9" s="1159">
        <v>-11065.86</v>
      </c>
      <c r="AG9" s="1159">
        <v>-11168.63</v>
      </c>
      <c r="AH9" s="1180">
        <v>0</v>
      </c>
      <c r="AI9" s="860" t="s">
        <v>44</v>
      </c>
      <c r="AJ9" s="226">
        <f t="shared" si="0"/>
        <v>6.2111009999644011</v>
      </c>
      <c r="AK9" s="886">
        <f t="shared" si="1"/>
        <v>-102.76999999999862</v>
      </c>
      <c r="AL9" s="226">
        <f t="shared" si="2"/>
        <v>-146563</v>
      </c>
    </row>
    <row r="10" spans="1:38" ht="14.25" customHeight="1">
      <c r="A10" s="1156" t="s">
        <v>438</v>
      </c>
      <c r="B10" s="1156" t="s">
        <v>138</v>
      </c>
      <c r="C10" s="1157">
        <v>53174636</v>
      </c>
      <c r="D10" s="1157">
        <v>5157791.7699999996</v>
      </c>
      <c r="E10" s="1157">
        <v>217833</v>
      </c>
      <c r="F10" s="1157">
        <v>14767.23</v>
      </c>
      <c r="G10" s="1157">
        <v>37720.339999999902</v>
      </c>
      <c r="H10" s="1157">
        <v>36243.269284433001</v>
      </c>
      <c r="I10" s="1157">
        <v>16686.4554913295</v>
      </c>
      <c r="J10" s="1157">
        <v>19556.813793103502</v>
      </c>
      <c r="K10" s="1157">
        <v>2433.125</v>
      </c>
      <c r="L10" s="1157">
        <v>53392469</v>
      </c>
      <c r="M10" s="1157">
        <v>22082688</v>
      </c>
      <c r="N10" s="1157">
        <v>10627510</v>
      </c>
      <c r="O10" s="1157">
        <v>11455178</v>
      </c>
      <c r="P10" s="1157">
        <v>31309781</v>
      </c>
      <c r="Q10" s="1157">
        <v>15864982</v>
      </c>
      <c r="R10" s="1157">
        <v>15444799</v>
      </c>
      <c r="S10" s="1157">
        <v>5340041.97</v>
      </c>
      <c r="T10" s="1157">
        <v>5340056.3047670703</v>
      </c>
      <c r="U10" s="1158">
        <v>5340056.3047670703</v>
      </c>
      <c r="V10" s="1180">
        <v>0</v>
      </c>
      <c r="W10" s="1180">
        <v>0</v>
      </c>
      <c r="X10" s="1180">
        <v>0</v>
      </c>
      <c r="Y10" s="1180">
        <v>0</v>
      </c>
      <c r="Z10" s="1180">
        <v>0</v>
      </c>
      <c r="AA10" s="1180">
        <v>0</v>
      </c>
      <c r="AB10" s="1180">
        <v>0</v>
      </c>
      <c r="AC10" s="1180">
        <v>0</v>
      </c>
      <c r="AD10" s="1180">
        <v>0</v>
      </c>
      <c r="AE10" s="1180">
        <v>0</v>
      </c>
      <c r="AF10" s="1159">
        <v>-167482.97</v>
      </c>
      <c r="AG10" s="1159">
        <v>-167424.78</v>
      </c>
      <c r="AH10" s="1180">
        <v>13</v>
      </c>
      <c r="AI10" s="860" t="s">
        <v>56</v>
      </c>
      <c r="AJ10" s="226">
        <f t="shared" si="0"/>
        <v>14.3347670705989</v>
      </c>
      <c r="AK10" s="886">
        <f t="shared" si="1"/>
        <v>58.190000000002328</v>
      </c>
      <c r="AL10" s="226">
        <f t="shared" si="2"/>
        <v>0</v>
      </c>
    </row>
    <row r="11" spans="1:38" ht="14.25" customHeight="1">
      <c r="A11" s="371"/>
      <c r="B11" s="1156" t="s">
        <v>263</v>
      </c>
      <c r="C11" s="1157">
        <v>0</v>
      </c>
      <c r="D11" s="1157">
        <v>2146.36</v>
      </c>
      <c r="E11" s="1157">
        <v>0</v>
      </c>
      <c r="F11" s="1157">
        <v>0</v>
      </c>
      <c r="G11" s="1157">
        <v>216</v>
      </c>
      <c r="H11" s="1157">
        <v>0</v>
      </c>
      <c r="I11" s="1157">
        <v>0</v>
      </c>
      <c r="J11" s="1157">
        <v>0</v>
      </c>
      <c r="K11" s="1157">
        <v>0</v>
      </c>
      <c r="L11" s="1157">
        <v>0</v>
      </c>
      <c r="M11" s="1157">
        <v>0</v>
      </c>
      <c r="N11" s="1157">
        <v>0</v>
      </c>
      <c r="O11" s="1157">
        <v>0</v>
      </c>
      <c r="P11" s="1157">
        <v>0</v>
      </c>
      <c r="Q11" s="1157">
        <v>0</v>
      </c>
      <c r="R11" s="1157">
        <v>0</v>
      </c>
      <c r="S11" s="1157">
        <v>2160</v>
      </c>
      <c r="T11" s="1157">
        <v>2160</v>
      </c>
      <c r="U11" s="1158">
        <v>2160</v>
      </c>
      <c r="V11" s="1180">
        <v>0</v>
      </c>
      <c r="W11" s="1180">
        <v>0</v>
      </c>
      <c r="X11" s="1180">
        <v>0</v>
      </c>
      <c r="Y11" s="1180">
        <v>0</v>
      </c>
      <c r="Z11" s="1180">
        <v>0</v>
      </c>
      <c r="AA11" s="1180">
        <v>0</v>
      </c>
      <c r="AB11" s="1180">
        <v>0</v>
      </c>
      <c r="AC11" s="1180">
        <v>0</v>
      </c>
      <c r="AD11" s="1180">
        <v>0</v>
      </c>
      <c r="AE11" s="1180">
        <v>0</v>
      </c>
      <c r="AF11" s="1159">
        <v>-13.64</v>
      </c>
      <c r="AG11" s="1159">
        <v>-13.64</v>
      </c>
      <c r="AH11" s="1180">
        <v>0</v>
      </c>
      <c r="AI11" s="860" t="s">
        <v>56</v>
      </c>
      <c r="AJ11" s="226">
        <f t="shared" si="0"/>
        <v>0</v>
      </c>
      <c r="AK11" s="886">
        <f t="shared" si="1"/>
        <v>0</v>
      </c>
      <c r="AL11" s="226">
        <f t="shared" si="2"/>
        <v>0</v>
      </c>
    </row>
    <row r="12" spans="1:38" ht="14.25" customHeight="1">
      <c r="A12" s="371"/>
      <c r="B12" s="1156" t="s">
        <v>621</v>
      </c>
      <c r="C12" s="1157">
        <v>176532</v>
      </c>
      <c r="D12" s="1157">
        <v>20297.66</v>
      </c>
      <c r="E12" s="1157">
        <v>450</v>
      </c>
      <c r="F12" s="1157">
        <v>13.09</v>
      </c>
      <c r="G12" s="1157">
        <v>204.16800000000001</v>
      </c>
      <c r="H12" s="1157">
        <v>381.03407746993599</v>
      </c>
      <c r="I12" s="1157">
        <v>146.929479768786</v>
      </c>
      <c r="J12" s="1157">
        <v>234.104597701149</v>
      </c>
      <c r="K12" s="1157">
        <v>0</v>
      </c>
      <c r="L12" s="1157">
        <v>176982</v>
      </c>
      <c r="M12" s="1157">
        <v>38204</v>
      </c>
      <c r="N12" s="1157">
        <v>23248</v>
      </c>
      <c r="O12" s="1157">
        <v>14956</v>
      </c>
      <c r="P12" s="1157">
        <v>138778</v>
      </c>
      <c r="Q12" s="1157">
        <v>73641</v>
      </c>
      <c r="R12" s="1157">
        <v>65137</v>
      </c>
      <c r="S12" s="1157">
        <v>20959.38</v>
      </c>
      <c r="T12" s="1157">
        <v>20959.388555000001</v>
      </c>
      <c r="U12" s="1158">
        <v>20959.388555000001</v>
      </c>
      <c r="V12" s="1180">
        <v>0</v>
      </c>
      <c r="W12" s="1180">
        <v>0</v>
      </c>
      <c r="X12" s="1180">
        <v>0</v>
      </c>
      <c r="Y12" s="1180">
        <v>0</v>
      </c>
      <c r="Z12" s="1180">
        <v>0</v>
      </c>
      <c r="AA12" s="1180">
        <v>0</v>
      </c>
      <c r="AB12" s="1180">
        <v>0</v>
      </c>
      <c r="AC12" s="1180">
        <v>0</v>
      </c>
      <c r="AD12" s="1180">
        <v>0</v>
      </c>
      <c r="AE12" s="1180">
        <v>0</v>
      </c>
      <c r="AF12" s="1159">
        <v>-648.63</v>
      </c>
      <c r="AG12" s="1159">
        <v>-649.62</v>
      </c>
      <c r="AH12" s="1180">
        <v>0</v>
      </c>
      <c r="AI12" s="860" t="s">
        <v>1270</v>
      </c>
      <c r="AJ12" s="226">
        <f t="shared" si="0"/>
        <v>8.555000000342261E-3</v>
      </c>
      <c r="AK12" s="886">
        <f t="shared" si="1"/>
        <v>-0.99000000000000909</v>
      </c>
      <c r="AL12" s="226">
        <f t="shared" si="2"/>
        <v>0</v>
      </c>
    </row>
    <row r="13" spans="1:38" ht="14.25" customHeight="1">
      <c r="A13" s="371"/>
      <c r="B13" s="1156" t="s">
        <v>1163</v>
      </c>
      <c r="C13" s="1157">
        <v>152859</v>
      </c>
      <c r="D13" s="1157">
        <v>17074.93</v>
      </c>
      <c r="E13" s="1157">
        <v>-8975</v>
      </c>
      <c r="F13" s="1157">
        <v>35.83</v>
      </c>
      <c r="G13" s="1157">
        <v>217.767</v>
      </c>
      <c r="H13" s="1157">
        <v>0</v>
      </c>
      <c r="I13" s="1157">
        <v>0</v>
      </c>
      <c r="J13" s="1157">
        <v>0</v>
      </c>
      <c r="K13" s="1157">
        <v>0</v>
      </c>
      <c r="L13" s="1157">
        <v>143884</v>
      </c>
      <c r="M13" s="1157">
        <v>0</v>
      </c>
      <c r="N13" s="1157">
        <v>0</v>
      </c>
      <c r="O13" s="1157">
        <v>0</v>
      </c>
      <c r="P13" s="1157">
        <v>0</v>
      </c>
      <c r="Q13" s="1157">
        <v>0</v>
      </c>
      <c r="R13" s="1157">
        <v>0</v>
      </c>
      <c r="S13" s="1157">
        <v>17635.18</v>
      </c>
      <c r="T13" s="1157">
        <v>17635.51368</v>
      </c>
      <c r="U13" s="1158">
        <v>17635.51368</v>
      </c>
      <c r="V13" s="1180">
        <v>101506</v>
      </c>
      <c r="W13" s="1180">
        <v>0</v>
      </c>
      <c r="X13" s="1180">
        <v>148374</v>
      </c>
      <c r="Y13" s="1180">
        <v>46868</v>
      </c>
      <c r="Z13" s="1180">
        <v>13162</v>
      </c>
      <c r="AA13" s="1180">
        <v>33706</v>
      </c>
      <c r="AB13" s="1180">
        <v>13162</v>
      </c>
      <c r="AC13" s="1180">
        <v>0</v>
      </c>
      <c r="AD13" s="1180">
        <v>33706</v>
      </c>
      <c r="AE13" s="1180">
        <v>0</v>
      </c>
      <c r="AF13" s="1159">
        <v>-524.41999999999996</v>
      </c>
      <c r="AG13" s="1159">
        <v>-531.03</v>
      </c>
      <c r="AH13" s="1180">
        <v>0</v>
      </c>
      <c r="AI13" s="860" t="s">
        <v>56</v>
      </c>
      <c r="AJ13" s="226">
        <f t="shared" si="0"/>
        <v>0.33367999999973108</v>
      </c>
      <c r="AK13" s="886">
        <f t="shared" si="1"/>
        <v>-6.6100000000000136</v>
      </c>
      <c r="AL13" s="226">
        <f t="shared" si="2"/>
        <v>-4490</v>
      </c>
    </row>
    <row r="14" spans="1:38" ht="14.25" customHeight="1">
      <c r="A14" s="1156" t="s">
        <v>440</v>
      </c>
      <c r="B14" s="1156" t="s">
        <v>138</v>
      </c>
      <c r="C14" s="1157">
        <v>-747</v>
      </c>
      <c r="D14" s="1157">
        <v>-241.41</v>
      </c>
      <c r="E14" s="1157">
        <v>747</v>
      </c>
      <c r="F14" s="1157">
        <v>241.41</v>
      </c>
      <c r="G14" s="1157">
        <v>0</v>
      </c>
      <c r="H14" s="1157">
        <v>0</v>
      </c>
      <c r="I14" s="1157">
        <v>0</v>
      </c>
      <c r="J14" s="1157">
        <v>0</v>
      </c>
      <c r="K14" s="1157">
        <v>0</v>
      </c>
      <c r="L14" s="1157">
        <v>0</v>
      </c>
      <c r="M14" s="1157">
        <v>0</v>
      </c>
      <c r="N14" s="1157">
        <v>0</v>
      </c>
      <c r="O14" s="1157">
        <v>0</v>
      </c>
      <c r="P14" s="1157">
        <v>0</v>
      </c>
      <c r="Q14" s="1157">
        <v>0</v>
      </c>
      <c r="R14" s="1157">
        <v>0</v>
      </c>
      <c r="S14" s="1157">
        <v>0</v>
      </c>
      <c r="T14" s="1157">
        <v>0</v>
      </c>
      <c r="U14" s="1158">
        <v>0</v>
      </c>
      <c r="V14" s="1180">
        <v>0</v>
      </c>
      <c r="W14" s="1180">
        <v>0</v>
      </c>
      <c r="X14" s="1180">
        <v>0</v>
      </c>
      <c r="Y14" s="1180">
        <v>0</v>
      </c>
      <c r="Z14" s="1180">
        <v>0</v>
      </c>
      <c r="AA14" s="1180">
        <v>0</v>
      </c>
      <c r="AB14" s="1180">
        <v>0</v>
      </c>
      <c r="AC14" s="1180">
        <v>0</v>
      </c>
      <c r="AD14" s="1180">
        <v>0</v>
      </c>
      <c r="AE14" s="1180">
        <v>0</v>
      </c>
      <c r="AF14" s="1159">
        <v>0</v>
      </c>
      <c r="AG14" s="1159">
        <v>3.81</v>
      </c>
      <c r="AH14" s="1180">
        <v>0</v>
      </c>
      <c r="AI14" s="860" t="s">
        <v>56</v>
      </c>
      <c r="AJ14" s="226">
        <f t="shared" si="0"/>
        <v>0</v>
      </c>
      <c r="AK14" s="886">
        <f t="shared" si="1"/>
        <v>3.81</v>
      </c>
      <c r="AL14" s="226">
        <f t="shared" si="2"/>
        <v>0</v>
      </c>
    </row>
    <row r="15" spans="1:38" ht="14.25" customHeight="1">
      <c r="A15" s="1156" t="s">
        <v>428</v>
      </c>
      <c r="B15" s="1156" t="s">
        <v>1267</v>
      </c>
      <c r="C15" s="1157">
        <v>116927</v>
      </c>
      <c r="D15" s="1157">
        <v>9794.9</v>
      </c>
      <c r="E15" s="1157">
        <v>0</v>
      </c>
      <c r="F15" s="1157">
        <v>0</v>
      </c>
      <c r="G15" s="1157">
        <v>34</v>
      </c>
      <c r="H15" s="1157">
        <v>71</v>
      </c>
      <c r="I15" s="1157">
        <v>33</v>
      </c>
      <c r="J15" s="1157">
        <v>38</v>
      </c>
      <c r="K15" s="1157">
        <v>0</v>
      </c>
      <c r="L15" s="1157">
        <v>116927</v>
      </c>
      <c r="M15" s="1157">
        <v>59399</v>
      </c>
      <c r="N15" s="1157">
        <v>15846</v>
      </c>
      <c r="O15" s="1157">
        <v>43553</v>
      </c>
      <c r="P15" s="1157">
        <v>57528</v>
      </c>
      <c r="Q15" s="1157">
        <v>18661</v>
      </c>
      <c r="R15" s="1157">
        <v>38867</v>
      </c>
      <c r="S15" s="1157">
        <v>10117.799999999999</v>
      </c>
      <c r="T15" s="1157">
        <v>10117.848844</v>
      </c>
      <c r="U15" s="1158">
        <v>10117.848844</v>
      </c>
      <c r="V15" s="1180">
        <v>0</v>
      </c>
      <c r="W15" s="1180">
        <v>34</v>
      </c>
      <c r="X15" s="1180">
        <v>0</v>
      </c>
      <c r="Y15" s="1180">
        <v>0</v>
      </c>
      <c r="Z15" s="1180">
        <v>0</v>
      </c>
      <c r="AA15" s="1180">
        <v>0</v>
      </c>
      <c r="AB15" s="1180">
        <v>0</v>
      </c>
      <c r="AC15" s="1180">
        <v>0</v>
      </c>
      <c r="AD15" s="1180">
        <v>0</v>
      </c>
      <c r="AE15" s="1180">
        <v>0</v>
      </c>
      <c r="AF15" s="1159">
        <v>-322.89999999999998</v>
      </c>
      <c r="AG15" s="1159">
        <v>-322.89999999999998</v>
      </c>
      <c r="AH15" s="1180">
        <v>0</v>
      </c>
      <c r="AI15" s="860" t="s">
        <v>1203</v>
      </c>
      <c r="AJ15" s="226">
        <f t="shared" si="0"/>
        <v>4.8844000000826782E-2</v>
      </c>
      <c r="AK15" s="886">
        <f t="shared" si="1"/>
        <v>0</v>
      </c>
      <c r="AL15" s="226">
        <f t="shared" si="2"/>
        <v>0</v>
      </c>
    </row>
    <row r="16" spans="1:38" s="152" customFormat="1" ht="14.25" customHeight="1">
      <c r="A16" s="371"/>
      <c r="B16" s="1156" t="s">
        <v>896</v>
      </c>
      <c r="C16" s="1157">
        <v>114040</v>
      </c>
      <c r="D16" s="1157">
        <v>8825.64</v>
      </c>
      <c r="E16" s="1157">
        <v>0</v>
      </c>
      <c r="F16" s="1157">
        <v>0</v>
      </c>
      <c r="G16" s="1157">
        <v>12</v>
      </c>
      <c r="H16" s="1157">
        <v>115.999561490931</v>
      </c>
      <c r="I16" s="1157">
        <v>39.123699421965298</v>
      </c>
      <c r="J16" s="1157">
        <v>76.875862068965503</v>
      </c>
      <c r="K16" s="1157">
        <v>0</v>
      </c>
      <c r="L16" s="1157">
        <v>114040</v>
      </c>
      <c r="M16" s="1157">
        <v>41533</v>
      </c>
      <c r="N16" s="1157">
        <v>7523</v>
      </c>
      <c r="O16" s="1157">
        <v>34010</v>
      </c>
      <c r="P16" s="1157">
        <v>72507</v>
      </c>
      <c r="Q16" s="1157">
        <v>10477</v>
      </c>
      <c r="R16" s="1157">
        <v>62030</v>
      </c>
      <c r="S16" s="1157">
        <v>9135.69</v>
      </c>
      <c r="T16" s="1157">
        <v>9135.7255679999998</v>
      </c>
      <c r="U16" s="1158">
        <v>9135.7255679999998</v>
      </c>
      <c r="V16" s="1180">
        <v>0</v>
      </c>
      <c r="W16" s="1180">
        <v>0</v>
      </c>
      <c r="X16" s="1180">
        <v>0</v>
      </c>
      <c r="Y16" s="1180">
        <v>0</v>
      </c>
      <c r="Z16" s="1180">
        <v>0</v>
      </c>
      <c r="AA16" s="1180">
        <v>0</v>
      </c>
      <c r="AB16" s="1180">
        <v>0</v>
      </c>
      <c r="AC16" s="1180">
        <v>0</v>
      </c>
      <c r="AD16" s="1180">
        <v>0</v>
      </c>
      <c r="AE16" s="1180">
        <v>0</v>
      </c>
      <c r="AF16" s="1159">
        <v>-310.05</v>
      </c>
      <c r="AG16" s="1159">
        <v>-310.05</v>
      </c>
      <c r="AH16" s="1180">
        <v>0</v>
      </c>
      <c r="AI16" s="877" t="s">
        <v>850</v>
      </c>
      <c r="AJ16" s="226">
        <f t="shared" si="0"/>
        <v>3.5567999999329913E-2</v>
      </c>
      <c r="AK16" s="886">
        <f t="shared" si="1"/>
        <v>0</v>
      </c>
      <c r="AL16" s="226">
        <f t="shared" si="2"/>
        <v>0</v>
      </c>
    </row>
    <row r="17" spans="1:38" s="152" customFormat="1" ht="14.25" customHeight="1">
      <c r="A17" s="371"/>
      <c r="B17" s="1156" t="s">
        <v>1268</v>
      </c>
      <c r="C17" s="1157">
        <v>27606</v>
      </c>
      <c r="D17" s="1157">
        <v>3374.46</v>
      </c>
      <c r="E17" s="1157">
        <v>0</v>
      </c>
      <c r="F17" s="1157">
        <v>0</v>
      </c>
      <c r="G17" s="1157">
        <v>46.8</v>
      </c>
      <c r="H17" s="1157">
        <v>0</v>
      </c>
      <c r="I17" s="1157">
        <v>0</v>
      </c>
      <c r="J17" s="1157">
        <v>0</v>
      </c>
      <c r="K17" s="1157">
        <v>0</v>
      </c>
      <c r="L17" s="1157">
        <v>27606</v>
      </c>
      <c r="M17" s="1157">
        <v>10336</v>
      </c>
      <c r="N17" s="1157">
        <v>10336</v>
      </c>
      <c r="O17" s="1157">
        <v>0</v>
      </c>
      <c r="P17" s="1157">
        <v>17270</v>
      </c>
      <c r="Q17" s="1157">
        <v>15772</v>
      </c>
      <c r="R17" s="1157">
        <v>1498</v>
      </c>
      <c r="S17" s="1157">
        <v>3474.85</v>
      </c>
      <c r="T17" s="1157">
        <v>3474.8902619999999</v>
      </c>
      <c r="U17" s="1158">
        <v>3474.8902619999999</v>
      </c>
      <c r="V17" s="1180">
        <v>0</v>
      </c>
      <c r="W17" s="1180">
        <v>0</v>
      </c>
      <c r="X17" s="1180">
        <v>0</v>
      </c>
      <c r="Y17" s="1180">
        <v>0</v>
      </c>
      <c r="Z17" s="1180">
        <v>0</v>
      </c>
      <c r="AA17" s="1180">
        <v>0</v>
      </c>
      <c r="AB17" s="1180">
        <v>0</v>
      </c>
      <c r="AC17" s="1180">
        <v>0</v>
      </c>
      <c r="AD17" s="1180">
        <v>0</v>
      </c>
      <c r="AE17" s="1180">
        <v>0</v>
      </c>
      <c r="AF17" s="1159">
        <v>-100.39</v>
      </c>
      <c r="AG17" s="1159">
        <v>-100.39</v>
      </c>
      <c r="AH17" s="1180">
        <v>0</v>
      </c>
      <c r="AI17" s="877" t="s">
        <v>1203</v>
      </c>
      <c r="AJ17" s="226">
        <f t="shared" si="0"/>
        <v>4.0261999999984255E-2</v>
      </c>
      <c r="AK17" s="886">
        <f t="shared" si="1"/>
        <v>0</v>
      </c>
      <c r="AL17" s="226">
        <f t="shared" si="2"/>
        <v>0</v>
      </c>
    </row>
    <row r="18" spans="1:38" s="152" customFormat="1" ht="14.25" customHeight="1">
      <c r="A18" s="371"/>
      <c r="B18" s="1156" t="s">
        <v>895</v>
      </c>
      <c r="C18" s="1157">
        <v>101835397</v>
      </c>
      <c r="D18" s="1157">
        <v>10869022.710000001</v>
      </c>
      <c r="E18" s="1157">
        <v>-107780</v>
      </c>
      <c r="F18" s="1157">
        <v>-8684.65</v>
      </c>
      <c r="G18" s="1157">
        <v>165943.86500000799</v>
      </c>
      <c r="H18" s="1157">
        <v>21401.2127101189</v>
      </c>
      <c r="I18" s="1157">
        <v>9724.2115606936404</v>
      </c>
      <c r="J18" s="1157">
        <v>11677.001149425299</v>
      </c>
      <c r="K18" s="1157">
        <v>0</v>
      </c>
      <c r="L18" s="1157">
        <v>101727617</v>
      </c>
      <c r="M18" s="1157">
        <v>38684539</v>
      </c>
      <c r="N18" s="1157">
        <v>23108706</v>
      </c>
      <c r="O18" s="1157">
        <v>15575833</v>
      </c>
      <c r="P18" s="1157">
        <v>63043078</v>
      </c>
      <c r="Q18" s="1157">
        <v>37599412</v>
      </c>
      <c r="R18" s="1157">
        <v>25443666</v>
      </c>
      <c r="S18" s="1157">
        <v>11183077.33</v>
      </c>
      <c r="T18" s="1157">
        <v>11183100.8240784</v>
      </c>
      <c r="U18" s="1158">
        <v>11183100.8240784</v>
      </c>
      <c r="V18" s="1180">
        <v>0</v>
      </c>
      <c r="W18" s="1180">
        <v>0</v>
      </c>
      <c r="X18" s="1180">
        <v>0</v>
      </c>
      <c r="Y18" s="1180">
        <v>0</v>
      </c>
      <c r="Z18" s="1180">
        <v>0</v>
      </c>
      <c r="AA18" s="1180">
        <v>0</v>
      </c>
      <c r="AB18" s="1180">
        <v>0</v>
      </c>
      <c r="AC18" s="1180">
        <v>0</v>
      </c>
      <c r="AD18" s="1180">
        <v>0</v>
      </c>
      <c r="AE18" s="1180">
        <v>0</v>
      </c>
      <c r="AF18" s="1159">
        <v>-322739.27</v>
      </c>
      <c r="AG18" s="1159">
        <v>-323605.69</v>
      </c>
      <c r="AH18" s="1180">
        <v>6.6669999999999998</v>
      </c>
      <c r="AI18" s="877" t="s">
        <v>850</v>
      </c>
      <c r="AJ18" s="226">
        <f t="shared" si="0"/>
        <v>23.4940783996135</v>
      </c>
      <c r="AK18" s="886">
        <f t="shared" si="1"/>
        <v>-866.4199999999837</v>
      </c>
      <c r="AL18" s="226">
        <f t="shared" si="2"/>
        <v>0</v>
      </c>
    </row>
    <row r="19" spans="1:38" s="152" customFormat="1" ht="14.25" customHeight="1">
      <c r="A19" s="371"/>
      <c r="B19" s="1156" t="s">
        <v>897</v>
      </c>
      <c r="C19" s="1157">
        <v>1239528</v>
      </c>
      <c r="D19" s="1157">
        <v>161244.32</v>
      </c>
      <c r="E19" s="1157">
        <v>40156</v>
      </c>
      <c r="F19" s="1157">
        <v>3570.87</v>
      </c>
      <c r="G19" s="1157">
        <v>5239.5230000000001</v>
      </c>
      <c r="H19" s="1157">
        <v>355.86747059995997</v>
      </c>
      <c r="I19" s="1157">
        <v>254.33988439306401</v>
      </c>
      <c r="J19" s="1157">
        <v>101.527586206897</v>
      </c>
      <c r="K19" s="1157">
        <v>0</v>
      </c>
      <c r="L19" s="1157">
        <v>1279684</v>
      </c>
      <c r="M19" s="1157">
        <v>269365</v>
      </c>
      <c r="N19" s="1157">
        <v>128197</v>
      </c>
      <c r="O19" s="1157">
        <v>141168</v>
      </c>
      <c r="P19" s="1157">
        <v>1010319</v>
      </c>
      <c r="Q19" s="1157">
        <v>586865</v>
      </c>
      <c r="R19" s="1157">
        <v>423454</v>
      </c>
      <c r="S19" s="1157">
        <v>168835.76</v>
      </c>
      <c r="T19" s="1157">
        <v>168835.89615399999</v>
      </c>
      <c r="U19" s="1158">
        <v>168835.89615399999</v>
      </c>
      <c r="V19" s="1180">
        <v>0</v>
      </c>
      <c r="W19" s="1180">
        <v>0</v>
      </c>
      <c r="X19" s="1180">
        <v>0</v>
      </c>
      <c r="Y19" s="1180">
        <v>0</v>
      </c>
      <c r="Z19" s="1180">
        <v>0</v>
      </c>
      <c r="AA19" s="1180">
        <v>0</v>
      </c>
      <c r="AB19" s="1180">
        <v>0</v>
      </c>
      <c r="AC19" s="1180">
        <v>0</v>
      </c>
      <c r="AD19" s="1180">
        <v>0</v>
      </c>
      <c r="AE19" s="1180">
        <v>0</v>
      </c>
      <c r="AF19" s="1159">
        <v>-4020.57</v>
      </c>
      <c r="AG19" s="1159">
        <v>-3830.54</v>
      </c>
      <c r="AH19" s="1180">
        <v>0</v>
      </c>
      <c r="AI19" s="877" t="s">
        <v>662</v>
      </c>
      <c r="AJ19" s="226">
        <f t="shared" si="0"/>
        <v>0.13615399997797795</v>
      </c>
      <c r="AK19" s="886">
        <f t="shared" si="1"/>
        <v>190.0300000000002</v>
      </c>
      <c r="AL19" s="226">
        <f t="shared" si="2"/>
        <v>0</v>
      </c>
    </row>
    <row r="20" spans="1:38" s="152" customFormat="1" ht="14.25" customHeight="1">
      <c r="A20" s="372"/>
      <c r="B20" s="1160" t="s">
        <v>1166</v>
      </c>
      <c r="C20" s="1161">
        <v>68561</v>
      </c>
      <c r="D20" s="1161">
        <v>7787.1</v>
      </c>
      <c r="E20" s="1161">
        <v>-11456</v>
      </c>
      <c r="F20" s="1161">
        <v>0</v>
      </c>
      <c r="G20" s="1161">
        <v>197.8</v>
      </c>
      <c r="H20" s="1161">
        <v>0</v>
      </c>
      <c r="I20" s="1161">
        <v>0</v>
      </c>
      <c r="J20" s="1161">
        <v>0</v>
      </c>
      <c r="K20" s="1161">
        <v>0</v>
      </c>
      <c r="L20" s="1161">
        <v>57105</v>
      </c>
      <c r="M20" s="1161">
        <v>0</v>
      </c>
      <c r="N20" s="1161">
        <v>0</v>
      </c>
      <c r="O20" s="1161">
        <v>0</v>
      </c>
      <c r="P20" s="1161">
        <v>0</v>
      </c>
      <c r="Q20" s="1161">
        <v>0</v>
      </c>
      <c r="R20" s="1161">
        <v>0</v>
      </c>
      <c r="S20" s="1161">
        <v>7990.31</v>
      </c>
      <c r="T20" s="1161">
        <v>7990.7095360000103</v>
      </c>
      <c r="U20" s="1162">
        <v>7990.7095360000103</v>
      </c>
      <c r="V20" s="1165">
        <v>43200</v>
      </c>
      <c r="W20" s="1165">
        <v>0</v>
      </c>
      <c r="X20" s="1165">
        <v>57787</v>
      </c>
      <c r="Y20" s="1165">
        <v>14587</v>
      </c>
      <c r="Z20" s="1165">
        <v>6976</v>
      </c>
      <c r="AA20" s="1165">
        <v>7611</v>
      </c>
      <c r="AB20" s="1165">
        <v>6976</v>
      </c>
      <c r="AC20" s="1165">
        <v>0</v>
      </c>
      <c r="AD20" s="1165">
        <v>7611</v>
      </c>
      <c r="AE20" s="1165">
        <v>0</v>
      </c>
      <c r="AF20" s="1163">
        <v>-203.21</v>
      </c>
      <c r="AG20" s="1163">
        <v>-203.21</v>
      </c>
      <c r="AH20" s="1165">
        <v>0</v>
      </c>
      <c r="AI20" s="877" t="s">
        <v>850</v>
      </c>
      <c r="AJ20" s="226">
        <f t="shared" si="0"/>
        <v>0.39953600000990264</v>
      </c>
      <c r="AK20" s="886">
        <f t="shared" si="1"/>
        <v>0</v>
      </c>
      <c r="AL20" s="226">
        <f t="shared" si="2"/>
        <v>-682</v>
      </c>
    </row>
    <row r="21" spans="1:38" s="152" customFormat="1" ht="14.25" customHeight="1">
      <c r="A21" s="525"/>
      <c r="B21" s="525"/>
      <c r="C21" s="524"/>
      <c r="D21" s="524"/>
      <c r="E21" s="524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AJ21" s="226"/>
      <c r="AK21" s="886"/>
      <c r="AL21" s="226"/>
    </row>
    <row r="22" spans="1:38" s="152" customFormat="1" ht="14.25" customHeight="1">
      <c r="A22" s="525"/>
      <c r="B22" s="525"/>
      <c r="C22" s="524"/>
      <c r="D22" s="524"/>
      <c r="E22" s="524"/>
      <c r="F22" s="524"/>
      <c r="G22" s="524"/>
      <c r="H22" s="524"/>
      <c r="I22" s="524"/>
      <c r="J22" s="524"/>
      <c r="K22" s="524"/>
      <c r="L22" s="524"/>
      <c r="M22" s="524"/>
      <c r="N22" s="524"/>
      <c r="O22" s="524"/>
      <c r="P22" s="524"/>
      <c r="Q22" s="524"/>
      <c r="R22" s="524"/>
      <c r="S22" s="524"/>
      <c r="T22" s="524"/>
      <c r="AJ22" s="226"/>
      <c r="AK22" s="886"/>
      <c r="AL22" s="226"/>
    </row>
    <row r="23" spans="1:38" s="152" customFormat="1" ht="14.25" customHeight="1">
      <c r="A23" s="715" t="s">
        <v>256</v>
      </c>
      <c r="B23" s="715"/>
      <c r="C23" s="715"/>
      <c r="D23" s="716"/>
      <c r="E23" s="717"/>
      <c r="F23" s="716"/>
      <c r="G23" s="717"/>
      <c r="H23" s="716"/>
      <c r="I23" s="717"/>
      <c r="J23" s="716"/>
      <c r="K23" s="718"/>
      <c r="L23" s="718"/>
      <c r="M23" s="718"/>
      <c r="N23" s="718"/>
      <c r="O23" s="718"/>
      <c r="P23" s="716"/>
      <c r="Q23" s="716"/>
      <c r="R23" s="716"/>
      <c r="S23" s="719"/>
      <c r="T23" s="719"/>
      <c r="AJ23" s="226"/>
      <c r="AK23" s="886"/>
      <c r="AL23" s="226"/>
    </row>
    <row r="24" spans="1:38" ht="14.25" customHeight="1">
      <c r="A24" s="613" t="s">
        <v>466</v>
      </c>
      <c r="B24" s="720" t="s">
        <v>44</v>
      </c>
      <c r="C24" s="721">
        <f t="shared" ref="C24:AH24" si="3">SUMIF($AI$2:$AI$20,$B24,C$2:C$20)</f>
        <v>1245835655</v>
      </c>
      <c r="D24" s="721">
        <f t="shared" si="3"/>
        <v>120844566.53</v>
      </c>
      <c r="E24" s="721">
        <f t="shared" si="3"/>
        <v>-326963</v>
      </c>
      <c r="F24" s="721">
        <f t="shared" si="3"/>
        <v>53286.18</v>
      </c>
      <c r="G24" s="721">
        <f t="shared" si="3"/>
        <v>889735.82099988707</v>
      </c>
      <c r="H24" s="721">
        <f t="shared" si="3"/>
        <v>607072.72451664484</v>
      </c>
      <c r="I24" s="721">
        <f t="shared" si="3"/>
        <v>333040.26589595014</v>
      </c>
      <c r="J24" s="721">
        <f t="shared" si="3"/>
        <v>274032.45862068859</v>
      </c>
      <c r="K24" s="721">
        <f t="shared" si="3"/>
        <v>9699.6041666666697</v>
      </c>
      <c r="L24" s="721">
        <f t="shared" si="3"/>
        <v>1245508692</v>
      </c>
      <c r="M24" s="721">
        <f t="shared" si="3"/>
        <v>547885232</v>
      </c>
      <c r="N24" s="721">
        <f t="shared" si="3"/>
        <v>274064266</v>
      </c>
      <c r="O24" s="721">
        <f t="shared" si="3"/>
        <v>273820966</v>
      </c>
      <c r="P24" s="721">
        <f t="shared" si="3"/>
        <v>694557607</v>
      </c>
      <c r="Q24" s="721">
        <f t="shared" si="3"/>
        <v>381516106</v>
      </c>
      <c r="R24" s="721">
        <f t="shared" si="3"/>
        <v>313041501</v>
      </c>
      <c r="S24" s="721">
        <f t="shared" si="3"/>
        <v>124814160.32000001</v>
      </c>
      <c r="T24" s="721">
        <f t="shared" si="3"/>
        <v>124814518.631927</v>
      </c>
      <c r="U24" s="721">
        <f t="shared" si="3"/>
        <v>124814518.631927</v>
      </c>
      <c r="V24" s="721">
        <f t="shared" si="3"/>
        <v>1948912</v>
      </c>
      <c r="W24" s="721">
        <f t="shared" si="3"/>
        <v>0</v>
      </c>
      <c r="X24" s="721">
        <f t="shared" si="3"/>
        <v>3212416</v>
      </c>
      <c r="Y24" s="721">
        <f t="shared" si="3"/>
        <v>1263504</v>
      </c>
      <c r="Z24" s="721">
        <f t="shared" si="3"/>
        <v>389086</v>
      </c>
      <c r="AA24" s="721">
        <f t="shared" si="3"/>
        <v>874418</v>
      </c>
      <c r="AB24" s="721">
        <f t="shared" si="3"/>
        <v>316963</v>
      </c>
      <c r="AC24" s="721">
        <f t="shared" si="3"/>
        <v>72123</v>
      </c>
      <c r="AD24" s="721">
        <f t="shared" si="3"/>
        <v>630634</v>
      </c>
      <c r="AE24" s="721">
        <f t="shared" si="3"/>
        <v>243784</v>
      </c>
      <c r="AF24" s="721">
        <f t="shared" si="3"/>
        <v>-3916307.6099999994</v>
      </c>
      <c r="AG24" s="721">
        <f t="shared" si="3"/>
        <v>-3920971.5499999993</v>
      </c>
      <c r="AH24" s="721">
        <f t="shared" si="3"/>
        <v>78.731999999999999</v>
      </c>
      <c r="AJ24" s="226">
        <f t="shared" ref="AJ24:AJ35" si="4">T24-S24</f>
        <v>358.31192699074745</v>
      </c>
      <c r="AK24" s="886">
        <f t="shared" ref="AK24:AK35" si="5">AG24-AF24</f>
        <v>-4663.9399999999441</v>
      </c>
      <c r="AL24" s="226">
        <f t="shared" si="2"/>
        <v>-146563</v>
      </c>
    </row>
    <row r="25" spans="1:38" ht="14.25" customHeight="1">
      <c r="A25" s="614"/>
      <c r="B25" s="615" t="s">
        <v>56</v>
      </c>
      <c r="C25" s="718">
        <f t="shared" ref="C25:R26" si="6">SUMIF($AI$2:$AI$20,$B25,C$2:C$20)</f>
        <v>53326748</v>
      </c>
      <c r="D25" s="718">
        <f t="shared" si="6"/>
        <v>5176771.6499999994</v>
      </c>
      <c r="E25" s="718">
        <f t="shared" si="6"/>
        <v>209605</v>
      </c>
      <c r="F25" s="718">
        <f t="shared" si="6"/>
        <v>15044.47</v>
      </c>
      <c r="G25" s="718">
        <f t="shared" si="6"/>
        <v>38154.106999999902</v>
      </c>
      <c r="H25" s="718">
        <f t="shared" si="6"/>
        <v>36243.269284433001</v>
      </c>
      <c r="I25" s="718">
        <f t="shared" si="6"/>
        <v>16686.4554913295</v>
      </c>
      <c r="J25" s="718">
        <f t="shared" si="6"/>
        <v>19556.813793103502</v>
      </c>
      <c r="K25" s="718">
        <f t="shared" si="6"/>
        <v>2433.125</v>
      </c>
      <c r="L25" s="718">
        <f t="shared" si="6"/>
        <v>53536353</v>
      </c>
      <c r="M25" s="718">
        <f t="shared" si="6"/>
        <v>22082688</v>
      </c>
      <c r="N25" s="718">
        <f t="shared" si="6"/>
        <v>10627510</v>
      </c>
      <c r="O25" s="718">
        <f t="shared" si="6"/>
        <v>11455178</v>
      </c>
      <c r="P25" s="718">
        <f t="shared" si="6"/>
        <v>31309781</v>
      </c>
      <c r="Q25" s="718">
        <f t="shared" si="6"/>
        <v>15864982</v>
      </c>
      <c r="R25" s="718">
        <f t="shared" si="6"/>
        <v>15444799</v>
      </c>
      <c r="S25" s="718">
        <f t="shared" ref="S25:AH26" si="7">SUMIF($AI$2:$AI$20,$B25,S$2:S$20)</f>
        <v>5359837.1499999994</v>
      </c>
      <c r="T25" s="718">
        <f t="shared" si="7"/>
        <v>5359851.8184470702</v>
      </c>
      <c r="U25" s="718">
        <f t="shared" si="7"/>
        <v>5359851.8184470702</v>
      </c>
      <c r="V25" s="718">
        <f t="shared" si="7"/>
        <v>101506</v>
      </c>
      <c r="W25" s="718">
        <f t="shared" si="7"/>
        <v>0</v>
      </c>
      <c r="X25" s="718">
        <f t="shared" si="7"/>
        <v>148374</v>
      </c>
      <c r="Y25" s="718">
        <f t="shared" si="7"/>
        <v>46868</v>
      </c>
      <c r="Z25" s="718">
        <f t="shared" si="7"/>
        <v>13162</v>
      </c>
      <c r="AA25" s="718">
        <f t="shared" si="7"/>
        <v>33706</v>
      </c>
      <c r="AB25" s="718">
        <f t="shared" si="7"/>
        <v>13162</v>
      </c>
      <c r="AC25" s="718">
        <f t="shared" si="7"/>
        <v>0</v>
      </c>
      <c r="AD25" s="718">
        <f t="shared" si="7"/>
        <v>33706</v>
      </c>
      <c r="AE25" s="718">
        <f t="shared" si="7"/>
        <v>0</v>
      </c>
      <c r="AF25" s="718">
        <f t="shared" si="7"/>
        <v>-168021.03000000003</v>
      </c>
      <c r="AG25" s="718">
        <f t="shared" si="7"/>
        <v>-167965.64</v>
      </c>
      <c r="AH25" s="718">
        <f t="shared" si="7"/>
        <v>13</v>
      </c>
      <c r="AJ25" s="226">
        <f t="shared" si="4"/>
        <v>14.668447070755064</v>
      </c>
      <c r="AK25" s="886">
        <f t="shared" si="5"/>
        <v>55.39000000001397</v>
      </c>
      <c r="AL25" s="226">
        <f t="shared" si="2"/>
        <v>-4490</v>
      </c>
    </row>
    <row r="26" spans="1:38" ht="14.25" customHeight="1">
      <c r="A26" s="614"/>
      <c r="B26" s="615" t="s">
        <v>850</v>
      </c>
      <c r="C26" s="718">
        <f>SUMIF($AI$2:$AI$20,$B26,C$2:C$20)</f>
        <v>102017998</v>
      </c>
      <c r="D26" s="718">
        <f t="shared" si="6"/>
        <v>10885635.450000001</v>
      </c>
      <c r="E26" s="718">
        <f t="shared" si="6"/>
        <v>-119236</v>
      </c>
      <c r="F26" s="718">
        <f t="shared" si="6"/>
        <v>-8684.65</v>
      </c>
      <c r="G26" s="718">
        <f t="shared" si="6"/>
        <v>166153.66500000798</v>
      </c>
      <c r="H26" s="718">
        <f t="shared" si="6"/>
        <v>21517.212271609831</v>
      </c>
      <c r="I26" s="718">
        <f t="shared" si="6"/>
        <v>9763.3352601156057</v>
      </c>
      <c r="J26" s="718">
        <f t="shared" si="6"/>
        <v>11753.877011494265</v>
      </c>
      <c r="K26" s="718">
        <f t="shared" si="6"/>
        <v>0</v>
      </c>
      <c r="L26" s="718">
        <f t="shared" si="6"/>
        <v>101898762</v>
      </c>
      <c r="M26" s="718">
        <f t="shared" si="6"/>
        <v>38726072</v>
      </c>
      <c r="N26" s="718">
        <f t="shared" si="6"/>
        <v>23116229</v>
      </c>
      <c r="O26" s="718">
        <f t="shared" si="6"/>
        <v>15609843</v>
      </c>
      <c r="P26" s="718">
        <f t="shared" si="6"/>
        <v>63115585</v>
      </c>
      <c r="Q26" s="718">
        <f t="shared" si="6"/>
        <v>37609889</v>
      </c>
      <c r="R26" s="718">
        <f t="shared" si="6"/>
        <v>25505696</v>
      </c>
      <c r="S26" s="718">
        <f t="shared" si="7"/>
        <v>11200203.33</v>
      </c>
      <c r="T26" s="718">
        <f t="shared" si="7"/>
        <v>11200227.259182399</v>
      </c>
      <c r="U26" s="718">
        <f t="shared" si="7"/>
        <v>11200227.259182399</v>
      </c>
      <c r="V26" s="718">
        <f t="shared" si="7"/>
        <v>43200</v>
      </c>
      <c r="W26" s="718">
        <f t="shared" si="7"/>
        <v>0</v>
      </c>
      <c r="X26" s="718">
        <f t="shared" si="7"/>
        <v>57787</v>
      </c>
      <c r="Y26" s="718">
        <f t="shared" si="7"/>
        <v>14587</v>
      </c>
      <c r="Z26" s="718">
        <f t="shared" si="7"/>
        <v>6976</v>
      </c>
      <c r="AA26" s="718">
        <f t="shared" si="7"/>
        <v>7611</v>
      </c>
      <c r="AB26" s="718">
        <f t="shared" si="7"/>
        <v>6976</v>
      </c>
      <c r="AC26" s="718">
        <f t="shared" si="7"/>
        <v>0</v>
      </c>
      <c r="AD26" s="718">
        <f t="shared" si="7"/>
        <v>7611</v>
      </c>
      <c r="AE26" s="718">
        <f t="shared" si="7"/>
        <v>0</v>
      </c>
      <c r="AF26" s="718">
        <f t="shared" si="7"/>
        <v>-323252.53000000003</v>
      </c>
      <c r="AG26" s="718">
        <f t="shared" si="7"/>
        <v>-324118.95</v>
      </c>
      <c r="AH26" s="718">
        <f t="shared" si="7"/>
        <v>6.6669999999999998</v>
      </c>
      <c r="AJ26" s="226">
        <f t="shared" si="4"/>
        <v>23.929182399064302</v>
      </c>
      <c r="AK26" s="886">
        <f t="shared" si="5"/>
        <v>-866.4199999999837</v>
      </c>
      <c r="AL26" s="226">
        <f t="shared" si="2"/>
        <v>-682</v>
      </c>
    </row>
    <row r="27" spans="1:38" ht="14.25" customHeight="1">
      <c r="A27" s="722"/>
      <c r="B27" s="723" t="s">
        <v>450</v>
      </c>
      <c r="C27" s="724">
        <f>SUM(C24:C26)</f>
        <v>1401180401</v>
      </c>
      <c r="D27" s="724">
        <f t="shared" ref="D27:AG27" si="8">SUM(D24:D26)</f>
        <v>136906973.63</v>
      </c>
      <c r="E27" s="724">
        <f t="shared" si="8"/>
        <v>-236594</v>
      </c>
      <c r="F27" s="724">
        <f t="shared" si="8"/>
        <v>59645.999999999993</v>
      </c>
      <c r="G27" s="724">
        <f t="shared" si="8"/>
        <v>1094043.5929998949</v>
      </c>
      <c r="H27" s="724">
        <f t="shared" si="8"/>
        <v>664833.20607268764</v>
      </c>
      <c r="I27" s="724">
        <f t="shared" si="8"/>
        <v>359490.05664739525</v>
      </c>
      <c r="J27" s="724">
        <f t="shared" si="8"/>
        <v>305343.14942528633</v>
      </c>
      <c r="K27" s="724">
        <f t="shared" si="8"/>
        <v>12132.72916666667</v>
      </c>
      <c r="L27" s="724">
        <f t="shared" si="8"/>
        <v>1400943807</v>
      </c>
      <c r="M27" s="724">
        <f t="shared" si="8"/>
        <v>608693992</v>
      </c>
      <c r="N27" s="724">
        <f t="shared" si="8"/>
        <v>307808005</v>
      </c>
      <c r="O27" s="724">
        <f t="shared" si="8"/>
        <v>300885987</v>
      </c>
      <c r="P27" s="724">
        <f t="shared" si="8"/>
        <v>788982973</v>
      </c>
      <c r="Q27" s="724">
        <f t="shared" si="8"/>
        <v>434990977</v>
      </c>
      <c r="R27" s="724">
        <f t="shared" si="8"/>
        <v>353991996</v>
      </c>
      <c r="S27" s="724">
        <f t="shared" si="8"/>
        <v>141374200.80000001</v>
      </c>
      <c r="T27" s="724">
        <f t="shared" si="8"/>
        <v>141374597.70955646</v>
      </c>
      <c r="U27" s="724">
        <f t="shared" si="8"/>
        <v>141374597.70955646</v>
      </c>
      <c r="V27" s="724">
        <f t="shared" si="8"/>
        <v>2093618</v>
      </c>
      <c r="W27" s="724">
        <f t="shared" si="8"/>
        <v>0</v>
      </c>
      <c r="X27" s="724">
        <f t="shared" si="8"/>
        <v>3418577</v>
      </c>
      <c r="Y27" s="724">
        <f t="shared" si="8"/>
        <v>1324959</v>
      </c>
      <c r="Z27" s="724">
        <f t="shared" si="8"/>
        <v>409224</v>
      </c>
      <c r="AA27" s="724">
        <f t="shared" si="8"/>
        <v>915735</v>
      </c>
      <c r="AB27" s="724">
        <f t="shared" si="8"/>
        <v>337101</v>
      </c>
      <c r="AC27" s="724">
        <f t="shared" si="8"/>
        <v>72123</v>
      </c>
      <c r="AD27" s="724">
        <f t="shared" si="8"/>
        <v>671951</v>
      </c>
      <c r="AE27" s="724">
        <f t="shared" si="8"/>
        <v>243784</v>
      </c>
      <c r="AF27" s="724">
        <f t="shared" si="8"/>
        <v>-4407581.17</v>
      </c>
      <c r="AG27" s="724">
        <f t="shared" si="8"/>
        <v>-4413056.1399999997</v>
      </c>
      <c r="AH27" s="724">
        <f t="shared" ref="AH27" si="9">SUM(AH24:AH26)</f>
        <v>98.399000000000001</v>
      </c>
      <c r="AJ27" s="226">
        <f t="shared" si="4"/>
        <v>396.90955644845963</v>
      </c>
      <c r="AK27" s="886">
        <f t="shared" si="5"/>
        <v>-5474.9699999997392</v>
      </c>
      <c r="AL27" s="226">
        <f t="shared" si="2"/>
        <v>-151735</v>
      </c>
    </row>
    <row r="28" spans="1:38" ht="14.25" customHeight="1">
      <c r="A28" s="613" t="s">
        <v>1011</v>
      </c>
      <c r="B28" s="720" t="s">
        <v>1269</v>
      </c>
      <c r="C28" s="721">
        <f t="shared" ref="C28:R29" si="10">SUMIF($AI$2:$AI$20,$B28,C$2:C$20)</f>
        <v>9741310</v>
      </c>
      <c r="D28" s="721">
        <f t="shared" si="10"/>
        <v>1021527.86</v>
      </c>
      <c r="E28" s="721">
        <f t="shared" si="10"/>
        <v>-16744</v>
      </c>
      <c r="F28" s="721">
        <f t="shared" si="10"/>
        <v>-1899.14</v>
      </c>
      <c r="G28" s="721">
        <f t="shared" si="10"/>
        <v>9847.2289999999903</v>
      </c>
      <c r="H28" s="721">
        <f t="shared" si="10"/>
        <v>11991.501162713401</v>
      </c>
      <c r="I28" s="721">
        <f t="shared" si="10"/>
        <v>5645.4023121387299</v>
      </c>
      <c r="J28" s="721">
        <f t="shared" si="10"/>
        <v>6346.09885057471</v>
      </c>
      <c r="K28" s="721">
        <f t="shared" si="10"/>
        <v>0</v>
      </c>
      <c r="L28" s="721">
        <f t="shared" si="10"/>
        <v>9724566</v>
      </c>
      <c r="M28" s="721">
        <f t="shared" si="10"/>
        <v>3119828</v>
      </c>
      <c r="N28" s="721">
        <f t="shared" si="10"/>
        <v>1602973</v>
      </c>
      <c r="O28" s="721">
        <f t="shared" si="10"/>
        <v>1516855</v>
      </c>
      <c r="P28" s="721">
        <f t="shared" si="10"/>
        <v>6604738</v>
      </c>
      <c r="Q28" s="721">
        <f t="shared" si="10"/>
        <v>3406467</v>
      </c>
      <c r="R28" s="721">
        <f t="shared" si="10"/>
        <v>3198271</v>
      </c>
      <c r="S28" s="721">
        <f t="shared" ref="D28:AH30" si="11">SUMIF($AI$2:$AI$20,$B28,S$2:S$20)</f>
        <v>1052074.43</v>
      </c>
      <c r="T28" s="721">
        <f t="shared" si="11"/>
        <v>1052076.5780499999</v>
      </c>
      <c r="U28" s="721">
        <f t="shared" si="11"/>
        <v>1052076.5780499999</v>
      </c>
      <c r="V28" s="721">
        <f t="shared" si="11"/>
        <v>0</v>
      </c>
      <c r="W28" s="721">
        <f t="shared" si="11"/>
        <v>0</v>
      </c>
      <c r="X28" s="721">
        <f t="shared" si="11"/>
        <v>0</v>
      </c>
      <c r="Y28" s="721">
        <f t="shared" si="11"/>
        <v>0</v>
      </c>
      <c r="Z28" s="721">
        <f t="shared" si="11"/>
        <v>0</v>
      </c>
      <c r="AA28" s="721">
        <f t="shared" si="11"/>
        <v>0</v>
      </c>
      <c r="AB28" s="721">
        <f t="shared" si="11"/>
        <v>0</v>
      </c>
      <c r="AC28" s="721">
        <f t="shared" si="11"/>
        <v>0</v>
      </c>
      <c r="AD28" s="721">
        <f t="shared" si="11"/>
        <v>0</v>
      </c>
      <c r="AE28" s="721">
        <f t="shared" si="11"/>
        <v>0</v>
      </c>
      <c r="AF28" s="721">
        <f t="shared" si="11"/>
        <v>-32445.71</v>
      </c>
      <c r="AG28" s="721">
        <f t="shared" si="11"/>
        <v>-32723.43</v>
      </c>
      <c r="AH28" s="721">
        <f t="shared" si="11"/>
        <v>8.2669999999999995</v>
      </c>
      <c r="AJ28" s="226">
        <f t="shared" si="4"/>
        <v>2.1480499999597669</v>
      </c>
      <c r="AK28" s="886">
        <f t="shared" si="5"/>
        <v>-277.72000000000116</v>
      </c>
      <c r="AL28" s="226">
        <f t="shared" si="2"/>
        <v>0</v>
      </c>
    </row>
    <row r="29" spans="1:38" ht="14.25" customHeight="1">
      <c r="A29" s="614"/>
      <c r="B29" s="615" t="s">
        <v>1270</v>
      </c>
      <c r="C29" s="718">
        <f t="shared" si="10"/>
        <v>176532</v>
      </c>
      <c r="D29" s="718">
        <f t="shared" si="11"/>
        <v>20297.66</v>
      </c>
      <c r="E29" s="718">
        <f t="shared" si="11"/>
        <v>450</v>
      </c>
      <c r="F29" s="718">
        <f t="shared" si="11"/>
        <v>13.09</v>
      </c>
      <c r="G29" s="718">
        <f t="shared" si="11"/>
        <v>204.16800000000001</v>
      </c>
      <c r="H29" s="718">
        <f t="shared" si="11"/>
        <v>381.03407746993599</v>
      </c>
      <c r="I29" s="718">
        <f t="shared" si="11"/>
        <v>146.929479768786</v>
      </c>
      <c r="J29" s="718">
        <f t="shared" si="11"/>
        <v>234.104597701149</v>
      </c>
      <c r="K29" s="718">
        <f t="shared" si="11"/>
        <v>0</v>
      </c>
      <c r="L29" s="718">
        <f t="shared" si="11"/>
        <v>176982</v>
      </c>
      <c r="M29" s="718">
        <f t="shared" si="11"/>
        <v>38204</v>
      </c>
      <c r="N29" s="718">
        <f t="shared" si="11"/>
        <v>23248</v>
      </c>
      <c r="O29" s="718">
        <f t="shared" si="11"/>
        <v>14956</v>
      </c>
      <c r="P29" s="718">
        <f t="shared" si="11"/>
        <v>138778</v>
      </c>
      <c r="Q29" s="718">
        <f t="shared" si="11"/>
        <v>73641</v>
      </c>
      <c r="R29" s="718">
        <f t="shared" si="11"/>
        <v>65137</v>
      </c>
      <c r="S29" s="718">
        <f t="shared" si="11"/>
        <v>20959.38</v>
      </c>
      <c r="T29" s="718">
        <f t="shared" si="11"/>
        <v>20959.388555000001</v>
      </c>
      <c r="U29" s="718">
        <f t="shared" si="11"/>
        <v>20959.388555000001</v>
      </c>
      <c r="V29" s="718">
        <f t="shared" si="11"/>
        <v>0</v>
      </c>
      <c r="W29" s="718">
        <f t="shared" si="11"/>
        <v>0</v>
      </c>
      <c r="X29" s="718">
        <f t="shared" si="11"/>
        <v>0</v>
      </c>
      <c r="Y29" s="718">
        <f t="shared" si="11"/>
        <v>0</v>
      </c>
      <c r="Z29" s="718">
        <f t="shared" si="11"/>
        <v>0</v>
      </c>
      <c r="AA29" s="718">
        <f t="shared" si="11"/>
        <v>0</v>
      </c>
      <c r="AB29" s="718">
        <f t="shared" si="11"/>
        <v>0</v>
      </c>
      <c r="AC29" s="718">
        <f t="shared" si="11"/>
        <v>0</v>
      </c>
      <c r="AD29" s="718">
        <f t="shared" si="11"/>
        <v>0</v>
      </c>
      <c r="AE29" s="718">
        <f t="shared" si="11"/>
        <v>0</v>
      </c>
      <c r="AF29" s="718">
        <f t="shared" si="11"/>
        <v>-648.63</v>
      </c>
      <c r="AG29" s="718">
        <f t="shared" si="11"/>
        <v>-649.62</v>
      </c>
      <c r="AH29" s="718">
        <f t="shared" si="11"/>
        <v>0</v>
      </c>
      <c r="AJ29" s="226">
        <f t="shared" si="4"/>
        <v>8.555000000342261E-3</v>
      </c>
      <c r="AK29" s="886">
        <f t="shared" si="5"/>
        <v>-0.99000000000000909</v>
      </c>
      <c r="AL29" s="226">
        <f t="shared" si="2"/>
        <v>0</v>
      </c>
    </row>
    <row r="30" spans="1:38" ht="14.25" customHeight="1">
      <c r="A30" s="614"/>
      <c r="B30" s="615" t="s">
        <v>662</v>
      </c>
      <c r="C30" s="718">
        <f>SUMIF($AI$2:$AI$20,$B30,C$2:C$20)</f>
        <v>1239528</v>
      </c>
      <c r="D30" s="718">
        <f t="shared" si="11"/>
        <v>161244.32</v>
      </c>
      <c r="E30" s="718">
        <f t="shared" si="11"/>
        <v>40156</v>
      </c>
      <c r="F30" s="718">
        <f t="shared" si="11"/>
        <v>3570.87</v>
      </c>
      <c r="G30" s="718">
        <f t="shared" si="11"/>
        <v>5239.5230000000001</v>
      </c>
      <c r="H30" s="718">
        <f t="shared" si="11"/>
        <v>355.86747059995997</v>
      </c>
      <c r="I30" s="718">
        <f t="shared" si="11"/>
        <v>254.33988439306401</v>
      </c>
      <c r="J30" s="718">
        <f t="shared" si="11"/>
        <v>101.527586206897</v>
      </c>
      <c r="K30" s="718">
        <f t="shared" si="11"/>
        <v>0</v>
      </c>
      <c r="L30" s="718">
        <f t="shared" si="11"/>
        <v>1279684</v>
      </c>
      <c r="M30" s="718">
        <f t="shared" si="11"/>
        <v>269365</v>
      </c>
      <c r="N30" s="718">
        <f t="shared" si="11"/>
        <v>128197</v>
      </c>
      <c r="O30" s="718">
        <f t="shared" si="11"/>
        <v>141168</v>
      </c>
      <c r="P30" s="718">
        <f t="shared" si="11"/>
        <v>1010319</v>
      </c>
      <c r="Q30" s="718">
        <f t="shared" si="11"/>
        <v>586865</v>
      </c>
      <c r="R30" s="718">
        <f t="shared" si="11"/>
        <v>423454</v>
      </c>
      <c r="S30" s="718">
        <f t="shared" si="11"/>
        <v>168835.76</v>
      </c>
      <c r="T30" s="718">
        <f t="shared" si="11"/>
        <v>168835.89615399999</v>
      </c>
      <c r="U30" s="718">
        <f t="shared" si="11"/>
        <v>168835.89615399999</v>
      </c>
      <c r="V30" s="718">
        <f t="shared" si="11"/>
        <v>0</v>
      </c>
      <c r="W30" s="718">
        <f t="shared" si="11"/>
        <v>0</v>
      </c>
      <c r="X30" s="718">
        <f t="shared" si="11"/>
        <v>0</v>
      </c>
      <c r="Y30" s="718">
        <f t="shared" si="11"/>
        <v>0</v>
      </c>
      <c r="Z30" s="718">
        <f t="shared" si="11"/>
        <v>0</v>
      </c>
      <c r="AA30" s="718">
        <f t="shared" si="11"/>
        <v>0</v>
      </c>
      <c r="AB30" s="718">
        <f t="shared" si="11"/>
        <v>0</v>
      </c>
      <c r="AC30" s="718">
        <f t="shared" si="11"/>
        <v>0</v>
      </c>
      <c r="AD30" s="718">
        <f t="shared" si="11"/>
        <v>0</v>
      </c>
      <c r="AE30" s="718">
        <f t="shared" si="11"/>
        <v>0</v>
      </c>
      <c r="AF30" s="718">
        <f t="shared" si="11"/>
        <v>-4020.57</v>
      </c>
      <c r="AG30" s="718">
        <f t="shared" si="11"/>
        <v>-3830.54</v>
      </c>
      <c r="AH30" s="718">
        <f t="shared" si="11"/>
        <v>0</v>
      </c>
      <c r="AJ30" s="226">
        <f t="shared" si="4"/>
        <v>0.13615399997797795</v>
      </c>
      <c r="AK30" s="886">
        <f t="shared" si="5"/>
        <v>190.0300000000002</v>
      </c>
      <c r="AL30" s="226">
        <f t="shared" si="2"/>
        <v>0</v>
      </c>
    </row>
    <row r="31" spans="1:38" ht="14.25" customHeight="1">
      <c r="A31" s="722"/>
      <c r="B31" s="723" t="s">
        <v>450</v>
      </c>
      <c r="C31" s="724">
        <f>SUM(C28:C30)</f>
        <v>11157370</v>
      </c>
      <c r="D31" s="724">
        <f t="shared" ref="D31:AG31" si="12">SUM(D28:D30)</f>
        <v>1203069.8400000001</v>
      </c>
      <c r="E31" s="724">
        <f t="shared" si="12"/>
        <v>23862</v>
      </c>
      <c r="F31" s="724">
        <f t="shared" si="12"/>
        <v>1684.8199999999997</v>
      </c>
      <c r="G31" s="724">
        <f t="shared" si="12"/>
        <v>15290.919999999991</v>
      </c>
      <c r="H31" s="724">
        <f t="shared" si="12"/>
        <v>12728.402710783297</v>
      </c>
      <c r="I31" s="724">
        <f t="shared" si="12"/>
        <v>6046.6716763005797</v>
      </c>
      <c r="J31" s="724">
        <f t="shared" si="12"/>
        <v>6681.7310344827556</v>
      </c>
      <c r="K31" s="724">
        <f t="shared" si="12"/>
        <v>0</v>
      </c>
      <c r="L31" s="724">
        <f t="shared" si="12"/>
        <v>11181232</v>
      </c>
      <c r="M31" s="724">
        <f t="shared" si="12"/>
        <v>3427397</v>
      </c>
      <c r="N31" s="724">
        <f t="shared" si="12"/>
        <v>1754418</v>
      </c>
      <c r="O31" s="724">
        <f t="shared" si="12"/>
        <v>1672979</v>
      </c>
      <c r="P31" s="724">
        <f t="shared" si="12"/>
        <v>7753835</v>
      </c>
      <c r="Q31" s="724">
        <f t="shared" si="12"/>
        <v>4066973</v>
      </c>
      <c r="R31" s="724">
        <f t="shared" si="12"/>
        <v>3686862</v>
      </c>
      <c r="S31" s="724">
        <f t="shared" si="12"/>
        <v>1241869.5699999998</v>
      </c>
      <c r="T31" s="724">
        <f t="shared" si="12"/>
        <v>1241871.8627589999</v>
      </c>
      <c r="U31" s="724">
        <f t="shared" si="12"/>
        <v>1241871.8627589999</v>
      </c>
      <c r="V31" s="724">
        <f t="shared" si="12"/>
        <v>0</v>
      </c>
      <c r="W31" s="724">
        <f t="shared" si="12"/>
        <v>0</v>
      </c>
      <c r="X31" s="724">
        <f t="shared" si="12"/>
        <v>0</v>
      </c>
      <c r="Y31" s="724">
        <f t="shared" si="12"/>
        <v>0</v>
      </c>
      <c r="Z31" s="724">
        <f t="shared" si="12"/>
        <v>0</v>
      </c>
      <c r="AA31" s="724">
        <f t="shared" si="12"/>
        <v>0</v>
      </c>
      <c r="AB31" s="724">
        <f t="shared" si="12"/>
        <v>0</v>
      </c>
      <c r="AC31" s="724">
        <f t="shared" si="12"/>
        <v>0</v>
      </c>
      <c r="AD31" s="724">
        <f t="shared" si="12"/>
        <v>0</v>
      </c>
      <c r="AE31" s="724">
        <f t="shared" si="12"/>
        <v>0</v>
      </c>
      <c r="AF31" s="724">
        <f t="shared" si="12"/>
        <v>-37114.909999999996</v>
      </c>
      <c r="AG31" s="724">
        <f t="shared" si="12"/>
        <v>-37203.590000000004</v>
      </c>
      <c r="AH31" s="724">
        <f t="shared" ref="AH31" si="13">SUM(AH28:AH30)</f>
        <v>8.2669999999999995</v>
      </c>
      <c r="AJ31" s="226">
        <f t="shared" si="4"/>
        <v>2.2927590000908822</v>
      </c>
      <c r="AK31" s="886">
        <f t="shared" si="5"/>
        <v>-88.680000000007567</v>
      </c>
      <c r="AL31" s="226">
        <f t="shared" si="2"/>
        <v>0</v>
      </c>
    </row>
    <row r="32" spans="1:38" ht="14.25" customHeight="1">
      <c r="A32" s="613" t="s">
        <v>1233</v>
      </c>
      <c r="B32" s="720" t="s">
        <v>1271</v>
      </c>
      <c r="C32" s="721">
        <f t="shared" ref="C32:R33" si="14">SUMIF($AI$2:$AI$20,$B32,C$2:C$20)</f>
        <v>1128908</v>
      </c>
      <c r="D32" s="721">
        <f t="shared" si="14"/>
        <v>107758.41</v>
      </c>
      <c r="E32" s="721">
        <f t="shared" si="14"/>
        <v>20299</v>
      </c>
      <c r="F32" s="721">
        <f t="shared" si="14"/>
        <v>1591.1399999999999</v>
      </c>
      <c r="G32" s="721">
        <f t="shared" si="14"/>
        <v>497.238</v>
      </c>
      <c r="H32" s="721">
        <f t="shared" si="14"/>
        <v>1305.83648926982</v>
      </c>
      <c r="I32" s="721">
        <f t="shared" si="14"/>
        <v>652.14913294797702</v>
      </c>
      <c r="J32" s="721">
        <f t="shared" si="14"/>
        <v>653.68735632183905</v>
      </c>
      <c r="K32" s="721">
        <f t="shared" si="14"/>
        <v>0</v>
      </c>
      <c r="L32" s="721">
        <f t="shared" si="14"/>
        <v>1149207</v>
      </c>
      <c r="M32" s="721">
        <f t="shared" si="14"/>
        <v>493888</v>
      </c>
      <c r="N32" s="721">
        <f t="shared" si="14"/>
        <v>225179</v>
      </c>
      <c r="O32" s="721">
        <f t="shared" si="14"/>
        <v>268709</v>
      </c>
      <c r="P32" s="721">
        <f t="shared" si="14"/>
        <v>655319</v>
      </c>
      <c r="Q32" s="721">
        <f t="shared" si="14"/>
        <v>266547</v>
      </c>
      <c r="R32" s="721">
        <f t="shared" si="14"/>
        <v>388772</v>
      </c>
      <c r="S32" s="721">
        <f t="shared" ref="D32:AH34" si="15">SUMIF($AI$2:$AI$20,$B32,S$2:S$20)</f>
        <v>112942.12000000001</v>
      </c>
      <c r="T32" s="721">
        <f t="shared" si="15"/>
        <v>112942.467015</v>
      </c>
      <c r="U32" s="721">
        <f t="shared" si="15"/>
        <v>112942.467015</v>
      </c>
      <c r="V32" s="721">
        <f t="shared" si="15"/>
        <v>0</v>
      </c>
      <c r="W32" s="721">
        <f t="shared" si="15"/>
        <v>105</v>
      </c>
      <c r="X32" s="721">
        <f t="shared" si="15"/>
        <v>0</v>
      </c>
      <c r="Y32" s="721">
        <f t="shared" si="15"/>
        <v>0</v>
      </c>
      <c r="Z32" s="721">
        <f t="shared" si="15"/>
        <v>0</v>
      </c>
      <c r="AA32" s="721">
        <f t="shared" si="15"/>
        <v>0</v>
      </c>
      <c r="AB32" s="721">
        <f t="shared" si="15"/>
        <v>0</v>
      </c>
      <c r="AC32" s="721">
        <f t="shared" si="15"/>
        <v>0</v>
      </c>
      <c r="AD32" s="721">
        <f t="shared" si="15"/>
        <v>0</v>
      </c>
      <c r="AE32" s="721">
        <f t="shared" si="15"/>
        <v>0</v>
      </c>
      <c r="AF32" s="721">
        <f t="shared" si="15"/>
        <v>-3592.5699999999997</v>
      </c>
      <c r="AG32" s="721">
        <f t="shared" si="15"/>
        <v>-3549.9700000000003</v>
      </c>
      <c r="AH32" s="721">
        <f t="shared" si="15"/>
        <v>0</v>
      </c>
      <c r="AJ32" s="226">
        <f t="shared" si="4"/>
        <v>0.34701499999209773</v>
      </c>
      <c r="AK32" s="886">
        <f t="shared" si="5"/>
        <v>42.599999999999454</v>
      </c>
      <c r="AL32" s="226">
        <f t="shared" si="2"/>
        <v>0</v>
      </c>
    </row>
    <row r="33" spans="1:38" ht="14.25" customHeight="1">
      <c r="A33" s="614"/>
      <c r="B33" s="615" t="s">
        <v>1272</v>
      </c>
      <c r="C33" s="718">
        <f t="shared" si="14"/>
        <v>0</v>
      </c>
      <c r="D33" s="718">
        <f t="shared" si="15"/>
        <v>0</v>
      </c>
      <c r="E33" s="718">
        <f t="shared" si="15"/>
        <v>0</v>
      </c>
      <c r="F33" s="718">
        <f t="shared" si="15"/>
        <v>0</v>
      </c>
      <c r="G33" s="718">
        <f t="shared" si="15"/>
        <v>0</v>
      </c>
      <c r="H33" s="718">
        <f t="shared" si="15"/>
        <v>0</v>
      </c>
      <c r="I33" s="718">
        <f t="shared" si="15"/>
        <v>0</v>
      </c>
      <c r="J33" s="718">
        <f t="shared" si="15"/>
        <v>0</v>
      </c>
      <c r="K33" s="718">
        <f t="shared" si="15"/>
        <v>0</v>
      </c>
      <c r="L33" s="718">
        <f t="shared" si="15"/>
        <v>0</v>
      </c>
      <c r="M33" s="718">
        <f t="shared" si="15"/>
        <v>0</v>
      </c>
      <c r="N33" s="718">
        <f t="shared" si="15"/>
        <v>0</v>
      </c>
      <c r="O33" s="718">
        <f t="shared" si="15"/>
        <v>0</v>
      </c>
      <c r="P33" s="718">
        <f t="shared" si="15"/>
        <v>0</v>
      </c>
      <c r="Q33" s="718">
        <f t="shared" si="15"/>
        <v>0</v>
      </c>
      <c r="R33" s="718">
        <f t="shared" si="15"/>
        <v>0</v>
      </c>
      <c r="S33" s="718">
        <f t="shared" si="15"/>
        <v>0</v>
      </c>
      <c r="T33" s="718">
        <f t="shared" si="15"/>
        <v>0</v>
      </c>
      <c r="U33" s="718">
        <f t="shared" si="15"/>
        <v>0</v>
      </c>
      <c r="V33" s="718">
        <f t="shared" si="15"/>
        <v>0</v>
      </c>
      <c r="W33" s="718">
        <f t="shared" si="15"/>
        <v>0</v>
      </c>
      <c r="X33" s="718">
        <f t="shared" si="15"/>
        <v>0</v>
      </c>
      <c r="Y33" s="718">
        <f t="shared" si="15"/>
        <v>0</v>
      </c>
      <c r="Z33" s="718">
        <f t="shared" si="15"/>
        <v>0</v>
      </c>
      <c r="AA33" s="718">
        <f t="shared" si="15"/>
        <v>0</v>
      </c>
      <c r="AB33" s="718">
        <f t="shared" si="15"/>
        <v>0</v>
      </c>
      <c r="AC33" s="718">
        <f t="shared" si="15"/>
        <v>0</v>
      </c>
      <c r="AD33" s="718">
        <f t="shared" si="15"/>
        <v>0</v>
      </c>
      <c r="AE33" s="718">
        <f t="shared" si="15"/>
        <v>0</v>
      </c>
      <c r="AF33" s="718">
        <f t="shared" si="15"/>
        <v>0</v>
      </c>
      <c r="AG33" s="718">
        <f t="shared" si="15"/>
        <v>0</v>
      </c>
      <c r="AH33" s="718">
        <f t="shared" si="15"/>
        <v>0</v>
      </c>
      <c r="AJ33" s="226">
        <f t="shared" si="4"/>
        <v>0</v>
      </c>
      <c r="AK33" s="886">
        <f t="shared" si="5"/>
        <v>0</v>
      </c>
      <c r="AL33" s="226">
        <f t="shared" si="2"/>
        <v>0</v>
      </c>
    </row>
    <row r="34" spans="1:38" ht="14.25" customHeight="1">
      <c r="A34" s="614"/>
      <c r="B34" s="615" t="s">
        <v>1203</v>
      </c>
      <c r="C34" s="718">
        <f>SUMIF($AI$2:$AI$20,$B34,C$2:C$20)</f>
        <v>144533</v>
      </c>
      <c r="D34" s="718">
        <f t="shared" si="15"/>
        <v>13169.36</v>
      </c>
      <c r="E34" s="718">
        <f t="shared" si="15"/>
        <v>0</v>
      </c>
      <c r="F34" s="718">
        <f t="shared" si="15"/>
        <v>0</v>
      </c>
      <c r="G34" s="718">
        <f t="shared" si="15"/>
        <v>80.8</v>
      </c>
      <c r="H34" s="718">
        <f t="shared" si="15"/>
        <v>71</v>
      </c>
      <c r="I34" s="718">
        <f t="shared" si="15"/>
        <v>33</v>
      </c>
      <c r="J34" s="718">
        <f t="shared" si="15"/>
        <v>38</v>
      </c>
      <c r="K34" s="718">
        <f t="shared" si="15"/>
        <v>0</v>
      </c>
      <c r="L34" s="718">
        <f t="shared" si="15"/>
        <v>144533</v>
      </c>
      <c r="M34" s="718">
        <f t="shared" si="15"/>
        <v>69735</v>
      </c>
      <c r="N34" s="718">
        <f t="shared" si="15"/>
        <v>26182</v>
      </c>
      <c r="O34" s="718">
        <f t="shared" si="15"/>
        <v>43553</v>
      </c>
      <c r="P34" s="718">
        <f t="shared" si="15"/>
        <v>74798</v>
      </c>
      <c r="Q34" s="718">
        <f t="shared" si="15"/>
        <v>34433</v>
      </c>
      <c r="R34" s="718">
        <f t="shared" si="15"/>
        <v>40365</v>
      </c>
      <c r="S34" s="718">
        <f t="shared" si="15"/>
        <v>13592.65</v>
      </c>
      <c r="T34" s="718">
        <f t="shared" si="15"/>
        <v>13592.739106000001</v>
      </c>
      <c r="U34" s="718">
        <f t="shared" si="15"/>
        <v>13592.739106000001</v>
      </c>
      <c r="V34" s="718">
        <f t="shared" si="15"/>
        <v>0</v>
      </c>
      <c r="W34" s="718">
        <f t="shared" si="15"/>
        <v>34</v>
      </c>
      <c r="X34" s="718">
        <f t="shared" si="15"/>
        <v>0</v>
      </c>
      <c r="Y34" s="718">
        <f t="shared" si="15"/>
        <v>0</v>
      </c>
      <c r="Z34" s="718">
        <f t="shared" si="15"/>
        <v>0</v>
      </c>
      <c r="AA34" s="718">
        <f t="shared" si="15"/>
        <v>0</v>
      </c>
      <c r="AB34" s="718">
        <f t="shared" si="15"/>
        <v>0</v>
      </c>
      <c r="AC34" s="718">
        <f t="shared" si="15"/>
        <v>0</v>
      </c>
      <c r="AD34" s="718">
        <f t="shared" si="15"/>
        <v>0</v>
      </c>
      <c r="AE34" s="718">
        <f t="shared" si="15"/>
        <v>0</v>
      </c>
      <c r="AF34" s="718">
        <f t="shared" si="15"/>
        <v>-423.28999999999996</v>
      </c>
      <c r="AG34" s="718">
        <f t="shared" si="15"/>
        <v>-423.28999999999996</v>
      </c>
      <c r="AH34" s="718">
        <f t="shared" si="15"/>
        <v>0</v>
      </c>
      <c r="AJ34" s="226">
        <f t="shared" si="4"/>
        <v>8.9106000001265784E-2</v>
      </c>
      <c r="AK34" s="886">
        <f t="shared" si="5"/>
        <v>0</v>
      </c>
      <c r="AL34" s="226">
        <f t="shared" si="2"/>
        <v>0</v>
      </c>
    </row>
    <row r="35" spans="1:38" ht="14.25" customHeight="1">
      <c r="A35" s="722"/>
      <c r="B35" s="723" t="s">
        <v>450</v>
      </c>
      <c r="C35" s="724">
        <f>SUM(C32:C34)</f>
        <v>1273441</v>
      </c>
      <c r="D35" s="724">
        <f t="shared" ref="D35:AG35" si="16">SUM(D32:D34)</f>
        <v>120927.77</v>
      </c>
      <c r="E35" s="724">
        <f t="shared" si="16"/>
        <v>20299</v>
      </c>
      <c r="F35" s="724">
        <f t="shared" si="16"/>
        <v>1591.1399999999999</v>
      </c>
      <c r="G35" s="724">
        <f t="shared" si="16"/>
        <v>578.03800000000001</v>
      </c>
      <c r="H35" s="724">
        <f t="shared" si="16"/>
        <v>1376.83648926982</v>
      </c>
      <c r="I35" s="724">
        <f t="shared" si="16"/>
        <v>685.14913294797702</v>
      </c>
      <c r="J35" s="724">
        <f t="shared" si="16"/>
        <v>691.68735632183905</v>
      </c>
      <c r="K35" s="724">
        <f t="shared" si="16"/>
        <v>0</v>
      </c>
      <c r="L35" s="724">
        <f t="shared" si="16"/>
        <v>1293740</v>
      </c>
      <c r="M35" s="724">
        <f t="shared" si="16"/>
        <v>563623</v>
      </c>
      <c r="N35" s="724">
        <f t="shared" si="16"/>
        <v>251361</v>
      </c>
      <c r="O35" s="724">
        <f t="shared" si="16"/>
        <v>312262</v>
      </c>
      <c r="P35" s="724">
        <f t="shared" si="16"/>
        <v>730117</v>
      </c>
      <c r="Q35" s="724">
        <f t="shared" si="16"/>
        <v>300980</v>
      </c>
      <c r="R35" s="724">
        <f t="shared" si="16"/>
        <v>429137</v>
      </c>
      <c r="S35" s="724">
        <f t="shared" si="16"/>
        <v>126534.77</v>
      </c>
      <c r="T35" s="724">
        <f t="shared" si="16"/>
        <v>126535.206121</v>
      </c>
      <c r="U35" s="724">
        <f t="shared" si="16"/>
        <v>126535.206121</v>
      </c>
      <c r="V35" s="724">
        <f t="shared" si="16"/>
        <v>0</v>
      </c>
      <c r="W35" s="724">
        <f t="shared" si="16"/>
        <v>139</v>
      </c>
      <c r="X35" s="724">
        <f t="shared" si="16"/>
        <v>0</v>
      </c>
      <c r="Y35" s="724">
        <f t="shared" si="16"/>
        <v>0</v>
      </c>
      <c r="Z35" s="724">
        <f t="shared" si="16"/>
        <v>0</v>
      </c>
      <c r="AA35" s="724">
        <f t="shared" si="16"/>
        <v>0</v>
      </c>
      <c r="AB35" s="724">
        <f t="shared" si="16"/>
        <v>0</v>
      </c>
      <c r="AC35" s="724">
        <f t="shared" si="16"/>
        <v>0</v>
      </c>
      <c r="AD35" s="724">
        <f t="shared" si="16"/>
        <v>0</v>
      </c>
      <c r="AE35" s="724">
        <f t="shared" si="16"/>
        <v>0</v>
      </c>
      <c r="AF35" s="724">
        <f t="shared" si="16"/>
        <v>-4015.8599999999997</v>
      </c>
      <c r="AG35" s="724">
        <f t="shared" si="16"/>
        <v>-3973.26</v>
      </c>
      <c r="AH35" s="724">
        <f t="shared" ref="AH35" si="17">SUM(AH32:AH34)</f>
        <v>0</v>
      </c>
      <c r="AJ35" s="226">
        <f t="shared" si="4"/>
        <v>0.43612099999154452</v>
      </c>
      <c r="AK35" s="886">
        <f t="shared" si="5"/>
        <v>42.599999999999454</v>
      </c>
      <c r="AL35" s="226">
        <f t="shared" si="2"/>
        <v>0</v>
      </c>
    </row>
    <row r="37" spans="1:38">
      <c r="A37" s="375" t="s">
        <v>463</v>
      </c>
      <c r="C37" s="226">
        <f>C27+C31+C35-SUM(C2:C20)</f>
        <v>0</v>
      </c>
      <c r="D37" s="226">
        <f t="shared" ref="D37:AG37" si="18">D27+D31+D35-SUM(D2:D20)</f>
        <v>0</v>
      </c>
      <c r="E37" s="226">
        <f t="shared" si="18"/>
        <v>0</v>
      </c>
      <c r="F37" s="226">
        <f t="shared" si="18"/>
        <v>0</v>
      </c>
      <c r="G37" s="226">
        <f t="shared" si="18"/>
        <v>0</v>
      </c>
      <c r="H37" s="226">
        <f t="shared" si="18"/>
        <v>0</v>
      </c>
      <c r="I37" s="226">
        <f t="shared" si="18"/>
        <v>0</v>
      </c>
      <c r="J37" s="226">
        <f t="shared" si="18"/>
        <v>0</v>
      </c>
      <c r="K37" s="226">
        <f t="shared" si="18"/>
        <v>0</v>
      </c>
      <c r="L37" s="226">
        <f t="shared" si="18"/>
        <v>0</v>
      </c>
      <c r="M37" s="226">
        <f t="shared" si="18"/>
        <v>0</v>
      </c>
      <c r="N37" s="226">
        <f t="shared" si="18"/>
        <v>0</v>
      </c>
      <c r="O37" s="226">
        <f t="shared" si="18"/>
        <v>0</v>
      </c>
      <c r="P37" s="226">
        <f t="shared" si="18"/>
        <v>0</v>
      </c>
      <c r="Q37" s="226">
        <f t="shared" si="18"/>
        <v>0</v>
      </c>
      <c r="R37" s="226">
        <f t="shared" si="18"/>
        <v>0</v>
      </c>
      <c r="S37" s="226">
        <f t="shared" si="18"/>
        <v>0</v>
      </c>
      <c r="T37" s="226">
        <f t="shared" si="18"/>
        <v>0</v>
      </c>
      <c r="U37" s="226">
        <f t="shared" si="18"/>
        <v>0</v>
      </c>
      <c r="V37" s="226">
        <f t="shared" si="18"/>
        <v>0</v>
      </c>
      <c r="W37" s="226">
        <f t="shared" si="18"/>
        <v>0</v>
      </c>
      <c r="X37" s="226">
        <f t="shared" si="18"/>
        <v>0</v>
      </c>
      <c r="Y37" s="226">
        <f t="shared" si="18"/>
        <v>0</v>
      </c>
      <c r="Z37" s="226">
        <f t="shared" si="18"/>
        <v>0</v>
      </c>
      <c r="AA37" s="226">
        <f t="shared" si="18"/>
        <v>0</v>
      </c>
      <c r="AB37" s="226">
        <f t="shared" si="18"/>
        <v>0</v>
      </c>
      <c r="AC37" s="226">
        <f t="shared" si="18"/>
        <v>0</v>
      </c>
      <c r="AD37" s="226">
        <f t="shared" si="18"/>
        <v>0</v>
      </c>
      <c r="AE37" s="226">
        <f t="shared" si="18"/>
        <v>0</v>
      </c>
      <c r="AF37" s="226">
        <f t="shared" si="18"/>
        <v>0</v>
      </c>
      <c r="AG37" s="226">
        <f t="shared" si="18"/>
        <v>0</v>
      </c>
      <c r="AH37" s="226">
        <f t="shared" ref="AH37:AL37" si="19">AH27+AH31+AH35-SUM(AH2:AH20)</f>
        <v>0</v>
      </c>
      <c r="AI37" s="226"/>
      <c r="AJ37" s="226"/>
      <c r="AK37" s="226"/>
      <c r="AL37" s="226">
        <f t="shared" si="19"/>
        <v>0</v>
      </c>
    </row>
    <row r="38" spans="1:38">
      <c r="T38" s="186"/>
    </row>
    <row r="39" spans="1:38">
      <c r="B39" s="122" t="s">
        <v>1180</v>
      </c>
      <c r="K39" s="659"/>
      <c r="L39" s="707"/>
      <c r="M39" s="674"/>
      <c r="N39" s="710" t="s">
        <v>79</v>
      </c>
      <c r="O39" s="710"/>
      <c r="P39" s="710"/>
      <c r="Q39" s="711" t="s">
        <v>80</v>
      </c>
      <c r="S39" s="659" t="s">
        <v>418</v>
      </c>
      <c r="T39" s="707">
        <f>(TempRev!I331+TempRev!I352)*(1-TempRev!Y17)</f>
        <v>26854.236103999985</v>
      </c>
    </row>
    <row r="40" spans="1:38">
      <c r="B40" s="122" t="s">
        <v>1178</v>
      </c>
      <c r="C40" s="811">
        <f>'305'!H45</f>
        <v>0</v>
      </c>
      <c r="D40" s="811">
        <f>'305'!G45</f>
        <v>129.25</v>
      </c>
      <c r="G40" s="338"/>
      <c r="K40" s="661"/>
      <c r="L40" s="708"/>
      <c r="M40" s="627" t="s">
        <v>429</v>
      </c>
      <c r="N40" s="629">
        <f>N24/M24</f>
        <v>0.50022203555214639</v>
      </c>
      <c r="O40" s="628"/>
      <c r="P40" s="628"/>
      <c r="Q40" s="630">
        <f>Q24/P24</f>
        <v>0.549293682993238</v>
      </c>
      <c r="S40" s="661" t="s">
        <v>136</v>
      </c>
      <c r="T40" s="708">
        <f>'Blocking-Step2'!H1994+'Blocking-Step2'!H2089+'Blocking-Step2'!H2178</f>
        <v>709833</v>
      </c>
      <c r="V40" s="122" t="s">
        <v>1241</v>
      </c>
    </row>
    <row r="41" spans="1:38">
      <c r="B41" s="122" t="s">
        <v>1179</v>
      </c>
      <c r="C41" s="811">
        <f>'305'!H90</f>
        <v>2230442</v>
      </c>
      <c r="D41" s="811">
        <f>'305'!G90</f>
        <v>208870.96</v>
      </c>
      <c r="K41" s="661"/>
      <c r="L41" s="708"/>
      <c r="M41" s="627" t="s">
        <v>438</v>
      </c>
      <c r="N41" s="629">
        <f>N25/M25</f>
        <v>0.48125979953165121</v>
      </c>
      <c r="O41" s="628"/>
      <c r="P41" s="628"/>
      <c r="Q41" s="630">
        <f>Q25/P25</f>
        <v>0.50671009164835745</v>
      </c>
      <c r="S41" s="661" t="s">
        <v>411</v>
      </c>
      <c r="T41" s="708">
        <f>'Blocking-Step2'!H1998+'Blocking-Step2'!H2092+'Blocking-Step2'!H2181</f>
        <v>139121271.45670003</v>
      </c>
      <c r="V41" s="859">
        <f>'Blocking-Step2'!H1995+'Blocking-Step2'!H2090+'Blocking-Step2'!H2179</f>
        <v>-4358450.5433</v>
      </c>
    </row>
    <row r="42" spans="1:38">
      <c r="B42" s="122" t="s">
        <v>1182</v>
      </c>
      <c r="C42" s="811">
        <f>'305'!H173</f>
        <v>0</v>
      </c>
      <c r="D42" s="811">
        <f>'305'!G173</f>
        <v>0</v>
      </c>
      <c r="K42" s="663"/>
      <c r="L42" s="709"/>
      <c r="M42" s="631" t="s">
        <v>428</v>
      </c>
      <c r="N42" s="633">
        <f>N26/M26</f>
        <v>0.5969164391369205</v>
      </c>
      <c r="O42" s="632"/>
      <c r="P42" s="632"/>
      <c r="Q42" s="634">
        <f>Q26/P26</f>
        <v>0.59588909775612475</v>
      </c>
      <c r="S42" s="663" t="s">
        <v>498</v>
      </c>
      <c r="T42" s="709">
        <f>T41-T27-T31-T35-T39-T40-V41</f>
        <v>29.985459567047656</v>
      </c>
    </row>
    <row r="43" spans="1:38">
      <c r="C43" s="811">
        <f>C40-C9</f>
        <v>-4043499</v>
      </c>
      <c r="D43" s="811">
        <f>D40-D9</f>
        <v>-347667.59</v>
      </c>
    </row>
    <row r="44" spans="1:38">
      <c r="C44" s="811">
        <f>C41-C13</f>
        <v>2077583</v>
      </c>
      <c r="D44" s="811">
        <f>D41-D13</f>
        <v>191796.03</v>
      </c>
      <c r="K44" s="656"/>
      <c r="L44" s="650" t="s">
        <v>1036</v>
      </c>
      <c r="N44" s="626"/>
    </row>
    <row r="45" spans="1:38">
      <c r="C45" s="811">
        <f>C42-C20</f>
        <v>-68561</v>
      </c>
      <c r="D45" s="811">
        <f>D42-D20</f>
        <v>-7787.1</v>
      </c>
      <c r="K45" s="657" t="s">
        <v>698</v>
      </c>
      <c r="L45" s="636">
        <f>L30/(L30+L26+L34)</f>
        <v>1.2385279754661352E-2</v>
      </c>
      <c r="M45" s="636">
        <f>L34/(L30+L26+L34)</f>
        <v>1.3988466205566916E-3</v>
      </c>
      <c r="N45" s="626"/>
    </row>
    <row r="46" spans="1:38">
      <c r="K46" s="658" t="s">
        <v>699</v>
      </c>
      <c r="L46" s="638">
        <f>L28/(L28+L24+L32)</f>
        <v>7.7401319032258222E-3</v>
      </c>
      <c r="M46" s="638">
        <f>L32/(L28+L24+L32)</f>
        <v>9.1469519196131087E-4</v>
      </c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Schedule 23 Billing Determinants
12 Months Ending September 2005&amp;R&amp;"Arial"&amp;8Date: 12/15/2005</oddHeader>
    <oddFooter>&amp;L&amp;C&amp;"Arial"&amp;10Page &amp;P&amp;R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H78"/>
  <sheetViews>
    <sheetView workbookViewId="0">
      <pane xSplit="2" ySplit="1" topLeftCell="AA2" activePane="bottomRight" state="frozen"/>
      <selection activeCell="W28" sqref="W28"/>
      <selection pane="topRight" activeCell="W28" sqref="W28"/>
      <selection pane="bottomLeft" activeCell="W28" sqref="W28"/>
      <selection pane="bottomRight" activeCell="AH9" sqref="AH9"/>
    </sheetView>
  </sheetViews>
  <sheetFormatPr defaultColWidth="7.75" defaultRowHeight="12.75"/>
  <cols>
    <col min="1" max="1" width="9.25" style="122" bestFit="1" customWidth="1"/>
    <col min="2" max="2" width="22.125" style="122" customWidth="1"/>
    <col min="3" max="3" width="12.625" style="122" bestFit="1" customWidth="1"/>
    <col min="4" max="4" width="10.625" style="122" bestFit="1" customWidth="1"/>
    <col min="5" max="5" width="9.625" style="122" bestFit="1" customWidth="1"/>
    <col min="6" max="6" width="8.5" style="122" bestFit="1" customWidth="1"/>
    <col min="7" max="7" width="10.125" style="122" bestFit="1" customWidth="1"/>
    <col min="8" max="10" width="7.625" style="122" bestFit="1" customWidth="1"/>
    <col min="11" max="11" width="8.75" style="122" bestFit="1" customWidth="1"/>
    <col min="12" max="12" width="13.625" style="122" bestFit="1" customWidth="1"/>
    <col min="13" max="18" width="11.125" style="122" bestFit="1" customWidth="1"/>
    <col min="19" max="19" width="10.625" style="122" bestFit="1" customWidth="1"/>
    <col min="20" max="20" width="11.25" style="122" bestFit="1" customWidth="1"/>
    <col min="21" max="21" width="11" style="122" bestFit="1" customWidth="1"/>
    <col min="22" max="22" width="10.125" style="122" bestFit="1" customWidth="1"/>
    <col min="23" max="23" width="8" style="122" bestFit="1" customWidth="1"/>
    <col min="24" max="25" width="8.625" style="122" bestFit="1" customWidth="1"/>
    <col min="26" max="31" width="8" style="122" bestFit="1" customWidth="1"/>
    <col min="32" max="33" width="12" style="122" bestFit="1" customWidth="1"/>
    <col min="34" max="34" width="10.125" style="122" customWidth="1"/>
    <col min="35" max="35" width="10.125" style="122" bestFit="1" customWidth="1"/>
    <col min="36" max="36" width="7.75" style="122"/>
    <col min="37" max="38" width="8" style="122" bestFit="1" customWidth="1"/>
    <col min="39" max="40" width="7.75" style="122"/>
    <col min="41" max="42" width="9.625" style="122" bestFit="1" customWidth="1"/>
    <col min="43" max="43" width="11.125" style="122" bestFit="1" customWidth="1"/>
    <col min="44" max="46" width="9.125" style="122" bestFit="1" customWidth="1"/>
    <col min="47" max="55" width="7.75" style="122"/>
    <col min="56" max="59" width="8" style="122" bestFit="1" customWidth="1"/>
    <col min="60" max="16384" width="7.75" style="122"/>
  </cols>
  <sheetData>
    <row r="1" spans="1:40" ht="13.5" customHeight="1">
      <c r="A1" s="1155" t="s">
        <v>191</v>
      </c>
      <c r="B1" s="1155" t="s">
        <v>192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462</v>
      </c>
      <c r="I1" s="1155" t="s">
        <v>638</v>
      </c>
      <c r="J1" s="1155" t="s">
        <v>639</v>
      </c>
      <c r="K1" s="1155" t="s">
        <v>631</v>
      </c>
      <c r="L1" s="1155" t="s">
        <v>70</v>
      </c>
      <c r="M1" s="1155" t="s">
        <v>622</v>
      </c>
      <c r="N1" s="1155" t="s">
        <v>623</v>
      </c>
      <c r="O1" s="1155" t="s">
        <v>624</v>
      </c>
      <c r="P1" s="1155" t="s">
        <v>626</v>
      </c>
      <c r="Q1" s="1155" t="s">
        <v>640</v>
      </c>
      <c r="R1" s="1155" t="s">
        <v>641</v>
      </c>
      <c r="S1" s="1155" t="s">
        <v>71</v>
      </c>
      <c r="T1" s="1155" t="s">
        <v>619</v>
      </c>
      <c r="U1" s="1155" t="s">
        <v>796</v>
      </c>
      <c r="V1" s="1155" t="s">
        <v>1152</v>
      </c>
      <c r="W1" s="1155" t="s">
        <v>627</v>
      </c>
      <c r="X1" s="1155" t="s">
        <v>1221</v>
      </c>
      <c r="Y1" s="1155" t="s">
        <v>1222</v>
      </c>
      <c r="Z1" s="1155" t="s">
        <v>1223</v>
      </c>
      <c r="AA1" s="1155" t="s">
        <v>1224</v>
      </c>
      <c r="AB1" s="1155" t="s">
        <v>1261</v>
      </c>
      <c r="AC1" s="1155" t="s">
        <v>1262</v>
      </c>
      <c r="AD1" s="1155" t="s">
        <v>1263</v>
      </c>
      <c r="AE1" s="1155" t="s">
        <v>1264</v>
      </c>
      <c r="AF1" s="1155" t="s">
        <v>1225</v>
      </c>
      <c r="AG1" s="1155" t="s">
        <v>1256</v>
      </c>
      <c r="AH1" s="1155" t="s">
        <v>1297</v>
      </c>
      <c r="AI1" s="122" t="s">
        <v>192</v>
      </c>
      <c r="AL1" s="122" t="s">
        <v>1315</v>
      </c>
    </row>
    <row r="2" spans="1:40" ht="14.25" customHeight="1">
      <c r="A2" s="1156" t="s">
        <v>429</v>
      </c>
      <c r="B2" s="1156" t="s">
        <v>1265</v>
      </c>
      <c r="C2" s="1157"/>
      <c r="D2" s="1157"/>
      <c r="E2" s="1157"/>
      <c r="F2" s="1157"/>
      <c r="G2" s="1157"/>
      <c r="H2" s="1157"/>
      <c r="I2" s="1157">
        <f t="shared" ref="I2:I20" si="0">SUMIFS(AK$41:AK$78,$A$41:$A$78,$A2,$B$41:$B$78,$B2)</f>
        <v>0</v>
      </c>
      <c r="J2" s="1157">
        <f t="shared" ref="J2:J20" si="1">SUMIFS(AL$41:AL$78,$A$41:$A$78,$A2,$B$41:$B$78,$B2)</f>
        <v>0</v>
      </c>
      <c r="K2" s="1157"/>
      <c r="L2" s="1157"/>
      <c r="M2" s="1157"/>
      <c r="N2" s="1157">
        <f t="shared" ref="N2:N20" si="2">SUMIFS(AP$41:AP$78,$A$41:$A$78,$A2,$B$41:$B$78,$B2)</f>
        <v>-7925</v>
      </c>
      <c r="O2" s="1157">
        <f t="shared" ref="O2:O20" si="3">SUMIFS(AQ$41:AQ$78,$A$41:$A$78,$A2,$B$41:$B$78,$B2)</f>
        <v>-1589.810606060606</v>
      </c>
      <c r="P2" s="1157"/>
      <c r="Q2" s="1157">
        <f t="shared" ref="Q2:Q20" si="4">SUMIFS(AS$41:AS$78,$A$41:$A$78,$A2,$B$41:$B$78,$B2)</f>
        <v>7925</v>
      </c>
      <c r="R2" s="1157">
        <f t="shared" ref="R2:R20" si="5">SUMIFS(AT$41:AT$78,$A$41:$A$78,$A2,$B$41:$B$78,$B2)</f>
        <v>1589.810606060606</v>
      </c>
      <c r="S2" s="1157"/>
      <c r="T2" s="1157"/>
      <c r="U2" s="1158"/>
      <c r="V2" s="1180"/>
      <c r="W2" s="1180"/>
      <c r="X2" s="1180"/>
      <c r="Y2" s="1180"/>
      <c r="Z2" s="1180"/>
      <c r="AA2" s="1180"/>
      <c r="AB2" s="1157">
        <f t="shared" ref="AB2:AB20" si="6">SUMIFS(BD$41:BD$78,$A$41:$A$78,$A2,$B$41:$B$78,$B2)</f>
        <v>0</v>
      </c>
      <c r="AC2" s="1157">
        <f t="shared" ref="AC2:AC20" si="7">SUMIFS(BE$41:BE$78,$A$41:$A$78,$A2,$B$41:$B$78,$B2)</f>
        <v>0</v>
      </c>
      <c r="AD2" s="1157">
        <f t="shared" ref="AD2:AD20" si="8">SUMIFS(BF$41:BF$78,$A$41:$A$78,$A2,$B$41:$B$78,$B2)</f>
        <v>0</v>
      </c>
      <c r="AE2" s="1157">
        <f t="shared" ref="AE2:AE20" si="9">SUMIFS(BG$41:BG$78,$A$41:$A$78,$A2,$B$41:$B$78,$B2)</f>
        <v>0</v>
      </c>
      <c r="AF2" s="1159"/>
      <c r="AG2" s="1159"/>
      <c r="AH2" s="1180"/>
      <c r="AI2" s="860" t="s">
        <v>1271</v>
      </c>
      <c r="AJ2" s="226">
        <f>T2-S2</f>
        <v>0</v>
      </c>
      <c r="AK2" s="886">
        <f>AG2-AF2</f>
        <v>0</v>
      </c>
      <c r="AL2" s="226">
        <f>L2-N2-O2-Q2-R2-V2-AB2-AC2-AD2-AE2</f>
        <v>0</v>
      </c>
    </row>
    <row r="3" spans="1:40" ht="14.25" customHeight="1">
      <c r="A3" s="1156" t="s">
        <v>429</v>
      </c>
      <c r="B3" s="1156" t="s">
        <v>1266</v>
      </c>
      <c r="C3" s="1157"/>
      <c r="D3" s="1157"/>
      <c r="E3" s="1157"/>
      <c r="F3" s="1157"/>
      <c r="G3" s="1157"/>
      <c r="H3" s="1157"/>
      <c r="I3" s="1157">
        <f t="shared" si="0"/>
        <v>-182.86101700112647</v>
      </c>
      <c r="J3" s="1157">
        <f t="shared" si="1"/>
        <v>182.86101700112647</v>
      </c>
      <c r="K3" s="1157"/>
      <c r="L3" s="1157"/>
      <c r="M3" s="1157"/>
      <c r="N3" s="1157">
        <f t="shared" si="2"/>
        <v>-14246.801951071382</v>
      </c>
      <c r="O3" s="1157">
        <f t="shared" si="3"/>
        <v>-85289.788488425795</v>
      </c>
      <c r="P3" s="1157"/>
      <c r="Q3" s="1157">
        <f t="shared" si="4"/>
        <v>14246.801951071382</v>
      </c>
      <c r="R3" s="1157">
        <f t="shared" si="5"/>
        <v>85289.788488425795</v>
      </c>
      <c r="S3" s="1157"/>
      <c r="T3" s="1157"/>
      <c r="U3" s="1158"/>
      <c r="V3" s="1180"/>
      <c r="W3" s="1180"/>
      <c r="X3" s="1180"/>
      <c r="Y3" s="1180"/>
      <c r="Z3" s="1180"/>
      <c r="AA3" s="1180"/>
      <c r="AB3" s="1157">
        <f t="shared" si="6"/>
        <v>0</v>
      </c>
      <c r="AC3" s="1157">
        <f t="shared" si="7"/>
        <v>0</v>
      </c>
      <c r="AD3" s="1157">
        <f t="shared" si="8"/>
        <v>0</v>
      </c>
      <c r="AE3" s="1157">
        <f t="shared" si="9"/>
        <v>0</v>
      </c>
      <c r="AF3" s="1159"/>
      <c r="AG3" s="1159"/>
      <c r="AH3" s="1180"/>
      <c r="AI3" s="860" t="s">
        <v>1271</v>
      </c>
      <c r="AJ3" s="226">
        <f t="shared" ref="AJ3:AJ20" si="10">T3-S3</f>
        <v>0</v>
      </c>
      <c r="AK3" s="886">
        <f t="shared" ref="AK3:AK20" si="11">AG3-AF3</f>
        <v>0</v>
      </c>
      <c r="AL3" s="226">
        <f t="shared" ref="AL3:AL35" si="12">L3-N3-O3-Q3-R3-V3-AB3-AC3-AD3-AE3</f>
        <v>0</v>
      </c>
    </row>
    <row r="4" spans="1:40" ht="14.25" customHeight="1">
      <c r="A4" s="1156" t="s">
        <v>429</v>
      </c>
      <c r="B4" s="1156" t="s">
        <v>138</v>
      </c>
      <c r="C4" s="1157"/>
      <c r="D4" s="1157"/>
      <c r="E4" s="1157"/>
      <c r="F4" s="1157"/>
      <c r="G4" s="1157"/>
      <c r="H4" s="1157"/>
      <c r="I4" s="1157">
        <f t="shared" si="0"/>
        <v>-48074.247550730812</v>
      </c>
      <c r="J4" s="1157">
        <f t="shared" si="1"/>
        <v>48074.247550730812</v>
      </c>
      <c r="K4" s="1157"/>
      <c r="L4" s="1157"/>
      <c r="M4" s="1157"/>
      <c r="N4" s="1157">
        <f t="shared" si="2"/>
        <v>-52479230.975895591</v>
      </c>
      <c r="O4" s="1157">
        <f t="shared" si="3"/>
        <v>-38845610.242380641</v>
      </c>
      <c r="P4" s="1157"/>
      <c r="Q4" s="1157">
        <f t="shared" si="4"/>
        <v>52479230.975895591</v>
      </c>
      <c r="R4" s="1157">
        <f t="shared" si="5"/>
        <v>38845610.242380641</v>
      </c>
      <c r="S4" s="1157"/>
      <c r="T4" s="1157"/>
      <c r="U4" s="1158"/>
      <c r="V4" s="1180"/>
      <c r="W4" s="1180"/>
      <c r="X4" s="1180"/>
      <c r="Y4" s="1180"/>
      <c r="Z4" s="1180"/>
      <c r="AA4" s="1180"/>
      <c r="AB4" s="1157">
        <f t="shared" si="6"/>
        <v>0</v>
      </c>
      <c r="AC4" s="1157">
        <f t="shared" si="7"/>
        <v>0</v>
      </c>
      <c r="AD4" s="1157">
        <f t="shared" si="8"/>
        <v>0</v>
      </c>
      <c r="AE4" s="1157">
        <f t="shared" si="9"/>
        <v>0</v>
      </c>
      <c r="AF4" s="1159"/>
      <c r="AG4" s="1159"/>
      <c r="AH4" s="1180"/>
      <c r="AI4" s="860" t="s">
        <v>44</v>
      </c>
      <c r="AJ4" s="226">
        <f t="shared" si="10"/>
        <v>0</v>
      </c>
      <c r="AK4" s="886">
        <f t="shared" si="11"/>
        <v>0</v>
      </c>
      <c r="AL4" s="226">
        <f t="shared" si="12"/>
        <v>0</v>
      </c>
    </row>
    <row r="5" spans="1:40" ht="14.25" customHeight="1">
      <c r="A5" s="1156" t="s">
        <v>429</v>
      </c>
      <c r="B5" s="1156" t="s">
        <v>263</v>
      </c>
      <c r="C5" s="1157"/>
      <c r="D5" s="1157"/>
      <c r="E5" s="1157"/>
      <c r="F5" s="1157"/>
      <c r="G5" s="1157"/>
      <c r="H5" s="1157"/>
      <c r="I5" s="1157">
        <f t="shared" si="0"/>
        <v>0</v>
      </c>
      <c r="J5" s="1157">
        <f t="shared" si="1"/>
        <v>0</v>
      </c>
      <c r="K5" s="1157"/>
      <c r="L5" s="1157"/>
      <c r="M5" s="1157"/>
      <c r="N5" s="1157">
        <f t="shared" si="2"/>
        <v>-4115</v>
      </c>
      <c r="O5" s="1157">
        <f t="shared" si="3"/>
        <v>0</v>
      </c>
      <c r="P5" s="1157"/>
      <c r="Q5" s="1157">
        <f t="shared" si="4"/>
        <v>4115</v>
      </c>
      <c r="R5" s="1157">
        <f t="shared" si="5"/>
        <v>0</v>
      </c>
      <c r="S5" s="1157"/>
      <c r="T5" s="1157"/>
      <c r="U5" s="1158"/>
      <c r="V5" s="1180"/>
      <c r="W5" s="1180"/>
      <c r="X5" s="1180"/>
      <c r="Y5" s="1180"/>
      <c r="Z5" s="1180"/>
      <c r="AA5" s="1180"/>
      <c r="AB5" s="1157">
        <f t="shared" si="6"/>
        <v>0</v>
      </c>
      <c r="AC5" s="1157">
        <f t="shared" si="7"/>
        <v>0</v>
      </c>
      <c r="AD5" s="1157">
        <f t="shared" si="8"/>
        <v>0</v>
      </c>
      <c r="AE5" s="1157">
        <f t="shared" si="9"/>
        <v>0</v>
      </c>
      <c r="AF5" s="1159"/>
      <c r="AG5" s="1159"/>
      <c r="AH5" s="1180"/>
      <c r="AI5" s="860" t="s">
        <v>44</v>
      </c>
      <c r="AJ5" s="226">
        <f t="shared" si="10"/>
        <v>0</v>
      </c>
      <c r="AK5" s="886">
        <f t="shared" si="11"/>
        <v>0</v>
      </c>
      <c r="AL5" s="226">
        <f t="shared" si="12"/>
        <v>0</v>
      </c>
    </row>
    <row r="6" spans="1:40" ht="14.25" customHeight="1">
      <c r="A6" s="1156" t="s">
        <v>429</v>
      </c>
      <c r="B6" s="1156" t="s">
        <v>434</v>
      </c>
      <c r="C6" s="1157"/>
      <c r="D6" s="1157"/>
      <c r="E6" s="1157"/>
      <c r="F6" s="1157"/>
      <c r="G6" s="1157"/>
      <c r="H6" s="1157"/>
      <c r="I6" s="1157">
        <f t="shared" si="0"/>
        <v>-7.0343521704289174</v>
      </c>
      <c r="J6" s="1157">
        <f t="shared" si="1"/>
        <v>7.0343521704289174</v>
      </c>
      <c r="K6" s="1157"/>
      <c r="L6" s="1157"/>
      <c r="M6" s="1157"/>
      <c r="N6" s="1157">
        <f t="shared" si="2"/>
        <v>-1484.9072896102946</v>
      </c>
      <c r="O6" s="1157">
        <f t="shared" si="3"/>
        <v>-12054.68494552899</v>
      </c>
      <c r="P6" s="1157"/>
      <c r="Q6" s="1157">
        <f t="shared" si="4"/>
        <v>1484.9072896102946</v>
      </c>
      <c r="R6" s="1157">
        <f t="shared" si="5"/>
        <v>12054.68494552899</v>
      </c>
      <c r="S6" s="1157"/>
      <c r="T6" s="1157"/>
      <c r="U6" s="1158"/>
      <c r="V6" s="1180"/>
      <c r="W6" s="1180"/>
      <c r="X6" s="1180"/>
      <c r="Y6" s="1180"/>
      <c r="Z6" s="1180"/>
      <c r="AA6" s="1180"/>
      <c r="AB6" s="1157">
        <f t="shared" si="6"/>
        <v>0</v>
      </c>
      <c r="AC6" s="1157">
        <f t="shared" si="7"/>
        <v>0</v>
      </c>
      <c r="AD6" s="1157">
        <f t="shared" si="8"/>
        <v>0</v>
      </c>
      <c r="AE6" s="1157">
        <f t="shared" si="9"/>
        <v>0</v>
      </c>
      <c r="AF6" s="1159"/>
      <c r="AG6" s="1159"/>
      <c r="AH6" s="1180"/>
      <c r="AI6" s="860" t="s">
        <v>44</v>
      </c>
      <c r="AJ6" s="226">
        <f t="shared" si="10"/>
        <v>0</v>
      </c>
      <c r="AK6" s="886">
        <f t="shared" si="11"/>
        <v>0</v>
      </c>
      <c r="AL6" s="226">
        <f t="shared" si="12"/>
        <v>0</v>
      </c>
    </row>
    <row r="7" spans="1:40" ht="14.25" customHeight="1">
      <c r="A7" s="1156" t="s">
        <v>429</v>
      </c>
      <c r="B7" s="1156" t="s">
        <v>621</v>
      </c>
      <c r="C7" s="1157"/>
      <c r="D7" s="1157"/>
      <c r="E7" s="1157"/>
      <c r="F7" s="1157"/>
      <c r="G7" s="1157"/>
      <c r="H7" s="1157"/>
      <c r="I7" s="1157">
        <f t="shared" si="0"/>
        <v>-748.78098970881308</v>
      </c>
      <c r="J7" s="1157">
        <f t="shared" si="1"/>
        <v>748.78098970881308</v>
      </c>
      <c r="K7" s="1157"/>
      <c r="L7" s="1157"/>
      <c r="M7" s="1157"/>
      <c r="N7" s="1157">
        <f t="shared" si="2"/>
        <v>-250617.3133499205</v>
      </c>
      <c r="O7" s="1157">
        <f t="shared" si="3"/>
        <v>-173351.29487157828</v>
      </c>
      <c r="P7" s="1157"/>
      <c r="Q7" s="1157">
        <f t="shared" si="4"/>
        <v>250617.3133499205</v>
      </c>
      <c r="R7" s="1157">
        <f t="shared" si="5"/>
        <v>173351.29487157828</v>
      </c>
      <c r="S7" s="1157"/>
      <c r="T7" s="1157"/>
      <c r="U7" s="1158"/>
      <c r="V7" s="1180"/>
      <c r="W7" s="1180"/>
      <c r="X7" s="1180"/>
      <c r="Y7" s="1180"/>
      <c r="Z7" s="1180"/>
      <c r="AA7" s="1180"/>
      <c r="AB7" s="1157">
        <f t="shared" si="6"/>
        <v>0</v>
      </c>
      <c r="AC7" s="1157">
        <f t="shared" si="7"/>
        <v>0</v>
      </c>
      <c r="AD7" s="1157">
        <f t="shared" si="8"/>
        <v>0</v>
      </c>
      <c r="AE7" s="1157">
        <f t="shared" si="9"/>
        <v>0</v>
      </c>
      <c r="AF7" s="1159"/>
      <c r="AG7" s="1159"/>
      <c r="AH7" s="1180"/>
      <c r="AI7" s="860" t="s">
        <v>1269</v>
      </c>
      <c r="AJ7" s="226">
        <f t="shared" si="10"/>
        <v>0</v>
      </c>
      <c r="AK7" s="886">
        <f t="shared" si="11"/>
        <v>0</v>
      </c>
      <c r="AL7" s="226">
        <f t="shared" si="12"/>
        <v>0</v>
      </c>
    </row>
    <row r="8" spans="1:40" ht="14.25" customHeight="1">
      <c r="A8" s="1156" t="s">
        <v>429</v>
      </c>
      <c r="B8" s="1156" t="s">
        <v>895</v>
      </c>
      <c r="C8" s="1157"/>
      <c r="D8" s="1157"/>
      <c r="E8" s="1157"/>
      <c r="F8" s="1157"/>
      <c r="G8" s="1157"/>
      <c r="H8" s="1157"/>
      <c r="I8" s="1157">
        <f t="shared" si="0"/>
        <v>0</v>
      </c>
      <c r="J8" s="1157">
        <f t="shared" si="1"/>
        <v>0</v>
      </c>
      <c r="K8" s="1157"/>
      <c r="L8" s="1157"/>
      <c r="M8" s="1157"/>
      <c r="N8" s="1157">
        <f t="shared" si="2"/>
        <v>0</v>
      </c>
      <c r="O8" s="1157">
        <f t="shared" si="3"/>
        <v>0</v>
      </c>
      <c r="P8" s="1157"/>
      <c r="Q8" s="1157">
        <f t="shared" si="4"/>
        <v>0</v>
      </c>
      <c r="R8" s="1157">
        <f t="shared" si="5"/>
        <v>0</v>
      </c>
      <c r="S8" s="1157"/>
      <c r="T8" s="1157"/>
      <c r="U8" s="1158"/>
      <c r="V8" s="1180"/>
      <c r="W8" s="1180"/>
      <c r="X8" s="1180"/>
      <c r="Y8" s="1180"/>
      <c r="Z8" s="1180"/>
      <c r="AA8" s="1180"/>
      <c r="AB8" s="1157">
        <f t="shared" si="6"/>
        <v>0</v>
      </c>
      <c r="AC8" s="1157">
        <f t="shared" si="7"/>
        <v>0</v>
      </c>
      <c r="AD8" s="1157">
        <f t="shared" si="8"/>
        <v>0</v>
      </c>
      <c r="AE8" s="1157">
        <f t="shared" si="9"/>
        <v>0</v>
      </c>
      <c r="AF8" s="1159"/>
      <c r="AG8" s="1159"/>
      <c r="AH8" s="1180"/>
      <c r="AI8" s="860" t="s">
        <v>44</v>
      </c>
      <c r="AJ8" s="226">
        <f t="shared" si="10"/>
        <v>0</v>
      </c>
      <c r="AK8" s="886">
        <f t="shared" si="11"/>
        <v>0</v>
      </c>
      <c r="AL8" s="226">
        <f t="shared" si="12"/>
        <v>0</v>
      </c>
    </row>
    <row r="9" spans="1:40" ht="14.25" customHeight="1">
      <c r="A9" s="1156" t="s">
        <v>429</v>
      </c>
      <c r="B9" s="1156" t="s">
        <v>1163</v>
      </c>
      <c r="C9" s="1157"/>
      <c r="D9" s="1157"/>
      <c r="E9" s="1157"/>
      <c r="F9" s="1157"/>
      <c r="G9" s="1157"/>
      <c r="H9" s="1157"/>
      <c r="I9" s="1157">
        <f t="shared" si="0"/>
        <v>-23.39072786515813</v>
      </c>
      <c r="J9" s="1157">
        <f t="shared" si="1"/>
        <v>23.39072786515813</v>
      </c>
      <c r="K9" s="1157"/>
      <c r="L9" s="1157"/>
      <c r="M9" s="1157"/>
      <c r="N9" s="1157">
        <f t="shared" si="2"/>
        <v>0</v>
      </c>
      <c r="O9" s="1157">
        <f t="shared" si="3"/>
        <v>0</v>
      </c>
      <c r="P9" s="1157"/>
      <c r="Q9" s="1157">
        <f t="shared" si="4"/>
        <v>0</v>
      </c>
      <c r="R9" s="1157">
        <f t="shared" si="5"/>
        <v>0</v>
      </c>
      <c r="S9" s="1157"/>
      <c r="T9" s="1157"/>
      <c r="U9" s="1158"/>
      <c r="V9" s="1180"/>
      <c r="W9" s="1180"/>
      <c r="X9" s="1180"/>
      <c r="Y9" s="1180"/>
      <c r="Z9" s="1180"/>
      <c r="AA9" s="1180"/>
      <c r="AB9" s="1157">
        <f t="shared" si="6"/>
        <v>-47833.704879796074</v>
      </c>
      <c r="AC9" s="1157">
        <f t="shared" si="7"/>
        <v>-12743.928110890825</v>
      </c>
      <c r="AD9" s="1157">
        <f t="shared" si="8"/>
        <v>47833.704879796074</v>
      </c>
      <c r="AE9" s="1157">
        <f t="shared" si="9"/>
        <v>12743.928110890825</v>
      </c>
      <c r="AF9" s="1159"/>
      <c r="AG9" s="1159"/>
      <c r="AH9" s="1180"/>
      <c r="AI9" s="860" t="s">
        <v>44</v>
      </c>
      <c r="AJ9" s="226">
        <f t="shared" si="10"/>
        <v>0</v>
      </c>
      <c r="AK9" s="886">
        <f t="shared" si="11"/>
        <v>0</v>
      </c>
      <c r="AL9" s="226">
        <f t="shared" si="12"/>
        <v>0</v>
      </c>
    </row>
    <row r="10" spans="1:40" ht="14.25" customHeight="1">
      <c r="A10" s="1156" t="s">
        <v>438</v>
      </c>
      <c r="B10" s="1156" t="s">
        <v>138</v>
      </c>
      <c r="C10" s="1157"/>
      <c r="D10" s="1157"/>
      <c r="E10" s="1157"/>
      <c r="F10" s="1157"/>
      <c r="G10" s="1157"/>
      <c r="H10" s="1157"/>
      <c r="I10" s="1157">
        <f t="shared" si="0"/>
        <v>-2752.0531185919831</v>
      </c>
      <c r="J10" s="1157">
        <f t="shared" si="1"/>
        <v>2752.0531185919831</v>
      </c>
      <c r="K10" s="1157"/>
      <c r="L10" s="1157"/>
      <c r="M10" s="1157"/>
      <c r="N10" s="1157">
        <f t="shared" si="2"/>
        <v>-2033432.6027275017</v>
      </c>
      <c r="O10" s="1157">
        <f t="shared" si="3"/>
        <v>-1824030.1049965182</v>
      </c>
      <c r="P10" s="1157"/>
      <c r="Q10" s="1157">
        <f t="shared" si="4"/>
        <v>2033432.6027275017</v>
      </c>
      <c r="R10" s="1157">
        <f t="shared" si="5"/>
        <v>1824030.1049965182</v>
      </c>
      <c r="S10" s="1157"/>
      <c r="T10" s="1157"/>
      <c r="U10" s="1158"/>
      <c r="V10" s="1180"/>
      <c r="W10" s="1180"/>
      <c r="X10" s="1180"/>
      <c r="Y10" s="1180"/>
      <c r="Z10" s="1180"/>
      <c r="AA10" s="1180"/>
      <c r="AB10" s="1157">
        <f t="shared" si="6"/>
        <v>0</v>
      </c>
      <c r="AC10" s="1157">
        <f t="shared" si="7"/>
        <v>0</v>
      </c>
      <c r="AD10" s="1157">
        <f t="shared" si="8"/>
        <v>0</v>
      </c>
      <c r="AE10" s="1157">
        <f t="shared" si="9"/>
        <v>0</v>
      </c>
      <c r="AF10" s="1159"/>
      <c r="AG10" s="1159"/>
      <c r="AH10" s="1180"/>
      <c r="AI10" s="860" t="s">
        <v>56</v>
      </c>
      <c r="AJ10" s="226">
        <f t="shared" si="10"/>
        <v>0</v>
      </c>
      <c r="AK10" s="886">
        <f t="shared" si="11"/>
        <v>0</v>
      </c>
      <c r="AL10" s="226">
        <f t="shared" si="12"/>
        <v>0</v>
      </c>
    </row>
    <row r="11" spans="1:40" ht="14.25" customHeight="1">
      <c r="A11" s="1156" t="s">
        <v>438</v>
      </c>
      <c r="B11" s="1156" t="s">
        <v>263</v>
      </c>
      <c r="C11" s="1157"/>
      <c r="D11" s="1157"/>
      <c r="E11" s="1157"/>
      <c r="F11" s="1157"/>
      <c r="G11" s="1157"/>
      <c r="H11" s="1157"/>
      <c r="I11" s="1157">
        <f t="shared" si="0"/>
        <v>0</v>
      </c>
      <c r="J11" s="1157">
        <f t="shared" si="1"/>
        <v>0</v>
      </c>
      <c r="K11" s="1157"/>
      <c r="L11" s="1157"/>
      <c r="M11" s="1157"/>
      <c r="N11" s="1157">
        <f t="shared" si="2"/>
        <v>0</v>
      </c>
      <c r="O11" s="1157">
        <f t="shared" si="3"/>
        <v>0</v>
      </c>
      <c r="P11" s="1157"/>
      <c r="Q11" s="1157">
        <f t="shared" si="4"/>
        <v>0</v>
      </c>
      <c r="R11" s="1157">
        <f t="shared" si="5"/>
        <v>0</v>
      </c>
      <c r="S11" s="1157"/>
      <c r="T11" s="1157"/>
      <c r="U11" s="1158"/>
      <c r="V11" s="1180"/>
      <c r="W11" s="1180"/>
      <c r="X11" s="1180"/>
      <c r="Y11" s="1180"/>
      <c r="Z11" s="1180"/>
      <c r="AA11" s="1180"/>
      <c r="AB11" s="1157">
        <f t="shared" si="6"/>
        <v>0</v>
      </c>
      <c r="AC11" s="1157">
        <f t="shared" si="7"/>
        <v>0</v>
      </c>
      <c r="AD11" s="1157">
        <f t="shared" si="8"/>
        <v>0</v>
      </c>
      <c r="AE11" s="1157">
        <f t="shared" si="9"/>
        <v>0</v>
      </c>
      <c r="AF11" s="1159"/>
      <c r="AG11" s="1159"/>
      <c r="AH11" s="1180"/>
      <c r="AI11" s="860" t="s">
        <v>56</v>
      </c>
      <c r="AJ11" s="226">
        <f t="shared" si="10"/>
        <v>0</v>
      </c>
      <c r="AK11" s="886">
        <f t="shared" si="11"/>
        <v>0</v>
      </c>
      <c r="AL11" s="226">
        <f t="shared" si="12"/>
        <v>0</v>
      </c>
    </row>
    <row r="12" spans="1:40" ht="14.25" customHeight="1">
      <c r="A12" s="1156" t="s">
        <v>438</v>
      </c>
      <c r="B12" s="1156" t="s">
        <v>621</v>
      </c>
      <c r="C12" s="1157"/>
      <c r="D12" s="1157"/>
      <c r="E12" s="1157"/>
      <c r="F12" s="1157"/>
      <c r="G12" s="1157"/>
      <c r="H12" s="1157"/>
      <c r="I12" s="1157">
        <f t="shared" si="0"/>
        <v>-23.134473209803652</v>
      </c>
      <c r="J12" s="1157">
        <f t="shared" si="1"/>
        <v>23.134473209803652</v>
      </c>
      <c r="K12" s="1157"/>
      <c r="L12" s="1157"/>
      <c r="M12" s="1157"/>
      <c r="N12" s="1157">
        <f t="shared" si="2"/>
        <v>-4475.0964153275645</v>
      </c>
      <c r="O12" s="1157">
        <f t="shared" si="3"/>
        <v>-1918.3292645241038</v>
      </c>
      <c r="P12" s="1157"/>
      <c r="Q12" s="1157">
        <f t="shared" si="4"/>
        <v>4475.0964153275645</v>
      </c>
      <c r="R12" s="1157">
        <f t="shared" si="5"/>
        <v>1918.3292645241038</v>
      </c>
      <c r="S12" s="1157"/>
      <c r="T12" s="1157"/>
      <c r="U12" s="1158"/>
      <c r="V12" s="1180"/>
      <c r="W12" s="1180"/>
      <c r="X12" s="1180"/>
      <c r="Y12" s="1180"/>
      <c r="Z12" s="1180"/>
      <c r="AA12" s="1180"/>
      <c r="AB12" s="1157">
        <f t="shared" si="6"/>
        <v>0</v>
      </c>
      <c r="AC12" s="1157">
        <f t="shared" si="7"/>
        <v>0</v>
      </c>
      <c r="AD12" s="1157">
        <f t="shared" si="8"/>
        <v>0</v>
      </c>
      <c r="AE12" s="1157">
        <f t="shared" si="9"/>
        <v>0</v>
      </c>
      <c r="AF12" s="1159"/>
      <c r="AG12" s="1159"/>
      <c r="AH12" s="1180"/>
      <c r="AI12" s="860" t="s">
        <v>1270</v>
      </c>
      <c r="AJ12" s="226">
        <f t="shared" si="10"/>
        <v>0</v>
      </c>
      <c r="AK12" s="886">
        <f t="shared" si="11"/>
        <v>0</v>
      </c>
      <c r="AL12" s="226">
        <f t="shared" si="12"/>
        <v>-2.2737367544323206E-13</v>
      </c>
    </row>
    <row r="13" spans="1:40" ht="14.25" customHeight="1">
      <c r="A13" s="1156" t="s">
        <v>438</v>
      </c>
      <c r="B13" s="1156" t="s">
        <v>1163</v>
      </c>
      <c r="C13" s="1157"/>
      <c r="D13" s="1157"/>
      <c r="E13" s="1157"/>
      <c r="F13" s="1157"/>
      <c r="G13" s="1157"/>
      <c r="H13" s="1157"/>
      <c r="I13" s="1157">
        <f t="shared" si="0"/>
        <v>0</v>
      </c>
      <c r="J13" s="1157">
        <f t="shared" si="1"/>
        <v>0</v>
      </c>
      <c r="K13" s="1157"/>
      <c r="L13" s="1157"/>
      <c r="M13" s="1157"/>
      <c r="N13" s="1157">
        <f t="shared" si="2"/>
        <v>0</v>
      </c>
      <c r="O13" s="1157">
        <f t="shared" si="3"/>
        <v>0</v>
      </c>
      <c r="P13" s="1157"/>
      <c r="Q13" s="1157">
        <f t="shared" si="4"/>
        <v>0</v>
      </c>
      <c r="R13" s="1157">
        <f t="shared" si="5"/>
        <v>0</v>
      </c>
      <c r="S13" s="1157"/>
      <c r="T13" s="1157"/>
      <c r="U13" s="1158"/>
      <c r="V13" s="1180"/>
      <c r="W13" s="1180"/>
      <c r="X13" s="1180"/>
      <c r="Y13" s="1180"/>
      <c r="Z13" s="1180"/>
      <c r="AA13" s="1180"/>
      <c r="AB13" s="1157">
        <f t="shared" si="6"/>
        <v>-2899.3252032520322</v>
      </c>
      <c r="AC13" s="1157">
        <f t="shared" si="7"/>
        <v>0</v>
      </c>
      <c r="AD13" s="1157">
        <f t="shared" si="8"/>
        <v>2899.3252032520322</v>
      </c>
      <c r="AE13" s="1157">
        <f t="shared" si="9"/>
        <v>0</v>
      </c>
      <c r="AF13" s="1159"/>
      <c r="AG13" s="1159"/>
      <c r="AH13" s="1180"/>
      <c r="AI13" s="860" t="s">
        <v>56</v>
      </c>
      <c r="AJ13" s="226">
        <f t="shared" si="10"/>
        <v>0</v>
      </c>
      <c r="AK13" s="886">
        <f t="shared" si="11"/>
        <v>0</v>
      </c>
      <c r="AL13" s="226">
        <f t="shared" si="12"/>
        <v>0</v>
      </c>
    </row>
    <row r="14" spans="1:40" ht="14.25" customHeight="1">
      <c r="A14" s="1156" t="s">
        <v>440</v>
      </c>
      <c r="B14" s="1156" t="s">
        <v>138</v>
      </c>
      <c r="C14" s="1157"/>
      <c r="D14" s="1157"/>
      <c r="E14" s="1157"/>
      <c r="F14" s="1157"/>
      <c r="G14" s="1157"/>
      <c r="H14" s="1157"/>
      <c r="I14" s="1157">
        <f t="shared" si="0"/>
        <v>0</v>
      </c>
      <c r="J14" s="1157">
        <f t="shared" si="1"/>
        <v>0</v>
      </c>
      <c r="K14" s="1157"/>
      <c r="L14" s="1157"/>
      <c r="M14" s="1157"/>
      <c r="N14" s="1157">
        <f t="shared" si="2"/>
        <v>0</v>
      </c>
      <c r="O14" s="1157">
        <f t="shared" si="3"/>
        <v>0</v>
      </c>
      <c r="P14" s="1157"/>
      <c r="Q14" s="1157">
        <f t="shared" si="4"/>
        <v>0</v>
      </c>
      <c r="R14" s="1157">
        <f t="shared" si="5"/>
        <v>0</v>
      </c>
      <c r="S14" s="1157"/>
      <c r="T14" s="1157"/>
      <c r="U14" s="1158"/>
      <c r="V14" s="1180"/>
      <c r="W14" s="1180"/>
      <c r="X14" s="1180"/>
      <c r="Y14" s="1180"/>
      <c r="Z14" s="1180"/>
      <c r="AA14" s="1180"/>
      <c r="AB14" s="1157">
        <f t="shared" si="6"/>
        <v>0</v>
      </c>
      <c r="AC14" s="1157">
        <f t="shared" si="7"/>
        <v>0</v>
      </c>
      <c r="AD14" s="1157">
        <f t="shared" si="8"/>
        <v>0</v>
      </c>
      <c r="AE14" s="1157">
        <f t="shared" si="9"/>
        <v>0</v>
      </c>
      <c r="AF14" s="1159"/>
      <c r="AG14" s="1159"/>
      <c r="AH14" s="1180"/>
      <c r="AI14" s="860" t="s">
        <v>56</v>
      </c>
      <c r="AJ14" s="226">
        <f t="shared" si="10"/>
        <v>0</v>
      </c>
      <c r="AK14" s="886">
        <f t="shared" si="11"/>
        <v>0</v>
      </c>
      <c r="AL14" s="226">
        <f t="shared" si="12"/>
        <v>0</v>
      </c>
    </row>
    <row r="15" spans="1:40" ht="14.25" customHeight="1">
      <c r="A15" s="1156" t="s">
        <v>428</v>
      </c>
      <c r="B15" s="1156" t="s">
        <v>1267</v>
      </c>
      <c r="C15" s="1157"/>
      <c r="D15" s="1157"/>
      <c r="E15" s="1157"/>
      <c r="F15" s="1157"/>
      <c r="G15" s="1157"/>
      <c r="H15" s="1157"/>
      <c r="I15" s="1157">
        <f t="shared" si="0"/>
        <v>-7</v>
      </c>
      <c r="J15" s="1157">
        <f t="shared" si="1"/>
        <v>7</v>
      </c>
      <c r="K15" s="1157"/>
      <c r="L15" s="1157"/>
      <c r="M15" s="1157"/>
      <c r="N15" s="1157">
        <f t="shared" si="2"/>
        <v>-3320.3938325991189</v>
      </c>
      <c r="O15" s="1157">
        <f t="shared" si="3"/>
        <v>-8043.9400881057272</v>
      </c>
      <c r="P15" s="1157"/>
      <c r="Q15" s="1157">
        <f t="shared" si="4"/>
        <v>3320.3938325991189</v>
      </c>
      <c r="R15" s="1157">
        <f t="shared" si="5"/>
        <v>8043.9400881057272</v>
      </c>
      <c r="S15" s="1157"/>
      <c r="T15" s="1157"/>
      <c r="U15" s="1158"/>
      <c r="V15" s="1180"/>
      <c r="W15" s="1180"/>
      <c r="X15" s="1180"/>
      <c r="Y15" s="1180"/>
      <c r="Z15" s="1180"/>
      <c r="AA15" s="1180"/>
      <c r="AB15" s="1157">
        <f t="shared" si="6"/>
        <v>0</v>
      </c>
      <c r="AC15" s="1157">
        <f t="shared" si="7"/>
        <v>0</v>
      </c>
      <c r="AD15" s="1157">
        <f t="shared" si="8"/>
        <v>0</v>
      </c>
      <c r="AE15" s="1157">
        <f t="shared" si="9"/>
        <v>0</v>
      </c>
      <c r="AF15" s="1159"/>
      <c r="AG15" s="1159"/>
      <c r="AH15" s="1180"/>
      <c r="AI15" s="860" t="s">
        <v>1203</v>
      </c>
      <c r="AJ15" s="226">
        <f t="shared" si="10"/>
        <v>0</v>
      </c>
      <c r="AK15" s="886">
        <f t="shared" si="11"/>
        <v>0</v>
      </c>
      <c r="AL15" s="226">
        <f t="shared" si="12"/>
        <v>9.0949470177292824E-13</v>
      </c>
    </row>
    <row r="16" spans="1:40" s="152" customFormat="1" ht="14.25" customHeight="1">
      <c r="A16" s="1156" t="s">
        <v>428</v>
      </c>
      <c r="B16" s="1156" t="s">
        <v>896</v>
      </c>
      <c r="C16" s="1157"/>
      <c r="D16" s="1157"/>
      <c r="E16" s="1157"/>
      <c r="F16" s="1157"/>
      <c r="G16" s="1157"/>
      <c r="H16" s="1157"/>
      <c r="I16" s="1157">
        <f t="shared" si="0"/>
        <v>-3.4479528262401886</v>
      </c>
      <c r="J16" s="1157">
        <f t="shared" si="1"/>
        <v>3.4479528262401886</v>
      </c>
      <c r="K16" s="1157"/>
      <c r="L16" s="1157"/>
      <c r="M16" s="1157"/>
      <c r="N16" s="1157">
        <f t="shared" si="2"/>
        <v>-1422.409090909091</v>
      </c>
      <c r="O16" s="1157">
        <f t="shared" si="3"/>
        <v>-5253.431818181818</v>
      </c>
      <c r="P16" s="1157"/>
      <c r="Q16" s="1157">
        <f t="shared" si="4"/>
        <v>1422.409090909091</v>
      </c>
      <c r="R16" s="1157">
        <f t="shared" si="5"/>
        <v>5253.431818181818</v>
      </c>
      <c r="S16" s="1157"/>
      <c r="T16" s="1157"/>
      <c r="U16" s="1158"/>
      <c r="V16" s="1180"/>
      <c r="W16" s="1180"/>
      <c r="X16" s="1180"/>
      <c r="Y16" s="1180"/>
      <c r="Z16" s="1180"/>
      <c r="AA16" s="1180"/>
      <c r="AB16" s="1157">
        <f t="shared" si="6"/>
        <v>0</v>
      </c>
      <c r="AC16" s="1157">
        <f t="shared" si="7"/>
        <v>0</v>
      </c>
      <c r="AD16" s="1157">
        <f t="shared" si="8"/>
        <v>0</v>
      </c>
      <c r="AE16" s="1157">
        <f t="shared" si="9"/>
        <v>0</v>
      </c>
      <c r="AF16" s="1159"/>
      <c r="AG16" s="1159"/>
      <c r="AH16" s="1180"/>
      <c r="AI16" s="877" t="s">
        <v>850</v>
      </c>
      <c r="AJ16" s="226">
        <f t="shared" si="10"/>
        <v>0</v>
      </c>
      <c r="AK16" s="886">
        <f t="shared" si="11"/>
        <v>0</v>
      </c>
      <c r="AL16" s="226">
        <f t="shared" si="12"/>
        <v>0</v>
      </c>
      <c r="AM16" s="122"/>
      <c r="AN16" s="122"/>
    </row>
    <row r="17" spans="1:40" s="152" customFormat="1" ht="14.25" customHeight="1">
      <c r="A17" s="1156" t="s">
        <v>428</v>
      </c>
      <c r="B17" s="1156" t="s">
        <v>1268</v>
      </c>
      <c r="C17" s="1157"/>
      <c r="D17" s="1157"/>
      <c r="E17" s="1157"/>
      <c r="F17" s="1157"/>
      <c r="G17" s="1157"/>
      <c r="H17" s="1157"/>
      <c r="I17" s="1157">
        <f t="shared" si="0"/>
        <v>0</v>
      </c>
      <c r="J17" s="1157">
        <f t="shared" si="1"/>
        <v>0</v>
      </c>
      <c r="K17" s="1157"/>
      <c r="L17" s="1157"/>
      <c r="M17" s="1157"/>
      <c r="N17" s="1157">
        <f t="shared" si="2"/>
        <v>-1394.570306923626</v>
      </c>
      <c r="O17" s="1157">
        <f t="shared" si="3"/>
        <v>0</v>
      </c>
      <c r="P17" s="1157"/>
      <c r="Q17" s="1157">
        <f t="shared" si="4"/>
        <v>1394.570306923626</v>
      </c>
      <c r="R17" s="1157">
        <f t="shared" si="5"/>
        <v>0</v>
      </c>
      <c r="S17" s="1157"/>
      <c r="T17" s="1157"/>
      <c r="U17" s="1158"/>
      <c r="V17" s="1180"/>
      <c r="W17" s="1180"/>
      <c r="X17" s="1180"/>
      <c r="Y17" s="1180"/>
      <c r="Z17" s="1180"/>
      <c r="AA17" s="1180"/>
      <c r="AB17" s="1157">
        <f t="shared" si="6"/>
        <v>0</v>
      </c>
      <c r="AC17" s="1157">
        <f t="shared" si="7"/>
        <v>0</v>
      </c>
      <c r="AD17" s="1157">
        <f t="shared" si="8"/>
        <v>0</v>
      </c>
      <c r="AE17" s="1157">
        <f t="shared" si="9"/>
        <v>0</v>
      </c>
      <c r="AF17" s="1159"/>
      <c r="AG17" s="1159"/>
      <c r="AH17" s="1180"/>
      <c r="AI17" s="877" t="s">
        <v>1203</v>
      </c>
      <c r="AJ17" s="226">
        <f t="shared" si="10"/>
        <v>0</v>
      </c>
      <c r="AK17" s="886">
        <f t="shared" si="11"/>
        <v>0</v>
      </c>
      <c r="AL17" s="226">
        <f t="shared" si="12"/>
        <v>0</v>
      </c>
      <c r="AM17" s="122"/>
      <c r="AN17" s="122"/>
    </row>
    <row r="18" spans="1:40" s="152" customFormat="1" ht="14.25" customHeight="1">
      <c r="A18" s="1156" t="s">
        <v>428</v>
      </c>
      <c r="B18" s="1156" t="s">
        <v>895</v>
      </c>
      <c r="C18" s="1157"/>
      <c r="D18" s="1157"/>
      <c r="E18" s="1157"/>
      <c r="F18" s="1157"/>
      <c r="G18" s="1157"/>
      <c r="H18" s="1157"/>
      <c r="I18" s="1157">
        <f t="shared" si="0"/>
        <v>-1499.891043824161</v>
      </c>
      <c r="J18" s="1157">
        <f t="shared" si="1"/>
        <v>1499.891043824161</v>
      </c>
      <c r="K18" s="1157"/>
      <c r="L18" s="1157"/>
      <c r="M18" s="1157"/>
      <c r="N18" s="1157">
        <f t="shared" si="2"/>
        <v>-4633479.8041407522</v>
      </c>
      <c r="O18" s="1157">
        <f t="shared" si="3"/>
        <v>-2380216.8027193211</v>
      </c>
      <c r="P18" s="1157"/>
      <c r="Q18" s="1157">
        <f t="shared" si="4"/>
        <v>4633479.8041407522</v>
      </c>
      <c r="R18" s="1157">
        <f t="shared" si="5"/>
        <v>2380216.8027193211</v>
      </c>
      <c r="S18" s="1157"/>
      <c r="T18" s="1157"/>
      <c r="U18" s="1158"/>
      <c r="V18" s="1180"/>
      <c r="W18" s="1180"/>
      <c r="X18" s="1180"/>
      <c r="Y18" s="1180"/>
      <c r="Z18" s="1180"/>
      <c r="AA18" s="1180"/>
      <c r="AB18" s="1157">
        <f t="shared" si="6"/>
        <v>0</v>
      </c>
      <c r="AC18" s="1157">
        <f t="shared" si="7"/>
        <v>0</v>
      </c>
      <c r="AD18" s="1157">
        <f t="shared" si="8"/>
        <v>0</v>
      </c>
      <c r="AE18" s="1157">
        <f t="shared" si="9"/>
        <v>0</v>
      </c>
      <c r="AF18" s="1159"/>
      <c r="AG18" s="1159"/>
      <c r="AH18" s="1180"/>
      <c r="AI18" s="877" t="s">
        <v>850</v>
      </c>
      <c r="AJ18" s="226">
        <f t="shared" si="10"/>
        <v>0</v>
      </c>
      <c r="AK18" s="886">
        <f t="shared" si="11"/>
        <v>0</v>
      </c>
      <c r="AL18" s="226">
        <f t="shared" si="12"/>
        <v>0</v>
      </c>
      <c r="AM18" s="122"/>
      <c r="AN18" s="122"/>
    </row>
    <row r="19" spans="1:40" s="152" customFormat="1" ht="14.25" customHeight="1">
      <c r="A19" s="1156" t="s">
        <v>428</v>
      </c>
      <c r="B19" s="1156" t="s">
        <v>897</v>
      </c>
      <c r="C19" s="1157"/>
      <c r="D19" s="1157"/>
      <c r="E19" s="1157"/>
      <c r="F19" s="1157"/>
      <c r="G19" s="1157"/>
      <c r="H19" s="1157"/>
      <c r="I19" s="1157">
        <f t="shared" si="0"/>
        <v>-32.217177532598193</v>
      </c>
      <c r="J19" s="1157">
        <f t="shared" si="1"/>
        <v>32.217177532598193</v>
      </c>
      <c r="K19" s="1157"/>
      <c r="L19" s="1157"/>
      <c r="M19" s="1157"/>
      <c r="N19" s="1157">
        <f t="shared" si="2"/>
        <v>-27231.722788663901</v>
      </c>
      <c r="O19" s="1157">
        <f t="shared" si="3"/>
        <v>-17872.163789052123</v>
      </c>
      <c r="P19" s="1157"/>
      <c r="Q19" s="1157">
        <f t="shared" si="4"/>
        <v>27231.722788663901</v>
      </c>
      <c r="R19" s="1157">
        <f t="shared" si="5"/>
        <v>17872.163789052123</v>
      </c>
      <c r="S19" s="1157"/>
      <c r="T19" s="1157"/>
      <c r="U19" s="1158"/>
      <c r="V19" s="1180"/>
      <c r="W19" s="1180"/>
      <c r="X19" s="1180"/>
      <c r="Y19" s="1180"/>
      <c r="Z19" s="1180"/>
      <c r="AA19" s="1180"/>
      <c r="AB19" s="1157">
        <f t="shared" si="6"/>
        <v>0</v>
      </c>
      <c r="AC19" s="1157">
        <f t="shared" si="7"/>
        <v>0</v>
      </c>
      <c r="AD19" s="1157">
        <f t="shared" si="8"/>
        <v>0</v>
      </c>
      <c r="AE19" s="1157">
        <f t="shared" si="9"/>
        <v>0</v>
      </c>
      <c r="AF19" s="1159"/>
      <c r="AG19" s="1159"/>
      <c r="AH19" s="1180"/>
      <c r="AI19" s="877" t="s">
        <v>662</v>
      </c>
      <c r="AJ19" s="226">
        <f t="shared" si="10"/>
        <v>0</v>
      </c>
      <c r="AK19" s="886">
        <f t="shared" si="11"/>
        <v>0</v>
      </c>
      <c r="AL19" s="226">
        <f t="shared" si="12"/>
        <v>0</v>
      </c>
      <c r="AM19" s="122"/>
      <c r="AN19" s="122"/>
    </row>
    <row r="20" spans="1:40" s="152" customFormat="1" ht="14.25" customHeight="1">
      <c r="A20" s="1156" t="s">
        <v>428</v>
      </c>
      <c r="B20" s="1160" t="s">
        <v>1166</v>
      </c>
      <c r="C20" s="1161"/>
      <c r="D20" s="1161"/>
      <c r="E20" s="1161"/>
      <c r="F20" s="1161"/>
      <c r="G20" s="1161"/>
      <c r="H20" s="1161"/>
      <c r="I20" s="1157">
        <f t="shared" si="0"/>
        <v>0</v>
      </c>
      <c r="J20" s="1157">
        <f t="shared" si="1"/>
        <v>0</v>
      </c>
      <c r="K20" s="1161"/>
      <c r="L20" s="1161"/>
      <c r="M20" s="1161"/>
      <c r="N20" s="1157">
        <f t="shared" si="2"/>
        <v>0</v>
      </c>
      <c r="O20" s="1157">
        <f t="shared" si="3"/>
        <v>0</v>
      </c>
      <c r="P20" s="1161"/>
      <c r="Q20" s="1157">
        <f t="shared" si="4"/>
        <v>0</v>
      </c>
      <c r="R20" s="1157">
        <f t="shared" si="5"/>
        <v>0</v>
      </c>
      <c r="S20" s="1161"/>
      <c r="T20" s="1161"/>
      <c r="U20" s="1162"/>
      <c r="V20" s="1165"/>
      <c r="W20" s="1165"/>
      <c r="X20" s="1165"/>
      <c r="Y20" s="1165"/>
      <c r="Z20" s="1165"/>
      <c r="AA20" s="1165"/>
      <c r="AB20" s="1157">
        <f t="shared" si="6"/>
        <v>-943.24857468643108</v>
      </c>
      <c r="AC20" s="1157">
        <f t="shared" si="7"/>
        <v>0</v>
      </c>
      <c r="AD20" s="1157">
        <f t="shared" si="8"/>
        <v>943.24857468643108</v>
      </c>
      <c r="AE20" s="1157">
        <f t="shared" si="9"/>
        <v>0</v>
      </c>
      <c r="AF20" s="1163"/>
      <c r="AG20" s="1163"/>
      <c r="AH20" s="1165"/>
      <c r="AI20" s="877" t="s">
        <v>850</v>
      </c>
      <c r="AJ20" s="226">
        <f t="shared" si="10"/>
        <v>0</v>
      </c>
      <c r="AK20" s="886">
        <f t="shared" si="11"/>
        <v>0</v>
      </c>
      <c r="AL20" s="226">
        <f t="shared" si="12"/>
        <v>0</v>
      </c>
      <c r="AM20" s="122"/>
      <c r="AN20" s="122"/>
    </row>
    <row r="21" spans="1:40" s="152" customFormat="1" ht="14.25" customHeight="1">
      <c r="A21" s="525"/>
      <c r="B21" s="525"/>
      <c r="C21" s="524"/>
      <c r="D21" s="524"/>
      <c r="E21" s="524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AJ21" s="226"/>
      <c r="AK21" s="886"/>
      <c r="AL21" s="226"/>
    </row>
    <row r="22" spans="1:40" s="152" customFormat="1" ht="14.25" customHeight="1">
      <c r="A22" s="525"/>
      <c r="B22" s="525"/>
      <c r="C22" s="524"/>
      <c r="D22" s="524"/>
      <c r="E22" s="524"/>
      <c r="F22" s="524"/>
      <c r="G22" s="524"/>
      <c r="H22" s="524"/>
      <c r="I22" s="524"/>
      <c r="J22" s="524"/>
      <c r="K22" s="524"/>
      <c r="L22" s="524"/>
      <c r="M22" s="524"/>
      <c r="N22" s="524"/>
      <c r="O22" s="524"/>
      <c r="P22" s="524"/>
      <c r="Q22" s="524"/>
      <c r="R22" s="524"/>
      <c r="S22" s="524"/>
      <c r="T22" s="524"/>
      <c r="AJ22" s="226"/>
      <c r="AK22" s="886"/>
      <c r="AL22" s="226"/>
    </row>
    <row r="23" spans="1:40" s="152" customFormat="1" ht="14.25" customHeight="1">
      <c r="A23" s="715" t="s">
        <v>256</v>
      </c>
      <c r="B23" s="715"/>
      <c r="C23" s="715"/>
      <c r="D23" s="716"/>
      <c r="E23" s="717"/>
      <c r="F23" s="716"/>
      <c r="G23" s="717"/>
      <c r="H23" s="716"/>
      <c r="I23" s="717"/>
      <c r="J23" s="716"/>
      <c r="K23" s="718"/>
      <c r="L23" s="718"/>
      <c r="M23" s="718"/>
      <c r="N23" s="718"/>
      <c r="O23" s="718"/>
      <c r="P23" s="716"/>
      <c r="Q23" s="716"/>
      <c r="R23" s="716"/>
      <c r="S23" s="719"/>
      <c r="T23" s="719"/>
      <c r="AJ23" s="226"/>
      <c r="AK23" s="886"/>
      <c r="AL23" s="226"/>
    </row>
    <row r="24" spans="1:40" ht="14.25" customHeight="1">
      <c r="A24" s="613" t="s">
        <v>466</v>
      </c>
      <c r="B24" s="720" t="s">
        <v>44</v>
      </c>
      <c r="C24" s="721">
        <f t="shared" ref="C24:AH26" si="13">SUMIF($AI$2:$AI$20,$B24,C$2:C$20)</f>
        <v>0</v>
      </c>
      <c r="D24" s="721">
        <f t="shared" si="13"/>
        <v>0</v>
      </c>
      <c r="E24" s="721">
        <f t="shared" si="13"/>
        <v>0</v>
      </c>
      <c r="F24" s="721">
        <f t="shared" si="13"/>
        <v>0</v>
      </c>
      <c r="G24" s="721">
        <f t="shared" si="13"/>
        <v>0</v>
      </c>
      <c r="H24" s="721">
        <f t="shared" si="13"/>
        <v>0</v>
      </c>
      <c r="I24" s="721">
        <f t="shared" si="13"/>
        <v>-48104.672630766399</v>
      </c>
      <c r="J24" s="721">
        <f t="shared" si="13"/>
        <v>48104.672630766399</v>
      </c>
      <c r="K24" s="721">
        <f t="shared" si="13"/>
        <v>0</v>
      </c>
      <c r="L24" s="721">
        <f t="shared" si="13"/>
        <v>0</v>
      </c>
      <c r="M24" s="721">
        <f t="shared" si="13"/>
        <v>0</v>
      </c>
      <c r="N24" s="721">
        <f t="shared" si="13"/>
        <v>-52484830.8831852</v>
      </c>
      <c r="O24" s="721">
        <f t="shared" si="13"/>
        <v>-38857664.927326173</v>
      </c>
      <c r="P24" s="721">
        <f t="shared" si="13"/>
        <v>0</v>
      </c>
      <c r="Q24" s="721">
        <f t="shared" si="13"/>
        <v>52484830.8831852</v>
      </c>
      <c r="R24" s="721">
        <f t="shared" si="13"/>
        <v>38857664.927326173</v>
      </c>
      <c r="S24" s="721">
        <f t="shared" si="13"/>
        <v>0</v>
      </c>
      <c r="T24" s="721">
        <f t="shared" si="13"/>
        <v>0</v>
      </c>
      <c r="U24" s="721">
        <f t="shared" si="13"/>
        <v>0</v>
      </c>
      <c r="V24" s="721">
        <f t="shared" si="13"/>
        <v>0</v>
      </c>
      <c r="W24" s="721">
        <f t="shared" si="13"/>
        <v>0</v>
      </c>
      <c r="X24" s="721">
        <f t="shared" si="13"/>
        <v>0</v>
      </c>
      <c r="Y24" s="721">
        <f t="shared" si="13"/>
        <v>0</v>
      </c>
      <c r="Z24" s="721">
        <f t="shared" si="13"/>
        <v>0</v>
      </c>
      <c r="AA24" s="721">
        <f t="shared" si="13"/>
        <v>0</v>
      </c>
      <c r="AB24" s="721">
        <f t="shared" si="13"/>
        <v>-47833.704879796074</v>
      </c>
      <c r="AC24" s="721">
        <f t="shared" si="13"/>
        <v>-12743.928110890825</v>
      </c>
      <c r="AD24" s="721">
        <f t="shared" si="13"/>
        <v>47833.704879796074</v>
      </c>
      <c r="AE24" s="721">
        <f t="shared" si="13"/>
        <v>12743.928110890825</v>
      </c>
      <c r="AF24" s="721">
        <f t="shared" si="13"/>
        <v>0</v>
      </c>
      <c r="AG24" s="721">
        <f t="shared" si="13"/>
        <v>0</v>
      </c>
      <c r="AH24" s="721">
        <f t="shared" si="13"/>
        <v>0</v>
      </c>
      <c r="AJ24" s="226">
        <f t="shared" ref="AJ24:AJ35" si="14">T24-S24</f>
        <v>0</v>
      </c>
      <c r="AK24" s="886">
        <f t="shared" ref="AK24:AK35" si="15">AG24-AF24</f>
        <v>0</v>
      </c>
      <c r="AL24" s="226">
        <f t="shared" si="12"/>
        <v>7.4505805969238281E-9</v>
      </c>
    </row>
    <row r="25" spans="1:40" ht="14.25" customHeight="1">
      <c r="A25" s="614"/>
      <c r="B25" s="615" t="s">
        <v>56</v>
      </c>
      <c r="C25" s="718">
        <f t="shared" si="13"/>
        <v>0</v>
      </c>
      <c r="D25" s="718">
        <f t="shared" si="13"/>
        <v>0</v>
      </c>
      <c r="E25" s="718">
        <f t="shared" si="13"/>
        <v>0</v>
      </c>
      <c r="F25" s="718">
        <f t="shared" si="13"/>
        <v>0</v>
      </c>
      <c r="G25" s="718">
        <f t="shared" si="13"/>
        <v>0</v>
      </c>
      <c r="H25" s="718">
        <f t="shared" si="13"/>
        <v>0</v>
      </c>
      <c r="I25" s="718">
        <f t="shared" si="13"/>
        <v>-2752.0531185919831</v>
      </c>
      <c r="J25" s="718">
        <f t="shared" si="13"/>
        <v>2752.0531185919831</v>
      </c>
      <c r="K25" s="718">
        <f t="shared" si="13"/>
        <v>0</v>
      </c>
      <c r="L25" s="718">
        <f t="shared" si="13"/>
        <v>0</v>
      </c>
      <c r="M25" s="718">
        <f t="shared" si="13"/>
        <v>0</v>
      </c>
      <c r="N25" s="718">
        <f t="shared" si="13"/>
        <v>-2033432.6027275017</v>
      </c>
      <c r="O25" s="718">
        <f t="shared" si="13"/>
        <v>-1824030.1049965182</v>
      </c>
      <c r="P25" s="718">
        <f t="shared" si="13"/>
        <v>0</v>
      </c>
      <c r="Q25" s="718">
        <f t="shared" si="13"/>
        <v>2033432.6027275017</v>
      </c>
      <c r="R25" s="718">
        <f t="shared" si="13"/>
        <v>1824030.1049965182</v>
      </c>
      <c r="S25" s="718">
        <f t="shared" si="13"/>
        <v>0</v>
      </c>
      <c r="T25" s="718">
        <f t="shared" si="13"/>
        <v>0</v>
      </c>
      <c r="U25" s="718">
        <f t="shared" si="13"/>
        <v>0</v>
      </c>
      <c r="V25" s="718">
        <f t="shared" si="13"/>
        <v>0</v>
      </c>
      <c r="W25" s="718">
        <f t="shared" si="13"/>
        <v>0</v>
      </c>
      <c r="X25" s="718">
        <f t="shared" si="13"/>
        <v>0</v>
      </c>
      <c r="Y25" s="718">
        <f t="shared" si="13"/>
        <v>0</v>
      </c>
      <c r="Z25" s="718">
        <f t="shared" si="13"/>
        <v>0</v>
      </c>
      <c r="AA25" s="718">
        <f t="shared" si="13"/>
        <v>0</v>
      </c>
      <c r="AB25" s="718">
        <f t="shared" si="13"/>
        <v>-2899.3252032520322</v>
      </c>
      <c r="AC25" s="718">
        <f t="shared" si="13"/>
        <v>0</v>
      </c>
      <c r="AD25" s="718">
        <f t="shared" si="13"/>
        <v>2899.3252032520322</v>
      </c>
      <c r="AE25" s="718">
        <f t="shared" si="13"/>
        <v>0</v>
      </c>
      <c r="AF25" s="718">
        <f t="shared" si="13"/>
        <v>0</v>
      </c>
      <c r="AG25" s="718">
        <f t="shared" si="13"/>
        <v>0</v>
      </c>
      <c r="AH25" s="718">
        <f t="shared" si="13"/>
        <v>0</v>
      </c>
      <c r="AJ25" s="226">
        <f t="shared" si="14"/>
        <v>0</v>
      </c>
      <c r="AK25" s="886">
        <f t="shared" si="15"/>
        <v>0</v>
      </c>
      <c r="AL25" s="226">
        <f t="shared" si="12"/>
        <v>0</v>
      </c>
    </row>
    <row r="26" spans="1:40" ht="14.25" customHeight="1">
      <c r="A26" s="614"/>
      <c r="B26" s="615" t="s">
        <v>850</v>
      </c>
      <c r="C26" s="718">
        <f>SUMIF($AI$2:$AI$20,$B26,C$2:C$20)</f>
        <v>0</v>
      </c>
      <c r="D26" s="718">
        <f t="shared" si="13"/>
        <v>0</v>
      </c>
      <c r="E26" s="718">
        <f t="shared" si="13"/>
        <v>0</v>
      </c>
      <c r="F26" s="718">
        <f t="shared" si="13"/>
        <v>0</v>
      </c>
      <c r="G26" s="718">
        <f t="shared" si="13"/>
        <v>0</v>
      </c>
      <c r="H26" s="718">
        <f t="shared" si="13"/>
        <v>0</v>
      </c>
      <c r="I26" s="718">
        <f t="shared" si="13"/>
        <v>-1503.3389966504012</v>
      </c>
      <c r="J26" s="718">
        <f t="shared" si="13"/>
        <v>1503.3389966504012</v>
      </c>
      <c r="K26" s="718">
        <f t="shared" si="13"/>
        <v>0</v>
      </c>
      <c r="L26" s="718">
        <f t="shared" si="13"/>
        <v>0</v>
      </c>
      <c r="M26" s="718">
        <f t="shared" si="13"/>
        <v>0</v>
      </c>
      <c r="N26" s="718">
        <f t="shared" si="13"/>
        <v>-4634902.2132316614</v>
      </c>
      <c r="O26" s="718">
        <f t="shared" si="13"/>
        <v>-2385470.2345375028</v>
      </c>
      <c r="P26" s="718">
        <f t="shared" si="13"/>
        <v>0</v>
      </c>
      <c r="Q26" s="718">
        <f t="shared" si="13"/>
        <v>4634902.2132316614</v>
      </c>
      <c r="R26" s="718">
        <f t="shared" si="13"/>
        <v>2385470.2345375028</v>
      </c>
      <c r="S26" s="718">
        <f t="shared" si="13"/>
        <v>0</v>
      </c>
      <c r="T26" s="718">
        <f t="shared" si="13"/>
        <v>0</v>
      </c>
      <c r="U26" s="718">
        <f t="shared" si="13"/>
        <v>0</v>
      </c>
      <c r="V26" s="718">
        <f t="shared" si="13"/>
        <v>0</v>
      </c>
      <c r="W26" s="718">
        <f t="shared" si="13"/>
        <v>0</v>
      </c>
      <c r="X26" s="718">
        <f t="shared" si="13"/>
        <v>0</v>
      </c>
      <c r="Y26" s="718">
        <f t="shared" si="13"/>
        <v>0</v>
      </c>
      <c r="Z26" s="718">
        <f t="shared" si="13"/>
        <v>0</v>
      </c>
      <c r="AA26" s="718">
        <f t="shared" si="13"/>
        <v>0</v>
      </c>
      <c r="AB26" s="718">
        <f t="shared" si="13"/>
        <v>-943.24857468643108</v>
      </c>
      <c r="AC26" s="718">
        <f t="shared" si="13"/>
        <v>0</v>
      </c>
      <c r="AD26" s="718">
        <f t="shared" si="13"/>
        <v>943.24857468643108</v>
      </c>
      <c r="AE26" s="718">
        <f t="shared" si="13"/>
        <v>0</v>
      </c>
      <c r="AF26" s="718">
        <f t="shared" si="13"/>
        <v>0</v>
      </c>
      <c r="AG26" s="718">
        <f t="shared" si="13"/>
        <v>0</v>
      </c>
      <c r="AH26" s="718">
        <f t="shared" si="13"/>
        <v>0</v>
      </c>
      <c r="AJ26" s="226">
        <f t="shared" si="14"/>
        <v>0</v>
      </c>
      <c r="AK26" s="886">
        <f t="shared" si="15"/>
        <v>0</v>
      </c>
      <c r="AL26" s="226">
        <f t="shared" si="12"/>
        <v>0</v>
      </c>
    </row>
    <row r="27" spans="1:40" ht="14.25" customHeight="1">
      <c r="A27" s="722"/>
      <c r="B27" s="723" t="s">
        <v>450</v>
      </c>
      <c r="C27" s="724">
        <f>SUM(C24:C26)</f>
        <v>0</v>
      </c>
      <c r="D27" s="724">
        <f t="shared" ref="D27:AH27" si="16">SUM(D24:D26)</f>
        <v>0</v>
      </c>
      <c r="E27" s="724">
        <f t="shared" si="16"/>
        <v>0</v>
      </c>
      <c r="F27" s="724">
        <f t="shared" si="16"/>
        <v>0</v>
      </c>
      <c r="G27" s="724">
        <f t="shared" si="16"/>
        <v>0</v>
      </c>
      <c r="H27" s="724">
        <f t="shared" si="16"/>
        <v>0</v>
      </c>
      <c r="I27" s="724">
        <f t="shared" si="16"/>
        <v>-52360.064746008786</v>
      </c>
      <c r="J27" s="724">
        <f t="shared" si="16"/>
        <v>52360.064746008786</v>
      </c>
      <c r="K27" s="724">
        <f t="shared" si="16"/>
        <v>0</v>
      </c>
      <c r="L27" s="724">
        <f t="shared" si="16"/>
        <v>0</v>
      </c>
      <c r="M27" s="724">
        <f t="shared" si="16"/>
        <v>0</v>
      </c>
      <c r="N27" s="724">
        <f t="shared" si="16"/>
        <v>-59153165.699144363</v>
      </c>
      <c r="O27" s="724">
        <f t="shared" si="16"/>
        <v>-43067165.266860195</v>
      </c>
      <c r="P27" s="724">
        <f t="shared" si="16"/>
        <v>0</v>
      </c>
      <c r="Q27" s="724">
        <f t="shared" si="16"/>
        <v>59153165.699144363</v>
      </c>
      <c r="R27" s="724">
        <f t="shared" si="16"/>
        <v>43067165.266860195</v>
      </c>
      <c r="S27" s="724">
        <f t="shared" si="16"/>
        <v>0</v>
      </c>
      <c r="T27" s="724">
        <f t="shared" si="16"/>
        <v>0</v>
      </c>
      <c r="U27" s="724">
        <f t="shared" si="16"/>
        <v>0</v>
      </c>
      <c r="V27" s="724">
        <f t="shared" si="16"/>
        <v>0</v>
      </c>
      <c r="W27" s="724">
        <f t="shared" si="16"/>
        <v>0</v>
      </c>
      <c r="X27" s="724">
        <f t="shared" si="16"/>
        <v>0</v>
      </c>
      <c r="Y27" s="724">
        <f t="shared" si="16"/>
        <v>0</v>
      </c>
      <c r="Z27" s="724">
        <f t="shared" si="16"/>
        <v>0</v>
      </c>
      <c r="AA27" s="724">
        <f t="shared" si="16"/>
        <v>0</v>
      </c>
      <c r="AB27" s="724">
        <f t="shared" si="16"/>
        <v>-51676.27865773454</v>
      </c>
      <c r="AC27" s="724">
        <f t="shared" si="16"/>
        <v>-12743.928110890825</v>
      </c>
      <c r="AD27" s="724">
        <f t="shared" si="16"/>
        <v>51676.27865773454</v>
      </c>
      <c r="AE27" s="724">
        <f t="shared" si="16"/>
        <v>12743.928110890825</v>
      </c>
      <c r="AF27" s="724">
        <f t="shared" si="16"/>
        <v>0</v>
      </c>
      <c r="AG27" s="724">
        <f t="shared" si="16"/>
        <v>0</v>
      </c>
      <c r="AH27" s="724">
        <f t="shared" si="16"/>
        <v>0</v>
      </c>
      <c r="AJ27" s="226">
        <f t="shared" si="14"/>
        <v>0</v>
      </c>
      <c r="AK27" s="886">
        <f t="shared" si="15"/>
        <v>0</v>
      </c>
      <c r="AL27" s="226">
        <f t="shared" si="12"/>
        <v>-7.4505805969238281E-9</v>
      </c>
    </row>
    <row r="28" spans="1:40" ht="14.25" customHeight="1">
      <c r="A28" s="613" t="s">
        <v>1011</v>
      </c>
      <c r="B28" s="720" t="s">
        <v>1269</v>
      </c>
      <c r="C28" s="721">
        <f t="shared" ref="C28:R30" si="17">SUMIF($AI$2:$AI$20,$B28,C$2:C$20)</f>
        <v>0</v>
      </c>
      <c r="D28" s="721">
        <f t="shared" si="17"/>
        <v>0</v>
      </c>
      <c r="E28" s="721">
        <f t="shared" si="17"/>
        <v>0</v>
      </c>
      <c r="F28" s="721">
        <f t="shared" si="17"/>
        <v>0</v>
      </c>
      <c r="G28" s="721">
        <f t="shared" si="17"/>
        <v>0</v>
      </c>
      <c r="H28" s="721">
        <f t="shared" si="17"/>
        <v>0</v>
      </c>
      <c r="I28" s="721">
        <f t="shared" si="17"/>
        <v>-748.78098970881308</v>
      </c>
      <c r="J28" s="721">
        <f t="shared" si="17"/>
        <v>748.78098970881308</v>
      </c>
      <c r="K28" s="721">
        <f t="shared" si="17"/>
        <v>0</v>
      </c>
      <c r="L28" s="721">
        <f t="shared" si="17"/>
        <v>0</v>
      </c>
      <c r="M28" s="721">
        <f t="shared" si="17"/>
        <v>0</v>
      </c>
      <c r="N28" s="721">
        <f t="shared" si="17"/>
        <v>-250617.3133499205</v>
      </c>
      <c r="O28" s="721">
        <f t="shared" si="17"/>
        <v>-173351.29487157828</v>
      </c>
      <c r="P28" s="721">
        <f t="shared" si="17"/>
        <v>0</v>
      </c>
      <c r="Q28" s="721">
        <f t="shared" si="17"/>
        <v>250617.3133499205</v>
      </c>
      <c r="R28" s="721">
        <f t="shared" si="17"/>
        <v>173351.29487157828</v>
      </c>
      <c r="S28" s="721">
        <f t="shared" ref="S28:AH30" si="18">SUMIF($AI$2:$AI$20,$B28,S$2:S$20)</f>
        <v>0</v>
      </c>
      <c r="T28" s="721">
        <f t="shared" si="18"/>
        <v>0</v>
      </c>
      <c r="U28" s="721">
        <f t="shared" si="18"/>
        <v>0</v>
      </c>
      <c r="V28" s="721">
        <f t="shared" si="18"/>
        <v>0</v>
      </c>
      <c r="W28" s="721">
        <f t="shared" si="18"/>
        <v>0</v>
      </c>
      <c r="X28" s="721">
        <f t="shared" si="18"/>
        <v>0</v>
      </c>
      <c r="Y28" s="721">
        <f t="shared" si="18"/>
        <v>0</v>
      </c>
      <c r="Z28" s="721">
        <f t="shared" si="18"/>
        <v>0</v>
      </c>
      <c r="AA28" s="721">
        <f t="shared" si="18"/>
        <v>0</v>
      </c>
      <c r="AB28" s="721">
        <f t="shared" si="18"/>
        <v>0</v>
      </c>
      <c r="AC28" s="721">
        <f t="shared" si="18"/>
        <v>0</v>
      </c>
      <c r="AD28" s="721">
        <f t="shared" si="18"/>
        <v>0</v>
      </c>
      <c r="AE28" s="721">
        <f t="shared" si="18"/>
        <v>0</v>
      </c>
      <c r="AF28" s="721">
        <f t="shared" si="18"/>
        <v>0</v>
      </c>
      <c r="AG28" s="721">
        <f t="shared" si="18"/>
        <v>0</v>
      </c>
      <c r="AH28" s="721">
        <f t="shared" si="18"/>
        <v>0</v>
      </c>
      <c r="AJ28" s="226">
        <f t="shared" si="14"/>
        <v>0</v>
      </c>
      <c r="AK28" s="886">
        <f t="shared" si="15"/>
        <v>0</v>
      </c>
      <c r="AL28" s="226">
        <f t="shared" si="12"/>
        <v>0</v>
      </c>
    </row>
    <row r="29" spans="1:40" ht="14.25" customHeight="1">
      <c r="A29" s="614"/>
      <c r="B29" s="615" t="s">
        <v>1270</v>
      </c>
      <c r="C29" s="718">
        <f t="shared" si="17"/>
        <v>0</v>
      </c>
      <c r="D29" s="718">
        <f t="shared" si="17"/>
        <v>0</v>
      </c>
      <c r="E29" s="718">
        <f t="shared" si="17"/>
        <v>0</v>
      </c>
      <c r="F29" s="718">
        <f t="shared" si="17"/>
        <v>0</v>
      </c>
      <c r="G29" s="718">
        <f t="shared" si="17"/>
        <v>0</v>
      </c>
      <c r="H29" s="718">
        <f t="shared" si="17"/>
        <v>0</v>
      </c>
      <c r="I29" s="718">
        <f t="shared" si="17"/>
        <v>-23.134473209803652</v>
      </c>
      <c r="J29" s="718">
        <f t="shared" si="17"/>
        <v>23.134473209803652</v>
      </c>
      <c r="K29" s="718">
        <f t="shared" si="17"/>
        <v>0</v>
      </c>
      <c r="L29" s="718">
        <f t="shared" si="17"/>
        <v>0</v>
      </c>
      <c r="M29" s="718">
        <f t="shared" si="17"/>
        <v>0</v>
      </c>
      <c r="N29" s="718">
        <f t="shared" si="17"/>
        <v>-4475.0964153275645</v>
      </c>
      <c r="O29" s="718">
        <f t="shared" si="17"/>
        <v>-1918.3292645241038</v>
      </c>
      <c r="P29" s="718">
        <f t="shared" si="17"/>
        <v>0</v>
      </c>
      <c r="Q29" s="718">
        <f t="shared" si="17"/>
        <v>4475.0964153275645</v>
      </c>
      <c r="R29" s="718">
        <f t="shared" si="17"/>
        <v>1918.3292645241038</v>
      </c>
      <c r="S29" s="718">
        <f t="shared" si="18"/>
        <v>0</v>
      </c>
      <c r="T29" s="718">
        <f t="shared" si="18"/>
        <v>0</v>
      </c>
      <c r="U29" s="718">
        <f t="shared" si="18"/>
        <v>0</v>
      </c>
      <c r="V29" s="718">
        <f t="shared" si="18"/>
        <v>0</v>
      </c>
      <c r="W29" s="718">
        <f t="shared" si="18"/>
        <v>0</v>
      </c>
      <c r="X29" s="718">
        <f t="shared" si="18"/>
        <v>0</v>
      </c>
      <c r="Y29" s="718">
        <f t="shared" si="18"/>
        <v>0</v>
      </c>
      <c r="Z29" s="718">
        <f t="shared" si="18"/>
        <v>0</v>
      </c>
      <c r="AA29" s="718">
        <f t="shared" si="18"/>
        <v>0</v>
      </c>
      <c r="AB29" s="718">
        <f t="shared" si="18"/>
        <v>0</v>
      </c>
      <c r="AC29" s="718">
        <f t="shared" si="18"/>
        <v>0</v>
      </c>
      <c r="AD29" s="718">
        <f t="shared" si="18"/>
        <v>0</v>
      </c>
      <c r="AE29" s="718">
        <f t="shared" si="18"/>
        <v>0</v>
      </c>
      <c r="AF29" s="718">
        <f t="shared" si="18"/>
        <v>0</v>
      </c>
      <c r="AG29" s="718">
        <f t="shared" si="18"/>
        <v>0</v>
      </c>
      <c r="AH29" s="718">
        <f t="shared" si="18"/>
        <v>0</v>
      </c>
      <c r="AJ29" s="226">
        <f t="shared" si="14"/>
        <v>0</v>
      </c>
      <c r="AK29" s="886">
        <f t="shared" si="15"/>
        <v>0</v>
      </c>
      <c r="AL29" s="226">
        <f t="shared" si="12"/>
        <v>-2.2737367544323206E-13</v>
      </c>
    </row>
    <row r="30" spans="1:40" ht="14.25" customHeight="1">
      <c r="A30" s="614"/>
      <c r="B30" s="615" t="s">
        <v>662</v>
      </c>
      <c r="C30" s="718">
        <f>SUMIF($AI$2:$AI$20,$B30,C$2:C$20)</f>
        <v>0</v>
      </c>
      <c r="D30" s="718">
        <f t="shared" si="17"/>
        <v>0</v>
      </c>
      <c r="E30" s="718">
        <f t="shared" si="17"/>
        <v>0</v>
      </c>
      <c r="F30" s="718">
        <f t="shared" si="17"/>
        <v>0</v>
      </c>
      <c r="G30" s="718">
        <f t="shared" si="17"/>
        <v>0</v>
      </c>
      <c r="H30" s="718">
        <f t="shared" si="17"/>
        <v>0</v>
      </c>
      <c r="I30" s="718">
        <f t="shared" si="17"/>
        <v>-32.217177532598193</v>
      </c>
      <c r="J30" s="718">
        <f t="shared" si="17"/>
        <v>32.217177532598193</v>
      </c>
      <c r="K30" s="718">
        <f t="shared" si="17"/>
        <v>0</v>
      </c>
      <c r="L30" s="718">
        <f t="shared" si="17"/>
        <v>0</v>
      </c>
      <c r="M30" s="718">
        <f t="shared" si="17"/>
        <v>0</v>
      </c>
      <c r="N30" s="718">
        <f t="shared" si="17"/>
        <v>-27231.722788663901</v>
      </c>
      <c r="O30" s="718">
        <f t="shared" si="17"/>
        <v>-17872.163789052123</v>
      </c>
      <c r="P30" s="718">
        <f t="shared" si="17"/>
        <v>0</v>
      </c>
      <c r="Q30" s="718">
        <f t="shared" si="17"/>
        <v>27231.722788663901</v>
      </c>
      <c r="R30" s="718">
        <f t="shared" si="17"/>
        <v>17872.163789052123</v>
      </c>
      <c r="S30" s="718">
        <f t="shared" si="18"/>
        <v>0</v>
      </c>
      <c r="T30" s="718">
        <f t="shared" si="18"/>
        <v>0</v>
      </c>
      <c r="U30" s="718">
        <f t="shared" si="18"/>
        <v>0</v>
      </c>
      <c r="V30" s="718">
        <f t="shared" si="18"/>
        <v>0</v>
      </c>
      <c r="W30" s="718">
        <f t="shared" si="18"/>
        <v>0</v>
      </c>
      <c r="X30" s="718">
        <f t="shared" si="18"/>
        <v>0</v>
      </c>
      <c r="Y30" s="718">
        <f t="shared" si="18"/>
        <v>0</v>
      </c>
      <c r="Z30" s="718">
        <f t="shared" si="18"/>
        <v>0</v>
      </c>
      <c r="AA30" s="718">
        <f t="shared" si="18"/>
        <v>0</v>
      </c>
      <c r="AB30" s="718">
        <f t="shared" si="18"/>
        <v>0</v>
      </c>
      <c r="AC30" s="718">
        <f t="shared" si="18"/>
        <v>0</v>
      </c>
      <c r="AD30" s="718">
        <f t="shared" si="18"/>
        <v>0</v>
      </c>
      <c r="AE30" s="718">
        <f t="shared" si="18"/>
        <v>0</v>
      </c>
      <c r="AF30" s="718">
        <f t="shared" si="18"/>
        <v>0</v>
      </c>
      <c r="AG30" s="718">
        <f t="shared" si="18"/>
        <v>0</v>
      </c>
      <c r="AH30" s="718">
        <f t="shared" si="18"/>
        <v>0</v>
      </c>
      <c r="AJ30" s="226">
        <f t="shared" si="14"/>
        <v>0</v>
      </c>
      <c r="AK30" s="886">
        <f t="shared" si="15"/>
        <v>0</v>
      </c>
      <c r="AL30" s="226">
        <f t="shared" si="12"/>
        <v>0</v>
      </c>
    </row>
    <row r="31" spans="1:40" ht="14.25" customHeight="1">
      <c r="A31" s="722"/>
      <c r="B31" s="723" t="s">
        <v>450</v>
      </c>
      <c r="C31" s="724">
        <f>SUM(C28:C30)</f>
        <v>0</v>
      </c>
      <c r="D31" s="724">
        <f t="shared" ref="D31:AH31" si="19">SUM(D28:D30)</f>
        <v>0</v>
      </c>
      <c r="E31" s="724">
        <f t="shared" si="19"/>
        <v>0</v>
      </c>
      <c r="F31" s="724">
        <f t="shared" si="19"/>
        <v>0</v>
      </c>
      <c r="G31" s="724">
        <f t="shared" si="19"/>
        <v>0</v>
      </c>
      <c r="H31" s="724">
        <f t="shared" si="19"/>
        <v>0</v>
      </c>
      <c r="I31" s="724">
        <f t="shared" si="19"/>
        <v>-804.13264045121491</v>
      </c>
      <c r="J31" s="724">
        <f t="shared" si="19"/>
        <v>804.13264045121491</v>
      </c>
      <c r="K31" s="724">
        <f t="shared" si="19"/>
        <v>0</v>
      </c>
      <c r="L31" s="724">
        <f t="shared" si="19"/>
        <v>0</v>
      </c>
      <c r="M31" s="724">
        <f t="shared" si="19"/>
        <v>0</v>
      </c>
      <c r="N31" s="724">
        <f t="shared" si="19"/>
        <v>-282324.132553912</v>
      </c>
      <c r="O31" s="724">
        <f t="shared" si="19"/>
        <v>-193141.78792515449</v>
      </c>
      <c r="P31" s="724">
        <f t="shared" si="19"/>
        <v>0</v>
      </c>
      <c r="Q31" s="724">
        <f t="shared" si="19"/>
        <v>282324.132553912</v>
      </c>
      <c r="R31" s="724">
        <f t="shared" si="19"/>
        <v>193141.78792515449</v>
      </c>
      <c r="S31" s="724">
        <f t="shared" si="19"/>
        <v>0</v>
      </c>
      <c r="T31" s="724">
        <f t="shared" si="19"/>
        <v>0</v>
      </c>
      <c r="U31" s="724">
        <f t="shared" si="19"/>
        <v>0</v>
      </c>
      <c r="V31" s="724">
        <f t="shared" si="19"/>
        <v>0</v>
      </c>
      <c r="W31" s="724">
        <f t="shared" si="19"/>
        <v>0</v>
      </c>
      <c r="X31" s="724">
        <f t="shared" si="19"/>
        <v>0</v>
      </c>
      <c r="Y31" s="724">
        <f t="shared" si="19"/>
        <v>0</v>
      </c>
      <c r="Z31" s="724">
        <f t="shared" si="19"/>
        <v>0</v>
      </c>
      <c r="AA31" s="724">
        <f t="shared" si="19"/>
        <v>0</v>
      </c>
      <c r="AB31" s="724">
        <f t="shared" si="19"/>
        <v>0</v>
      </c>
      <c r="AC31" s="724">
        <f t="shared" si="19"/>
        <v>0</v>
      </c>
      <c r="AD31" s="724">
        <f t="shared" si="19"/>
        <v>0</v>
      </c>
      <c r="AE31" s="724">
        <f t="shared" si="19"/>
        <v>0</v>
      </c>
      <c r="AF31" s="724">
        <f t="shared" si="19"/>
        <v>0</v>
      </c>
      <c r="AG31" s="724">
        <f t="shared" si="19"/>
        <v>0</v>
      </c>
      <c r="AH31" s="724">
        <f t="shared" si="19"/>
        <v>0</v>
      </c>
      <c r="AJ31" s="226">
        <f t="shared" si="14"/>
        <v>0</v>
      </c>
      <c r="AK31" s="886">
        <f t="shared" si="15"/>
        <v>0</v>
      </c>
      <c r="AL31" s="226">
        <f t="shared" si="12"/>
        <v>0</v>
      </c>
    </row>
    <row r="32" spans="1:40" ht="14.25" customHeight="1">
      <c r="A32" s="613" t="s">
        <v>1233</v>
      </c>
      <c r="B32" s="720" t="s">
        <v>1271</v>
      </c>
      <c r="C32" s="721">
        <f t="shared" ref="C32:R34" si="20">SUMIF($AI$2:$AI$20,$B32,C$2:C$20)</f>
        <v>0</v>
      </c>
      <c r="D32" s="721">
        <f t="shared" si="20"/>
        <v>0</v>
      </c>
      <c r="E32" s="721">
        <f t="shared" si="20"/>
        <v>0</v>
      </c>
      <c r="F32" s="721">
        <f t="shared" si="20"/>
        <v>0</v>
      </c>
      <c r="G32" s="721">
        <f t="shared" si="20"/>
        <v>0</v>
      </c>
      <c r="H32" s="721">
        <f t="shared" si="20"/>
        <v>0</v>
      </c>
      <c r="I32" s="721">
        <f t="shared" si="20"/>
        <v>-182.86101700112647</v>
      </c>
      <c r="J32" s="721">
        <f t="shared" si="20"/>
        <v>182.86101700112647</v>
      </c>
      <c r="K32" s="721">
        <f t="shared" si="20"/>
        <v>0</v>
      </c>
      <c r="L32" s="721">
        <f t="shared" si="20"/>
        <v>0</v>
      </c>
      <c r="M32" s="721">
        <f t="shared" si="20"/>
        <v>0</v>
      </c>
      <c r="N32" s="721">
        <f t="shared" si="20"/>
        <v>-22171.801951071382</v>
      </c>
      <c r="O32" s="721">
        <f t="shared" si="20"/>
        <v>-86879.599094486402</v>
      </c>
      <c r="P32" s="721">
        <f t="shared" si="20"/>
        <v>0</v>
      </c>
      <c r="Q32" s="721">
        <f t="shared" si="20"/>
        <v>22171.801951071382</v>
      </c>
      <c r="R32" s="721">
        <f t="shared" si="20"/>
        <v>86879.599094486402</v>
      </c>
      <c r="S32" s="721">
        <f t="shared" ref="S32:AH34" si="21">SUMIF($AI$2:$AI$20,$B32,S$2:S$20)</f>
        <v>0</v>
      </c>
      <c r="T32" s="721">
        <f t="shared" si="21"/>
        <v>0</v>
      </c>
      <c r="U32" s="721">
        <f t="shared" si="21"/>
        <v>0</v>
      </c>
      <c r="V32" s="721">
        <f t="shared" si="21"/>
        <v>0</v>
      </c>
      <c r="W32" s="721">
        <f t="shared" si="21"/>
        <v>0</v>
      </c>
      <c r="X32" s="721">
        <f t="shared" si="21"/>
        <v>0</v>
      </c>
      <c r="Y32" s="721">
        <f t="shared" si="21"/>
        <v>0</v>
      </c>
      <c r="Z32" s="721">
        <f t="shared" si="21"/>
        <v>0</v>
      </c>
      <c r="AA32" s="721">
        <f t="shared" si="21"/>
        <v>0</v>
      </c>
      <c r="AB32" s="721">
        <f t="shared" si="21"/>
        <v>0</v>
      </c>
      <c r="AC32" s="721">
        <f t="shared" si="21"/>
        <v>0</v>
      </c>
      <c r="AD32" s="721">
        <f t="shared" si="21"/>
        <v>0</v>
      </c>
      <c r="AE32" s="721">
        <f t="shared" si="21"/>
        <v>0</v>
      </c>
      <c r="AF32" s="721">
        <f t="shared" si="21"/>
        <v>0</v>
      </c>
      <c r="AG32" s="721">
        <f t="shared" si="21"/>
        <v>0</v>
      </c>
      <c r="AH32" s="721">
        <f t="shared" si="21"/>
        <v>0</v>
      </c>
      <c r="AJ32" s="226">
        <f t="shared" si="14"/>
        <v>0</v>
      </c>
      <c r="AK32" s="886">
        <f t="shared" si="15"/>
        <v>0</v>
      </c>
      <c r="AL32" s="226">
        <f t="shared" si="12"/>
        <v>0</v>
      </c>
    </row>
    <row r="33" spans="1:59" ht="14.25" customHeight="1">
      <c r="A33" s="614"/>
      <c r="B33" s="615" t="s">
        <v>1272</v>
      </c>
      <c r="C33" s="718">
        <f t="shared" si="20"/>
        <v>0</v>
      </c>
      <c r="D33" s="718">
        <f t="shared" si="20"/>
        <v>0</v>
      </c>
      <c r="E33" s="718">
        <f t="shared" si="20"/>
        <v>0</v>
      </c>
      <c r="F33" s="718">
        <f t="shared" si="20"/>
        <v>0</v>
      </c>
      <c r="G33" s="718">
        <f t="shared" si="20"/>
        <v>0</v>
      </c>
      <c r="H33" s="718">
        <f t="shared" si="20"/>
        <v>0</v>
      </c>
      <c r="I33" s="718">
        <f t="shared" si="20"/>
        <v>0</v>
      </c>
      <c r="J33" s="718">
        <f t="shared" si="20"/>
        <v>0</v>
      </c>
      <c r="K33" s="718">
        <f t="shared" si="20"/>
        <v>0</v>
      </c>
      <c r="L33" s="718">
        <f t="shared" si="20"/>
        <v>0</v>
      </c>
      <c r="M33" s="718">
        <f t="shared" si="20"/>
        <v>0</v>
      </c>
      <c r="N33" s="718">
        <f t="shared" si="20"/>
        <v>0</v>
      </c>
      <c r="O33" s="718">
        <f t="shared" si="20"/>
        <v>0</v>
      </c>
      <c r="P33" s="718">
        <f t="shared" si="20"/>
        <v>0</v>
      </c>
      <c r="Q33" s="718">
        <f t="shared" si="20"/>
        <v>0</v>
      </c>
      <c r="R33" s="718">
        <f t="shared" si="20"/>
        <v>0</v>
      </c>
      <c r="S33" s="718">
        <f t="shared" si="21"/>
        <v>0</v>
      </c>
      <c r="T33" s="718">
        <f t="shared" si="21"/>
        <v>0</v>
      </c>
      <c r="U33" s="718">
        <f t="shared" si="21"/>
        <v>0</v>
      </c>
      <c r="V33" s="718">
        <f t="shared" si="21"/>
        <v>0</v>
      </c>
      <c r="W33" s="718">
        <f t="shared" si="21"/>
        <v>0</v>
      </c>
      <c r="X33" s="718">
        <f t="shared" si="21"/>
        <v>0</v>
      </c>
      <c r="Y33" s="718">
        <f t="shared" si="21"/>
        <v>0</v>
      </c>
      <c r="Z33" s="718">
        <f t="shared" si="21"/>
        <v>0</v>
      </c>
      <c r="AA33" s="718">
        <f t="shared" si="21"/>
        <v>0</v>
      </c>
      <c r="AB33" s="718">
        <f t="shared" si="21"/>
        <v>0</v>
      </c>
      <c r="AC33" s="718">
        <f t="shared" si="21"/>
        <v>0</v>
      </c>
      <c r="AD33" s="718">
        <f t="shared" si="21"/>
        <v>0</v>
      </c>
      <c r="AE33" s="718">
        <f t="shared" si="21"/>
        <v>0</v>
      </c>
      <c r="AF33" s="718">
        <f t="shared" si="21"/>
        <v>0</v>
      </c>
      <c r="AG33" s="718">
        <f t="shared" si="21"/>
        <v>0</v>
      </c>
      <c r="AH33" s="718">
        <f t="shared" si="21"/>
        <v>0</v>
      </c>
      <c r="AJ33" s="226">
        <f t="shared" si="14"/>
        <v>0</v>
      </c>
      <c r="AK33" s="886">
        <f t="shared" si="15"/>
        <v>0</v>
      </c>
      <c r="AL33" s="226">
        <f t="shared" si="12"/>
        <v>0</v>
      </c>
    </row>
    <row r="34" spans="1:59" ht="14.25" customHeight="1">
      <c r="A34" s="614"/>
      <c r="B34" s="615" t="s">
        <v>1203</v>
      </c>
      <c r="C34" s="718">
        <f>SUMIF($AI$2:$AI$20,$B34,C$2:C$20)</f>
        <v>0</v>
      </c>
      <c r="D34" s="718">
        <f t="shared" si="20"/>
        <v>0</v>
      </c>
      <c r="E34" s="718">
        <f t="shared" si="20"/>
        <v>0</v>
      </c>
      <c r="F34" s="718">
        <f t="shared" si="20"/>
        <v>0</v>
      </c>
      <c r="G34" s="718">
        <f t="shared" si="20"/>
        <v>0</v>
      </c>
      <c r="H34" s="718">
        <f t="shared" si="20"/>
        <v>0</v>
      </c>
      <c r="I34" s="718">
        <f t="shared" si="20"/>
        <v>-7</v>
      </c>
      <c r="J34" s="718">
        <f t="shared" si="20"/>
        <v>7</v>
      </c>
      <c r="K34" s="718">
        <f t="shared" si="20"/>
        <v>0</v>
      </c>
      <c r="L34" s="718">
        <f t="shared" si="20"/>
        <v>0</v>
      </c>
      <c r="M34" s="718">
        <f t="shared" si="20"/>
        <v>0</v>
      </c>
      <c r="N34" s="718">
        <f t="shared" si="20"/>
        <v>-4714.9641395227445</v>
      </c>
      <c r="O34" s="718">
        <f t="shared" si="20"/>
        <v>-8043.9400881057272</v>
      </c>
      <c r="P34" s="718">
        <f t="shared" si="20"/>
        <v>0</v>
      </c>
      <c r="Q34" s="718">
        <f t="shared" si="20"/>
        <v>4714.9641395227445</v>
      </c>
      <c r="R34" s="718">
        <f t="shared" si="20"/>
        <v>8043.9400881057272</v>
      </c>
      <c r="S34" s="718">
        <f t="shared" si="21"/>
        <v>0</v>
      </c>
      <c r="T34" s="718">
        <f t="shared" si="21"/>
        <v>0</v>
      </c>
      <c r="U34" s="718">
        <f t="shared" si="21"/>
        <v>0</v>
      </c>
      <c r="V34" s="718">
        <f t="shared" si="21"/>
        <v>0</v>
      </c>
      <c r="W34" s="718">
        <f t="shared" si="21"/>
        <v>0</v>
      </c>
      <c r="X34" s="718">
        <f t="shared" si="21"/>
        <v>0</v>
      </c>
      <c r="Y34" s="718">
        <f t="shared" si="21"/>
        <v>0</v>
      </c>
      <c r="Z34" s="718">
        <f t="shared" si="21"/>
        <v>0</v>
      </c>
      <c r="AA34" s="718">
        <f t="shared" si="21"/>
        <v>0</v>
      </c>
      <c r="AB34" s="718">
        <f t="shared" si="21"/>
        <v>0</v>
      </c>
      <c r="AC34" s="718">
        <f t="shared" si="21"/>
        <v>0</v>
      </c>
      <c r="AD34" s="718">
        <f t="shared" si="21"/>
        <v>0</v>
      </c>
      <c r="AE34" s="718">
        <f t="shared" si="21"/>
        <v>0</v>
      </c>
      <c r="AF34" s="718">
        <f t="shared" si="21"/>
        <v>0</v>
      </c>
      <c r="AG34" s="718">
        <f t="shared" si="21"/>
        <v>0</v>
      </c>
      <c r="AH34" s="718">
        <f t="shared" si="21"/>
        <v>0</v>
      </c>
      <c r="AJ34" s="226">
        <f t="shared" si="14"/>
        <v>0</v>
      </c>
      <c r="AK34" s="886">
        <f t="shared" si="15"/>
        <v>0</v>
      </c>
      <c r="AL34" s="226">
        <f t="shared" si="12"/>
        <v>-9.0949470177292824E-13</v>
      </c>
    </row>
    <row r="35" spans="1:59" ht="14.25" customHeight="1">
      <c r="A35" s="722"/>
      <c r="B35" s="723" t="s">
        <v>450</v>
      </c>
      <c r="C35" s="724">
        <f>SUM(C32:C34)</f>
        <v>0</v>
      </c>
      <c r="D35" s="724">
        <f t="shared" ref="D35:AH35" si="22">SUM(D32:D34)</f>
        <v>0</v>
      </c>
      <c r="E35" s="724">
        <f t="shared" si="22"/>
        <v>0</v>
      </c>
      <c r="F35" s="724">
        <f t="shared" si="22"/>
        <v>0</v>
      </c>
      <c r="G35" s="724">
        <f t="shared" si="22"/>
        <v>0</v>
      </c>
      <c r="H35" s="724">
        <f t="shared" si="22"/>
        <v>0</v>
      </c>
      <c r="I35" s="724">
        <f t="shared" si="22"/>
        <v>-189.86101700112647</v>
      </c>
      <c r="J35" s="724">
        <f t="shared" si="22"/>
        <v>189.86101700112647</v>
      </c>
      <c r="K35" s="724">
        <f t="shared" si="22"/>
        <v>0</v>
      </c>
      <c r="L35" s="724">
        <f t="shared" si="22"/>
        <v>0</v>
      </c>
      <c r="M35" s="724">
        <f t="shared" si="22"/>
        <v>0</v>
      </c>
      <c r="N35" s="724">
        <f t="shared" si="22"/>
        <v>-26886.766090594127</v>
      </c>
      <c r="O35" s="724">
        <f t="shared" si="22"/>
        <v>-94923.539182592125</v>
      </c>
      <c r="P35" s="724">
        <f t="shared" si="22"/>
        <v>0</v>
      </c>
      <c r="Q35" s="724">
        <f t="shared" si="22"/>
        <v>26886.766090594127</v>
      </c>
      <c r="R35" s="724">
        <f t="shared" si="22"/>
        <v>94923.539182592125</v>
      </c>
      <c r="S35" s="724">
        <f t="shared" si="22"/>
        <v>0</v>
      </c>
      <c r="T35" s="724">
        <f t="shared" si="22"/>
        <v>0</v>
      </c>
      <c r="U35" s="724">
        <f t="shared" si="22"/>
        <v>0</v>
      </c>
      <c r="V35" s="724">
        <f t="shared" si="22"/>
        <v>0</v>
      </c>
      <c r="W35" s="724">
        <f t="shared" si="22"/>
        <v>0</v>
      </c>
      <c r="X35" s="724">
        <f t="shared" si="22"/>
        <v>0</v>
      </c>
      <c r="Y35" s="724">
        <f t="shared" si="22"/>
        <v>0</v>
      </c>
      <c r="Z35" s="724">
        <f t="shared" si="22"/>
        <v>0</v>
      </c>
      <c r="AA35" s="724">
        <f t="shared" si="22"/>
        <v>0</v>
      </c>
      <c r="AB35" s="724">
        <f t="shared" si="22"/>
        <v>0</v>
      </c>
      <c r="AC35" s="724">
        <f t="shared" si="22"/>
        <v>0</v>
      </c>
      <c r="AD35" s="724">
        <f t="shared" si="22"/>
        <v>0</v>
      </c>
      <c r="AE35" s="724">
        <f t="shared" si="22"/>
        <v>0</v>
      </c>
      <c r="AF35" s="724">
        <f t="shared" si="22"/>
        <v>0</v>
      </c>
      <c r="AG35" s="724">
        <f t="shared" si="22"/>
        <v>0</v>
      </c>
      <c r="AH35" s="724">
        <f t="shared" si="22"/>
        <v>0</v>
      </c>
      <c r="AJ35" s="226">
        <f t="shared" si="14"/>
        <v>0</v>
      </c>
      <c r="AK35" s="886">
        <f t="shared" si="15"/>
        <v>0</v>
      </c>
      <c r="AL35" s="226">
        <f t="shared" si="12"/>
        <v>0</v>
      </c>
    </row>
    <row r="37" spans="1:59">
      <c r="A37" s="375" t="s">
        <v>463</v>
      </c>
      <c r="C37" s="226">
        <f>C27+C31+C35-SUM(C2:C20)</f>
        <v>0</v>
      </c>
      <c r="D37" s="226">
        <f t="shared" ref="D37:AG37" si="23">D27+D31+D35-SUM(D2:D20)</f>
        <v>0</v>
      </c>
      <c r="E37" s="226">
        <f t="shared" si="23"/>
        <v>0</v>
      </c>
      <c r="F37" s="226">
        <f t="shared" si="23"/>
        <v>0</v>
      </c>
      <c r="G37" s="226">
        <f t="shared" si="23"/>
        <v>0</v>
      </c>
      <c r="H37" s="226">
        <f t="shared" si="23"/>
        <v>0</v>
      </c>
      <c r="I37" s="226">
        <f t="shared" si="23"/>
        <v>0</v>
      </c>
      <c r="J37" s="226">
        <f t="shared" si="23"/>
        <v>0</v>
      </c>
      <c r="K37" s="226">
        <f t="shared" si="23"/>
        <v>0</v>
      </c>
      <c r="L37" s="226">
        <f t="shared" si="23"/>
        <v>0</v>
      </c>
      <c r="M37" s="226">
        <f t="shared" si="23"/>
        <v>0</v>
      </c>
      <c r="N37" s="226">
        <f t="shared" si="23"/>
        <v>0</v>
      </c>
      <c r="O37" s="226">
        <f t="shared" si="23"/>
        <v>0</v>
      </c>
      <c r="P37" s="226">
        <f t="shared" si="23"/>
        <v>0</v>
      </c>
      <c r="Q37" s="226">
        <f t="shared" si="23"/>
        <v>0</v>
      </c>
      <c r="R37" s="226">
        <f t="shared" si="23"/>
        <v>0</v>
      </c>
      <c r="S37" s="226">
        <f t="shared" si="23"/>
        <v>0</v>
      </c>
      <c r="T37" s="226">
        <f t="shared" si="23"/>
        <v>0</v>
      </c>
      <c r="U37" s="226">
        <f t="shared" si="23"/>
        <v>0</v>
      </c>
      <c r="V37" s="226">
        <f t="shared" si="23"/>
        <v>0</v>
      </c>
      <c r="W37" s="226">
        <f t="shared" si="23"/>
        <v>0</v>
      </c>
      <c r="X37" s="226">
        <f t="shared" si="23"/>
        <v>0</v>
      </c>
      <c r="Y37" s="226">
        <f t="shared" si="23"/>
        <v>0</v>
      </c>
      <c r="Z37" s="226">
        <f t="shared" si="23"/>
        <v>0</v>
      </c>
      <c r="AA37" s="226">
        <f t="shared" si="23"/>
        <v>0</v>
      </c>
      <c r="AB37" s="226">
        <f t="shared" si="23"/>
        <v>0</v>
      </c>
      <c r="AC37" s="226">
        <f t="shared" si="23"/>
        <v>0</v>
      </c>
      <c r="AD37" s="226">
        <f t="shared" si="23"/>
        <v>0</v>
      </c>
      <c r="AE37" s="226">
        <f t="shared" si="23"/>
        <v>0</v>
      </c>
      <c r="AF37" s="226">
        <f t="shared" si="23"/>
        <v>0</v>
      </c>
      <c r="AG37" s="226">
        <f t="shared" si="23"/>
        <v>0</v>
      </c>
      <c r="AH37" s="226">
        <f t="shared" ref="AH37:AL37" si="24">AH27+AH31+AH35-SUM(AH2:AH20)</f>
        <v>0</v>
      </c>
      <c r="AI37" s="226"/>
      <c r="AJ37" s="226"/>
      <c r="AK37" s="226"/>
      <c r="AL37" s="226">
        <f t="shared" si="24"/>
        <v>-7.4512627179501578E-9</v>
      </c>
    </row>
    <row r="38" spans="1:59">
      <c r="T38" s="186"/>
    </row>
    <row r="40" spans="1:59">
      <c r="A40" s="1155" t="s">
        <v>191</v>
      </c>
      <c r="B40" s="1155" t="s">
        <v>192</v>
      </c>
      <c r="C40" s="1155" t="s">
        <v>125</v>
      </c>
      <c r="D40" s="1155" t="s">
        <v>126</v>
      </c>
      <c r="E40" s="1155" t="s">
        <v>127</v>
      </c>
      <c r="F40" s="1155" t="s">
        <v>128</v>
      </c>
      <c r="G40" s="1155" t="s">
        <v>72</v>
      </c>
      <c r="H40" s="1155" t="s">
        <v>462</v>
      </c>
      <c r="I40" s="1155" t="s">
        <v>638</v>
      </c>
      <c r="J40" s="1155" t="s">
        <v>639</v>
      </c>
      <c r="K40" s="1155" t="s">
        <v>631</v>
      </c>
      <c r="L40" s="1155" t="s">
        <v>70</v>
      </c>
      <c r="M40" s="1155" t="s">
        <v>622</v>
      </c>
      <c r="N40" s="1155" t="s">
        <v>623</v>
      </c>
      <c r="O40" s="1155" t="s">
        <v>624</v>
      </c>
      <c r="P40" s="1155" t="s">
        <v>626</v>
      </c>
      <c r="Q40" s="1155" t="s">
        <v>640</v>
      </c>
      <c r="R40" s="1155" t="s">
        <v>641</v>
      </c>
      <c r="S40" s="1155" t="s">
        <v>71</v>
      </c>
      <c r="T40" s="1155" t="s">
        <v>619</v>
      </c>
      <c r="U40" s="1155" t="s">
        <v>796</v>
      </c>
      <c r="V40" s="1155" t="s">
        <v>1152</v>
      </c>
      <c r="W40" s="1155" t="s">
        <v>627</v>
      </c>
      <c r="X40" s="1155" t="s">
        <v>1221</v>
      </c>
      <c r="Y40" s="1155" t="s">
        <v>1222</v>
      </c>
      <c r="Z40" s="1155" t="s">
        <v>1223</v>
      </c>
      <c r="AA40" s="1155" t="s">
        <v>1224</v>
      </c>
      <c r="AB40" s="1155" t="s">
        <v>1261</v>
      </c>
      <c r="AC40" s="1155" t="s">
        <v>1262</v>
      </c>
      <c r="AD40" s="1155" t="s">
        <v>1263</v>
      </c>
      <c r="AE40" s="1155" t="s">
        <v>1264</v>
      </c>
      <c r="AF40" s="1155" t="s">
        <v>1225</v>
      </c>
      <c r="AG40" s="1155" t="s">
        <v>1256</v>
      </c>
      <c r="AH40" s="1155" t="s">
        <v>1297</v>
      </c>
      <c r="AI40" s="1155" t="s">
        <v>1479</v>
      </c>
      <c r="AJ40" s="1330" t="s">
        <v>462</v>
      </c>
      <c r="AK40" s="1330" t="s">
        <v>638</v>
      </c>
      <c r="AL40" s="1330" t="s">
        <v>639</v>
      </c>
      <c r="AM40" s="1330" t="s">
        <v>631</v>
      </c>
      <c r="AN40" s="1330" t="s">
        <v>70</v>
      </c>
      <c r="AO40" s="1330" t="s">
        <v>622</v>
      </c>
      <c r="AP40" s="1330" t="s">
        <v>623</v>
      </c>
      <c r="AQ40" s="1330" t="s">
        <v>624</v>
      </c>
      <c r="AR40" s="1330" t="s">
        <v>626</v>
      </c>
      <c r="AS40" s="1330" t="s">
        <v>640</v>
      </c>
      <c r="AT40" s="1330" t="s">
        <v>641</v>
      </c>
      <c r="AU40" s="1330" t="s">
        <v>71</v>
      </c>
      <c r="AV40" s="1330" t="s">
        <v>619</v>
      </c>
      <c r="AW40" s="1330" t="s">
        <v>796</v>
      </c>
      <c r="AX40" s="1330" t="s">
        <v>1152</v>
      </c>
      <c r="AY40" s="1330" t="s">
        <v>627</v>
      </c>
      <c r="AZ40" s="1330" t="s">
        <v>1221</v>
      </c>
      <c r="BA40" s="1330" t="s">
        <v>1222</v>
      </c>
      <c r="BB40" s="1330" t="s">
        <v>1223</v>
      </c>
      <c r="BC40" s="1330" t="s">
        <v>1224</v>
      </c>
      <c r="BD40" s="1330" t="s">
        <v>1261</v>
      </c>
      <c r="BE40" s="1330" t="s">
        <v>1262</v>
      </c>
      <c r="BF40" s="1330" t="s">
        <v>1263</v>
      </c>
      <c r="BG40" s="1330" t="s">
        <v>1264</v>
      </c>
    </row>
    <row r="41" spans="1:59" s="1345" customFormat="1">
      <c r="A41" s="1340" t="s">
        <v>429</v>
      </c>
      <c r="B41" s="1340" t="s">
        <v>1265</v>
      </c>
      <c r="C41" s="1341">
        <v>5544</v>
      </c>
      <c r="D41" s="1341">
        <v>608.01</v>
      </c>
      <c r="E41" s="1341">
        <v>0</v>
      </c>
      <c r="F41" s="1341">
        <v>0</v>
      </c>
      <c r="G41" s="1341">
        <v>4.4329999999999998</v>
      </c>
      <c r="H41" s="1341">
        <v>0</v>
      </c>
      <c r="I41" s="1341">
        <v>0</v>
      </c>
      <c r="J41" s="1341">
        <v>0</v>
      </c>
      <c r="K41" s="1341">
        <v>0</v>
      </c>
      <c r="L41" s="1341">
        <v>5544</v>
      </c>
      <c r="M41" s="1341">
        <v>3791</v>
      </c>
      <c r="N41" s="1341">
        <v>2753</v>
      </c>
      <c r="O41" s="1341">
        <v>1038</v>
      </c>
      <c r="P41" s="1341">
        <v>1753</v>
      </c>
      <c r="Q41" s="1341">
        <v>1584</v>
      </c>
      <c r="R41" s="1341">
        <v>169</v>
      </c>
      <c r="S41" s="1341">
        <v>626.94000000000005</v>
      </c>
      <c r="T41" s="1341">
        <v>626.94658500000003</v>
      </c>
      <c r="U41" s="1342">
        <v>626.94658500000003</v>
      </c>
      <c r="V41" s="1343">
        <v>0</v>
      </c>
      <c r="W41" s="1343">
        <v>5</v>
      </c>
      <c r="X41" s="1343">
        <v>0</v>
      </c>
      <c r="Y41" s="1343">
        <v>0</v>
      </c>
      <c r="Z41" s="1343">
        <v>0</v>
      </c>
      <c r="AA41" s="1343">
        <v>0</v>
      </c>
      <c r="AB41" s="1343">
        <v>0</v>
      </c>
      <c r="AC41" s="1343">
        <v>0</v>
      </c>
      <c r="AD41" s="1343">
        <v>0</v>
      </c>
      <c r="AE41" s="1343">
        <v>0</v>
      </c>
      <c r="AF41" s="1344">
        <v>-18.93</v>
      </c>
      <c r="AG41" s="1344">
        <v>-18.93</v>
      </c>
      <c r="AH41" s="1343">
        <v>0</v>
      </c>
      <c r="AI41" s="1340" t="s">
        <v>1485</v>
      </c>
      <c r="AJ41" s="1352"/>
      <c r="AK41" s="1352">
        <f>-I41</f>
        <v>0</v>
      </c>
      <c r="AL41" s="1352">
        <f>-AK41</f>
        <v>0</v>
      </c>
      <c r="AM41" s="1352"/>
      <c r="AN41" s="1352"/>
      <c r="AO41" s="1352"/>
      <c r="AP41" s="1352">
        <f t="shared" ref="AP41:AQ41" si="25">-N41</f>
        <v>-2753</v>
      </c>
      <c r="AQ41" s="1352">
        <f t="shared" si="25"/>
        <v>-1038</v>
      </c>
      <c r="AR41" s="1352"/>
      <c r="AS41" s="1352">
        <f t="shared" ref="AS41:AT41" si="26">-AP41</f>
        <v>2753</v>
      </c>
      <c r="AT41" s="1352">
        <f t="shared" si="26"/>
        <v>1038</v>
      </c>
      <c r="AU41" s="1352"/>
      <c r="AV41" s="1352"/>
      <c r="AW41" s="1352"/>
      <c r="AX41" s="1352"/>
      <c r="AY41" s="1352"/>
      <c r="AZ41" s="1352"/>
      <c r="BA41" s="1352"/>
      <c r="BB41" s="1352"/>
      <c r="BC41" s="1352"/>
      <c r="BD41" s="1352">
        <f>-AB41</f>
        <v>0</v>
      </c>
      <c r="BE41" s="1352">
        <f>-AC41</f>
        <v>0</v>
      </c>
      <c r="BF41" s="1352">
        <f>-BD41</f>
        <v>0</v>
      </c>
      <c r="BG41" s="1352">
        <f>-BE41</f>
        <v>0</v>
      </c>
    </row>
    <row r="42" spans="1:59" s="1345" customFormat="1">
      <c r="A42" s="1340" t="s">
        <v>429</v>
      </c>
      <c r="B42" s="1340" t="s">
        <v>1266</v>
      </c>
      <c r="C42" s="1341">
        <v>158067</v>
      </c>
      <c r="D42" s="1341">
        <v>13930.98</v>
      </c>
      <c r="E42" s="1341">
        <v>0</v>
      </c>
      <c r="F42" s="1341">
        <v>0</v>
      </c>
      <c r="G42" s="1341">
        <v>25.067</v>
      </c>
      <c r="H42" s="1341">
        <v>366.86866653378502</v>
      </c>
      <c r="I42" s="1341">
        <v>141.747976878613</v>
      </c>
      <c r="J42" s="1341">
        <v>225.12068965517199</v>
      </c>
      <c r="K42" s="1341">
        <v>0</v>
      </c>
      <c r="L42" s="1341">
        <v>158067</v>
      </c>
      <c r="M42" s="1341">
        <v>66160</v>
      </c>
      <c r="N42" s="1341">
        <v>10316</v>
      </c>
      <c r="O42" s="1341">
        <v>55844</v>
      </c>
      <c r="P42" s="1341">
        <v>91907</v>
      </c>
      <c r="Q42" s="1341">
        <v>10824</v>
      </c>
      <c r="R42" s="1341">
        <v>81083</v>
      </c>
      <c r="S42" s="1341">
        <v>14399.28</v>
      </c>
      <c r="T42" s="1341">
        <v>14399.310089000001</v>
      </c>
      <c r="U42" s="1342">
        <v>14399.310089000001</v>
      </c>
      <c r="V42" s="1343">
        <v>0</v>
      </c>
      <c r="W42" s="1343">
        <v>0</v>
      </c>
      <c r="X42" s="1343">
        <v>0</v>
      </c>
      <c r="Y42" s="1343">
        <v>0</v>
      </c>
      <c r="Z42" s="1343">
        <v>0</v>
      </c>
      <c r="AA42" s="1343">
        <v>0</v>
      </c>
      <c r="AB42" s="1343">
        <v>0</v>
      </c>
      <c r="AC42" s="1343">
        <v>0</v>
      </c>
      <c r="AD42" s="1343">
        <v>0</v>
      </c>
      <c r="AE42" s="1343">
        <v>0</v>
      </c>
      <c r="AF42" s="1344">
        <v>-468.3</v>
      </c>
      <c r="AG42" s="1344">
        <v>-468.3</v>
      </c>
      <c r="AH42" s="1343">
        <v>0</v>
      </c>
      <c r="AI42" s="1340" t="s">
        <v>1485</v>
      </c>
      <c r="AJ42" s="1352"/>
      <c r="AK42" s="1352">
        <f t="shared" ref="AK42:AK59" si="27">-I42</f>
        <v>-141.747976878613</v>
      </c>
      <c r="AL42" s="1352">
        <f t="shared" ref="AL42:AL59" si="28">-AK42</f>
        <v>141.747976878613</v>
      </c>
      <c r="AM42" s="1352"/>
      <c r="AN42" s="1352"/>
      <c r="AO42" s="1352"/>
      <c r="AP42" s="1352">
        <f t="shared" ref="AP42:AP59" si="29">-N42</f>
        <v>-10316</v>
      </c>
      <c r="AQ42" s="1352">
        <f t="shared" ref="AQ42:AQ59" si="30">-O42</f>
        <v>-55844</v>
      </c>
      <c r="AR42" s="1352"/>
      <c r="AS42" s="1352">
        <f t="shared" ref="AS42:AS59" si="31">-AP42</f>
        <v>10316</v>
      </c>
      <c r="AT42" s="1352">
        <f t="shared" ref="AT42:AT59" si="32">-AQ42</f>
        <v>55844</v>
      </c>
      <c r="AU42" s="1352"/>
      <c r="AV42" s="1352"/>
      <c r="AW42" s="1352"/>
      <c r="AX42" s="1352"/>
      <c r="AY42" s="1352"/>
      <c r="AZ42" s="1352"/>
      <c r="BA42" s="1352"/>
      <c r="BB42" s="1352"/>
      <c r="BC42" s="1352"/>
      <c r="BD42" s="1352">
        <f t="shared" ref="BD42:BD59" si="33">-AB42</f>
        <v>0</v>
      </c>
      <c r="BE42" s="1352">
        <f t="shared" ref="BE42:BE59" si="34">-AC42</f>
        <v>0</v>
      </c>
      <c r="BF42" s="1352">
        <f t="shared" ref="BF42:BF59" si="35">-BD42</f>
        <v>0</v>
      </c>
      <c r="BG42" s="1352">
        <f t="shared" ref="BG42:BG59" si="36">-BE42</f>
        <v>0</v>
      </c>
    </row>
    <row r="43" spans="1:59" s="1345" customFormat="1">
      <c r="A43" s="1340" t="s">
        <v>429</v>
      </c>
      <c r="B43" s="1340" t="s">
        <v>138</v>
      </c>
      <c r="C43" s="1341">
        <v>87713022</v>
      </c>
      <c r="D43" s="1341">
        <v>8871220.6199999992</v>
      </c>
      <c r="E43" s="1341">
        <v>315</v>
      </c>
      <c r="F43" s="1341">
        <v>47.98</v>
      </c>
      <c r="G43" s="1341">
        <v>73463.912999999404</v>
      </c>
      <c r="H43" s="1341">
        <v>43223.322649658199</v>
      </c>
      <c r="I43" s="1341">
        <v>22869.341040462299</v>
      </c>
      <c r="J43" s="1341">
        <v>20353.9816091953</v>
      </c>
      <c r="K43" s="1341">
        <v>995</v>
      </c>
      <c r="L43" s="1341">
        <v>87713337</v>
      </c>
      <c r="M43" s="1341">
        <v>44670428</v>
      </c>
      <c r="N43" s="1341">
        <v>25449299</v>
      </c>
      <c r="O43" s="1341">
        <v>19221129</v>
      </c>
      <c r="P43" s="1341">
        <v>43042909</v>
      </c>
      <c r="Q43" s="1341">
        <v>24937553</v>
      </c>
      <c r="R43" s="1341">
        <v>18105356</v>
      </c>
      <c r="S43" s="1341">
        <v>9149813.4399999995</v>
      </c>
      <c r="T43" s="1341">
        <v>9149814.2573231291</v>
      </c>
      <c r="U43" s="1342">
        <v>9149814.2573231291</v>
      </c>
      <c r="V43" s="1343">
        <v>0</v>
      </c>
      <c r="W43" s="1343">
        <v>0</v>
      </c>
      <c r="X43" s="1343">
        <v>0</v>
      </c>
      <c r="Y43" s="1343">
        <v>0</v>
      </c>
      <c r="Z43" s="1343">
        <v>0</v>
      </c>
      <c r="AA43" s="1343">
        <v>0</v>
      </c>
      <c r="AB43" s="1343">
        <v>0</v>
      </c>
      <c r="AC43" s="1343">
        <v>0</v>
      </c>
      <c r="AD43" s="1343">
        <v>0</v>
      </c>
      <c r="AE43" s="1343">
        <v>0</v>
      </c>
      <c r="AF43" s="1344">
        <v>-278544.84000000003</v>
      </c>
      <c r="AG43" s="1344">
        <v>-278543.87</v>
      </c>
      <c r="AH43" s="1343">
        <v>36.798999999999999</v>
      </c>
      <c r="AI43" s="1340" t="s">
        <v>1485</v>
      </c>
      <c r="AJ43" s="1352"/>
      <c r="AK43" s="1352">
        <f t="shared" si="27"/>
        <v>-22869.341040462299</v>
      </c>
      <c r="AL43" s="1352">
        <f t="shared" si="28"/>
        <v>22869.341040462299</v>
      </c>
      <c r="AM43" s="1352"/>
      <c r="AN43" s="1352"/>
      <c r="AO43" s="1352"/>
      <c r="AP43" s="1352">
        <f t="shared" si="29"/>
        <v>-25449299</v>
      </c>
      <c r="AQ43" s="1352">
        <f t="shared" si="30"/>
        <v>-19221129</v>
      </c>
      <c r="AR43" s="1352"/>
      <c r="AS43" s="1352">
        <f t="shared" si="31"/>
        <v>25449299</v>
      </c>
      <c r="AT43" s="1352">
        <f t="shared" si="32"/>
        <v>19221129</v>
      </c>
      <c r="AU43" s="1352"/>
      <c r="AV43" s="1352"/>
      <c r="AW43" s="1352"/>
      <c r="AX43" s="1352"/>
      <c r="AY43" s="1352"/>
      <c r="AZ43" s="1352"/>
      <c r="BA43" s="1352"/>
      <c r="BB43" s="1352"/>
      <c r="BC43" s="1352"/>
      <c r="BD43" s="1352">
        <f t="shared" si="33"/>
        <v>0</v>
      </c>
      <c r="BE43" s="1352">
        <f t="shared" si="34"/>
        <v>0</v>
      </c>
      <c r="BF43" s="1352">
        <f t="shared" si="35"/>
        <v>0</v>
      </c>
      <c r="BG43" s="1352">
        <f t="shared" si="36"/>
        <v>0</v>
      </c>
    </row>
    <row r="44" spans="1:59" s="1345" customFormat="1">
      <c r="A44" s="1340" t="s">
        <v>429</v>
      </c>
      <c r="B44" s="1340" t="s">
        <v>263</v>
      </c>
      <c r="C44" s="1341">
        <v>4115</v>
      </c>
      <c r="D44" s="1341">
        <v>1274.4100000000001</v>
      </c>
      <c r="E44" s="1341">
        <v>0</v>
      </c>
      <c r="F44" s="1341">
        <v>0</v>
      </c>
      <c r="G44" s="1341">
        <v>129</v>
      </c>
      <c r="H44" s="1341">
        <v>0</v>
      </c>
      <c r="I44" s="1341">
        <v>0</v>
      </c>
      <c r="J44" s="1341">
        <v>0</v>
      </c>
      <c r="K44" s="1341">
        <v>0</v>
      </c>
      <c r="L44" s="1341">
        <v>4115</v>
      </c>
      <c r="M44" s="1341">
        <v>2274</v>
      </c>
      <c r="N44" s="1341">
        <v>2274</v>
      </c>
      <c r="O44" s="1341">
        <v>0</v>
      </c>
      <c r="P44" s="1341">
        <v>1841</v>
      </c>
      <c r="Q44" s="1341">
        <v>1841</v>
      </c>
      <c r="R44" s="1341">
        <v>0</v>
      </c>
      <c r="S44" s="1341">
        <v>1755.58</v>
      </c>
      <c r="T44" s="1341">
        <v>1755.6500639999999</v>
      </c>
      <c r="U44" s="1342">
        <v>1755.6500639999999</v>
      </c>
      <c r="V44" s="1343">
        <v>0</v>
      </c>
      <c r="W44" s="1343">
        <v>0</v>
      </c>
      <c r="X44" s="1343">
        <v>0</v>
      </c>
      <c r="Y44" s="1343">
        <v>0</v>
      </c>
      <c r="Z44" s="1343">
        <v>0</v>
      </c>
      <c r="AA44" s="1343">
        <v>0</v>
      </c>
      <c r="AB44" s="1343">
        <v>0</v>
      </c>
      <c r="AC44" s="1343">
        <v>0</v>
      </c>
      <c r="AD44" s="1343">
        <v>0</v>
      </c>
      <c r="AE44" s="1343">
        <v>0</v>
      </c>
      <c r="AF44" s="1344">
        <v>-481.17</v>
      </c>
      <c r="AG44" s="1344">
        <v>-481.17</v>
      </c>
      <c r="AH44" s="1343">
        <v>0</v>
      </c>
      <c r="AI44" s="1340" t="s">
        <v>1485</v>
      </c>
      <c r="AJ44" s="1352"/>
      <c r="AK44" s="1352">
        <f t="shared" si="27"/>
        <v>0</v>
      </c>
      <c r="AL44" s="1352">
        <f t="shared" si="28"/>
        <v>0</v>
      </c>
      <c r="AM44" s="1352"/>
      <c r="AN44" s="1352"/>
      <c r="AO44" s="1352"/>
      <c r="AP44" s="1352">
        <f t="shared" si="29"/>
        <v>-2274</v>
      </c>
      <c r="AQ44" s="1352">
        <f t="shared" si="30"/>
        <v>0</v>
      </c>
      <c r="AR44" s="1352"/>
      <c r="AS44" s="1352">
        <f t="shared" si="31"/>
        <v>2274</v>
      </c>
      <c r="AT44" s="1352">
        <f t="shared" si="32"/>
        <v>0</v>
      </c>
      <c r="AU44" s="1352"/>
      <c r="AV44" s="1352"/>
      <c r="AW44" s="1352"/>
      <c r="AX44" s="1352"/>
      <c r="AY44" s="1352"/>
      <c r="AZ44" s="1352"/>
      <c r="BA44" s="1352"/>
      <c r="BB44" s="1352"/>
      <c r="BC44" s="1352"/>
      <c r="BD44" s="1352">
        <f t="shared" si="33"/>
        <v>0</v>
      </c>
      <c r="BE44" s="1352">
        <f t="shared" si="34"/>
        <v>0</v>
      </c>
      <c r="BF44" s="1352">
        <f t="shared" si="35"/>
        <v>0</v>
      </c>
      <c r="BG44" s="1352">
        <f t="shared" si="36"/>
        <v>0</v>
      </c>
    </row>
    <row r="45" spans="1:59" s="1345" customFormat="1">
      <c r="A45" s="1340" t="s">
        <v>429</v>
      </c>
      <c r="B45" s="1346" t="s">
        <v>434</v>
      </c>
      <c r="C45" s="1347">
        <v>13677</v>
      </c>
      <c r="D45" s="1347">
        <v>991.99</v>
      </c>
      <c r="E45" s="1347">
        <v>0</v>
      </c>
      <c r="F45" s="1347">
        <v>0</v>
      </c>
      <c r="G45" s="1347">
        <v>1</v>
      </c>
      <c r="H45" s="1347">
        <v>5.9998006776958297</v>
      </c>
      <c r="I45" s="1347">
        <v>4.9653179190751402</v>
      </c>
      <c r="J45" s="1347">
        <v>1.0344827586206899</v>
      </c>
      <c r="K45" s="1347">
        <v>0</v>
      </c>
      <c r="L45" s="1347">
        <v>13677</v>
      </c>
      <c r="M45" s="1347">
        <v>11319</v>
      </c>
      <c r="N45" s="1347">
        <v>1241</v>
      </c>
      <c r="O45" s="1347">
        <v>10078</v>
      </c>
      <c r="P45" s="1347">
        <v>2358</v>
      </c>
      <c r="Q45" s="1347">
        <v>259</v>
      </c>
      <c r="R45" s="1347">
        <v>2099</v>
      </c>
      <c r="S45" s="1347">
        <v>1025.6199999999999</v>
      </c>
      <c r="T45" s="1347">
        <v>1025.6271830000001</v>
      </c>
      <c r="U45" s="1348">
        <v>1025.6271830000001</v>
      </c>
      <c r="V45" s="1349">
        <v>0</v>
      </c>
      <c r="W45" s="1349">
        <v>0</v>
      </c>
      <c r="X45" s="1349">
        <v>0</v>
      </c>
      <c r="Y45" s="1349">
        <v>0</v>
      </c>
      <c r="Z45" s="1349">
        <v>0</v>
      </c>
      <c r="AA45" s="1349">
        <v>0</v>
      </c>
      <c r="AB45" s="1349">
        <v>0</v>
      </c>
      <c r="AC45" s="1349">
        <v>0</v>
      </c>
      <c r="AD45" s="1349">
        <v>0</v>
      </c>
      <c r="AE45" s="1349">
        <v>0</v>
      </c>
      <c r="AF45" s="1350">
        <v>-33.630000000000003</v>
      </c>
      <c r="AG45" s="1350">
        <v>-33.630000000000003</v>
      </c>
      <c r="AH45" s="1349">
        <v>0</v>
      </c>
      <c r="AI45" s="1340" t="s">
        <v>1485</v>
      </c>
      <c r="AJ45" s="1352"/>
      <c r="AK45" s="1352">
        <f t="shared" si="27"/>
        <v>-4.9653179190751402</v>
      </c>
      <c r="AL45" s="1352">
        <f t="shared" si="28"/>
        <v>4.9653179190751402</v>
      </c>
      <c r="AM45" s="1352"/>
      <c r="AN45" s="1352"/>
      <c r="AO45" s="1352"/>
      <c r="AP45" s="1352">
        <f t="shared" si="29"/>
        <v>-1241</v>
      </c>
      <c r="AQ45" s="1352">
        <f t="shared" si="30"/>
        <v>-10078</v>
      </c>
      <c r="AR45" s="1352"/>
      <c r="AS45" s="1352">
        <f t="shared" si="31"/>
        <v>1241</v>
      </c>
      <c r="AT45" s="1352">
        <f t="shared" si="32"/>
        <v>10078</v>
      </c>
      <c r="AU45" s="1352"/>
      <c r="AV45" s="1352"/>
      <c r="AW45" s="1352"/>
      <c r="AX45" s="1352"/>
      <c r="AY45" s="1352"/>
      <c r="AZ45" s="1352"/>
      <c r="BA45" s="1352"/>
      <c r="BB45" s="1352"/>
      <c r="BC45" s="1352"/>
      <c r="BD45" s="1352">
        <f t="shared" si="33"/>
        <v>0</v>
      </c>
      <c r="BE45" s="1352">
        <f t="shared" si="34"/>
        <v>0</v>
      </c>
      <c r="BF45" s="1352">
        <f t="shared" si="35"/>
        <v>0</v>
      </c>
      <c r="BG45" s="1352">
        <f t="shared" si="36"/>
        <v>0</v>
      </c>
    </row>
    <row r="46" spans="1:59" s="1345" customFormat="1">
      <c r="A46" s="1340" t="s">
        <v>429</v>
      </c>
      <c r="B46" s="1340" t="s">
        <v>621</v>
      </c>
      <c r="C46" s="1341">
        <v>414377</v>
      </c>
      <c r="D46" s="1341">
        <v>51144</v>
      </c>
      <c r="E46" s="1341">
        <v>0</v>
      </c>
      <c r="F46" s="1341">
        <v>0</v>
      </c>
      <c r="G46" s="1341">
        <v>819.13300000000004</v>
      </c>
      <c r="H46" s="1341">
        <v>683.89480433193796</v>
      </c>
      <c r="I46" s="1341">
        <v>381.89595375722502</v>
      </c>
      <c r="J46" s="1341">
        <v>301.998850574713</v>
      </c>
      <c r="K46" s="1341">
        <v>0</v>
      </c>
      <c r="L46" s="1341">
        <v>414377</v>
      </c>
      <c r="M46" s="1341">
        <v>225437</v>
      </c>
      <c r="N46" s="1341">
        <v>127931</v>
      </c>
      <c r="O46" s="1341">
        <v>97506</v>
      </c>
      <c r="P46" s="1341">
        <v>188940</v>
      </c>
      <c r="Q46" s="1341">
        <v>116759</v>
      </c>
      <c r="R46" s="1341">
        <v>72181</v>
      </c>
      <c r="S46" s="1341">
        <v>52611.65</v>
      </c>
      <c r="T46" s="1341">
        <v>52611.697640999999</v>
      </c>
      <c r="U46" s="1342">
        <v>52611.697640999999</v>
      </c>
      <c r="V46" s="1343">
        <v>0</v>
      </c>
      <c r="W46" s="1343">
        <v>0</v>
      </c>
      <c r="X46" s="1343">
        <v>0</v>
      </c>
      <c r="Y46" s="1343">
        <v>0</v>
      </c>
      <c r="Z46" s="1343">
        <v>0</v>
      </c>
      <c r="AA46" s="1343">
        <v>0</v>
      </c>
      <c r="AB46" s="1343">
        <v>0</v>
      </c>
      <c r="AC46" s="1343">
        <v>0</v>
      </c>
      <c r="AD46" s="1343">
        <v>0</v>
      </c>
      <c r="AE46" s="1343">
        <v>0</v>
      </c>
      <c r="AF46" s="1344">
        <v>-1467.65</v>
      </c>
      <c r="AG46" s="1344">
        <v>-1467.65</v>
      </c>
      <c r="AH46" s="1343">
        <v>8.2669999999999995</v>
      </c>
      <c r="AI46" s="1340" t="s">
        <v>1485</v>
      </c>
      <c r="AJ46" s="1352"/>
      <c r="AK46" s="1352">
        <f t="shared" si="27"/>
        <v>-381.89595375722502</v>
      </c>
      <c r="AL46" s="1352">
        <f t="shared" si="28"/>
        <v>381.89595375722502</v>
      </c>
      <c r="AM46" s="1352"/>
      <c r="AN46" s="1352"/>
      <c r="AO46" s="1352"/>
      <c r="AP46" s="1352">
        <f t="shared" si="29"/>
        <v>-127931</v>
      </c>
      <c r="AQ46" s="1352">
        <f t="shared" si="30"/>
        <v>-97506</v>
      </c>
      <c r="AR46" s="1352"/>
      <c r="AS46" s="1352">
        <f t="shared" si="31"/>
        <v>127931</v>
      </c>
      <c r="AT46" s="1352">
        <f t="shared" si="32"/>
        <v>97506</v>
      </c>
      <c r="AU46" s="1352"/>
      <c r="AV46" s="1352"/>
      <c r="AW46" s="1352"/>
      <c r="AX46" s="1352"/>
      <c r="AY46" s="1352"/>
      <c r="AZ46" s="1352"/>
      <c r="BA46" s="1352"/>
      <c r="BB46" s="1352"/>
      <c r="BC46" s="1352"/>
      <c r="BD46" s="1352">
        <f t="shared" si="33"/>
        <v>0</v>
      </c>
      <c r="BE46" s="1352">
        <f t="shared" si="34"/>
        <v>0</v>
      </c>
      <c r="BF46" s="1352">
        <f t="shared" si="35"/>
        <v>0</v>
      </c>
      <c r="BG46" s="1352">
        <f t="shared" si="36"/>
        <v>0</v>
      </c>
    </row>
    <row r="47" spans="1:59" s="1345" customFormat="1">
      <c r="A47" s="1340" t="s">
        <v>429</v>
      </c>
      <c r="B47" s="1340" t="s">
        <v>895</v>
      </c>
      <c r="C47" s="1341">
        <v>0</v>
      </c>
      <c r="D47" s="1341">
        <v>20</v>
      </c>
      <c r="E47" s="1341">
        <v>0</v>
      </c>
      <c r="F47" s="1341">
        <v>0</v>
      </c>
      <c r="G47" s="1341">
        <v>2</v>
      </c>
      <c r="H47" s="1341">
        <v>0</v>
      </c>
      <c r="I47" s="1341">
        <v>0</v>
      </c>
      <c r="J47" s="1341">
        <v>0</v>
      </c>
      <c r="K47" s="1341">
        <v>0</v>
      </c>
      <c r="L47" s="1341">
        <v>0</v>
      </c>
      <c r="M47" s="1341">
        <v>0</v>
      </c>
      <c r="N47" s="1341">
        <v>0</v>
      </c>
      <c r="O47" s="1341">
        <v>0</v>
      </c>
      <c r="P47" s="1341">
        <v>0</v>
      </c>
      <c r="Q47" s="1341">
        <v>0</v>
      </c>
      <c r="R47" s="1341">
        <v>0</v>
      </c>
      <c r="S47" s="1341">
        <v>20</v>
      </c>
      <c r="T47" s="1341">
        <v>20</v>
      </c>
      <c r="U47" s="1342">
        <v>20</v>
      </c>
      <c r="V47" s="1343">
        <v>0</v>
      </c>
      <c r="W47" s="1343">
        <v>0</v>
      </c>
      <c r="X47" s="1343">
        <v>0</v>
      </c>
      <c r="Y47" s="1343">
        <v>0</v>
      </c>
      <c r="Z47" s="1343">
        <v>0</v>
      </c>
      <c r="AA47" s="1343">
        <v>0</v>
      </c>
      <c r="AB47" s="1343">
        <v>0</v>
      </c>
      <c r="AC47" s="1343">
        <v>0</v>
      </c>
      <c r="AD47" s="1343">
        <v>0</v>
      </c>
      <c r="AE47" s="1343">
        <v>0</v>
      </c>
      <c r="AF47" s="1344">
        <v>0</v>
      </c>
      <c r="AG47" s="1344">
        <v>0</v>
      </c>
      <c r="AH47" s="1343">
        <v>0</v>
      </c>
      <c r="AI47" s="1340" t="s">
        <v>1485</v>
      </c>
      <c r="AJ47" s="1352"/>
      <c r="AK47" s="1352">
        <f t="shared" si="27"/>
        <v>0</v>
      </c>
      <c r="AL47" s="1352">
        <f t="shared" si="28"/>
        <v>0</v>
      </c>
      <c r="AM47" s="1352"/>
      <c r="AN47" s="1352"/>
      <c r="AO47" s="1352"/>
      <c r="AP47" s="1352">
        <f t="shared" si="29"/>
        <v>0</v>
      </c>
      <c r="AQ47" s="1352">
        <f t="shared" si="30"/>
        <v>0</v>
      </c>
      <c r="AR47" s="1352"/>
      <c r="AS47" s="1352">
        <f t="shared" si="31"/>
        <v>0</v>
      </c>
      <c r="AT47" s="1352">
        <f t="shared" si="32"/>
        <v>0</v>
      </c>
      <c r="AU47" s="1352"/>
      <c r="AV47" s="1352"/>
      <c r="AW47" s="1352"/>
      <c r="AX47" s="1352"/>
      <c r="AY47" s="1352"/>
      <c r="AZ47" s="1352"/>
      <c r="BA47" s="1352"/>
      <c r="BB47" s="1352"/>
      <c r="BC47" s="1352"/>
      <c r="BD47" s="1352">
        <f t="shared" si="33"/>
        <v>0</v>
      </c>
      <c r="BE47" s="1352">
        <f t="shared" si="34"/>
        <v>0</v>
      </c>
      <c r="BF47" s="1352">
        <f t="shared" si="35"/>
        <v>0</v>
      </c>
      <c r="BG47" s="1352">
        <f t="shared" si="36"/>
        <v>0</v>
      </c>
    </row>
    <row r="48" spans="1:59" s="1345" customFormat="1">
      <c r="A48" s="1340" t="s">
        <v>429</v>
      </c>
      <c r="B48" s="1340" t="s">
        <v>1163</v>
      </c>
      <c r="C48" s="1341">
        <v>363768</v>
      </c>
      <c r="D48" s="1341">
        <v>24102.7</v>
      </c>
      <c r="E48" s="1341">
        <v>-165848</v>
      </c>
      <c r="F48" s="1341">
        <v>0</v>
      </c>
      <c r="G48" s="1341">
        <v>272</v>
      </c>
      <c r="H48" s="1341">
        <v>14.000465085376399</v>
      </c>
      <c r="I48" s="1341">
        <v>7.0809248554913298</v>
      </c>
      <c r="J48" s="1341">
        <v>6.9195402298850599</v>
      </c>
      <c r="K48" s="1341">
        <v>0</v>
      </c>
      <c r="L48" s="1341">
        <v>197920</v>
      </c>
      <c r="M48" s="1341">
        <v>0</v>
      </c>
      <c r="N48" s="1341">
        <v>0</v>
      </c>
      <c r="O48" s="1341">
        <v>0</v>
      </c>
      <c r="P48" s="1341">
        <v>0</v>
      </c>
      <c r="Q48" s="1341">
        <v>0</v>
      </c>
      <c r="R48" s="1341">
        <v>0</v>
      </c>
      <c r="S48" s="1341">
        <v>24834.76</v>
      </c>
      <c r="T48" s="1341">
        <v>24835.253466999999</v>
      </c>
      <c r="U48" s="1342">
        <v>24835.253466999999</v>
      </c>
      <c r="V48" s="1343">
        <v>156800</v>
      </c>
      <c r="W48" s="1343">
        <v>0</v>
      </c>
      <c r="X48" s="1343">
        <v>216823</v>
      </c>
      <c r="Y48" s="1343">
        <v>60023</v>
      </c>
      <c r="Z48" s="1343">
        <v>27951</v>
      </c>
      <c r="AA48" s="1343">
        <v>32072</v>
      </c>
      <c r="AB48" s="1343">
        <v>22909</v>
      </c>
      <c r="AC48" s="1343">
        <v>5042</v>
      </c>
      <c r="AD48" s="1343">
        <v>24501</v>
      </c>
      <c r="AE48" s="1343">
        <v>7571</v>
      </c>
      <c r="AF48" s="1344">
        <v>-732.06</v>
      </c>
      <c r="AG48" s="1344">
        <v>-732.06</v>
      </c>
      <c r="AH48" s="1343">
        <v>0</v>
      </c>
      <c r="AI48" s="1340" t="s">
        <v>1485</v>
      </c>
      <c r="AJ48" s="1352"/>
      <c r="AK48" s="1352">
        <f t="shared" si="27"/>
        <v>-7.0809248554913298</v>
      </c>
      <c r="AL48" s="1352">
        <f t="shared" si="28"/>
        <v>7.0809248554913298</v>
      </c>
      <c r="AM48" s="1352"/>
      <c r="AN48" s="1352"/>
      <c r="AO48" s="1352"/>
      <c r="AP48" s="1352">
        <f t="shared" si="29"/>
        <v>0</v>
      </c>
      <c r="AQ48" s="1352">
        <f t="shared" si="30"/>
        <v>0</v>
      </c>
      <c r="AR48" s="1352"/>
      <c r="AS48" s="1352">
        <f t="shared" si="31"/>
        <v>0</v>
      </c>
      <c r="AT48" s="1352">
        <f t="shared" si="32"/>
        <v>0</v>
      </c>
      <c r="AU48" s="1352"/>
      <c r="AV48" s="1352"/>
      <c r="AW48" s="1352"/>
      <c r="AX48" s="1352"/>
      <c r="AY48" s="1352"/>
      <c r="AZ48" s="1352"/>
      <c r="BA48" s="1352"/>
      <c r="BB48" s="1352"/>
      <c r="BC48" s="1352"/>
      <c r="BD48" s="1352">
        <f t="shared" si="33"/>
        <v>-22909</v>
      </c>
      <c r="BE48" s="1352">
        <f t="shared" si="34"/>
        <v>-5042</v>
      </c>
      <c r="BF48" s="1352">
        <f t="shared" si="35"/>
        <v>22909</v>
      </c>
      <c r="BG48" s="1352">
        <f t="shared" si="36"/>
        <v>5042</v>
      </c>
    </row>
    <row r="49" spans="1:60" s="1345" customFormat="1">
      <c r="A49" s="1340" t="s">
        <v>438</v>
      </c>
      <c r="B49" s="1340" t="s">
        <v>138</v>
      </c>
      <c r="C49" s="1341">
        <v>3887367</v>
      </c>
      <c r="D49" s="1341">
        <v>390752.72</v>
      </c>
      <c r="E49" s="1341">
        <v>0</v>
      </c>
      <c r="F49" s="1341">
        <v>0</v>
      </c>
      <c r="G49" s="1341">
        <v>3153.3020000000001</v>
      </c>
      <c r="H49" s="1341">
        <v>2756.14965118597</v>
      </c>
      <c r="I49" s="1341">
        <v>1382.0393063583799</v>
      </c>
      <c r="J49" s="1341">
        <v>1374.1103448275901</v>
      </c>
      <c r="K49" s="1341">
        <v>168</v>
      </c>
      <c r="L49" s="1341">
        <v>3887367</v>
      </c>
      <c r="M49" s="1341">
        <v>2039535</v>
      </c>
      <c r="N49" s="1341">
        <v>1041777</v>
      </c>
      <c r="O49" s="1341">
        <v>997758</v>
      </c>
      <c r="P49" s="1341">
        <v>1847832</v>
      </c>
      <c r="Q49" s="1341">
        <v>1007968</v>
      </c>
      <c r="R49" s="1341">
        <v>839864</v>
      </c>
      <c r="S49" s="1341">
        <v>403049.83</v>
      </c>
      <c r="T49" s="1341">
        <v>403050.157474001</v>
      </c>
      <c r="U49" s="1342">
        <v>403050.157474001</v>
      </c>
      <c r="V49" s="1343">
        <v>0</v>
      </c>
      <c r="W49" s="1343">
        <v>0</v>
      </c>
      <c r="X49" s="1343">
        <v>0</v>
      </c>
      <c r="Y49" s="1343">
        <v>0</v>
      </c>
      <c r="Z49" s="1343">
        <v>0</v>
      </c>
      <c r="AA49" s="1343">
        <v>0</v>
      </c>
      <c r="AB49" s="1343">
        <v>0</v>
      </c>
      <c r="AC49" s="1343">
        <v>0</v>
      </c>
      <c r="AD49" s="1343">
        <v>0</v>
      </c>
      <c r="AE49" s="1343">
        <v>0</v>
      </c>
      <c r="AF49" s="1344">
        <v>-12297.11</v>
      </c>
      <c r="AG49" s="1344">
        <v>-12297.11</v>
      </c>
      <c r="AH49" s="1343">
        <v>8.6329999999999991</v>
      </c>
      <c r="AI49" s="1340" t="s">
        <v>1485</v>
      </c>
      <c r="AJ49" s="1352"/>
      <c r="AK49" s="1352">
        <f t="shared" si="27"/>
        <v>-1382.0393063583799</v>
      </c>
      <c r="AL49" s="1352">
        <f t="shared" si="28"/>
        <v>1382.0393063583799</v>
      </c>
      <c r="AM49" s="1352"/>
      <c r="AN49" s="1352"/>
      <c r="AO49" s="1352"/>
      <c r="AP49" s="1352">
        <f t="shared" si="29"/>
        <v>-1041777</v>
      </c>
      <c r="AQ49" s="1352">
        <f t="shared" si="30"/>
        <v>-997758</v>
      </c>
      <c r="AR49" s="1352"/>
      <c r="AS49" s="1352">
        <f t="shared" si="31"/>
        <v>1041777</v>
      </c>
      <c r="AT49" s="1352">
        <f t="shared" si="32"/>
        <v>997758</v>
      </c>
      <c r="AU49" s="1352"/>
      <c r="AV49" s="1352"/>
      <c r="AW49" s="1352"/>
      <c r="AX49" s="1352"/>
      <c r="AY49" s="1352"/>
      <c r="AZ49" s="1352"/>
      <c r="BA49" s="1352"/>
      <c r="BB49" s="1352"/>
      <c r="BC49" s="1352"/>
      <c r="BD49" s="1352">
        <f t="shared" si="33"/>
        <v>0</v>
      </c>
      <c r="BE49" s="1352">
        <f t="shared" si="34"/>
        <v>0</v>
      </c>
      <c r="BF49" s="1352">
        <f t="shared" si="35"/>
        <v>0</v>
      </c>
      <c r="BG49" s="1352">
        <f t="shared" si="36"/>
        <v>0</v>
      </c>
    </row>
    <row r="50" spans="1:60" s="1345" customFormat="1">
      <c r="A50" s="1340" t="s">
        <v>438</v>
      </c>
      <c r="B50" s="1346" t="s">
        <v>263</v>
      </c>
      <c r="C50" s="1347">
        <v>0</v>
      </c>
      <c r="D50" s="1347">
        <v>178.81</v>
      </c>
      <c r="E50" s="1347">
        <v>0</v>
      </c>
      <c r="F50" s="1347">
        <v>0</v>
      </c>
      <c r="G50" s="1347">
        <v>18</v>
      </c>
      <c r="H50" s="1347">
        <v>0</v>
      </c>
      <c r="I50" s="1347">
        <v>0</v>
      </c>
      <c r="J50" s="1347">
        <v>0</v>
      </c>
      <c r="K50" s="1347">
        <v>0</v>
      </c>
      <c r="L50" s="1347">
        <v>0</v>
      </c>
      <c r="M50" s="1347">
        <v>0</v>
      </c>
      <c r="N50" s="1347">
        <v>0</v>
      </c>
      <c r="O50" s="1347">
        <v>0</v>
      </c>
      <c r="P50" s="1347">
        <v>0</v>
      </c>
      <c r="Q50" s="1347">
        <v>0</v>
      </c>
      <c r="R50" s="1347">
        <v>0</v>
      </c>
      <c r="S50" s="1347">
        <v>180</v>
      </c>
      <c r="T50" s="1347">
        <v>180</v>
      </c>
      <c r="U50" s="1348">
        <v>180</v>
      </c>
      <c r="V50" s="1349">
        <v>0</v>
      </c>
      <c r="W50" s="1349">
        <v>0</v>
      </c>
      <c r="X50" s="1349">
        <v>0</v>
      </c>
      <c r="Y50" s="1349">
        <v>0</v>
      </c>
      <c r="Z50" s="1349">
        <v>0</v>
      </c>
      <c r="AA50" s="1349">
        <v>0</v>
      </c>
      <c r="AB50" s="1349">
        <v>0</v>
      </c>
      <c r="AC50" s="1349">
        <v>0</v>
      </c>
      <c r="AD50" s="1349">
        <v>0</v>
      </c>
      <c r="AE50" s="1349">
        <v>0</v>
      </c>
      <c r="AF50" s="1350">
        <v>-1.19</v>
      </c>
      <c r="AG50" s="1350">
        <v>-1.19</v>
      </c>
      <c r="AH50" s="1349">
        <v>0</v>
      </c>
      <c r="AI50" s="1340" t="s">
        <v>1485</v>
      </c>
      <c r="AJ50" s="1352"/>
      <c r="AK50" s="1352">
        <f t="shared" si="27"/>
        <v>0</v>
      </c>
      <c r="AL50" s="1352">
        <f t="shared" si="28"/>
        <v>0</v>
      </c>
      <c r="AM50" s="1352"/>
      <c r="AN50" s="1352"/>
      <c r="AO50" s="1352"/>
      <c r="AP50" s="1352">
        <f t="shared" si="29"/>
        <v>0</v>
      </c>
      <c r="AQ50" s="1352">
        <f t="shared" si="30"/>
        <v>0</v>
      </c>
      <c r="AR50" s="1352"/>
      <c r="AS50" s="1352">
        <f t="shared" si="31"/>
        <v>0</v>
      </c>
      <c r="AT50" s="1352">
        <f t="shared" si="32"/>
        <v>0</v>
      </c>
      <c r="AU50" s="1352"/>
      <c r="AV50" s="1352"/>
      <c r="AW50" s="1352"/>
      <c r="AX50" s="1352"/>
      <c r="AY50" s="1352"/>
      <c r="AZ50" s="1352"/>
      <c r="BA50" s="1352"/>
      <c r="BB50" s="1352"/>
      <c r="BC50" s="1352"/>
      <c r="BD50" s="1352">
        <f t="shared" si="33"/>
        <v>0</v>
      </c>
      <c r="BE50" s="1352">
        <f t="shared" si="34"/>
        <v>0</v>
      </c>
      <c r="BF50" s="1352">
        <f t="shared" si="35"/>
        <v>0</v>
      </c>
      <c r="BG50" s="1352">
        <f t="shared" si="36"/>
        <v>0</v>
      </c>
    </row>
    <row r="51" spans="1:60" s="1345" customFormat="1">
      <c r="A51" s="1340" t="s">
        <v>438</v>
      </c>
      <c r="B51" s="1340" t="s">
        <v>621</v>
      </c>
      <c r="C51" s="1341">
        <v>6472</v>
      </c>
      <c r="D51" s="1341">
        <v>994.13</v>
      </c>
      <c r="E51" s="1341">
        <v>0</v>
      </c>
      <c r="F51" s="1341">
        <v>0</v>
      </c>
      <c r="G51" s="1341">
        <v>16.966999999999999</v>
      </c>
      <c r="H51" s="1341">
        <v>23.700159457843299</v>
      </c>
      <c r="I51" s="1341">
        <v>12.827745664739901</v>
      </c>
      <c r="J51" s="1341">
        <v>10.8724137931034</v>
      </c>
      <c r="K51" s="1341">
        <v>0</v>
      </c>
      <c r="L51" s="1341">
        <v>6472</v>
      </c>
      <c r="M51" s="1341">
        <v>4963</v>
      </c>
      <c r="N51" s="1341">
        <v>3512</v>
      </c>
      <c r="O51" s="1341">
        <v>1451</v>
      </c>
      <c r="P51" s="1341">
        <v>1509</v>
      </c>
      <c r="Q51" s="1341">
        <v>1016</v>
      </c>
      <c r="R51" s="1341">
        <v>493</v>
      </c>
      <c r="S51" s="1341">
        <v>1022.35</v>
      </c>
      <c r="T51" s="1341">
        <v>1022.342696</v>
      </c>
      <c r="U51" s="1342">
        <v>1022.342696</v>
      </c>
      <c r="V51" s="1343">
        <v>0</v>
      </c>
      <c r="W51" s="1343">
        <v>0</v>
      </c>
      <c r="X51" s="1343">
        <v>0</v>
      </c>
      <c r="Y51" s="1343">
        <v>0</v>
      </c>
      <c r="Z51" s="1343">
        <v>0</v>
      </c>
      <c r="AA51" s="1343">
        <v>0</v>
      </c>
      <c r="AB51" s="1343">
        <v>0</v>
      </c>
      <c r="AC51" s="1343">
        <v>0</v>
      </c>
      <c r="AD51" s="1343">
        <v>0</v>
      </c>
      <c r="AE51" s="1343">
        <v>0</v>
      </c>
      <c r="AF51" s="1344">
        <v>-28.22</v>
      </c>
      <c r="AG51" s="1344">
        <v>-28.22</v>
      </c>
      <c r="AH51" s="1343">
        <v>0</v>
      </c>
      <c r="AI51" s="1340" t="s">
        <v>1485</v>
      </c>
      <c r="AJ51" s="1352"/>
      <c r="AK51" s="1352">
        <f t="shared" si="27"/>
        <v>-12.827745664739901</v>
      </c>
      <c r="AL51" s="1352">
        <f t="shared" si="28"/>
        <v>12.827745664739901</v>
      </c>
      <c r="AM51" s="1352"/>
      <c r="AN51" s="1352"/>
      <c r="AO51" s="1352"/>
      <c r="AP51" s="1352">
        <f t="shared" si="29"/>
        <v>-3512</v>
      </c>
      <c r="AQ51" s="1352">
        <f t="shared" si="30"/>
        <v>-1451</v>
      </c>
      <c r="AR51" s="1352"/>
      <c r="AS51" s="1352">
        <f t="shared" si="31"/>
        <v>3512</v>
      </c>
      <c r="AT51" s="1352">
        <f t="shared" si="32"/>
        <v>1451</v>
      </c>
      <c r="AU51" s="1352"/>
      <c r="AV51" s="1352"/>
      <c r="AW51" s="1352"/>
      <c r="AX51" s="1352"/>
      <c r="AY51" s="1352"/>
      <c r="AZ51" s="1352"/>
      <c r="BA51" s="1352"/>
      <c r="BB51" s="1352"/>
      <c r="BC51" s="1352"/>
      <c r="BD51" s="1352">
        <f t="shared" si="33"/>
        <v>0</v>
      </c>
      <c r="BE51" s="1352">
        <f t="shared" si="34"/>
        <v>0</v>
      </c>
      <c r="BF51" s="1352">
        <f t="shared" si="35"/>
        <v>0</v>
      </c>
      <c r="BG51" s="1352">
        <f t="shared" si="36"/>
        <v>0</v>
      </c>
    </row>
    <row r="52" spans="1:60" s="1345" customFormat="1">
      <c r="A52" s="1340" t="s">
        <v>438</v>
      </c>
      <c r="B52" s="1340" t="s">
        <v>1163</v>
      </c>
      <c r="C52" s="1341">
        <v>10430</v>
      </c>
      <c r="D52" s="1341">
        <v>1293.29</v>
      </c>
      <c r="E52" s="1341">
        <v>0</v>
      </c>
      <c r="F52" s="1341">
        <v>0</v>
      </c>
      <c r="G52" s="1341">
        <v>18</v>
      </c>
      <c r="H52" s="1341">
        <v>0</v>
      </c>
      <c r="I52" s="1341">
        <v>0</v>
      </c>
      <c r="J52" s="1341">
        <v>0</v>
      </c>
      <c r="K52" s="1341">
        <v>0</v>
      </c>
      <c r="L52" s="1341">
        <v>10430</v>
      </c>
      <c r="M52" s="1341">
        <v>0</v>
      </c>
      <c r="N52" s="1341">
        <v>0</v>
      </c>
      <c r="O52" s="1341">
        <v>0</v>
      </c>
      <c r="P52" s="1341">
        <v>0</v>
      </c>
      <c r="Q52" s="1341">
        <v>0</v>
      </c>
      <c r="R52" s="1341">
        <v>0</v>
      </c>
      <c r="S52" s="1341">
        <v>1331.39</v>
      </c>
      <c r="T52" s="1341">
        <v>1331.432448</v>
      </c>
      <c r="U52" s="1342">
        <v>1331.432448</v>
      </c>
      <c r="V52" s="1343">
        <v>8400</v>
      </c>
      <c r="W52" s="1343">
        <v>0</v>
      </c>
      <c r="X52" s="1343">
        <v>11106</v>
      </c>
      <c r="Y52" s="1343">
        <v>2706</v>
      </c>
      <c r="Z52" s="1343">
        <v>968</v>
      </c>
      <c r="AA52" s="1343">
        <v>1738</v>
      </c>
      <c r="AB52" s="1343">
        <v>968</v>
      </c>
      <c r="AC52" s="1343">
        <v>0</v>
      </c>
      <c r="AD52" s="1343">
        <v>1738</v>
      </c>
      <c r="AE52" s="1343">
        <v>0</v>
      </c>
      <c r="AF52" s="1344">
        <v>-38.1</v>
      </c>
      <c r="AG52" s="1344">
        <v>-38.1</v>
      </c>
      <c r="AH52" s="1343">
        <v>0</v>
      </c>
      <c r="AI52" s="1340" t="s">
        <v>1485</v>
      </c>
      <c r="AJ52" s="1352"/>
      <c r="AK52" s="1352">
        <f t="shared" si="27"/>
        <v>0</v>
      </c>
      <c r="AL52" s="1352">
        <f t="shared" si="28"/>
        <v>0</v>
      </c>
      <c r="AM52" s="1352"/>
      <c r="AN52" s="1352"/>
      <c r="AO52" s="1352"/>
      <c r="AP52" s="1352">
        <f t="shared" si="29"/>
        <v>0</v>
      </c>
      <c r="AQ52" s="1352">
        <f t="shared" si="30"/>
        <v>0</v>
      </c>
      <c r="AR52" s="1352"/>
      <c r="AS52" s="1352">
        <f t="shared" si="31"/>
        <v>0</v>
      </c>
      <c r="AT52" s="1352">
        <f t="shared" si="32"/>
        <v>0</v>
      </c>
      <c r="AU52" s="1352"/>
      <c r="AV52" s="1352"/>
      <c r="AW52" s="1352"/>
      <c r="AX52" s="1352"/>
      <c r="AY52" s="1352"/>
      <c r="AZ52" s="1352"/>
      <c r="BA52" s="1352"/>
      <c r="BB52" s="1352"/>
      <c r="BC52" s="1352"/>
      <c r="BD52" s="1352">
        <f t="shared" si="33"/>
        <v>-968</v>
      </c>
      <c r="BE52" s="1352">
        <f t="shared" si="34"/>
        <v>0</v>
      </c>
      <c r="BF52" s="1352">
        <f t="shared" si="35"/>
        <v>968</v>
      </c>
      <c r="BG52" s="1352">
        <f t="shared" si="36"/>
        <v>0</v>
      </c>
    </row>
    <row r="53" spans="1:60" s="1345" customFormat="1">
      <c r="A53" s="1340" t="s">
        <v>438</v>
      </c>
      <c r="B53" s="1340"/>
      <c r="C53" s="1341"/>
      <c r="D53" s="1341"/>
      <c r="E53" s="1341"/>
      <c r="F53" s="1341"/>
      <c r="G53" s="1341"/>
      <c r="H53" s="1341"/>
      <c r="I53" s="1341"/>
      <c r="J53" s="1341"/>
      <c r="K53" s="1341"/>
      <c r="L53" s="1341"/>
      <c r="M53" s="1341"/>
      <c r="N53" s="1341"/>
      <c r="O53" s="1341"/>
      <c r="P53" s="1341"/>
      <c r="Q53" s="1341"/>
      <c r="R53" s="1341"/>
      <c r="S53" s="1341"/>
      <c r="T53" s="1341"/>
      <c r="U53" s="1342"/>
      <c r="V53" s="1343"/>
      <c r="W53" s="1343"/>
      <c r="X53" s="1343"/>
      <c r="Y53" s="1343"/>
      <c r="Z53" s="1343"/>
      <c r="AA53" s="1343"/>
      <c r="AB53" s="1343"/>
      <c r="AC53" s="1343"/>
      <c r="AD53" s="1343"/>
      <c r="AE53" s="1343"/>
      <c r="AF53" s="1344"/>
      <c r="AG53" s="1344"/>
      <c r="AH53" s="1343"/>
      <c r="AI53" s="1340" t="s">
        <v>1485</v>
      </c>
      <c r="AJ53" s="1352"/>
      <c r="AK53" s="1352">
        <f t="shared" si="27"/>
        <v>0</v>
      </c>
      <c r="AL53" s="1352">
        <f t="shared" si="28"/>
        <v>0</v>
      </c>
      <c r="AM53" s="1352"/>
      <c r="AN53" s="1352"/>
      <c r="AO53" s="1352"/>
      <c r="AP53" s="1352">
        <f t="shared" si="29"/>
        <v>0</v>
      </c>
      <c r="AQ53" s="1352">
        <f t="shared" si="30"/>
        <v>0</v>
      </c>
      <c r="AR53" s="1352"/>
      <c r="AS53" s="1352">
        <f t="shared" si="31"/>
        <v>0</v>
      </c>
      <c r="AT53" s="1352">
        <f t="shared" si="32"/>
        <v>0</v>
      </c>
      <c r="AU53" s="1352"/>
      <c r="AV53" s="1352"/>
      <c r="AW53" s="1352"/>
      <c r="AX53" s="1352"/>
      <c r="AY53" s="1352"/>
      <c r="AZ53" s="1352"/>
      <c r="BA53" s="1352"/>
      <c r="BB53" s="1352"/>
      <c r="BC53" s="1352"/>
      <c r="BD53" s="1352">
        <f t="shared" si="33"/>
        <v>0</v>
      </c>
      <c r="BE53" s="1352">
        <f t="shared" si="34"/>
        <v>0</v>
      </c>
      <c r="BF53" s="1352">
        <f t="shared" si="35"/>
        <v>0</v>
      </c>
      <c r="BG53" s="1352">
        <f t="shared" si="36"/>
        <v>0</v>
      </c>
    </row>
    <row r="54" spans="1:60" s="1345" customFormat="1">
      <c r="A54" s="1340" t="s">
        <v>428</v>
      </c>
      <c r="B54" s="1340" t="s">
        <v>1267</v>
      </c>
      <c r="C54" s="1341">
        <v>10215</v>
      </c>
      <c r="D54" s="1341">
        <v>852.54</v>
      </c>
      <c r="E54" s="1341">
        <v>0</v>
      </c>
      <c r="F54" s="1341">
        <v>0</v>
      </c>
      <c r="G54" s="1341">
        <v>3</v>
      </c>
      <c r="H54" s="1341">
        <v>7</v>
      </c>
      <c r="I54" s="1341">
        <v>2</v>
      </c>
      <c r="J54" s="1341">
        <v>5</v>
      </c>
      <c r="K54" s="1341">
        <v>0</v>
      </c>
      <c r="L54" s="1341">
        <v>10215</v>
      </c>
      <c r="M54" s="1341">
        <v>3189</v>
      </c>
      <c r="N54" s="1341">
        <v>1205</v>
      </c>
      <c r="O54" s="1341">
        <v>1984</v>
      </c>
      <c r="P54" s="1341">
        <v>7026</v>
      </c>
      <c r="Q54" s="1341">
        <v>1818</v>
      </c>
      <c r="R54" s="1341">
        <v>5208</v>
      </c>
      <c r="S54" s="1341">
        <v>880.48</v>
      </c>
      <c r="T54" s="1341">
        <v>880.48028799999997</v>
      </c>
      <c r="U54" s="1342">
        <v>880.48028799999997</v>
      </c>
      <c r="V54" s="1343">
        <v>0</v>
      </c>
      <c r="W54" s="1343">
        <v>3</v>
      </c>
      <c r="X54" s="1343">
        <v>0</v>
      </c>
      <c r="Y54" s="1343">
        <v>0</v>
      </c>
      <c r="Z54" s="1343">
        <v>0</v>
      </c>
      <c r="AA54" s="1343">
        <v>0</v>
      </c>
      <c r="AB54" s="1343">
        <v>0</v>
      </c>
      <c r="AC54" s="1343">
        <v>0</v>
      </c>
      <c r="AD54" s="1343">
        <v>0</v>
      </c>
      <c r="AE54" s="1343">
        <v>0</v>
      </c>
      <c r="AF54" s="1344">
        <v>-27.94</v>
      </c>
      <c r="AG54" s="1344">
        <v>-27.94</v>
      </c>
      <c r="AH54" s="1343">
        <v>0</v>
      </c>
      <c r="AI54" s="1340" t="s">
        <v>1485</v>
      </c>
      <c r="AJ54" s="1352"/>
      <c r="AK54" s="1352">
        <f t="shared" si="27"/>
        <v>-2</v>
      </c>
      <c r="AL54" s="1352">
        <f t="shared" si="28"/>
        <v>2</v>
      </c>
      <c r="AM54" s="1352"/>
      <c r="AN54" s="1352"/>
      <c r="AO54" s="1352"/>
      <c r="AP54" s="1352">
        <f t="shared" si="29"/>
        <v>-1205</v>
      </c>
      <c r="AQ54" s="1352">
        <f t="shared" si="30"/>
        <v>-1984</v>
      </c>
      <c r="AR54" s="1352"/>
      <c r="AS54" s="1352">
        <f t="shared" si="31"/>
        <v>1205</v>
      </c>
      <c r="AT54" s="1352">
        <f t="shared" si="32"/>
        <v>1984</v>
      </c>
      <c r="AU54" s="1352"/>
      <c r="AV54" s="1352"/>
      <c r="AW54" s="1352"/>
      <c r="AX54" s="1352"/>
      <c r="AY54" s="1352"/>
      <c r="AZ54" s="1352"/>
      <c r="BA54" s="1352"/>
      <c r="BB54" s="1352"/>
      <c r="BC54" s="1352"/>
      <c r="BD54" s="1352">
        <f t="shared" si="33"/>
        <v>0</v>
      </c>
      <c r="BE54" s="1352">
        <f t="shared" si="34"/>
        <v>0</v>
      </c>
      <c r="BF54" s="1352">
        <f t="shared" si="35"/>
        <v>0</v>
      </c>
      <c r="BG54" s="1352">
        <f t="shared" si="36"/>
        <v>0</v>
      </c>
    </row>
    <row r="55" spans="1:60" s="1345" customFormat="1">
      <c r="A55" s="1340" t="s">
        <v>428</v>
      </c>
      <c r="B55" s="1340" t="s">
        <v>896</v>
      </c>
      <c r="C55" s="1341">
        <v>7040</v>
      </c>
      <c r="D55" s="1341">
        <v>568.28</v>
      </c>
      <c r="E55" s="1341">
        <v>0</v>
      </c>
      <c r="F55" s="1341">
        <v>0</v>
      </c>
      <c r="G55" s="1341">
        <v>1</v>
      </c>
      <c r="H55" s="1341">
        <v>7.9996013553916701</v>
      </c>
      <c r="I55" s="1341">
        <v>1.9306358381502899</v>
      </c>
      <c r="J55" s="1341">
        <v>6.0689655172413799</v>
      </c>
      <c r="K55" s="1341">
        <v>0</v>
      </c>
      <c r="L55" s="1341">
        <v>7040</v>
      </c>
      <c r="M55" s="1341">
        <v>1699</v>
      </c>
      <c r="N55" s="1341">
        <v>362</v>
      </c>
      <c r="O55" s="1341">
        <v>1337</v>
      </c>
      <c r="P55" s="1341">
        <v>5341</v>
      </c>
      <c r="Q55" s="1341">
        <v>1138</v>
      </c>
      <c r="R55" s="1341">
        <v>4203</v>
      </c>
      <c r="S55" s="1341">
        <v>587.39</v>
      </c>
      <c r="T55" s="1341">
        <v>587.39460399999996</v>
      </c>
      <c r="U55" s="1342">
        <v>587.39460399999996</v>
      </c>
      <c r="V55" s="1343">
        <v>0</v>
      </c>
      <c r="W55" s="1343">
        <v>0</v>
      </c>
      <c r="X55" s="1343">
        <v>0</v>
      </c>
      <c r="Y55" s="1343">
        <v>0</v>
      </c>
      <c r="Z55" s="1343">
        <v>0</v>
      </c>
      <c r="AA55" s="1343">
        <v>0</v>
      </c>
      <c r="AB55" s="1343">
        <v>0</v>
      </c>
      <c r="AC55" s="1343">
        <v>0</v>
      </c>
      <c r="AD55" s="1343">
        <v>0</v>
      </c>
      <c r="AE55" s="1343">
        <v>0</v>
      </c>
      <c r="AF55" s="1344">
        <v>-19.11</v>
      </c>
      <c r="AG55" s="1344">
        <v>-19.11</v>
      </c>
      <c r="AH55" s="1343">
        <v>0</v>
      </c>
      <c r="AI55" s="1340" t="s">
        <v>1485</v>
      </c>
      <c r="AJ55" s="1352"/>
      <c r="AK55" s="1352">
        <f t="shared" si="27"/>
        <v>-1.9306358381502899</v>
      </c>
      <c r="AL55" s="1352">
        <f t="shared" si="28"/>
        <v>1.9306358381502899</v>
      </c>
      <c r="AM55" s="1352"/>
      <c r="AN55" s="1352"/>
      <c r="AO55" s="1352"/>
      <c r="AP55" s="1352">
        <f t="shared" si="29"/>
        <v>-362</v>
      </c>
      <c r="AQ55" s="1352">
        <f t="shared" si="30"/>
        <v>-1337</v>
      </c>
      <c r="AR55" s="1352"/>
      <c r="AS55" s="1352">
        <f t="shared" si="31"/>
        <v>362</v>
      </c>
      <c r="AT55" s="1352">
        <f t="shared" si="32"/>
        <v>1337</v>
      </c>
      <c r="AU55" s="1352"/>
      <c r="AV55" s="1352"/>
      <c r="AW55" s="1352"/>
      <c r="AX55" s="1352"/>
      <c r="AY55" s="1352"/>
      <c r="AZ55" s="1352"/>
      <c r="BA55" s="1352"/>
      <c r="BB55" s="1352"/>
      <c r="BC55" s="1352"/>
      <c r="BD55" s="1352">
        <f t="shared" si="33"/>
        <v>0</v>
      </c>
      <c r="BE55" s="1352">
        <f t="shared" si="34"/>
        <v>0</v>
      </c>
      <c r="BF55" s="1352">
        <f t="shared" si="35"/>
        <v>0</v>
      </c>
      <c r="BG55" s="1352">
        <f t="shared" si="36"/>
        <v>0</v>
      </c>
    </row>
    <row r="56" spans="1:60" s="1345" customFormat="1">
      <c r="A56" s="1340" t="s">
        <v>428</v>
      </c>
      <c r="B56" s="1340" t="s">
        <v>1268</v>
      </c>
      <c r="C56" s="1341">
        <v>1401</v>
      </c>
      <c r="D56" s="1341">
        <v>171.53</v>
      </c>
      <c r="E56" s="1341">
        <v>0</v>
      </c>
      <c r="F56" s="1341">
        <v>0</v>
      </c>
      <c r="G56" s="1341">
        <v>1.7669999999999999</v>
      </c>
      <c r="H56" s="1341">
        <v>0</v>
      </c>
      <c r="I56" s="1341">
        <v>0</v>
      </c>
      <c r="J56" s="1341">
        <v>0</v>
      </c>
      <c r="K56" s="1341">
        <v>0</v>
      </c>
      <c r="L56" s="1341">
        <v>1401</v>
      </c>
      <c r="M56" s="1341">
        <v>838</v>
      </c>
      <c r="N56" s="1341">
        <v>838</v>
      </c>
      <c r="O56" s="1341">
        <v>0</v>
      </c>
      <c r="P56" s="1341">
        <v>563</v>
      </c>
      <c r="Q56" s="1341">
        <v>563</v>
      </c>
      <c r="R56" s="1341">
        <v>0</v>
      </c>
      <c r="S56" s="1341">
        <v>176.8</v>
      </c>
      <c r="T56" s="1341">
        <v>176.801568</v>
      </c>
      <c r="U56" s="1342">
        <v>176.801568</v>
      </c>
      <c r="V56" s="1343">
        <v>0</v>
      </c>
      <c r="W56" s="1343">
        <v>0</v>
      </c>
      <c r="X56" s="1343">
        <v>0</v>
      </c>
      <c r="Y56" s="1343">
        <v>0</v>
      </c>
      <c r="Z56" s="1343">
        <v>0</v>
      </c>
      <c r="AA56" s="1343">
        <v>0</v>
      </c>
      <c r="AB56" s="1343">
        <v>0</v>
      </c>
      <c r="AC56" s="1343">
        <v>0</v>
      </c>
      <c r="AD56" s="1343">
        <v>0</v>
      </c>
      <c r="AE56" s="1343">
        <v>0</v>
      </c>
      <c r="AF56" s="1344">
        <v>-5.27</v>
      </c>
      <c r="AG56" s="1344">
        <v>-5.27</v>
      </c>
      <c r="AH56" s="1343">
        <v>0</v>
      </c>
      <c r="AI56" s="1340" t="s">
        <v>1485</v>
      </c>
      <c r="AJ56" s="1352"/>
      <c r="AK56" s="1352">
        <f t="shared" si="27"/>
        <v>0</v>
      </c>
      <c r="AL56" s="1352">
        <f t="shared" si="28"/>
        <v>0</v>
      </c>
      <c r="AM56" s="1352"/>
      <c r="AN56" s="1352"/>
      <c r="AO56" s="1352"/>
      <c r="AP56" s="1352">
        <f t="shared" si="29"/>
        <v>-838</v>
      </c>
      <c r="AQ56" s="1352">
        <f t="shared" si="30"/>
        <v>0</v>
      </c>
      <c r="AR56" s="1352"/>
      <c r="AS56" s="1352">
        <f t="shared" si="31"/>
        <v>838</v>
      </c>
      <c r="AT56" s="1352">
        <f t="shared" si="32"/>
        <v>0</v>
      </c>
      <c r="AU56" s="1352"/>
      <c r="AV56" s="1352"/>
      <c r="AW56" s="1352"/>
      <c r="AX56" s="1352"/>
      <c r="AY56" s="1352"/>
      <c r="AZ56" s="1352"/>
      <c r="BA56" s="1352"/>
      <c r="BB56" s="1352"/>
      <c r="BC56" s="1352"/>
      <c r="BD56" s="1352">
        <f t="shared" si="33"/>
        <v>0</v>
      </c>
      <c r="BE56" s="1352">
        <f t="shared" si="34"/>
        <v>0</v>
      </c>
      <c r="BF56" s="1352">
        <f t="shared" si="35"/>
        <v>0</v>
      </c>
      <c r="BG56" s="1352">
        <f t="shared" si="36"/>
        <v>0</v>
      </c>
    </row>
    <row r="57" spans="1:60" s="1345" customFormat="1">
      <c r="A57" s="1340" t="s">
        <v>428</v>
      </c>
      <c r="B57" s="1340" t="s">
        <v>895</v>
      </c>
      <c r="C57" s="1341">
        <v>6773456</v>
      </c>
      <c r="D57" s="1341">
        <v>777258.8</v>
      </c>
      <c r="E57" s="1341">
        <v>0</v>
      </c>
      <c r="F57" s="1341">
        <v>0</v>
      </c>
      <c r="G57" s="1341">
        <v>13787.016</v>
      </c>
      <c r="H57" s="1341">
        <v>1376.76455385024</v>
      </c>
      <c r="I57" s="1341">
        <v>710.43236994219706</v>
      </c>
      <c r="J57" s="1341">
        <v>666.33218390804598</v>
      </c>
      <c r="K57" s="1341">
        <v>0</v>
      </c>
      <c r="L57" s="1341">
        <v>6773456</v>
      </c>
      <c r="M57" s="1341">
        <v>3432473</v>
      </c>
      <c r="N57" s="1341">
        <v>2201748</v>
      </c>
      <c r="O57" s="1341">
        <v>1230725</v>
      </c>
      <c r="P57" s="1341">
        <v>3340983</v>
      </c>
      <c r="Q57" s="1341">
        <v>2268603</v>
      </c>
      <c r="R57" s="1341">
        <v>1072380</v>
      </c>
      <c r="S57" s="1341">
        <v>799144.5</v>
      </c>
      <c r="T57" s="1341">
        <v>799144.20946299704</v>
      </c>
      <c r="U57" s="1342">
        <v>799144.20946299704</v>
      </c>
      <c r="V57" s="1343">
        <v>0</v>
      </c>
      <c r="W57" s="1343">
        <v>0</v>
      </c>
      <c r="X57" s="1343">
        <v>0</v>
      </c>
      <c r="Y57" s="1343">
        <v>0</v>
      </c>
      <c r="Z57" s="1343">
        <v>0</v>
      </c>
      <c r="AA57" s="1343">
        <v>0</v>
      </c>
      <c r="AB57" s="1343">
        <v>0</v>
      </c>
      <c r="AC57" s="1343">
        <v>0</v>
      </c>
      <c r="AD57" s="1343">
        <v>0</v>
      </c>
      <c r="AE57" s="1343">
        <v>0</v>
      </c>
      <c r="AF57" s="1344">
        <v>-21885.7</v>
      </c>
      <c r="AG57" s="1344">
        <v>-21885.7</v>
      </c>
      <c r="AH57" s="1343">
        <v>6.6669999999999998</v>
      </c>
      <c r="AI57" s="1340" t="s">
        <v>1485</v>
      </c>
      <c r="AJ57" s="1352"/>
      <c r="AK57" s="1352">
        <f t="shared" si="27"/>
        <v>-710.43236994219706</v>
      </c>
      <c r="AL57" s="1352">
        <f t="shared" si="28"/>
        <v>710.43236994219706</v>
      </c>
      <c r="AM57" s="1352"/>
      <c r="AN57" s="1352"/>
      <c r="AO57" s="1352"/>
      <c r="AP57" s="1352">
        <f t="shared" si="29"/>
        <v>-2201748</v>
      </c>
      <c r="AQ57" s="1352">
        <f t="shared" si="30"/>
        <v>-1230725</v>
      </c>
      <c r="AR57" s="1352"/>
      <c r="AS57" s="1352">
        <f t="shared" si="31"/>
        <v>2201748</v>
      </c>
      <c r="AT57" s="1352">
        <f t="shared" si="32"/>
        <v>1230725</v>
      </c>
      <c r="AU57" s="1352"/>
      <c r="AV57" s="1352"/>
      <c r="AW57" s="1352"/>
      <c r="AX57" s="1352"/>
      <c r="AY57" s="1352"/>
      <c r="AZ57" s="1352"/>
      <c r="BA57" s="1352"/>
      <c r="BB57" s="1352"/>
      <c r="BC57" s="1352"/>
      <c r="BD57" s="1352">
        <f t="shared" si="33"/>
        <v>0</v>
      </c>
      <c r="BE57" s="1352">
        <f t="shared" si="34"/>
        <v>0</v>
      </c>
      <c r="BF57" s="1352">
        <f t="shared" si="35"/>
        <v>0</v>
      </c>
      <c r="BG57" s="1352">
        <f t="shared" si="36"/>
        <v>0</v>
      </c>
    </row>
    <row r="58" spans="1:60" s="1345" customFormat="1">
      <c r="A58" s="1340" t="s">
        <v>428</v>
      </c>
      <c r="B58" s="1340" t="s">
        <v>897</v>
      </c>
      <c r="C58" s="1341">
        <v>48941</v>
      </c>
      <c r="D58" s="1341">
        <v>8833.81</v>
      </c>
      <c r="E58" s="1341">
        <v>0</v>
      </c>
      <c r="F58" s="1341">
        <v>0</v>
      </c>
      <c r="G58" s="1341">
        <v>435.94299999999998</v>
      </c>
      <c r="H58" s="1341">
        <v>14.0007574247558</v>
      </c>
      <c r="I58" s="1341">
        <v>1.9317919075144501</v>
      </c>
      <c r="J58" s="1341">
        <v>12.0689655172414</v>
      </c>
      <c r="K58" s="1341">
        <v>0</v>
      </c>
      <c r="L58" s="1341">
        <v>48941</v>
      </c>
      <c r="M58" s="1341">
        <v>18549</v>
      </c>
      <c r="N58" s="1341">
        <v>12233</v>
      </c>
      <c r="O58" s="1341">
        <v>6316</v>
      </c>
      <c r="P58" s="1341">
        <v>30392</v>
      </c>
      <c r="Q58" s="1341">
        <v>17166</v>
      </c>
      <c r="R58" s="1341">
        <v>13226</v>
      </c>
      <c r="S58" s="1341">
        <v>8986.98</v>
      </c>
      <c r="T58" s="1341">
        <v>8986.9838579999996</v>
      </c>
      <c r="U58" s="1342">
        <v>8986.9838579999996</v>
      </c>
      <c r="V58" s="1343">
        <v>0</v>
      </c>
      <c r="W58" s="1343">
        <v>0</v>
      </c>
      <c r="X58" s="1343">
        <v>0</v>
      </c>
      <c r="Y58" s="1343">
        <v>0</v>
      </c>
      <c r="Z58" s="1343">
        <v>0</v>
      </c>
      <c r="AA58" s="1343">
        <v>0</v>
      </c>
      <c r="AB58" s="1343">
        <v>0</v>
      </c>
      <c r="AC58" s="1343">
        <v>0</v>
      </c>
      <c r="AD58" s="1343">
        <v>0</v>
      </c>
      <c r="AE58" s="1343">
        <v>0</v>
      </c>
      <c r="AF58" s="1344">
        <v>-153.16999999999999</v>
      </c>
      <c r="AG58" s="1344">
        <v>-153.16999999999999</v>
      </c>
      <c r="AH58" s="1343">
        <v>0</v>
      </c>
      <c r="AI58" s="1340" t="s">
        <v>1485</v>
      </c>
      <c r="AJ58" s="1352"/>
      <c r="AK58" s="1352">
        <f t="shared" si="27"/>
        <v>-1.9317919075144501</v>
      </c>
      <c r="AL58" s="1352">
        <f t="shared" si="28"/>
        <v>1.9317919075144501</v>
      </c>
      <c r="AM58" s="1352"/>
      <c r="AN58" s="1352"/>
      <c r="AO58" s="1352"/>
      <c r="AP58" s="1352">
        <f t="shared" si="29"/>
        <v>-12233</v>
      </c>
      <c r="AQ58" s="1352">
        <f t="shared" si="30"/>
        <v>-6316</v>
      </c>
      <c r="AR58" s="1352"/>
      <c r="AS58" s="1352">
        <f t="shared" si="31"/>
        <v>12233</v>
      </c>
      <c r="AT58" s="1352">
        <f t="shared" si="32"/>
        <v>6316</v>
      </c>
      <c r="AU58" s="1352"/>
      <c r="AV58" s="1352"/>
      <c r="AW58" s="1352"/>
      <c r="AX58" s="1352"/>
      <c r="AY58" s="1352"/>
      <c r="AZ58" s="1352"/>
      <c r="BA58" s="1352"/>
      <c r="BB58" s="1352"/>
      <c r="BC58" s="1352"/>
      <c r="BD58" s="1352">
        <f t="shared" si="33"/>
        <v>0</v>
      </c>
      <c r="BE58" s="1352">
        <f t="shared" si="34"/>
        <v>0</v>
      </c>
      <c r="BF58" s="1352">
        <f t="shared" si="35"/>
        <v>0</v>
      </c>
      <c r="BG58" s="1352">
        <f t="shared" si="36"/>
        <v>0</v>
      </c>
    </row>
    <row r="59" spans="1:60" s="1345" customFormat="1">
      <c r="A59" s="1340" t="s">
        <v>428</v>
      </c>
      <c r="B59" s="1340" t="s">
        <v>1166</v>
      </c>
      <c r="C59" s="1341">
        <v>12366</v>
      </c>
      <c r="D59" s="1341">
        <v>618.76</v>
      </c>
      <c r="E59" s="1341">
        <v>-8244</v>
      </c>
      <c r="F59" s="1341">
        <v>0</v>
      </c>
      <c r="G59" s="1341">
        <v>17</v>
      </c>
      <c r="H59" s="1341">
        <v>0</v>
      </c>
      <c r="I59" s="1341">
        <v>0</v>
      </c>
      <c r="J59" s="1341">
        <v>0</v>
      </c>
      <c r="K59" s="1341">
        <v>0</v>
      </c>
      <c r="L59" s="1341">
        <v>4122</v>
      </c>
      <c r="M59" s="1341">
        <v>0</v>
      </c>
      <c r="N59" s="1341">
        <v>0</v>
      </c>
      <c r="O59" s="1341">
        <v>0</v>
      </c>
      <c r="P59" s="1341">
        <v>0</v>
      </c>
      <c r="Q59" s="1341">
        <v>0</v>
      </c>
      <c r="R59" s="1341">
        <v>0</v>
      </c>
      <c r="S59" s="1341">
        <v>634.13</v>
      </c>
      <c r="T59" s="1341">
        <v>634.15291999999999</v>
      </c>
      <c r="U59" s="1342">
        <v>634.15291999999999</v>
      </c>
      <c r="V59" s="1343">
        <v>3600</v>
      </c>
      <c r="W59" s="1343">
        <v>0</v>
      </c>
      <c r="X59" s="1343">
        <v>4477</v>
      </c>
      <c r="Y59" s="1343">
        <v>877</v>
      </c>
      <c r="Z59" s="1343">
        <v>545</v>
      </c>
      <c r="AA59" s="1343">
        <v>332</v>
      </c>
      <c r="AB59" s="1343">
        <v>545</v>
      </c>
      <c r="AC59" s="1343">
        <v>0</v>
      </c>
      <c r="AD59" s="1343">
        <v>332</v>
      </c>
      <c r="AE59" s="1343">
        <v>0</v>
      </c>
      <c r="AF59" s="1344">
        <v>-15.37</v>
      </c>
      <c r="AG59" s="1344">
        <v>-15.37</v>
      </c>
      <c r="AH59" s="1343">
        <v>0</v>
      </c>
      <c r="AI59" s="1340" t="s">
        <v>1485</v>
      </c>
      <c r="AJ59" s="1352"/>
      <c r="AK59" s="1352">
        <f t="shared" si="27"/>
        <v>0</v>
      </c>
      <c r="AL59" s="1352">
        <f t="shared" si="28"/>
        <v>0</v>
      </c>
      <c r="AM59" s="1352"/>
      <c r="AN59" s="1352"/>
      <c r="AO59" s="1352"/>
      <c r="AP59" s="1352">
        <f t="shared" si="29"/>
        <v>0</v>
      </c>
      <c r="AQ59" s="1352">
        <f t="shared" si="30"/>
        <v>0</v>
      </c>
      <c r="AR59" s="1352"/>
      <c r="AS59" s="1352">
        <f t="shared" si="31"/>
        <v>0</v>
      </c>
      <c r="AT59" s="1352">
        <f t="shared" si="32"/>
        <v>0</v>
      </c>
      <c r="AU59" s="1352"/>
      <c r="AV59" s="1352"/>
      <c r="AW59" s="1352"/>
      <c r="AX59" s="1352"/>
      <c r="AY59" s="1352"/>
      <c r="AZ59" s="1352"/>
      <c r="BA59" s="1352"/>
      <c r="BB59" s="1352"/>
      <c r="BC59" s="1352"/>
      <c r="BD59" s="1352">
        <f t="shared" si="33"/>
        <v>-545</v>
      </c>
      <c r="BE59" s="1352">
        <f t="shared" si="34"/>
        <v>0</v>
      </c>
      <c r="BF59" s="1352">
        <f t="shared" si="35"/>
        <v>545</v>
      </c>
      <c r="BG59" s="1352">
        <f t="shared" si="36"/>
        <v>0</v>
      </c>
    </row>
    <row r="60" spans="1:60">
      <c r="A60" s="1156" t="s">
        <v>429</v>
      </c>
      <c r="B60" s="1156" t="s">
        <v>1265</v>
      </c>
      <c r="C60" s="1157">
        <v>18102</v>
      </c>
      <c r="D60" s="1157">
        <v>1914.87</v>
      </c>
      <c r="E60" s="1157">
        <v>0</v>
      </c>
      <c r="F60" s="1157">
        <v>0</v>
      </c>
      <c r="G60" s="1157">
        <v>8.3000000000000007</v>
      </c>
      <c r="H60" s="1157">
        <v>23</v>
      </c>
      <c r="I60" s="1157">
        <v>23</v>
      </c>
      <c r="J60" s="1157">
        <v>0</v>
      </c>
      <c r="K60" s="1157">
        <v>0</v>
      </c>
      <c r="L60" s="1157">
        <v>18102</v>
      </c>
      <c r="M60" s="1157">
        <v>18102</v>
      </c>
      <c r="N60" s="1157">
        <v>9431</v>
      </c>
      <c r="O60" s="1157">
        <v>8671</v>
      </c>
      <c r="P60" s="1157">
        <v>0</v>
      </c>
      <c r="Q60" s="1157">
        <v>0</v>
      </c>
      <c r="R60" s="1157">
        <v>0</v>
      </c>
      <c r="S60" s="1157">
        <v>1976.94</v>
      </c>
      <c r="T60" s="1157">
        <v>1976.9502090000001</v>
      </c>
      <c r="U60" s="1158">
        <v>1976.9502090000001</v>
      </c>
      <c r="V60" s="1180">
        <v>0</v>
      </c>
      <c r="W60" s="1180">
        <v>9</v>
      </c>
      <c r="X60" s="1180">
        <v>0</v>
      </c>
      <c r="Y60" s="1180">
        <v>0</v>
      </c>
      <c r="Z60" s="1180">
        <v>0</v>
      </c>
      <c r="AA60" s="1180">
        <v>0</v>
      </c>
      <c r="AB60" s="1180">
        <v>0</v>
      </c>
      <c r="AC60" s="1180">
        <v>0</v>
      </c>
      <c r="AD60" s="1180">
        <v>0</v>
      </c>
      <c r="AE60" s="1180">
        <v>0</v>
      </c>
      <c r="AF60" s="1159">
        <v>-62.07</v>
      </c>
      <c r="AG60" s="1159">
        <v>-62.07</v>
      </c>
      <c r="AH60" s="1180">
        <v>0</v>
      </c>
      <c r="AI60" s="1156" t="s">
        <v>1486</v>
      </c>
      <c r="AJ60" s="338"/>
      <c r="AK60" s="338">
        <f>-IF(H41=0,0,H60*J41/H41)</f>
        <v>0</v>
      </c>
      <c r="AL60" s="338">
        <f>-AK60</f>
        <v>0</v>
      </c>
      <c r="AM60" s="338"/>
      <c r="AN60" s="338"/>
      <c r="AO60" s="338"/>
      <c r="AP60" s="338">
        <f>-IF((M41+P41)=0,0,(M60+P60)*Q41/(M41+P41))</f>
        <v>-5172</v>
      </c>
      <c r="AQ60" s="338">
        <f>-IF((M41+P41)=0,0,(M60+P60)*R41/(M41+P41))</f>
        <v>-551.81060606060601</v>
      </c>
      <c r="AR60" s="338"/>
      <c r="AS60" s="338">
        <f>-AP60</f>
        <v>5172</v>
      </c>
      <c r="AT60" s="338">
        <f>-AQ60</f>
        <v>551.81060606060601</v>
      </c>
      <c r="AU60" s="338"/>
      <c r="AV60" s="338"/>
      <c r="AW60" s="338"/>
      <c r="AX60" s="338"/>
      <c r="AY60" s="338"/>
      <c r="AZ60" s="338"/>
      <c r="BA60" s="338"/>
      <c r="BB60" s="338"/>
      <c r="BC60" s="338"/>
      <c r="BD60" s="338">
        <f>-IF((AA41+Z41)=0,0,(AA60+Z60)*AD41/(AA41+Z41))</f>
        <v>0</v>
      </c>
      <c r="BE60" s="338">
        <f>-IF((AA41+Z41)=0,0,(AA60+Z60)*AE41/(AA41+Z41))</f>
        <v>0</v>
      </c>
      <c r="BF60" s="338">
        <f>-BD60</f>
        <v>0</v>
      </c>
      <c r="BG60" s="338">
        <f>-BE60</f>
        <v>0</v>
      </c>
      <c r="BH60" s="1351"/>
    </row>
    <row r="61" spans="1:60">
      <c r="A61" s="1156" t="s">
        <v>429</v>
      </c>
      <c r="B61" s="1156" t="s">
        <v>1266</v>
      </c>
      <c r="C61" s="1157">
        <v>57403</v>
      </c>
      <c r="D61" s="1157">
        <v>5803.18</v>
      </c>
      <c r="E61" s="1157">
        <v>0</v>
      </c>
      <c r="F61" s="1157">
        <v>0</v>
      </c>
      <c r="G61" s="1157">
        <v>29.934000000000001</v>
      </c>
      <c r="H61" s="1157">
        <v>67</v>
      </c>
      <c r="I61" s="1157">
        <v>67</v>
      </c>
      <c r="J61" s="1157">
        <v>0</v>
      </c>
      <c r="K61" s="1157">
        <v>0</v>
      </c>
      <c r="L61" s="1157">
        <v>57403</v>
      </c>
      <c r="M61" s="1157">
        <v>57403</v>
      </c>
      <c r="N61" s="1157">
        <v>25927</v>
      </c>
      <c r="O61" s="1157">
        <v>31476</v>
      </c>
      <c r="P61" s="1157">
        <v>0</v>
      </c>
      <c r="Q61" s="1157">
        <v>0</v>
      </c>
      <c r="R61" s="1157">
        <v>0</v>
      </c>
      <c r="S61" s="1157">
        <v>5991.58</v>
      </c>
      <c r="T61" s="1157">
        <v>5991.6461799999997</v>
      </c>
      <c r="U61" s="1158">
        <v>5991.6461799999997</v>
      </c>
      <c r="V61" s="1180">
        <v>0</v>
      </c>
      <c r="W61" s="1180">
        <v>0</v>
      </c>
      <c r="X61" s="1180">
        <v>0</v>
      </c>
      <c r="Y61" s="1180">
        <v>0</v>
      </c>
      <c r="Z61" s="1180">
        <v>0</v>
      </c>
      <c r="AA61" s="1180">
        <v>0</v>
      </c>
      <c r="AB61" s="1180">
        <v>0</v>
      </c>
      <c r="AC61" s="1180">
        <v>0</v>
      </c>
      <c r="AD61" s="1180">
        <v>0</v>
      </c>
      <c r="AE61" s="1180">
        <v>0</v>
      </c>
      <c r="AF61" s="1159">
        <v>-188.4</v>
      </c>
      <c r="AG61" s="1159">
        <v>-188.4</v>
      </c>
      <c r="AH61" s="1180">
        <v>0</v>
      </c>
      <c r="AI61" s="1156" t="s">
        <v>1486</v>
      </c>
      <c r="AJ61" s="338"/>
      <c r="AK61" s="338">
        <f t="shared" ref="AK61:AK78" si="37">-IF(H42=0,0,H61*J42/H42)</f>
        <v>-41.113040122513482</v>
      </c>
      <c r="AL61" s="338">
        <f t="shared" ref="AL61:AL78" si="38">-AK61</f>
        <v>41.113040122513482</v>
      </c>
      <c r="AM61" s="338"/>
      <c r="AN61" s="338"/>
      <c r="AO61" s="338"/>
      <c r="AP61" s="338">
        <f t="shared" ref="AP61:AP78" si="39">-IF((M42+P42)=0,0,(M61+P61)*Q42/(M42+P42))</f>
        <v>-3930.8019510713812</v>
      </c>
      <c r="AQ61" s="338">
        <f t="shared" ref="AQ61:AQ78" si="40">-IF((M42+P42)=0,0,(M61+P61)*R42/(M42+P42))</f>
        <v>-29445.788488425795</v>
      </c>
      <c r="AR61" s="338"/>
      <c r="AS61" s="338">
        <f t="shared" ref="AS61:AS78" si="41">-AP61</f>
        <v>3930.8019510713812</v>
      </c>
      <c r="AT61" s="338">
        <f t="shared" ref="AT61:AT78" si="42">-AQ61</f>
        <v>29445.788488425795</v>
      </c>
      <c r="AU61" s="338"/>
      <c r="AV61" s="338"/>
      <c r="AW61" s="338"/>
      <c r="AX61" s="338"/>
      <c r="AY61" s="338"/>
      <c r="AZ61" s="338"/>
      <c r="BA61" s="338"/>
      <c r="BB61" s="338"/>
      <c r="BC61" s="338"/>
      <c r="BD61" s="338">
        <f t="shared" ref="BD61:BD78" si="43">-IF((AA42+Z42)=0,0,(AA61+Z61)*AD42/(AA42+Z42))</f>
        <v>0</v>
      </c>
      <c r="BE61" s="338">
        <f t="shared" ref="BE61:BE78" si="44">-IF((AA42+Z42)=0,0,(AA61+Z61)*AE42/(AA42+Z42))</f>
        <v>0</v>
      </c>
      <c r="BF61" s="338">
        <f t="shared" ref="BF61:BF78" si="45">-BD61</f>
        <v>0</v>
      </c>
      <c r="BG61" s="338">
        <f t="shared" ref="BG61:BG78" si="46">-BE61</f>
        <v>0</v>
      </c>
    </row>
    <row r="62" spans="1:60">
      <c r="A62" s="1156" t="s">
        <v>429</v>
      </c>
      <c r="B62" s="1156" t="s">
        <v>138</v>
      </c>
      <c r="C62" s="1157">
        <v>95074010</v>
      </c>
      <c r="D62" s="1157">
        <v>9809643.8800000008</v>
      </c>
      <c r="E62" s="1157">
        <v>-1108</v>
      </c>
      <c r="F62" s="1157">
        <v>-125.72</v>
      </c>
      <c r="G62" s="1157">
        <v>73641.054000000295</v>
      </c>
      <c r="H62" s="1157">
        <v>53524.653179190798</v>
      </c>
      <c r="I62" s="1157">
        <v>53524.653179190798</v>
      </c>
      <c r="J62" s="1157">
        <v>0</v>
      </c>
      <c r="K62" s="1157">
        <v>486</v>
      </c>
      <c r="L62" s="1157">
        <v>95072902</v>
      </c>
      <c r="M62" s="1157">
        <v>95070461</v>
      </c>
      <c r="N62" s="1157">
        <v>51728598</v>
      </c>
      <c r="O62" s="1157">
        <v>43341863</v>
      </c>
      <c r="P62" s="1157">
        <v>2441</v>
      </c>
      <c r="Q62" s="1157">
        <v>1091</v>
      </c>
      <c r="R62" s="1157">
        <v>1350</v>
      </c>
      <c r="S62" s="1157">
        <v>10120126.949999999</v>
      </c>
      <c r="T62" s="1157">
        <v>10120204.322107101</v>
      </c>
      <c r="U62" s="1158">
        <v>10120204.322107101</v>
      </c>
      <c r="V62" s="1180">
        <v>0</v>
      </c>
      <c r="W62" s="1180">
        <v>0</v>
      </c>
      <c r="X62" s="1180">
        <v>0</v>
      </c>
      <c r="Y62" s="1180">
        <v>0</v>
      </c>
      <c r="Z62" s="1180">
        <v>0</v>
      </c>
      <c r="AA62" s="1180">
        <v>0</v>
      </c>
      <c r="AB62" s="1180">
        <v>0</v>
      </c>
      <c r="AC62" s="1180">
        <v>0</v>
      </c>
      <c r="AD62" s="1180">
        <v>0</v>
      </c>
      <c r="AE62" s="1180">
        <v>0</v>
      </c>
      <c r="AF62" s="1159">
        <v>-310608.78999999998</v>
      </c>
      <c r="AG62" s="1159">
        <v>-310613.08</v>
      </c>
      <c r="AH62" s="1180">
        <v>5.4669999999999996</v>
      </c>
      <c r="AI62" s="1156" t="s">
        <v>1486</v>
      </c>
      <c r="AJ62" s="338"/>
      <c r="AK62" s="338">
        <f t="shared" si="37"/>
        <v>-25204.906510268513</v>
      </c>
      <c r="AL62" s="338">
        <f t="shared" si="38"/>
        <v>25204.906510268513</v>
      </c>
      <c r="AM62" s="338"/>
      <c r="AN62" s="338"/>
      <c r="AO62" s="338"/>
      <c r="AP62" s="338">
        <f t="shared" si="39"/>
        <v>-27029931.975895591</v>
      </c>
      <c r="AQ62" s="338">
        <f t="shared" si="40"/>
        <v>-19624481.242380641</v>
      </c>
      <c r="AR62" s="338"/>
      <c r="AS62" s="338">
        <f t="shared" si="41"/>
        <v>27029931.975895591</v>
      </c>
      <c r="AT62" s="338">
        <f t="shared" si="42"/>
        <v>19624481.242380641</v>
      </c>
      <c r="AU62" s="338"/>
      <c r="AV62" s="338"/>
      <c r="AW62" s="338"/>
      <c r="AX62" s="338"/>
      <c r="AY62" s="338"/>
      <c r="AZ62" s="338"/>
      <c r="BA62" s="338"/>
      <c r="BB62" s="338"/>
      <c r="BC62" s="338"/>
      <c r="BD62" s="338">
        <f t="shared" si="43"/>
        <v>0</v>
      </c>
      <c r="BE62" s="338">
        <f t="shared" si="44"/>
        <v>0</v>
      </c>
      <c r="BF62" s="338">
        <f t="shared" si="45"/>
        <v>0</v>
      </c>
      <c r="BG62" s="338">
        <f t="shared" si="46"/>
        <v>0</v>
      </c>
    </row>
    <row r="63" spans="1:60">
      <c r="A63" s="1156" t="s">
        <v>429</v>
      </c>
      <c r="B63" s="1156" t="s">
        <v>263</v>
      </c>
      <c r="C63" s="1157">
        <v>4115</v>
      </c>
      <c r="D63" s="1157">
        <v>1275.79</v>
      </c>
      <c r="E63" s="1157">
        <v>0</v>
      </c>
      <c r="F63" s="1157">
        <v>0</v>
      </c>
      <c r="G63" s="1157">
        <v>129</v>
      </c>
      <c r="H63" s="1157">
        <v>0</v>
      </c>
      <c r="I63" s="1157">
        <v>0</v>
      </c>
      <c r="J63" s="1157">
        <v>0</v>
      </c>
      <c r="K63" s="1157">
        <v>0</v>
      </c>
      <c r="L63" s="1157">
        <v>4115</v>
      </c>
      <c r="M63" s="1157">
        <v>4115</v>
      </c>
      <c r="N63" s="1157">
        <v>4115</v>
      </c>
      <c r="O63" s="1157">
        <v>0</v>
      </c>
      <c r="P63" s="1157">
        <v>0</v>
      </c>
      <c r="Q63" s="1157">
        <v>0</v>
      </c>
      <c r="R63" s="1157">
        <v>0</v>
      </c>
      <c r="S63" s="1157">
        <v>1772.96</v>
      </c>
      <c r="T63" s="1157">
        <v>1772.83764</v>
      </c>
      <c r="U63" s="1158">
        <v>1772.83764</v>
      </c>
      <c r="V63" s="1180">
        <v>0</v>
      </c>
      <c r="W63" s="1180">
        <v>0</v>
      </c>
      <c r="X63" s="1180">
        <v>0</v>
      </c>
      <c r="Y63" s="1180">
        <v>0</v>
      </c>
      <c r="Z63" s="1180">
        <v>0</v>
      </c>
      <c r="AA63" s="1180">
        <v>0</v>
      </c>
      <c r="AB63" s="1180">
        <v>0</v>
      </c>
      <c r="AC63" s="1180">
        <v>0</v>
      </c>
      <c r="AD63" s="1180">
        <v>0</v>
      </c>
      <c r="AE63" s="1180">
        <v>0</v>
      </c>
      <c r="AF63" s="1159">
        <v>-497.17</v>
      </c>
      <c r="AG63" s="1159">
        <v>-497.17</v>
      </c>
      <c r="AH63" s="1180">
        <v>0</v>
      </c>
      <c r="AI63" s="1156" t="s">
        <v>1486</v>
      </c>
      <c r="AJ63" s="338"/>
      <c r="AK63" s="338">
        <f t="shared" si="37"/>
        <v>0</v>
      </c>
      <c r="AL63" s="338">
        <f t="shared" si="38"/>
        <v>0</v>
      </c>
      <c r="AM63" s="338"/>
      <c r="AN63" s="338"/>
      <c r="AO63" s="338"/>
      <c r="AP63" s="338">
        <f t="shared" si="39"/>
        <v>-1841</v>
      </c>
      <c r="AQ63" s="338">
        <f t="shared" si="40"/>
        <v>0</v>
      </c>
      <c r="AR63" s="338"/>
      <c r="AS63" s="338">
        <f t="shared" si="41"/>
        <v>1841</v>
      </c>
      <c r="AT63" s="338">
        <f t="shared" si="42"/>
        <v>0</v>
      </c>
      <c r="AU63" s="338"/>
      <c r="AV63" s="338"/>
      <c r="AW63" s="338"/>
      <c r="AX63" s="338"/>
      <c r="AY63" s="338"/>
      <c r="AZ63" s="338"/>
      <c r="BA63" s="338"/>
      <c r="BB63" s="338"/>
      <c r="BC63" s="338"/>
      <c r="BD63" s="338">
        <f t="shared" si="43"/>
        <v>0</v>
      </c>
      <c r="BE63" s="338">
        <f t="shared" si="44"/>
        <v>0</v>
      </c>
      <c r="BF63" s="338">
        <f t="shared" si="45"/>
        <v>0</v>
      </c>
      <c r="BG63" s="338">
        <f t="shared" si="46"/>
        <v>0</v>
      </c>
    </row>
    <row r="64" spans="1:60">
      <c r="A64" s="1156" t="s">
        <v>429</v>
      </c>
      <c r="B64" s="1160" t="s">
        <v>434</v>
      </c>
      <c r="C64" s="1161">
        <v>12880</v>
      </c>
      <c r="D64" s="1161">
        <v>1004.38</v>
      </c>
      <c r="E64" s="1161">
        <v>0</v>
      </c>
      <c r="F64" s="1161">
        <v>0</v>
      </c>
      <c r="G64" s="1161">
        <v>1</v>
      </c>
      <c r="H64" s="1161">
        <v>12</v>
      </c>
      <c r="I64" s="1161">
        <v>12</v>
      </c>
      <c r="J64" s="1161">
        <v>0</v>
      </c>
      <c r="K64" s="1161">
        <v>0</v>
      </c>
      <c r="L64" s="1161">
        <v>12880</v>
      </c>
      <c r="M64" s="1161">
        <v>12880</v>
      </c>
      <c r="N64" s="1161">
        <v>1500</v>
      </c>
      <c r="O64" s="1161">
        <v>11380</v>
      </c>
      <c r="P64" s="1161">
        <v>0</v>
      </c>
      <c r="Q64" s="1161">
        <v>0</v>
      </c>
      <c r="R64" s="1161">
        <v>0</v>
      </c>
      <c r="S64" s="1161">
        <v>1038.4100000000001</v>
      </c>
      <c r="T64" s="1161">
        <v>1038.41454</v>
      </c>
      <c r="U64" s="1162">
        <v>1038.41454</v>
      </c>
      <c r="V64" s="1165">
        <v>0</v>
      </c>
      <c r="W64" s="1165">
        <v>0</v>
      </c>
      <c r="X64" s="1165">
        <v>0</v>
      </c>
      <c r="Y64" s="1165">
        <v>0</v>
      </c>
      <c r="Z64" s="1165">
        <v>0</v>
      </c>
      <c r="AA64" s="1165">
        <v>0</v>
      </c>
      <c r="AB64" s="1165">
        <v>0</v>
      </c>
      <c r="AC64" s="1165">
        <v>0</v>
      </c>
      <c r="AD64" s="1165">
        <v>0</v>
      </c>
      <c r="AE64" s="1165">
        <v>0</v>
      </c>
      <c r="AF64" s="1163">
        <v>-34.03</v>
      </c>
      <c r="AG64" s="1163">
        <v>-34.03</v>
      </c>
      <c r="AH64" s="1165">
        <v>0</v>
      </c>
      <c r="AI64" s="1156" t="s">
        <v>1486</v>
      </c>
      <c r="AJ64" s="338"/>
      <c r="AK64" s="338">
        <f t="shared" si="37"/>
        <v>-2.0690342513537776</v>
      </c>
      <c r="AL64" s="338">
        <f t="shared" si="38"/>
        <v>2.0690342513537776</v>
      </c>
      <c r="AM64" s="338"/>
      <c r="AN64" s="338"/>
      <c r="AO64" s="338"/>
      <c r="AP64" s="338">
        <f t="shared" si="39"/>
        <v>-243.90728961029467</v>
      </c>
      <c r="AQ64" s="338">
        <f t="shared" si="40"/>
        <v>-1976.6849455289903</v>
      </c>
      <c r="AR64" s="338"/>
      <c r="AS64" s="338">
        <f t="shared" si="41"/>
        <v>243.90728961029467</v>
      </c>
      <c r="AT64" s="338">
        <f t="shared" si="42"/>
        <v>1976.6849455289903</v>
      </c>
      <c r="AU64" s="338"/>
      <c r="AV64" s="338"/>
      <c r="AW64" s="338"/>
      <c r="AX64" s="338"/>
      <c r="AY64" s="338"/>
      <c r="AZ64" s="338"/>
      <c r="BA64" s="338"/>
      <c r="BB64" s="338"/>
      <c r="BC64" s="338"/>
      <c r="BD64" s="338">
        <f t="shared" si="43"/>
        <v>0</v>
      </c>
      <c r="BE64" s="338">
        <f t="shared" si="44"/>
        <v>0</v>
      </c>
      <c r="BF64" s="338">
        <f t="shared" si="45"/>
        <v>0</v>
      </c>
      <c r="BG64" s="338">
        <f t="shared" si="46"/>
        <v>0</v>
      </c>
    </row>
    <row r="65" spans="1:59">
      <c r="A65" s="1156" t="s">
        <v>429</v>
      </c>
      <c r="B65" s="1156" t="s">
        <v>621</v>
      </c>
      <c r="C65" s="1157">
        <v>435413</v>
      </c>
      <c r="D65" s="1157">
        <v>54646.71</v>
      </c>
      <c r="E65" s="1157">
        <v>0</v>
      </c>
      <c r="F65" s="1157">
        <v>0</v>
      </c>
      <c r="G65" s="1157">
        <v>825.87099999999998</v>
      </c>
      <c r="H65" s="1157">
        <v>830.83352601156105</v>
      </c>
      <c r="I65" s="1157">
        <v>830.83352601156105</v>
      </c>
      <c r="J65" s="1157">
        <v>0</v>
      </c>
      <c r="K65" s="1157">
        <v>0</v>
      </c>
      <c r="L65" s="1157">
        <v>435413</v>
      </c>
      <c r="M65" s="1157">
        <v>435413</v>
      </c>
      <c r="N65" s="1157">
        <v>235620</v>
      </c>
      <c r="O65" s="1157">
        <v>199793</v>
      </c>
      <c r="P65" s="1157">
        <v>0</v>
      </c>
      <c r="Q65" s="1157">
        <v>0</v>
      </c>
      <c r="R65" s="1157">
        <v>0</v>
      </c>
      <c r="S65" s="1157">
        <v>56234.71</v>
      </c>
      <c r="T65" s="1157">
        <v>56235.111238999998</v>
      </c>
      <c r="U65" s="1158">
        <v>56235.111238999998</v>
      </c>
      <c r="V65" s="1180">
        <v>0</v>
      </c>
      <c r="W65" s="1180">
        <v>0</v>
      </c>
      <c r="X65" s="1180">
        <v>0</v>
      </c>
      <c r="Y65" s="1180">
        <v>0</v>
      </c>
      <c r="Z65" s="1180">
        <v>0</v>
      </c>
      <c r="AA65" s="1180">
        <v>0</v>
      </c>
      <c r="AB65" s="1180">
        <v>0</v>
      </c>
      <c r="AC65" s="1180">
        <v>0</v>
      </c>
      <c r="AD65" s="1180">
        <v>0</v>
      </c>
      <c r="AE65" s="1180">
        <v>0</v>
      </c>
      <c r="AF65" s="1159">
        <v>-1588</v>
      </c>
      <c r="AG65" s="1159">
        <v>-1588</v>
      </c>
      <c r="AH65" s="1180">
        <v>0</v>
      </c>
      <c r="AI65" s="1156" t="s">
        <v>1486</v>
      </c>
      <c r="AJ65" s="338"/>
      <c r="AK65" s="338">
        <f t="shared" si="37"/>
        <v>-366.88503595158807</v>
      </c>
      <c r="AL65" s="338">
        <f t="shared" si="38"/>
        <v>366.88503595158807</v>
      </c>
      <c r="AM65" s="338"/>
      <c r="AN65" s="338"/>
      <c r="AO65" s="338"/>
      <c r="AP65" s="338">
        <f t="shared" si="39"/>
        <v>-122686.31334992049</v>
      </c>
      <c r="AQ65" s="338">
        <f t="shared" si="40"/>
        <v>-75845.294871578299</v>
      </c>
      <c r="AR65" s="338"/>
      <c r="AS65" s="338">
        <f t="shared" si="41"/>
        <v>122686.31334992049</v>
      </c>
      <c r="AT65" s="338">
        <f t="shared" si="42"/>
        <v>75845.294871578299</v>
      </c>
      <c r="AU65" s="338"/>
      <c r="AV65" s="338"/>
      <c r="AW65" s="338"/>
      <c r="AX65" s="338"/>
      <c r="AY65" s="338"/>
      <c r="AZ65" s="338"/>
      <c r="BA65" s="338"/>
      <c r="BB65" s="338"/>
      <c r="BC65" s="338"/>
      <c r="BD65" s="338">
        <f t="shared" si="43"/>
        <v>0</v>
      </c>
      <c r="BE65" s="338">
        <f t="shared" si="44"/>
        <v>0</v>
      </c>
      <c r="BF65" s="338">
        <f t="shared" si="45"/>
        <v>0</v>
      </c>
      <c r="BG65" s="338">
        <f t="shared" si="46"/>
        <v>0</v>
      </c>
    </row>
    <row r="66" spans="1:59">
      <c r="A66" s="1156" t="s">
        <v>429</v>
      </c>
      <c r="B66" s="1156"/>
      <c r="C66" s="1157"/>
      <c r="D66" s="1157"/>
      <c r="E66" s="1157"/>
      <c r="F66" s="1157"/>
      <c r="G66" s="1157"/>
      <c r="H66" s="1157"/>
      <c r="I66" s="1157"/>
      <c r="J66" s="1157"/>
      <c r="K66" s="1157"/>
      <c r="L66" s="1157"/>
      <c r="M66" s="1157"/>
      <c r="N66" s="1157"/>
      <c r="O66" s="1157"/>
      <c r="P66" s="1157"/>
      <c r="Q66" s="1157"/>
      <c r="R66" s="1157"/>
      <c r="S66" s="1157"/>
      <c r="T66" s="1157"/>
      <c r="U66" s="1158"/>
      <c r="V66" s="1180"/>
      <c r="W66" s="1180"/>
      <c r="X66" s="1180"/>
      <c r="Y66" s="1180"/>
      <c r="Z66" s="1180"/>
      <c r="AA66" s="1180"/>
      <c r="AB66" s="1180"/>
      <c r="AC66" s="1180"/>
      <c r="AD66" s="1180"/>
      <c r="AE66" s="1180"/>
      <c r="AF66" s="1159"/>
      <c r="AG66" s="1159"/>
      <c r="AH66" s="1180"/>
      <c r="AI66" s="1156" t="s">
        <v>1486</v>
      </c>
      <c r="AJ66" s="338"/>
      <c r="AK66" s="338">
        <f t="shared" si="37"/>
        <v>0</v>
      </c>
      <c r="AL66" s="338">
        <f t="shared" si="38"/>
        <v>0</v>
      </c>
      <c r="AM66" s="338"/>
      <c r="AN66" s="338"/>
      <c r="AO66" s="338"/>
      <c r="AP66" s="338">
        <f t="shared" si="39"/>
        <v>0</v>
      </c>
      <c r="AQ66" s="338">
        <f t="shared" si="40"/>
        <v>0</v>
      </c>
      <c r="AR66" s="338"/>
      <c r="AS66" s="338">
        <f t="shared" si="41"/>
        <v>0</v>
      </c>
      <c r="AT66" s="338">
        <f t="shared" si="42"/>
        <v>0</v>
      </c>
      <c r="AU66" s="338"/>
      <c r="AV66" s="338"/>
      <c r="AW66" s="338"/>
      <c r="AX66" s="338"/>
      <c r="AY66" s="338"/>
      <c r="AZ66" s="338"/>
      <c r="BA66" s="338"/>
      <c r="BB66" s="338"/>
      <c r="BC66" s="338"/>
      <c r="BD66" s="338">
        <f t="shared" si="43"/>
        <v>0</v>
      </c>
      <c r="BE66" s="338">
        <f t="shared" si="44"/>
        <v>0</v>
      </c>
      <c r="BF66" s="338">
        <f t="shared" si="45"/>
        <v>0</v>
      </c>
      <c r="BG66" s="338">
        <f t="shared" si="46"/>
        <v>0</v>
      </c>
    </row>
    <row r="67" spans="1:59">
      <c r="A67" s="1156" t="s">
        <v>429</v>
      </c>
      <c r="B67" s="1156" t="s">
        <v>1163</v>
      </c>
      <c r="C67" s="1157">
        <v>376909</v>
      </c>
      <c r="D67" s="1157">
        <v>24553.7</v>
      </c>
      <c r="E67" s="1157">
        <v>-177776</v>
      </c>
      <c r="F67" s="1157">
        <v>0</v>
      </c>
      <c r="G67" s="1157">
        <v>272</v>
      </c>
      <c r="H67" s="1157">
        <v>33</v>
      </c>
      <c r="I67" s="1157">
        <v>33</v>
      </c>
      <c r="J67" s="1157">
        <v>0</v>
      </c>
      <c r="K67" s="1157">
        <v>0</v>
      </c>
      <c r="L67" s="1157">
        <v>199133</v>
      </c>
      <c r="M67" s="1157">
        <v>0</v>
      </c>
      <c r="N67" s="1157">
        <v>0</v>
      </c>
      <c r="O67" s="1157">
        <v>0</v>
      </c>
      <c r="P67" s="1157">
        <v>0</v>
      </c>
      <c r="Q67" s="1157">
        <v>0</v>
      </c>
      <c r="R67" s="1157">
        <v>0</v>
      </c>
      <c r="S67" s="1157">
        <v>25301.16</v>
      </c>
      <c r="T67" s="1157">
        <v>25301.691360000001</v>
      </c>
      <c r="U67" s="1158">
        <v>25301.691360000001</v>
      </c>
      <c r="V67" s="1180">
        <v>156800</v>
      </c>
      <c r="W67" s="1180">
        <v>0</v>
      </c>
      <c r="X67" s="1180">
        <v>217861</v>
      </c>
      <c r="Y67" s="1180">
        <v>61061</v>
      </c>
      <c r="Z67" s="1180">
        <v>61061</v>
      </c>
      <c r="AA67" s="1180">
        <v>0</v>
      </c>
      <c r="AB67" s="1180">
        <v>46749</v>
      </c>
      <c r="AC67" s="1180">
        <v>14312</v>
      </c>
      <c r="AD67" s="1180">
        <v>0</v>
      </c>
      <c r="AE67" s="1180">
        <v>0</v>
      </c>
      <c r="AF67" s="1159">
        <v>-747.46</v>
      </c>
      <c r="AG67" s="1159">
        <v>-747.46</v>
      </c>
      <c r="AH67" s="1180">
        <v>0</v>
      </c>
      <c r="AI67" s="1156" t="s">
        <v>1486</v>
      </c>
      <c r="AJ67" s="338"/>
      <c r="AK67" s="338">
        <f t="shared" si="37"/>
        <v>-16.309803009666801</v>
      </c>
      <c r="AL67" s="338">
        <f t="shared" si="38"/>
        <v>16.309803009666801</v>
      </c>
      <c r="AM67" s="338"/>
      <c r="AN67" s="338"/>
      <c r="AO67" s="338"/>
      <c r="AP67" s="338">
        <f t="shared" si="39"/>
        <v>0</v>
      </c>
      <c r="AQ67" s="338">
        <f t="shared" si="40"/>
        <v>0</v>
      </c>
      <c r="AR67" s="338"/>
      <c r="AS67" s="338">
        <f t="shared" si="41"/>
        <v>0</v>
      </c>
      <c r="AT67" s="338">
        <f t="shared" si="42"/>
        <v>0</v>
      </c>
      <c r="AU67" s="338"/>
      <c r="AV67" s="338"/>
      <c r="AW67" s="338"/>
      <c r="AX67" s="338"/>
      <c r="AY67" s="338"/>
      <c r="AZ67" s="338"/>
      <c r="BA67" s="338"/>
      <c r="BB67" s="338"/>
      <c r="BC67" s="338"/>
      <c r="BD67" s="338">
        <f t="shared" si="43"/>
        <v>-24924.704879796078</v>
      </c>
      <c r="BE67" s="338">
        <f t="shared" si="44"/>
        <v>-7701.9281108908253</v>
      </c>
      <c r="BF67" s="338">
        <f t="shared" si="45"/>
        <v>24924.704879796078</v>
      </c>
      <c r="BG67" s="338">
        <f t="shared" si="46"/>
        <v>7701.9281108908253</v>
      </c>
    </row>
    <row r="68" spans="1:59">
      <c r="A68" s="1156" t="s">
        <v>438</v>
      </c>
      <c r="B68" s="1156" t="s">
        <v>138</v>
      </c>
      <c r="C68" s="1157">
        <v>3824456</v>
      </c>
      <c r="D68" s="1157">
        <v>399357.38</v>
      </c>
      <c r="E68" s="1157">
        <v>0</v>
      </c>
      <c r="F68" s="1157">
        <v>0</v>
      </c>
      <c r="G68" s="1157">
        <v>3144.3049999999998</v>
      </c>
      <c r="H68" s="1157">
        <v>2747.9329479768799</v>
      </c>
      <c r="I68" s="1157">
        <v>2747.9329479768799</v>
      </c>
      <c r="J68" s="1157">
        <v>0</v>
      </c>
      <c r="K68" s="1157">
        <v>158.395833333333</v>
      </c>
      <c r="L68" s="1157">
        <v>3824456</v>
      </c>
      <c r="M68" s="1157">
        <v>3824456</v>
      </c>
      <c r="N68" s="1157">
        <v>2041344</v>
      </c>
      <c r="O68" s="1157">
        <v>1783112</v>
      </c>
      <c r="P68" s="1157">
        <v>0</v>
      </c>
      <c r="Q68" s="1157">
        <v>0</v>
      </c>
      <c r="R68" s="1157">
        <v>0</v>
      </c>
      <c r="S68" s="1157">
        <v>411954.93</v>
      </c>
      <c r="T68" s="1157">
        <v>411958.23628000001</v>
      </c>
      <c r="U68" s="1158">
        <v>411958.23628000001</v>
      </c>
      <c r="V68" s="1180">
        <v>0</v>
      </c>
      <c r="W68" s="1180">
        <v>0</v>
      </c>
      <c r="X68" s="1180">
        <v>0</v>
      </c>
      <c r="Y68" s="1180">
        <v>0</v>
      </c>
      <c r="Z68" s="1180">
        <v>0</v>
      </c>
      <c r="AA68" s="1180">
        <v>0</v>
      </c>
      <c r="AB68" s="1180">
        <v>0</v>
      </c>
      <c r="AC68" s="1180">
        <v>0</v>
      </c>
      <c r="AD68" s="1180">
        <v>0</v>
      </c>
      <c r="AE68" s="1180">
        <v>0</v>
      </c>
      <c r="AF68" s="1159">
        <v>-12597.55</v>
      </c>
      <c r="AG68" s="1159">
        <v>-12597.55</v>
      </c>
      <c r="AH68" s="1180">
        <v>0</v>
      </c>
      <c r="AI68" s="1156" t="s">
        <v>1486</v>
      </c>
      <c r="AJ68" s="338"/>
      <c r="AK68" s="338">
        <f t="shared" si="37"/>
        <v>-1370.0138122336032</v>
      </c>
      <c r="AL68" s="338">
        <f t="shared" si="38"/>
        <v>1370.0138122336032</v>
      </c>
      <c r="AM68" s="338"/>
      <c r="AN68" s="338"/>
      <c r="AO68" s="338"/>
      <c r="AP68" s="338">
        <f t="shared" si="39"/>
        <v>-991655.60272750165</v>
      </c>
      <c r="AQ68" s="338">
        <f t="shared" si="40"/>
        <v>-826272.10499651823</v>
      </c>
      <c r="AR68" s="338"/>
      <c r="AS68" s="338">
        <f t="shared" si="41"/>
        <v>991655.60272750165</v>
      </c>
      <c r="AT68" s="338">
        <f t="shared" si="42"/>
        <v>826272.10499651823</v>
      </c>
      <c r="AU68" s="338"/>
      <c r="AV68" s="338"/>
      <c r="AW68" s="338"/>
      <c r="AX68" s="338"/>
      <c r="AY68" s="338"/>
      <c r="AZ68" s="338"/>
      <c r="BA68" s="338"/>
      <c r="BB68" s="338"/>
      <c r="BC68" s="338"/>
      <c r="BD68" s="338">
        <f t="shared" si="43"/>
        <v>0</v>
      </c>
      <c r="BE68" s="338">
        <f t="shared" si="44"/>
        <v>0</v>
      </c>
      <c r="BF68" s="338">
        <f t="shared" si="45"/>
        <v>0</v>
      </c>
      <c r="BG68" s="338">
        <f t="shared" si="46"/>
        <v>0</v>
      </c>
    </row>
    <row r="69" spans="1:59">
      <c r="A69" s="1156" t="s">
        <v>438</v>
      </c>
      <c r="B69" s="1160" t="s">
        <v>263</v>
      </c>
      <c r="C69" s="1161">
        <v>0</v>
      </c>
      <c r="D69" s="1161">
        <v>178.81</v>
      </c>
      <c r="E69" s="1161">
        <v>0</v>
      </c>
      <c r="F69" s="1161">
        <v>0</v>
      </c>
      <c r="G69" s="1161">
        <v>18</v>
      </c>
      <c r="H69" s="1161">
        <v>0</v>
      </c>
      <c r="I69" s="1161">
        <v>0</v>
      </c>
      <c r="J69" s="1161">
        <v>0</v>
      </c>
      <c r="K69" s="1161">
        <v>0</v>
      </c>
      <c r="L69" s="1161">
        <v>0</v>
      </c>
      <c r="M69" s="1161">
        <v>0</v>
      </c>
      <c r="N69" s="1161">
        <v>0</v>
      </c>
      <c r="O69" s="1161">
        <v>0</v>
      </c>
      <c r="P69" s="1161">
        <v>0</v>
      </c>
      <c r="Q69" s="1161">
        <v>0</v>
      </c>
      <c r="R69" s="1161">
        <v>0</v>
      </c>
      <c r="S69" s="1161">
        <v>180</v>
      </c>
      <c r="T69" s="1161">
        <v>180</v>
      </c>
      <c r="U69" s="1162">
        <v>180</v>
      </c>
      <c r="V69" s="1165">
        <v>0</v>
      </c>
      <c r="W69" s="1165">
        <v>0</v>
      </c>
      <c r="X69" s="1165">
        <v>0</v>
      </c>
      <c r="Y69" s="1165">
        <v>0</v>
      </c>
      <c r="Z69" s="1165">
        <v>0</v>
      </c>
      <c r="AA69" s="1165">
        <v>0</v>
      </c>
      <c r="AB69" s="1165">
        <v>0</v>
      </c>
      <c r="AC69" s="1165">
        <v>0</v>
      </c>
      <c r="AD69" s="1165">
        <v>0</v>
      </c>
      <c r="AE69" s="1165">
        <v>0</v>
      </c>
      <c r="AF69" s="1163">
        <v>-1.19</v>
      </c>
      <c r="AG69" s="1163">
        <v>-1.19</v>
      </c>
      <c r="AH69" s="1165">
        <v>0</v>
      </c>
      <c r="AI69" s="1156" t="s">
        <v>1486</v>
      </c>
      <c r="AJ69" s="338"/>
      <c r="AK69" s="338">
        <f t="shared" si="37"/>
        <v>0</v>
      </c>
      <c r="AL69" s="338">
        <f t="shared" si="38"/>
        <v>0</v>
      </c>
      <c r="AM69" s="338"/>
      <c r="AN69" s="338"/>
      <c r="AO69" s="338"/>
      <c r="AP69" s="338">
        <f t="shared" si="39"/>
        <v>0</v>
      </c>
      <c r="AQ69" s="338">
        <f t="shared" si="40"/>
        <v>0</v>
      </c>
      <c r="AR69" s="338"/>
      <c r="AS69" s="338">
        <f t="shared" si="41"/>
        <v>0</v>
      </c>
      <c r="AT69" s="338">
        <f t="shared" si="42"/>
        <v>0</v>
      </c>
      <c r="AU69" s="338"/>
      <c r="AV69" s="338"/>
      <c r="AW69" s="338"/>
      <c r="AX69" s="338"/>
      <c r="AY69" s="338"/>
      <c r="AZ69" s="338"/>
      <c r="BA69" s="338"/>
      <c r="BB69" s="338"/>
      <c r="BC69" s="338"/>
      <c r="BD69" s="338">
        <f t="shared" si="43"/>
        <v>0</v>
      </c>
      <c r="BE69" s="338">
        <f t="shared" si="44"/>
        <v>0</v>
      </c>
      <c r="BF69" s="338">
        <f t="shared" si="45"/>
        <v>0</v>
      </c>
      <c r="BG69" s="338">
        <f t="shared" si="46"/>
        <v>0</v>
      </c>
    </row>
    <row r="70" spans="1:59">
      <c r="A70" s="1156" t="s">
        <v>438</v>
      </c>
      <c r="B70" s="1156" t="s">
        <v>621</v>
      </c>
      <c r="C70" s="1157">
        <v>6135</v>
      </c>
      <c r="D70" s="1157">
        <v>926.02</v>
      </c>
      <c r="E70" s="1157">
        <v>0</v>
      </c>
      <c r="F70" s="1157">
        <v>0</v>
      </c>
      <c r="G70" s="1157">
        <v>17.067</v>
      </c>
      <c r="H70" s="1157">
        <v>22.467052023121401</v>
      </c>
      <c r="I70" s="1157">
        <v>22.467052023121401</v>
      </c>
      <c r="J70" s="1157">
        <v>0</v>
      </c>
      <c r="K70" s="1157">
        <v>0</v>
      </c>
      <c r="L70" s="1157">
        <v>6135</v>
      </c>
      <c r="M70" s="1157">
        <v>6135</v>
      </c>
      <c r="N70" s="1157">
        <v>3556</v>
      </c>
      <c r="O70" s="1157">
        <v>2579</v>
      </c>
      <c r="P70" s="1157">
        <v>0</v>
      </c>
      <c r="Q70" s="1157">
        <v>0</v>
      </c>
      <c r="R70" s="1157">
        <v>0</v>
      </c>
      <c r="S70" s="1157">
        <v>951.89</v>
      </c>
      <c r="T70" s="1157">
        <v>951.91117299999996</v>
      </c>
      <c r="U70" s="1158">
        <v>951.91117299999996</v>
      </c>
      <c r="V70" s="1180">
        <v>0</v>
      </c>
      <c r="W70" s="1180">
        <v>0</v>
      </c>
      <c r="X70" s="1180">
        <v>0</v>
      </c>
      <c r="Y70" s="1180">
        <v>0</v>
      </c>
      <c r="Z70" s="1180">
        <v>0</v>
      </c>
      <c r="AA70" s="1180">
        <v>0</v>
      </c>
      <c r="AB70" s="1180">
        <v>0</v>
      </c>
      <c r="AC70" s="1180">
        <v>0</v>
      </c>
      <c r="AD70" s="1180">
        <v>0</v>
      </c>
      <c r="AE70" s="1180">
        <v>0</v>
      </c>
      <c r="AF70" s="1159">
        <v>-25.87</v>
      </c>
      <c r="AG70" s="1159">
        <v>-25.87</v>
      </c>
      <c r="AH70" s="1180">
        <v>0</v>
      </c>
      <c r="AI70" s="1156" t="s">
        <v>1486</v>
      </c>
      <c r="AJ70" s="338"/>
      <c r="AK70" s="338">
        <f t="shared" si="37"/>
        <v>-10.306727545063753</v>
      </c>
      <c r="AL70" s="338">
        <f t="shared" si="38"/>
        <v>10.306727545063753</v>
      </c>
      <c r="AM70" s="338"/>
      <c r="AN70" s="338"/>
      <c r="AO70" s="338"/>
      <c r="AP70" s="338">
        <f t="shared" si="39"/>
        <v>-963.09641532756484</v>
      </c>
      <c r="AQ70" s="338">
        <f t="shared" si="40"/>
        <v>-467.32926452410385</v>
      </c>
      <c r="AR70" s="338"/>
      <c r="AS70" s="338">
        <f t="shared" si="41"/>
        <v>963.09641532756484</v>
      </c>
      <c r="AT70" s="338">
        <f t="shared" si="42"/>
        <v>467.32926452410385</v>
      </c>
      <c r="AU70" s="338"/>
      <c r="AV70" s="338"/>
      <c r="AW70" s="338"/>
      <c r="AX70" s="338"/>
      <c r="AY70" s="338"/>
      <c r="AZ70" s="338"/>
      <c r="BA70" s="338"/>
      <c r="BB70" s="338"/>
      <c r="BC70" s="338"/>
      <c r="BD70" s="338">
        <f t="shared" si="43"/>
        <v>0</v>
      </c>
      <c r="BE70" s="338">
        <f t="shared" si="44"/>
        <v>0</v>
      </c>
      <c r="BF70" s="338">
        <f t="shared" si="45"/>
        <v>0</v>
      </c>
      <c r="BG70" s="338">
        <f t="shared" si="46"/>
        <v>0</v>
      </c>
    </row>
    <row r="71" spans="1:59">
      <c r="A71" s="1156" t="s">
        <v>438</v>
      </c>
      <c r="B71" s="1156" t="s">
        <v>1163</v>
      </c>
      <c r="C71" s="1157">
        <v>10314</v>
      </c>
      <c r="D71" s="1157">
        <v>1343.13</v>
      </c>
      <c r="E71" s="1157">
        <v>0</v>
      </c>
      <c r="F71" s="1157">
        <v>0</v>
      </c>
      <c r="G71" s="1157">
        <v>18</v>
      </c>
      <c r="H71" s="1157">
        <v>0</v>
      </c>
      <c r="I71" s="1157">
        <v>0</v>
      </c>
      <c r="J71" s="1157">
        <v>0</v>
      </c>
      <c r="K71" s="1157">
        <v>0</v>
      </c>
      <c r="L71" s="1157">
        <v>10314</v>
      </c>
      <c r="M71" s="1157">
        <v>0</v>
      </c>
      <c r="N71" s="1157">
        <v>0</v>
      </c>
      <c r="O71" s="1157">
        <v>0</v>
      </c>
      <c r="P71" s="1157">
        <v>0</v>
      </c>
      <c r="Q71" s="1157">
        <v>0</v>
      </c>
      <c r="R71" s="1157">
        <v>0</v>
      </c>
      <c r="S71" s="1157">
        <v>1382.96</v>
      </c>
      <c r="T71" s="1157">
        <v>1382.9765520000001</v>
      </c>
      <c r="U71" s="1158">
        <v>1382.9765520000001</v>
      </c>
      <c r="V71" s="1180">
        <v>8400</v>
      </c>
      <c r="W71" s="1180">
        <v>0</v>
      </c>
      <c r="X71" s="1180">
        <v>11407</v>
      </c>
      <c r="Y71" s="1180">
        <v>3007</v>
      </c>
      <c r="Z71" s="1180">
        <v>3007</v>
      </c>
      <c r="AA71" s="1180">
        <v>0</v>
      </c>
      <c r="AB71" s="1180">
        <v>3007</v>
      </c>
      <c r="AC71" s="1180">
        <v>0</v>
      </c>
      <c r="AD71" s="1180">
        <v>0</v>
      </c>
      <c r="AE71" s="1180">
        <v>0</v>
      </c>
      <c r="AF71" s="1159">
        <v>-39.83</v>
      </c>
      <c r="AG71" s="1159">
        <v>-39.83</v>
      </c>
      <c r="AH71" s="1180">
        <v>0</v>
      </c>
      <c r="AI71" s="1156" t="s">
        <v>1486</v>
      </c>
      <c r="AJ71" s="338"/>
      <c r="AK71" s="338">
        <f t="shared" si="37"/>
        <v>0</v>
      </c>
      <c r="AL71" s="338">
        <f t="shared" si="38"/>
        <v>0</v>
      </c>
      <c r="AM71" s="338"/>
      <c r="AN71" s="338"/>
      <c r="AO71" s="338"/>
      <c r="AP71" s="338">
        <f t="shared" si="39"/>
        <v>0</v>
      </c>
      <c r="AQ71" s="338">
        <f t="shared" si="40"/>
        <v>0</v>
      </c>
      <c r="AR71" s="338"/>
      <c r="AS71" s="338">
        <f t="shared" si="41"/>
        <v>0</v>
      </c>
      <c r="AT71" s="338">
        <f t="shared" si="42"/>
        <v>0</v>
      </c>
      <c r="AU71" s="338"/>
      <c r="AV71" s="338"/>
      <c r="AW71" s="338"/>
      <c r="AX71" s="338"/>
      <c r="AY71" s="338"/>
      <c r="AZ71" s="338"/>
      <c r="BA71" s="338"/>
      <c r="BB71" s="338"/>
      <c r="BC71" s="338"/>
      <c r="BD71" s="338">
        <f t="shared" si="43"/>
        <v>-1931.3252032520325</v>
      </c>
      <c r="BE71" s="338">
        <f t="shared" si="44"/>
        <v>0</v>
      </c>
      <c r="BF71" s="338">
        <f t="shared" si="45"/>
        <v>1931.3252032520325</v>
      </c>
      <c r="BG71" s="338">
        <f t="shared" si="46"/>
        <v>0</v>
      </c>
    </row>
    <row r="72" spans="1:59">
      <c r="A72" s="1156" t="s">
        <v>438</v>
      </c>
      <c r="B72" s="1156"/>
      <c r="C72" s="1157"/>
      <c r="D72" s="1157"/>
      <c r="E72" s="1157"/>
      <c r="F72" s="1157"/>
      <c r="G72" s="1157"/>
      <c r="H72" s="1157"/>
      <c r="I72" s="1157"/>
      <c r="J72" s="1157"/>
      <c r="K72" s="1157"/>
      <c r="L72" s="1157"/>
      <c r="M72" s="1157"/>
      <c r="N72" s="1157"/>
      <c r="O72" s="1157"/>
      <c r="P72" s="1157"/>
      <c r="Q72" s="1157"/>
      <c r="R72" s="1157"/>
      <c r="S72" s="1157"/>
      <c r="T72" s="1157"/>
      <c r="U72" s="1158"/>
      <c r="V72" s="1180"/>
      <c r="W72" s="1180"/>
      <c r="X72" s="1180"/>
      <c r="Y72" s="1180"/>
      <c r="Z72" s="1180"/>
      <c r="AA72" s="1180"/>
      <c r="AB72" s="1180"/>
      <c r="AC72" s="1180"/>
      <c r="AD72" s="1180"/>
      <c r="AE72" s="1180"/>
      <c r="AF72" s="1159"/>
      <c r="AG72" s="1159"/>
      <c r="AH72" s="1180"/>
      <c r="AI72" s="1156" t="s">
        <v>1486</v>
      </c>
      <c r="AJ72" s="338"/>
      <c r="AK72" s="338">
        <f t="shared" si="37"/>
        <v>0</v>
      </c>
      <c r="AL72" s="338">
        <f t="shared" si="38"/>
        <v>0</v>
      </c>
      <c r="AM72" s="338"/>
      <c r="AN72" s="338"/>
      <c r="AO72" s="338"/>
      <c r="AP72" s="338">
        <f t="shared" si="39"/>
        <v>0</v>
      </c>
      <c r="AQ72" s="338">
        <f t="shared" si="40"/>
        <v>0</v>
      </c>
      <c r="AR72" s="338"/>
      <c r="AS72" s="338">
        <f t="shared" si="41"/>
        <v>0</v>
      </c>
      <c r="AT72" s="338">
        <f t="shared" si="42"/>
        <v>0</v>
      </c>
      <c r="AU72" s="338"/>
      <c r="AV72" s="338"/>
      <c r="AW72" s="338"/>
      <c r="AX72" s="338"/>
      <c r="AY72" s="338"/>
      <c r="AZ72" s="338"/>
      <c r="BA72" s="338"/>
      <c r="BB72" s="338"/>
      <c r="BC72" s="338"/>
      <c r="BD72" s="338">
        <f t="shared" si="43"/>
        <v>0</v>
      </c>
      <c r="BE72" s="338">
        <f t="shared" si="44"/>
        <v>0</v>
      </c>
      <c r="BF72" s="338">
        <f t="shared" si="45"/>
        <v>0</v>
      </c>
      <c r="BG72" s="338">
        <f t="shared" si="46"/>
        <v>0</v>
      </c>
    </row>
    <row r="73" spans="1:59">
      <c r="A73" s="1156" t="s">
        <v>428</v>
      </c>
      <c r="B73" s="1156" t="s">
        <v>1267</v>
      </c>
      <c r="C73" s="1157">
        <v>11886</v>
      </c>
      <c r="D73" s="1157">
        <v>1014.13</v>
      </c>
      <c r="E73" s="1157">
        <v>0</v>
      </c>
      <c r="F73" s="1157">
        <v>0</v>
      </c>
      <c r="G73" s="1157">
        <v>3</v>
      </c>
      <c r="H73" s="1157">
        <v>7</v>
      </c>
      <c r="I73" s="1157">
        <v>7</v>
      </c>
      <c r="J73" s="1157">
        <v>0</v>
      </c>
      <c r="K73" s="1157">
        <v>0</v>
      </c>
      <c r="L73" s="1157">
        <v>11886</v>
      </c>
      <c r="M73" s="1157">
        <v>11886</v>
      </c>
      <c r="N73" s="1157">
        <v>3281</v>
      </c>
      <c r="O73" s="1157">
        <v>8605</v>
      </c>
      <c r="P73" s="1157">
        <v>0</v>
      </c>
      <c r="Q73" s="1157">
        <v>0</v>
      </c>
      <c r="R73" s="1157">
        <v>0</v>
      </c>
      <c r="S73" s="1157">
        <v>1047.5899999999999</v>
      </c>
      <c r="T73" s="1157">
        <v>1047.5921310000001</v>
      </c>
      <c r="U73" s="1158">
        <v>1047.5921310000001</v>
      </c>
      <c r="V73" s="1180">
        <v>0</v>
      </c>
      <c r="W73" s="1180">
        <v>3</v>
      </c>
      <c r="X73" s="1180">
        <v>0</v>
      </c>
      <c r="Y73" s="1180">
        <v>0</v>
      </c>
      <c r="Z73" s="1180">
        <v>0</v>
      </c>
      <c r="AA73" s="1180">
        <v>0</v>
      </c>
      <c r="AB73" s="1180">
        <v>0</v>
      </c>
      <c r="AC73" s="1180">
        <v>0</v>
      </c>
      <c r="AD73" s="1180">
        <v>0</v>
      </c>
      <c r="AE73" s="1180">
        <v>0</v>
      </c>
      <c r="AF73" s="1159">
        <v>-33.46</v>
      </c>
      <c r="AG73" s="1159">
        <v>-33.46</v>
      </c>
      <c r="AH73" s="1180">
        <v>0</v>
      </c>
      <c r="AI73" s="1156" t="s">
        <v>1486</v>
      </c>
      <c r="AJ73" s="338"/>
      <c r="AK73" s="338">
        <f t="shared" si="37"/>
        <v>-5</v>
      </c>
      <c r="AL73" s="338">
        <f t="shared" si="38"/>
        <v>5</v>
      </c>
      <c r="AM73" s="338"/>
      <c r="AN73" s="338"/>
      <c r="AO73" s="338"/>
      <c r="AP73" s="338">
        <f t="shared" si="39"/>
        <v>-2115.3938325991189</v>
      </c>
      <c r="AQ73" s="338">
        <f t="shared" si="40"/>
        <v>-6059.9400881057272</v>
      </c>
      <c r="AR73" s="338"/>
      <c r="AS73" s="338">
        <f t="shared" si="41"/>
        <v>2115.3938325991189</v>
      </c>
      <c r="AT73" s="338">
        <f t="shared" si="42"/>
        <v>6059.9400881057272</v>
      </c>
      <c r="AU73" s="338"/>
      <c r="AV73" s="338"/>
      <c r="AW73" s="338"/>
      <c r="AX73" s="338"/>
      <c r="AY73" s="338"/>
      <c r="AZ73" s="338"/>
      <c r="BA73" s="338"/>
      <c r="BB73" s="338"/>
      <c r="BC73" s="338"/>
      <c r="BD73" s="338">
        <f t="shared" si="43"/>
        <v>0</v>
      </c>
      <c r="BE73" s="338">
        <f t="shared" si="44"/>
        <v>0</v>
      </c>
      <c r="BF73" s="338">
        <f t="shared" si="45"/>
        <v>0</v>
      </c>
      <c r="BG73" s="338">
        <f t="shared" si="46"/>
        <v>0</v>
      </c>
    </row>
    <row r="74" spans="1:59">
      <c r="A74" s="1156" t="s">
        <v>428</v>
      </c>
      <c r="B74" s="1156" t="s">
        <v>896</v>
      </c>
      <c r="C74" s="1157">
        <v>6560</v>
      </c>
      <c r="D74" s="1157">
        <v>518.74</v>
      </c>
      <c r="E74" s="1157">
        <v>0</v>
      </c>
      <c r="F74" s="1157">
        <v>0</v>
      </c>
      <c r="G74" s="1157">
        <v>1</v>
      </c>
      <c r="H74" s="1157">
        <v>2</v>
      </c>
      <c r="I74" s="1157">
        <v>2</v>
      </c>
      <c r="J74" s="1157">
        <v>0</v>
      </c>
      <c r="K74" s="1157">
        <v>0</v>
      </c>
      <c r="L74" s="1157">
        <v>6560</v>
      </c>
      <c r="M74" s="1157">
        <v>6560</v>
      </c>
      <c r="N74" s="1157">
        <v>1500</v>
      </c>
      <c r="O74" s="1157">
        <v>5060</v>
      </c>
      <c r="P74" s="1157">
        <v>0</v>
      </c>
      <c r="Q74" s="1157">
        <v>0</v>
      </c>
      <c r="R74" s="1157">
        <v>0</v>
      </c>
      <c r="S74" s="1157">
        <v>536.16</v>
      </c>
      <c r="T74" s="1157">
        <v>536.16597999999999</v>
      </c>
      <c r="U74" s="1158">
        <v>536.16597999999999</v>
      </c>
      <c r="V74" s="1180">
        <v>0</v>
      </c>
      <c r="W74" s="1180">
        <v>0</v>
      </c>
      <c r="X74" s="1180">
        <v>0</v>
      </c>
      <c r="Y74" s="1180">
        <v>0</v>
      </c>
      <c r="Z74" s="1180">
        <v>0</v>
      </c>
      <c r="AA74" s="1180">
        <v>0</v>
      </c>
      <c r="AB74" s="1180">
        <v>0</v>
      </c>
      <c r="AC74" s="1180">
        <v>0</v>
      </c>
      <c r="AD74" s="1180">
        <v>0</v>
      </c>
      <c r="AE74" s="1180">
        <v>0</v>
      </c>
      <c r="AF74" s="1159">
        <v>-17.420000000000002</v>
      </c>
      <c r="AG74" s="1159">
        <v>-17.420000000000002</v>
      </c>
      <c r="AH74" s="1180">
        <v>0</v>
      </c>
      <c r="AI74" s="1156" t="s">
        <v>1486</v>
      </c>
      <c r="AJ74" s="338"/>
      <c r="AK74" s="338">
        <f t="shared" si="37"/>
        <v>-1.5173169880898987</v>
      </c>
      <c r="AL74" s="338">
        <f t="shared" si="38"/>
        <v>1.5173169880898987</v>
      </c>
      <c r="AM74" s="338"/>
      <c r="AN74" s="338"/>
      <c r="AO74" s="338"/>
      <c r="AP74" s="338">
        <f t="shared" si="39"/>
        <v>-1060.409090909091</v>
      </c>
      <c r="AQ74" s="338">
        <f t="shared" si="40"/>
        <v>-3916.431818181818</v>
      </c>
      <c r="AR74" s="338"/>
      <c r="AS74" s="338">
        <f t="shared" si="41"/>
        <v>1060.409090909091</v>
      </c>
      <c r="AT74" s="338">
        <f t="shared" si="42"/>
        <v>3916.431818181818</v>
      </c>
      <c r="AU74" s="338"/>
      <c r="AV74" s="338"/>
      <c r="AW74" s="338"/>
      <c r="AX74" s="338"/>
      <c r="AY74" s="338"/>
      <c r="AZ74" s="338"/>
      <c r="BA74" s="338"/>
      <c r="BB74" s="338"/>
      <c r="BC74" s="338"/>
      <c r="BD74" s="338">
        <f t="shared" si="43"/>
        <v>0</v>
      </c>
      <c r="BE74" s="338">
        <f t="shared" si="44"/>
        <v>0</v>
      </c>
      <c r="BF74" s="338">
        <f t="shared" si="45"/>
        <v>0</v>
      </c>
      <c r="BG74" s="338">
        <f t="shared" si="46"/>
        <v>0</v>
      </c>
    </row>
    <row r="75" spans="1:59">
      <c r="A75" s="1156" t="s">
        <v>428</v>
      </c>
      <c r="B75" s="1156" t="s">
        <v>1268</v>
      </c>
      <c r="C75" s="1157">
        <v>1385</v>
      </c>
      <c r="D75" s="1157">
        <v>184.13</v>
      </c>
      <c r="E75" s="1157">
        <v>0</v>
      </c>
      <c r="F75" s="1157">
        <v>0</v>
      </c>
      <c r="G75" s="1157">
        <v>2.7</v>
      </c>
      <c r="H75" s="1157">
        <v>0</v>
      </c>
      <c r="I75" s="1157">
        <v>0</v>
      </c>
      <c r="J75" s="1157">
        <v>0</v>
      </c>
      <c r="K75" s="1157">
        <v>0</v>
      </c>
      <c r="L75" s="1157">
        <v>1385</v>
      </c>
      <c r="M75" s="1157">
        <v>1385</v>
      </c>
      <c r="N75" s="1157">
        <v>1385</v>
      </c>
      <c r="O75" s="1157">
        <v>0</v>
      </c>
      <c r="P75" s="1157">
        <v>0</v>
      </c>
      <c r="Q75" s="1157">
        <v>0</v>
      </c>
      <c r="R75" s="1157">
        <v>0</v>
      </c>
      <c r="S75" s="1157">
        <v>189.51</v>
      </c>
      <c r="T75" s="1157">
        <v>189.51035999999999</v>
      </c>
      <c r="U75" s="1158">
        <v>189.51035999999999</v>
      </c>
      <c r="V75" s="1180">
        <v>0</v>
      </c>
      <c r="W75" s="1180">
        <v>0</v>
      </c>
      <c r="X75" s="1180">
        <v>0</v>
      </c>
      <c r="Y75" s="1180">
        <v>0</v>
      </c>
      <c r="Z75" s="1180">
        <v>0</v>
      </c>
      <c r="AA75" s="1180">
        <v>0</v>
      </c>
      <c r="AB75" s="1180">
        <v>0</v>
      </c>
      <c r="AC75" s="1180">
        <v>0</v>
      </c>
      <c r="AD75" s="1180">
        <v>0</v>
      </c>
      <c r="AE75" s="1180">
        <v>0</v>
      </c>
      <c r="AF75" s="1159">
        <v>-5.38</v>
      </c>
      <c r="AG75" s="1159">
        <v>-5.38</v>
      </c>
      <c r="AH75" s="1180">
        <v>0</v>
      </c>
      <c r="AI75" s="1156" t="s">
        <v>1486</v>
      </c>
      <c r="AJ75" s="338"/>
      <c r="AK75" s="338">
        <f t="shared" si="37"/>
        <v>0</v>
      </c>
      <c r="AL75" s="338">
        <f t="shared" si="38"/>
        <v>0</v>
      </c>
      <c r="AM75" s="338"/>
      <c r="AN75" s="338"/>
      <c r="AO75" s="338"/>
      <c r="AP75" s="338">
        <f t="shared" si="39"/>
        <v>-556.57030692362594</v>
      </c>
      <c r="AQ75" s="338">
        <f t="shared" si="40"/>
        <v>0</v>
      </c>
      <c r="AR75" s="338"/>
      <c r="AS75" s="338">
        <f t="shared" si="41"/>
        <v>556.57030692362594</v>
      </c>
      <c r="AT75" s="338">
        <f t="shared" si="42"/>
        <v>0</v>
      </c>
      <c r="AU75" s="338"/>
      <c r="AV75" s="338"/>
      <c r="AW75" s="338"/>
      <c r="AX75" s="338"/>
      <c r="AY75" s="338"/>
      <c r="AZ75" s="338"/>
      <c r="BA75" s="338"/>
      <c r="BB75" s="338"/>
      <c r="BC75" s="338"/>
      <c r="BD75" s="338">
        <f t="shared" si="43"/>
        <v>0</v>
      </c>
      <c r="BE75" s="338">
        <f t="shared" si="44"/>
        <v>0</v>
      </c>
      <c r="BF75" s="338">
        <f t="shared" si="45"/>
        <v>0</v>
      </c>
      <c r="BG75" s="338">
        <f t="shared" si="46"/>
        <v>0</v>
      </c>
    </row>
    <row r="76" spans="1:59">
      <c r="A76" s="1156" t="s">
        <v>428</v>
      </c>
      <c r="B76" s="1156" t="s">
        <v>895</v>
      </c>
      <c r="C76" s="1157">
        <v>7260516</v>
      </c>
      <c r="D76" s="1157">
        <v>841347.62</v>
      </c>
      <c r="E76" s="1157">
        <v>0</v>
      </c>
      <c r="F76" s="1157">
        <v>0</v>
      </c>
      <c r="G76" s="1157">
        <v>13841.773999999899</v>
      </c>
      <c r="H76" s="1157">
        <v>1631.16647398844</v>
      </c>
      <c r="I76" s="1157">
        <v>1631.16647398844</v>
      </c>
      <c r="J76" s="1157">
        <v>0</v>
      </c>
      <c r="K76" s="1157">
        <v>0</v>
      </c>
      <c r="L76" s="1157">
        <v>7260516</v>
      </c>
      <c r="M76" s="1157">
        <v>7259869</v>
      </c>
      <c r="N76" s="1157">
        <v>4563300</v>
      </c>
      <c r="O76" s="1157">
        <v>2696569</v>
      </c>
      <c r="P76" s="1157">
        <v>647</v>
      </c>
      <c r="Q76" s="1157">
        <v>489</v>
      </c>
      <c r="R76" s="1157">
        <v>158</v>
      </c>
      <c r="S76" s="1157">
        <v>865411.87</v>
      </c>
      <c r="T76" s="1157">
        <v>865417.47891299601</v>
      </c>
      <c r="U76" s="1158">
        <v>865417.47891299601</v>
      </c>
      <c r="V76" s="1180">
        <v>0</v>
      </c>
      <c r="W76" s="1180">
        <v>0</v>
      </c>
      <c r="X76" s="1180">
        <v>0</v>
      </c>
      <c r="Y76" s="1180">
        <v>0</v>
      </c>
      <c r="Z76" s="1180">
        <v>0</v>
      </c>
      <c r="AA76" s="1180">
        <v>0</v>
      </c>
      <c r="AB76" s="1180">
        <v>0</v>
      </c>
      <c r="AC76" s="1180">
        <v>0</v>
      </c>
      <c r="AD76" s="1180">
        <v>0</v>
      </c>
      <c r="AE76" s="1180">
        <v>0</v>
      </c>
      <c r="AF76" s="1159">
        <v>-24064.25</v>
      </c>
      <c r="AG76" s="1159">
        <v>-24064.25</v>
      </c>
      <c r="AH76" s="1180">
        <v>0</v>
      </c>
      <c r="AI76" s="1156" t="s">
        <v>1486</v>
      </c>
      <c r="AJ76" s="338"/>
      <c r="AK76" s="338">
        <f t="shared" si="37"/>
        <v>-789.45867388196382</v>
      </c>
      <c r="AL76" s="338">
        <f t="shared" si="38"/>
        <v>789.45867388196382</v>
      </c>
      <c r="AM76" s="338"/>
      <c r="AN76" s="338"/>
      <c r="AO76" s="338"/>
      <c r="AP76" s="338">
        <f t="shared" si="39"/>
        <v>-2431731.8041407517</v>
      </c>
      <c r="AQ76" s="338">
        <f t="shared" si="40"/>
        <v>-1149491.8027193209</v>
      </c>
      <c r="AR76" s="338"/>
      <c r="AS76" s="338">
        <f t="shared" si="41"/>
        <v>2431731.8041407517</v>
      </c>
      <c r="AT76" s="338">
        <f t="shared" si="42"/>
        <v>1149491.8027193209</v>
      </c>
      <c r="AU76" s="338"/>
      <c r="AV76" s="338"/>
      <c r="AW76" s="338"/>
      <c r="AX76" s="338"/>
      <c r="AY76" s="338"/>
      <c r="AZ76" s="338"/>
      <c r="BA76" s="338"/>
      <c r="BB76" s="338"/>
      <c r="BC76" s="338"/>
      <c r="BD76" s="338">
        <f t="shared" si="43"/>
        <v>0</v>
      </c>
      <c r="BE76" s="338">
        <f t="shared" si="44"/>
        <v>0</v>
      </c>
      <c r="BF76" s="338">
        <f t="shared" si="45"/>
        <v>0</v>
      </c>
      <c r="BG76" s="338">
        <f t="shared" si="46"/>
        <v>0</v>
      </c>
    </row>
    <row r="77" spans="1:59">
      <c r="A77" s="1156" t="s">
        <v>428</v>
      </c>
      <c r="B77" s="1156" t="s">
        <v>897</v>
      </c>
      <c r="C77" s="1157">
        <v>42762</v>
      </c>
      <c r="D77" s="1157">
        <v>8554.98</v>
      </c>
      <c r="E77" s="1157">
        <v>0</v>
      </c>
      <c r="F77" s="1157">
        <v>0</v>
      </c>
      <c r="G77" s="1157">
        <v>438.94799999999998</v>
      </c>
      <c r="H77" s="1157">
        <v>35.132947976878597</v>
      </c>
      <c r="I77" s="1157">
        <v>35.132947976878597</v>
      </c>
      <c r="J77" s="1157">
        <v>0</v>
      </c>
      <c r="K77" s="1157">
        <v>0</v>
      </c>
      <c r="L77" s="1157">
        <v>42762</v>
      </c>
      <c r="M77" s="1157">
        <v>42762</v>
      </c>
      <c r="N77" s="1157">
        <v>23107</v>
      </c>
      <c r="O77" s="1157">
        <v>19655</v>
      </c>
      <c r="P77" s="1157">
        <v>0</v>
      </c>
      <c r="Q77" s="1157">
        <v>0</v>
      </c>
      <c r="R77" s="1157">
        <v>0</v>
      </c>
      <c r="S77" s="1157">
        <v>8697.58</v>
      </c>
      <c r="T77" s="1157">
        <v>8697.6278170000005</v>
      </c>
      <c r="U77" s="1158">
        <v>8697.6278170000005</v>
      </c>
      <c r="V77" s="1180">
        <v>0</v>
      </c>
      <c r="W77" s="1180">
        <v>0</v>
      </c>
      <c r="X77" s="1180">
        <v>0</v>
      </c>
      <c r="Y77" s="1180">
        <v>0</v>
      </c>
      <c r="Z77" s="1180">
        <v>0</v>
      </c>
      <c r="AA77" s="1180">
        <v>0</v>
      </c>
      <c r="AB77" s="1180">
        <v>0</v>
      </c>
      <c r="AC77" s="1180">
        <v>0</v>
      </c>
      <c r="AD77" s="1180">
        <v>0</v>
      </c>
      <c r="AE77" s="1180">
        <v>0</v>
      </c>
      <c r="AF77" s="1159">
        <v>-142.6</v>
      </c>
      <c r="AG77" s="1159">
        <v>-142.6</v>
      </c>
      <c r="AH77" s="1180">
        <v>0</v>
      </c>
      <c r="AI77" s="1156" t="s">
        <v>1486</v>
      </c>
      <c r="AJ77" s="338"/>
      <c r="AK77" s="338">
        <f t="shared" si="37"/>
        <v>-30.285385625083745</v>
      </c>
      <c r="AL77" s="338">
        <f t="shared" si="38"/>
        <v>30.285385625083745</v>
      </c>
      <c r="AM77" s="338"/>
      <c r="AN77" s="338"/>
      <c r="AO77" s="338"/>
      <c r="AP77" s="338">
        <f t="shared" si="39"/>
        <v>-14998.722788663901</v>
      </c>
      <c r="AQ77" s="338">
        <f t="shared" si="40"/>
        <v>-11556.163789052123</v>
      </c>
      <c r="AR77" s="338"/>
      <c r="AS77" s="338">
        <f t="shared" si="41"/>
        <v>14998.722788663901</v>
      </c>
      <c r="AT77" s="338">
        <f t="shared" si="42"/>
        <v>11556.163789052123</v>
      </c>
      <c r="AU77" s="338"/>
      <c r="AV77" s="338"/>
      <c r="AW77" s="338"/>
      <c r="AX77" s="338"/>
      <c r="AY77" s="338"/>
      <c r="AZ77" s="338"/>
      <c r="BA77" s="338"/>
      <c r="BB77" s="338"/>
      <c r="BC77" s="338"/>
      <c r="BD77" s="338">
        <f t="shared" si="43"/>
        <v>0</v>
      </c>
      <c r="BE77" s="338">
        <f t="shared" si="44"/>
        <v>0</v>
      </c>
      <c r="BF77" s="338">
        <f t="shared" si="45"/>
        <v>0</v>
      </c>
      <c r="BG77" s="338">
        <f t="shared" si="46"/>
        <v>0</v>
      </c>
    </row>
    <row r="78" spans="1:59">
      <c r="A78" s="1156" t="s">
        <v>428</v>
      </c>
      <c r="B78" s="1160" t="s">
        <v>1166</v>
      </c>
      <c r="C78" s="1161">
        <v>8324</v>
      </c>
      <c r="D78" s="1161">
        <v>641.6</v>
      </c>
      <c r="E78" s="1161">
        <v>-2874</v>
      </c>
      <c r="F78" s="1161">
        <v>0</v>
      </c>
      <c r="G78" s="1161">
        <v>17</v>
      </c>
      <c r="H78" s="1161">
        <v>0</v>
      </c>
      <c r="I78" s="1161">
        <v>0</v>
      </c>
      <c r="J78" s="1161">
        <v>0</v>
      </c>
      <c r="K78" s="1161">
        <v>0</v>
      </c>
      <c r="L78" s="1161">
        <v>5450</v>
      </c>
      <c r="M78" s="1161">
        <v>0</v>
      </c>
      <c r="N78" s="1161">
        <v>0</v>
      </c>
      <c r="O78" s="1161">
        <v>0</v>
      </c>
      <c r="P78" s="1161">
        <v>0</v>
      </c>
      <c r="Q78" s="1161">
        <v>0</v>
      </c>
      <c r="R78" s="1161">
        <v>0</v>
      </c>
      <c r="S78" s="1161">
        <v>657.75</v>
      </c>
      <c r="T78" s="1161">
        <v>657.78627200000005</v>
      </c>
      <c r="U78" s="1162">
        <v>657.78627200000005</v>
      </c>
      <c r="V78" s="1165">
        <v>3600</v>
      </c>
      <c r="W78" s="1165">
        <v>0</v>
      </c>
      <c r="X78" s="1165">
        <v>4652</v>
      </c>
      <c r="Y78" s="1165">
        <v>1052</v>
      </c>
      <c r="Z78" s="1165">
        <v>1052</v>
      </c>
      <c r="AA78" s="1165">
        <v>0</v>
      </c>
      <c r="AB78" s="1165">
        <v>1052</v>
      </c>
      <c r="AC78" s="1165">
        <v>0</v>
      </c>
      <c r="AD78" s="1165">
        <v>0</v>
      </c>
      <c r="AE78" s="1165">
        <v>0</v>
      </c>
      <c r="AF78" s="1163">
        <v>-16.149999999999999</v>
      </c>
      <c r="AG78" s="1163">
        <v>-16.149999999999999</v>
      </c>
      <c r="AH78" s="1165">
        <v>0</v>
      </c>
      <c r="AI78" s="1156" t="s">
        <v>1486</v>
      </c>
      <c r="AJ78" s="338"/>
      <c r="AK78" s="338">
        <f t="shared" si="37"/>
        <v>0</v>
      </c>
      <c r="AL78" s="338">
        <f t="shared" si="38"/>
        <v>0</v>
      </c>
      <c r="AM78" s="338"/>
      <c r="AN78" s="338"/>
      <c r="AO78" s="338"/>
      <c r="AP78" s="338">
        <f t="shared" si="39"/>
        <v>0</v>
      </c>
      <c r="AQ78" s="338">
        <f t="shared" si="40"/>
        <v>0</v>
      </c>
      <c r="AR78" s="338"/>
      <c r="AS78" s="338">
        <f t="shared" si="41"/>
        <v>0</v>
      </c>
      <c r="AT78" s="338">
        <f t="shared" si="42"/>
        <v>0</v>
      </c>
      <c r="AU78" s="338"/>
      <c r="AV78" s="338"/>
      <c r="AW78" s="338"/>
      <c r="AX78" s="338"/>
      <c r="AY78" s="338"/>
      <c r="AZ78" s="338"/>
      <c r="BA78" s="338"/>
      <c r="BB78" s="338"/>
      <c r="BC78" s="338"/>
      <c r="BD78" s="338">
        <f t="shared" si="43"/>
        <v>-398.24857468643103</v>
      </c>
      <c r="BE78" s="338">
        <f t="shared" si="44"/>
        <v>0</v>
      </c>
      <c r="BF78" s="338">
        <f t="shared" si="45"/>
        <v>398.24857468643103</v>
      </c>
      <c r="BG78" s="338">
        <f t="shared" si="46"/>
        <v>0</v>
      </c>
    </row>
  </sheetData>
  <pageMargins left="1" right="1" top="1.8220000000000001" bottom="1.544" header="1" footer="1"/>
  <pageSetup orientation="landscape" r:id="rId1"/>
  <headerFooter alignWithMargins="0">
    <oddHeader>&amp;L&amp;C&amp;B&amp;"Times New Roman"&amp;14Utah Schedule 23 Billing Determinants
12 Months Ending September 2005&amp;R&amp;"Arial"&amp;8Date: 12/15/2005</oddHeader>
    <oddFooter>&amp;L&amp;C&amp;"Arial"&amp;10Page &amp;P&amp;R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92D050"/>
  </sheetPr>
  <dimension ref="A1:AK11"/>
  <sheetViews>
    <sheetView workbookViewId="0">
      <selection activeCell="W28" sqref="W28"/>
    </sheetView>
  </sheetViews>
  <sheetFormatPr defaultColWidth="8" defaultRowHeight="12.75"/>
  <cols>
    <col min="1" max="1" width="6.125" style="140" bestFit="1" customWidth="1"/>
    <col min="2" max="2" width="11.125" style="140" bestFit="1" customWidth="1"/>
    <col min="3" max="3" width="8.625" style="140" bestFit="1" customWidth="1"/>
    <col min="4" max="4" width="8.125" style="140" bestFit="1" customWidth="1"/>
    <col min="5" max="5" width="10.125" style="140" bestFit="1" customWidth="1"/>
    <col min="6" max="6" width="9.125" style="140" bestFit="1" customWidth="1"/>
    <col min="7" max="7" width="8.625" style="140" bestFit="1" customWidth="1"/>
    <col min="8" max="8" width="7.75" style="140" bestFit="1" customWidth="1"/>
    <col min="9" max="9" width="5.125" style="140" bestFit="1" customWidth="1"/>
    <col min="10" max="10" width="6.75" style="140" bestFit="1" customWidth="1"/>
    <col min="11" max="11" width="7" style="140" bestFit="1" customWidth="1"/>
    <col min="12" max="12" width="8.125" style="140" bestFit="1" customWidth="1"/>
    <col min="13" max="13" width="7.25" style="140" bestFit="1" customWidth="1"/>
    <col min="14" max="14" width="8.625" style="140" bestFit="1" customWidth="1"/>
    <col min="15" max="15" width="9.125" style="140" bestFit="1" customWidth="1"/>
    <col min="16" max="16" width="7.125" style="140" bestFit="1" customWidth="1"/>
    <col min="17" max="17" width="8.25" style="140" bestFit="1" customWidth="1"/>
    <col min="18" max="18" width="11" style="140" bestFit="1" customWidth="1"/>
    <col min="19" max="19" width="5.625" style="140" bestFit="1" customWidth="1"/>
    <col min="20" max="20" width="7.125" style="140" bestFit="1" customWidth="1"/>
    <col min="21" max="21" width="7.625" style="140" bestFit="1" customWidth="1"/>
    <col min="22" max="22" width="6.75" style="140" bestFit="1" customWidth="1"/>
    <col min="23" max="23" width="7.125" style="140" bestFit="1" customWidth="1"/>
    <col min="24" max="24" width="7.75" style="140" bestFit="1" customWidth="1"/>
    <col min="25" max="25" width="9.125" style="140" bestFit="1" customWidth="1"/>
    <col min="26" max="26" width="11.125" style="140" bestFit="1" customWidth="1"/>
    <col min="27" max="28" width="10.125" style="140" bestFit="1" customWidth="1"/>
    <col min="29" max="29" width="11.125" style="140" bestFit="1" customWidth="1"/>
    <col min="30" max="30" width="10.125" style="140" bestFit="1" customWidth="1"/>
    <col min="31" max="31" width="10.625" style="140" bestFit="1" customWidth="1"/>
    <col min="32" max="34" width="10.125" style="140" bestFit="1" customWidth="1"/>
    <col min="35" max="35" width="8" style="140"/>
    <col min="36" max="37" width="8.125" style="140" bestFit="1" customWidth="1"/>
    <col min="38" max="16384" width="8" style="140"/>
  </cols>
  <sheetData>
    <row r="1" spans="1:37" ht="13.5" customHeight="1">
      <c r="A1" s="1155" t="s">
        <v>191</v>
      </c>
      <c r="B1" s="1155" t="s">
        <v>192</v>
      </c>
      <c r="C1" s="1155" t="s">
        <v>303</v>
      </c>
      <c r="D1" s="1155" t="s">
        <v>763</v>
      </c>
      <c r="E1" s="1155" t="s">
        <v>125</v>
      </c>
      <c r="F1" s="1155" t="s">
        <v>126</v>
      </c>
      <c r="G1" s="1155" t="s">
        <v>127</v>
      </c>
      <c r="H1" s="1155" t="s">
        <v>128</v>
      </c>
      <c r="I1" s="1155" t="s">
        <v>72</v>
      </c>
      <c r="J1" s="1155" t="s">
        <v>258</v>
      </c>
      <c r="K1" s="1155" t="s">
        <v>642</v>
      </c>
      <c r="L1" s="1155" t="s">
        <v>259</v>
      </c>
      <c r="M1" s="1155" t="s">
        <v>643</v>
      </c>
      <c r="N1" s="1155" t="s">
        <v>1016</v>
      </c>
      <c r="O1" s="1155" t="s">
        <v>1017</v>
      </c>
      <c r="P1" s="1155" t="s">
        <v>644</v>
      </c>
      <c r="Q1" s="1155" t="s">
        <v>1018</v>
      </c>
      <c r="R1" s="1155" t="s">
        <v>1019</v>
      </c>
      <c r="S1" s="1155" t="s">
        <v>260</v>
      </c>
      <c r="T1" s="1155" t="s">
        <v>1020</v>
      </c>
      <c r="U1" s="1155" t="s">
        <v>1021</v>
      </c>
      <c r="V1" s="1155" t="s">
        <v>73</v>
      </c>
      <c r="W1" s="1155" t="s">
        <v>645</v>
      </c>
      <c r="X1" s="1155" t="s">
        <v>646</v>
      </c>
      <c r="Y1" s="1155" t="s">
        <v>647</v>
      </c>
      <c r="Z1" s="1155" t="s">
        <v>70</v>
      </c>
      <c r="AA1" s="1155" t="s">
        <v>632</v>
      </c>
      <c r="AB1" s="1155" t="s">
        <v>648</v>
      </c>
      <c r="AC1" s="1155" t="s">
        <v>649</v>
      </c>
      <c r="AD1" s="1155" t="s">
        <v>71</v>
      </c>
      <c r="AE1" s="1155" t="s">
        <v>619</v>
      </c>
      <c r="AF1" s="1155" t="s">
        <v>796</v>
      </c>
      <c r="AG1" s="1155" t="s">
        <v>1225</v>
      </c>
      <c r="AH1" s="1155" t="s">
        <v>1256</v>
      </c>
    </row>
    <row r="2" spans="1:37" ht="14.25" customHeight="1">
      <c r="A2" s="1156" t="s">
        <v>429</v>
      </c>
      <c r="B2" s="1156" t="s">
        <v>131</v>
      </c>
      <c r="C2" s="1156" t="s">
        <v>460</v>
      </c>
      <c r="D2" s="1156" t="s">
        <v>572</v>
      </c>
      <c r="E2" s="1157">
        <v>15432000</v>
      </c>
      <c r="F2" s="1157">
        <v>1295057.26</v>
      </c>
      <c r="G2" s="1157">
        <v>213600</v>
      </c>
      <c r="H2" s="1157">
        <v>5692.02</v>
      </c>
      <c r="I2" s="1157">
        <v>24</v>
      </c>
      <c r="J2" s="1157">
        <v>36600</v>
      </c>
      <c r="K2" s="1157">
        <v>29129</v>
      </c>
      <c r="L2" s="1157">
        <v>132722</v>
      </c>
      <c r="M2" s="1157">
        <v>130772</v>
      </c>
      <c r="N2" s="1180">
        <v>87126</v>
      </c>
      <c r="O2" s="1180">
        <v>43646</v>
      </c>
      <c r="P2" s="1157">
        <v>1950</v>
      </c>
      <c r="Q2" s="1180">
        <v>1950</v>
      </c>
      <c r="R2" s="1180">
        <v>0</v>
      </c>
      <c r="S2" s="1157">
        <v>787</v>
      </c>
      <c r="T2" s="1180">
        <v>183</v>
      </c>
      <c r="U2" s="1180">
        <v>604</v>
      </c>
      <c r="V2" s="1157">
        <v>29038</v>
      </c>
      <c r="W2" s="1157">
        <v>3500</v>
      </c>
      <c r="X2" s="1157">
        <v>25538</v>
      </c>
      <c r="Y2" s="1157">
        <v>29038</v>
      </c>
      <c r="Z2" s="1157">
        <v>15645600</v>
      </c>
      <c r="AA2" s="1157">
        <v>1183200</v>
      </c>
      <c r="AB2" s="1157">
        <v>5407200</v>
      </c>
      <c r="AC2" s="1157">
        <v>9055200</v>
      </c>
      <c r="AD2" s="1157">
        <v>1332075.33</v>
      </c>
      <c r="AE2" s="1157">
        <v>1332075.3063999999</v>
      </c>
      <c r="AF2" s="1158">
        <v>1332075.3063999999</v>
      </c>
      <c r="AG2" s="1159">
        <v>-31326.05</v>
      </c>
      <c r="AH2" s="1159">
        <v>-29428.58</v>
      </c>
      <c r="AJ2" s="889">
        <f>AE2-AD2</f>
        <v>-2.3600000189617276E-2</v>
      </c>
      <c r="AK2" s="889">
        <f>AH2-AG2</f>
        <v>1897.4699999999975</v>
      </c>
    </row>
    <row r="3" spans="1:37" s="156" customFormat="1" ht="14.25" customHeight="1">
      <c r="A3" s="371"/>
      <c r="B3" s="371"/>
      <c r="C3" s="1156" t="s">
        <v>304</v>
      </c>
      <c r="D3" s="1156" t="s">
        <v>155</v>
      </c>
      <c r="E3" s="1157">
        <v>119054047</v>
      </c>
      <c r="F3" s="1157">
        <v>6970730.04</v>
      </c>
      <c r="G3" s="1157">
        <v>0</v>
      </c>
      <c r="H3" s="1157">
        <v>0</v>
      </c>
      <c r="I3" s="1157">
        <v>23</v>
      </c>
      <c r="J3" s="1157">
        <v>66100</v>
      </c>
      <c r="K3" s="1157">
        <v>180394</v>
      </c>
      <c r="L3" s="1157">
        <v>433535</v>
      </c>
      <c r="M3" s="1157">
        <v>433535</v>
      </c>
      <c r="N3" s="1180">
        <v>334142</v>
      </c>
      <c r="O3" s="1180">
        <v>99393</v>
      </c>
      <c r="P3" s="1157">
        <v>0</v>
      </c>
      <c r="Q3" s="1180">
        <v>0</v>
      </c>
      <c r="R3" s="1180">
        <v>0</v>
      </c>
      <c r="S3" s="1157">
        <v>9722</v>
      </c>
      <c r="T3" s="1180">
        <v>8738</v>
      </c>
      <c r="U3" s="1180">
        <v>984</v>
      </c>
      <c r="V3" s="1157">
        <v>177309</v>
      </c>
      <c r="W3" s="1157">
        <v>83770</v>
      </c>
      <c r="X3" s="1157">
        <v>93539</v>
      </c>
      <c r="Y3" s="1157">
        <v>0</v>
      </c>
      <c r="Z3" s="1157">
        <v>119054047</v>
      </c>
      <c r="AA3" s="1157">
        <v>15095059</v>
      </c>
      <c r="AB3" s="1157">
        <v>28070620</v>
      </c>
      <c r="AC3" s="1157">
        <v>75888368</v>
      </c>
      <c r="AD3" s="1157">
        <v>7157842.7999999998</v>
      </c>
      <c r="AE3" s="1157">
        <v>7157842.7683089999</v>
      </c>
      <c r="AF3" s="1158">
        <v>7157842.7683089999</v>
      </c>
      <c r="AG3" s="1159">
        <v>-187112.76</v>
      </c>
      <c r="AH3" s="1159">
        <v>-187112.76</v>
      </c>
      <c r="AJ3" s="889">
        <f t="shared" ref="AJ3:AJ4" si="0">AE3-AD3</f>
        <v>-3.1690999865531921E-2</v>
      </c>
      <c r="AK3" s="889">
        <f t="shared" ref="AK3:AK4" si="1">AH3-AG3</f>
        <v>0</v>
      </c>
    </row>
    <row r="4" spans="1:37" s="156" customFormat="1" ht="14.25" customHeight="1">
      <c r="A4" s="1160" t="s">
        <v>438</v>
      </c>
      <c r="B4" s="1160" t="s">
        <v>131</v>
      </c>
      <c r="C4" s="1160" t="s">
        <v>304</v>
      </c>
      <c r="D4" s="1160" t="s">
        <v>155</v>
      </c>
      <c r="E4" s="1161">
        <v>49625166</v>
      </c>
      <c r="F4" s="1161">
        <v>3757081.15</v>
      </c>
      <c r="G4" s="1161">
        <v>781943</v>
      </c>
      <c r="H4" s="1161">
        <v>-52696.12</v>
      </c>
      <c r="I4" s="1161">
        <v>36</v>
      </c>
      <c r="J4" s="1161">
        <v>189039</v>
      </c>
      <c r="K4" s="1161">
        <v>91799</v>
      </c>
      <c r="L4" s="1161">
        <v>660825</v>
      </c>
      <c r="M4" s="1161">
        <v>551325</v>
      </c>
      <c r="N4" s="1165">
        <v>406339</v>
      </c>
      <c r="O4" s="1165">
        <v>144986</v>
      </c>
      <c r="P4" s="1161">
        <v>109500</v>
      </c>
      <c r="Q4" s="1165">
        <v>0</v>
      </c>
      <c r="R4" s="1165">
        <v>109500</v>
      </c>
      <c r="S4" s="1161">
        <v>0</v>
      </c>
      <c r="T4" s="1165">
        <v>0</v>
      </c>
      <c r="U4" s="1165">
        <v>0</v>
      </c>
      <c r="V4" s="1161">
        <v>90466</v>
      </c>
      <c r="W4" s="1161">
        <v>32617</v>
      </c>
      <c r="X4" s="1161">
        <v>57849</v>
      </c>
      <c r="Y4" s="1161">
        <v>0</v>
      </c>
      <c r="Z4" s="1161">
        <v>50407109</v>
      </c>
      <c r="AA4" s="1161">
        <v>5576884</v>
      </c>
      <c r="AB4" s="1161">
        <v>13917897</v>
      </c>
      <c r="AC4" s="1161">
        <v>30912328</v>
      </c>
      <c r="AD4" s="1161">
        <v>3789104.79</v>
      </c>
      <c r="AE4" s="1161">
        <v>3789104.773337</v>
      </c>
      <c r="AF4" s="1162">
        <v>3789104.773337</v>
      </c>
      <c r="AG4" s="1163">
        <v>-84719.76</v>
      </c>
      <c r="AH4" s="1163">
        <v>-82490.81</v>
      </c>
      <c r="AJ4" s="889">
        <f t="shared" si="0"/>
        <v>-1.6662999987602234E-2</v>
      </c>
      <c r="AK4" s="889">
        <f t="shared" si="1"/>
        <v>2228.9499999999971</v>
      </c>
    </row>
    <row r="5" spans="1:37" s="156" customFormat="1" ht="14.25" customHeight="1">
      <c r="A5" s="525"/>
      <c r="B5" s="525"/>
      <c r="C5" s="525"/>
      <c r="D5" s="525"/>
      <c r="E5" s="524">
        <f t="shared" ref="E5:AF5" si="2">SUM(E2:E4)</f>
        <v>184111213</v>
      </c>
      <c r="F5" s="524">
        <f t="shared" si="2"/>
        <v>12022868.449999999</v>
      </c>
      <c r="G5" s="524">
        <f t="shared" si="2"/>
        <v>995543</v>
      </c>
      <c r="H5" s="524">
        <f t="shared" si="2"/>
        <v>-47004.100000000006</v>
      </c>
      <c r="I5" s="524">
        <f t="shared" si="2"/>
        <v>83</v>
      </c>
      <c r="J5" s="524">
        <f t="shared" si="2"/>
        <v>291739</v>
      </c>
      <c r="K5" s="524">
        <f t="shared" si="2"/>
        <v>301322</v>
      </c>
      <c r="L5" s="524">
        <f t="shared" si="2"/>
        <v>1227082</v>
      </c>
      <c r="M5" s="524">
        <f t="shared" si="2"/>
        <v>1115632</v>
      </c>
      <c r="N5" s="524">
        <f t="shared" si="2"/>
        <v>827607</v>
      </c>
      <c r="O5" s="524">
        <f t="shared" si="2"/>
        <v>288025</v>
      </c>
      <c r="P5" s="524">
        <f t="shared" si="2"/>
        <v>111450</v>
      </c>
      <c r="Q5" s="524">
        <f t="shared" si="2"/>
        <v>1950</v>
      </c>
      <c r="R5" s="524">
        <f t="shared" si="2"/>
        <v>109500</v>
      </c>
      <c r="S5" s="524">
        <f t="shared" si="2"/>
        <v>10509</v>
      </c>
      <c r="T5" s="524">
        <f t="shared" si="2"/>
        <v>8921</v>
      </c>
      <c r="U5" s="524">
        <f t="shared" si="2"/>
        <v>1588</v>
      </c>
      <c r="V5" s="524">
        <f t="shared" si="2"/>
        <v>296813</v>
      </c>
      <c r="W5" s="524">
        <f t="shared" si="2"/>
        <v>119887</v>
      </c>
      <c r="X5" s="524">
        <f t="shared" si="2"/>
        <v>176926</v>
      </c>
      <c r="Y5" s="524">
        <f t="shared" si="2"/>
        <v>29038</v>
      </c>
      <c r="Z5" s="524">
        <f t="shared" si="2"/>
        <v>185106756</v>
      </c>
      <c r="AA5" s="524">
        <f t="shared" si="2"/>
        <v>21855143</v>
      </c>
      <c r="AB5" s="524">
        <f t="shared" si="2"/>
        <v>47395717</v>
      </c>
      <c r="AC5" s="524">
        <f t="shared" si="2"/>
        <v>115855896</v>
      </c>
      <c r="AD5" s="524">
        <f t="shared" si="2"/>
        <v>12279022.919999998</v>
      </c>
      <c r="AE5" s="524">
        <f t="shared" si="2"/>
        <v>12279022.848046001</v>
      </c>
      <c r="AF5" s="524">
        <f t="shared" si="2"/>
        <v>12279022.848046001</v>
      </c>
      <c r="AG5" s="524">
        <f t="shared" ref="AG5:AH5" si="3">SUM(AG2:AG4)</f>
        <v>-303158.57</v>
      </c>
      <c r="AH5" s="524">
        <f t="shared" si="3"/>
        <v>-299032.15000000002</v>
      </c>
    </row>
    <row r="6" spans="1:37" s="156" customFormat="1" ht="14.25" customHeight="1">
      <c r="A6" s="140"/>
      <c r="B6" s="140"/>
      <c r="C6" s="140"/>
      <c r="D6" s="140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544"/>
      <c r="AA6" s="544"/>
      <c r="AB6" s="544"/>
      <c r="AC6" s="129"/>
      <c r="AD6" s="129"/>
    </row>
    <row r="7" spans="1:37" ht="13.35" customHeight="1">
      <c r="Y7" s="659" t="s">
        <v>418</v>
      </c>
      <c r="Z7" s="712">
        <v>0</v>
      </c>
      <c r="AD7" s="659" t="s">
        <v>418</v>
      </c>
      <c r="AE7" s="660">
        <v>0</v>
      </c>
    </row>
    <row r="8" spans="1:37">
      <c r="U8" s="582"/>
      <c r="V8" s="582"/>
      <c r="Y8" s="661" t="s">
        <v>136</v>
      </c>
      <c r="Z8" s="713">
        <f>'Blocking-Step2'!C2330</f>
        <v>-102498</v>
      </c>
      <c r="AD8" s="661" t="s">
        <v>136</v>
      </c>
      <c r="AE8" s="662">
        <f>'Blocking-Step2'!H2330</f>
        <v>-7456</v>
      </c>
      <c r="AG8" s="884" t="s">
        <v>1241</v>
      </c>
    </row>
    <row r="9" spans="1:37">
      <c r="U9" s="582"/>
      <c r="V9" s="582"/>
      <c r="Y9" s="661" t="s">
        <v>411</v>
      </c>
      <c r="Z9" s="713">
        <f>'Blocking-Step2'!C2331</f>
        <v>185004258</v>
      </c>
      <c r="AD9" s="661" t="s">
        <v>411</v>
      </c>
      <c r="AE9" s="662">
        <f>'Blocking-Step2'!H2331</f>
        <v>11977915.772700001</v>
      </c>
      <c r="AG9" s="883">
        <f>'Blocking-Step2'!H2312+'Blocking-Step2'!H2327</f>
        <v>-293651.22729999997</v>
      </c>
    </row>
    <row r="10" spans="1:37">
      <c r="U10" s="583"/>
      <c r="V10" s="583"/>
      <c r="Y10" s="663" t="s">
        <v>498</v>
      </c>
      <c r="Z10" s="714">
        <f>Z9-Z5-Z7-Z8</f>
        <v>0</v>
      </c>
      <c r="AD10" s="663" t="s">
        <v>498</v>
      </c>
      <c r="AE10" s="664">
        <f>AE9-AE5-AE7-AE8-AG9</f>
        <v>0.15195399947697297</v>
      </c>
    </row>
    <row r="11" spans="1:37">
      <c r="T11" s="156"/>
      <c r="U11" s="583"/>
      <c r="V11" s="583"/>
    </row>
  </sheetData>
  <phoneticPr fontId="8" type="noConversion"/>
  <pageMargins left="1" right="1" top="1.82" bottom="1.54" header="1" footer="1"/>
  <pageSetup orientation="landscape" r:id="rId1"/>
  <headerFooter alignWithMargins="0">
    <oddHeader>&amp;L&amp;C&amp;B&amp;"Times New Roman"&amp;14Utah Schedule 31 Billing Determinants
12 Months Ending September 2005&amp;R&amp;"Arial"&amp;8Date: 12/30/2005</oddHeader>
    <oddFooter>&amp;L&amp;C&amp;"Arial"&amp;10Page &amp;P&amp;R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"/>
  <sheetViews>
    <sheetView workbookViewId="0">
      <selection activeCell="C24" sqref="C24"/>
    </sheetView>
  </sheetViews>
  <sheetFormatPr defaultRowHeight="12.75"/>
  <cols>
    <col min="1" max="1" width="29.25" style="1130" customWidth="1"/>
    <col min="2" max="2" width="32.125" style="1130" customWidth="1"/>
    <col min="3" max="3" width="11" style="1130" customWidth="1"/>
    <col min="4" max="4" width="9.125" style="1130" customWidth="1"/>
    <col min="5" max="5" width="11" style="1130" customWidth="1"/>
    <col min="6" max="6" width="10.125" style="1130" customWidth="1"/>
    <col min="7" max="7" width="6.25" style="1130" customWidth="1"/>
    <col min="8" max="8" width="9.125" style="1130" customWidth="1"/>
    <col min="9" max="9" width="6.25" style="1130" customWidth="1"/>
    <col min="10" max="11" width="8.25" style="1130" customWidth="1"/>
    <col min="12" max="12" width="9.125" style="1130" customWidth="1"/>
    <col min="13" max="13" width="11.75" style="1130" customWidth="1"/>
    <col min="14" max="14" width="11" style="1130" customWidth="1"/>
    <col min="15" max="15" width="11.75" style="1130" customWidth="1"/>
    <col min="16" max="16" width="12.75" style="1130" customWidth="1"/>
    <col min="17" max="17" width="11" style="1130" customWidth="1"/>
    <col min="18" max="19" width="8.25" style="1130" customWidth="1"/>
    <col min="20" max="20" width="10.125" style="1130" customWidth="1"/>
    <col min="21" max="23" width="9.125" style="1130" customWidth="1"/>
    <col min="24" max="24" width="11" style="1130" customWidth="1"/>
    <col min="25" max="25" width="11.75" style="1130" customWidth="1"/>
    <col min="26" max="26" width="7.25" style="1130" customWidth="1"/>
    <col min="27" max="27" width="9.125" style="1130" customWidth="1"/>
    <col min="28" max="28" width="10.125" style="1130" customWidth="1"/>
    <col min="29" max="29" width="9.125" style="1130" customWidth="1"/>
    <col min="30" max="30" width="11.75" style="1130" customWidth="1"/>
    <col min="31" max="256" width="8.625" style="1130"/>
    <col min="257" max="257" width="29.25" style="1130" customWidth="1"/>
    <col min="258" max="258" width="32.125" style="1130" customWidth="1"/>
    <col min="259" max="259" width="11" style="1130" customWidth="1"/>
    <col min="260" max="260" width="9.125" style="1130" customWidth="1"/>
    <col min="261" max="261" width="11" style="1130" customWidth="1"/>
    <col min="262" max="262" width="10.125" style="1130" customWidth="1"/>
    <col min="263" max="263" width="6.25" style="1130" customWidth="1"/>
    <col min="264" max="264" width="9.125" style="1130" customWidth="1"/>
    <col min="265" max="265" width="6.25" style="1130" customWidth="1"/>
    <col min="266" max="267" width="8.25" style="1130" customWidth="1"/>
    <col min="268" max="268" width="9.125" style="1130" customWidth="1"/>
    <col min="269" max="269" width="11.75" style="1130" customWidth="1"/>
    <col min="270" max="270" width="11" style="1130" customWidth="1"/>
    <col min="271" max="271" width="11.75" style="1130" customWidth="1"/>
    <col min="272" max="272" width="12.75" style="1130" customWidth="1"/>
    <col min="273" max="273" width="11" style="1130" customWidth="1"/>
    <col min="274" max="275" width="8.25" style="1130" customWidth="1"/>
    <col min="276" max="276" width="10.125" style="1130" customWidth="1"/>
    <col min="277" max="279" width="9.125" style="1130" customWidth="1"/>
    <col min="280" max="280" width="11" style="1130" customWidth="1"/>
    <col min="281" max="281" width="11.75" style="1130" customWidth="1"/>
    <col min="282" max="282" width="7.25" style="1130" customWidth="1"/>
    <col min="283" max="283" width="9.125" style="1130" customWidth="1"/>
    <col min="284" max="284" width="10.125" style="1130" customWidth="1"/>
    <col min="285" max="285" width="9.125" style="1130" customWidth="1"/>
    <col min="286" max="286" width="11.75" style="1130" customWidth="1"/>
    <col min="287" max="512" width="8.625" style="1130"/>
    <col min="513" max="513" width="29.25" style="1130" customWidth="1"/>
    <col min="514" max="514" width="32.125" style="1130" customWidth="1"/>
    <col min="515" max="515" width="11" style="1130" customWidth="1"/>
    <col min="516" max="516" width="9.125" style="1130" customWidth="1"/>
    <col min="517" max="517" width="11" style="1130" customWidth="1"/>
    <col min="518" max="518" width="10.125" style="1130" customWidth="1"/>
    <col min="519" max="519" width="6.25" style="1130" customWidth="1"/>
    <col min="520" max="520" width="9.125" style="1130" customWidth="1"/>
    <col min="521" max="521" width="6.25" style="1130" customWidth="1"/>
    <col min="522" max="523" width="8.25" style="1130" customWidth="1"/>
    <col min="524" max="524" width="9.125" style="1130" customWidth="1"/>
    <col min="525" max="525" width="11.75" style="1130" customWidth="1"/>
    <col min="526" max="526" width="11" style="1130" customWidth="1"/>
    <col min="527" max="527" width="11.75" style="1130" customWidth="1"/>
    <col min="528" max="528" width="12.75" style="1130" customWidth="1"/>
    <col min="529" max="529" width="11" style="1130" customWidth="1"/>
    <col min="530" max="531" width="8.25" style="1130" customWidth="1"/>
    <col min="532" max="532" width="10.125" style="1130" customWidth="1"/>
    <col min="533" max="535" width="9.125" style="1130" customWidth="1"/>
    <col min="536" max="536" width="11" style="1130" customWidth="1"/>
    <col min="537" max="537" width="11.75" style="1130" customWidth="1"/>
    <col min="538" max="538" width="7.25" style="1130" customWidth="1"/>
    <col min="539" max="539" width="9.125" style="1130" customWidth="1"/>
    <col min="540" max="540" width="10.125" style="1130" customWidth="1"/>
    <col min="541" max="541" width="9.125" style="1130" customWidth="1"/>
    <col min="542" max="542" width="11.75" style="1130" customWidth="1"/>
    <col min="543" max="768" width="8.625" style="1130"/>
    <col min="769" max="769" width="29.25" style="1130" customWidth="1"/>
    <col min="770" max="770" width="32.125" style="1130" customWidth="1"/>
    <col min="771" max="771" width="11" style="1130" customWidth="1"/>
    <col min="772" max="772" width="9.125" style="1130" customWidth="1"/>
    <col min="773" max="773" width="11" style="1130" customWidth="1"/>
    <col min="774" max="774" width="10.125" style="1130" customWidth="1"/>
    <col min="775" max="775" width="6.25" style="1130" customWidth="1"/>
    <col min="776" max="776" width="9.125" style="1130" customWidth="1"/>
    <col min="777" max="777" width="6.25" style="1130" customWidth="1"/>
    <col min="778" max="779" width="8.25" style="1130" customWidth="1"/>
    <col min="780" max="780" width="9.125" style="1130" customWidth="1"/>
    <col min="781" max="781" width="11.75" style="1130" customWidth="1"/>
    <col min="782" max="782" width="11" style="1130" customWidth="1"/>
    <col min="783" max="783" width="11.75" style="1130" customWidth="1"/>
    <col min="784" max="784" width="12.75" style="1130" customWidth="1"/>
    <col min="785" max="785" width="11" style="1130" customWidth="1"/>
    <col min="786" max="787" width="8.25" style="1130" customWidth="1"/>
    <col min="788" max="788" width="10.125" style="1130" customWidth="1"/>
    <col min="789" max="791" width="9.125" style="1130" customWidth="1"/>
    <col min="792" max="792" width="11" style="1130" customWidth="1"/>
    <col min="793" max="793" width="11.75" style="1130" customWidth="1"/>
    <col min="794" max="794" width="7.25" style="1130" customWidth="1"/>
    <col min="795" max="795" width="9.125" style="1130" customWidth="1"/>
    <col min="796" max="796" width="10.125" style="1130" customWidth="1"/>
    <col min="797" max="797" width="9.125" style="1130" customWidth="1"/>
    <col min="798" max="798" width="11.75" style="1130" customWidth="1"/>
    <col min="799" max="1024" width="8.625" style="1130"/>
    <col min="1025" max="1025" width="29.25" style="1130" customWidth="1"/>
    <col min="1026" max="1026" width="32.125" style="1130" customWidth="1"/>
    <col min="1027" max="1027" width="11" style="1130" customWidth="1"/>
    <col min="1028" max="1028" width="9.125" style="1130" customWidth="1"/>
    <col min="1029" max="1029" width="11" style="1130" customWidth="1"/>
    <col min="1030" max="1030" width="10.125" style="1130" customWidth="1"/>
    <col min="1031" max="1031" width="6.25" style="1130" customWidth="1"/>
    <col min="1032" max="1032" width="9.125" style="1130" customWidth="1"/>
    <col min="1033" max="1033" width="6.25" style="1130" customWidth="1"/>
    <col min="1034" max="1035" width="8.25" style="1130" customWidth="1"/>
    <col min="1036" max="1036" width="9.125" style="1130" customWidth="1"/>
    <col min="1037" max="1037" width="11.75" style="1130" customWidth="1"/>
    <col min="1038" max="1038" width="11" style="1130" customWidth="1"/>
    <col min="1039" max="1039" width="11.75" style="1130" customWidth="1"/>
    <col min="1040" max="1040" width="12.75" style="1130" customWidth="1"/>
    <col min="1041" max="1041" width="11" style="1130" customWidth="1"/>
    <col min="1042" max="1043" width="8.25" style="1130" customWidth="1"/>
    <col min="1044" max="1044" width="10.125" style="1130" customWidth="1"/>
    <col min="1045" max="1047" width="9.125" style="1130" customWidth="1"/>
    <col min="1048" max="1048" width="11" style="1130" customWidth="1"/>
    <col min="1049" max="1049" width="11.75" style="1130" customWidth="1"/>
    <col min="1050" max="1050" width="7.25" style="1130" customWidth="1"/>
    <col min="1051" max="1051" width="9.125" style="1130" customWidth="1"/>
    <col min="1052" max="1052" width="10.125" style="1130" customWidth="1"/>
    <col min="1053" max="1053" width="9.125" style="1130" customWidth="1"/>
    <col min="1054" max="1054" width="11.75" style="1130" customWidth="1"/>
    <col min="1055" max="1280" width="8.625" style="1130"/>
    <col min="1281" max="1281" width="29.25" style="1130" customWidth="1"/>
    <col min="1282" max="1282" width="32.125" style="1130" customWidth="1"/>
    <col min="1283" max="1283" width="11" style="1130" customWidth="1"/>
    <col min="1284" max="1284" width="9.125" style="1130" customWidth="1"/>
    <col min="1285" max="1285" width="11" style="1130" customWidth="1"/>
    <col min="1286" max="1286" width="10.125" style="1130" customWidth="1"/>
    <col min="1287" max="1287" width="6.25" style="1130" customWidth="1"/>
    <col min="1288" max="1288" width="9.125" style="1130" customWidth="1"/>
    <col min="1289" max="1289" width="6.25" style="1130" customWidth="1"/>
    <col min="1290" max="1291" width="8.25" style="1130" customWidth="1"/>
    <col min="1292" max="1292" width="9.125" style="1130" customWidth="1"/>
    <col min="1293" max="1293" width="11.75" style="1130" customWidth="1"/>
    <col min="1294" max="1294" width="11" style="1130" customWidth="1"/>
    <col min="1295" max="1295" width="11.75" style="1130" customWidth="1"/>
    <col min="1296" max="1296" width="12.75" style="1130" customWidth="1"/>
    <col min="1297" max="1297" width="11" style="1130" customWidth="1"/>
    <col min="1298" max="1299" width="8.25" style="1130" customWidth="1"/>
    <col min="1300" max="1300" width="10.125" style="1130" customWidth="1"/>
    <col min="1301" max="1303" width="9.125" style="1130" customWidth="1"/>
    <col min="1304" max="1304" width="11" style="1130" customWidth="1"/>
    <col min="1305" max="1305" width="11.75" style="1130" customWidth="1"/>
    <col min="1306" max="1306" width="7.25" style="1130" customWidth="1"/>
    <col min="1307" max="1307" width="9.125" style="1130" customWidth="1"/>
    <col min="1308" max="1308" width="10.125" style="1130" customWidth="1"/>
    <col min="1309" max="1309" width="9.125" style="1130" customWidth="1"/>
    <col min="1310" max="1310" width="11.75" style="1130" customWidth="1"/>
    <col min="1311" max="1536" width="8.625" style="1130"/>
    <col min="1537" max="1537" width="29.25" style="1130" customWidth="1"/>
    <col min="1538" max="1538" width="32.125" style="1130" customWidth="1"/>
    <col min="1539" max="1539" width="11" style="1130" customWidth="1"/>
    <col min="1540" max="1540" width="9.125" style="1130" customWidth="1"/>
    <col min="1541" max="1541" width="11" style="1130" customWidth="1"/>
    <col min="1542" max="1542" width="10.125" style="1130" customWidth="1"/>
    <col min="1543" max="1543" width="6.25" style="1130" customWidth="1"/>
    <col min="1544" max="1544" width="9.125" style="1130" customWidth="1"/>
    <col min="1545" max="1545" width="6.25" style="1130" customWidth="1"/>
    <col min="1546" max="1547" width="8.25" style="1130" customWidth="1"/>
    <col min="1548" max="1548" width="9.125" style="1130" customWidth="1"/>
    <col min="1549" max="1549" width="11.75" style="1130" customWidth="1"/>
    <col min="1550" max="1550" width="11" style="1130" customWidth="1"/>
    <col min="1551" max="1551" width="11.75" style="1130" customWidth="1"/>
    <col min="1552" max="1552" width="12.75" style="1130" customWidth="1"/>
    <col min="1553" max="1553" width="11" style="1130" customWidth="1"/>
    <col min="1554" max="1555" width="8.25" style="1130" customWidth="1"/>
    <col min="1556" max="1556" width="10.125" style="1130" customWidth="1"/>
    <col min="1557" max="1559" width="9.125" style="1130" customWidth="1"/>
    <col min="1560" max="1560" width="11" style="1130" customWidth="1"/>
    <col min="1561" max="1561" width="11.75" style="1130" customWidth="1"/>
    <col min="1562" max="1562" width="7.25" style="1130" customWidth="1"/>
    <col min="1563" max="1563" width="9.125" style="1130" customWidth="1"/>
    <col min="1564" max="1564" width="10.125" style="1130" customWidth="1"/>
    <col min="1565" max="1565" width="9.125" style="1130" customWidth="1"/>
    <col min="1566" max="1566" width="11.75" style="1130" customWidth="1"/>
    <col min="1567" max="1792" width="8.625" style="1130"/>
    <col min="1793" max="1793" width="29.25" style="1130" customWidth="1"/>
    <col min="1794" max="1794" width="32.125" style="1130" customWidth="1"/>
    <col min="1795" max="1795" width="11" style="1130" customWidth="1"/>
    <col min="1796" max="1796" width="9.125" style="1130" customWidth="1"/>
    <col min="1797" max="1797" width="11" style="1130" customWidth="1"/>
    <col min="1798" max="1798" width="10.125" style="1130" customWidth="1"/>
    <col min="1799" max="1799" width="6.25" style="1130" customWidth="1"/>
    <col min="1800" max="1800" width="9.125" style="1130" customWidth="1"/>
    <col min="1801" max="1801" width="6.25" style="1130" customWidth="1"/>
    <col min="1802" max="1803" width="8.25" style="1130" customWidth="1"/>
    <col min="1804" max="1804" width="9.125" style="1130" customWidth="1"/>
    <col min="1805" max="1805" width="11.75" style="1130" customWidth="1"/>
    <col min="1806" max="1806" width="11" style="1130" customWidth="1"/>
    <col min="1807" max="1807" width="11.75" style="1130" customWidth="1"/>
    <col min="1808" max="1808" width="12.75" style="1130" customWidth="1"/>
    <col min="1809" max="1809" width="11" style="1130" customWidth="1"/>
    <col min="1810" max="1811" width="8.25" style="1130" customWidth="1"/>
    <col min="1812" max="1812" width="10.125" style="1130" customWidth="1"/>
    <col min="1813" max="1815" width="9.125" style="1130" customWidth="1"/>
    <col min="1816" max="1816" width="11" style="1130" customWidth="1"/>
    <col min="1817" max="1817" width="11.75" style="1130" customWidth="1"/>
    <col min="1818" max="1818" width="7.25" style="1130" customWidth="1"/>
    <col min="1819" max="1819" width="9.125" style="1130" customWidth="1"/>
    <col min="1820" max="1820" width="10.125" style="1130" customWidth="1"/>
    <col min="1821" max="1821" width="9.125" style="1130" customWidth="1"/>
    <col min="1822" max="1822" width="11.75" style="1130" customWidth="1"/>
    <col min="1823" max="2048" width="8.625" style="1130"/>
    <col min="2049" max="2049" width="29.25" style="1130" customWidth="1"/>
    <col min="2050" max="2050" width="32.125" style="1130" customWidth="1"/>
    <col min="2051" max="2051" width="11" style="1130" customWidth="1"/>
    <col min="2052" max="2052" width="9.125" style="1130" customWidth="1"/>
    <col min="2053" max="2053" width="11" style="1130" customWidth="1"/>
    <col min="2054" max="2054" width="10.125" style="1130" customWidth="1"/>
    <col min="2055" max="2055" width="6.25" style="1130" customWidth="1"/>
    <col min="2056" max="2056" width="9.125" style="1130" customWidth="1"/>
    <col min="2057" max="2057" width="6.25" style="1130" customWidth="1"/>
    <col min="2058" max="2059" width="8.25" style="1130" customWidth="1"/>
    <col min="2060" max="2060" width="9.125" style="1130" customWidth="1"/>
    <col min="2061" max="2061" width="11.75" style="1130" customWidth="1"/>
    <col min="2062" max="2062" width="11" style="1130" customWidth="1"/>
    <col min="2063" max="2063" width="11.75" style="1130" customWidth="1"/>
    <col min="2064" max="2064" width="12.75" style="1130" customWidth="1"/>
    <col min="2065" max="2065" width="11" style="1130" customWidth="1"/>
    <col min="2066" max="2067" width="8.25" style="1130" customWidth="1"/>
    <col min="2068" max="2068" width="10.125" style="1130" customWidth="1"/>
    <col min="2069" max="2071" width="9.125" style="1130" customWidth="1"/>
    <col min="2072" max="2072" width="11" style="1130" customWidth="1"/>
    <col min="2073" max="2073" width="11.75" style="1130" customWidth="1"/>
    <col min="2074" max="2074" width="7.25" style="1130" customWidth="1"/>
    <col min="2075" max="2075" width="9.125" style="1130" customWidth="1"/>
    <col min="2076" max="2076" width="10.125" style="1130" customWidth="1"/>
    <col min="2077" max="2077" width="9.125" style="1130" customWidth="1"/>
    <col min="2078" max="2078" width="11.75" style="1130" customWidth="1"/>
    <col min="2079" max="2304" width="8.625" style="1130"/>
    <col min="2305" max="2305" width="29.25" style="1130" customWidth="1"/>
    <col min="2306" max="2306" width="32.125" style="1130" customWidth="1"/>
    <col min="2307" max="2307" width="11" style="1130" customWidth="1"/>
    <col min="2308" max="2308" width="9.125" style="1130" customWidth="1"/>
    <col min="2309" max="2309" width="11" style="1130" customWidth="1"/>
    <col min="2310" max="2310" width="10.125" style="1130" customWidth="1"/>
    <col min="2311" max="2311" width="6.25" style="1130" customWidth="1"/>
    <col min="2312" max="2312" width="9.125" style="1130" customWidth="1"/>
    <col min="2313" max="2313" width="6.25" style="1130" customWidth="1"/>
    <col min="2314" max="2315" width="8.25" style="1130" customWidth="1"/>
    <col min="2316" max="2316" width="9.125" style="1130" customWidth="1"/>
    <col min="2317" max="2317" width="11.75" style="1130" customWidth="1"/>
    <col min="2318" max="2318" width="11" style="1130" customWidth="1"/>
    <col min="2319" max="2319" width="11.75" style="1130" customWidth="1"/>
    <col min="2320" max="2320" width="12.75" style="1130" customWidth="1"/>
    <col min="2321" max="2321" width="11" style="1130" customWidth="1"/>
    <col min="2322" max="2323" width="8.25" style="1130" customWidth="1"/>
    <col min="2324" max="2324" width="10.125" style="1130" customWidth="1"/>
    <col min="2325" max="2327" width="9.125" style="1130" customWidth="1"/>
    <col min="2328" max="2328" width="11" style="1130" customWidth="1"/>
    <col min="2329" max="2329" width="11.75" style="1130" customWidth="1"/>
    <col min="2330" max="2330" width="7.25" style="1130" customWidth="1"/>
    <col min="2331" max="2331" width="9.125" style="1130" customWidth="1"/>
    <col min="2332" max="2332" width="10.125" style="1130" customWidth="1"/>
    <col min="2333" max="2333" width="9.125" style="1130" customWidth="1"/>
    <col min="2334" max="2334" width="11.75" style="1130" customWidth="1"/>
    <col min="2335" max="2560" width="8.625" style="1130"/>
    <col min="2561" max="2561" width="29.25" style="1130" customWidth="1"/>
    <col min="2562" max="2562" width="32.125" style="1130" customWidth="1"/>
    <col min="2563" max="2563" width="11" style="1130" customWidth="1"/>
    <col min="2564" max="2564" width="9.125" style="1130" customWidth="1"/>
    <col min="2565" max="2565" width="11" style="1130" customWidth="1"/>
    <col min="2566" max="2566" width="10.125" style="1130" customWidth="1"/>
    <col min="2567" max="2567" width="6.25" style="1130" customWidth="1"/>
    <col min="2568" max="2568" width="9.125" style="1130" customWidth="1"/>
    <col min="2569" max="2569" width="6.25" style="1130" customWidth="1"/>
    <col min="2570" max="2571" width="8.25" style="1130" customWidth="1"/>
    <col min="2572" max="2572" width="9.125" style="1130" customWidth="1"/>
    <col min="2573" max="2573" width="11.75" style="1130" customWidth="1"/>
    <col min="2574" max="2574" width="11" style="1130" customWidth="1"/>
    <col min="2575" max="2575" width="11.75" style="1130" customWidth="1"/>
    <col min="2576" max="2576" width="12.75" style="1130" customWidth="1"/>
    <col min="2577" max="2577" width="11" style="1130" customWidth="1"/>
    <col min="2578" max="2579" width="8.25" style="1130" customWidth="1"/>
    <col min="2580" max="2580" width="10.125" style="1130" customWidth="1"/>
    <col min="2581" max="2583" width="9.125" style="1130" customWidth="1"/>
    <col min="2584" max="2584" width="11" style="1130" customWidth="1"/>
    <col min="2585" max="2585" width="11.75" style="1130" customWidth="1"/>
    <col min="2586" max="2586" width="7.25" style="1130" customWidth="1"/>
    <col min="2587" max="2587" width="9.125" style="1130" customWidth="1"/>
    <col min="2588" max="2588" width="10.125" style="1130" customWidth="1"/>
    <col min="2589" max="2589" width="9.125" style="1130" customWidth="1"/>
    <col min="2590" max="2590" width="11.75" style="1130" customWidth="1"/>
    <col min="2591" max="2816" width="8.625" style="1130"/>
    <col min="2817" max="2817" width="29.25" style="1130" customWidth="1"/>
    <col min="2818" max="2818" width="32.125" style="1130" customWidth="1"/>
    <col min="2819" max="2819" width="11" style="1130" customWidth="1"/>
    <col min="2820" max="2820" width="9.125" style="1130" customWidth="1"/>
    <col min="2821" max="2821" width="11" style="1130" customWidth="1"/>
    <col min="2822" max="2822" width="10.125" style="1130" customWidth="1"/>
    <col min="2823" max="2823" width="6.25" style="1130" customWidth="1"/>
    <col min="2824" max="2824" width="9.125" style="1130" customWidth="1"/>
    <col min="2825" max="2825" width="6.25" style="1130" customWidth="1"/>
    <col min="2826" max="2827" width="8.25" style="1130" customWidth="1"/>
    <col min="2828" max="2828" width="9.125" style="1130" customWidth="1"/>
    <col min="2829" max="2829" width="11.75" style="1130" customWidth="1"/>
    <col min="2830" max="2830" width="11" style="1130" customWidth="1"/>
    <col min="2831" max="2831" width="11.75" style="1130" customWidth="1"/>
    <col min="2832" max="2832" width="12.75" style="1130" customWidth="1"/>
    <col min="2833" max="2833" width="11" style="1130" customWidth="1"/>
    <col min="2834" max="2835" width="8.25" style="1130" customWidth="1"/>
    <col min="2836" max="2836" width="10.125" style="1130" customWidth="1"/>
    <col min="2837" max="2839" width="9.125" style="1130" customWidth="1"/>
    <col min="2840" max="2840" width="11" style="1130" customWidth="1"/>
    <col min="2841" max="2841" width="11.75" style="1130" customWidth="1"/>
    <col min="2842" max="2842" width="7.25" style="1130" customWidth="1"/>
    <col min="2843" max="2843" width="9.125" style="1130" customWidth="1"/>
    <col min="2844" max="2844" width="10.125" style="1130" customWidth="1"/>
    <col min="2845" max="2845" width="9.125" style="1130" customWidth="1"/>
    <col min="2846" max="2846" width="11.75" style="1130" customWidth="1"/>
    <col min="2847" max="3072" width="8.625" style="1130"/>
    <col min="3073" max="3073" width="29.25" style="1130" customWidth="1"/>
    <col min="3074" max="3074" width="32.125" style="1130" customWidth="1"/>
    <col min="3075" max="3075" width="11" style="1130" customWidth="1"/>
    <col min="3076" max="3076" width="9.125" style="1130" customWidth="1"/>
    <col min="3077" max="3077" width="11" style="1130" customWidth="1"/>
    <col min="3078" max="3078" width="10.125" style="1130" customWidth="1"/>
    <col min="3079" max="3079" width="6.25" style="1130" customWidth="1"/>
    <col min="3080" max="3080" width="9.125" style="1130" customWidth="1"/>
    <col min="3081" max="3081" width="6.25" style="1130" customWidth="1"/>
    <col min="3082" max="3083" width="8.25" style="1130" customWidth="1"/>
    <col min="3084" max="3084" width="9.125" style="1130" customWidth="1"/>
    <col min="3085" max="3085" width="11.75" style="1130" customWidth="1"/>
    <col min="3086" max="3086" width="11" style="1130" customWidth="1"/>
    <col min="3087" max="3087" width="11.75" style="1130" customWidth="1"/>
    <col min="3088" max="3088" width="12.75" style="1130" customWidth="1"/>
    <col min="3089" max="3089" width="11" style="1130" customWidth="1"/>
    <col min="3090" max="3091" width="8.25" style="1130" customWidth="1"/>
    <col min="3092" max="3092" width="10.125" style="1130" customWidth="1"/>
    <col min="3093" max="3095" width="9.125" style="1130" customWidth="1"/>
    <col min="3096" max="3096" width="11" style="1130" customWidth="1"/>
    <col min="3097" max="3097" width="11.75" style="1130" customWidth="1"/>
    <col min="3098" max="3098" width="7.25" style="1130" customWidth="1"/>
    <col min="3099" max="3099" width="9.125" style="1130" customWidth="1"/>
    <col min="3100" max="3100" width="10.125" style="1130" customWidth="1"/>
    <col min="3101" max="3101" width="9.125" style="1130" customWidth="1"/>
    <col min="3102" max="3102" width="11.75" style="1130" customWidth="1"/>
    <col min="3103" max="3328" width="8.625" style="1130"/>
    <col min="3329" max="3329" width="29.25" style="1130" customWidth="1"/>
    <col min="3330" max="3330" width="32.125" style="1130" customWidth="1"/>
    <col min="3331" max="3331" width="11" style="1130" customWidth="1"/>
    <col min="3332" max="3332" width="9.125" style="1130" customWidth="1"/>
    <col min="3333" max="3333" width="11" style="1130" customWidth="1"/>
    <col min="3334" max="3334" width="10.125" style="1130" customWidth="1"/>
    <col min="3335" max="3335" width="6.25" style="1130" customWidth="1"/>
    <col min="3336" max="3336" width="9.125" style="1130" customWidth="1"/>
    <col min="3337" max="3337" width="6.25" style="1130" customWidth="1"/>
    <col min="3338" max="3339" width="8.25" style="1130" customWidth="1"/>
    <col min="3340" max="3340" width="9.125" style="1130" customWidth="1"/>
    <col min="3341" max="3341" width="11.75" style="1130" customWidth="1"/>
    <col min="3342" max="3342" width="11" style="1130" customWidth="1"/>
    <col min="3343" max="3343" width="11.75" style="1130" customWidth="1"/>
    <col min="3344" max="3344" width="12.75" style="1130" customWidth="1"/>
    <col min="3345" max="3345" width="11" style="1130" customWidth="1"/>
    <col min="3346" max="3347" width="8.25" style="1130" customWidth="1"/>
    <col min="3348" max="3348" width="10.125" style="1130" customWidth="1"/>
    <col min="3349" max="3351" width="9.125" style="1130" customWidth="1"/>
    <col min="3352" max="3352" width="11" style="1130" customWidth="1"/>
    <col min="3353" max="3353" width="11.75" style="1130" customWidth="1"/>
    <col min="3354" max="3354" width="7.25" style="1130" customWidth="1"/>
    <col min="3355" max="3355" width="9.125" style="1130" customWidth="1"/>
    <col min="3356" max="3356" width="10.125" style="1130" customWidth="1"/>
    <col min="3357" max="3357" width="9.125" style="1130" customWidth="1"/>
    <col min="3358" max="3358" width="11.75" style="1130" customWidth="1"/>
    <col min="3359" max="3584" width="8.625" style="1130"/>
    <col min="3585" max="3585" width="29.25" style="1130" customWidth="1"/>
    <col min="3586" max="3586" width="32.125" style="1130" customWidth="1"/>
    <col min="3587" max="3587" width="11" style="1130" customWidth="1"/>
    <col min="3588" max="3588" width="9.125" style="1130" customWidth="1"/>
    <col min="3589" max="3589" width="11" style="1130" customWidth="1"/>
    <col min="3590" max="3590" width="10.125" style="1130" customWidth="1"/>
    <col min="3591" max="3591" width="6.25" style="1130" customWidth="1"/>
    <col min="3592" max="3592" width="9.125" style="1130" customWidth="1"/>
    <col min="3593" max="3593" width="6.25" style="1130" customWidth="1"/>
    <col min="3594" max="3595" width="8.25" style="1130" customWidth="1"/>
    <col min="3596" max="3596" width="9.125" style="1130" customWidth="1"/>
    <col min="3597" max="3597" width="11.75" style="1130" customWidth="1"/>
    <col min="3598" max="3598" width="11" style="1130" customWidth="1"/>
    <col min="3599" max="3599" width="11.75" style="1130" customWidth="1"/>
    <col min="3600" max="3600" width="12.75" style="1130" customWidth="1"/>
    <col min="3601" max="3601" width="11" style="1130" customWidth="1"/>
    <col min="3602" max="3603" width="8.25" style="1130" customWidth="1"/>
    <col min="3604" max="3604" width="10.125" style="1130" customWidth="1"/>
    <col min="3605" max="3607" width="9.125" style="1130" customWidth="1"/>
    <col min="3608" max="3608" width="11" style="1130" customWidth="1"/>
    <col min="3609" max="3609" width="11.75" style="1130" customWidth="1"/>
    <col min="3610" max="3610" width="7.25" style="1130" customWidth="1"/>
    <col min="3611" max="3611" width="9.125" style="1130" customWidth="1"/>
    <col min="3612" max="3612" width="10.125" style="1130" customWidth="1"/>
    <col min="3613" max="3613" width="9.125" style="1130" customWidth="1"/>
    <col min="3614" max="3614" width="11.75" style="1130" customWidth="1"/>
    <col min="3615" max="3840" width="8.625" style="1130"/>
    <col min="3841" max="3841" width="29.25" style="1130" customWidth="1"/>
    <col min="3842" max="3842" width="32.125" style="1130" customWidth="1"/>
    <col min="3843" max="3843" width="11" style="1130" customWidth="1"/>
    <col min="3844" max="3844" width="9.125" style="1130" customWidth="1"/>
    <col min="3845" max="3845" width="11" style="1130" customWidth="1"/>
    <col min="3846" max="3846" width="10.125" style="1130" customWidth="1"/>
    <col min="3847" max="3847" width="6.25" style="1130" customWidth="1"/>
    <col min="3848" max="3848" width="9.125" style="1130" customWidth="1"/>
    <col min="3849" max="3849" width="6.25" style="1130" customWidth="1"/>
    <col min="3850" max="3851" width="8.25" style="1130" customWidth="1"/>
    <col min="3852" max="3852" width="9.125" style="1130" customWidth="1"/>
    <col min="3853" max="3853" width="11.75" style="1130" customWidth="1"/>
    <col min="3854" max="3854" width="11" style="1130" customWidth="1"/>
    <col min="3855" max="3855" width="11.75" style="1130" customWidth="1"/>
    <col min="3856" max="3856" width="12.75" style="1130" customWidth="1"/>
    <col min="3857" max="3857" width="11" style="1130" customWidth="1"/>
    <col min="3858" max="3859" width="8.25" style="1130" customWidth="1"/>
    <col min="3860" max="3860" width="10.125" style="1130" customWidth="1"/>
    <col min="3861" max="3863" width="9.125" style="1130" customWidth="1"/>
    <col min="3864" max="3864" width="11" style="1130" customWidth="1"/>
    <col min="3865" max="3865" width="11.75" style="1130" customWidth="1"/>
    <col min="3866" max="3866" width="7.25" style="1130" customWidth="1"/>
    <col min="3867" max="3867" width="9.125" style="1130" customWidth="1"/>
    <col min="3868" max="3868" width="10.125" style="1130" customWidth="1"/>
    <col min="3869" max="3869" width="9.125" style="1130" customWidth="1"/>
    <col min="3870" max="3870" width="11.75" style="1130" customWidth="1"/>
    <col min="3871" max="4096" width="8.625" style="1130"/>
    <col min="4097" max="4097" width="29.25" style="1130" customWidth="1"/>
    <col min="4098" max="4098" width="32.125" style="1130" customWidth="1"/>
    <col min="4099" max="4099" width="11" style="1130" customWidth="1"/>
    <col min="4100" max="4100" width="9.125" style="1130" customWidth="1"/>
    <col min="4101" max="4101" width="11" style="1130" customWidth="1"/>
    <col min="4102" max="4102" width="10.125" style="1130" customWidth="1"/>
    <col min="4103" max="4103" width="6.25" style="1130" customWidth="1"/>
    <col min="4104" max="4104" width="9.125" style="1130" customWidth="1"/>
    <col min="4105" max="4105" width="6.25" style="1130" customWidth="1"/>
    <col min="4106" max="4107" width="8.25" style="1130" customWidth="1"/>
    <col min="4108" max="4108" width="9.125" style="1130" customWidth="1"/>
    <col min="4109" max="4109" width="11.75" style="1130" customWidth="1"/>
    <col min="4110" max="4110" width="11" style="1130" customWidth="1"/>
    <col min="4111" max="4111" width="11.75" style="1130" customWidth="1"/>
    <col min="4112" max="4112" width="12.75" style="1130" customWidth="1"/>
    <col min="4113" max="4113" width="11" style="1130" customWidth="1"/>
    <col min="4114" max="4115" width="8.25" style="1130" customWidth="1"/>
    <col min="4116" max="4116" width="10.125" style="1130" customWidth="1"/>
    <col min="4117" max="4119" width="9.125" style="1130" customWidth="1"/>
    <col min="4120" max="4120" width="11" style="1130" customWidth="1"/>
    <col min="4121" max="4121" width="11.75" style="1130" customWidth="1"/>
    <col min="4122" max="4122" width="7.25" style="1130" customWidth="1"/>
    <col min="4123" max="4123" width="9.125" style="1130" customWidth="1"/>
    <col min="4124" max="4124" width="10.125" style="1130" customWidth="1"/>
    <col min="4125" max="4125" width="9.125" style="1130" customWidth="1"/>
    <col min="4126" max="4126" width="11.75" style="1130" customWidth="1"/>
    <col min="4127" max="4352" width="8.625" style="1130"/>
    <col min="4353" max="4353" width="29.25" style="1130" customWidth="1"/>
    <col min="4354" max="4354" width="32.125" style="1130" customWidth="1"/>
    <col min="4355" max="4355" width="11" style="1130" customWidth="1"/>
    <col min="4356" max="4356" width="9.125" style="1130" customWidth="1"/>
    <col min="4357" max="4357" width="11" style="1130" customWidth="1"/>
    <col min="4358" max="4358" width="10.125" style="1130" customWidth="1"/>
    <col min="4359" max="4359" width="6.25" style="1130" customWidth="1"/>
    <col min="4360" max="4360" width="9.125" style="1130" customWidth="1"/>
    <col min="4361" max="4361" width="6.25" style="1130" customWidth="1"/>
    <col min="4362" max="4363" width="8.25" style="1130" customWidth="1"/>
    <col min="4364" max="4364" width="9.125" style="1130" customWidth="1"/>
    <col min="4365" max="4365" width="11.75" style="1130" customWidth="1"/>
    <col min="4366" max="4366" width="11" style="1130" customWidth="1"/>
    <col min="4367" max="4367" width="11.75" style="1130" customWidth="1"/>
    <col min="4368" max="4368" width="12.75" style="1130" customWidth="1"/>
    <col min="4369" max="4369" width="11" style="1130" customWidth="1"/>
    <col min="4370" max="4371" width="8.25" style="1130" customWidth="1"/>
    <col min="4372" max="4372" width="10.125" style="1130" customWidth="1"/>
    <col min="4373" max="4375" width="9.125" style="1130" customWidth="1"/>
    <col min="4376" max="4376" width="11" style="1130" customWidth="1"/>
    <col min="4377" max="4377" width="11.75" style="1130" customWidth="1"/>
    <col min="4378" max="4378" width="7.25" style="1130" customWidth="1"/>
    <col min="4379" max="4379" width="9.125" style="1130" customWidth="1"/>
    <col min="4380" max="4380" width="10.125" style="1130" customWidth="1"/>
    <col min="4381" max="4381" width="9.125" style="1130" customWidth="1"/>
    <col min="4382" max="4382" width="11.75" style="1130" customWidth="1"/>
    <col min="4383" max="4608" width="8.625" style="1130"/>
    <col min="4609" max="4609" width="29.25" style="1130" customWidth="1"/>
    <col min="4610" max="4610" width="32.125" style="1130" customWidth="1"/>
    <col min="4611" max="4611" width="11" style="1130" customWidth="1"/>
    <col min="4612" max="4612" width="9.125" style="1130" customWidth="1"/>
    <col min="4613" max="4613" width="11" style="1130" customWidth="1"/>
    <col min="4614" max="4614" width="10.125" style="1130" customWidth="1"/>
    <col min="4615" max="4615" width="6.25" style="1130" customWidth="1"/>
    <col min="4616" max="4616" width="9.125" style="1130" customWidth="1"/>
    <col min="4617" max="4617" width="6.25" style="1130" customWidth="1"/>
    <col min="4618" max="4619" width="8.25" style="1130" customWidth="1"/>
    <col min="4620" max="4620" width="9.125" style="1130" customWidth="1"/>
    <col min="4621" max="4621" width="11.75" style="1130" customWidth="1"/>
    <col min="4622" max="4622" width="11" style="1130" customWidth="1"/>
    <col min="4623" max="4623" width="11.75" style="1130" customWidth="1"/>
    <col min="4624" max="4624" width="12.75" style="1130" customWidth="1"/>
    <col min="4625" max="4625" width="11" style="1130" customWidth="1"/>
    <col min="4626" max="4627" width="8.25" style="1130" customWidth="1"/>
    <col min="4628" max="4628" width="10.125" style="1130" customWidth="1"/>
    <col min="4629" max="4631" width="9.125" style="1130" customWidth="1"/>
    <col min="4632" max="4632" width="11" style="1130" customWidth="1"/>
    <col min="4633" max="4633" width="11.75" style="1130" customWidth="1"/>
    <col min="4634" max="4634" width="7.25" style="1130" customWidth="1"/>
    <col min="4635" max="4635" width="9.125" style="1130" customWidth="1"/>
    <col min="4636" max="4636" width="10.125" style="1130" customWidth="1"/>
    <col min="4637" max="4637" width="9.125" style="1130" customWidth="1"/>
    <col min="4638" max="4638" width="11.75" style="1130" customWidth="1"/>
    <col min="4639" max="4864" width="8.625" style="1130"/>
    <col min="4865" max="4865" width="29.25" style="1130" customWidth="1"/>
    <col min="4866" max="4866" width="32.125" style="1130" customWidth="1"/>
    <col min="4867" max="4867" width="11" style="1130" customWidth="1"/>
    <col min="4868" max="4868" width="9.125" style="1130" customWidth="1"/>
    <col min="4869" max="4869" width="11" style="1130" customWidth="1"/>
    <col min="4870" max="4870" width="10.125" style="1130" customWidth="1"/>
    <col min="4871" max="4871" width="6.25" style="1130" customWidth="1"/>
    <col min="4872" max="4872" width="9.125" style="1130" customWidth="1"/>
    <col min="4873" max="4873" width="6.25" style="1130" customWidth="1"/>
    <col min="4874" max="4875" width="8.25" style="1130" customWidth="1"/>
    <col min="4876" max="4876" width="9.125" style="1130" customWidth="1"/>
    <col min="4877" max="4877" width="11.75" style="1130" customWidth="1"/>
    <col min="4878" max="4878" width="11" style="1130" customWidth="1"/>
    <col min="4879" max="4879" width="11.75" style="1130" customWidth="1"/>
    <col min="4880" max="4880" width="12.75" style="1130" customWidth="1"/>
    <col min="4881" max="4881" width="11" style="1130" customWidth="1"/>
    <col min="4882" max="4883" width="8.25" style="1130" customWidth="1"/>
    <col min="4884" max="4884" width="10.125" style="1130" customWidth="1"/>
    <col min="4885" max="4887" width="9.125" style="1130" customWidth="1"/>
    <col min="4888" max="4888" width="11" style="1130" customWidth="1"/>
    <col min="4889" max="4889" width="11.75" style="1130" customWidth="1"/>
    <col min="4890" max="4890" width="7.25" style="1130" customWidth="1"/>
    <col min="4891" max="4891" width="9.125" style="1130" customWidth="1"/>
    <col min="4892" max="4892" width="10.125" style="1130" customWidth="1"/>
    <col min="4893" max="4893" width="9.125" style="1130" customWidth="1"/>
    <col min="4894" max="4894" width="11.75" style="1130" customWidth="1"/>
    <col min="4895" max="5120" width="8.625" style="1130"/>
    <col min="5121" max="5121" width="29.25" style="1130" customWidth="1"/>
    <col min="5122" max="5122" width="32.125" style="1130" customWidth="1"/>
    <col min="5123" max="5123" width="11" style="1130" customWidth="1"/>
    <col min="5124" max="5124" width="9.125" style="1130" customWidth="1"/>
    <col min="5125" max="5125" width="11" style="1130" customWidth="1"/>
    <col min="5126" max="5126" width="10.125" style="1130" customWidth="1"/>
    <col min="5127" max="5127" width="6.25" style="1130" customWidth="1"/>
    <col min="5128" max="5128" width="9.125" style="1130" customWidth="1"/>
    <col min="5129" max="5129" width="6.25" style="1130" customWidth="1"/>
    <col min="5130" max="5131" width="8.25" style="1130" customWidth="1"/>
    <col min="5132" max="5132" width="9.125" style="1130" customWidth="1"/>
    <col min="5133" max="5133" width="11.75" style="1130" customWidth="1"/>
    <col min="5134" max="5134" width="11" style="1130" customWidth="1"/>
    <col min="5135" max="5135" width="11.75" style="1130" customWidth="1"/>
    <col min="5136" max="5136" width="12.75" style="1130" customWidth="1"/>
    <col min="5137" max="5137" width="11" style="1130" customWidth="1"/>
    <col min="5138" max="5139" width="8.25" style="1130" customWidth="1"/>
    <col min="5140" max="5140" width="10.125" style="1130" customWidth="1"/>
    <col min="5141" max="5143" width="9.125" style="1130" customWidth="1"/>
    <col min="5144" max="5144" width="11" style="1130" customWidth="1"/>
    <col min="5145" max="5145" width="11.75" style="1130" customWidth="1"/>
    <col min="5146" max="5146" width="7.25" style="1130" customWidth="1"/>
    <col min="5147" max="5147" width="9.125" style="1130" customWidth="1"/>
    <col min="5148" max="5148" width="10.125" style="1130" customWidth="1"/>
    <col min="5149" max="5149" width="9.125" style="1130" customWidth="1"/>
    <col min="5150" max="5150" width="11.75" style="1130" customWidth="1"/>
    <col min="5151" max="5376" width="8.625" style="1130"/>
    <col min="5377" max="5377" width="29.25" style="1130" customWidth="1"/>
    <col min="5378" max="5378" width="32.125" style="1130" customWidth="1"/>
    <col min="5379" max="5379" width="11" style="1130" customWidth="1"/>
    <col min="5380" max="5380" width="9.125" style="1130" customWidth="1"/>
    <col min="5381" max="5381" width="11" style="1130" customWidth="1"/>
    <col min="5382" max="5382" width="10.125" style="1130" customWidth="1"/>
    <col min="5383" max="5383" width="6.25" style="1130" customWidth="1"/>
    <col min="5384" max="5384" width="9.125" style="1130" customWidth="1"/>
    <col min="5385" max="5385" width="6.25" style="1130" customWidth="1"/>
    <col min="5386" max="5387" width="8.25" style="1130" customWidth="1"/>
    <col min="5388" max="5388" width="9.125" style="1130" customWidth="1"/>
    <col min="5389" max="5389" width="11.75" style="1130" customWidth="1"/>
    <col min="5390" max="5390" width="11" style="1130" customWidth="1"/>
    <col min="5391" max="5391" width="11.75" style="1130" customWidth="1"/>
    <col min="5392" max="5392" width="12.75" style="1130" customWidth="1"/>
    <col min="5393" max="5393" width="11" style="1130" customWidth="1"/>
    <col min="5394" max="5395" width="8.25" style="1130" customWidth="1"/>
    <col min="5396" max="5396" width="10.125" style="1130" customWidth="1"/>
    <col min="5397" max="5399" width="9.125" style="1130" customWidth="1"/>
    <col min="5400" max="5400" width="11" style="1130" customWidth="1"/>
    <col min="5401" max="5401" width="11.75" style="1130" customWidth="1"/>
    <col min="5402" max="5402" width="7.25" style="1130" customWidth="1"/>
    <col min="5403" max="5403" width="9.125" style="1130" customWidth="1"/>
    <col min="5404" max="5404" width="10.125" style="1130" customWidth="1"/>
    <col min="5405" max="5405" width="9.125" style="1130" customWidth="1"/>
    <col min="5406" max="5406" width="11.75" style="1130" customWidth="1"/>
    <col min="5407" max="5632" width="8.625" style="1130"/>
    <col min="5633" max="5633" width="29.25" style="1130" customWidth="1"/>
    <col min="5634" max="5634" width="32.125" style="1130" customWidth="1"/>
    <col min="5635" max="5635" width="11" style="1130" customWidth="1"/>
    <col min="5636" max="5636" width="9.125" style="1130" customWidth="1"/>
    <col min="5637" max="5637" width="11" style="1130" customWidth="1"/>
    <col min="5638" max="5638" width="10.125" style="1130" customWidth="1"/>
    <col min="5639" max="5639" width="6.25" style="1130" customWidth="1"/>
    <col min="5640" max="5640" width="9.125" style="1130" customWidth="1"/>
    <col min="5641" max="5641" width="6.25" style="1130" customWidth="1"/>
    <col min="5642" max="5643" width="8.25" style="1130" customWidth="1"/>
    <col min="5644" max="5644" width="9.125" style="1130" customWidth="1"/>
    <col min="5645" max="5645" width="11.75" style="1130" customWidth="1"/>
    <col min="5646" max="5646" width="11" style="1130" customWidth="1"/>
    <col min="5647" max="5647" width="11.75" style="1130" customWidth="1"/>
    <col min="5648" max="5648" width="12.75" style="1130" customWidth="1"/>
    <col min="5649" max="5649" width="11" style="1130" customWidth="1"/>
    <col min="5650" max="5651" width="8.25" style="1130" customWidth="1"/>
    <col min="5652" max="5652" width="10.125" style="1130" customWidth="1"/>
    <col min="5653" max="5655" width="9.125" style="1130" customWidth="1"/>
    <col min="5656" max="5656" width="11" style="1130" customWidth="1"/>
    <col min="5657" max="5657" width="11.75" style="1130" customWidth="1"/>
    <col min="5658" max="5658" width="7.25" style="1130" customWidth="1"/>
    <col min="5659" max="5659" width="9.125" style="1130" customWidth="1"/>
    <col min="5660" max="5660" width="10.125" style="1130" customWidth="1"/>
    <col min="5661" max="5661" width="9.125" style="1130" customWidth="1"/>
    <col min="5662" max="5662" width="11.75" style="1130" customWidth="1"/>
    <col min="5663" max="5888" width="8.625" style="1130"/>
    <col min="5889" max="5889" width="29.25" style="1130" customWidth="1"/>
    <col min="5890" max="5890" width="32.125" style="1130" customWidth="1"/>
    <col min="5891" max="5891" width="11" style="1130" customWidth="1"/>
    <col min="5892" max="5892" width="9.125" style="1130" customWidth="1"/>
    <col min="5893" max="5893" width="11" style="1130" customWidth="1"/>
    <col min="5894" max="5894" width="10.125" style="1130" customWidth="1"/>
    <col min="5895" max="5895" width="6.25" style="1130" customWidth="1"/>
    <col min="5896" max="5896" width="9.125" style="1130" customWidth="1"/>
    <col min="5897" max="5897" width="6.25" style="1130" customWidth="1"/>
    <col min="5898" max="5899" width="8.25" style="1130" customWidth="1"/>
    <col min="5900" max="5900" width="9.125" style="1130" customWidth="1"/>
    <col min="5901" max="5901" width="11.75" style="1130" customWidth="1"/>
    <col min="5902" max="5902" width="11" style="1130" customWidth="1"/>
    <col min="5903" max="5903" width="11.75" style="1130" customWidth="1"/>
    <col min="5904" max="5904" width="12.75" style="1130" customWidth="1"/>
    <col min="5905" max="5905" width="11" style="1130" customWidth="1"/>
    <col min="5906" max="5907" width="8.25" style="1130" customWidth="1"/>
    <col min="5908" max="5908" width="10.125" style="1130" customWidth="1"/>
    <col min="5909" max="5911" width="9.125" style="1130" customWidth="1"/>
    <col min="5912" max="5912" width="11" style="1130" customWidth="1"/>
    <col min="5913" max="5913" width="11.75" style="1130" customWidth="1"/>
    <col min="5914" max="5914" width="7.25" style="1130" customWidth="1"/>
    <col min="5915" max="5915" width="9.125" style="1130" customWidth="1"/>
    <col min="5916" max="5916" width="10.125" style="1130" customWidth="1"/>
    <col min="5917" max="5917" width="9.125" style="1130" customWidth="1"/>
    <col min="5918" max="5918" width="11.75" style="1130" customWidth="1"/>
    <col min="5919" max="6144" width="8.625" style="1130"/>
    <col min="6145" max="6145" width="29.25" style="1130" customWidth="1"/>
    <col min="6146" max="6146" width="32.125" style="1130" customWidth="1"/>
    <col min="6147" max="6147" width="11" style="1130" customWidth="1"/>
    <col min="6148" max="6148" width="9.125" style="1130" customWidth="1"/>
    <col min="6149" max="6149" width="11" style="1130" customWidth="1"/>
    <col min="6150" max="6150" width="10.125" style="1130" customWidth="1"/>
    <col min="6151" max="6151" width="6.25" style="1130" customWidth="1"/>
    <col min="6152" max="6152" width="9.125" style="1130" customWidth="1"/>
    <col min="6153" max="6153" width="6.25" style="1130" customWidth="1"/>
    <col min="6154" max="6155" width="8.25" style="1130" customWidth="1"/>
    <col min="6156" max="6156" width="9.125" style="1130" customWidth="1"/>
    <col min="6157" max="6157" width="11.75" style="1130" customWidth="1"/>
    <col min="6158" max="6158" width="11" style="1130" customWidth="1"/>
    <col min="6159" max="6159" width="11.75" style="1130" customWidth="1"/>
    <col min="6160" max="6160" width="12.75" style="1130" customWidth="1"/>
    <col min="6161" max="6161" width="11" style="1130" customWidth="1"/>
    <col min="6162" max="6163" width="8.25" style="1130" customWidth="1"/>
    <col min="6164" max="6164" width="10.125" style="1130" customWidth="1"/>
    <col min="6165" max="6167" width="9.125" style="1130" customWidth="1"/>
    <col min="6168" max="6168" width="11" style="1130" customWidth="1"/>
    <col min="6169" max="6169" width="11.75" style="1130" customWidth="1"/>
    <col min="6170" max="6170" width="7.25" style="1130" customWidth="1"/>
    <col min="6171" max="6171" width="9.125" style="1130" customWidth="1"/>
    <col min="6172" max="6172" width="10.125" style="1130" customWidth="1"/>
    <col min="6173" max="6173" width="9.125" style="1130" customWidth="1"/>
    <col min="6174" max="6174" width="11.75" style="1130" customWidth="1"/>
    <col min="6175" max="6400" width="8.625" style="1130"/>
    <col min="6401" max="6401" width="29.25" style="1130" customWidth="1"/>
    <col min="6402" max="6402" width="32.125" style="1130" customWidth="1"/>
    <col min="6403" max="6403" width="11" style="1130" customWidth="1"/>
    <col min="6404" max="6404" width="9.125" style="1130" customWidth="1"/>
    <col min="6405" max="6405" width="11" style="1130" customWidth="1"/>
    <col min="6406" max="6406" width="10.125" style="1130" customWidth="1"/>
    <col min="6407" max="6407" width="6.25" style="1130" customWidth="1"/>
    <col min="6408" max="6408" width="9.125" style="1130" customWidth="1"/>
    <col min="6409" max="6409" width="6.25" style="1130" customWidth="1"/>
    <col min="6410" max="6411" width="8.25" style="1130" customWidth="1"/>
    <col min="6412" max="6412" width="9.125" style="1130" customWidth="1"/>
    <col min="6413" max="6413" width="11.75" style="1130" customWidth="1"/>
    <col min="6414" max="6414" width="11" style="1130" customWidth="1"/>
    <col min="6415" max="6415" width="11.75" style="1130" customWidth="1"/>
    <col min="6416" max="6416" width="12.75" style="1130" customWidth="1"/>
    <col min="6417" max="6417" width="11" style="1130" customWidth="1"/>
    <col min="6418" max="6419" width="8.25" style="1130" customWidth="1"/>
    <col min="6420" max="6420" width="10.125" style="1130" customWidth="1"/>
    <col min="6421" max="6423" width="9.125" style="1130" customWidth="1"/>
    <col min="6424" max="6424" width="11" style="1130" customWidth="1"/>
    <col min="6425" max="6425" width="11.75" style="1130" customWidth="1"/>
    <col min="6426" max="6426" width="7.25" style="1130" customWidth="1"/>
    <col min="6427" max="6427" width="9.125" style="1130" customWidth="1"/>
    <col min="6428" max="6428" width="10.125" style="1130" customWidth="1"/>
    <col min="6429" max="6429" width="9.125" style="1130" customWidth="1"/>
    <col min="6430" max="6430" width="11.75" style="1130" customWidth="1"/>
    <col min="6431" max="6656" width="8.625" style="1130"/>
    <col min="6657" max="6657" width="29.25" style="1130" customWidth="1"/>
    <col min="6658" max="6658" width="32.125" style="1130" customWidth="1"/>
    <col min="6659" max="6659" width="11" style="1130" customWidth="1"/>
    <col min="6660" max="6660" width="9.125" style="1130" customWidth="1"/>
    <col min="6661" max="6661" width="11" style="1130" customWidth="1"/>
    <col min="6662" max="6662" width="10.125" style="1130" customWidth="1"/>
    <col min="6663" max="6663" width="6.25" style="1130" customWidth="1"/>
    <col min="6664" max="6664" width="9.125" style="1130" customWidth="1"/>
    <col min="6665" max="6665" width="6.25" style="1130" customWidth="1"/>
    <col min="6666" max="6667" width="8.25" style="1130" customWidth="1"/>
    <col min="6668" max="6668" width="9.125" style="1130" customWidth="1"/>
    <col min="6669" max="6669" width="11.75" style="1130" customWidth="1"/>
    <col min="6670" max="6670" width="11" style="1130" customWidth="1"/>
    <col min="6671" max="6671" width="11.75" style="1130" customWidth="1"/>
    <col min="6672" max="6672" width="12.75" style="1130" customWidth="1"/>
    <col min="6673" max="6673" width="11" style="1130" customWidth="1"/>
    <col min="6674" max="6675" width="8.25" style="1130" customWidth="1"/>
    <col min="6676" max="6676" width="10.125" style="1130" customWidth="1"/>
    <col min="6677" max="6679" width="9.125" style="1130" customWidth="1"/>
    <col min="6680" max="6680" width="11" style="1130" customWidth="1"/>
    <col min="6681" max="6681" width="11.75" style="1130" customWidth="1"/>
    <col min="6682" max="6682" width="7.25" style="1130" customWidth="1"/>
    <col min="6683" max="6683" width="9.125" style="1130" customWidth="1"/>
    <col min="6684" max="6684" width="10.125" style="1130" customWidth="1"/>
    <col min="6685" max="6685" width="9.125" style="1130" customWidth="1"/>
    <col min="6686" max="6686" width="11.75" style="1130" customWidth="1"/>
    <col min="6687" max="6912" width="8.625" style="1130"/>
    <col min="6913" max="6913" width="29.25" style="1130" customWidth="1"/>
    <col min="6914" max="6914" width="32.125" style="1130" customWidth="1"/>
    <col min="6915" max="6915" width="11" style="1130" customWidth="1"/>
    <col min="6916" max="6916" width="9.125" style="1130" customWidth="1"/>
    <col min="6917" max="6917" width="11" style="1130" customWidth="1"/>
    <col min="6918" max="6918" width="10.125" style="1130" customWidth="1"/>
    <col min="6919" max="6919" width="6.25" style="1130" customWidth="1"/>
    <col min="6920" max="6920" width="9.125" style="1130" customWidth="1"/>
    <col min="6921" max="6921" width="6.25" style="1130" customWidth="1"/>
    <col min="6922" max="6923" width="8.25" style="1130" customWidth="1"/>
    <col min="6924" max="6924" width="9.125" style="1130" customWidth="1"/>
    <col min="6925" max="6925" width="11.75" style="1130" customWidth="1"/>
    <col min="6926" max="6926" width="11" style="1130" customWidth="1"/>
    <col min="6927" max="6927" width="11.75" style="1130" customWidth="1"/>
    <col min="6928" max="6928" width="12.75" style="1130" customWidth="1"/>
    <col min="6929" max="6929" width="11" style="1130" customWidth="1"/>
    <col min="6930" max="6931" width="8.25" style="1130" customWidth="1"/>
    <col min="6932" max="6932" width="10.125" style="1130" customWidth="1"/>
    <col min="6933" max="6935" width="9.125" style="1130" customWidth="1"/>
    <col min="6936" max="6936" width="11" style="1130" customWidth="1"/>
    <col min="6937" max="6937" width="11.75" style="1130" customWidth="1"/>
    <col min="6938" max="6938" width="7.25" style="1130" customWidth="1"/>
    <col min="6939" max="6939" width="9.125" style="1130" customWidth="1"/>
    <col min="6940" max="6940" width="10.125" style="1130" customWidth="1"/>
    <col min="6941" max="6941" width="9.125" style="1130" customWidth="1"/>
    <col min="6942" max="6942" width="11.75" style="1130" customWidth="1"/>
    <col min="6943" max="7168" width="8.625" style="1130"/>
    <col min="7169" max="7169" width="29.25" style="1130" customWidth="1"/>
    <col min="7170" max="7170" width="32.125" style="1130" customWidth="1"/>
    <col min="7171" max="7171" width="11" style="1130" customWidth="1"/>
    <col min="7172" max="7172" width="9.125" style="1130" customWidth="1"/>
    <col min="7173" max="7173" width="11" style="1130" customWidth="1"/>
    <col min="7174" max="7174" width="10.125" style="1130" customWidth="1"/>
    <col min="7175" max="7175" width="6.25" style="1130" customWidth="1"/>
    <col min="7176" max="7176" width="9.125" style="1130" customWidth="1"/>
    <col min="7177" max="7177" width="6.25" style="1130" customWidth="1"/>
    <col min="7178" max="7179" width="8.25" style="1130" customWidth="1"/>
    <col min="7180" max="7180" width="9.125" style="1130" customWidth="1"/>
    <col min="7181" max="7181" width="11.75" style="1130" customWidth="1"/>
    <col min="7182" max="7182" width="11" style="1130" customWidth="1"/>
    <col min="7183" max="7183" width="11.75" style="1130" customWidth="1"/>
    <col min="7184" max="7184" width="12.75" style="1130" customWidth="1"/>
    <col min="7185" max="7185" width="11" style="1130" customWidth="1"/>
    <col min="7186" max="7187" width="8.25" style="1130" customWidth="1"/>
    <col min="7188" max="7188" width="10.125" style="1130" customWidth="1"/>
    <col min="7189" max="7191" width="9.125" style="1130" customWidth="1"/>
    <col min="7192" max="7192" width="11" style="1130" customWidth="1"/>
    <col min="7193" max="7193" width="11.75" style="1130" customWidth="1"/>
    <col min="7194" max="7194" width="7.25" style="1130" customWidth="1"/>
    <col min="7195" max="7195" width="9.125" style="1130" customWidth="1"/>
    <col min="7196" max="7196" width="10.125" style="1130" customWidth="1"/>
    <col min="7197" max="7197" width="9.125" style="1130" customWidth="1"/>
    <col min="7198" max="7198" width="11.75" style="1130" customWidth="1"/>
    <col min="7199" max="7424" width="8.625" style="1130"/>
    <col min="7425" max="7425" width="29.25" style="1130" customWidth="1"/>
    <col min="7426" max="7426" width="32.125" style="1130" customWidth="1"/>
    <col min="7427" max="7427" width="11" style="1130" customWidth="1"/>
    <col min="7428" max="7428" width="9.125" style="1130" customWidth="1"/>
    <col min="7429" max="7429" width="11" style="1130" customWidth="1"/>
    <col min="7430" max="7430" width="10.125" style="1130" customWidth="1"/>
    <col min="7431" max="7431" width="6.25" style="1130" customWidth="1"/>
    <col min="7432" max="7432" width="9.125" style="1130" customWidth="1"/>
    <col min="7433" max="7433" width="6.25" style="1130" customWidth="1"/>
    <col min="7434" max="7435" width="8.25" style="1130" customWidth="1"/>
    <col min="7436" max="7436" width="9.125" style="1130" customWidth="1"/>
    <col min="7437" max="7437" width="11.75" style="1130" customWidth="1"/>
    <col min="7438" max="7438" width="11" style="1130" customWidth="1"/>
    <col min="7439" max="7439" width="11.75" style="1130" customWidth="1"/>
    <col min="7440" max="7440" width="12.75" style="1130" customWidth="1"/>
    <col min="7441" max="7441" width="11" style="1130" customWidth="1"/>
    <col min="7442" max="7443" width="8.25" style="1130" customWidth="1"/>
    <col min="7444" max="7444" width="10.125" style="1130" customWidth="1"/>
    <col min="7445" max="7447" width="9.125" style="1130" customWidth="1"/>
    <col min="7448" max="7448" width="11" style="1130" customWidth="1"/>
    <col min="7449" max="7449" width="11.75" style="1130" customWidth="1"/>
    <col min="7450" max="7450" width="7.25" style="1130" customWidth="1"/>
    <col min="7451" max="7451" width="9.125" style="1130" customWidth="1"/>
    <col min="7452" max="7452" width="10.125" style="1130" customWidth="1"/>
    <col min="7453" max="7453" width="9.125" style="1130" customWidth="1"/>
    <col min="7454" max="7454" width="11.75" style="1130" customWidth="1"/>
    <col min="7455" max="7680" width="8.625" style="1130"/>
    <col min="7681" max="7681" width="29.25" style="1130" customWidth="1"/>
    <col min="7682" max="7682" width="32.125" style="1130" customWidth="1"/>
    <col min="7683" max="7683" width="11" style="1130" customWidth="1"/>
    <col min="7684" max="7684" width="9.125" style="1130" customWidth="1"/>
    <col min="7685" max="7685" width="11" style="1130" customWidth="1"/>
    <col min="7686" max="7686" width="10.125" style="1130" customWidth="1"/>
    <col min="7687" max="7687" width="6.25" style="1130" customWidth="1"/>
    <col min="7688" max="7688" width="9.125" style="1130" customWidth="1"/>
    <col min="7689" max="7689" width="6.25" style="1130" customWidth="1"/>
    <col min="7690" max="7691" width="8.25" style="1130" customWidth="1"/>
    <col min="7692" max="7692" width="9.125" style="1130" customWidth="1"/>
    <col min="7693" max="7693" width="11.75" style="1130" customWidth="1"/>
    <col min="7694" max="7694" width="11" style="1130" customWidth="1"/>
    <col min="7695" max="7695" width="11.75" style="1130" customWidth="1"/>
    <col min="7696" max="7696" width="12.75" style="1130" customWidth="1"/>
    <col min="7697" max="7697" width="11" style="1130" customWidth="1"/>
    <col min="7698" max="7699" width="8.25" style="1130" customWidth="1"/>
    <col min="7700" max="7700" width="10.125" style="1130" customWidth="1"/>
    <col min="7701" max="7703" width="9.125" style="1130" customWidth="1"/>
    <col min="7704" max="7704" width="11" style="1130" customWidth="1"/>
    <col min="7705" max="7705" width="11.75" style="1130" customWidth="1"/>
    <col min="7706" max="7706" width="7.25" style="1130" customWidth="1"/>
    <col min="7707" max="7707" width="9.125" style="1130" customWidth="1"/>
    <col min="7708" max="7708" width="10.125" style="1130" customWidth="1"/>
    <col min="7709" max="7709" width="9.125" style="1130" customWidth="1"/>
    <col min="7710" max="7710" width="11.75" style="1130" customWidth="1"/>
    <col min="7711" max="7936" width="8.625" style="1130"/>
    <col min="7937" max="7937" width="29.25" style="1130" customWidth="1"/>
    <col min="7938" max="7938" width="32.125" style="1130" customWidth="1"/>
    <col min="7939" max="7939" width="11" style="1130" customWidth="1"/>
    <col min="7940" max="7940" width="9.125" style="1130" customWidth="1"/>
    <col min="7941" max="7941" width="11" style="1130" customWidth="1"/>
    <col min="7942" max="7942" width="10.125" style="1130" customWidth="1"/>
    <col min="7943" max="7943" width="6.25" style="1130" customWidth="1"/>
    <col min="7944" max="7944" width="9.125" style="1130" customWidth="1"/>
    <col min="7945" max="7945" width="6.25" style="1130" customWidth="1"/>
    <col min="7946" max="7947" width="8.25" style="1130" customWidth="1"/>
    <col min="7948" max="7948" width="9.125" style="1130" customWidth="1"/>
    <col min="7949" max="7949" width="11.75" style="1130" customWidth="1"/>
    <col min="7950" max="7950" width="11" style="1130" customWidth="1"/>
    <col min="7951" max="7951" width="11.75" style="1130" customWidth="1"/>
    <col min="7952" max="7952" width="12.75" style="1130" customWidth="1"/>
    <col min="7953" max="7953" width="11" style="1130" customWidth="1"/>
    <col min="7954" max="7955" width="8.25" style="1130" customWidth="1"/>
    <col min="7956" max="7956" width="10.125" style="1130" customWidth="1"/>
    <col min="7957" max="7959" width="9.125" style="1130" customWidth="1"/>
    <col min="7960" max="7960" width="11" style="1130" customWidth="1"/>
    <col min="7961" max="7961" width="11.75" style="1130" customWidth="1"/>
    <col min="7962" max="7962" width="7.25" style="1130" customWidth="1"/>
    <col min="7963" max="7963" width="9.125" style="1130" customWidth="1"/>
    <col min="7964" max="7964" width="10.125" style="1130" customWidth="1"/>
    <col min="7965" max="7965" width="9.125" style="1130" customWidth="1"/>
    <col min="7966" max="7966" width="11.75" style="1130" customWidth="1"/>
    <col min="7967" max="8192" width="8.625" style="1130"/>
    <col min="8193" max="8193" width="29.25" style="1130" customWidth="1"/>
    <col min="8194" max="8194" width="32.125" style="1130" customWidth="1"/>
    <col min="8195" max="8195" width="11" style="1130" customWidth="1"/>
    <col min="8196" max="8196" width="9.125" style="1130" customWidth="1"/>
    <col min="8197" max="8197" width="11" style="1130" customWidth="1"/>
    <col min="8198" max="8198" width="10.125" style="1130" customWidth="1"/>
    <col min="8199" max="8199" width="6.25" style="1130" customWidth="1"/>
    <col min="8200" max="8200" width="9.125" style="1130" customWidth="1"/>
    <col min="8201" max="8201" width="6.25" style="1130" customWidth="1"/>
    <col min="8202" max="8203" width="8.25" style="1130" customWidth="1"/>
    <col min="8204" max="8204" width="9.125" style="1130" customWidth="1"/>
    <col min="8205" max="8205" width="11.75" style="1130" customWidth="1"/>
    <col min="8206" max="8206" width="11" style="1130" customWidth="1"/>
    <col min="8207" max="8207" width="11.75" style="1130" customWidth="1"/>
    <col min="8208" max="8208" width="12.75" style="1130" customWidth="1"/>
    <col min="8209" max="8209" width="11" style="1130" customWidth="1"/>
    <col min="8210" max="8211" width="8.25" style="1130" customWidth="1"/>
    <col min="8212" max="8212" width="10.125" style="1130" customWidth="1"/>
    <col min="8213" max="8215" width="9.125" style="1130" customWidth="1"/>
    <col min="8216" max="8216" width="11" style="1130" customWidth="1"/>
    <col min="8217" max="8217" width="11.75" style="1130" customWidth="1"/>
    <col min="8218" max="8218" width="7.25" style="1130" customWidth="1"/>
    <col min="8219" max="8219" width="9.125" style="1130" customWidth="1"/>
    <col min="8220" max="8220" width="10.125" style="1130" customWidth="1"/>
    <col min="8221" max="8221" width="9.125" style="1130" customWidth="1"/>
    <col min="8222" max="8222" width="11.75" style="1130" customWidth="1"/>
    <col min="8223" max="8448" width="8.625" style="1130"/>
    <col min="8449" max="8449" width="29.25" style="1130" customWidth="1"/>
    <col min="8450" max="8450" width="32.125" style="1130" customWidth="1"/>
    <col min="8451" max="8451" width="11" style="1130" customWidth="1"/>
    <col min="8452" max="8452" width="9.125" style="1130" customWidth="1"/>
    <col min="8453" max="8453" width="11" style="1130" customWidth="1"/>
    <col min="8454" max="8454" width="10.125" style="1130" customWidth="1"/>
    <col min="8455" max="8455" width="6.25" style="1130" customWidth="1"/>
    <col min="8456" max="8456" width="9.125" style="1130" customWidth="1"/>
    <col min="8457" max="8457" width="6.25" style="1130" customWidth="1"/>
    <col min="8458" max="8459" width="8.25" style="1130" customWidth="1"/>
    <col min="8460" max="8460" width="9.125" style="1130" customWidth="1"/>
    <col min="8461" max="8461" width="11.75" style="1130" customWidth="1"/>
    <col min="8462" max="8462" width="11" style="1130" customWidth="1"/>
    <col min="8463" max="8463" width="11.75" style="1130" customWidth="1"/>
    <col min="8464" max="8464" width="12.75" style="1130" customWidth="1"/>
    <col min="8465" max="8465" width="11" style="1130" customWidth="1"/>
    <col min="8466" max="8467" width="8.25" style="1130" customWidth="1"/>
    <col min="8468" max="8468" width="10.125" style="1130" customWidth="1"/>
    <col min="8469" max="8471" width="9.125" style="1130" customWidth="1"/>
    <col min="8472" max="8472" width="11" style="1130" customWidth="1"/>
    <col min="8473" max="8473" width="11.75" style="1130" customWidth="1"/>
    <col min="8474" max="8474" width="7.25" style="1130" customWidth="1"/>
    <col min="8475" max="8475" width="9.125" style="1130" customWidth="1"/>
    <col min="8476" max="8476" width="10.125" style="1130" customWidth="1"/>
    <col min="8477" max="8477" width="9.125" style="1130" customWidth="1"/>
    <col min="8478" max="8478" width="11.75" style="1130" customWidth="1"/>
    <col min="8479" max="8704" width="8.625" style="1130"/>
    <col min="8705" max="8705" width="29.25" style="1130" customWidth="1"/>
    <col min="8706" max="8706" width="32.125" style="1130" customWidth="1"/>
    <col min="8707" max="8707" width="11" style="1130" customWidth="1"/>
    <col min="8708" max="8708" width="9.125" style="1130" customWidth="1"/>
    <col min="8709" max="8709" width="11" style="1130" customWidth="1"/>
    <col min="8710" max="8710" width="10.125" style="1130" customWidth="1"/>
    <col min="8711" max="8711" width="6.25" style="1130" customWidth="1"/>
    <col min="8712" max="8712" width="9.125" style="1130" customWidth="1"/>
    <col min="8713" max="8713" width="6.25" style="1130" customWidth="1"/>
    <col min="8714" max="8715" width="8.25" style="1130" customWidth="1"/>
    <col min="8716" max="8716" width="9.125" style="1130" customWidth="1"/>
    <col min="8717" max="8717" width="11.75" style="1130" customWidth="1"/>
    <col min="8718" max="8718" width="11" style="1130" customWidth="1"/>
    <col min="8719" max="8719" width="11.75" style="1130" customWidth="1"/>
    <col min="8720" max="8720" width="12.75" style="1130" customWidth="1"/>
    <col min="8721" max="8721" width="11" style="1130" customWidth="1"/>
    <col min="8722" max="8723" width="8.25" style="1130" customWidth="1"/>
    <col min="8724" max="8724" width="10.125" style="1130" customWidth="1"/>
    <col min="8725" max="8727" width="9.125" style="1130" customWidth="1"/>
    <col min="8728" max="8728" width="11" style="1130" customWidth="1"/>
    <col min="8729" max="8729" width="11.75" style="1130" customWidth="1"/>
    <col min="8730" max="8730" width="7.25" style="1130" customWidth="1"/>
    <col min="8731" max="8731" width="9.125" style="1130" customWidth="1"/>
    <col min="8732" max="8732" width="10.125" style="1130" customWidth="1"/>
    <col min="8733" max="8733" width="9.125" style="1130" customWidth="1"/>
    <col min="8734" max="8734" width="11.75" style="1130" customWidth="1"/>
    <col min="8735" max="8960" width="8.625" style="1130"/>
    <col min="8961" max="8961" width="29.25" style="1130" customWidth="1"/>
    <col min="8962" max="8962" width="32.125" style="1130" customWidth="1"/>
    <col min="8963" max="8963" width="11" style="1130" customWidth="1"/>
    <col min="8964" max="8964" width="9.125" style="1130" customWidth="1"/>
    <col min="8965" max="8965" width="11" style="1130" customWidth="1"/>
    <col min="8966" max="8966" width="10.125" style="1130" customWidth="1"/>
    <col min="8967" max="8967" width="6.25" style="1130" customWidth="1"/>
    <col min="8968" max="8968" width="9.125" style="1130" customWidth="1"/>
    <col min="8969" max="8969" width="6.25" style="1130" customWidth="1"/>
    <col min="8970" max="8971" width="8.25" style="1130" customWidth="1"/>
    <col min="8972" max="8972" width="9.125" style="1130" customWidth="1"/>
    <col min="8973" max="8973" width="11.75" style="1130" customWidth="1"/>
    <col min="8974" max="8974" width="11" style="1130" customWidth="1"/>
    <col min="8975" max="8975" width="11.75" style="1130" customWidth="1"/>
    <col min="8976" max="8976" width="12.75" style="1130" customWidth="1"/>
    <col min="8977" max="8977" width="11" style="1130" customWidth="1"/>
    <col min="8978" max="8979" width="8.25" style="1130" customWidth="1"/>
    <col min="8980" max="8980" width="10.125" style="1130" customWidth="1"/>
    <col min="8981" max="8983" width="9.125" style="1130" customWidth="1"/>
    <col min="8984" max="8984" width="11" style="1130" customWidth="1"/>
    <col min="8985" max="8985" width="11.75" style="1130" customWidth="1"/>
    <col min="8986" max="8986" width="7.25" style="1130" customWidth="1"/>
    <col min="8987" max="8987" width="9.125" style="1130" customWidth="1"/>
    <col min="8988" max="8988" width="10.125" style="1130" customWidth="1"/>
    <col min="8989" max="8989" width="9.125" style="1130" customWidth="1"/>
    <col min="8990" max="8990" width="11.75" style="1130" customWidth="1"/>
    <col min="8991" max="9216" width="8.625" style="1130"/>
    <col min="9217" max="9217" width="29.25" style="1130" customWidth="1"/>
    <col min="9218" max="9218" width="32.125" style="1130" customWidth="1"/>
    <col min="9219" max="9219" width="11" style="1130" customWidth="1"/>
    <col min="9220" max="9220" width="9.125" style="1130" customWidth="1"/>
    <col min="9221" max="9221" width="11" style="1130" customWidth="1"/>
    <col min="9222" max="9222" width="10.125" style="1130" customWidth="1"/>
    <col min="9223" max="9223" width="6.25" style="1130" customWidth="1"/>
    <col min="9224" max="9224" width="9.125" style="1130" customWidth="1"/>
    <col min="9225" max="9225" width="6.25" style="1130" customWidth="1"/>
    <col min="9226" max="9227" width="8.25" style="1130" customWidth="1"/>
    <col min="9228" max="9228" width="9.125" style="1130" customWidth="1"/>
    <col min="9229" max="9229" width="11.75" style="1130" customWidth="1"/>
    <col min="9230" max="9230" width="11" style="1130" customWidth="1"/>
    <col min="9231" max="9231" width="11.75" style="1130" customWidth="1"/>
    <col min="9232" max="9232" width="12.75" style="1130" customWidth="1"/>
    <col min="9233" max="9233" width="11" style="1130" customWidth="1"/>
    <col min="9234" max="9235" width="8.25" style="1130" customWidth="1"/>
    <col min="9236" max="9236" width="10.125" style="1130" customWidth="1"/>
    <col min="9237" max="9239" width="9.125" style="1130" customWidth="1"/>
    <col min="9240" max="9240" width="11" style="1130" customWidth="1"/>
    <col min="9241" max="9241" width="11.75" style="1130" customWidth="1"/>
    <col min="9242" max="9242" width="7.25" style="1130" customWidth="1"/>
    <col min="9243" max="9243" width="9.125" style="1130" customWidth="1"/>
    <col min="9244" max="9244" width="10.125" style="1130" customWidth="1"/>
    <col min="9245" max="9245" width="9.125" style="1130" customWidth="1"/>
    <col min="9246" max="9246" width="11.75" style="1130" customWidth="1"/>
    <col min="9247" max="9472" width="8.625" style="1130"/>
    <col min="9473" max="9473" width="29.25" style="1130" customWidth="1"/>
    <col min="9474" max="9474" width="32.125" style="1130" customWidth="1"/>
    <col min="9475" max="9475" width="11" style="1130" customWidth="1"/>
    <col min="9476" max="9476" width="9.125" style="1130" customWidth="1"/>
    <col min="9477" max="9477" width="11" style="1130" customWidth="1"/>
    <col min="9478" max="9478" width="10.125" style="1130" customWidth="1"/>
    <col min="9479" max="9479" width="6.25" style="1130" customWidth="1"/>
    <col min="9480" max="9480" width="9.125" style="1130" customWidth="1"/>
    <col min="9481" max="9481" width="6.25" style="1130" customWidth="1"/>
    <col min="9482" max="9483" width="8.25" style="1130" customWidth="1"/>
    <col min="9484" max="9484" width="9.125" style="1130" customWidth="1"/>
    <col min="9485" max="9485" width="11.75" style="1130" customWidth="1"/>
    <col min="9486" max="9486" width="11" style="1130" customWidth="1"/>
    <col min="9487" max="9487" width="11.75" style="1130" customWidth="1"/>
    <col min="9488" max="9488" width="12.75" style="1130" customWidth="1"/>
    <col min="9489" max="9489" width="11" style="1130" customWidth="1"/>
    <col min="9490" max="9491" width="8.25" style="1130" customWidth="1"/>
    <col min="9492" max="9492" width="10.125" style="1130" customWidth="1"/>
    <col min="9493" max="9495" width="9.125" style="1130" customWidth="1"/>
    <col min="9496" max="9496" width="11" style="1130" customWidth="1"/>
    <col min="9497" max="9497" width="11.75" style="1130" customWidth="1"/>
    <col min="9498" max="9498" width="7.25" style="1130" customWidth="1"/>
    <col min="9499" max="9499" width="9.125" style="1130" customWidth="1"/>
    <col min="9500" max="9500" width="10.125" style="1130" customWidth="1"/>
    <col min="9501" max="9501" width="9.125" style="1130" customWidth="1"/>
    <col min="9502" max="9502" width="11.75" style="1130" customWidth="1"/>
    <col min="9503" max="9728" width="8.625" style="1130"/>
    <col min="9729" max="9729" width="29.25" style="1130" customWidth="1"/>
    <col min="9730" max="9730" width="32.125" style="1130" customWidth="1"/>
    <col min="9731" max="9731" width="11" style="1130" customWidth="1"/>
    <col min="9732" max="9732" width="9.125" style="1130" customWidth="1"/>
    <col min="9733" max="9733" width="11" style="1130" customWidth="1"/>
    <col min="9734" max="9734" width="10.125" style="1130" customWidth="1"/>
    <col min="9735" max="9735" width="6.25" style="1130" customWidth="1"/>
    <col min="9736" max="9736" width="9.125" style="1130" customWidth="1"/>
    <col min="9737" max="9737" width="6.25" style="1130" customWidth="1"/>
    <col min="9738" max="9739" width="8.25" style="1130" customWidth="1"/>
    <col min="9740" max="9740" width="9.125" style="1130" customWidth="1"/>
    <col min="9741" max="9741" width="11.75" style="1130" customWidth="1"/>
    <col min="9742" max="9742" width="11" style="1130" customWidth="1"/>
    <col min="9743" max="9743" width="11.75" style="1130" customWidth="1"/>
    <col min="9744" max="9744" width="12.75" style="1130" customWidth="1"/>
    <col min="9745" max="9745" width="11" style="1130" customWidth="1"/>
    <col min="9746" max="9747" width="8.25" style="1130" customWidth="1"/>
    <col min="9748" max="9748" width="10.125" style="1130" customWidth="1"/>
    <col min="9749" max="9751" width="9.125" style="1130" customWidth="1"/>
    <col min="9752" max="9752" width="11" style="1130" customWidth="1"/>
    <col min="9753" max="9753" width="11.75" style="1130" customWidth="1"/>
    <col min="9754" max="9754" width="7.25" style="1130" customWidth="1"/>
    <col min="9755" max="9755" width="9.125" style="1130" customWidth="1"/>
    <col min="9756" max="9756" width="10.125" style="1130" customWidth="1"/>
    <col min="9757" max="9757" width="9.125" style="1130" customWidth="1"/>
    <col min="9758" max="9758" width="11.75" style="1130" customWidth="1"/>
    <col min="9759" max="9984" width="8.625" style="1130"/>
    <col min="9985" max="9985" width="29.25" style="1130" customWidth="1"/>
    <col min="9986" max="9986" width="32.125" style="1130" customWidth="1"/>
    <col min="9987" max="9987" width="11" style="1130" customWidth="1"/>
    <col min="9988" max="9988" width="9.125" style="1130" customWidth="1"/>
    <col min="9989" max="9989" width="11" style="1130" customWidth="1"/>
    <col min="9990" max="9990" width="10.125" style="1130" customWidth="1"/>
    <col min="9991" max="9991" width="6.25" style="1130" customWidth="1"/>
    <col min="9992" max="9992" width="9.125" style="1130" customWidth="1"/>
    <col min="9993" max="9993" width="6.25" style="1130" customWidth="1"/>
    <col min="9994" max="9995" width="8.25" style="1130" customWidth="1"/>
    <col min="9996" max="9996" width="9.125" style="1130" customWidth="1"/>
    <col min="9997" max="9997" width="11.75" style="1130" customWidth="1"/>
    <col min="9998" max="9998" width="11" style="1130" customWidth="1"/>
    <col min="9999" max="9999" width="11.75" style="1130" customWidth="1"/>
    <col min="10000" max="10000" width="12.75" style="1130" customWidth="1"/>
    <col min="10001" max="10001" width="11" style="1130" customWidth="1"/>
    <col min="10002" max="10003" width="8.25" style="1130" customWidth="1"/>
    <col min="10004" max="10004" width="10.125" style="1130" customWidth="1"/>
    <col min="10005" max="10007" width="9.125" style="1130" customWidth="1"/>
    <col min="10008" max="10008" width="11" style="1130" customWidth="1"/>
    <col min="10009" max="10009" width="11.75" style="1130" customWidth="1"/>
    <col min="10010" max="10010" width="7.25" style="1130" customWidth="1"/>
    <col min="10011" max="10011" width="9.125" style="1130" customWidth="1"/>
    <col min="10012" max="10012" width="10.125" style="1130" customWidth="1"/>
    <col min="10013" max="10013" width="9.125" style="1130" customWidth="1"/>
    <col min="10014" max="10014" width="11.75" style="1130" customWidth="1"/>
    <col min="10015" max="10240" width="8.625" style="1130"/>
    <col min="10241" max="10241" width="29.25" style="1130" customWidth="1"/>
    <col min="10242" max="10242" width="32.125" style="1130" customWidth="1"/>
    <col min="10243" max="10243" width="11" style="1130" customWidth="1"/>
    <col min="10244" max="10244" width="9.125" style="1130" customWidth="1"/>
    <col min="10245" max="10245" width="11" style="1130" customWidth="1"/>
    <col min="10246" max="10246" width="10.125" style="1130" customWidth="1"/>
    <col min="10247" max="10247" width="6.25" style="1130" customWidth="1"/>
    <col min="10248" max="10248" width="9.125" style="1130" customWidth="1"/>
    <col min="10249" max="10249" width="6.25" style="1130" customWidth="1"/>
    <col min="10250" max="10251" width="8.25" style="1130" customWidth="1"/>
    <col min="10252" max="10252" width="9.125" style="1130" customWidth="1"/>
    <col min="10253" max="10253" width="11.75" style="1130" customWidth="1"/>
    <col min="10254" max="10254" width="11" style="1130" customWidth="1"/>
    <col min="10255" max="10255" width="11.75" style="1130" customWidth="1"/>
    <col min="10256" max="10256" width="12.75" style="1130" customWidth="1"/>
    <col min="10257" max="10257" width="11" style="1130" customWidth="1"/>
    <col min="10258" max="10259" width="8.25" style="1130" customWidth="1"/>
    <col min="10260" max="10260" width="10.125" style="1130" customWidth="1"/>
    <col min="10261" max="10263" width="9.125" style="1130" customWidth="1"/>
    <col min="10264" max="10264" width="11" style="1130" customWidth="1"/>
    <col min="10265" max="10265" width="11.75" style="1130" customWidth="1"/>
    <col min="10266" max="10266" width="7.25" style="1130" customWidth="1"/>
    <col min="10267" max="10267" width="9.125" style="1130" customWidth="1"/>
    <col min="10268" max="10268" width="10.125" style="1130" customWidth="1"/>
    <col min="10269" max="10269" width="9.125" style="1130" customWidth="1"/>
    <col min="10270" max="10270" width="11.75" style="1130" customWidth="1"/>
    <col min="10271" max="10496" width="8.625" style="1130"/>
    <col min="10497" max="10497" width="29.25" style="1130" customWidth="1"/>
    <col min="10498" max="10498" width="32.125" style="1130" customWidth="1"/>
    <col min="10499" max="10499" width="11" style="1130" customWidth="1"/>
    <col min="10500" max="10500" width="9.125" style="1130" customWidth="1"/>
    <col min="10501" max="10501" width="11" style="1130" customWidth="1"/>
    <col min="10502" max="10502" width="10.125" style="1130" customWidth="1"/>
    <col min="10503" max="10503" width="6.25" style="1130" customWidth="1"/>
    <col min="10504" max="10504" width="9.125" style="1130" customWidth="1"/>
    <col min="10505" max="10505" width="6.25" style="1130" customWidth="1"/>
    <col min="10506" max="10507" width="8.25" style="1130" customWidth="1"/>
    <col min="10508" max="10508" width="9.125" style="1130" customWidth="1"/>
    <col min="10509" max="10509" width="11.75" style="1130" customWidth="1"/>
    <col min="10510" max="10510" width="11" style="1130" customWidth="1"/>
    <col min="10511" max="10511" width="11.75" style="1130" customWidth="1"/>
    <col min="10512" max="10512" width="12.75" style="1130" customWidth="1"/>
    <col min="10513" max="10513" width="11" style="1130" customWidth="1"/>
    <col min="10514" max="10515" width="8.25" style="1130" customWidth="1"/>
    <col min="10516" max="10516" width="10.125" style="1130" customWidth="1"/>
    <col min="10517" max="10519" width="9.125" style="1130" customWidth="1"/>
    <col min="10520" max="10520" width="11" style="1130" customWidth="1"/>
    <col min="10521" max="10521" width="11.75" style="1130" customWidth="1"/>
    <col min="10522" max="10522" width="7.25" style="1130" customWidth="1"/>
    <col min="10523" max="10523" width="9.125" style="1130" customWidth="1"/>
    <col min="10524" max="10524" width="10.125" style="1130" customWidth="1"/>
    <col min="10525" max="10525" width="9.125" style="1130" customWidth="1"/>
    <col min="10526" max="10526" width="11.75" style="1130" customWidth="1"/>
    <col min="10527" max="10752" width="8.625" style="1130"/>
    <col min="10753" max="10753" width="29.25" style="1130" customWidth="1"/>
    <col min="10754" max="10754" width="32.125" style="1130" customWidth="1"/>
    <col min="10755" max="10755" width="11" style="1130" customWidth="1"/>
    <col min="10756" max="10756" width="9.125" style="1130" customWidth="1"/>
    <col min="10757" max="10757" width="11" style="1130" customWidth="1"/>
    <col min="10758" max="10758" width="10.125" style="1130" customWidth="1"/>
    <col min="10759" max="10759" width="6.25" style="1130" customWidth="1"/>
    <col min="10760" max="10760" width="9.125" style="1130" customWidth="1"/>
    <col min="10761" max="10761" width="6.25" style="1130" customWidth="1"/>
    <col min="10762" max="10763" width="8.25" style="1130" customWidth="1"/>
    <col min="10764" max="10764" width="9.125" style="1130" customWidth="1"/>
    <col min="10765" max="10765" width="11.75" style="1130" customWidth="1"/>
    <col min="10766" max="10766" width="11" style="1130" customWidth="1"/>
    <col min="10767" max="10767" width="11.75" style="1130" customWidth="1"/>
    <col min="10768" max="10768" width="12.75" style="1130" customWidth="1"/>
    <col min="10769" max="10769" width="11" style="1130" customWidth="1"/>
    <col min="10770" max="10771" width="8.25" style="1130" customWidth="1"/>
    <col min="10772" max="10772" width="10.125" style="1130" customWidth="1"/>
    <col min="10773" max="10775" width="9.125" style="1130" customWidth="1"/>
    <col min="10776" max="10776" width="11" style="1130" customWidth="1"/>
    <col min="10777" max="10777" width="11.75" style="1130" customWidth="1"/>
    <col min="10778" max="10778" width="7.25" style="1130" customWidth="1"/>
    <col min="10779" max="10779" width="9.125" style="1130" customWidth="1"/>
    <col min="10780" max="10780" width="10.125" style="1130" customWidth="1"/>
    <col min="10781" max="10781" width="9.125" style="1130" customWidth="1"/>
    <col min="10782" max="10782" width="11.75" style="1130" customWidth="1"/>
    <col min="10783" max="11008" width="8.625" style="1130"/>
    <col min="11009" max="11009" width="29.25" style="1130" customWidth="1"/>
    <col min="11010" max="11010" width="32.125" style="1130" customWidth="1"/>
    <col min="11011" max="11011" width="11" style="1130" customWidth="1"/>
    <col min="11012" max="11012" width="9.125" style="1130" customWidth="1"/>
    <col min="11013" max="11013" width="11" style="1130" customWidth="1"/>
    <col min="11014" max="11014" width="10.125" style="1130" customWidth="1"/>
    <col min="11015" max="11015" width="6.25" style="1130" customWidth="1"/>
    <col min="11016" max="11016" width="9.125" style="1130" customWidth="1"/>
    <col min="11017" max="11017" width="6.25" style="1130" customWidth="1"/>
    <col min="11018" max="11019" width="8.25" style="1130" customWidth="1"/>
    <col min="11020" max="11020" width="9.125" style="1130" customWidth="1"/>
    <col min="11021" max="11021" width="11.75" style="1130" customWidth="1"/>
    <col min="11022" max="11022" width="11" style="1130" customWidth="1"/>
    <col min="11023" max="11023" width="11.75" style="1130" customWidth="1"/>
    <col min="11024" max="11024" width="12.75" style="1130" customWidth="1"/>
    <col min="11025" max="11025" width="11" style="1130" customWidth="1"/>
    <col min="11026" max="11027" width="8.25" style="1130" customWidth="1"/>
    <col min="11028" max="11028" width="10.125" style="1130" customWidth="1"/>
    <col min="11029" max="11031" width="9.125" style="1130" customWidth="1"/>
    <col min="11032" max="11032" width="11" style="1130" customWidth="1"/>
    <col min="11033" max="11033" width="11.75" style="1130" customWidth="1"/>
    <col min="11034" max="11034" width="7.25" style="1130" customWidth="1"/>
    <col min="11035" max="11035" width="9.125" style="1130" customWidth="1"/>
    <col min="11036" max="11036" width="10.125" style="1130" customWidth="1"/>
    <col min="11037" max="11037" width="9.125" style="1130" customWidth="1"/>
    <col min="11038" max="11038" width="11.75" style="1130" customWidth="1"/>
    <col min="11039" max="11264" width="8.625" style="1130"/>
    <col min="11265" max="11265" width="29.25" style="1130" customWidth="1"/>
    <col min="11266" max="11266" width="32.125" style="1130" customWidth="1"/>
    <col min="11267" max="11267" width="11" style="1130" customWidth="1"/>
    <col min="11268" max="11268" width="9.125" style="1130" customWidth="1"/>
    <col min="11269" max="11269" width="11" style="1130" customWidth="1"/>
    <col min="11270" max="11270" width="10.125" style="1130" customWidth="1"/>
    <col min="11271" max="11271" width="6.25" style="1130" customWidth="1"/>
    <col min="11272" max="11272" width="9.125" style="1130" customWidth="1"/>
    <col min="11273" max="11273" width="6.25" style="1130" customWidth="1"/>
    <col min="11274" max="11275" width="8.25" style="1130" customWidth="1"/>
    <col min="11276" max="11276" width="9.125" style="1130" customWidth="1"/>
    <col min="11277" max="11277" width="11.75" style="1130" customWidth="1"/>
    <col min="11278" max="11278" width="11" style="1130" customWidth="1"/>
    <col min="11279" max="11279" width="11.75" style="1130" customWidth="1"/>
    <col min="11280" max="11280" width="12.75" style="1130" customWidth="1"/>
    <col min="11281" max="11281" width="11" style="1130" customWidth="1"/>
    <col min="11282" max="11283" width="8.25" style="1130" customWidth="1"/>
    <col min="11284" max="11284" width="10.125" style="1130" customWidth="1"/>
    <col min="11285" max="11287" width="9.125" style="1130" customWidth="1"/>
    <col min="11288" max="11288" width="11" style="1130" customWidth="1"/>
    <col min="11289" max="11289" width="11.75" style="1130" customWidth="1"/>
    <col min="11290" max="11290" width="7.25" style="1130" customWidth="1"/>
    <col min="11291" max="11291" width="9.125" style="1130" customWidth="1"/>
    <col min="11292" max="11292" width="10.125" style="1130" customWidth="1"/>
    <col min="11293" max="11293" width="9.125" style="1130" customWidth="1"/>
    <col min="11294" max="11294" width="11.75" style="1130" customWidth="1"/>
    <col min="11295" max="11520" width="8.625" style="1130"/>
    <col min="11521" max="11521" width="29.25" style="1130" customWidth="1"/>
    <col min="11522" max="11522" width="32.125" style="1130" customWidth="1"/>
    <col min="11523" max="11523" width="11" style="1130" customWidth="1"/>
    <col min="11524" max="11524" width="9.125" style="1130" customWidth="1"/>
    <col min="11525" max="11525" width="11" style="1130" customWidth="1"/>
    <col min="11526" max="11526" width="10.125" style="1130" customWidth="1"/>
    <col min="11527" max="11527" width="6.25" style="1130" customWidth="1"/>
    <col min="11528" max="11528" width="9.125" style="1130" customWidth="1"/>
    <col min="11529" max="11529" width="6.25" style="1130" customWidth="1"/>
    <col min="11530" max="11531" width="8.25" style="1130" customWidth="1"/>
    <col min="11532" max="11532" width="9.125" style="1130" customWidth="1"/>
    <col min="11533" max="11533" width="11.75" style="1130" customWidth="1"/>
    <col min="11534" max="11534" width="11" style="1130" customWidth="1"/>
    <col min="11535" max="11535" width="11.75" style="1130" customWidth="1"/>
    <col min="11536" max="11536" width="12.75" style="1130" customWidth="1"/>
    <col min="11537" max="11537" width="11" style="1130" customWidth="1"/>
    <col min="11538" max="11539" width="8.25" style="1130" customWidth="1"/>
    <col min="11540" max="11540" width="10.125" style="1130" customWidth="1"/>
    <col min="11541" max="11543" width="9.125" style="1130" customWidth="1"/>
    <col min="11544" max="11544" width="11" style="1130" customWidth="1"/>
    <col min="11545" max="11545" width="11.75" style="1130" customWidth="1"/>
    <col min="11546" max="11546" width="7.25" style="1130" customWidth="1"/>
    <col min="11547" max="11547" width="9.125" style="1130" customWidth="1"/>
    <col min="11548" max="11548" width="10.125" style="1130" customWidth="1"/>
    <col min="11549" max="11549" width="9.125" style="1130" customWidth="1"/>
    <col min="11550" max="11550" width="11.75" style="1130" customWidth="1"/>
    <col min="11551" max="11776" width="8.625" style="1130"/>
    <col min="11777" max="11777" width="29.25" style="1130" customWidth="1"/>
    <col min="11778" max="11778" width="32.125" style="1130" customWidth="1"/>
    <col min="11779" max="11779" width="11" style="1130" customWidth="1"/>
    <col min="11780" max="11780" width="9.125" style="1130" customWidth="1"/>
    <col min="11781" max="11781" width="11" style="1130" customWidth="1"/>
    <col min="11782" max="11782" width="10.125" style="1130" customWidth="1"/>
    <col min="11783" max="11783" width="6.25" style="1130" customWidth="1"/>
    <col min="11784" max="11784" width="9.125" style="1130" customWidth="1"/>
    <col min="11785" max="11785" width="6.25" style="1130" customWidth="1"/>
    <col min="11786" max="11787" width="8.25" style="1130" customWidth="1"/>
    <col min="11788" max="11788" width="9.125" style="1130" customWidth="1"/>
    <col min="11789" max="11789" width="11.75" style="1130" customWidth="1"/>
    <col min="11790" max="11790" width="11" style="1130" customWidth="1"/>
    <col min="11791" max="11791" width="11.75" style="1130" customWidth="1"/>
    <col min="11792" max="11792" width="12.75" style="1130" customWidth="1"/>
    <col min="11793" max="11793" width="11" style="1130" customWidth="1"/>
    <col min="11794" max="11795" width="8.25" style="1130" customWidth="1"/>
    <col min="11796" max="11796" width="10.125" style="1130" customWidth="1"/>
    <col min="11797" max="11799" width="9.125" style="1130" customWidth="1"/>
    <col min="11800" max="11800" width="11" style="1130" customWidth="1"/>
    <col min="11801" max="11801" width="11.75" style="1130" customWidth="1"/>
    <col min="11802" max="11802" width="7.25" style="1130" customWidth="1"/>
    <col min="11803" max="11803" width="9.125" style="1130" customWidth="1"/>
    <col min="11804" max="11804" width="10.125" style="1130" customWidth="1"/>
    <col min="11805" max="11805" width="9.125" style="1130" customWidth="1"/>
    <col min="11806" max="11806" width="11.75" style="1130" customWidth="1"/>
    <col min="11807" max="12032" width="8.625" style="1130"/>
    <col min="12033" max="12033" width="29.25" style="1130" customWidth="1"/>
    <col min="12034" max="12034" width="32.125" style="1130" customWidth="1"/>
    <col min="12035" max="12035" width="11" style="1130" customWidth="1"/>
    <col min="12036" max="12036" width="9.125" style="1130" customWidth="1"/>
    <col min="12037" max="12037" width="11" style="1130" customWidth="1"/>
    <col min="12038" max="12038" width="10.125" style="1130" customWidth="1"/>
    <col min="12039" max="12039" width="6.25" style="1130" customWidth="1"/>
    <col min="12040" max="12040" width="9.125" style="1130" customWidth="1"/>
    <col min="12041" max="12041" width="6.25" style="1130" customWidth="1"/>
    <col min="12042" max="12043" width="8.25" style="1130" customWidth="1"/>
    <col min="12044" max="12044" width="9.125" style="1130" customWidth="1"/>
    <col min="12045" max="12045" width="11.75" style="1130" customWidth="1"/>
    <col min="12046" max="12046" width="11" style="1130" customWidth="1"/>
    <col min="12047" max="12047" width="11.75" style="1130" customWidth="1"/>
    <col min="12048" max="12048" width="12.75" style="1130" customWidth="1"/>
    <col min="12049" max="12049" width="11" style="1130" customWidth="1"/>
    <col min="12050" max="12051" width="8.25" style="1130" customWidth="1"/>
    <col min="12052" max="12052" width="10.125" style="1130" customWidth="1"/>
    <col min="12053" max="12055" width="9.125" style="1130" customWidth="1"/>
    <col min="12056" max="12056" width="11" style="1130" customWidth="1"/>
    <col min="12057" max="12057" width="11.75" style="1130" customWidth="1"/>
    <col min="12058" max="12058" width="7.25" style="1130" customWidth="1"/>
    <col min="12059" max="12059" width="9.125" style="1130" customWidth="1"/>
    <col min="12060" max="12060" width="10.125" style="1130" customWidth="1"/>
    <col min="12061" max="12061" width="9.125" style="1130" customWidth="1"/>
    <col min="12062" max="12062" width="11.75" style="1130" customWidth="1"/>
    <col min="12063" max="12288" width="8.625" style="1130"/>
    <col min="12289" max="12289" width="29.25" style="1130" customWidth="1"/>
    <col min="12290" max="12290" width="32.125" style="1130" customWidth="1"/>
    <col min="12291" max="12291" width="11" style="1130" customWidth="1"/>
    <col min="12292" max="12292" width="9.125" style="1130" customWidth="1"/>
    <col min="12293" max="12293" width="11" style="1130" customWidth="1"/>
    <col min="12294" max="12294" width="10.125" style="1130" customWidth="1"/>
    <col min="12295" max="12295" width="6.25" style="1130" customWidth="1"/>
    <col min="12296" max="12296" width="9.125" style="1130" customWidth="1"/>
    <col min="12297" max="12297" width="6.25" style="1130" customWidth="1"/>
    <col min="12298" max="12299" width="8.25" style="1130" customWidth="1"/>
    <col min="12300" max="12300" width="9.125" style="1130" customWidth="1"/>
    <col min="12301" max="12301" width="11.75" style="1130" customWidth="1"/>
    <col min="12302" max="12302" width="11" style="1130" customWidth="1"/>
    <col min="12303" max="12303" width="11.75" style="1130" customWidth="1"/>
    <col min="12304" max="12304" width="12.75" style="1130" customWidth="1"/>
    <col min="12305" max="12305" width="11" style="1130" customWidth="1"/>
    <col min="12306" max="12307" width="8.25" style="1130" customWidth="1"/>
    <col min="12308" max="12308" width="10.125" style="1130" customWidth="1"/>
    <col min="12309" max="12311" width="9.125" style="1130" customWidth="1"/>
    <col min="12312" max="12312" width="11" style="1130" customWidth="1"/>
    <col min="12313" max="12313" width="11.75" style="1130" customWidth="1"/>
    <col min="12314" max="12314" width="7.25" style="1130" customWidth="1"/>
    <col min="12315" max="12315" width="9.125" style="1130" customWidth="1"/>
    <col min="12316" max="12316" width="10.125" style="1130" customWidth="1"/>
    <col min="12317" max="12317" width="9.125" style="1130" customWidth="1"/>
    <col min="12318" max="12318" width="11.75" style="1130" customWidth="1"/>
    <col min="12319" max="12544" width="8.625" style="1130"/>
    <col min="12545" max="12545" width="29.25" style="1130" customWidth="1"/>
    <col min="12546" max="12546" width="32.125" style="1130" customWidth="1"/>
    <col min="12547" max="12547" width="11" style="1130" customWidth="1"/>
    <col min="12548" max="12548" width="9.125" style="1130" customWidth="1"/>
    <col min="12549" max="12549" width="11" style="1130" customWidth="1"/>
    <col min="12550" max="12550" width="10.125" style="1130" customWidth="1"/>
    <col min="12551" max="12551" width="6.25" style="1130" customWidth="1"/>
    <col min="12552" max="12552" width="9.125" style="1130" customWidth="1"/>
    <col min="12553" max="12553" width="6.25" style="1130" customWidth="1"/>
    <col min="12554" max="12555" width="8.25" style="1130" customWidth="1"/>
    <col min="12556" max="12556" width="9.125" style="1130" customWidth="1"/>
    <col min="12557" max="12557" width="11.75" style="1130" customWidth="1"/>
    <col min="12558" max="12558" width="11" style="1130" customWidth="1"/>
    <col min="12559" max="12559" width="11.75" style="1130" customWidth="1"/>
    <col min="12560" max="12560" width="12.75" style="1130" customWidth="1"/>
    <col min="12561" max="12561" width="11" style="1130" customWidth="1"/>
    <col min="12562" max="12563" width="8.25" style="1130" customWidth="1"/>
    <col min="12564" max="12564" width="10.125" style="1130" customWidth="1"/>
    <col min="12565" max="12567" width="9.125" style="1130" customWidth="1"/>
    <col min="12568" max="12568" width="11" style="1130" customWidth="1"/>
    <col min="12569" max="12569" width="11.75" style="1130" customWidth="1"/>
    <col min="12570" max="12570" width="7.25" style="1130" customWidth="1"/>
    <col min="12571" max="12571" width="9.125" style="1130" customWidth="1"/>
    <col min="12572" max="12572" width="10.125" style="1130" customWidth="1"/>
    <col min="12573" max="12573" width="9.125" style="1130" customWidth="1"/>
    <col min="12574" max="12574" width="11.75" style="1130" customWidth="1"/>
    <col min="12575" max="12800" width="8.625" style="1130"/>
    <col min="12801" max="12801" width="29.25" style="1130" customWidth="1"/>
    <col min="12802" max="12802" width="32.125" style="1130" customWidth="1"/>
    <col min="12803" max="12803" width="11" style="1130" customWidth="1"/>
    <col min="12804" max="12804" width="9.125" style="1130" customWidth="1"/>
    <col min="12805" max="12805" width="11" style="1130" customWidth="1"/>
    <col min="12806" max="12806" width="10.125" style="1130" customWidth="1"/>
    <col min="12807" max="12807" width="6.25" style="1130" customWidth="1"/>
    <col min="12808" max="12808" width="9.125" style="1130" customWidth="1"/>
    <col min="12809" max="12809" width="6.25" style="1130" customWidth="1"/>
    <col min="12810" max="12811" width="8.25" style="1130" customWidth="1"/>
    <col min="12812" max="12812" width="9.125" style="1130" customWidth="1"/>
    <col min="12813" max="12813" width="11.75" style="1130" customWidth="1"/>
    <col min="12814" max="12814" width="11" style="1130" customWidth="1"/>
    <col min="12815" max="12815" width="11.75" style="1130" customWidth="1"/>
    <col min="12816" max="12816" width="12.75" style="1130" customWidth="1"/>
    <col min="12817" max="12817" width="11" style="1130" customWidth="1"/>
    <col min="12818" max="12819" width="8.25" style="1130" customWidth="1"/>
    <col min="12820" max="12820" width="10.125" style="1130" customWidth="1"/>
    <col min="12821" max="12823" width="9.125" style="1130" customWidth="1"/>
    <col min="12824" max="12824" width="11" style="1130" customWidth="1"/>
    <col min="12825" max="12825" width="11.75" style="1130" customWidth="1"/>
    <col min="12826" max="12826" width="7.25" style="1130" customWidth="1"/>
    <col min="12827" max="12827" width="9.125" style="1130" customWidth="1"/>
    <col min="12828" max="12828" width="10.125" style="1130" customWidth="1"/>
    <col min="12829" max="12829" width="9.125" style="1130" customWidth="1"/>
    <col min="12830" max="12830" width="11.75" style="1130" customWidth="1"/>
    <col min="12831" max="13056" width="8.625" style="1130"/>
    <col min="13057" max="13057" width="29.25" style="1130" customWidth="1"/>
    <col min="13058" max="13058" width="32.125" style="1130" customWidth="1"/>
    <col min="13059" max="13059" width="11" style="1130" customWidth="1"/>
    <col min="13060" max="13060" width="9.125" style="1130" customWidth="1"/>
    <col min="13061" max="13061" width="11" style="1130" customWidth="1"/>
    <col min="13062" max="13062" width="10.125" style="1130" customWidth="1"/>
    <col min="13063" max="13063" width="6.25" style="1130" customWidth="1"/>
    <col min="13064" max="13064" width="9.125" style="1130" customWidth="1"/>
    <col min="13065" max="13065" width="6.25" style="1130" customWidth="1"/>
    <col min="13066" max="13067" width="8.25" style="1130" customWidth="1"/>
    <col min="13068" max="13068" width="9.125" style="1130" customWidth="1"/>
    <col min="13069" max="13069" width="11.75" style="1130" customWidth="1"/>
    <col min="13070" max="13070" width="11" style="1130" customWidth="1"/>
    <col min="13071" max="13071" width="11.75" style="1130" customWidth="1"/>
    <col min="13072" max="13072" width="12.75" style="1130" customWidth="1"/>
    <col min="13073" max="13073" width="11" style="1130" customWidth="1"/>
    <col min="13074" max="13075" width="8.25" style="1130" customWidth="1"/>
    <col min="13076" max="13076" width="10.125" style="1130" customWidth="1"/>
    <col min="13077" max="13079" width="9.125" style="1130" customWidth="1"/>
    <col min="13080" max="13080" width="11" style="1130" customWidth="1"/>
    <col min="13081" max="13081" width="11.75" style="1130" customWidth="1"/>
    <col min="13082" max="13082" width="7.25" style="1130" customWidth="1"/>
    <col min="13083" max="13083" width="9.125" style="1130" customWidth="1"/>
    <col min="13084" max="13084" width="10.125" style="1130" customWidth="1"/>
    <col min="13085" max="13085" width="9.125" style="1130" customWidth="1"/>
    <col min="13086" max="13086" width="11.75" style="1130" customWidth="1"/>
    <col min="13087" max="13312" width="8.625" style="1130"/>
    <col min="13313" max="13313" width="29.25" style="1130" customWidth="1"/>
    <col min="13314" max="13314" width="32.125" style="1130" customWidth="1"/>
    <col min="13315" max="13315" width="11" style="1130" customWidth="1"/>
    <col min="13316" max="13316" width="9.125" style="1130" customWidth="1"/>
    <col min="13317" max="13317" width="11" style="1130" customWidth="1"/>
    <col min="13318" max="13318" width="10.125" style="1130" customWidth="1"/>
    <col min="13319" max="13319" width="6.25" style="1130" customWidth="1"/>
    <col min="13320" max="13320" width="9.125" style="1130" customWidth="1"/>
    <col min="13321" max="13321" width="6.25" style="1130" customWidth="1"/>
    <col min="13322" max="13323" width="8.25" style="1130" customWidth="1"/>
    <col min="13324" max="13324" width="9.125" style="1130" customWidth="1"/>
    <col min="13325" max="13325" width="11.75" style="1130" customWidth="1"/>
    <col min="13326" max="13326" width="11" style="1130" customWidth="1"/>
    <col min="13327" max="13327" width="11.75" style="1130" customWidth="1"/>
    <col min="13328" max="13328" width="12.75" style="1130" customWidth="1"/>
    <col min="13329" max="13329" width="11" style="1130" customWidth="1"/>
    <col min="13330" max="13331" width="8.25" style="1130" customWidth="1"/>
    <col min="13332" max="13332" width="10.125" style="1130" customWidth="1"/>
    <col min="13333" max="13335" width="9.125" style="1130" customWidth="1"/>
    <col min="13336" max="13336" width="11" style="1130" customWidth="1"/>
    <col min="13337" max="13337" width="11.75" style="1130" customWidth="1"/>
    <col min="13338" max="13338" width="7.25" style="1130" customWidth="1"/>
    <col min="13339" max="13339" width="9.125" style="1130" customWidth="1"/>
    <col min="13340" max="13340" width="10.125" style="1130" customWidth="1"/>
    <col min="13341" max="13341" width="9.125" style="1130" customWidth="1"/>
    <col min="13342" max="13342" width="11.75" style="1130" customWidth="1"/>
    <col min="13343" max="13568" width="8.625" style="1130"/>
    <col min="13569" max="13569" width="29.25" style="1130" customWidth="1"/>
    <col min="13570" max="13570" width="32.125" style="1130" customWidth="1"/>
    <col min="13571" max="13571" width="11" style="1130" customWidth="1"/>
    <col min="13572" max="13572" width="9.125" style="1130" customWidth="1"/>
    <col min="13573" max="13573" width="11" style="1130" customWidth="1"/>
    <col min="13574" max="13574" width="10.125" style="1130" customWidth="1"/>
    <col min="13575" max="13575" width="6.25" style="1130" customWidth="1"/>
    <col min="13576" max="13576" width="9.125" style="1130" customWidth="1"/>
    <col min="13577" max="13577" width="6.25" style="1130" customWidth="1"/>
    <col min="13578" max="13579" width="8.25" style="1130" customWidth="1"/>
    <col min="13580" max="13580" width="9.125" style="1130" customWidth="1"/>
    <col min="13581" max="13581" width="11.75" style="1130" customWidth="1"/>
    <col min="13582" max="13582" width="11" style="1130" customWidth="1"/>
    <col min="13583" max="13583" width="11.75" style="1130" customWidth="1"/>
    <col min="13584" max="13584" width="12.75" style="1130" customWidth="1"/>
    <col min="13585" max="13585" width="11" style="1130" customWidth="1"/>
    <col min="13586" max="13587" width="8.25" style="1130" customWidth="1"/>
    <col min="13588" max="13588" width="10.125" style="1130" customWidth="1"/>
    <col min="13589" max="13591" width="9.125" style="1130" customWidth="1"/>
    <col min="13592" max="13592" width="11" style="1130" customWidth="1"/>
    <col min="13593" max="13593" width="11.75" style="1130" customWidth="1"/>
    <col min="13594" max="13594" width="7.25" style="1130" customWidth="1"/>
    <col min="13595" max="13595" width="9.125" style="1130" customWidth="1"/>
    <col min="13596" max="13596" width="10.125" style="1130" customWidth="1"/>
    <col min="13597" max="13597" width="9.125" style="1130" customWidth="1"/>
    <col min="13598" max="13598" width="11.75" style="1130" customWidth="1"/>
    <col min="13599" max="13824" width="8.625" style="1130"/>
    <col min="13825" max="13825" width="29.25" style="1130" customWidth="1"/>
    <col min="13826" max="13826" width="32.125" style="1130" customWidth="1"/>
    <col min="13827" max="13827" width="11" style="1130" customWidth="1"/>
    <col min="13828" max="13828" width="9.125" style="1130" customWidth="1"/>
    <col min="13829" max="13829" width="11" style="1130" customWidth="1"/>
    <col min="13830" max="13830" width="10.125" style="1130" customWidth="1"/>
    <col min="13831" max="13831" width="6.25" style="1130" customWidth="1"/>
    <col min="13832" max="13832" width="9.125" style="1130" customWidth="1"/>
    <col min="13833" max="13833" width="6.25" style="1130" customWidth="1"/>
    <col min="13834" max="13835" width="8.25" style="1130" customWidth="1"/>
    <col min="13836" max="13836" width="9.125" style="1130" customWidth="1"/>
    <col min="13837" max="13837" width="11.75" style="1130" customWidth="1"/>
    <col min="13838" max="13838" width="11" style="1130" customWidth="1"/>
    <col min="13839" max="13839" width="11.75" style="1130" customWidth="1"/>
    <col min="13840" max="13840" width="12.75" style="1130" customWidth="1"/>
    <col min="13841" max="13841" width="11" style="1130" customWidth="1"/>
    <col min="13842" max="13843" width="8.25" style="1130" customWidth="1"/>
    <col min="13844" max="13844" width="10.125" style="1130" customWidth="1"/>
    <col min="13845" max="13847" width="9.125" style="1130" customWidth="1"/>
    <col min="13848" max="13848" width="11" style="1130" customWidth="1"/>
    <col min="13849" max="13849" width="11.75" style="1130" customWidth="1"/>
    <col min="13850" max="13850" width="7.25" style="1130" customWidth="1"/>
    <col min="13851" max="13851" width="9.125" style="1130" customWidth="1"/>
    <col min="13852" max="13852" width="10.125" style="1130" customWidth="1"/>
    <col min="13853" max="13853" width="9.125" style="1130" customWidth="1"/>
    <col min="13854" max="13854" width="11.75" style="1130" customWidth="1"/>
    <col min="13855" max="14080" width="8.625" style="1130"/>
    <col min="14081" max="14081" width="29.25" style="1130" customWidth="1"/>
    <col min="14082" max="14082" width="32.125" style="1130" customWidth="1"/>
    <col min="14083" max="14083" width="11" style="1130" customWidth="1"/>
    <col min="14084" max="14084" width="9.125" style="1130" customWidth="1"/>
    <col min="14085" max="14085" width="11" style="1130" customWidth="1"/>
    <col min="14086" max="14086" width="10.125" style="1130" customWidth="1"/>
    <col min="14087" max="14087" width="6.25" style="1130" customWidth="1"/>
    <col min="14088" max="14088" width="9.125" style="1130" customWidth="1"/>
    <col min="14089" max="14089" width="6.25" style="1130" customWidth="1"/>
    <col min="14090" max="14091" width="8.25" style="1130" customWidth="1"/>
    <col min="14092" max="14092" width="9.125" style="1130" customWidth="1"/>
    <col min="14093" max="14093" width="11.75" style="1130" customWidth="1"/>
    <col min="14094" max="14094" width="11" style="1130" customWidth="1"/>
    <col min="14095" max="14095" width="11.75" style="1130" customWidth="1"/>
    <col min="14096" max="14096" width="12.75" style="1130" customWidth="1"/>
    <col min="14097" max="14097" width="11" style="1130" customWidth="1"/>
    <col min="14098" max="14099" width="8.25" style="1130" customWidth="1"/>
    <col min="14100" max="14100" width="10.125" style="1130" customWidth="1"/>
    <col min="14101" max="14103" width="9.125" style="1130" customWidth="1"/>
    <col min="14104" max="14104" width="11" style="1130" customWidth="1"/>
    <col min="14105" max="14105" width="11.75" style="1130" customWidth="1"/>
    <col min="14106" max="14106" width="7.25" style="1130" customWidth="1"/>
    <col min="14107" max="14107" width="9.125" style="1130" customWidth="1"/>
    <col min="14108" max="14108" width="10.125" style="1130" customWidth="1"/>
    <col min="14109" max="14109" width="9.125" style="1130" customWidth="1"/>
    <col min="14110" max="14110" width="11.75" style="1130" customWidth="1"/>
    <col min="14111" max="14336" width="8.625" style="1130"/>
    <col min="14337" max="14337" width="29.25" style="1130" customWidth="1"/>
    <col min="14338" max="14338" width="32.125" style="1130" customWidth="1"/>
    <col min="14339" max="14339" width="11" style="1130" customWidth="1"/>
    <col min="14340" max="14340" width="9.125" style="1130" customWidth="1"/>
    <col min="14341" max="14341" width="11" style="1130" customWidth="1"/>
    <col min="14342" max="14342" width="10.125" style="1130" customWidth="1"/>
    <col min="14343" max="14343" width="6.25" style="1130" customWidth="1"/>
    <col min="14344" max="14344" width="9.125" style="1130" customWidth="1"/>
    <col min="14345" max="14345" width="6.25" style="1130" customWidth="1"/>
    <col min="14346" max="14347" width="8.25" style="1130" customWidth="1"/>
    <col min="14348" max="14348" width="9.125" style="1130" customWidth="1"/>
    <col min="14349" max="14349" width="11.75" style="1130" customWidth="1"/>
    <col min="14350" max="14350" width="11" style="1130" customWidth="1"/>
    <col min="14351" max="14351" width="11.75" style="1130" customWidth="1"/>
    <col min="14352" max="14352" width="12.75" style="1130" customWidth="1"/>
    <col min="14353" max="14353" width="11" style="1130" customWidth="1"/>
    <col min="14354" max="14355" width="8.25" style="1130" customWidth="1"/>
    <col min="14356" max="14356" width="10.125" style="1130" customWidth="1"/>
    <col min="14357" max="14359" width="9.125" style="1130" customWidth="1"/>
    <col min="14360" max="14360" width="11" style="1130" customWidth="1"/>
    <col min="14361" max="14361" width="11.75" style="1130" customWidth="1"/>
    <col min="14362" max="14362" width="7.25" style="1130" customWidth="1"/>
    <col min="14363" max="14363" width="9.125" style="1130" customWidth="1"/>
    <col min="14364" max="14364" width="10.125" style="1130" customWidth="1"/>
    <col min="14365" max="14365" width="9.125" style="1130" customWidth="1"/>
    <col min="14366" max="14366" width="11.75" style="1130" customWidth="1"/>
    <col min="14367" max="14592" width="8.625" style="1130"/>
    <col min="14593" max="14593" width="29.25" style="1130" customWidth="1"/>
    <col min="14594" max="14594" width="32.125" style="1130" customWidth="1"/>
    <col min="14595" max="14595" width="11" style="1130" customWidth="1"/>
    <col min="14596" max="14596" width="9.125" style="1130" customWidth="1"/>
    <col min="14597" max="14597" width="11" style="1130" customWidth="1"/>
    <col min="14598" max="14598" width="10.125" style="1130" customWidth="1"/>
    <col min="14599" max="14599" width="6.25" style="1130" customWidth="1"/>
    <col min="14600" max="14600" width="9.125" style="1130" customWidth="1"/>
    <col min="14601" max="14601" width="6.25" style="1130" customWidth="1"/>
    <col min="14602" max="14603" width="8.25" style="1130" customWidth="1"/>
    <col min="14604" max="14604" width="9.125" style="1130" customWidth="1"/>
    <col min="14605" max="14605" width="11.75" style="1130" customWidth="1"/>
    <col min="14606" max="14606" width="11" style="1130" customWidth="1"/>
    <col min="14607" max="14607" width="11.75" style="1130" customWidth="1"/>
    <col min="14608" max="14608" width="12.75" style="1130" customWidth="1"/>
    <col min="14609" max="14609" width="11" style="1130" customWidth="1"/>
    <col min="14610" max="14611" width="8.25" style="1130" customWidth="1"/>
    <col min="14612" max="14612" width="10.125" style="1130" customWidth="1"/>
    <col min="14613" max="14615" width="9.125" style="1130" customWidth="1"/>
    <col min="14616" max="14616" width="11" style="1130" customWidth="1"/>
    <col min="14617" max="14617" width="11.75" style="1130" customWidth="1"/>
    <col min="14618" max="14618" width="7.25" style="1130" customWidth="1"/>
    <col min="14619" max="14619" width="9.125" style="1130" customWidth="1"/>
    <col min="14620" max="14620" width="10.125" style="1130" customWidth="1"/>
    <col min="14621" max="14621" width="9.125" style="1130" customWidth="1"/>
    <col min="14622" max="14622" width="11.75" style="1130" customWidth="1"/>
    <col min="14623" max="14848" width="8.625" style="1130"/>
    <col min="14849" max="14849" width="29.25" style="1130" customWidth="1"/>
    <col min="14850" max="14850" width="32.125" style="1130" customWidth="1"/>
    <col min="14851" max="14851" width="11" style="1130" customWidth="1"/>
    <col min="14852" max="14852" width="9.125" style="1130" customWidth="1"/>
    <col min="14853" max="14853" width="11" style="1130" customWidth="1"/>
    <col min="14854" max="14854" width="10.125" style="1130" customWidth="1"/>
    <col min="14855" max="14855" width="6.25" style="1130" customWidth="1"/>
    <col min="14856" max="14856" width="9.125" style="1130" customWidth="1"/>
    <col min="14857" max="14857" width="6.25" style="1130" customWidth="1"/>
    <col min="14858" max="14859" width="8.25" style="1130" customWidth="1"/>
    <col min="14860" max="14860" width="9.125" style="1130" customWidth="1"/>
    <col min="14861" max="14861" width="11.75" style="1130" customWidth="1"/>
    <col min="14862" max="14862" width="11" style="1130" customWidth="1"/>
    <col min="14863" max="14863" width="11.75" style="1130" customWidth="1"/>
    <col min="14864" max="14864" width="12.75" style="1130" customWidth="1"/>
    <col min="14865" max="14865" width="11" style="1130" customWidth="1"/>
    <col min="14866" max="14867" width="8.25" style="1130" customWidth="1"/>
    <col min="14868" max="14868" width="10.125" style="1130" customWidth="1"/>
    <col min="14869" max="14871" width="9.125" style="1130" customWidth="1"/>
    <col min="14872" max="14872" width="11" style="1130" customWidth="1"/>
    <col min="14873" max="14873" width="11.75" style="1130" customWidth="1"/>
    <col min="14874" max="14874" width="7.25" style="1130" customWidth="1"/>
    <col min="14875" max="14875" width="9.125" style="1130" customWidth="1"/>
    <col min="14876" max="14876" width="10.125" style="1130" customWidth="1"/>
    <col min="14877" max="14877" width="9.125" style="1130" customWidth="1"/>
    <col min="14878" max="14878" width="11.75" style="1130" customWidth="1"/>
    <col min="14879" max="15104" width="8.625" style="1130"/>
    <col min="15105" max="15105" width="29.25" style="1130" customWidth="1"/>
    <col min="15106" max="15106" width="32.125" style="1130" customWidth="1"/>
    <col min="15107" max="15107" width="11" style="1130" customWidth="1"/>
    <col min="15108" max="15108" width="9.125" style="1130" customWidth="1"/>
    <col min="15109" max="15109" width="11" style="1130" customWidth="1"/>
    <col min="15110" max="15110" width="10.125" style="1130" customWidth="1"/>
    <col min="15111" max="15111" width="6.25" style="1130" customWidth="1"/>
    <col min="15112" max="15112" width="9.125" style="1130" customWidth="1"/>
    <col min="15113" max="15113" width="6.25" style="1130" customWidth="1"/>
    <col min="15114" max="15115" width="8.25" style="1130" customWidth="1"/>
    <col min="15116" max="15116" width="9.125" style="1130" customWidth="1"/>
    <col min="15117" max="15117" width="11.75" style="1130" customWidth="1"/>
    <col min="15118" max="15118" width="11" style="1130" customWidth="1"/>
    <col min="15119" max="15119" width="11.75" style="1130" customWidth="1"/>
    <col min="15120" max="15120" width="12.75" style="1130" customWidth="1"/>
    <col min="15121" max="15121" width="11" style="1130" customWidth="1"/>
    <col min="15122" max="15123" width="8.25" style="1130" customWidth="1"/>
    <col min="15124" max="15124" width="10.125" style="1130" customWidth="1"/>
    <col min="15125" max="15127" width="9.125" style="1130" customWidth="1"/>
    <col min="15128" max="15128" width="11" style="1130" customWidth="1"/>
    <col min="15129" max="15129" width="11.75" style="1130" customWidth="1"/>
    <col min="15130" max="15130" width="7.25" style="1130" customWidth="1"/>
    <col min="15131" max="15131" width="9.125" style="1130" customWidth="1"/>
    <col min="15132" max="15132" width="10.125" style="1130" customWidth="1"/>
    <col min="15133" max="15133" width="9.125" style="1130" customWidth="1"/>
    <col min="15134" max="15134" width="11.75" style="1130" customWidth="1"/>
    <col min="15135" max="15360" width="8.625" style="1130"/>
    <col min="15361" max="15361" width="29.25" style="1130" customWidth="1"/>
    <col min="15362" max="15362" width="32.125" style="1130" customWidth="1"/>
    <col min="15363" max="15363" width="11" style="1130" customWidth="1"/>
    <col min="15364" max="15364" width="9.125" style="1130" customWidth="1"/>
    <col min="15365" max="15365" width="11" style="1130" customWidth="1"/>
    <col min="15366" max="15366" width="10.125" style="1130" customWidth="1"/>
    <col min="15367" max="15367" width="6.25" style="1130" customWidth="1"/>
    <col min="15368" max="15368" width="9.125" style="1130" customWidth="1"/>
    <col min="15369" max="15369" width="6.25" style="1130" customWidth="1"/>
    <col min="15370" max="15371" width="8.25" style="1130" customWidth="1"/>
    <col min="15372" max="15372" width="9.125" style="1130" customWidth="1"/>
    <col min="15373" max="15373" width="11.75" style="1130" customWidth="1"/>
    <col min="15374" max="15374" width="11" style="1130" customWidth="1"/>
    <col min="15375" max="15375" width="11.75" style="1130" customWidth="1"/>
    <col min="15376" max="15376" width="12.75" style="1130" customWidth="1"/>
    <col min="15377" max="15377" width="11" style="1130" customWidth="1"/>
    <col min="15378" max="15379" width="8.25" style="1130" customWidth="1"/>
    <col min="15380" max="15380" width="10.125" style="1130" customWidth="1"/>
    <col min="15381" max="15383" width="9.125" style="1130" customWidth="1"/>
    <col min="15384" max="15384" width="11" style="1130" customWidth="1"/>
    <col min="15385" max="15385" width="11.75" style="1130" customWidth="1"/>
    <col min="15386" max="15386" width="7.25" style="1130" customWidth="1"/>
    <col min="15387" max="15387" width="9.125" style="1130" customWidth="1"/>
    <col min="15388" max="15388" width="10.125" style="1130" customWidth="1"/>
    <col min="15389" max="15389" width="9.125" style="1130" customWidth="1"/>
    <col min="15390" max="15390" width="11.75" style="1130" customWidth="1"/>
    <col min="15391" max="15616" width="8.625" style="1130"/>
    <col min="15617" max="15617" width="29.25" style="1130" customWidth="1"/>
    <col min="15618" max="15618" width="32.125" style="1130" customWidth="1"/>
    <col min="15619" max="15619" width="11" style="1130" customWidth="1"/>
    <col min="15620" max="15620" width="9.125" style="1130" customWidth="1"/>
    <col min="15621" max="15621" width="11" style="1130" customWidth="1"/>
    <col min="15622" max="15622" width="10.125" style="1130" customWidth="1"/>
    <col min="15623" max="15623" width="6.25" style="1130" customWidth="1"/>
    <col min="15624" max="15624" width="9.125" style="1130" customWidth="1"/>
    <col min="15625" max="15625" width="6.25" style="1130" customWidth="1"/>
    <col min="15626" max="15627" width="8.25" style="1130" customWidth="1"/>
    <col min="15628" max="15628" width="9.125" style="1130" customWidth="1"/>
    <col min="15629" max="15629" width="11.75" style="1130" customWidth="1"/>
    <col min="15630" max="15630" width="11" style="1130" customWidth="1"/>
    <col min="15631" max="15631" width="11.75" style="1130" customWidth="1"/>
    <col min="15632" max="15632" width="12.75" style="1130" customWidth="1"/>
    <col min="15633" max="15633" width="11" style="1130" customWidth="1"/>
    <col min="15634" max="15635" width="8.25" style="1130" customWidth="1"/>
    <col min="15636" max="15636" width="10.125" style="1130" customWidth="1"/>
    <col min="15637" max="15639" width="9.125" style="1130" customWidth="1"/>
    <col min="15640" max="15640" width="11" style="1130" customWidth="1"/>
    <col min="15641" max="15641" width="11.75" style="1130" customWidth="1"/>
    <col min="15642" max="15642" width="7.25" style="1130" customWidth="1"/>
    <col min="15643" max="15643" width="9.125" style="1130" customWidth="1"/>
    <col min="15644" max="15644" width="10.125" style="1130" customWidth="1"/>
    <col min="15645" max="15645" width="9.125" style="1130" customWidth="1"/>
    <col min="15646" max="15646" width="11.75" style="1130" customWidth="1"/>
    <col min="15647" max="15872" width="8.625" style="1130"/>
    <col min="15873" max="15873" width="29.25" style="1130" customWidth="1"/>
    <col min="15874" max="15874" width="32.125" style="1130" customWidth="1"/>
    <col min="15875" max="15875" width="11" style="1130" customWidth="1"/>
    <col min="15876" max="15876" width="9.125" style="1130" customWidth="1"/>
    <col min="15877" max="15877" width="11" style="1130" customWidth="1"/>
    <col min="15878" max="15878" width="10.125" style="1130" customWidth="1"/>
    <col min="15879" max="15879" width="6.25" style="1130" customWidth="1"/>
    <col min="15880" max="15880" width="9.125" style="1130" customWidth="1"/>
    <col min="15881" max="15881" width="6.25" style="1130" customWidth="1"/>
    <col min="15882" max="15883" width="8.25" style="1130" customWidth="1"/>
    <col min="15884" max="15884" width="9.125" style="1130" customWidth="1"/>
    <col min="15885" max="15885" width="11.75" style="1130" customWidth="1"/>
    <col min="15886" max="15886" width="11" style="1130" customWidth="1"/>
    <col min="15887" max="15887" width="11.75" style="1130" customWidth="1"/>
    <col min="15888" max="15888" width="12.75" style="1130" customWidth="1"/>
    <col min="15889" max="15889" width="11" style="1130" customWidth="1"/>
    <col min="15890" max="15891" width="8.25" style="1130" customWidth="1"/>
    <col min="15892" max="15892" width="10.125" style="1130" customWidth="1"/>
    <col min="15893" max="15895" width="9.125" style="1130" customWidth="1"/>
    <col min="15896" max="15896" width="11" style="1130" customWidth="1"/>
    <col min="15897" max="15897" width="11.75" style="1130" customWidth="1"/>
    <col min="15898" max="15898" width="7.25" style="1130" customWidth="1"/>
    <col min="15899" max="15899" width="9.125" style="1130" customWidth="1"/>
    <col min="15900" max="15900" width="10.125" style="1130" customWidth="1"/>
    <col min="15901" max="15901" width="9.125" style="1130" customWidth="1"/>
    <col min="15902" max="15902" width="11.75" style="1130" customWidth="1"/>
    <col min="15903" max="16128" width="8.625" style="1130"/>
    <col min="16129" max="16129" width="29.25" style="1130" customWidth="1"/>
    <col min="16130" max="16130" width="32.125" style="1130" customWidth="1"/>
    <col min="16131" max="16131" width="11" style="1130" customWidth="1"/>
    <col min="16132" max="16132" width="9.125" style="1130" customWidth="1"/>
    <col min="16133" max="16133" width="11" style="1130" customWidth="1"/>
    <col min="16134" max="16134" width="10.125" style="1130" customWidth="1"/>
    <col min="16135" max="16135" width="6.25" style="1130" customWidth="1"/>
    <col min="16136" max="16136" width="9.125" style="1130" customWidth="1"/>
    <col min="16137" max="16137" width="6.25" style="1130" customWidth="1"/>
    <col min="16138" max="16139" width="8.25" style="1130" customWidth="1"/>
    <col min="16140" max="16140" width="9.125" style="1130" customWidth="1"/>
    <col min="16141" max="16141" width="11.75" style="1130" customWidth="1"/>
    <col min="16142" max="16142" width="11" style="1130" customWidth="1"/>
    <col min="16143" max="16143" width="11.75" style="1130" customWidth="1"/>
    <col min="16144" max="16144" width="12.75" style="1130" customWidth="1"/>
    <col min="16145" max="16145" width="11" style="1130" customWidth="1"/>
    <col min="16146" max="16147" width="8.25" style="1130" customWidth="1"/>
    <col min="16148" max="16148" width="10.125" style="1130" customWidth="1"/>
    <col min="16149" max="16151" width="9.125" style="1130" customWidth="1"/>
    <col min="16152" max="16152" width="11" style="1130" customWidth="1"/>
    <col min="16153" max="16153" width="11.75" style="1130" customWidth="1"/>
    <col min="16154" max="16154" width="7.25" style="1130" customWidth="1"/>
    <col min="16155" max="16155" width="9.125" style="1130" customWidth="1"/>
    <col min="16156" max="16156" width="10.125" style="1130" customWidth="1"/>
    <col min="16157" max="16157" width="9.125" style="1130" customWidth="1"/>
    <col min="16158" max="16158" width="11.75" style="1130" customWidth="1"/>
    <col min="16159" max="16384" width="8.625" style="1130"/>
  </cols>
  <sheetData>
    <row r="1" spans="1:30" ht="15.4" customHeight="1">
      <c r="A1" s="1131" t="s">
        <v>1564</v>
      </c>
      <c r="B1" s="1131" t="s">
        <v>1284</v>
      </c>
      <c r="C1" s="1131" t="s">
        <v>125</v>
      </c>
      <c r="D1" s="1131" t="s">
        <v>126</v>
      </c>
      <c r="E1" s="1131" t="s">
        <v>127</v>
      </c>
      <c r="F1" s="1131" t="s">
        <v>128</v>
      </c>
      <c r="G1" s="1131" t="s">
        <v>72</v>
      </c>
      <c r="H1" s="1131" t="s">
        <v>1565</v>
      </c>
      <c r="I1" s="1131" t="s">
        <v>462</v>
      </c>
      <c r="J1" s="1131" t="s">
        <v>638</v>
      </c>
      <c r="K1" s="1131" t="s">
        <v>639</v>
      </c>
      <c r="L1" s="1131" t="s">
        <v>70</v>
      </c>
      <c r="M1" s="1131" t="s">
        <v>632</v>
      </c>
      <c r="N1" s="1131" t="s">
        <v>713</v>
      </c>
      <c r="O1" s="1131" t="s">
        <v>649</v>
      </c>
      <c r="P1" s="1131" t="s">
        <v>633</v>
      </c>
      <c r="Q1" s="1131" t="s">
        <v>71</v>
      </c>
      <c r="R1" s="1131" t="s">
        <v>619</v>
      </c>
      <c r="S1" s="1131" t="s">
        <v>1225</v>
      </c>
      <c r="T1" s="1131" t="s">
        <v>1256</v>
      </c>
      <c r="U1" s="1131" t="s">
        <v>1566</v>
      </c>
      <c r="V1" s="1131" t="s">
        <v>1567</v>
      </c>
      <c r="W1" s="1131" t="s">
        <v>1568</v>
      </c>
      <c r="X1" s="1131" t="s">
        <v>1569</v>
      </c>
      <c r="Y1" s="1131" t="s">
        <v>1570</v>
      </c>
      <c r="Z1" s="1131" t="s">
        <v>1571</v>
      </c>
      <c r="AA1" s="1131" t="s">
        <v>1572</v>
      </c>
      <c r="AB1" s="1131" t="s">
        <v>1573</v>
      </c>
      <c r="AC1" s="1131" t="s">
        <v>1574</v>
      </c>
      <c r="AD1" s="1131" t="s">
        <v>1575</v>
      </c>
    </row>
    <row r="2" spans="1:30" ht="16.350000000000001" customHeight="1">
      <c r="A2" s="1132" t="s">
        <v>429</v>
      </c>
      <c r="B2" s="1132" t="s">
        <v>1576</v>
      </c>
      <c r="C2" s="1133">
        <v>14570978</v>
      </c>
      <c r="D2" s="1133">
        <v>842610.28</v>
      </c>
      <c r="E2" s="1133">
        <v>15245004</v>
      </c>
      <c r="F2" s="1133">
        <v>915124.73</v>
      </c>
      <c r="G2" s="1133">
        <v>6</v>
      </c>
      <c r="H2" s="1133">
        <v>38848</v>
      </c>
      <c r="I2" s="1133">
        <v>6294</v>
      </c>
      <c r="J2" s="1133">
        <v>0</v>
      </c>
      <c r="K2" s="1133">
        <v>6294</v>
      </c>
      <c r="L2" s="1133">
        <v>5204982</v>
      </c>
      <c r="M2" s="1133">
        <v>0</v>
      </c>
      <c r="N2" s="1133">
        <v>2567296</v>
      </c>
      <c r="O2" s="1133">
        <v>2637686</v>
      </c>
      <c r="P2" s="1133">
        <v>0</v>
      </c>
      <c r="Q2" s="1133">
        <v>495112.32</v>
      </c>
      <c r="R2" s="1133">
        <v>495112.30309399997</v>
      </c>
      <c r="S2" s="1204">
        <v>-6954.11</v>
      </c>
      <c r="T2" s="1204">
        <v>-3791.24</v>
      </c>
      <c r="U2" s="1204">
        <v>2</v>
      </c>
      <c r="V2" s="1204">
        <v>6</v>
      </c>
      <c r="W2" s="1204">
        <v>6294</v>
      </c>
      <c r="X2" s="1204">
        <v>-59417.26</v>
      </c>
      <c r="Y2" s="1204">
        <v>1328994.06</v>
      </c>
      <c r="Z2" s="1204">
        <v>249715</v>
      </c>
      <c r="AA2" s="1204">
        <v>0</v>
      </c>
      <c r="AB2" s="1204">
        <v>249715</v>
      </c>
      <c r="AC2" s="1204">
        <v>24611000</v>
      </c>
      <c r="AD2" s="1204">
        <v>-2396522</v>
      </c>
    </row>
    <row r="4" spans="1:30">
      <c r="C4" s="1135"/>
      <c r="D4" s="1135"/>
      <c r="AC4" s="1130">
        <f>Y2/AC2</f>
        <v>5.4000002437934257E-2</v>
      </c>
    </row>
    <row r="5" spans="1:30">
      <c r="C5" s="1134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7"/>
  <sheetViews>
    <sheetView workbookViewId="0">
      <selection activeCell="S21" sqref="S21"/>
    </sheetView>
  </sheetViews>
  <sheetFormatPr defaultRowHeight="15.75"/>
  <cols>
    <col min="1" max="1" width="6.25" bestFit="1" customWidth="1"/>
    <col min="2" max="2" width="10.75" bestFit="1" customWidth="1"/>
    <col min="3" max="3" width="10" bestFit="1" customWidth="1"/>
    <col min="4" max="4" width="8.125" bestFit="1" customWidth="1"/>
    <col min="6" max="6" width="7.625" bestFit="1" customWidth="1"/>
    <col min="7" max="7" width="5.125" bestFit="1" customWidth="1"/>
    <col min="8" max="11" width="6.75" bestFit="1" customWidth="1"/>
    <col min="12" max="12" width="10" bestFit="1" customWidth="1"/>
    <col min="13" max="13" width="9.625" bestFit="1" customWidth="1"/>
    <col min="14" max="14" width="9.125" bestFit="1" customWidth="1"/>
    <col min="15" max="15" width="10" bestFit="1" customWidth="1"/>
    <col min="16" max="16" width="10.625" bestFit="1" customWidth="1"/>
    <col min="17" max="17" width="8.5" bestFit="1" customWidth="1"/>
    <col min="18" max="18" width="9.625" bestFit="1" customWidth="1"/>
    <col min="19" max="19" width="8.625" bestFit="1" customWidth="1"/>
    <col min="20" max="20" width="8.5" bestFit="1" customWidth="1"/>
    <col min="21" max="21" width="8.125" bestFit="1" customWidth="1"/>
    <col min="22" max="23" width="9.125" bestFit="1" customWidth="1"/>
  </cols>
  <sheetData>
    <row r="1" spans="1:23">
      <c r="A1" s="1155" t="s">
        <v>191</v>
      </c>
      <c r="B1" s="1155" t="s">
        <v>192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711</v>
      </c>
      <c r="I1" s="1155" t="s">
        <v>712</v>
      </c>
      <c r="J1" s="1155" t="s">
        <v>638</v>
      </c>
      <c r="K1" s="1155" t="s">
        <v>639</v>
      </c>
      <c r="L1" s="1155" t="s">
        <v>70</v>
      </c>
      <c r="M1" s="1155" t="s">
        <v>632</v>
      </c>
      <c r="N1" s="1155" t="s">
        <v>648</v>
      </c>
      <c r="O1" s="1155" t="s">
        <v>649</v>
      </c>
      <c r="P1" s="1155" t="s">
        <v>633</v>
      </c>
      <c r="Q1" s="1155" t="s">
        <v>71</v>
      </c>
      <c r="R1" s="1155" t="s">
        <v>619</v>
      </c>
      <c r="S1" s="1155" t="s">
        <v>714</v>
      </c>
      <c r="T1" s="1155" t="s">
        <v>715</v>
      </c>
      <c r="U1" s="1155" t="s">
        <v>796</v>
      </c>
      <c r="V1" s="1155" t="s">
        <v>1225</v>
      </c>
      <c r="W1" s="1155" t="s">
        <v>1256</v>
      </c>
    </row>
    <row r="2" spans="1:23">
      <c r="A2" s="1160" t="s">
        <v>429</v>
      </c>
      <c r="B2" s="1160" t="s">
        <v>430</v>
      </c>
      <c r="C2" s="1161">
        <v>149796000</v>
      </c>
      <c r="D2" s="1161">
        <v>8395477.7200000007</v>
      </c>
      <c r="E2" s="1161">
        <v>0</v>
      </c>
      <c r="F2" s="1161">
        <v>0</v>
      </c>
      <c r="G2" s="1161">
        <v>30.133359073359099</v>
      </c>
      <c r="H2" s="1161">
        <v>265385.46396396402</v>
      </c>
      <c r="I2" s="1161">
        <v>262746.46673706401</v>
      </c>
      <c r="J2" s="1161">
        <v>139613</v>
      </c>
      <c r="K2" s="1161">
        <v>123133.46673706399</v>
      </c>
      <c r="L2" s="1161">
        <v>149796000</v>
      </c>
      <c r="M2" s="1161">
        <v>19968000</v>
      </c>
      <c r="N2" s="1161">
        <v>35928000</v>
      </c>
      <c r="O2" s="1161">
        <v>93900000</v>
      </c>
      <c r="P2" s="1161">
        <v>58212000</v>
      </c>
      <c r="Q2" s="1161">
        <v>8642474.9900000002</v>
      </c>
      <c r="R2" s="1161">
        <v>8642474.9800000004</v>
      </c>
      <c r="S2" s="1161">
        <v>0</v>
      </c>
      <c r="T2" s="1161">
        <v>0</v>
      </c>
      <c r="U2" s="1162">
        <v>8642474.9800000004</v>
      </c>
      <c r="V2" s="1163">
        <v>-246997.27</v>
      </c>
      <c r="W2" s="1163">
        <v>-246997.27</v>
      </c>
    </row>
    <row r="4" spans="1:23">
      <c r="Q4" s="659" t="s">
        <v>418</v>
      </c>
      <c r="R4" s="660">
        <v>0</v>
      </c>
      <c r="S4" s="167"/>
      <c r="T4" s="167"/>
      <c r="U4" s="167"/>
      <c r="V4" s="167"/>
    </row>
    <row r="5" spans="1:23">
      <c r="Q5" s="661" t="s">
        <v>136</v>
      </c>
      <c r="R5" s="662">
        <f>'Blocking-Step2'!H2605</f>
        <v>60349</v>
      </c>
      <c r="S5" s="122"/>
      <c r="T5" s="122"/>
      <c r="U5" s="122"/>
      <c r="V5" s="126" t="s">
        <v>1241</v>
      </c>
    </row>
    <row r="6" spans="1:23">
      <c r="Q6" s="661" t="s">
        <v>411</v>
      </c>
      <c r="R6" s="662">
        <f>'Blocking-Step2'!H2606</f>
        <v>10353948.6176</v>
      </c>
      <c r="S6" s="122"/>
      <c r="T6" s="122"/>
      <c r="U6" s="122"/>
      <c r="V6" s="859">
        <f>'Blocking-Step2'!H2602</f>
        <v>-253951.3824</v>
      </c>
    </row>
    <row r="7" spans="1:23">
      <c r="Q7" s="663" t="s">
        <v>498</v>
      </c>
      <c r="R7" s="664">
        <f>R6-R2-R4-R5-V6</f>
        <v>1905076.0199999991</v>
      </c>
      <c r="S7" s="122"/>
      <c r="T7" s="122"/>
      <c r="U7" s="122"/>
      <c r="V7" s="12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34"/>
  <sheetViews>
    <sheetView workbookViewId="0">
      <pane xSplit="4" ySplit="2" topLeftCell="E15" activePane="bottomRight" state="frozen"/>
      <selection activeCell="W28" sqref="W28"/>
      <selection pane="topRight" activeCell="W28" sqref="W28"/>
      <selection pane="bottomLeft" activeCell="W28" sqref="W28"/>
      <selection pane="bottomRight" activeCell="C21" sqref="C21"/>
    </sheetView>
  </sheetViews>
  <sheetFormatPr defaultRowHeight="15.75"/>
  <cols>
    <col min="5" max="9" width="8.75" bestFit="1" customWidth="1"/>
    <col min="10" max="10" width="9.25" bestFit="1" customWidth="1"/>
    <col min="11" max="11" width="8.75" bestFit="1" customWidth="1"/>
    <col min="12" max="12" width="9.125" bestFit="1" customWidth="1"/>
    <col min="13" max="13" width="9.625" bestFit="1" customWidth="1"/>
    <col min="14" max="14" width="10.625" bestFit="1" customWidth="1"/>
    <col min="15" max="26" width="8.75" bestFit="1" customWidth="1"/>
    <col min="27" max="27" width="10.125" bestFit="1" customWidth="1"/>
    <col min="28" max="28" width="9.75" bestFit="1" customWidth="1"/>
    <col min="29" max="30" width="11.25" style="1249" bestFit="1" customWidth="1"/>
    <col min="31" max="31" width="10.25" bestFit="1" customWidth="1"/>
  </cols>
  <sheetData>
    <row r="1" spans="1:31">
      <c r="A1" s="1257" t="s">
        <v>1628</v>
      </c>
      <c r="B1" s="1249"/>
      <c r="C1" s="1249"/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  <c r="O1" s="1249"/>
      <c r="P1" s="1249"/>
      <c r="Q1" s="1249"/>
      <c r="R1" s="1249"/>
      <c r="S1" s="1249"/>
      <c r="T1" s="1249"/>
      <c r="U1" s="1249"/>
      <c r="V1" s="1249"/>
      <c r="W1" s="1249"/>
      <c r="X1" s="1249"/>
      <c r="Y1" s="1249"/>
      <c r="Z1" s="1249"/>
      <c r="AA1" s="1249"/>
      <c r="AB1" s="1249"/>
    </row>
    <row r="2" spans="1:31">
      <c r="A2" s="1258" t="s">
        <v>1564</v>
      </c>
      <c r="B2" s="1258" t="s">
        <v>1284</v>
      </c>
      <c r="C2" s="1258" t="s">
        <v>1480</v>
      </c>
      <c r="D2" s="1258" t="s">
        <v>1479</v>
      </c>
      <c r="E2" s="1258" t="s">
        <v>72</v>
      </c>
      <c r="F2" s="1258" t="s">
        <v>1565</v>
      </c>
      <c r="G2" s="1258" t="s">
        <v>462</v>
      </c>
      <c r="H2" s="1258" t="s">
        <v>638</v>
      </c>
      <c r="I2" s="1258" t="s">
        <v>639</v>
      </c>
      <c r="J2" s="1258" t="s">
        <v>70</v>
      </c>
      <c r="K2" s="1258" t="s">
        <v>632</v>
      </c>
      <c r="L2" s="1258" t="s">
        <v>648</v>
      </c>
      <c r="M2" s="1258" t="s">
        <v>649</v>
      </c>
      <c r="N2" s="1258" t="s">
        <v>633</v>
      </c>
      <c r="O2" s="1258" t="s">
        <v>71</v>
      </c>
      <c r="P2" s="1258" t="s">
        <v>619</v>
      </c>
      <c r="Q2" s="1258" t="s">
        <v>1225</v>
      </c>
      <c r="R2" s="1258" t="s">
        <v>1256</v>
      </c>
      <c r="S2" s="1258" t="s">
        <v>1566</v>
      </c>
      <c r="T2" s="1258" t="s">
        <v>1567</v>
      </c>
      <c r="U2" s="1258" t="s">
        <v>1568</v>
      </c>
      <c r="V2" s="1258" t="s">
        <v>1569</v>
      </c>
      <c r="W2" s="1258" t="s">
        <v>1570</v>
      </c>
      <c r="X2" s="1258" t="s">
        <v>1571</v>
      </c>
      <c r="Y2" s="1258" t="s">
        <v>1572</v>
      </c>
      <c r="Z2" s="1258" t="s">
        <v>1573</v>
      </c>
      <c r="AA2" s="1258" t="s">
        <v>1574</v>
      </c>
      <c r="AB2" s="1258" t="s">
        <v>1575</v>
      </c>
      <c r="AC2" s="1250" t="s">
        <v>111</v>
      </c>
      <c r="AD2" s="1250" t="s">
        <v>1630</v>
      </c>
    </row>
    <row r="3" spans="1:31">
      <c r="A3" s="1259" t="s">
        <v>429</v>
      </c>
      <c r="B3" s="1259"/>
      <c r="C3" s="1259"/>
      <c r="D3" s="1260" t="s">
        <v>1481</v>
      </c>
      <c r="E3" s="1254">
        <v>3</v>
      </c>
      <c r="F3" s="1254">
        <f t="shared" ref="F3:O14" si="0">F$34*$AD$13</f>
        <v>20449.625644150165</v>
      </c>
      <c r="G3" s="1254">
        <f t="shared" si="0"/>
        <v>3490.2121047072774</v>
      </c>
      <c r="H3" s="1254">
        <f t="shared" si="0"/>
        <v>0</v>
      </c>
      <c r="I3" s="1254">
        <f t="shared" si="0"/>
        <v>3490.2121047072774</v>
      </c>
      <c r="J3" s="1254">
        <f t="shared" si="0"/>
        <v>2007761.0976251431</v>
      </c>
      <c r="K3" s="1254">
        <f t="shared" si="0"/>
        <v>0</v>
      </c>
      <c r="L3" s="1254">
        <f t="shared" si="0"/>
        <v>1268745.0631203176</v>
      </c>
      <c r="M3" s="1254">
        <f t="shared" si="0"/>
        <v>739016.03450482548</v>
      </c>
      <c r="N3" s="1254">
        <f t="shared" si="0"/>
        <v>0</v>
      </c>
      <c r="O3" s="1254">
        <f t="shared" si="0"/>
        <v>236595.93618120189</v>
      </c>
      <c r="P3" s="1254">
        <f t="shared" ref="P3:AB14" si="1">P$34*$AD$13</f>
        <v>236595.92613533998</v>
      </c>
      <c r="Q3" s="1254">
        <f t="shared" si="1"/>
        <v>-3040.5878307340654</v>
      </c>
      <c r="R3" s="1254">
        <f t="shared" si="1"/>
        <v>-3040.5878307340654</v>
      </c>
      <c r="S3" s="1254">
        <f t="shared" si="1"/>
        <v>1.0699607923688772</v>
      </c>
      <c r="T3" s="1254">
        <f t="shared" si="1"/>
        <v>3.2098823771066316</v>
      </c>
      <c r="U3" s="1254">
        <f t="shared" si="1"/>
        <v>3490.2121047072774</v>
      </c>
      <c r="V3" s="1254">
        <f t="shared" si="1"/>
        <v>-31207.963715732065</v>
      </c>
      <c r="W3" s="1254">
        <f t="shared" si="1"/>
        <v>776505.88782706612</v>
      </c>
      <c r="X3" s="1254">
        <f t="shared" si="1"/>
        <v>121082.64804882018</v>
      </c>
      <c r="Y3" s="1254">
        <f t="shared" si="1"/>
        <v>0</v>
      </c>
      <c r="Z3" s="1254">
        <f t="shared" si="1"/>
        <v>121082.64804882018</v>
      </c>
      <c r="AA3" s="1254">
        <f t="shared" si="1"/>
        <v>14379738.069041526</v>
      </c>
      <c r="AB3" s="1254">
        <f t="shared" si="1"/>
        <v>-1447200.0788167494</v>
      </c>
      <c r="AC3" s="1251">
        <f>J3+AA3</f>
        <v>16387499.16666667</v>
      </c>
    </row>
    <row r="4" spans="1:31">
      <c r="A4" s="1261"/>
      <c r="B4" s="1261"/>
      <c r="C4" s="1261"/>
      <c r="D4" s="1260" t="s">
        <v>1482</v>
      </c>
      <c r="E4" s="1254">
        <v>3</v>
      </c>
      <c r="F4" s="1254">
        <f t="shared" si="0"/>
        <v>20449.625644150165</v>
      </c>
      <c r="G4" s="1254">
        <f t="shared" si="0"/>
        <v>3490.2121047072774</v>
      </c>
      <c r="H4" s="1254">
        <f t="shared" si="0"/>
        <v>0</v>
      </c>
      <c r="I4" s="1254">
        <f t="shared" si="0"/>
        <v>3490.2121047072774</v>
      </c>
      <c r="J4" s="1254">
        <f t="shared" si="0"/>
        <v>2007761.0976251431</v>
      </c>
      <c r="K4" s="1254">
        <f t="shared" si="0"/>
        <v>0</v>
      </c>
      <c r="L4" s="1254">
        <f t="shared" si="0"/>
        <v>1268745.0631203176</v>
      </c>
      <c r="M4" s="1254">
        <f t="shared" si="0"/>
        <v>739016.03450482548</v>
      </c>
      <c r="N4" s="1254">
        <f t="shared" si="0"/>
        <v>0</v>
      </c>
      <c r="O4" s="1254">
        <f t="shared" si="0"/>
        <v>236595.93618120189</v>
      </c>
      <c r="P4" s="1254">
        <f t="shared" si="1"/>
        <v>236595.92613533998</v>
      </c>
      <c r="Q4" s="1254">
        <f t="shared" si="1"/>
        <v>-3040.5878307340654</v>
      </c>
      <c r="R4" s="1254">
        <f t="shared" si="1"/>
        <v>-3040.5878307340654</v>
      </c>
      <c r="S4" s="1254">
        <f t="shared" si="1"/>
        <v>1.0699607923688772</v>
      </c>
      <c r="T4" s="1254">
        <f t="shared" si="1"/>
        <v>3.2098823771066316</v>
      </c>
      <c r="U4" s="1254">
        <f t="shared" si="1"/>
        <v>3490.2121047072774</v>
      </c>
      <c r="V4" s="1254">
        <f t="shared" si="1"/>
        <v>-31207.963715732065</v>
      </c>
      <c r="W4" s="1254">
        <f t="shared" si="1"/>
        <v>776505.88782706612</v>
      </c>
      <c r="X4" s="1254">
        <f t="shared" si="1"/>
        <v>121082.64804882018</v>
      </c>
      <c r="Y4" s="1254">
        <f t="shared" si="1"/>
        <v>0</v>
      </c>
      <c r="Z4" s="1254">
        <f t="shared" si="1"/>
        <v>121082.64804882018</v>
      </c>
      <c r="AA4" s="1254">
        <f t="shared" si="1"/>
        <v>14379738.069041526</v>
      </c>
      <c r="AB4" s="1254">
        <f t="shared" si="1"/>
        <v>-1447200.0788167494</v>
      </c>
      <c r="AC4" s="1251">
        <f t="shared" ref="AC4:AC14" si="2">J4+AA4</f>
        <v>16387499.16666667</v>
      </c>
    </row>
    <row r="5" spans="1:31">
      <c r="A5" s="1261"/>
      <c r="B5" s="1261"/>
      <c r="C5" s="1261"/>
      <c r="D5" s="1260" t="s">
        <v>1483</v>
      </c>
      <c r="E5" s="1254">
        <v>3</v>
      </c>
      <c r="F5" s="1254">
        <f t="shared" si="0"/>
        <v>20449.625644150165</v>
      </c>
      <c r="G5" s="1254">
        <f t="shared" si="0"/>
        <v>3490.2121047072774</v>
      </c>
      <c r="H5" s="1254">
        <f t="shared" si="0"/>
        <v>0</v>
      </c>
      <c r="I5" s="1254">
        <f t="shared" si="0"/>
        <v>3490.2121047072774</v>
      </c>
      <c r="J5" s="1254">
        <f t="shared" si="0"/>
        <v>2007761.0976251431</v>
      </c>
      <c r="K5" s="1254">
        <f t="shared" si="0"/>
        <v>0</v>
      </c>
      <c r="L5" s="1254">
        <f t="shared" si="0"/>
        <v>1268745.0631203176</v>
      </c>
      <c r="M5" s="1254">
        <f t="shared" si="0"/>
        <v>739016.03450482548</v>
      </c>
      <c r="N5" s="1254">
        <f t="shared" si="0"/>
        <v>0</v>
      </c>
      <c r="O5" s="1254">
        <f t="shared" si="0"/>
        <v>236595.93618120189</v>
      </c>
      <c r="P5" s="1254">
        <f t="shared" si="1"/>
        <v>236595.92613533998</v>
      </c>
      <c r="Q5" s="1254">
        <f t="shared" si="1"/>
        <v>-3040.5878307340654</v>
      </c>
      <c r="R5" s="1254">
        <f t="shared" si="1"/>
        <v>-3040.5878307340654</v>
      </c>
      <c r="S5" s="1254">
        <f t="shared" si="1"/>
        <v>1.0699607923688772</v>
      </c>
      <c r="T5" s="1254">
        <f t="shared" si="1"/>
        <v>3.2098823771066316</v>
      </c>
      <c r="U5" s="1254">
        <f t="shared" si="1"/>
        <v>3490.2121047072774</v>
      </c>
      <c r="V5" s="1254">
        <f t="shared" si="1"/>
        <v>-31207.963715732065</v>
      </c>
      <c r="W5" s="1254">
        <f t="shared" si="1"/>
        <v>776505.88782706612</v>
      </c>
      <c r="X5" s="1254">
        <f t="shared" si="1"/>
        <v>121082.64804882018</v>
      </c>
      <c r="Y5" s="1254">
        <f t="shared" si="1"/>
        <v>0</v>
      </c>
      <c r="Z5" s="1254">
        <f t="shared" si="1"/>
        <v>121082.64804882018</v>
      </c>
      <c r="AA5" s="1254">
        <f t="shared" si="1"/>
        <v>14379738.069041526</v>
      </c>
      <c r="AB5" s="1254">
        <f t="shared" si="1"/>
        <v>-1447200.0788167494</v>
      </c>
      <c r="AC5" s="1251">
        <f t="shared" si="2"/>
        <v>16387499.16666667</v>
      </c>
    </row>
    <row r="6" spans="1:31">
      <c r="A6" s="1261"/>
      <c r="B6" s="1261"/>
      <c r="C6" s="1261"/>
      <c r="D6" s="1260" t="s">
        <v>1484</v>
      </c>
      <c r="E6" s="1254">
        <v>3</v>
      </c>
      <c r="F6" s="1254">
        <f t="shared" si="0"/>
        <v>20449.625644150165</v>
      </c>
      <c r="G6" s="1254">
        <f t="shared" si="0"/>
        <v>3490.2121047072774</v>
      </c>
      <c r="H6" s="1254">
        <f t="shared" si="0"/>
        <v>0</v>
      </c>
      <c r="I6" s="1254">
        <f t="shared" si="0"/>
        <v>3490.2121047072774</v>
      </c>
      <c r="J6" s="1254">
        <f t="shared" si="0"/>
        <v>2007761.0976251431</v>
      </c>
      <c r="K6" s="1254">
        <f t="shared" si="0"/>
        <v>0</v>
      </c>
      <c r="L6" s="1254">
        <f t="shared" si="0"/>
        <v>1268745.0631203176</v>
      </c>
      <c r="M6" s="1254">
        <f t="shared" si="0"/>
        <v>739016.03450482548</v>
      </c>
      <c r="N6" s="1254">
        <f t="shared" si="0"/>
        <v>0</v>
      </c>
      <c r="O6" s="1254">
        <f t="shared" si="0"/>
        <v>236595.93618120189</v>
      </c>
      <c r="P6" s="1254">
        <f t="shared" si="1"/>
        <v>236595.92613533998</v>
      </c>
      <c r="Q6" s="1254">
        <f t="shared" si="1"/>
        <v>-3040.5878307340654</v>
      </c>
      <c r="R6" s="1254">
        <f t="shared" si="1"/>
        <v>-3040.5878307340654</v>
      </c>
      <c r="S6" s="1254">
        <f t="shared" si="1"/>
        <v>1.0699607923688772</v>
      </c>
      <c r="T6" s="1254">
        <f t="shared" si="1"/>
        <v>3.2098823771066316</v>
      </c>
      <c r="U6" s="1254">
        <f t="shared" si="1"/>
        <v>3490.2121047072774</v>
      </c>
      <c r="V6" s="1254">
        <f t="shared" si="1"/>
        <v>-31207.963715732065</v>
      </c>
      <c r="W6" s="1254">
        <f t="shared" si="1"/>
        <v>776505.88782706612</v>
      </c>
      <c r="X6" s="1254">
        <f t="shared" si="1"/>
        <v>121082.64804882018</v>
      </c>
      <c r="Y6" s="1254">
        <f t="shared" si="1"/>
        <v>0</v>
      </c>
      <c r="Z6" s="1254">
        <f t="shared" si="1"/>
        <v>121082.64804882018</v>
      </c>
      <c r="AA6" s="1254">
        <f t="shared" si="1"/>
        <v>14379738.069041526</v>
      </c>
      <c r="AB6" s="1254">
        <f t="shared" si="1"/>
        <v>-1447200.0788167494</v>
      </c>
      <c r="AC6" s="1251">
        <f t="shared" si="2"/>
        <v>16387499.16666667</v>
      </c>
    </row>
    <row r="7" spans="1:31">
      <c r="A7" s="1261"/>
      <c r="B7" s="1261"/>
      <c r="C7" s="1261"/>
      <c r="D7" s="1260" t="s">
        <v>1485</v>
      </c>
      <c r="E7" s="1254">
        <v>3</v>
      </c>
      <c r="F7" s="1254">
        <f t="shared" si="0"/>
        <v>20449.625644150165</v>
      </c>
      <c r="G7" s="1254">
        <f t="shared" si="0"/>
        <v>3490.2121047072774</v>
      </c>
      <c r="H7" s="1254">
        <f t="shared" si="0"/>
        <v>0</v>
      </c>
      <c r="I7" s="1254">
        <f t="shared" si="0"/>
        <v>3490.2121047072774</v>
      </c>
      <c r="J7" s="1254">
        <f t="shared" si="0"/>
        <v>2007761.0976251431</v>
      </c>
      <c r="K7" s="1254">
        <f t="shared" si="0"/>
        <v>0</v>
      </c>
      <c r="L7" s="1254">
        <f t="shared" si="0"/>
        <v>1268745.0631203176</v>
      </c>
      <c r="M7" s="1254">
        <f t="shared" si="0"/>
        <v>739016.03450482548</v>
      </c>
      <c r="N7" s="1254">
        <f t="shared" si="0"/>
        <v>0</v>
      </c>
      <c r="O7" s="1254">
        <f t="shared" si="0"/>
        <v>236595.93618120189</v>
      </c>
      <c r="P7" s="1254">
        <f t="shared" si="1"/>
        <v>236595.92613533998</v>
      </c>
      <c r="Q7" s="1254">
        <f t="shared" si="1"/>
        <v>-3040.5878307340654</v>
      </c>
      <c r="R7" s="1254">
        <f t="shared" si="1"/>
        <v>-3040.5878307340654</v>
      </c>
      <c r="S7" s="1254">
        <f t="shared" si="1"/>
        <v>1.0699607923688772</v>
      </c>
      <c r="T7" s="1254">
        <f t="shared" si="1"/>
        <v>3.2098823771066316</v>
      </c>
      <c r="U7" s="1254">
        <f t="shared" si="1"/>
        <v>3490.2121047072774</v>
      </c>
      <c r="V7" s="1254">
        <f t="shared" si="1"/>
        <v>-31207.963715732065</v>
      </c>
      <c r="W7" s="1254">
        <f t="shared" si="1"/>
        <v>776505.88782706612</v>
      </c>
      <c r="X7" s="1254">
        <f t="shared" si="1"/>
        <v>121082.64804882018</v>
      </c>
      <c r="Y7" s="1254">
        <f t="shared" si="1"/>
        <v>0</v>
      </c>
      <c r="Z7" s="1254">
        <f t="shared" si="1"/>
        <v>121082.64804882018</v>
      </c>
      <c r="AA7" s="1254">
        <f t="shared" si="1"/>
        <v>14379738.069041526</v>
      </c>
      <c r="AB7" s="1254">
        <f t="shared" si="1"/>
        <v>-1447200.0788167494</v>
      </c>
      <c r="AC7" s="1251">
        <f t="shared" si="2"/>
        <v>16387499.16666667</v>
      </c>
    </row>
    <row r="8" spans="1:31">
      <c r="A8" s="1261"/>
      <c r="B8" s="1261"/>
      <c r="C8" s="1261"/>
      <c r="D8" s="1260" t="s">
        <v>1486</v>
      </c>
      <c r="E8" s="1254">
        <v>3</v>
      </c>
      <c r="F8" s="1254">
        <f t="shared" si="0"/>
        <v>20449.625644150165</v>
      </c>
      <c r="G8" s="1254">
        <f t="shared" si="0"/>
        <v>3490.2121047072774</v>
      </c>
      <c r="H8" s="1254">
        <f t="shared" si="0"/>
        <v>0</v>
      </c>
      <c r="I8" s="1254">
        <f t="shared" si="0"/>
        <v>3490.2121047072774</v>
      </c>
      <c r="J8" s="1254">
        <f t="shared" si="0"/>
        <v>2007761.0976251431</v>
      </c>
      <c r="K8" s="1254">
        <f t="shared" si="0"/>
        <v>0</v>
      </c>
      <c r="L8" s="1254">
        <f t="shared" si="0"/>
        <v>1268745.0631203176</v>
      </c>
      <c r="M8" s="1254">
        <f t="shared" si="0"/>
        <v>739016.03450482548</v>
      </c>
      <c r="N8" s="1254">
        <f t="shared" si="0"/>
        <v>0</v>
      </c>
      <c r="O8" s="1254">
        <f t="shared" si="0"/>
        <v>236595.93618120189</v>
      </c>
      <c r="P8" s="1254">
        <f t="shared" si="1"/>
        <v>236595.92613533998</v>
      </c>
      <c r="Q8" s="1254">
        <f t="shared" si="1"/>
        <v>-3040.5878307340654</v>
      </c>
      <c r="R8" s="1254">
        <f t="shared" si="1"/>
        <v>-3040.5878307340654</v>
      </c>
      <c r="S8" s="1254">
        <f t="shared" si="1"/>
        <v>1.0699607923688772</v>
      </c>
      <c r="T8" s="1254">
        <f t="shared" si="1"/>
        <v>3.2098823771066316</v>
      </c>
      <c r="U8" s="1254">
        <f t="shared" si="1"/>
        <v>3490.2121047072774</v>
      </c>
      <c r="V8" s="1254">
        <f t="shared" si="1"/>
        <v>-31207.963715732065</v>
      </c>
      <c r="W8" s="1254">
        <f t="shared" si="1"/>
        <v>776505.88782706612</v>
      </c>
      <c r="X8" s="1254">
        <f t="shared" si="1"/>
        <v>121082.64804882018</v>
      </c>
      <c r="Y8" s="1254">
        <f t="shared" si="1"/>
        <v>0</v>
      </c>
      <c r="Z8" s="1254">
        <f t="shared" si="1"/>
        <v>121082.64804882018</v>
      </c>
      <c r="AA8" s="1254">
        <f t="shared" si="1"/>
        <v>14379738.069041526</v>
      </c>
      <c r="AB8" s="1254">
        <f t="shared" si="1"/>
        <v>-1447200.0788167494</v>
      </c>
      <c r="AC8" s="1251">
        <f t="shared" si="2"/>
        <v>16387499.16666667</v>
      </c>
    </row>
    <row r="9" spans="1:31">
      <c r="A9" s="1261"/>
      <c r="B9" s="1261"/>
      <c r="C9" s="1261"/>
      <c r="D9" s="1260" t="s">
        <v>1618</v>
      </c>
      <c r="E9" s="1254">
        <v>3</v>
      </c>
      <c r="F9" s="1254">
        <f t="shared" si="0"/>
        <v>20449.625644150165</v>
      </c>
      <c r="G9" s="1254">
        <f t="shared" si="0"/>
        <v>3490.2121047072774</v>
      </c>
      <c r="H9" s="1254">
        <f t="shared" si="0"/>
        <v>0</v>
      </c>
      <c r="I9" s="1254">
        <f t="shared" si="0"/>
        <v>3490.2121047072774</v>
      </c>
      <c r="J9" s="1254">
        <f t="shared" si="0"/>
        <v>2007761.0976251431</v>
      </c>
      <c r="K9" s="1254">
        <f t="shared" si="0"/>
        <v>0</v>
      </c>
      <c r="L9" s="1254">
        <f t="shared" si="0"/>
        <v>1268745.0631203176</v>
      </c>
      <c r="M9" s="1254">
        <f t="shared" si="0"/>
        <v>739016.03450482548</v>
      </c>
      <c r="N9" s="1254">
        <f t="shared" si="0"/>
        <v>0</v>
      </c>
      <c r="O9" s="1254">
        <f t="shared" si="0"/>
        <v>236595.93618120189</v>
      </c>
      <c r="P9" s="1254">
        <f t="shared" si="1"/>
        <v>236595.92613533998</v>
      </c>
      <c r="Q9" s="1254">
        <f t="shared" si="1"/>
        <v>-3040.5878307340654</v>
      </c>
      <c r="R9" s="1254">
        <f t="shared" si="1"/>
        <v>-3040.5878307340654</v>
      </c>
      <c r="S9" s="1254">
        <f t="shared" si="1"/>
        <v>1.0699607923688772</v>
      </c>
      <c r="T9" s="1254">
        <f t="shared" si="1"/>
        <v>3.2098823771066316</v>
      </c>
      <c r="U9" s="1254">
        <f t="shared" si="1"/>
        <v>3490.2121047072774</v>
      </c>
      <c r="V9" s="1254">
        <f t="shared" si="1"/>
        <v>-31207.963715732065</v>
      </c>
      <c r="W9" s="1254">
        <f t="shared" si="1"/>
        <v>776505.88782706612</v>
      </c>
      <c r="X9" s="1254">
        <f t="shared" si="1"/>
        <v>121082.64804882018</v>
      </c>
      <c r="Y9" s="1254">
        <f t="shared" si="1"/>
        <v>0</v>
      </c>
      <c r="Z9" s="1254">
        <f t="shared" si="1"/>
        <v>121082.64804882018</v>
      </c>
      <c r="AA9" s="1254">
        <f t="shared" si="1"/>
        <v>14379738.069041526</v>
      </c>
      <c r="AB9" s="1254">
        <f t="shared" si="1"/>
        <v>-1447200.0788167494</v>
      </c>
      <c r="AC9" s="1251">
        <f t="shared" si="2"/>
        <v>16387499.16666667</v>
      </c>
    </row>
    <row r="10" spans="1:31">
      <c r="A10" s="1261"/>
      <c r="B10" s="1261"/>
      <c r="C10" s="1261"/>
      <c r="D10" s="1260" t="s">
        <v>1619</v>
      </c>
      <c r="E10" s="1254">
        <v>3</v>
      </c>
      <c r="F10" s="1254">
        <f t="shared" si="0"/>
        <v>20449.625644150165</v>
      </c>
      <c r="G10" s="1254">
        <f t="shared" si="0"/>
        <v>3490.2121047072774</v>
      </c>
      <c r="H10" s="1254">
        <f t="shared" si="0"/>
        <v>0</v>
      </c>
      <c r="I10" s="1254">
        <f t="shared" si="0"/>
        <v>3490.2121047072774</v>
      </c>
      <c r="J10" s="1254">
        <f t="shared" si="0"/>
        <v>2007761.0976251431</v>
      </c>
      <c r="K10" s="1254">
        <f t="shared" si="0"/>
        <v>0</v>
      </c>
      <c r="L10" s="1254">
        <f t="shared" si="0"/>
        <v>1268745.0631203176</v>
      </c>
      <c r="M10" s="1254">
        <f t="shared" si="0"/>
        <v>739016.03450482548</v>
      </c>
      <c r="N10" s="1254">
        <f t="shared" si="0"/>
        <v>0</v>
      </c>
      <c r="O10" s="1254">
        <f t="shared" si="0"/>
        <v>236595.93618120189</v>
      </c>
      <c r="P10" s="1254">
        <f t="shared" si="1"/>
        <v>236595.92613533998</v>
      </c>
      <c r="Q10" s="1254">
        <f t="shared" si="1"/>
        <v>-3040.5878307340654</v>
      </c>
      <c r="R10" s="1254">
        <f t="shared" si="1"/>
        <v>-3040.5878307340654</v>
      </c>
      <c r="S10" s="1254">
        <f t="shared" si="1"/>
        <v>1.0699607923688772</v>
      </c>
      <c r="T10" s="1254">
        <f t="shared" si="1"/>
        <v>3.2098823771066316</v>
      </c>
      <c r="U10" s="1254">
        <f t="shared" si="1"/>
        <v>3490.2121047072774</v>
      </c>
      <c r="V10" s="1254">
        <f t="shared" si="1"/>
        <v>-31207.963715732065</v>
      </c>
      <c r="W10" s="1254">
        <f t="shared" si="1"/>
        <v>776505.88782706612</v>
      </c>
      <c r="X10" s="1254">
        <f t="shared" si="1"/>
        <v>121082.64804882018</v>
      </c>
      <c r="Y10" s="1254">
        <f t="shared" si="1"/>
        <v>0</v>
      </c>
      <c r="Z10" s="1254">
        <f t="shared" si="1"/>
        <v>121082.64804882018</v>
      </c>
      <c r="AA10" s="1254">
        <f t="shared" si="1"/>
        <v>14379738.069041526</v>
      </c>
      <c r="AB10" s="1254">
        <f t="shared" si="1"/>
        <v>-1447200.0788167494</v>
      </c>
      <c r="AC10" s="1251">
        <f t="shared" si="2"/>
        <v>16387499.16666667</v>
      </c>
    </row>
    <row r="11" spans="1:31">
      <c r="A11" s="1261"/>
      <c r="B11" s="1261"/>
      <c r="C11" s="1261"/>
      <c r="D11" s="1260" t="s">
        <v>1620</v>
      </c>
      <c r="E11" s="1254">
        <v>3</v>
      </c>
      <c r="F11" s="1254">
        <f t="shared" si="0"/>
        <v>20449.625644150165</v>
      </c>
      <c r="G11" s="1254">
        <f t="shared" si="0"/>
        <v>3490.2121047072774</v>
      </c>
      <c r="H11" s="1254">
        <f t="shared" si="0"/>
        <v>0</v>
      </c>
      <c r="I11" s="1254">
        <f t="shared" si="0"/>
        <v>3490.2121047072774</v>
      </c>
      <c r="J11" s="1254">
        <f t="shared" si="0"/>
        <v>2007761.0976251431</v>
      </c>
      <c r="K11" s="1254">
        <f t="shared" si="0"/>
        <v>0</v>
      </c>
      <c r="L11" s="1254">
        <f t="shared" si="0"/>
        <v>1268745.0631203176</v>
      </c>
      <c r="M11" s="1254">
        <f t="shared" si="0"/>
        <v>739016.03450482548</v>
      </c>
      <c r="N11" s="1254">
        <f t="shared" si="0"/>
        <v>0</v>
      </c>
      <c r="O11" s="1254">
        <f t="shared" si="0"/>
        <v>236595.93618120189</v>
      </c>
      <c r="P11" s="1254">
        <f t="shared" si="1"/>
        <v>236595.92613533998</v>
      </c>
      <c r="Q11" s="1254">
        <f t="shared" si="1"/>
        <v>-3040.5878307340654</v>
      </c>
      <c r="R11" s="1254">
        <f t="shared" si="1"/>
        <v>-3040.5878307340654</v>
      </c>
      <c r="S11" s="1254">
        <f t="shared" si="1"/>
        <v>1.0699607923688772</v>
      </c>
      <c r="T11" s="1254">
        <f t="shared" si="1"/>
        <v>3.2098823771066316</v>
      </c>
      <c r="U11" s="1254">
        <f t="shared" si="1"/>
        <v>3490.2121047072774</v>
      </c>
      <c r="V11" s="1254">
        <f t="shared" si="1"/>
        <v>-31207.963715732065</v>
      </c>
      <c r="W11" s="1254">
        <f t="shared" si="1"/>
        <v>776505.88782706612</v>
      </c>
      <c r="X11" s="1254">
        <f t="shared" si="1"/>
        <v>121082.64804882018</v>
      </c>
      <c r="Y11" s="1254">
        <f t="shared" si="1"/>
        <v>0</v>
      </c>
      <c r="Z11" s="1254">
        <f t="shared" si="1"/>
        <v>121082.64804882018</v>
      </c>
      <c r="AA11" s="1254">
        <f t="shared" si="1"/>
        <v>14379738.069041526</v>
      </c>
      <c r="AB11" s="1254">
        <f t="shared" si="1"/>
        <v>-1447200.0788167494</v>
      </c>
      <c r="AC11" s="1251">
        <f t="shared" si="2"/>
        <v>16387499.16666667</v>
      </c>
    </row>
    <row r="12" spans="1:31">
      <c r="A12" s="1261"/>
      <c r="B12" s="1261"/>
      <c r="C12" s="1261"/>
      <c r="D12" s="1260" t="s">
        <v>1622</v>
      </c>
      <c r="E12" s="1254">
        <v>3</v>
      </c>
      <c r="F12" s="1254">
        <f t="shared" si="0"/>
        <v>20449.625644150165</v>
      </c>
      <c r="G12" s="1254">
        <f t="shared" si="0"/>
        <v>3490.2121047072774</v>
      </c>
      <c r="H12" s="1254">
        <f t="shared" si="0"/>
        <v>0</v>
      </c>
      <c r="I12" s="1254">
        <f t="shared" si="0"/>
        <v>3490.2121047072774</v>
      </c>
      <c r="J12" s="1254">
        <f t="shared" si="0"/>
        <v>2007761.0976251431</v>
      </c>
      <c r="K12" s="1254">
        <f t="shared" si="0"/>
        <v>0</v>
      </c>
      <c r="L12" s="1254">
        <f t="shared" si="0"/>
        <v>1268745.0631203176</v>
      </c>
      <c r="M12" s="1254">
        <f t="shared" si="0"/>
        <v>739016.03450482548</v>
      </c>
      <c r="N12" s="1254">
        <f t="shared" si="0"/>
        <v>0</v>
      </c>
      <c r="O12" s="1254">
        <f t="shared" si="0"/>
        <v>236595.93618120189</v>
      </c>
      <c r="P12" s="1254">
        <f t="shared" si="1"/>
        <v>236595.92613533998</v>
      </c>
      <c r="Q12" s="1254">
        <f t="shared" si="1"/>
        <v>-3040.5878307340654</v>
      </c>
      <c r="R12" s="1254">
        <f t="shared" si="1"/>
        <v>-3040.5878307340654</v>
      </c>
      <c r="S12" s="1254">
        <f t="shared" si="1"/>
        <v>1.0699607923688772</v>
      </c>
      <c r="T12" s="1254">
        <f t="shared" si="1"/>
        <v>3.2098823771066316</v>
      </c>
      <c r="U12" s="1254">
        <f t="shared" si="1"/>
        <v>3490.2121047072774</v>
      </c>
      <c r="V12" s="1254">
        <f t="shared" si="1"/>
        <v>-31207.963715732065</v>
      </c>
      <c r="W12" s="1254">
        <f t="shared" si="1"/>
        <v>776505.88782706612</v>
      </c>
      <c r="X12" s="1254">
        <f t="shared" si="1"/>
        <v>121082.64804882018</v>
      </c>
      <c r="Y12" s="1254">
        <f t="shared" si="1"/>
        <v>0</v>
      </c>
      <c r="Z12" s="1254">
        <f t="shared" si="1"/>
        <v>121082.64804882018</v>
      </c>
      <c r="AA12" s="1254">
        <f t="shared" si="1"/>
        <v>14379738.069041526</v>
      </c>
      <c r="AB12" s="1254">
        <f t="shared" si="1"/>
        <v>-1447200.0788167494</v>
      </c>
      <c r="AC12" s="1251">
        <f t="shared" si="2"/>
        <v>16387499.16666667</v>
      </c>
    </row>
    <row r="13" spans="1:31">
      <c r="A13" s="1261"/>
      <c r="B13" s="1261"/>
      <c r="C13" s="1261"/>
      <c r="D13" s="1260" t="s">
        <v>1621</v>
      </c>
      <c r="E13" s="1254">
        <v>3</v>
      </c>
      <c r="F13" s="1254">
        <f t="shared" si="0"/>
        <v>20449.625644150165</v>
      </c>
      <c r="G13" s="1254">
        <f t="shared" si="0"/>
        <v>3490.2121047072774</v>
      </c>
      <c r="H13" s="1254">
        <f t="shared" si="0"/>
        <v>0</v>
      </c>
      <c r="I13" s="1254">
        <f t="shared" si="0"/>
        <v>3490.2121047072774</v>
      </c>
      <c r="J13" s="1254">
        <f t="shared" si="0"/>
        <v>2007761.0976251431</v>
      </c>
      <c r="K13" s="1254">
        <f t="shared" si="0"/>
        <v>0</v>
      </c>
      <c r="L13" s="1254">
        <f t="shared" si="0"/>
        <v>1268745.0631203176</v>
      </c>
      <c r="M13" s="1254">
        <f t="shared" si="0"/>
        <v>739016.03450482548</v>
      </c>
      <c r="N13" s="1254">
        <f t="shared" si="0"/>
        <v>0</v>
      </c>
      <c r="O13" s="1254">
        <f t="shared" si="0"/>
        <v>236595.93618120189</v>
      </c>
      <c r="P13" s="1254">
        <f t="shared" si="1"/>
        <v>236595.92613533998</v>
      </c>
      <c r="Q13" s="1254">
        <f t="shared" si="1"/>
        <v>-3040.5878307340654</v>
      </c>
      <c r="R13" s="1254">
        <f t="shared" si="1"/>
        <v>-3040.5878307340654</v>
      </c>
      <c r="S13" s="1254">
        <f t="shared" si="1"/>
        <v>1.0699607923688772</v>
      </c>
      <c r="T13" s="1254">
        <f t="shared" si="1"/>
        <v>3.2098823771066316</v>
      </c>
      <c r="U13" s="1254">
        <f t="shared" si="1"/>
        <v>3490.2121047072774</v>
      </c>
      <c r="V13" s="1254">
        <f t="shared" si="1"/>
        <v>-31207.963715732065</v>
      </c>
      <c r="W13" s="1254">
        <f t="shared" si="1"/>
        <v>776505.88782706612</v>
      </c>
      <c r="X13" s="1254">
        <f t="shared" si="1"/>
        <v>121082.64804882018</v>
      </c>
      <c r="Y13" s="1254">
        <f t="shared" si="1"/>
        <v>0</v>
      </c>
      <c r="Z13" s="1254">
        <f t="shared" si="1"/>
        <v>121082.64804882018</v>
      </c>
      <c r="AA13" s="1254">
        <f t="shared" si="1"/>
        <v>14379738.069041526</v>
      </c>
      <c r="AB13" s="1254">
        <f t="shared" si="1"/>
        <v>-1447200.0788167494</v>
      </c>
      <c r="AC13" s="1251">
        <f t="shared" si="2"/>
        <v>16387499.16666667</v>
      </c>
      <c r="AD13" s="1249">
        <f>AD17/(AC34*12)</f>
        <v>1.0699607923688772</v>
      </c>
    </row>
    <row r="14" spans="1:31">
      <c r="A14" s="1261"/>
      <c r="B14" s="1261"/>
      <c r="C14" s="1262"/>
      <c r="D14" s="1260" t="s">
        <v>1624</v>
      </c>
      <c r="E14" s="1254">
        <v>3</v>
      </c>
      <c r="F14" s="1254">
        <f t="shared" si="0"/>
        <v>20449.625644150165</v>
      </c>
      <c r="G14" s="1254">
        <f t="shared" si="0"/>
        <v>3490.2121047072774</v>
      </c>
      <c r="H14" s="1254">
        <f t="shared" si="0"/>
        <v>0</v>
      </c>
      <c r="I14" s="1254">
        <f t="shared" si="0"/>
        <v>3490.2121047072774</v>
      </c>
      <c r="J14" s="1254">
        <f t="shared" si="0"/>
        <v>2007761.0976251431</v>
      </c>
      <c r="K14" s="1254">
        <f t="shared" si="0"/>
        <v>0</v>
      </c>
      <c r="L14" s="1254">
        <f t="shared" si="0"/>
        <v>1268745.0631203176</v>
      </c>
      <c r="M14" s="1254">
        <f t="shared" si="0"/>
        <v>739016.03450482548</v>
      </c>
      <c r="N14" s="1254">
        <f t="shared" si="0"/>
        <v>0</v>
      </c>
      <c r="O14" s="1254">
        <f t="shared" si="0"/>
        <v>236595.93618120189</v>
      </c>
      <c r="P14" s="1254">
        <f t="shared" si="1"/>
        <v>236595.92613533998</v>
      </c>
      <c r="Q14" s="1254">
        <f t="shared" si="1"/>
        <v>-3040.5878307340654</v>
      </c>
      <c r="R14" s="1254">
        <f t="shared" si="1"/>
        <v>-3040.5878307340654</v>
      </c>
      <c r="S14" s="1254">
        <f t="shared" si="1"/>
        <v>1.0699607923688772</v>
      </c>
      <c r="T14" s="1254">
        <f t="shared" si="1"/>
        <v>3.2098823771066316</v>
      </c>
      <c r="U14" s="1254">
        <f t="shared" si="1"/>
        <v>3490.2121047072774</v>
      </c>
      <c r="V14" s="1254">
        <f t="shared" si="1"/>
        <v>-31207.963715732065</v>
      </c>
      <c r="W14" s="1254">
        <f t="shared" si="1"/>
        <v>776505.88782706612</v>
      </c>
      <c r="X14" s="1254">
        <f t="shared" si="1"/>
        <v>121082.64804882018</v>
      </c>
      <c r="Y14" s="1254">
        <f t="shared" si="1"/>
        <v>0</v>
      </c>
      <c r="Z14" s="1254">
        <f t="shared" si="1"/>
        <v>121082.64804882018</v>
      </c>
      <c r="AA14" s="1254">
        <f t="shared" si="1"/>
        <v>14379738.069041526</v>
      </c>
      <c r="AB14" s="1254">
        <f t="shared" si="1"/>
        <v>-1447200.0788167494</v>
      </c>
      <c r="AC14" s="1251">
        <f t="shared" si="2"/>
        <v>16387499.16666667</v>
      </c>
      <c r="AD14" s="1255">
        <v>1.072012210120123</v>
      </c>
    </row>
    <row r="15" spans="1:31">
      <c r="A15" s="1261"/>
      <c r="B15" s="1261"/>
      <c r="C15" s="1262"/>
      <c r="D15" s="1263" t="s">
        <v>79</v>
      </c>
      <c r="E15" s="1252">
        <f>SUM(E7:E11)</f>
        <v>15</v>
      </c>
      <c r="F15" s="1252">
        <f t="shared" ref="F15:AC15" si="3">SUM(F7:F11)*$AD$14</f>
        <v>109611.24191457281</v>
      </c>
      <c r="G15" s="1252">
        <f t="shared" si="3"/>
        <v>18707.749960776273</v>
      </c>
      <c r="H15" s="1252">
        <f t="shared" si="3"/>
        <v>0</v>
      </c>
      <c r="I15" s="1252">
        <f t="shared" si="3"/>
        <v>18707.749960776273</v>
      </c>
      <c r="J15" s="1252">
        <f t="shared" si="3"/>
        <v>10761722.058291668</v>
      </c>
      <c r="K15" s="1252">
        <f t="shared" si="3"/>
        <v>0</v>
      </c>
      <c r="L15" s="1252">
        <f t="shared" si="3"/>
        <v>6800550.9959730338</v>
      </c>
      <c r="M15" s="1252">
        <f t="shared" si="3"/>
        <v>3961171.0623186352</v>
      </c>
      <c r="N15" s="1252">
        <f t="shared" si="3"/>
        <v>0</v>
      </c>
      <c r="O15" s="1252">
        <f t="shared" si="3"/>
        <v>1268168.662255249</v>
      </c>
      <c r="P15" s="1252">
        <f t="shared" si="3"/>
        <v>1268168.6084088159</v>
      </c>
      <c r="Q15" s="1252">
        <f t="shared" si="3"/>
        <v>-16297.736402447879</v>
      </c>
      <c r="R15" s="1252">
        <f t="shared" si="3"/>
        <v>-16297.736402447879</v>
      </c>
      <c r="S15" s="1252">
        <f t="shared" si="3"/>
        <v>5.7350551688461904</v>
      </c>
      <c r="T15" s="1252">
        <f t="shared" si="3"/>
        <v>17.20516550653857</v>
      </c>
      <c r="U15" s="1252">
        <f t="shared" si="3"/>
        <v>18707.749960776273</v>
      </c>
      <c r="V15" s="1252">
        <f t="shared" si="3"/>
        <v>-167276.59078125269</v>
      </c>
      <c r="W15" s="1252">
        <f t="shared" si="3"/>
        <v>4162118.9649039079</v>
      </c>
      <c r="X15" s="1252">
        <f t="shared" si="3"/>
        <v>649010.38571006362</v>
      </c>
      <c r="Y15" s="1252">
        <f t="shared" si="3"/>
        <v>0</v>
      </c>
      <c r="Z15" s="1252">
        <f t="shared" si="3"/>
        <v>649010.38571006362</v>
      </c>
      <c r="AA15" s="1252">
        <f t="shared" si="3"/>
        <v>77076273.941708386</v>
      </c>
      <c r="AB15" s="1252">
        <f t="shared" si="3"/>
        <v>-7757080.7748917984</v>
      </c>
      <c r="AC15" s="1252">
        <f t="shared" si="3"/>
        <v>87837996.000000045</v>
      </c>
      <c r="AD15" s="1253">
        <f>Energy!Q43</f>
        <v>87837996</v>
      </c>
      <c r="AE15" s="86">
        <f>AD15-AC15</f>
        <v>0</v>
      </c>
    </row>
    <row r="16" spans="1:31">
      <c r="A16" s="1261"/>
      <c r="B16" s="1261"/>
      <c r="C16" s="1262"/>
      <c r="D16" s="1263" t="s">
        <v>80</v>
      </c>
      <c r="E16" s="1252">
        <f>E17-E15</f>
        <v>21</v>
      </c>
      <c r="F16" s="1252">
        <f>F17-F15</f>
        <v>135784.26581522916</v>
      </c>
      <c r="G16" s="1252">
        <f t="shared" ref="G16:AC16" si="4">G17-G15</f>
        <v>23174.795295711054</v>
      </c>
      <c r="H16" s="1252">
        <f t="shared" si="4"/>
        <v>0</v>
      </c>
      <c r="I16" s="1252">
        <f t="shared" si="4"/>
        <v>23174.795295711054</v>
      </c>
      <c r="J16" s="1252">
        <f t="shared" si="4"/>
        <v>13331411.113210054</v>
      </c>
      <c r="K16" s="1252">
        <f t="shared" si="4"/>
        <v>0</v>
      </c>
      <c r="L16" s="1252">
        <f t="shared" si="4"/>
        <v>8424389.7614707742</v>
      </c>
      <c r="M16" s="1252">
        <f t="shared" si="4"/>
        <v>4907021.3517392697</v>
      </c>
      <c r="N16" s="1252">
        <f t="shared" si="4"/>
        <v>0</v>
      </c>
      <c r="O16" s="1252">
        <f t="shared" si="4"/>
        <v>1570982.5719191739</v>
      </c>
      <c r="P16" s="1252">
        <f t="shared" si="4"/>
        <v>1570982.5052152632</v>
      </c>
      <c r="Q16" s="1252">
        <f t="shared" si="4"/>
        <v>-20189.3175663609</v>
      </c>
      <c r="R16" s="1252">
        <f t="shared" si="4"/>
        <v>-20189.3175663609</v>
      </c>
      <c r="S16" s="1252">
        <f t="shared" si="4"/>
        <v>7.1044743395803396</v>
      </c>
      <c r="T16" s="1252">
        <f t="shared" si="4"/>
        <v>21.313423018741005</v>
      </c>
      <c r="U16" s="1252">
        <f t="shared" si="4"/>
        <v>23174.795295711054</v>
      </c>
      <c r="V16" s="1252">
        <f t="shared" si="4"/>
        <v>-207218.97380753202</v>
      </c>
      <c r="W16" s="1252">
        <f t="shared" si="4"/>
        <v>5155951.6890208852</v>
      </c>
      <c r="X16" s="1252">
        <f t="shared" si="4"/>
        <v>803981.39087577863</v>
      </c>
      <c r="Y16" s="1252">
        <f t="shared" si="4"/>
        <v>0</v>
      </c>
      <c r="Z16" s="1252">
        <f t="shared" si="4"/>
        <v>803981.39087577863</v>
      </c>
      <c r="AA16" s="1252">
        <f t="shared" si="4"/>
        <v>95480582.886789888</v>
      </c>
      <c r="AB16" s="1252">
        <f t="shared" si="4"/>
        <v>-9609320.1709091961</v>
      </c>
      <c r="AC16" s="1252">
        <f t="shared" si="4"/>
        <v>108811993.99999996</v>
      </c>
      <c r="AD16" s="1253">
        <f>Energy!R43</f>
        <v>108811994</v>
      </c>
      <c r="AE16" s="86">
        <f t="shared" ref="AE16:AE17" si="5">AD16-AC16</f>
        <v>0</v>
      </c>
    </row>
    <row r="17" spans="1:31">
      <c r="A17" s="1318"/>
      <c r="B17" s="1318"/>
      <c r="C17" s="1318"/>
      <c r="D17" s="1319" t="s">
        <v>93</v>
      </c>
      <c r="E17" s="1320">
        <f>SUM(E3:E14)</f>
        <v>36</v>
      </c>
      <c r="F17" s="1320">
        <f>SUM(F3:F14)</f>
        <v>245395.50772980196</v>
      </c>
      <c r="G17" s="1320">
        <f t="shared" ref="G17:AB17" si="6">SUM(G3:G14)</f>
        <v>41882.545256487327</v>
      </c>
      <c r="H17" s="1320">
        <f t="shared" si="6"/>
        <v>0</v>
      </c>
      <c r="I17" s="1320">
        <f t="shared" si="6"/>
        <v>41882.545256487327</v>
      </c>
      <c r="J17" s="1320">
        <f t="shared" si="6"/>
        <v>24093133.171501722</v>
      </c>
      <c r="K17" s="1320">
        <f t="shared" si="6"/>
        <v>0</v>
      </c>
      <c r="L17" s="1320">
        <f t="shared" si="6"/>
        <v>15224940.757443808</v>
      </c>
      <c r="M17" s="1320">
        <f t="shared" si="6"/>
        <v>8868192.4140579049</v>
      </c>
      <c r="N17" s="1320">
        <f t="shared" si="6"/>
        <v>0</v>
      </c>
      <c r="O17" s="1320">
        <f t="shared" si="6"/>
        <v>2839151.2341744229</v>
      </c>
      <c r="P17" s="1320">
        <f t="shared" si="6"/>
        <v>2839151.1136240792</v>
      </c>
      <c r="Q17" s="1320">
        <f t="shared" si="6"/>
        <v>-36487.053968808781</v>
      </c>
      <c r="R17" s="1320">
        <f t="shared" si="6"/>
        <v>-36487.053968808781</v>
      </c>
      <c r="S17" s="1320">
        <f t="shared" si="6"/>
        <v>12.83952950842653</v>
      </c>
      <c r="T17" s="1320">
        <f t="shared" si="6"/>
        <v>38.518588525279576</v>
      </c>
      <c r="U17" s="1320">
        <f t="shared" si="6"/>
        <v>41882.545256487327</v>
      </c>
      <c r="V17" s="1320">
        <f t="shared" si="6"/>
        <v>-374495.56458878471</v>
      </c>
      <c r="W17" s="1320">
        <f t="shared" si="6"/>
        <v>9318070.653924793</v>
      </c>
      <c r="X17" s="1320">
        <f t="shared" si="6"/>
        <v>1452991.7765858422</v>
      </c>
      <c r="Y17" s="1320">
        <f t="shared" si="6"/>
        <v>0</v>
      </c>
      <c r="Z17" s="1320">
        <f t="shared" si="6"/>
        <v>1452991.7765858422</v>
      </c>
      <c r="AA17" s="1320">
        <f t="shared" si="6"/>
        <v>172556856.82849827</v>
      </c>
      <c r="AB17" s="1320">
        <f t="shared" si="6"/>
        <v>-17366400.945800994</v>
      </c>
      <c r="AC17" s="1320">
        <f t="shared" ref="AC17" si="7">SUM(AC3:AC14)</f>
        <v>196649990</v>
      </c>
      <c r="AD17" s="1253">
        <f>SUM(AD15:AD16)</f>
        <v>196649990</v>
      </c>
      <c r="AE17" s="86">
        <f t="shared" si="5"/>
        <v>0</v>
      </c>
    </row>
    <row r="18" spans="1:31" s="99" customFormat="1">
      <c r="C18" s="1315"/>
      <c r="D18" s="525"/>
      <c r="E18" s="524"/>
      <c r="F18" s="524"/>
      <c r="G18" s="524"/>
      <c r="H18" s="524"/>
      <c r="I18" s="524"/>
      <c r="J18" s="524"/>
      <c r="K18" s="524"/>
      <c r="L18" s="524"/>
      <c r="M18" s="524"/>
      <c r="N18" s="524"/>
      <c r="O18" s="524"/>
      <c r="P18" s="524"/>
      <c r="Q18" s="524"/>
      <c r="R18" s="524"/>
      <c r="S18" s="524"/>
      <c r="T18" s="524"/>
      <c r="U18" s="524"/>
      <c r="AC18" s="1316"/>
      <c r="AD18" s="1317"/>
    </row>
    <row r="19" spans="1:31" s="99" customFormat="1">
      <c r="C19" s="1315"/>
      <c r="D19" s="525"/>
      <c r="E19" s="524"/>
      <c r="F19" s="524"/>
      <c r="G19" s="524"/>
      <c r="H19" s="524"/>
      <c r="I19" s="524"/>
      <c r="J19" s="524"/>
      <c r="K19" s="524"/>
      <c r="L19" s="524"/>
      <c r="M19" s="524"/>
      <c r="N19" s="524"/>
      <c r="O19" s="524"/>
      <c r="P19" s="524"/>
      <c r="Q19" s="524"/>
      <c r="R19" s="524"/>
      <c r="S19" s="524"/>
      <c r="T19" s="524"/>
      <c r="U19" s="524"/>
      <c r="AC19" s="1317"/>
      <c r="AD19" s="1317"/>
    </row>
    <row r="20" spans="1:31">
      <c r="A20" s="1314" t="s">
        <v>1564</v>
      </c>
      <c r="B20" s="1314" t="s">
        <v>1284</v>
      </c>
      <c r="C20" s="1314" t="s">
        <v>1480</v>
      </c>
      <c r="D20" s="1314" t="s">
        <v>1479</v>
      </c>
      <c r="E20" s="1314" t="s">
        <v>72</v>
      </c>
      <c r="F20" s="1314" t="s">
        <v>1565</v>
      </c>
      <c r="G20" s="1314" t="s">
        <v>462</v>
      </c>
      <c r="H20" s="1314" t="s">
        <v>638</v>
      </c>
      <c r="I20" s="1314" t="s">
        <v>639</v>
      </c>
      <c r="J20" s="1314" t="s">
        <v>70</v>
      </c>
      <c r="K20" s="1314" t="s">
        <v>632</v>
      </c>
      <c r="L20" s="1314" t="s">
        <v>648</v>
      </c>
      <c r="M20" s="1314" t="s">
        <v>649</v>
      </c>
      <c r="N20" s="1314" t="s">
        <v>633</v>
      </c>
      <c r="O20" s="1314" t="s">
        <v>71</v>
      </c>
      <c r="P20" s="1314" t="s">
        <v>619</v>
      </c>
      <c r="Q20" s="1314" t="s">
        <v>1225</v>
      </c>
      <c r="R20" s="1314" t="s">
        <v>1256</v>
      </c>
      <c r="S20" s="1314" t="s">
        <v>1566</v>
      </c>
      <c r="T20" s="1314" t="s">
        <v>1567</v>
      </c>
      <c r="U20" s="1314" t="s">
        <v>1568</v>
      </c>
      <c r="V20" s="1314" t="s">
        <v>1569</v>
      </c>
      <c r="W20" s="1314" t="s">
        <v>1570</v>
      </c>
      <c r="X20" s="1314" t="s">
        <v>1571</v>
      </c>
      <c r="Y20" s="1314" t="s">
        <v>1572</v>
      </c>
      <c r="Z20" s="1314" t="s">
        <v>1573</v>
      </c>
      <c r="AA20" s="1314" t="s">
        <v>1574</v>
      </c>
      <c r="AB20" s="1314" t="s">
        <v>1575</v>
      </c>
      <c r="AC20" s="1250" t="s">
        <v>111</v>
      </c>
    </row>
    <row r="21" spans="1:31">
      <c r="A21" s="1150" t="s">
        <v>429</v>
      </c>
      <c r="B21" s="1150" t="s">
        <v>1576</v>
      </c>
      <c r="C21" s="1150" t="s">
        <v>1623</v>
      </c>
      <c r="D21" s="1151" t="s">
        <v>1621</v>
      </c>
      <c r="E21" s="1248">
        <v>1</v>
      </c>
      <c r="F21" s="1248">
        <v>10512</v>
      </c>
      <c r="G21" s="1248">
        <v>2840</v>
      </c>
      <c r="H21" s="1248">
        <v>0</v>
      </c>
      <c r="I21" s="1248">
        <v>2840</v>
      </c>
      <c r="J21" s="1248">
        <v>2274498</v>
      </c>
      <c r="K21" s="1248">
        <v>0</v>
      </c>
      <c r="L21" s="1248">
        <v>1160479</v>
      </c>
      <c r="M21" s="1248">
        <v>1114019</v>
      </c>
      <c r="N21" s="1248">
        <v>0</v>
      </c>
      <c r="O21" s="1248">
        <v>193989.33</v>
      </c>
      <c r="P21" s="1248">
        <v>193989.325006</v>
      </c>
      <c r="Q21" s="1248">
        <v>-3071.72</v>
      </c>
      <c r="R21" s="1248">
        <v>-3071.72</v>
      </c>
      <c r="S21" s="1248">
        <v>1</v>
      </c>
      <c r="T21" s="1248">
        <v>1</v>
      </c>
      <c r="U21" s="1248">
        <v>2840</v>
      </c>
      <c r="V21" s="1248">
        <v>-45.83</v>
      </c>
      <c r="W21" s="1248">
        <v>330264.01</v>
      </c>
      <c r="X21" s="1248">
        <v>113752</v>
      </c>
      <c r="Y21" s="1248">
        <v>0</v>
      </c>
      <c r="Z21" s="1248">
        <v>113752</v>
      </c>
      <c r="AA21" s="1248">
        <v>6116000</v>
      </c>
      <c r="AB21" s="1248">
        <v>-1908</v>
      </c>
      <c r="AC21" s="1251">
        <f>J21+AA21</f>
        <v>8390498</v>
      </c>
    </row>
    <row r="22" spans="1:31">
      <c r="A22" s="1152"/>
      <c r="B22" s="1152"/>
      <c r="C22" s="1152"/>
      <c r="D22" s="1151" t="s">
        <v>1624</v>
      </c>
      <c r="E22" s="1248">
        <v>1</v>
      </c>
      <c r="F22" s="1248">
        <v>10512</v>
      </c>
      <c r="G22" s="1248">
        <v>2846</v>
      </c>
      <c r="H22" s="1248">
        <v>0</v>
      </c>
      <c r="I22" s="1248">
        <v>2846</v>
      </c>
      <c r="J22" s="1248">
        <v>1734444</v>
      </c>
      <c r="K22" s="1248">
        <v>0</v>
      </c>
      <c r="L22" s="1248">
        <v>1003626</v>
      </c>
      <c r="M22" s="1248">
        <v>730818</v>
      </c>
      <c r="N22" s="1248">
        <v>0</v>
      </c>
      <c r="O22" s="1248">
        <v>165168.23000000001</v>
      </c>
      <c r="P22" s="1248">
        <v>165168.22616399999</v>
      </c>
      <c r="Q22" s="1248">
        <v>-2561.1799999999998</v>
      </c>
      <c r="R22" s="1248">
        <v>-2561.1799999999998</v>
      </c>
      <c r="S22" s="1248">
        <v>1</v>
      </c>
      <c r="T22" s="1248">
        <v>1</v>
      </c>
      <c r="U22" s="1248">
        <v>2846</v>
      </c>
      <c r="V22" s="1248">
        <v>-30.91</v>
      </c>
      <c r="W22" s="1248">
        <v>374112.01</v>
      </c>
      <c r="X22" s="1248">
        <v>83986</v>
      </c>
      <c r="Y22" s="1248">
        <v>0</v>
      </c>
      <c r="Z22" s="1248">
        <v>83986</v>
      </c>
      <c r="AA22" s="1248">
        <v>6928000</v>
      </c>
      <c r="AB22" s="1248">
        <v>-1287</v>
      </c>
      <c r="AC22" s="1251">
        <f t="shared" ref="AC22:AC29" si="8">J22+AA22</f>
        <v>8662444</v>
      </c>
    </row>
    <row r="23" spans="1:31">
      <c r="A23" s="1152"/>
      <c r="B23" s="1152"/>
      <c r="C23" s="1153"/>
      <c r="D23" s="1151" t="s">
        <v>1627</v>
      </c>
      <c r="E23" s="1248">
        <v>1</v>
      </c>
      <c r="F23" s="1248">
        <v>10512</v>
      </c>
      <c r="G23" s="1248">
        <v>3070</v>
      </c>
      <c r="H23" s="1248">
        <v>0</v>
      </c>
      <c r="I23" s="1248">
        <v>3070</v>
      </c>
      <c r="J23" s="1248">
        <v>1491547</v>
      </c>
      <c r="K23" s="1248">
        <v>0</v>
      </c>
      <c r="L23" s="1248">
        <v>1108589</v>
      </c>
      <c r="M23" s="1248">
        <v>382958</v>
      </c>
      <c r="N23" s="1248">
        <v>0</v>
      </c>
      <c r="O23" s="1248">
        <v>171651.78</v>
      </c>
      <c r="P23" s="1248">
        <v>171651.77807100001</v>
      </c>
      <c r="Q23" s="1248">
        <v>-2426.9299999999998</v>
      </c>
      <c r="R23" s="1248">
        <v>-2426.9299999999998</v>
      </c>
      <c r="S23" s="1248">
        <v>1</v>
      </c>
      <c r="T23" s="1248">
        <v>1</v>
      </c>
      <c r="U23" s="1248">
        <v>3070</v>
      </c>
      <c r="V23" s="1248">
        <v>-4.03</v>
      </c>
      <c r="W23" s="1248">
        <v>395172.01</v>
      </c>
      <c r="X23" s="1248">
        <v>109251</v>
      </c>
      <c r="Y23" s="1248">
        <v>0</v>
      </c>
      <c r="Z23" s="1248">
        <v>109251</v>
      </c>
      <c r="AA23" s="1248">
        <v>7318000</v>
      </c>
      <c r="AB23" s="1248">
        <v>-235</v>
      </c>
      <c r="AC23" s="1251">
        <f t="shared" si="8"/>
        <v>8809547</v>
      </c>
    </row>
    <row r="24" spans="1:31">
      <c r="A24" s="1152"/>
      <c r="B24" s="1152"/>
      <c r="C24" s="1150" t="s">
        <v>1625</v>
      </c>
      <c r="D24" s="1151" t="s">
        <v>1621</v>
      </c>
      <c r="E24" s="1248">
        <v>1</v>
      </c>
      <c r="F24" s="1248">
        <v>7427</v>
      </c>
      <c r="G24" s="1248">
        <v>0</v>
      </c>
      <c r="H24" s="1248">
        <v>0</v>
      </c>
      <c r="I24" s="1248">
        <v>0</v>
      </c>
      <c r="J24" s="1248">
        <v>686137</v>
      </c>
      <c r="K24" s="1248">
        <v>0</v>
      </c>
      <c r="L24" s="1248">
        <v>208743</v>
      </c>
      <c r="M24" s="1248">
        <v>477394</v>
      </c>
      <c r="N24" s="1248">
        <v>0</v>
      </c>
      <c r="O24" s="1248">
        <v>63925.03</v>
      </c>
      <c r="P24" s="1248">
        <v>63925.028477</v>
      </c>
      <c r="Q24" s="1248">
        <v>-652.55999999999995</v>
      </c>
      <c r="R24" s="1248">
        <v>-652.55999999999995</v>
      </c>
      <c r="S24" s="1248">
        <v>0</v>
      </c>
      <c r="T24" s="1248">
        <v>1</v>
      </c>
      <c r="U24" s="1248">
        <v>0</v>
      </c>
      <c r="V24" s="1248">
        <v>-16326.69</v>
      </c>
      <c r="W24" s="1248">
        <v>249264.01</v>
      </c>
      <c r="X24" s="1248">
        <v>33333</v>
      </c>
      <c r="Y24" s="1248">
        <v>0</v>
      </c>
      <c r="Z24" s="1248">
        <v>33333</v>
      </c>
      <c r="AA24" s="1248">
        <v>4616000</v>
      </c>
      <c r="AB24" s="1248">
        <v>-662490</v>
      </c>
      <c r="AC24" s="1251">
        <f t="shared" si="8"/>
        <v>5302137</v>
      </c>
    </row>
    <row r="25" spans="1:31">
      <c r="A25" s="1152"/>
      <c r="B25" s="1152"/>
      <c r="C25" s="1152"/>
      <c r="D25" s="1151" t="s">
        <v>1624</v>
      </c>
      <c r="E25" s="1248">
        <v>1</v>
      </c>
      <c r="F25" s="1248">
        <v>7924</v>
      </c>
      <c r="G25" s="1248">
        <v>608</v>
      </c>
      <c r="H25" s="1248">
        <v>0</v>
      </c>
      <c r="I25" s="1248">
        <v>608</v>
      </c>
      <c r="J25" s="1248">
        <v>393408</v>
      </c>
      <c r="K25" s="1248">
        <v>0</v>
      </c>
      <c r="L25" s="1248">
        <v>158358</v>
      </c>
      <c r="M25" s="1248">
        <v>235050</v>
      </c>
      <c r="N25" s="1248">
        <v>0</v>
      </c>
      <c r="O25" s="1248">
        <v>56387.25</v>
      </c>
      <c r="P25" s="1248">
        <v>56387.244312000003</v>
      </c>
      <c r="Q25" s="1248">
        <v>-557.76</v>
      </c>
      <c r="R25" s="1248">
        <v>-557.76</v>
      </c>
      <c r="S25" s="1248">
        <v>0</v>
      </c>
      <c r="T25" s="1248">
        <v>1</v>
      </c>
      <c r="U25" s="1248">
        <v>608</v>
      </c>
      <c r="V25" s="1248">
        <v>-25069.38</v>
      </c>
      <c r="W25" s="1248">
        <v>282366.01</v>
      </c>
      <c r="X25" s="1248">
        <v>14520</v>
      </c>
      <c r="Y25" s="1248">
        <v>0</v>
      </c>
      <c r="Z25" s="1248">
        <v>14520</v>
      </c>
      <c r="AA25" s="1248">
        <v>5229000</v>
      </c>
      <c r="AB25" s="1248">
        <v>-1008909</v>
      </c>
      <c r="AC25" s="1251">
        <f t="shared" si="8"/>
        <v>5622408</v>
      </c>
    </row>
    <row r="26" spans="1:31">
      <c r="A26" s="1152"/>
      <c r="B26" s="1152"/>
      <c r="C26" s="1153"/>
      <c r="D26" s="1151" t="s">
        <v>1627</v>
      </c>
      <c r="E26" s="1248">
        <v>1</v>
      </c>
      <c r="F26" s="1248">
        <v>6812</v>
      </c>
      <c r="G26" s="1248">
        <v>0</v>
      </c>
      <c r="H26" s="1248">
        <v>0</v>
      </c>
      <c r="I26" s="1248">
        <v>0</v>
      </c>
      <c r="J26" s="1248">
        <v>78375</v>
      </c>
      <c r="K26" s="1248">
        <v>0</v>
      </c>
      <c r="L26" s="1248">
        <v>72337</v>
      </c>
      <c r="M26" s="1248">
        <v>6038</v>
      </c>
      <c r="N26" s="1248">
        <v>0</v>
      </c>
      <c r="O26" s="1248">
        <v>35428.29</v>
      </c>
      <c r="P26" s="1248">
        <v>35428.289842999999</v>
      </c>
      <c r="Q26" s="1248">
        <v>-83.1</v>
      </c>
      <c r="R26" s="1248">
        <v>-83.1</v>
      </c>
      <c r="S26" s="1248">
        <v>0</v>
      </c>
      <c r="T26" s="1248">
        <v>1</v>
      </c>
      <c r="U26" s="1248">
        <v>0</v>
      </c>
      <c r="V26" s="1248">
        <v>-17153.47</v>
      </c>
      <c r="W26" s="1248">
        <v>298242.01</v>
      </c>
      <c r="X26" s="1248">
        <v>14843</v>
      </c>
      <c r="Y26" s="1248">
        <v>0</v>
      </c>
      <c r="Z26" s="1248">
        <v>14843</v>
      </c>
      <c r="AA26" s="1248">
        <v>5523000</v>
      </c>
      <c r="AB26" s="1248">
        <v>-952204</v>
      </c>
      <c r="AC26" s="1251">
        <f t="shared" si="8"/>
        <v>5601375</v>
      </c>
    </row>
    <row r="27" spans="1:31">
      <c r="A27" s="1152"/>
      <c r="B27" s="1152"/>
      <c r="C27" s="1150" t="s">
        <v>1626</v>
      </c>
      <c r="D27" s="1151" t="s">
        <v>1621</v>
      </c>
      <c r="E27" s="1248">
        <v>1</v>
      </c>
      <c r="F27" s="1248">
        <v>1229</v>
      </c>
      <c r="G27" s="1248">
        <v>0</v>
      </c>
      <c r="H27" s="1248">
        <v>0</v>
      </c>
      <c r="I27" s="1248">
        <v>0</v>
      </c>
      <c r="J27" s="1248">
        <v>71343</v>
      </c>
      <c r="K27" s="1248">
        <v>0</v>
      </c>
      <c r="L27" s="1248">
        <v>16735</v>
      </c>
      <c r="M27" s="1248">
        <v>54608</v>
      </c>
      <c r="N27" s="1248">
        <v>0</v>
      </c>
      <c r="O27" s="1248">
        <v>8335.6299999999992</v>
      </c>
      <c r="P27" s="1248">
        <v>8335.6297149999991</v>
      </c>
      <c r="Q27" s="1248">
        <v>-66.959999999999994</v>
      </c>
      <c r="R27" s="1248">
        <v>-66.959999999999994</v>
      </c>
      <c r="S27" s="1248">
        <v>0</v>
      </c>
      <c r="T27" s="1248">
        <v>1</v>
      </c>
      <c r="U27" s="1248">
        <v>0</v>
      </c>
      <c r="V27" s="1248">
        <v>-8273.68</v>
      </c>
      <c r="W27" s="1248">
        <v>43578.01</v>
      </c>
      <c r="X27" s="1248">
        <v>2472</v>
      </c>
      <c r="Y27" s="1248">
        <v>0</v>
      </c>
      <c r="Z27" s="1248">
        <v>2472</v>
      </c>
      <c r="AA27" s="1248">
        <v>807000</v>
      </c>
      <c r="AB27" s="1248">
        <v>-333542</v>
      </c>
      <c r="AC27" s="1251">
        <f t="shared" si="8"/>
        <v>878343</v>
      </c>
    </row>
    <row r="28" spans="1:31">
      <c r="A28" s="1152"/>
      <c r="B28" s="1152"/>
      <c r="C28" s="1152"/>
      <c r="D28" s="1151" t="s">
        <v>1624</v>
      </c>
      <c r="E28" s="1248">
        <v>1</v>
      </c>
      <c r="F28" s="1248">
        <v>1244</v>
      </c>
      <c r="G28" s="1248">
        <v>0</v>
      </c>
      <c r="H28" s="1248">
        <v>0</v>
      </c>
      <c r="I28" s="1248">
        <v>0</v>
      </c>
      <c r="J28" s="1248">
        <v>45152</v>
      </c>
      <c r="K28" s="1248">
        <v>0</v>
      </c>
      <c r="L28" s="1248">
        <v>19355</v>
      </c>
      <c r="M28" s="1248">
        <v>25797</v>
      </c>
      <c r="N28" s="1248">
        <v>0</v>
      </c>
      <c r="O28" s="1248">
        <v>7306.85</v>
      </c>
      <c r="P28" s="1248">
        <v>7306.8494199999996</v>
      </c>
      <c r="Q28" s="1248">
        <v>-43.93</v>
      </c>
      <c r="R28" s="1248">
        <v>-43.93</v>
      </c>
      <c r="S28" s="1248">
        <v>0</v>
      </c>
      <c r="T28" s="1248">
        <v>1</v>
      </c>
      <c r="U28" s="1248">
        <v>0</v>
      </c>
      <c r="V28" s="1248">
        <v>-9670.77</v>
      </c>
      <c r="W28" s="1248">
        <v>49410.01</v>
      </c>
      <c r="X28" s="1248">
        <v>1652</v>
      </c>
      <c r="Y28" s="1248">
        <v>0</v>
      </c>
      <c r="Z28" s="1248">
        <v>1652</v>
      </c>
      <c r="AA28" s="1248">
        <v>915000</v>
      </c>
      <c r="AB28" s="1248">
        <v>-388386</v>
      </c>
      <c r="AC28" s="1251">
        <f t="shared" si="8"/>
        <v>960152</v>
      </c>
    </row>
    <row r="29" spans="1:31">
      <c r="A29" s="1153"/>
      <c r="B29" s="1153"/>
      <c r="C29" s="1153"/>
      <c r="D29" s="1151" t="s">
        <v>1627</v>
      </c>
      <c r="E29" s="1248">
        <v>1</v>
      </c>
      <c r="F29" s="1248">
        <v>1221</v>
      </c>
      <c r="G29" s="1248">
        <v>0</v>
      </c>
      <c r="H29" s="1248">
        <v>0</v>
      </c>
      <c r="I29" s="1248">
        <v>0</v>
      </c>
      <c r="J29" s="1248">
        <v>10036</v>
      </c>
      <c r="K29" s="1248">
        <v>0</v>
      </c>
      <c r="L29" s="1248">
        <v>9308</v>
      </c>
      <c r="M29" s="1248">
        <v>728</v>
      </c>
      <c r="N29" s="1248">
        <v>0</v>
      </c>
      <c r="O29" s="1248">
        <v>6309.2</v>
      </c>
      <c r="P29" s="1248">
        <v>6309.1934119999996</v>
      </c>
      <c r="Q29" s="1248">
        <v>-10.65</v>
      </c>
      <c r="R29" s="1248">
        <v>-10.65</v>
      </c>
      <c r="S29" s="1248">
        <v>0</v>
      </c>
      <c r="T29" s="1248">
        <v>1</v>
      </c>
      <c r="U29" s="1248">
        <v>0</v>
      </c>
      <c r="V29" s="1248">
        <v>-6406.22</v>
      </c>
      <c r="W29" s="1248">
        <v>52164.01</v>
      </c>
      <c r="X29" s="1248">
        <v>2079</v>
      </c>
      <c r="Y29" s="1248">
        <v>0</v>
      </c>
      <c r="Z29" s="1248">
        <v>2079</v>
      </c>
      <c r="AA29" s="1248">
        <v>966000</v>
      </c>
      <c r="AB29" s="1248">
        <v>-354125</v>
      </c>
      <c r="AC29" s="1251">
        <f t="shared" si="8"/>
        <v>976036</v>
      </c>
    </row>
    <row r="30" spans="1:31">
      <c r="D30" s="1160" t="s">
        <v>1621</v>
      </c>
      <c r="E30" s="70">
        <f>E21+E24+E27</f>
        <v>3</v>
      </c>
      <c r="F30" s="70">
        <f t="shared" ref="F30:AB32" si="9">F21+F24+F27</f>
        <v>19168</v>
      </c>
      <c r="G30" s="70">
        <f t="shared" si="9"/>
        <v>2840</v>
      </c>
      <c r="H30" s="70">
        <f t="shared" si="9"/>
        <v>0</v>
      </c>
      <c r="I30" s="70">
        <f t="shared" si="9"/>
        <v>2840</v>
      </c>
      <c r="J30" s="70">
        <f t="shared" si="9"/>
        <v>3031978</v>
      </c>
      <c r="K30" s="70">
        <f t="shared" si="9"/>
        <v>0</v>
      </c>
      <c r="L30" s="70">
        <f t="shared" si="9"/>
        <v>1385957</v>
      </c>
      <c r="M30" s="70">
        <f t="shared" si="9"/>
        <v>1646021</v>
      </c>
      <c r="N30" s="70">
        <f t="shared" si="9"/>
        <v>0</v>
      </c>
      <c r="O30" s="70">
        <f t="shared" si="9"/>
        <v>266249.99</v>
      </c>
      <c r="P30" s="70">
        <f t="shared" si="9"/>
        <v>266249.983198</v>
      </c>
      <c r="Q30" s="70">
        <f t="shared" si="9"/>
        <v>-3791.24</v>
      </c>
      <c r="R30" s="70">
        <f t="shared" si="9"/>
        <v>-3791.24</v>
      </c>
      <c r="S30" s="70">
        <f t="shared" si="9"/>
        <v>1</v>
      </c>
      <c r="T30" s="70">
        <f t="shared" si="9"/>
        <v>3</v>
      </c>
      <c r="U30" s="70">
        <f t="shared" si="9"/>
        <v>2840</v>
      </c>
      <c r="V30" s="70">
        <f t="shared" si="9"/>
        <v>-24646.2</v>
      </c>
      <c r="W30" s="70">
        <f t="shared" si="9"/>
        <v>623106.03</v>
      </c>
      <c r="X30" s="70">
        <f t="shared" si="9"/>
        <v>149557</v>
      </c>
      <c r="Y30" s="70">
        <f t="shared" si="9"/>
        <v>0</v>
      </c>
      <c r="Z30" s="70">
        <f t="shared" si="9"/>
        <v>149557</v>
      </c>
      <c r="AA30" s="70">
        <f t="shared" si="9"/>
        <v>11539000</v>
      </c>
      <c r="AB30" s="70">
        <f t="shared" si="9"/>
        <v>-997940</v>
      </c>
      <c r="AC30" s="1256">
        <f t="shared" ref="AC30" si="10">AC21+AC24+AC27</f>
        <v>14570978</v>
      </c>
    </row>
    <row r="31" spans="1:31">
      <c r="D31" s="1160" t="s">
        <v>1624</v>
      </c>
      <c r="E31" s="70">
        <f t="shared" ref="E31:T32" si="11">E22+E25+E28</f>
        <v>3</v>
      </c>
      <c r="F31" s="70">
        <f t="shared" si="11"/>
        <v>19680</v>
      </c>
      <c r="G31" s="70">
        <f t="shared" si="11"/>
        <v>3454</v>
      </c>
      <c r="H31" s="70">
        <f t="shared" si="11"/>
        <v>0</v>
      </c>
      <c r="I31" s="70">
        <f t="shared" si="11"/>
        <v>3454</v>
      </c>
      <c r="J31" s="70">
        <f t="shared" si="11"/>
        <v>2173004</v>
      </c>
      <c r="K31" s="70">
        <f t="shared" si="11"/>
        <v>0</v>
      </c>
      <c r="L31" s="70">
        <f t="shared" si="11"/>
        <v>1181339</v>
      </c>
      <c r="M31" s="70">
        <f t="shared" si="11"/>
        <v>991665</v>
      </c>
      <c r="N31" s="70">
        <f t="shared" si="11"/>
        <v>0</v>
      </c>
      <c r="O31" s="70">
        <f t="shared" si="11"/>
        <v>228862.33000000002</v>
      </c>
      <c r="P31" s="70">
        <f t="shared" si="11"/>
        <v>228862.319896</v>
      </c>
      <c r="Q31" s="70">
        <f t="shared" si="11"/>
        <v>-3162.8699999999994</v>
      </c>
      <c r="R31" s="70">
        <f t="shared" si="11"/>
        <v>-3162.8699999999994</v>
      </c>
      <c r="S31" s="70">
        <f t="shared" si="11"/>
        <v>1</v>
      </c>
      <c r="T31" s="70">
        <f t="shared" si="11"/>
        <v>3</v>
      </c>
      <c r="U31" s="70">
        <f t="shared" si="9"/>
        <v>3454</v>
      </c>
      <c r="V31" s="70">
        <f t="shared" si="9"/>
        <v>-34771.06</v>
      </c>
      <c r="W31" s="70">
        <f t="shared" si="9"/>
        <v>705888.03</v>
      </c>
      <c r="X31" s="70">
        <f t="shared" si="9"/>
        <v>100158</v>
      </c>
      <c r="Y31" s="70">
        <f t="shared" si="9"/>
        <v>0</v>
      </c>
      <c r="Z31" s="70">
        <f t="shared" si="9"/>
        <v>100158</v>
      </c>
      <c r="AA31" s="70">
        <f t="shared" si="9"/>
        <v>13072000</v>
      </c>
      <c r="AB31" s="70">
        <f t="shared" si="9"/>
        <v>-1398582</v>
      </c>
      <c r="AC31" s="1256">
        <f t="shared" ref="AC31" si="12">AC22+AC25+AC28</f>
        <v>15245004</v>
      </c>
    </row>
    <row r="32" spans="1:31">
      <c r="D32" s="1160" t="s">
        <v>1627</v>
      </c>
      <c r="E32" s="70">
        <f t="shared" si="11"/>
        <v>3</v>
      </c>
      <c r="F32" s="70">
        <f t="shared" si="9"/>
        <v>18545</v>
      </c>
      <c r="G32" s="70">
        <f t="shared" si="9"/>
        <v>3070</v>
      </c>
      <c r="H32" s="70">
        <f t="shared" si="9"/>
        <v>0</v>
      </c>
      <c r="I32" s="70">
        <f t="shared" si="9"/>
        <v>3070</v>
      </c>
      <c r="J32" s="70">
        <f t="shared" si="9"/>
        <v>1579958</v>
      </c>
      <c r="K32" s="70">
        <f t="shared" si="9"/>
        <v>0</v>
      </c>
      <c r="L32" s="70">
        <f t="shared" si="9"/>
        <v>1190234</v>
      </c>
      <c r="M32" s="70">
        <f t="shared" si="9"/>
        <v>389724</v>
      </c>
      <c r="N32" s="70">
        <f t="shared" si="9"/>
        <v>0</v>
      </c>
      <c r="O32" s="70">
        <f t="shared" si="9"/>
        <v>213389.27000000002</v>
      </c>
      <c r="P32" s="70">
        <f t="shared" si="9"/>
        <v>213389.26132600001</v>
      </c>
      <c r="Q32" s="70">
        <f t="shared" si="9"/>
        <v>-2520.6799999999998</v>
      </c>
      <c r="R32" s="70">
        <f t="shared" si="9"/>
        <v>-2520.6799999999998</v>
      </c>
      <c r="S32" s="70">
        <f t="shared" si="9"/>
        <v>1</v>
      </c>
      <c r="T32" s="70">
        <f t="shared" si="9"/>
        <v>3</v>
      </c>
      <c r="U32" s="70">
        <f t="shared" si="9"/>
        <v>3070</v>
      </c>
      <c r="V32" s="70">
        <f t="shared" si="9"/>
        <v>-23563.72</v>
      </c>
      <c r="W32" s="70">
        <f t="shared" si="9"/>
        <v>745578.03</v>
      </c>
      <c r="X32" s="70">
        <f t="shared" si="9"/>
        <v>126173</v>
      </c>
      <c r="Y32" s="70">
        <f t="shared" si="9"/>
        <v>0</v>
      </c>
      <c r="Z32" s="70">
        <f t="shared" si="9"/>
        <v>126173</v>
      </c>
      <c r="AA32" s="70">
        <f t="shared" si="9"/>
        <v>13807000</v>
      </c>
      <c r="AB32" s="70">
        <f t="shared" si="9"/>
        <v>-1306564</v>
      </c>
      <c r="AC32" s="1256">
        <f t="shared" ref="AC32" si="13">AC23+AC26+AC29</f>
        <v>15386958</v>
      </c>
    </row>
    <row r="33" spans="4:29">
      <c r="D33" s="1160" t="s">
        <v>93</v>
      </c>
      <c r="E33" s="70">
        <f>SUM(E30:E32)</f>
        <v>9</v>
      </c>
      <c r="F33" s="70">
        <f t="shared" ref="F33:AC33" si="14">SUM(F30:F32)</f>
        <v>57393</v>
      </c>
      <c r="G33" s="70">
        <f t="shared" si="14"/>
        <v>9364</v>
      </c>
      <c r="H33" s="70">
        <f t="shared" si="14"/>
        <v>0</v>
      </c>
      <c r="I33" s="70">
        <f t="shared" si="14"/>
        <v>9364</v>
      </c>
      <c r="J33" s="70">
        <f t="shared" si="14"/>
        <v>6784940</v>
      </c>
      <c r="K33" s="70">
        <f t="shared" si="14"/>
        <v>0</v>
      </c>
      <c r="L33" s="70">
        <f t="shared" si="14"/>
        <v>3757530</v>
      </c>
      <c r="M33" s="70">
        <f t="shared" si="14"/>
        <v>3027410</v>
      </c>
      <c r="N33" s="70">
        <f t="shared" si="14"/>
        <v>0</v>
      </c>
      <c r="O33" s="70">
        <f t="shared" si="14"/>
        <v>708501.59000000008</v>
      </c>
      <c r="P33" s="70">
        <f t="shared" si="14"/>
        <v>708501.56441999995</v>
      </c>
      <c r="Q33" s="70">
        <f t="shared" si="14"/>
        <v>-9474.7899999999991</v>
      </c>
      <c r="R33" s="70">
        <f t="shared" si="14"/>
        <v>-9474.7899999999991</v>
      </c>
      <c r="S33" s="70">
        <f t="shared" si="14"/>
        <v>3</v>
      </c>
      <c r="T33" s="70">
        <f t="shared" si="14"/>
        <v>9</v>
      </c>
      <c r="U33" s="70">
        <f t="shared" si="14"/>
        <v>9364</v>
      </c>
      <c r="V33" s="70">
        <f t="shared" si="14"/>
        <v>-82980.98</v>
      </c>
      <c r="W33" s="70">
        <f t="shared" si="14"/>
        <v>2074572.09</v>
      </c>
      <c r="X33" s="70">
        <f t="shared" si="14"/>
        <v>375888</v>
      </c>
      <c r="Y33" s="70">
        <f t="shared" si="14"/>
        <v>0</v>
      </c>
      <c r="Z33" s="70">
        <f t="shared" si="14"/>
        <v>375888</v>
      </c>
      <c r="AA33" s="70">
        <f t="shared" si="14"/>
        <v>38418000</v>
      </c>
      <c r="AB33" s="70">
        <f t="shared" si="14"/>
        <v>-3703086</v>
      </c>
      <c r="AC33" s="1256">
        <f t="shared" si="14"/>
        <v>45202940</v>
      </c>
    </row>
    <row r="34" spans="4:29">
      <c r="D34" s="1160" t="s">
        <v>1629</v>
      </c>
      <c r="E34" s="70"/>
      <c r="F34" s="70">
        <f>AVERAGE(F31:F32)</f>
        <v>19112.5</v>
      </c>
      <c r="G34" s="70">
        <f t="shared" ref="G34:AA34" si="15">AVERAGE(G31:G32)</f>
        <v>3262</v>
      </c>
      <c r="H34" s="70">
        <f t="shared" si="15"/>
        <v>0</v>
      </c>
      <c r="I34" s="70">
        <f t="shared" si="15"/>
        <v>3262</v>
      </c>
      <c r="J34" s="70">
        <f t="shared" si="15"/>
        <v>1876481</v>
      </c>
      <c r="K34" s="70">
        <f t="shared" si="15"/>
        <v>0</v>
      </c>
      <c r="L34" s="70">
        <f t="shared" si="15"/>
        <v>1185786.5</v>
      </c>
      <c r="M34" s="70">
        <f t="shared" si="15"/>
        <v>690694.5</v>
      </c>
      <c r="N34" s="70">
        <f t="shared" si="15"/>
        <v>0</v>
      </c>
      <c r="O34" s="70">
        <f t="shared" si="15"/>
        <v>221125.80000000002</v>
      </c>
      <c r="P34" s="70">
        <f t="shared" si="15"/>
        <v>221125.790611</v>
      </c>
      <c r="Q34" s="70">
        <f t="shared" si="15"/>
        <v>-2841.7749999999996</v>
      </c>
      <c r="R34" s="70">
        <f t="shared" si="15"/>
        <v>-2841.7749999999996</v>
      </c>
      <c r="S34" s="70">
        <f t="shared" si="15"/>
        <v>1</v>
      </c>
      <c r="T34" s="70">
        <f t="shared" si="15"/>
        <v>3</v>
      </c>
      <c r="U34" s="70">
        <f t="shared" si="15"/>
        <v>3262</v>
      </c>
      <c r="V34" s="70">
        <f t="shared" si="15"/>
        <v>-29167.39</v>
      </c>
      <c r="W34" s="70">
        <f t="shared" si="15"/>
        <v>725733.03</v>
      </c>
      <c r="X34" s="70">
        <f t="shared" si="15"/>
        <v>113165.5</v>
      </c>
      <c r="Y34" s="70">
        <f t="shared" si="15"/>
        <v>0</v>
      </c>
      <c r="Z34" s="70">
        <f t="shared" si="15"/>
        <v>113165.5</v>
      </c>
      <c r="AA34" s="70">
        <f t="shared" si="15"/>
        <v>13439500</v>
      </c>
      <c r="AB34" s="70">
        <f>AVERAGE(AB31:AB32)</f>
        <v>-1352573</v>
      </c>
      <c r="AC34" s="1256">
        <f>AVERAGE(AC31:AC32)</f>
        <v>15315981</v>
      </c>
    </row>
  </sheetData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26"/>
  <sheetViews>
    <sheetView topLeftCell="A14" zoomScale="90" zoomScaleNormal="90" workbookViewId="0">
      <pane xSplit="1" ySplit="3" topLeftCell="B17" activePane="bottomRight" state="frozen"/>
      <selection activeCell="W28" sqref="W28"/>
      <selection pane="topRight" activeCell="W28" sqref="W28"/>
      <selection pane="bottomLeft" activeCell="W28" sqref="W28"/>
      <selection pane="bottomRight" activeCell="G37" sqref="G37"/>
    </sheetView>
  </sheetViews>
  <sheetFormatPr defaultRowHeight="15.75"/>
  <cols>
    <col min="1" max="1" width="32.75" customWidth="1"/>
    <col min="2" max="2" width="11.125" bestFit="1" customWidth="1"/>
  </cols>
  <sheetData>
    <row r="1" spans="1:2" ht="16.5" thickBot="1">
      <c r="A1" s="1119" t="s">
        <v>1456</v>
      </c>
    </row>
    <row r="2" spans="1:2">
      <c r="A2" t="s">
        <v>1457</v>
      </c>
    </row>
    <row r="3" spans="1:2">
      <c r="A3" t="s">
        <v>1458</v>
      </c>
    </row>
    <row r="4" spans="1:2">
      <c r="A4" t="s">
        <v>1459</v>
      </c>
    </row>
    <row r="5" spans="1:2">
      <c r="A5" s="1120" t="s">
        <v>1460</v>
      </c>
    </row>
    <row r="6" spans="1:2">
      <c r="A6" t="s">
        <v>1461</v>
      </c>
    </row>
    <row r="7" spans="1:2">
      <c r="A7" s="1121" t="s">
        <v>1462</v>
      </c>
    </row>
    <row r="8" spans="1:2">
      <c r="A8" s="1121" t="s">
        <v>1463</v>
      </c>
    </row>
    <row r="9" spans="1:2">
      <c r="A9" t="s">
        <v>1464</v>
      </c>
    </row>
    <row r="10" spans="1:2">
      <c r="A10" t="s">
        <v>1465</v>
      </c>
    </row>
    <row r="11" spans="1:2">
      <c r="A11" s="1121" t="s">
        <v>1466</v>
      </c>
    </row>
    <row r="12" spans="1:2">
      <c r="A12" s="1122" t="s">
        <v>1467</v>
      </c>
    </row>
    <row r="13" spans="1:2">
      <c r="A13" t="s">
        <v>1468</v>
      </c>
    </row>
    <row r="15" spans="1:2" ht="16.5" thickBot="1">
      <c r="A15" s="1120" t="s">
        <v>1340</v>
      </c>
    </row>
    <row r="16" spans="1:2" ht="16.5" thickBot="1">
      <c r="A16" s="1123" t="s">
        <v>1469</v>
      </c>
      <c r="B16" s="1124">
        <v>2021</v>
      </c>
    </row>
    <row r="17" spans="1:2">
      <c r="A17" s="1127" t="s">
        <v>1471</v>
      </c>
      <c r="B17" s="1128">
        <v>34972.774371958003</v>
      </c>
    </row>
    <row r="18" spans="1:2">
      <c r="A18" s="1127" t="s">
        <v>1472</v>
      </c>
      <c r="B18" s="1128">
        <v>285328.59567492158</v>
      </c>
    </row>
    <row r="19" spans="1:2">
      <c r="A19" s="1127" t="s">
        <v>1473</v>
      </c>
      <c r="B19" s="1128">
        <v>0</v>
      </c>
    </row>
    <row r="20" spans="1:2">
      <c r="A20" s="1127" t="s">
        <v>1474</v>
      </c>
      <c r="B20" s="1128">
        <v>-78071.370046879572</v>
      </c>
    </row>
    <row r="21" spans="1:2">
      <c r="A21" s="1126"/>
      <c r="B21" s="1126"/>
    </row>
    <row r="22" spans="1:2">
      <c r="A22" s="1127" t="s">
        <v>1475</v>
      </c>
      <c r="B22" s="1129">
        <v>1888529.8160857321</v>
      </c>
    </row>
    <row r="23" spans="1:2">
      <c r="A23" s="1127" t="s">
        <v>1476</v>
      </c>
      <c r="B23" s="1129">
        <v>11139228.375148939</v>
      </c>
    </row>
    <row r="24" spans="1:2">
      <c r="A24" s="1127" t="s">
        <v>1477</v>
      </c>
      <c r="B24" s="1129">
        <v>-2342141.1014063871</v>
      </c>
    </row>
    <row r="25" spans="1:2">
      <c r="A25" s="1127"/>
      <c r="B25" s="1129"/>
    </row>
    <row r="26" spans="1:2">
      <c r="A26" s="1127" t="s">
        <v>1478</v>
      </c>
      <c r="B26" s="1129">
        <v>13027758.191234671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rgb="FF92D050"/>
  </sheetPr>
  <dimension ref="A1:AN28"/>
  <sheetViews>
    <sheetView workbookViewId="0">
      <selection activeCell="A2" sqref="A2"/>
    </sheetView>
  </sheetViews>
  <sheetFormatPr defaultColWidth="9.625" defaultRowHeight="15.75"/>
  <cols>
    <col min="1" max="1" width="11.125" style="779" bestFit="1" customWidth="1"/>
    <col min="2" max="2" width="1.625" style="779" customWidth="1"/>
    <col min="3" max="3" width="12.125" style="779" bestFit="1" customWidth="1"/>
    <col min="4" max="4" width="14.125" style="779" bestFit="1" customWidth="1"/>
    <col min="5" max="5" width="1.625" style="779" customWidth="1"/>
    <col min="6" max="6" width="8.125" style="779" bestFit="1" customWidth="1"/>
    <col min="7" max="8" width="10.125" style="779" bestFit="1" customWidth="1"/>
    <col min="9" max="9" width="13.125" style="779" bestFit="1" customWidth="1"/>
    <col min="10" max="10" width="1.625" style="779" customWidth="1"/>
    <col min="11" max="11" width="10.125" style="779" bestFit="1" customWidth="1"/>
    <col min="12" max="12" width="11.125" style="779" bestFit="1" customWidth="1"/>
    <col min="13" max="13" width="14.125" style="779" bestFit="1" customWidth="1"/>
    <col min="14" max="14" width="1.625" style="779" customWidth="1"/>
    <col min="15" max="15" width="12.125" style="779" bestFit="1" customWidth="1"/>
    <col min="16" max="16" width="10.125" style="779" bestFit="1" customWidth="1"/>
    <col min="17" max="17" width="14.125" style="779" bestFit="1" customWidth="1"/>
    <col min="18" max="18" width="1.625" style="779" customWidth="1"/>
    <col min="19" max="19" width="12.125" style="779" bestFit="1" customWidth="1"/>
    <col min="20" max="20" width="10.125" style="779" bestFit="1" customWidth="1"/>
    <col min="21" max="21" width="13.125" style="779" bestFit="1" customWidth="1"/>
    <col min="22" max="22" width="1.625" style="779" customWidth="1"/>
    <col min="23" max="23" width="6.625" style="779" bestFit="1" customWidth="1"/>
    <col min="24" max="24" width="13.625" style="779" bestFit="1" customWidth="1"/>
    <col min="25" max="25" width="1.625" style="779" customWidth="1"/>
    <col min="26" max="26" width="6" style="779" bestFit="1" customWidth="1"/>
    <col min="27" max="27" width="11.5" style="779" bestFit="1" customWidth="1"/>
    <col min="28" max="28" width="6" style="779" bestFit="1" customWidth="1"/>
    <col min="29" max="29" width="9.5" style="779" bestFit="1" customWidth="1"/>
    <col min="30" max="30" width="6" style="779" bestFit="1" customWidth="1"/>
    <col min="31" max="31" width="10.5" style="779" bestFit="1" customWidth="1"/>
    <col min="32" max="32" width="8.125" style="779" bestFit="1" customWidth="1"/>
    <col min="33" max="33" width="1.625" style="779" customWidth="1"/>
    <col min="34" max="34" width="14.125" style="779" bestFit="1" customWidth="1"/>
    <col min="35" max="40" width="9.625" style="779"/>
    <col min="41" max="16384" width="9.625" style="780"/>
  </cols>
  <sheetData>
    <row r="1" spans="1:34">
      <c r="A1" s="777" t="s">
        <v>1733</v>
      </c>
      <c r="B1" s="778"/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  <c r="Y1" s="778"/>
      <c r="Z1" s="778"/>
      <c r="AA1" s="778"/>
      <c r="AB1" s="778"/>
      <c r="AC1" s="778"/>
      <c r="AD1" s="778"/>
      <c r="AE1" s="778"/>
      <c r="AF1" s="778"/>
      <c r="AG1" s="778"/>
      <c r="AH1" s="778"/>
    </row>
    <row r="2" spans="1:34">
      <c r="A2" s="777" t="s">
        <v>1123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</row>
    <row r="3" spans="1:34">
      <c r="A3" s="780"/>
      <c r="AH3" s="781" t="s">
        <v>1127</v>
      </c>
    </row>
    <row r="4" spans="1:34">
      <c r="A4" s="782" t="s">
        <v>1124</v>
      </c>
      <c r="C4" s="777" t="s">
        <v>1125</v>
      </c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777"/>
      <c r="T4" s="777"/>
      <c r="U4" s="777"/>
      <c r="V4" s="777"/>
      <c r="W4" s="778"/>
      <c r="X4" s="778"/>
      <c r="Z4" s="777" t="s">
        <v>1139</v>
      </c>
      <c r="AA4" s="778"/>
      <c r="AB4" s="777"/>
      <c r="AC4" s="778"/>
      <c r="AD4" s="778"/>
      <c r="AE4" s="778"/>
      <c r="AF4" s="778"/>
      <c r="AG4" s="909"/>
      <c r="AH4" s="782" t="s">
        <v>1130</v>
      </c>
    </row>
    <row r="5" spans="1:34">
      <c r="A5" s="782"/>
      <c r="C5" s="1217"/>
      <c r="D5" s="1218"/>
      <c r="E5" s="1218"/>
      <c r="F5" s="1218" t="s">
        <v>1140</v>
      </c>
      <c r="G5" s="1219" t="s">
        <v>925</v>
      </c>
      <c r="H5" s="1219"/>
      <c r="I5" s="1219"/>
      <c r="J5" s="1218"/>
      <c r="K5" s="1219" t="s">
        <v>926</v>
      </c>
      <c r="L5" s="1219"/>
      <c r="M5" s="1219"/>
      <c r="N5" s="1218"/>
      <c r="O5" s="1219" t="s">
        <v>1141</v>
      </c>
      <c r="P5" s="1219"/>
      <c r="Q5" s="1219"/>
      <c r="R5" s="1219"/>
      <c r="S5" s="1219"/>
      <c r="T5" s="1219"/>
      <c r="U5" s="1219"/>
      <c r="V5" s="1220"/>
      <c r="W5" s="1219" t="s">
        <v>1241</v>
      </c>
      <c r="X5" s="1221"/>
      <c r="Y5" s="782"/>
      <c r="Z5" s="1222" t="s">
        <v>1131</v>
      </c>
      <c r="AA5" s="1223"/>
      <c r="AB5" s="1219" t="s">
        <v>1142</v>
      </c>
      <c r="AC5" s="1223"/>
      <c r="AD5" s="1219" t="s">
        <v>1132</v>
      </c>
      <c r="AE5" s="1223"/>
      <c r="AF5" s="1224" t="s">
        <v>1133</v>
      </c>
      <c r="AG5" s="782"/>
      <c r="AH5" s="782" t="s">
        <v>1134</v>
      </c>
    </row>
    <row r="6" spans="1:34">
      <c r="A6" s="782"/>
      <c r="C6" s="910" t="s">
        <v>799</v>
      </c>
      <c r="D6" s="911" t="s">
        <v>1135</v>
      </c>
      <c r="E6" s="911"/>
      <c r="F6" s="911" t="s">
        <v>1137</v>
      </c>
      <c r="G6" s="911" t="s">
        <v>1143</v>
      </c>
      <c r="H6" s="911" t="s">
        <v>1136</v>
      </c>
      <c r="I6" s="911" t="s">
        <v>1137</v>
      </c>
      <c r="J6" s="911"/>
      <c r="K6" s="911" t="s">
        <v>1143</v>
      </c>
      <c r="L6" s="911" t="s">
        <v>1136</v>
      </c>
      <c r="M6" s="911" t="s">
        <v>1137</v>
      </c>
      <c r="N6" s="911"/>
      <c r="O6" s="911" t="s">
        <v>1144</v>
      </c>
      <c r="P6" s="911" t="s">
        <v>1136</v>
      </c>
      <c r="Q6" s="911" t="s">
        <v>1137</v>
      </c>
      <c r="R6" s="911"/>
      <c r="S6" s="911" t="s">
        <v>1145</v>
      </c>
      <c r="T6" s="911" t="s">
        <v>1136</v>
      </c>
      <c r="U6" s="911" t="s">
        <v>1137</v>
      </c>
      <c r="V6" s="911"/>
      <c r="W6" s="911" t="s">
        <v>1136</v>
      </c>
      <c r="X6" s="912" t="s">
        <v>1137</v>
      </c>
      <c r="Y6" s="782"/>
      <c r="Z6" s="910" t="s">
        <v>1136</v>
      </c>
      <c r="AA6" s="911" t="s">
        <v>1137</v>
      </c>
      <c r="AB6" s="911" t="s">
        <v>1136</v>
      </c>
      <c r="AC6" s="911" t="s">
        <v>1137</v>
      </c>
      <c r="AD6" s="911" t="s">
        <v>1136</v>
      </c>
      <c r="AE6" s="911" t="s">
        <v>1137</v>
      </c>
      <c r="AF6" s="912" t="s">
        <v>1137</v>
      </c>
      <c r="AG6" s="782"/>
      <c r="AH6" s="782" t="s">
        <v>1138</v>
      </c>
    </row>
    <row r="7" spans="1:34">
      <c r="A7" s="1239">
        <v>201901</v>
      </c>
      <c r="C7" s="913">
        <v>57340000</v>
      </c>
      <c r="D7" s="914">
        <v>2597449.9308000002</v>
      </c>
      <c r="E7" s="915"/>
      <c r="F7" s="760">
        <v>235.66</v>
      </c>
      <c r="G7" s="793">
        <v>86130</v>
      </c>
      <c r="H7" s="757">
        <v>1.95</v>
      </c>
      <c r="I7" s="758">
        <v>167953.5</v>
      </c>
      <c r="J7" s="916"/>
      <c r="K7" s="917">
        <v>86130</v>
      </c>
      <c r="L7" s="757">
        <v>8.81</v>
      </c>
      <c r="M7" s="758">
        <v>758805.3</v>
      </c>
      <c r="N7" s="916"/>
      <c r="O7" s="793">
        <v>26298402</v>
      </c>
      <c r="P7" s="757">
        <v>3.3610000000000001E-2</v>
      </c>
      <c r="Q7" s="758">
        <v>883889.29</v>
      </c>
      <c r="R7" s="916"/>
      <c r="S7" s="793">
        <v>31041598</v>
      </c>
      <c r="T7" s="757">
        <v>2.8060000000000002E-2</v>
      </c>
      <c r="U7" s="758">
        <v>871027.24</v>
      </c>
      <c r="V7" s="760"/>
      <c r="W7" s="918">
        <v>-3.3599999999999998E-2</v>
      </c>
      <c r="X7" s="919">
        <v>-84461.059199999989</v>
      </c>
      <c r="Z7" s="920">
        <v>1.5E-3</v>
      </c>
      <c r="AA7" s="758">
        <v>3770.58</v>
      </c>
      <c r="AB7" s="785">
        <v>2.9999999999999997E-4</v>
      </c>
      <c r="AC7" s="758">
        <v>754.12</v>
      </c>
      <c r="AD7" s="761">
        <v>1.2999999999999999E-3</v>
      </c>
      <c r="AE7" s="758">
        <v>3492.06</v>
      </c>
      <c r="AF7" s="794">
        <v>50</v>
      </c>
      <c r="AG7" s="921"/>
      <c r="AH7" s="758">
        <v>2605516.6908000004</v>
      </c>
    </row>
    <row r="8" spans="1:34">
      <c r="A8" s="1239">
        <v>201902</v>
      </c>
      <c r="C8" s="913">
        <v>49182000</v>
      </c>
      <c r="D8" s="914">
        <v>2354084.3880000003</v>
      </c>
      <c r="E8" s="915"/>
      <c r="F8" s="760">
        <v>235.66</v>
      </c>
      <c r="G8" s="793">
        <v>86130</v>
      </c>
      <c r="H8" s="757">
        <v>1.95</v>
      </c>
      <c r="I8" s="758">
        <v>167953.5</v>
      </c>
      <c r="J8" s="916"/>
      <c r="K8" s="917">
        <v>86130</v>
      </c>
      <c r="L8" s="757">
        <v>8.81</v>
      </c>
      <c r="M8" s="758">
        <v>758805.3</v>
      </c>
      <c r="N8" s="916"/>
      <c r="O8" s="793">
        <v>22169852</v>
      </c>
      <c r="P8" s="757">
        <v>3.3610000000000001E-2</v>
      </c>
      <c r="Q8" s="758">
        <v>745128.73</v>
      </c>
      <c r="R8" s="916"/>
      <c r="S8" s="793">
        <v>27012148</v>
      </c>
      <c r="T8" s="757">
        <v>2.8060000000000002E-2</v>
      </c>
      <c r="U8" s="758">
        <v>757960.87</v>
      </c>
      <c r="V8" s="760"/>
      <c r="W8" s="918">
        <v>-3.3599999999999998E-2</v>
      </c>
      <c r="X8" s="919">
        <v>-75999.671999999991</v>
      </c>
      <c r="Z8" s="920">
        <v>1.5E-3</v>
      </c>
      <c r="AA8" s="758">
        <v>3392.84</v>
      </c>
      <c r="AB8" s="785">
        <v>2.9999999999999997E-4</v>
      </c>
      <c r="AC8" s="758">
        <v>678.57</v>
      </c>
      <c r="AD8" s="761">
        <v>1.2999999999999999E-3</v>
      </c>
      <c r="AE8" s="758">
        <v>3164.1</v>
      </c>
      <c r="AF8" s="794">
        <v>50</v>
      </c>
      <c r="AG8" s="921"/>
      <c r="AH8" s="758">
        <v>2361369.898</v>
      </c>
    </row>
    <row r="9" spans="1:34">
      <c r="A9" s="1239">
        <v>201903</v>
      </c>
      <c r="C9" s="913">
        <v>45754000</v>
      </c>
      <c r="D9" s="914">
        <v>2256138.8936000001</v>
      </c>
      <c r="E9" s="915"/>
      <c r="F9" s="760">
        <v>235.66</v>
      </c>
      <c r="G9" s="793">
        <v>86970</v>
      </c>
      <c r="H9" s="757">
        <v>1.95</v>
      </c>
      <c r="I9" s="758">
        <v>169591.5</v>
      </c>
      <c r="J9" s="916"/>
      <c r="K9" s="917">
        <v>86970</v>
      </c>
      <c r="L9" s="757">
        <v>8.81</v>
      </c>
      <c r="M9" s="758">
        <v>766205.70000000007</v>
      </c>
      <c r="N9" s="916"/>
      <c r="O9" s="793">
        <v>19601102</v>
      </c>
      <c r="P9" s="757">
        <v>3.3610000000000001E-2</v>
      </c>
      <c r="Q9" s="758">
        <v>658793.04</v>
      </c>
      <c r="R9" s="916"/>
      <c r="S9" s="793">
        <v>26152898</v>
      </c>
      <c r="T9" s="757">
        <v>2.8060000000000002E-2</v>
      </c>
      <c r="U9" s="758">
        <v>733850.32</v>
      </c>
      <c r="V9" s="760"/>
      <c r="W9" s="918">
        <v>-3.3599999999999998E-2</v>
      </c>
      <c r="X9" s="919">
        <v>-72537.326399999991</v>
      </c>
      <c r="Z9" s="920">
        <v>1.5E-3</v>
      </c>
      <c r="AA9" s="758">
        <v>3238.27</v>
      </c>
      <c r="AB9" s="785">
        <v>2.9999999999999997E-4</v>
      </c>
      <c r="AC9" s="758">
        <v>647.65</v>
      </c>
      <c r="AD9" s="761">
        <v>1.2999999999999999E-3</v>
      </c>
      <c r="AE9" s="758">
        <v>3032.02</v>
      </c>
      <c r="AF9" s="794">
        <v>50</v>
      </c>
      <c r="AG9" s="921"/>
      <c r="AH9" s="758">
        <v>2263106.8336</v>
      </c>
    </row>
    <row r="10" spans="1:34">
      <c r="A10" s="1239">
        <v>201904</v>
      </c>
      <c r="C10" s="913">
        <v>52401000</v>
      </c>
      <c r="D10" s="914">
        <v>2453143.9476000001</v>
      </c>
      <c r="E10" s="915"/>
      <c r="F10" s="760">
        <v>235.66</v>
      </c>
      <c r="G10" s="793">
        <v>86100</v>
      </c>
      <c r="H10" s="757">
        <v>1.95</v>
      </c>
      <c r="I10" s="758">
        <v>167895</v>
      </c>
      <c r="J10" s="916"/>
      <c r="K10" s="917">
        <v>86100</v>
      </c>
      <c r="L10" s="757">
        <v>8.81</v>
      </c>
      <c r="M10" s="758">
        <v>758541</v>
      </c>
      <c r="N10" s="916"/>
      <c r="O10" s="793">
        <v>24422711</v>
      </c>
      <c r="P10" s="757">
        <v>3.3610000000000001E-2</v>
      </c>
      <c r="Q10" s="758">
        <v>820847.32</v>
      </c>
      <c r="R10" s="916"/>
      <c r="S10" s="793">
        <v>27978289</v>
      </c>
      <c r="T10" s="757">
        <v>2.8060000000000002E-2</v>
      </c>
      <c r="U10" s="758">
        <v>785070.79</v>
      </c>
      <c r="V10" s="760"/>
      <c r="W10" s="918">
        <v>-3.3599999999999998E-2</v>
      </c>
      <c r="X10" s="919">
        <v>-79445.82239999999</v>
      </c>
      <c r="Z10" s="920">
        <v>1.5E-3</v>
      </c>
      <c r="AA10" s="758">
        <v>3546.69</v>
      </c>
      <c r="AB10" s="785">
        <v>2.9999999999999997E-4</v>
      </c>
      <c r="AC10" s="758">
        <v>709.34</v>
      </c>
      <c r="AD10" s="761">
        <v>1.2999999999999999E-3</v>
      </c>
      <c r="AE10" s="758">
        <v>3297.59</v>
      </c>
      <c r="AF10" s="794">
        <v>50</v>
      </c>
      <c r="AG10" s="921"/>
      <c r="AH10" s="758">
        <v>2460747.5675999997</v>
      </c>
    </row>
    <row r="11" spans="1:34">
      <c r="A11" s="1239">
        <v>201905</v>
      </c>
      <c r="C11" s="913">
        <v>56454000</v>
      </c>
      <c r="D11" s="914">
        <v>3215727.148</v>
      </c>
      <c r="E11" s="915"/>
      <c r="F11" s="760">
        <v>235.66</v>
      </c>
      <c r="G11" s="793">
        <v>86130</v>
      </c>
      <c r="H11" s="757">
        <v>1.95</v>
      </c>
      <c r="I11" s="758">
        <v>167953.5</v>
      </c>
      <c r="J11" s="916"/>
      <c r="K11" s="917">
        <v>86130</v>
      </c>
      <c r="L11" s="757">
        <v>13.15</v>
      </c>
      <c r="M11" s="758">
        <v>1132609.5</v>
      </c>
      <c r="N11" s="916"/>
      <c r="O11" s="793">
        <v>26249199</v>
      </c>
      <c r="P11" s="757">
        <v>4.4699999999999997E-2</v>
      </c>
      <c r="Q11" s="758">
        <v>1173339.2</v>
      </c>
      <c r="R11" s="916"/>
      <c r="S11" s="793">
        <v>30204801</v>
      </c>
      <c r="T11" s="757">
        <v>2.8060000000000002E-2</v>
      </c>
      <c r="U11" s="758">
        <v>847546.72</v>
      </c>
      <c r="V11" s="760"/>
      <c r="W11" s="761">
        <v>-3.3599999999999998E-2</v>
      </c>
      <c r="X11" s="919">
        <v>-105957.432</v>
      </c>
      <c r="Z11" s="920">
        <v>1.2800000000000001E-2</v>
      </c>
      <c r="AA11" s="758">
        <v>40364.74</v>
      </c>
      <c r="AB11" s="785">
        <v>2.9999999999999997E-4</v>
      </c>
      <c r="AC11" s="758">
        <v>946.05</v>
      </c>
      <c r="AD11" s="761">
        <v>1.2999999999999999E-3</v>
      </c>
      <c r="AE11" s="758">
        <v>4371.59</v>
      </c>
      <c r="AF11" s="794">
        <v>50</v>
      </c>
      <c r="AG11" s="921"/>
      <c r="AH11" s="758">
        <v>3261459.5279999999</v>
      </c>
    </row>
    <row r="12" spans="1:34">
      <c r="A12" s="1239">
        <v>201906</v>
      </c>
      <c r="C12" s="913">
        <v>45464000</v>
      </c>
      <c r="D12" s="914">
        <v>2459639.6572000002</v>
      </c>
      <c r="E12" s="915"/>
      <c r="F12" s="760">
        <v>235.66</v>
      </c>
      <c r="G12" s="793">
        <v>65190</v>
      </c>
      <c r="H12" s="757">
        <v>1.95</v>
      </c>
      <c r="I12" s="758">
        <v>127120.5</v>
      </c>
      <c r="J12" s="916"/>
      <c r="K12" s="917">
        <v>65190</v>
      </c>
      <c r="L12" s="757">
        <v>13.15</v>
      </c>
      <c r="M12" s="758">
        <v>857248.5</v>
      </c>
      <c r="N12" s="916"/>
      <c r="O12" s="793">
        <v>16851231</v>
      </c>
      <c r="P12" s="757">
        <v>4.4699999999999997E-2</v>
      </c>
      <c r="Q12" s="758">
        <v>753250.03</v>
      </c>
      <c r="R12" s="916"/>
      <c r="S12" s="793">
        <v>28612769</v>
      </c>
      <c r="T12" s="757">
        <v>2.8060000000000002E-2</v>
      </c>
      <c r="U12" s="758">
        <v>802874.3</v>
      </c>
      <c r="V12" s="760"/>
      <c r="W12" s="761">
        <v>-3.3599999999999998E-2</v>
      </c>
      <c r="X12" s="919">
        <v>-81089.332799999989</v>
      </c>
      <c r="Z12" s="920">
        <v>1.2800000000000001E-2</v>
      </c>
      <c r="AA12" s="758">
        <v>30891.17</v>
      </c>
      <c r="AB12" s="785">
        <v>5.0000000000000001E-4</v>
      </c>
      <c r="AC12" s="758">
        <v>1206.69</v>
      </c>
      <c r="AD12" s="761">
        <v>1.2999999999999999E-3</v>
      </c>
      <c r="AE12" s="758">
        <v>3344.37</v>
      </c>
      <c r="AF12" s="794">
        <v>50</v>
      </c>
      <c r="AG12" s="921"/>
      <c r="AH12" s="758">
        <v>2495131.8872000002</v>
      </c>
    </row>
    <row r="13" spans="1:34">
      <c r="A13" s="1239">
        <v>201907</v>
      </c>
      <c r="C13" s="913">
        <v>49967000</v>
      </c>
      <c r="D13" s="914">
        <v>2806598.4079999998</v>
      </c>
      <c r="E13" s="916"/>
      <c r="F13" s="760">
        <v>235.66</v>
      </c>
      <c r="G13" s="793">
        <v>75300</v>
      </c>
      <c r="H13" s="757">
        <v>1.95</v>
      </c>
      <c r="I13" s="758">
        <v>146835</v>
      </c>
      <c r="J13" s="916"/>
      <c r="K13" s="917">
        <v>75300</v>
      </c>
      <c r="L13" s="757">
        <v>13.15</v>
      </c>
      <c r="M13" s="758">
        <v>990195</v>
      </c>
      <c r="N13" s="916"/>
      <c r="O13" s="793">
        <v>21618135</v>
      </c>
      <c r="P13" s="757">
        <v>4.4699999999999997E-2</v>
      </c>
      <c r="Q13" s="758">
        <v>966330.63</v>
      </c>
      <c r="R13" s="916"/>
      <c r="S13" s="793">
        <v>28348865</v>
      </c>
      <c r="T13" s="757">
        <v>2.8060000000000002E-2</v>
      </c>
      <c r="U13" s="758">
        <v>795469.15</v>
      </c>
      <c r="V13" s="760"/>
      <c r="W13" s="918">
        <v>-3.3599999999999998E-2</v>
      </c>
      <c r="X13" s="919">
        <v>-92467.031999999992</v>
      </c>
      <c r="Z13" s="920">
        <v>1.2800000000000001E-2</v>
      </c>
      <c r="AA13" s="758">
        <v>35225.53</v>
      </c>
      <c r="AB13" s="785">
        <v>5.0000000000000001E-4</v>
      </c>
      <c r="AC13" s="758">
        <v>1376</v>
      </c>
      <c r="AD13" s="761">
        <v>1.2999999999999999E-3</v>
      </c>
      <c r="AE13" s="758">
        <v>3816.06</v>
      </c>
      <c r="AF13" s="794">
        <v>50</v>
      </c>
      <c r="AG13" s="921"/>
      <c r="AH13" s="758">
        <v>2847065.9979999997</v>
      </c>
    </row>
    <row r="14" spans="1:34">
      <c r="A14" s="1239">
        <v>201908</v>
      </c>
      <c r="C14" s="913">
        <v>47061000</v>
      </c>
      <c r="D14" s="914">
        <v>2449241.0979999998</v>
      </c>
      <c r="E14" s="916"/>
      <c r="F14" s="760">
        <v>235.66</v>
      </c>
      <c r="G14" s="793">
        <v>60540</v>
      </c>
      <c r="H14" s="757">
        <v>1.95</v>
      </c>
      <c r="I14" s="758">
        <v>118053</v>
      </c>
      <c r="J14" s="916"/>
      <c r="K14" s="917">
        <v>60540</v>
      </c>
      <c r="L14" s="757">
        <v>13.15</v>
      </c>
      <c r="M14" s="758">
        <v>796101</v>
      </c>
      <c r="N14" s="916"/>
      <c r="O14" s="793">
        <v>17750169</v>
      </c>
      <c r="P14" s="757">
        <v>4.4699999999999997E-2</v>
      </c>
      <c r="Q14" s="758">
        <v>793432.55</v>
      </c>
      <c r="R14" s="916"/>
      <c r="S14" s="793">
        <v>29310831</v>
      </c>
      <c r="T14" s="757">
        <v>2.8060000000000002E-2</v>
      </c>
      <c r="U14" s="758">
        <v>822461.92</v>
      </c>
      <c r="V14" s="760"/>
      <c r="W14" s="761">
        <v>-3.3599999999999998E-2</v>
      </c>
      <c r="X14" s="919">
        <v>-81043.031999999992</v>
      </c>
      <c r="Z14" s="920">
        <v>0</v>
      </c>
      <c r="AA14" s="758">
        <v>0</v>
      </c>
      <c r="AB14" s="785">
        <v>5.0000000000000001E-4</v>
      </c>
      <c r="AC14" s="758">
        <v>1206</v>
      </c>
      <c r="AD14" s="761">
        <v>1.2999999999999999E-3</v>
      </c>
      <c r="AE14" s="758">
        <v>3290.63</v>
      </c>
      <c r="AF14" s="794">
        <v>50</v>
      </c>
      <c r="AG14" s="921"/>
      <c r="AH14" s="758">
        <v>2453787.7279999997</v>
      </c>
    </row>
    <row r="15" spans="1:34">
      <c r="A15" s="1239">
        <v>201909</v>
      </c>
      <c r="C15" s="913">
        <v>39655000</v>
      </c>
      <c r="D15" s="914">
        <v>2601494.4251999999</v>
      </c>
      <c r="E15" s="916"/>
      <c r="F15" s="760">
        <v>235.66</v>
      </c>
      <c r="G15" s="793">
        <v>86050</v>
      </c>
      <c r="H15" s="757">
        <v>1.95</v>
      </c>
      <c r="I15" s="758">
        <v>167797.5</v>
      </c>
      <c r="J15" s="916"/>
      <c r="K15" s="917">
        <v>86050</v>
      </c>
      <c r="L15" s="757">
        <v>13.15</v>
      </c>
      <c r="M15" s="758">
        <v>1131557.5</v>
      </c>
      <c r="N15" s="916"/>
      <c r="O15" s="793">
        <v>16453819</v>
      </c>
      <c r="P15" s="757">
        <v>4.4699999999999997E-2</v>
      </c>
      <c r="Q15" s="758">
        <v>735485.71</v>
      </c>
      <c r="R15" s="916"/>
      <c r="S15" s="793">
        <v>23201181</v>
      </c>
      <c r="T15" s="757">
        <v>2.8060000000000002E-2</v>
      </c>
      <c r="U15" s="758">
        <v>651025.14</v>
      </c>
      <c r="V15" s="760"/>
      <c r="W15" s="918">
        <v>-3.3599999999999998E-2</v>
      </c>
      <c r="X15" s="919">
        <v>-84607.084799999997</v>
      </c>
      <c r="Z15" s="920">
        <v>0</v>
      </c>
      <c r="AA15" s="758">
        <v>0</v>
      </c>
      <c r="AB15" s="785">
        <v>5.0000000000000001E-4</v>
      </c>
      <c r="AC15" s="758">
        <v>1259.03</v>
      </c>
      <c r="AD15" s="761">
        <v>1.2999999999999999E-3</v>
      </c>
      <c r="AE15" s="758">
        <v>3493.26</v>
      </c>
      <c r="AF15" s="794">
        <v>50</v>
      </c>
      <c r="AG15" s="921"/>
      <c r="AH15" s="758">
        <v>2606296.7151999995</v>
      </c>
    </row>
    <row r="16" spans="1:34">
      <c r="A16" s="1239">
        <v>201910</v>
      </c>
      <c r="C16" s="913">
        <v>53218000</v>
      </c>
      <c r="D16" s="914">
        <v>2485277.2392000002</v>
      </c>
      <c r="E16" s="916"/>
      <c r="F16" s="760">
        <v>235.66</v>
      </c>
      <c r="G16" s="793">
        <v>86450</v>
      </c>
      <c r="H16" s="757">
        <v>1.95</v>
      </c>
      <c r="I16" s="758">
        <v>168577.5</v>
      </c>
      <c r="J16" s="916"/>
      <c r="K16" s="917">
        <v>86450</v>
      </c>
      <c r="L16" s="757">
        <v>8.81</v>
      </c>
      <c r="M16" s="758">
        <v>761624.5</v>
      </c>
      <c r="N16" s="916"/>
      <c r="O16" s="793">
        <v>25600323</v>
      </c>
      <c r="P16" s="757">
        <v>3.3610000000000001E-2</v>
      </c>
      <c r="Q16" s="758">
        <v>860426.86</v>
      </c>
      <c r="R16" s="916"/>
      <c r="S16" s="793">
        <v>27617677</v>
      </c>
      <c r="T16" s="757">
        <v>2.8060000000000002E-2</v>
      </c>
      <c r="U16" s="758">
        <v>774952.02</v>
      </c>
      <c r="V16" s="760"/>
      <c r="W16" s="918">
        <v>-3.3599999999999998E-2</v>
      </c>
      <c r="X16" s="919">
        <v>-80539.300799999997</v>
      </c>
      <c r="Z16" s="920">
        <v>0</v>
      </c>
      <c r="AA16" s="758">
        <v>0</v>
      </c>
      <c r="AB16" s="785">
        <v>5.0000000000000001E-4</v>
      </c>
      <c r="AC16" s="758">
        <v>1198.5</v>
      </c>
      <c r="AD16" s="761">
        <v>1.2999999999999999E-3</v>
      </c>
      <c r="AE16" s="758">
        <v>3336.81</v>
      </c>
      <c r="AF16" s="794">
        <v>50</v>
      </c>
      <c r="AG16" s="921"/>
      <c r="AH16" s="758">
        <v>2489862.5492000002</v>
      </c>
    </row>
    <row r="17" spans="1:34">
      <c r="A17" s="1239">
        <v>201911</v>
      </c>
      <c r="C17" s="913">
        <v>52618000</v>
      </c>
      <c r="D17" s="914">
        <v>2450381.3648000001</v>
      </c>
      <c r="E17" s="916"/>
      <c r="F17" s="760">
        <v>235.66</v>
      </c>
      <c r="G17" s="793">
        <v>86270</v>
      </c>
      <c r="H17" s="757">
        <v>1.95</v>
      </c>
      <c r="I17" s="758">
        <v>168226.5</v>
      </c>
      <c r="J17" s="916"/>
      <c r="K17" s="917">
        <v>86270</v>
      </c>
      <c r="L17" s="757">
        <v>8.81</v>
      </c>
      <c r="M17" s="758">
        <v>760038.70000000007</v>
      </c>
      <c r="N17" s="916"/>
      <c r="O17" s="793">
        <v>22478858</v>
      </c>
      <c r="P17" s="757">
        <v>3.3610000000000001E-2</v>
      </c>
      <c r="Q17" s="758">
        <v>755514.42</v>
      </c>
      <c r="R17" s="916"/>
      <c r="S17" s="793">
        <v>30139142</v>
      </c>
      <c r="T17" s="757">
        <v>2.8060000000000002E-2</v>
      </c>
      <c r="U17" s="758">
        <v>845704.32</v>
      </c>
      <c r="V17" s="760"/>
      <c r="W17" s="918">
        <v>-3.3599999999999998E-2</v>
      </c>
      <c r="X17" s="919">
        <v>-79338.235199999996</v>
      </c>
      <c r="Z17" s="920">
        <v>0</v>
      </c>
      <c r="AA17" s="758">
        <v>0</v>
      </c>
      <c r="AB17" s="785">
        <v>5.0000000000000001E-4</v>
      </c>
      <c r="AC17" s="758">
        <v>1180.6300000000001</v>
      </c>
      <c r="AD17" s="761">
        <v>0</v>
      </c>
      <c r="AE17" s="758">
        <v>0</v>
      </c>
      <c r="AF17" s="794">
        <v>50</v>
      </c>
      <c r="AG17" s="921"/>
      <c r="AH17" s="758">
        <v>2451611.9948</v>
      </c>
    </row>
    <row r="18" spans="1:34">
      <c r="A18" s="1239">
        <v>201912</v>
      </c>
      <c r="C18" s="922">
        <v>53856000</v>
      </c>
      <c r="D18" s="1229">
        <v>2534535.0120000001</v>
      </c>
      <c r="E18" s="1230"/>
      <c r="F18" s="1231">
        <v>235.66</v>
      </c>
      <c r="G18" s="1232">
        <v>90300</v>
      </c>
      <c r="H18" s="1233">
        <v>1.95</v>
      </c>
      <c r="I18" s="1234">
        <v>176085</v>
      </c>
      <c r="J18" s="1230"/>
      <c r="K18" s="1235">
        <v>90300</v>
      </c>
      <c r="L18" s="1233">
        <v>8.81</v>
      </c>
      <c r="M18" s="1234">
        <v>795543</v>
      </c>
      <c r="N18" s="1230"/>
      <c r="O18" s="1232">
        <v>24047366</v>
      </c>
      <c r="P18" s="1233">
        <v>3.3610000000000001E-2</v>
      </c>
      <c r="Q18" s="1234">
        <v>808231.97</v>
      </c>
      <c r="R18" s="1230"/>
      <c r="S18" s="1232">
        <v>29808634</v>
      </c>
      <c r="T18" s="1233">
        <v>2.8060000000000002E-2</v>
      </c>
      <c r="U18" s="1234">
        <v>836430.27</v>
      </c>
      <c r="V18" s="1231"/>
      <c r="W18" s="1236">
        <v>-3.3599999999999998E-2</v>
      </c>
      <c r="X18" s="923">
        <v>-81990.887999999992</v>
      </c>
      <c r="Z18" s="924">
        <v>0</v>
      </c>
      <c r="AA18" s="1234">
        <v>0</v>
      </c>
      <c r="AB18" s="1237">
        <v>5.0000000000000001E-4</v>
      </c>
      <c r="AC18" s="1234">
        <v>1220.0999999999999</v>
      </c>
      <c r="AD18" s="1238">
        <v>0</v>
      </c>
      <c r="AE18" s="1234">
        <v>0</v>
      </c>
      <c r="AF18" s="799">
        <v>50</v>
      </c>
      <c r="AG18" s="921"/>
      <c r="AH18" s="758">
        <v>2535805.1120000002</v>
      </c>
    </row>
    <row r="19" spans="1:34" ht="16.5" thickBot="1">
      <c r="A19" s="782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786"/>
      <c r="S19" s="786"/>
      <c r="T19" s="786"/>
      <c r="U19" s="786"/>
      <c r="V19" s="786"/>
      <c r="W19" s="786"/>
      <c r="X19" s="786"/>
      <c r="Y19" s="786"/>
      <c r="Z19" s="786"/>
      <c r="AA19" s="786"/>
      <c r="AB19" s="786"/>
      <c r="AC19" s="786"/>
      <c r="AD19" s="786"/>
      <c r="AE19" s="786"/>
      <c r="AF19" s="786"/>
      <c r="AG19" s="786"/>
      <c r="AH19" s="786"/>
    </row>
    <row r="20" spans="1:34" ht="16.5" thickTop="1"/>
    <row r="21" spans="1:34">
      <c r="A21" s="782" t="s">
        <v>450</v>
      </c>
      <c r="C21" s="783">
        <v>602970000</v>
      </c>
      <c r="D21" s="784">
        <v>30663711.512400001</v>
      </c>
      <c r="G21" s="783">
        <v>981560</v>
      </c>
      <c r="I21" s="784">
        <v>1914042</v>
      </c>
      <c r="K21" s="783">
        <v>981560</v>
      </c>
      <c r="M21" s="784">
        <v>10267275</v>
      </c>
      <c r="O21" s="783">
        <v>263541167</v>
      </c>
      <c r="Q21" s="784">
        <v>9954669.75</v>
      </c>
      <c r="S21" s="783">
        <v>339428833</v>
      </c>
      <c r="U21" s="784">
        <v>9524373.0599999987</v>
      </c>
      <c r="V21" s="784"/>
      <c r="W21" s="784"/>
      <c r="X21" s="784">
        <v>-999476.21759999986</v>
      </c>
      <c r="AA21" s="784">
        <v>120429.81999999999</v>
      </c>
      <c r="AB21" s="784"/>
      <c r="AC21" s="784">
        <v>12382.680000000002</v>
      </c>
      <c r="AD21" s="784"/>
      <c r="AE21" s="784">
        <v>34638.49</v>
      </c>
      <c r="AF21" s="784">
        <v>600</v>
      </c>
      <c r="AG21" s="784"/>
      <c r="AH21" s="784">
        <v>30831762.5024</v>
      </c>
    </row>
    <row r="22" spans="1:34">
      <c r="A22" s="925" t="s">
        <v>1304</v>
      </c>
      <c r="C22" s="926">
        <v>0</v>
      </c>
      <c r="D22" s="927">
        <v>0</v>
      </c>
      <c r="X22" s="925" t="s">
        <v>1304</v>
      </c>
      <c r="AG22" s="925"/>
      <c r="AH22" s="784">
        <v>0</v>
      </c>
    </row>
    <row r="28" spans="1:34">
      <c r="W28" s="779" t="s">
        <v>1733</v>
      </c>
    </row>
  </sheetData>
  <printOptions horizontalCentered="1" gridLines="1" gridLinesSet="0"/>
  <pageMargins left="0.2" right="0.88" top="1" bottom="0.17299999999999999" header="0.5" footer="0.25"/>
  <pageSetup scale="40" fitToHeight="0" orientation="landscape" r:id="rId1"/>
  <headerFooter alignWithMargins="0">
    <oddFooter>&amp;CPage &amp;P of  &amp;N&amp;R&amp;D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rgb="FF92D050"/>
    <pageSetUpPr fitToPage="1"/>
  </sheetPr>
  <dimension ref="A1:AA22"/>
  <sheetViews>
    <sheetView workbookViewId="0">
      <selection activeCell="A2" sqref="A2"/>
    </sheetView>
  </sheetViews>
  <sheetFormatPr defaultColWidth="8.125" defaultRowHeight="15.75"/>
  <cols>
    <col min="1" max="1" width="7.25" style="750" bestFit="1" customWidth="1"/>
    <col min="2" max="2" width="1.5" style="750" customWidth="1"/>
    <col min="3" max="4" width="13.625" style="750" customWidth="1"/>
    <col min="5" max="5" width="1.5" style="750" customWidth="1"/>
    <col min="6" max="8" width="13.625" style="750" customWidth="1"/>
    <col min="9" max="9" width="1.5" style="750" customWidth="1"/>
    <col min="10" max="12" width="13.625" style="750" customWidth="1"/>
    <col min="13" max="13" width="1.5" style="750" customWidth="1"/>
    <col min="14" max="14" width="13.625" style="750" customWidth="1"/>
    <col min="15" max="15" width="14.125" style="750" bestFit="1" customWidth="1"/>
    <col min="16" max="16" width="1.5" style="750" customWidth="1"/>
    <col min="17" max="19" width="13.625" style="750" customWidth="1"/>
    <col min="20" max="20" width="1.5" style="750" customWidth="1"/>
    <col min="21" max="25" width="13.625" style="750" customWidth="1"/>
    <col min="26" max="26" width="1.5" style="750" customWidth="1"/>
    <col min="27" max="27" width="14.25" style="750" bestFit="1" customWidth="1"/>
    <col min="28" max="122" width="13.625" style="750" customWidth="1"/>
    <col min="123" max="16384" width="8.125" style="750"/>
  </cols>
  <sheetData>
    <row r="1" spans="1:27">
      <c r="A1" s="748" t="s">
        <v>1734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49"/>
      <c r="W1" s="749"/>
      <c r="X1" s="749"/>
      <c r="Y1" s="749"/>
      <c r="Z1" s="749"/>
      <c r="AA1" s="749"/>
    </row>
    <row r="2" spans="1:27">
      <c r="A2" s="748" t="s">
        <v>1123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</row>
    <row r="3" spans="1:27">
      <c r="A3" s="751" t="s">
        <v>1124</v>
      </c>
      <c r="C3" s="752" t="s">
        <v>1125</v>
      </c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748"/>
      <c r="P3" s="900"/>
      <c r="Q3" s="752" t="s">
        <v>1303</v>
      </c>
      <c r="R3" s="749"/>
      <c r="S3" s="749"/>
      <c r="U3" s="752" t="s">
        <v>1126</v>
      </c>
      <c r="V3" s="749"/>
      <c r="W3" s="749"/>
      <c r="X3" s="749"/>
      <c r="Y3" s="749"/>
      <c r="AA3" s="751" t="s">
        <v>1127</v>
      </c>
    </row>
    <row r="4" spans="1:27">
      <c r="C4" s="1205"/>
      <c r="D4" s="1206"/>
      <c r="E4" s="1206"/>
      <c r="F4" s="1207" t="s">
        <v>1128</v>
      </c>
      <c r="G4" s="1207"/>
      <c r="H4" s="1207"/>
      <c r="I4" s="1206"/>
      <c r="J4" s="1207" t="s">
        <v>1129</v>
      </c>
      <c r="K4" s="1207"/>
      <c r="L4" s="1207"/>
      <c r="M4" s="1206"/>
      <c r="N4" s="1207" t="s">
        <v>1241</v>
      </c>
      <c r="O4" s="1208"/>
      <c r="Q4" s="1209"/>
      <c r="R4" s="1207"/>
      <c r="S4" s="1208"/>
      <c r="T4" s="753"/>
      <c r="U4" s="1205"/>
      <c r="V4" s="1206"/>
      <c r="W4" s="1206"/>
      <c r="X4" s="1206"/>
      <c r="Y4" s="1210"/>
      <c r="AA4" s="753" t="s">
        <v>1130</v>
      </c>
    </row>
    <row r="5" spans="1:27">
      <c r="C5" s="788"/>
      <c r="D5" s="789"/>
      <c r="E5" s="789"/>
      <c r="F5" s="789"/>
      <c r="G5" s="789" t="s">
        <v>111</v>
      </c>
      <c r="H5" s="789" t="s">
        <v>111</v>
      </c>
      <c r="I5" s="789"/>
      <c r="J5" s="789"/>
      <c r="K5" s="789" t="s">
        <v>111</v>
      </c>
      <c r="L5" s="789" t="s">
        <v>111</v>
      </c>
      <c r="M5" s="789"/>
      <c r="O5" s="790"/>
      <c r="Q5" s="788"/>
      <c r="R5" s="789"/>
      <c r="S5" s="790"/>
      <c r="T5" s="753"/>
      <c r="U5" s="788" t="s">
        <v>1131</v>
      </c>
      <c r="V5" s="789" t="s">
        <v>1131</v>
      </c>
      <c r="W5" s="789" t="s">
        <v>1132</v>
      </c>
      <c r="X5" s="789" t="s">
        <v>1132</v>
      </c>
      <c r="Y5" s="790" t="s">
        <v>1133</v>
      </c>
      <c r="AA5" s="753" t="s">
        <v>1134</v>
      </c>
    </row>
    <row r="6" spans="1:27">
      <c r="C6" s="788" t="s">
        <v>799</v>
      </c>
      <c r="D6" s="789" t="s">
        <v>1135</v>
      </c>
      <c r="E6" s="789"/>
      <c r="F6" s="789" t="s">
        <v>111</v>
      </c>
      <c r="G6" s="789" t="s">
        <v>1136</v>
      </c>
      <c r="H6" s="789" t="s">
        <v>1137</v>
      </c>
      <c r="I6" s="789"/>
      <c r="J6" s="789" t="s">
        <v>111</v>
      </c>
      <c r="K6" s="789" t="s">
        <v>1136</v>
      </c>
      <c r="L6" s="789" t="s">
        <v>1137</v>
      </c>
      <c r="M6" s="789"/>
      <c r="N6" s="789" t="s">
        <v>1136</v>
      </c>
      <c r="O6" s="790" t="s">
        <v>1137</v>
      </c>
      <c r="Q6" s="788" t="s">
        <v>111</v>
      </c>
      <c r="R6" s="789" t="s">
        <v>1136</v>
      </c>
      <c r="S6" s="790" t="s">
        <v>1137</v>
      </c>
      <c r="T6" s="753"/>
      <c r="U6" s="788" t="s">
        <v>1136</v>
      </c>
      <c r="V6" s="789" t="s">
        <v>1137</v>
      </c>
      <c r="W6" s="789" t="s">
        <v>1136</v>
      </c>
      <c r="X6" s="789" t="s">
        <v>1137</v>
      </c>
      <c r="Y6" s="790" t="s">
        <v>1137</v>
      </c>
      <c r="AA6" s="753" t="s">
        <v>1138</v>
      </c>
    </row>
    <row r="7" spans="1:27">
      <c r="A7" s="753">
        <v>201901</v>
      </c>
      <c r="C7" s="901">
        <v>57553300</v>
      </c>
      <c r="D7" s="755">
        <v>2522093.2593466998</v>
      </c>
      <c r="E7" s="797"/>
      <c r="F7" s="793">
        <v>22876260</v>
      </c>
      <c r="G7" s="757">
        <v>5.0229999999999997E-2</v>
      </c>
      <c r="H7" s="758">
        <v>1149074.5397999999</v>
      </c>
      <c r="I7" s="797"/>
      <c r="J7" s="793">
        <v>34677040</v>
      </c>
      <c r="K7" s="757">
        <v>4.1959999999999997E-2</v>
      </c>
      <c r="L7" s="758">
        <v>1455048.5984</v>
      </c>
      <c r="M7" s="797"/>
      <c r="N7" s="761">
        <v>-3.15E-2</v>
      </c>
      <c r="O7" s="902">
        <v>-82029.878853300004</v>
      </c>
      <c r="Q7" s="795">
        <v>7700620</v>
      </c>
      <c r="R7" s="759">
        <v>3.9409834532803847E-2</v>
      </c>
      <c r="S7" s="794">
        <v>303480.15999999997</v>
      </c>
      <c r="U7" s="903">
        <v>2.3E-3</v>
      </c>
      <c r="V7" s="758">
        <v>5989.48321786</v>
      </c>
      <c r="W7" s="761">
        <v>1E-4</v>
      </c>
      <c r="X7" s="758">
        <v>261.01126214178601</v>
      </c>
      <c r="Y7" s="794">
        <v>50</v>
      </c>
      <c r="AA7" s="758">
        <v>2831873.9138267017</v>
      </c>
    </row>
    <row r="8" spans="1:27">
      <c r="A8" s="753">
        <v>201902</v>
      </c>
      <c r="C8" s="901">
        <v>55827200</v>
      </c>
      <c r="D8" s="755">
        <v>2465826.5718866</v>
      </c>
      <c r="E8" s="797"/>
      <c r="F8" s="793">
        <v>24609080</v>
      </c>
      <c r="G8" s="757">
        <v>5.0229999999999997E-2</v>
      </c>
      <c r="H8" s="758">
        <v>1236114.0884</v>
      </c>
      <c r="I8" s="797"/>
      <c r="J8" s="793">
        <v>31218120</v>
      </c>
      <c r="K8" s="757">
        <v>4.1959999999999997E-2</v>
      </c>
      <c r="L8" s="758">
        <v>1309912.3151999998</v>
      </c>
      <c r="M8" s="797"/>
      <c r="N8" s="761">
        <v>-3.15E-2</v>
      </c>
      <c r="O8" s="902">
        <v>-80199.831713399995</v>
      </c>
      <c r="Q8" s="795">
        <v>0</v>
      </c>
      <c r="R8" s="759">
        <v>0</v>
      </c>
      <c r="S8" s="794">
        <v>0</v>
      </c>
      <c r="U8" s="903">
        <v>2.3E-3</v>
      </c>
      <c r="V8" s="758">
        <v>5855.8607282799994</v>
      </c>
      <c r="W8" s="761">
        <v>1E-4</v>
      </c>
      <c r="X8" s="758">
        <v>255.188226432828</v>
      </c>
      <c r="Y8" s="794">
        <v>50</v>
      </c>
      <c r="AA8" s="758">
        <v>2471987.6208413132</v>
      </c>
    </row>
    <row r="9" spans="1:27">
      <c r="A9" s="753">
        <v>201903</v>
      </c>
      <c r="C9" s="901">
        <v>63725680</v>
      </c>
      <c r="D9" s="755">
        <v>2816397.9748189999</v>
      </c>
      <c r="E9" s="797"/>
      <c r="F9" s="793">
        <v>28303560</v>
      </c>
      <c r="G9" s="757">
        <v>5.0229999999999997E-2</v>
      </c>
      <c r="H9" s="758">
        <v>1421687.8188</v>
      </c>
      <c r="I9" s="797"/>
      <c r="J9" s="793">
        <v>35422120</v>
      </c>
      <c r="K9" s="757">
        <v>4.1959999999999997E-2</v>
      </c>
      <c r="L9" s="758">
        <v>1486312.1551999999</v>
      </c>
      <c r="M9" s="797"/>
      <c r="N9" s="761">
        <v>-3.15E-2</v>
      </c>
      <c r="O9" s="902">
        <v>-91601.999180999992</v>
      </c>
      <c r="Q9" s="795">
        <v>0</v>
      </c>
      <c r="R9" s="759">
        <v>0</v>
      </c>
      <c r="S9" s="794">
        <v>0</v>
      </c>
      <c r="U9" s="903">
        <v>2.3E-3</v>
      </c>
      <c r="V9" s="758">
        <v>6688.3999401999999</v>
      </c>
      <c r="W9" s="761">
        <v>1E-4</v>
      </c>
      <c r="X9" s="758">
        <v>291.46883739402</v>
      </c>
      <c r="Y9" s="794">
        <v>50</v>
      </c>
      <c r="AA9" s="758">
        <v>2823427.8435965939</v>
      </c>
    </row>
    <row r="10" spans="1:27">
      <c r="A10" s="753">
        <v>201904</v>
      </c>
      <c r="C10" s="901">
        <v>62988080</v>
      </c>
      <c r="D10" s="755">
        <v>2801721.9704525997</v>
      </c>
      <c r="E10" s="797"/>
      <c r="F10" s="793">
        <v>30213640</v>
      </c>
      <c r="G10" s="757">
        <v>5.0229999999999997E-2</v>
      </c>
      <c r="H10" s="758">
        <v>1517631.1372</v>
      </c>
      <c r="I10" s="797"/>
      <c r="J10" s="793">
        <v>32774440</v>
      </c>
      <c r="K10" s="757">
        <v>4.1959999999999997E-2</v>
      </c>
      <c r="L10" s="758">
        <v>1375215.5023999999</v>
      </c>
      <c r="M10" s="797"/>
      <c r="N10" s="761">
        <v>-3.15E-2</v>
      </c>
      <c r="O10" s="902">
        <v>-91124.669147399996</v>
      </c>
      <c r="Q10" s="795">
        <v>0</v>
      </c>
      <c r="R10" s="759">
        <v>0</v>
      </c>
      <c r="S10" s="794">
        <v>0</v>
      </c>
      <c r="U10" s="903">
        <v>2.3E-3</v>
      </c>
      <c r="V10" s="758">
        <v>6653.5472710799995</v>
      </c>
      <c r="W10" s="761">
        <v>1E-4</v>
      </c>
      <c r="X10" s="758">
        <v>289.95001868710801</v>
      </c>
      <c r="Y10" s="794">
        <v>50</v>
      </c>
      <c r="AA10" s="758">
        <v>2808715.4677423667</v>
      </c>
    </row>
    <row r="11" spans="1:27">
      <c r="A11" s="753">
        <v>201905</v>
      </c>
      <c r="C11" s="901">
        <v>69911240</v>
      </c>
      <c r="D11" s="755">
        <v>3236599.2385792001</v>
      </c>
      <c r="E11" s="797"/>
      <c r="F11" s="793">
        <v>16440920</v>
      </c>
      <c r="G11" s="757">
        <v>6.6799999999999998E-2</v>
      </c>
      <c r="H11" s="758">
        <v>1098253.456</v>
      </c>
      <c r="I11" s="797"/>
      <c r="J11" s="793">
        <v>53470320</v>
      </c>
      <c r="K11" s="757">
        <v>4.1959999999999997E-2</v>
      </c>
      <c r="L11" s="758">
        <v>2243614.6272</v>
      </c>
      <c r="M11" s="797"/>
      <c r="N11" s="761">
        <v>-3.15E-2</v>
      </c>
      <c r="O11" s="902">
        <v>-105268.84462080001</v>
      </c>
      <c r="Q11" s="795">
        <v>0</v>
      </c>
      <c r="R11" s="759">
        <v>0</v>
      </c>
      <c r="S11" s="794">
        <v>0</v>
      </c>
      <c r="U11" s="903">
        <v>1.9599999999999999E-2</v>
      </c>
      <c r="V11" s="758">
        <v>65500.614430720001</v>
      </c>
      <c r="W11" s="761">
        <v>1E-4</v>
      </c>
      <c r="X11" s="758">
        <v>340.73686976307204</v>
      </c>
      <c r="Y11" s="794">
        <v>50</v>
      </c>
      <c r="AA11" s="758">
        <v>3302490.5898796832</v>
      </c>
    </row>
    <row r="12" spans="1:27">
      <c r="A12" s="753">
        <v>201906</v>
      </c>
      <c r="C12" s="901">
        <v>69430129</v>
      </c>
      <c r="D12" s="755">
        <v>3147673.6942429999</v>
      </c>
      <c r="E12" s="797"/>
      <c r="F12" s="793">
        <v>13557249</v>
      </c>
      <c r="G12" s="757">
        <v>6.6799999999999998E-2</v>
      </c>
      <c r="H12" s="758">
        <v>905624.23320000002</v>
      </c>
      <c r="I12" s="797"/>
      <c r="J12" s="793">
        <v>55872880</v>
      </c>
      <c r="K12" s="757">
        <v>4.1959999999999997E-2</v>
      </c>
      <c r="L12" s="758">
        <v>2344426.0447999998</v>
      </c>
      <c r="M12" s="797"/>
      <c r="N12" s="761">
        <v>-3.15E-2</v>
      </c>
      <c r="O12" s="902">
        <v>-102376.583757</v>
      </c>
      <c r="Q12" s="795">
        <v>2408431</v>
      </c>
      <c r="R12" s="759">
        <v>2.6482303209018652E-2</v>
      </c>
      <c r="S12" s="794">
        <v>63780.800000000003</v>
      </c>
      <c r="U12" s="903">
        <v>1.9599999999999999E-2</v>
      </c>
      <c r="V12" s="758">
        <v>63700.985448799998</v>
      </c>
      <c r="W12" s="761">
        <v>1E-4</v>
      </c>
      <c r="X12" s="758">
        <v>331.37512634488002</v>
      </c>
      <c r="Y12" s="794">
        <v>50</v>
      </c>
      <c r="AA12" s="758">
        <v>3275536.8548181448</v>
      </c>
    </row>
    <row r="13" spans="1:27">
      <c r="A13" s="753">
        <v>201907</v>
      </c>
      <c r="C13" s="901">
        <v>69598778</v>
      </c>
      <c r="D13" s="755">
        <v>3086274.3470883998</v>
      </c>
      <c r="E13" s="797"/>
      <c r="F13" s="793">
        <v>10720178</v>
      </c>
      <c r="G13" s="757">
        <v>6.6799999999999998E-2</v>
      </c>
      <c r="H13" s="758">
        <v>716107.89040000003</v>
      </c>
      <c r="I13" s="797"/>
      <c r="J13" s="793">
        <v>58878600</v>
      </c>
      <c r="K13" s="757">
        <v>4.1959999999999997E-2</v>
      </c>
      <c r="L13" s="758">
        <v>2470546.0559999999</v>
      </c>
      <c r="M13" s="797"/>
      <c r="N13" s="761">
        <v>-3.15E-2</v>
      </c>
      <c r="O13" s="902">
        <v>-100379.59931159999</v>
      </c>
      <c r="Q13" s="795">
        <v>5955622</v>
      </c>
      <c r="R13" s="759">
        <v>6.8028388974317039E-2</v>
      </c>
      <c r="S13" s="794">
        <v>405151.37</v>
      </c>
      <c r="U13" s="903">
        <v>1.9599999999999999E-2</v>
      </c>
      <c r="V13" s="758">
        <v>62458.417349439995</v>
      </c>
      <c r="W13" s="761">
        <v>1E-4</v>
      </c>
      <c r="X13" s="758">
        <v>324.911236374944</v>
      </c>
      <c r="Y13" s="794">
        <v>50</v>
      </c>
      <c r="AA13" s="758">
        <v>3554259.0456742151</v>
      </c>
    </row>
    <row r="14" spans="1:27">
      <c r="A14" s="753">
        <v>201908</v>
      </c>
      <c r="C14" s="901">
        <v>64910347</v>
      </c>
      <c r="D14" s="755">
        <v>2920771.4633473996</v>
      </c>
      <c r="E14" s="797"/>
      <c r="F14" s="793">
        <v>11760467</v>
      </c>
      <c r="G14" s="757">
        <v>6.6799999999999998E-2</v>
      </c>
      <c r="H14" s="758">
        <v>785599.19559999998</v>
      </c>
      <c r="I14" s="797"/>
      <c r="J14" s="793">
        <v>53149880</v>
      </c>
      <c r="K14" s="757">
        <v>4.1959999999999997E-2</v>
      </c>
      <c r="L14" s="758">
        <v>2230168.9647999997</v>
      </c>
      <c r="M14" s="797"/>
      <c r="N14" s="761">
        <v>-3.15E-2</v>
      </c>
      <c r="O14" s="902">
        <v>-94996.697052599979</v>
      </c>
      <c r="Q14" s="795">
        <v>5358813</v>
      </c>
      <c r="R14" s="759">
        <v>7.2127571908181906E-2</v>
      </c>
      <c r="S14" s="794">
        <v>386518.17</v>
      </c>
      <c r="U14" s="903">
        <v>0</v>
      </c>
      <c r="V14" s="758">
        <v>0</v>
      </c>
      <c r="W14" s="761">
        <v>1E-4</v>
      </c>
      <c r="X14" s="758">
        <v>301.57681603999998</v>
      </c>
      <c r="Y14" s="794">
        <v>50</v>
      </c>
      <c r="AA14" s="758">
        <v>3307641.2101634396</v>
      </c>
    </row>
    <row r="15" spans="1:27">
      <c r="A15" s="753">
        <v>201909</v>
      </c>
      <c r="C15" s="901">
        <v>66421923</v>
      </c>
      <c r="D15" s="755">
        <v>3016407.5640425994</v>
      </c>
      <c r="E15" s="797"/>
      <c r="F15" s="793">
        <v>13182403</v>
      </c>
      <c r="G15" s="757">
        <v>6.6799999999999998E-2</v>
      </c>
      <c r="H15" s="758">
        <v>880584.52039999992</v>
      </c>
      <c r="I15" s="797"/>
      <c r="J15" s="793">
        <v>53239520</v>
      </c>
      <c r="K15" s="757">
        <v>4.1959999999999997E-2</v>
      </c>
      <c r="L15" s="758">
        <v>2233930.2591999997</v>
      </c>
      <c r="M15" s="797"/>
      <c r="N15" s="761">
        <v>-3.15E-2</v>
      </c>
      <c r="O15" s="902">
        <v>-98107.215557399992</v>
      </c>
      <c r="Q15" s="795">
        <v>1807557</v>
      </c>
      <c r="R15" s="759">
        <v>9.9758519371726584E-2</v>
      </c>
      <c r="S15" s="794">
        <v>180319.21</v>
      </c>
      <c r="U15" s="903">
        <v>0</v>
      </c>
      <c r="V15" s="758">
        <v>0</v>
      </c>
      <c r="W15" s="761">
        <v>1E-4</v>
      </c>
      <c r="X15" s="758">
        <v>311.45147795999998</v>
      </c>
      <c r="Y15" s="794">
        <v>50</v>
      </c>
      <c r="AA15" s="758">
        <v>3197088.2255205596</v>
      </c>
    </row>
    <row r="16" spans="1:27">
      <c r="A16" s="753">
        <v>201910</v>
      </c>
      <c r="C16" s="901">
        <v>66565000</v>
      </c>
      <c r="D16" s="755">
        <v>2964534.7853965997</v>
      </c>
      <c r="E16" s="797"/>
      <c r="F16" s="793">
        <v>32392680</v>
      </c>
      <c r="G16" s="757">
        <v>5.0229999999999997E-2</v>
      </c>
      <c r="H16" s="758">
        <v>1627084.3163999999</v>
      </c>
      <c r="I16" s="797"/>
      <c r="J16" s="793">
        <v>34172320</v>
      </c>
      <c r="K16" s="757">
        <v>4.1959999999999997E-2</v>
      </c>
      <c r="L16" s="758">
        <v>1433870.5471999999</v>
      </c>
      <c r="M16" s="797"/>
      <c r="N16" s="761">
        <v>-3.15E-2</v>
      </c>
      <c r="O16" s="902">
        <v>-96420.0782034</v>
      </c>
      <c r="Q16" s="795">
        <v>0</v>
      </c>
      <c r="R16" s="759">
        <v>0</v>
      </c>
      <c r="S16" s="794">
        <v>0</v>
      </c>
      <c r="U16" s="903">
        <v>0</v>
      </c>
      <c r="V16" s="758">
        <v>0</v>
      </c>
      <c r="W16" s="761">
        <v>1E-4</v>
      </c>
      <c r="X16" s="758">
        <v>306.09548636</v>
      </c>
      <c r="Y16" s="794">
        <v>50</v>
      </c>
      <c r="AA16" s="758">
        <v>2964890.8808829598</v>
      </c>
    </row>
    <row r="17" spans="1:27">
      <c r="A17" s="753">
        <v>201911</v>
      </c>
      <c r="C17" s="901">
        <v>73624840</v>
      </c>
      <c r="D17" s="755">
        <v>3242542.5779057997</v>
      </c>
      <c r="E17" s="797"/>
      <c r="F17" s="793">
        <v>31282520</v>
      </c>
      <c r="G17" s="757">
        <v>5.0229999999999997E-2</v>
      </c>
      <c r="H17" s="758">
        <v>1571320.9796</v>
      </c>
      <c r="I17" s="797"/>
      <c r="J17" s="793">
        <v>42342320</v>
      </c>
      <c r="K17" s="757">
        <v>4.1959999999999997E-2</v>
      </c>
      <c r="L17" s="758">
        <v>1776683.7471999999</v>
      </c>
      <c r="M17" s="797"/>
      <c r="N17" s="761">
        <v>-3.15E-2</v>
      </c>
      <c r="O17" s="902">
        <v>-105462.1488942</v>
      </c>
      <c r="Q17" s="795">
        <v>0</v>
      </c>
      <c r="R17" s="759">
        <v>0</v>
      </c>
      <c r="S17" s="794">
        <v>0</v>
      </c>
      <c r="U17" s="903">
        <v>0</v>
      </c>
      <c r="V17" s="758">
        <v>0</v>
      </c>
      <c r="W17" s="761">
        <v>0</v>
      </c>
      <c r="X17" s="758">
        <v>0</v>
      </c>
      <c r="Y17" s="794">
        <v>50</v>
      </c>
      <c r="AA17" s="758">
        <v>3242592.5779057997</v>
      </c>
    </row>
    <row r="18" spans="1:27">
      <c r="A18" s="753">
        <v>201912</v>
      </c>
      <c r="C18" s="904">
        <v>63836811</v>
      </c>
      <c r="D18" s="1228">
        <v>2798913.8005864751</v>
      </c>
      <c r="E18" s="1216"/>
      <c r="F18" s="1213">
        <v>25556777</v>
      </c>
      <c r="G18" s="1225">
        <v>5.0229999999999997E-2</v>
      </c>
      <c r="H18" s="1226">
        <v>1283716.9087099999</v>
      </c>
      <c r="I18" s="1216"/>
      <c r="J18" s="1213">
        <v>38280034</v>
      </c>
      <c r="K18" s="1225">
        <v>4.1959999999999997E-2</v>
      </c>
      <c r="L18" s="1226">
        <v>1606230.22664</v>
      </c>
      <c r="M18" s="1216"/>
      <c r="N18" s="1227">
        <v>-3.15E-2</v>
      </c>
      <c r="O18" s="905">
        <v>-91033.33476352501</v>
      </c>
      <c r="Q18" s="800">
        <v>8044349</v>
      </c>
      <c r="R18" s="1214">
        <v>3.8485421256586459E-2</v>
      </c>
      <c r="S18" s="799">
        <v>309590.16000000003</v>
      </c>
      <c r="U18" s="906">
        <v>0</v>
      </c>
      <c r="V18" s="1226">
        <v>0</v>
      </c>
      <c r="W18" s="1227">
        <v>0</v>
      </c>
      <c r="X18" s="1226">
        <v>0</v>
      </c>
      <c r="Y18" s="799">
        <v>50</v>
      </c>
      <c r="AA18" s="758">
        <v>3108553.9605864752</v>
      </c>
    </row>
    <row r="19" spans="1:27" ht="16.5" thickBot="1">
      <c r="A19" s="762"/>
      <c r="B19" s="763"/>
      <c r="C19" s="764"/>
      <c r="D19" s="765"/>
      <c r="E19" s="763"/>
      <c r="F19" s="766"/>
      <c r="G19" s="767"/>
      <c r="H19" s="768"/>
      <c r="I19" s="763"/>
      <c r="J19" s="766"/>
      <c r="K19" s="767"/>
      <c r="L19" s="768"/>
      <c r="M19" s="763"/>
      <c r="N19" s="768"/>
      <c r="O19" s="768"/>
      <c r="P19" s="763"/>
      <c r="Q19" s="766"/>
      <c r="R19" s="769"/>
      <c r="S19" s="770"/>
      <c r="T19" s="763"/>
      <c r="U19" s="771"/>
      <c r="V19" s="768"/>
      <c r="W19" s="771"/>
      <c r="X19" s="768"/>
      <c r="Y19" s="770"/>
      <c r="Z19" s="763"/>
      <c r="AA19" s="768"/>
    </row>
    <row r="20" spans="1:27" ht="16.5" thickTop="1">
      <c r="A20" s="753"/>
      <c r="C20" s="754"/>
      <c r="D20" s="755"/>
      <c r="F20" s="756"/>
      <c r="G20" s="757"/>
      <c r="H20" s="758"/>
      <c r="J20" s="756"/>
      <c r="K20" s="757"/>
      <c r="L20" s="758"/>
      <c r="N20" s="758"/>
      <c r="O20" s="758"/>
      <c r="Q20" s="756"/>
      <c r="R20" s="759"/>
      <c r="S20" s="760"/>
      <c r="U20" s="761"/>
      <c r="V20" s="758"/>
      <c r="W20" s="761"/>
      <c r="X20" s="758"/>
      <c r="Y20" s="760"/>
      <c r="AA20" s="758"/>
    </row>
    <row r="21" spans="1:27" s="753" customFormat="1">
      <c r="A21" s="753" t="s">
        <v>93</v>
      </c>
      <c r="C21" s="772">
        <v>784393328</v>
      </c>
      <c r="D21" s="773">
        <v>35019757.247694373</v>
      </c>
      <c r="E21" s="774">
        <v>0</v>
      </c>
      <c r="F21" s="772">
        <v>260895734</v>
      </c>
      <c r="G21" s="772"/>
      <c r="H21" s="773">
        <v>14192799.08451</v>
      </c>
      <c r="I21" s="772"/>
      <c r="J21" s="772">
        <v>523497594</v>
      </c>
      <c r="K21" s="772"/>
      <c r="L21" s="773">
        <v>21965959.044240002</v>
      </c>
      <c r="M21" s="772"/>
      <c r="N21" s="773"/>
      <c r="O21" s="907">
        <v>-1139000.8810556249</v>
      </c>
      <c r="Q21" s="772">
        <v>31275392</v>
      </c>
      <c r="R21" s="772"/>
      <c r="S21" s="773">
        <v>1648839.87</v>
      </c>
      <c r="T21" s="772"/>
      <c r="U21" s="772"/>
      <c r="V21" s="773">
        <v>216847.30838637997</v>
      </c>
      <c r="W21" s="772"/>
      <c r="X21" s="773">
        <v>3013.765357498638</v>
      </c>
      <c r="Y21" s="773">
        <v>600</v>
      </c>
      <c r="Z21" s="775"/>
      <c r="AA21" s="776">
        <v>36889058.19143825</v>
      </c>
    </row>
    <row r="22" spans="1:27">
      <c r="Y22" s="908" t="s">
        <v>1304</v>
      </c>
      <c r="AA22" s="907">
        <f>ROUND(AA21-D21-S21-V21-X21-Y21,5)</f>
        <v>0</v>
      </c>
    </row>
  </sheetData>
  <printOptions horizontalCentered="1"/>
  <pageMargins left="0.75" right="0.75" top="1" bottom="0.5" header="0.5" footer="0.5"/>
  <pageSetup scale="41" orientation="landscape" horizont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14">
    <tabColor rgb="FFFFFF00"/>
    <pageSetUpPr fitToPage="1"/>
  </sheetPr>
  <dimension ref="A1:AG2683"/>
  <sheetViews>
    <sheetView tabSelected="1" view="pageBreakPreview" topLeftCell="A7" zoomScale="90" zoomScaleNormal="90" zoomScaleSheetLayoutView="90" workbookViewId="0">
      <pane xSplit="1" ySplit="3" topLeftCell="B10" activePane="bottomRight" state="frozen"/>
      <selection activeCell="A7" sqref="A1:XFD1048576"/>
      <selection pane="topRight" activeCell="A7" sqref="A1:XFD1048576"/>
      <selection pane="bottomLeft" activeCell="A7" sqref="A1:XFD1048576"/>
      <selection pane="bottomRight" activeCell="A7" sqref="A5:A7"/>
    </sheetView>
  </sheetViews>
  <sheetFormatPr defaultColWidth="9" defaultRowHeight="15.75"/>
  <cols>
    <col min="1" max="1" width="33.125" style="1869" customWidth="1"/>
    <col min="2" max="2" width="1.75" style="1869" customWidth="1"/>
    <col min="3" max="4" width="14.875" style="1630" customWidth="1"/>
    <col min="5" max="5" width="1.75" style="596" customWidth="1"/>
    <col min="6" max="6" width="8.125" style="1869" customWidth="1"/>
    <col min="7" max="7" width="1.75" style="596" customWidth="1"/>
    <col min="8" max="9" width="14.875" style="1638" customWidth="1"/>
    <col min="10" max="10" width="1.75" style="596" customWidth="1"/>
    <col min="11" max="11" width="8.125" style="1869" bestFit="1" customWidth="1"/>
    <col min="12" max="12" width="1.75" style="596" customWidth="1"/>
    <col min="13" max="13" width="12.25" style="1869" bestFit="1" customWidth="1"/>
    <col min="14" max="14" width="1.75" style="596" customWidth="1"/>
    <col min="15" max="15" width="15.25" style="1869" bestFit="1" customWidth="1"/>
    <col min="16" max="16" width="1.75" style="596" customWidth="1"/>
    <col min="17" max="17" width="12.25" style="1869" customWidth="1"/>
    <col min="18" max="18" width="1.75" style="596" customWidth="1"/>
    <col min="19" max="19" width="14.875" style="1637" customWidth="1"/>
    <col min="20" max="20" width="1.75" style="1637" customWidth="1"/>
    <col min="21" max="21" width="14.875" style="1637" customWidth="1"/>
    <col min="22" max="22" width="1.75" style="1637" customWidth="1"/>
    <col min="23" max="23" width="14.875" style="1637" customWidth="1"/>
    <col min="24" max="24" width="1.75" style="1637" customWidth="1"/>
    <col min="25" max="25" width="14.875" style="1638" customWidth="1"/>
    <col min="26" max="26" width="7.375" style="1878" bestFit="1" customWidth="1"/>
    <col min="27" max="27" width="21.125" style="1869" customWidth="1"/>
    <col min="28" max="28" width="12.625" style="1869" customWidth="1"/>
    <col min="29" max="29" width="14.125" style="1869" customWidth="1"/>
    <col min="30" max="30" width="11.75" style="1869" customWidth="1"/>
    <col min="31" max="31" width="12.625" style="1869" customWidth="1"/>
    <col min="32" max="32" width="11.75" style="1869" customWidth="1"/>
    <col min="33" max="16384" width="9" style="1869"/>
  </cols>
  <sheetData>
    <row r="1" spans="1:28" ht="18.75">
      <c r="A1" s="1879" t="s">
        <v>497</v>
      </c>
      <c r="B1" s="1880"/>
      <c r="C1" s="1881"/>
      <c r="D1" s="1881"/>
      <c r="E1" s="1882"/>
      <c r="F1" s="1880"/>
      <c r="G1" s="1882"/>
      <c r="H1" s="1636"/>
      <c r="I1" s="1636"/>
      <c r="J1" s="1882"/>
      <c r="K1" s="1880"/>
      <c r="L1" s="1882"/>
      <c r="M1" s="1880"/>
      <c r="N1" s="1882"/>
      <c r="O1" s="1880"/>
      <c r="P1" s="1882"/>
      <c r="Q1" s="1880"/>
      <c r="R1" s="1882"/>
      <c r="S1" s="1635"/>
      <c r="T1" s="1635"/>
      <c r="U1" s="1635"/>
      <c r="V1" s="1635"/>
      <c r="W1" s="1635"/>
      <c r="X1" s="1635"/>
      <c r="Y1" s="1636"/>
    </row>
    <row r="2" spans="1:28" ht="18.75">
      <c r="A2" s="1879" t="s">
        <v>570</v>
      </c>
      <c r="B2" s="1880"/>
      <c r="C2" s="1881"/>
      <c r="D2" s="1881"/>
      <c r="E2" s="1882"/>
      <c r="F2" s="1880"/>
      <c r="G2" s="1882"/>
      <c r="H2" s="1636"/>
      <c r="I2" s="1636"/>
      <c r="J2" s="1882"/>
      <c r="K2" s="1880"/>
      <c r="L2" s="1882"/>
      <c r="M2" s="1880"/>
      <c r="N2" s="1882"/>
      <c r="O2" s="1880"/>
      <c r="P2" s="1882"/>
      <c r="Q2" s="1880"/>
      <c r="R2" s="1882"/>
      <c r="S2" s="1635"/>
      <c r="T2" s="1635"/>
      <c r="U2" s="1635"/>
      <c r="V2" s="1635"/>
      <c r="W2" s="1635"/>
      <c r="X2" s="1635"/>
      <c r="Y2" s="1636"/>
    </row>
    <row r="3" spans="1:28" ht="18.75">
      <c r="A3" s="1879" t="str">
        <f>'Test Period'!B2</f>
        <v>Base Period 12 Months Ending December 2019</v>
      </c>
      <c r="B3" s="1880"/>
      <c r="C3" s="1881"/>
      <c r="D3" s="1881"/>
      <c r="E3" s="1882"/>
      <c r="F3" s="1880"/>
      <c r="G3" s="1882"/>
      <c r="H3" s="1636"/>
      <c r="I3" s="1636"/>
      <c r="J3" s="1882"/>
      <c r="K3" s="1880"/>
      <c r="L3" s="1882"/>
      <c r="M3" s="1880"/>
      <c r="N3" s="1882"/>
      <c r="O3" s="1880"/>
      <c r="P3" s="1882"/>
      <c r="Q3" s="1880"/>
      <c r="R3" s="1882"/>
      <c r="S3" s="1635"/>
      <c r="T3" s="1635"/>
      <c r="U3" s="1635"/>
      <c r="V3" s="1635"/>
      <c r="W3" s="1635"/>
      <c r="X3" s="1635"/>
      <c r="Y3" s="1636"/>
    </row>
    <row r="4" spans="1:28" ht="18.75">
      <c r="A4" s="1879" t="str">
        <f>'Test Period'!B3</f>
        <v>Forecast Period 12 Months Ending December 2021</v>
      </c>
      <c r="B4" s="1880"/>
      <c r="C4" s="1881"/>
      <c r="D4" s="1881"/>
      <c r="E4" s="1882"/>
      <c r="F4" s="1880"/>
      <c r="G4" s="1882"/>
      <c r="H4" s="1636"/>
      <c r="I4" s="1636"/>
      <c r="J4" s="1882"/>
      <c r="K4" s="1880"/>
      <c r="L4" s="1882"/>
      <c r="M4" s="1880"/>
      <c r="N4" s="1882"/>
      <c r="O4" s="1880"/>
      <c r="P4" s="1882"/>
      <c r="Q4" s="1880"/>
      <c r="R4" s="1882"/>
      <c r="S4" s="1635"/>
      <c r="T4" s="1635"/>
      <c r="U4" s="1635"/>
      <c r="V4" s="1635"/>
      <c r="W4" s="1635"/>
      <c r="X4" s="1635"/>
      <c r="Y4" s="1636"/>
    </row>
    <row r="5" spans="1:28">
      <c r="C5" s="528"/>
      <c r="D5" s="528"/>
    </row>
    <row r="6" spans="1:28">
      <c r="C6" s="528"/>
      <c r="D6" s="528"/>
    </row>
    <row r="7" spans="1:28">
      <c r="C7" s="1883"/>
      <c r="D7" s="1883"/>
      <c r="F7" s="1884" t="s">
        <v>200</v>
      </c>
      <c r="G7" s="1884"/>
      <c r="H7" s="1639"/>
      <c r="I7" s="1639"/>
      <c r="K7" s="1884" t="s">
        <v>2329</v>
      </c>
      <c r="L7" s="1884"/>
      <c r="M7" s="1884"/>
      <c r="N7" s="1884"/>
      <c r="O7" s="1884"/>
      <c r="P7" s="1884"/>
      <c r="Q7" s="1884"/>
      <c r="R7" s="1884"/>
      <c r="S7" s="1639"/>
      <c r="T7" s="1639"/>
      <c r="U7" s="1639"/>
      <c r="V7" s="1639"/>
      <c r="W7" s="1639"/>
      <c r="X7" s="1639"/>
      <c r="Y7" s="1639"/>
    </row>
    <row r="8" spans="1:28">
      <c r="C8" s="1885" t="s">
        <v>1365</v>
      </c>
      <c r="D8" s="1885"/>
      <c r="F8" s="1886"/>
      <c r="G8" s="1887"/>
      <c r="H8" s="1640" t="s">
        <v>135</v>
      </c>
      <c r="I8" s="1640"/>
      <c r="K8" s="1888" t="s">
        <v>99</v>
      </c>
      <c r="L8" s="1888"/>
      <c r="M8" s="1888"/>
      <c r="N8" s="1888"/>
      <c r="O8" s="1888"/>
      <c r="P8" s="1888"/>
      <c r="Q8" s="1889"/>
      <c r="R8" s="2012"/>
      <c r="S8" s="1640" t="s">
        <v>1932</v>
      </c>
      <c r="T8" s="1640"/>
      <c r="U8" s="1640"/>
      <c r="V8" s="1640"/>
      <c r="W8" s="1640"/>
      <c r="X8" s="1640"/>
      <c r="Y8" s="1640"/>
      <c r="AA8" s="1890" t="s">
        <v>1740</v>
      </c>
      <c r="AB8" s="1104">
        <v>12</v>
      </c>
    </row>
    <row r="9" spans="1:28">
      <c r="C9" s="1891" t="s">
        <v>1366</v>
      </c>
      <c r="D9" s="1891" t="s">
        <v>445</v>
      </c>
      <c r="F9" s="1892" t="s">
        <v>99</v>
      </c>
      <c r="G9" s="1887"/>
      <c r="H9" s="1893" t="s">
        <v>1366</v>
      </c>
      <c r="I9" s="1893" t="s">
        <v>445</v>
      </c>
      <c r="K9" s="1894" t="s">
        <v>1660</v>
      </c>
      <c r="L9" s="1887"/>
      <c r="M9" s="1892" t="s">
        <v>1661</v>
      </c>
      <c r="N9" s="1887"/>
      <c r="O9" s="1892" t="s">
        <v>1662</v>
      </c>
      <c r="P9" s="1887"/>
      <c r="Q9" s="1892" t="s">
        <v>93</v>
      </c>
      <c r="R9" s="1887"/>
      <c r="S9" s="1641" t="s">
        <v>1660</v>
      </c>
      <c r="T9" s="1642"/>
      <c r="U9" s="1641" t="s">
        <v>1661</v>
      </c>
      <c r="V9" s="1642"/>
      <c r="W9" s="1641" t="s">
        <v>1662</v>
      </c>
      <c r="X9" s="1642"/>
      <c r="Y9" s="1641" t="s">
        <v>93</v>
      </c>
      <c r="AA9" s="1895"/>
      <c r="AB9" s="1896"/>
    </row>
    <row r="10" spans="1:28">
      <c r="A10" s="1897" t="s">
        <v>548</v>
      </c>
      <c r="C10" s="528"/>
      <c r="D10" s="528"/>
      <c r="AA10" s="1898" t="s">
        <v>1848</v>
      </c>
      <c r="AB10" s="1899"/>
    </row>
    <row r="11" spans="1:28">
      <c r="A11" s="1900" t="s">
        <v>685</v>
      </c>
      <c r="C11" s="528">
        <f>'123'!F15</f>
        <v>9213599.1333350316</v>
      </c>
      <c r="D11" s="528">
        <f>Bill!P7</f>
        <v>9344849.0845141169</v>
      </c>
      <c r="F11" s="1901"/>
      <c r="G11" s="1902"/>
      <c r="H11" s="1644"/>
      <c r="I11" s="1644"/>
      <c r="K11" s="1901"/>
      <c r="L11" s="1902"/>
      <c r="M11" s="1901"/>
      <c r="N11" s="1902"/>
      <c r="O11" s="1901"/>
      <c r="P11" s="1902"/>
      <c r="Q11" s="1901"/>
      <c r="R11" s="1902"/>
      <c r="S11" s="1643"/>
      <c r="T11" s="1643"/>
      <c r="U11" s="1643"/>
      <c r="V11" s="1643"/>
      <c r="W11" s="1643"/>
      <c r="X11" s="1643"/>
      <c r="Y11" s="1644"/>
      <c r="AA11" s="1903" t="s">
        <v>1741</v>
      </c>
      <c r="AB11" s="1904">
        <f>Y45+Y82+Y111+Y148+Y185+Y222</f>
        <v>779683142</v>
      </c>
    </row>
    <row r="12" spans="1:28">
      <c r="A12" s="1900" t="s">
        <v>683</v>
      </c>
      <c r="C12" s="528">
        <f>'123'!G15</f>
        <v>9198276.8000017013</v>
      </c>
      <c r="D12" s="528">
        <f>ROUND(C12/$C$11*$D$11,0)</f>
        <v>9329308</v>
      </c>
      <c r="F12" s="1901">
        <v>6</v>
      </c>
      <c r="G12" s="1902"/>
      <c r="H12" s="1644">
        <f t="shared" ref="H12:I26" si="0">ROUND($F12*C12,0)</f>
        <v>55189661</v>
      </c>
      <c r="I12" s="1644">
        <f t="shared" si="0"/>
        <v>55975848</v>
      </c>
      <c r="K12" s="1901"/>
      <c r="L12" s="1902"/>
      <c r="M12" s="1901"/>
      <c r="N12" s="1902"/>
      <c r="O12" s="1901"/>
      <c r="P12" s="1902"/>
      <c r="Q12" s="1901"/>
      <c r="R12" s="1902"/>
      <c r="S12" s="1643"/>
      <c r="T12" s="1643"/>
      <c r="U12" s="1643"/>
      <c r="V12" s="1643"/>
      <c r="W12" s="1643"/>
      <c r="X12" s="1643"/>
      <c r="Y12" s="1644"/>
      <c r="AA12" s="1905" t="s">
        <v>1742</v>
      </c>
      <c r="AB12" s="1906">
        <f>SUM(RateSpread!M14:M19)*1000</f>
        <v>779683139.85759997</v>
      </c>
    </row>
    <row r="13" spans="1:28">
      <c r="A13" s="1900" t="s">
        <v>1581</v>
      </c>
      <c r="C13" s="528">
        <f>C12-C14</f>
        <v>7040550.9333351729</v>
      </c>
      <c r="D13" s="528">
        <f>D12-D14</f>
        <v>7140845</v>
      </c>
      <c r="F13" s="1901"/>
      <c r="G13" s="1902"/>
      <c r="H13" s="1644"/>
      <c r="I13" s="1644"/>
      <c r="K13" s="1907">
        <f>Q13</f>
        <v>10</v>
      </c>
      <c r="L13" s="1110"/>
      <c r="M13" s="1907"/>
      <c r="N13" s="1110"/>
      <c r="O13" s="1907"/>
      <c r="P13" s="1902"/>
      <c r="Q13" s="1901">
        <v>10</v>
      </c>
      <c r="R13" s="1902"/>
      <c r="S13" s="1146">
        <f>MIN($S$45-$S$41,Y13)</f>
        <v>71408450</v>
      </c>
      <c r="T13" s="1629"/>
      <c r="U13" s="1146"/>
      <c r="V13" s="1629"/>
      <c r="W13" s="1146"/>
      <c r="X13" s="1643"/>
      <c r="Y13" s="1644">
        <f>ROUND($D13*Q13,0)</f>
        <v>71408450</v>
      </c>
      <c r="AA13" s="1908" t="s">
        <v>87</v>
      </c>
      <c r="AB13" s="1909">
        <f>AB12-AB11</f>
        <v>-2.1424000263214111</v>
      </c>
    </row>
    <row r="14" spans="1:28">
      <c r="A14" s="1900" t="s">
        <v>1582</v>
      </c>
      <c r="C14" s="528">
        <f>'123'!AN15</f>
        <v>2157725.8666665284</v>
      </c>
      <c r="D14" s="528">
        <f>ROUND(C14/C12*D12,0)</f>
        <v>2188463</v>
      </c>
      <c r="F14" s="1901"/>
      <c r="G14" s="1902"/>
      <c r="H14" s="1644"/>
      <c r="I14" s="1644"/>
      <c r="K14" s="1907">
        <f>Q14</f>
        <v>6</v>
      </c>
      <c r="L14" s="1110"/>
      <c r="M14" s="1907"/>
      <c r="N14" s="1110"/>
      <c r="O14" s="1907"/>
      <c r="P14" s="1902"/>
      <c r="Q14" s="1901">
        <v>6</v>
      </c>
      <c r="R14" s="1902"/>
      <c r="S14" s="1146">
        <f>MIN($S$45-$S$41-$S$13,Y14)</f>
        <v>13130778</v>
      </c>
      <c r="T14" s="1629"/>
      <c r="U14" s="1146"/>
      <c r="V14" s="1629"/>
      <c r="W14" s="1146"/>
      <c r="X14" s="1643"/>
      <c r="Y14" s="1644">
        <f>ROUND($D14*Q14,0)</f>
        <v>13130778</v>
      </c>
      <c r="AA14" s="1104"/>
      <c r="AB14" s="1497"/>
    </row>
    <row r="15" spans="1:28">
      <c r="A15" s="1900" t="s">
        <v>684</v>
      </c>
      <c r="C15" s="528">
        <f>'123'!H15</f>
        <v>15322.33333333333</v>
      </c>
      <c r="D15" s="528">
        <f>D11-D12</f>
        <v>15541.084514116868</v>
      </c>
      <c r="F15" s="1901">
        <v>12</v>
      </c>
      <c r="G15" s="1902"/>
      <c r="H15" s="1644">
        <f t="shared" si="0"/>
        <v>183868</v>
      </c>
      <c r="I15" s="1644">
        <f t="shared" si="0"/>
        <v>186493</v>
      </c>
      <c r="K15" s="1907"/>
      <c r="L15" s="1110"/>
      <c r="M15" s="1907"/>
      <c r="N15" s="1110"/>
      <c r="O15" s="1907"/>
      <c r="P15" s="1902"/>
      <c r="Q15" s="1901"/>
      <c r="R15" s="1902"/>
      <c r="S15" s="1629"/>
      <c r="T15" s="1629"/>
      <c r="U15" s="1629"/>
      <c r="V15" s="1629"/>
      <c r="W15" s="1629"/>
      <c r="X15" s="1643"/>
      <c r="Y15" s="1644"/>
      <c r="AA15" s="1903" t="s">
        <v>1743</v>
      </c>
      <c r="AB15" s="1910">
        <f>AB11/(I45+I82+I111+I148+I185+I222)-1</f>
        <v>6.714673661937387E-2</v>
      </c>
    </row>
    <row r="16" spans="1:28">
      <c r="A16" s="1900" t="s">
        <v>1581</v>
      </c>
      <c r="C16" s="528">
        <f>C15-C17</f>
        <v>3278.3999999999996</v>
      </c>
      <c r="D16" s="528">
        <f>D15-D17</f>
        <v>3325.0845141168684</v>
      </c>
      <c r="F16" s="1901"/>
      <c r="G16" s="1902"/>
      <c r="H16" s="1644"/>
      <c r="I16" s="1644"/>
      <c r="K16" s="1907">
        <f t="shared" ref="K16:K19" si="1">Q16</f>
        <v>20</v>
      </c>
      <c r="L16" s="1110"/>
      <c r="M16" s="1907"/>
      <c r="N16" s="1110"/>
      <c r="O16" s="1907"/>
      <c r="P16" s="1902"/>
      <c r="Q16" s="1901">
        <f>Q13*2</f>
        <v>20</v>
      </c>
      <c r="R16" s="1902"/>
      <c r="S16" s="1146">
        <f>MIN($S$45-$S$41-$S$13-$S$14,Y16)</f>
        <v>66502</v>
      </c>
      <c r="T16" s="1629"/>
      <c r="U16" s="1146"/>
      <c r="V16" s="1629"/>
      <c r="W16" s="1146"/>
      <c r="X16" s="1643"/>
      <c r="Y16" s="1644">
        <f t="shared" ref="Y16:Y19" si="2">ROUND($D16*Q16,0)</f>
        <v>66502</v>
      </c>
      <c r="AA16" s="1905" t="s">
        <v>1744</v>
      </c>
      <c r="AB16" s="1911">
        <f>AB12/(I45+I82+I111+I148+I185+I222)-1</f>
        <v>6.7146733687086346E-2</v>
      </c>
    </row>
    <row r="17" spans="1:29">
      <c r="A17" s="1900" t="s">
        <v>1582</v>
      </c>
      <c r="C17" s="528">
        <f>'123'!AO15</f>
        <v>12043.933333333331</v>
      </c>
      <c r="D17" s="528">
        <f>ROUND(C17/C15*D15,0)</f>
        <v>12216</v>
      </c>
      <c r="F17" s="1901"/>
      <c r="G17" s="1902"/>
      <c r="H17" s="1644"/>
      <c r="I17" s="1644"/>
      <c r="K17" s="1907">
        <f t="shared" si="1"/>
        <v>12</v>
      </c>
      <c r="L17" s="1110"/>
      <c r="M17" s="1907"/>
      <c r="N17" s="1110"/>
      <c r="O17" s="1907"/>
      <c r="P17" s="1902"/>
      <c r="Q17" s="1901">
        <f>Q14*2</f>
        <v>12</v>
      </c>
      <c r="R17" s="1902"/>
      <c r="S17" s="1146">
        <f>MIN($S$45-$S$41-$S$13-$S$14-$S$16,Y17)</f>
        <v>146592</v>
      </c>
      <c r="T17" s="1629"/>
      <c r="U17" s="1146"/>
      <c r="V17" s="1629"/>
      <c r="W17" s="1146"/>
      <c r="X17" s="1643"/>
      <c r="Y17" s="1644">
        <f t="shared" si="2"/>
        <v>146592</v>
      </c>
      <c r="AA17" s="1905" t="s">
        <v>1745</v>
      </c>
      <c r="AB17" s="1912">
        <f>(AB12-SUM(Y13:Y28,Y41:Y42,Y50:Y65,Y78:Y79,Y87:Y93,Y107:Y108,Y116:Y131,Y144:Y145,Y153:Y168,Y181:Y182,Y190:Y205,Y218:Y219))/SUM(I36:I40,I73:I77,I102:I106,I139:I143,I176:I180,I213:I217)-1</f>
        <v>-1.2966545132734542E-2</v>
      </c>
    </row>
    <row r="18" spans="1:29">
      <c r="A18" s="1900" t="s">
        <v>1236</v>
      </c>
      <c r="C18" s="528">
        <f>'123'!AE15</f>
        <v>0</v>
      </c>
      <c r="D18" s="528">
        <f t="shared" ref="D18:D23" si="3">ROUND(C18/$C$11*$D$11,0)</f>
        <v>0</v>
      </c>
      <c r="F18" s="1901">
        <v>2</v>
      </c>
      <c r="G18" s="1902"/>
      <c r="H18" s="1644">
        <f t="shared" si="0"/>
        <v>0</v>
      </c>
      <c r="I18" s="1644">
        <f t="shared" si="0"/>
        <v>0</v>
      </c>
      <c r="K18" s="1907">
        <f t="shared" si="1"/>
        <v>2</v>
      </c>
      <c r="L18" s="1110"/>
      <c r="M18" s="1907"/>
      <c r="N18" s="1110"/>
      <c r="O18" s="1907"/>
      <c r="P18" s="1902"/>
      <c r="Q18" s="1901">
        <v>2</v>
      </c>
      <c r="R18" s="1902"/>
      <c r="S18" s="1146">
        <f>MIN($S$45-$S$41-$S$13-$S$14-$S$16-$S$17,Y18)</f>
        <v>0</v>
      </c>
      <c r="T18" s="1629"/>
      <c r="U18" s="1146"/>
      <c r="V18" s="1629"/>
      <c r="W18" s="1146"/>
      <c r="X18" s="1643"/>
      <c r="Y18" s="1644">
        <f t="shared" si="2"/>
        <v>0</v>
      </c>
      <c r="AA18" s="1913" t="s">
        <v>1749</v>
      </c>
      <c r="AB18" s="1914">
        <v>1.1299999999999999</v>
      </c>
    </row>
    <row r="19" spans="1:29">
      <c r="A19" s="1900" t="s">
        <v>1301</v>
      </c>
      <c r="C19" s="528">
        <f>'123'!AM15</f>
        <v>249.56681818181821</v>
      </c>
      <c r="D19" s="528">
        <f t="shared" si="3"/>
        <v>253</v>
      </c>
      <c r="F19" s="1901">
        <v>22</v>
      </c>
      <c r="G19" s="1902"/>
      <c r="H19" s="1644">
        <f t="shared" si="0"/>
        <v>5490</v>
      </c>
      <c r="I19" s="1644">
        <f t="shared" si="0"/>
        <v>5566</v>
      </c>
      <c r="K19" s="1907">
        <f t="shared" si="1"/>
        <v>22</v>
      </c>
      <c r="L19" s="1110"/>
      <c r="M19" s="1907"/>
      <c r="N19" s="1110"/>
      <c r="O19" s="1907"/>
      <c r="P19" s="1902"/>
      <c r="Q19" s="1901">
        <v>22</v>
      </c>
      <c r="R19" s="1902"/>
      <c r="S19" s="1146">
        <f>MIN($S$45-$S$41-$S$13-$S$14-$S$16-$S$17-$S$18,Y19)</f>
        <v>5566</v>
      </c>
      <c r="T19" s="1629"/>
      <c r="U19" s="1146"/>
      <c r="V19" s="1629"/>
      <c r="W19" s="1146"/>
      <c r="X19" s="1643"/>
      <c r="Y19" s="1644">
        <f t="shared" si="2"/>
        <v>5566</v>
      </c>
      <c r="AA19" s="1913" t="s">
        <v>1750</v>
      </c>
      <c r="AB19" s="1914">
        <f>F37-F36</f>
        <v>2.6930999999999994</v>
      </c>
    </row>
    <row r="20" spans="1:29">
      <c r="A20" s="1900" t="s">
        <v>243</v>
      </c>
      <c r="C20" s="528">
        <f>'123'!I15</f>
        <v>17041.058750000539</v>
      </c>
      <c r="D20" s="528">
        <f t="shared" si="3"/>
        <v>17284</v>
      </c>
      <c r="F20" s="1901">
        <v>8</v>
      </c>
      <c r="G20" s="1902"/>
      <c r="H20" s="1644">
        <f t="shared" si="0"/>
        <v>136328</v>
      </c>
      <c r="I20" s="1644">
        <f t="shared" si="0"/>
        <v>138272</v>
      </c>
      <c r="K20" s="1907"/>
      <c r="L20" s="1110"/>
      <c r="M20" s="1907"/>
      <c r="N20" s="1110"/>
      <c r="O20" s="1907"/>
      <c r="P20" s="1902"/>
      <c r="Q20" s="1901"/>
      <c r="R20" s="1902"/>
      <c r="S20" s="1629"/>
      <c r="T20" s="1629"/>
      <c r="U20" s="1629"/>
      <c r="V20" s="1629"/>
      <c r="W20" s="1629"/>
      <c r="X20" s="1643"/>
      <c r="Y20" s="1644"/>
      <c r="AA20" s="1915" t="s">
        <v>1678</v>
      </c>
      <c r="AB20" s="1916">
        <f>SUM(Y13:Y19,Y50:Y56,Y87:Y93,Y116:Y122,Y153:Y159,Y190:Y196)/SUM(I12:I26,I49:I63,I86:I100,I115:I129,I152:I166,I189:I203)-1</f>
        <v>0.48915429104306085</v>
      </c>
    </row>
    <row r="21" spans="1:29">
      <c r="A21" s="1900" t="s">
        <v>1581</v>
      </c>
      <c r="C21" s="528">
        <f>C20-C22</f>
        <v>11907.49875000057</v>
      </c>
      <c r="D21" s="528">
        <f>D20-D22</f>
        <v>12077</v>
      </c>
      <c r="F21" s="1901"/>
      <c r="G21" s="1902"/>
      <c r="H21" s="1644"/>
      <c r="I21" s="1644"/>
      <c r="K21" s="1907"/>
      <c r="L21" s="1110"/>
      <c r="M21" s="1907"/>
      <c r="N21" s="1110"/>
      <c r="O21" s="1907"/>
      <c r="P21" s="1902"/>
      <c r="Q21" s="1901"/>
      <c r="R21" s="1902"/>
      <c r="S21" s="1629"/>
      <c r="T21" s="1629"/>
      <c r="U21" s="1629"/>
      <c r="V21" s="1629"/>
      <c r="W21" s="1629"/>
      <c r="X21" s="1643"/>
      <c r="Y21" s="1644"/>
      <c r="AA21" s="1104" t="s">
        <v>1743</v>
      </c>
      <c r="AB21" s="1890">
        <f>Y45/I45-1</f>
        <v>6.6523141556861676E-2</v>
      </c>
    </row>
    <row r="22" spans="1:29">
      <c r="A22" s="1900" t="s">
        <v>1582</v>
      </c>
      <c r="C22" s="528">
        <f>'123'!AP15</f>
        <v>5133.5599999999695</v>
      </c>
      <c r="D22" s="528">
        <f>ROUND(C22/C20*D20,0)</f>
        <v>5207</v>
      </c>
      <c r="F22" s="1901"/>
      <c r="G22" s="1902"/>
      <c r="H22" s="1644"/>
      <c r="I22" s="1644"/>
      <c r="K22" s="1907"/>
      <c r="L22" s="1110"/>
      <c r="M22" s="1907"/>
      <c r="N22" s="1110"/>
      <c r="O22" s="1907"/>
      <c r="P22" s="1902"/>
      <c r="Q22" s="1901"/>
      <c r="R22" s="1902"/>
      <c r="S22" s="1629"/>
      <c r="T22" s="1629"/>
      <c r="U22" s="1629"/>
      <c r="V22" s="1629"/>
      <c r="W22" s="1629"/>
      <c r="X22" s="1643"/>
      <c r="Y22" s="1644"/>
      <c r="AA22" s="1109" t="s">
        <v>1938</v>
      </c>
      <c r="AB22" s="1917">
        <f>RateSpread!W21*1000</f>
        <v>-21159630.113043312</v>
      </c>
      <c r="AC22" s="1918">
        <f>ROUND(AB22/SUM(Y29:Y41,Y66:Y78,Y102:Y107,Y130:Y144,Y169:Y181,Y206:Y218),4)</f>
        <v>-3.0800000000000001E-2</v>
      </c>
    </row>
    <row r="23" spans="1:29">
      <c r="A23" s="1900" t="s">
        <v>244</v>
      </c>
      <c r="C23" s="528">
        <f>'123'!J15</f>
        <v>28.496875000000003</v>
      </c>
      <c r="D23" s="528">
        <f t="shared" si="3"/>
        <v>29</v>
      </c>
      <c r="F23" s="1901">
        <v>16</v>
      </c>
      <c r="G23" s="597"/>
      <c r="H23" s="1644">
        <f t="shared" si="0"/>
        <v>456</v>
      </c>
      <c r="I23" s="1644">
        <f t="shared" si="0"/>
        <v>464</v>
      </c>
      <c r="K23" s="1907"/>
      <c r="L23" s="617"/>
      <c r="M23" s="1907"/>
      <c r="N23" s="617"/>
      <c r="O23" s="1907"/>
      <c r="P23" s="597"/>
      <c r="Q23" s="1901"/>
      <c r="R23" s="597"/>
      <c r="S23" s="1114"/>
      <c r="T23" s="1114"/>
      <c r="U23" s="1114"/>
      <c r="V23" s="1114"/>
      <c r="W23" s="1114"/>
      <c r="X23" s="1645"/>
      <c r="Y23" s="1644"/>
      <c r="AA23" s="1109" t="s">
        <v>1939</v>
      </c>
      <c r="AB23" s="1917">
        <f>RateSpread!X21*1000</f>
        <v>-11485935.78520876</v>
      </c>
      <c r="AC23" s="1918">
        <f>ROUND(AB23/SUM(Y29:Y41,Y66:Y78,Y102:Y107,Y130:Y144,Y169:Y181,Y206:Y218),4)</f>
        <v>-1.67E-2</v>
      </c>
    </row>
    <row r="24" spans="1:29">
      <c r="A24" s="1900" t="s">
        <v>1581</v>
      </c>
      <c r="C24" s="528">
        <f>C23-C25</f>
        <v>6.9375000000000036</v>
      </c>
      <c r="D24" s="528">
        <f>D23-D25</f>
        <v>7</v>
      </c>
      <c r="F24" s="1901"/>
      <c r="G24" s="1902"/>
      <c r="H24" s="1644"/>
      <c r="I24" s="1644"/>
      <c r="K24" s="1907"/>
      <c r="L24" s="1110"/>
      <c r="M24" s="1907"/>
      <c r="N24" s="1110"/>
      <c r="O24" s="1907"/>
      <c r="P24" s="1902"/>
      <c r="Q24" s="1901"/>
      <c r="R24" s="1902"/>
      <c r="S24" s="1629"/>
      <c r="T24" s="1629"/>
      <c r="U24" s="1629"/>
      <c r="V24" s="1629"/>
      <c r="W24" s="1629"/>
      <c r="X24" s="1643"/>
      <c r="Y24" s="1644"/>
    </row>
    <row r="25" spans="1:29">
      <c r="A25" s="1900" t="s">
        <v>1582</v>
      </c>
      <c r="C25" s="528">
        <f>'123'!AQ15</f>
        <v>21.559374999999999</v>
      </c>
      <c r="D25" s="528">
        <f>ROUND(C25/C23*D23,0)</f>
        <v>22</v>
      </c>
      <c r="F25" s="1901"/>
      <c r="G25" s="1902"/>
      <c r="H25" s="1644"/>
      <c r="I25" s="1644"/>
      <c r="K25" s="1907"/>
      <c r="L25" s="1110"/>
      <c r="M25" s="1907"/>
      <c r="N25" s="1110"/>
      <c r="O25" s="1907"/>
      <c r="P25" s="1902"/>
      <c r="Q25" s="1901"/>
      <c r="R25" s="1902"/>
      <c r="S25" s="1629"/>
      <c r="T25" s="1629"/>
      <c r="U25" s="1629"/>
      <c r="V25" s="1629"/>
      <c r="W25" s="1629"/>
      <c r="X25" s="1643"/>
      <c r="Y25" s="1644"/>
      <c r="AA25" s="1104" t="s">
        <v>1746</v>
      </c>
      <c r="AB25" s="1919">
        <f>ROUND(D45/(D11),0)</f>
        <v>675</v>
      </c>
    </row>
    <row r="26" spans="1:29">
      <c r="A26" s="1900" t="s">
        <v>245</v>
      </c>
      <c r="C26" s="528">
        <f>'123'!AL15</f>
        <v>4.2413541666666674</v>
      </c>
      <c r="D26" s="528">
        <f>ROUND(C26/$C$11*$D$11,0)</f>
        <v>4</v>
      </c>
      <c r="F26" s="1901">
        <v>96</v>
      </c>
      <c r="G26" s="597"/>
      <c r="H26" s="1644">
        <f t="shared" si="0"/>
        <v>407</v>
      </c>
      <c r="I26" s="1644">
        <f t="shared" si="0"/>
        <v>384</v>
      </c>
      <c r="K26" s="1907"/>
      <c r="L26" s="617"/>
      <c r="M26" s="1907"/>
      <c r="N26" s="617"/>
      <c r="O26" s="1907"/>
      <c r="P26" s="597"/>
      <c r="Q26" s="1901"/>
      <c r="R26" s="597"/>
      <c r="S26" s="1114"/>
      <c r="T26" s="1114"/>
      <c r="U26" s="1114"/>
      <c r="V26" s="1114"/>
      <c r="W26" s="1114"/>
      <c r="X26" s="1645"/>
      <c r="Y26" s="1644"/>
      <c r="AA26" s="1104" t="s">
        <v>1747</v>
      </c>
      <c r="AB26" s="1919">
        <f>ROUND(SUM(D29:D31,(D41+D44)*4/12)/((D11)*4/12),0)</f>
        <v>826</v>
      </c>
    </row>
    <row r="27" spans="1:29">
      <c r="A27" s="1900" t="s">
        <v>1532</v>
      </c>
      <c r="C27" s="528">
        <f>'123'!S8+'123May'!J15</f>
        <v>0</v>
      </c>
      <c r="D27" s="528">
        <f>ROUND(C27/SUM($C$29:$C$31)*(Energy!$Q$7-Energy!$Q$7/Energy!$P$7*($D$41+$D$44)),0)</f>
        <v>0</v>
      </c>
      <c r="F27" s="1920"/>
      <c r="G27" s="1921"/>
      <c r="H27" s="1644"/>
      <c r="I27" s="1644"/>
      <c r="K27" s="1922"/>
      <c r="L27" s="1921"/>
      <c r="M27" s="1922"/>
      <c r="N27" s="1921"/>
      <c r="O27" s="1922">
        <f>Q27</f>
        <v>4.3559999999999999</v>
      </c>
      <c r="P27" s="1921" t="s">
        <v>495</v>
      </c>
      <c r="Q27" s="1920">
        <v>4.3559999999999999</v>
      </c>
      <c r="R27" s="1921" t="s">
        <v>495</v>
      </c>
      <c r="S27" s="1644">
        <f>ROUND($D27*K27/100,0)</f>
        <v>0</v>
      </c>
      <c r="T27" s="1656"/>
      <c r="U27" s="1644">
        <f>ROUND($D27*M27/100,0)</f>
        <v>0</v>
      </c>
      <c r="V27" s="1656"/>
      <c r="W27" s="1644">
        <f>ROUND($D27*O27/100,0)</f>
        <v>0</v>
      </c>
      <c r="X27" s="1648"/>
      <c r="Y27" s="1644">
        <f>ROUND($D27*Q27/100,0)</f>
        <v>0</v>
      </c>
      <c r="AA27" s="1104" t="s">
        <v>1748</v>
      </c>
      <c r="AB27" s="1919">
        <f>ROUND(SUM(D32:D33,(D41+D44)*8/12)/((D11)*8/12),0)</f>
        <v>599</v>
      </c>
    </row>
    <row r="28" spans="1:29">
      <c r="A28" s="1900" t="s">
        <v>1533</v>
      </c>
      <c r="C28" s="528">
        <f>'123'!T8+'123May'!K15</f>
        <v>0</v>
      </c>
      <c r="D28" s="528">
        <f>ROUND(C28/SUM($C$29:$C$31)*(Energy!$Q$7-Energy!$Q$7/Energy!$P$7*($D$41+$D$44)),0)</f>
        <v>0</v>
      </c>
      <c r="F28" s="1920"/>
      <c r="G28" s="1921"/>
      <c r="H28" s="1644"/>
      <c r="I28" s="1644"/>
      <c r="K28" s="1922"/>
      <c r="L28" s="1921"/>
      <c r="M28" s="1922"/>
      <c r="N28" s="1921"/>
      <c r="O28" s="1922">
        <f>Q28</f>
        <v>-1.6334</v>
      </c>
      <c r="P28" s="1921" t="s">
        <v>495</v>
      </c>
      <c r="Q28" s="1920">
        <v>-1.6334</v>
      </c>
      <c r="R28" s="1921" t="s">
        <v>495</v>
      </c>
      <c r="S28" s="1644">
        <f>ROUND($D28*K28/100,0)</f>
        <v>0</v>
      </c>
      <c r="T28" s="1656"/>
      <c r="U28" s="1644">
        <f>ROUND($D28*M28/100,0)</f>
        <v>0</v>
      </c>
      <c r="V28" s="1656"/>
      <c r="W28" s="1644">
        <f>ROUND($D28*O28/100,0)</f>
        <v>0</v>
      </c>
      <c r="X28" s="1648"/>
      <c r="Y28" s="1644">
        <f>ROUND($D28*Q28/100,0)</f>
        <v>0</v>
      </c>
    </row>
    <row r="29" spans="1:29">
      <c r="A29" s="1900" t="s">
        <v>1534</v>
      </c>
      <c r="C29" s="584">
        <f>'123'!P15+'123'!AG15+TempRevMay!C303-TempRevMay!M303-TempRevMay!M309+'123May'!G15+'123May'!Q15</f>
        <v>1077210897.9091563</v>
      </c>
      <c r="D29" s="528">
        <f>D45-SUM(D30:D33,D41:D44)</f>
        <v>1080475944.5283775</v>
      </c>
      <c r="F29" s="1923"/>
      <c r="G29" s="1921"/>
      <c r="H29" s="1644"/>
      <c r="I29" s="1644"/>
      <c r="K29" s="1924">
        <f>ROUND((S45-SUM(S13:S28,))/SUM($D$29:$D$33,$D$41)*100,4)</f>
        <v>4.4294000000000002</v>
      </c>
      <c r="L29" s="1921" t="s">
        <v>495</v>
      </c>
      <c r="M29" s="1924">
        <f>ROUND((U45-SUM(U13:U28,U41))/SUM($D$29:$D$33)*100,4)</f>
        <v>3.7040999999999999</v>
      </c>
      <c r="N29" s="1921" t="s">
        <v>495</v>
      </c>
      <c r="O29" s="1924">
        <f>Q29-K29-M29</f>
        <v>1.3645863008434289</v>
      </c>
      <c r="P29" s="1921" t="s">
        <v>495</v>
      </c>
      <c r="Q29" s="1923">
        <f>(AB12-SUM(Y13:Y19,Y27:Y28,Y41,Y50:Y56,Y64:Y65,Y78,Y111,Y116:Y122,Y130:Y131,Y144,Y153:Y159,Y167:Y168,Y181,Y190:Y196,Y204:Y205,Y218)-AB19/100*(D30+D31+D67+D68+D133+D134+D170+D171+D207+D208+1/AB18*(D33+D70+D136+D173+D210)))/(SUM(D29:D31,D66:D68,D132:D134,D169:D171,D206:D208)+1/AB18*SUM(D32:D33,D69:D70,D135:D136,D172:D173,D209:D210))*100</f>
        <v>9.4980863008434291</v>
      </c>
      <c r="R29" s="1921" t="s">
        <v>495</v>
      </c>
      <c r="S29" s="1644">
        <f t="shared" ref="S29:Y33" si="4">ROUND($D29*K29/100,0)</f>
        <v>47858601</v>
      </c>
      <c r="T29" s="1656"/>
      <c r="U29" s="1644">
        <f t="shared" si="4"/>
        <v>40021909</v>
      </c>
      <c r="V29" s="1656"/>
      <c r="W29" s="1644">
        <f t="shared" si="4"/>
        <v>14744027</v>
      </c>
      <c r="X29" s="1648"/>
      <c r="Y29" s="1644">
        <f t="shared" si="4"/>
        <v>102624538</v>
      </c>
    </row>
    <row r="30" spans="1:29">
      <c r="A30" s="1900" t="s">
        <v>1535</v>
      </c>
      <c r="C30" s="584">
        <f>'123'!Q15+'123'!AH15+TempRevMay!C304-TempRevMay!M304-TempRevMay!M310+'123May'!H15+'123May'!R15</f>
        <v>957148336.15566492</v>
      </c>
      <c r="D30" s="528">
        <f>ROUND(C30/SUM($C$29:$C$31)*(Energy!$S$7-Energy!$S$7/Energy!$P$7*($D$41+$D$44)),0)</f>
        <v>960049471</v>
      </c>
      <c r="F30" s="1923"/>
      <c r="G30" s="1921"/>
      <c r="H30" s="1644"/>
      <c r="I30" s="1644"/>
      <c r="K30" s="1924">
        <f>$K$29</f>
        <v>4.4294000000000002</v>
      </c>
      <c r="L30" s="1921" t="s">
        <v>495</v>
      </c>
      <c r="M30" s="1924">
        <f>$M$29</f>
        <v>3.7040999999999999</v>
      </c>
      <c r="N30" s="1921" t="s">
        <v>495</v>
      </c>
      <c r="O30" s="1924">
        <f t="shared" ref="O30:O33" si="5">Q30-K30-M30</f>
        <v>4.0576863008434287</v>
      </c>
      <c r="P30" s="1921" t="s">
        <v>495</v>
      </c>
      <c r="Q30" s="1923">
        <f>Q29+AB19</f>
        <v>12.191186300843428</v>
      </c>
      <c r="R30" s="1921" t="s">
        <v>495</v>
      </c>
      <c r="S30" s="1644">
        <f t="shared" si="4"/>
        <v>42524431</v>
      </c>
      <c r="T30" s="1656"/>
      <c r="U30" s="1644">
        <f t="shared" si="4"/>
        <v>35561192</v>
      </c>
      <c r="V30" s="1656"/>
      <c r="W30" s="1644">
        <f t="shared" si="4"/>
        <v>38955796</v>
      </c>
      <c r="X30" s="1648"/>
      <c r="Y30" s="1644">
        <f t="shared" si="4"/>
        <v>117041420</v>
      </c>
    </row>
    <row r="31" spans="1:29">
      <c r="A31" s="1900" t="s">
        <v>1536</v>
      </c>
      <c r="C31" s="584">
        <f>'123'!R15+'123'!AI15+TempRevMay!C305-TempRevMay!M305-TempRevMay!M311+'123May'!I15+'123May'!S15</f>
        <v>526195990.2398017</v>
      </c>
      <c r="D31" s="528">
        <f>ROUND(C31/SUM($C$29:$C$31)*(Energy!$S$7-Energy!$S$7/Energy!$P$7*($D$41+$D$44)),0)</f>
        <v>527790900</v>
      </c>
      <c r="F31" s="1923"/>
      <c r="G31" s="1921"/>
      <c r="H31" s="1644"/>
      <c r="I31" s="1644"/>
      <c r="K31" s="1924">
        <f t="shared" ref="K31:K33" si="6">$K$29</f>
        <v>4.4294000000000002</v>
      </c>
      <c r="L31" s="1921" t="s">
        <v>495</v>
      </c>
      <c r="M31" s="1924">
        <f t="shared" ref="M31:M33" si="7">$M$29</f>
        <v>3.7040999999999999</v>
      </c>
      <c r="N31" s="1921" t="s">
        <v>495</v>
      </c>
      <c r="O31" s="1924">
        <f t="shared" si="5"/>
        <v>4.0576863008434287</v>
      </c>
      <c r="P31" s="1921" t="s">
        <v>495</v>
      </c>
      <c r="Q31" s="1923">
        <f>Q30</f>
        <v>12.191186300843428</v>
      </c>
      <c r="R31" s="1921" t="s">
        <v>495</v>
      </c>
      <c r="S31" s="1644">
        <f t="shared" si="4"/>
        <v>23377970</v>
      </c>
      <c r="T31" s="1656"/>
      <c r="U31" s="1644">
        <f t="shared" si="4"/>
        <v>19549903</v>
      </c>
      <c r="V31" s="1656"/>
      <c r="W31" s="1644">
        <f t="shared" si="4"/>
        <v>21416099</v>
      </c>
      <c r="X31" s="1648"/>
      <c r="Y31" s="1644">
        <f t="shared" si="4"/>
        <v>64343972</v>
      </c>
    </row>
    <row r="32" spans="1:29">
      <c r="A32" s="1900" t="s">
        <v>1537</v>
      </c>
      <c r="B32" s="1925"/>
      <c r="C32" s="584">
        <f>'123'!M15+'123'!AJ15+TempRevMay!C306-TempRevMay!M306-TempRevMay!M312+'123May'!D15+'123May'!T15</f>
        <v>2155017817.4209166</v>
      </c>
      <c r="D32" s="528">
        <f>ROUND(C32/SUM($C$32:$C$33)*(Energy!$T$7-Energy!$T$7/Energy!$P$7*($D$41+$D$44)),0)</f>
        <v>2051977461</v>
      </c>
      <c r="E32" s="549"/>
      <c r="F32" s="1926"/>
      <c r="G32" s="1921"/>
      <c r="H32" s="1644"/>
      <c r="I32" s="1644"/>
      <c r="J32" s="549"/>
      <c r="K32" s="1924">
        <f t="shared" si="6"/>
        <v>4.4294000000000002</v>
      </c>
      <c r="L32" s="1921" t="s">
        <v>495</v>
      </c>
      <c r="M32" s="1924">
        <f t="shared" si="7"/>
        <v>3.7040999999999999</v>
      </c>
      <c r="N32" s="1921" t="s">
        <v>495</v>
      </c>
      <c r="O32" s="1924">
        <f t="shared" si="5"/>
        <v>0.27188610694099991</v>
      </c>
      <c r="P32" s="1921" t="s">
        <v>495</v>
      </c>
      <c r="Q32" s="1926">
        <f>ROUND(Q29/$AB$18,$AB$8)</f>
        <v>8.4053861069410001</v>
      </c>
      <c r="R32" s="1921" t="s">
        <v>495</v>
      </c>
      <c r="S32" s="1644">
        <f t="shared" si="4"/>
        <v>90890290</v>
      </c>
      <c r="T32" s="1656"/>
      <c r="U32" s="1644">
        <f t="shared" si="4"/>
        <v>76007297</v>
      </c>
      <c r="V32" s="1656"/>
      <c r="W32" s="1644">
        <f t="shared" si="4"/>
        <v>5579042</v>
      </c>
      <c r="X32" s="1648"/>
      <c r="Y32" s="1644">
        <f t="shared" si="4"/>
        <v>172476628</v>
      </c>
    </row>
    <row r="33" spans="1:31">
      <c r="A33" s="1900" t="s">
        <v>1538</v>
      </c>
      <c r="B33" s="1925"/>
      <c r="C33" s="584">
        <f>'123'!N15+'123'!AK15+TempRevMay!C307-TempRevMay!M307-TempRevMay!M313+'123May'!E15+'123May'!U15</f>
        <v>1755463780.2307222</v>
      </c>
      <c r="D33" s="528">
        <f>ROUND(C33/SUM($C$32:$C$33)*(Energy!$T$7-Energy!$T$7/Energy!$P$7*($D$41+$D$44)),0)</f>
        <v>1671527763</v>
      </c>
      <c r="E33" s="549"/>
      <c r="F33" s="1926"/>
      <c r="G33" s="1921"/>
      <c r="H33" s="1644"/>
      <c r="I33" s="1644"/>
      <c r="J33" s="549"/>
      <c r="K33" s="1924">
        <f t="shared" si="6"/>
        <v>4.4294000000000002</v>
      </c>
      <c r="L33" s="1921" t="s">
        <v>495</v>
      </c>
      <c r="M33" s="1924">
        <f t="shared" si="7"/>
        <v>3.7040999999999999</v>
      </c>
      <c r="N33" s="1921" t="s">
        <v>495</v>
      </c>
      <c r="O33" s="1924">
        <f t="shared" si="5"/>
        <v>2.6551604432239997</v>
      </c>
      <c r="P33" s="1921" t="s">
        <v>495</v>
      </c>
      <c r="Q33" s="1926">
        <f>ROUND(Q30/$AB$18,$AB$8)</f>
        <v>10.788660443224</v>
      </c>
      <c r="R33" s="1921" t="s">
        <v>495</v>
      </c>
      <c r="S33" s="1644">
        <f t="shared" si="4"/>
        <v>74038651</v>
      </c>
      <c r="T33" s="1656"/>
      <c r="U33" s="1644">
        <f t="shared" si="4"/>
        <v>61915060</v>
      </c>
      <c r="V33" s="1656"/>
      <c r="W33" s="1644">
        <f t="shared" si="4"/>
        <v>44381744</v>
      </c>
      <c r="X33" s="1648"/>
      <c r="Y33" s="1644">
        <f t="shared" si="4"/>
        <v>180335455</v>
      </c>
    </row>
    <row r="34" spans="1:31">
      <c r="A34" s="1900" t="s">
        <v>188</v>
      </c>
      <c r="C34" s="528">
        <f>'123'!S15</f>
        <v>0</v>
      </c>
      <c r="D34" s="528">
        <f>ROUND(C34/SUM($C$36:$C$38)*(Energy!$Q$7-Energy!$Q$7/Energy!$P$7*($D$41+$D$44)),0)</f>
        <v>0</v>
      </c>
      <c r="F34" s="1920">
        <v>4.3559999999999999</v>
      </c>
      <c r="G34" s="1921" t="s">
        <v>495</v>
      </c>
      <c r="H34" s="1644">
        <f t="shared" ref="H34:I41" si="8">ROUND($F34*C34/100,0)</f>
        <v>0</v>
      </c>
      <c r="I34" s="1644">
        <f t="shared" si="8"/>
        <v>0</v>
      </c>
      <c r="K34" s="1922"/>
      <c r="L34" s="1921"/>
      <c r="M34" s="1922"/>
      <c r="N34" s="1921"/>
      <c r="O34" s="1922"/>
      <c r="P34" s="1921"/>
      <c r="Q34" s="1920"/>
      <c r="R34" s="1921"/>
      <c r="S34" s="1648"/>
      <c r="T34" s="1648"/>
      <c r="U34" s="1648"/>
      <c r="V34" s="1648"/>
      <c r="W34" s="1648"/>
      <c r="X34" s="1648"/>
      <c r="Y34" s="1644"/>
    </row>
    <row r="35" spans="1:31">
      <c r="A35" s="1900" t="s">
        <v>189</v>
      </c>
      <c r="C35" s="528">
        <f>'123'!T15</f>
        <v>0</v>
      </c>
      <c r="D35" s="528">
        <f>ROUND(C35/SUM($C$36:$C$38)*(Energy!$Q$7-Energy!$Q$7/Energy!$P$7*($D$41+$D$44)),0)</f>
        <v>0</v>
      </c>
      <c r="F35" s="1920">
        <v>-1.6334</v>
      </c>
      <c r="G35" s="1921" t="s">
        <v>495</v>
      </c>
      <c r="H35" s="1644">
        <f t="shared" si="8"/>
        <v>0</v>
      </c>
      <c r="I35" s="1644">
        <f t="shared" si="8"/>
        <v>0</v>
      </c>
      <c r="K35" s="1922"/>
      <c r="L35" s="1921"/>
      <c r="M35" s="1922"/>
      <c r="N35" s="1921"/>
      <c r="O35" s="1922"/>
      <c r="P35" s="1921"/>
      <c r="Q35" s="1920"/>
      <c r="R35" s="1921"/>
      <c r="S35" s="1648"/>
      <c r="T35" s="1648"/>
      <c r="U35" s="1648"/>
      <c r="V35" s="1648"/>
      <c r="W35" s="1648"/>
      <c r="X35" s="1648"/>
      <c r="Y35" s="1644"/>
    </row>
    <row r="36" spans="1:31">
      <c r="A36" s="1900" t="s">
        <v>241</v>
      </c>
      <c r="C36" s="584">
        <f>'123'!P15+'123'!AG15+TempRev!C303-TempRev!M303-TempRev!M309</f>
        <v>1356275357.1615026</v>
      </c>
      <c r="D36" s="528">
        <f>D45-SUM(D37:D44)</f>
        <v>1356162146.5283775</v>
      </c>
      <c r="F36" s="1923">
        <v>8.8498000000000001</v>
      </c>
      <c r="G36" s="1921" t="s">
        <v>495</v>
      </c>
      <c r="H36" s="1644">
        <f t="shared" si="8"/>
        <v>120027657</v>
      </c>
      <c r="I36" s="1644">
        <f t="shared" si="8"/>
        <v>120017638</v>
      </c>
      <c r="K36" s="1924"/>
      <c r="L36" s="1921"/>
      <c r="M36" s="1924"/>
      <c r="N36" s="1921"/>
      <c r="O36" s="1924"/>
      <c r="P36" s="1921"/>
      <c r="Q36" s="1923"/>
      <c r="R36" s="1921"/>
      <c r="S36" s="1648"/>
      <c r="T36" s="1648"/>
      <c r="U36" s="1648"/>
      <c r="V36" s="1648"/>
      <c r="W36" s="1648"/>
      <c r="X36" s="1648"/>
      <c r="Y36" s="1644"/>
    </row>
    <row r="37" spans="1:31">
      <c r="A37" s="1900" t="s">
        <v>242</v>
      </c>
      <c r="C37" s="584">
        <f>'123'!Q15+'123'!AH15+TempRev!C304-TempRev!M304-TempRev!M310</f>
        <v>1083544014.0003767</v>
      </c>
      <c r="D37" s="528">
        <f>ROUND(C37/SUM($C$36:$C$38)*(Energy!$Q$7-Energy!$Q$7/Energy!$P$7*($D$41+$D$44)),0)</f>
        <v>1083453568</v>
      </c>
      <c r="F37" s="1923">
        <v>11.542899999999999</v>
      </c>
      <c r="G37" s="1921" t="s">
        <v>495</v>
      </c>
      <c r="H37" s="1644">
        <f t="shared" si="8"/>
        <v>125072402</v>
      </c>
      <c r="I37" s="1644">
        <f t="shared" si="8"/>
        <v>125061962</v>
      </c>
      <c r="K37" s="1924"/>
      <c r="L37" s="1921"/>
      <c r="M37" s="1924"/>
      <c r="N37" s="1921"/>
      <c r="O37" s="1924"/>
      <c r="P37" s="1921"/>
      <c r="Q37" s="1923"/>
      <c r="R37" s="1921"/>
      <c r="S37" s="1648"/>
      <c r="T37" s="1648"/>
      <c r="U37" s="1648"/>
      <c r="V37" s="1648"/>
      <c r="W37" s="1648"/>
      <c r="X37" s="1648"/>
      <c r="Y37" s="1644"/>
    </row>
    <row r="38" spans="1:31">
      <c r="A38" s="1900" t="s">
        <v>94</v>
      </c>
      <c r="C38" s="584">
        <f>'123'!R15+'123'!AI15+TempRev!C305-TempRev!M305-TempRev!M311</f>
        <v>560540846.03246832</v>
      </c>
      <c r="D38" s="528">
        <f>ROUND(C38/SUM($C$36:$C$38)*(Energy!$Q$7-Energy!$Q$7/Energy!$P$7*($D$41+$D$44)),0)</f>
        <v>560494056</v>
      </c>
      <c r="F38" s="1923">
        <v>14.450799999999999</v>
      </c>
      <c r="G38" s="1921" t="s">
        <v>495</v>
      </c>
      <c r="H38" s="1644">
        <f t="shared" si="8"/>
        <v>81002637</v>
      </c>
      <c r="I38" s="1644">
        <f t="shared" si="8"/>
        <v>80995875</v>
      </c>
      <c r="K38" s="1924"/>
      <c r="L38" s="1921"/>
      <c r="M38" s="1924"/>
      <c r="N38" s="1921"/>
      <c r="O38" s="1924"/>
      <c r="P38" s="1921"/>
      <c r="Q38" s="1923"/>
      <c r="R38" s="1921"/>
      <c r="S38" s="1648"/>
      <c r="T38" s="1648"/>
      <c r="U38" s="1648"/>
      <c r="V38" s="1648"/>
      <c r="W38" s="1648"/>
      <c r="X38" s="1648"/>
      <c r="Y38" s="1644"/>
    </row>
    <row r="39" spans="1:31">
      <c r="A39" s="1900" t="s">
        <v>1360</v>
      </c>
      <c r="B39" s="1925"/>
      <c r="C39" s="584">
        <f>'123'!M15+'123'!AJ15+TempRev!C306-TempRev!M306-TempRev!M312</f>
        <v>1873066959.0251269</v>
      </c>
      <c r="D39" s="528">
        <f>ROUND(C39/SUM($C$39:$C$40)*(Energy!$R$7-Energy!$R$7/Energy!$P$7*($D$41+$D$44)),0)</f>
        <v>1776482587</v>
      </c>
      <c r="E39" s="549"/>
      <c r="F39" s="1926">
        <v>8.8498000000000001</v>
      </c>
      <c r="G39" s="1921" t="s">
        <v>495</v>
      </c>
      <c r="H39" s="1644">
        <f t="shared" si="8"/>
        <v>165762680</v>
      </c>
      <c r="I39" s="1644">
        <f t="shared" si="8"/>
        <v>157215156</v>
      </c>
      <c r="J39" s="549"/>
      <c r="K39" s="1927"/>
      <c r="L39" s="1921"/>
      <c r="M39" s="1927"/>
      <c r="N39" s="1921"/>
      <c r="O39" s="1927"/>
      <c r="P39" s="1921"/>
      <c r="Q39" s="1926"/>
      <c r="R39" s="1921"/>
      <c r="S39" s="1648"/>
      <c r="T39" s="1648"/>
      <c r="U39" s="1648"/>
      <c r="V39" s="1648"/>
      <c r="W39" s="1648"/>
      <c r="X39" s="1648"/>
      <c r="Y39" s="1644"/>
    </row>
    <row r="40" spans="1:31">
      <c r="A40" s="1900" t="s">
        <v>1361</v>
      </c>
      <c r="B40" s="1925"/>
      <c r="C40" s="584">
        <f>'123'!N15+'123'!AK15+TempRev!C307-TempRev!M307-TempRev!M313</f>
        <v>1597609645.7367871</v>
      </c>
      <c r="D40" s="528">
        <f>ROUND(C40/SUM($C$39:$C$40)*(Energy!$R$7-Energy!$R$7/Energy!$P$7*($D$41+$D$44)),0)</f>
        <v>1515229182</v>
      </c>
      <c r="E40" s="549"/>
      <c r="F40" s="1926">
        <v>10.7072</v>
      </c>
      <c r="G40" s="1921" t="s">
        <v>495</v>
      </c>
      <c r="H40" s="1644">
        <f t="shared" si="8"/>
        <v>171059260</v>
      </c>
      <c r="I40" s="1644">
        <f t="shared" si="8"/>
        <v>162238619</v>
      </c>
      <c r="J40" s="549"/>
      <c r="K40" s="1927"/>
      <c r="L40" s="1921"/>
      <c r="M40" s="1927"/>
      <c r="N40" s="1921"/>
      <c r="O40" s="1927"/>
      <c r="P40" s="1921"/>
      <c r="Q40" s="1926"/>
      <c r="R40" s="1921"/>
      <c r="S40" s="1648"/>
      <c r="T40" s="1648"/>
      <c r="U40" s="1648"/>
      <c r="V40" s="1648"/>
      <c r="W40" s="1648"/>
      <c r="X40" s="1648"/>
      <c r="Y40" s="1644"/>
    </row>
    <row r="41" spans="1:31">
      <c r="A41" s="1116" t="s">
        <v>1158</v>
      </c>
      <c r="B41" s="1928"/>
      <c r="C41" s="1024">
        <f>'123'!X15</f>
        <v>16316464</v>
      </c>
      <c r="D41" s="528">
        <f>ROUND(C41/($C$45-$C$42)*$D$45,0)</f>
        <v>15864580</v>
      </c>
      <c r="E41" s="804"/>
      <c r="F41" s="1927">
        <v>11.7033</v>
      </c>
      <c r="G41" s="1929" t="s">
        <v>495</v>
      </c>
      <c r="H41" s="1146">
        <f t="shared" si="8"/>
        <v>1909565</v>
      </c>
      <c r="I41" s="1146">
        <f t="shared" si="8"/>
        <v>1856679</v>
      </c>
      <c r="J41" s="804"/>
      <c r="K41" s="1924">
        <f>K29</f>
        <v>4.4294000000000002</v>
      </c>
      <c r="L41" s="1921" t="s">
        <v>495</v>
      </c>
      <c r="M41" s="1924">
        <v>7.7249999999999996</v>
      </c>
      <c r="N41" s="1921" t="s">
        <v>495</v>
      </c>
      <c r="O41" s="1922">
        <f t="shared" ref="O41" si="9">ROUND(Q41-K41-M41,4)</f>
        <v>0</v>
      </c>
      <c r="P41" s="1929"/>
      <c r="Q41" s="1927">
        <f>ROUND(11.7033+AA42,4)</f>
        <v>12.154400000000001</v>
      </c>
      <c r="R41" s="1929" t="s">
        <v>495</v>
      </c>
      <c r="S41" s="1644">
        <f>ROUND($D41*AB42/100,0)</f>
        <v>702706</v>
      </c>
      <c r="T41" s="1656"/>
      <c r="U41" s="1644">
        <f t="shared" ref="U41:Y41" si="10">ROUND($D41*M41/100,0)</f>
        <v>1225539</v>
      </c>
      <c r="V41" s="1656"/>
      <c r="W41" s="1644">
        <f t="shared" si="10"/>
        <v>0</v>
      </c>
      <c r="X41" s="1656"/>
      <c r="Y41" s="1644">
        <f t="shared" si="10"/>
        <v>1928245</v>
      </c>
      <c r="AA41" s="2036">
        <v>3.9782999999999999</v>
      </c>
      <c r="AB41" s="2036">
        <v>7.7249999999999996</v>
      </c>
      <c r="AC41" s="2036">
        <v>0</v>
      </c>
      <c r="AD41" s="2036">
        <v>11.7033</v>
      </c>
    </row>
    <row r="42" spans="1:31">
      <c r="A42" s="1900" t="s">
        <v>246</v>
      </c>
      <c r="C42" s="529">
        <f>'Table 2'!J12</f>
        <v>36991495</v>
      </c>
      <c r="D42" s="529">
        <v>0</v>
      </c>
      <c r="H42" s="1030">
        <f>'Table 3'!F12</f>
        <v>4301600</v>
      </c>
      <c r="I42" s="1030">
        <v>0</v>
      </c>
      <c r="Y42" s="1030"/>
      <c r="AA42" s="2036">
        <f>-1.2404+1.6915</f>
        <v>0.45110000000000006</v>
      </c>
      <c r="AB42" s="2036">
        <v>4.4294000000000002</v>
      </c>
      <c r="AC42" s="1869">
        <f>Q41-K41-M41</f>
        <v>0</v>
      </c>
    </row>
    <row r="43" spans="1:31">
      <c r="A43" s="1900" t="s">
        <v>1240</v>
      </c>
      <c r="C43" s="584"/>
      <c r="D43" s="584"/>
      <c r="F43" s="1930">
        <v>-3.9100000000000003E-2</v>
      </c>
      <c r="G43" s="597"/>
      <c r="H43" s="1644">
        <f>SUM(H36:H38,H39:H41)*$F43</f>
        <v>-25995017.259100001</v>
      </c>
      <c r="I43" s="1644">
        <f>SUM(I36:I38,I39:I41)*$F43</f>
        <v>-25312789.823900003</v>
      </c>
      <c r="K43" s="1930"/>
      <c r="L43" s="597"/>
      <c r="M43" s="1930"/>
      <c r="N43" s="597"/>
      <c r="O43" s="1931" t="s">
        <v>2323</v>
      </c>
      <c r="P43" s="597"/>
      <c r="Q43" s="1930">
        <f>AC22</f>
        <v>-3.0800000000000001E-2</v>
      </c>
      <c r="R43" s="597"/>
      <c r="S43" s="1645"/>
      <c r="T43" s="1645"/>
      <c r="U43" s="1645"/>
      <c r="V43" s="1645"/>
      <c r="W43" s="1645"/>
      <c r="X43" s="1645"/>
      <c r="Y43" s="1644">
        <f>Q43*SUM(Y29:Y33,Y41)</f>
        <v>-19673507.946400002</v>
      </c>
      <c r="AA43" s="1932" t="s">
        <v>1940</v>
      </c>
      <c r="AB43" s="1932"/>
      <c r="AC43" s="1932"/>
      <c r="AD43" s="1932"/>
    </row>
    <row r="44" spans="1:31">
      <c r="A44" s="1116" t="s">
        <v>1317</v>
      </c>
      <c r="C44" s="584">
        <f>'123'!AX15</f>
        <v>-325220</v>
      </c>
      <c r="D44" s="528">
        <f>ROUND(C44/($C$45-$C$42)*$D$45,0)</f>
        <v>-316213</v>
      </c>
      <c r="F44" s="1930"/>
      <c r="G44" s="597"/>
      <c r="H44" s="1644"/>
      <c r="I44" s="1644"/>
      <c r="K44" s="1930"/>
      <c r="L44" s="597"/>
      <c r="M44" s="1930"/>
      <c r="N44" s="597"/>
      <c r="O44" s="1931" t="s">
        <v>2324</v>
      </c>
      <c r="P44" s="597"/>
      <c r="Q44" s="1930">
        <f>AC23</f>
        <v>-1.67E-2</v>
      </c>
      <c r="R44" s="597"/>
      <c r="S44" s="1645"/>
      <c r="T44" s="1645"/>
      <c r="U44" s="1645"/>
      <c r="V44" s="1645"/>
      <c r="W44" s="1645"/>
      <c r="X44" s="1645"/>
      <c r="Y44" s="1644">
        <f>Q44*SUM(Y29:Y33,Y41)</f>
        <v>-10667129.308599999</v>
      </c>
      <c r="AA44" s="1933" t="s">
        <v>1660</v>
      </c>
      <c r="AB44" s="1933" t="s">
        <v>1661</v>
      </c>
      <c r="AC44" s="1933" t="s">
        <v>1662</v>
      </c>
      <c r="AD44" s="1933" t="s">
        <v>93</v>
      </c>
    </row>
    <row r="45" spans="1:31" s="596" customFormat="1" ht="16.5" thickBot="1">
      <c r="A45" s="1900" t="s">
        <v>247</v>
      </c>
      <c r="B45" s="1869"/>
      <c r="C45" s="1934">
        <f>SUM(C36:C44)</f>
        <v>6524019560.9562616</v>
      </c>
      <c r="D45" s="1934">
        <f>Energy!P7</f>
        <v>6307369906.5283775</v>
      </c>
      <c r="F45" s="1935"/>
      <c r="H45" s="1646">
        <f>SUM(H12:H43)</f>
        <v>698656993.74090004</v>
      </c>
      <c r="I45" s="1646">
        <f>SUM(I12:I43)</f>
        <v>678380166.17610002</v>
      </c>
      <c r="K45" s="1935"/>
      <c r="M45" s="1935"/>
      <c r="O45" s="1935"/>
      <c r="Q45" s="1935"/>
      <c r="S45" s="1154">
        <f>$Y45*AA45/$AD45</f>
        <v>364150300.73960406</v>
      </c>
      <c r="T45" s="1154"/>
      <c r="U45" s="1154">
        <f>$Y45*AB45/$AD45</f>
        <v>234281687.02254725</v>
      </c>
      <c r="V45" s="1154"/>
      <c r="W45" s="1154">
        <f>Y45-S45-U45</f>
        <v>125076158.2378487</v>
      </c>
      <c r="X45" s="1637"/>
      <c r="Y45" s="1646">
        <f>SUM(Y13:Y42)</f>
        <v>723508146</v>
      </c>
      <c r="Z45" s="1936"/>
      <c r="AA45" s="1937">
        <f>'Unit Cost Target'!$D$87+'Unit Cost Target'!$D$123+'Unit Cost Target'!$D$129+'Unit Cost Target'!$D$75+'Unit Cost Target'!$D$81</f>
        <v>408096277.92421371</v>
      </c>
      <c r="AB45" s="1937">
        <f>'Unit Cost Target'!$D$45+'Unit Cost Target'!$D$51</f>
        <v>262555006.17607713</v>
      </c>
      <c r="AC45" s="1937">
        <f>'Unit Cost Target'!$D$33+'Unit Cost Target'!$D$39+'Unit Cost Target'!$D$63+'Unit Cost Target'!$D$69</f>
        <v>140170458.5448795</v>
      </c>
      <c r="AD45" s="1937">
        <f>SUM(AA45:AC45)</f>
        <v>810821742.64517021</v>
      </c>
      <c r="AE45" s="1937">
        <f>AD45-'Unit Cost Target'!$D$21</f>
        <v>0</v>
      </c>
    </row>
    <row r="46" spans="1:31" ht="16.5" thickTop="1">
      <c r="C46" s="528"/>
      <c r="D46" s="528"/>
      <c r="AA46" s="1938">
        <f>S45-SUM(S13:S44)</f>
        <v>-236.2603959441185</v>
      </c>
      <c r="AB46" s="1938">
        <f>U45-SUM(U13:U44)</f>
        <v>787.02254724502563</v>
      </c>
      <c r="AC46" s="1938">
        <f>W45-SUM(W13:W44)</f>
        <v>-549.76215130090714</v>
      </c>
      <c r="AD46" s="1938">
        <f>SUM(AA46:AC46)</f>
        <v>1</v>
      </c>
      <c r="AE46" s="1937"/>
    </row>
    <row r="47" spans="1:31">
      <c r="A47" s="1897" t="s">
        <v>932</v>
      </c>
      <c r="C47" s="528"/>
      <c r="D47" s="528"/>
      <c r="AA47" s="1937"/>
      <c r="AB47" s="1937"/>
      <c r="AC47" s="1937"/>
      <c r="AD47" s="1937"/>
    </row>
    <row r="48" spans="1:31">
      <c r="A48" s="1900" t="s">
        <v>685</v>
      </c>
      <c r="C48" s="528">
        <f>'123'!F16</f>
        <v>4580.7333333333299</v>
      </c>
      <c r="D48" s="528">
        <f>ROUND(Bill!P8*C48/(C48+C85),0)</f>
        <v>4350</v>
      </c>
      <c r="F48" s="1901"/>
      <c r="G48" s="1902"/>
      <c r="H48" s="1644"/>
      <c r="I48" s="1644"/>
      <c r="K48" s="1901"/>
      <c r="L48" s="1902"/>
      <c r="M48" s="1901"/>
      <c r="N48" s="1902"/>
      <c r="O48" s="1901"/>
      <c r="P48" s="1902"/>
      <c r="Q48" s="1901"/>
      <c r="R48" s="1902"/>
      <c r="S48" s="1643"/>
      <c r="T48" s="1643"/>
      <c r="U48" s="1643"/>
      <c r="V48" s="1643"/>
      <c r="W48" s="1643"/>
      <c r="X48" s="1643"/>
      <c r="Y48" s="1644"/>
      <c r="AA48" s="1937"/>
      <c r="AB48" s="1937"/>
      <c r="AC48" s="1937"/>
      <c r="AD48" s="1937"/>
    </row>
    <row r="49" spans="1:28">
      <c r="A49" s="1900" t="s">
        <v>683</v>
      </c>
      <c r="C49" s="528">
        <f>'123'!G16</f>
        <v>4568.7333333333299</v>
      </c>
      <c r="D49" s="528">
        <f>ROUND(C49/$C$48*$D$48,0)</f>
        <v>4339</v>
      </c>
      <c r="F49" s="1901">
        <v>6</v>
      </c>
      <c r="G49" s="1902"/>
      <c r="H49" s="1644">
        <f t="shared" ref="H49:I63" si="11">ROUND($F49*C49,0)</f>
        <v>27412</v>
      </c>
      <c r="I49" s="1644">
        <f t="shared" si="11"/>
        <v>26034</v>
      </c>
      <c r="K49" s="1901"/>
      <c r="L49" s="1902"/>
      <c r="M49" s="1901"/>
      <c r="N49" s="1902"/>
      <c r="O49" s="1901"/>
      <c r="P49" s="1902"/>
      <c r="Q49" s="1901"/>
      <c r="R49" s="1902"/>
      <c r="S49" s="1643"/>
      <c r="T49" s="1643"/>
      <c r="U49" s="1643"/>
      <c r="V49" s="1643"/>
      <c r="W49" s="1643"/>
      <c r="X49" s="1643"/>
      <c r="Y49" s="1644"/>
    </row>
    <row r="50" spans="1:28">
      <c r="A50" s="1900" t="s">
        <v>1581</v>
      </c>
      <c r="C50" s="528">
        <f>C49-C51</f>
        <v>3549.7999999999956</v>
      </c>
      <c r="D50" s="528">
        <f>D49-D51</f>
        <v>3371</v>
      </c>
      <c r="F50" s="1901"/>
      <c r="G50" s="1902"/>
      <c r="H50" s="1644"/>
      <c r="I50" s="1644"/>
      <c r="K50" s="1901">
        <f>K13</f>
        <v>10</v>
      </c>
      <c r="L50" s="1902"/>
      <c r="M50" s="1901">
        <f>M13</f>
        <v>0</v>
      </c>
      <c r="N50" s="1902"/>
      <c r="O50" s="1901">
        <f>O13</f>
        <v>0</v>
      </c>
      <c r="P50" s="1902"/>
      <c r="Q50" s="1901">
        <f>Q13</f>
        <v>10</v>
      </c>
      <c r="R50" s="1902"/>
      <c r="S50" s="1644">
        <f>ROUND($D50*K50,0)</f>
        <v>33710</v>
      </c>
      <c r="T50" s="1643"/>
      <c r="U50" s="1644">
        <f>ROUND($D50*M50,0)</f>
        <v>0</v>
      </c>
      <c r="V50" s="1643"/>
      <c r="W50" s="1644">
        <f>ROUND($D50*O50,0)</f>
        <v>0</v>
      </c>
      <c r="X50" s="1643"/>
      <c r="Y50" s="1644">
        <f>ROUND($D50*Q50,0)</f>
        <v>33710</v>
      </c>
    </row>
    <row r="51" spans="1:28">
      <c r="A51" s="1900" t="s">
        <v>1582</v>
      </c>
      <c r="C51" s="528">
        <f>'123'!AN16</f>
        <v>1018.9333333333341</v>
      </c>
      <c r="D51" s="528">
        <f>ROUND(C51/C49*D49,0)</f>
        <v>968</v>
      </c>
      <c r="F51" s="1901"/>
      <c r="G51" s="1902"/>
      <c r="H51" s="1644"/>
      <c r="I51" s="1644"/>
      <c r="K51" s="1901">
        <f>K14</f>
        <v>6</v>
      </c>
      <c r="L51" s="1902"/>
      <c r="M51" s="1901">
        <f>M14</f>
        <v>0</v>
      </c>
      <c r="N51" s="1902"/>
      <c r="O51" s="1901">
        <f>O14</f>
        <v>0</v>
      </c>
      <c r="P51" s="1902"/>
      <c r="Q51" s="1901">
        <f>Q14</f>
        <v>6</v>
      </c>
      <c r="R51" s="1902"/>
      <c r="S51" s="1644">
        <f>ROUND($D51*K51,0)</f>
        <v>5808</v>
      </c>
      <c r="T51" s="1643"/>
      <c r="U51" s="1644">
        <f>ROUND($D51*M51,0)</f>
        <v>0</v>
      </c>
      <c r="V51" s="1643"/>
      <c r="W51" s="1644">
        <f>ROUND($D51*O51,0)</f>
        <v>0</v>
      </c>
      <c r="X51" s="1643"/>
      <c r="Y51" s="1644">
        <f>ROUND($D51*Q51,0)</f>
        <v>5808</v>
      </c>
    </row>
    <row r="52" spans="1:28">
      <c r="A52" s="1900" t="s">
        <v>684</v>
      </c>
      <c r="C52" s="528">
        <f>'123'!H16</f>
        <v>12</v>
      </c>
      <c r="D52" s="528">
        <f>D48-D49</f>
        <v>11</v>
      </c>
      <c r="F52" s="1901">
        <v>12</v>
      </c>
      <c r="G52" s="1902"/>
      <c r="H52" s="1644">
        <f t="shared" si="11"/>
        <v>144</v>
      </c>
      <c r="I52" s="1644">
        <f t="shared" si="11"/>
        <v>132</v>
      </c>
      <c r="K52" s="1901"/>
      <c r="L52" s="1902"/>
      <c r="M52" s="1901"/>
      <c r="N52" s="1902"/>
      <c r="O52" s="1901"/>
      <c r="P52" s="1902"/>
      <c r="Q52" s="1901"/>
      <c r="R52" s="1902"/>
      <c r="S52" s="1644"/>
      <c r="T52" s="1643"/>
      <c r="U52" s="1644"/>
      <c r="V52" s="1643"/>
      <c r="W52" s="1644"/>
      <c r="X52" s="1643"/>
      <c r="Y52" s="1644"/>
    </row>
    <row r="53" spans="1:28">
      <c r="A53" s="1900" t="s">
        <v>1581</v>
      </c>
      <c r="C53" s="528">
        <f>C52-C54</f>
        <v>12</v>
      </c>
      <c r="D53" s="528">
        <f>D52-D54</f>
        <v>11</v>
      </c>
      <c r="F53" s="1901"/>
      <c r="G53" s="1902"/>
      <c r="H53" s="1644"/>
      <c r="I53" s="1644"/>
      <c r="K53" s="1901">
        <f>K16</f>
        <v>20</v>
      </c>
      <c r="L53" s="1902"/>
      <c r="M53" s="1901">
        <f>M16</f>
        <v>0</v>
      </c>
      <c r="N53" s="1902"/>
      <c r="O53" s="1901">
        <f>O16</f>
        <v>0</v>
      </c>
      <c r="P53" s="1902"/>
      <c r="Q53" s="1901">
        <f>Q16</f>
        <v>20</v>
      </c>
      <c r="R53" s="1902"/>
      <c r="S53" s="1644">
        <f t="shared" ref="S53:S56" si="12">ROUND($D53*K53,0)</f>
        <v>220</v>
      </c>
      <c r="T53" s="1643"/>
      <c r="U53" s="1644">
        <f t="shared" ref="U53:Y56" si="13">ROUND($D53*M53,0)</f>
        <v>0</v>
      </c>
      <c r="V53" s="1643"/>
      <c r="W53" s="1644">
        <f t="shared" si="13"/>
        <v>0</v>
      </c>
      <c r="X53" s="1643"/>
      <c r="Y53" s="1644">
        <f t="shared" si="13"/>
        <v>220</v>
      </c>
    </row>
    <row r="54" spans="1:28">
      <c r="A54" s="1900" t="s">
        <v>1582</v>
      </c>
      <c r="C54" s="528">
        <f>'123'!AO16</f>
        <v>0</v>
      </c>
      <c r="D54" s="528">
        <f>ROUND(C54/C52*D52,0)</f>
        <v>0</v>
      </c>
      <c r="F54" s="1901"/>
      <c r="G54" s="1902"/>
      <c r="H54" s="1644"/>
      <c r="I54" s="1644"/>
      <c r="K54" s="1901">
        <f>K17</f>
        <v>12</v>
      </c>
      <c r="L54" s="1902"/>
      <c r="M54" s="1901">
        <f>M17</f>
        <v>0</v>
      </c>
      <c r="N54" s="1902"/>
      <c r="O54" s="1901">
        <f>O17</f>
        <v>0</v>
      </c>
      <c r="P54" s="1902"/>
      <c r="Q54" s="1901">
        <f>Q17</f>
        <v>12</v>
      </c>
      <c r="R54" s="1902"/>
      <c r="S54" s="1644">
        <f t="shared" si="12"/>
        <v>0</v>
      </c>
      <c r="T54" s="1643"/>
      <c r="U54" s="1644">
        <f t="shared" si="13"/>
        <v>0</v>
      </c>
      <c r="V54" s="1643"/>
      <c r="W54" s="1644">
        <f t="shared" si="13"/>
        <v>0</v>
      </c>
      <c r="X54" s="1643"/>
      <c r="Y54" s="1644">
        <f t="shared" si="13"/>
        <v>0</v>
      </c>
    </row>
    <row r="55" spans="1:28">
      <c r="A55" s="1900" t="s">
        <v>1236</v>
      </c>
      <c r="C55" s="528">
        <f>'123'!AE16</f>
        <v>0</v>
      </c>
      <c r="D55" s="528">
        <f>ROUND(C55/$C$48*$D$48,0)</f>
        <v>0</v>
      </c>
      <c r="F55" s="1901">
        <v>2</v>
      </c>
      <c r="G55" s="1902"/>
      <c r="H55" s="1644">
        <f t="shared" si="11"/>
        <v>0</v>
      </c>
      <c r="I55" s="1644">
        <f t="shared" si="11"/>
        <v>0</v>
      </c>
      <c r="K55" s="1901">
        <f t="shared" ref="K55" si="14">K18</f>
        <v>2</v>
      </c>
      <c r="L55" s="1902"/>
      <c r="M55" s="1901">
        <f t="shared" ref="M55" si="15">M18</f>
        <v>0</v>
      </c>
      <c r="N55" s="1902"/>
      <c r="O55" s="1901">
        <f t="shared" ref="O55" si="16">O18</f>
        <v>0</v>
      </c>
      <c r="P55" s="1902"/>
      <c r="Q55" s="1901">
        <f t="shared" ref="Q55:Q56" si="17">Q18</f>
        <v>2</v>
      </c>
      <c r="R55" s="1902"/>
      <c r="S55" s="1644">
        <f t="shared" si="12"/>
        <v>0</v>
      </c>
      <c r="T55" s="1643"/>
      <c r="U55" s="1644">
        <f t="shared" si="13"/>
        <v>0</v>
      </c>
      <c r="V55" s="1643"/>
      <c r="W55" s="1644">
        <f t="shared" si="13"/>
        <v>0</v>
      </c>
      <c r="X55" s="1643"/>
      <c r="Y55" s="1644">
        <f t="shared" si="13"/>
        <v>0</v>
      </c>
    </row>
    <row r="56" spans="1:28">
      <c r="A56" s="1900" t="s">
        <v>1301</v>
      </c>
      <c r="C56" s="528">
        <f>'123'!AM16</f>
        <v>0</v>
      </c>
      <c r="D56" s="528">
        <f t="shared" ref="D56:D63" si="18">ROUND(C56/$C$48*$D$48,0)</f>
        <v>0</v>
      </c>
      <c r="F56" s="1901">
        <v>22</v>
      </c>
      <c r="G56" s="1902"/>
      <c r="H56" s="1644">
        <f t="shared" si="11"/>
        <v>0</v>
      </c>
      <c r="I56" s="1644">
        <f t="shared" si="11"/>
        <v>0</v>
      </c>
      <c r="K56" s="1901">
        <f t="shared" ref="K56" si="19">K19</f>
        <v>22</v>
      </c>
      <c r="L56" s="1902"/>
      <c r="M56" s="1901">
        <f t="shared" ref="M56" si="20">M19</f>
        <v>0</v>
      </c>
      <c r="N56" s="1902"/>
      <c r="O56" s="1901">
        <f t="shared" ref="O56" si="21">O19</f>
        <v>0</v>
      </c>
      <c r="P56" s="1902"/>
      <c r="Q56" s="1901">
        <f t="shared" si="17"/>
        <v>22</v>
      </c>
      <c r="R56" s="1902"/>
      <c r="S56" s="1644">
        <f t="shared" si="12"/>
        <v>0</v>
      </c>
      <c r="T56" s="1643"/>
      <c r="U56" s="1644">
        <f t="shared" si="13"/>
        <v>0</v>
      </c>
      <c r="V56" s="1643"/>
      <c r="W56" s="1644">
        <f t="shared" si="13"/>
        <v>0</v>
      </c>
      <c r="X56" s="1643"/>
      <c r="Y56" s="1644">
        <f t="shared" si="13"/>
        <v>0</v>
      </c>
    </row>
    <row r="57" spans="1:28">
      <c r="A57" s="1900" t="s">
        <v>243</v>
      </c>
      <c r="C57" s="528">
        <f>'123'!I16</f>
        <v>9.9312500000000004</v>
      </c>
      <c r="D57" s="528">
        <f t="shared" si="18"/>
        <v>9</v>
      </c>
      <c r="F57" s="1901">
        <v>8</v>
      </c>
      <c r="G57" s="1902"/>
      <c r="H57" s="1644">
        <f t="shared" si="11"/>
        <v>79</v>
      </c>
      <c r="I57" s="1644">
        <f t="shared" si="11"/>
        <v>72</v>
      </c>
      <c r="K57" s="1901"/>
      <c r="L57" s="1902"/>
      <c r="M57" s="1901"/>
      <c r="N57" s="1902"/>
      <c r="O57" s="1901"/>
      <c r="P57" s="1902"/>
      <c r="Q57" s="1901"/>
      <c r="R57" s="1902"/>
      <c r="S57" s="1644"/>
      <c r="T57" s="1643"/>
      <c r="U57" s="1644"/>
      <c r="V57" s="1643"/>
      <c r="W57" s="1644"/>
      <c r="X57" s="1643"/>
      <c r="Y57" s="1644"/>
    </row>
    <row r="58" spans="1:28">
      <c r="A58" s="1900" t="s">
        <v>1581</v>
      </c>
      <c r="C58" s="528">
        <f>C57-C59</f>
        <v>5.5075000000000003</v>
      </c>
      <c r="D58" s="528">
        <f>D57-D59</f>
        <v>5</v>
      </c>
      <c r="F58" s="1901"/>
      <c r="G58" s="1902"/>
      <c r="H58" s="1644"/>
      <c r="I58" s="1644"/>
      <c r="K58" s="1901"/>
      <c r="L58" s="1902"/>
      <c r="M58" s="1901"/>
      <c r="N58" s="1902"/>
      <c r="O58" s="1901"/>
      <c r="P58" s="1902"/>
      <c r="Q58" s="1901"/>
      <c r="R58" s="1902"/>
      <c r="S58" s="1644"/>
      <c r="T58" s="1643"/>
      <c r="U58" s="1644"/>
      <c r="V58" s="1643"/>
      <c r="W58" s="1644"/>
      <c r="X58" s="1643"/>
      <c r="Y58" s="1644"/>
    </row>
    <row r="59" spans="1:28">
      <c r="A59" s="1900" t="s">
        <v>1582</v>
      </c>
      <c r="C59" s="528">
        <f>'123'!AP16</f>
        <v>4.4237500000000001</v>
      </c>
      <c r="D59" s="528">
        <f>ROUND(C59/C57*D57,0)</f>
        <v>4</v>
      </c>
      <c r="F59" s="1901"/>
      <c r="G59" s="1902"/>
      <c r="H59" s="1644"/>
      <c r="I59" s="1644"/>
      <c r="K59" s="1901"/>
      <c r="L59" s="1902"/>
      <c r="M59" s="1901"/>
      <c r="N59" s="1902"/>
      <c r="O59" s="1901"/>
      <c r="P59" s="1902"/>
      <c r="Q59" s="1901"/>
      <c r="R59" s="1902"/>
      <c r="S59" s="1644"/>
      <c r="T59" s="1643"/>
      <c r="U59" s="1644"/>
      <c r="V59" s="1643"/>
      <c r="W59" s="1644"/>
      <c r="X59" s="1643"/>
      <c r="Y59" s="1644"/>
    </row>
    <row r="60" spans="1:28" s="596" customFormat="1">
      <c r="A60" s="1900" t="s">
        <v>244</v>
      </c>
      <c r="B60" s="1869"/>
      <c r="C60" s="528">
        <f>'123'!J16</f>
        <v>0</v>
      </c>
      <c r="D60" s="528">
        <f t="shared" si="18"/>
        <v>0</v>
      </c>
      <c r="F60" s="1901">
        <v>16</v>
      </c>
      <c r="G60" s="1902"/>
      <c r="H60" s="1644">
        <f t="shared" si="11"/>
        <v>0</v>
      </c>
      <c r="I60" s="1644">
        <f t="shared" si="11"/>
        <v>0</v>
      </c>
      <c r="K60" s="1901"/>
      <c r="L60" s="1902"/>
      <c r="M60" s="1901"/>
      <c r="N60" s="1902"/>
      <c r="O60" s="1901"/>
      <c r="P60" s="1902"/>
      <c r="Q60" s="1901"/>
      <c r="R60" s="1902"/>
      <c r="S60" s="1644"/>
      <c r="T60" s="1643"/>
      <c r="U60" s="1644"/>
      <c r="V60" s="1643"/>
      <c r="W60" s="1644"/>
      <c r="X60" s="1643"/>
      <c r="Y60" s="1644"/>
      <c r="Z60" s="1936"/>
    </row>
    <row r="61" spans="1:28">
      <c r="A61" s="1900" t="s">
        <v>1581</v>
      </c>
      <c r="C61" s="528">
        <f>C60-C62</f>
        <v>0</v>
      </c>
      <c r="D61" s="528">
        <v>0</v>
      </c>
      <c r="F61" s="1901"/>
      <c r="G61" s="1902"/>
      <c r="H61" s="1644"/>
      <c r="I61" s="1644"/>
      <c r="K61" s="1901"/>
      <c r="L61" s="1902"/>
      <c r="M61" s="1901"/>
      <c r="N61" s="1902"/>
      <c r="O61" s="1901"/>
      <c r="P61" s="1902"/>
      <c r="Q61" s="1901"/>
      <c r="R61" s="1902"/>
      <c r="S61" s="1644"/>
      <c r="T61" s="1643"/>
      <c r="U61" s="1644"/>
      <c r="V61" s="1643"/>
      <c r="W61" s="1644"/>
      <c r="X61" s="1643"/>
      <c r="Y61" s="1644"/>
    </row>
    <row r="62" spans="1:28">
      <c r="A62" s="1900" t="s">
        <v>1582</v>
      </c>
      <c r="C62" s="528">
        <f>'123'!AQ16</f>
        <v>0</v>
      </c>
      <c r="D62" s="528">
        <v>0</v>
      </c>
      <c r="F62" s="1901"/>
      <c r="G62" s="1902"/>
      <c r="H62" s="1644"/>
      <c r="I62" s="1644"/>
      <c r="K62" s="1901"/>
      <c r="L62" s="1902"/>
      <c r="M62" s="1901"/>
      <c r="N62" s="1902"/>
      <c r="O62" s="1901"/>
      <c r="P62" s="1902"/>
      <c r="Q62" s="1901"/>
      <c r="R62" s="1902"/>
      <c r="S62" s="1644"/>
      <c r="T62" s="1643"/>
      <c r="U62" s="1644"/>
      <c r="V62" s="1643"/>
      <c r="W62" s="1644"/>
      <c r="X62" s="1643"/>
      <c r="Y62" s="1644"/>
    </row>
    <row r="63" spans="1:28" s="596" customFormat="1">
      <c r="A63" s="1900" t="s">
        <v>245</v>
      </c>
      <c r="B63" s="1869"/>
      <c r="C63" s="528">
        <f>'123'!AL16</f>
        <v>0</v>
      </c>
      <c r="D63" s="528">
        <f t="shared" si="18"/>
        <v>0</v>
      </c>
      <c r="F63" s="1901">
        <v>96</v>
      </c>
      <c r="G63" s="1902"/>
      <c r="H63" s="1644">
        <f t="shared" si="11"/>
        <v>0</v>
      </c>
      <c r="I63" s="1644">
        <f t="shared" si="11"/>
        <v>0</v>
      </c>
      <c r="K63" s="1901"/>
      <c r="L63" s="1902"/>
      <c r="M63" s="1901"/>
      <c r="N63" s="1902"/>
      <c r="O63" s="1901"/>
      <c r="P63" s="1902"/>
      <c r="Q63" s="1901"/>
      <c r="R63" s="1902"/>
      <c r="S63" s="1644"/>
      <c r="T63" s="1643"/>
      <c r="U63" s="1644"/>
      <c r="V63" s="1643"/>
      <c r="W63" s="1644"/>
      <c r="X63" s="1643"/>
      <c r="Y63" s="1644"/>
      <c r="Z63" s="1936"/>
      <c r="AA63" s="1104"/>
      <c r="AB63" s="1919"/>
    </row>
    <row r="64" spans="1:28">
      <c r="A64" s="1900" t="s">
        <v>1532</v>
      </c>
      <c r="C64" s="528">
        <f>'123'!S16+TempRevMay!C315+'123May'!J16</f>
        <v>263196.06186238333</v>
      </c>
      <c r="D64" s="528">
        <f>ROUND(C64/SUM($C$66:$C$68)*($D$82/($D$82+$D$111)*Energy!$S$8*(1-1/Energy!$P$8*($D$78+$D$81))),0)</f>
        <v>258230</v>
      </c>
      <c r="F64" s="1920"/>
      <c r="G64" s="1921"/>
      <c r="H64" s="1644"/>
      <c r="I64" s="1644"/>
      <c r="K64" s="1920">
        <f>K27</f>
        <v>0</v>
      </c>
      <c r="L64" s="1921" t="s">
        <v>495</v>
      </c>
      <c r="M64" s="1920">
        <f>M27</f>
        <v>0</v>
      </c>
      <c r="N64" s="1921" t="s">
        <v>495</v>
      </c>
      <c r="O64" s="1920">
        <f>O27</f>
        <v>4.3559999999999999</v>
      </c>
      <c r="P64" s="1921" t="s">
        <v>495</v>
      </c>
      <c r="Q64" s="1920">
        <f>Q27</f>
        <v>4.3559999999999999</v>
      </c>
      <c r="R64" s="1921" t="s">
        <v>495</v>
      </c>
      <c r="S64" s="1644">
        <f>ROUND($D64*K64/100,0)</f>
        <v>0</v>
      </c>
      <c r="T64" s="1656"/>
      <c r="U64" s="1644">
        <f>ROUND($D64*M64/100,0)</f>
        <v>0</v>
      </c>
      <c r="V64" s="1656"/>
      <c r="W64" s="1644">
        <f>ROUND($D64*O64/100,0)</f>
        <v>11248</v>
      </c>
      <c r="X64" s="1648"/>
      <c r="Y64" s="1644">
        <f>ROUND($D64*Q64/100,0)</f>
        <v>11248</v>
      </c>
      <c r="AA64" s="1104"/>
      <c r="AB64" s="1919"/>
    </row>
    <row r="65" spans="1:28">
      <c r="A65" s="1900" t="s">
        <v>1533</v>
      </c>
      <c r="C65" s="528">
        <f>'123'!T16+TempRevMay!C316+'123May'!K16</f>
        <v>841159.57580179488</v>
      </c>
      <c r="D65" s="528">
        <f>ROUND(C65/SUM($C$66:$C$68)*($D$82/($D$82+$D$111)*Energy!$S$8*(1-1/Energy!$P$8*($D$78+$D$81))),0)</f>
        <v>825288</v>
      </c>
      <c r="F65" s="1920"/>
      <c r="G65" s="1921"/>
      <c r="H65" s="1644"/>
      <c r="I65" s="1644"/>
      <c r="K65" s="1920">
        <f t="shared" ref="K65" si="22">K28</f>
        <v>0</v>
      </c>
      <c r="L65" s="1921" t="s">
        <v>495</v>
      </c>
      <c r="M65" s="1920">
        <f t="shared" ref="M65" si="23">M28</f>
        <v>0</v>
      </c>
      <c r="N65" s="1921" t="s">
        <v>495</v>
      </c>
      <c r="O65" s="1920">
        <f t="shared" ref="O65" si="24">O28</f>
        <v>-1.6334</v>
      </c>
      <c r="P65" s="1921" t="s">
        <v>495</v>
      </c>
      <c r="Q65" s="1920">
        <f t="shared" ref="Q65:Q70" si="25">Q28</f>
        <v>-1.6334</v>
      </c>
      <c r="R65" s="1921" t="s">
        <v>495</v>
      </c>
      <c r="S65" s="1644">
        <f>ROUND($D65*K65/100,0)</f>
        <v>0</v>
      </c>
      <c r="T65" s="1656"/>
      <c r="U65" s="1644">
        <f>ROUND($D65*M65/100,0)</f>
        <v>0</v>
      </c>
      <c r="V65" s="1656"/>
      <c r="W65" s="1644">
        <f>ROUND($D65*O65/100,0)</f>
        <v>-13480</v>
      </c>
      <c r="X65" s="1648"/>
      <c r="Y65" s="1644">
        <f>ROUND($D65*Q65/100,0)</f>
        <v>-13480</v>
      </c>
      <c r="AA65" s="1104"/>
      <c r="AB65" s="1919"/>
    </row>
    <row r="66" spans="1:28">
      <c r="A66" s="1900" t="s">
        <v>1534</v>
      </c>
      <c r="C66" s="584">
        <f>'123'!P16+'123'!AG16+TempRevMay!C309+'123May'!G16+'123May'!Q16</f>
        <v>505496.57354245015</v>
      </c>
      <c r="D66" s="528">
        <f>D82-SUM(D67:D70,D78:D81)</f>
        <v>495959</v>
      </c>
      <c r="F66" s="1926"/>
      <c r="G66" s="1921"/>
      <c r="H66" s="1644"/>
      <c r="I66" s="1644"/>
      <c r="K66" s="1920">
        <f t="shared" ref="K66" si="26">K29</f>
        <v>4.4294000000000002</v>
      </c>
      <c r="L66" s="1921" t="s">
        <v>495</v>
      </c>
      <c r="M66" s="1920">
        <f t="shared" ref="M66" si="27">M29</f>
        <v>3.7040999999999999</v>
      </c>
      <c r="N66" s="1921" t="s">
        <v>495</v>
      </c>
      <c r="O66" s="1920">
        <f t="shared" ref="O66" si="28">O29</f>
        <v>1.3645863008434289</v>
      </c>
      <c r="P66" s="1921" t="s">
        <v>495</v>
      </c>
      <c r="Q66" s="1920">
        <f t="shared" si="25"/>
        <v>9.4980863008434291</v>
      </c>
      <c r="R66" s="1921" t="s">
        <v>495</v>
      </c>
      <c r="S66" s="1644">
        <f t="shared" ref="S66:S70" si="29">ROUND($D66*K66/100,0)</f>
        <v>21968</v>
      </c>
      <c r="T66" s="1656"/>
      <c r="U66" s="1644">
        <f t="shared" ref="U66:Y70" si="30">ROUND($D66*M66/100,0)</f>
        <v>18371</v>
      </c>
      <c r="V66" s="1656"/>
      <c r="W66" s="1644">
        <f t="shared" si="30"/>
        <v>6768</v>
      </c>
      <c r="X66" s="1648"/>
      <c r="Y66" s="1644">
        <f t="shared" si="30"/>
        <v>47107</v>
      </c>
    </row>
    <row r="67" spans="1:28">
      <c r="A67" s="1900" t="s">
        <v>1535</v>
      </c>
      <c r="C67" s="584">
        <f>'123'!Q16+'123'!AH16+TempRevMay!C310+'123May'!H16+'123May'!R16</f>
        <v>415305.77282962773</v>
      </c>
      <c r="D67" s="528">
        <f>ROUND(C67/SUM($C$66:$C$68)*($D$82/($D$82+$D$111)*Energy!$S$8*(1-1/Energy!$P$8*($D$78+$D$81))),0)</f>
        <v>407470</v>
      </c>
      <c r="F67" s="1926"/>
      <c r="G67" s="1921"/>
      <c r="H67" s="1644"/>
      <c r="I67" s="1644"/>
      <c r="K67" s="1920">
        <f t="shared" ref="K67" si="31">K30</f>
        <v>4.4294000000000002</v>
      </c>
      <c r="L67" s="1921" t="s">
        <v>495</v>
      </c>
      <c r="M67" s="1920">
        <f t="shared" ref="M67" si="32">M30</f>
        <v>3.7040999999999999</v>
      </c>
      <c r="N67" s="1921" t="s">
        <v>495</v>
      </c>
      <c r="O67" s="1920">
        <f t="shared" ref="O67" si="33">O30</f>
        <v>4.0576863008434287</v>
      </c>
      <c r="P67" s="1921" t="s">
        <v>495</v>
      </c>
      <c r="Q67" s="1920">
        <f t="shared" si="25"/>
        <v>12.191186300843428</v>
      </c>
      <c r="R67" s="1921" t="s">
        <v>495</v>
      </c>
      <c r="S67" s="1644">
        <f t="shared" si="29"/>
        <v>18048</v>
      </c>
      <c r="T67" s="1656"/>
      <c r="U67" s="1644">
        <f t="shared" si="30"/>
        <v>15093</v>
      </c>
      <c r="V67" s="1656"/>
      <c r="W67" s="1644">
        <f t="shared" si="30"/>
        <v>16534</v>
      </c>
      <c r="X67" s="1648"/>
      <c r="Y67" s="1644">
        <f t="shared" si="30"/>
        <v>49675</v>
      </c>
    </row>
    <row r="68" spans="1:28">
      <c r="A68" s="1900" t="s">
        <v>1536</v>
      </c>
      <c r="C68" s="584">
        <f>'123'!R16+'123'!AI16+TempRevMay!C311+'123May'!I16+'123May'!S16</f>
        <v>190083.01295245861</v>
      </c>
      <c r="D68" s="528">
        <f>ROUND(C68/SUM($C$66:$C$68)*($D$82/($D$82+$D$111)*Energy!$S$8*(1-1/Energy!$P$8*($D$78+$D$81))),0)</f>
        <v>186496</v>
      </c>
      <c r="F68" s="1926"/>
      <c r="G68" s="1921"/>
      <c r="H68" s="1644"/>
      <c r="I68" s="1644"/>
      <c r="K68" s="1920">
        <f t="shared" ref="K68" si="34">K31</f>
        <v>4.4294000000000002</v>
      </c>
      <c r="L68" s="1921" t="s">
        <v>495</v>
      </c>
      <c r="M68" s="1920">
        <f t="shared" ref="M68" si="35">M31</f>
        <v>3.7040999999999999</v>
      </c>
      <c r="N68" s="1921" t="s">
        <v>495</v>
      </c>
      <c r="O68" s="1920">
        <f t="shared" ref="O68" si="36">O31</f>
        <v>4.0576863008434287</v>
      </c>
      <c r="P68" s="1921" t="s">
        <v>495</v>
      </c>
      <c r="Q68" s="1920">
        <f t="shared" si="25"/>
        <v>12.191186300843428</v>
      </c>
      <c r="R68" s="1921" t="s">
        <v>495</v>
      </c>
      <c r="S68" s="1644">
        <f t="shared" si="29"/>
        <v>8261</v>
      </c>
      <c r="T68" s="1656"/>
      <c r="U68" s="1644">
        <f t="shared" si="30"/>
        <v>6908</v>
      </c>
      <c r="V68" s="1656"/>
      <c r="W68" s="1644">
        <f t="shared" si="30"/>
        <v>7567</v>
      </c>
      <c r="X68" s="1648"/>
      <c r="Y68" s="1644">
        <f t="shared" si="30"/>
        <v>22736</v>
      </c>
    </row>
    <row r="69" spans="1:28">
      <c r="A69" s="1900" t="s">
        <v>1537</v>
      </c>
      <c r="B69" s="1925"/>
      <c r="C69" s="528">
        <f>'123'!M16+'123'!AJ16+TempRevMay!C312+'123May'!D16+'123May'!T16</f>
        <v>1072308.8189568296</v>
      </c>
      <c r="D69" s="528">
        <f>ROUND(C69/SUM($C$69:$C$70)*($D$82/($D$82+$D$111)*Energy!$T$8*(1-1/Energy!$P$8*($D$78+$D$81))),0)</f>
        <v>919695</v>
      </c>
      <c r="E69" s="549"/>
      <c r="F69" s="1926"/>
      <c r="G69" s="1921"/>
      <c r="H69" s="1644"/>
      <c r="I69" s="1644"/>
      <c r="J69" s="549"/>
      <c r="K69" s="1920">
        <f t="shared" ref="K69" si="37">K32</f>
        <v>4.4294000000000002</v>
      </c>
      <c r="L69" s="1921" t="s">
        <v>495</v>
      </c>
      <c r="M69" s="1920">
        <f t="shared" ref="M69" si="38">M32</f>
        <v>3.7040999999999999</v>
      </c>
      <c r="N69" s="1921" t="s">
        <v>495</v>
      </c>
      <c r="O69" s="1920">
        <f t="shared" ref="O69" si="39">O32</f>
        <v>0.27188610694099991</v>
      </c>
      <c r="P69" s="1921" t="s">
        <v>495</v>
      </c>
      <c r="Q69" s="1920">
        <f t="shared" si="25"/>
        <v>8.4053861069410001</v>
      </c>
      <c r="R69" s="1921" t="s">
        <v>495</v>
      </c>
      <c r="S69" s="1644">
        <f t="shared" si="29"/>
        <v>40737</v>
      </c>
      <c r="T69" s="1656"/>
      <c r="U69" s="1644">
        <f t="shared" si="30"/>
        <v>34066</v>
      </c>
      <c r="V69" s="1656"/>
      <c r="W69" s="1644">
        <f t="shared" si="30"/>
        <v>2501</v>
      </c>
      <c r="X69" s="1648"/>
      <c r="Y69" s="1644">
        <f t="shared" si="30"/>
        <v>77304</v>
      </c>
    </row>
    <row r="70" spans="1:28">
      <c r="A70" s="1900" t="s">
        <v>1538</v>
      </c>
      <c r="B70" s="1925"/>
      <c r="C70" s="528">
        <f>'123'!N16+'123'!AK16+TempRevMay!C313+'123May'!E16+'123May'!U16</f>
        <v>856284.82535598439</v>
      </c>
      <c r="D70" s="528">
        <f>ROUND(C70/SUM($C$69:$C$70)*($D$82/($D$82+$D$111)*Energy!$T$8*(1-1/Energy!$P$8*($D$78+$D$81))),0)</f>
        <v>734416</v>
      </c>
      <c r="E70" s="549"/>
      <c r="F70" s="1926"/>
      <c r="G70" s="1921"/>
      <c r="H70" s="1644"/>
      <c r="I70" s="1644"/>
      <c r="J70" s="549"/>
      <c r="K70" s="1920">
        <f t="shared" ref="K70" si="40">K33</f>
        <v>4.4294000000000002</v>
      </c>
      <c r="L70" s="1921" t="s">
        <v>495</v>
      </c>
      <c r="M70" s="1920">
        <f t="shared" ref="M70" si="41">M33</f>
        <v>3.7040999999999999</v>
      </c>
      <c r="N70" s="1921" t="s">
        <v>495</v>
      </c>
      <c r="O70" s="1920">
        <f t="shared" ref="O70" si="42">O33</f>
        <v>2.6551604432239997</v>
      </c>
      <c r="P70" s="1921" t="s">
        <v>495</v>
      </c>
      <c r="Q70" s="1920">
        <f t="shared" si="25"/>
        <v>10.788660443224</v>
      </c>
      <c r="R70" s="1921" t="s">
        <v>495</v>
      </c>
      <c r="S70" s="1644">
        <f t="shared" si="29"/>
        <v>32530</v>
      </c>
      <c r="T70" s="1656"/>
      <c r="U70" s="1644">
        <f t="shared" si="30"/>
        <v>27204</v>
      </c>
      <c r="V70" s="1656"/>
      <c r="W70" s="1644">
        <f t="shared" si="30"/>
        <v>19500</v>
      </c>
      <c r="X70" s="1648"/>
      <c r="Y70" s="1644">
        <f t="shared" si="30"/>
        <v>79234</v>
      </c>
    </row>
    <row r="71" spans="1:28">
      <c r="A71" s="1900" t="s">
        <v>188</v>
      </c>
      <c r="C71" s="528">
        <f>'123'!S16+TempRev!C315</f>
        <v>319777</v>
      </c>
      <c r="D71" s="528">
        <f>ROUND(C71/SUM($C$73:$C$75)*($D$82/($D$82+$D$111)*Energy!$Q$8*(1-1/Energy!$P$8*($D$78+$D$81))),0)</f>
        <v>302460</v>
      </c>
      <c r="F71" s="1920">
        <v>4.3559999999999999</v>
      </c>
      <c r="G71" s="1921" t="s">
        <v>495</v>
      </c>
      <c r="H71" s="1644">
        <f t="shared" ref="H71:I78" si="43">ROUND($F71*C71/100,0)</f>
        <v>13929</v>
      </c>
      <c r="I71" s="1644">
        <f t="shared" si="43"/>
        <v>13175</v>
      </c>
      <c r="K71" s="1920"/>
      <c r="L71" s="1921"/>
      <c r="M71" s="1920"/>
      <c r="N71" s="1921"/>
      <c r="O71" s="1920"/>
      <c r="P71" s="1921"/>
      <c r="Q71" s="1920"/>
      <c r="R71" s="1921"/>
      <c r="S71" s="1644"/>
      <c r="T71" s="1648"/>
      <c r="U71" s="1644"/>
      <c r="V71" s="1648"/>
      <c r="W71" s="1644"/>
      <c r="X71" s="1648"/>
      <c r="Y71" s="1644"/>
    </row>
    <row r="72" spans="1:28">
      <c r="A72" s="1900" t="s">
        <v>189</v>
      </c>
      <c r="C72" s="528">
        <f>'123'!T16+TempRev!C316</f>
        <v>1008879.7824872736</v>
      </c>
      <c r="D72" s="528">
        <f>ROUND(C72/SUM($C$73:$C$75)*($D$82/($D$82+$D$111)*Energy!$Q$8*(1-1/Energy!$P$8*($D$78+$D$81))),0)</f>
        <v>954246</v>
      </c>
      <c r="F72" s="1920">
        <v>-1.6334</v>
      </c>
      <c r="G72" s="1921" t="s">
        <v>495</v>
      </c>
      <c r="H72" s="1644">
        <f t="shared" si="43"/>
        <v>-16479</v>
      </c>
      <c r="I72" s="1644">
        <f t="shared" si="43"/>
        <v>-15587</v>
      </c>
      <c r="K72" s="1920"/>
      <c r="L72" s="1921"/>
      <c r="M72" s="1920"/>
      <c r="N72" s="1921"/>
      <c r="O72" s="1920"/>
      <c r="P72" s="1921"/>
      <c r="Q72" s="1920"/>
      <c r="R72" s="1921"/>
      <c r="S72" s="1644"/>
      <c r="T72" s="1648"/>
      <c r="U72" s="1644"/>
      <c r="V72" s="1648"/>
      <c r="W72" s="1644"/>
      <c r="X72" s="1648"/>
      <c r="Y72" s="1644"/>
    </row>
    <row r="73" spans="1:28">
      <c r="A73" s="1900" t="s">
        <v>241</v>
      </c>
      <c r="C73" s="584">
        <f>'123'!P16+'123'!AG16+TempRev!C309</f>
        <v>652800</v>
      </c>
      <c r="D73" s="528">
        <f>D82-SUM(D74:D81)</f>
        <v>617449</v>
      </c>
      <c r="F73" s="1926">
        <v>8.8498000000000001</v>
      </c>
      <c r="G73" s="1921" t="s">
        <v>495</v>
      </c>
      <c r="H73" s="1644">
        <f t="shared" si="43"/>
        <v>57771</v>
      </c>
      <c r="I73" s="1644">
        <f t="shared" si="43"/>
        <v>54643</v>
      </c>
      <c r="K73" s="1926"/>
      <c r="L73" s="1921"/>
      <c r="M73" s="1926"/>
      <c r="N73" s="1921"/>
      <c r="O73" s="1926"/>
      <c r="P73" s="1921"/>
      <c r="Q73" s="1926"/>
      <c r="R73" s="1921"/>
      <c r="S73" s="1644"/>
      <c r="T73" s="1648"/>
      <c r="U73" s="1644"/>
      <c r="V73" s="1648"/>
      <c r="W73" s="1644"/>
      <c r="X73" s="1648"/>
      <c r="Y73" s="1644"/>
    </row>
    <row r="74" spans="1:28">
      <c r="A74" s="1900" t="s">
        <v>242</v>
      </c>
      <c r="C74" s="584">
        <f>'123'!Q16+'123'!AH16+TempRev!C310</f>
        <v>477029</v>
      </c>
      <c r="D74" s="528">
        <f>ROUND(C74/SUM($C$73:$C$75)*($D$82/($D$82+$D$111)*Energy!$Q$8*(1-1/Energy!$P$8*($D$78+$D$81))),0)</f>
        <v>451197</v>
      </c>
      <c r="F74" s="1926">
        <v>11.542899999999999</v>
      </c>
      <c r="G74" s="1921" t="s">
        <v>495</v>
      </c>
      <c r="H74" s="1644">
        <f t="shared" si="43"/>
        <v>55063</v>
      </c>
      <c r="I74" s="1644">
        <f t="shared" si="43"/>
        <v>52081</v>
      </c>
      <c r="K74" s="1926"/>
      <c r="L74" s="1921"/>
      <c r="M74" s="1926"/>
      <c r="N74" s="1921"/>
      <c r="O74" s="1926"/>
      <c r="P74" s="1921"/>
      <c r="Q74" s="1926"/>
      <c r="R74" s="1921"/>
      <c r="S74" s="1644"/>
      <c r="T74" s="1648"/>
      <c r="U74" s="1644"/>
      <c r="V74" s="1648"/>
      <c r="W74" s="1644"/>
      <c r="X74" s="1648"/>
      <c r="Y74" s="1644"/>
    </row>
    <row r="75" spans="1:28">
      <c r="A75" s="1900" t="s">
        <v>94</v>
      </c>
      <c r="C75" s="584">
        <f>'123'!R16+'123'!AI16+TempRev!C311</f>
        <v>198835.78248727357</v>
      </c>
      <c r="D75" s="528">
        <f>ROUND(C75/SUM($C$73:$C$75)*($D$82/($D$82+$D$111)*Energy!$Q$8*(1-1/Energy!$P$8*($D$78+$D$81))),0)</f>
        <v>188068</v>
      </c>
      <c r="F75" s="1926">
        <v>14.450799999999999</v>
      </c>
      <c r="G75" s="1921" t="s">
        <v>495</v>
      </c>
      <c r="H75" s="1644">
        <f t="shared" si="43"/>
        <v>28733</v>
      </c>
      <c r="I75" s="1644">
        <f t="shared" si="43"/>
        <v>27177</v>
      </c>
      <c r="K75" s="1926"/>
      <c r="L75" s="1921"/>
      <c r="M75" s="1926"/>
      <c r="N75" s="1921"/>
      <c r="O75" s="1926"/>
      <c r="P75" s="1921"/>
      <c r="Q75" s="1926"/>
      <c r="R75" s="1921"/>
      <c r="S75" s="1644"/>
      <c r="T75" s="1648"/>
      <c r="U75" s="1644"/>
      <c r="V75" s="1648"/>
      <c r="W75" s="1644"/>
      <c r="X75" s="1648"/>
      <c r="Y75" s="1644"/>
    </row>
    <row r="76" spans="1:28">
      <c r="A76" s="1900" t="s">
        <v>1360</v>
      </c>
      <c r="B76" s="1925"/>
      <c r="C76" s="528">
        <f>'123'!M16+'123'!AJ16+TempRev!C312</f>
        <v>931922</v>
      </c>
      <c r="D76" s="528">
        <f>ROUND(C76/SUM($C$76:$C$77)*($D$82/($D$82+$D$111)*Energy!$R$8*(1-1/Energy!$P$8*($D$78+$D$81))),0)</f>
        <v>810180</v>
      </c>
      <c r="E76" s="549"/>
      <c r="F76" s="1926">
        <v>8.8498000000000001</v>
      </c>
      <c r="G76" s="1921" t="s">
        <v>495</v>
      </c>
      <c r="H76" s="1644">
        <f t="shared" si="43"/>
        <v>82473</v>
      </c>
      <c r="I76" s="1644">
        <f t="shared" si="43"/>
        <v>71699</v>
      </c>
      <c r="J76" s="549"/>
      <c r="K76" s="1926"/>
      <c r="L76" s="1921"/>
      <c r="M76" s="1926"/>
      <c r="N76" s="1921"/>
      <c r="O76" s="1926"/>
      <c r="P76" s="1921"/>
      <c r="Q76" s="1926"/>
      <c r="R76" s="1921"/>
      <c r="S76" s="1644"/>
      <c r="T76" s="1648"/>
      <c r="U76" s="1644"/>
      <c r="V76" s="1648"/>
      <c r="W76" s="1644"/>
      <c r="X76" s="1648"/>
      <c r="Y76" s="1644"/>
    </row>
    <row r="77" spans="1:28">
      <c r="A77" s="1900" t="s">
        <v>1361</v>
      </c>
      <c r="B77" s="1925"/>
      <c r="C77" s="528">
        <f>'123'!N16+'123'!AK16+TempRev!C313</f>
        <v>778892.22115007683</v>
      </c>
      <c r="D77" s="528">
        <f>ROUND(C77/SUM($C$76:$C$77)*($D$82/($D$82+$D$111)*Energy!$R$8*(1-1/Energy!$P$8*($D$78+$D$81))),0)</f>
        <v>677142</v>
      </c>
      <c r="E77" s="549"/>
      <c r="F77" s="1926">
        <v>10.7072</v>
      </c>
      <c r="G77" s="1921" t="s">
        <v>495</v>
      </c>
      <c r="H77" s="1644">
        <f t="shared" si="43"/>
        <v>83398</v>
      </c>
      <c r="I77" s="1644">
        <f t="shared" si="43"/>
        <v>72503</v>
      </c>
      <c r="J77" s="549"/>
      <c r="K77" s="1926"/>
      <c r="L77" s="1921"/>
      <c r="M77" s="1926"/>
      <c r="N77" s="1921"/>
      <c r="O77" s="1926"/>
      <c r="P77" s="1921"/>
      <c r="Q77" s="1926"/>
      <c r="R77" s="1921"/>
      <c r="S77" s="1644"/>
      <c r="T77" s="1648"/>
      <c r="U77" s="1644"/>
      <c r="V77" s="1648"/>
      <c r="W77" s="1644"/>
      <c r="X77" s="1648"/>
      <c r="Y77" s="1644"/>
    </row>
    <row r="78" spans="1:28">
      <c r="A78" s="1116" t="s">
        <v>1158</v>
      </c>
      <c r="B78" s="1928"/>
      <c r="C78" s="1024">
        <f>'123'!X16</f>
        <v>0</v>
      </c>
      <c r="D78" s="528">
        <f>ROUND(C78/($C$82-$C$79)*$D$82,0)</f>
        <v>0</v>
      </c>
      <c r="E78" s="804"/>
      <c r="F78" s="1927">
        <v>11.7033</v>
      </c>
      <c r="G78" s="1929" t="s">
        <v>495</v>
      </c>
      <c r="H78" s="1146">
        <f t="shared" si="43"/>
        <v>0</v>
      </c>
      <c r="I78" s="1146">
        <f t="shared" si="43"/>
        <v>0</v>
      </c>
      <c r="J78" s="804"/>
      <c r="K78" s="1927">
        <f>K41</f>
        <v>4.4294000000000002</v>
      </c>
      <c r="L78" s="1929" t="s">
        <v>495</v>
      </c>
      <c r="M78" s="1927">
        <f>M41</f>
        <v>7.7249999999999996</v>
      </c>
      <c r="N78" s="1929" t="s">
        <v>495</v>
      </c>
      <c r="O78" s="1927">
        <f>O41</f>
        <v>0</v>
      </c>
      <c r="P78" s="1929" t="s">
        <v>495</v>
      </c>
      <c r="Q78" s="1927">
        <f>Q41</f>
        <v>12.154400000000001</v>
      </c>
      <c r="R78" s="1929" t="s">
        <v>495</v>
      </c>
      <c r="S78" s="1644">
        <f t="shared" ref="S78" si="44">ROUND($D78*K78/100,0)</f>
        <v>0</v>
      </c>
      <c r="T78" s="1656"/>
      <c r="U78" s="1644">
        <f t="shared" ref="U78:Y78" si="45">ROUND($D78*M78/100,0)</f>
        <v>0</v>
      </c>
      <c r="V78" s="1656"/>
      <c r="W78" s="1644">
        <f t="shared" si="45"/>
        <v>0</v>
      </c>
      <c r="X78" s="1656"/>
      <c r="Y78" s="1644">
        <f t="shared" si="45"/>
        <v>0</v>
      </c>
      <c r="AA78" s="1104" t="s">
        <v>1746</v>
      </c>
      <c r="AB78" s="1919">
        <f>ROUND(D82/(D48),0)</f>
        <v>631</v>
      </c>
    </row>
    <row r="79" spans="1:28">
      <c r="A79" s="1900" t="s">
        <v>246</v>
      </c>
      <c r="C79" s="529">
        <f>'Table 2'!J13</f>
        <v>17487</v>
      </c>
      <c r="D79" s="529">
        <v>0</v>
      </c>
      <c r="H79" s="1030">
        <f>'Table 3'!F13</f>
        <v>2003</v>
      </c>
      <c r="I79" s="1030">
        <v>0</v>
      </c>
      <c r="Y79" s="1030">
        <v>0</v>
      </c>
      <c r="AA79" s="1104" t="s">
        <v>1747</v>
      </c>
      <c r="AB79" s="1919">
        <f>ROUND(SUM(D66:D68,(D78+D81)*4/12)/((D48)*4/12),0)</f>
        <v>752</v>
      </c>
    </row>
    <row r="80" spans="1:28">
      <c r="A80" s="1900" t="s">
        <v>1240</v>
      </c>
      <c r="C80" s="584"/>
      <c r="D80" s="584"/>
      <c r="F80" s="1930">
        <v>-3.9100000000000003E-2</v>
      </c>
      <c r="G80" s="597"/>
      <c r="H80" s="1644">
        <f>SUM(H73:H75,H76:H78)*$F80</f>
        <v>-12020.825800000001</v>
      </c>
      <c r="I80" s="1644">
        <f>SUM(I73:I75,I76:I78)*$F80</f>
        <v>-10873.827300000001</v>
      </c>
      <c r="K80" s="1930"/>
      <c r="L80" s="597"/>
      <c r="M80" s="1930"/>
      <c r="N80" s="597"/>
      <c r="O80" s="1931" t="str">
        <f>$O$43</f>
        <v>Tax Year 1 (7/1/2021)</v>
      </c>
      <c r="P80" s="597"/>
      <c r="Q80" s="1930">
        <f>$Q$43</f>
        <v>-3.0800000000000001E-2</v>
      </c>
      <c r="R80" s="597"/>
      <c r="S80" s="1645"/>
      <c r="T80" s="1645"/>
      <c r="U80" s="1645"/>
      <c r="V80" s="1645"/>
      <c r="W80" s="1645"/>
      <c r="X80" s="1645"/>
      <c r="Y80" s="1644">
        <f>Q80*SUM(Y66:Y70,Y78)</f>
        <v>-8502.5248000000011</v>
      </c>
      <c r="AA80" s="1104" t="s">
        <v>1748</v>
      </c>
      <c r="AB80" s="1919">
        <f>ROUND(SUM(D69:D70,(D78+D81)*8/12)/((D48)*8/12),0)</f>
        <v>570</v>
      </c>
    </row>
    <row r="81" spans="1:28">
      <c r="A81" s="1116" t="s">
        <v>1317</v>
      </c>
      <c r="C81" s="584">
        <f>'123'!AX16</f>
        <v>0</v>
      </c>
      <c r="D81" s="528">
        <f>ROUND(C81/($C$82-$C$79)*$D$82,0)</f>
        <v>0</v>
      </c>
      <c r="F81" s="1930"/>
      <c r="G81" s="597"/>
      <c r="H81" s="1644"/>
      <c r="I81" s="1644"/>
      <c r="K81" s="1930"/>
      <c r="L81" s="597"/>
      <c r="M81" s="1930"/>
      <c r="N81" s="597"/>
      <c r="O81" s="1931" t="str">
        <f>$O$44</f>
        <v>Tax Year 2 (1/1/2022)</v>
      </c>
      <c r="P81" s="597"/>
      <c r="Q81" s="1930">
        <f>$Q$44</f>
        <v>-1.67E-2</v>
      </c>
      <c r="R81" s="597"/>
      <c r="S81" s="1645"/>
      <c r="T81" s="1645"/>
      <c r="U81" s="1645"/>
      <c r="V81" s="1645"/>
      <c r="W81" s="1645"/>
      <c r="X81" s="1645"/>
      <c r="Y81" s="1644">
        <f>Q81*SUM(Y66:Y70,Y78)</f>
        <v>-4610.1351999999997</v>
      </c>
    </row>
    <row r="82" spans="1:28" ht="16.5" thickBot="1">
      <c r="A82" s="1900" t="s">
        <v>247</v>
      </c>
      <c r="C82" s="1934">
        <f>SUM(C73:C78,C79)</f>
        <v>3056966.0036373506</v>
      </c>
      <c r="D82" s="1934">
        <f>ROUND(Energy!P8*C82/(C82+C111),0)</f>
        <v>2744036</v>
      </c>
      <c r="F82" s="1939"/>
      <c r="H82" s="1647">
        <f>SUM(H49:H80)</f>
        <v>322505.17420000001</v>
      </c>
      <c r="I82" s="1647">
        <f>SUM(I49:I80)</f>
        <v>291055.1727</v>
      </c>
      <c r="K82" s="1939"/>
      <c r="M82" s="1939"/>
      <c r="O82" s="1939"/>
      <c r="Q82" s="1939"/>
      <c r="S82" s="1646">
        <f>SUM(S50:S79)</f>
        <v>161282</v>
      </c>
      <c r="U82" s="1646">
        <f>SUM(U50:U79)</f>
        <v>101642</v>
      </c>
      <c r="W82" s="1646">
        <f>SUM(W50:W79)</f>
        <v>50638</v>
      </c>
      <c r="Y82" s="1646">
        <f>SUM(Y50:Y79)</f>
        <v>313562</v>
      </c>
      <c r="AA82" s="1104" t="s">
        <v>1743</v>
      </c>
      <c r="AB82" s="1890">
        <f>Y82/I82-1</f>
        <v>7.7328387917704244E-2</v>
      </c>
    </row>
    <row r="83" spans="1:28" ht="16.5" thickTop="1">
      <c r="C83" s="528"/>
      <c r="D83" s="528"/>
    </row>
    <row r="84" spans="1:28" s="1104" customFormat="1">
      <c r="A84" s="1115" t="s">
        <v>1159</v>
      </c>
      <c r="C84" s="1105"/>
      <c r="D84" s="1105"/>
      <c r="E84" s="1109"/>
      <c r="G84" s="1109"/>
      <c r="H84" s="1627"/>
      <c r="I84" s="1627"/>
      <c r="J84" s="1109"/>
      <c r="L84" s="1109"/>
      <c r="N84" s="1109"/>
      <c r="P84" s="1109"/>
      <c r="R84" s="1109"/>
      <c r="S84" s="1628"/>
      <c r="T84" s="1628"/>
      <c r="U84" s="1628"/>
      <c r="V84" s="1628"/>
      <c r="W84" s="1628"/>
      <c r="X84" s="1628"/>
      <c r="Y84" s="1627"/>
      <c r="Z84" s="1497"/>
    </row>
    <row r="85" spans="1:28" s="1104" customFormat="1">
      <c r="A85" s="1116" t="s">
        <v>685</v>
      </c>
      <c r="C85" s="1105">
        <f>'123'!F17</f>
        <v>3278.9666666666699</v>
      </c>
      <c r="D85" s="1105">
        <f>Bill!P8-'Blocking-Step2'!D48</f>
        <v>3114</v>
      </c>
      <c r="E85" s="1109"/>
      <c r="F85" s="1907"/>
      <c r="G85" s="1110"/>
      <c r="H85" s="1146"/>
      <c r="I85" s="1146"/>
      <c r="J85" s="1109"/>
      <c r="K85" s="1907"/>
      <c r="L85" s="1110"/>
      <c r="M85" s="1907"/>
      <c r="N85" s="1110"/>
      <c r="O85" s="1907"/>
      <c r="P85" s="1110"/>
      <c r="Q85" s="1907"/>
      <c r="R85" s="1110"/>
      <c r="S85" s="1629"/>
      <c r="T85" s="1629"/>
      <c r="U85" s="1629"/>
      <c r="V85" s="1629"/>
      <c r="W85" s="1629"/>
      <c r="X85" s="1629"/>
      <c r="Y85" s="1146"/>
      <c r="Z85" s="1497"/>
    </row>
    <row r="86" spans="1:28" s="1104" customFormat="1">
      <c r="A86" s="1116" t="s">
        <v>683</v>
      </c>
      <c r="C86" s="1105">
        <f>'123'!G17</f>
        <v>3278.9666666666699</v>
      </c>
      <c r="D86" s="528">
        <f>ROUND(C86/$C$85*$D$85,0)</f>
        <v>3114</v>
      </c>
      <c r="E86" s="1109"/>
      <c r="F86" s="1907">
        <v>6</v>
      </c>
      <c r="G86" s="1110"/>
      <c r="H86" s="1146">
        <f t="shared" ref="H86:I100" si="46">ROUND($F86*C86,0)</f>
        <v>19674</v>
      </c>
      <c r="I86" s="1146">
        <f t="shared" si="46"/>
        <v>18684</v>
      </c>
      <c r="J86" s="1109"/>
      <c r="K86" s="1907"/>
      <c r="L86" s="1110"/>
      <c r="M86" s="1907"/>
      <c r="N86" s="1110"/>
      <c r="O86" s="1907"/>
      <c r="P86" s="1110"/>
      <c r="Q86" s="1907"/>
      <c r="R86" s="1110"/>
      <c r="S86" s="1629"/>
      <c r="T86" s="1629"/>
      <c r="U86" s="1629"/>
      <c r="V86" s="1629"/>
      <c r="W86" s="1629"/>
      <c r="X86" s="1629"/>
      <c r="Y86" s="1146"/>
      <c r="Z86" s="1497"/>
    </row>
    <row r="87" spans="1:28">
      <c r="A87" s="1900" t="s">
        <v>1581</v>
      </c>
      <c r="C87" s="528">
        <f>C86-C88</f>
        <v>3077.9000000000033</v>
      </c>
      <c r="D87" s="528">
        <f>D86-D88</f>
        <v>2923</v>
      </c>
      <c r="F87" s="1901"/>
      <c r="G87" s="1902"/>
      <c r="H87" s="1644"/>
      <c r="I87" s="1644"/>
      <c r="K87" s="1901">
        <f>K13</f>
        <v>10</v>
      </c>
      <c r="L87" s="1902"/>
      <c r="M87" s="1901">
        <f>M13</f>
        <v>0</v>
      </c>
      <c r="N87" s="1902"/>
      <c r="O87" s="1901">
        <f>O13</f>
        <v>0</v>
      </c>
      <c r="P87" s="1902"/>
      <c r="Q87" s="1901">
        <f>Q13</f>
        <v>10</v>
      </c>
      <c r="R87" s="1902"/>
      <c r="S87" s="1146">
        <f>ROUND($D87*K87,0)</f>
        <v>29230</v>
      </c>
      <c r="T87" s="1643"/>
      <c r="U87" s="1146">
        <f>ROUND($D87*M87,0)</f>
        <v>0</v>
      </c>
      <c r="V87" s="1643"/>
      <c r="W87" s="1146">
        <f>ROUND($D87*O87,0)</f>
        <v>0</v>
      </c>
      <c r="X87" s="1643"/>
      <c r="Y87" s="1146">
        <f>ROUND($D87*Q87,0)</f>
        <v>29230</v>
      </c>
    </row>
    <row r="88" spans="1:28">
      <c r="A88" s="1900" t="s">
        <v>1582</v>
      </c>
      <c r="C88" s="528">
        <f>'123'!AN17</f>
        <v>201.06666666666672</v>
      </c>
      <c r="D88" s="528">
        <f>ROUND(C88/C86*D86,0)</f>
        <v>191</v>
      </c>
      <c r="F88" s="1901"/>
      <c r="G88" s="1902"/>
      <c r="H88" s="1644"/>
      <c r="I88" s="1644"/>
      <c r="K88" s="1901">
        <f>K14</f>
        <v>6</v>
      </c>
      <c r="L88" s="1902"/>
      <c r="M88" s="1901">
        <f>M14</f>
        <v>0</v>
      </c>
      <c r="N88" s="1902"/>
      <c r="O88" s="1901">
        <f>O14</f>
        <v>0</v>
      </c>
      <c r="P88" s="1902"/>
      <c r="Q88" s="1901">
        <f>Q14</f>
        <v>6</v>
      </c>
      <c r="R88" s="1902"/>
      <c r="S88" s="1146">
        <f>ROUND($D88*K88,0)</f>
        <v>1146</v>
      </c>
      <c r="T88" s="1643"/>
      <c r="U88" s="1146">
        <f>ROUND($D88*M88,0)</f>
        <v>0</v>
      </c>
      <c r="V88" s="1643"/>
      <c r="W88" s="1146">
        <f>ROUND($D88*O88,0)</f>
        <v>0</v>
      </c>
      <c r="X88" s="1643"/>
      <c r="Y88" s="1146">
        <f>ROUND($D88*Q88,0)</f>
        <v>1146</v>
      </c>
    </row>
    <row r="89" spans="1:28" s="1104" customFormat="1">
      <c r="A89" s="1116" t="s">
        <v>684</v>
      </c>
      <c r="C89" s="1105">
        <f>'123'!H17</f>
        <v>0</v>
      </c>
      <c r="D89" s="528">
        <f>D85-D86</f>
        <v>0</v>
      </c>
      <c r="E89" s="1109"/>
      <c r="F89" s="1907">
        <v>12</v>
      </c>
      <c r="G89" s="1110"/>
      <c r="H89" s="1146">
        <f t="shared" si="46"/>
        <v>0</v>
      </c>
      <c r="I89" s="1146">
        <f t="shared" si="46"/>
        <v>0</v>
      </c>
      <c r="J89" s="1109"/>
      <c r="K89" s="1907"/>
      <c r="L89" s="1110"/>
      <c r="M89" s="1907"/>
      <c r="N89" s="1110"/>
      <c r="O89" s="1907"/>
      <c r="P89" s="1110"/>
      <c r="Q89" s="1907"/>
      <c r="R89" s="1110"/>
      <c r="S89" s="1146"/>
      <c r="T89" s="1629"/>
      <c r="U89" s="1146"/>
      <c r="V89" s="1629"/>
      <c r="W89" s="1146"/>
      <c r="X89" s="1629"/>
      <c r="Y89" s="1146"/>
      <c r="Z89" s="1497"/>
    </row>
    <row r="90" spans="1:28">
      <c r="A90" s="1900" t="s">
        <v>1581</v>
      </c>
      <c r="C90" s="528">
        <f>C89-C91</f>
        <v>0</v>
      </c>
      <c r="D90" s="528"/>
      <c r="F90" s="1901"/>
      <c r="G90" s="1902"/>
      <c r="H90" s="1644"/>
      <c r="I90" s="1644"/>
      <c r="K90" s="1901">
        <f>K16</f>
        <v>20</v>
      </c>
      <c r="L90" s="1902"/>
      <c r="M90" s="1901">
        <f>M16</f>
        <v>0</v>
      </c>
      <c r="N90" s="1902"/>
      <c r="O90" s="1901">
        <f>O16</f>
        <v>0</v>
      </c>
      <c r="P90" s="1902"/>
      <c r="Q90" s="1901">
        <f>Q16</f>
        <v>20</v>
      </c>
      <c r="R90" s="1902"/>
      <c r="S90" s="1146">
        <f t="shared" ref="S90:S93" si="47">ROUND($D90*K90,0)</f>
        <v>0</v>
      </c>
      <c r="T90" s="1643"/>
      <c r="U90" s="1146">
        <f t="shared" ref="U90:U93" si="48">ROUND($D90*M90,0)</f>
        <v>0</v>
      </c>
      <c r="V90" s="1643"/>
      <c r="W90" s="1146">
        <f t="shared" ref="W90:Y93" si="49">ROUND($D90*O90,0)</f>
        <v>0</v>
      </c>
      <c r="X90" s="1643"/>
      <c r="Y90" s="1146">
        <f t="shared" si="49"/>
        <v>0</v>
      </c>
    </row>
    <row r="91" spans="1:28">
      <c r="A91" s="1900" t="s">
        <v>1582</v>
      </c>
      <c r="C91" s="528">
        <f>'123'!AO17</f>
        <v>0</v>
      </c>
      <c r="D91" s="528"/>
      <c r="F91" s="1901"/>
      <c r="G91" s="1902"/>
      <c r="H91" s="1644"/>
      <c r="I91" s="1644"/>
      <c r="K91" s="1901">
        <f>K17</f>
        <v>12</v>
      </c>
      <c r="L91" s="1902"/>
      <c r="M91" s="1901">
        <f>M17</f>
        <v>0</v>
      </c>
      <c r="N91" s="1902"/>
      <c r="O91" s="1901">
        <f>O17</f>
        <v>0</v>
      </c>
      <c r="P91" s="1902"/>
      <c r="Q91" s="1901">
        <f>Q17</f>
        <v>12</v>
      </c>
      <c r="R91" s="1902"/>
      <c r="S91" s="1146">
        <f t="shared" si="47"/>
        <v>0</v>
      </c>
      <c r="T91" s="1643"/>
      <c r="U91" s="1146">
        <f t="shared" si="48"/>
        <v>0</v>
      </c>
      <c r="V91" s="1643"/>
      <c r="W91" s="1146">
        <f t="shared" si="49"/>
        <v>0</v>
      </c>
      <c r="X91" s="1643"/>
      <c r="Y91" s="1146">
        <f t="shared" si="49"/>
        <v>0</v>
      </c>
    </row>
    <row r="92" spans="1:28">
      <c r="A92" s="1900" t="s">
        <v>1236</v>
      </c>
      <c r="C92" s="528">
        <v>0</v>
      </c>
      <c r="D92" s="528">
        <f>ROUND(C92/$C$48*$D$48,0)</f>
        <v>0</v>
      </c>
      <c r="F92" s="1901">
        <v>2</v>
      </c>
      <c r="G92" s="1902"/>
      <c r="H92" s="1644">
        <f t="shared" ref="H92" si="50">ROUND($F92*C92,0)</f>
        <v>0</v>
      </c>
      <c r="I92" s="1644">
        <f t="shared" ref="I92" si="51">ROUND($F92*D92,0)</f>
        <v>0</v>
      </c>
      <c r="K92" s="1901">
        <f t="shared" ref="K92" si="52">K18</f>
        <v>2</v>
      </c>
      <c r="L92" s="1902"/>
      <c r="M92" s="1901">
        <f t="shared" ref="M92" si="53">M18</f>
        <v>0</v>
      </c>
      <c r="N92" s="1902"/>
      <c r="O92" s="1901">
        <f t="shared" ref="O92" si="54">O18</f>
        <v>0</v>
      </c>
      <c r="P92" s="1902"/>
      <c r="Q92" s="1901">
        <f t="shared" ref="Q92:Q93" si="55">Q18</f>
        <v>2</v>
      </c>
      <c r="R92" s="1902"/>
      <c r="S92" s="1146">
        <f t="shared" si="47"/>
        <v>0</v>
      </c>
      <c r="T92" s="1643"/>
      <c r="U92" s="1146">
        <f t="shared" si="48"/>
        <v>0</v>
      </c>
      <c r="V92" s="1643"/>
      <c r="W92" s="1146">
        <f t="shared" si="49"/>
        <v>0</v>
      </c>
      <c r="X92" s="1643"/>
      <c r="Y92" s="1146">
        <f t="shared" si="49"/>
        <v>0</v>
      </c>
    </row>
    <row r="93" spans="1:28">
      <c r="A93" s="1900" t="s">
        <v>1301</v>
      </c>
      <c r="C93" s="528">
        <f>'123'!AM17</f>
        <v>0</v>
      </c>
      <c r="D93" s="528">
        <f t="shared" ref="D93:D100" si="56">ROUND(C93/$C$85*$D$85,0)</f>
        <v>0</v>
      </c>
      <c r="F93" s="1901">
        <v>22</v>
      </c>
      <c r="G93" s="1902"/>
      <c r="H93" s="1644">
        <f t="shared" si="46"/>
        <v>0</v>
      </c>
      <c r="I93" s="1644">
        <f t="shared" si="46"/>
        <v>0</v>
      </c>
      <c r="K93" s="1901">
        <f t="shared" ref="K93" si="57">K19</f>
        <v>22</v>
      </c>
      <c r="L93" s="1902"/>
      <c r="M93" s="1901">
        <f t="shared" ref="M93" si="58">M19</f>
        <v>0</v>
      </c>
      <c r="N93" s="1902"/>
      <c r="O93" s="1901">
        <f t="shared" ref="O93" si="59">O19</f>
        <v>0</v>
      </c>
      <c r="P93" s="1902"/>
      <c r="Q93" s="1901">
        <f t="shared" si="55"/>
        <v>22</v>
      </c>
      <c r="R93" s="1902"/>
      <c r="S93" s="1146">
        <f t="shared" si="47"/>
        <v>0</v>
      </c>
      <c r="T93" s="1643"/>
      <c r="U93" s="1146">
        <f t="shared" si="48"/>
        <v>0</v>
      </c>
      <c r="V93" s="1643"/>
      <c r="W93" s="1146">
        <f t="shared" si="49"/>
        <v>0</v>
      </c>
      <c r="X93" s="1643"/>
      <c r="Y93" s="1146">
        <f t="shared" si="49"/>
        <v>0</v>
      </c>
    </row>
    <row r="94" spans="1:28" s="1104" customFormat="1">
      <c r="A94" s="1116" t="s">
        <v>243</v>
      </c>
      <c r="C94" s="1105">
        <f>'123'!I17</f>
        <v>0.1</v>
      </c>
      <c r="D94" s="528">
        <f t="shared" si="56"/>
        <v>0</v>
      </c>
      <c r="E94" s="1109"/>
      <c r="F94" s="1907">
        <v>8</v>
      </c>
      <c r="G94" s="1110"/>
      <c r="H94" s="1146">
        <f t="shared" si="46"/>
        <v>1</v>
      </c>
      <c r="I94" s="1146">
        <f t="shared" si="46"/>
        <v>0</v>
      </c>
      <c r="J94" s="1109"/>
      <c r="K94" s="1907"/>
      <c r="L94" s="1110"/>
      <c r="M94" s="1907"/>
      <c r="N94" s="1110"/>
      <c r="O94" s="1907"/>
      <c r="P94" s="1110"/>
      <c r="Q94" s="1907"/>
      <c r="R94" s="1110"/>
      <c r="S94" s="1146"/>
      <c r="T94" s="1629"/>
      <c r="U94" s="1146"/>
      <c r="V94" s="1629"/>
      <c r="W94" s="1146"/>
      <c r="X94" s="1629"/>
      <c r="Y94" s="1146"/>
      <c r="Z94" s="1497"/>
    </row>
    <row r="95" spans="1:28">
      <c r="A95" s="1900" t="s">
        <v>1581</v>
      </c>
      <c r="C95" s="528">
        <f>C94-C96</f>
        <v>0.1</v>
      </c>
      <c r="D95" s="528">
        <f>D94-D96</f>
        <v>0</v>
      </c>
      <c r="F95" s="1901"/>
      <c r="G95" s="1902"/>
      <c r="H95" s="1644"/>
      <c r="I95" s="1644"/>
      <c r="K95" s="1901"/>
      <c r="L95" s="1902"/>
      <c r="M95" s="1901"/>
      <c r="N95" s="1902"/>
      <c r="O95" s="1901"/>
      <c r="P95" s="1902"/>
      <c r="Q95" s="1901"/>
      <c r="R95" s="1902"/>
      <c r="S95" s="1644"/>
      <c r="T95" s="1643"/>
      <c r="U95" s="1644"/>
      <c r="V95" s="1643"/>
      <c r="W95" s="1644"/>
      <c r="X95" s="1643"/>
      <c r="Y95" s="1644"/>
    </row>
    <row r="96" spans="1:28">
      <c r="A96" s="1900" t="s">
        <v>1582</v>
      </c>
      <c r="C96" s="528">
        <f>'123'!AP17</f>
        <v>0</v>
      </c>
      <c r="D96" s="528">
        <f>ROUND(C96/C94*D94,0)</f>
        <v>0</v>
      </c>
      <c r="F96" s="1901"/>
      <c r="G96" s="1902"/>
      <c r="H96" s="1644"/>
      <c r="I96" s="1644"/>
      <c r="K96" s="1901"/>
      <c r="L96" s="1902"/>
      <c r="M96" s="1901"/>
      <c r="N96" s="1902"/>
      <c r="O96" s="1901"/>
      <c r="P96" s="1902"/>
      <c r="Q96" s="1901"/>
      <c r="R96" s="1902"/>
      <c r="S96" s="1644"/>
      <c r="T96" s="1643"/>
      <c r="U96" s="1644"/>
      <c r="V96" s="1643"/>
      <c r="W96" s="1644"/>
      <c r="X96" s="1643"/>
      <c r="Y96" s="1644"/>
    </row>
    <row r="97" spans="1:28" s="1109" customFormat="1">
      <c r="A97" s="1116" t="s">
        <v>244</v>
      </c>
      <c r="B97" s="1104"/>
      <c r="C97" s="1105">
        <f>'123'!J17</f>
        <v>0</v>
      </c>
      <c r="D97" s="528">
        <f t="shared" si="56"/>
        <v>0</v>
      </c>
      <c r="F97" s="1907">
        <v>16</v>
      </c>
      <c r="G97" s="1110"/>
      <c r="H97" s="1146">
        <f t="shared" si="46"/>
        <v>0</v>
      </c>
      <c r="I97" s="1146">
        <f t="shared" si="46"/>
        <v>0</v>
      </c>
      <c r="K97" s="1907"/>
      <c r="L97" s="1110"/>
      <c r="M97" s="1907"/>
      <c r="N97" s="1110"/>
      <c r="O97" s="1907"/>
      <c r="P97" s="1110"/>
      <c r="Q97" s="1907"/>
      <c r="R97" s="1110"/>
      <c r="S97" s="1146"/>
      <c r="T97" s="1629"/>
      <c r="U97" s="1146"/>
      <c r="V97" s="1629"/>
      <c r="W97" s="1146"/>
      <c r="X97" s="1629"/>
      <c r="Y97" s="1146"/>
      <c r="Z97" s="1498"/>
    </row>
    <row r="98" spans="1:28">
      <c r="A98" s="1900" t="s">
        <v>1581</v>
      </c>
      <c r="C98" s="528">
        <f>C97-C99</f>
        <v>0</v>
      </c>
      <c r="D98" s="528"/>
      <c r="F98" s="1901"/>
      <c r="G98" s="1902"/>
      <c r="H98" s="1644"/>
      <c r="I98" s="1644"/>
      <c r="K98" s="1901"/>
      <c r="L98" s="1902"/>
      <c r="M98" s="1901"/>
      <c r="N98" s="1902"/>
      <c r="O98" s="1907"/>
      <c r="P98" s="1902"/>
      <c r="Q98" s="1901"/>
      <c r="R98" s="1902"/>
      <c r="S98" s="1644"/>
      <c r="T98" s="1643"/>
      <c r="U98" s="1644"/>
      <c r="V98" s="1643"/>
      <c r="W98" s="1644"/>
      <c r="X98" s="1643"/>
      <c r="Y98" s="1644"/>
    </row>
    <row r="99" spans="1:28">
      <c r="A99" s="1900" t="s">
        <v>1582</v>
      </c>
      <c r="C99" s="528">
        <f>'123'!AQ17</f>
        <v>0</v>
      </c>
      <c r="D99" s="528"/>
      <c r="F99" s="1901"/>
      <c r="G99" s="1902"/>
      <c r="H99" s="1644"/>
      <c r="I99" s="1644"/>
      <c r="K99" s="1901"/>
      <c r="L99" s="1902"/>
      <c r="M99" s="1901"/>
      <c r="N99" s="1902"/>
      <c r="O99" s="1907"/>
      <c r="P99" s="1902"/>
      <c r="Q99" s="1901"/>
      <c r="R99" s="1902"/>
      <c r="S99" s="1644"/>
      <c r="T99" s="1643"/>
      <c r="U99" s="1644"/>
      <c r="V99" s="1643"/>
      <c r="W99" s="1644"/>
      <c r="X99" s="1643"/>
      <c r="Y99" s="1644"/>
    </row>
    <row r="100" spans="1:28" s="1109" customFormat="1">
      <c r="A100" s="1116" t="s">
        <v>245</v>
      </c>
      <c r="B100" s="1104"/>
      <c r="C100" s="1105">
        <f>'123'!AL17</f>
        <v>0</v>
      </c>
      <c r="D100" s="528">
        <f t="shared" si="56"/>
        <v>0</v>
      </c>
      <c r="F100" s="1907">
        <v>96</v>
      </c>
      <c r="G100" s="1110"/>
      <c r="H100" s="1146">
        <f t="shared" si="46"/>
        <v>0</v>
      </c>
      <c r="I100" s="1146">
        <f t="shared" si="46"/>
        <v>0</v>
      </c>
      <c r="K100" s="1907"/>
      <c r="L100" s="1110"/>
      <c r="M100" s="1907"/>
      <c r="N100" s="1110"/>
      <c r="O100" s="1907"/>
      <c r="P100" s="1110"/>
      <c r="Q100" s="1907"/>
      <c r="R100" s="1110"/>
      <c r="S100" s="1146"/>
      <c r="T100" s="1629"/>
      <c r="U100" s="1146"/>
      <c r="V100" s="1629"/>
      <c r="W100" s="1146"/>
      <c r="X100" s="1629"/>
      <c r="Y100" s="1146"/>
      <c r="Z100" s="1498"/>
    </row>
    <row r="101" spans="1:28" s="1104" customFormat="1">
      <c r="A101" s="1116" t="s">
        <v>1160</v>
      </c>
      <c r="C101" s="1105"/>
      <c r="D101" s="1105"/>
      <c r="E101" s="1109"/>
      <c r="F101" s="1907"/>
      <c r="G101" s="1110"/>
      <c r="H101" s="1146"/>
      <c r="I101" s="1146"/>
      <c r="J101" s="1109"/>
      <c r="K101" s="1907"/>
      <c r="L101" s="1110"/>
      <c r="M101" s="1907"/>
      <c r="N101" s="1110"/>
      <c r="O101" s="1907"/>
      <c r="P101" s="1110"/>
      <c r="Q101" s="1907"/>
      <c r="R101" s="1110"/>
      <c r="S101" s="1146"/>
      <c r="T101" s="1629"/>
      <c r="U101" s="1146"/>
      <c r="V101" s="1629"/>
      <c r="W101" s="1146"/>
      <c r="X101" s="1629"/>
      <c r="Y101" s="1146"/>
      <c r="Z101" s="1497"/>
    </row>
    <row r="102" spans="1:28" s="1104" customFormat="1">
      <c r="A102" s="1116" t="s">
        <v>248</v>
      </c>
      <c r="C102" s="1105">
        <f>'123'!Y17</f>
        <v>228976</v>
      </c>
      <c r="D102" s="528">
        <f>D111-SUM(D103:D110)</f>
        <v>206699.0452160826</v>
      </c>
      <c r="E102" s="1109"/>
      <c r="F102" s="1922">
        <v>22.275500000000001</v>
      </c>
      <c r="G102" s="1929" t="s">
        <v>495</v>
      </c>
      <c r="H102" s="1146">
        <f>ROUND($F102*C102/100,0)</f>
        <v>51006</v>
      </c>
      <c r="I102" s="1146">
        <f>ROUND($F102*D102/100,0)</f>
        <v>46043</v>
      </c>
      <c r="J102" s="1109"/>
      <c r="K102" s="1920">
        <f>$K$29</f>
        <v>4.4294000000000002</v>
      </c>
      <c r="L102" s="1921" t="s">
        <v>495</v>
      </c>
      <c r="M102" s="1920">
        <f>$M$29</f>
        <v>3.7040999999999999</v>
      </c>
      <c r="N102" s="1921" t="s">
        <v>495</v>
      </c>
      <c r="O102" s="1920">
        <f>Q102-K102-M102</f>
        <v>13.853163723895999</v>
      </c>
      <c r="P102" s="1929" t="s">
        <v>495</v>
      </c>
      <c r="Q102" s="1922">
        <f>ROUND(F102*(1+$AB$17),$AB$8)</f>
        <v>21.986663723896001</v>
      </c>
      <c r="R102" s="1929" t="s">
        <v>495</v>
      </c>
      <c r="S102" s="1146">
        <f>ROUND($D102*K102/100,0)</f>
        <v>9156</v>
      </c>
      <c r="T102" s="1656"/>
      <c r="U102" s="1146">
        <f>ROUND($D102*M102/100,0)</f>
        <v>7656</v>
      </c>
      <c r="V102" s="1656"/>
      <c r="W102" s="1146">
        <f>ROUND($D102*O102/100,0)</f>
        <v>28634</v>
      </c>
      <c r="X102" s="1656"/>
      <c r="Y102" s="1146">
        <f>ROUND($D102*Q102/100,0)</f>
        <v>45446</v>
      </c>
      <c r="Z102" s="1497"/>
    </row>
    <row r="103" spans="1:28" s="1104" customFormat="1">
      <c r="A103" s="1116" t="s">
        <v>249</v>
      </c>
      <c r="C103" s="1105">
        <f>'123'!Z17</f>
        <v>1067463</v>
      </c>
      <c r="D103" s="528">
        <f>ROUND(C103/($C$111-$C$108)*$D$111,0)</f>
        <v>963611</v>
      </c>
      <c r="E103" s="1109"/>
      <c r="F103" s="1922">
        <v>6.7881</v>
      </c>
      <c r="G103" s="1929" t="s">
        <v>495</v>
      </c>
      <c r="H103" s="1146">
        <f>ROUND($F103*C103/100,0)</f>
        <v>72460</v>
      </c>
      <c r="I103" s="1146">
        <f>ROUND($F103*D103/100,0)</f>
        <v>65411</v>
      </c>
      <c r="J103" s="1109"/>
      <c r="K103" s="1920">
        <f>$K$29</f>
        <v>4.4294000000000002</v>
      </c>
      <c r="L103" s="1921" t="s">
        <v>495</v>
      </c>
      <c r="M103" s="1920">
        <f>Q103-K103-O103</f>
        <v>2.2706817949840001</v>
      </c>
      <c r="N103" s="1921" t="s">
        <v>495</v>
      </c>
      <c r="O103" s="1920">
        <v>0</v>
      </c>
      <c r="P103" s="1929" t="s">
        <v>495</v>
      </c>
      <c r="Q103" s="1922">
        <f>ROUND(F103*(1+$AB$17),$AB$8)</f>
        <v>6.7000817949840004</v>
      </c>
      <c r="R103" s="1929" t="s">
        <v>495</v>
      </c>
      <c r="S103" s="1146">
        <f>ROUND($D103*K103/100,0)</f>
        <v>42682</v>
      </c>
      <c r="T103" s="1656"/>
      <c r="U103" s="1146">
        <f>ROUND($D103*M103/100,0)</f>
        <v>21881</v>
      </c>
      <c r="V103" s="1656"/>
      <c r="W103" s="1146">
        <f>ROUND($D103*O103/100,0)</f>
        <v>0</v>
      </c>
      <c r="X103" s="1656"/>
      <c r="Y103" s="1146">
        <f>ROUND($D103*Q103/100,0)</f>
        <v>64563</v>
      </c>
      <c r="Z103" s="1497"/>
    </row>
    <row r="104" spans="1:28" s="1104" customFormat="1">
      <c r="A104" s="1116" t="s">
        <v>1161</v>
      </c>
      <c r="C104" s="1105"/>
      <c r="D104" s="1105"/>
      <c r="E104" s="1109"/>
      <c r="F104" s="1907"/>
      <c r="G104" s="1110"/>
      <c r="H104" s="1146"/>
      <c r="I104" s="1146"/>
      <c r="J104" s="1109"/>
      <c r="K104" s="1907"/>
      <c r="L104" s="1110"/>
      <c r="M104" s="1907"/>
      <c r="N104" s="1110"/>
      <c r="O104" s="1907"/>
      <c r="P104" s="1110"/>
      <c r="Q104" s="1907"/>
      <c r="R104" s="1110"/>
      <c r="S104" s="1146"/>
      <c r="T104" s="1629"/>
      <c r="U104" s="1146"/>
      <c r="V104" s="1629"/>
      <c r="W104" s="1146"/>
      <c r="X104" s="1629"/>
      <c r="Y104" s="1146"/>
      <c r="Z104" s="1497"/>
    </row>
    <row r="105" spans="1:28" s="1104" customFormat="1">
      <c r="A105" s="1116" t="s">
        <v>248</v>
      </c>
      <c r="C105" s="1105">
        <f>'123'!AA17</f>
        <v>384603</v>
      </c>
      <c r="D105" s="528">
        <f t="shared" ref="D105:D106" si="60">ROUND(C105/($C$111-$C$108)*$D$111,0)</f>
        <v>347186</v>
      </c>
      <c r="E105" s="1109"/>
      <c r="F105" s="1922">
        <v>34.375300000000003</v>
      </c>
      <c r="G105" s="1929" t="s">
        <v>495</v>
      </c>
      <c r="H105" s="1146">
        <f t="shared" ref="H105:I107" si="61">ROUND($F105*C105/100,0)</f>
        <v>132208</v>
      </c>
      <c r="I105" s="1146">
        <f t="shared" si="61"/>
        <v>119346</v>
      </c>
      <c r="J105" s="1109"/>
      <c r="K105" s="1920">
        <f t="shared" ref="K105:K106" si="62">$K$29</f>
        <v>4.4294000000000002</v>
      </c>
      <c r="L105" s="1921" t="s">
        <v>495</v>
      </c>
      <c r="M105" s="1920">
        <f>$M$29</f>
        <v>3.7040999999999999</v>
      </c>
      <c r="N105" s="1921" t="s">
        <v>495</v>
      </c>
      <c r="O105" s="1920">
        <f t="shared" ref="O105" si="63">Q105-K105-M105</f>
        <v>25.796071121099001</v>
      </c>
      <c r="P105" s="1929" t="s">
        <v>495</v>
      </c>
      <c r="Q105" s="1922">
        <f>ROUND(F105*(1+$AB$17),$AB$8)</f>
        <v>33.929571121099002</v>
      </c>
      <c r="R105" s="1929" t="s">
        <v>495</v>
      </c>
      <c r="S105" s="1146">
        <f t="shared" ref="S105:S107" si="64">ROUND($D105*K105/100,0)</f>
        <v>15378</v>
      </c>
      <c r="T105" s="1656"/>
      <c r="U105" s="1146">
        <f t="shared" ref="U105:U107" si="65">ROUND($D105*M105/100,0)</f>
        <v>12860</v>
      </c>
      <c r="V105" s="1656"/>
      <c r="W105" s="1146">
        <f t="shared" ref="W105:Y107" si="66">ROUND($D105*O105/100,0)</f>
        <v>89560</v>
      </c>
      <c r="X105" s="1656"/>
      <c r="Y105" s="1146">
        <f t="shared" si="66"/>
        <v>117799</v>
      </c>
      <c r="Z105" s="1497"/>
    </row>
    <row r="106" spans="1:28" s="1104" customFormat="1">
      <c r="A106" s="1116" t="s">
        <v>249</v>
      </c>
      <c r="C106" s="1105">
        <f>'123'!AB17</f>
        <v>2360279</v>
      </c>
      <c r="D106" s="528">
        <f t="shared" si="60"/>
        <v>2130652</v>
      </c>
      <c r="E106" s="1109"/>
      <c r="F106" s="1922">
        <v>3.4003000000000001</v>
      </c>
      <c r="G106" s="1929" t="s">
        <v>495</v>
      </c>
      <c r="H106" s="1146">
        <f t="shared" si="61"/>
        <v>80257</v>
      </c>
      <c r="I106" s="1146">
        <f t="shared" si="61"/>
        <v>72449</v>
      </c>
      <c r="J106" s="1109"/>
      <c r="K106" s="1920">
        <f t="shared" si="62"/>
        <v>4.4294000000000002</v>
      </c>
      <c r="L106" s="1921" t="s">
        <v>495</v>
      </c>
      <c r="M106" s="1920">
        <f>Q106-K106-O106</f>
        <v>-1.0731901434150002</v>
      </c>
      <c r="N106" s="1921" t="s">
        <v>495</v>
      </c>
      <c r="O106" s="1920">
        <v>0</v>
      </c>
      <c r="P106" s="1929" t="s">
        <v>495</v>
      </c>
      <c r="Q106" s="1922">
        <f>ROUND(F106*(1+$AB$17),$AB$8)</f>
        <v>3.356209856585</v>
      </c>
      <c r="R106" s="1929" t="s">
        <v>495</v>
      </c>
      <c r="S106" s="1146">
        <f t="shared" si="64"/>
        <v>94375</v>
      </c>
      <c r="T106" s="1656"/>
      <c r="U106" s="1146">
        <f t="shared" si="65"/>
        <v>-22866</v>
      </c>
      <c r="V106" s="1656"/>
      <c r="W106" s="1146">
        <f t="shared" si="66"/>
        <v>0</v>
      </c>
      <c r="X106" s="1656"/>
      <c r="Y106" s="1146">
        <f t="shared" si="66"/>
        <v>71509</v>
      </c>
      <c r="Z106" s="1497"/>
    </row>
    <row r="107" spans="1:28" s="1104" customFormat="1">
      <c r="A107" s="1116" t="s">
        <v>1157</v>
      </c>
      <c r="B107" s="1928"/>
      <c r="C107" s="1024">
        <f>'123'!X17</f>
        <v>0</v>
      </c>
      <c r="D107" s="528">
        <f>ROUND(C107/($C$111-$C$108)*$D$111,0)</f>
        <v>0</v>
      </c>
      <c r="E107" s="804"/>
      <c r="F107" s="1927">
        <v>11.7033</v>
      </c>
      <c r="G107" s="1929" t="s">
        <v>495</v>
      </c>
      <c r="H107" s="1146">
        <f t="shared" si="61"/>
        <v>0</v>
      </c>
      <c r="I107" s="1146">
        <f t="shared" si="61"/>
        <v>0</v>
      </c>
      <c r="J107" s="804"/>
      <c r="K107" s="1920">
        <f>K41</f>
        <v>4.4294000000000002</v>
      </c>
      <c r="L107" s="1921" t="s">
        <v>495</v>
      </c>
      <c r="M107" s="1920">
        <f>M41</f>
        <v>7.7249999999999996</v>
      </c>
      <c r="N107" s="1921" t="s">
        <v>495</v>
      </c>
      <c r="O107" s="1920">
        <f>O41</f>
        <v>0</v>
      </c>
      <c r="P107" s="1929" t="s">
        <v>495</v>
      </c>
      <c r="Q107" s="1927">
        <f>Q41</f>
        <v>12.154400000000001</v>
      </c>
      <c r="R107" s="1929" t="s">
        <v>495</v>
      </c>
      <c r="S107" s="1146">
        <f t="shared" si="64"/>
        <v>0</v>
      </c>
      <c r="T107" s="1656"/>
      <c r="U107" s="1146">
        <f t="shared" si="65"/>
        <v>0</v>
      </c>
      <c r="V107" s="1656"/>
      <c r="W107" s="1146">
        <f t="shared" si="66"/>
        <v>0</v>
      </c>
      <c r="X107" s="1656"/>
      <c r="Y107" s="1146">
        <f t="shared" si="66"/>
        <v>0</v>
      </c>
      <c r="Z107" s="1497"/>
      <c r="AA107" s="1104" t="s">
        <v>1746</v>
      </c>
      <c r="AB107" s="1919">
        <f>ROUND(D111/(D85),0)</f>
        <v>1172</v>
      </c>
    </row>
    <row r="108" spans="1:28" s="1104" customFormat="1">
      <c r="A108" s="1116" t="s">
        <v>246</v>
      </c>
      <c r="C108" s="1940">
        <f>'Table 2'!J14</f>
        <v>22863</v>
      </c>
      <c r="D108" s="1940">
        <v>0</v>
      </c>
      <c r="E108" s="1109"/>
      <c r="G108" s="1109"/>
      <c r="H108" s="1147">
        <f>'Table 3'!F14</f>
        <v>2105</v>
      </c>
      <c r="I108" s="1030">
        <v>0</v>
      </c>
      <c r="J108" s="1109"/>
      <c r="L108" s="1109"/>
      <c r="N108" s="1109"/>
      <c r="P108" s="1109"/>
      <c r="R108" s="1109"/>
      <c r="S108" s="1628"/>
      <c r="T108" s="1628"/>
      <c r="U108" s="1628"/>
      <c r="V108" s="1628"/>
      <c r="W108" s="1628"/>
      <c r="X108" s="1628"/>
      <c r="Y108" s="1030"/>
      <c r="Z108" s="1497"/>
      <c r="AA108" s="1104" t="s">
        <v>1747</v>
      </c>
      <c r="AB108" s="1919">
        <f>AB107</f>
        <v>1172</v>
      </c>
    </row>
    <row r="109" spans="1:28">
      <c r="A109" s="1900" t="s">
        <v>1240</v>
      </c>
      <c r="C109" s="584"/>
      <c r="D109" s="584"/>
      <c r="F109" s="1930">
        <v>-3.9100000000000003E-2</v>
      </c>
      <c r="G109" s="597"/>
      <c r="H109" s="1644">
        <f>SUM(H102:H103,H105:H107)*$F109</f>
        <v>-13134.902100000001</v>
      </c>
      <c r="I109" s="1644">
        <f>SUM(I102:I103,I105:I107)*$F109</f>
        <v>-11857.035900000001</v>
      </c>
      <c r="K109" s="1930"/>
      <c r="L109" s="597"/>
      <c r="M109" s="1930"/>
      <c r="N109" s="597"/>
      <c r="O109" s="1931" t="str">
        <f>$O$43</f>
        <v>Tax Year 1 (7/1/2021)</v>
      </c>
      <c r="P109" s="597"/>
      <c r="Q109" s="1930">
        <f>$Q$43</f>
        <v>-3.0800000000000001E-2</v>
      </c>
      <c r="R109" s="597"/>
      <c r="S109" s="1645"/>
      <c r="T109" s="1645"/>
      <c r="U109" s="1645"/>
      <c r="V109" s="1645"/>
      <c r="W109" s="1645"/>
      <c r="X109" s="1645"/>
      <c r="Y109" s="1644">
        <f>Q109*SUM(Y102:Y107)</f>
        <v>-9218.963600000001</v>
      </c>
      <c r="AA109" s="1104" t="s">
        <v>1748</v>
      </c>
      <c r="AB109" s="1919">
        <f>AB107</f>
        <v>1172</v>
      </c>
    </row>
    <row r="110" spans="1:28">
      <c r="A110" s="1116" t="s">
        <v>1317</v>
      </c>
      <c r="C110" s="584">
        <f>'123'!AX17</f>
        <v>0</v>
      </c>
      <c r="D110" s="528">
        <f>ROUND(C110/($C$111-$C$108)*$D$111,0)</f>
        <v>0</v>
      </c>
      <c r="F110" s="1930"/>
      <c r="G110" s="597"/>
      <c r="H110" s="1644"/>
      <c r="I110" s="1644"/>
      <c r="K110" s="1930"/>
      <c r="L110" s="597"/>
      <c r="M110" s="1930"/>
      <c r="N110" s="597"/>
      <c r="O110" s="1931" t="str">
        <f>$O$44</f>
        <v>Tax Year 2 (1/1/2022)</v>
      </c>
      <c r="P110" s="597"/>
      <c r="Q110" s="1930">
        <f>$Q$44</f>
        <v>-1.67E-2</v>
      </c>
      <c r="R110" s="597"/>
      <c r="S110" s="1645"/>
      <c r="T110" s="1645"/>
      <c r="U110" s="1645"/>
      <c r="V110" s="1645"/>
      <c r="W110" s="1645"/>
      <c r="X110" s="1645"/>
      <c r="Y110" s="1644">
        <f>Q110*SUM(Y102:Y107)</f>
        <v>-4998.5938999999998</v>
      </c>
      <c r="AA110" s="1104"/>
      <c r="AB110" s="1104"/>
    </row>
    <row r="111" spans="1:28" s="1104" customFormat="1" ht="16.5" thickBot="1">
      <c r="A111" s="1116" t="s">
        <v>247</v>
      </c>
      <c r="C111" s="1941">
        <f>SUM(C102:C107,C108)</f>
        <v>4064184</v>
      </c>
      <c r="D111" s="1941">
        <f>Energy!P8-'Blocking-Step2'!D82</f>
        <v>3648148.0452160826</v>
      </c>
      <c r="E111" s="1109"/>
      <c r="F111" s="1145"/>
      <c r="G111" s="1109"/>
      <c r="H111" s="1149">
        <f>SUM(H86:H109)</f>
        <v>344576.09789999999</v>
      </c>
      <c r="I111" s="1149">
        <f>SUM(I86:I109)</f>
        <v>310075.96409999998</v>
      </c>
      <c r="J111" s="1109"/>
      <c r="K111" s="1145"/>
      <c r="L111" s="1109"/>
      <c r="M111" s="1145"/>
      <c r="N111" s="1109"/>
      <c r="O111" s="1939"/>
      <c r="P111" s="596"/>
      <c r="Q111" s="1939"/>
      <c r="R111" s="596"/>
      <c r="S111" s="1646">
        <f>SUM(S87:S108)</f>
        <v>191967</v>
      </c>
      <c r="T111" s="1637"/>
      <c r="U111" s="1646">
        <f>SUM(U87:U108)</f>
        <v>19531</v>
      </c>
      <c r="V111" s="1637"/>
      <c r="W111" s="1646">
        <f>SUM(W87:W108)</f>
        <v>118194</v>
      </c>
      <c r="X111" s="1637"/>
      <c r="Y111" s="1646">
        <f>SUM(Y87:Y108)</f>
        <v>329693</v>
      </c>
      <c r="Z111" s="1497"/>
      <c r="AA111" s="1104" t="s">
        <v>1743</v>
      </c>
      <c r="AB111" s="1890">
        <f>Y111/I111-1</f>
        <v>6.3265258101958155E-2</v>
      </c>
    </row>
    <row r="112" spans="1:28" s="1104" customFormat="1" ht="16.5" thickTop="1">
      <c r="C112" s="1105"/>
      <c r="D112" s="1105"/>
      <c r="E112" s="1109"/>
      <c r="G112" s="1109"/>
      <c r="H112" s="1627"/>
      <c r="I112" s="1627"/>
      <c r="J112" s="1109"/>
      <c r="L112" s="1109"/>
      <c r="N112" s="1109"/>
      <c r="P112" s="1109"/>
      <c r="R112" s="1109"/>
      <c r="S112" s="1628"/>
      <c r="T112" s="1628"/>
      <c r="U112" s="1628"/>
      <c r="V112" s="1628"/>
      <c r="W112" s="1628"/>
      <c r="X112" s="1628"/>
      <c r="Y112" s="1627"/>
      <c r="Z112" s="1497"/>
    </row>
    <row r="113" spans="1:25">
      <c r="A113" s="1897" t="s">
        <v>931</v>
      </c>
      <c r="C113" s="528"/>
      <c r="D113" s="528"/>
    </row>
    <row r="114" spans="1:25">
      <c r="A114" s="1900" t="s">
        <v>685</v>
      </c>
      <c r="C114" s="528">
        <f>'123'!F18</f>
        <v>253674.66666666619</v>
      </c>
      <c r="D114" s="528">
        <f>Bill!P9</f>
        <v>216323</v>
      </c>
      <c r="F114" s="1901"/>
      <c r="G114" s="1902"/>
      <c r="H114" s="1644"/>
      <c r="I114" s="1644"/>
      <c r="K114" s="1901"/>
      <c r="L114" s="1902"/>
      <c r="M114" s="1901"/>
      <c r="N114" s="1902"/>
      <c r="O114" s="1901"/>
      <c r="P114" s="1902"/>
      <c r="Q114" s="1901"/>
      <c r="R114" s="1902"/>
      <c r="S114" s="1643"/>
      <c r="T114" s="1643"/>
      <c r="U114" s="1643"/>
      <c r="V114" s="1643"/>
      <c r="W114" s="1643"/>
      <c r="X114" s="1643"/>
      <c r="Y114" s="1644"/>
    </row>
    <row r="115" spans="1:25">
      <c r="A115" s="1900" t="s">
        <v>683</v>
      </c>
      <c r="C115" s="528">
        <f>'123'!G18</f>
        <v>253474.43333333288</v>
      </c>
      <c r="D115" s="528">
        <f>ROUND(C115/$C$114*$D$114,0)</f>
        <v>216152</v>
      </c>
      <c r="F115" s="1901">
        <v>6</v>
      </c>
      <c r="G115" s="1902"/>
      <c r="H115" s="1644">
        <f t="shared" ref="H115:I129" si="67">ROUND($F115*C115,0)</f>
        <v>1520847</v>
      </c>
      <c r="I115" s="1644">
        <f t="shared" si="67"/>
        <v>1296912</v>
      </c>
      <c r="K115" s="1901"/>
      <c r="L115" s="1902"/>
      <c r="M115" s="1901"/>
      <c r="N115" s="1902"/>
      <c r="O115" s="1901"/>
      <c r="P115" s="1902"/>
      <c r="Q115" s="1901"/>
      <c r="R115" s="1902"/>
      <c r="S115" s="1643"/>
      <c r="T115" s="1643"/>
      <c r="U115" s="1643"/>
      <c r="V115" s="1643"/>
      <c r="W115" s="1643"/>
      <c r="X115" s="1643"/>
      <c r="Y115" s="1644"/>
    </row>
    <row r="116" spans="1:25">
      <c r="A116" s="1900" t="s">
        <v>1581</v>
      </c>
      <c r="C116" s="528">
        <f>C115-C117</f>
        <v>132873.89999999944</v>
      </c>
      <c r="D116" s="528">
        <f>D115-D117</f>
        <v>113309</v>
      </c>
      <c r="F116" s="1901"/>
      <c r="G116" s="1902"/>
      <c r="H116" s="1644"/>
      <c r="I116" s="1644"/>
      <c r="K116" s="1901">
        <f>K13</f>
        <v>10</v>
      </c>
      <c r="L116" s="1902"/>
      <c r="M116" s="1901">
        <f>M13</f>
        <v>0</v>
      </c>
      <c r="N116" s="1902"/>
      <c r="O116" s="1901">
        <f>O13</f>
        <v>0</v>
      </c>
      <c r="P116" s="1902"/>
      <c r="Q116" s="1901">
        <f>Q13</f>
        <v>10</v>
      </c>
      <c r="R116" s="1902"/>
      <c r="S116" s="1644">
        <f>ROUND($D116*K116,0)</f>
        <v>1133090</v>
      </c>
      <c r="T116" s="1643"/>
      <c r="U116" s="1644">
        <f>ROUND($D116*M116,0)</f>
        <v>0</v>
      </c>
      <c r="V116" s="1643"/>
      <c r="W116" s="1644">
        <f>ROUND($D116*O116,0)</f>
        <v>0</v>
      </c>
      <c r="X116" s="1643"/>
      <c r="Y116" s="1644">
        <f>ROUND($D116*Q116,0)</f>
        <v>1133090</v>
      </c>
    </row>
    <row r="117" spans="1:25">
      <c r="A117" s="1900" t="s">
        <v>1582</v>
      </c>
      <c r="C117" s="528">
        <f>'123'!AN18</f>
        <v>120600.53333333343</v>
      </c>
      <c r="D117" s="528">
        <f>ROUND(C117/C115*D115,0)</f>
        <v>102843</v>
      </c>
      <c r="F117" s="1901"/>
      <c r="G117" s="1902"/>
      <c r="H117" s="1644"/>
      <c r="I117" s="1644"/>
      <c r="K117" s="1901">
        <f>K14</f>
        <v>6</v>
      </c>
      <c r="L117" s="1902"/>
      <c r="M117" s="1901">
        <f>M14</f>
        <v>0</v>
      </c>
      <c r="N117" s="1902"/>
      <c r="O117" s="1901">
        <f>O14</f>
        <v>0</v>
      </c>
      <c r="P117" s="1902"/>
      <c r="Q117" s="1901">
        <f>Q14</f>
        <v>6</v>
      </c>
      <c r="R117" s="1902"/>
      <c r="S117" s="1644">
        <f>ROUND($D117*K117,0)</f>
        <v>617058</v>
      </c>
      <c r="T117" s="1643"/>
      <c r="U117" s="1644">
        <f>ROUND($D117*M117,0)</f>
        <v>0</v>
      </c>
      <c r="V117" s="1643"/>
      <c r="W117" s="1644">
        <f>ROUND($D117*O117,0)</f>
        <v>0</v>
      </c>
      <c r="X117" s="1643"/>
      <c r="Y117" s="1644">
        <f>ROUND($D117*Q117,0)</f>
        <v>617058</v>
      </c>
    </row>
    <row r="118" spans="1:25">
      <c r="A118" s="1900" t="s">
        <v>684</v>
      </c>
      <c r="C118" s="528">
        <f>'123'!H18</f>
        <v>200.23333333333329</v>
      </c>
      <c r="D118" s="528">
        <f>D114-D115</f>
        <v>171</v>
      </c>
      <c r="F118" s="1901">
        <v>12</v>
      </c>
      <c r="G118" s="1902"/>
      <c r="H118" s="1644">
        <f t="shared" si="67"/>
        <v>2403</v>
      </c>
      <c r="I118" s="1644">
        <f t="shared" si="67"/>
        <v>2052</v>
      </c>
      <c r="K118" s="1901"/>
      <c r="L118" s="1902"/>
      <c r="M118" s="1901"/>
      <c r="N118" s="1902"/>
      <c r="O118" s="1901"/>
      <c r="P118" s="1902"/>
      <c r="Q118" s="1901"/>
      <c r="R118" s="1902"/>
      <c r="S118" s="1644"/>
      <c r="T118" s="1643"/>
      <c r="U118" s="1644"/>
      <c r="V118" s="1643"/>
      <c r="W118" s="1644"/>
      <c r="X118" s="1643"/>
      <c r="Y118" s="1644"/>
    </row>
    <row r="119" spans="1:25">
      <c r="A119" s="1900" t="s">
        <v>1581</v>
      </c>
      <c r="C119" s="528">
        <f>C118-C120</f>
        <v>31.833333333333286</v>
      </c>
      <c r="D119" s="528">
        <f>D118-D120</f>
        <v>27</v>
      </c>
      <c r="F119" s="1901"/>
      <c r="G119" s="1902"/>
      <c r="H119" s="1644"/>
      <c r="I119" s="1644"/>
      <c r="K119" s="1901">
        <f>K16</f>
        <v>20</v>
      </c>
      <c r="L119" s="1902"/>
      <c r="M119" s="1901">
        <f>M16</f>
        <v>0</v>
      </c>
      <c r="N119" s="1902"/>
      <c r="O119" s="1901">
        <f>O16</f>
        <v>0</v>
      </c>
      <c r="P119" s="1902"/>
      <c r="Q119" s="1901">
        <f>Q16</f>
        <v>20</v>
      </c>
      <c r="R119" s="1902"/>
      <c r="S119" s="1644">
        <f t="shared" ref="S119:S122" si="68">ROUND($D119*K119,0)</f>
        <v>540</v>
      </c>
      <c r="T119" s="1643"/>
      <c r="U119" s="1644">
        <f t="shared" ref="U119:U122" si="69">ROUND($D119*M119,0)</f>
        <v>0</v>
      </c>
      <c r="V119" s="1643"/>
      <c r="W119" s="1644">
        <f t="shared" ref="W119:Y122" si="70">ROUND($D119*O119,0)</f>
        <v>0</v>
      </c>
      <c r="X119" s="1643"/>
      <c r="Y119" s="1644">
        <f t="shared" si="70"/>
        <v>540</v>
      </c>
    </row>
    <row r="120" spans="1:25">
      <c r="A120" s="1900" t="s">
        <v>1582</v>
      </c>
      <c r="C120" s="528">
        <f>'123'!AO18</f>
        <v>168.4</v>
      </c>
      <c r="D120" s="528">
        <f>ROUND(C120/C118*D118,0)</f>
        <v>144</v>
      </c>
      <c r="F120" s="1901"/>
      <c r="G120" s="1902"/>
      <c r="H120" s="1644"/>
      <c r="I120" s="1644"/>
      <c r="K120" s="1901">
        <f>K17</f>
        <v>12</v>
      </c>
      <c r="L120" s="1902"/>
      <c r="M120" s="1901">
        <f>M17</f>
        <v>0</v>
      </c>
      <c r="N120" s="1902"/>
      <c r="O120" s="1901">
        <f>O17</f>
        <v>0</v>
      </c>
      <c r="P120" s="1902"/>
      <c r="Q120" s="1901">
        <f>Q17</f>
        <v>12</v>
      </c>
      <c r="R120" s="1902"/>
      <c r="S120" s="1644">
        <f t="shared" si="68"/>
        <v>1728</v>
      </c>
      <c r="T120" s="1643"/>
      <c r="U120" s="1644">
        <f t="shared" si="69"/>
        <v>0</v>
      </c>
      <c r="V120" s="1643"/>
      <c r="W120" s="1644">
        <f t="shared" si="70"/>
        <v>0</v>
      </c>
      <c r="X120" s="1643"/>
      <c r="Y120" s="1644">
        <f t="shared" si="70"/>
        <v>1728</v>
      </c>
    </row>
    <row r="121" spans="1:25">
      <c r="A121" s="1900" t="s">
        <v>1236</v>
      </c>
      <c r="C121" s="528">
        <f>'123'!AE18</f>
        <v>0</v>
      </c>
      <c r="D121" s="528">
        <f t="shared" ref="D121:D129" si="71">ROUND(C121/$C$114*$D$114,0)</f>
        <v>0</v>
      </c>
      <c r="F121" s="1901">
        <v>2</v>
      </c>
      <c r="G121" s="1902"/>
      <c r="H121" s="1644">
        <f t="shared" si="67"/>
        <v>0</v>
      </c>
      <c r="I121" s="1644">
        <f t="shared" si="67"/>
        <v>0</v>
      </c>
      <c r="K121" s="1901">
        <f t="shared" ref="K121" si="72">K18</f>
        <v>2</v>
      </c>
      <c r="L121" s="1902"/>
      <c r="M121" s="1901">
        <f t="shared" ref="M121" si="73">M18</f>
        <v>0</v>
      </c>
      <c r="N121" s="1902"/>
      <c r="O121" s="1901">
        <f t="shared" ref="O121" si="74">O18</f>
        <v>0</v>
      </c>
      <c r="P121" s="1902"/>
      <c r="Q121" s="1901">
        <f t="shared" ref="Q121:Q122" si="75">Q18</f>
        <v>2</v>
      </c>
      <c r="R121" s="1902"/>
      <c r="S121" s="1644">
        <f t="shared" si="68"/>
        <v>0</v>
      </c>
      <c r="T121" s="1643"/>
      <c r="U121" s="1644">
        <f t="shared" si="69"/>
        <v>0</v>
      </c>
      <c r="V121" s="1643"/>
      <c r="W121" s="1644">
        <f t="shared" si="70"/>
        <v>0</v>
      </c>
      <c r="X121" s="1643"/>
      <c r="Y121" s="1644">
        <f t="shared" si="70"/>
        <v>0</v>
      </c>
    </row>
    <row r="122" spans="1:25">
      <c r="A122" s="1900" t="s">
        <v>1301</v>
      </c>
      <c r="C122" s="528">
        <f>'123'!AM18</f>
        <v>0</v>
      </c>
      <c r="D122" s="528">
        <f t="shared" si="71"/>
        <v>0</v>
      </c>
      <c r="F122" s="1901">
        <v>22</v>
      </c>
      <c r="G122" s="1902"/>
      <c r="H122" s="1644">
        <f t="shared" si="67"/>
        <v>0</v>
      </c>
      <c r="I122" s="1644">
        <f t="shared" si="67"/>
        <v>0</v>
      </c>
      <c r="K122" s="1901">
        <f t="shared" ref="K122" si="76">K19</f>
        <v>22</v>
      </c>
      <c r="L122" s="1902"/>
      <c r="M122" s="1901">
        <f t="shared" ref="M122" si="77">M19</f>
        <v>0</v>
      </c>
      <c r="N122" s="1902"/>
      <c r="O122" s="1901">
        <f t="shared" ref="O122" si="78">O19</f>
        <v>0</v>
      </c>
      <c r="P122" s="1902"/>
      <c r="Q122" s="1901">
        <f t="shared" si="75"/>
        <v>22</v>
      </c>
      <c r="R122" s="1902"/>
      <c r="S122" s="1644">
        <f t="shared" si="68"/>
        <v>0</v>
      </c>
      <c r="T122" s="1643"/>
      <c r="U122" s="1644">
        <f t="shared" si="69"/>
        <v>0</v>
      </c>
      <c r="V122" s="1643"/>
      <c r="W122" s="1644">
        <f t="shared" si="70"/>
        <v>0</v>
      </c>
      <c r="X122" s="1643"/>
      <c r="Y122" s="1644">
        <f t="shared" si="70"/>
        <v>0</v>
      </c>
    </row>
    <row r="123" spans="1:25">
      <c r="A123" s="1900" t="s">
        <v>243</v>
      </c>
      <c r="C123" s="528">
        <f>'123'!I18</f>
        <v>52.0625</v>
      </c>
      <c r="D123" s="528">
        <f t="shared" si="71"/>
        <v>44</v>
      </c>
      <c r="F123" s="1901">
        <v>8</v>
      </c>
      <c r="G123" s="1902"/>
      <c r="H123" s="1644">
        <f t="shared" si="67"/>
        <v>417</v>
      </c>
      <c r="I123" s="1644">
        <f t="shared" si="67"/>
        <v>352</v>
      </c>
      <c r="K123" s="1901"/>
      <c r="L123" s="1902"/>
      <c r="M123" s="1901"/>
      <c r="N123" s="1902"/>
      <c r="O123" s="1901"/>
      <c r="P123" s="1902"/>
      <c r="Q123" s="1901"/>
      <c r="R123" s="1902"/>
      <c r="S123" s="1644"/>
      <c r="T123" s="1643"/>
      <c r="U123" s="1644"/>
      <c r="V123" s="1643"/>
      <c r="W123" s="1644"/>
      <c r="X123" s="1643"/>
      <c r="Y123" s="1644"/>
    </row>
    <row r="124" spans="1:25">
      <c r="A124" s="1900" t="s">
        <v>1581</v>
      </c>
      <c r="C124" s="528">
        <f>C123-C125</f>
        <v>31.193750000000001</v>
      </c>
      <c r="D124" s="528">
        <f>D123-D125</f>
        <v>26</v>
      </c>
      <c r="F124" s="1901"/>
      <c r="G124" s="1902"/>
      <c r="H124" s="1644"/>
      <c r="I124" s="1644"/>
      <c r="K124" s="1901"/>
      <c r="L124" s="1902"/>
      <c r="M124" s="1901"/>
      <c r="N124" s="1902"/>
      <c r="O124" s="1901"/>
      <c r="P124" s="1902"/>
      <c r="Q124" s="1901"/>
      <c r="R124" s="1902"/>
      <c r="S124" s="1644"/>
      <c r="T124" s="1643"/>
      <c r="U124" s="1644"/>
      <c r="V124" s="1643"/>
      <c r="W124" s="1644"/>
      <c r="X124" s="1643"/>
      <c r="Y124" s="1644"/>
    </row>
    <row r="125" spans="1:25">
      <c r="A125" s="1900" t="s">
        <v>1582</v>
      </c>
      <c r="C125" s="528">
        <f>'123'!AP18</f>
        <v>20.868749999999999</v>
      </c>
      <c r="D125" s="528">
        <f>ROUND(C125/C123*D123,0)</f>
        <v>18</v>
      </c>
      <c r="F125" s="1901"/>
      <c r="G125" s="1902"/>
      <c r="H125" s="1644"/>
      <c r="I125" s="1644"/>
      <c r="K125" s="1901"/>
      <c r="L125" s="1902"/>
      <c r="M125" s="1901"/>
      <c r="N125" s="1902"/>
      <c r="O125" s="1901"/>
      <c r="P125" s="1902"/>
      <c r="Q125" s="1901"/>
      <c r="R125" s="1902"/>
      <c r="S125" s="1644"/>
      <c r="T125" s="1643"/>
      <c r="U125" s="1644"/>
      <c r="V125" s="1643"/>
      <c r="W125" s="1644"/>
      <c r="X125" s="1643"/>
      <c r="Y125" s="1644"/>
    </row>
    <row r="126" spans="1:25">
      <c r="A126" s="1900" t="s">
        <v>244</v>
      </c>
      <c r="C126" s="528">
        <f>'123'!J18</f>
        <v>0</v>
      </c>
      <c r="D126" s="528">
        <f t="shared" si="71"/>
        <v>0</v>
      </c>
      <c r="F126" s="1901">
        <v>16</v>
      </c>
      <c r="G126" s="1902"/>
      <c r="H126" s="1644">
        <f t="shared" si="67"/>
        <v>0</v>
      </c>
      <c r="I126" s="1644">
        <f t="shared" si="67"/>
        <v>0</v>
      </c>
      <c r="K126" s="1901"/>
      <c r="L126" s="1902"/>
      <c r="M126" s="1901"/>
      <c r="N126" s="1902"/>
      <c r="O126" s="1901"/>
      <c r="P126" s="1902"/>
      <c r="Q126" s="1901"/>
      <c r="R126" s="1902"/>
      <c r="S126" s="1644"/>
      <c r="T126" s="1643"/>
      <c r="U126" s="1644"/>
      <c r="V126" s="1643"/>
      <c r="W126" s="1644"/>
      <c r="X126" s="1643"/>
      <c r="Y126" s="1644"/>
    </row>
    <row r="127" spans="1:25">
      <c r="A127" s="1900" t="s">
        <v>1581</v>
      </c>
      <c r="C127" s="528">
        <f>C126-C128</f>
        <v>0</v>
      </c>
      <c r="D127" s="528"/>
      <c r="F127" s="1901"/>
      <c r="G127" s="1902"/>
      <c r="H127" s="1644"/>
      <c r="I127" s="1644"/>
      <c r="K127" s="1901"/>
      <c r="L127" s="1902"/>
      <c r="M127" s="1901"/>
      <c r="N127" s="1902"/>
      <c r="O127" s="1901"/>
      <c r="P127" s="1902"/>
      <c r="Q127" s="1901"/>
      <c r="R127" s="1902"/>
      <c r="S127" s="1644"/>
      <c r="T127" s="1643"/>
      <c r="U127" s="1644"/>
      <c r="V127" s="1643"/>
      <c r="W127" s="1644"/>
      <c r="X127" s="1643"/>
      <c r="Y127" s="1644"/>
    </row>
    <row r="128" spans="1:25">
      <c r="A128" s="1900" t="s">
        <v>1582</v>
      </c>
      <c r="C128" s="528">
        <f>'123'!AQ18</f>
        <v>0</v>
      </c>
      <c r="D128" s="528"/>
      <c r="F128" s="1901"/>
      <c r="G128" s="1902"/>
      <c r="H128" s="1644"/>
      <c r="I128" s="1644"/>
      <c r="K128" s="1901"/>
      <c r="L128" s="1902"/>
      <c r="M128" s="1901"/>
      <c r="N128" s="1902"/>
      <c r="O128" s="1901"/>
      <c r="P128" s="1902"/>
      <c r="Q128" s="1901"/>
      <c r="R128" s="1902"/>
      <c r="S128" s="1644"/>
      <c r="T128" s="1643"/>
      <c r="U128" s="1644"/>
      <c r="V128" s="1643"/>
      <c r="W128" s="1644"/>
      <c r="X128" s="1643"/>
      <c r="Y128" s="1644"/>
    </row>
    <row r="129" spans="1:28">
      <c r="A129" s="1900" t="s">
        <v>245</v>
      </c>
      <c r="C129" s="528">
        <f>'123'!AL18</f>
        <v>0</v>
      </c>
      <c r="D129" s="528">
        <f t="shared" si="71"/>
        <v>0</v>
      </c>
      <c r="F129" s="1901">
        <v>96</v>
      </c>
      <c r="G129" s="1902"/>
      <c r="H129" s="1644">
        <f t="shared" si="67"/>
        <v>0</v>
      </c>
      <c r="I129" s="1644">
        <f t="shared" si="67"/>
        <v>0</v>
      </c>
      <c r="K129" s="1901"/>
      <c r="L129" s="1902"/>
      <c r="M129" s="1901"/>
      <c r="N129" s="1902"/>
      <c r="O129" s="1901"/>
      <c r="P129" s="1902"/>
      <c r="Q129" s="1901"/>
      <c r="R129" s="1902"/>
      <c r="S129" s="1644"/>
      <c r="T129" s="1643"/>
      <c r="U129" s="1644"/>
      <c r="V129" s="1643"/>
      <c r="W129" s="1644"/>
      <c r="X129" s="1643"/>
      <c r="Y129" s="1644"/>
      <c r="AA129" s="1104"/>
      <c r="AB129" s="1919"/>
    </row>
    <row r="130" spans="1:28">
      <c r="A130" s="1900" t="s">
        <v>1532</v>
      </c>
      <c r="C130" s="528">
        <f>'123'!S18+'123May'!J18</f>
        <v>5837.0523614864096</v>
      </c>
      <c r="D130" s="528">
        <f>ROUND(C130/SUM($C$132:$C$134)*(Energy!$S$9-Energy!$S$9/Energy!$P$9*($D$144+$D$147)),0)</f>
        <v>5354</v>
      </c>
      <c r="F130" s="1920">
        <v>4.3559999999999999</v>
      </c>
      <c r="G130" s="1921" t="s">
        <v>495</v>
      </c>
      <c r="H130" s="1644"/>
      <c r="I130" s="1644"/>
      <c r="K130" s="1920">
        <f>K27</f>
        <v>0</v>
      </c>
      <c r="L130" s="1921" t="s">
        <v>495</v>
      </c>
      <c r="M130" s="1920">
        <f>M27</f>
        <v>0</v>
      </c>
      <c r="N130" s="1921" t="s">
        <v>495</v>
      </c>
      <c r="O130" s="1920">
        <f>O27</f>
        <v>4.3559999999999999</v>
      </c>
      <c r="P130" s="1921" t="s">
        <v>495</v>
      </c>
      <c r="Q130" s="1920">
        <f t="shared" ref="Q130:Q136" si="79">Q27</f>
        <v>4.3559999999999999</v>
      </c>
      <c r="R130" s="1921" t="s">
        <v>495</v>
      </c>
      <c r="S130" s="1644">
        <f>ROUND($D130*K130/100,0)</f>
        <v>0</v>
      </c>
      <c r="T130" s="1656"/>
      <c r="U130" s="1644">
        <f>ROUND($D130*M130/100,0)</f>
        <v>0</v>
      </c>
      <c r="V130" s="1656"/>
      <c r="W130" s="1644">
        <f>ROUND($D130*O130/100,0)</f>
        <v>233</v>
      </c>
      <c r="X130" s="1648"/>
      <c r="Y130" s="1644">
        <f>ROUND($D130*Q130/100,0)</f>
        <v>233</v>
      </c>
      <c r="AA130" s="1104"/>
      <c r="AB130" s="1919"/>
    </row>
    <row r="131" spans="1:28">
      <c r="A131" s="1900" t="s">
        <v>1533</v>
      </c>
      <c r="C131" s="528">
        <f>'123'!T18+'123May'!K18</f>
        <v>17041.938258663642</v>
      </c>
      <c r="D131" s="528">
        <f>ROUND(C131/SUM($C$132:$C$134)*(Energy!$S$9-Energy!$S$9/Energy!$P$9*($D$144+$D$147)),0)</f>
        <v>15633</v>
      </c>
      <c r="F131" s="1920">
        <v>-1.6334</v>
      </c>
      <c r="G131" s="1921" t="s">
        <v>495</v>
      </c>
      <c r="H131" s="1644"/>
      <c r="I131" s="1644"/>
      <c r="K131" s="1920">
        <f t="shared" ref="K131:K136" si="80">K28</f>
        <v>0</v>
      </c>
      <c r="L131" s="1921" t="s">
        <v>495</v>
      </c>
      <c r="M131" s="1920">
        <f t="shared" ref="M131" si="81">M28</f>
        <v>0</v>
      </c>
      <c r="N131" s="1921" t="s">
        <v>495</v>
      </c>
      <c r="O131" s="1920">
        <f t="shared" ref="O131" si="82">O28</f>
        <v>-1.6334</v>
      </c>
      <c r="P131" s="1921" t="s">
        <v>495</v>
      </c>
      <c r="Q131" s="1920">
        <f t="shared" si="79"/>
        <v>-1.6334</v>
      </c>
      <c r="R131" s="1921" t="s">
        <v>495</v>
      </c>
      <c r="S131" s="1644">
        <f>ROUND($D131*K131/100,0)</f>
        <v>0</v>
      </c>
      <c r="T131" s="1656"/>
      <c r="U131" s="1644">
        <f>ROUND($D131*M131/100,0)</f>
        <v>0</v>
      </c>
      <c r="V131" s="1656"/>
      <c r="W131" s="1644">
        <f>ROUND($D131*O131/100,0)</f>
        <v>-255</v>
      </c>
      <c r="X131" s="1648"/>
      <c r="Y131" s="1644">
        <f>ROUND($D131*Q131/100,0)</f>
        <v>-255</v>
      </c>
      <c r="AA131" s="1104"/>
      <c r="AB131" s="1919"/>
    </row>
    <row r="132" spans="1:28">
      <c r="A132" s="1900" t="s">
        <v>1534</v>
      </c>
      <c r="C132" s="584">
        <f>'123'!P18+'123'!AG18+TempRevMay!C318+'123May'!G18+'123May'!Q18</f>
        <v>28763017.41983372</v>
      </c>
      <c r="D132" s="528">
        <f>D148-SUM(D133:D136,D144:D147)</f>
        <v>26384767.707057878</v>
      </c>
      <c r="F132" s="1926">
        <v>8.8498000000000001</v>
      </c>
      <c r="G132" s="1921" t="s">
        <v>495</v>
      </c>
      <c r="H132" s="1644"/>
      <c r="I132" s="1644"/>
      <c r="K132" s="1920">
        <f t="shared" si="80"/>
        <v>4.4294000000000002</v>
      </c>
      <c r="L132" s="1921" t="s">
        <v>495</v>
      </c>
      <c r="M132" s="1920">
        <f t="shared" ref="M132" si="83">M29</f>
        <v>3.7040999999999999</v>
      </c>
      <c r="N132" s="1921" t="s">
        <v>495</v>
      </c>
      <c r="O132" s="1920">
        <f t="shared" ref="O132" si="84">O29</f>
        <v>1.3645863008434289</v>
      </c>
      <c r="P132" s="1921" t="s">
        <v>495</v>
      </c>
      <c r="Q132" s="1920">
        <f t="shared" si="79"/>
        <v>9.4980863008434291</v>
      </c>
      <c r="R132" s="1921" t="s">
        <v>495</v>
      </c>
      <c r="S132" s="1644">
        <f t="shared" ref="S132:S136" si="85">ROUND($D132*K132/100,0)</f>
        <v>1168687</v>
      </c>
      <c r="T132" s="1656"/>
      <c r="U132" s="1644">
        <f t="shared" ref="U132:U136" si="86">ROUND($D132*M132/100,0)</f>
        <v>977318</v>
      </c>
      <c r="V132" s="1656"/>
      <c r="W132" s="1644">
        <f t="shared" ref="W132:Y136" si="87">ROUND($D132*O132/100,0)</f>
        <v>360043</v>
      </c>
      <c r="X132" s="1648"/>
      <c r="Y132" s="1644">
        <f t="shared" si="87"/>
        <v>2506048</v>
      </c>
    </row>
    <row r="133" spans="1:28">
      <c r="A133" s="1900" t="s">
        <v>1535</v>
      </c>
      <c r="C133" s="584">
        <f>'123'!Q18+'123'!AH18+TempRevMay!C319+'123May'!H18+'123May'!R18</f>
        <v>19367224.039969891</v>
      </c>
      <c r="D133" s="528">
        <f>ROUND(C133/SUM($C$132:$C$134)*Energy!$S$9*(1-1/Energy!$P$9*($D$144+$D$147)),0)</f>
        <v>17765859</v>
      </c>
      <c r="F133" s="1926">
        <v>11.542899999999999</v>
      </c>
      <c r="G133" s="1921" t="s">
        <v>495</v>
      </c>
      <c r="H133" s="1644"/>
      <c r="I133" s="1644"/>
      <c r="K133" s="1920">
        <f t="shared" si="80"/>
        <v>4.4294000000000002</v>
      </c>
      <c r="L133" s="1921" t="s">
        <v>495</v>
      </c>
      <c r="M133" s="1920">
        <f t="shared" ref="M133" si="88">M30</f>
        <v>3.7040999999999999</v>
      </c>
      <c r="N133" s="1921" t="s">
        <v>495</v>
      </c>
      <c r="O133" s="1920">
        <f t="shared" ref="O133" si="89">O30</f>
        <v>4.0576863008434287</v>
      </c>
      <c r="P133" s="1921" t="s">
        <v>495</v>
      </c>
      <c r="Q133" s="1920">
        <f t="shared" si="79"/>
        <v>12.191186300843428</v>
      </c>
      <c r="R133" s="1921" t="s">
        <v>495</v>
      </c>
      <c r="S133" s="1644">
        <f t="shared" si="85"/>
        <v>786921</v>
      </c>
      <c r="T133" s="1656"/>
      <c r="U133" s="1644">
        <f t="shared" si="86"/>
        <v>658065</v>
      </c>
      <c r="V133" s="1656"/>
      <c r="W133" s="1644">
        <f t="shared" si="87"/>
        <v>720883</v>
      </c>
      <c r="X133" s="1648"/>
      <c r="Y133" s="1644">
        <f t="shared" si="87"/>
        <v>2165869</v>
      </c>
    </row>
    <row r="134" spans="1:28">
      <c r="A134" s="1900" t="s">
        <v>1536</v>
      </c>
      <c r="C134" s="584">
        <f>'123'!R18+'123'!AI18+TempRevMay!C320+'123May'!I18+'123May'!S18</f>
        <v>6179565.4760957351</v>
      </c>
      <c r="D134" s="528">
        <f>ROUND(C134/SUM($C$132:$C$134)*Energy!$S$9*(1-1/Energy!$P$9*($D$144+$D$147)),0)</f>
        <v>5668613</v>
      </c>
      <c r="F134" s="1926">
        <v>14.450799999999999</v>
      </c>
      <c r="G134" s="1921" t="s">
        <v>495</v>
      </c>
      <c r="H134" s="1644"/>
      <c r="I134" s="1644"/>
      <c r="K134" s="1920">
        <f t="shared" si="80"/>
        <v>4.4294000000000002</v>
      </c>
      <c r="L134" s="1921" t="s">
        <v>495</v>
      </c>
      <c r="M134" s="1920">
        <f t="shared" ref="M134" si="90">M31</f>
        <v>3.7040999999999999</v>
      </c>
      <c r="N134" s="1921" t="s">
        <v>495</v>
      </c>
      <c r="O134" s="1920">
        <f t="shared" ref="O134" si="91">O31</f>
        <v>4.0576863008434287</v>
      </c>
      <c r="P134" s="1921" t="s">
        <v>495</v>
      </c>
      <c r="Q134" s="1920">
        <f t="shared" si="79"/>
        <v>12.191186300843428</v>
      </c>
      <c r="R134" s="1921" t="s">
        <v>495</v>
      </c>
      <c r="S134" s="1644">
        <f t="shared" si="85"/>
        <v>251086</v>
      </c>
      <c r="T134" s="1656"/>
      <c r="U134" s="1644">
        <f t="shared" si="86"/>
        <v>209971</v>
      </c>
      <c r="V134" s="1656"/>
      <c r="W134" s="1644">
        <f t="shared" si="87"/>
        <v>230015</v>
      </c>
      <c r="X134" s="1648"/>
      <c r="Y134" s="1644">
        <f t="shared" si="87"/>
        <v>691071</v>
      </c>
    </row>
    <row r="135" spans="1:28">
      <c r="A135" s="1900" t="s">
        <v>1537</v>
      </c>
      <c r="B135" s="1925"/>
      <c r="C135" s="584">
        <f>'123'!M18+'123'!AJ18+TempRevMay!C321+'123May'!D18+'123May'!T18</f>
        <v>59180887.474665888</v>
      </c>
      <c r="D135" s="528">
        <f>ROUND(C135/SUM($C$135:$C$136)*Energy!$T$9*(1-1/Energy!$P$9*($D$144+$D$147)),0)</f>
        <v>51185664</v>
      </c>
      <c r="E135" s="549"/>
      <c r="F135" s="1926">
        <v>8.8498000000000001</v>
      </c>
      <c r="G135" s="1921" t="s">
        <v>495</v>
      </c>
      <c r="H135" s="1644"/>
      <c r="I135" s="1644"/>
      <c r="J135" s="549"/>
      <c r="K135" s="1920">
        <f t="shared" si="80"/>
        <v>4.4294000000000002</v>
      </c>
      <c r="L135" s="1921" t="s">
        <v>495</v>
      </c>
      <c r="M135" s="1920">
        <f t="shared" ref="M135" si="92">M32</f>
        <v>3.7040999999999999</v>
      </c>
      <c r="N135" s="1921" t="s">
        <v>495</v>
      </c>
      <c r="O135" s="1920">
        <f t="shared" ref="O135" si="93">O32</f>
        <v>0.27188610694099991</v>
      </c>
      <c r="P135" s="1921" t="s">
        <v>495</v>
      </c>
      <c r="Q135" s="1920">
        <f t="shared" si="79"/>
        <v>8.4053861069410001</v>
      </c>
      <c r="R135" s="1921" t="s">
        <v>495</v>
      </c>
      <c r="S135" s="1644">
        <f t="shared" si="85"/>
        <v>2267218</v>
      </c>
      <c r="T135" s="1656"/>
      <c r="U135" s="1644">
        <f t="shared" si="86"/>
        <v>1895968</v>
      </c>
      <c r="V135" s="1656"/>
      <c r="W135" s="1644">
        <f t="shared" si="87"/>
        <v>139167</v>
      </c>
      <c r="X135" s="1648"/>
      <c r="Y135" s="1644">
        <f t="shared" si="87"/>
        <v>4302353</v>
      </c>
    </row>
    <row r="136" spans="1:28">
      <c r="A136" s="1900" t="s">
        <v>1538</v>
      </c>
      <c r="B136" s="1925"/>
      <c r="C136" s="584">
        <f>'123'!N18+'123'!AK18+TempRevMay!C322+'123May'!E18+'123May'!U18</f>
        <v>38135258.461581476</v>
      </c>
      <c r="D136" s="528">
        <f>ROUND(C136/SUM($C$135:$C$136)*Energy!$T$9*(1-1/Energy!$P$9*($D$144+$D$147)),0)</f>
        <v>32983258</v>
      </c>
      <c r="E136" s="549"/>
      <c r="F136" s="1926">
        <v>10.7072</v>
      </c>
      <c r="G136" s="1921" t="s">
        <v>495</v>
      </c>
      <c r="H136" s="1644"/>
      <c r="I136" s="1644"/>
      <c r="J136" s="549"/>
      <c r="K136" s="1920">
        <f t="shared" si="80"/>
        <v>4.4294000000000002</v>
      </c>
      <c r="L136" s="1921" t="s">
        <v>495</v>
      </c>
      <c r="M136" s="1920">
        <f t="shared" ref="M136" si="94">M33</f>
        <v>3.7040999999999999</v>
      </c>
      <c r="N136" s="1921" t="s">
        <v>495</v>
      </c>
      <c r="O136" s="1920">
        <f t="shared" ref="O136" si="95">O33</f>
        <v>2.6551604432239997</v>
      </c>
      <c r="P136" s="1921" t="s">
        <v>495</v>
      </c>
      <c r="Q136" s="1920">
        <f t="shared" si="79"/>
        <v>10.788660443224</v>
      </c>
      <c r="R136" s="1921" t="s">
        <v>495</v>
      </c>
      <c r="S136" s="1644">
        <f t="shared" si="85"/>
        <v>1460960</v>
      </c>
      <c r="T136" s="1656"/>
      <c r="U136" s="1644">
        <f t="shared" si="86"/>
        <v>1221733</v>
      </c>
      <c r="V136" s="1656"/>
      <c r="W136" s="1644">
        <f t="shared" si="87"/>
        <v>875758</v>
      </c>
      <c r="X136" s="1648"/>
      <c r="Y136" s="1644">
        <f t="shared" si="87"/>
        <v>3558452</v>
      </c>
    </row>
    <row r="137" spans="1:28">
      <c r="A137" s="1900" t="s">
        <v>188</v>
      </c>
      <c r="C137" s="528">
        <f>'123'!S18</f>
        <v>7500</v>
      </c>
      <c r="D137" s="528">
        <f>ROUND(C137/SUM($C$139:$C$141)*(Energy!$Q$9-Energy!$Q$9/Energy!$P$9*($D$144+$D$147)),0)</f>
        <v>6768</v>
      </c>
      <c r="F137" s="1920">
        <v>4.3559999999999999</v>
      </c>
      <c r="G137" s="1921" t="s">
        <v>495</v>
      </c>
      <c r="H137" s="1644">
        <f t="shared" ref="H137:I144" si="96">ROUND($F137*C137/100,0)</f>
        <v>327</v>
      </c>
      <c r="I137" s="1644">
        <f t="shared" si="96"/>
        <v>295</v>
      </c>
      <c r="K137" s="1920"/>
      <c r="L137" s="1921"/>
      <c r="M137" s="1920"/>
      <c r="N137" s="1921"/>
      <c r="O137" s="1920"/>
      <c r="P137" s="1921"/>
      <c r="Q137" s="1920"/>
      <c r="R137" s="1921"/>
      <c r="S137" s="1644"/>
      <c r="T137" s="1648"/>
      <c r="U137" s="1644"/>
      <c r="V137" s="1648"/>
      <c r="W137" s="1644"/>
      <c r="X137" s="1648"/>
      <c r="Y137" s="1644"/>
    </row>
    <row r="138" spans="1:28">
      <c r="A138" s="1900" t="s">
        <v>189</v>
      </c>
      <c r="C138" s="528">
        <f>'123'!T18</f>
        <v>23518</v>
      </c>
      <c r="D138" s="528">
        <f>ROUND(C138/SUM($C$139:$C$141)*(Energy!$Q$9-Energy!$Q$9/Energy!$P$9*($D$144+$D$147)),0)</f>
        <v>21221</v>
      </c>
      <c r="F138" s="1920">
        <v>-1.6334</v>
      </c>
      <c r="G138" s="1921" t="s">
        <v>495</v>
      </c>
      <c r="H138" s="1644">
        <f t="shared" si="96"/>
        <v>-384</v>
      </c>
      <c r="I138" s="1644">
        <f t="shared" si="96"/>
        <v>-347</v>
      </c>
      <c r="K138" s="1920"/>
      <c r="L138" s="1921"/>
      <c r="M138" s="1920"/>
      <c r="N138" s="1921"/>
      <c r="O138" s="1920"/>
      <c r="P138" s="1921"/>
      <c r="Q138" s="1920"/>
      <c r="R138" s="1921"/>
      <c r="S138" s="1644"/>
      <c r="T138" s="1648"/>
      <c r="U138" s="1644"/>
      <c r="V138" s="1648"/>
      <c r="W138" s="1644"/>
      <c r="X138" s="1648"/>
      <c r="Y138" s="1644"/>
    </row>
    <row r="139" spans="1:28">
      <c r="A139" s="1900" t="s">
        <v>241</v>
      </c>
      <c r="C139" s="584">
        <f>'123'!P18+'123'!AG18+TempRev!C318</f>
        <v>36997193</v>
      </c>
      <c r="D139" s="528">
        <f>D148-SUM(D140:D147)</f>
        <v>33384446.707057878</v>
      </c>
      <c r="F139" s="1926">
        <v>8.8498000000000001</v>
      </c>
      <c r="G139" s="1921" t="s">
        <v>495</v>
      </c>
      <c r="H139" s="1644">
        <f t="shared" si="96"/>
        <v>3274178</v>
      </c>
      <c r="I139" s="1644">
        <f t="shared" si="96"/>
        <v>2954457</v>
      </c>
      <c r="K139" s="1926"/>
      <c r="L139" s="1921"/>
      <c r="M139" s="1926"/>
      <c r="N139" s="1921"/>
      <c r="O139" s="1926"/>
      <c r="P139" s="1921"/>
      <c r="Q139" s="1926"/>
      <c r="R139" s="1921"/>
      <c r="S139" s="1644"/>
      <c r="T139" s="1648"/>
      <c r="U139" s="1644"/>
      <c r="V139" s="1648"/>
      <c r="W139" s="1644"/>
      <c r="X139" s="1648"/>
      <c r="Y139" s="1644"/>
    </row>
    <row r="140" spans="1:28">
      <c r="A140" s="1900" t="s">
        <v>242</v>
      </c>
      <c r="C140" s="584">
        <f>'123'!Q18+'123'!AH18+TempRev!C319</f>
        <v>22403580</v>
      </c>
      <c r="D140" s="528">
        <f>ROUND(C140/SUM($C$139:$C$141)*(Energy!$Q$9-Energy!$Q$9/Energy!$P$9*($D$144+$D$147)),0)</f>
        <v>20215888</v>
      </c>
      <c r="F140" s="1926">
        <v>11.542899999999999</v>
      </c>
      <c r="G140" s="1921" t="s">
        <v>495</v>
      </c>
      <c r="H140" s="1644">
        <f t="shared" si="96"/>
        <v>2586023</v>
      </c>
      <c r="I140" s="1644">
        <f t="shared" si="96"/>
        <v>2333500</v>
      </c>
      <c r="K140" s="1926"/>
      <c r="L140" s="1921"/>
      <c r="M140" s="1926"/>
      <c r="N140" s="1921"/>
      <c r="O140" s="1926"/>
      <c r="P140" s="1921"/>
      <c r="Q140" s="1926"/>
      <c r="R140" s="1921"/>
      <c r="S140" s="1644"/>
      <c r="T140" s="1648"/>
      <c r="U140" s="1644"/>
      <c r="V140" s="1648"/>
      <c r="W140" s="1644"/>
      <c r="X140" s="1648"/>
      <c r="Y140" s="1644"/>
    </row>
    <row r="141" spans="1:28">
      <c r="A141" s="1900" t="s">
        <v>94</v>
      </c>
      <c r="C141" s="584">
        <f>'123'!R18+'123'!AI18+TempRev!C320</f>
        <v>6569711.578529302</v>
      </c>
      <c r="D141" s="528">
        <f>ROUND(C141/SUM($C$139:$C$141)*(Energy!$Q$9-Energy!$Q$9/Energy!$P$9*($D$144+$D$147)),0)</f>
        <v>5928185</v>
      </c>
      <c r="F141" s="1926">
        <v>14.450799999999999</v>
      </c>
      <c r="G141" s="1921" t="s">
        <v>495</v>
      </c>
      <c r="H141" s="1644">
        <f t="shared" si="96"/>
        <v>949376</v>
      </c>
      <c r="I141" s="1644">
        <f t="shared" si="96"/>
        <v>856670</v>
      </c>
      <c r="K141" s="1926"/>
      <c r="L141" s="1921"/>
      <c r="M141" s="1926"/>
      <c r="N141" s="1921"/>
      <c r="O141" s="1926"/>
      <c r="P141" s="1921"/>
      <c r="Q141" s="1926"/>
      <c r="R141" s="1921"/>
      <c r="S141" s="1644"/>
      <c r="T141" s="1648"/>
      <c r="U141" s="1644"/>
      <c r="V141" s="1648"/>
      <c r="W141" s="1644"/>
      <c r="X141" s="1648"/>
      <c r="Y141" s="1644"/>
    </row>
    <row r="142" spans="1:28">
      <c r="A142" s="1900" t="s">
        <v>1360</v>
      </c>
      <c r="B142" s="1925"/>
      <c r="C142" s="584">
        <f>'123'!M18+'123'!AJ18+TempRev!C321</f>
        <v>50947453</v>
      </c>
      <c r="D142" s="528">
        <f>ROUND(C142/SUM($C$142:$C$143)*(Energy!$R$9-Energy!$R$9/Energy!$P$9*($D$144+$D$147)),0)</f>
        <v>44288230</v>
      </c>
      <c r="E142" s="549"/>
      <c r="F142" s="1926">
        <v>8.8498000000000001</v>
      </c>
      <c r="G142" s="1921" t="s">
        <v>495</v>
      </c>
      <c r="H142" s="1644">
        <f t="shared" si="96"/>
        <v>4508748</v>
      </c>
      <c r="I142" s="1644">
        <f t="shared" si="96"/>
        <v>3919420</v>
      </c>
      <c r="J142" s="549"/>
      <c r="K142" s="1926"/>
      <c r="L142" s="1921"/>
      <c r="M142" s="1926"/>
      <c r="N142" s="1921"/>
      <c r="O142" s="1926"/>
      <c r="P142" s="1921"/>
      <c r="Q142" s="1926"/>
      <c r="R142" s="1921"/>
      <c r="S142" s="1644"/>
      <c r="T142" s="1648"/>
      <c r="U142" s="1644"/>
      <c r="V142" s="1648"/>
      <c r="W142" s="1644"/>
      <c r="X142" s="1648"/>
      <c r="Y142" s="1644"/>
    </row>
    <row r="143" spans="1:28">
      <c r="A143" s="1900" t="s">
        <v>1361</v>
      </c>
      <c r="B143" s="1925"/>
      <c r="C143" s="584">
        <f>'123'!N18+'123'!AK18+TempRev!C322</f>
        <v>34708015.29361742</v>
      </c>
      <c r="D143" s="528">
        <f>ROUND(C143/SUM($C$142:$C$143)*(Energy!$R$9-Energy!$R$9/Energy!$P$9*($D$144+$D$147)),0)</f>
        <v>30171412</v>
      </c>
      <c r="E143" s="549"/>
      <c r="F143" s="1926">
        <v>10.7072</v>
      </c>
      <c r="G143" s="1921" t="s">
        <v>495</v>
      </c>
      <c r="H143" s="1644">
        <f t="shared" si="96"/>
        <v>3716257</v>
      </c>
      <c r="I143" s="1644">
        <f t="shared" si="96"/>
        <v>3230513</v>
      </c>
      <c r="J143" s="549"/>
      <c r="K143" s="1926"/>
      <c r="L143" s="1921"/>
      <c r="M143" s="1926"/>
      <c r="N143" s="1921"/>
      <c r="O143" s="1926"/>
      <c r="P143" s="1921"/>
      <c r="Q143" s="1926"/>
      <c r="R143" s="1921"/>
      <c r="S143" s="1644"/>
      <c r="T143" s="1648"/>
      <c r="U143" s="1644"/>
      <c r="V143" s="1648"/>
      <c r="W143" s="1644"/>
      <c r="X143" s="1648"/>
      <c r="Y143" s="1644"/>
    </row>
    <row r="144" spans="1:28">
      <c r="A144" s="1116" t="s">
        <v>1158</v>
      </c>
      <c r="B144" s="1928"/>
      <c r="C144" s="1024">
        <f>'123'!X18</f>
        <v>123079</v>
      </c>
      <c r="D144" s="528">
        <f>ROUND(C144/($C$148-$C$145)*$D$148,0)</f>
        <v>108762</v>
      </c>
      <c r="E144" s="804"/>
      <c r="F144" s="1927">
        <v>11.7033</v>
      </c>
      <c r="G144" s="1929" t="s">
        <v>495</v>
      </c>
      <c r="H144" s="1146">
        <f t="shared" si="96"/>
        <v>14404</v>
      </c>
      <c r="I144" s="1146">
        <f t="shared" si="96"/>
        <v>12729</v>
      </c>
      <c r="J144" s="804"/>
      <c r="K144" s="1927">
        <f t="shared" ref="K144:O144" si="97">K41</f>
        <v>4.4294000000000002</v>
      </c>
      <c r="L144" s="1929" t="s">
        <v>495</v>
      </c>
      <c r="M144" s="1927">
        <f t="shared" si="97"/>
        <v>7.7249999999999996</v>
      </c>
      <c r="N144" s="1929" t="s">
        <v>495</v>
      </c>
      <c r="O144" s="1927">
        <f t="shared" si="97"/>
        <v>0</v>
      </c>
      <c r="P144" s="1929" t="s">
        <v>495</v>
      </c>
      <c r="Q144" s="1927">
        <f>Q41</f>
        <v>12.154400000000001</v>
      </c>
      <c r="R144" s="1929" t="s">
        <v>495</v>
      </c>
      <c r="S144" s="1644">
        <f t="shared" ref="S144" si="98">ROUND($D144*K144/100,0)</f>
        <v>4818</v>
      </c>
      <c r="T144" s="1656"/>
      <c r="U144" s="1644">
        <f t="shared" ref="U144" si="99">ROUND($D144*M144/100,0)</f>
        <v>8402</v>
      </c>
      <c r="V144" s="1656"/>
      <c r="W144" s="1644">
        <f t="shared" ref="W144:Y144" si="100">ROUND($D144*O144/100,0)</f>
        <v>0</v>
      </c>
      <c r="X144" s="1656"/>
      <c r="Y144" s="1644">
        <f t="shared" si="100"/>
        <v>13219</v>
      </c>
      <c r="AA144" s="1104" t="s">
        <v>1746</v>
      </c>
      <c r="AB144" s="1919">
        <f>ROUND(D148/(D114),0)</f>
        <v>620</v>
      </c>
    </row>
    <row r="145" spans="1:28">
      <c r="A145" s="1900" t="s">
        <v>246</v>
      </c>
      <c r="C145" s="529">
        <f>'Table 2'!J15</f>
        <v>862476</v>
      </c>
      <c r="D145" s="529">
        <v>0</v>
      </c>
      <c r="H145" s="1030">
        <f>'Table 3'!F15</f>
        <v>98698</v>
      </c>
      <c r="I145" s="1030">
        <v>0</v>
      </c>
      <c r="Y145" s="1030">
        <v>0</v>
      </c>
      <c r="AA145" s="1104" t="s">
        <v>1747</v>
      </c>
      <c r="AB145" s="1919">
        <f>ROUND(SUM(D132:D134,(D144+D147)*4/12)/((D114)*4/12),0)</f>
        <v>691</v>
      </c>
    </row>
    <row r="146" spans="1:28">
      <c r="A146" s="1900" t="s">
        <v>1240</v>
      </c>
      <c r="C146" s="584"/>
      <c r="D146" s="584"/>
      <c r="F146" s="1930">
        <v>-3.9100000000000003E-2</v>
      </c>
      <c r="G146" s="597"/>
      <c r="H146" s="1644">
        <f>SUM(H139:H141,H142:H144)*$F146</f>
        <v>-588415.3526000001</v>
      </c>
      <c r="I146" s="1644">
        <f>SUM(I139:I141,I142:I144)*$F146</f>
        <v>-520314.99990000005</v>
      </c>
      <c r="K146" s="1930"/>
      <c r="L146" s="597"/>
      <c r="M146" s="1930"/>
      <c r="N146" s="597"/>
      <c r="O146" s="1930" t="str">
        <f>$O$43</f>
        <v>Tax Year 1 (7/1/2021)</v>
      </c>
      <c r="P146" s="597"/>
      <c r="Q146" s="1930">
        <f>$Q$43</f>
        <v>-3.0800000000000001E-2</v>
      </c>
      <c r="R146" s="597"/>
      <c r="S146" s="1645"/>
      <c r="T146" s="1645"/>
      <c r="U146" s="1645"/>
      <c r="V146" s="1645"/>
      <c r="W146" s="1645"/>
      <c r="X146" s="1645"/>
      <c r="Y146" s="1644">
        <f>Q146*SUM(Y132:Y136,Y144)</f>
        <v>-407699.96960000001</v>
      </c>
      <c r="AA146" s="1104" t="s">
        <v>1748</v>
      </c>
      <c r="AB146" s="1919">
        <f>ROUND(SUM(D135:D136,(D144+D147)*8/12)/((D114)*8/12),0)</f>
        <v>584</v>
      </c>
    </row>
    <row r="147" spans="1:28">
      <c r="A147" s="1116" t="s">
        <v>1317</v>
      </c>
      <c r="C147" s="584">
        <f>'123'!AX18</f>
        <v>-4359</v>
      </c>
      <c r="D147" s="528">
        <f>ROUND(C147/($C$148-$C$145)*$D$148,0)</f>
        <v>-3852</v>
      </c>
      <c r="F147" s="1930"/>
      <c r="G147" s="597"/>
      <c r="H147" s="1644"/>
      <c r="I147" s="1644"/>
      <c r="K147" s="1930"/>
      <c r="L147" s="597"/>
      <c r="M147" s="1930"/>
      <c r="N147" s="597"/>
      <c r="O147" s="1930" t="str">
        <f>$O$44</f>
        <v>Tax Year 2 (1/1/2022)</v>
      </c>
      <c r="P147" s="597"/>
      <c r="Q147" s="1930">
        <f>$Q$44</f>
        <v>-1.67E-2</v>
      </c>
      <c r="R147" s="597"/>
      <c r="S147" s="1645"/>
      <c r="T147" s="1645"/>
      <c r="U147" s="1645"/>
      <c r="V147" s="1645"/>
      <c r="W147" s="1645"/>
      <c r="X147" s="1645"/>
      <c r="Y147" s="1644">
        <f>Q147*SUM(Y132:Y136,Y144)</f>
        <v>-221058.1004</v>
      </c>
    </row>
    <row r="148" spans="1:28" ht="16.5" thickBot="1">
      <c r="A148" s="1900" t="s">
        <v>247</v>
      </c>
      <c r="C148" s="1934">
        <f>SUM(C139:C147)</f>
        <v>152607148.87214673</v>
      </c>
      <c r="D148" s="1934">
        <f>Energy!P9</f>
        <v>134093071.70705788</v>
      </c>
      <c r="F148" s="1935"/>
      <c r="H148" s="1646">
        <f>SUM(H115:H146)</f>
        <v>16082878.647399999</v>
      </c>
      <c r="I148" s="1646">
        <f>SUM(I115:I146)</f>
        <v>14086238.0001</v>
      </c>
      <c r="K148" s="1935"/>
      <c r="M148" s="1935"/>
      <c r="O148" s="1939"/>
      <c r="Q148" s="1939"/>
      <c r="S148" s="1646">
        <f>SUM(S116:S145)</f>
        <v>7692106</v>
      </c>
      <c r="U148" s="1646">
        <f>SUM(U116:U145)</f>
        <v>4971457</v>
      </c>
      <c r="W148" s="1646">
        <f>SUM(W116:W145)</f>
        <v>2325844</v>
      </c>
      <c r="Y148" s="1646">
        <f>SUM(Y116:Y145)</f>
        <v>14989406</v>
      </c>
      <c r="AA148" s="1104" t="s">
        <v>1743</v>
      </c>
      <c r="AB148" s="1890">
        <f>Y148/I148-1</f>
        <v>6.4117048135462928E-2</v>
      </c>
    </row>
    <row r="149" spans="1:28" ht="16.5" thickTop="1">
      <c r="C149" s="528"/>
      <c r="D149" s="528"/>
    </row>
    <row r="150" spans="1:28">
      <c r="A150" s="1897" t="s">
        <v>970</v>
      </c>
      <c r="C150" s="528"/>
      <c r="D150" s="528"/>
    </row>
    <row r="151" spans="1:28">
      <c r="A151" s="1900" t="s">
        <v>685</v>
      </c>
      <c r="C151" s="528">
        <f>'123'!F19</f>
        <v>358674.66666666663</v>
      </c>
      <c r="D151" s="528">
        <f>Bill!P17+Bill!P19</f>
        <v>418416</v>
      </c>
      <c r="F151" s="1901"/>
      <c r="G151" s="1902"/>
      <c r="H151" s="1644"/>
      <c r="I151" s="1644"/>
      <c r="K151" s="1901"/>
      <c r="L151" s="1902"/>
      <c r="M151" s="1901"/>
      <c r="N151" s="1902"/>
      <c r="O151" s="1901"/>
      <c r="P151" s="1902"/>
      <c r="Q151" s="1901"/>
      <c r="R151" s="1902"/>
      <c r="S151" s="1643"/>
      <c r="T151" s="1643"/>
      <c r="U151" s="1643"/>
      <c r="V151" s="1643"/>
      <c r="W151" s="1643"/>
      <c r="X151" s="1643"/>
      <c r="Y151" s="1644"/>
    </row>
    <row r="152" spans="1:28">
      <c r="A152" s="1900" t="s">
        <v>683</v>
      </c>
      <c r="C152" s="528">
        <f>'123'!G19</f>
        <v>358350.66666666663</v>
      </c>
      <c r="D152" s="528">
        <f>ROUND(C152/$C$151*$D$151,0)</f>
        <v>418038</v>
      </c>
      <c r="F152" s="1901">
        <v>6</v>
      </c>
      <c r="G152" s="1902"/>
      <c r="H152" s="1644">
        <f t="shared" ref="H152:I166" si="101">ROUND($F152*C152,0)</f>
        <v>2150104</v>
      </c>
      <c r="I152" s="1644">
        <f t="shared" si="101"/>
        <v>2508228</v>
      </c>
      <c r="K152" s="1901"/>
      <c r="L152" s="1902"/>
      <c r="M152" s="1901"/>
      <c r="N152" s="1902"/>
      <c r="O152" s="1901"/>
      <c r="P152" s="1902"/>
      <c r="Q152" s="1901"/>
      <c r="R152" s="1902"/>
      <c r="S152" s="1643"/>
      <c r="T152" s="1643"/>
      <c r="U152" s="1643"/>
      <c r="V152" s="1643"/>
      <c r="W152" s="1643"/>
      <c r="X152" s="1643"/>
      <c r="Y152" s="1644"/>
    </row>
    <row r="153" spans="1:28">
      <c r="A153" s="1900" t="s">
        <v>1581</v>
      </c>
      <c r="C153" s="528">
        <f>C152-C154</f>
        <v>347723.76666666666</v>
      </c>
      <c r="D153" s="528">
        <f>D152-D154</f>
        <v>405641</v>
      </c>
      <c r="F153" s="1901"/>
      <c r="G153" s="1902"/>
      <c r="H153" s="1644"/>
      <c r="I153" s="1644"/>
      <c r="K153" s="1901">
        <f>K13</f>
        <v>10</v>
      </c>
      <c r="L153" s="1902"/>
      <c r="M153" s="1901">
        <f>M13</f>
        <v>0</v>
      </c>
      <c r="N153" s="1902"/>
      <c r="O153" s="1901">
        <f>O13</f>
        <v>0</v>
      </c>
      <c r="P153" s="1902"/>
      <c r="Q153" s="1901">
        <f>Q13</f>
        <v>10</v>
      </c>
      <c r="R153" s="1902"/>
      <c r="S153" s="1644">
        <f>ROUND($D153*K153,0)</f>
        <v>4056410</v>
      </c>
      <c r="T153" s="1643"/>
      <c r="U153" s="1644">
        <f>ROUND($D153*M153,0)</f>
        <v>0</v>
      </c>
      <c r="V153" s="1643"/>
      <c r="W153" s="1644">
        <f>ROUND($D153*O153,0)</f>
        <v>0</v>
      </c>
      <c r="X153" s="1643"/>
      <c r="Y153" s="1644">
        <f>ROUND($D153*Q153,0)</f>
        <v>4056410</v>
      </c>
    </row>
    <row r="154" spans="1:28">
      <c r="A154" s="1900" t="s">
        <v>1582</v>
      </c>
      <c r="C154" s="528">
        <f>'123'!AN19</f>
        <v>10626.899999999987</v>
      </c>
      <c r="D154" s="528">
        <f>ROUND(C154/C152*D152,0)</f>
        <v>12397</v>
      </c>
      <c r="F154" s="1901"/>
      <c r="G154" s="1902"/>
      <c r="H154" s="1644"/>
      <c r="I154" s="1644"/>
      <c r="K154" s="1901">
        <f>K14</f>
        <v>6</v>
      </c>
      <c r="L154" s="1902"/>
      <c r="M154" s="1901">
        <f>M14</f>
        <v>0</v>
      </c>
      <c r="N154" s="1902"/>
      <c r="O154" s="1901">
        <f>O14</f>
        <v>0</v>
      </c>
      <c r="P154" s="1902"/>
      <c r="Q154" s="1901">
        <f>Q14</f>
        <v>6</v>
      </c>
      <c r="R154" s="1902"/>
      <c r="S154" s="1644">
        <f>ROUND($D154*K154,0)</f>
        <v>74382</v>
      </c>
      <c r="T154" s="1643"/>
      <c r="U154" s="1644">
        <f>ROUND($D154*M154,0)</f>
        <v>0</v>
      </c>
      <c r="V154" s="1643"/>
      <c r="W154" s="1644">
        <f>ROUND($D154*O154,0)</f>
        <v>0</v>
      </c>
      <c r="X154" s="1643"/>
      <c r="Y154" s="1644">
        <f>ROUND($D154*Q154,0)</f>
        <v>74382</v>
      </c>
    </row>
    <row r="155" spans="1:28">
      <c r="A155" s="1900" t="s">
        <v>684</v>
      </c>
      <c r="C155" s="528">
        <f>'123'!H19</f>
        <v>324</v>
      </c>
      <c r="D155" s="528">
        <f>D151-D152</f>
        <v>378</v>
      </c>
      <c r="F155" s="1901">
        <v>12</v>
      </c>
      <c r="G155" s="1902"/>
      <c r="H155" s="1644">
        <f t="shared" si="101"/>
        <v>3888</v>
      </c>
      <c r="I155" s="1644">
        <f t="shared" si="101"/>
        <v>4536</v>
      </c>
      <c r="K155" s="1901"/>
      <c r="L155" s="1902"/>
      <c r="M155" s="1901"/>
      <c r="N155" s="1902"/>
      <c r="O155" s="1901"/>
      <c r="P155" s="1902"/>
      <c r="Q155" s="1901"/>
      <c r="R155" s="1902"/>
      <c r="S155" s="1644"/>
      <c r="T155" s="1643"/>
      <c r="U155" s="1644"/>
      <c r="V155" s="1643"/>
      <c r="W155" s="1644"/>
      <c r="X155" s="1643"/>
      <c r="Y155" s="1644"/>
    </row>
    <row r="156" spans="1:28">
      <c r="A156" s="1900" t="s">
        <v>1581</v>
      </c>
      <c r="C156" s="528">
        <f>C155-C157</f>
        <v>96</v>
      </c>
      <c r="D156" s="528">
        <f>D155-D157</f>
        <v>112</v>
      </c>
      <c r="F156" s="1901"/>
      <c r="G156" s="1902"/>
      <c r="H156" s="1644"/>
      <c r="I156" s="1644"/>
      <c r="K156" s="1901">
        <f>K16</f>
        <v>20</v>
      </c>
      <c r="L156" s="1902"/>
      <c r="M156" s="1901">
        <f>M16</f>
        <v>0</v>
      </c>
      <c r="N156" s="1902"/>
      <c r="O156" s="1901">
        <f>O16</f>
        <v>0</v>
      </c>
      <c r="P156" s="1902"/>
      <c r="Q156" s="1901">
        <f>Q16</f>
        <v>20</v>
      </c>
      <c r="R156" s="1902"/>
      <c r="S156" s="1644">
        <f t="shared" ref="S156:S159" si="102">ROUND($D156*K156,0)</f>
        <v>2240</v>
      </c>
      <c r="T156" s="1643"/>
      <c r="U156" s="1644">
        <f t="shared" ref="U156:Y159" si="103">ROUND($D156*M156,0)</f>
        <v>0</v>
      </c>
      <c r="V156" s="1643"/>
      <c r="W156" s="1644">
        <f t="shared" si="103"/>
        <v>0</v>
      </c>
      <c r="X156" s="1643"/>
      <c r="Y156" s="1644">
        <f t="shared" si="103"/>
        <v>2240</v>
      </c>
    </row>
    <row r="157" spans="1:28">
      <c r="A157" s="1900" t="s">
        <v>1582</v>
      </c>
      <c r="C157" s="528">
        <f>'123'!AO19</f>
        <v>228</v>
      </c>
      <c r="D157" s="528">
        <f>ROUND(C157/C155*D155,0)</f>
        <v>266</v>
      </c>
      <c r="F157" s="1901"/>
      <c r="G157" s="1902"/>
      <c r="H157" s="1644"/>
      <c r="I157" s="1644"/>
      <c r="K157" s="1901">
        <f>K17</f>
        <v>12</v>
      </c>
      <c r="L157" s="1902"/>
      <c r="M157" s="1901">
        <f>M17</f>
        <v>0</v>
      </c>
      <c r="N157" s="1902"/>
      <c r="O157" s="1901">
        <f>O17</f>
        <v>0</v>
      </c>
      <c r="P157" s="1902"/>
      <c r="Q157" s="1901">
        <f>Q17</f>
        <v>12</v>
      </c>
      <c r="R157" s="1902"/>
      <c r="S157" s="1644">
        <f t="shared" si="102"/>
        <v>3192</v>
      </c>
      <c r="T157" s="1643"/>
      <c r="U157" s="1644">
        <f t="shared" si="103"/>
        <v>0</v>
      </c>
      <c r="V157" s="1643"/>
      <c r="W157" s="1644">
        <f t="shared" si="103"/>
        <v>0</v>
      </c>
      <c r="X157" s="1643"/>
      <c r="Y157" s="1644">
        <f t="shared" si="103"/>
        <v>3192</v>
      </c>
    </row>
    <row r="158" spans="1:28">
      <c r="A158" s="1900" t="s">
        <v>1236</v>
      </c>
      <c r="C158" s="528">
        <f>'123'!AE19</f>
        <v>0</v>
      </c>
      <c r="D158" s="528">
        <f t="shared" ref="D158:D166" si="104">ROUND(C158/$C$151*$D$151,0)</f>
        <v>0</v>
      </c>
      <c r="F158" s="1901">
        <v>2</v>
      </c>
      <c r="G158" s="1902"/>
      <c r="H158" s="1644">
        <f t="shared" si="101"/>
        <v>0</v>
      </c>
      <c r="I158" s="1644">
        <f t="shared" si="101"/>
        <v>0</v>
      </c>
      <c r="K158" s="1901">
        <f t="shared" ref="K158" si="105">K18</f>
        <v>2</v>
      </c>
      <c r="L158" s="1902"/>
      <c r="M158" s="1901">
        <f t="shared" ref="M158" si="106">M18</f>
        <v>0</v>
      </c>
      <c r="N158" s="1902"/>
      <c r="O158" s="1901">
        <f t="shared" ref="O158" si="107">O18</f>
        <v>0</v>
      </c>
      <c r="P158" s="1902"/>
      <c r="Q158" s="1901">
        <f t="shared" ref="Q158:Q159" si="108">Q18</f>
        <v>2</v>
      </c>
      <c r="R158" s="1902"/>
      <c r="S158" s="1644">
        <f t="shared" si="102"/>
        <v>0</v>
      </c>
      <c r="T158" s="1643"/>
      <c r="U158" s="1644">
        <f t="shared" si="103"/>
        <v>0</v>
      </c>
      <c r="V158" s="1643"/>
      <c r="W158" s="1644">
        <f t="shared" si="103"/>
        <v>0</v>
      </c>
      <c r="X158" s="1643"/>
      <c r="Y158" s="1644">
        <f t="shared" si="103"/>
        <v>0</v>
      </c>
    </row>
    <row r="159" spans="1:28">
      <c r="A159" s="1900" t="s">
        <v>1301</v>
      </c>
      <c r="C159" s="528">
        <f>'123'!AM19</f>
        <v>12</v>
      </c>
      <c r="D159" s="528">
        <f t="shared" si="104"/>
        <v>14</v>
      </c>
      <c r="F159" s="1901">
        <v>22</v>
      </c>
      <c r="G159" s="1902"/>
      <c r="H159" s="1644">
        <f t="shared" si="101"/>
        <v>264</v>
      </c>
      <c r="I159" s="1644">
        <f t="shared" si="101"/>
        <v>308</v>
      </c>
      <c r="K159" s="1901">
        <f t="shared" ref="K159" si="109">K19</f>
        <v>22</v>
      </c>
      <c r="L159" s="1902"/>
      <c r="M159" s="1901">
        <f t="shared" ref="M159" si="110">M19</f>
        <v>0</v>
      </c>
      <c r="N159" s="1902"/>
      <c r="O159" s="1901">
        <f t="shared" ref="O159" si="111">O19</f>
        <v>0</v>
      </c>
      <c r="P159" s="1902"/>
      <c r="Q159" s="1901">
        <f t="shared" si="108"/>
        <v>22</v>
      </c>
      <c r="R159" s="1902"/>
      <c r="S159" s="1644">
        <f t="shared" si="102"/>
        <v>308</v>
      </c>
      <c r="T159" s="1643"/>
      <c r="U159" s="1644">
        <f t="shared" si="103"/>
        <v>0</v>
      </c>
      <c r="V159" s="1643"/>
      <c r="W159" s="1644">
        <f t="shared" si="103"/>
        <v>0</v>
      </c>
      <c r="X159" s="1643"/>
      <c r="Y159" s="1644">
        <f t="shared" si="103"/>
        <v>308</v>
      </c>
    </row>
    <row r="160" spans="1:28">
      <c r="A160" s="1900" t="s">
        <v>243</v>
      </c>
      <c r="C160" s="528">
        <f>'123'!I19</f>
        <v>41793.397499999999</v>
      </c>
      <c r="D160" s="528">
        <f t="shared" si="104"/>
        <v>48755</v>
      </c>
      <c r="F160" s="1901">
        <v>8</v>
      </c>
      <c r="G160" s="1902"/>
      <c r="H160" s="1644">
        <f t="shared" si="101"/>
        <v>334347</v>
      </c>
      <c r="I160" s="1644">
        <f t="shared" si="101"/>
        <v>390040</v>
      </c>
      <c r="K160" s="1901"/>
      <c r="L160" s="1902"/>
      <c r="M160" s="1901"/>
      <c r="N160" s="1902"/>
      <c r="O160" s="1901"/>
      <c r="P160" s="1902"/>
      <c r="Q160" s="1901"/>
      <c r="R160" s="1902"/>
      <c r="S160" s="1644"/>
      <c r="T160" s="1643"/>
      <c r="U160" s="1644"/>
      <c r="V160" s="1643"/>
      <c r="W160" s="1644"/>
      <c r="X160" s="1643"/>
      <c r="Y160" s="1644"/>
    </row>
    <row r="161" spans="1:28">
      <c r="A161" s="1900" t="s">
        <v>1581</v>
      </c>
      <c r="C161" s="528">
        <f>C160-C162</f>
        <v>41131.633750000001</v>
      </c>
      <c r="D161" s="528">
        <f>D160-D162</f>
        <v>47983</v>
      </c>
      <c r="F161" s="1901"/>
      <c r="G161" s="1902"/>
      <c r="H161" s="1644"/>
      <c r="I161" s="1644"/>
      <c r="K161" s="1901"/>
      <c r="L161" s="1902"/>
      <c r="M161" s="1901"/>
      <c r="N161" s="1902"/>
      <c r="O161" s="1901"/>
      <c r="P161" s="1902"/>
      <c r="Q161" s="1901"/>
      <c r="R161" s="1902"/>
      <c r="S161" s="1644"/>
      <c r="T161" s="1643"/>
      <c r="U161" s="1644"/>
      <c r="V161" s="1643"/>
      <c r="W161" s="1644"/>
      <c r="X161" s="1643"/>
      <c r="Y161" s="1644"/>
    </row>
    <row r="162" spans="1:28">
      <c r="A162" s="1900" t="s">
        <v>1582</v>
      </c>
      <c r="C162" s="528">
        <f>'123'!AP19</f>
        <v>661.76374999999996</v>
      </c>
      <c r="D162" s="528">
        <f>ROUND(C162/C160*D160,0)</f>
        <v>772</v>
      </c>
      <c r="F162" s="1901"/>
      <c r="G162" s="1902"/>
      <c r="H162" s="1644"/>
      <c r="I162" s="1644"/>
      <c r="K162" s="1901"/>
      <c r="L162" s="1902"/>
      <c r="M162" s="1901"/>
      <c r="N162" s="1902"/>
      <c r="O162" s="1901"/>
      <c r="P162" s="1902"/>
      <c r="Q162" s="1901"/>
      <c r="R162" s="1902"/>
      <c r="S162" s="1644"/>
      <c r="T162" s="1643"/>
      <c r="U162" s="1644"/>
      <c r="V162" s="1643"/>
      <c r="W162" s="1644"/>
      <c r="X162" s="1643"/>
      <c r="Y162" s="1644"/>
    </row>
    <row r="163" spans="1:28" s="596" customFormat="1">
      <c r="A163" s="1900" t="s">
        <v>244</v>
      </c>
      <c r="B163" s="1869"/>
      <c r="C163" s="528">
        <f>'123'!J19</f>
        <v>9.7675000000000001</v>
      </c>
      <c r="D163" s="528">
        <f t="shared" si="104"/>
        <v>11</v>
      </c>
      <c r="F163" s="1901">
        <v>16</v>
      </c>
      <c r="G163" s="1902"/>
      <c r="H163" s="1644">
        <f t="shared" si="101"/>
        <v>156</v>
      </c>
      <c r="I163" s="1644">
        <f t="shared" si="101"/>
        <v>176</v>
      </c>
      <c r="K163" s="1901"/>
      <c r="L163" s="1902"/>
      <c r="M163" s="1901"/>
      <c r="N163" s="1902"/>
      <c r="O163" s="1901"/>
      <c r="P163" s="1902"/>
      <c r="Q163" s="1901"/>
      <c r="R163" s="1902"/>
      <c r="S163" s="1644"/>
      <c r="T163" s="1643"/>
      <c r="U163" s="1644"/>
      <c r="V163" s="1643"/>
      <c r="W163" s="1644"/>
      <c r="X163" s="1643"/>
      <c r="Y163" s="1644"/>
      <c r="Z163" s="1936"/>
    </row>
    <row r="164" spans="1:28">
      <c r="A164" s="1900" t="s">
        <v>1581</v>
      </c>
      <c r="C164" s="528">
        <f>C163-C165</f>
        <v>7.2675000000000001</v>
      </c>
      <c r="D164" s="528">
        <f>D163-D165</f>
        <v>8</v>
      </c>
      <c r="F164" s="1901"/>
      <c r="G164" s="1902"/>
      <c r="H164" s="1644"/>
      <c r="I164" s="1644"/>
      <c r="K164" s="1901"/>
      <c r="L164" s="1902"/>
      <c r="M164" s="1901"/>
      <c r="N164" s="1902"/>
      <c r="O164" s="1901"/>
      <c r="P164" s="1902"/>
      <c r="Q164" s="1901"/>
      <c r="R164" s="1902"/>
      <c r="S164" s="1644"/>
      <c r="T164" s="1643"/>
      <c r="U164" s="1644"/>
      <c r="V164" s="1643"/>
      <c r="W164" s="1644"/>
      <c r="X164" s="1643"/>
      <c r="Y164" s="1644"/>
    </row>
    <row r="165" spans="1:28">
      <c r="A165" s="1900" t="s">
        <v>1582</v>
      </c>
      <c r="C165" s="528">
        <f>'123'!AQ19</f>
        <v>2.5</v>
      </c>
      <c r="D165" s="528">
        <f>ROUND(C165/C163*D163,0)</f>
        <v>3</v>
      </c>
      <c r="F165" s="1901"/>
      <c r="G165" s="1902"/>
      <c r="H165" s="1644"/>
      <c r="I165" s="1644"/>
      <c r="K165" s="1901"/>
      <c r="L165" s="1902"/>
      <c r="M165" s="1901"/>
      <c r="N165" s="1902"/>
      <c r="O165" s="1901"/>
      <c r="P165" s="1902"/>
      <c r="Q165" s="1901"/>
      <c r="R165" s="1902"/>
      <c r="S165" s="1644"/>
      <c r="T165" s="1643"/>
      <c r="U165" s="1644"/>
      <c r="V165" s="1643"/>
      <c r="W165" s="1644"/>
      <c r="X165" s="1643"/>
      <c r="Y165" s="1644"/>
    </row>
    <row r="166" spans="1:28" s="596" customFormat="1">
      <c r="A166" s="1900" t="s">
        <v>245</v>
      </c>
      <c r="B166" s="1869"/>
      <c r="C166" s="528">
        <f>'123'!AL19</f>
        <v>0</v>
      </c>
      <c r="D166" s="528">
        <f t="shared" si="104"/>
        <v>0</v>
      </c>
      <c r="F166" s="1901">
        <v>96</v>
      </c>
      <c r="G166" s="1902"/>
      <c r="H166" s="1644">
        <f t="shared" si="101"/>
        <v>0</v>
      </c>
      <c r="I166" s="1644">
        <f t="shared" si="101"/>
        <v>0</v>
      </c>
      <c r="K166" s="1901"/>
      <c r="L166" s="1902"/>
      <c r="M166" s="1901"/>
      <c r="N166" s="1902"/>
      <c r="O166" s="1901"/>
      <c r="P166" s="1902"/>
      <c r="Q166" s="1901"/>
      <c r="R166" s="1902"/>
      <c r="S166" s="1644"/>
      <c r="T166" s="1643"/>
      <c r="U166" s="1644"/>
      <c r="V166" s="1643"/>
      <c r="W166" s="1644"/>
      <c r="X166" s="1643"/>
      <c r="Y166" s="1644"/>
      <c r="Z166" s="1936"/>
      <c r="AA166" s="1104"/>
      <c r="AB166" s="1919"/>
    </row>
    <row r="167" spans="1:28">
      <c r="A167" s="1900" t="s">
        <v>1532</v>
      </c>
      <c r="C167" s="528">
        <f>'123'!S19+'123May'!J19</f>
        <v>5306.0149714409508</v>
      </c>
      <c r="D167" s="528">
        <f>ROUND(C167/SUM($C$169:$C$171)*((Energy!$S$17+Energy!$S$19)*(1-1/(Energy!$P$17+Energy!$P$19)*($D$181+$D$184))),0)</f>
        <v>7090</v>
      </c>
      <c r="F167" s="1920"/>
      <c r="G167" s="1921"/>
      <c r="H167" s="1644"/>
      <c r="I167" s="1644"/>
      <c r="K167" s="1920">
        <f>K27</f>
        <v>0</v>
      </c>
      <c r="L167" s="1921" t="s">
        <v>495</v>
      </c>
      <c r="M167" s="1920">
        <f>M27</f>
        <v>0</v>
      </c>
      <c r="N167" s="1921" t="s">
        <v>495</v>
      </c>
      <c r="O167" s="1920">
        <f>O27</f>
        <v>4.3559999999999999</v>
      </c>
      <c r="P167" s="1921" t="s">
        <v>495</v>
      </c>
      <c r="Q167" s="1920">
        <f t="shared" ref="Q167:Q173" si="112">Q27</f>
        <v>4.3559999999999999</v>
      </c>
      <c r="R167" s="1921" t="s">
        <v>495</v>
      </c>
      <c r="S167" s="1644">
        <f>ROUND($D167*K167/100,0)</f>
        <v>0</v>
      </c>
      <c r="T167" s="1656"/>
      <c r="U167" s="1644">
        <f>ROUND($D167*M167/100,0)</f>
        <v>0</v>
      </c>
      <c r="V167" s="1656"/>
      <c r="W167" s="1644">
        <f>ROUND($D167*O167/100,0)</f>
        <v>309</v>
      </c>
      <c r="X167" s="1648"/>
      <c r="Y167" s="1644">
        <f>ROUND($D167*Q167/100,0)</f>
        <v>309</v>
      </c>
      <c r="AA167" s="1104"/>
      <c r="AB167" s="1919"/>
    </row>
    <row r="168" spans="1:28">
      <c r="A168" s="1900" t="s">
        <v>1533</v>
      </c>
      <c r="C168" s="528">
        <f>'123'!T19+'123May'!K19</f>
        <v>33281.092966817378</v>
      </c>
      <c r="D168" s="528">
        <f>ROUND(C168/SUM($C$169:$C$171)*((Energy!$S$17+Energy!$S$19)*(1-1/(Energy!$P$17+Energy!$P$19)*($D$181+$D$184))),0)</f>
        <v>44469</v>
      </c>
      <c r="F168" s="1920"/>
      <c r="G168" s="1921"/>
      <c r="H168" s="1644"/>
      <c r="I168" s="1644"/>
      <c r="K168" s="1920">
        <f t="shared" ref="K168:K173" si="113">K28</f>
        <v>0</v>
      </c>
      <c r="L168" s="1921" t="s">
        <v>495</v>
      </c>
      <c r="M168" s="1920">
        <f t="shared" ref="M168" si="114">M28</f>
        <v>0</v>
      </c>
      <c r="N168" s="1921" t="s">
        <v>495</v>
      </c>
      <c r="O168" s="1920">
        <f t="shared" ref="O168" si="115">O28</f>
        <v>-1.6334</v>
      </c>
      <c r="P168" s="1921" t="s">
        <v>495</v>
      </c>
      <c r="Q168" s="1920">
        <f t="shared" si="112"/>
        <v>-1.6334</v>
      </c>
      <c r="R168" s="1921" t="s">
        <v>495</v>
      </c>
      <c r="S168" s="1644">
        <f>ROUND($D168*K168/100,0)</f>
        <v>0</v>
      </c>
      <c r="T168" s="1656"/>
      <c r="U168" s="1644">
        <f>ROUND($D168*M168/100,0)</f>
        <v>0</v>
      </c>
      <c r="V168" s="1656"/>
      <c r="W168" s="1644">
        <f>ROUND($D168*O168/100,0)</f>
        <v>-726</v>
      </c>
      <c r="X168" s="1648"/>
      <c r="Y168" s="1644">
        <f>ROUND($D168*Q168/100,0)</f>
        <v>-726</v>
      </c>
      <c r="AA168" s="1104"/>
      <c r="AB168" s="1919"/>
    </row>
    <row r="169" spans="1:28">
      <c r="A169" s="1900" t="s">
        <v>1534</v>
      </c>
      <c r="C169" s="584">
        <f>'123'!P19+TempRevMay!M303+'123May'!G19+'123May'!Q19</f>
        <v>16439716.09066999</v>
      </c>
      <c r="D169" s="528">
        <f>D185-SUM(D170:D173,D181:D184)</f>
        <v>21966173.894598663</v>
      </c>
      <c r="F169" s="1926"/>
      <c r="G169" s="1921"/>
      <c r="H169" s="1644"/>
      <c r="I169" s="1644"/>
      <c r="K169" s="1926">
        <f t="shared" si="113"/>
        <v>4.4294000000000002</v>
      </c>
      <c r="L169" s="1921" t="s">
        <v>495</v>
      </c>
      <c r="M169" s="1926">
        <f t="shared" ref="M169" si="116">M29</f>
        <v>3.7040999999999999</v>
      </c>
      <c r="N169" s="1921" t="s">
        <v>495</v>
      </c>
      <c r="O169" s="1926">
        <f t="shared" ref="O169" si="117">O29</f>
        <v>1.3645863008434289</v>
      </c>
      <c r="P169" s="1921" t="s">
        <v>495</v>
      </c>
      <c r="Q169" s="1926">
        <f t="shared" si="112"/>
        <v>9.4980863008434291</v>
      </c>
      <c r="R169" s="1921" t="s">
        <v>495</v>
      </c>
      <c r="S169" s="1644">
        <f t="shared" ref="S169:S173" si="118">ROUND($D169*K169/100,0)</f>
        <v>972970</v>
      </c>
      <c r="T169" s="1656"/>
      <c r="U169" s="1644">
        <f t="shared" ref="U169:Y173" si="119">ROUND($D169*M169/100,0)</f>
        <v>813649</v>
      </c>
      <c r="V169" s="1656"/>
      <c r="W169" s="1644">
        <f t="shared" si="119"/>
        <v>299747</v>
      </c>
      <c r="X169" s="1648"/>
      <c r="Y169" s="1644">
        <f t="shared" si="119"/>
        <v>2086366</v>
      </c>
    </row>
    <row r="170" spans="1:28">
      <c r="A170" s="1900" t="s">
        <v>1535</v>
      </c>
      <c r="C170" s="584">
        <f>'123'!Q19+TempRevMay!M304+'123May'!H19+'123May'!R19</f>
        <v>10812418.378645124</v>
      </c>
      <c r="D170" s="528">
        <f>ROUND(C170/SUM($C$169:$C$171)*((Energy!$S$17+Energy!$S$19)*(1-1/(Energy!$P$17+Energy!$P$19)*($D$181+$D$184))),0)</f>
        <v>14447176</v>
      </c>
      <c r="F170" s="1926"/>
      <c r="G170" s="1921"/>
      <c r="H170" s="1644"/>
      <c r="I170" s="1644"/>
      <c r="K170" s="1926">
        <f t="shared" si="113"/>
        <v>4.4294000000000002</v>
      </c>
      <c r="L170" s="1921" t="s">
        <v>495</v>
      </c>
      <c r="M170" s="1926">
        <f t="shared" ref="M170" si="120">M30</f>
        <v>3.7040999999999999</v>
      </c>
      <c r="N170" s="1921" t="s">
        <v>495</v>
      </c>
      <c r="O170" s="1926">
        <f t="shared" ref="O170" si="121">O30</f>
        <v>4.0576863008434287</v>
      </c>
      <c r="P170" s="1921" t="s">
        <v>495</v>
      </c>
      <c r="Q170" s="1926">
        <f t="shared" si="112"/>
        <v>12.191186300843428</v>
      </c>
      <c r="R170" s="1921" t="s">
        <v>495</v>
      </c>
      <c r="S170" s="1644">
        <f t="shared" si="118"/>
        <v>639923</v>
      </c>
      <c r="T170" s="1656"/>
      <c r="U170" s="1644">
        <f t="shared" si="119"/>
        <v>535138</v>
      </c>
      <c r="V170" s="1656"/>
      <c r="W170" s="1644">
        <f t="shared" si="119"/>
        <v>586221</v>
      </c>
      <c r="X170" s="1648"/>
      <c r="Y170" s="1644">
        <f t="shared" si="119"/>
        <v>1761282</v>
      </c>
    </row>
    <row r="171" spans="1:28">
      <c r="A171" s="1900" t="s">
        <v>1536</v>
      </c>
      <c r="C171" s="584">
        <f>'123'!R19+TempRevMay!M305+'123May'!I19+'123May'!S19</f>
        <v>5925108.1796947811</v>
      </c>
      <c r="D171" s="528">
        <f>ROUND(C171/SUM($C$169:$C$171)*((Energy!$S$17+Energy!$S$19)*(1-1/(Energy!$P$17+Energy!$P$19)*($D$181+$D$184))),0)</f>
        <v>7916923</v>
      </c>
      <c r="F171" s="1926"/>
      <c r="G171" s="1921"/>
      <c r="H171" s="1644"/>
      <c r="I171" s="1644"/>
      <c r="K171" s="1926">
        <f t="shared" si="113"/>
        <v>4.4294000000000002</v>
      </c>
      <c r="L171" s="1921" t="s">
        <v>495</v>
      </c>
      <c r="M171" s="1926">
        <f t="shared" ref="M171" si="122">M31</f>
        <v>3.7040999999999999</v>
      </c>
      <c r="N171" s="1921" t="s">
        <v>495</v>
      </c>
      <c r="O171" s="1926">
        <f t="shared" ref="O171" si="123">O31</f>
        <v>4.0576863008434287</v>
      </c>
      <c r="P171" s="1921" t="s">
        <v>495</v>
      </c>
      <c r="Q171" s="1926">
        <f t="shared" si="112"/>
        <v>12.191186300843428</v>
      </c>
      <c r="R171" s="1921" t="s">
        <v>495</v>
      </c>
      <c r="S171" s="1644">
        <f t="shared" si="118"/>
        <v>350672</v>
      </c>
      <c r="T171" s="1656"/>
      <c r="U171" s="1644">
        <f t="shared" si="119"/>
        <v>293251</v>
      </c>
      <c r="V171" s="1656"/>
      <c r="W171" s="1644">
        <f t="shared" si="119"/>
        <v>321244</v>
      </c>
      <c r="X171" s="1648"/>
      <c r="Y171" s="1644">
        <f t="shared" si="119"/>
        <v>965167</v>
      </c>
    </row>
    <row r="172" spans="1:28">
      <c r="A172" s="1900" t="s">
        <v>1537</v>
      </c>
      <c r="B172" s="1925"/>
      <c r="C172" s="528">
        <f>'123'!M19+TempRevMay!M306+'123May'!D19+'123May'!T19</f>
        <v>42954251.743285455</v>
      </c>
      <c r="D172" s="528">
        <f>ROUND(C172/SUM($C$172:$C$173)*((Energy!$T$17+Energy!$T$19)*(1-1/(Energy!$P$17+Energy!$P$19)*($D$181+$D$184))),0)</f>
        <v>50047131</v>
      </c>
      <c r="E172" s="549"/>
      <c r="F172" s="1926"/>
      <c r="G172" s="1921"/>
      <c r="H172" s="1644"/>
      <c r="I172" s="1644"/>
      <c r="J172" s="549"/>
      <c r="K172" s="1926">
        <f t="shared" si="113"/>
        <v>4.4294000000000002</v>
      </c>
      <c r="L172" s="1921" t="s">
        <v>495</v>
      </c>
      <c r="M172" s="1926">
        <f t="shared" ref="M172" si="124">M32</f>
        <v>3.7040999999999999</v>
      </c>
      <c r="N172" s="1921" t="s">
        <v>495</v>
      </c>
      <c r="O172" s="1926">
        <f t="shared" ref="O172" si="125">O32</f>
        <v>0.27188610694099991</v>
      </c>
      <c r="P172" s="1921" t="s">
        <v>495</v>
      </c>
      <c r="Q172" s="1926">
        <f t="shared" si="112"/>
        <v>8.4053861069410001</v>
      </c>
      <c r="R172" s="1921" t="s">
        <v>495</v>
      </c>
      <c r="S172" s="1644">
        <f t="shared" si="118"/>
        <v>2216788</v>
      </c>
      <c r="T172" s="1656"/>
      <c r="U172" s="1644">
        <f t="shared" si="119"/>
        <v>1853796</v>
      </c>
      <c r="V172" s="1656"/>
      <c r="W172" s="1644">
        <f t="shared" si="119"/>
        <v>136071</v>
      </c>
      <c r="X172" s="1648"/>
      <c r="Y172" s="1644">
        <f t="shared" si="119"/>
        <v>4206655</v>
      </c>
    </row>
    <row r="173" spans="1:28">
      <c r="A173" s="1900" t="s">
        <v>1538</v>
      </c>
      <c r="B173" s="1925"/>
      <c r="C173" s="528">
        <f>'123'!N19+TempRevMay!M307+'123May'!E19+'123May'!U19</f>
        <v>41160207.628910221</v>
      </c>
      <c r="D173" s="528">
        <f>ROUND(C173/SUM($C$172:$C$173)*((Energy!$T$17+Energy!$T$19)*(1-1/(Energy!$P$17+Energy!$P$19)*($D$181+$D$184))),0)</f>
        <v>47956842</v>
      </c>
      <c r="E173" s="549"/>
      <c r="F173" s="1926"/>
      <c r="G173" s="1921"/>
      <c r="H173" s="1644"/>
      <c r="I173" s="1644"/>
      <c r="J173" s="549"/>
      <c r="K173" s="1926">
        <f t="shared" si="113"/>
        <v>4.4294000000000002</v>
      </c>
      <c r="L173" s="1921" t="s">
        <v>495</v>
      </c>
      <c r="M173" s="1926">
        <f t="shared" ref="M173" si="126">M33</f>
        <v>3.7040999999999999</v>
      </c>
      <c r="N173" s="1921" t="s">
        <v>495</v>
      </c>
      <c r="O173" s="1926">
        <f t="shared" ref="O173" si="127">O33</f>
        <v>2.6551604432239997</v>
      </c>
      <c r="P173" s="1921" t="s">
        <v>495</v>
      </c>
      <c r="Q173" s="1926">
        <f t="shared" si="112"/>
        <v>10.788660443224</v>
      </c>
      <c r="R173" s="1921" t="s">
        <v>495</v>
      </c>
      <c r="S173" s="1644">
        <f t="shared" si="118"/>
        <v>2124200</v>
      </c>
      <c r="T173" s="1656"/>
      <c r="U173" s="1644">
        <f t="shared" si="119"/>
        <v>1776369</v>
      </c>
      <c r="V173" s="1656"/>
      <c r="W173" s="1644">
        <f t="shared" si="119"/>
        <v>1273331</v>
      </c>
      <c r="X173" s="1648"/>
      <c r="Y173" s="1644">
        <f t="shared" si="119"/>
        <v>5173901</v>
      </c>
    </row>
    <row r="174" spans="1:28">
      <c r="A174" s="1900" t="s">
        <v>188</v>
      </c>
      <c r="C174" s="528">
        <f>'123'!S19</f>
        <v>5872</v>
      </c>
      <c r="D174" s="528">
        <f>ROUND(C174/SUM($C$176:$C$178)*((Energy!$Q$17+Energy!$Q$19)*(1-1/(Energy!$P$17+Energy!$P$19)*($D$181+$D$184))),0)</f>
        <v>7604</v>
      </c>
      <c r="F174" s="1920">
        <v>4.3559999999999999</v>
      </c>
      <c r="G174" s="1921" t="s">
        <v>495</v>
      </c>
      <c r="H174" s="1644">
        <f t="shared" ref="H174:I181" si="128">ROUND($F174*C174/100,0)</f>
        <v>256</v>
      </c>
      <c r="I174" s="1644">
        <f t="shared" si="128"/>
        <v>331</v>
      </c>
      <c r="K174" s="1920"/>
      <c r="L174" s="1921"/>
      <c r="M174" s="1920"/>
      <c r="N174" s="1921"/>
      <c r="O174" s="1920"/>
      <c r="P174" s="1921"/>
      <c r="Q174" s="1920"/>
      <c r="R174" s="1921"/>
      <c r="S174" s="1644"/>
      <c r="T174" s="1648"/>
      <c r="U174" s="1644"/>
      <c r="V174" s="1648"/>
      <c r="W174" s="1644"/>
      <c r="X174" s="1648"/>
      <c r="Y174" s="1644"/>
    </row>
    <row r="175" spans="1:28">
      <c r="A175" s="1900" t="s">
        <v>189</v>
      </c>
      <c r="C175" s="528">
        <f>'123'!T19</f>
        <v>40803</v>
      </c>
      <c r="D175" s="528">
        <f>ROUND(C175/SUM($C$176:$C$178)*((Energy!$Q$17+Energy!$Q$19)*(1-1/(Energy!$P$17+Energy!$P$19)*($D$181+$D$184))),0)</f>
        <v>52839</v>
      </c>
      <c r="F175" s="1920">
        <v>-1.6334</v>
      </c>
      <c r="G175" s="1921" t="s">
        <v>495</v>
      </c>
      <c r="H175" s="1644">
        <f t="shared" si="128"/>
        <v>-666</v>
      </c>
      <c r="I175" s="1644">
        <f t="shared" si="128"/>
        <v>-863</v>
      </c>
      <c r="K175" s="1920"/>
      <c r="L175" s="1921"/>
      <c r="M175" s="1920"/>
      <c r="N175" s="1921"/>
      <c r="O175" s="1920"/>
      <c r="P175" s="1921"/>
      <c r="Q175" s="1920"/>
      <c r="R175" s="1921"/>
      <c r="S175" s="1644"/>
      <c r="T175" s="1648"/>
      <c r="U175" s="1644"/>
      <c r="V175" s="1648"/>
      <c r="W175" s="1644"/>
      <c r="X175" s="1648"/>
      <c r="Y175" s="1644"/>
    </row>
    <row r="176" spans="1:28">
      <c r="A176" s="1900" t="s">
        <v>241</v>
      </c>
      <c r="C176" s="584">
        <f>'123'!P19+TempRev!M303</f>
        <v>18539579.763590723</v>
      </c>
      <c r="D176" s="528">
        <f>D185-SUM(D177:D184)</f>
        <v>24008563.894598663</v>
      </c>
      <c r="F176" s="1926">
        <v>8.8498000000000001</v>
      </c>
      <c r="G176" s="1921" t="s">
        <v>495</v>
      </c>
      <c r="H176" s="1644">
        <f t="shared" si="128"/>
        <v>1640716</v>
      </c>
      <c r="I176" s="1644">
        <f t="shared" si="128"/>
        <v>2124710</v>
      </c>
      <c r="K176" s="1926"/>
      <c r="L176" s="1921"/>
      <c r="M176" s="1926"/>
      <c r="N176" s="1921"/>
      <c r="O176" s="1926"/>
      <c r="P176" s="1921"/>
      <c r="Q176" s="1926"/>
      <c r="R176" s="1921"/>
      <c r="S176" s="1644"/>
      <c r="T176" s="1648"/>
      <c r="U176" s="1644"/>
      <c r="V176" s="1648"/>
      <c r="W176" s="1644"/>
      <c r="X176" s="1648"/>
      <c r="Y176" s="1644"/>
    </row>
    <row r="177" spans="1:28">
      <c r="A177" s="1900" t="s">
        <v>242</v>
      </c>
      <c r="C177" s="584">
        <f>'123'!Q19+TempRev!M304</f>
        <v>11711853.344823245</v>
      </c>
      <c r="D177" s="528">
        <f>ROUND(C177/SUM($C$176:$C$178)*((Energy!$Q$17+Energy!$Q$19)*(1-1/(Energy!$P$17+Energy!$P$19)*($D$181+$D$184))),0)</f>
        <v>15166728</v>
      </c>
      <c r="F177" s="1926">
        <v>11.542899999999999</v>
      </c>
      <c r="G177" s="1921" t="s">
        <v>495</v>
      </c>
      <c r="H177" s="1644">
        <f t="shared" si="128"/>
        <v>1351888</v>
      </c>
      <c r="I177" s="1644">
        <f t="shared" si="128"/>
        <v>1750680</v>
      </c>
      <c r="K177" s="1926"/>
      <c r="L177" s="1921"/>
      <c r="M177" s="1926"/>
      <c r="N177" s="1921"/>
      <c r="O177" s="1926"/>
      <c r="P177" s="1921"/>
      <c r="Q177" s="1926"/>
      <c r="R177" s="1921"/>
      <c r="S177" s="1644"/>
      <c r="T177" s="1648"/>
      <c r="U177" s="1644"/>
      <c r="V177" s="1648"/>
      <c r="W177" s="1644"/>
      <c r="X177" s="1648"/>
      <c r="Y177" s="1644"/>
    </row>
    <row r="178" spans="1:28">
      <c r="A178" s="1900" t="s">
        <v>94</v>
      </c>
      <c r="C178" s="584">
        <f>'123'!R19+TempRev!M305</f>
        <v>6443331.5536244791</v>
      </c>
      <c r="D178" s="528">
        <f>ROUND(C178/SUM($C$176:$C$178)*((Energy!$Q$17+Energy!$Q$19)*(1-1/(Energy!$P$17+Energy!$P$19)*($D$181+$D$184))),0)</f>
        <v>8344047</v>
      </c>
      <c r="F178" s="1926">
        <v>14.450799999999999</v>
      </c>
      <c r="G178" s="1921" t="s">
        <v>495</v>
      </c>
      <c r="H178" s="1644">
        <f t="shared" si="128"/>
        <v>931113</v>
      </c>
      <c r="I178" s="1644">
        <f t="shared" si="128"/>
        <v>1205782</v>
      </c>
      <c r="K178" s="1926"/>
      <c r="L178" s="1921"/>
      <c r="M178" s="1926"/>
      <c r="N178" s="1921"/>
      <c r="O178" s="1926"/>
      <c r="P178" s="1921"/>
      <c r="Q178" s="1926"/>
      <c r="R178" s="1921"/>
      <c r="S178" s="1644"/>
      <c r="T178" s="1648"/>
      <c r="U178" s="1644"/>
      <c r="V178" s="1648"/>
      <c r="W178" s="1644"/>
      <c r="X178" s="1648"/>
      <c r="Y178" s="1644"/>
    </row>
    <row r="179" spans="1:28">
      <c r="A179" s="1900" t="s">
        <v>1360</v>
      </c>
      <c r="B179" s="1925"/>
      <c r="C179" s="528">
        <f>'123'!M19+TempRev!M306</f>
        <v>40722859.346801311</v>
      </c>
      <c r="D179" s="528">
        <f>ROUND(C179/SUM($C$179:$C$180)*((Energy!$R$17+Energy!$R$19)*(1-1/(Energy!$P$17+Energy!$P$19)*($D$181+$D$184))),0)</f>
        <v>47906710</v>
      </c>
      <c r="E179" s="549"/>
      <c r="F179" s="1926">
        <v>8.8498000000000001</v>
      </c>
      <c r="G179" s="1921" t="s">
        <v>495</v>
      </c>
      <c r="H179" s="1644">
        <f t="shared" si="128"/>
        <v>3603892</v>
      </c>
      <c r="I179" s="1644">
        <f t="shared" si="128"/>
        <v>4239648</v>
      </c>
      <c r="J179" s="549"/>
      <c r="K179" s="1926"/>
      <c r="L179" s="1921"/>
      <c r="M179" s="1926"/>
      <c r="N179" s="1921"/>
      <c r="O179" s="1926"/>
      <c r="P179" s="1921"/>
      <c r="Q179" s="1926"/>
      <c r="R179" s="1921"/>
      <c r="S179" s="1644"/>
      <c r="T179" s="1648"/>
      <c r="U179" s="1644"/>
      <c r="V179" s="1648"/>
      <c r="W179" s="1644"/>
      <c r="X179" s="1648"/>
      <c r="Y179" s="1644"/>
    </row>
    <row r="180" spans="1:28">
      <c r="A180" s="1900" t="s">
        <v>1361</v>
      </c>
      <c r="B180" s="1925"/>
      <c r="C180" s="528">
        <f>'123'!N19+TempRev!M307</f>
        <v>39874078.012365803</v>
      </c>
      <c r="D180" s="528">
        <f>ROUND(C180/SUM($C$179:$C$180)*((Energy!$R$17+Energy!$R$19)*(1-1/(Energy!$P$17+Energy!$P$19)*($D$181+$D$184))),0)</f>
        <v>46908197</v>
      </c>
      <c r="E180" s="549"/>
      <c r="F180" s="1926">
        <v>10.7072</v>
      </c>
      <c r="G180" s="1921" t="s">
        <v>495</v>
      </c>
      <c r="H180" s="1644">
        <f t="shared" si="128"/>
        <v>4269397</v>
      </c>
      <c r="I180" s="1644">
        <f t="shared" si="128"/>
        <v>5022554</v>
      </c>
      <c r="J180" s="549"/>
      <c r="K180" s="1926"/>
      <c r="L180" s="1921"/>
      <c r="M180" s="1926"/>
      <c r="N180" s="1921"/>
      <c r="O180" s="1926"/>
      <c r="P180" s="1921"/>
      <c r="Q180" s="1926"/>
      <c r="R180" s="1921"/>
      <c r="S180" s="1644"/>
      <c r="T180" s="1648"/>
      <c r="U180" s="1644"/>
      <c r="V180" s="1648"/>
      <c r="W180" s="1644"/>
      <c r="X180" s="1648"/>
      <c r="Y180" s="1644"/>
    </row>
    <row r="181" spans="1:28">
      <c r="A181" s="1116" t="s">
        <v>1158</v>
      </c>
      <c r="B181" s="1928"/>
      <c r="C181" s="1024">
        <f>'123'!X19</f>
        <v>0</v>
      </c>
      <c r="D181" s="528">
        <f>ROUND(C181/($C$185-$C$182)*$D$185,0)</f>
        <v>0</v>
      </c>
      <c r="E181" s="804"/>
      <c r="F181" s="1927">
        <v>11.7033</v>
      </c>
      <c r="G181" s="1929" t="s">
        <v>495</v>
      </c>
      <c r="H181" s="1146">
        <f t="shared" si="128"/>
        <v>0</v>
      </c>
      <c r="I181" s="1146">
        <f t="shared" si="128"/>
        <v>0</v>
      </c>
      <c r="J181" s="804"/>
      <c r="K181" s="1927">
        <f>K41</f>
        <v>4.4294000000000002</v>
      </c>
      <c r="L181" s="1929" t="s">
        <v>495</v>
      </c>
      <c r="M181" s="1927">
        <f>M41</f>
        <v>7.7249999999999996</v>
      </c>
      <c r="N181" s="1929" t="s">
        <v>495</v>
      </c>
      <c r="O181" s="1927">
        <f>O41</f>
        <v>0</v>
      </c>
      <c r="P181" s="1929" t="s">
        <v>495</v>
      </c>
      <c r="Q181" s="1927">
        <f>Q41</f>
        <v>12.154400000000001</v>
      </c>
      <c r="R181" s="1929" t="s">
        <v>495</v>
      </c>
      <c r="S181" s="1644">
        <f t="shared" ref="S181" si="129">ROUND($D181*K181/100,0)</f>
        <v>0</v>
      </c>
      <c r="T181" s="1656"/>
      <c r="U181" s="1644">
        <f t="shared" ref="U181:Y181" si="130">ROUND($D181*M181/100,0)</f>
        <v>0</v>
      </c>
      <c r="V181" s="1656"/>
      <c r="W181" s="1644">
        <f t="shared" si="130"/>
        <v>0</v>
      </c>
      <c r="X181" s="1656"/>
      <c r="Y181" s="1644">
        <f t="shared" si="130"/>
        <v>0</v>
      </c>
      <c r="AA181" s="1104" t="s">
        <v>1746</v>
      </c>
      <c r="AB181" s="1919">
        <f>ROUND(D185/(D151),0)</f>
        <v>340</v>
      </c>
    </row>
    <row r="182" spans="1:28">
      <c r="A182" s="1900" t="s">
        <v>246</v>
      </c>
      <c r="C182" s="529">
        <f>'Table 2'!J16</f>
        <v>668834</v>
      </c>
      <c r="D182" s="529">
        <v>0</v>
      </c>
      <c r="H182" s="1030">
        <f>'Table 3'!F16</f>
        <v>85540</v>
      </c>
      <c r="I182" s="1030">
        <v>0</v>
      </c>
      <c r="Y182" s="1030">
        <v>0</v>
      </c>
      <c r="AA182" s="1104" t="s">
        <v>1747</v>
      </c>
      <c r="AB182" s="1919">
        <f>ROUND(SUM(D169:D171,(D181+D184)*4/12)/((D151)*4/12),0)</f>
        <v>318</v>
      </c>
    </row>
    <row r="183" spans="1:28">
      <c r="A183" s="1900" t="s">
        <v>1240</v>
      </c>
      <c r="C183" s="584"/>
      <c r="D183" s="584"/>
      <c r="F183" s="1930">
        <v>-3.9100000000000003E-2</v>
      </c>
      <c r="G183" s="597"/>
      <c r="H183" s="1644">
        <f>SUM(H176:H178,H179:H181)*$F183</f>
        <v>-461262.93460000004</v>
      </c>
      <c r="I183" s="1644">
        <f>SUM(I176:I178,I179:I181)*$F183</f>
        <v>-560825.92340000009</v>
      </c>
      <c r="K183" s="1930"/>
      <c r="L183" s="597"/>
      <c r="M183" s="1930"/>
      <c r="N183" s="597"/>
      <c r="O183" s="1930" t="str">
        <f>$O$43</f>
        <v>Tax Year 1 (7/1/2021)</v>
      </c>
      <c r="P183" s="597"/>
      <c r="Q183" s="1930">
        <f>$Q$43</f>
        <v>-3.0800000000000001E-2</v>
      </c>
      <c r="R183" s="597"/>
      <c r="S183" s="1645"/>
      <c r="T183" s="1645"/>
      <c r="U183" s="1645"/>
      <c r="V183" s="1645"/>
      <c r="W183" s="1645"/>
      <c r="X183" s="1645"/>
      <c r="Y183" s="1644">
        <f>Q183*SUM(Y169:Y173,Y181)</f>
        <v>-437155.82680000004</v>
      </c>
      <c r="AA183" s="1104" t="s">
        <v>1748</v>
      </c>
      <c r="AB183" s="1919">
        <f>ROUND(SUM(D172:D173,(D181+D184)*8/12)/((D151)*8/12),0)</f>
        <v>351</v>
      </c>
    </row>
    <row r="184" spans="1:28">
      <c r="A184" s="1116" t="s">
        <v>1317</v>
      </c>
      <c r="C184" s="584">
        <f>'123'!AX19</f>
        <v>0</v>
      </c>
      <c r="D184" s="528">
        <f>ROUND(C184/($C$185-$C$182)*$D$185,0)</f>
        <v>0</v>
      </c>
      <c r="F184" s="1930"/>
      <c r="G184" s="597"/>
      <c r="H184" s="1644"/>
      <c r="I184" s="1644"/>
      <c r="K184" s="1930"/>
      <c r="L184" s="597"/>
      <c r="M184" s="1930"/>
      <c r="N184" s="597"/>
      <c r="O184" s="1930" t="str">
        <f>$O$44</f>
        <v>Tax Year 2 (1/1/2022)</v>
      </c>
      <c r="P184" s="597"/>
      <c r="Q184" s="1930">
        <f>$Q$44</f>
        <v>-1.67E-2</v>
      </c>
      <c r="R184" s="597"/>
      <c r="S184" s="1645"/>
      <c r="T184" s="1645"/>
      <c r="U184" s="1645"/>
      <c r="V184" s="1645"/>
      <c r="W184" s="1645"/>
      <c r="X184" s="1645"/>
      <c r="Y184" s="1644">
        <f>Q184*SUM(Y169:Y173,Y181)</f>
        <v>-237029.29569999999</v>
      </c>
    </row>
    <row r="185" spans="1:28" ht="16.5" thickBot="1">
      <c r="A185" s="1900" t="s">
        <v>247</v>
      </c>
      <c r="C185" s="1934">
        <f>SUM(C176:C181,C182)</f>
        <v>117960536.02120556</v>
      </c>
      <c r="D185" s="1934">
        <f>Energy!P17+Energy!P19</f>
        <v>142334245.89459866</v>
      </c>
      <c r="F185" s="1939"/>
      <c r="H185" s="1647">
        <f>SUM(H152:H183)</f>
        <v>13909632.065400001</v>
      </c>
      <c r="I185" s="1647">
        <f>SUM(I152:I183)</f>
        <v>16685304.0766</v>
      </c>
      <c r="K185" s="1939"/>
      <c r="M185" s="1939"/>
      <c r="O185" s="1939"/>
      <c r="Q185" s="1939"/>
      <c r="S185" s="1646">
        <f>SUM(S153:S182)</f>
        <v>10441085</v>
      </c>
      <c r="U185" s="1646">
        <f>SUM(U153:U182)</f>
        <v>5272203</v>
      </c>
      <c r="W185" s="1646">
        <f>SUM(W153:W182)</f>
        <v>2616197</v>
      </c>
      <c r="Y185" s="1646">
        <f>SUM(Y153:Y182)</f>
        <v>18329486</v>
      </c>
      <c r="AA185" s="1104" t="s">
        <v>1743</v>
      </c>
      <c r="AB185" s="1890">
        <f>Y185/I185-1</f>
        <v>9.854072277327286E-2</v>
      </c>
    </row>
    <row r="186" spans="1:28" ht="16.5" thickTop="1">
      <c r="C186" s="528"/>
      <c r="D186" s="528"/>
    </row>
    <row r="187" spans="1:28">
      <c r="A187" s="1897" t="s">
        <v>1290</v>
      </c>
      <c r="C187" s="528"/>
      <c r="D187" s="528"/>
    </row>
    <row r="188" spans="1:28">
      <c r="A188" s="1900" t="s">
        <v>685</v>
      </c>
      <c r="C188" s="528">
        <f>'123'!F20</f>
        <v>56694.066666666578</v>
      </c>
      <c r="D188" s="528">
        <f>Bill!P23+Bill!P24+Bill!P25</f>
        <v>307354</v>
      </c>
      <c r="F188" s="1901"/>
      <c r="G188" s="1902"/>
      <c r="H188" s="1644"/>
      <c r="I188" s="1644"/>
      <c r="K188" s="1901"/>
      <c r="L188" s="1902"/>
      <c r="M188" s="1901"/>
      <c r="N188" s="1902"/>
      <c r="O188" s="1901"/>
      <c r="P188" s="1902"/>
      <c r="Q188" s="1901"/>
      <c r="R188" s="1902"/>
      <c r="S188" s="1643"/>
      <c r="T188" s="1643"/>
      <c r="U188" s="1643"/>
      <c r="V188" s="1643"/>
      <c r="W188" s="1643"/>
      <c r="X188" s="1643"/>
      <c r="Y188" s="1644"/>
    </row>
    <row r="189" spans="1:28">
      <c r="A189" s="1900" t="s">
        <v>683</v>
      </c>
      <c r="C189" s="528">
        <f>'123'!G20</f>
        <v>56694.066666666578</v>
      </c>
      <c r="D189" s="528">
        <f>ROUND(C189/$C$188*$D$188,0)</f>
        <v>307354</v>
      </c>
      <c r="F189" s="1901">
        <v>6</v>
      </c>
      <c r="G189" s="1902"/>
      <c r="H189" s="1644">
        <f t="shared" ref="H189:I203" si="131">ROUND($F189*C189,0)</f>
        <v>340164</v>
      </c>
      <c r="I189" s="1644">
        <f t="shared" si="131"/>
        <v>1844124</v>
      </c>
      <c r="K189" s="1901"/>
      <c r="L189" s="1902"/>
      <c r="M189" s="1901"/>
      <c r="N189" s="1902"/>
      <c r="O189" s="1901"/>
      <c r="P189" s="1902"/>
      <c r="Q189" s="1901"/>
      <c r="R189" s="1902"/>
      <c r="S189" s="1643"/>
      <c r="T189" s="1643"/>
      <c r="U189" s="1643"/>
      <c r="V189" s="1643"/>
      <c r="W189" s="1643"/>
      <c r="X189" s="1643"/>
      <c r="Y189" s="1644"/>
    </row>
    <row r="190" spans="1:28">
      <c r="A190" s="1900" t="s">
        <v>1581</v>
      </c>
      <c r="C190" s="528">
        <f>C189-C191</f>
        <v>56003.233333333243</v>
      </c>
      <c r="D190" s="528">
        <f>D189-D191</f>
        <v>303609</v>
      </c>
      <c r="F190" s="1901"/>
      <c r="G190" s="1902"/>
      <c r="H190" s="1644"/>
      <c r="I190" s="1644"/>
      <c r="K190" s="1901">
        <f>K13</f>
        <v>10</v>
      </c>
      <c r="L190" s="1902"/>
      <c r="M190" s="1901">
        <f>M13</f>
        <v>0</v>
      </c>
      <c r="N190" s="1902"/>
      <c r="O190" s="1901">
        <f>O13</f>
        <v>0</v>
      </c>
      <c r="P190" s="1902"/>
      <c r="Q190" s="1901">
        <f>Q13</f>
        <v>10</v>
      </c>
      <c r="R190" s="1902"/>
      <c r="S190" s="1644">
        <f>ROUND($D190*K190,0)</f>
        <v>3036090</v>
      </c>
      <c r="T190" s="1643"/>
      <c r="U190" s="1644">
        <f>ROUND($D190*M190,0)</f>
        <v>0</v>
      </c>
      <c r="V190" s="1643"/>
      <c r="W190" s="1644">
        <f>ROUND($D190*O190,0)</f>
        <v>0</v>
      </c>
      <c r="X190" s="1643"/>
      <c r="Y190" s="1644">
        <f>ROUND($D190*Q190,0)</f>
        <v>3036090</v>
      </c>
    </row>
    <row r="191" spans="1:28">
      <c r="A191" s="1900" t="s">
        <v>1582</v>
      </c>
      <c r="C191" s="528">
        <f>'123'!AN20</f>
        <v>690.83333333333326</v>
      </c>
      <c r="D191" s="528">
        <f>ROUND(C191/C189*D189,0)</f>
        <v>3745</v>
      </c>
      <c r="F191" s="1901"/>
      <c r="G191" s="1902"/>
      <c r="H191" s="1644"/>
      <c r="I191" s="1644"/>
      <c r="K191" s="1901">
        <f>K14</f>
        <v>6</v>
      </c>
      <c r="L191" s="1902"/>
      <c r="M191" s="1901">
        <f>M14</f>
        <v>0</v>
      </c>
      <c r="N191" s="1902"/>
      <c r="O191" s="1901">
        <f>O14</f>
        <v>0</v>
      </c>
      <c r="P191" s="1902"/>
      <c r="Q191" s="1901">
        <f>Q14</f>
        <v>6</v>
      </c>
      <c r="R191" s="1902"/>
      <c r="S191" s="1644">
        <f>ROUND($D191*K191,0)</f>
        <v>22470</v>
      </c>
      <c r="T191" s="1643"/>
      <c r="U191" s="1644">
        <f>ROUND($D191*M191,0)</f>
        <v>0</v>
      </c>
      <c r="V191" s="1643"/>
      <c r="W191" s="1644">
        <f>ROUND($D191*O191,0)</f>
        <v>0</v>
      </c>
      <c r="X191" s="1643"/>
      <c r="Y191" s="1644">
        <f>ROUND($D191*Q191,0)</f>
        <v>22470</v>
      </c>
    </row>
    <row r="192" spans="1:28">
      <c r="A192" s="1900" t="s">
        <v>684</v>
      </c>
      <c r="C192" s="528">
        <f>'123'!H20</f>
        <v>0</v>
      </c>
      <c r="D192" s="528">
        <f>D188-D189</f>
        <v>0</v>
      </c>
      <c r="F192" s="1901">
        <v>12</v>
      </c>
      <c r="G192" s="1902"/>
      <c r="H192" s="1644">
        <f t="shared" si="131"/>
        <v>0</v>
      </c>
      <c r="I192" s="1644">
        <f t="shared" si="131"/>
        <v>0</v>
      </c>
      <c r="K192" s="1901"/>
      <c r="L192" s="1902"/>
      <c r="M192" s="1901"/>
      <c r="N192" s="1902"/>
      <c r="O192" s="1901"/>
      <c r="P192" s="1902"/>
      <c r="Q192" s="1901"/>
      <c r="R192" s="1902"/>
      <c r="S192" s="1644"/>
      <c r="T192" s="1643"/>
      <c r="U192" s="1644"/>
      <c r="V192" s="1643"/>
      <c r="W192" s="1644"/>
      <c r="X192" s="1643"/>
      <c r="Y192" s="1644"/>
    </row>
    <row r="193" spans="1:28">
      <c r="A193" s="1900" t="s">
        <v>1581</v>
      </c>
      <c r="C193" s="528">
        <f>C192-C194</f>
        <v>0</v>
      </c>
      <c r="D193" s="528"/>
      <c r="F193" s="1901"/>
      <c r="G193" s="1902"/>
      <c r="H193" s="1644"/>
      <c r="I193" s="1644"/>
      <c r="K193" s="1901">
        <f>K16</f>
        <v>20</v>
      </c>
      <c r="L193" s="1902"/>
      <c r="M193" s="1901">
        <f>M16</f>
        <v>0</v>
      </c>
      <c r="N193" s="1902"/>
      <c r="O193" s="1901">
        <f>O16</f>
        <v>0</v>
      </c>
      <c r="P193" s="1902"/>
      <c r="Q193" s="1901">
        <f>Q16</f>
        <v>20</v>
      </c>
      <c r="R193" s="1902"/>
      <c r="S193" s="1644">
        <f t="shared" ref="S193:S196" si="132">ROUND($D193*K193,0)</f>
        <v>0</v>
      </c>
      <c r="T193" s="1643"/>
      <c r="U193" s="1644">
        <f t="shared" ref="U193:Y196" si="133">ROUND($D193*M193,0)</f>
        <v>0</v>
      </c>
      <c r="V193" s="1643"/>
      <c r="W193" s="1644">
        <f t="shared" si="133"/>
        <v>0</v>
      </c>
      <c r="X193" s="1643"/>
      <c r="Y193" s="1644">
        <f t="shared" si="133"/>
        <v>0</v>
      </c>
    </row>
    <row r="194" spans="1:28">
      <c r="A194" s="1900" t="s">
        <v>1582</v>
      </c>
      <c r="C194" s="528">
        <f>'123'!AO20</f>
        <v>0</v>
      </c>
      <c r="D194" s="528"/>
      <c r="F194" s="1901"/>
      <c r="G194" s="1902"/>
      <c r="H194" s="1644"/>
      <c r="I194" s="1644"/>
      <c r="K194" s="1901">
        <f>K17</f>
        <v>12</v>
      </c>
      <c r="L194" s="1902"/>
      <c r="M194" s="1901">
        <f>M17</f>
        <v>0</v>
      </c>
      <c r="N194" s="1902"/>
      <c r="O194" s="1901">
        <f>O17</f>
        <v>0</v>
      </c>
      <c r="P194" s="1902"/>
      <c r="Q194" s="1901">
        <f>Q17</f>
        <v>12</v>
      </c>
      <c r="R194" s="1902"/>
      <c r="S194" s="1644">
        <f t="shared" si="132"/>
        <v>0</v>
      </c>
      <c r="T194" s="1643"/>
      <c r="U194" s="1644">
        <f t="shared" si="133"/>
        <v>0</v>
      </c>
      <c r="V194" s="1643"/>
      <c r="W194" s="1644">
        <f t="shared" si="133"/>
        <v>0</v>
      </c>
      <c r="X194" s="1643"/>
      <c r="Y194" s="1644">
        <f t="shared" si="133"/>
        <v>0</v>
      </c>
    </row>
    <row r="195" spans="1:28">
      <c r="A195" s="1900" t="s">
        <v>1236</v>
      </c>
      <c r="C195" s="528">
        <f>'123'!AE20</f>
        <v>303.69499999999999</v>
      </c>
      <c r="D195" s="528">
        <f t="shared" ref="D195:D203" si="134">ROUND(C195/$C$188*$D$188,0)</f>
        <v>1646</v>
      </c>
      <c r="F195" s="1901">
        <v>2</v>
      </c>
      <c r="G195" s="1902"/>
      <c r="H195" s="1644">
        <f t="shared" si="131"/>
        <v>607</v>
      </c>
      <c r="I195" s="1644">
        <f t="shared" si="131"/>
        <v>3292</v>
      </c>
      <c r="K195" s="1901">
        <f t="shared" ref="K195" si="135">K18</f>
        <v>2</v>
      </c>
      <c r="L195" s="1902"/>
      <c r="M195" s="1901">
        <f t="shared" ref="M195" si="136">M18</f>
        <v>0</v>
      </c>
      <c r="N195" s="1902"/>
      <c r="O195" s="1901">
        <f t="shared" ref="O195" si="137">O18</f>
        <v>0</v>
      </c>
      <c r="P195" s="1902"/>
      <c r="Q195" s="1901">
        <f t="shared" ref="Q195:Q196" si="138">Q18</f>
        <v>2</v>
      </c>
      <c r="R195" s="1902"/>
      <c r="S195" s="1644">
        <f t="shared" si="132"/>
        <v>3292</v>
      </c>
      <c r="T195" s="1643"/>
      <c r="U195" s="1644">
        <f t="shared" si="133"/>
        <v>0</v>
      </c>
      <c r="V195" s="1643"/>
      <c r="W195" s="1644">
        <f t="shared" si="133"/>
        <v>0</v>
      </c>
      <c r="X195" s="1643"/>
      <c r="Y195" s="1644">
        <f t="shared" si="133"/>
        <v>3292</v>
      </c>
    </row>
    <row r="196" spans="1:28">
      <c r="A196" s="1900" t="s">
        <v>1301</v>
      </c>
      <c r="C196" s="528">
        <f>'123'!AM20</f>
        <v>0</v>
      </c>
      <c r="D196" s="528">
        <f t="shared" si="134"/>
        <v>0</v>
      </c>
      <c r="F196" s="1901">
        <v>22</v>
      </c>
      <c r="G196" s="1902"/>
      <c r="H196" s="1644">
        <f t="shared" si="131"/>
        <v>0</v>
      </c>
      <c r="I196" s="1644">
        <f t="shared" si="131"/>
        <v>0</v>
      </c>
      <c r="K196" s="1901">
        <f t="shared" ref="K196" si="139">K19</f>
        <v>22</v>
      </c>
      <c r="L196" s="1902"/>
      <c r="M196" s="1901">
        <f t="shared" ref="M196" si="140">M19</f>
        <v>0</v>
      </c>
      <c r="N196" s="1902"/>
      <c r="O196" s="1901">
        <f t="shared" ref="O196" si="141">O19</f>
        <v>0</v>
      </c>
      <c r="P196" s="1902"/>
      <c r="Q196" s="1901">
        <f t="shared" si="138"/>
        <v>22</v>
      </c>
      <c r="R196" s="1902"/>
      <c r="S196" s="1644">
        <f t="shared" si="132"/>
        <v>0</v>
      </c>
      <c r="T196" s="1643"/>
      <c r="U196" s="1644">
        <f t="shared" si="133"/>
        <v>0</v>
      </c>
      <c r="V196" s="1643"/>
      <c r="W196" s="1644">
        <f t="shared" si="133"/>
        <v>0</v>
      </c>
      <c r="X196" s="1643"/>
      <c r="Y196" s="1644">
        <f t="shared" si="133"/>
        <v>0</v>
      </c>
    </row>
    <row r="197" spans="1:28">
      <c r="A197" s="1900" t="s">
        <v>243</v>
      </c>
      <c r="C197" s="528">
        <f>'123'!I20</f>
        <v>13201.804999999977</v>
      </c>
      <c r="D197" s="528">
        <f t="shared" si="134"/>
        <v>71571</v>
      </c>
      <c r="F197" s="1901">
        <v>8</v>
      </c>
      <c r="G197" s="1902"/>
      <c r="H197" s="1644">
        <f t="shared" si="131"/>
        <v>105614</v>
      </c>
      <c r="I197" s="1644">
        <f t="shared" si="131"/>
        <v>572568</v>
      </c>
      <c r="K197" s="1901"/>
      <c r="L197" s="1902"/>
      <c r="M197" s="1901"/>
      <c r="N197" s="1902"/>
      <c r="O197" s="1901"/>
      <c r="P197" s="1902"/>
      <c r="Q197" s="1901"/>
      <c r="R197" s="1902"/>
      <c r="S197" s="1644"/>
      <c r="T197" s="1643"/>
      <c r="U197" s="1644"/>
      <c r="V197" s="1643"/>
      <c r="W197" s="1644"/>
      <c r="X197" s="1643"/>
      <c r="Y197" s="1644"/>
    </row>
    <row r="198" spans="1:28">
      <c r="A198" s="1900" t="s">
        <v>1581</v>
      </c>
      <c r="C198" s="528">
        <f>C197-C199</f>
        <v>13106.414999999977</v>
      </c>
      <c r="D198" s="528">
        <f>D197-D199</f>
        <v>71054</v>
      </c>
      <c r="F198" s="1901"/>
      <c r="G198" s="1902"/>
      <c r="H198" s="1644"/>
      <c r="I198" s="1644"/>
      <c r="K198" s="1901"/>
      <c r="L198" s="1902"/>
      <c r="M198" s="1901"/>
      <c r="N198" s="1902"/>
      <c r="O198" s="1901"/>
      <c r="P198" s="1902"/>
      <c r="Q198" s="1901"/>
      <c r="R198" s="1902"/>
      <c r="S198" s="1644"/>
      <c r="T198" s="1643"/>
      <c r="U198" s="1644"/>
      <c r="V198" s="1643"/>
      <c r="W198" s="1644"/>
      <c r="X198" s="1643"/>
      <c r="Y198" s="1644"/>
    </row>
    <row r="199" spans="1:28">
      <c r="A199" s="1900" t="s">
        <v>1582</v>
      </c>
      <c r="C199" s="528">
        <f>'123'!AP20</f>
        <v>95.39</v>
      </c>
      <c r="D199" s="528">
        <f>ROUND(C199/C197*D197,0)</f>
        <v>517</v>
      </c>
      <c r="F199" s="1901"/>
      <c r="G199" s="1902"/>
      <c r="H199" s="1644"/>
      <c r="I199" s="1644"/>
      <c r="K199" s="1901"/>
      <c r="L199" s="1902"/>
      <c r="M199" s="1901"/>
      <c r="N199" s="1902"/>
      <c r="O199" s="1901"/>
      <c r="P199" s="1902"/>
      <c r="Q199" s="1901"/>
      <c r="R199" s="1902"/>
      <c r="S199" s="1644"/>
      <c r="T199" s="1643"/>
      <c r="U199" s="1644"/>
      <c r="V199" s="1643"/>
      <c r="W199" s="1644"/>
      <c r="X199" s="1643"/>
      <c r="Y199" s="1644"/>
    </row>
    <row r="200" spans="1:28" s="596" customFormat="1">
      <c r="A200" s="1900" t="s">
        <v>244</v>
      </c>
      <c r="B200" s="1869"/>
      <c r="C200" s="528">
        <f>'123'!J20</f>
        <v>0</v>
      </c>
      <c r="D200" s="528">
        <f t="shared" si="134"/>
        <v>0</v>
      </c>
      <c r="F200" s="1901">
        <v>16</v>
      </c>
      <c r="G200" s="1902"/>
      <c r="H200" s="1644">
        <f t="shared" si="131"/>
        <v>0</v>
      </c>
      <c r="I200" s="1644">
        <f t="shared" si="131"/>
        <v>0</v>
      </c>
      <c r="K200" s="1901"/>
      <c r="L200" s="1902"/>
      <c r="M200" s="1901"/>
      <c r="N200" s="1902"/>
      <c r="O200" s="1901"/>
      <c r="P200" s="1902"/>
      <c r="Q200" s="1901"/>
      <c r="R200" s="1902"/>
      <c r="S200" s="1644"/>
      <c r="T200" s="1643"/>
      <c r="U200" s="1644"/>
      <c r="V200" s="1643"/>
      <c r="W200" s="1644"/>
      <c r="X200" s="1643"/>
      <c r="Y200" s="1644"/>
      <c r="Z200" s="1936"/>
    </row>
    <row r="201" spans="1:28">
      <c r="A201" s="1900" t="s">
        <v>1581</v>
      </c>
      <c r="C201" s="528">
        <f>C200-C202</f>
        <v>0</v>
      </c>
      <c r="D201" s="528"/>
      <c r="F201" s="1901"/>
      <c r="G201" s="1902"/>
      <c r="H201" s="1644"/>
      <c r="I201" s="1644"/>
      <c r="K201" s="1901"/>
      <c r="L201" s="1902"/>
      <c r="M201" s="1901"/>
      <c r="N201" s="1902"/>
      <c r="O201" s="1901"/>
      <c r="P201" s="1902"/>
      <c r="Q201" s="1901"/>
      <c r="R201" s="1902"/>
      <c r="S201" s="1644"/>
      <c r="T201" s="1643"/>
      <c r="U201" s="1644"/>
      <c r="V201" s="1643"/>
      <c r="W201" s="1644"/>
      <c r="X201" s="1643"/>
      <c r="Y201" s="1644"/>
    </row>
    <row r="202" spans="1:28">
      <c r="A202" s="1900" t="s">
        <v>1582</v>
      </c>
      <c r="C202" s="528">
        <f>'123'!AQ20</f>
        <v>0</v>
      </c>
      <c r="D202" s="528"/>
      <c r="F202" s="1901"/>
      <c r="G202" s="1902"/>
      <c r="H202" s="1644"/>
      <c r="I202" s="1644"/>
      <c r="K202" s="1901"/>
      <c r="L202" s="1902"/>
      <c r="M202" s="1901"/>
      <c r="N202" s="1902"/>
      <c r="O202" s="1901"/>
      <c r="P202" s="1902"/>
      <c r="Q202" s="1901"/>
      <c r="R202" s="1902"/>
      <c r="S202" s="1644"/>
      <c r="T202" s="1643"/>
      <c r="U202" s="1644"/>
      <c r="V202" s="1643"/>
      <c r="W202" s="1644"/>
      <c r="X202" s="1643"/>
      <c r="Y202" s="1644"/>
    </row>
    <row r="203" spans="1:28" s="596" customFormat="1">
      <c r="A203" s="1900" t="s">
        <v>245</v>
      </c>
      <c r="B203" s="1869"/>
      <c r="C203" s="528">
        <f>'123'!AL20</f>
        <v>0</v>
      </c>
      <c r="D203" s="528">
        <f t="shared" si="134"/>
        <v>0</v>
      </c>
      <c r="F203" s="1901">
        <v>96</v>
      </c>
      <c r="G203" s="1902"/>
      <c r="H203" s="1644">
        <f t="shared" si="131"/>
        <v>0</v>
      </c>
      <c r="I203" s="1644">
        <f t="shared" si="131"/>
        <v>0</v>
      </c>
      <c r="K203" s="1901"/>
      <c r="L203" s="1902"/>
      <c r="M203" s="1901"/>
      <c r="N203" s="1902"/>
      <c r="O203" s="1901"/>
      <c r="P203" s="1902"/>
      <c r="Q203" s="1901"/>
      <c r="R203" s="1902"/>
      <c r="S203" s="1644"/>
      <c r="T203" s="1643"/>
      <c r="U203" s="1644"/>
      <c r="V203" s="1643"/>
      <c r="W203" s="1644"/>
      <c r="X203" s="1643"/>
      <c r="Y203" s="1644"/>
      <c r="Z203" s="1936"/>
      <c r="AA203" s="1104"/>
      <c r="AB203" s="1919"/>
    </row>
    <row r="204" spans="1:28">
      <c r="A204" s="1900" t="s">
        <v>1532</v>
      </c>
      <c r="C204" s="528">
        <f>'123'!S20+'123May'!J20</f>
        <v>1101.0139275766016</v>
      </c>
      <c r="D204" s="528">
        <f>ROUND(C204/SUM($C$206:$C$208)*((Energy!$S$23+Energy!$S$24+Energy!$S$25)*(1-1/(Energy!$P$23+Energy!$P$24+Energy!$P$25)*($D$218+$D$221))),0)</f>
        <v>5690</v>
      </c>
      <c r="F204" s="1920"/>
      <c r="G204" s="1921"/>
      <c r="H204" s="1644"/>
      <c r="I204" s="1644"/>
      <c r="K204" s="1920">
        <f>K27</f>
        <v>0</v>
      </c>
      <c r="L204" s="1921" t="s">
        <v>495</v>
      </c>
      <c r="M204" s="1920">
        <f>M27</f>
        <v>0</v>
      </c>
      <c r="N204" s="1921" t="s">
        <v>495</v>
      </c>
      <c r="O204" s="1920">
        <f>O27</f>
        <v>4.3559999999999999</v>
      </c>
      <c r="P204" s="1921" t="s">
        <v>495</v>
      </c>
      <c r="Q204" s="1920">
        <f t="shared" ref="Q204:Q210" si="142">Q27</f>
        <v>4.3559999999999999</v>
      </c>
      <c r="R204" s="1921" t="s">
        <v>495</v>
      </c>
      <c r="S204" s="1644">
        <f>ROUND($D204*K204/100,0)</f>
        <v>0</v>
      </c>
      <c r="T204" s="1656"/>
      <c r="U204" s="1644">
        <f>ROUND($D204*M204/100,0)</f>
        <v>0</v>
      </c>
      <c r="V204" s="1656"/>
      <c r="W204" s="1644">
        <f>ROUND($D204*O204/100,0)</f>
        <v>248</v>
      </c>
      <c r="X204" s="1648"/>
      <c r="Y204" s="1644">
        <f>ROUND($D204*Q204/100,0)</f>
        <v>248</v>
      </c>
      <c r="AA204" s="1104"/>
      <c r="AB204" s="1919"/>
    </row>
    <row r="205" spans="1:28">
      <c r="A205" s="1900" t="s">
        <v>1533</v>
      </c>
      <c r="C205" s="528">
        <f>'123'!T20+'123May'!K20</f>
        <v>6841.8412256267411</v>
      </c>
      <c r="D205" s="528">
        <f>ROUND(C205/SUM($C$206:$C$208)*((Energy!$S$23+Energy!$S$24+Energy!$S$25)*(1-1/(Energy!$P$23+Energy!$P$24+Energy!$P$25)*($D$218+$D$221))),0)</f>
        <v>35358</v>
      </c>
      <c r="F205" s="1920"/>
      <c r="G205" s="1921"/>
      <c r="H205" s="1644"/>
      <c r="I205" s="1644"/>
      <c r="K205" s="1920">
        <f t="shared" ref="K205:K210" si="143">K28</f>
        <v>0</v>
      </c>
      <c r="L205" s="1921" t="s">
        <v>495</v>
      </c>
      <c r="M205" s="1920">
        <f t="shared" ref="M205" si="144">M28</f>
        <v>0</v>
      </c>
      <c r="N205" s="1921" t="s">
        <v>495</v>
      </c>
      <c r="O205" s="1920">
        <f t="shared" ref="O205" si="145">O28</f>
        <v>-1.6334</v>
      </c>
      <c r="P205" s="1921" t="s">
        <v>495</v>
      </c>
      <c r="Q205" s="1920">
        <f t="shared" si="142"/>
        <v>-1.6334</v>
      </c>
      <c r="R205" s="1921" t="s">
        <v>495</v>
      </c>
      <c r="S205" s="1644">
        <f>ROUND($D205*K205/100,0)</f>
        <v>0</v>
      </c>
      <c r="T205" s="1656"/>
      <c r="U205" s="1644">
        <f>ROUND($D205*M205/100,0)</f>
        <v>0</v>
      </c>
      <c r="V205" s="1656"/>
      <c r="W205" s="1644">
        <f>ROUND($D205*O205/100,0)</f>
        <v>-578</v>
      </c>
      <c r="X205" s="1648"/>
      <c r="Y205" s="1644">
        <f>ROUND($D205*Q205/100,0)</f>
        <v>-578</v>
      </c>
      <c r="AA205" s="1104"/>
      <c r="AB205" s="1919"/>
    </row>
    <row r="206" spans="1:28">
      <c r="A206" s="1900" t="s">
        <v>1534</v>
      </c>
      <c r="C206" s="584">
        <f>'123'!P20+TempRevMay!M309+'123May'!G20+'123May'!Q20</f>
        <v>7489143.5454950463</v>
      </c>
      <c r="D206" s="528">
        <f>D222-SUM(D207:D210,D218:D221)</f>
        <v>38703048.189910412</v>
      </c>
      <c r="F206" s="1926"/>
      <c r="G206" s="1921"/>
      <c r="H206" s="1644"/>
      <c r="I206" s="1644"/>
      <c r="K206" s="1926">
        <f t="shared" si="143"/>
        <v>4.4294000000000002</v>
      </c>
      <c r="L206" s="1921" t="s">
        <v>495</v>
      </c>
      <c r="M206" s="1926">
        <f t="shared" ref="M206" si="146">M29</f>
        <v>3.7040999999999999</v>
      </c>
      <c r="N206" s="1921" t="s">
        <v>495</v>
      </c>
      <c r="O206" s="1926">
        <f t="shared" ref="O206" si="147">O29</f>
        <v>1.3645863008434289</v>
      </c>
      <c r="P206" s="1921" t="s">
        <v>495</v>
      </c>
      <c r="Q206" s="1926">
        <f t="shared" si="142"/>
        <v>9.4980863008434291</v>
      </c>
      <c r="R206" s="1921" t="s">
        <v>495</v>
      </c>
      <c r="S206" s="1644">
        <f t="shared" ref="S206:S210" si="148">ROUND($D206*K206/100,0)</f>
        <v>1714313</v>
      </c>
      <c r="T206" s="1656"/>
      <c r="U206" s="1644">
        <f t="shared" ref="U206:Y210" si="149">ROUND($D206*M206/100,0)</f>
        <v>1433600</v>
      </c>
      <c r="V206" s="1656"/>
      <c r="W206" s="1644">
        <f t="shared" si="149"/>
        <v>528136</v>
      </c>
      <c r="X206" s="1648"/>
      <c r="Y206" s="1644">
        <f t="shared" si="149"/>
        <v>3676049</v>
      </c>
    </row>
    <row r="207" spans="1:28">
      <c r="A207" s="1900" t="s">
        <v>1535</v>
      </c>
      <c r="C207" s="584">
        <f>'123'!Q20+TempRevMay!M310+'123May'!H20+'123May'!R20</f>
        <v>5194029.4005090147</v>
      </c>
      <c r="D207" s="528">
        <f>ROUND(C207/SUM($C$206:$C$208)*((Energy!$S$23+Energy!$S$24+Energy!$S$25)*(1-1/(Energy!$P$23+Energy!$P$24+Energy!$P$25)*($D$218+$D$221))),0)</f>
        <v>26842157</v>
      </c>
      <c r="F207" s="1926"/>
      <c r="G207" s="1921"/>
      <c r="H207" s="1644"/>
      <c r="I207" s="1644"/>
      <c r="K207" s="1926">
        <f t="shared" si="143"/>
        <v>4.4294000000000002</v>
      </c>
      <c r="L207" s="1921" t="s">
        <v>495</v>
      </c>
      <c r="M207" s="1926">
        <f t="shared" ref="M207" si="150">M30</f>
        <v>3.7040999999999999</v>
      </c>
      <c r="N207" s="1921" t="s">
        <v>495</v>
      </c>
      <c r="O207" s="1926">
        <f t="shared" ref="O207" si="151">O30</f>
        <v>4.0576863008434287</v>
      </c>
      <c r="P207" s="1921" t="s">
        <v>495</v>
      </c>
      <c r="Q207" s="1926">
        <f t="shared" si="142"/>
        <v>12.191186300843428</v>
      </c>
      <c r="R207" s="1921" t="s">
        <v>495</v>
      </c>
      <c r="S207" s="1644">
        <f t="shared" si="148"/>
        <v>1188947</v>
      </c>
      <c r="T207" s="1656"/>
      <c r="U207" s="1644">
        <f t="shared" si="149"/>
        <v>994260</v>
      </c>
      <c r="V207" s="1656"/>
      <c r="W207" s="1644">
        <f t="shared" si="149"/>
        <v>1089171</v>
      </c>
      <c r="X207" s="1648"/>
      <c r="Y207" s="1644">
        <f t="shared" si="149"/>
        <v>3272377</v>
      </c>
    </row>
    <row r="208" spans="1:28">
      <c r="A208" s="1900" t="s">
        <v>1536</v>
      </c>
      <c r="C208" s="584">
        <f>'123'!R20+TempRevMay!M311+'123May'!I20+'123May'!S20</f>
        <v>1470728.1321477473</v>
      </c>
      <c r="D208" s="528">
        <f>ROUND(C208/SUM($C$206:$C$208)*((Energy!$S$23+Energy!$S$24+Energy!$S$25)*(1-1/(Energy!$P$23+Energy!$P$24+Energy!$P$25)*($D$218+$D$221))),0)</f>
        <v>7600557</v>
      </c>
      <c r="F208" s="1926"/>
      <c r="G208" s="1921"/>
      <c r="H208" s="1644"/>
      <c r="I208" s="1644"/>
      <c r="K208" s="1926">
        <f t="shared" si="143"/>
        <v>4.4294000000000002</v>
      </c>
      <c r="L208" s="1921" t="s">
        <v>495</v>
      </c>
      <c r="M208" s="1926">
        <f t="shared" ref="M208" si="152">M31</f>
        <v>3.7040999999999999</v>
      </c>
      <c r="N208" s="1921" t="s">
        <v>495</v>
      </c>
      <c r="O208" s="1926">
        <f t="shared" ref="O208" si="153">O31</f>
        <v>4.0576863008434287</v>
      </c>
      <c r="P208" s="1921" t="s">
        <v>495</v>
      </c>
      <c r="Q208" s="1926">
        <f t="shared" si="142"/>
        <v>12.191186300843428</v>
      </c>
      <c r="R208" s="1921" t="s">
        <v>495</v>
      </c>
      <c r="S208" s="1644">
        <f t="shared" si="148"/>
        <v>336659</v>
      </c>
      <c r="T208" s="1656"/>
      <c r="U208" s="1644">
        <f t="shared" si="149"/>
        <v>281532</v>
      </c>
      <c r="V208" s="1656"/>
      <c r="W208" s="1644">
        <f t="shared" si="149"/>
        <v>308407</v>
      </c>
      <c r="X208" s="1648"/>
      <c r="Y208" s="1644">
        <f t="shared" si="149"/>
        <v>926598</v>
      </c>
    </row>
    <row r="209" spans="1:28">
      <c r="A209" s="1900" t="s">
        <v>1537</v>
      </c>
      <c r="B209" s="1925"/>
      <c r="C209" s="528">
        <f>'123'!M20+TempRevMay!M312+'123May'!D20+'123May'!T20</f>
        <v>12939891.563608348</v>
      </c>
      <c r="D209" s="528">
        <f>ROUND(C209/SUM($C$209:$C$210)*((Energy!$T$23+Energy!$T$24+Energy!$T$25)*(1-1/(Energy!$P$23+Energy!$P$24+Energy!$P$25)*($D$218+$D$221))),0)</f>
        <v>68555364</v>
      </c>
      <c r="E209" s="549"/>
      <c r="F209" s="1926"/>
      <c r="G209" s="1921"/>
      <c r="H209" s="1644"/>
      <c r="I209" s="1644"/>
      <c r="J209" s="549"/>
      <c r="K209" s="1926">
        <f t="shared" si="143"/>
        <v>4.4294000000000002</v>
      </c>
      <c r="L209" s="1921" t="s">
        <v>495</v>
      </c>
      <c r="M209" s="1926">
        <f t="shared" ref="M209" si="154">M32</f>
        <v>3.7040999999999999</v>
      </c>
      <c r="N209" s="1921" t="s">
        <v>495</v>
      </c>
      <c r="O209" s="1926">
        <f t="shared" ref="O209" si="155">O32</f>
        <v>0.27188610694099991</v>
      </c>
      <c r="P209" s="1921" t="s">
        <v>495</v>
      </c>
      <c r="Q209" s="1926">
        <f t="shared" si="142"/>
        <v>8.4053861069410001</v>
      </c>
      <c r="R209" s="1921" t="s">
        <v>495</v>
      </c>
      <c r="S209" s="1644">
        <f t="shared" si="148"/>
        <v>3036591</v>
      </c>
      <c r="T209" s="1656"/>
      <c r="U209" s="1644">
        <f t="shared" si="149"/>
        <v>2539359</v>
      </c>
      <c r="V209" s="1656"/>
      <c r="W209" s="1644">
        <f t="shared" si="149"/>
        <v>186393</v>
      </c>
      <c r="X209" s="1648"/>
      <c r="Y209" s="1644">
        <f t="shared" si="149"/>
        <v>5762343</v>
      </c>
    </row>
    <row r="210" spans="1:28">
      <c r="A210" s="1900" t="s">
        <v>1538</v>
      </c>
      <c r="B210" s="1925"/>
      <c r="C210" s="528">
        <f>'123'!N20+TempRevMay!M313+'123May'!E20+'123May'!U20</f>
        <v>9646843.8093998432</v>
      </c>
      <c r="D210" s="528">
        <f>ROUND(C210/SUM($C$209:$C$210)*((Energy!$T$23+Energy!$T$24+Energy!$T$25)*(1-1/(Energy!$P$23+Energy!$P$24+Energy!$P$25)*($D$218+$D$221))),0)</f>
        <v>51108843</v>
      </c>
      <c r="E210" s="549"/>
      <c r="F210" s="1926"/>
      <c r="G210" s="1921"/>
      <c r="H210" s="1644"/>
      <c r="I210" s="1644"/>
      <c r="J210" s="549"/>
      <c r="K210" s="1926">
        <f t="shared" si="143"/>
        <v>4.4294000000000002</v>
      </c>
      <c r="L210" s="1921" t="s">
        <v>495</v>
      </c>
      <c r="M210" s="1926">
        <f t="shared" ref="M210" si="156">M33</f>
        <v>3.7040999999999999</v>
      </c>
      <c r="N210" s="1921" t="s">
        <v>495</v>
      </c>
      <c r="O210" s="1926">
        <f t="shared" ref="O210" si="157">O33</f>
        <v>2.6551604432239997</v>
      </c>
      <c r="P210" s="1921" t="s">
        <v>495</v>
      </c>
      <c r="Q210" s="1926">
        <f t="shared" si="142"/>
        <v>10.788660443224</v>
      </c>
      <c r="R210" s="1921" t="s">
        <v>495</v>
      </c>
      <c r="S210" s="1644">
        <f t="shared" si="148"/>
        <v>2263815</v>
      </c>
      <c r="T210" s="1656"/>
      <c r="U210" s="1644">
        <f t="shared" si="149"/>
        <v>1893123</v>
      </c>
      <c r="V210" s="1656"/>
      <c r="W210" s="1644">
        <f t="shared" si="149"/>
        <v>1357022</v>
      </c>
      <c r="X210" s="1648"/>
      <c r="Y210" s="1644">
        <f t="shared" si="149"/>
        <v>5513960</v>
      </c>
    </row>
    <row r="211" spans="1:28">
      <c r="A211" s="1900" t="s">
        <v>188</v>
      </c>
      <c r="C211" s="528">
        <f>'123'!S20</f>
        <v>1261</v>
      </c>
      <c r="D211" s="528">
        <f>ROUND(C211/SUM($C$213:$C$215)*((Energy!$Q$23+Energy!$Q$24+Energy!$Q$25)*(1-1/(Energy!$P$23+Energy!$P$24+Energy!$P$25)*($D$218+$D$221))),0)</f>
        <v>6621</v>
      </c>
      <c r="F211" s="1920">
        <v>4.3559999999999999</v>
      </c>
      <c r="G211" s="1921" t="s">
        <v>495</v>
      </c>
      <c r="H211" s="1644">
        <f t="shared" ref="H211:I218" si="158">ROUND($F211*C211/100,0)</f>
        <v>55</v>
      </c>
      <c r="I211" s="1644">
        <f t="shared" si="158"/>
        <v>288</v>
      </c>
      <c r="K211" s="1920"/>
      <c r="L211" s="1921"/>
      <c r="M211" s="1920"/>
      <c r="N211" s="1921"/>
      <c r="O211" s="1920"/>
      <c r="P211" s="1921"/>
      <c r="Q211" s="1920"/>
      <c r="R211" s="1921"/>
      <c r="S211" s="1644"/>
      <c r="T211" s="1648"/>
      <c r="U211" s="1644"/>
      <c r="V211" s="1648"/>
      <c r="W211" s="1644"/>
      <c r="X211" s="1648"/>
      <c r="Y211" s="1644"/>
    </row>
    <row r="212" spans="1:28">
      <c r="A212" s="1900" t="s">
        <v>189</v>
      </c>
      <c r="C212" s="528">
        <f>'123'!T20</f>
        <v>8120</v>
      </c>
      <c r="D212" s="528">
        <f>ROUND(C212/SUM($C$213:$C$215)*((Energy!$Q$23+Energy!$Q$24+Energy!$Q$25)*(1-1/(Energy!$P$23+Energy!$P$24+Energy!$P$25)*($D$218+$D$221))),0)</f>
        <v>42635</v>
      </c>
      <c r="F212" s="1920">
        <v>-1.6334</v>
      </c>
      <c r="G212" s="1921" t="s">
        <v>495</v>
      </c>
      <c r="H212" s="1644">
        <f t="shared" si="158"/>
        <v>-133</v>
      </c>
      <c r="I212" s="1644">
        <f t="shared" si="158"/>
        <v>-696</v>
      </c>
      <c r="K212" s="1920"/>
      <c r="L212" s="1921"/>
      <c r="M212" s="1920"/>
      <c r="N212" s="1921"/>
      <c r="O212" s="1920"/>
      <c r="P212" s="1921"/>
      <c r="Q212" s="1920"/>
      <c r="R212" s="1921"/>
      <c r="S212" s="1644"/>
      <c r="T212" s="1648"/>
      <c r="U212" s="1644"/>
      <c r="V212" s="1648"/>
      <c r="W212" s="1644"/>
      <c r="X212" s="1648"/>
      <c r="Y212" s="1644"/>
    </row>
    <row r="213" spans="1:28">
      <c r="A213" s="1900" t="s">
        <v>241</v>
      </c>
      <c r="C213" s="584">
        <f>'123'!P20+TempRev!M309</f>
        <v>8940821.074906487</v>
      </c>
      <c r="D213" s="528">
        <f>D222-SUM(D214:D221)</f>
        <v>46944979.189910412</v>
      </c>
      <c r="F213" s="1926">
        <v>8.8498000000000001</v>
      </c>
      <c r="G213" s="1921" t="s">
        <v>495</v>
      </c>
      <c r="H213" s="1644">
        <f t="shared" si="158"/>
        <v>791245</v>
      </c>
      <c r="I213" s="1644">
        <f t="shared" si="158"/>
        <v>4154537</v>
      </c>
      <c r="K213" s="1926"/>
      <c r="L213" s="1921"/>
      <c r="M213" s="1926"/>
      <c r="N213" s="1921"/>
      <c r="O213" s="1926"/>
      <c r="P213" s="1921"/>
      <c r="Q213" s="1926"/>
      <c r="R213" s="1921"/>
      <c r="S213" s="1644"/>
      <c r="T213" s="1648"/>
      <c r="U213" s="1644"/>
      <c r="V213" s="1648"/>
      <c r="W213" s="1644"/>
      <c r="X213" s="1648"/>
      <c r="Y213" s="1644"/>
    </row>
    <row r="214" spans="1:28">
      <c r="A214" s="1900" t="s">
        <v>242</v>
      </c>
      <c r="C214" s="584">
        <f>'123'!Q20+TempRev!M310</f>
        <v>5582947.6547998888</v>
      </c>
      <c r="D214" s="528">
        <f>ROUND(C214/SUM($C$213:$C$215)*((Energy!$Q$23+Energy!$Q$24+Energy!$Q$25)*(1-1/(Energy!$P$23+Energy!$P$24+Energy!$P$25)*($D$218+$D$221))),0)</f>
        <v>29314016</v>
      </c>
      <c r="F214" s="1926">
        <v>11.542899999999999</v>
      </c>
      <c r="G214" s="1921" t="s">
        <v>495</v>
      </c>
      <c r="H214" s="1644">
        <f t="shared" si="158"/>
        <v>644434</v>
      </c>
      <c r="I214" s="1644">
        <f t="shared" si="158"/>
        <v>3383688</v>
      </c>
      <c r="K214" s="1926"/>
      <c r="L214" s="1921"/>
      <c r="M214" s="1926"/>
      <c r="N214" s="1921"/>
      <c r="O214" s="1926"/>
      <c r="P214" s="1921"/>
      <c r="Q214" s="1926"/>
      <c r="R214" s="1921"/>
      <c r="S214" s="1644"/>
      <c r="T214" s="1648"/>
      <c r="U214" s="1644"/>
      <c r="V214" s="1648"/>
      <c r="W214" s="1644"/>
      <c r="X214" s="1648"/>
      <c r="Y214" s="1644"/>
    </row>
    <row r="215" spans="1:28">
      <c r="A215" s="1900" t="s">
        <v>94</v>
      </c>
      <c r="C215" s="584">
        <f>'123'!R20+TempRev!M311</f>
        <v>1581971.162817372</v>
      </c>
      <c r="D215" s="528">
        <f>ROUND(C215/SUM($C$213:$C$215)*((Energy!$Q$23+Energy!$Q$24+Energy!$Q$25)*(1-1/(Energy!$P$23+Energy!$P$24+Energy!$P$25)*($D$218+$D$221))),0)</f>
        <v>8306352</v>
      </c>
      <c r="F215" s="1926">
        <v>14.450799999999999</v>
      </c>
      <c r="G215" s="1921" t="s">
        <v>495</v>
      </c>
      <c r="H215" s="1644">
        <f t="shared" si="158"/>
        <v>228607</v>
      </c>
      <c r="I215" s="1644">
        <f t="shared" si="158"/>
        <v>1200334</v>
      </c>
      <c r="K215" s="1926"/>
      <c r="L215" s="1921"/>
      <c r="M215" s="1926"/>
      <c r="N215" s="1921"/>
      <c r="O215" s="1926"/>
      <c r="P215" s="1921"/>
      <c r="Q215" s="1926"/>
      <c r="R215" s="1921"/>
      <c r="S215" s="1644"/>
      <c r="T215" s="1648"/>
      <c r="U215" s="1644"/>
      <c r="V215" s="1648"/>
      <c r="W215" s="1644"/>
      <c r="X215" s="1648"/>
      <c r="Y215" s="1644"/>
    </row>
    <row r="216" spans="1:28">
      <c r="A216" s="1900" t="s">
        <v>1360</v>
      </c>
      <c r="B216" s="1925"/>
      <c r="C216" s="528">
        <f>'123'!M20+TempRev!M312</f>
        <v>11556636.628071776</v>
      </c>
      <c r="D216" s="528">
        <f>ROUND(C216/SUM($C$216:$C$217)*((Energy!$R$23+Energy!$R$24+Energy!$R$25)*(1-1/(Energy!$P$23+Energy!$P$24+Energy!$P$25)*($D$218+$D$221))),0)</f>
        <v>60622730</v>
      </c>
      <c r="E216" s="549"/>
      <c r="F216" s="1926">
        <v>8.8498000000000001</v>
      </c>
      <c r="G216" s="1921" t="s">
        <v>495</v>
      </c>
      <c r="H216" s="1644">
        <f t="shared" si="158"/>
        <v>1022739</v>
      </c>
      <c r="I216" s="1644">
        <f t="shared" si="158"/>
        <v>5364990</v>
      </c>
      <c r="J216" s="549"/>
      <c r="K216" s="1926"/>
      <c r="L216" s="1921"/>
      <c r="M216" s="1926"/>
      <c r="N216" s="1921"/>
      <c r="O216" s="1926"/>
      <c r="P216" s="1921"/>
      <c r="Q216" s="1926"/>
      <c r="R216" s="1921"/>
      <c r="S216" s="1644"/>
      <c r="T216" s="1648"/>
      <c r="U216" s="1644"/>
      <c r="V216" s="1648"/>
      <c r="W216" s="1644"/>
      <c r="X216" s="1648"/>
      <c r="Y216" s="1644"/>
    </row>
    <row r="217" spans="1:28">
      <c r="A217" s="1900" t="s">
        <v>1361</v>
      </c>
      <c r="B217" s="1925"/>
      <c r="C217" s="528">
        <f>'123'!N20+TempRev!M313</f>
        <v>9078259.9305644762</v>
      </c>
      <c r="D217" s="528">
        <f>ROUND(C217/SUM($C$216:$C$217)*((Energy!$R$23+Energy!$R$24+Energy!$R$25)*(1-1/(Energy!$P$23+Energy!$P$24+Energy!$P$25)*($D$218+$D$221))),0)</f>
        <v>47621892</v>
      </c>
      <c r="E217" s="549"/>
      <c r="F217" s="1926">
        <v>10.7072</v>
      </c>
      <c r="G217" s="1921" t="s">
        <v>495</v>
      </c>
      <c r="H217" s="1644">
        <f t="shared" si="158"/>
        <v>972027</v>
      </c>
      <c r="I217" s="1644">
        <f t="shared" si="158"/>
        <v>5098971</v>
      </c>
      <c r="J217" s="549"/>
      <c r="K217" s="1926"/>
      <c r="L217" s="1921"/>
      <c r="M217" s="1926"/>
      <c r="N217" s="1921"/>
      <c r="O217" s="1926"/>
      <c r="P217" s="1921"/>
      <c r="Q217" s="1926"/>
      <c r="R217" s="1921"/>
      <c r="S217" s="1644"/>
      <c r="T217" s="1648"/>
      <c r="U217" s="1644"/>
      <c r="V217" s="1648"/>
      <c r="W217" s="1644"/>
      <c r="X217" s="1648"/>
      <c r="Y217" s="1644"/>
    </row>
    <row r="218" spans="1:28">
      <c r="A218" s="1116" t="s">
        <v>1158</v>
      </c>
      <c r="B218" s="1928"/>
      <c r="C218" s="1024">
        <f>'123'!X20</f>
        <v>0</v>
      </c>
      <c r="D218" s="528">
        <f>ROUND(C218/($C$222-$C$219)*$D$222,0)</f>
        <v>0</v>
      </c>
      <c r="E218" s="804"/>
      <c r="F218" s="1927">
        <v>11.7033</v>
      </c>
      <c r="G218" s="1929" t="s">
        <v>495</v>
      </c>
      <c r="H218" s="1146">
        <f t="shared" si="158"/>
        <v>0</v>
      </c>
      <c r="I218" s="1146">
        <f t="shared" si="158"/>
        <v>0</v>
      </c>
      <c r="J218" s="804"/>
      <c r="K218" s="1926">
        <f t="shared" ref="K218" si="159">K41</f>
        <v>4.4294000000000002</v>
      </c>
      <c r="L218" s="1921" t="s">
        <v>495</v>
      </c>
      <c r="M218" s="1926">
        <f t="shared" ref="M218" si="160">M41</f>
        <v>7.7249999999999996</v>
      </c>
      <c r="N218" s="1921" t="s">
        <v>495</v>
      </c>
      <c r="O218" s="1926">
        <f t="shared" ref="O218" si="161">O41</f>
        <v>0</v>
      </c>
      <c r="P218" s="1921" t="s">
        <v>495</v>
      </c>
      <c r="Q218" s="1926">
        <f t="shared" ref="Q218" si="162">Q41</f>
        <v>12.154400000000001</v>
      </c>
      <c r="R218" s="1921" t="s">
        <v>495</v>
      </c>
      <c r="S218" s="1644">
        <f t="shared" ref="S218" si="163">ROUND($D218*K218/100,0)</f>
        <v>0</v>
      </c>
      <c r="T218" s="1656"/>
      <c r="U218" s="1644">
        <f t="shared" ref="U218:Y218" si="164">ROUND($D218*M218/100,0)</f>
        <v>0</v>
      </c>
      <c r="V218" s="1656"/>
      <c r="W218" s="1644">
        <f t="shared" si="164"/>
        <v>0</v>
      </c>
      <c r="X218" s="1656"/>
      <c r="Y218" s="1644">
        <f t="shared" si="164"/>
        <v>0</v>
      </c>
      <c r="AA218" s="1104" t="s">
        <v>1746</v>
      </c>
      <c r="AB218" s="1919">
        <f>ROUND(D222/(D188),0)</f>
        <v>627</v>
      </c>
    </row>
    <row r="219" spans="1:28">
      <c r="A219" s="1900" t="s">
        <v>246</v>
      </c>
      <c r="C219" s="529">
        <f>'Table 2'!J17</f>
        <v>209507</v>
      </c>
      <c r="D219" s="529">
        <v>0</v>
      </c>
      <c r="H219" s="1030">
        <f>'Table 3'!F17</f>
        <v>24549</v>
      </c>
      <c r="I219" s="1030">
        <v>0</v>
      </c>
      <c r="Y219" s="1030">
        <v>0</v>
      </c>
      <c r="AA219" s="1104" t="s">
        <v>1747</v>
      </c>
      <c r="AB219" s="1919">
        <f>ROUND(SUM(D206:D208,(D218+D221)*4/12)/((D188)*4/12),0)</f>
        <v>714</v>
      </c>
    </row>
    <row r="220" spans="1:28">
      <c r="A220" s="1900" t="s">
        <v>1240</v>
      </c>
      <c r="C220" s="584"/>
      <c r="D220" s="584"/>
      <c r="F220" s="1930">
        <v>-3.9100000000000003E-2</v>
      </c>
      <c r="G220" s="597"/>
      <c r="H220" s="1644">
        <f>SUM(H213:H215,H216:H218)*$F220</f>
        <v>-143068.9332</v>
      </c>
      <c r="I220" s="1644">
        <f>SUM(I213:I215,I216:I218)*$F220</f>
        <v>-750818.53200000001</v>
      </c>
      <c r="K220" s="1930"/>
      <c r="L220" s="597"/>
      <c r="M220" s="1930"/>
      <c r="N220" s="597"/>
      <c r="O220" s="1930" t="str">
        <f>$O$43</f>
        <v>Tax Year 1 (7/1/2021)</v>
      </c>
      <c r="P220" s="597"/>
      <c r="Q220" s="1930">
        <f>$Q$43</f>
        <v>-3.0800000000000001E-2</v>
      </c>
      <c r="R220" s="597"/>
      <c r="S220" s="1645"/>
      <c r="T220" s="1645"/>
      <c r="U220" s="1645"/>
      <c r="V220" s="1645"/>
      <c r="W220" s="1645"/>
      <c r="X220" s="1645"/>
      <c r="Y220" s="1644">
        <f>Q220*SUM(Y206:Y210,Y218)</f>
        <v>-589860.87160000007</v>
      </c>
      <c r="AA220" s="1104" t="s">
        <v>1748</v>
      </c>
      <c r="AB220" s="1919">
        <f>ROUND(SUM(D209:D210,(D218+D221)*8/12)/((D188)*8/12),0)</f>
        <v>584</v>
      </c>
    </row>
    <row r="221" spans="1:28">
      <c r="A221" s="1116" t="s">
        <v>1317</v>
      </c>
      <c r="C221" s="584">
        <f>'123'!AX20</f>
        <v>0</v>
      </c>
      <c r="D221" s="528">
        <f>ROUND(C221/($C$222-$C$219)*$D$222,0)</f>
        <v>0</v>
      </c>
      <c r="F221" s="1930"/>
      <c r="G221" s="597"/>
      <c r="H221" s="1644"/>
      <c r="I221" s="1644"/>
      <c r="K221" s="1930"/>
      <c r="L221" s="597"/>
      <c r="M221" s="1930"/>
      <c r="N221" s="597"/>
      <c r="O221" s="1930" t="str">
        <f>$O$44</f>
        <v>Tax Year 2 (1/1/2022)</v>
      </c>
      <c r="P221" s="597"/>
      <c r="Q221" s="1930">
        <f>$Q$44</f>
        <v>-1.67E-2</v>
      </c>
      <c r="R221" s="597"/>
      <c r="S221" s="1645"/>
      <c r="T221" s="1645"/>
      <c r="U221" s="1645"/>
      <c r="V221" s="1645"/>
      <c r="W221" s="1645"/>
      <c r="X221" s="1645"/>
      <c r="Y221" s="1644">
        <f>Q221*SUM(Y206:Y210,Y218)</f>
        <v>-319827.16090000002</v>
      </c>
    </row>
    <row r="222" spans="1:28" ht="16.5" thickBot="1">
      <c r="A222" s="1900" t="s">
        <v>247</v>
      </c>
      <c r="C222" s="1934">
        <f>SUM(C213:C218,C219)</f>
        <v>36950143.451159999</v>
      </c>
      <c r="D222" s="1934">
        <f>Energy!P23+Energy!P24+Energy!P25</f>
        <v>192809969.18991041</v>
      </c>
      <c r="F222" s="1939"/>
      <c r="H222" s="1647">
        <f>SUM(H189:H220)</f>
        <v>3986839.0668000001</v>
      </c>
      <c r="I222" s="1647">
        <f>SUM(I189:I220)</f>
        <v>20871277.467999998</v>
      </c>
      <c r="K222" s="1939"/>
      <c r="M222" s="1939"/>
      <c r="O222" s="1939"/>
      <c r="Q222" s="1939"/>
      <c r="S222" s="1646">
        <f>SUM(S190:S219)</f>
        <v>11602177</v>
      </c>
      <c r="U222" s="1646">
        <f>SUM(U190:U219)</f>
        <v>7141874</v>
      </c>
      <c r="W222" s="1646">
        <f>SUM(W190:W219)</f>
        <v>3468799</v>
      </c>
      <c r="Y222" s="1646">
        <f>SUM(Y190:Y219)</f>
        <v>22212849</v>
      </c>
      <c r="AA222" s="1104" t="s">
        <v>1743</v>
      </c>
      <c r="AB222" s="1890">
        <f>Y222/I222-1</f>
        <v>6.4278362168147529E-2</v>
      </c>
    </row>
    <row r="223" spans="1:28" ht="16.5" thickTop="1">
      <c r="C223" s="528"/>
      <c r="D223" s="528"/>
    </row>
    <row r="224" spans="1:28">
      <c r="A224" s="1897" t="s">
        <v>1914</v>
      </c>
      <c r="C224" s="528"/>
      <c r="D224" s="528"/>
    </row>
    <row r="225" spans="1:28">
      <c r="A225" s="1900" t="s">
        <v>240</v>
      </c>
      <c r="C225" s="528">
        <f t="shared" ref="C225:D235" si="165">C261+C297+C333</f>
        <v>16269.966666649996</v>
      </c>
      <c r="D225" s="528">
        <f t="shared" si="165"/>
        <v>16184.594130320329</v>
      </c>
      <c r="F225" s="1901"/>
      <c r="G225" s="1902"/>
      <c r="H225" s="1644"/>
      <c r="I225" s="1644"/>
      <c r="K225" s="1901">
        <f>K969</f>
        <v>54</v>
      </c>
      <c r="L225" s="1902"/>
      <c r="M225" s="1901">
        <f>M969</f>
        <v>0</v>
      </c>
      <c r="N225" s="1902"/>
      <c r="O225" s="1901">
        <f>O969</f>
        <v>0</v>
      </c>
      <c r="P225" s="1902"/>
      <c r="Q225" s="1901">
        <f>Q969</f>
        <v>54</v>
      </c>
      <c r="R225" s="1902"/>
      <c r="S225" s="1644">
        <f>ROUND($D225*K225,0)</f>
        <v>873968</v>
      </c>
      <c r="T225" s="1643"/>
      <c r="U225" s="1644">
        <f>ROUND($D225*M225,0)</f>
        <v>0</v>
      </c>
      <c r="V225" s="1643"/>
      <c r="W225" s="1644">
        <f>ROUND($D225*O225,0)</f>
        <v>0</v>
      </c>
      <c r="X225" s="1643"/>
      <c r="Y225" s="1644">
        <f>ROUND($D225*Q225,0)</f>
        <v>873968</v>
      </c>
      <c r="AA225" s="1109"/>
      <c r="AB225" s="1114"/>
    </row>
    <row r="226" spans="1:28">
      <c r="A226" s="1900" t="s">
        <v>1910</v>
      </c>
      <c r="C226" s="528">
        <f t="shared" si="165"/>
        <v>23610055.27722773</v>
      </c>
      <c r="D226" s="528">
        <f t="shared" si="165"/>
        <v>22837905.528605085</v>
      </c>
      <c r="E226" s="597"/>
      <c r="F226" s="1942"/>
      <c r="G226" s="1921"/>
      <c r="H226" s="1644"/>
      <c r="I226" s="1644"/>
      <c r="J226" s="597"/>
      <c r="K226" s="1942">
        <f>K961</f>
        <v>3.9525000000000001</v>
      </c>
      <c r="L226" s="1921" t="s">
        <v>495</v>
      </c>
      <c r="M226" s="1942">
        <f>M961</f>
        <v>17.075028114911813</v>
      </c>
      <c r="N226" s="1921" t="s">
        <v>495</v>
      </c>
      <c r="O226" s="1942">
        <f>O961</f>
        <v>1.3496999999999999</v>
      </c>
      <c r="P226" s="1921" t="s">
        <v>495</v>
      </c>
      <c r="Q226" s="1942">
        <f>Q961</f>
        <v>22.377228114911812</v>
      </c>
      <c r="R226" s="1921" t="s">
        <v>495</v>
      </c>
      <c r="S226" s="1644">
        <f>ROUND($D226*K226/100,0)</f>
        <v>902668</v>
      </c>
      <c r="T226" s="1648"/>
      <c r="U226" s="1644">
        <f>ROUND($D226*M226/100,0)</f>
        <v>3899579</v>
      </c>
      <c r="V226" s="1648"/>
      <c r="W226" s="1644">
        <f>ROUND($D226*O226/100,0)</f>
        <v>308243</v>
      </c>
      <c r="X226" s="1648"/>
      <c r="Y226" s="1644">
        <f>ROUND($D226*Q226/100,0)</f>
        <v>5110490</v>
      </c>
      <c r="AA226" s="596"/>
      <c r="AB226" s="596"/>
    </row>
    <row r="227" spans="1:28">
      <c r="A227" s="1900" t="s">
        <v>1911</v>
      </c>
      <c r="C227" s="528">
        <f t="shared" si="165"/>
        <v>54335608.722772263</v>
      </c>
      <c r="D227" s="528">
        <f t="shared" si="165"/>
        <v>52553411.422486275</v>
      </c>
      <c r="E227" s="597"/>
      <c r="F227" s="1942"/>
      <c r="G227" s="1921"/>
      <c r="H227" s="1644"/>
      <c r="I227" s="1644"/>
      <c r="J227" s="597"/>
      <c r="K227" s="1942">
        <f t="shared" ref="K227" si="166">K962</f>
        <v>3.9525000000000001</v>
      </c>
      <c r="L227" s="1921" t="s">
        <v>495</v>
      </c>
      <c r="M227" s="1942">
        <f t="shared" ref="M227" si="167">M962</f>
        <v>-0.91518271744099966</v>
      </c>
      <c r="N227" s="1921" t="s">
        <v>495</v>
      </c>
      <c r="O227" s="1942">
        <f t="shared" ref="O227" si="168">O962</f>
        <v>1.3496999999999999</v>
      </c>
      <c r="P227" s="1921" t="s">
        <v>495</v>
      </c>
      <c r="Q227" s="1942">
        <f t="shared" ref="Q227:Q233" si="169">Q962</f>
        <v>4.3870172825590004</v>
      </c>
      <c r="R227" s="1921" t="s">
        <v>495</v>
      </c>
      <c r="S227" s="1644">
        <f t="shared" ref="S227:S233" si="170">ROUND($D227*K227/100,0)</f>
        <v>2077174</v>
      </c>
      <c r="T227" s="1648"/>
      <c r="U227" s="1644">
        <f t="shared" ref="U227:U233" si="171">ROUND($D227*M227/100,0)</f>
        <v>-480960</v>
      </c>
      <c r="V227" s="1648"/>
      <c r="W227" s="1644">
        <f t="shared" ref="W227:Y233" si="172">ROUND($D227*O227/100,0)</f>
        <v>709313</v>
      </c>
      <c r="X227" s="1648"/>
      <c r="Y227" s="1644">
        <f t="shared" si="172"/>
        <v>2305527</v>
      </c>
      <c r="AA227" s="596"/>
      <c r="AB227" s="596"/>
    </row>
    <row r="228" spans="1:28">
      <c r="A228" s="1900" t="s">
        <v>1912</v>
      </c>
      <c r="C228" s="528">
        <f t="shared" si="165"/>
        <v>41025677.646039605</v>
      </c>
      <c r="D228" s="528">
        <f t="shared" si="165"/>
        <v>39702141.256844603</v>
      </c>
      <c r="E228" s="597"/>
      <c r="F228" s="1942"/>
      <c r="G228" s="1921"/>
      <c r="H228" s="1644"/>
      <c r="I228" s="1644"/>
      <c r="J228" s="597"/>
      <c r="K228" s="1942">
        <f t="shared" ref="K228" si="173">K963</f>
        <v>3.9525000000000001</v>
      </c>
      <c r="L228" s="1921" t="s">
        <v>495</v>
      </c>
      <c r="M228" s="1942">
        <f t="shared" ref="M228" si="174">M963</f>
        <v>14.656000000000001</v>
      </c>
      <c r="N228" s="1921" t="s">
        <v>495</v>
      </c>
      <c r="O228" s="1942">
        <f t="shared" ref="O228" si="175">O963</f>
        <v>1.1943999999999999</v>
      </c>
      <c r="P228" s="1921" t="s">
        <v>495</v>
      </c>
      <c r="Q228" s="1942">
        <f t="shared" si="169"/>
        <v>19.802900000000001</v>
      </c>
      <c r="R228" s="1921" t="s">
        <v>495</v>
      </c>
      <c r="S228" s="1644">
        <f t="shared" si="170"/>
        <v>1569227</v>
      </c>
      <c r="T228" s="1648"/>
      <c r="U228" s="1644">
        <f t="shared" si="171"/>
        <v>5818746</v>
      </c>
      <c r="V228" s="1648"/>
      <c r="W228" s="1644">
        <f t="shared" si="172"/>
        <v>474202</v>
      </c>
      <c r="X228" s="1648"/>
      <c r="Y228" s="1644">
        <f t="shared" si="172"/>
        <v>7862175</v>
      </c>
      <c r="AA228" s="596"/>
      <c r="AB228" s="596"/>
    </row>
    <row r="229" spans="1:28">
      <c r="A229" s="1900" t="s">
        <v>1913</v>
      </c>
      <c r="C229" s="528">
        <f t="shared" si="165"/>
        <v>96492343.853960425</v>
      </c>
      <c r="D229" s="528">
        <f t="shared" si="165"/>
        <v>93250801.351241559</v>
      </c>
      <c r="E229" s="597"/>
      <c r="F229" s="1942"/>
      <c r="G229" s="1921"/>
      <c r="H229" s="1644"/>
      <c r="I229" s="1644"/>
      <c r="J229" s="597"/>
      <c r="K229" s="1942">
        <f t="shared" ref="K229" si="176">K964</f>
        <v>3.9525000000000001</v>
      </c>
      <c r="L229" s="1921" t="s">
        <v>495</v>
      </c>
      <c r="M229" s="1942">
        <f t="shared" ref="M229" si="177">M964</f>
        <v>-1.2646000000000002</v>
      </c>
      <c r="N229" s="1921" t="s">
        <v>495</v>
      </c>
      <c r="O229" s="1942">
        <f t="shared" ref="O229" si="178">O964</f>
        <v>1.1943999999999999</v>
      </c>
      <c r="P229" s="1921" t="s">
        <v>495</v>
      </c>
      <c r="Q229" s="1942">
        <f t="shared" si="169"/>
        <v>3.8822999999999999</v>
      </c>
      <c r="R229" s="1921" t="s">
        <v>495</v>
      </c>
      <c r="S229" s="1644">
        <f t="shared" si="170"/>
        <v>3685738</v>
      </c>
      <c r="T229" s="1648"/>
      <c r="U229" s="1644">
        <f t="shared" si="171"/>
        <v>-1179250</v>
      </c>
      <c r="V229" s="1648"/>
      <c r="W229" s="1644">
        <f t="shared" si="172"/>
        <v>1113788</v>
      </c>
      <c r="X229" s="1648"/>
      <c r="Y229" s="1644">
        <f t="shared" si="172"/>
        <v>3620276</v>
      </c>
      <c r="AA229" s="596"/>
      <c r="AB229" s="596"/>
    </row>
    <row r="230" spans="1:28">
      <c r="A230" s="1900" t="s">
        <v>1906</v>
      </c>
      <c r="C230" s="528">
        <f t="shared" si="165"/>
        <v>43287163.770088859</v>
      </c>
      <c r="D230" s="528">
        <f t="shared" si="165"/>
        <v>41868605.849641204</v>
      </c>
      <c r="E230" s="597"/>
      <c r="F230" s="1942"/>
      <c r="G230" s="1921"/>
      <c r="H230" s="1644"/>
      <c r="I230" s="1644"/>
      <c r="J230" s="597"/>
      <c r="K230" s="1942">
        <f t="shared" ref="K230" si="179">K965</f>
        <v>0</v>
      </c>
      <c r="L230" s="1921" t="s">
        <v>495</v>
      </c>
      <c r="M230" s="1942">
        <f t="shared" ref="M230" si="180">M965</f>
        <v>0</v>
      </c>
      <c r="N230" s="1921" t="s">
        <v>495</v>
      </c>
      <c r="O230" s="1942">
        <f t="shared" ref="O230" si="181">O965</f>
        <v>6</v>
      </c>
      <c r="P230" s="1921" t="s">
        <v>495</v>
      </c>
      <c r="Q230" s="1942">
        <f t="shared" si="169"/>
        <v>6</v>
      </c>
      <c r="R230" s="1921" t="s">
        <v>495</v>
      </c>
      <c r="S230" s="1644">
        <f t="shared" si="170"/>
        <v>0</v>
      </c>
      <c r="T230" s="1648"/>
      <c r="U230" s="1644">
        <f t="shared" si="171"/>
        <v>0</v>
      </c>
      <c r="V230" s="1648"/>
      <c r="W230" s="1644">
        <f t="shared" si="172"/>
        <v>2512116</v>
      </c>
      <c r="X230" s="1648"/>
      <c r="Y230" s="1644">
        <f t="shared" si="172"/>
        <v>2512116</v>
      </c>
      <c r="AA230" s="596"/>
      <c r="AB230" s="596"/>
    </row>
    <row r="231" spans="1:28">
      <c r="A231" s="1900" t="s">
        <v>1907</v>
      </c>
      <c r="C231" s="528">
        <f t="shared" si="165"/>
        <v>34658500.229911141</v>
      </c>
      <c r="D231" s="528">
        <f t="shared" si="165"/>
        <v>33522711.101450153</v>
      </c>
      <c r="E231" s="597"/>
      <c r="F231" s="1942"/>
      <c r="G231" s="1921"/>
      <c r="H231" s="1644"/>
      <c r="I231" s="1644"/>
      <c r="J231" s="597"/>
      <c r="K231" s="1942">
        <f t="shared" ref="K231" si="182">K966</f>
        <v>0</v>
      </c>
      <c r="L231" s="1921" t="s">
        <v>495</v>
      </c>
      <c r="M231" s="1942">
        <f t="shared" ref="M231" si="183">M966</f>
        <v>0</v>
      </c>
      <c r="N231" s="1921" t="s">
        <v>495</v>
      </c>
      <c r="O231" s="1942">
        <f t="shared" ref="O231" si="184">O966</f>
        <v>-2.3358000000000008</v>
      </c>
      <c r="P231" s="1921" t="s">
        <v>495</v>
      </c>
      <c r="Q231" s="1942">
        <f t="shared" si="169"/>
        <v>-2.3358000000000008</v>
      </c>
      <c r="R231" s="1921" t="s">
        <v>495</v>
      </c>
      <c r="S231" s="1644">
        <f t="shared" si="170"/>
        <v>0</v>
      </c>
      <c r="T231" s="1648"/>
      <c r="U231" s="1644">
        <f t="shared" si="171"/>
        <v>0</v>
      </c>
      <c r="V231" s="1648"/>
      <c r="W231" s="1644">
        <f t="shared" si="172"/>
        <v>-783023</v>
      </c>
      <c r="X231" s="1648"/>
      <c r="Y231" s="1644">
        <f t="shared" si="172"/>
        <v>-783023</v>
      </c>
      <c r="AA231" s="596"/>
      <c r="AB231" s="596"/>
    </row>
    <row r="232" spans="1:28">
      <c r="A232" s="1900" t="s">
        <v>1908</v>
      </c>
      <c r="C232" s="528">
        <f t="shared" si="165"/>
        <v>76370702.519246042</v>
      </c>
      <c r="D232" s="528">
        <f t="shared" si="165"/>
        <v>73835483.656813219</v>
      </c>
      <c r="E232" s="597"/>
      <c r="F232" s="1942"/>
      <c r="G232" s="1921"/>
      <c r="H232" s="1644"/>
      <c r="I232" s="1644"/>
      <c r="J232" s="597"/>
      <c r="K232" s="1942">
        <f t="shared" ref="K232" si="185">K967</f>
        <v>0</v>
      </c>
      <c r="L232" s="1921" t="s">
        <v>495</v>
      </c>
      <c r="M232" s="1942">
        <f t="shared" ref="M232" si="186">M967</f>
        <v>0</v>
      </c>
      <c r="N232" s="1921" t="s">
        <v>495</v>
      </c>
      <c r="O232" s="1942">
        <f t="shared" ref="O232" si="187">O967</f>
        <v>5.3097000000000003</v>
      </c>
      <c r="P232" s="1921" t="s">
        <v>495</v>
      </c>
      <c r="Q232" s="1942">
        <f t="shared" si="169"/>
        <v>5.3097000000000003</v>
      </c>
      <c r="R232" s="1921" t="s">
        <v>495</v>
      </c>
      <c r="S232" s="1644">
        <f t="shared" si="170"/>
        <v>0</v>
      </c>
      <c r="T232" s="1648"/>
      <c r="U232" s="1644">
        <f t="shared" si="171"/>
        <v>0</v>
      </c>
      <c r="V232" s="1648"/>
      <c r="W232" s="1644">
        <f t="shared" si="172"/>
        <v>3920443</v>
      </c>
      <c r="X232" s="1648"/>
      <c r="Y232" s="1644">
        <f t="shared" si="172"/>
        <v>3920443</v>
      </c>
      <c r="AA232" s="596"/>
      <c r="AB232" s="596"/>
    </row>
    <row r="233" spans="1:28">
      <c r="A233" s="1900" t="s">
        <v>1909</v>
      </c>
      <c r="C233" s="528">
        <f t="shared" si="165"/>
        <v>61147318.980753943</v>
      </c>
      <c r="D233" s="528">
        <f t="shared" si="165"/>
        <v>59117458.951272905</v>
      </c>
      <c r="E233" s="597"/>
      <c r="F233" s="1942"/>
      <c r="G233" s="1921"/>
      <c r="H233" s="1644"/>
      <c r="I233" s="1644"/>
      <c r="J233" s="597"/>
      <c r="K233" s="1942">
        <f t="shared" ref="K233" si="188">K968</f>
        <v>0</v>
      </c>
      <c r="L233" s="1921" t="s">
        <v>495</v>
      </c>
      <c r="M233" s="1942">
        <f t="shared" ref="M233" si="189">M968</f>
        <v>0</v>
      </c>
      <c r="N233" s="1921" t="s">
        <v>495</v>
      </c>
      <c r="O233" s="1942">
        <f t="shared" ref="O233" si="190">O968</f>
        <v>-2.0670999999999999</v>
      </c>
      <c r="P233" s="1921" t="s">
        <v>495</v>
      </c>
      <c r="Q233" s="1942">
        <f t="shared" si="169"/>
        <v>-2.0670999999999999</v>
      </c>
      <c r="R233" s="1921" t="s">
        <v>495</v>
      </c>
      <c r="S233" s="1644">
        <f t="shared" si="170"/>
        <v>0</v>
      </c>
      <c r="T233" s="1648"/>
      <c r="U233" s="1644">
        <f t="shared" si="171"/>
        <v>0</v>
      </c>
      <c r="V233" s="1648"/>
      <c r="W233" s="1644">
        <f t="shared" si="172"/>
        <v>-1222017</v>
      </c>
      <c r="X233" s="1648"/>
      <c r="Y233" s="1644">
        <f t="shared" si="172"/>
        <v>-1222017</v>
      </c>
      <c r="AA233" s="596"/>
      <c r="AB233" s="596"/>
    </row>
    <row r="234" spans="1:28">
      <c r="A234" s="1900" t="s">
        <v>261</v>
      </c>
      <c r="C234" s="528">
        <f t="shared" si="165"/>
        <v>57416.182291666664</v>
      </c>
      <c r="D234" s="528">
        <f t="shared" si="165"/>
        <v>56872.363899238364</v>
      </c>
      <c r="F234" s="1901"/>
      <c r="G234" s="1902"/>
      <c r="H234" s="1644"/>
      <c r="I234" s="1644"/>
      <c r="K234" s="1901">
        <f>K972</f>
        <v>-0.61</v>
      </c>
      <c r="L234" s="1902"/>
      <c r="M234" s="1901">
        <f>M972</f>
        <v>0</v>
      </c>
      <c r="N234" s="1902"/>
      <c r="O234" s="1901">
        <f>O972</f>
        <v>0</v>
      </c>
      <c r="P234" s="1902"/>
      <c r="Q234" s="1901">
        <f>Q972</f>
        <v>-0.61</v>
      </c>
      <c r="R234" s="1902"/>
      <c r="S234" s="1644">
        <f>ROUND($D234*K234,0)</f>
        <v>-34692</v>
      </c>
      <c r="T234" s="1643"/>
      <c r="U234" s="1644">
        <f>ROUND($D234*M234,0)</f>
        <v>0</v>
      </c>
      <c r="V234" s="1643"/>
      <c r="W234" s="1644">
        <f>ROUND($D234*O234,0)</f>
        <v>0</v>
      </c>
      <c r="X234" s="1643"/>
      <c r="Y234" s="1644">
        <f>ROUND($D234*Q234,0)</f>
        <v>-34692</v>
      </c>
      <c r="AA234" s="596"/>
      <c r="AB234" s="596"/>
    </row>
    <row r="235" spans="1:28">
      <c r="A235" s="1116" t="s">
        <v>1158</v>
      </c>
      <c r="C235" s="528">
        <f t="shared" si="165"/>
        <v>799646.5</v>
      </c>
      <c r="D235" s="528">
        <f t="shared" si="165"/>
        <v>758838.16754595097</v>
      </c>
      <c r="F235" s="1943"/>
      <c r="G235" s="1921"/>
      <c r="H235" s="1644"/>
      <c r="I235" s="1644"/>
      <c r="K235" s="1943">
        <f>K977</f>
        <v>0</v>
      </c>
      <c r="L235" s="1921" t="s">
        <v>495</v>
      </c>
      <c r="M235" s="1943">
        <f>M977</f>
        <v>7.125</v>
      </c>
      <c r="N235" s="1921" t="s">
        <v>495</v>
      </c>
      <c r="O235" s="1943">
        <f>O977</f>
        <v>0</v>
      </c>
      <c r="P235" s="1921" t="s">
        <v>495</v>
      </c>
      <c r="Q235" s="1943">
        <f>Q977</f>
        <v>7.125</v>
      </c>
      <c r="R235" s="1921" t="s">
        <v>495</v>
      </c>
      <c r="S235" s="1644">
        <f>ROUND($D235*K235/100,0)</f>
        <v>0</v>
      </c>
      <c r="T235" s="1648"/>
      <c r="U235" s="1644">
        <f>ROUND($D235*M235/100,0)</f>
        <v>54067</v>
      </c>
      <c r="V235" s="1648"/>
      <c r="W235" s="1644">
        <f>ROUND($D235*O235/100,0)</f>
        <v>0</v>
      </c>
      <c r="X235" s="1648"/>
      <c r="Y235" s="1644">
        <f>ROUND($D235*Q235/100,0)</f>
        <v>54067</v>
      </c>
      <c r="AA235" s="1109"/>
      <c r="AB235" s="1114"/>
    </row>
    <row r="236" spans="1:28">
      <c r="A236" s="1900" t="s">
        <v>1240</v>
      </c>
      <c r="C236" s="584"/>
      <c r="D236" s="584"/>
      <c r="F236" s="1930"/>
      <c r="G236" s="597"/>
      <c r="H236" s="1644"/>
      <c r="I236" s="1644"/>
      <c r="K236" s="1930"/>
      <c r="L236" s="597"/>
      <c r="M236" s="1930"/>
      <c r="N236" s="597"/>
      <c r="O236" s="1931" t="str">
        <f>$O$43</f>
        <v>Tax Year 1 (7/1/2021)</v>
      </c>
      <c r="P236" s="597"/>
      <c r="Q236" s="1930">
        <f>$Q$979</f>
        <v>-3.0599999999999999E-2</v>
      </c>
      <c r="R236" s="597"/>
      <c r="S236" s="1645"/>
      <c r="T236" s="1645"/>
      <c r="U236" s="1645"/>
      <c r="V236" s="1645"/>
      <c r="W236" s="1645"/>
      <c r="X236" s="1645"/>
      <c r="Y236" s="1644">
        <f>Q236*SUM(Y226:Y229,Y235)</f>
        <v>-579947.571</v>
      </c>
    </row>
    <row r="237" spans="1:28">
      <c r="A237" s="1900"/>
      <c r="C237" s="584"/>
      <c r="D237" s="584"/>
      <c r="F237" s="1930"/>
      <c r="G237" s="597"/>
      <c r="H237" s="1644"/>
      <c r="I237" s="1644"/>
      <c r="K237" s="1930"/>
      <c r="L237" s="597"/>
      <c r="M237" s="1930"/>
      <c r="N237" s="597"/>
      <c r="O237" s="1931" t="str">
        <f>$O$44</f>
        <v>Tax Year 2 (1/1/2022)</v>
      </c>
      <c r="P237" s="597"/>
      <c r="Q237" s="1930">
        <f>$Q$980</f>
        <v>-1.66E-2</v>
      </c>
      <c r="R237" s="597"/>
      <c r="S237" s="1645"/>
      <c r="T237" s="1645"/>
      <c r="U237" s="1645"/>
      <c r="V237" s="1645"/>
      <c r="W237" s="1645"/>
      <c r="X237" s="1645"/>
      <c r="Y237" s="1644">
        <f>Q237*SUM(Y226:Y229,Y235)</f>
        <v>-314612.08100000001</v>
      </c>
    </row>
    <row r="238" spans="1:28">
      <c r="A238" s="1900" t="s">
        <v>1923</v>
      </c>
      <c r="C238" s="528">
        <f>SUM(C230:C233,C235)</f>
        <v>216263332</v>
      </c>
      <c r="D238" s="528">
        <f>SUM(D230:D233,D235)</f>
        <v>209103097.7267234</v>
      </c>
      <c r="F238" s="1901"/>
      <c r="G238" s="1902"/>
      <c r="H238" s="1644"/>
      <c r="I238" s="1644"/>
      <c r="K238" s="1901"/>
      <c r="L238" s="1902"/>
      <c r="M238" s="1901"/>
      <c r="N238" s="1902"/>
      <c r="O238" s="1901"/>
      <c r="P238" s="1902"/>
      <c r="Q238" s="1901"/>
      <c r="R238" s="1902"/>
      <c r="S238" s="1644">
        <f>SUM(S225:S235)</f>
        <v>9074083</v>
      </c>
      <c r="T238" s="1643"/>
      <c r="U238" s="1644">
        <f>SUM(U225:U235)</f>
        <v>8112182</v>
      </c>
      <c r="V238" s="1643"/>
      <c r="W238" s="1644">
        <f>SUM(W225:W235)</f>
        <v>7033065</v>
      </c>
      <c r="X238" s="1643"/>
      <c r="Y238" s="1644">
        <f>SUM(Y225:Y235)</f>
        <v>24219330</v>
      </c>
      <c r="AA238" s="1109" t="s">
        <v>1743</v>
      </c>
      <c r="AB238" s="1499">
        <f>Y238/Y258-1</f>
        <v>-0.17978343922728179</v>
      </c>
    </row>
    <row r="239" spans="1:28">
      <c r="A239" s="1900"/>
      <c r="C239" s="528"/>
      <c r="D239" s="528"/>
      <c r="F239" s="1901"/>
      <c r="G239" s="1902"/>
      <c r="H239" s="1644"/>
      <c r="I239" s="1644"/>
      <c r="K239" s="1901"/>
      <c r="L239" s="1902"/>
      <c r="M239" s="1901"/>
      <c r="N239" s="1902"/>
      <c r="O239" s="1901"/>
      <c r="P239" s="1902"/>
      <c r="Q239" s="1901"/>
      <c r="R239" s="1902"/>
      <c r="S239" s="1643"/>
      <c r="T239" s="1643"/>
      <c r="U239" s="1643"/>
      <c r="V239" s="1643"/>
      <c r="W239" s="1643"/>
      <c r="X239" s="1643"/>
      <c r="Y239" s="1644"/>
      <c r="AA239" s="1109"/>
      <c r="AB239" s="1114"/>
    </row>
    <row r="240" spans="1:28">
      <c r="A240" s="1900" t="s">
        <v>240</v>
      </c>
      <c r="C240" s="528">
        <f t="shared" ref="C240:C254" si="191">C276+C312+C348</f>
        <v>16269.966666649996</v>
      </c>
      <c r="D240" s="528">
        <f t="shared" ref="D240" si="192">D276+D312+D348</f>
        <v>16184.594130320329</v>
      </c>
      <c r="F240" s="1901">
        <f>F672</f>
        <v>54</v>
      </c>
      <c r="G240" s="1902"/>
      <c r="H240" s="1644">
        <f t="shared" ref="H240:H242" si="193">ROUND($F240*C240,0)</f>
        <v>878578</v>
      </c>
      <c r="I240" s="1644">
        <f t="shared" ref="I240:I242" si="194">ROUND($F240*D240,0)</f>
        <v>873968</v>
      </c>
      <c r="K240" s="1901">
        <f>K672</f>
        <v>54</v>
      </c>
      <c r="L240" s="1902"/>
      <c r="M240" s="1901">
        <f>M672</f>
        <v>0</v>
      </c>
      <c r="N240" s="1902"/>
      <c r="O240" s="1901">
        <f>O672</f>
        <v>0</v>
      </c>
      <c r="P240" s="1902"/>
      <c r="Q240" s="1901">
        <f>Q672</f>
        <v>54</v>
      </c>
      <c r="R240" s="1902"/>
      <c r="S240" s="1644">
        <f>ROUND($D240*K240,0)</f>
        <v>873968</v>
      </c>
      <c r="T240" s="1643"/>
      <c r="U240" s="1644">
        <f>ROUND($D240*M240,0)</f>
        <v>0</v>
      </c>
      <c r="V240" s="1643"/>
      <c r="W240" s="1644">
        <f>ROUND($D240*O240,0)</f>
        <v>0</v>
      </c>
      <c r="X240" s="1643"/>
      <c r="Y240" s="1644">
        <f>ROUND($D240*Q240,0)</f>
        <v>873968</v>
      </c>
      <c r="AA240" s="1109"/>
      <c r="AB240" s="1114"/>
    </row>
    <row r="241" spans="1:28">
      <c r="A241" s="1900" t="s">
        <v>262</v>
      </c>
      <c r="C241" s="528">
        <f t="shared" si="191"/>
        <v>0</v>
      </c>
      <c r="D241" s="528">
        <f t="shared" ref="D241" si="195">D277+D313+D349</f>
        <v>0</v>
      </c>
      <c r="F241" s="1901">
        <f t="shared" ref="F241:F243" si="196">F673</f>
        <v>648</v>
      </c>
      <c r="G241" s="1902"/>
      <c r="H241" s="1644">
        <f t="shared" si="193"/>
        <v>0</v>
      </c>
      <c r="I241" s="1644">
        <f t="shared" si="194"/>
        <v>0</v>
      </c>
      <c r="K241" s="1901">
        <f t="shared" ref="K241" si="197">K673</f>
        <v>648</v>
      </c>
      <c r="L241" s="1902"/>
      <c r="M241" s="1901">
        <f t="shared" ref="M241" si="198">M673</f>
        <v>0</v>
      </c>
      <c r="N241" s="1902"/>
      <c r="O241" s="1901">
        <f t="shared" ref="O241" si="199">O673</f>
        <v>0</v>
      </c>
      <c r="P241" s="1902"/>
      <c r="Q241" s="1901">
        <f t="shared" ref="Q241:Q247" si="200">Q673</f>
        <v>648</v>
      </c>
      <c r="R241" s="1902"/>
      <c r="S241" s="1644">
        <f t="shared" ref="S241:S245" si="201">ROUND($D241*K241,0)</f>
        <v>0</v>
      </c>
      <c r="T241" s="1643"/>
      <c r="U241" s="1644">
        <f t="shared" ref="U241:Y245" si="202">ROUND($D241*M241,0)</f>
        <v>0</v>
      </c>
      <c r="V241" s="1643"/>
      <c r="W241" s="1644">
        <f t="shared" si="202"/>
        <v>0</v>
      </c>
      <c r="X241" s="1643"/>
      <c r="Y241" s="1644">
        <f t="shared" si="202"/>
        <v>0</v>
      </c>
      <c r="AA241" s="1109"/>
      <c r="AB241" s="1114"/>
    </row>
    <row r="242" spans="1:28">
      <c r="A242" s="1900" t="s">
        <v>1298</v>
      </c>
      <c r="C242" s="528">
        <f t="shared" si="191"/>
        <v>0</v>
      </c>
      <c r="D242" s="528">
        <f t="shared" ref="D242" si="203">D278+D314+D350</f>
        <v>0</v>
      </c>
      <c r="F242" s="1944">
        <f t="shared" si="196"/>
        <v>54</v>
      </c>
      <c r="G242" s="597"/>
      <c r="H242" s="1644">
        <f t="shared" si="193"/>
        <v>0</v>
      </c>
      <c r="I242" s="1644">
        <f t="shared" si="194"/>
        <v>0</v>
      </c>
      <c r="K242" s="1944">
        <f t="shared" ref="K242" si="204">K674</f>
        <v>54</v>
      </c>
      <c r="L242" s="597"/>
      <c r="M242" s="1944">
        <f t="shared" ref="M242" si="205">M674</f>
        <v>0</v>
      </c>
      <c r="N242" s="597"/>
      <c r="O242" s="1944">
        <f t="shared" ref="O242" si="206">O674</f>
        <v>0</v>
      </c>
      <c r="P242" s="597"/>
      <c r="Q242" s="1944">
        <f t="shared" si="200"/>
        <v>54</v>
      </c>
      <c r="R242" s="597"/>
      <c r="S242" s="1644">
        <f t="shared" si="201"/>
        <v>0</v>
      </c>
      <c r="T242" s="1645"/>
      <c r="U242" s="1644">
        <f t="shared" si="202"/>
        <v>0</v>
      </c>
      <c r="V242" s="1645"/>
      <c r="W242" s="1644">
        <f t="shared" si="202"/>
        <v>0</v>
      </c>
      <c r="X242" s="1645"/>
      <c r="Y242" s="1644">
        <f t="shared" si="202"/>
        <v>0</v>
      </c>
      <c r="AA242" s="1945"/>
      <c r="AB242" s="1114"/>
    </row>
    <row r="243" spans="1:28">
      <c r="A243" s="1900" t="s">
        <v>168</v>
      </c>
      <c r="C243" s="528">
        <f t="shared" si="191"/>
        <v>1324225.0309405944</v>
      </c>
      <c r="D243" s="528">
        <f t="shared" ref="D243" si="207">D279+D315+D351</f>
        <v>1281154</v>
      </c>
      <c r="F243" s="1901">
        <f t="shared" si="196"/>
        <v>4.04</v>
      </c>
      <c r="G243" s="1902"/>
      <c r="H243" s="1644">
        <f>ROUND($F243*C243,0)</f>
        <v>5349869</v>
      </c>
      <c r="I243" s="1644">
        <f>ROUND($F243*D243,0)</f>
        <v>5175862</v>
      </c>
      <c r="K243" s="1901">
        <f t="shared" ref="K243" si="208">K675</f>
        <v>4.03</v>
      </c>
      <c r="L243" s="1902"/>
      <c r="M243" s="1901">
        <f t="shared" ref="M243" si="209">M675</f>
        <v>0</v>
      </c>
      <c r="N243" s="1902"/>
      <c r="O243" s="1901">
        <f t="shared" ref="O243" si="210">O675</f>
        <v>0</v>
      </c>
      <c r="P243" s="1902"/>
      <c r="Q243" s="1901">
        <f t="shared" si="200"/>
        <v>4.03</v>
      </c>
      <c r="R243" s="1902"/>
      <c r="S243" s="1644">
        <f t="shared" si="201"/>
        <v>5163051</v>
      </c>
      <c r="T243" s="1643"/>
      <c r="U243" s="1644">
        <f t="shared" si="202"/>
        <v>0</v>
      </c>
      <c r="V243" s="1643"/>
      <c r="W243" s="1644">
        <f t="shared" si="202"/>
        <v>0</v>
      </c>
      <c r="X243" s="1643"/>
      <c r="Y243" s="1644">
        <f t="shared" si="202"/>
        <v>5163051</v>
      </c>
      <c r="AA243" s="1109"/>
      <c r="AB243" s="1946"/>
    </row>
    <row r="244" spans="1:28">
      <c r="A244" s="1900" t="s">
        <v>1645</v>
      </c>
      <c r="C244" s="528">
        <f t="shared" si="191"/>
        <v>483511.58044554468</v>
      </c>
      <c r="D244" s="528">
        <f t="shared" ref="D244" si="211">D280+D316+D352</f>
        <v>467710</v>
      </c>
      <c r="F244" s="1944"/>
      <c r="G244" s="597"/>
      <c r="H244" s="1644"/>
      <c r="I244" s="1644"/>
      <c r="K244" s="1944">
        <f t="shared" ref="K244" si="212">K676</f>
        <v>6.34</v>
      </c>
      <c r="L244" s="597"/>
      <c r="M244" s="1944">
        <f t="shared" ref="M244" si="213">M676</f>
        <v>7.0600000000000005</v>
      </c>
      <c r="N244" s="597"/>
      <c r="O244" s="1944">
        <f t="shared" ref="O244" si="214">O676</f>
        <v>0</v>
      </c>
      <c r="P244" s="597"/>
      <c r="Q244" s="1944">
        <f t="shared" si="200"/>
        <v>13.4</v>
      </c>
      <c r="R244" s="597"/>
      <c r="S244" s="1644">
        <f t="shared" si="201"/>
        <v>2965281</v>
      </c>
      <c r="T244" s="1645"/>
      <c r="U244" s="1644">
        <f t="shared" si="202"/>
        <v>3302033</v>
      </c>
      <c r="V244" s="1645"/>
      <c r="W244" s="1644">
        <f t="shared" si="202"/>
        <v>0</v>
      </c>
      <c r="X244" s="1645"/>
      <c r="Y244" s="1644">
        <f t="shared" si="202"/>
        <v>6267314</v>
      </c>
      <c r="AA244" s="1109"/>
      <c r="AB244" s="1946"/>
    </row>
    <row r="245" spans="1:28">
      <c r="A245" s="1900" t="s">
        <v>1646</v>
      </c>
      <c r="C245" s="528">
        <f t="shared" si="191"/>
        <v>840713.45049504982</v>
      </c>
      <c r="D245" s="528">
        <f t="shared" ref="D245" si="215">D281+D317+D353</f>
        <v>813444</v>
      </c>
      <c r="F245" s="1944"/>
      <c r="G245" s="597"/>
      <c r="H245" s="1644"/>
      <c r="I245" s="1644"/>
      <c r="K245" s="1944">
        <f t="shared" ref="K245" si="216">K677</f>
        <v>5.61</v>
      </c>
      <c r="L245" s="597"/>
      <c r="M245" s="1944">
        <f t="shared" ref="M245" si="217">M677</f>
        <v>6.2499999999999991</v>
      </c>
      <c r="N245" s="597"/>
      <c r="O245" s="1944">
        <f t="shared" ref="O245" si="218">O677</f>
        <v>0</v>
      </c>
      <c r="P245" s="597"/>
      <c r="Q245" s="1944">
        <f t="shared" si="200"/>
        <v>11.86</v>
      </c>
      <c r="R245" s="597"/>
      <c r="S245" s="1644">
        <f t="shared" si="201"/>
        <v>4563421</v>
      </c>
      <c r="T245" s="1645"/>
      <c r="U245" s="1644">
        <f t="shared" si="202"/>
        <v>5084025</v>
      </c>
      <c r="V245" s="1645"/>
      <c r="W245" s="1644">
        <f t="shared" si="202"/>
        <v>0</v>
      </c>
      <c r="X245" s="1645"/>
      <c r="Y245" s="1644">
        <f t="shared" si="202"/>
        <v>9647446</v>
      </c>
      <c r="AA245" s="1109"/>
      <c r="AB245" s="1947"/>
    </row>
    <row r="246" spans="1:28">
      <c r="A246" s="1900" t="s">
        <v>1647</v>
      </c>
      <c r="C246" s="528">
        <f t="shared" si="191"/>
        <v>77945664</v>
      </c>
      <c r="D246" s="528">
        <f t="shared" ref="D246" si="219">D282+D318+D354</f>
        <v>75391316.726723433</v>
      </c>
      <c r="F246" s="1943"/>
      <c r="G246" s="1921"/>
      <c r="H246" s="1644"/>
      <c r="I246" s="1644"/>
      <c r="K246" s="1943">
        <f t="shared" ref="K246" si="220">K678</f>
        <v>0</v>
      </c>
      <c r="L246" s="1921" t="s">
        <v>495</v>
      </c>
      <c r="M246" s="1943">
        <f t="shared" ref="M246" si="221">M678</f>
        <v>1.6192</v>
      </c>
      <c r="N246" s="1921" t="s">
        <v>495</v>
      </c>
      <c r="O246" s="1943">
        <f t="shared" ref="O246" si="222">O678</f>
        <v>2.305570240802</v>
      </c>
      <c r="P246" s="1921" t="s">
        <v>495</v>
      </c>
      <c r="Q246" s="1943">
        <f t="shared" si="200"/>
        <v>3.9247702408020002</v>
      </c>
      <c r="R246" s="1921" t="s">
        <v>495</v>
      </c>
      <c r="S246" s="1644">
        <f>ROUND($D246*K246/100,0)</f>
        <v>0</v>
      </c>
      <c r="T246" s="1648"/>
      <c r="U246" s="1644">
        <f>ROUND($D246*M246/100,0)</f>
        <v>1220736</v>
      </c>
      <c r="V246" s="1648"/>
      <c r="W246" s="1644">
        <f>ROUND($D246*O246/100,0)</f>
        <v>1738200</v>
      </c>
      <c r="X246" s="1648"/>
      <c r="Y246" s="1644">
        <f>ROUND($D246*Q246/100,0)</f>
        <v>2958936</v>
      </c>
      <c r="AA246" s="1109"/>
      <c r="AB246" s="1946"/>
    </row>
    <row r="247" spans="1:28">
      <c r="A247" s="1900" t="s">
        <v>1648</v>
      </c>
      <c r="C247" s="528">
        <f t="shared" si="191"/>
        <v>137518021.5</v>
      </c>
      <c r="D247" s="528">
        <f t="shared" ref="D247" si="223">D283+D319+D355</f>
        <v>132952943</v>
      </c>
      <c r="F247" s="1943"/>
      <c r="G247" s="1921"/>
      <c r="H247" s="1644"/>
      <c r="I247" s="1644"/>
      <c r="K247" s="1943">
        <f t="shared" ref="K247" si="224">K679</f>
        <v>0</v>
      </c>
      <c r="L247" s="1921" t="s">
        <v>495</v>
      </c>
      <c r="M247" s="1943">
        <f t="shared" ref="M247" si="225">M679</f>
        <v>1.4329000000000001</v>
      </c>
      <c r="N247" s="1921" t="s">
        <v>495</v>
      </c>
      <c r="O247" s="1943">
        <f t="shared" ref="O247" si="226">O679</f>
        <v>2.0403480007099999</v>
      </c>
      <c r="P247" s="1921" t="s">
        <v>495</v>
      </c>
      <c r="Q247" s="1943">
        <f t="shared" si="200"/>
        <v>3.4732480007099999</v>
      </c>
      <c r="R247" s="1921" t="s">
        <v>495</v>
      </c>
      <c r="S247" s="1644">
        <f>ROUND($D247*K247/100,0)</f>
        <v>0</v>
      </c>
      <c r="T247" s="1648"/>
      <c r="U247" s="1644">
        <f>ROUND($D247*M247/100,0)</f>
        <v>1905083</v>
      </c>
      <c r="V247" s="1648"/>
      <c r="W247" s="1644">
        <f>ROUND($D247*O247/100,0)</f>
        <v>2712703</v>
      </c>
      <c r="X247" s="1648"/>
      <c r="Y247" s="1644">
        <f>ROUND($D247*Q247/100,0)</f>
        <v>4617785</v>
      </c>
      <c r="AA247" s="1109"/>
      <c r="AB247" s="1946"/>
    </row>
    <row r="248" spans="1:28">
      <c r="A248" s="1900" t="s">
        <v>196</v>
      </c>
      <c r="C248" s="528">
        <f t="shared" si="191"/>
        <v>584798.45553699986</v>
      </c>
      <c r="D248" s="528">
        <f t="shared" ref="D248" si="227">D284+D320+D356</f>
        <v>563910</v>
      </c>
      <c r="F248" s="1901">
        <f t="shared" ref="F248:F253" si="228">F680</f>
        <v>14.62</v>
      </c>
      <c r="G248" s="1902"/>
      <c r="H248" s="1644">
        <f t="shared" ref="H248:H250" si="229">ROUND($F248*C248,0)</f>
        <v>8549753</v>
      </c>
      <c r="I248" s="1644">
        <f t="shared" ref="I248:I250" si="230">ROUND($F248*D248,0)</f>
        <v>8244364</v>
      </c>
      <c r="K248" s="1901"/>
      <c r="L248" s="1902"/>
      <c r="M248" s="1901"/>
      <c r="N248" s="1902"/>
      <c r="O248" s="1901"/>
      <c r="P248" s="1902"/>
      <c r="Q248" s="1901"/>
      <c r="R248" s="1902"/>
      <c r="S248" s="1644"/>
      <c r="T248" s="1643"/>
      <c r="U248" s="1644"/>
      <c r="V248" s="1643"/>
      <c r="W248" s="1644"/>
      <c r="X248" s="1643"/>
      <c r="Y248" s="1644"/>
      <c r="AA248" s="1109"/>
      <c r="AB248" s="1948"/>
    </row>
    <row r="249" spans="1:28">
      <c r="A249" s="1900" t="s">
        <v>161</v>
      </c>
      <c r="C249" s="528">
        <f t="shared" si="191"/>
        <v>739426.57540359464</v>
      </c>
      <c r="D249" s="528">
        <f t="shared" ref="D249" si="231">D285+D321+D357</f>
        <v>717244</v>
      </c>
      <c r="F249" s="1901">
        <f t="shared" si="228"/>
        <v>10.91</v>
      </c>
      <c r="G249" s="1902"/>
      <c r="H249" s="1644">
        <f t="shared" si="229"/>
        <v>8067144</v>
      </c>
      <c r="I249" s="1644">
        <f t="shared" si="230"/>
        <v>7825132</v>
      </c>
      <c r="K249" s="1901"/>
      <c r="L249" s="1902"/>
      <c r="M249" s="1901"/>
      <c r="N249" s="1902"/>
      <c r="O249" s="1901"/>
      <c r="P249" s="1902"/>
      <c r="Q249" s="1901"/>
      <c r="R249" s="1902"/>
      <c r="S249" s="1644"/>
      <c r="T249" s="1643"/>
      <c r="U249" s="1644"/>
      <c r="V249" s="1643"/>
      <c r="W249" s="1644"/>
      <c r="X249" s="1643"/>
      <c r="Y249" s="1644"/>
      <c r="AA249" s="1946"/>
      <c r="AB249" s="1109"/>
    </row>
    <row r="250" spans="1:28">
      <c r="A250" s="1900" t="s">
        <v>261</v>
      </c>
      <c r="C250" s="528">
        <f t="shared" si="191"/>
        <v>57416.182291666664</v>
      </c>
      <c r="D250" s="528">
        <f t="shared" ref="D250" si="232">D286+D322+D358</f>
        <v>56872.363899238364</v>
      </c>
      <c r="F250" s="1901">
        <f t="shared" si="228"/>
        <v>-0.96</v>
      </c>
      <c r="G250" s="1902"/>
      <c r="H250" s="1644">
        <f t="shared" si="229"/>
        <v>-55120</v>
      </c>
      <c r="I250" s="1644">
        <f t="shared" si="230"/>
        <v>-54597</v>
      </c>
      <c r="K250" s="1901">
        <f>K682</f>
        <v>-0.96</v>
      </c>
      <c r="L250" s="1902"/>
      <c r="M250" s="1901">
        <f>M682</f>
        <v>0</v>
      </c>
      <c r="N250" s="1902"/>
      <c r="O250" s="1901">
        <f>O682</f>
        <v>0</v>
      </c>
      <c r="P250" s="1902"/>
      <c r="Q250" s="1901">
        <f>Q682</f>
        <v>-0.96</v>
      </c>
      <c r="R250" s="1902"/>
      <c r="S250" s="1644">
        <f t="shared" ref="S250" si="233">ROUND($D250*K250,0)</f>
        <v>-54597</v>
      </c>
      <c r="T250" s="1643"/>
      <c r="U250" s="1644">
        <f t="shared" ref="U250:Y250" si="234">ROUND($D250*M250,0)</f>
        <v>0</v>
      </c>
      <c r="V250" s="1643"/>
      <c r="W250" s="1644">
        <f t="shared" si="234"/>
        <v>0</v>
      </c>
      <c r="X250" s="1643"/>
      <c r="Y250" s="1644">
        <f t="shared" si="234"/>
        <v>-54597</v>
      </c>
    </row>
    <row r="251" spans="1:28">
      <c r="A251" s="1900" t="s">
        <v>1362</v>
      </c>
      <c r="C251" s="528">
        <f t="shared" si="191"/>
        <v>93573337.543722346</v>
      </c>
      <c r="D251" s="528">
        <f t="shared" ref="D251" si="235">D287+D323+D359</f>
        <v>90236925</v>
      </c>
      <c r="F251" s="1943">
        <f t="shared" si="228"/>
        <v>3.8127</v>
      </c>
      <c r="G251" s="1921" t="s">
        <v>495</v>
      </c>
      <c r="H251" s="1644">
        <f t="shared" ref="H251:H253" si="236">ROUND($F251*C251/100,0)</f>
        <v>3567671</v>
      </c>
      <c r="I251" s="1644">
        <f t="shared" ref="I251:I253" si="237">ROUND($F251*D251/100,0)</f>
        <v>3440463</v>
      </c>
      <c r="K251" s="1943"/>
      <c r="L251" s="1921"/>
      <c r="M251" s="1943"/>
      <c r="N251" s="1921"/>
      <c r="O251" s="1943"/>
      <c r="P251" s="1921"/>
      <c r="Q251" s="1943"/>
      <c r="R251" s="1921"/>
      <c r="S251" s="1644"/>
      <c r="T251" s="1648"/>
      <c r="U251" s="1644"/>
      <c r="V251" s="1648"/>
      <c r="W251" s="1644"/>
      <c r="X251" s="1648"/>
      <c r="Y251" s="1644"/>
    </row>
    <row r="252" spans="1:28">
      <c r="A252" s="1900" t="s">
        <v>1363</v>
      </c>
      <c r="C252" s="528">
        <f t="shared" si="191"/>
        <v>121890347.95627764</v>
      </c>
      <c r="D252" s="528">
        <f t="shared" ref="D252" si="238">D288+D324+D360</f>
        <v>118107334.72672343</v>
      </c>
      <c r="F252" s="1943">
        <f t="shared" si="228"/>
        <v>3.5143</v>
      </c>
      <c r="G252" s="1921" t="s">
        <v>495</v>
      </c>
      <c r="H252" s="1644">
        <f t="shared" si="236"/>
        <v>4283592</v>
      </c>
      <c r="I252" s="1644">
        <f t="shared" si="237"/>
        <v>4150646</v>
      </c>
      <c r="K252" s="1943"/>
      <c r="L252" s="1921"/>
      <c r="M252" s="1943"/>
      <c r="N252" s="1921"/>
      <c r="O252" s="1943"/>
      <c r="P252" s="1921"/>
      <c r="Q252" s="1943"/>
      <c r="R252" s="1921"/>
      <c r="S252" s="1644"/>
      <c r="T252" s="1648"/>
      <c r="U252" s="1644"/>
      <c r="V252" s="1648"/>
      <c r="W252" s="1644"/>
      <c r="X252" s="1648"/>
      <c r="Y252" s="1644"/>
    </row>
    <row r="253" spans="1:28">
      <c r="A253" s="1116" t="s">
        <v>1158</v>
      </c>
      <c r="C253" s="528">
        <f t="shared" si="191"/>
        <v>799646.5</v>
      </c>
      <c r="D253" s="528">
        <f t="shared" ref="D253" si="239">D289+D325+D361</f>
        <v>758838</v>
      </c>
      <c r="F253" s="1943">
        <f t="shared" si="228"/>
        <v>7.125</v>
      </c>
      <c r="G253" s="1921" t="s">
        <v>495</v>
      </c>
      <c r="H253" s="1644">
        <f t="shared" si="236"/>
        <v>56975</v>
      </c>
      <c r="I253" s="1644">
        <f t="shared" si="237"/>
        <v>54067</v>
      </c>
      <c r="K253" s="1943">
        <f>K685</f>
        <v>0</v>
      </c>
      <c r="L253" s="1921" t="s">
        <v>495</v>
      </c>
      <c r="M253" s="1943">
        <f>M685</f>
        <v>7.125</v>
      </c>
      <c r="N253" s="1921" t="s">
        <v>495</v>
      </c>
      <c r="O253" s="1943">
        <f>O685</f>
        <v>0</v>
      </c>
      <c r="P253" s="1921" t="s">
        <v>495</v>
      </c>
      <c r="Q253" s="1943">
        <f>Q685</f>
        <v>7.125</v>
      </c>
      <c r="R253" s="1921" t="s">
        <v>495</v>
      </c>
      <c r="S253" s="1644">
        <f>ROUND($D253*K253/100,0)</f>
        <v>0</v>
      </c>
      <c r="T253" s="1648"/>
      <c r="U253" s="1644">
        <f>ROUND($D253*M253/100,0)</f>
        <v>54067</v>
      </c>
      <c r="V253" s="1648"/>
      <c r="W253" s="1644">
        <f>ROUND($D253*O253/100,0)</f>
        <v>0</v>
      </c>
      <c r="X253" s="1648"/>
      <c r="Y253" s="1644">
        <f>ROUND($D253*Q253/100,0)</f>
        <v>54067</v>
      </c>
    </row>
    <row r="254" spans="1:28">
      <c r="A254" s="1900" t="s">
        <v>246</v>
      </c>
      <c r="C254" s="529">
        <f t="shared" si="191"/>
        <v>0</v>
      </c>
      <c r="D254" s="529">
        <f>D290+D326+D362</f>
        <v>0</v>
      </c>
      <c r="H254" s="1030">
        <f>H290+H326+H362</f>
        <v>0</v>
      </c>
      <c r="I254" s="1030">
        <f>I290+I326+I362</f>
        <v>0</v>
      </c>
      <c r="S254" s="1030"/>
      <c r="U254" s="1030"/>
      <c r="W254" s="1030"/>
      <c r="Y254" s="1030"/>
    </row>
    <row r="255" spans="1:28">
      <c r="A255" s="1900" t="s">
        <v>1240</v>
      </c>
      <c r="C255" s="584"/>
      <c r="D255" s="584"/>
      <c r="F255" s="1930">
        <f>F687</f>
        <v>-3.61E-2</v>
      </c>
      <c r="G255" s="597"/>
      <c r="H255" s="1644">
        <f>SUM(H248:H249,H251:H253)*$F255</f>
        <v>-885357.37349999999</v>
      </c>
      <c r="I255" s="1644">
        <f>SUM(I248:I249,I251:I253)*$F255</f>
        <v>-856099.65919999999</v>
      </c>
      <c r="K255" s="1930"/>
      <c r="L255" s="597"/>
      <c r="M255" s="1930"/>
      <c r="N255" s="597"/>
      <c r="O255" s="1931" t="str">
        <f>$O$43</f>
        <v>Tax Year 1 (7/1/2021)</v>
      </c>
      <c r="P255" s="597"/>
      <c r="Q255" s="1930">
        <f>$Q$687</f>
        <v>-2.76E-2</v>
      </c>
      <c r="R255" s="597"/>
      <c r="S255" s="1644"/>
      <c r="T255" s="1645"/>
      <c r="U255" s="1644"/>
      <c r="V255" s="1645"/>
      <c r="W255" s="1644"/>
      <c r="X255" s="1645"/>
      <c r="Y255" s="1644">
        <f>Q255*SUM(Y244:Y247,Y253)</f>
        <v>-649857.12479999999</v>
      </c>
    </row>
    <row r="256" spans="1:28">
      <c r="A256" s="1900"/>
      <c r="C256" s="584"/>
      <c r="D256" s="584"/>
      <c r="F256" s="1930"/>
      <c r="G256" s="597"/>
      <c r="H256" s="1644"/>
      <c r="I256" s="1644"/>
      <c r="K256" s="1930"/>
      <c r="L256" s="597"/>
      <c r="M256" s="1930"/>
      <c r="N256" s="597"/>
      <c r="O256" s="1931" t="str">
        <f>$O$44</f>
        <v>Tax Year 2 (1/1/2022)</v>
      </c>
      <c r="P256" s="597"/>
      <c r="Q256" s="1930">
        <f>$Q$688</f>
        <v>-1.4999999999999999E-2</v>
      </c>
      <c r="R256" s="597"/>
      <c r="S256" s="1644"/>
      <c r="T256" s="1645"/>
      <c r="U256" s="1644"/>
      <c r="V256" s="1645"/>
      <c r="W256" s="1644"/>
      <c r="X256" s="1645"/>
      <c r="Y256" s="1644">
        <f>Q256*SUM(Y244:Y247,Y253)</f>
        <v>-353183.22</v>
      </c>
    </row>
    <row r="257" spans="1:28" ht="16.5" thickBot="1">
      <c r="A257" s="1116" t="s">
        <v>1317</v>
      </c>
      <c r="C257" s="528">
        <f t="shared" ref="C257" si="240">C293+C329+C365</f>
        <v>0</v>
      </c>
      <c r="D257" s="528">
        <f t="shared" ref="D257" si="241">D293+D329+D365</f>
        <v>0</v>
      </c>
      <c r="F257" s="1930"/>
      <c r="G257" s="597"/>
      <c r="H257" s="1644"/>
      <c r="I257" s="1644"/>
      <c r="K257" s="1930"/>
      <c r="L257" s="597"/>
      <c r="M257" s="1930"/>
      <c r="N257" s="597"/>
      <c r="O257" s="1939"/>
      <c r="Q257" s="1939"/>
      <c r="S257" s="1647"/>
      <c r="U257" s="1647"/>
      <c r="W257" s="1647"/>
      <c r="Y257" s="1647"/>
    </row>
    <row r="258" spans="1:28" ht="17.25" thickTop="1" thickBot="1">
      <c r="A258" s="1900" t="s">
        <v>247</v>
      </c>
      <c r="C258" s="1949">
        <f>SUM(C251:C257)</f>
        <v>216263332</v>
      </c>
      <c r="D258" s="1949">
        <f>SUM(D251:D257)</f>
        <v>209103097.72672343</v>
      </c>
      <c r="F258" s="1939"/>
      <c r="H258" s="1647">
        <f>SUM(H240:H255)</f>
        <v>29813104.626499999</v>
      </c>
      <c r="I258" s="1647">
        <f>SUM(I240:I255)</f>
        <v>28853805.340799998</v>
      </c>
      <c r="K258" s="1939"/>
      <c r="M258" s="1939"/>
      <c r="O258" s="1939"/>
      <c r="Q258" s="1939"/>
      <c r="S258" s="1647">
        <f>SUM(S240:S254)</f>
        <v>13511124</v>
      </c>
      <c r="U258" s="1647">
        <f>SUM(U240:U254)</f>
        <v>11565944</v>
      </c>
      <c r="W258" s="1647">
        <f>SUM(W240:W254)</f>
        <v>4450903</v>
      </c>
      <c r="Y258" s="1647">
        <f>SUM(Y240:Y254)</f>
        <v>29527970</v>
      </c>
      <c r="AA258" s="1104" t="s">
        <v>1743</v>
      </c>
      <c r="AB258" s="1890">
        <f>Y258/I258-1</f>
        <v>2.3364843951682035E-2</v>
      </c>
    </row>
    <row r="259" spans="1:28" ht="16.5" hidden="1" thickTop="1">
      <c r="C259" s="528"/>
      <c r="D259" s="528"/>
    </row>
    <row r="260" spans="1:28" hidden="1">
      <c r="A260" s="1897" t="s">
        <v>1915</v>
      </c>
      <c r="C260" s="528"/>
      <c r="D260" s="528"/>
    </row>
    <row r="261" spans="1:28" hidden="1">
      <c r="A261" s="1900" t="s">
        <v>240</v>
      </c>
      <c r="C261" s="528">
        <f>'BD-Redesign'!F22</f>
        <v>118.29999999999998</v>
      </c>
      <c r="D261" s="528">
        <f>D276</f>
        <v>124.80319282544595</v>
      </c>
      <c r="F261" s="1901"/>
      <c r="G261" s="1902"/>
      <c r="H261" s="1644"/>
      <c r="I261" s="1644"/>
      <c r="K261" s="1901">
        <f t="shared" ref="K261:K271" si="242">K225</f>
        <v>54</v>
      </c>
      <c r="L261" s="1902"/>
      <c r="M261" s="1901">
        <f>M225</f>
        <v>0</v>
      </c>
      <c r="N261" s="1902"/>
      <c r="O261" s="1901">
        <f>O225</f>
        <v>0</v>
      </c>
      <c r="P261" s="1902"/>
      <c r="Q261" s="1901">
        <f t="shared" ref="Q261:Q271" si="243">Q225</f>
        <v>54</v>
      </c>
      <c r="R261" s="1902"/>
      <c r="S261" s="1644">
        <f>ROUND($D261*K261,0)</f>
        <v>6739</v>
      </c>
      <c r="T261" s="1643"/>
      <c r="U261" s="1644">
        <f>ROUND($D261*M261,0)</f>
        <v>0</v>
      </c>
      <c r="V261" s="1643"/>
      <c r="W261" s="1644">
        <f>ROUND($D261*O261,0)</f>
        <v>0</v>
      </c>
      <c r="X261" s="1643"/>
      <c r="Y261" s="1644">
        <f>ROUND($D261*Q261,0)</f>
        <v>6739</v>
      </c>
      <c r="AA261" s="1109"/>
      <c r="AB261" s="1114"/>
    </row>
    <row r="262" spans="1:28" hidden="1">
      <c r="A262" s="1900" t="s">
        <v>1910</v>
      </c>
      <c r="C262" s="528">
        <f>'BD-Redesign'!F23</f>
        <v>70433.487623762368</v>
      </c>
      <c r="D262" s="528">
        <f t="shared" ref="D262:D271" si="244">C262/$C$274*$D$274</f>
        <v>84591.692737472054</v>
      </c>
      <c r="E262" s="597"/>
      <c r="F262" s="1942"/>
      <c r="G262" s="1921"/>
      <c r="H262" s="1644"/>
      <c r="I262" s="1644"/>
      <c r="J262" s="597"/>
      <c r="K262" s="1942">
        <f t="shared" si="242"/>
        <v>3.9525000000000001</v>
      </c>
      <c r="L262" s="1921" t="s">
        <v>495</v>
      </c>
      <c r="M262" s="1942">
        <f t="shared" ref="M262" si="245">M226</f>
        <v>17.075028114911813</v>
      </c>
      <c r="N262" s="1921" t="s">
        <v>495</v>
      </c>
      <c r="O262" s="1942">
        <f t="shared" ref="O262" si="246">O226</f>
        <v>1.3496999999999999</v>
      </c>
      <c r="P262" s="1921" t="s">
        <v>495</v>
      </c>
      <c r="Q262" s="1942">
        <f t="shared" si="243"/>
        <v>22.377228114911812</v>
      </c>
      <c r="R262" s="1921" t="s">
        <v>495</v>
      </c>
      <c r="S262" s="1644">
        <f>ROUND($D262*K262/100,0)</f>
        <v>3343</v>
      </c>
      <c r="T262" s="1648"/>
      <c r="U262" s="1644">
        <f>ROUND($D262*M262/100,0)</f>
        <v>14444</v>
      </c>
      <c r="V262" s="1648"/>
      <c r="W262" s="1644">
        <f>ROUND($D262*O262/100,0)</f>
        <v>1142</v>
      </c>
      <c r="X262" s="1648"/>
      <c r="Y262" s="1644">
        <f>ROUND($D262*Q262/100,0)</f>
        <v>18929</v>
      </c>
    </row>
    <row r="263" spans="1:28" hidden="1">
      <c r="A263" s="1900" t="s">
        <v>1911</v>
      </c>
      <c r="C263" s="528">
        <f>'BD-Redesign'!F24</f>
        <v>165608.5123762376</v>
      </c>
      <c r="D263" s="528">
        <f t="shared" si="244"/>
        <v>198898.34887168405</v>
      </c>
      <c r="E263" s="597"/>
      <c r="F263" s="1942"/>
      <c r="G263" s="1921"/>
      <c r="H263" s="1644"/>
      <c r="I263" s="1644"/>
      <c r="J263" s="597"/>
      <c r="K263" s="1942">
        <f t="shared" si="242"/>
        <v>3.9525000000000001</v>
      </c>
      <c r="L263" s="1921" t="s">
        <v>495</v>
      </c>
      <c r="M263" s="1942">
        <f t="shared" ref="M263" si="247">M227</f>
        <v>-0.91518271744099966</v>
      </c>
      <c r="N263" s="1921" t="s">
        <v>495</v>
      </c>
      <c r="O263" s="1942">
        <f t="shared" ref="O263" si="248">O227</f>
        <v>1.3496999999999999</v>
      </c>
      <c r="P263" s="1921" t="s">
        <v>495</v>
      </c>
      <c r="Q263" s="1942">
        <f t="shared" si="243"/>
        <v>4.3870172825590004</v>
      </c>
      <c r="R263" s="1921" t="s">
        <v>495</v>
      </c>
      <c r="S263" s="1644">
        <f t="shared" ref="S263:S269" si="249">ROUND($D263*K263/100,0)</f>
        <v>7861</v>
      </c>
      <c r="T263" s="1648"/>
      <c r="U263" s="1644">
        <f t="shared" ref="U263:U269" si="250">ROUND($D263*M263/100,0)</f>
        <v>-1820</v>
      </c>
      <c r="V263" s="1648"/>
      <c r="W263" s="1644">
        <f t="shared" ref="W263:W269" si="251">ROUND($D263*O263/100,0)</f>
        <v>2685</v>
      </c>
      <c r="X263" s="1648"/>
      <c r="Y263" s="1644">
        <f t="shared" ref="Y263:Y269" si="252">ROUND($D263*Q263/100,0)</f>
        <v>8726</v>
      </c>
    </row>
    <row r="264" spans="1:28" hidden="1">
      <c r="A264" s="1900" t="s">
        <v>1912</v>
      </c>
      <c r="C264" s="528">
        <f>'BD-Redesign'!F25</f>
        <v>120935.20792079209</v>
      </c>
      <c r="D264" s="528">
        <f t="shared" si="244"/>
        <v>145245.02895873319</v>
      </c>
      <c r="E264" s="597"/>
      <c r="F264" s="1942"/>
      <c r="G264" s="1921"/>
      <c r="H264" s="1644"/>
      <c r="I264" s="1644"/>
      <c r="J264" s="597"/>
      <c r="K264" s="1942">
        <f t="shared" si="242"/>
        <v>3.9525000000000001</v>
      </c>
      <c r="L264" s="1921" t="s">
        <v>495</v>
      </c>
      <c r="M264" s="1942">
        <f t="shared" ref="M264" si="253">M228</f>
        <v>14.656000000000001</v>
      </c>
      <c r="N264" s="1921" t="s">
        <v>495</v>
      </c>
      <c r="O264" s="1942">
        <f t="shared" ref="O264" si="254">O228</f>
        <v>1.1943999999999999</v>
      </c>
      <c r="P264" s="1921" t="s">
        <v>495</v>
      </c>
      <c r="Q264" s="1942">
        <f t="shared" si="243"/>
        <v>19.802900000000001</v>
      </c>
      <c r="R264" s="1921" t="s">
        <v>495</v>
      </c>
      <c r="S264" s="1644">
        <f t="shared" si="249"/>
        <v>5741</v>
      </c>
      <c r="T264" s="1648"/>
      <c r="U264" s="1644">
        <f t="shared" si="250"/>
        <v>21287</v>
      </c>
      <c r="V264" s="1648"/>
      <c r="W264" s="1644">
        <f t="shared" si="251"/>
        <v>1735</v>
      </c>
      <c r="X264" s="1648"/>
      <c r="Y264" s="1644">
        <f t="shared" si="252"/>
        <v>28763</v>
      </c>
    </row>
    <row r="265" spans="1:28" hidden="1">
      <c r="A265" s="1900" t="s">
        <v>1913</v>
      </c>
      <c r="C265" s="528">
        <f>'BD-Redesign'!F26</f>
        <v>224349.79207920792</v>
      </c>
      <c r="D265" s="528">
        <f t="shared" si="244"/>
        <v>269447.52159166668</v>
      </c>
      <c r="E265" s="597"/>
      <c r="F265" s="1942"/>
      <c r="G265" s="1921"/>
      <c r="H265" s="1644"/>
      <c r="I265" s="1644"/>
      <c r="J265" s="597"/>
      <c r="K265" s="1942">
        <f t="shared" si="242"/>
        <v>3.9525000000000001</v>
      </c>
      <c r="L265" s="1921" t="s">
        <v>495</v>
      </c>
      <c r="M265" s="1942">
        <f t="shared" ref="M265" si="255">M229</f>
        <v>-1.2646000000000002</v>
      </c>
      <c r="N265" s="1921" t="s">
        <v>495</v>
      </c>
      <c r="O265" s="1942">
        <f t="shared" ref="O265" si="256">O229</f>
        <v>1.1943999999999999</v>
      </c>
      <c r="P265" s="1921" t="s">
        <v>495</v>
      </c>
      <c r="Q265" s="1942">
        <f t="shared" si="243"/>
        <v>3.8822999999999999</v>
      </c>
      <c r="R265" s="1921" t="s">
        <v>495</v>
      </c>
      <c r="S265" s="1644">
        <f t="shared" si="249"/>
        <v>10650</v>
      </c>
      <c r="T265" s="1648"/>
      <c r="U265" s="1644">
        <f t="shared" si="250"/>
        <v>-3407</v>
      </c>
      <c r="V265" s="1648"/>
      <c r="W265" s="1644">
        <f t="shared" si="251"/>
        <v>3218</v>
      </c>
      <c r="X265" s="1648"/>
      <c r="Y265" s="1644">
        <f t="shared" si="252"/>
        <v>10461</v>
      </c>
    </row>
    <row r="266" spans="1:28" hidden="1">
      <c r="A266" s="1900" t="s">
        <v>1906</v>
      </c>
      <c r="C266" s="528">
        <f>'BD-Redesign'!F27</f>
        <v>131086.04361391169</v>
      </c>
      <c r="D266" s="528">
        <f t="shared" si="244"/>
        <v>157436.33742506622</v>
      </c>
      <c r="E266" s="597"/>
      <c r="F266" s="1942"/>
      <c r="G266" s="1921"/>
      <c r="H266" s="1644"/>
      <c r="I266" s="1644"/>
      <c r="J266" s="597"/>
      <c r="K266" s="1942">
        <f t="shared" si="242"/>
        <v>0</v>
      </c>
      <c r="L266" s="1921" t="s">
        <v>495</v>
      </c>
      <c r="M266" s="1942">
        <f t="shared" ref="M266" si="257">M230</f>
        <v>0</v>
      </c>
      <c r="N266" s="1921" t="s">
        <v>495</v>
      </c>
      <c r="O266" s="1942">
        <f t="shared" ref="O266" si="258">O230</f>
        <v>6</v>
      </c>
      <c r="P266" s="1921" t="s">
        <v>495</v>
      </c>
      <c r="Q266" s="1942">
        <f t="shared" si="243"/>
        <v>6</v>
      </c>
      <c r="R266" s="1921" t="s">
        <v>495</v>
      </c>
      <c r="S266" s="1644">
        <f t="shared" si="249"/>
        <v>0</v>
      </c>
      <c r="T266" s="1648"/>
      <c r="U266" s="1644">
        <f t="shared" si="250"/>
        <v>0</v>
      </c>
      <c r="V266" s="1648"/>
      <c r="W266" s="1644">
        <f t="shared" si="251"/>
        <v>9446</v>
      </c>
      <c r="X266" s="1648"/>
      <c r="Y266" s="1644">
        <f t="shared" si="252"/>
        <v>9446</v>
      </c>
    </row>
    <row r="267" spans="1:28" hidden="1">
      <c r="A267" s="1900" t="s">
        <v>1907</v>
      </c>
      <c r="C267" s="528">
        <f>'BD-Redesign'!F28</f>
        <v>104955.95638608832</v>
      </c>
      <c r="D267" s="528">
        <f t="shared" si="244"/>
        <v>126053.70418408993</v>
      </c>
      <c r="E267" s="597"/>
      <c r="F267" s="1942"/>
      <c r="G267" s="1921"/>
      <c r="H267" s="1644"/>
      <c r="I267" s="1644"/>
      <c r="J267" s="597"/>
      <c r="K267" s="1942">
        <f t="shared" si="242"/>
        <v>0</v>
      </c>
      <c r="L267" s="1921" t="s">
        <v>495</v>
      </c>
      <c r="M267" s="1942">
        <f t="shared" ref="M267" si="259">M231</f>
        <v>0</v>
      </c>
      <c r="N267" s="1921" t="s">
        <v>495</v>
      </c>
      <c r="O267" s="1942">
        <f t="shared" ref="O267" si="260">O231</f>
        <v>-2.3358000000000008</v>
      </c>
      <c r="P267" s="1921" t="s">
        <v>495</v>
      </c>
      <c r="Q267" s="1942">
        <f t="shared" si="243"/>
        <v>-2.3358000000000008</v>
      </c>
      <c r="R267" s="1921" t="s">
        <v>495</v>
      </c>
      <c r="S267" s="1644">
        <f t="shared" si="249"/>
        <v>0</v>
      </c>
      <c r="T267" s="1648"/>
      <c r="U267" s="1644">
        <f t="shared" si="250"/>
        <v>0</v>
      </c>
      <c r="V267" s="1648"/>
      <c r="W267" s="1644">
        <f t="shared" si="251"/>
        <v>-2944</v>
      </c>
      <c r="X267" s="1648"/>
      <c r="Y267" s="1644">
        <f t="shared" si="252"/>
        <v>-2944</v>
      </c>
    </row>
    <row r="268" spans="1:28" hidden="1">
      <c r="A268" s="1900" t="s">
        <v>1908</v>
      </c>
      <c r="C268" s="528">
        <f>'BD-Redesign'!F29</f>
        <v>191754.1986986617</v>
      </c>
      <c r="D268" s="528">
        <f t="shared" si="244"/>
        <v>230299.71686315996</v>
      </c>
      <c r="E268" s="597"/>
      <c r="F268" s="1942"/>
      <c r="G268" s="1921"/>
      <c r="H268" s="1644"/>
      <c r="I268" s="1644"/>
      <c r="J268" s="597"/>
      <c r="K268" s="1942">
        <f t="shared" si="242"/>
        <v>0</v>
      </c>
      <c r="L268" s="1921" t="s">
        <v>495</v>
      </c>
      <c r="M268" s="1942">
        <f t="shared" ref="M268" si="261">M232</f>
        <v>0</v>
      </c>
      <c r="N268" s="1921" t="s">
        <v>495</v>
      </c>
      <c r="O268" s="1942">
        <f t="shared" ref="O268" si="262">O232</f>
        <v>5.3097000000000003</v>
      </c>
      <c r="P268" s="1921" t="s">
        <v>495</v>
      </c>
      <c r="Q268" s="1942">
        <f t="shared" si="243"/>
        <v>5.3097000000000003</v>
      </c>
      <c r="R268" s="1921" t="s">
        <v>495</v>
      </c>
      <c r="S268" s="1644">
        <f t="shared" si="249"/>
        <v>0</v>
      </c>
      <c r="T268" s="1648"/>
      <c r="U268" s="1644">
        <f t="shared" si="250"/>
        <v>0</v>
      </c>
      <c r="V268" s="1648"/>
      <c r="W268" s="1644">
        <f t="shared" si="251"/>
        <v>12228</v>
      </c>
      <c r="X268" s="1648"/>
      <c r="Y268" s="1644">
        <f t="shared" si="252"/>
        <v>12228</v>
      </c>
    </row>
    <row r="269" spans="1:28" hidden="1">
      <c r="A269" s="1900" t="s">
        <v>1909</v>
      </c>
      <c r="C269" s="528">
        <f>'BD-Redesign'!F30</f>
        <v>153530.8013013383</v>
      </c>
      <c r="D269" s="528">
        <f t="shared" si="244"/>
        <v>184392.83368723991</v>
      </c>
      <c r="E269" s="597"/>
      <c r="F269" s="1942"/>
      <c r="G269" s="1921"/>
      <c r="H269" s="1644"/>
      <c r="I269" s="1644"/>
      <c r="J269" s="597"/>
      <c r="K269" s="1942">
        <f t="shared" si="242"/>
        <v>0</v>
      </c>
      <c r="L269" s="1921" t="s">
        <v>495</v>
      </c>
      <c r="M269" s="1942">
        <f t="shared" ref="M269" si="263">M233</f>
        <v>0</v>
      </c>
      <c r="N269" s="1921" t="s">
        <v>495</v>
      </c>
      <c r="O269" s="1942">
        <f t="shared" ref="O269" si="264">O233</f>
        <v>-2.0670999999999999</v>
      </c>
      <c r="P269" s="1921" t="s">
        <v>495</v>
      </c>
      <c r="Q269" s="1942">
        <f t="shared" si="243"/>
        <v>-2.0670999999999999</v>
      </c>
      <c r="R269" s="1921" t="s">
        <v>495</v>
      </c>
      <c r="S269" s="1644">
        <f t="shared" si="249"/>
        <v>0</v>
      </c>
      <c r="T269" s="1648"/>
      <c r="U269" s="1644">
        <f t="shared" si="250"/>
        <v>0</v>
      </c>
      <c r="V269" s="1648"/>
      <c r="W269" s="1644">
        <f t="shared" si="251"/>
        <v>-3812</v>
      </c>
      <c r="X269" s="1648"/>
      <c r="Y269" s="1644">
        <f t="shared" si="252"/>
        <v>-3812</v>
      </c>
    </row>
    <row r="270" spans="1:28" hidden="1">
      <c r="A270" s="1900" t="s">
        <v>261</v>
      </c>
      <c r="C270" s="528">
        <f>'BD-Redesign'!F31</f>
        <v>0</v>
      </c>
      <c r="D270" s="528">
        <f t="shared" si="244"/>
        <v>0</v>
      </c>
      <c r="F270" s="1901"/>
      <c r="G270" s="1902"/>
      <c r="H270" s="1644"/>
      <c r="I270" s="1644"/>
      <c r="K270" s="1901">
        <f t="shared" si="242"/>
        <v>-0.61</v>
      </c>
      <c r="L270" s="1902"/>
      <c r="M270" s="1901">
        <f t="shared" ref="M270" si="265">M234</f>
        <v>0</v>
      </c>
      <c r="N270" s="1902"/>
      <c r="O270" s="1901">
        <f t="shared" ref="O270" si="266">O234</f>
        <v>0</v>
      </c>
      <c r="P270" s="1902"/>
      <c r="Q270" s="1901">
        <f t="shared" si="243"/>
        <v>-0.61</v>
      </c>
      <c r="R270" s="1902"/>
      <c r="S270" s="1644">
        <f>ROUND($D270*K270,0)</f>
        <v>0</v>
      </c>
      <c r="T270" s="1643"/>
      <c r="U270" s="1644">
        <f>ROUND($D270*M270,0)</f>
        <v>0</v>
      </c>
      <c r="V270" s="1643"/>
      <c r="W270" s="1644">
        <f>ROUND($D270*O270,0)</f>
        <v>0</v>
      </c>
      <c r="X270" s="1643"/>
      <c r="Y270" s="1644">
        <f>ROUND($D270*Q270,0)</f>
        <v>0</v>
      </c>
    </row>
    <row r="271" spans="1:28" hidden="1">
      <c r="A271" s="1116" t="s">
        <v>1158</v>
      </c>
      <c r="C271" s="528">
        <f>'BD-Redesign'!F32</f>
        <v>0</v>
      </c>
      <c r="D271" s="528">
        <f t="shared" si="244"/>
        <v>0</v>
      </c>
      <c r="F271" s="1943"/>
      <c r="G271" s="1921"/>
      <c r="H271" s="1644"/>
      <c r="I271" s="1644"/>
      <c r="K271" s="1943">
        <f t="shared" si="242"/>
        <v>0</v>
      </c>
      <c r="L271" s="1921" t="s">
        <v>495</v>
      </c>
      <c r="M271" s="1943">
        <f t="shared" ref="M271" si="267">M235</f>
        <v>7.125</v>
      </c>
      <c r="N271" s="1921" t="s">
        <v>495</v>
      </c>
      <c r="O271" s="1943">
        <f t="shared" ref="O271" si="268">O235</f>
        <v>0</v>
      </c>
      <c r="P271" s="1921" t="s">
        <v>495</v>
      </c>
      <c r="Q271" s="1943">
        <f t="shared" si="243"/>
        <v>7.125</v>
      </c>
      <c r="R271" s="1921" t="s">
        <v>495</v>
      </c>
      <c r="S271" s="1644">
        <f>ROUND($D271*K271/100,0)</f>
        <v>0</v>
      </c>
      <c r="T271" s="1648"/>
      <c r="U271" s="1644">
        <f>ROUND($D271*M271/100,0)</f>
        <v>0</v>
      </c>
      <c r="V271" s="1648"/>
      <c r="W271" s="1644">
        <f>ROUND($D271*O271/100,0)</f>
        <v>0</v>
      </c>
      <c r="X271" s="1648"/>
      <c r="Y271" s="1644">
        <f>ROUND($D271*Q271/100,0)</f>
        <v>0</v>
      </c>
      <c r="AA271" s="1109"/>
      <c r="AB271" s="1114"/>
    </row>
    <row r="272" spans="1:28" hidden="1">
      <c r="A272" s="1900" t="s">
        <v>1240</v>
      </c>
      <c r="C272" s="584"/>
      <c r="D272" s="584"/>
      <c r="F272" s="1930"/>
      <c r="G272" s="597"/>
      <c r="H272" s="1644"/>
      <c r="I272" s="1644"/>
      <c r="K272" s="1930"/>
      <c r="L272" s="597"/>
      <c r="M272" s="1930"/>
      <c r="N272" s="597"/>
      <c r="O272" s="1931" t="str">
        <f>$O$43</f>
        <v>Tax Year 1 (7/1/2021)</v>
      </c>
      <c r="P272" s="597"/>
      <c r="Q272" s="1930">
        <f>$Q$979</f>
        <v>-3.0599999999999999E-2</v>
      </c>
      <c r="R272" s="597"/>
      <c r="S272" s="1645"/>
      <c r="T272" s="1645"/>
      <c r="U272" s="1645"/>
      <c r="V272" s="1645"/>
      <c r="W272" s="1645"/>
      <c r="X272" s="1645"/>
      <c r="Y272" s="1644">
        <f>Q272*SUM(Y262:Y265,Y271)</f>
        <v>-2046.4974</v>
      </c>
    </row>
    <row r="273" spans="1:28" hidden="1">
      <c r="A273" s="1900"/>
      <c r="C273" s="584"/>
      <c r="D273" s="584"/>
      <c r="F273" s="1930"/>
      <c r="G273" s="597"/>
      <c r="H273" s="1644"/>
      <c r="I273" s="1644"/>
      <c r="K273" s="1930"/>
      <c r="L273" s="597"/>
      <c r="M273" s="1930"/>
      <c r="N273" s="597"/>
      <c r="O273" s="1931" t="str">
        <f>$O$44</f>
        <v>Tax Year 2 (1/1/2022)</v>
      </c>
      <c r="P273" s="597"/>
      <c r="Q273" s="1930">
        <f>$Q$980</f>
        <v>-1.66E-2</v>
      </c>
      <c r="R273" s="597"/>
      <c r="S273" s="1645"/>
      <c r="T273" s="1645"/>
      <c r="U273" s="1645"/>
      <c r="V273" s="1645"/>
      <c r="W273" s="1645"/>
      <c r="X273" s="1645"/>
      <c r="Y273" s="1644">
        <f>Q273*SUM(Y262:Y265,Y271)</f>
        <v>-1110.1913999999999</v>
      </c>
    </row>
    <row r="274" spans="1:28" hidden="1">
      <c r="A274" s="1900" t="s">
        <v>1923</v>
      </c>
      <c r="C274" s="528">
        <f>SUM(C266:C269,C271)</f>
        <v>581327</v>
      </c>
      <c r="D274" s="528">
        <f>D294</f>
        <v>698182.59215955599</v>
      </c>
      <c r="F274" s="1901"/>
      <c r="G274" s="1902"/>
      <c r="H274" s="1644"/>
      <c r="I274" s="1644"/>
      <c r="K274" s="1901"/>
      <c r="L274" s="1902"/>
      <c r="M274" s="1901"/>
      <c r="N274" s="1902"/>
      <c r="O274" s="1901"/>
      <c r="P274" s="1902"/>
      <c r="Q274" s="1901"/>
      <c r="R274" s="1902"/>
      <c r="S274" s="1644">
        <f>SUM(S261:S271)</f>
        <v>34334</v>
      </c>
      <c r="T274" s="1643"/>
      <c r="U274" s="1644">
        <f>SUM(U261:U271)</f>
        <v>30504</v>
      </c>
      <c r="V274" s="1643"/>
      <c r="W274" s="1644">
        <f>SUM(W261:W271)</f>
        <v>23698</v>
      </c>
      <c r="X274" s="1643"/>
      <c r="Y274" s="1644">
        <f>SUM(Y261:Y271)</f>
        <v>88536</v>
      </c>
      <c r="AA274" s="1109" t="s">
        <v>1743</v>
      </c>
      <c r="AB274" s="1499">
        <f>Y274/Y294-1</f>
        <v>-0.20022402688322594</v>
      </c>
    </row>
    <row r="275" spans="1:28" hidden="1">
      <c r="A275" s="1900"/>
      <c r="C275" s="528"/>
      <c r="D275" s="528"/>
      <c r="F275" s="1901"/>
      <c r="G275" s="1902"/>
      <c r="H275" s="1644"/>
      <c r="I275" s="1644"/>
      <c r="K275" s="1901"/>
      <c r="L275" s="1902"/>
      <c r="M275" s="1901"/>
      <c r="N275" s="1902"/>
      <c r="O275" s="1901"/>
      <c r="P275" s="1902"/>
      <c r="Q275" s="1901"/>
      <c r="R275" s="1902"/>
      <c r="S275" s="1643"/>
      <c r="T275" s="1643"/>
      <c r="U275" s="1643"/>
      <c r="V275" s="1643"/>
      <c r="W275" s="1643"/>
      <c r="X275" s="1643"/>
      <c r="Y275" s="1644"/>
      <c r="AA275" s="1109"/>
      <c r="AB275" s="1114"/>
    </row>
    <row r="276" spans="1:28" hidden="1">
      <c r="A276" s="1900" t="s">
        <v>240</v>
      </c>
      <c r="C276" s="528">
        <f>C261</f>
        <v>118.29999999999998</v>
      </c>
      <c r="D276" s="528">
        <f>C276*D693/C693</f>
        <v>124.80319282544595</v>
      </c>
      <c r="F276" s="1944">
        <v>54</v>
      </c>
      <c r="G276" s="597"/>
      <c r="H276" s="1644">
        <f t="shared" ref="H276:H278" si="269">ROUND($F276*C276,0)</f>
        <v>6388</v>
      </c>
      <c r="I276" s="1644">
        <f t="shared" ref="I276:I278" si="270">ROUND($F276*D276,0)</f>
        <v>6739</v>
      </c>
      <c r="K276" s="1944">
        <f t="shared" ref="K276:K283" si="271">K240</f>
        <v>54</v>
      </c>
      <c r="L276" s="597"/>
      <c r="M276" s="1944">
        <f t="shared" ref="M276" si="272">M240</f>
        <v>0</v>
      </c>
      <c r="N276" s="597"/>
      <c r="O276" s="1944">
        <f t="shared" ref="O276" si="273">O240</f>
        <v>0</v>
      </c>
      <c r="P276" s="597"/>
      <c r="Q276" s="1944">
        <f t="shared" ref="Q276:Q283" si="274">Q240</f>
        <v>54</v>
      </c>
      <c r="R276" s="597"/>
      <c r="S276" s="1644">
        <f>ROUND($D276*K276,0)</f>
        <v>6739</v>
      </c>
      <c r="T276" s="1643"/>
      <c r="U276" s="1644">
        <f>ROUND($D276*M276,0)</f>
        <v>0</v>
      </c>
      <c r="V276" s="1643"/>
      <c r="W276" s="1644">
        <f>ROUND($D276*O276,0)</f>
        <v>0</v>
      </c>
      <c r="X276" s="1643"/>
      <c r="Y276" s="1644">
        <f>ROUND($D276*Q276,0)</f>
        <v>6739</v>
      </c>
    </row>
    <row r="277" spans="1:28" hidden="1">
      <c r="A277" s="1900" t="s">
        <v>262</v>
      </c>
      <c r="C277" s="584">
        <v>0</v>
      </c>
      <c r="D277" s="528">
        <v>0</v>
      </c>
      <c r="F277" s="1944">
        <v>648</v>
      </c>
      <c r="G277" s="597"/>
      <c r="H277" s="1644">
        <f t="shared" si="269"/>
        <v>0</v>
      </c>
      <c r="I277" s="1644">
        <f t="shared" si="270"/>
        <v>0</v>
      </c>
      <c r="K277" s="1944">
        <f t="shared" si="271"/>
        <v>648</v>
      </c>
      <c r="L277" s="597"/>
      <c r="M277" s="1944">
        <f t="shared" ref="M277" si="275">M241</f>
        <v>0</v>
      </c>
      <c r="N277" s="597"/>
      <c r="O277" s="1944">
        <f t="shared" ref="O277" si="276">O241</f>
        <v>0</v>
      </c>
      <c r="P277" s="597"/>
      <c r="Q277" s="1944">
        <f t="shared" si="274"/>
        <v>648</v>
      </c>
      <c r="R277" s="597"/>
      <c r="S277" s="1644">
        <f t="shared" ref="S277:S281" si="277">ROUND($D277*K277,0)</f>
        <v>0</v>
      </c>
      <c r="T277" s="1643"/>
      <c r="U277" s="1644">
        <f t="shared" ref="U277:U281" si="278">ROUND($D277*M277,0)</f>
        <v>0</v>
      </c>
      <c r="V277" s="1643"/>
      <c r="W277" s="1644">
        <f t="shared" ref="W277:W281" si="279">ROUND($D277*O277,0)</f>
        <v>0</v>
      </c>
      <c r="X277" s="1643"/>
      <c r="Y277" s="1644">
        <f t="shared" ref="Y277:Y281" si="280">ROUND($D277*Q277,0)</f>
        <v>0</v>
      </c>
    </row>
    <row r="278" spans="1:28" hidden="1">
      <c r="A278" s="1900" t="s">
        <v>1298</v>
      </c>
      <c r="C278" s="528">
        <v>0</v>
      </c>
      <c r="D278" s="528">
        <v>0</v>
      </c>
      <c r="F278" s="1944">
        <v>54</v>
      </c>
      <c r="G278" s="597"/>
      <c r="H278" s="1644">
        <f t="shared" si="269"/>
        <v>0</v>
      </c>
      <c r="I278" s="1644">
        <f t="shared" si="270"/>
        <v>0</v>
      </c>
      <c r="K278" s="1944">
        <f t="shared" si="271"/>
        <v>54</v>
      </c>
      <c r="L278" s="597"/>
      <c r="M278" s="1944">
        <f t="shared" ref="M278" si="281">M242</f>
        <v>0</v>
      </c>
      <c r="N278" s="597"/>
      <c r="O278" s="1944">
        <f t="shared" ref="O278" si="282">O242</f>
        <v>0</v>
      </c>
      <c r="P278" s="597"/>
      <c r="Q278" s="1944">
        <f t="shared" si="274"/>
        <v>54</v>
      </c>
      <c r="R278" s="597"/>
      <c r="S278" s="1644">
        <f t="shared" si="277"/>
        <v>0</v>
      </c>
      <c r="T278" s="1645"/>
      <c r="U278" s="1644">
        <f t="shared" si="278"/>
        <v>0</v>
      </c>
      <c r="V278" s="1645"/>
      <c r="W278" s="1644">
        <f t="shared" si="279"/>
        <v>0</v>
      </c>
      <c r="X278" s="1645"/>
      <c r="Y278" s="1644">
        <f t="shared" si="280"/>
        <v>0</v>
      </c>
    </row>
    <row r="279" spans="1:28" hidden="1">
      <c r="A279" s="1900" t="s">
        <v>168</v>
      </c>
      <c r="C279" s="528">
        <f>'BD-Redesign'!F55</f>
        <v>3964.2846534653472</v>
      </c>
      <c r="D279" s="528">
        <f>ROUND(C279/$C$294*$D$294,0)</f>
        <v>4761</v>
      </c>
      <c r="F279" s="1944">
        <v>4.04</v>
      </c>
      <c r="G279" s="597"/>
      <c r="H279" s="1644">
        <f>ROUND($F279*C279,0)</f>
        <v>16016</v>
      </c>
      <c r="I279" s="1644">
        <f>ROUND($F279*D279,0)</f>
        <v>19234</v>
      </c>
      <c r="K279" s="1944">
        <f t="shared" si="271"/>
        <v>4.03</v>
      </c>
      <c r="L279" s="597"/>
      <c r="M279" s="1944">
        <f t="shared" ref="M279" si="283">M243</f>
        <v>0</v>
      </c>
      <c r="N279" s="597"/>
      <c r="O279" s="1944">
        <f t="shared" ref="O279" si="284">O243</f>
        <v>0</v>
      </c>
      <c r="P279" s="597"/>
      <c r="Q279" s="1944">
        <f t="shared" si="274"/>
        <v>4.03</v>
      </c>
      <c r="R279" s="597"/>
      <c r="S279" s="1644">
        <f t="shared" si="277"/>
        <v>19187</v>
      </c>
      <c r="T279" s="1643"/>
      <c r="U279" s="1644">
        <f t="shared" si="278"/>
        <v>0</v>
      </c>
      <c r="V279" s="1643"/>
      <c r="W279" s="1644">
        <f t="shared" si="279"/>
        <v>0</v>
      </c>
      <c r="X279" s="1643"/>
      <c r="Y279" s="1644">
        <f t="shared" si="280"/>
        <v>19187</v>
      </c>
    </row>
    <row r="280" spans="1:28" hidden="1">
      <c r="A280" s="1900" t="s">
        <v>1645</v>
      </c>
      <c r="C280" s="528">
        <f>'BD-Redesign'!F56</f>
        <v>1503.5334158415844</v>
      </c>
      <c r="D280" s="528">
        <f t="shared" ref="D280:D281" si="285">ROUND(C280/$C$294*$D$294,0)</f>
        <v>1806</v>
      </c>
      <c r="F280" s="1944"/>
      <c r="G280" s="597"/>
      <c r="H280" s="1644"/>
      <c r="I280" s="1644"/>
      <c r="K280" s="1944">
        <f t="shared" si="271"/>
        <v>6.34</v>
      </c>
      <c r="L280" s="597"/>
      <c r="M280" s="1944">
        <f t="shared" ref="M280" si="286">M244</f>
        <v>7.0600000000000005</v>
      </c>
      <c r="N280" s="597"/>
      <c r="O280" s="1944">
        <f t="shared" ref="O280" si="287">O244</f>
        <v>0</v>
      </c>
      <c r="P280" s="597"/>
      <c r="Q280" s="1944">
        <f t="shared" si="274"/>
        <v>13.4</v>
      </c>
      <c r="R280" s="597"/>
      <c r="S280" s="1644">
        <f t="shared" si="277"/>
        <v>11450</v>
      </c>
      <c r="T280" s="1645"/>
      <c r="U280" s="1644">
        <f t="shared" si="278"/>
        <v>12750</v>
      </c>
      <c r="V280" s="1645"/>
      <c r="W280" s="1644">
        <f t="shared" si="279"/>
        <v>0</v>
      </c>
      <c r="X280" s="1645"/>
      <c r="Y280" s="1644">
        <f t="shared" si="280"/>
        <v>24200</v>
      </c>
    </row>
    <row r="281" spans="1:28" hidden="1">
      <c r="A281" s="1900" t="s">
        <v>1646</v>
      </c>
      <c r="C281" s="528">
        <f>'BD-Redesign'!F57</f>
        <v>2460.7512376237623</v>
      </c>
      <c r="D281" s="528">
        <f t="shared" si="285"/>
        <v>2955</v>
      </c>
      <c r="F281" s="1944"/>
      <c r="G281" s="597"/>
      <c r="H281" s="1644"/>
      <c r="I281" s="1644"/>
      <c r="K281" s="1944">
        <f t="shared" si="271"/>
        <v>5.61</v>
      </c>
      <c r="L281" s="597"/>
      <c r="M281" s="1944">
        <f t="shared" ref="M281" si="288">M245</f>
        <v>6.2499999999999991</v>
      </c>
      <c r="N281" s="597"/>
      <c r="O281" s="1944">
        <f t="shared" ref="O281" si="289">O245</f>
        <v>0</v>
      </c>
      <c r="P281" s="597"/>
      <c r="Q281" s="1944">
        <f t="shared" si="274"/>
        <v>11.86</v>
      </c>
      <c r="R281" s="597"/>
      <c r="S281" s="1644">
        <f t="shared" si="277"/>
        <v>16578</v>
      </c>
      <c r="T281" s="1645"/>
      <c r="U281" s="1644">
        <f t="shared" si="278"/>
        <v>18469</v>
      </c>
      <c r="V281" s="1645"/>
      <c r="W281" s="1644">
        <f t="shared" si="279"/>
        <v>0</v>
      </c>
      <c r="X281" s="1645"/>
      <c r="Y281" s="1644">
        <f t="shared" si="280"/>
        <v>35046</v>
      </c>
    </row>
    <row r="282" spans="1:28" hidden="1">
      <c r="A282" s="1900" t="s">
        <v>1647</v>
      </c>
      <c r="C282" s="528">
        <f>'BD-Redesign'!F59</f>
        <v>236042</v>
      </c>
      <c r="D282" s="528">
        <f>D294-SUM(D283,D289:D293)</f>
        <v>283489.59215955599</v>
      </c>
      <c r="F282" s="1943"/>
      <c r="G282" s="1921"/>
      <c r="H282" s="1644"/>
      <c r="I282" s="1644"/>
      <c r="K282" s="1943">
        <f t="shared" si="271"/>
        <v>0</v>
      </c>
      <c r="L282" s="1921" t="s">
        <v>495</v>
      </c>
      <c r="M282" s="1943">
        <f t="shared" ref="M282" si="290">M246</f>
        <v>1.6192</v>
      </c>
      <c r="N282" s="1921" t="s">
        <v>495</v>
      </c>
      <c r="O282" s="1943">
        <f t="shared" ref="O282" si="291">O246</f>
        <v>2.305570240802</v>
      </c>
      <c r="P282" s="1921" t="s">
        <v>495</v>
      </c>
      <c r="Q282" s="1943">
        <f t="shared" si="274"/>
        <v>3.9247702408020002</v>
      </c>
      <c r="R282" s="1921" t="s">
        <v>495</v>
      </c>
      <c r="S282" s="1644">
        <f>ROUND($D282*K282/100,0)</f>
        <v>0</v>
      </c>
      <c r="T282" s="1648"/>
      <c r="U282" s="1644">
        <f>ROUND($D282*M282/100,0)</f>
        <v>4590</v>
      </c>
      <c r="V282" s="1648"/>
      <c r="W282" s="1644">
        <f>ROUND($D282*O282/100,0)</f>
        <v>6536</v>
      </c>
      <c r="X282" s="1648"/>
      <c r="Y282" s="1644">
        <f>ROUND($D282*Q282/100,0)</f>
        <v>11126</v>
      </c>
    </row>
    <row r="283" spans="1:28" hidden="1">
      <c r="A283" s="1900" t="s">
        <v>1648</v>
      </c>
      <c r="C283" s="528">
        <f>'BD-Redesign'!F60</f>
        <v>345285</v>
      </c>
      <c r="D283" s="528">
        <f>ROUND(C283/C294*D294,0)</f>
        <v>414693</v>
      </c>
      <c r="F283" s="1943"/>
      <c r="G283" s="1921"/>
      <c r="H283" s="1644"/>
      <c r="I283" s="1644"/>
      <c r="K283" s="1943">
        <f t="shared" si="271"/>
        <v>0</v>
      </c>
      <c r="L283" s="1921" t="s">
        <v>495</v>
      </c>
      <c r="M283" s="1943">
        <f t="shared" ref="M283" si="292">M247</f>
        <v>1.4329000000000001</v>
      </c>
      <c r="N283" s="1921" t="s">
        <v>495</v>
      </c>
      <c r="O283" s="1943">
        <f t="shared" ref="O283" si="293">O247</f>
        <v>2.0403480007099999</v>
      </c>
      <c r="P283" s="1921" t="s">
        <v>495</v>
      </c>
      <c r="Q283" s="1943">
        <f t="shared" si="274"/>
        <v>3.4732480007099999</v>
      </c>
      <c r="R283" s="1921" t="s">
        <v>495</v>
      </c>
      <c r="S283" s="1644">
        <f>ROUND($D283*K283/100,0)</f>
        <v>0</v>
      </c>
      <c r="T283" s="1648"/>
      <c r="U283" s="1644">
        <f>ROUND($D283*M283/100,0)</f>
        <v>5942</v>
      </c>
      <c r="V283" s="1648"/>
      <c r="W283" s="1644">
        <f>ROUND($D283*O283/100,0)</f>
        <v>8461</v>
      </c>
      <c r="X283" s="1648"/>
      <c r="Y283" s="1644">
        <f>ROUND($D283*Q283/100,0)</f>
        <v>14403</v>
      </c>
    </row>
    <row r="284" spans="1:28" hidden="1">
      <c r="A284" s="1900" t="s">
        <v>196</v>
      </c>
      <c r="C284" s="528">
        <f>(C280+C281)*C701/(C701+C702)</f>
        <v>1658.2225477373308</v>
      </c>
      <c r="D284" s="528">
        <f>ROUND(C284/C294*D294,0)</f>
        <v>1992</v>
      </c>
      <c r="F284" s="1944">
        <v>14.62</v>
      </c>
      <c r="G284" s="597"/>
      <c r="H284" s="1644">
        <f t="shared" ref="H284:H286" si="294">ROUND($F284*C284,0)</f>
        <v>24243</v>
      </c>
      <c r="I284" s="1644">
        <f t="shared" ref="I284:I286" si="295">ROUND($F284*D284,0)</f>
        <v>29123</v>
      </c>
      <c r="K284" s="1944"/>
      <c r="L284" s="597"/>
      <c r="M284" s="1944"/>
      <c r="N284" s="597"/>
      <c r="O284" s="1944"/>
      <c r="P284" s="597"/>
      <c r="Q284" s="1944"/>
      <c r="R284" s="597"/>
      <c r="S284" s="1644"/>
      <c r="T284" s="1643"/>
      <c r="U284" s="1644"/>
      <c r="V284" s="1643"/>
      <c r="W284" s="1644"/>
      <c r="X284" s="1643"/>
      <c r="Y284" s="1644"/>
    </row>
    <row r="285" spans="1:28" hidden="1">
      <c r="A285" s="1900" t="s">
        <v>161</v>
      </c>
      <c r="C285" s="528">
        <f>C280+C281-C284</f>
        <v>2306.0621057280159</v>
      </c>
      <c r="D285" s="528">
        <f>ROUND(C285/C294*D294,0)</f>
        <v>2770</v>
      </c>
      <c r="F285" s="1944">
        <v>10.91</v>
      </c>
      <c r="G285" s="597"/>
      <c r="H285" s="1644">
        <f t="shared" si="294"/>
        <v>25159</v>
      </c>
      <c r="I285" s="1644">
        <f t="shared" si="295"/>
        <v>30221</v>
      </c>
      <c r="K285" s="1944"/>
      <c r="L285" s="597"/>
      <c r="M285" s="1944"/>
      <c r="N285" s="597"/>
      <c r="O285" s="1944"/>
      <c r="P285" s="597"/>
      <c r="Q285" s="1944"/>
      <c r="R285" s="597"/>
      <c r="S285" s="1644"/>
      <c r="T285" s="1643"/>
      <c r="U285" s="1644"/>
      <c r="V285" s="1643"/>
      <c r="W285" s="1644"/>
      <c r="X285" s="1643"/>
      <c r="Y285" s="1644"/>
    </row>
    <row r="286" spans="1:28" hidden="1">
      <c r="A286" s="1900" t="s">
        <v>261</v>
      </c>
      <c r="C286" s="528">
        <f>'BD-Redesign'!F58</f>
        <v>0</v>
      </c>
      <c r="D286" s="528">
        <f>ROUND(C286/C294*D294,0)</f>
        <v>0</v>
      </c>
      <c r="F286" s="1944">
        <v>-0.96</v>
      </c>
      <c r="G286" s="597"/>
      <c r="H286" s="1644">
        <f t="shared" si="294"/>
        <v>0</v>
      </c>
      <c r="I286" s="1644">
        <f t="shared" si="295"/>
        <v>0</v>
      </c>
      <c r="K286" s="1944">
        <f>K250</f>
        <v>-0.96</v>
      </c>
      <c r="L286" s="597"/>
      <c r="M286" s="1944">
        <f>M250</f>
        <v>0</v>
      </c>
      <c r="N286" s="597"/>
      <c r="O286" s="1944">
        <f>O250</f>
        <v>0</v>
      </c>
      <c r="P286" s="597"/>
      <c r="Q286" s="1944">
        <f>Q250</f>
        <v>-0.96</v>
      </c>
      <c r="R286" s="597"/>
      <c r="S286" s="1644">
        <f t="shared" ref="S286" si="296">ROUND($D286*K286,0)</f>
        <v>0</v>
      </c>
      <c r="T286" s="1643"/>
      <c r="U286" s="1644">
        <f t="shared" ref="U286" si="297">ROUND($D286*M286,0)</f>
        <v>0</v>
      </c>
      <c r="V286" s="1643"/>
      <c r="W286" s="1644">
        <f t="shared" ref="W286" si="298">ROUND($D286*O286,0)</f>
        <v>0</v>
      </c>
      <c r="X286" s="1643"/>
      <c r="Y286" s="1644">
        <f t="shared" ref="Y286" si="299">ROUND($D286*Q286,0)</f>
        <v>0</v>
      </c>
    </row>
    <row r="287" spans="1:28" hidden="1">
      <c r="A287" s="1900" t="s">
        <v>1362</v>
      </c>
      <c r="C287" s="528">
        <f>(C282+C283)*C704/(C704+C705)</f>
        <v>234805.04955330916</v>
      </c>
      <c r="D287" s="528">
        <f>ROUND(C287/C294*D294,0)</f>
        <v>282004</v>
      </c>
      <c r="F287" s="1943">
        <v>3.8127</v>
      </c>
      <c r="G287" s="1921" t="s">
        <v>495</v>
      </c>
      <c r="H287" s="1644">
        <f t="shared" ref="H287:H289" si="300">ROUND($F287*C287/100,0)</f>
        <v>8952</v>
      </c>
      <c r="I287" s="1644">
        <f t="shared" ref="I287:I289" si="301">ROUND($F287*D287/100,0)</f>
        <v>10752</v>
      </c>
      <c r="K287" s="1943"/>
      <c r="L287" s="1921"/>
      <c r="M287" s="1943"/>
      <c r="N287" s="1921"/>
      <c r="O287" s="1943"/>
      <c r="P287" s="1921"/>
      <c r="Q287" s="1943"/>
      <c r="R287" s="1921"/>
      <c r="S287" s="1644"/>
      <c r="T287" s="1648"/>
      <c r="U287" s="1644"/>
      <c r="V287" s="1648"/>
      <c r="W287" s="1644"/>
      <c r="X287" s="1648"/>
      <c r="Y287" s="1644"/>
    </row>
    <row r="288" spans="1:28" hidden="1">
      <c r="A288" s="1900" t="s">
        <v>1363</v>
      </c>
      <c r="C288" s="528">
        <f>C282+C283-C287</f>
        <v>346521.95044669084</v>
      </c>
      <c r="D288" s="528">
        <f>D294-D287-D289-D290-D293</f>
        <v>416178.59215955599</v>
      </c>
      <c r="F288" s="1943">
        <v>3.5143</v>
      </c>
      <c r="G288" s="1921" t="s">
        <v>495</v>
      </c>
      <c r="H288" s="1644">
        <f t="shared" si="300"/>
        <v>12178</v>
      </c>
      <c r="I288" s="1644">
        <f t="shared" si="301"/>
        <v>14626</v>
      </c>
      <c r="K288" s="1943"/>
      <c r="L288" s="1921"/>
      <c r="M288" s="1943"/>
      <c r="N288" s="1921"/>
      <c r="O288" s="1943"/>
      <c r="P288" s="1921"/>
      <c r="Q288" s="1943"/>
      <c r="R288" s="1921"/>
      <c r="S288" s="1644"/>
      <c r="T288" s="1648"/>
      <c r="U288" s="1644"/>
      <c r="V288" s="1648"/>
      <c r="W288" s="1644"/>
      <c r="X288" s="1648"/>
      <c r="Y288" s="1644"/>
    </row>
    <row r="289" spans="1:28" hidden="1">
      <c r="A289" s="1116" t="s">
        <v>1158</v>
      </c>
      <c r="C289" s="528">
        <f>'BD-Redesign'!F61</f>
        <v>0</v>
      </c>
      <c r="D289" s="528">
        <f>ROUND(C289/(C294-C290)*D294,0)</f>
        <v>0</v>
      </c>
      <c r="F289" s="1943">
        <v>7.125</v>
      </c>
      <c r="G289" s="1921" t="s">
        <v>495</v>
      </c>
      <c r="H289" s="1644">
        <f t="shared" si="300"/>
        <v>0</v>
      </c>
      <c r="I289" s="1644">
        <f t="shared" si="301"/>
        <v>0</v>
      </c>
      <c r="K289" s="1943">
        <f>K253</f>
        <v>0</v>
      </c>
      <c r="L289" s="1921" t="s">
        <v>495</v>
      </c>
      <c r="M289" s="1943">
        <f>M253</f>
        <v>7.125</v>
      </c>
      <c r="N289" s="1921" t="s">
        <v>495</v>
      </c>
      <c r="O289" s="1943">
        <f>O253</f>
        <v>0</v>
      </c>
      <c r="P289" s="1921" t="s">
        <v>495</v>
      </c>
      <c r="Q289" s="1943">
        <f>Q253</f>
        <v>7.125</v>
      </c>
      <c r="R289" s="1921" t="s">
        <v>495</v>
      </c>
      <c r="S289" s="1644">
        <f>ROUND($D289*K289/100,0)</f>
        <v>0</v>
      </c>
      <c r="T289" s="1648"/>
      <c r="U289" s="1644">
        <f>ROUND($D289*M289/100,0)</f>
        <v>0</v>
      </c>
      <c r="V289" s="1648"/>
      <c r="W289" s="1644">
        <f>ROUND($D289*O289/100,0)</f>
        <v>0</v>
      </c>
      <c r="X289" s="1648"/>
      <c r="Y289" s="1644">
        <f>ROUND($D289*Q289/100,0)</f>
        <v>0</v>
      </c>
    </row>
    <row r="290" spans="1:28" hidden="1">
      <c r="A290" s="1900" t="s">
        <v>246</v>
      </c>
      <c r="C290" s="529">
        <v>0</v>
      </c>
      <c r="D290" s="529">
        <v>0</v>
      </c>
      <c r="H290" s="1030">
        <v>0</v>
      </c>
      <c r="I290" s="1030">
        <v>0</v>
      </c>
      <c r="S290" s="1030"/>
      <c r="U290" s="1030"/>
      <c r="W290" s="1030"/>
      <c r="Y290" s="1030"/>
    </row>
    <row r="291" spans="1:28" hidden="1">
      <c r="A291" s="1900" t="s">
        <v>1240</v>
      </c>
      <c r="C291" s="584"/>
      <c r="D291" s="584"/>
      <c r="F291" s="1930">
        <v>-3.61E-2</v>
      </c>
      <c r="G291" s="597"/>
      <c r="H291" s="1644">
        <f>SUM(H284:H285,H287:H289)*$F291</f>
        <v>-2546.2051999999999</v>
      </c>
      <c r="I291" s="1644">
        <f>SUM(I284:I285,I287:I289)*$F291</f>
        <v>-3058.4641999999999</v>
      </c>
      <c r="K291" s="1930">
        <f>K255</f>
        <v>0</v>
      </c>
      <c r="L291" s="597"/>
      <c r="M291" s="1930">
        <f>M255</f>
        <v>0</v>
      </c>
      <c r="N291" s="597"/>
      <c r="O291" s="1931" t="str">
        <f>$O$43</f>
        <v>Tax Year 1 (7/1/2021)</v>
      </c>
      <c r="P291" s="597"/>
      <c r="Q291" s="1930">
        <f>$Q$687</f>
        <v>-2.76E-2</v>
      </c>
      <c r="R291" s="597"/>
      <c r="S291" s="1644"/>
      <c r="T291" s="1645"/>
      <c r="U291" s="1644"/>
      <c r="V291" s="1645"/>
      <c r="W291" s="1644"/>
      <c r="X291" s="1645"/>
      <c r="Y291" s="1644">
        <f>Q291*SUM(Y280:Y283,Y289)</f>
        <v>-2339.79</v>
      </c>
    </row>
    <row r="292" spans="1:28" hidden="1">
      <c r="A292" s="1900"/>
      <c r="C292" s="584"/>
      <c r="D292" s="584"/>
      <c r="F292" s="1930"/>
      <c r="G292" s="597"/>
      <c r="H292" s="1644"/>
      <c r="I292" s="1644"/>
      <c r="K292" s="1930"/>
      <c r="L292" s="597"/>
      <c r="M292" s="1930"/>
      <c r="N292" s="597"/>
      <c r="O292" s="1931" t="str">
        <f>$O$44</f>
        <v>Tax Year 2 (1/1/2022)</v>
      </c>
      <c r="P292" s="597"/>
      <c r="Q292" s="1930">
        <f>$Q$688</f>
        <v>-1.4999999999999999E-2</v>
      </c>
      <c r="R292" s="597"/>
      <c r="S292" s="1644"/>
      <c r="T292" s="1645"/>
      <c r="U292" s="1644"/>
      <c r="V292" s="1645"/>
      <c r="W292" s="1644"/>
      <c r="X292" s="1645"/>
      <c r="Y292" s="1644">
        <f>Q292*SUM(Y280:Y283,Y289)</f>
        <v>-1271.625</v>
      </c>
    </row>
    <row r="293" spans="1:28" ht="16.5" hidden="1" thickBot="1">
      <c r="A293" s="1116" t="s">
        <v>1317</v>
      </c>
      <c r="C293" s="584">
        <v>0</v>
      </c>
      <c r="D293" s="528">
        <f>ROUND(C293/(C294-C290)*D294,0)</f>
        <v>0</v>
      </c>
      <c r="F293" s="1930"/>
      <c r="G293" s="597"/>
      <c r="H293" s="1644"/>
      <c r="I293" s="1644"/>
      <c r="K293" s="1930"/>
      <c r="L293" s="597"/>
      <c r="M293" s="1930"/>
      <c r="N293" s="597"/>
      <c r="O293" s="1939"/>
      <c r="Q293" s="1939"/>
      <c r="S293" s="1647"/>
      <c r="U293" s="1647"/>
      <c r="W293" s="1647"/>
      <c r="Y293" s="1647"/>
    </row>
    <row r="294" spans="1:28" ht="17.25" hidden="1" thickTop="1" thickBot="1">
      <c r="A294" s="1900" t="s">
        <v>247</v>
      </c>
      <c r="C294" s="1949">
        <f>SUM(C287:C289,C290,C293)</f>
        <v>581327</v>
      </c>
      <c r="D294" s="1949">
        <f>C294*D711/C711</f>
        <v>698182.59215955599</v>
      </c>
      <c r="F294" s="1939"/>
      <c r="H294" s="1647">
        <f>SUM(H276:H291)</f>
        <v>90389.794800000003</v>
      </c>
      <c r="I294" s="1647">
        <f>SUM(I276:I291)</f>
        <v>107636.5358</v>
      </c>
      <c r="K294" s="1939"/>
      <c r="M294" s="1939"/>
      <c r="O294" s="1939"/>
      <c r="Q294" s="1939"/>
      <c r="S294" s="1647">
        <f>SUM(S276:S290)</f>
        <v>53954</v>
      </c>
      <c r="U294" s="1647">
        <f>SUM(U276:U290)</f>
        <v>41751</v>
      </c>
      <c r="W294" s="1647">
        <f>SUM(W276:W290)</f>
        <v>14997</v>
      </c>
      <c r="Y294" s="1647">
        <f>SUM(Y276:Y290)</f>
        <v>110701</v>
      </c>
      <c r="AA294" s="1104" t="s">
        <v>1743</v>
      </c>
      <c r="AB294" s="1890">
        <f>Y294/I294-1</f>
        <v>2.8470483346789477E-2</v>
      </c>
    </row>
    <row r="295" spans="1:28" ht="16.5" hidden="1" thickTop="1"/>
    <row r="296" spans="1:28" hidden="1">
      <c r="A296" s="1897" t="s">
        <v>1916</v>
      </c>
      <c r="C296" s="528"/>
      <c r="D296" s="528"/>
    </row>
    <row r="297" spans="1:28" hidden="1">
      <c r="A297" s="1900" t="s">
        <v>240</v>
      </c>
      <c r="C297" s="528">
        <f>'BD-Redesign'!D22</f>
        <v>14061.016666649997</v>
      </c>
      <c r="D297" s="528">
        <f>D312</f>
        <v>13951.476908881947</v>
      </c>
      <c r="F297" s="1901"/>
      <c r="G297" s="1902"/>
      <c r="H297" s="1644"/>
      <c r="I297" s="1644"/>
      <c r="K297" s="1901">
        <f>K225</f>
        <v>54</v>
      </c>
      <c r="L297" s="1902"/>
      <c r="M297" s="1901">
        <f>M225</f>
        <v>0</v>
      </c>
      <c r="N297" s="1902"/>
      <c r="O297" s="1901">
        <f>O225</f>
        <v>0</v>
      </c>
      <c r="P297" s="1902"/>
      <c r="Q297" s="1901">
        <f t="shared" ref="Q297:Q307" si="302">Q225</f>
        <v>54</v>
      </c>
      <c r="R297" s="1902"/>
      <c r="S297" s="1644">
        <f>ROUND($D297*K297,0)</f>
        <v>753380</v>
      </c>
      <c r="T297" s="1643"/>
      <c r="U297" s="1644">
        <f>ROUND($D297*M297,0)</f>
        <v>0</v>
      </c>
      <c r="V297" s="1643"/>
      <c r="W297" s="1644">
        <f>ROUND($D297*O297,0)</f>
        <v>0</v>
      </c>
      <c r="X297" s="1643"/>
      <c r="Y297" s="1644">
        <f>ROUND($D297*Q297,0)</f>
        <v>753380</v>
      </c>
      <c r="AA297" s="1109"/>
      <c r="AB297" s="1114"/>
    </row>
    <row r="298" spans="1:28" hidden="1">
      <c r="A298" s="1900" t="s">
        <v>1910</v>
      </c>
      <c r="C298" s="528">
        <f>'BD-Redesign'!D23</f>
        <v>19353983.668316837</v>
      </c>
      <c r="D298" s="528">
        <f t="shared" ref="D298:D307" si="303">C298/$C$310*$D$310</f>
        <v>18365329.916608788</v>
      </c>
      <c r="E298" s="597"/>
      <c r="F298" s="1942"/>
      <c r="G298" s="1921"/>
      <c r="H298" s="1644"/>
      <c r="I298" s="1644"/>
      <c r="J298" s="597"/>
      <c r="K298" s="1942">
        <f t="shared" ref="K298" si="304">K226</f>
        <v>3.9525000000000001</v>
      </c>
      <c r="L298" s="1921" t="s">
        <v>495</v>
      </c>
      <c r="M298" s="1942">
        <f t="shared" ref="M298" si="305">M226</f>
        <v>17.075028114911813</v>
      </c>
      <c r="N298" s="1921" t="s">
        <v>495</v>
      </c>
      <c r="O298" s="1942">
        <f t="shared" ref="O298" si="306">O226</f>
        <v>1.3496999999999999</v>
      </c>
      <c r="P298" s="1921" t="s">
        <v>495</v>
      </c>
      <c r="Q298" s="1942">
        <f t="shared" si="302"/>
        <v>22.377228114911812</v>
      </c>
      <c r="R298" s="1921" t="s">
        <v>495</v>
      </c>
      <c r="S298" s="1644">
        <f>ROUND($D298*K298/100,0)</f>
        <v>725890</v>
      </c>
      <c r="T298" s="1648"/>
      <c r="U298" s="1644">
        <f>ROUND($D298*M298/100,0)</f>
        <v>3135885</v>
      </c>
      <c r="V298" s="1648"/>
      <c r="W298" s="1644">
        <f>ROUND($D298*O298/100,0)</f>
        <v>247877</v>
      </c>
      <c r="X298" s="1648"/>
      <c r="Y298" s="1644">
        <f>ROUND($D298*Q298/100,0)</f>
        <v>4109652</v>
      </c>
    </row>
    <row r="299" spans="1:28" hidden="1">
      <c r="A299" s="1900" t="s">
        <v>1911</v>
      </c>
      <c r="C299" s="528">
        <f>'BD-Redesign'!D24</f>
        <v>44598391.331683159</v>
      </c>
      <c r="D299" s="528">
        <f t="shared" si="303"/>
        <v>42320185.063358508</v>
      </c>
      <c r="E299" s="597"/>
      <c r="F299" s="1942"/>
      <c r="G299" s="1921"/>
      <c r="H299" s="1644"/>
      <c r="I299" s="1644"/>
      <c r="J299" s="597"/>
      <c r="K299" s="1942">
        <f t="shared" ref="K299" si="307">K227</f>
        <v>3.9525000000000001</v>
      </c>
      <c r="L299" s="1921" t="s">
        <v>495</v>
      </c>
      <c r="M299" s="1942">
        <f t="shared" ref="M299" si="308">M227</f>
        <v>-0.91518271744099966</v>
      </c>
      <c r="N299" s="1921" t="s">
        <v>495</v>
      </c>
      <c r="O299" s="1942">
        <f t="shared" ref="O299" si="309">O227</f>
        <v>1.3496999999999999</v>
      </c>
      <c r="P299" s="1921" t="s">
        <v>495</v>
      </c>
      <c r="Q299" s="1942">
        <f t="shared" si="302"/>
        <v>4.3870172825590004</v>
      </c>
      <c r="R299" s="1921" t="s">
        <v>495</v>
      </c>
      <c r="S299" s="1644">
        <f t="shared" ref="S299:S305" si="310">ROUND($D299*K299/100,0)</f>
        <v>1672705</v>
      </c>
      <c r="T299" s="1648"/>
      <c r="U299" s="1644">
        <f t="shared" ref="U299:U305" si="311">ROUND($D299*M299/100,0)</f>
        <v>-387307</v>
      </c>
      <c r="V299" s="1648"/>
      <c r="W299" s="1644">
        <f t="shared" ref="W299:W305" si="312">ROUND($D299*O299/100,0)</f>
        <v>571196</v>
      </c>
      <c r="X299" s="1648"/>
      <c r="Y299" s="1644">
        <f t="shared" ref="Y299:Y305" si="313">ROUND($D299*Q299/100,0)</f>
        <v>1856594</v>
      </c>
    </row>
    <row r="300" spans="1:28" hidden="1">
      <c r="A300" s="1900" t="s">
        <v>1912</v>
      </c>
      <c r="C300" s="528">
        <f>'BD-Redesign'!D25</f>
        <v>33445107.804455444</v>
      </c>
      <c r="D300" s="528">
        <f t="shared" si="303"/>
        <v>31736641.378430471</v>
      </c>
      <c r="E300" s="597"/>
      <c r="F300" s="1942"/>
      <c r="G300" s="1921"/>
      <c r="H300" s="1644"/>
      <c r="I300" s="1644"/>
      <c r="J300" s="597"/>
      <c r="K300" s="1942">
        <f t="shared" ref="K300" si="314">K228</f>
        <v>3.9525000000000001</v>
      </c>
      <c r="L300" s="1921" t="s">
        <v>495</v>
      </c>
      <c r="M300" s="1942">
        <f t="shared" ref="M300" si="315">M228</f>
        <v>14.656000000000001</v>
      </c>
      <c r="N300" s="1921" t="s">
        <v>495</v>
      </c>
      <c r="O300" s="1942">
        <f t="shared" ref="O300" si="316">O228</f>
        <v>1.1943999999999999</v>
      </c>
      <c r="P300" s="1921" t="s">
        <v>495</v>
      </c>
      <c r="Q300" s="1942">
        <f t="shared" si="302"/>
        <v>19.802900000000001</v>
      </c>
      <c r="R300" s="1921" t="s">
        <v>495</v>
      </c>
      <c r="S300" s="1644">
        <f t="shared" si="310"/>
        <v>1254391</v>
      </c>
      <c r="T300" s="1648"/>
      <c r="U300" s="1644">
        <f t="shared" si="311"/>
        <v>4651322</v>
      </c>
      <c r="V300" s="1648"/>
      <c r="W300" s="1644">
        <f t="shared" si="312"/>
        <v>379062</v>
      </c>
      <c r="X300" s="1648"/>
      <c r="Y300" s="1644">
        <f t="shared" si="313"/>
        <v>6284775</v>
      </c>
    </row>
    <row r="301" spans="1:28" hidden="1">
      <c r="A301" s="1900" t="s">
        <v>1913</v>
      </c>
      <c r="C301" s="528">
        <f>'BD-Redesign'!D26</f>
        <v>79863876.695544586</v>
      </c>
      <c r="D301" s="528">
        <f t="shared" si="303"/>
        <v>75784214.19948411</v>
      </c>
      <c r="E301" s="597"/>
      <c r="F301" s="1942"/>
      <c r="G301" s="1921"/>
      <c r="H301" s="1644"/>
      <c r="I301" s="1644"/>
      <c r="J301" s="597"/>
      <c r="K301" s="1942">
        <f t="shared" ref="K301" si="317">K229</f>
        <v>3.9525000000000001</v>
      </c>
      <c r="L301" s="1921" t="s">
        <v>495</v>
      </c>
      <c r="M301" s="1942">
        <f t="shared" ref="M301" si="318">M229</f>
        <v>-1.2646000000000002</v>
      </c>
      <c r="N301" s="1921" t="s">
        <v>495</v>
      </c>
      <c r="O301" s="1942">
        <f t="shared" ref="O301" si="319">O229</f>
        <v>1.1943999999999999</v>
      </c>
      <c r="P301" s="1921" t="s">
        <v>495</v>
      </c>
      <c r="Q301" s="1942">
        <f t="shared" si="302"/>
        <v>3.8822999999999999</v>
      </c>
      <c r="R301" s="1921" t="s">
        <v>495</v>
      </c>
      <c r="S301" s="1644">
        <f t="shared" si="310"/>
        <v>2995371</v>
      </c>
      <c r="T301" s="1648"/>
      <c r="U301" s="1644">
        <f t="shared" si="311"/>
        <v>-958367</v>
      </c>
      <c r="V301" s="1648"/>
      <c r="W301" s="1644">
        <f t="shared" si="312"/>
        <v>905167</v>
      </c>
      <c r="X301" s="1648"/>
      <c r="Y301" s="1644">
        <f t="shared" si="313"/>
        <v>2942171</v>
      </c>
    </row>
    <row r="302" spans="1:28" hidden="1">
      <c r="A302" s="1900" t="s">
        <v>1906</v>
      </c>
      <c r="C302" s="528">
        <f>'BD-Redesign'!D27</f>
        <v>35515983.674359836</v>
      </c>
      <c r="D302" s="528">
        <f t="shared" si="303"/>
        <v>33701731.316446617</v>
      </c>
      <c r="E302" s="597"/>
      <c r="F302" s="1942"/>
      <c r="G302" s="1921"/>
      <c r="H302" s="1644"/>
      <c r="I302" s="1644"/>
      <c r="J302" s="597"/>
      <c r="K302" s="1942">
        <f t="shared" ref="K302" si="320">K230</f>
        <v>0</v>
      </c>
      <c r="L302" s="1921" t="s">
        <v>495</v>
      </c>
      <c r="M302" s="1942">
        <f t="shared" ref="M302" si="321">M230</f>
        <v>0</v>
      </c>
      <c r="N302" s="1921" t="s">
        <v>495</v>
      </c>
      <c r="O302" s="1942">
        <f t="shared" ref="O302" si="322">O230</f>
        <v>6</v>
      </c>
      <c r="P302" s="1921" t="s">
        <v>495</v>
      </c>
      <c r="Q302" s="1942">
        <f t="shared" si="302"/>
        <v>6</v>
      </c>
      <c r="R302" s="1921" t="s">
        <v>495</v>
      </c>
      <c r="S302" s="1644">
        <f t="shared" si="310"/>
        <v>0</v>
      </c>
      <c r="T302" s="1648"/>
      <c r="U302" s="1644">
        <f t="shared" si="311"/>
        <v>0</v>
      </c>
      <c r="V302" s="1648"/>
      <c r="W302" s="1644">
        <f t="shared" si="312"/>
        <v>2022104</v>
      </c>
      <c r="X302" s="1648"/>
      <c r="Y302" s="1644">
        <f t="shared" si="313"/>
        <v>2022104</v>
      </c>
    </row>
    <row r="303" spans="1:28" hidden="1">
      <c r="A303" s="1900" t="s">
        <v>1907</v>
      </c>
      <c r="C303" s="528">
        <f>'BD-Redesign'!D28</f>
        <v>28436391.325640164</v>
      </c>
      <c r="D303" s="528">
        <f t="shared" si="303"/>
        <v>26983783.663520679</v>
      </c>
      <c r="E303" s="597"/>
      <c r="F303" s="1942"/>
      <c r="G303" s="1921"/>
      <c r="H303" s="1644"/>
      <c r="I303" s="1644"/>
      <c r="J303" s="597"/>
      <c r="K303" s="1942">
        <f t="shared" ref="K303" si="323">K231</f>
        <v>0</v>
      </c>
      <c r="L303" s="1921" t="s">
        <v>495</v>
      </c>
      <c r="M303" s="1942">
        <f t="shared" ref="M303" si="324">M231</f>
        <v>0</v>
      </c>
      <c r="N303" s="1921" t="s">
        <v>495</v>
      </c>
      <c r="O303" s="1942">
        <f t="shared" ref="O303" si="325">O231</f>
        <v>-2.3358000000000008</v>
      </c>
      <c r="P303" s="1921" t="s">
        <v>495</v>
      </c>
      <c r="Q303" s="1942">
        <f t="shared" si="302"/>
        <v>-2.3358000000000008</v>
      </c>
      <c r="R303" s="1921" t="s">
        <v>495</v>
      </c>
      <c r="S303" s="1644">
        <f t="shared" si="310"/>
        <v>0</v>
      </c>
      <c r="T303" s="1648"/>
      <c r="U303" s="1644">
        <f t="shared" si="311"/>
        <v>0</v>
      </c>
      <c r="V303" s="1648"/>
      <c r="W303" s="1644">
        <f t="shared" si="312"/>
        <v>-630287</v>
      </c>
      <c r="X303" s="1648"/>
      <c r="Y303" s="1644">
        <f t="shared" si="313"/>
        <v>-630287</v>
      </c>
    </row>
    <row r="304" spans="1:28" hidden="1">
      <c r="A304" s="1900" t="s">
        <v>1908</v>
      </c>
      <c r="C304" s="528">
        <f>'BD-Redesign'!D29</f>
        <v>62926201.625198364</v>
      </c>
      <c r="D304" s="528">
        <f t="shared" si="303"/>
        <v>59711761.312358119</v>
      </c>
      <c r="E304" s="597"/>
      <c r="F304" s="1942"/>
      <c r="G304" s="1921"/>
      <c r="H304" s="1644"/>
      <c r="I304" s="1644"/>
      <c r="J304" s="597"/>
      <c r="K304" s="1942">
        <f t="shared" ref="K304" si="326">K232</f>
        <v>0</v>
      </c>
      <c r="L304" s="1921" t="s">
        <v>495</v>
      </c>
      <c r="M304" s="1942">
        <f t="shared" ref="M304" si="327">M232</f>
        <v>0</v>
      </c>
      <c r="N304" s="1921" t="s">
        <v>495</v>
      </c>
      <c r="O304" s="1942">
        <f t="shared" ref="O304" si="328">O232</f>
        <v>5.3097000000000003</v>
      </c>
      <c r="P304" s="1921" t="s">
        <v>495</v>
      </c>
      <c r="Q304" s="1942">
        <f t="shared" si="302"/>
        <v>5.3097000000000003</v>
      </c>
      <c r="R304" s="1921" t="s">
        <v>495</v>
      </c>
      <c r="S304" s="1644">
        <f t="shared" si="310"/>
        <v>0</v>
      </c>
      <c r="T304" s="1648"/>
      <c r="U304" s="1644">
        <f t="shared" si="311"/>
        <v>0</v>
      </c>
      <c r="V304" s="1648"/>
      <c r="W304" s="1644">
        <f t="shared" si="312"/>
        <v>3170515</v>
      </c>
      <c r="X304" s="1648"/>
      <c r="Y304" s="1644">
        <f t="shared" si="313"/>
        <v>3170515</v>
      </c>
    </row>
    <row r="305" spans="1:28" hidden="1">
      <c r="A305" s="1900" t="s">
        <v>1909</v>
      </c>
      <c r="C305" s="528">
        <f>'BD-Redesign'!D30</f>
        <v>50382782.874801628</v>
      </c>
      <c r="D305" s="528">
        <f t="shared" si="303"/>
        <v>47809094.265556425</v>
      </c>
      <c r="E305" s="597"/>
      <c r="F305" s="1942"/>
      <c r="G305" s="1921"/>
      <c r="H305" s="1644"/>
      <c r="I305" s="1644"/>
      <c r="J305" s="597"/>
      <c r="K305" s="1942">
        <f t="shared" ref="K305" si="329">K233</f>
        <v>0</v>
      </c>
      <c r="L305" s="1921" t="s">
        <v>495</v>
      </c>
      <c r="M305" s="1942">
        <f t="shared" ref="M305" si="330">M233</f>
        <v>0</v>
      </c>
      <c r="N305" s="1921" t="s">
        <v>495</v>
      </c>
      <c r="O305" s="1942">
        <f t="shared" ref="O305" si="331">O233</f>
        <v>-2.0670999999999999</v>
      </c>
      <c r="P305" s="1921" t="s">
        <v>495</v>
      </c>
      <c r="Q305" s="1942">
        <f t="shared" si="302"/>
        <v>-2.0670999999999999</v>
      </c>
      <c r="R305" s="1921" t="s">
        <v>495</v>
      </c>
      <c r="S305" s="1644">
        <f t="shared" si="310"/>
        <v>0</v>
      </c>
      <c r="T305" s="1648"/>
      <c r="U305" s="1644">
        <f t="shared" si="311"/>
        <v>0</v>
      </c>
      <c r="V305" s="1648"/>
      <c r="W305" s="1644">
        <f t="shared" si="312"/>
        <v>-988262</v>
      </c>
      <c r="X305" s="1648"/>
      <c r="Y305" s="1644">
        <f t="shared" si="313"/>
        <v>-988262</v>
      </c>
    </row>
    <row r="306" spans="1:28" hidden="1">
      <c r="A306" s="1900" t="s">
        <v>261</v>
      </c>
      <c r="C306" s="528">
        <f>'BD-Redesign'!D31</f>
        <v>33386.598958333328</v>
      </c>
      <c r="D306" s="528">
        <f t="shared" si="303"/>
        <v>31681.121322172912</v>
      </c>
      <c r="F306" s="1901"/>
      <c r="G306" s="1902"/>
      <c r="H306" s="1644"/>
      <c r="I306" s="1644"/>
      <c r="K306" s="1901">
        <f t="shared" ref="K306" si="332">K234</f>
        <v>-0.61</v>
      </c>
      <c r="L306" s="1902"/>
      <c r="M306" s="1901">
        <f t="shared" ref="M306" si="333">M234</f>
        <v>0</v>
      </c>
      <c r="N306" s="1902"/>
      <c r="O306" s="1901">
        <f t="shared" ref="O306" si="334">O234</f>
        <v>0</v>
      </c>
      <c r="P306" s="1902"/>
      <c r="Q306" s="1901">
        <f t="shared" si="302"/>
        <v>-0.61</v>
      </c>
      <c r="R306" s="1902"/>
      <c r="S306" s="1644">
        <f>ROUND($D306*K306,0)</f>
        <v>-19325</v>
      </c>
      <c r="T306" s="1643"/>
      <c r="U306" s="1644">
        <f>ROUND($D306*M306,0)</f>
        <v>0</v>
      </c>
      <c r="V306" s="1643"/>
      <c r="W306" s="1644">
        <f>ROUND($D306*O306,0)</f>
        <v>0</v>
      </c>
      <c r="X306" s="1643"/>
      <c r="Y306" s="1644">
        <f>ROUND($D306*Q306,0)</f>
        <v>-19325</v>
      </c>
    </row>
    <row r="307" spans="1:28" hidden="1">
      <c r="A307" s="1116" t="s">
        <v>1158</v>
      </c>
      <c r="C307" s="528">
        <f>'BD-Redesign'!D32</f>
        <v>799246.5</v>
      </c>
      <c r="D307" s="528">
        <f t="shared" si="303"/>
        <v>758418.83039428061</v>
      </c>
      <c r="F307" s="1943"/>
      <c r="G307" s="1921"/>
      <c r="H307" s="1644"/>
      <c r="I307" s="1644"/>
      <c r="K307" s="1943">
        <f t="shared" ref="K307" si="335">K235</f>
        <v>0</v>
      </c>
      <c r="L307" s="1921" t="s">
        <v>495</v>
      </c>
      <c r="M307" s="1943">
        <f t="shared" ref="M307" si="336">M235</f>
        <v>7.125</v>
      </c>
      <c r="N307" s="1921" t="s">
        <v>495</v>
      </c>
      <c r="O307" s="1943">
        <f t="shared" ref="O307" si="337">O235</f>
        <v>0</v>
      </c>
      <c r="P307" s="1921" t="s">
        <v>495</v>
      </c>
      <c r="Q307" s="1943">
        <f t="shared" si="302"/>
        <v>7.125</v>
      </c>
      <c r="R307" s="1921" t="s">
        <v>495</v>
      </c>
      <c r="S307" s="1644">
        <f>ROUND($D307*K307/100,0)</f>
        <v>0</v>
      </c>
      <c r="T307" s="1648"/>
      <c r="U307" s="1644">
        <f>ROUND($D307*M307/100,0)</f>
        <v>54037</v>
      </c>
      <c r="V307" s="1648"/>
      <c r="W307" s="1644">
        <f>ROUND($D307*O307/100,0)</f>
        <v>0</v>
      </c>
      <c r="X307" s="1648"/>
      <c r="Y307" s="1644">
        <f>ROUND($D307*Q307/100,0)</f>
        <v>54037</v>
      </c>
      <c r="AA307" s="1109"/>
      <c r="AB307" s="1114"/>
    </row>
    <row r="308" spans="1:28" hidden="1">
      <c r="A308" s="1900" t="s">
        <v>1240</v>
      </c>
      <c r="C308" s="584"/>
      <c r="D308" s="584"/>
      <c r="F308" s="1930"/>
      <c r="G308" s="597"/>
      <c r="H308" s="1644"/>
      <c r="I308" s="1644"/>
      <c r="K308" s="1930"/>
      <c r="L308" s="597"/>
      <c r="M308" s="1930"/>
      <c r="N308" s="597"/>
      <c r="O308" s="1931" t="str">
        <f>$O$43</f>
        <v>Tax Year 1 (7/1/2021)</v>
      </c>
      <c r="P308" s="597"/>
      <c r="Q308" s="1930">
        <f>$Q$979</f>
        <v>-3.0599999999999999E-2</v>
      </c>
      <c r="R308" s="597"/>
      <c r="S308" s="1645"/>
      <c r="T308" s="1645"/>
      <c r="U308" s="1645"/>
      <c r="V308" s="1645"/>
      <c r="W308" s="1645"/>
      <c r="X308" s="1645"/>
      <c r="Y308" s="1644">
        <f>Q308*SUM(Y298:Y301,Y307)</f>
        <v>-466565.20739999996</v>
      </c>
    </row>
    <row r="309" spans="1:28" hidden="1">
      <c r="A309" s="1900"/>
      <c r="C309" s="584"/>
      <c r="D309" s="584"/>
      <c r="F309" s="1930"/>
      <c r="G309" s="597"/>
      <c r="H309" s="1644"/>
      <c r="I309" s="1644"/>
      <c r="K309" s="1930"/>
      <c r="L309" s="597"/>
      <c r="M309" s="1930"/>
      <c r="N309" s="597"/>
      <c r="O309" s="1931" t="str">
        <f>$O$44</f>
        <v>Tax Year 2 (1/1/2022)</v>
      </c>
      <c r="P309" s="597"/>
      <c r="Q309" s="1930">
        <f>$Q$980</f>
        <v>-1.66E-2</v>
      </c>
      <c r="R309" s="597"/>
      <c r="S309" s="1645"/>
      <c r="T309" s="1645"/>
      <c r="U309" s="1645"/>
      <c r="V309" s="1645"/>
      <c r="W309" s="1645"/>
      <c r="X309" s="1645"/>
      <c r="Y309" s="1644">
        <f>Q309*SUM(Y298:Y301,Y307)</f>
        <v>-253104.00140000001</v>
      </c>
    </row>
    <row r="310" spans="1:28" hidden="1">
      <c r="A310" s="1900" t="s">
        <v>1923</v>
      </c>
      <c r="C310" s="528">
        <f>SUM(C302:C305,C307)</f>
        <v>178060606</v>
      </c>
      <c r="D310" s="528">
        <f>D330</f>
        <v>168964789.38827613</v>
      </c>
      <c r="F310" s="1901"/>
      <c r="G310" s="1902"/>
      <c r="H310" s="1644"/>
      <c r="I310" s="1644"/>
      <c r="K310" s="1901"/>
      <c r="L310" s="1902"/>
      <c r="M310" s="1901"/>
      <c r="N310" s="1902"/>
      <c r="O310" s="1901"/>
      <c r="P310" s="1902"/>
      <c r="Q310" s="1901"/>
      <c r="R310" s="1902"/>
      <c r="S310" s="1644">
        <f>SUM(S297:S307)</f>
        <v>7382412</v>
      </c>
      <c r="T310" s="1643"/>
      <c r="U310" s="1644">
        <f>SUM(U297:U307)</f>
        <v>6495570</v>
      </c>
      <c r="V310" s="1643"/>
      <c r="W310" s="1644">
        <f>SUM(W297:W307)</f>
        <v>5677372</v>
      </c>
      <c r="X310" s="1643"/>
      <c r="Y310" s="1644">
        <f>SUM(Y297:Y307)</f>
        <v>19555354</v>
      </c>
      <c r="AA310" s="1109" t="s">
        <v>1743</v>
      </c>
      <c r="AB310" s="1499">
        <f>Y310/Y330-1</f>
        <v>-0.17850541943460096</v>
      </c>
    </row>
    <row r="311" spans="1:28" hidden="1">
      <c r="A311" s="1900"/>
      <c r="C311" s="528"/>
      <c r="D311" s="528"/>
      <c r="F311" s="1901"/>
      <c r="G311" s="1902"/>
      <c r="H311" s="1644"/>
      <c r="I311" s="1644"/>
      <c r="K311" s="1901"/>
      <c r="L311" s="1902"/>
      <c r="M311" s="1901"/>
      <c r="N311" s="1902"/>
      <c r="O311" s="1901"/>
      <c r="P311" s="1902"/>
      <c r="Q311" s="1901"/>
      <c r="R311" s="1902"/>
      <c r="S311" s="1643"/>
      <c r="T311" s="1643"/>
      <c r="U311" s="1643"/>
      <c r="V311" s="1643"/>
      <c r="W311" s="1643"/>
      <c r="X311" s="1643"/>
      <c r="Y311" s="1644"/>
      <c r="AA311" s="1109"/>
      <c r="AB311" s="1114"/>
    </row>
    <row r="312" spans="1:28" hidden="1">
      <c r="A312" s="1900" t="s">
        <v>240</v>
      </c>
      <c r="C312" s="528">
        <f>C297</f>
        <v>14061.016666649997</v>
      </c>
      <c r="D312" s="528">
        <f>C312*D714/C714</f>
        <v>13951.476908881947</v>
      </c>
      <c r="F312" s="1944">
        <f>F240</f>
        <v>54</v>
      </c>
      <c r="G312" s="597"/>
      <c r="H312" s="1644">
        <f t="shared" ref="H312:H314" si="338">ROUND($F312*C312,0)</f>
        <v>759295</v>
      </c>
      <c r="I312" s="1644">
        <f t="shared" ref="I312:I314" si="339">ROUND($F312*D312,0)</f>
        <v>753380</v>
      </c>
      <c r="K312" s="1944">
        <f t="shared" ref="K312" si="340">K240</f>
        <v>54</v>
      </c>
      <c r="L312" s="597"/>
      <c r="M312" s="1944">
        <f t="shared" ref="M312" si="341">M240</f>
        <v>0</v>
      </c>
      <c r="N312" s="597"/>
      <c r="O312" s="1944">
        <f t="shared" ref="O312" si="342">O240</f>
        <v>0</v>
      </c>
      <c r="P312" s="597"/>
      <c r="Q312" s="1944">
        <f t="shared" ref="Q312:Q319" si="343">Q240</f>
        <v>54</v>
      </c>
      <c r="R312" s="597"/>
      <c r="S312" s="1644">
        <f>ROUND($D312*K312,0)</f>
        <v>753380</v>
      </c>
      <c r="T312" s="1643"/>
      <c r="U312" s="1644">
        <f>ROUND($D312*M312,0)</f>
        <v>0</v>
      </c>
      <c r="V312" s="1643"/>
      <c r="W312" s="1644">
        <f>ROUND($D312*O312,0)</f>
        <v>0</v>
      </c>
      <c r="X312" s="1643"/>
      <c r="Y312" s="1644">
        <f>ROUND($D312*Q312,0)</f>
        <v>753380</v>
      </c>
    </row>
    <row r="313" spans="1:28" hidden="1">
      <c r="A313" s="1900" t="s">
        <v>262</v>
      </c>
      <c r="C313" s="584">
        <v>0</v>
      </c>
      <c r="D313" s="528">
        <v>0</v>
      </c>
      <c r="F313" s="1944">
        <f>F241</f>
        <v>648</v>
      </c>
      <c r="G313" s="597"/>
      <c r="H313" s="1644">
        <f t="shared" si="338"/>
        <v>0</v>
      </c>
      <c r="I313" s="1644">
        <f t="shared" si="339"/>
        <v>0</v>
      </c>
      <c r="K313" s="1944">
        <f t="shared" ref="K313" si="344">K241</f>
        <v>648</v>
      </c>
      <c r="L313" s="597"/>
      <c r="M313" s="1944">
        <f t="shared" ref="M313" si="345">M241</f>
        <v>0</v>
      </c>
      <c r="N313" s="597"/>
      <c r="O313" s="1944">
        <f t="shared" ref="O313" si="346">O241</f>
        <v>0</v>
      </c>
      <c r="P313" s="597"/>
      <c r="Q313" s="1944">
        <f t="shared" si="343"/>
        <v>648</v>
      </c>
      <c r="R313" s="597"/>
      <c r="S313" s="1644">
        <f t="shared" ref="S313:S317" si="347">ROUND($D313*K313,0)</f>
        <v>0</v>
      </c>
      <c r="T313" s="1643"/>
      <c r="U313" s="1644">
        <f t="shared" ref="U313:U317" si="348">ROUND($D313*M313,0)</f>
        <v>0</v>
      </c>
      <c r="V313" s="1643"/>
      <c r="W313" s="1644">
        <f t="shared" ref="W313:W317" si="349">ROUND($D313*O313,0)</f>
        <v>0</v>
      </c>
      <c r="X313" s="1643"/>
      <c r="Y313" s="1644">
        <f t="shared" ref="Y313:Y317" si="350">ROUND($D313*Q313,0)</f>
        <v>0</v>
      </c>
    </row>
    <row r="314" spans="1:28" hidden="1">
      <c r="A314" s="1900" t="s">
        <v>1298</v>
      </c>
      <c r="C314" s="528">
        <v>0</v>
      </c>
      <c r="D314" s="528">
        <v>0</v>
      </c>
      <c r="F314" s="1944">
        <f>F242</f>
        <v>54</v>
      </c>
      <c r="G314" s="597"/>
      <c r="H314" s="1644">
        <f t="shared" si="338"/>
        <v>0</v>
      </c>
      <c r="I314" s="1644">
        <f t="shared" si="339"/>
        <v>0</v>
      </c>
      <c r="K314" s="1944">
        <f t="shared" ref="K314" si="351">K242</f>
        <v>54</v>
      </c>
      <c r="L314" s="597"/>
      <c r="M314" s="1944">
        <f t="shared" ref="M314" si="352">M242</f>
        <v>0</v>
      </c>
      <c r="N314" s="597"/>
      <c r="O314" s="1944">
        <f t="shared" ref="O314" si="353">O242</f>
        <v>0</v>
      </c>
      <c r="P314" s="597"/>
      <c r="Q314" s="1944">
        <f t="shared" si="343"/>
        <v>54</v>
      </c>
      <c r="R314" s="597"/>
      <c r="S314" s="1644">
        <f t="shared" si="347"/>
        <v>0</v>
      </c>
      <c r="T314" s="1645"/>
      <c r="U314" s="1644">
        <f t="shared" si="348"/>
        <v>0</v>
      </c>
      <c r="V314" s="1645"/>
      <c r="W314" s="1644">
        <f t="shared" si="349"/>
        <v>0</v>
      </c>
      <c r="X314" s="1645"/>
      <c r="Y314" s="1644">
        <f t="shared" si="350"/>
        <v>0</v>
      </c>
    </row>
    <row r="315" spans="1:28" hidden="1">
      <c r="A315" s="1900" t="s">
        <v>168</v>
      </c>
      <c r="C315" s="528">
        <f>'BD-Redesign'!D55</f>
        <v>1083158.4146039609</v>
      </c>
      <c r="D315" s="528">
        <f>ROUND(C315/$C$330*$D$330,0)</f>
        <v>1027828</v>
      </c>
      <c r="F315" s="1944">
        <f>F243</f>
        <v>4.04</v>
      </c>
      <c r="G315" s="597"/>
      <c r="H315" s="1644">
        <f>ROUND($F315*C315,0)</f>
        <v>4375960</v>
      </c>
      <c r="I315" s="1644">
        <f>ROUND($F315*D315,0)</f>
        <v>4152425</v>
      </c>
      <c r="K315" s="1944">
        <f t="shared" ref="K315" si="354">K243</f>
        <v>4.03</v>
      </c>
      <c r="L315" s="597"/>
      <c r="M315" s="1944">
        <f t="shared" ref="M315" si="355">M243</f>
        <v>0</v>
      </c>
      <c r="N315" s="597"/>
      <c r="O315" s="1944">
        <f t="shared" ref="O315" si="356">O243</f>
        <v>0</v>
      </c>
      <c r="P315" s="597"/>
      <c r="Q315" s="1944">
        <f t="shared" si="343"/>
        <v>4.03</v>
      </c>
      <c r="R315" s="597"/>
      <c r="S315" s="1644">
        <f t="shared" si="347"/>
        <v>4142147</v>
      </c>
      <c r="T315" s="1643"/>
      <c r="U315" s="1644">
        <f t="shared" si="348"/>
        <v>0</v>
      </c>
      <c r="V315" s="1643"/>
      <c r="W315" s="1644">
        <f t="shared" si="349"/>
        <v>0</v>
      </c>
      <c r="X315" s="1643"/>
      <c r="Y315" s="1644">
        <f t="shared" si="350"/>
        <v>4142147</v>
      </c>
    </row>
    <row r="316" spans="1:28" hidden="1">
      <c r="A316" s="1900" t="s">
        <v>1645</v>
      </c>
      <c r="C316" s="528">
        <f>'BD-Redesign'!D56</f>
        <v>396337.73143564368</v>
      </c>
      <c r="D316" s="528">
        <f t="shared" ref="D316:D317" si="357">ROUND(C316/$C$330*$D$330,0)</f>
        <v>376092</v>
      </c>
      <c r="F316" s="1944"/>
      <c r="G316" s="597"/>
      <c r="H316" s="1644"/>
      <c r="I316" s="1644"/>
      <c r="K316" s="1944">
        <f t="shared" ref="K316" si="358">K244</f>
        <v>6.34</v>
      </c>
      <c r="L316" s="597"/>
      <c r="M316" s="1944">
        <f t="shared" ref="M316" si="359">M244</f>
        <v>7.0600000000000005</v>
      </c>
      <c r="N316" s="597"/>
      <c r="O316" s="1944">
        <f t="shared" ref="O316" si="360">O244</f>
        <v>0</v>
      </c>
      <c r="P316" s="597"/>
      <c r="Q316" s="1944">
        <f t="shared" si="343"/>
        <v>13.4</v>
      </c>
      <c r="R316" s="597"/>
      <c r="S316" s="1644">
        <f t="shared" si="347"/>
        <v>2384423</v>
      </c>
      <c r="T316" s="1645"/>
      <c r="U316" s="1644">
        <f t="shared" si="348"/>
        <v>2655210</v>
      </c>
      <c r="V316" s="1645"/>
      <c r="W316" s="1644">
        <f t="shared" si="349"/>
        <v>0</v>
      </c>
      <c r="X316" s="1645"/>
      <c r="Y316" s="1644">
        <f t="shared" si="350"/>
        <v>5039633</v>
      </c>
    </row>
    <row r="317" spans="1:28" hidden="1">
      <c r="A317" s="1900" t="s">
        <v>1646</v>
      </c>
      <c r="C317" s="528">
        <f>'BD-Redesign'!D57</f>
        <v>686820.68316831719</v>
      </c>
      <c r="D317" s="528">
        <f t="shared" si="357"/>
        <v>651736</v>
      </c>
      <c r="F317" s="1944"/>
      <c r="G317" s="597"/>
      <c r="H317" s="1644"/>
      <c r="I317" s="1644"/>
      <c r="K317" s="1944">
        <f t="shared" ref="K317" si="361">K245</f>
        <v>5.61</v>
      </c>
      <c r="L317" s="597"/>
      <c r="M317" s="1944">
        <f t="shared" ref="M317" si="362">M245</f>
        <v>6.2499999999999991</v>
      </c>
      <c r="N317" s="597"/>
      <c r="O317" s="1944">
        <f t="shared" ref="O317" si="363">O245</f>
        <v>0</v>
      </c>
      <c r="P317" s="597"/>
      <c r="Q317" s="1944">
        <f t="shared" si="343"/>
        <v>11.86</v>
      </c>
      <c r="R317" s="597"/>
      <c r="S317" s="1644">
        <f t="shared" si="347"/>
        <v>3656239</v>
      </c>
      <c r="T317" s="1645"/>
      <c r="U317" s="1644">
        <f t="shared" si="348"/>
        <v>4073350</v>
      </c>
      <c r="V317" s="1645"/>
      <c r="W317" s="1644">
        <f t="shared" si="349"/>
        <v>0</v>
      </c>
      <c r="X317" s="1645"/>
      <c r="Y317" s="1644">
        <f t="shared" si="350"/>
        <v>7729589</v>
      </c>
    </row>
    <row r="318" spans="1:28" hidden="1">
      <c r="A318" s="1900" t="s">
        <v>1647</v>
      </c>
      <c r="C318" s="528">
        <f>'BD-Redesign'!D59</f>
        <v>63952375</v>
      </c>
      <c r="D318" s="528">
        <f>D330-SUM(D319,D325:D329)</f>
        <v>60685514.38827613</v>
      </c>
      <c r="F318" s="1943"/>
      <c r="G318" s="1921"/>
      <c r="H318" s="1644"/>
      <c r="I318" s="1644"/>
      <c r="K318" s="1943">
        <f t="shared" ref="K318" si="364">K246</f>
        <v>0</v>
      </c>
      <c r="L318" s="1921" t="s">
        <v>495</v>
      </c>
      <c r="M318" s="1943">
        <f t="shared" ref="M318" si="365">M246</f>
        <v>1.6192</v>
      </c>
      <c r="N318" s="1921" t="s">
        <v>495</v>
      </c>
      <c r="O318" s="1943">
        <f t="shared" ref="O318" si="366">O246</f>
        <v>2.305570240802</v>
      </c>
      <c r="P318" s="1921" t="s">
        <v>495</v>
      </c>
      <c r="Q318" s="1943">
        <f t="shared" si="343"/>
        <v>3.9247702408020002</v>
      </c>
      <c r="R318" s="1921" t="s">
        <v>495</v>
      </c>
      <c r="S318" s="1644">
        <f>ROUND($D318*K318/100,0)</f>
        <v>0</v>
      </c>
      <c r="T318" s="1648"/>
      <c r="U318" s="1644">
        <f>ROUND($D318*M318/100,0)</f>
        <v>982620</v>
      </c>
      <c r="V318" s="1648"/>
      <c r="W318" s="1644">
        <f>ROUND($D318*O318/100,0)</f>
        <v>1399147</v>
      </c>
      <c r="X318" s="1648"/>
      <c r="Y318" s="1644">
        <f>ROUND($D318*Q318/100,0)</f>
        <v>2381767</v>
      </c>
    </row>
    <row r="319" spans="1:28" hidden="1">
      <c r="A319" s="1900" t="s">
        <v>1648</v>
      </c>
      <c r="C319" s="528">
        <f>'BD-Redesign'!D60</f>
        <v>113308984.5</v>
      </c>
      <c r="D319" s="528">
        <f>ROUND(C319/C330*D330,0)</f>
        <v>107520856</v>
      </c>
      <c r="F319" s="1943"/>
      <c r="G319" s="1921"/>
      <c r="H319" s="1644"/>
      <c r="I319" s="1644"/>
      <c r="K319" s="1943">
        <f t="shared" ref="K319" si="367">K247</f>
        <v>0</v>
      </c>
      <c r="L319" s="1921" t="s">
        <v>495</v>
      </c>
      <c r="M319" s="1943">
        <f t="shared" ref="M319" si="368">M247</f>
        <v>1.4329000000000001</v>
      </c>
      <c r="N319" s="1921" t="s">
        <v>495</v>
      </c>
      <c r="O319" s="1943">
        <f t="shared" ref="O319" si="369">O247</f>
        <v>2.0403480007099999</v>
      </c>
      <c r="P319" s="1921" t="s">
        <v>495</v>
      </c>
      <c r="Q319" s="1943">
        <f t="shared" si="343"/>
        <v>3.4732480007099999</v>
      </c>
      <c r="R319" s="1921" t="s">
        <v>495</v>
      </c>
      <c r="S319" s="1644">
        <f>ROUND($D319*K319/100,0)</f>
        <v>0</v>
      </c>
      <c r="T319" s="1648"/>
      <c r="U319" s="1644">
        <f>ROUND($D319*M319/100,0)</f>
        <v>1540666</v>
      </c>
      <c r="V319" s="1648"/>
      <c r="W319" s="1644">
        <f>ROUND($D319*O319/100,0)</f>
        <v>2193800</v>
      </c>
      <c r="X319" s="1648"/>
      <c r="Y319" s="1644">
        <f>ROUND($D319*Q319/100,0)</f>
        <v>3734466</v>
      </c>
    </row>
    <row r="320" spans="1:28" hidden="1">
      <c r="A320" s="1900" t="s">
        <v>196</v>
      </c>
      <c r="C320" s="528">
        <f>(C316+C317)*C722/(C722+C723)</f>
        <v>496983.98864179431</v>
      </c>
      <c r="D320" s="528">
        <f>ROUND(C320/C330*D330,0)</f>
        <v>471597</v>
      </c>
      <c r="F320" s="1944">
        <f t="shared" ref="F320:F325" si="370">F248</f>
        <v>14.62</v>
      </c>
      <c r="G320" s="597"/>
      <c r="H320" s="1644">
        <f t="shared" ref="H320:H322" si="371">ROUND($F320*C320,0)</f>
        <v>7265906</v>
      </c>
      <c r="I320" s="1644">
        <f t="shared" ref="I320:I322" si="372">ROUND($F320*D320,0)</f>
        <v>6894748</v>
      </c>
      <c r="K320" s="1944"/>
      <c r="L320" s="597"/>
      <c r="M320" s="1944"/>
      <c r="N320" s="597"/>
      <c r="O320" s="1944"/>
      <c r="P320" s="597"/>
      <c r="Q320" s="1944"/>
      <c r="R320" s="597"/>
      <c r="S320" s="1644"/>
      <c r="T320" s="1643"/>
      <c r="U320" s="1644"/>
      <c r="V320" s="1643"/>
      <c r="W320" s="1644"/>
      <c r="X320" s="1643"/>
      <c r="Y320" s="1644"/>
    </row>
    <row r="321" spans="1:28" hidden="1">
      <c r="A321" s="1900" t="s">
        <v>161</v>
      </c>
      <c r="C321" s="528">
        <f>C316+C317-C320</f>
        <v>586174.42596216663</v>
      </c>
      <c r="D321" s="528">
        <f>ROUND(C321/C330*D330,0)</f>
        <v>556231</v>
      </c>
      <c r="F321" s="1944">
        <f t="shared" si="370"/>
        <v>10.91</v>
      </c>
      <c r="G321" s="597"/>
      <c r="H321" s="1644">
        <f t="shared" si="371"/>
        <v>6395163</v>
      </c>
      <c r="I321" s="1644">
        <f t="shared" si="372"/>
        <v>6068480</v>
      </c>
      <c r="K321" s="1944"/>
      <c r="L321" s="597"/>
      <c r="M321" s="1944"/>
      <c r="N321" s="597"/>
      <c r="O321" s="1944"/>
      <c r="P321" s="597"/>
      <c r="Q321" s="1944"/>
      <c r="R321" s="597"/>
      <c r="S321" s="1644"/>
      <c r="T321" s="1643"/>
      <c r="U321" s="1644"/>
      <c r="V321" s="1643"/>
      <c r="W321" s="1644"/>
      <c r="X321" s="1643"/>
      <c r="Y321" s="1644"/>
    </row>
    <row r="322" spans="1:28" hidden="1">
      <c r="A322" s="1900" t="s">
        <v>261</v>
      </c>
      <c r="C322" s="528">
        <f>C306</f>
        <v>33386.598958333328</v>
      </c>
      <c r="D322" s="528">
        <f>D306</f>
        <v>31681.121322172912</v>
      </c>
      <c r="F322" s="1944">
        <f t="shared" si="370"/>
        <v>-0.96</v>
      </c>
      <c r="G322" s="597"/>
      <c r="H322" s="1644">
        <f t="shared" si="371"/>
        <v>-32051</v>
      </c>
      <c r="I322" s="1644">
        <f t="shared" si="372"/>
        <v>-30414</v>
      </c>
      <c r="K322" s="1944">
        <f>K250</f>
        <v>-0.96</v>
      </c>
      <c r="L322" s="597"/>
      <c r="M322" s="1944">
        <f>M250</f>
        <v>0</v>
      </c>
      <c r="N322" s="597"/>
      <c r="O322" s="1944">
        <f>O250</f>
        <v>0</v>
      </c>
      <c r="P322" s="597"/>
      <c r="Q322" s="1944">
        <f>Q250</f>
        <v>-0.96</v>
      </c>
      <c r="R322" s="597"/>
      <c r="S322" s="1644">
        <f t="shared" ref="S322" si="373">ROUND($D322*K322,0)</f>
        <v>-30414</v>
      </c>
      <c r="T322" s="1643"/>
      <c r="U322" s="1644">
        <f t="shared" ref="U322" si="374">ROUND($D322*M322,0)</f>
        <v>0</v>
      </c>
      <c r="V322" s="1643"/>
      <c r="W322" s="1644">
        <f t="shared" ref="W322" si="375">ROUND($D322*O322,0)</f>
        <v>0</v>
      </c>
      <c r="X322" s="1643"/>
      <c r="Y322" s="1644">
        <f t="shared" ref="Y322" si="376">ROUND($D322*Q322,0)</f>
        <v>-30414</v>
      </c>
    </row>
    <row r="323" spans="1:28" hidden="1">
      <c r="A323" s="1900" t="s">
        <v>1362</v>
      </c>
      <c r="C323" s="528">
        <f>(C318+C319)*C725/(C725+C726)</f>
        <v>79414824.790631607</v>
      </c>
      <c r="D323" s="528">
        <f>ROUND(C323/C330*D330,0)</f>
        <v>75358101</v>
      </c>
      <c r="F323" s="1943">
        <f t="shared" si="370"/>
        <v>3.8127</v>
      </c>
      <c r="G323" s="1921" t="s">
        <v>495</v>
      </c>
      <c r="H323" s="1644">
        <f t="shared" ref="H323:H325" si="377">ROUND($F323*C323/100,0)</f>
        <v>3027849</v>
      </c>
      <c r="I323" s="1644">
        <f t="shared" ref="I323:I325" si="378">ROUND($F323*D323/100,0)</f>
        <v>2873178</v>
      </c>
      <c r="K323" s="1943"/>
      <c r="L323" s="1921"/>
      <c r="M323" s="1943"/>
      <c r="N323" s="1921"/>
      <c r="O323" s="1943"/>
      <c r="P323" s="1921"/>
      <c r="Q323" s="1943"/>
      <c r="R323" s="1921"/>
      <c r="S323" s="1644"/>
      <c r="T323" s="1648"/>
      <c r="U323" s="1644"/>
      <c r="V323" s="1648"/>
      <c r="W323" s="1644"/>
      <c r="X323" s="1648"/>
      <c r="Y323" s="1644"/>
    </row>
    <row r="324" spans="1:28" hidden="1">
      <c r="A324" s="1900" t="s">
        <v>1363</v>
      </c>
      <c r="C324" s="528">
        <f>C318+C319-C323</f>
        <v>97846534.709368393</v>
      </c>
      <c r="D324" s="528">
        <f>D330-D323-D325-D326-D329</f>
        <v>92848269.38827613</v>
      </c>
      <c r="F324" s="1943">
        <f t="shared" si="370"/>
        <v>3.5143</v>
      </c>
      <c r="G324" s="1921" t="s">
        <v>495</v>
      </c>
      <c r="H324" s="1644">
        <f t="shared" si="377"/>
        <v>3438621</v>
      </c>
      <c r="I324" s="1644">
        <f t="shared" si="378"/>
        <v>3262967</v>
      </c>
      <c r="K324" s="1943"/>
      <c r="L324" s="1921"/>
      <c r="M324" s="1943"/>
      <c r="N324" s="1921"/>
      <c r="O324" s="1943"/>
      <c r="P324" s="1921"/>
      <c r="Q324" s="1943"/>
      <c r="R324" s="1921"/>
      <c r="S324" s="1644"/>
      <c r="T324" s="1648"/>
      <c r="U324" s="1644"/>
      <c r="V324" s="1648"/>
      <c r="W324" s="1644"/>
      <c r="X324" s="1648"/>
      <c r="Y324" s="1644"/>
    </row>
    <row r="325" spans="1:28" hidden="1">
      <c r="A325" s="1116" t="s">
        <v>1158</v>
      </c>
      <c r="C325" s="528">
        <f>C307</f>
        <v>799246.5</v>
      </c>
      <c r="D325" s="528">
        <f>ROUND(C325/(C330-C326)*D330,0)</f>
        <v>758419</v>
      </c>
      <c r="F325" s="1943">
        <f t="shared" si="370"/>
        <v>7.125</v>
      </c>
      <c r="G325" s="1921" t="s">
        <v>495</v>
      </c>
      <c r="H325" s="1644">
        <f t="shared" si="377"/>
        <v>56946</v>
      </c>
      <c r="I325" s="1644">
        <f t="shared" si="378"/>
        <v>54037</v>
      </c>
      <c r="K325" s="1943">
        <f>K253</f>
        <v>0</v>
      </c>
      <c r="L325" s="1921" t="s">
        <v>495</v>
      </c>
      <c r="M325" s="1943">
        <f>M253</f>
        <v>7.125</v>
      </c>
      <c r="N325" s="1921" t="s">
        <v>495</v>
      </c>
      <c r="O325" s="1943">
        <f>O253</f>
        <v>0</v>
      </c>
      <c r="P325" s="1921" t="s">
        <v>495</v>
      </c>
      <c r="Q325" s="1943">
        <f>Q253</f>
        <v>7.125</v>
      </c>
      <c r="R325" s="1921" t="s">
        <v>495</v>
      </c>
      <c r="S325" s="1644">
        <f>ROUND($D325*K325/100,0)</f>
        <v>0</v>
      </c>
      <c r="T325" s="1648"/>
      <c r="U325" s="1644">
        <f>ROUND($D325*M325/100,0)</f>
        <v>54037</v>
      </c>
      <c r="V325" s="1648"/>
      <c r="W325" s="1644">
        <f>ROUND($D325*O325/100,0)</f>
        <v>0</v>
      </c>
      <c r="X325" s="1648"/>
      <c r="Y325" s="1644">
        <f>ROUND($D325*Q325/100,0)</f>
        <v>54037</v>
      </c>
    </row>
    <row r="326" spans="1:28" hidden="1">
      <c r="A326" s="1900" t="s">
        <v>246</v>
      </c>
      <c r="C326" s="529">
        <v>0</v>
      </c>
      <c r="D326" s="529">
        <v>0</v>
      </c>
      <c r="H326" s="1030">
        <v>0</v>
      </c>
      <c r="I326" s="1030">
        <v>0</v>
      </c>
      <c r="S326" s="1030"/>
      <c r="U326" s="1030"/>
      <c r="W326" s="1030"/>
      <c r="Y326" s="1030"/>
    </row>
    <row r="327" spans="1:28" hidden="1">
      <c r="A327" s="1900" t="s">
        <v>1240</v>
      </c>
      <c r="C327" s="584"/>
      <c r="D327" s="584"/>
      <c r="F327" s="1930">
        <f>F255</f>
        <v>-3.61E-2</v>
      </c>
      <c r="G327" s="597"/>
      <c r="H327" s="1644">
        <f>SUM(H320:H321,H323:H325)*$F327</f>
        <v>-728659.90850000002</v>
      </c>
      <c r="I327" s="1644">
        <f>SUM(I320:I321,I323:I325)*$F327</f>
        <v>-691438.10100000002</v>
      </c>
      <c r="K327" s="1930"/>
      <c r="L327" s="597"/>
      <c r="M327" s="1930"/>
      <c r="N327" s="597"/>
      <c r="O327" s="1931" t="str">
        <f>$O$43</f>
        <v>Tax Year 1 (7/1/2021)</v>
      </c>
      <c r="P327" s="597"/>
      <c r="Q327" s="1930">
        <f>$Q$687</f>
        <v>-2.76E-2</v>
      </c>
      <c r="R327" s="597"/>
      <c r="S327" s="1644"/>
      <c r="T327" s="1645"/>
      <c r="U327" s="1644"/>
      <c r="V327" s="1645"/>
      <c r="W327" s="1644"/>
      <c r="X327" s="1645"/>
      <c r="Y327" s="1644">
        <f>Q327*SUM(Y316:Y319,Y325)</f>
        <v>-522729.9792</v>
      </c>
    </row>
    <row r="328" spans="1:28" hidden="1">
      <c r="A328" s="1900"/>
      <c r="C328" s="584"/>
      <c r="D328" s="584"/>
      <c r="F328" s="1930"/>
      <c r="G328" s="597"/>
      <c r="H328" s="1644"/>
      <c r="I328" s="1644"/>
      <c r="K328" s="1930"/>
      <c r="L328" s="597"/>
      <c r="M328" s="1930"/>
      <c r="N328" s="597"/>
      <c r="O328" s="1931" t="str">
        <f>$O$44</f>
        <v>Tax Year 2 (1/1/2022)</v>
      </c>
      <c r="P328" s="597"/>
      <c r="Q328" s="1930">
        <f>$Q$688</f>
        <v>-1.4999999999999999E-2</v>
      </c>
      <c r="R328" s="597"/>
      <c r="S328" s="1644"/>
      <c r="T328" s="1645"/>
      <c r="U328" s="1644"/>
      <c r="V328" s="1645"/>
      <c r="W328" s="1644"/>
      <c r="X328" s="1645"/>
      <c r="Y328" s="1644">
        <f>Q328*SUM(Y316:Y319,Y325)</f>
        <v>-284092.38</v>
      </c>
    </row>
    <row r="329" spans="1:28" ht="16.5" hidden="1" thickBot="1">
      <c r="A329" s="1116" t="s">
        <v>1317</v>
      </c>
      <c r="C329" s="584">
        <v>0</v>
      </c>
      <c r="D329" s="528">
        <f>ROUND(C329/(C330-C326)*D330,0)</f>
        <v>0</v>
      </c>
      <c r="F329" s="1930"/>
      <c r="G329" s="597"/>
      <c r="H329" s="1644"/>
      <c r="I329" s="1644"/>
      <c r="K329" s="1930"/>
      <c r="L329" s="597"/>
      <c r="M329" s="1930"/>
      <c r="N329" s="597"/>
      <c r="O329" s="1939"/>
      <c r="Q329" s="1939"/>
      <c r="S329" s="1647"/>
      <c r="U329" s="1647"/>
      <c r="W329" s="1647"/>
      <c r="Y329" s="1647"/>
    </row>
    <row r="330" spans="1:28" ht="17.25" hidden="1" thickTop="1" thickBot="1">
      <c r="A330" s="1900" t="s">
        <v>247</v>
      </c>
      <c r="C330" s="1949">
        <f>SUM(C323:C325,C326,C329)</f>
        <v>178060606</v>
      </c>
      <c r="D330" s="1949">
        <f>C330*D732/C732</f>
        <v>168964789.38827613</v>
      </c>
      <c r="F330" s="1939"/>
      <c r="H330" s="1647">
        <f>SUM(H312:H327)</f>
        <v>24559029.091499999</v>
      </c>
      <c r="I330" s="1647">
        <f>SUM(I312:I327)</f>
        <v>23337362.899</v>
      </c>
      <c r="K330" s="1939"/>
      <c r="M330" s="1939"/>
      <c r="O330" s="1939"/>
      <c r="Q330" s="1939"/>
      <c r="S330" s="1647">
        <f>SUM(S312:S326)</f>
        <v>10905775</v>
      </c>
      <c r="U330" s="1647">
        <f>SUM(U312:U326)</f>
        <v>9305883</v>
      </c>
      <c r="W330" s="1647">
        <f>SUM(W312:W326)</f>
        <v>3592947</v>
      </c>
      <c r="Y330" s="1647">
        <f>SUM(Y312:Y326)</f>
        <v>23804605</v>
      </c>
      <c r="AA330" s="1104" t="s">
        <v>1743</v>
      </c>
      <c r="AB330" s="1890">
        <f>Y330/I330-1</f>
        <v>2.0021203896178896E-2</v>
      </c>
    </row>
    <row r="331" spans="1:28" ht="16.5" hidden="1" thickTop="1"/>
    <row r="332" spans="1:28" hidden="1">
      <c r="A332" s="1897" t="s">
        <v>1917</v>
      </c>
      <c r="C332" s="528"/>
      <c r="D332" s="528"/>
    </row>
    <row r="333" spans="1:28" hidden="1">
      <c r="A333" s="1900" t="s">
        <v>240</v>
      </c>
      <c r="C333" s="528">
        <f>'BD-Redesign'!E22</f>
        <v>2090.65</v>
      </c>
      <c r="D333" s="528">
        <f>D348</f>
        <v>2108.3140286129374</v>
      </c>
      <c r="F333" s="1901"/>
      <c r="G333" s="1902"/>
      <c r="H333" s="1644"/>
      <c r="I333" s="1644"/>
      <c r="K333" s="1901">
        <f>K225</f>
        <v>54</v>
      </c>
      <c r="L333" s="1902"/>
      <c r="M333" s="1901">
        <f>M225</f>
        <v>0</v>
      </c>
      <c r="N333" s="1902"/>
      <c r="O333" s="1901">
        <f>O225</f>
        <v>0</v>
      </c>
      <c r="P333" s="1902"/>
      <c r="Q333" s="1901">
        <f t="shared" ref="Q333:Q343" si="379">Q225</f>
        <v>54</v>
      </c>
      <c r="R333" s="1902"/>
      <c r="S333" s="1644">
        <f>ROUND($D333*K333,0)</f>
        <v>113849</v>
      </c>
      <c r="T333" s="1643"/>
      <c r="U333" s="1644">
        <f>ROUND($D333*M333,0)</f>
        <v>0</v>
      </c>
      <c r="V333" s="1643"/>
      <c r="W333" s="1644">
        <f>ROUND($D333*O333,0)</f>
        <v>0</v>
      </c>
      <c r="X333" s="1643"/>
      <c r="Y333" s="1644">
        <f>ROUND($D333*Q333,0)</f>
        <v>113849</v>
      </c>
      <c r="AA333" s="1109"/>
      <c r="AB333" s="1114"/>
    </row>
    <row r="334" spans="1:28" hidden="1">
      <c r="A334" s="1900" t="s">
        <v>1910</v>
      </c>
      <c r="C334" s="528">
        <f>'BD-Redesign'!E23</f>
        <v>4185638.1212871289</v>
      </c>
      <c r="D334" s="528">
        <f t="shared" ref="D334:D343" si="380">C334/$C$346*$D$346</f>
        <v>4387983.9192588255</v>
      </c>
      <c r="E334" s="597"/>
      <c r="F334" s="1942"/>
      <c r="G334" s="1921"/>
      <c r="H334" s="1644"/>
      <c r="I334" s="1644"/>
      <c r="J334" s="597"/>
      <c r="K334" s="1942">
        <f t="shared" ref="K334" si="381">K226</f>
        <v>3.9525000000000001</v>
      </c>
      <c r="L334" s="1921" t="s">
        <v>495</v>
      </c>
      <c r="M334" s="1942">
        <f t="shared" ref="M334" si="382">M226</f>
        <v>17.075028114911813</v>
      </c>
      <c r="N334" s="1921" t="s">
        <v>495</v>
      </c>
      <c r="O334" s="1942">
        <f t="shared" ref="O334" si="383">O226</f>
        <v>1.3496999999999999</v>
      </c>
      <c r="P334" s="1921" t="s">
        <v>495</v>
      </c>
      <c r="Q334" s="1942">
        <f t="shared" si="379"/>
        <v>22.377228114911812</v>
      </c>
      <c r="R334" s="1921" t="s">
        <v>495</v>
      </c>
      <c r="S334" s="1644">
        <f>ROUND($D334*K334/100,0)</f>
        <v>173435</v>
      </c>
      <c r="T334" s="1648"/>
      <c r="U334" s="1644">
        <f>ROUND($D334*M334/100,0)</f>
        <v>749249</v>
      </c>
      <c r="V334" s="1648"/>
      <c r="W334" s="1644">
        <f>ROUND($D334*O334/100,0)</f>
        <v>59225</v>
      </c>
      <c r="X334" s="1648"/>
      <c r="Y334" s="1644">
        <f>ROUND($D334*Q334/100,0)</f>
        <v>981909</v>
      </c>
      <c r="AA334" s="596"/>
      <c r="AB334" s="596"/>
    </row>
    <row r="335" spans="1:28" hidden="1">
      <c r="A335" s="1900" t="s">
        <v>1911</v>
      </c>
      <c r="C335" s="528">
        <f>'BD-Redesign'!E24</f>
        <v>9571608.8787128702</v>
      </c>
      <c r="D335" s="528">
        <f t="shared" si="380"/>
        <v>10034328.01025608</v>
      </c>
      <c r="E335" s="597"/>
      <c r="F335" s="1942"/>
      <c r="G335" s="1921"/>
      <c r="H335" s="1644"/>
      <c r="I335" s="1644"/>
      <c r="J335" s="597"/>
      <c r="K335" s="1942">
        <f t="shared" ref="K335" si="384">K227</f>
        <v>3.9525000000000001</v>
      </c>
      <c r="L335" s="1921" t="s">
        <v>495</v>
      </c>
      <c r="M335" s="1942">
        <f t="shared" ref="M335" si="385">M227</f>
        <v>-0.91518271744099966</v>
      </c>
      <c r="N335" s="1921" t="s">
        <v>495</v>
      </c>
      <c r="O335" s="1942">
        <f t="shared" ref="O335" si="386">O227</f>
        <v>1.3496999999999999</v>
      </c>
      <c r="P335" s="1921" t="s">
        <v>495</v>
      </c>
      <c r="Q335" s="1942">
        <f t="shared" si="379"/>
        <v>4.3870172825590004</v>
      </c>
      <c r="R335" s="1921" t="s">
        <v>495</v>
      </c>
      <c r="S335" s="1644">
        <f t="shared" ref="S335:S341" si="387">ROUND($D335*K335/100,0)</f>
        <v>396607</v>
      </c>
      <c r="T335" s="1648"/>
      <c r="U335" s="1644">
        <f t="shared" ref="U335:U341" si="388">ROUND($D335*M335/100,0)</f>
        <v>-91832</v>
      </c>
      <c r="V335" s="1648"/>
      <c r="W335" s="1644">
        <f t="shared" ref="W335:W341" si="389">ROUND($D335*O335/100,0)</f>
        <v>135433</v>
      </c>
      <c r="X335" s="1648"/>
      <c r="Y335" s="1644">
        <f t="shared" ref="Y335:Y341" si="390">ROUND($D335*Q335/100,0)</f>
        <v>440208</v>
      </c>
      <c r="AA335" s="596"/>
      <c r="AB335" s="596"/>
    </row>
    <row r="336" spans="1:28" hidden="1">
      <c r="A336" s="1900" t="s">
        <v>1912</v>
      </c>
      <c r="C336" s="528">
        <f>'BD-Redesign'!E25</f>
        <v>7459634.6336633675</v>
      </c>
      <c r="D336" s="528">
        <f t="shared" si="380"/>
        <v>7820254.8494553976</v>
      </c>
      <c r="E336" s="597"/>
      <c r="F336" s="1942"/>
      <c r="G336" s="1921"/>
      <c r="H336" s="1644"/>
      <c r="I336" s="1644"/>
      <c r="J336" s="597"/>
      <c r="K336" s="1942">
        <f t="shared" ref="K336" si="391">K228</f>
        <v>3.9525000000000001</v>
      </c>
      <c r="L336" s="1921" t="s">
        <v>495</v>
      </c>
      <c r="M336" s="1942">
        <f t="shared" ref="M336" si="392">M228</f>
        <v>14.656000000000001</v>
      </c>
      <c r="N336" s="1921" t="s">
        <v>495</v>
      </c>
      <c r="O336" s="1942">
        <f t="shared" ref="O336" si="393">O228</f>
        <v>1.1943999999999999</v>
      </c>
      <c r="P336" s="1921" t="s">
        <v>495</v>
      </c>
      <c r="Q336" s="1942">
        <f t="shared" si="379"/>
        <v>19.802900000000001</v>
      </c>
      <c r="R336" s="1921" t="s">
        <v>495</v>
      </c>
      <c r="S336" s="1644">
        <f t="shared" si="387"/>
        <v>309096</v>
      </c>
      <c r="T336" s="1648"/>
      <c r="U336" s="1644">
        <f t="shared" si="388"/>
        <v>1146137</v>
      </c>
      <c r="V336" s="1648"/>
      <c r="W336" s="1644">
        <f t="shared" si="389"/>
        <v>93405</v>
      </c>
      <c r="X336" s="1648"/>
      <c r="Y336" s="1644">
        <f t="shared" si="390"/>
        <v>1548637</v>
      </c>
      <c r="AA336" s="596"/>
      <c r="AB336" s="596"/>
    </row>
    <row r="337" spans="1:28" hidden="1">
      <c r="A337" s="1900" t="s">
        <v>1913</v>
      </c>
      <c r="C337" s="528">
        <f>'BD-Redesign'!E26</f>
        <v>16404117.366336634</v>
      </c>
      <c r="D337" s="528">
        <f t="shared" si="380"/>
        <v>17197139.630165793</v>
      </c>
      <c r="E337" s="597"/>
      <c r="F337" s="1942"/>
      <c r="G337" s="1921"/>
      <c r="H337" s="1644"/>
      <c r="I337" s="1644"/>
      <c r="J337" s="597"/>
      <c r="K337" s="1942">
        <f t="shared" ref="K337" si="394">K229</f>
        <v>3.9525000000000001</v>
      </c>
      <c r="L337" s="1921" t="s">
        <v>495</v>
      </c>
      <c r="M337" s="1942">
        <f t="shared" ref="M337" si="395">M229</f>
        <v>-1.2646000000000002</v>
      </c>
      <c r="N337" s="1921" t="s">
        <v>495</v>
      </c>
      <c r="O337" s="1942">
        <f t="shared" ref="O337" si="396">O229</f>
        <v>1.1943999999999999</v>
      </c>
      <c r="P337" s="1921" t="s">
        <v>495</v>
      </c>
      <c r="Q337" s="1942">
        <f t="shared" si="379"/>
        <v>3.8822999999999999</v>
      </c>
      <c r="R337" s="1921" t="s">
        <v>495</v>
      </c>
      <c r="S337" s="1644">
        <f t="shared" si="387"/>
        <v>679717</v>
      </c>
      <c r="T337" s="1648"/>
      <c r="U337" s="1644">
        <f t="shared" si="388"/>
        <v>-217475</v>
      </c>
      <c r="V337" s="1648"/>
      <c r="W337" s="1644">
        <f t="shared" si="389"/>
        <v>205403</v>
      </c>
      <c r="X337" s="1648"/>
      <c r="Y337" s="1644">
        <f t="shared" si="390"/>
        <v>667645</v>
      </c>
      <c r="AA337" s="596"/>
      <c r="AB337" s="596"/>
    </row>
    <row r="338" spans="1:28" hidden="1">
      <c r="A338" s="1900" t="s">
        <v>1906</v>
      </c>
      <c r="C338" s="528">
        <f>'BD-Redesign'!E27</f>
        <v>7640094.0521151097</v>
      </c>
      <c r="D338" s="528">
        <f t="shared" si="380"/>
        <v>8009438.1957695177</v>
      </c>
      <c r="E338" s="597"/>
      <c r="F338" s="1942"/>
      <c r="G338" s="1921"/>
      <c r="H338" s="1644"/>
      <c r="I338" s="1644"/>
      <c r="J338" s="597"/>
      <c r="K338" s="1942">
        <f t="shared" ref="K338" si="397">K230</f>
        <v>0</v>
      </c>
      <c r="L338" s="1921" t="s">
        <v>495</v>
      </c>
      <c r="M338" s="1942">
        <f t="shared" ref="M338" si="398">M230</f>
        <v>0</v>
      </c>
      <c r="N338" s="1921" t="s">
        <v>495</v>
      </c>
      <c r="O338" s="1942">
        <f t="shared" ref="O338" si="399">O230</f>
        <v>6</v>
      </c>
      <c r="P338" s="1921" t="s">
        <v>495</v>
      </c>
      <c r="Q338" s="1942">
        <f t="shared" si="379"/>
        <v>6</v>
      </c>
      <c r="R338" s="1921" t="s">
        <v>495</v>
      </c>
      <c r="S338" s="1644">
        <f t="shared" si="387"/>
        <v>0</v>
      </c>
      <c r="T338" s="1648"/>
      <c r="U338" s="1644">
        <f t="shared" si="388"/>
        <v>0</v>
      </c>
      <c r="V338" s="1648"/>
      <c r="W338" s="1644">
        <f t="shared" si="389"/>
        <v>480566</v>
      </c>
      <c r="X338" s="1648"/>
      <c r="Y338" s="1644">
        <f t="shared" si="390"/>
        <v>480566</v>
      </c>
      <c r="AA338" s="596"/>
      <c r="AB338" s="596"/>
    </row>
    <row r="339" spans="1:28" hidden="1">
      <c r="A339" s="1900" t="s">
        <v>1907</v>
      </c>
      <c r="C339" s="528">
        <f>'BD-Redesign'!E28</f>
        <v>6117152.9478848893</v>
      </c>
      <c r="D339" s="528">
        <f t="shared" si="380"/>
        <v>6412873.733745385</v>
      </c>
      <c r="E339" s="597"/>
      <c r="F339" s="1942"/>
      <c r="G339" s="1921"/>
      <c r="H339" s="1644"/>
      <c r="I339" s="1644"/>
      <c r="J339" s="597"/>
      <c r="K339" s="1942">
        <f t="shared" ref="K339" si="400">K231</f>
        <v>0</v>
      </c>
      <c r="L339" s="1921" t="s">
        <v>495</v>
      </c>
      <c r="M339" s="1942">
        <f t="shared" ref="M339" si="401">M231</f>
        <v>0</v>
      </c>
      <c r="N339" s="1921" t="s">
        <v>495</v>
      </c>
      <c r="O339" s="1942">
        <f t="shared" ref="O339" si="402">O231</f>
        <v>-2.3358000000000008</v>
      </c>
      <c r="P339" s="1921" t="s">
        <v>495</v>
      </c>
      <c r="Q339" s="1942">
        <f t="shared" si="379"/>
        <v>-2.3358000000000008</v>
      </c>
      <c r="R339" s="1921" t="s">
        <v>495</v>
      </c>
      <c r="S339" s="1644">
        <f t="shared" si="387"/>
        <v>0</v>
      </c>
      <c r="T339" s="1648"/>
      <c r="U339" s="1644">
        <f t="shared" si="388"/>
        <v>0</v>
      </c>
      <c r="V339" s="1648"/>
      <c r="W339" s="1644">
        <f t="shared" si="389"/>
        <v>-149792</v>
      </c>
      <c r="X339" s="1648"/>
      <c r="Y339" s="1644">
        <f t="shared" si="390"/>
        <v>-149792</v>
      </c>
      <c r="AA339" s="596"/>
      <c r="AB339" s="596"/>
    </row>
    <row r="340" spans="1:28" hidden="1">
      <c r="A340" s="1900" t="s">
        <v>1908</v>
      </c>
      <c r="C340" s="528">
        <f>'BD-Redesign'!E29</f>
        <v>13252746.69534901</v>
      </c>
      <c r="D340" s="528">
        <f t="shared" si="380"/>
        <v>13893422.627591934</v>
      </c>
      <c r="E340" s="597"/>
      <c r="F340" s="1942"/>
      <c r="G340" s="1921"/>
      <c r="H340" s="1644"/>
      <c r="I340" s="1644"/>
      <c r="J340" s="597"/>
      <c r="K340" s="1942">
        <f t="shared" ref="K340" si="403">K232</f>
        <v>0</v>
      </c>
      <c r="L340" s="1921" t="s">
        <v>495</v>
      </c>
      <c r="M340" s="1942">
        <f t="shared" ref="M340" si="404">M232</f>
        <v>0</v>
      </c>
      <c r="N340" s="1921" t="s">
        <v>495</v>
      </c>
      <c r="O340" s="1942">
        <f t="shared" ref="O340" si="405">O232</f>
        <v>5.3097000000000003</v>
      </c>
      <c r="P340" s="1921" t="s">
        <v>495</v>
      </c>
      <c r="Q340" s="1942">
        <f t="shared" si="379"/>
        <v>5.3097000000000003</v>
      </c>
      <c r="R340" s="1921" t="s">
        <v>495</v>
      </c>
      <c r="S340" s="1644">
        <f t="shared" si="387"/>
        <v>0</v>
      </c>
      <c r="T340" s="1648"/>
      <c r="U340" s="1644">
        <f t="shared" si="388"/>
        <v>0</v>
      </c>
      <c r="V340" s="1648"/>
      <c r="W340" s="1644">
        <f t="shared" si="389"/>
        <v>737699</v>
      </c>
      <c r="X340" s="1648"/>
      <c r="Y340" s="1644">
        <f t="shared" si="390"/>
        <v>737699</v>
      </c>
      <c r="AA340" s="596"/>
      <c r="AB340" s="596"/>
    </row>
    <row r="341" spans="1:28" hidden="1">
      <c r="A341" s="1900" t="s">
        <v>1909</v>
      </c>
      <c r="C341" s="528">
        <f>'BD-Redesign'!E30</f>
        <v>10611005.304650979</v>
      </c>
      <c r="D341" s="528">
        <f t="shared" si="380"/>
        <v>11123971.852029243</v>
      </c>
      <c r="E341" s="597"/>
      <c r="F341" s="1942"/>
      <c r="G341" s="1921"/>
      <c r="H341" s="1644"/>
      <c r="I341" s="1644"/>
      <c r="J341" s="597"/>
      <c r="K341" s="1942">
        <f t="shared" ref="K341" si="406">K233</f>
        <v>0</v>
      </c>
      <c r="L341" s="1921" t="s">
        <v>495</v>
      </c>
      <c r="M341" s="1942">
        <f t="shared" ref="M341" si="407">M233</f>
        <v>0</v>
      </c>
      <c r="N341" s="1921" t="s">
        <v>495</v>
      </c>
      <c r="O341" s="1942">
        <f t="shared" ref="O341" si="408">O233</f>
        <v>-2.0670999999999999</v>
      </c>
      <c r="P341" s="1921" t="s">
        <v>495</v>
      </c>
      <c r="Q341" s="1942">
        <f t="shared" si="379"/>
        <v>-2.0670999999999999</v>
      </c>
      <c r="R341" s="1921" t="s">
        <v>495</v>
      </c>
      <c r="S341" s="1644">
        <f t="shared" si="387"/>
        <v>0</v>
      </c>
      <c r="T341" s="1648"/>
      <c r="U341" s="1644">
        <f t="shared" si="388"/>
        <v>0</v>
      </c>
      <c r="V341" s="1648"/>
      <c r="W341" s="1644">
        <f t="shared" si="389"/>
        <v>-229944</v>
      </c>
      <c r="X341" s="1648"/>
      <c r="Y341" s="1644">
        <f t="shared" si="390"/>
        <v>-229944</v>
      </c>
      <c r="AA341" s="596"/>
      <c r="AB341" s="596"/>
    </row>
    <row r="342" spans="1:28" hidden="1">
      <c r="A342" s="1900" t="s">
        <v>261</v>
      </c>
      <c r="C342" s="528">
        <f>'BD-Redesign'!E31</f>
        <v>24029.583333333336</v>
      </c>
      <c r="D342" s="528">
        <f t="shared" si="380"/>
        <v>25191.242577065448</v>
      </c>
      <c r="F342" s="1901"/>
      <c r="G342" s="1902"/>
      <c r="H342" s="1644"/>
      <c r="I342" s="1644"/>
      <c r="K342" s="1901">
        <f t="shared" ref="K342" si="409">K234</f>
        <v>-0.61</v>
      </c>
      <c r="L342" s="1902"/>
      <c r="M342" s="1901">
        <f t="shared" ref="M342" si="410">M234</f>
        <v>0</v>
      </c>
      <c r="N342" s="1902"/>
      <c r="O342" s="1901">
        <f t="shared" ref="O342" si="411">O234</f>
        <v>0</v>
      </c>
      <c r="P342" s="1902"/>
      <c r="Q342" s="1901">
        <f t="shared" si="379"/>
        <v>-0.61</v>
      </c>
      <c r="R342" s="1902"/>
      <c r="S342" s="1644">
        <f>ROUND($D342*K342,0)</f>
        <v>-15367</v>
      </c>
      <c r="T342" s="1643"/>
      <c r="U342" s="1644">
        <f>ROUND($D342*M342,0)</f>
        <v>0</v>
      </c>
      <c r="V342" s="1643"/>
      <c r="W342" s="1644">
        <f>ROUND($D342*O342,0)</f>
        <v>0</v>
      </c>
      <c r="X342" s="1643"/>
      <c r="Y342" s="1644">
        <f>ROUND($D342*Q342,0)</f>
        <v>-15367</v>
      </c>
      <c r="AA342" s="596"/>
      <c r="AB342" s="596"/>
    </row>
    <row r="343" spans="1:28" hidden="1">
      <c r="A343" s="1116" t="s">
        <v>1158</v>
      </c>
      <c r="C343" s="528">
        <f>'BD-Redesign'!E32</f>
        <v>400</v>
      </c>
      <c r="D343" s="528">
        <f t="shared" si="380"/>
        <v>419.33715167038594</v>
      </c>
      <c r="F343" s="1943"/>
      <c r="G343" s="1921"/>
      <c r="H343" s="1644"/>
      <c r="I343" s="1644"/>
      <c r="K343" s="1943">
        <f t="shared" ref="K343" si="412">K235</f>
        <v>0</v>
      </c>
      <c r="L343" s="1921" t="s">
        <v>495</v>
      </c>
      <c r="M343" s="1943">
        <f t="shared" ref="M343" si="413">M235</f>
        <v>7.125</v>
      </c>
      <c r="N343" s="1921" t="s">
        <v>495</v>
      </c>
      <c r="O343" s="1943">
        <f t="shared" ref="O343" si="414">O235</f>
        <v>0</v>
      </c>
      <c r="P343" s="1921" t="s">
        <v>495</v>
      </c>
      <c r="Q343" s="1943">
        <f t="shared" si="379"/>
        <v>7.125</v>
      </c>
      <c r="R343" s="1921" t="s">
        <v>495</v>
      </c>
      <c r="S343" s="1644">
        <f>ROUND($D343*K343/100,0)</f>
        <v>0</v>
      </c>
      <c r="T343" s="1648"/>
      <c r="U343" s="1644">
        <f>ROUND($D343*M343/100,0)</f>
        <v>30</v>
      </c>
      <c r="V343" s="1648"/>
      <c r="W343" s="1644">
        <f>ROUND($D343*O343/100,0)</f>
        <v>0</v>
      </c>
      <c r="X343" s="1648"/>
      <c r="Y343" s="1644">
        <f>ROUND($D343*Q343/100,0)</f>
        <v>30</v>
      </c>
      <c r="AA343" s="1109"/>
      <c r="AB343" s="1114"/>
    </row>
    <row r="344" spans="1:28" hidden="1">
      <c r="A344" s="1900" t="s">
        <v>1240</v>
      </c>
      <c r="C344" s="584"/>
      <c r="D344" s="584"/>
      <c r="F344" s="1930"/>
      <c r="G344" s="597"/>
      <c r="H344" s="1644"/>
      <c r="I344" s="1644"/>
      <c r="K344" s="1930"/>
      <c r="L344" s="597"/>
      <c r="M344" s="1930"/>
      <c r="N344" s="597"/>
      <c r="O344" s="1931" t="str">
        <f>$O$43</f>
        <v>Tax Year 1 (7/1/2021)</v>
      </c>
      <c r="P344" s="597"/>
      <c r="Q344" s="1930">
        <f>$Q$979</f>
        <v>-3.0599999999999999E-2</v>
      </c>
      <c r="R344" s="597"/>
      <c r="S344" s="1645"/>
      <c r="T344" s="1645"/>
      <c r="U344" s="1645"/>
      <c r="V344" s="1645"/>
      <c r="W344" s="1645"/>
      <c r="X344" s="1645"/>
      <c r="Y344" s="1644">
        <f>Q344*SUM(Y334:Y337,Y343)</f>
        <v>-111335.9274</v>
      </c>
    </row>
    <row r="345" spans="1:28" hidden="1">
      <c r="A345" s="1900"/>
      <c r="C345" s="584"/>
      <c r="D345" s="584"/>
      <c r="F345" s="1930"/>
      <c r="G345" s="597"/>
      <c r="H345" s="1644"/>
      <c r="I345" s="1644"/>
      <c r="K345" s="1930"/>
      <c r="L345" s="597"/>
      <c r="M345" s="1930"/>
      <c r="N345" s="597"/>
      <c r="O345" s="1931" t="str">
        <f>$O$44</f>
        <v>Tax Year 2 (1/1/2022)</v>
      </c>
      <c r="P345" s="597"/>
      <c r="Q345" s="1930">
        <f>$Q$980</f>
        <v>-1.66E-2</v>
      </c>
      <c r="R345" s="597"/>
      <c r="S345" s="1645"/>
      <c r="T345" s="1645"/>
      <c r="U345" s="1645"/>
      <c r="V345" s="1645"/>
      <c r="W345" s="1645"/>
      <c r="X345" s="1645"/>
      <c r="Y345" s="1644">
        <f>Q345*SUM(Y334:Y337,Y343)</f>
        <v>-60397.921399999999</v>
      </c>
    </row>
    <row r="346" spans="1:28" hidden="1">
      <c r="A346" s="1900" t="s">
        <v>1923</v>
      </c>
      <c r="C346" s="528">
        <f>SUM(C338:C341,C343)</f>
        <v>37621398.999999985</v>
      </c>
      <c r="D346" s="528">
        <f>D366</f>
        <v>39440125.746287748</v>
      </c>
      <c r="F346" s="1901"/>
      <c r="G346" s="1902"/>
      <c r="H346" s="1644"/>
      <c r="I346" s="1644"/>
      <c r="K346" s="1901"/>
      <c r="L346" s="1902"/>
      <c r="M346" s="1901"/>
      <c r="N346" s="1902"/>
      <c r="O346" s="1901"/>
      <c r="P346" s="1902"/>
      <c r="Q346" s="1901"/>
      <c r="R346" s="1902"/>
      <c r="S346" s="1644">
        <f>SUM(S333:S343)</f>
        <v>1657337</v>
      </c>
      <c r="T346" s="1643"/>
      <c r="U346" s="1644">
        <f>SUM(U333:U343)</f>
        <v>1586109</v>
      </c>
      <c r="V346" s="1643"/>
      <c r="W346" s="1644">
        <f>SUM(W333:W343)</f>
        <v>1331995</v>
      </c>
      <c r="X346" s="1643"/>
      <c r="Y346" s="1644">
        <f>SUM(Y333:Y343)</f>
        <v>4575440</v>
      </c>
      <c r="AA346" s="1109" t="s">
        <v>1743</v>
      </c>
      <c r="AB346" s="1499">
        <f>Y346/Y366-1</f>
        <v>-0.18480051269780495</v>
      </c>
    </row>
    <row r="347" spans="1:28" hidden="1">
      <c r="A347" s="1900"/>
      <c r="C347" s="528"/>
      <c r="D347" s="528"/>
      <c r="F347" s="1901"/>
      <c r="G347" s="1902"/>
      <c r="H347" s="1644"/>
      <c r="I347" s="1644"/>
      <c r="K347" s="1901"/>
      <c r="L347" s="1902"/>
      <c r="M347" s="1901"/>
      <c r="N347" s="1902"/>
      <c r="O347" s="1901"/>
      <c r="P347" s="1902"/>
      <c r="Q347" s="1901"/>
      <c r="R347" s="1902"/>
      <c r="S347" s="1643"/>
      <c r="T347" s="1643"/>
      <c r="U347" s="1643"/>
      <c r="V347" s="1643"/>
      <c r="W347" s="1643"/>
      <c r="X347" s="1643"/>
      <c r="Y347" s="1644"/>
      <c r="AA347" s="1109"/>
      <c r="AB347" s="1114"/>
    </row>
    <row r="348" spans="1:28" hidden="1">
      <c r="A348" s="1900" t="s">
        <v>240</v>
      </c>
      <c r="C348" s="528">
        <f>C333</f>
        <v>2090.65</v>
      </c>
      <c r="D348" s="528">
        <f>C348*D735/C735</f>
        <v>2108.3140286129374</v>
      </c>
      <c r="F348" s="1944">
        <f>F240</f>
        <v>54</v>
      </c>
      <c r="G348" s="597"/>
      <c r="H348" s="1644">
        <f t="shared" ref="H348:H350" si="415">ROUND($F348*C348,0)</f>
        <v>112895</v>
      </c>
      <c r="I348" s="1644">
        <f t="shared" ref="I348:I350" si="416">ROUND($F348*D348,0)</f>
        <v>113849</v>
      </c>
      <c r="K348" s="1944">
        <f t="shared" ref="K348" si="417">K240</f>
        <v>54</v>
      </c>
      <c r="L348" s="597"/>
      <c r="M348" s="1944">
        <f t="shared" ref="M348" si="418">M240</f>
        <v>0</v>
      </c>
      <c r="N348" s="597"/>
      <c r="O348" s="1944">
        <f t="shared" ref="O348" si="419">O240</f>
        <v>0</v>
      </c>
      <c r="P348" s="597"/>
      <c r="Q348" s="1944">
        <f t="shared" ref="Q348:Q355" si="420">Q240</f>
        <v>54</v>
      </c>
      <c r="R348" s="597"/>
      <c r="S348" s="1644">
        <f>ROUND($D348*K348,0)</f>
        <v>113849</v>
      </c>
      <c r="T348" s="1643"/>
      <c r="U348" s="1644">
        <f>ROUND($D348*M348,0)</f>
        <v>0</v>
      </c>
      <c r="V348" s="1643"/>
      <c r="W348" s="1644">
        <f>ROUND($D348*O348,0)</f>
        <v>0</v>
      </c>
      <c r="X348" s="1643"/>
      <c r="Y348" s="1644">
        <f>ROUND($D348*Q348,0)</f>
        <v>113849</v>
      </c>
    </row>
    <row r="349" spans="1:28" hidden="1">
      <c r="A349" s="1900" t="s">
        <v>262</v>
      </c>
      <c r="C349" s="584">
        <v>0</v>
      </c>
      <c r="D349" s="528">
        <v>0</v>
      </c>
      <c r="F349" s="1944">
        <f>F241</f>
        <v>648</v>
      </c>
      <c r="G349" s="597"/>
      <c r="H349" s="1644">
        <f t="shared" si="415"/>
        <v>0</v>
      </c>
      <c r="I349" s="1644">
        <f t="shared" si="416"/>
        <v>0</v>
      </c>
      <c r="K349" s="1944">
        <f t="shared" ref="K349" si="421">K241</f>
        <v>648</v>
      </c>
      <c r="L349" s="597"/>
      <c r="M349" s="1944">
        <f t="shared" ref="M349" si="422">M241</f>
        <v>0</v>
      </c>
      <c r="N349" s="597"/>
      <c r="O349" s="1944">
        <f t="shared" ref="O349" si="423">O241</f>
        <v>0</v>
      </c>
      <c r="P349" s="597"/>
      <c r="Q349" s="1944">
        <f t="shared" si="420"/>
        <v>648</v>
      </c>
      <c r="R349" s="597"/>
      <c r="S349" s="1644">
        <f t="shared" ref="S349:S353" si="424">ROUND($D349*K349,0)</f>
        <v>0</v>
      </c>
      <c r="T349" s="1643"/>
      <c r="U349" s="1644">
        <f t="shared" ref="U349:U353" si="425">ROUND($D349*M349,0)</f>
        <v>0</v>
      </c>
      <c r="V349" s="1643"/>
      <c r="W349" s="1644">
        <f t="shared" ref="W349:W353" si="426">ROUND($D349*O349,0)</f>
        <v>0</v>
      </c>
      <c r="X349" s="1643"/>
      <c r="Y349" s="1644">
        <f t="shared" ref="Y349:Y353" si="427">ROUND($D349*Q349,0)</f>
        <v>0</v>
      </c>
    </row>
    <row r="350" spans="1:28" hidden="1">
      <c r="A350" s="1900" t="s">
        <v>1298</v>
      </c>
      <c r="C350" s="528">
        <v>0</v>
      </c>
      <c r="D350" s="528">
        <v>0</v>
      </c>
      <c r="F350" s="1944">
        <f>F242</f>
        <v>54</v>
      </c>
      <c r="G350" s="597"/>
      <c r="H350" s="1644">
        <f t="shared" si="415"/>
        <v>0</v>
      </c>
      <c r="I350" s="1644">
        <f t="shared" si="416"/>
        <v>0</v>
      </c>
      <c r="K350" s="1944">
        <f t="shared" ref="K350" si="428">K242</f>
        <v>54</v>
      </c>
      <c r="L350" s="597"/>
      <c r="M350" s="1944">
        <f t="shared" ref="M350" si="429">M242</f>
        <v>0</v>
      </c>
      <c r="N350" s="597"/>
      <c r="O350" s="1944">
        <f t="shared" ref="O350" si="430">O242</f>
        <v>0</v>
      </c>
      <c r="P350" s="597"/>
      <c r="Q350" s="1944">
        <f t="shared" si="420"/>
        <v>54</v>
      </c>
      <c r="R350" s="597"/>
      <c r="S350" s="1644">
        <f t="shared" si="424"/>
        <v>0</v>
      </c>
      <c r="T350" s="1645"/>
      <c r="U350" s="1644">
        <f t="shared" si="425"/>
        <v>0</v>
      </c>
      <c r="V350" s="1645"/>
      <c r="W350" s="1644">
        <f t="shared" si="426"/>
        <v>0</v>
      </c>
      <c r="X350" s="1645"/>
      <c r="Y350" s="1644">
        <f t="shared" si="427"/>
        <v>0</v>
      </c>
    </row>
    <row r="351" spans="1:28" hidden="1">
      <c r="A351" s="1900" t="s">
        <v>168</v>
      </c>
      <c r="C351" s="528">
        <f>'BD-Redesign'!E55</f>
        <v>237102.33168316825</v>
      </c>
      <c r="D351" s="528">
        <f>ROUND(C351/$C$366*$D$366,0)</f>
        <v>248565</v>
      </c>
      <c r="F351" s="1944">
        <f>F243</f>
        <v>4.04</v>
      </c>
      <c r="G351" s="597"/>
      <c r="H351" s="1644">
        <f>ROUND($F351*C351,0)</f>
        <v>957893</v>
      </c>
      <c r="I351" s="1644">
        <f>ROUND($F351*D351,0)</f>
        <v>1004203</v>
      </c>
      <c r="K351" s="1944">
        <f t="shared" ref="K351" si="431">K243</f>
        <v>4.03</v>
      </c>
      <c r="L351" s="597"/>
      <c r="M351" s="1944">
        <f t="shared" ref="M351" si="432">M243</f>
        <v>0</v>
      </c>
      <c r="N351" s="597"/>
      <c r="O351" s="1944">
        <f t="shared" ref="O351" si="433">O243</f>
        <v>0</v>
      </c>
      <c r="P351" s="597"/>
      <c r="Q351" s="1944">
        <f t="shared" si="420"/>
        <v>4.03</v>
      </c>
      <c r="R351" s="597"/>
      <c r="S351" s="1644">
        <f t="shared" si="424"/>
        <v>1001717</v>
      </c>
      <c r="T351" s="1643"/>
      <c r="U351" s="1644">
        <f t="shared" si="425"/>
        <v>0</v>
      </c>
      <c r="V351" s="1643"/>
      <c r="W351" s="1644">
        <f t="shared" si="426"/>
        <v>0</v>
      </c>
      <c r="X351" s="1643"/>
      <c r="Y351" s="1644">
        <f t="shared" si="427"/>
        <v>1001717</v>
      </c>
    </row>
    <row r="352" spans="1:28" hidden="1">
      <c r="A352" s="1900" t="s">
        <v>1645</v>
      </c>
      <c r="C352" s="528">
        <f>'BD-Redesign'!E56</f>
        <v>85670.315594059415</v>
      </c>
      <c r="D352" s="528">
        <f t="shared" ref="D352:D353" si="434">ROUND(C352/$C$366*$D$366,0)</f>
        <v>89812</v>
      </c>
      <c r="F352" s="1944"/>
      <c r="G352" s="597"/>
      <c r="H352" s="1644"/>
      <c r="I352" s="1644"/>
      <c r="K352" s="1944">
        <f t="shared" ref="K352" si="435">K244</f>
        <v>6.34</v>
      </c>
      <c r="L352" s="597"/>
      <c r="M352" s="1944">
        <f t="shared" ref="M352" si="436">M244</f>
        <v>7.0600000000000005</v>
      </c>
      <c r="N352" s="597"/>
      <c r="O352" s="1944">
        <f t="shared" ref="O352" si="437">O244</f>
        <v>0</v>
      </c>
      <c r="P352" s="597"/>
      <c r="Q352" s="1944">
        <f t="shared" si="420"/>
        <v>13.4</v>
      </c>
      <c r="R352" s="597"/>
      <c r="S352" s="1644">
        <f t="shared" si="424"/>
        <v>569408</v>
      </c>
      <c r="T352" s="1645"/>
      <c r="U352" s="1644">
        <f t="shared" si="425"/>
        <v>634073</v>
      </c>
      <c r="V352" s="1645"/>
      <c r="W352" s="1644">
        <f t="shared" si="426"/>
        <v>0</v>
      </c>
      <c r="X352" s="1645"/>
      <c r="Y352" s="1644">
        <f t="shared" si="427"/>
        <v>1203481</v>
      </c>
    </row>
    <row r="353" spans="1:28" hidden="1">
      <c r="A353" s="1900" t="s">
        <v>1646</v>
      </c>
      <c r="C353" s="528">
        <f>'BD-Redesign'!E57</f>
        <v>151432.01608910886</v>
      </c>
      <c r="D353" s="528">
        <f t="shared" si="434"/>
        <v>158753</v>
      </c>
      <c r="F353" s="1944"/>
      <c r="G353" s="597"/>
      <c r="H353" s="1644"/>
      <c r="I353" s="1644"/>
      <c r="K353" s="1944">
        <f t="shared" ref="K353" si="438">K245</f>
        <v>5.61</v>
      </c>
      <c r="L353" s="597"/>
      <c r="M353" s="1944">
        <f t="shared" ref="M353" si="439">M245</f>
        <v>6.2499999999999991</v>
      </c>
      <c r="N353" s="597"/>
      <c r="O353" s="1944">
        <f t="shared" ref="O353" si="440">O245</f>
        <v>0</v>
      </c>
      <c r="P353" s="597"/>
      <c r="Q353" s="1944">
        <f t="shared" si="420"/>
        <v>11.86</v>
      </c>
      <c r="R353" s="597"/>
      <c r="S353" s="1644">
        <f t="shared" si="424"/>
        <v>890604</v>
      </c>
      <c r="T353" s="1645"/>
      <c r="U353" s="1644">
        <f t="shared" si="425"/>
        <v>992206</v>
      </c>
      <c r="V353" s="1645"/>
      <c r="W353" s="1644">
        <f t="shared" si="426"/>
        <v>0</v>
      </c>
      <c r="X353" s="1645"/>
      <c r="Y353" s="1644">
        <f t="shared" si="427"/>
        <v>1882811</v>
      </c>
    </row>
    <row r="354" spans="1:28" hidden="1">
      <c r="A354" s="1900" t="s">
        <v>1647</v>
      </c>
      <c r="C354" s="528">
        <f>'BD-Redesign'!E59</f>
        <v>13757247</v>
      </c>
      <c r="D354" s="528">
        <f>D366-SUM(D355,D361:D365)</f>
        <v>14422312.746287748</v>
      </c>
      <c r="F354" s="1943"/>
      <c r="G354" s="1921"/>
      <c r="H354" s="1644"/>
      <c r="I354" s="1644"/>
      <c r="K354" s="1943">
        <f t="shared" ref="K354" si="441">K246</f>
        <v>0</v>
      </c>
      <c r="L354" s="1921" t="s">
        <v>495</v>
      </c>
      <c r="M354" s="1943">
        <f t="shared" ref="M354" si="442">M246</f>
        <v>1.6192</v>
      </c>
      <c r="N354" s="1921" t="s">
        <v>495</v>
      </c>
      <c r="O354" s="1943">
        <f t="shared" ref="O354" si="443">O246</f>
        <v>2.305570240802</v>
      </c>
      <c r="P354" s="1921" t="s">
        <v>495</v>
      </c>
      <c r="Q354" s="1943">
        <f t="shared" si="420"/>
        <v>3.9247702408020002</v>
      </c>
      <c r="R354" s="1921" t="s">
        <v>495</v>
      </c>
      <c r="S354" s="1644">
        <f>ROUND($D354*K354/100,0)</f>
        <v>0</v>
      </c>
      <c r="T354" s="1648"/>
      <c r="U354" s="1644">
        <f>ROUND($D354*M354/100,0)</f>
        <v>233526</v>
      </c>
      <c r="V354" s="1648"/>
      <c r="W354" s="1644">
        <f>ROUND($D354*O354/100,0)</f>
        <v>332517</v>
      </c>
      <c r="X354" s="1648"/>
      <c r="Y354" s="1644">
        <f>ROUND($D354*Q354/100,0)</f>
        <v>566043</v>
      </c>
    </row>
    <row r="355" spans="1:28" hidden="1">
      <c r="A355" s="1900" t="s">
        <v>1648</v>
      </c>
      <c r="C355" s="528">
        <f>'BD-Redesign'!E60</f>
        <v>23863752</v>
      </c>
      <c r="D355" s="528">
        <f>ROUND(C355/C366*D366,0)</f>
        <v>25017394</v>
      </c>
      <c r="F355" s="1943"/>
      <c r="G355" s="1921"/>
      <c r="H355" s="1644"/>
      <c r="I355" s="1644"/>
      <c r="K355" s="1943">
        <f t="shared" ref="K355" si="444">K247</f>
        <v>0</v>
      </c>
      <c r="L355" s="1921" t="s">
        <v>495</v>
      </c>
      <c r="M355" s="1943">
        <f t="shared" ref="M355" si="445">M247</f>
        <v>1.4329000000000001</v>
      </c>
      <c r="N355" s="1921" t="s">
        <v>495</v>
      </c>
      <c r="O355" s="1943">
        <f t="shared" ref="O355" si="446">O247</f>
        <v>2.0403480007099999</v>
      </c>
      <c r="P355" s="1921" t="s">
        <v>495</v>
      </c>
      <c r="Q355" s="1943">
        <f t="shared" si="420"/>
        <v>3.4732480007099999</v>
      </c>
      <c r="R355" s="1921" t="s">
        <v>495</v>
      </c>
      <c r="S355" s="1644">
        <f>ROUND($D355*K355/100,0)</f>
        <v>0</v>
      </c>
      <c r="T355" s="1648"/>
      <c r="U355" s="1644">
        <f>ROUND($D355*M355/100,0)</f>
        <v>358474</v>
      </c>
      <c r="V355" s="1648"/>
      <c r="W355" s="1644">
        <f>ROUND($D355*O355/100,0)</f>
        <v>510442</v>
      </c>
      <c r="X355" s="1648"/>
      <c r="Y355" s="1644">
        <f>ROUND($D355*Q355/100,0)</f>
        <v>868916</v>
      </c>
    </row>
    <row r="356" spans="1:28" hidden="1">
      <c r="A356" s="1900" t="s">
        <v>196</v>
      </c>
      <c r="C356" s="528">
        <f>(C352+C353)*C739/(C739+C740)</f>
        <v>86156.244347468222</v>
      </c>
      <c r="D356" s="528">
        <f>ROUND(C356/C366*D366,0)</f>
        <v>90321</v>
      </c>
      <c r="F356" s="1944">
        <f t="shared" ref="F356:F361" si="447">F248</f>
        <v>14.62</v>
      </c>
      <c r="G356" s="597"/>
      <c r="H356" s="1644">
        <f t="shared" ref="H356:H358" si="448">ROUND($F356*C356,0)</f>
        <v>1259604</v>
      </c>
      <c r="I356" s="1644">
        <f t="shared" ref="I356:I358" si="449">ROUND($F356*D356,0)</f>
        <v>1320493</v>
      </c>
      <c r="K356" s="1944"/>
      <c r="L356" s="597"/>
      <c r="M356" s="1944"/>
      <c r="N356" s="597"/>
      <c r="O356" s="1944"/>
      <c r="P356" s="597"/>
      <c r="Q356" s="1944"/>
      <c r="R356" s="597"/>
      <c r="S356" s="1644"/>
      <c r="T356" s="1643"/>
      <c r="U356" s="1644"/>
      <c r="V356" s="1643"/>
      <c r="W356" s="1644"/>
      <c r="X356" s="1643"/>
      <c r="Y356" s="1644"/>
    </row>
    <row r="357" spans="1:28" hidden="1">
      <c r="A357" s="1900" t="s">
        <v>161</v>
      </c>
      <c r="C357" s="528">
        <f>C352+C353-C356</f>
        <v>150946.08733570005</v>
      </c>
      <c r="D357" s="528">
        <f>ROUND(C357/C366*D366,0)</f>
        <v>158243</v>
      </c>
      <c r="F357" s="1944">
        <f t="shared" si="447"/>
        <v>10.91</v>
      </c>
      <c r="G357" s="597"/>
      <c r="H357" s="1644">
        <f t="shared" si="448"/>
        <v>1646822</v>
      </c>
      <c r="I357" s="1644">
        <f t="shared" si="449"/>
        <v>1726431</v>
      </c>
      <c r="K357" s="1944"/>
      <c r="L357" s="597"/>
      <c r="M357" s="1944"/>
      <c r="N357" s="597"/>
      <c r="O357" s="1944"/>
      <c r="P357" s="597"/>
      <c r="Q357" s="1944"/>
      <c r="R357" s="597"/>
      <c r="S357" s="1644"/>
      <c r="T357" s="1643"/>
      <c r="U357" s="1644"/>
      <c r="V357" s="1643"/>
      <c r="W357" s="1644"/>
      <c r="X357" s="1643"/>
      <c r="Y357" s="1644"/>
    </row>
    <row r="358" spans="1:28" hidden="1">
      <c r="A358" s="1900" t="s">
        <v>261</v>
      </c>
      <c r="C358" s="528">
        <f>C342</f>
        <v>24029.583333333336</v>
      </c>
      <c r="D358" s="528">
        <f>D342</f>
        <v>25191.242577065448</v>
      </c>
      <c r="F358" s="1944">
        <f t="shared" si="447"/>
        <v>-0.96</v>
      </c>
      <c r="G358" s="597"/>
      <c r="H358" s="1644">
        <f t="shared" si="448"/>
        <v>-23068</v>
      </c>
      <c r="I358" s="1644">
        <f t="shared" si="449"/>
        <v>-24184</v>
      </c>
      <c r="K358" s="1944">
        <f>K250</f>
        <v>-0.96</v>
      </c>
      <c r="L358" s="597"/>
      <c r="M358" s="1944">
        <f>M250</f>
        <v>0</v>
      </c>
      <c r="N358" s="597"/>
      <c r="O358" s="1944">
        <f>O250</f>
        <v>0</v>
      </c>
      <c r="P358" s="597"/>
      <c r="Q358" s="1944">
        <f>Q250</f>
        <v>-0.96</v>
      </c>
      <c r="R358" s="597"/>
      <c r="S358" s="1644">
        <f t="shared" ref="S358" si="450">ROUND($D358*K358,0)</f>
        <v>-24184</v>
      </c>
      <c r="T358" s="1643"/>
      <c r="U358" s="1644">
        <f t="shared" ref="U358" si="451">ROUND($D358*M358,0)</f>
        <v>0</v>
      </c>
      <c r="V358" s="1643"/>
      <c r="W358" s="1644">
        <f t="shared" ref="W358" si="452">ROUND($D358*O358,0)</f>
        <v>0</v>
      </c>
      <c r="X358" s="1643"/>
      <c r="Y358" s="1644">
        <f t="shared" ref="Y358" si="453">ROUND($D358*Q358,0)</f>
        <v>-24184</v>
      </c>
    </row>
    <row r="359" spans="1:28" hidden="1">
      <c r="A359" s="1900" t="s">
        <v>1362</v>
      </c>
      <c r="C359" s="528">
        <f>(C354+C355)*C741/(C741+C742)</f>
        <v>13923707.70353744</v>
      </c>
      <c r="D359" s="528">
        <f>ROUND(C359/C366*D366,0)</f>
        <v>14596820</v>
      </c>
      <c r="F359" s="1943">
        <f t="shared" si="447"/>
        <v>3.8127</v>
      </c>
      <c r="G359" s="1921" t="s">
        <v>495</v>
      </c>
      <c r="H359" s="1644">
        <f t="shared" ref="H359:H361" si="454">ROUND($F359*C359/100,0)</f>
        <v>530869</v>
      </c>
      <c r="I359" s="1644">
        <f t="shared" ref="I359:I361" si="455">ROUND($F359*D359/100,0)</f>
        <v>556533</v>
      </c>
      <c r="K359" s="1943"/>
      <c r="L359" s="1921"/>
      <c r="M359" s="1943"/>
      <c r="N359" s="1921"/>
      <c r="O359" s="1943"/>
      <c r="P359" s="1921"/>
      <c r="Q359" s="1943"/>
      <c r="R359" s="1921"/>
      <c r="S359" s="1644"/>
      <c r="T359" s="1648"/>
      <c r="U359" s="1644"/>
      <c r="V359" s="1648"/>
      <c r="W359" s="1644"/>
      <c r="X359" s="1648"/>
      <c r="Y359" s="1644"/>
    </row>
    <row r="360" spans="1:28" hidden="1">
      <c r="A360" s="1900" t="s">
        <v>1363</v>
      </c>
      <c r="C360" s="528">
        <f>C354+C355-C359</f>
        <v>23697291.296462558</v>
      </c>
      <c r="D360" s="528">
        <f>D366-D359-D361-D362-D365</f>
        <v>24842886.746287748</v>
      </c>
      <c r="F360" s="1943">
        <f t="shared" si="447"/>
        <v>3.5143</v>
      </c>
      <c r="G360" s="1921" t="s">
        <v>495</v>
      </c>
      <c r="H360" s="1644">
        <f t="shared" si="454"/>
        <v>832794</v>
      </c>
      <c r="I360" s="1644">
        <f t="shared" si="455"/>
        <v>873054</v>
      </c>
      <c r="K360" s="1943"/>
      <c r="L360" s="1921"/>
      <c r="M360" s="1943"/>
      <c r="N360" s="1921"/>
      <c r="O360" s="1943"/>
      <c r="P360" s="1921"/>
      <c r="Q360" s="1943"/>
      <c r="R360" s="1921"/>
      <c r="S360" s="1644"/>
      <c r="T360" s="1648"/>
      <c r="U360" s="1644"/>
      <c r="V360" s="1648"/>
      <c r="W360" s="1644"/>
      <c r="X360" s="1648"/>
      <c r="Y360" s="1644"/>
    </row>
    <row r="361" spans="1:28" hidden="1">
      <c r="A361" s="1116" t="s">
        <v>1158</v>
      </c>
      <c r="C361" s="528">
        <f>C343</f>
        <v>400</v>
      </c>
      <c r="D361" s="528">
        <f>ROUND(C361/(C366-C362)*D366,0)</f>
        <v>419</v>
      </c>
      <c r="F361" s="1943">
        <f t="shared" si="447"/>
        <v>7.125</v>
      </c>
      <c r="G361" s="1921" t="s">
        <v>495</v>
      </c>
      <c r="H361" s="1644">
        <f t="shared" si="454"/>
        <v>29</v>
      </c>
      <c r="I361" s="1644">
        <f t="shared" si="455"/>
        <v>30</v>
      </c>
      <c r="K361" s="1943">
        <f>K253</f>
        <v>0</v>
      </c>
      <c r="L361" s="1921" t="s">
        <v>495</v>
      </c>
      <c r="M361" s="1943">
        <f>M253</f>
        <v>7.125</v>
      </c>
      <c r="N361" s="1921" t="s">
        <v>495</v>
      </c>
      <c r="O361" s="1943">
        <f>O253</f>
        <v>0</v>
      </c>
      <c r="P361" s="1921" t="s">
        <v>495</v>
      </c>
      <c r="Q361" s="1943">
        <f>Q253</f>
        <v>7.125</v>
      </c>
      <c r="R361" s="1921" t="s">
        <v>495</v>
      </c>
      <c r="S361" s="1644">
        <f>ROUND($D361*K361/100,0)</f>
        <v>0</v>
      </c>
      <c r="T361" s="1648"/>
      <c r="U361" s="1644">
        <f>ROUND($D361*M361/100,0)</f>
        <v>30</v>
      </c>
      <c r="V361" s="1648"/>
      <c r="W361" s="1644">
        <f>ROUND($D361*O361/100,0)</f>
        <v>0</v>
      </c>
      <c r="X361" s="1648"/>
      <c r="Y361" s="1644">
        <f>ROUND($D361*Q361/100,0)</f>
        <v>30</v>
      </c>
    </row>
    <row r="362" spans="1:28" hidden="1">
      <c r="A362" s="1900" t="s">
        <v>246</v>
      </c>
      <c r="C362" s="529">
        <v>0</v>
      </c>
      <c r="D362" s="529">
        <v>0</v>
      </c>
      <c r="H362" s="1030">
        <v>0</v>
      </c>
      <c r="I362" s="1030">
        <v>0</v>
      </c>
      <c r="S362" s="1030"/>
      <c r="U362" s="1030"/>
      <c r="W362" s="1030"/>
      <c r="Y362" s="1030"/>
    </row>
    <row r="363" spans="1:28" hidden="1">
      <c r="A363" s="1900" t="s">
        <v>1240</v>
      </c>
      <c r="C363" s="584"/>
      <c r="D363" s="584"/>
      <c r="F363" s="1930">
        <f t="shared" ref="F363" si="456">F255</f>
        <v>-3.61E-2</v>
      </c>
      <c r="G363" s="597"/>
      <c r="H363" s="1644">
        <f>SUM(H356:H357,H359:H361)*$F363</f>
        <v>-154151.2598</v>
      </c>
      <c r="I363" s="1644">
        <f>SUM(I356:I357,I359:I361)*$F363</f>
        <v>-161603.13010000001</v>
      </c>
      <c r="K363" s="1930"/>
      <c r="L363" s="597"/>
      <c r="M363" s="1930"/>
      <c r="N363" s="597"/>
      <c r="O363" s="1931" t="str">
        <f>$O$43</f>
        <v>Tax Year 1 (7/1/2021)</v>
      </c>
      <c r="P363" s="597"/>
      <c r="Q363" s="1930">
        <f>$Q$687</f>
        <v>-2.76E-2</v>
      </c>
      <c r="R363" s="597"/>
      <c r="S363" s="1644"/>
      <c r="T363" s="1645"/>
      <c r="U363" s="1644"/>
      <c r="V363" s="1645"/>
      <c r="W363" s="1644"/>
      <c r="X363" s="1645"/>
      <c r="Y363" s="1644">
        <f>Q363*SUM(Y352:Y355,Y361)</f>
        <v>-124787.3556</v>
      </c>
    </row>
    <row r="364" spans="1:28" hidden="1">
      <c r="A364" s="1900"/>
      <c r="C364" s="584"/>
      <c r="D364" s="584"/>
      <c r="F364" s="1930"/>
      <c r="G364" s="597"/>
      <c r="H364" s="1644"/>
      <c r="I364" s="1644"/>
      <c r="K364" s="1930"/>
      <c r="L364" s="597"/>
      <c r="M364" s="1930"/>
      <c r="N364" s="597"/>
      <c r="O364" s="1931" t="str">
        <f>$O$44</f>
        <v>Tax Year 2 (1/1/2022)</v>
      </c>
      <c r="P364" s="597"/>
      <c r="Q364" s="1930">
        <f>$Q$688</f>
        <v>-1.4999999999999999E-2</v>
      </c>
      <c r="R364" s="597"/>
      <c r="S364" s="1644"/>
      <c r="T364" s="1645"/>
      <c r="U364" s="1644"/>
      <c r="V364" s="1645"/>
      <c r="W364" s="1644"/>
      <c r="X364" s="1645"/>
      <c r="Y364" s="1644">
        <f>Q364*SUM(Y352:Y355,Y361)</f>
        <v>-67819.214999999997</v>
      </c>
    </row>
    <row r="365" spans="1:28" ht="16.5" hidden="1" thickBot="1">
      <c r="A365" s="1116" t="s">
        <v>1317</v>
      </c>
      <c r="C365" s="584">
        <v>0</v>
      </c>
      <c r="D365" s="528">
        <f>ROUND(C365/(C366-C362)*D366,0)</f>
        <v>0</v>
      </c>
      <c r="F365" s="1930"/>
      <c r="G365" s="597"/>
      <c r="H365" s="1644"/>
      <c r="I365" s="1644"/>
      <c r="K365" s="1930"/>
      <c r="L365" s="597"/>
      <c r="M365" s="1930"/>
      <c r="N365" s="597"/>
      <c r="O365" s="1939"/>
      <c r="Q365" s="1939"/>
      <c r="S365" s="1647"/>
      <c r="U365" s="1647"/>
      <c r="W365" s="1647"/>
      <c r="Y365" s="1647"/>
    </row>
    <row r="366" spans="1:28" ht="17.25" hidden="1" thickTop="1" thickBot="1">
      <c r="A366" s="1900" t="s">
        <v>247</v>
      </c>
      <c r="C366" s="1949">
        <f>SUM(C359:C361,C362,C365)</f>
        <v>37621399</v>
      </c>
      <c r="D366" s="1949">
        <f>C366*D753/C753</f>
        <v>39440125.746287748</v>
      </c>
      <c r="F366" s="1939"/>
      <c r="H366" s="1647">
        <f>SUM(H348:H363)</f>
        <v>5163686.7401999999</v>
      </c>
      <c r="I366" s="1647">
        <f>SUM(I348:I363)</f>
        <v>5408805.8699000003</v>
      </c>
      <c r="K366" s="1939"/>
      <c r="M366" s="1939"/>
      <c r="O366" s="1939"/>
      <c r="Q366" s="1939"/>
      <c r="S366" s="1647">
        <f>SUM(S348:S362)</f>
        <v>2551394</v>
      </c>
      <c r="U366" s="1647">
        <f>SUM(U348:U362)</f>
        <v>2218309</v>
      </c>
      <c r="W366" s="1647">
        <f>SUM(W348:W362)</f>
        <v>842959</v>
      </c>
      <c r="Y366" s="1647">
        <f>SUM(Y348:Y362)</f>
        <v>5612663</v>
      </c>
      <c r="AA366" s="1104" t="s">
        <v>1743</v>
      </c>
      <c r="AB366" s="1890">
        <f>Y366/I366-1</f>
        <v>3.7689858908500407E-2</v>
      </c>
    </row>
    <row r="367" spans="1:28" ht="16.5" thickTop="1">
      <c r="C367" s="528"/>
      <c r="D367" s="528"/>
    </row>
    <row r="368" spans="1:28">
      <c r="A368" s="1897" t="s">
        <v>1918</v>
      </c>
      <c r="C368" s="528"/>
      <c r="D368" s="528"/>
    </row>
    <row r="369" spans="1:28">
      <c r="A369" s="1900" t="s">
        <v>240</v>
      </c>
      <c r="C369" s="528">
        <f>C403+C437+C471</f>
        <v>461.81666666666666</v>
      </c>
      <c r="D369" s="528">
        <f>D403+D437+D471</f>
        <v>601.96638791828354</v>
      </c>
      <c r="F369" s="1901"/>
      <c r="G369" s="1902"/>
      <c r="H369" s="1644"/>
      <c r="I369" s="1644"/>
      <c r="K369" s="1901">
        <f>K225</f>
        <v>54</v>
      </c>
      <c r="L369" s="1902"/>
      <c r="M369" s="1901">
        <f>M225</f>
        <v>0</v>
      </c>
      <c r="N369" s="1902"/>
      <c r="O369" s="1901">
        <f>O225</f>
        <v>0</v>
      </c>
      <c r="P369" s="1902"/>
      <c r="Q369" s="1901">
        <f t="shared" ref="Q369:Q379" si="457">Q225</f>
        <v>54</v>
      </c>
      <c r="R369" s="1902"/>
      <c r="S369" s="1644">
        <f>ROUND($D369*K369,0)</f>
        <v>32506</v>
      </c>
      <c r="T369" s="1643"/>
      <c r="U369" s="1644">
        <f>ROUND($D369*M369,0)</f>
        <v>0</v>
      </c>
      <c r="V369" s="1643"/>
      <c r="W369" s="1644">
        <f>ROUND($D369*O369,0)</f>
        <v>0</v>
      </c>
      <c r="X369" s="1643"/>
      <c r="Y369" s="1644">
        <f>ROUND($D369*Q369,0)</f>
        <v>32506</v>
      </c>
      <c r="AA369" s="1109"/>
      <c r="AB369" s="1114"/>
    </row>
    <row r="370" spans="1:28">
      <c r="A370" s="1900" t="s">
        <v>1910</v>
      </c>
      <c r="C370" s="528">
        <f t="shared" ref="C370:C379" si="458">C404+C438+C472</f>
        <v>494309</v>
      </c>
      <c r="D370" s="528">
        <f t="shared" ref="D370" si="459">D404+D438+D472</f>
        <v>617625.15581650264</v>
      </c>
      <c r="E370" s="597"/>
      <c r="F370" s="1942"/>
      <c r="G370" s="1921"/>
      <c r="H370" s="1644"/>
      <c r="I370" s="1644"/>
      <c r="J370" s="597"/>
      <c r="K370" s="1942">
        <f t="shared" ref="K370" si="460">K226</f>
        <v>3.9525000000000001</v>
      </c>
      <c r="L370" s="1921" t="s">
        <v>495</v>
      </c>
      <c r="M370" s="1942">
        <f t="shared" ref="M370" si="461">M226</f>
        <v>17.075028114911813</v>
      </c>
      <c r="N370" s="1921" t="s">
        <v>495</v>
      </c>
      <c r="O370" s="1942">
        <f t="shared" ref="O370" si="462">O226</f>
        <v>1.3496999999999999</v>
      </c>
      <c r="P370" s="1921" t="s">
        <v>495</v>
      </c>
      <c r="Q370" s="1942">
        <f t="shared" si="457"/>
        <v>22.377228114911812</v>
      </c>
      <c r="R370" s="1921" t="s">
        <v>495</v>
      </c>
      <c r="S370" s="1644">
        <f>ROUND($D370*K370/100,0)</f>
        <v>24412</v>
      </c>
      <c r="T370" s="1648"/>
      <c r="U370" s="1644">
        <f>ROUND($D370*M370/100,0)</f>
        <v>105460</v>
      </c>
      <c r="V370" s="1648"/>
      <c r="W370" s="1644">
        <f>ROUND($D370*O370/100,0)</f>
        <v>8336</v>
      </c>
      <c r="X370" s="1648"/>
      <c r="Y370" s="1644">
        <f>ROUND($D370*Q370/100,0)</f>
        <v>138207</v>
      </c>
      <c r="AA370" s="596"/>
      <c r="AB370" s="596"/>
    </row>
    <row r="371" spans="1:28">
      <c r="A371" s="1900" t="s">
        <v>1911</v>
      </c>
      <c r="C371" s="528">
        <f t="shared" si="458"/>
        <v>1183199</v>
      </c>
      <c r="D371" s="528">
        <f t="shared" ref="D371" si="463">D405+D439+D473</f>
        <v>1470157.0589540326</v>
      </c>
      <c r="E371" s="597"/>
      <c r="F371" s="1942"/>
      <c r="G371" s="1921"/>
      <c r="H371" s="1644"/>
      <c r="I371" s="1644"/>
      <c r="J371" s="597"/>
      <c r="K371" s="1942">
        <f t="shared" ref="K371" si="464">K227</f>
        <v>3.9525000000000001</v>
      </c>
      <c r="L371" s="1921" t="s">
        <v>495</v>
      </c>
      <c r="M371" s="1942">
        <f t="shared" ref="M371" si="465">M227</f>
        <v>-0.91518271744099966</v>
      </c>
      <c r="N371" s="1921" t="s">
        <v>495</v>
      </c>
      <c r="O371" s="1942">
        <f t="shared" ref="O371" si="466">O227</f>
        <v>1.3496999999999999</v>
      </c>
      <c r="P371" s="1921" t="s">
        <v>495</v>
      </c>
      <c r="Q371" s="1942">
        <f t="shared" si="457"/>
        <v>4.3870172825590004</v>
      </c>
      <c r="R371" s="1921" t="s">
        <v>495</v>
      </c>
      <c r="S371" s="1644">
        <f t="shared" ref="S371:S377" si="467">ROUND($D371*K371/100,0)</f>
        <v>58108</v>
      </c>
      <c r="T371" s="1648"/>
      <c r="U371" s="1644">
        <f t="shared" ref="U371:U377" si="468">ROUND($D371*M371/100,0)</f>
        <v>-13455</v>
      </c>
      <c r="V371" s="1648"/>
      <c r="W371" s="1644">
        <f t="shared" ref="W371:W377" si="469">ROUND($D371*O371/100,0)</f>
        <v>19843</v>
      </c>
      <c r="X371" s="1648"/>
      <c r="Y371" s="1644">
        <f t="shared" ref="Y371:Y377" si="470">ROUND($D371*Q371/100,0)</f>
        <v>64496</v>
      </c>
      <c r="AA371" s="596"/>
      <c r="AB371" s="596"/>
    </row>
    <row r="372" spans="1:28">
      <c r="A372" s="1900" t="s">
        <v>1912</v>
      </c>
      <c r="C372" s="528">
        <f t="shared" si="458"/>
        <v>856682.5</v>
      </c>
      <c r="D372" s="528">
        <f t="shared" ref="D372" si="471">D406+D440+D474</f>
        <v>1069622.9798240834</v>
      </c>
      <c r="E372" s="597"/>
      <c r="F372" s="1942"/>
      <c r="G372" s="1921"/>
      <c r="H372" s="1644"/>
      <c r="I372" s="1644"/>
      <c r="J372" s="597"/>
      <c r="K372" s="1942">
        <f t="shared" ref="K372" si="472">K228</f>
        <v>3.9525000000000001</v>
      </c>
      <c r="L372" s="1921" t="s">
        <v>495</v>
      </c>
      <c r="M372" s="1942">
        <f t="shared" ref="M372" si="473">M228</f>
        <v>14.656000000000001</v>
      </c>
      <c r="N372" s="1921" t="s">
        <v>495</v>
      </c>
      <c r="O372" s="1942">
        <f t="shared" ref="O372" si="474">O228</f>
        <v>1.1943999999999999</v>
      </c>
      <c r="P372" s="1921" t="s">
        <v>495</v>
      </c>
      <c r="Q372" s="1942">
        <f t="shared" si="457"/>
        <v>19.802900000000001</v>
      </c>
      <c r="R372" s="1921" t="s">
        <v>495</v>
      </c>
      <c r="S372" s="1644">
        <f t="shared" si="467"/>
        <v>42277</v>
      </c>
      <c r="T372" s="1648"/>
      <c r="U372" s="1644">
        <f t="shared" si="468"/>
        <v>156764</v>
      </c>
      <c r="V372" s="1648"/>
      <c r="W372" s="1644">
        <f t="shared" si="469"/>
        <v>12776</v>
      </c>
      <c r="X372" s="1648"/>
      <c r="Y372" s="1644">
        <f t="shared" si="470"/>
        <v>211816</v>
      </c>
      <c r="AA372" s="596"/>
      <c r="AB372" s="596"/>
    </row>
    <row r="373" spans="1:28">
      <c r="A373" s="1900" t="s">
        <v>1913</v>
      </c>
      <c r="C373" s="528">
        <f t="shared" si="458"/>
        <v>2262394.5</v>
      </c>
      <c r="D373" s="528">
        <f t="shared" ref="D373" si="475">D407+D441+D475</f>
        <v>2803065.8686222499</v>
      </c>
      <c r="E373" s="597"/>
      <c r="F373" s="1942"/>
      <c r="G373" s="1921"/>
      <c r="H373" s="1644"/>
      <c r="I373" s="1644"/>
      <c r="J373" s="597"/>
      <c r="K373" s="1942">
        <f t="shared" ref="K373" si="476">K229</f>
        <v>3.9525000000000001</v>
      </c>
      <c r="L373" s="1921" t="s">
        <v>495</v>
      </c>
      <c r="M373" s="1942">
        <f t="shared" ref="M373" si="477">M229</f>
        <v>-1.2646000000000002</v>
      </c>
      <c r="N373" s="1921" t="s">
        <v>495</v>
      </c>
      <c r="O373" s="1942">
        <f t="shared" ref="O373" si="478">O229</f>
        <v>1.1943999999999999</v>
      </c>
      <c r="P373" s="1921" t="s">
        <v>495</v>
      </c>
      <c r="Q373" s="1942">
        <f t="shared" si="457"/>
        <v>3.8822999999999999</v>
      </c>
      <c r="R373" s="1921" t="s">
        <v>495</v>
      </c>
      <c r="S373" s="1644">
        <f t="shared" si="467"/>
        <v>110791</v>
      </c>
      <c r="T373" s="1648"/>
      <c r="U373" s="1644">
        <f t="shared" si="468"/>
        <v>-35448</v>
      </c>
      <c r="V373" s="1648"/>
      <c r="W373" s="1644">
        <f t="shared" si="469"/>
        <v>33480</v>
      </c>
      <c r="X373" s="1648"/>
      <c r="Y373" s="1644">
        <f t="shared" si="470"/>
        <v>108823</v>
      </c>
      <c r="AA373" s="596"/>
      <c r="AB373" s="596"/>
    </row>
    <row r="374" spans="1:28">
      <c r="A374" s="1900" t="s">
        <v>1906</v>
      </c>
      <c r="C374" s="528">
        <f t="shared" si="458"/>
        <v>931604.91289976228</v>
      </c>
      <c r="D374" s="528">
        <f t="shared" ref="D374" si="479">D408+D442+D476</f>
        <v>1159450.9047616925</v>
      </c>
      <c r="E374" s="597"/>
      <c r="F374" s="1942"/>
      <c r="G374" s="1921"/>
      <c r="H374" s="1644"/>
      <c r="I374" s="1644"/>
      <c r="J374" s="597"/>
      <c r="K374" s="1942">
        <f t="shared" ref="K374" si="480">K230</f>
        <v>0</v>
      </c>
      <c r="L374" s="1921" t="s">
        <v>495</v>
      </c>
      <c r="M374" s="1942">
        <f t="shared" ref="M374" si="481">M230</f>
        <v>0</v>
      </c>
      <c r="N374" s="1921" t="s">
        <v>495</v>
      </c>
      <c r="O374" s="1942">
        <f t="shared" ref="O374" si="482">O230</f>
        <v>6</v>
      </c>
      <c r="P374" s="1921" t="s">
        <v>495</v>
      </c>
      <c r="Q374" s="1942">
        <f t="shared" si="457"/>
        <v>6</v>
      </c>
      <c r="R374" s="1921" t="s">
        <v>495</v>
      </c>
      <c r="S374" s="1644">
        <f t="shared" si="467"/>
        <v>0</v>
      </c>
      <c r="T374" s="1648"/>
      <c r="U374" s="1644">
        <f t="shared" si="468"/>
        <v>0</v>
      </c>
      <c r="V374" s="1648"/>
      <c r="W374" s="1644">
        <f t="shared" si="469"/>
        <v>69567</v>
      </c>
      <c r="X374" s="1648"/>
      <c r="Y374" s="1644">
        <f t="shared" si="470"/>
        <v>69567</v>
      </c>
      <c r="AA374" s="596"/>
      <c r="AB374" s="596"/>
    </row>
    <row r="375" spans="1:28">
      <c r="A375" s="1900" t="s">
        <v>1907</v>
      </c>
      <c r="C375" s="528">
        <f t="shared" si="458"/>
        <v>745903.08710023749</v>
      </c>
      <c r="D375" s="528">
        <f t="shared" ref="D375" si="483">D409+D443+D477</f>
        <v>928331.31000884238</v>
      </c>
      <c r="E375" s="597"/>
      <c r="F375" s="1942"/>
      <c r="G375" s="1921"/>
      <c r="H375" s="1644"/>
      <c r="I375" s="1644"/>
      <c r="J375" s="597"/>
      <c r="K375" s="1942">
        <f t="shared" ref="K375" si="484">K231</f>
        <v>0</v>
      </c>
      <c r="L375" s="1921" t="s">
        <v>495</v>
      </c>
      <c r="M375" s="1942">
        <f t="shared" ref="M375" si="485">M231</f>
        <v>0</v>
      </c>
      <c r="N375" s="1921" t="s">
        <v>495</v>
      </c>
      <c r="O375" s="1942">
        <f t="shared" ref="O375" si="486">O231</f>
        <v>-2.3358000000000008</v>
      </c>
      <c r="P375" s="1921" t="s">
        <v>495</v>
      </c>
      <c r="Q375" s="1942">
        <f t="shared" si="457"/>
        <v>-2.3358000000000008</v>
      </c>
      <c r="R375" s="1921" t="s">
        <v>495</v>
      </c>
      <c r="S375" s="1644">
        <f t="shared" si="467"/>
        <v>0</v>
      </c>
      <c r="T375" s="1648"/>
      <c r="U375" s="1644">
        <f t="shared" si="468"/>
        <v>0</v>
      </c>
      <c r="V375" s="1648"/>
      <c r="W375" s="1644">
        <f t="shared" si="469"/>
        <v>-21684</v>
      </c>
      <c r="X375" s="1648"/>
      <c r="Y375" s="1644">
        <f t="shared" si="470"/>
        <v>-21684</v>
      </c>
      <c r="AA375" s="596"/>
      <c r="AB375" s="596"/>
    </row>
    <row r="376" spans="1:28">
      <c r="A376" s="1900" t="s">
        <v>1908</v>
      </c>
      <c r="C376" s="528">
        <f t="shared" si="458"/>
        <v>1732180.983287503</v>
      </c>
      <c r="D376" s="528">
        <f t="shared" ref="D376" si="487">D410+D444+D478</f>
        <v>2150699.7029788997</v>
      </c>
      <c r="E376" s="597"/>
      <c r="F376" s="1942"/>
      <c r="G376" s="1921"/>
      <c r="H376" s="1644"/>
      <c r="I376" s="1644"/>
      <c r="J376" s="597"/>
      <c r="K376" s="1942">
        <f t="shared" ref="K376" si="488">K232</f>
        <v>0</v>
      </c>
      <c r="L376" s="1921" t="s">
        <v>495</v>
      </c>
      <c r="M376" s="1942">
        <f t="shared" ref="M376" si="489">M232</f>
        <v>0</v>
      </c>
      <c r="N376" s="1921" t="s">
        <v>495</v>
      </c>
      <c r="O376" s="1942">
        <f t="shared" ref="O376" si="490">O232</f>
        <v>5.3097000000000003</v>
      </c>
      <c r="P376" s="1921" t="s">
        <v>495</v>
      </c>
      <c r="Q376" s="1942">
        <f t="shared" si="457"/>
        <v>5.3097000000000003</v>
      </c>
      <c r="R376" s="1921" t="s">
        <v>495</v>
      </c>
      <c r="S376" s="1644">
        <f t="shared" si="467"/>
        <v>0</v>
      </c>
      <c r="T376" s="1648"/>
      <c r="U376" s="1644">
        <f t="shared" si="468"/>
        <v>0</v>
      </c>
      <c r="V376" s="1648"/>
      <c r="W376" s="1644">
        <f t="shared" si="469"/>
        <v>114196</v>
      </c>
      <c r="X376" s="1648"/>
      <c r="Y376" s="1644">
        <f t="shared" si="470"/>
        <v>114196</v>
      </c>
      <c r="AA376" s="596"/>
      <c r="AB376" s="596"/>
    </row>
    <row r="377" spans="1:28">
      <c r="A377" s="1900" t="s">
        <v>1909</v>
      </c>
      <c r="C377" s="528">
        <f t="shared" si="458"/>
        <v>1386896.0167124968</v>
      </c>
      <c r="D377" s="528">
        <f t="shared" ref="D377" si="491">D411+D445+D479</f>
        <v>1721989.1454674334</v>
      </c>
      <c r="E377" s="597"/>
      <c r="F377" s="1942"/>
      <c r="G377" s="1921"/>
      <c r="H377" s="1644"/>
      <c r="I377" s="1644"/>
      <c r="J377" s="597"/>
      <c r="K377" s="1942">
        <f t="shared" ref="K377" si="492">K233</f>
        <v>0</v>
      </c>
      <c r="L377" s="1921" t="s">
        <v>495</v>
      </c>
      <c r="M377" s="1942">
        <f t="shared" ref="M377" si="493">M233</f>
        <v>0</v>
      </c>
      <c r="N377" s="1921" t="s">
        <v>495</v>
      </c>
      <c r="O377" s="1942">
        <f t="shared" ref="O377" si="494">O233</f>
        <v>-2.0670999999999999</v>
      </c>
      <c r="P377" s="1921" t="s">
        <v>495</v>
      </c>
      <c r="Q377" s="1942">
        <f t="shared" si="457"/>
        <v>-2.0670999999999999</v>
      </c>
      <c r="R377" s="1921" t="s">
        <v>495</v>
      </c>
      <c r="S377" s="1644">
        <f t="shared" si="467"/>
        <v>0</v>
      </c>
      <c r="T377" s="1648"/>
      <c r="U377" s="1644">
        <f t="shared" si="468"/>
        <v>0</v>
      </c>
      <c r="V377" s="1648"/>
      <c r="W377" s="1644">
        <f t="shared" si="469"/>
        <v>-35595</v>
      </c>
      <c r="X377" s="1648"/>
      <c r="Y377" s="1644">
        <f t="shared" si="470"/>
        <v>-35595</v>
      </c>
      <c r="AA377" s="596"/>
      <c r="AB377" s="596"/>
    </row>
    <row r="378" spans="1:28">
      <c r="A378" s="1900" t="s">
        <v>261</v>
      </c>
      <c r="C378" s="528">
        <f t="shared" si="458"/>
        <v>0</v>
      </c>
      <c r="D378" s="528">
        <f t="shared" ref="D378" si="495">D412+D446+D480</f>
        <v>0</v>
      </c>
      <c r="F378" s="1901"/>
      <c r="G378" s="1902"/>
      <c r="H378" s="1644"/>
      <c r="I378" s="1644"/>
      <c r="K378" s="1901">
        <f t="shared" ref="K378" si="496">K234</f>
        <v>-0.61</v>
      </c>
      <c r="L378" s="1902"/>
      <c r="M378" s="1901">
        <f t="shared" ref="M378" si="497">M234</f>
        <v>0</v>
      </c>
      <c r="N378" s="1902"/>
      <c r="O378" s="1901">
        <f t="shared" ref="O378" si="498">O234</f>
        <v>0</v>
      </c>
      <c r="P378" s="1902"/>
      <c r="Q378" s="1901">
        <f t="shared" si="457"/>
        <v>-0.61</v>
      </c>
      <c r="R378" s="1902"/>
      <c r="S378" s="1644">
        <f>ROUND($D378*K378,0)</f>
        <v>0</v>
      </c>
      <c r="T378" s="1643"/>
      <c r="U378" s="1644">
        <f>ROUND($D378*M378,0)</f>
        <v>0</v>
      </c>
      <c r="V378" s="1643"/>
      <c r="W378" s="1644">
        <f>ROUND($D378*O378,0)</f>
        <v>0</v>
      </c>
      <c r="X378" s="1643"/>
      <c r="Y378" s="1644">
        <f>ROUND($D378*Q378,0)</f>
        <v>0</v>
      </c>
      <c r="AA378" s="596"/>
      <c r="AB378" s="596"/>
    </row>
    <row r="379" spans="1:28">
      <c r="A379" s="1116" t="s">
        <v>1158</v>
      </c>
      <c r="C379" s="528">
        <f t="shared" si="458"/>
        <v>0</v>
      </c>
      <c r="D379" s="528">
        <f t="shared" ref="D379" si="499">D413+D447+D481</f>
        <v>0</v>
      </c>
      <c r="F379" s="1943"/>
      <c r="G379" s="1921"/>
      <c r="H379" s="1644"/>
      <c r="I379" s="1644"/>
      <c r="K379" s="1943">
        <f t="shared" ref="K379" si="500">K235</f>
        <v>0</v>
      </c>
      <c r="L379" s="1921" t="s">
        <v>495</v>
      </c>
      <c r="M379" s="1943">
        <f t="shared" ref="M379" si="501">M235</f>
        <v>7.125</v>
      </c>
      <c r="N379" s="1921" t="s">
        <v>495</v>
      </c>
      <c r="O379" s="1943">
        <f t="shared" ref="O379" si="502">O235</f>
        <v>0</v>
      </c>
      <c r="P379" s="1921" t="s">
        <v>495</v>
      </c>
      <c r="Q379" s="1943">
        <f t="shared" si="457"/>
        <v>7.125</v>
      </c>
      <c r="R379" s="1921" t="s">
        <v>495</v>
      </c>
      <c r="S379" s="1644">
        <f>ROUND($D379*K379/100,0)</f>
        <v>0</v>
      </c>
      <c r="T379" s="1648"/>
      <c r="U379" s="1644">
        <f>ROUND($D379*M379/100,0)</f>
        <v>0</v>
      </c>
      <c r="V379" s="1648"/>
      <c r="W379" s="1644">
        <f>ROUND($D379*O379/100,0)</f>
        <v>0</v>
      </c>
      <c r="X379" s="1648"/>
      <c r="Y379" s="1644">
        <f>ROUND($D379*Q379/100,0)</f>
        <v>0</v>
      </c>
      <c r="AA379" s="1109"/>
      <c r="AB379" s="1114"/>
    </row>
    <row r="380" spans="1:28">
      <c r="A380" s="1900" t="s">
        <v>1240</v>
      </c>
      <c r="C380" s="584"/>
      <c r="D380" s="584"/>
      <c r="F380" s="1930"/>
      <c r="G380" s="597"/>
      <c r="H380" s="1644"/>
      <c r="I380" s="1644"/>
      <c r="K380" s="1930"/>
      <c r="L380" s="597"/>
      <c r="M380" s="1930"/>
      <c r="N380" s="597"/>
      <c r="O380" s="1931" t="str">
        <f>$O$43</f>
        <v>Tax Year 1 (7/1/2021)</v>
      </c>
      <c r="P380" s="597"/>
      <c r="Q380" s="1930">
        <f>$Q$979</f>
        <v>-3.0599999999999999E-2</v>
      </c>
      <c r="R380" s="597"/>
      <c r="S380" s="1645"/>
      <c r="T380" s="1645"/>
      <c r="U380" s="1645"/>
      <c r="V380" s="1645"/>
      <c r="W380" s="1645"/>
      <c r="X380" s="1645"/>
      <c r="Y380" s="1644">
        <f>Q380*SUM(Y370:Y373,Y379)</f>
        <v>-16014.2652</v>
      </c>
    </row>
    <row r="381" spans="1:28">
      <c r="A381" s="1900"/>
      <c r="C381" s="584"/>
      <c r="D381" s="584"/>
      <c r="F381" s="1930"/>
      <c r="G381" s="597"/>
      <c r="H381" s="1644"/>
      <c r="I381" s="1644"/>
      <c r="K381" s="1930"/>
      <c r="L381" s="597"/>
      <c r="M381" s="1930"/>
      <c r="N381" s="597"/>
      <c r="O381" s="1931" t="str">
        <f>$O$44</f>
        <v>Tax Year 2 (1/1/2022)</v>
      </c>
      <c r="P381" s="597"/>
      <c r="Q381" s="1930">
        <f>$Q$980</f>
        <v>-1.66E-2</v>
      </c>
      <c r="R381" s="597"/>
      <c r="S381" s="1645"/>
      <c r="T381" s="1645"/>
      <c r="U381" s="1645"/>
      <c r="V381" s="1645"/>
      <c r="W381" s="1645"/>
      <c r="X381" s="1645"/>
      <c r="Y381" s="1644">
        <f>Q381*SUM(Y370:Y373,Y379)</f>
        <v>-8687.4771999999994</v>
      </c>
    </row>
    <row r="382" spans="1:28">
      <c r="A382" s="1900" t="s">
        <v>1923</v>
      </c>
      <c r="C382" s="528">
        <f>SUM(C374:C377,C379)</f>
        <v>4796585</v>
      </c>
      <c r="D382" s="528">
        <f>SUM(D374:D377,D379)</f>
        <v>5960471.0632168679</v>
      </c>
      <c r="F382" s="1901"/>
      <c r="G382" s="1902"/>
      <c r="H382" s="1644"/>
      <c r="I382" s="1644"/>
      <c r="K382" s="1901"/>
      <c r="L382" s="1902"/>
      <c r="M382" s="1901"/>
      <c r="N382" s="1902"/>
      <c r="O382" s="1901"/>
      <c r="P382" s="1902"/>
      <c r="Q382" s="1901"/>
      <c r="R382" s="1902"/>
      <c r="S382" s="1644">
        <f>SUM(S369:S379)</f>
        <v>268094</v>
      </c>
      <c r="T382" s="1643"/>
      <c r="U382" s="1644">
        <f>SUM(U369:U379)</f>
        <v>213321</v>
      </c>
      <c r="V382" s="1643"/>
      <c r="W382" s="1644">
        <f>SUM(W369:W379)</f>
        <v>200919</v>
      </c>
      <c r="X382" s="1643"/>
      <c r="Y382" s="1644">
        <f>SUM(Y369:Y379)</f>
        <v>682332</v>
      </c>
      <c r="AA382" s="1109" t="s">
        <v>1743</v>
      </c>
      <c r="AB382" s="1499">
        <f>Y382/Y400-1</f>
        <v>-0.2962057957411256</v>
      </c>
    </row>
    <row r="383" spans="1:28">
      <c r="A383" s="1900"/>
      <c r="C383" s="528"/>
      <c r="D383" s="528"/>
      <c r="F383" s="1901"/>
      <c r="G383" s="1902"/>
      <c r="H383" s="1644"/>
      <c r="I383" s="1644"/>
      <c r="K383" s="1901"/>
      <c r="L383" s="1902"/>
      <c r="M383" s="1901"/>
      <c r="N383" s="1902"/>
      <c r="O383" s="1901"/>
      <c r="P383" s="1902"/>
      <c r="Q383" s="1901"/>
      <c r="R383" s="1902"/>
      <c r="S383" s="1643"/>
      <c r="T383" s="1643"/>
      <c r="U383" s="1643"/>
      <c r="V383" s="1643"/>
      <c r="W383" s="1643"/>
      <c r="X383" s="1643"/>
      <c r="Y383" s="1644"/>
      <c r="AA383" s="1109"/>
      <c r="AB383" s="1114"/>
    </row>
    <row r="384" spans="1:28">
      <c r="A384" s="1900" t="s">
        <v>240</v>
      </c>
      <c r="C384" s="528">
        <f t="shared" ref="C384:D384" si="503">C418+C452+C486</f>
        <v>461.81666666666666</v>
      </c>
      <c r="D384" s="528">
        <f t="shared" si="503"/>
        <v>601.96638791828354</v>
      </c>
      <c r="F384" s="1901">
        <f>F240</f>
        <v>54</v>
      </c>
      <c r="G384" s="1902"/>
      <c r="H384" s="1644">
        <f t="shared" ref="H384:H386" si="504">ROUND($F384*C384,0)</f>
        <v>24938</v>
      </c>
      <c r="I384" s="1644">
        <f t="shared" ref="I384:I386" si="505">ROUND($F384*D384,0)</f>
        <v>32506</v>
      </c>
      <c r="K384" s="1901">
        <f t="shared" ref="K384" si="506">K240</f>
        <v>54</v>
      </c>
      <c r="L384" s="1902"/>
      <c r="M384" s="1901">
        <f t="shared" ref="M384" si="507">M240</f>
        <v>0</v>
      </c>
      <c r="N384" s="1902"/>
      <c r="O384" s="1901">
        <f t="shared" ref="O384" si="508">O240</f>
        <v>0</v>
      </c>
      <c r="P384" s="1902"/>
      <c r="Q384" s="1901">
        <f t="shared" ref="Q384:Q391" si="509">Q240</f>
        <v>54</v>
      </c>
      <c r="R384" s="1902"/>
      <c r="S384" s="1644">
        <f>ROUND($D384*K384,0)</f>
        <v>32506</v>
      </c>
      <c r="T384" s="1643"/>
      <c r="U384" s="1644">
        <f>ROUND($D384*M384,0)</f>
        <v>0</v>
      </c>
      <c r="V384" s="1643"/>
      <c r="W384" s="1644">
        <f>ROUND($D384*O384,0)</f>
        <v>0</v>
      </c>
      <c r="X384" s="1643"/>
      <c r="Y384" s="1644">
        <f>ROUND($D384*Q384,0)</f>
        <v>32506</v>
      </c>
    </row>
    <row r="385" spans="1:28">
      <c r="A385" s="1900" t="s">
        <v>262</v>
      </c>
      <c r="C385" s="528">
        <f t="shared" ref="C385:D385" si="510">C419+C453+C487</f>
        <v>0</v>
      </c>
      <c r="D385" s="528">
        <f t="shared" si="510"/>
        <v>0</v>
      </c>
      <c r="F385" s="1901">
        <f>F241</f>
        <v>648</v>
      </c>
      <c r="G385" s="1902"/>
      <c r="H385" s="1644">
        <f t="shared" si="504"/>
        <v>0</v>
      </c>
      <c r="I385" s="1644">
        <f t="shared" si="505"/>
        <v>0</v>
      </c>
      <c r="K385" s="1901">
        <f t="shared" ref="K385" si="511">K241</f>
        <v>648</v>
      </c>
      <c r="L385" s="1902"/>
      <c r="M385" s="1901">
        <f t="shared" ref="M385" si="512">M241</f>
        <v>0</v>
      </c>
      <c r="N385" s="1902"/>
      <c r="O385" s="1901">
        <f t="shared" ref="O385" si="513">O241</f>
        <v>0</v>
      </c>
      <c r="P385" s="1902"/>
      <c r="Q385" s="1901">
        <f t="shared" si="509"/>
        <v>648</v>
      </c>
      <c r="R385" s="1902"/>
      <c r="S385" s="1644">
        <f t="shared" ref="S385:S389" si="514">ROUND($D385*K385,0)</f>
        <v>0</v>
      </c>
      <c r="T385" s="1643"/>
      <c r="U385" s="1644">
        <f t="shared" ref="U385:U389" si="515">ROUND($D385*M385,0)</f>
        <v>0</v>
      </c>
      <c r="V385" s="1643"/>
      <c r="W385" s="1644">
        <f t="shared" ref="W385:W389" si="516">ROUND($D385*O385,0)</f>
        <v>0</v>
      </c>
      <c r="X385" s="1643"/>
      <c r="Y385" s="1644">
        <f t="shared" ref="Y385:Y389" si="517">ROUND($D385*Q385,0)</f>
        <v>0</v>
      </c>
    </row>
    <row r="386" spans="1:28">
      <c r="A386" s="1900" t="s">
        <v>1298</v>
      </c>
      <c r="C386" s="528">
        <f t="shared" ref="C386:D386" si="518">C420+C454+C488</f>
        <v>0</v>
      </c>
      <c r="D386" s="528">
        <f t="shared" si="518"/>
        <v>0</v>
      </c>
      <c r="F386" s="1944">
        <f>F242</f>
        <v>54</v>
      </c>
      <c r="G386" s="597"/>
      <c r="H386" s="1644">
        <f t="shared" si="504"/>
        <v>0</v>
      </c>
      <c r="I386" s="1644">
        <f t="shared" si="505"/>
        <v>0</v>
      </c>
      <c r="K386" s="1944">
        <f t="shared" ref="K386" si="519">K242</f>
        <v>54</v>
      </c>
      <c r="L386" s="597"/>
      <c r="M386" s="1944">
        <f t="shared" ref="M386" si="520">M242</f>
        <v>0</v>
      </c>
      <c r="N386" s="597"/>
      <c r="O386" s="1944">
        <f t="shared" ref="O386" si="521">O242</f>
        <v>0</v>
      </c>
      <c r="P386" s="597"/>
      <c r="Q386" s="1944">
        <f t="shared" si="509"/>
        <v>54</v>
      </c>
      <c r="R386" s="597"/>
      <c r="S386" s="1644">
        <f t="shared" si="514"/>
        <v>0</v>
      </c>
      <c r="T386" s="1645"/>
      <c r="U386" s="1644">
        <f t="shared" si="515"/>
        <v>0</v>
      </c>
      <c r="V386" s="1645"/>
      <c r="W386" s="1644">
        <f t="shared" si="516"/>
        <v>0</v>
      </c>
      <c r="X386" s="1645"/>
      <c r="Y386" s="1644">
        <f t="shared" si="517"/>
        <v>0</v>
      </c>
    </row>
    <row r="387" spans="1:28">
      <c r="A387" s="1900" t="s">
        <v>168</v>
      </c>
      <c r="C387" s="528">
        <f t="shared" ref="C387:D387" si="522">C421+C455+C489</f>
        <v>32595.66707920792</v>
      </c>
      <c r="D387" s="528">
        <f t="shared" si="522"/>
        <v>42952</v>
      </c>
      <c r="F387" s="1901">
        <f>F243</f>
        <v>4.04</v>
      </c>
      <c r="G387" s="1902"/>
      <c r="H387" s="1644">
        <f>ROUND($F387*C387,0)</f>
        <v>131686</v>
      </c>
      <c r="I387" s="1644">
        <f>ROUND($F387*D387,0)</f>
        <v>173526</v>
      </c>
      <c r="K387" s="1901">
        <f t="shared" ref="K387" si="523">K243</f>
        <v>4.03</v>
      </c>
      <c r="L387" s="1902"/>
      <c r="M387" s="1901">
        <f t="shared" ref="M387" si="524">M243</f>
        <v>0</v>
      </c>
      <c r="N387" s="1902"/>
      <c r="O387" s="1901">
        <f t="shared" ref="O387" si="525">O243</f>
        <v>0</v>
      </c>
      <c r="P387" s="1902"/>
      <c r="Q387" s="1901">
        <f t="shared" si="509"/>
        <v>4.03</v>
      </c>
      <c r="R387" s="1902"/>
      <c r="S387" s="1644">
        <f t="shared" si="514"/>
        <v>173097</v>
      </c>
      <c r="T387" s="1643"/>
      <c r="U387" s="1644">
        <f t="shared" si="515"/>
        <v>0</v>
      </c>
      <c r="V387" s="1643"/>
      <c r="W387" s="1644">
        <f t="shared" si="516"/>
        <v>0</v>
      </c>
      <c r="X387" s="1643"/>
      <c r="Y387" s="1644">
        <f t="shared" si="517"/>
        <v>173097</v>
      </c>
    </row>
    <row r="388" spans="1:28">
      <c r="A388" s="1900" t="s">
        <v>1645</v>
      </c>
      <c r="C388" s="528">
        <f t="shared" ref="C388:D388" si="526">C422+C456+C490</f>
        <v>12234</v>
      </c>
      <c r="D388" s="528">
        <f t="shared" si="526"/>
        <v>16126</v>
      </c>
      <c r="F388" s="1944"/>
      <c r="G388" s="597"/>
      <c r="H388" s="1644"/>
      <c r="I388" s="1644"/>
      <c r="K388" s="1944">
        <f t="shared" ref="K388" si="527">K244</f>
        <v>6.34</v>
      </c>
      <c r="L388" s="597"/>
      <c r="M388" s="1944">
        <f t="shared" ref="M388" si="528">M244</f>
        <v>7.0600000000000005</v>
      </c>
      <c r="N388" s="597"/>
      <c r="O388" s="1944">
        <f t="shared" ref="O388" si="529">O244</f>
        <v>0</v>
      </c>
      <c r="P388" s="597"/>
      <c r="Q388" s="1944">
        <f t="shared" si="509"/>
        <v>13.4</v>
      </c>
      <c r="R388" s="597"/>
      <c r="S388" s="1644">
        <f t="shared" si="514"/>
        <v>102239</v>
      </c>
      <c r="T388" s="1645"/>
      <c r="U388" s="1644">
        <f t="shared" si="515"/>
        <v>113850</v>
      </c>
      <c r="V388" s="1645"/>
      <c r="W388" s="1644">
        <f t="shared" si="516"/>
        <v>0</v>
      </c>
      <c r="X388" s="1645"/>
      <c r="Y388" s="1644">
        <f t="shared" si="517"/>
        <v>216088</v>
      </c>
    </row>
    <row r="389" spans="1:28">
      <c r="A389" s="1900" t="s">
        <v>1646</v>
      </c>
      <c r="C389" s="528">
        <f t="shared" ref="C389:D389" si="530">C423+C457+C491</f>
        <v>20361.66707920792</v>
      </c>
      <c r="D389" s="528">
        <f t="shared" si="530"/>
        <v>26826</v>
      </c>
      <c r="F389" s="1944"/>
      <c r="G389" s="597"/>
      <c r="H389" s="1644"/>
      <c r="I389" s="1644"/>
      <c r="K389" s="1944">
        <f t="shared" ref="K389" si="531">K245</f>
        <v>5.61</v>
      </c>
      <c r="L389" s="597"/>
      <c r="M389" s="1944">
        <f t="shared" ref="M389" si="532">M245</f>
        <v>6.2499999999999991</v>
      </c>
      <c r="N389" s="597"/>
      <c r="O389" s="1944">
        <f t="shared" ref="O389" si="533">O245</f>
        <v>0</v>
      </c>
      <c r="P389" s="597"/>
      <c r="Q389" s="1944">
        <f t="shared" si="509"/>
        <v>11.86</v>
      </c>
      <c r="R389" s="597"/>
      <c r="S389" s="1644">
        <f t="shared" si="514"/>
        <v>150494</v>
      </c>
      <c r="T389" s="1645"/>
      <c r="U389" s="1644">
        <f t="shared" si="515"/>
        <v>167663</v>
      </c>
      <c r="V389" s="1645"/>
      <c r="W389" s="1644">
        <f t="shared" si="516"/>
        <v>0</v>
      </c>
      <c r="X389" s="1645"/>
      <c r="Y389" s="1644">
        <f t="shared" si="517"/>
        <v>318156</v>
      </c>
    </row>
    <row r="390" spans="1:28">
      <c r="A390" s="1900" t="s">
        <v>1647</v>
      </c>
      <c r="C390" s="528">
        <f t="shared" ref="C390:D390" si="534">C424+C458+C492</f>
        <v>1677508</v>
      </c>
      <c r="D390" s="528">
        <f t="shared" si="534"/>
        <v>2218023.3846987919</v>
      </c>
      <c r="F390" s="1943"/>
      <c r="G390" s="1921"/>
      <c r="H390" s="1644"/>
      <c r="I390" s="1644"/>
      <c r="K390" s="1943">
        <f t="shared" ref="K390" si="535">K246</f>
        <v>0</v>
      </c>
      <c r="L390" s="1921" t="s">
        <v>495</v>
      </c>
      <c r="M390" s="1943">
        <f t="shared" ref="M390" si="536">M246</f>
        <v>1.6192</v>
      </c>
      <c r="N390" s="1921" t="s">
        <v>495</v>
      </c>
      <c r="O390" s="1943">
        <f t="shared" ref="O390" si="537">O246</f>
        <v>2.305570240802</v>
      </c>
      <c r="P390" s="1921" t="s">
        <v>495</v>
      </c>
      <c r="Q390" s="1943">
        <f t="shared" si="509"/>
        <v>3.9247702408020002</v>
      </c>
      <c r="R390" s="1921" t="s">
        <v>495</v>
      </c>
      <c r="S390" s="1644">
        <f>ROUND($D390*K390/100,0)</f>
        <v>0</v>
      </c>
      <c r="T390" s="1648"/>
      <c r="U390" s="1644">
        <f>ROUND($D390*M390/100,0)</f>
        <v>35914</v>
      </c>
      <c r="V390" s="1648"/>
      <c r="W390" s="1644">
        <f>ROUND($D390*O390/100,0)</f>
        <v>51138</v>
      </c>
      <c r="X390" s="1648"/>
      <c r="Y390" s="1644">
        <f>ROUND($D390*Q390/100,0)</f>
        <v>87052</v>
      </c>
    </row>
    <row r="391" spans="1:28">
      <c r="A391" s="1900" t="s">
        <v>1648</v>
      </c>
      <c r="C391" s="528">
        <f t="shared" ref="C391:D391" si="538">C425+C459+C493</f>
        <v>3119077</v>
      </c>
      <c r="D391" s="528">
        <f t="shared" si="538"/>
        <v>4105852</v>
      </c>
      <c r="F391" s="1943"/>
      <c r="G391" s="1921"/>
      <c r="H391" s="1644"/>
      <c r="I391" s="1644"/>
      <c r="K391" s="1943">
        <f t="shared" ref="K391" si="539">K247</f>
        <v>0</v>
      </c>
      <c r="L391" s="1921" t="s">
        <v>495</v>
      </c>
      <c r="M391" s="1943">
        <f t="shared" ref="M391" si="540">M247</f>
        <v>1.4329000000000001</v>
      </c>
      <c r="N391" s="1921" t="s">
        <v>495</v>
      </c>
      <c r="O391" s="1943">
        <f t="shared" ref="O391" si="541">O247</f>
        <v>2.0403480007099999</v>
      </c>
      <c r="P391" s="1921" t="s">
        <v>495</v>
      </c>
      <c r="Q391" s="1943">
        <f t="shared" si="509"/>
        <v>3.4732480007099999</v>
      </c>
      <c r="R391" s="1921" t="s">
        <v>495</v>
      </c>
      <c r="S391" s="1644">
        <f>ROUND($D391*K391/100,0)</f>
        <v>0</v>
      </c>
      <c r="T391" s="1648"/>
      <c r="U391" s="1644">
        <f>ROUND($D391*M391/100,0)</f>
        <v>58833</v>
      </c>
      <c r="V391" s="1648"/>
      <c r="W391" s="1644">
        <f>ROUND($D391*O391/100,0)</f>
        <v>83774</v>
      </c>
      <c r="X391" s="1648"/>
      <c r="Y391" s="1644">
        <f>ROUND($D391*Q391/100,0)</f>
        <v>142606</v>
      </c>
    </row>
    <row r="392" spans="1:28">
      <c r="A392" s="1900" t="s">
        <v>196</v>
      </c>
      <c r="C392" s="528">
        <f t="shared" ref="C392:D392" si="542">C426+C460+C494</f>
        <v>12671.059772427265</v>
      </c>
      <c r="D392" s="528">
        <f t="shared" si="542"/>
        <v>16699</v>
      </c>
      <c r="F392" s="1901">
        <f>F248</f>
        <v>14.62</v>
      </c>
      <c r="G392" s="1902"/>
      <c r="H392" s="1644">
        <f t="shared" ref="H392:H394" si="543">ROUND($F392*C392,0)</f>
        <v>185251</v>
      </c>
      <c r="I392" s="1644">
        <f t="shared" ref="I392:I394" si="544">ROUND($F392*D392,0)</f>
        <v>244139</v>
      </c>
      <c r="K392" s="1901"/>
      <c r="L392" s="1902"/>
      <c r="M392" s="1901"/>
      <c r="N392" s="1902"/>
      <c r="O392" s="1901"/>
      <c r="P392" s="1902"/>
      <c r="Q392" s="1901"/>
      <c r="R392" s="1902"/>
      <c r="S392" s="1644"/>
      <c r="T392" s="1643"/>
      <c r="U392" s="1644"/>
      <c r="V392" s="1643"/>
      <c r="W392" s="1644"/>
      <c r="X392" s="1643"/>
      <c r="Y392" s="1644"/>
    </row>
    <row r="393" spans="1:28">
      <c r="A393" s="1900" t="s">
        <v>161</v>
      </c>
      <c r="C393" s="528">
        <f t="shared" ref="C393:D393" si="545">C427+C461+C495</f>
        <v>19924.607306780654</v>
      </c>
      <c r="D393" s="528">
        <f t="shared" si="545"/>
        <v>26252</v>
      </c>
      <c r="F393" s="1901">
        <f>F249</f>
        <v>10.91</v>
      </c>
      <c r="G393" s="1902"/>
      <c r="H393" s="1644">
        <f t="shared" si="543"/>
        <v>217377</v>
      </c>
      <c r="I393" s="1644">
        <f t="shared" si="544"/>
        <v>286409</v>
      </c>
      <c r="K393" s="1901"/>
      <c r="L393" s="1902"/>
      <c r="M393" s="1901"/>
      <c r="N393" s="1902"/>
      <c r="O393" s="1901"/>
      <c r="P393" s="1902"/>
      <c r="Q393" s="1901"/>
      <c r="R393" s="1902"/>
      <c r="S393" s="1644"/>
      <c r="T393" s="1643"/>
      <c r="U393" s="1644"/>
      <c r="V393" s="1643"/>
      <c r="W393" s="1644"/>
      <c r="X393" s="1643"/>
      <c r="Y393" s="1644"/>
    </row>
    <row r="394" spans="1:28">
      <c r="A394" s="1900" t="s">
        <v>261</v>
      </c>
      <c r="C394" s="528">
        <f t="shared" ref="C394:D394" si="546">C428+C462+C496</f>
        <v>0</v>
      </c>
      <c r="D394" s="528">
        <f t="shared" si="546"/>
        <v>0</v>
      </c>
      <c r="F394" s="1901">
        <f>F250</f>
        <v>-0.96</v>
      </c>
      <c r="G394" s="1902"/>
      <c r="H394" s="1644">
        <f t="shared" si="543"/>
        <v>0</v>
      </c>
      <c r="I394" s="1644">
        <f t="shared" si="544"/>
        <v>0</v>
      </c>
      <c r="K394" s="1901">
        <f>K250</f>
        <v>-0.96</v>
      </c>
      <c r="L394" s="1902"/>
      <c r="M394" s="1901">
        <f>M250</f>
        <v>0</v>
      </c>
      <c r="N394" s="1902"/>
      <c r="O394" s="1901">
        <f>O250</f>
        <v>0</v>
      </c>
      <c r="P394" s="1902"/>
      <c r="Q394" s="1901">
        <f>Q250</f>
        <v>-0.96</v>
      </c>
      <c r="R394" s="1902"/>
      <c r="S394" s="1644">
        <f t="shared" ref="S394" si="547">ROUND($D394*K394,0)</f>
        <v>0</v>
      </c>
      <c r="T394" s="1643"/>
      <c r="U394" s="1644">
        <f t="shared" ref="U394" si="548">ROUND($D394*M394,0)</f>
        <v>0</v>
      </c>
      <c r="V394" s="1643"/>
      <c r="W394" s="1644">
        <f t="shared" ref="W394" si="549">ROUND($D394*O394,0)</f>
        <v>0</v>
      </c>
      <c r="X394" s="1643"/>
      <c r="Y394" s="1644">
        <f t="shared" ref="Y394" si="550">ROUND($D394*Q394,0)</f>
        <v>0</v>
      </c>
    </row>
    <row r="395" spans="1:28">
      <c r="A395" s="1900" t="s">
        <v>1362</v>
      </c>
      <c r="C395" s="528">
        <f t="shared" ref="C395:D395" si="551">C429+C463+C497</f>
        <v>1998470.3955894609</v>
      </c>
      <c r="D395" s="528">
        <f t="shared" si="551"/>
        <v>2644149</v>
      </c>
      <c r="F395" s="1943">
        <f>F251</f>
        <v>3.8127</v>
      </c>
      <c r="G395" s="1921" t="s">
        <v>495</v>
      </c>
      <c r="H395" s="1644">
        <f>ROUND($F395*C395/100,0)</f>
        <v>76196</v>
      </c>
      <c r="I395" s="1644">
        <f>ROUND($F395*D395/100,0)</f>
        <v>100813</v>
      </c>
      <c r="K395" s="1943"/>
      <c r="L395" s="1921"/>
      <c r="M395" s="1943"/>
      <c r="N395" s="1921"/>
      <c r="O395" s="1943"/>
      <c r="P395" s="1921"/>
      <c r="Q395" s="1943"/>
      <c r="R395" s="1921"/>
      <c r="S395" s="1648"/>
      <c r="T395" s="1648"/>
      <c r="U395" s="1648"/>
      <c r="V395" s="1648"/>
      <c r="W395" s="1648"/>
      <c r="X395" s="1648"/>
      <c r="Y395" s="1644"/>
    </row>
    <row r="396" spans="1:28">
      <c r="A396" s="1900" t="s">
        <v>1363</v>
      </c>
      <c r="C396" s="528">
        <f t="shared" ref="C396:D396" si="552">C430+C464+C498</f>
        <v>2798114.6044105394</v>
      </c>
      <c r="D396" s="528">
        <f t="shared" si="552"/>
        <v>3679726.3846987919</v>
      </c>
      <c r="F396" s="1943">
        <f>F252</f>
        <v>3.5143</v>
      </c>
      <c r="G396" s="1921" t="s">
        <v>495</v>
      </c>
      <c r="H396" s="1644">
        <f>ROUND($F396*C396/100,0)</f>
        <v>98334</v>
      </c>
      <c r="I396" s="1644">
        <f>ROUND($F396*D396/100,0)</f>
        <v>129317</v>
      </c>
      <c r="K396" s="1943"/>
      <c r="L396" s="1921"/>
      <c r="M396" s="1943"/>
      <c r="N396" s="1921"/>
      <c r="O396" s="1943"/>
      <c r="P396" s="1921"/>
      <c r="Q396" s="1943"/>
      <c r="R396" s="1921"/>
      <c r="S396" s="1648"/>
      <c r="T396" s="1648"/>
      <c r="U396" s="1648"/>
      <c r="V396" s="1648"/>
      <c r="W396" s="1648"/>
      <c r="X396" s="1648"/>
      <c r="Y396" s="1644"/>
    </row>
    <row r="397" spans="1:28">
      <c r="A397" s="1900" t="s">
        <v>246</v>
      </c>
      <c r="C397" s="529">
        <f t="shared" ref="C397:D397" si="553">C431+C465+C499</f>
        <v>0</v>
      </c>
      <c r="D397" s="529">
        <f t="shared" si="553"/>
        <v>0</v>
      </c>
      <c r="H397" s="1030">
        <f>H431+H465+H499</f>
        <v>0</v>
      </c>
      <c r="I397" s="1030">
        <f>I431+I465+I499</f>
        <v>0</v>
      </c>
      <c r="Y397" s="1030"/>
    </row>
    <row r="398" spans="1:28">
      <c r="A398" s="1900" t="s">
        <v>1240</v>
      </c>
      <c r="C398" s="584"/>
      <c r="D398" s="584"/>
      <c r="F398" s="1930">
        <f>F255</f>
        <v>-3.61E-2</v>
      </c>
      <c r="G398" s="597"/>
      <c r="H398" s="1644">
        <f>SUM(H392:H393,H395:H396)*$F398</f>
        <v>-20835.4038</v>
      </c>
      <c r="I398" s="1644">
        <f>SUM(I392:I393,I395:I396)*$F398</f>
        <v>-27460.4758</v>
      </c>
      <c r="K398" s="1930"/>
      <c r="L398" s="597"/>
      <c r="M398" s="1930"/>
      <c r="N398" s="597"/>
      <c r="O398" s="1931" t="str">
        <f>$O$43</f>
        <v>Tax Year 1 (7/1/2021)</v>
      </c>
      <c r="P398" s="597"/>
      <c r="Q398" s="1930">
        <f>$Q$687</f>
        <v>-2.76E-2</v>
      </c>
      <c r="R398" s="597"/>
      <c r="S398" s="1645"/>
      <c r="T398" s="1645"/>
      <c r="U398" s="1645"/>
      <c r="V398" s="1645"/>
      <c r="W398" s="1645"/>
      <c r="X398" s="1645"/>
      <c r="Y398" s="1644">
        <f>Q398*SUM(Y388:Y391)</f>
        <v>-21083.695199999998</v>
      </c>
    </row>
    <row r="399" spans="1:28">
      <c r="A399" s="1900"/>
      <c r="C399" s="584"/>
      <c r="D399" s="584"/>
      <c r="F399" s="1930"/>
      <c r="G399" s="597"/>
      <c r="H399" s="1644"/>
      <c r="I399" s="1644"/>
      <c r="K399" s="1930"/>
      <c r="L399" s="597"/>
      <c r="M399" s="1930"/>
      <c r="N399" s="597"/>
      <c r="O399" s="1931" t="str">
        <f>$O$44</f>
        <v>Tax Year 2 (1/1/2022)</v>
      </c>
      <c r="P399" s="597"/>
      <c r="Q399" s="1930">
        <f>$Q$688</f>
        <v>-1.4999999999999999E-2</v>
      </c>
      <c r="R399" s="597"/>
      <c r="S399" s="1645"/>
      <c r="T399" s="1645"/>
      <c r="U399" s="1645"/>
      <c r="V399" s="1645"/>
      <c r="W399" s="1645"/>
      <c r="X399" s="1645"/>
      <c r="Y399" s="1644">
        <f>Q399*SUM(Y388:Y391)</f>
        <v>-11458.529999999999</v>
      </c>
    </row>
    <row r="400" spans="1:28" ht="16.5" thickBot="1">
      <c r="A400" s="1900" t="s">
        <v>247</v>
      </c>
      <c r="C400" s="1949">
        <f>SUM(C395:C397)</f>
        <v>4796585</v>
      </c>
      <c r="D400" s="1949">
        <f>SUM(D395:D397)</f>
        <v>6323875.3846987914</v>
      </c>
      <c r="F400" s="1939"/>
      <c r="H400" s="1647">
        <f>SUM(H384:H398)</f>
        <v>712946.59620000003</v>
      </c>
      <c r="I400" s="1647">
        <f>SUM(I384:I398)</f>
        <v>939249.52419999999</v>
      </c>
      <c r="K400" s="1939"/>
      <c r="M400" s="1939"/>
      <c r="O400" s="1939"/>
      <c r="Q400" s="1939"/>
      <c r="S400" s="1647">
        <f>SUM(S384:S397)</f>
        <v>458336</v>
      </c>
      <c r="U400" s="1647">
        <f>SUM(U384:U397)</f>
        <v>376260</v>
      </c>
      <c r="W400" s="1647">
        <f>SUM(W384:W397)</f>
        <v>134912</v>
      </c>
      <c r="Y400" s="1647">
        <f>SUM(Y384:Y397)</f>
        <v>969505</v>
      </c>
      <c r="AA400" s="1104" t="s">
        <v>1743</v>
      </c>
      <c r="AB400" s="1890">
        <f>Y400/I400-1</f>
        <v>3.2212394066177374E-2</v>
      </c>
    </row>
    <row r="401" spans="1:28" ht="16.5" hidden="1" thickTop="1">
      <c r="C401" s="528"/>
      <c r="D401" s="528"/>
    </row>
    <row r="402" spans="1:28" hidden="1">
      <c r="A402" s="1897" t="s">
        <v>1919</v>
      </c>
      <c r="C402" s="528"/>
      <c r="D402" s="528"/>
    </row>
    <row r="403" spans="1:28" hidden="1">
      <c r="A403" s="1900" t="s">
        <v>240</v>
      </c>
      <c r="C403" s="528">
        <f>'BD-Redesign'!J22</f>
        <v>37.433333333333337</v>
      </c>
      <c r="D403" s="528">
        <f>D418</f>
        <v>48.191644746146238</v>
      </c>
      <c r="F403" s="1901"/>
      <c r="G403" s="1902"/>
      <c r="H403" s="1644"/>
      <c r="I403" s="1644"/>
      <c r="K403" s="1901">
        <f t="shared" ref="K403:K413" si="554">K369</f>
        <v>54</v>
      </c>
      <c r="L403" s="1902"/>
      <c r="M403" s="1901">
        <f t="shared" ref="M403:M413" si="555">M369</f>
        <v>0</v>
      </c>
      <c r="N403" s="1902"/>
      <c r="O403" s="1901">
        <f t="shared" ref="O403:Q413" si="556">O369</f>
        <v>0</v>
      </c>
      <c r="P403" s="1902"/>
      <c r="Q403" s="1901">
        <f t="shared" si="556"/>
        <v>54</v>
      </c>
      <c r="R403" s="1902"/>
      <c r="S403" s="1644">
        <f>ROUND($D403*K403,0)</f>
        <v>2602</v>
      </c>
      <c r="T403" s="1643"/>
      <c r="U403" s="1644">
        <f>ROUND($D403*M403,0)</f>
        <v>0</v>
      </c>
      <c r="V403" s="1643"/>
      <c r="W403" s="1644">
        <f>ROUND($D403*O403,0)</f>
        <v>0</v>
      </c>
      <c r="X403" s="1643"/>
      <c r="Y403" s="1644">
        <f>ROUND($D403*Q403,0)</f>
        <v>2602</v>
      </c>
      <c r="AA403" s="1109"/>
      <c r="AB403" s="1114"/>
    </row>
    <row r="404" spans="1:28" hidden="1">
      <c r="A404" s="1900" t="s">
        <v>1910</v>
      </c>
      <c r="C404" s="528">
        <f>'BD-Redesign'!J23</f>
        <v>9275</v>
      </c>
      <c r="D404" s="528">
        <f t="shared" ref="D404:D413" si="557">C404/$C$416*$D$416</f>
        <v>11186.801542080006</v>
      </c>
      <c r="E404" s="597"/>
      <c r="F404" s="1942"/>
      <c r="G404" s="1921"/>
      <c r="H404" s="1644"/>
      <c r="I404" s="1644"/>
      <c r="J404" s="597"/>
      <c r="K404" s="1942">
        <f t="shared" si="554"/>
        <v>3.9525000000000001</v>
      </c>
      <c r="L404" s="1921" t="s">
        <v>495</v>
      </c>
      <c r="M404" s="1942">
        <f t="shared" si="555"/>
        <v>17.075028114911813</v>
      </c>
      <c r="N404" s="1921" t="s">
        <v>495</v>
      </c>
      <c r="O404" s="1942">
        <f t="shared" si="556"/>
        <v>1.3496999999999999</v>
      </c>
      <c r="P404" s="1921" t="s">
        <v>495</v>
      </c>
      <c r="Q404" s="1942">
        <f t="shared" si="556"/>
        <v>22.377228114911812</v>
      </c>
      <c r="R404" s="1921" t="s">
        <v>495</v>
      </c>
      <c r="S404" s="1644">
        <f>ROUND($D404*K404/100,0)</f>
        <v>442</v>
      </c>
      <c r="T404" s="1648"/>
      <c r="U404" s="1644">
        <f>ROUND($D404*M404/100,0)</f>
        <v>1910</v>
      </c>
      <c r="V404" s="1648"/>
      <c r="W404" s="1644">
        <f>ROUND($D404*O404/100,0)</f>
        <v>151</v>
      </c>
      <c r="X404" s="1648"/>
      <c r="Y404" s="1644">
        <f>ROUND($D404*Q404/100,0)</f>
        <v>2503</v>
      </c>
      <c r="AA404" s="596"/>
      <c r="AB404" s="596"/>
    </row>
    <row r="405" spans="1:28" hidden="1">
      <c r="A405" s="1900" t="s">
        <v>1911</v>
      </c>
      <c r="C405" s="528">
        <f>'BD-Redesign'!J24</f>
        <v>25125</v>
      </c>
      <c r="D405" s="528">
        <f t="shared" si="557"/>
        <v>30303.869406443147</v>
      </c>
      <c r="E405" s="597"/>
      <c r="F405" s="1942"/>
      <c r="G405" s="1921"/>
      <c r="H405" s="1644"/>
      <c r="I405" s="1644"/>
      <c r="J405" s="597"/>
      <c r="K405" s="1942">
        <f t="shared" si="554"/>
        <v>3.9525000000000001</v>
      </c>
      <c r="L405" s="1921" t="s">
        <v>495</v>
      </c>
      <c r="M405" s="1942">
        <f t="shared" si="555"/>
        <v>-0.91518271744099966</v>
      </c>
      <c r="N405" s="1921" t="s">
        <v>495</v>
      </c>
      <c r="O405" s="1942">
        <f t="shared" si="556"/>
        <v>1.3496999999999999</v>
      </c>
      <c r="P405" s="1921" t="s">
        <v>495</v>
      </c>
      <c r="Q405" s="1942">
        <f t="shared" si="556"/>
        <v>4.3870172825590004</v>
      </c>
      <c r="R405" s="1921" t="s">
        <v>495</v>
      </c>
      <c r="S405" s="1644">
        <f t="shared" ref="S405:S411" si="558">ROUND($D405*K405/100,0)</f>
        <v>1198</v>
      </c>
      <c r="T405" s="1648"/>
      <c r="U405" s="1644">
        <f t="shared" ref="U405:U411" si="559">ROUND($D405*M405/100,0)</f>
        <v>-277</v>
      </c>
      <c r="V405" s="1648"/>
      <c r="W405" s="1644">
        <f t="shared" ref="W405:W411" si="560">ROUND($D405*O405/100,0)</f>
        <v>409</v>
      </c>
      <c r="X405" s="1648"/>
      <c r="Y405" s="1644">
        <f t="shared" ref="Y405:Y411" si="561">ROUND($D405*Q405/100,0)</f>
        <v>1329</v>
      </c>
      <c r="AA405" s="596"/>
      <c r="AB405" s="596"/>
    </row>
    <row r="406" spans="1:28" hidden="1">
      <c r="A406" s="1900" t="s">
        <v>1912</v>
      </c>
      <c r="C406" s="528">
        <f>'BD-Redesign'!J25</f>
        <v>35390</v>
      </c>
      <c r="D406" s="528">
        <f t="shared" si="557"/>
        <v>42684.733862448673</v>
      </c>
      <c r="E406" s="597"/>
      <c r="F406" s="1942"/>
      <c r="G406" s="1921"/>
      <c r="H406" s="1644"/>
      <c r="I406" s="1644"/>
      <c r="J406" s="597"/>
      <c r="K406" s="1942">
        <f t="shared" si="554"/>
        <v>3.9525000000000001</v>
      </c>
      <c r="L406" s="1921" t="s">
        <v>495</v>
      </c>
      <c r="M406" s="1942">
        <f t="shared" si="555"/>
        <v>14.656000000000001</v>
      </c>
      <c r="N406" s="1921" t="s">
        <v>495</v>
      </c>
      <c r="O406" s="1942">
        <f t="shared" si="556"/>
        <v>1.1943999999999999</v>
      </c>
      <c r="P406" s="1921" t="s">
        <v>495</v>
      </c>
      <c r="Q406" s="1942">
        <f t="shared" si="556"/>
        <v>19.802900000000001</v>
      </c>
      <c r="R406" s="1921" t="s">
        <v>495</v>
      </c>
      <c r="S406" s="1644">
        <f t="shared" si="558"/>
        <v>1687</v>
      </c>
      <c r="T406" s="1648"/>
      <c r="U406" s="1644">
        <f t="shared" si="559"/>
        <v>6256</v>
      </c>
      <c r="V406" s="1648"/>
      <c r="W406" s="1644">
        <f t="shared" si="560"/>
        <v>510</v>
      </c>
      <c r="X406" s="1648"/>
      <c r="Y406" s="1644">
        <f t="shared" si="561"/>
        <v>8453</v>
      </c>
      <c r="AA406" s="596"/>
      <c r="AB406" s="596"/>
    </row>
    <row r="407" spans="1:28" hidden="1">
      <c r="A407" s="1900" t="s">
        <v>1913</v>
      </c>
      <c r="C407" s="528">
        <f>'BD-Redesign'!J26</f>
        <v>145099.5</v>
      </c>
      <c r="D407" s="528">
        <f t="shared" si="557"/>
        <v>175008.01189811731</v>
      </c>
      <c r="E407" s="597"/>
      <c r="F407" s="1942"/>
      <c r="G407" s="1921"/>
      <c r="H407" s="1644"/>
      <c r="I407" s="1644"/>
      <c r="J407" s="597"/>
      <c r="K407" s="1942">
        <f t="shared" si="554"/>
        <v>3.9525000000000001</v>
      </c>
      <c r="L407" s="1921" t="s">
        <v>495</v>
      </c>
      <c r="M407" s="1942">
        <f t="shared" si="555"/>
        <v>-1.2646000000000002</v>
      </c>
      <c r="N407" s="1921" t="s">
        <v>495</v>
      </c>
      <c r="O407" s="1942">
        <f t="shared" si="556"/>
        <v>1.1943999999999999</v>
      </c>
      <c r="P407" s="1921" t="s">
        <v>495</v>
      </c>
      <c r="Q407" s="1942">
        <f t="shared" si="556"/>
        <v>3.8822999999999999</v>
      </c>
      <c r="R407" s="1921" t="s">
        <v>495</v>
      </c>
      <c r="S407" s="1644">
        <f t="shared" si="558"/>
        <v>6917</v>
      </c>
      <c r="T407" s="1648"/>
      <c r="U407" s="1644">
        <f t="shared" si="559"/>
        <v>-2213</v>
      </c>
      <c r="V407" s="1648"/>
      <c r="W407" s="1644">
        <f t="shared" si="560"/>
        <v>2090</v>
      </c>
      <c r="X407" s="1648"/>
      <c r="Y407" s="1644">
        <f t="shared" si="561"/>
        <v>6794</v>
      </c>
      <c r="AA407" s="596"/>
      <c r="AB407" s="596"/>
    </row>
    <row r="408" spans="1:28" hidden="1">
      <c r="A408" s="1900" t="s">
        <v>1906</v>
      </c>
      <c r="C408" s="528">
        <f>'BD-Redesign'!J27</f>
        <v>19104.057330130072</v>
      </c>
      <c r="D408" s="528">
        <f t="shared" si="557"/>
        <v>23041.865013550829</v>
      </c>
      <c r="E408" s="597"/>
      <c r="F408" s="1942"/>
      <c r="G408" s="1921"/>
      <c r="H408" s="1644"/>
      <c r="I408" s="1644"/>
      <c r="J408" s="597"/>
      <c r="K408" s="1942">
        <f t="shared" si="554"/>
        <v>0</v>
      </c>
      <c r="L408" s="1921" t="s">
        <v>495</v>
      </c>
      <c r="M408" s="1942">
        <f t="shared" si="555"/>
        <v>0</v>
      </c>
      <c r="N408" s="1921" t="s">
        <v>495</v>
      </c>
      <c r="O408" s="1942">
        <f t="shared" si="556"/>
        <v>6</v>
      </c>
      <c r="P408" s="1921" t="s">
        <v>495</v>
      </c>
      <c r="Q408" s="1942">
        <f t="shared" si="556"/>
        <v>6</v>
      </c>
      <c r="R408" s="1921" t="s">
        <v>495</v>
      </c>
      <c r="S408" s="1644">
        <f t="shared" si="558"/>
        <v>0</v>
      </c>
      <c r="T408" s="1648"/>
      <c r="U408" s="1644">
        <f t="shared" si="559"/>
        <v>0</v>
      </c>
      <c r="V408" s="1648"/>
      <c r="W408" s="1644">
        <f t="shared" si="560"/>
        <v>1383</v>
      </c>
      <c r="X408" s="1648"/>
      <c r="Y408" s="1644">
        <f t="shared" si="561"/>
        <v>1383</v>
      </c>
      <c r="AA408" s="596"/>
      <c r="AB408" s="596"/>
    </row>
    <row r="409" spans="1:28" hidden="1">
      <c r="A409" s="1900" t="s">
        <v>1907</v>
      </c>
      <c r="C409" s="528">
        <f>'BD-Redesign'!J28</f>
        <v>15295.942669869928</v>
      </c>
      <c r="D409" s="528">
        <f t="shared" si="557"/>
        <v>18448.805934972323</v>
      </c>
      <c r="E409" s="597"/>
      <c r="F409" s="1942"/>
      <c r="G409" s="1921"/>
      <c r="H409" s="1644"/>
      <c r="I409" s="1644"/>
      <c r="J409" s="597"/>
      <c r="K409" s="1942">
        <f t="shared" si="554"/>
        <v>0</v>
      </c>
      <c r="L409" s="1921" t="s">
        <v>495</v>
      </c>
      <c r="M409" s="1942">
        <f t="shared" si="555"/>
        <v>0</v>
      </c>
      <c r="N409" s="1921" t="s">
        <v>495</v>
      </c>
      <c r="O409" s="1942">
        <f t="shared" si="556"/>
        <v>-2.3358000000000008</v>
      </c>
      <c r="P409" s="1921" t="s">
        <v>495</v>
      </c>
      <c r="Q409" s="1942">
        <f t="shared" si="556"/>
        <v>-2.3358000000000008</v>
      </c>
      <c r="R409" s="1921" t="s">
        <v>495</v>
      </c>
      <c r="S409" s="1644">
        <f t="shared" si="558"/>
        <v>0</v>
      </c>
      <c r="T409" s="1648"/>
      <c r="U409" s="1644">
        <f t="shared" si="559"/>
        <v>0</v>
      </c>
      <c r="V409" s="1648"/>
      <c r="W409" s="1644">
        <f t="shared" si="560"/>
        <v>-431</v>
      </c>
      <c r="X409" s="1648"/>
      <c r="Y409" s="1644">
        <f t="shared" si="561"/>
        <v>-431</v>
      </c>
      <c r="AA409" s="596"/>
      <c r="AB409" s="596"/>
    </row>
    <row r="410" spans="1:28" hidden="1">
      <c r="A410" s="1900" t="s">
        <v>1908</v>
      </c>
      <c r="C410" s="528">
        <f>'BD-Redesign'!J29</f>
        <v>100234.93475251488</v>
      </c>
      <c r="D410" s="528">
        <f t="shared" si="557"/>
        <v>120895.77602800241</v>
      </c>
      <c r="E410" s="597"/>
      <c r="F410" s="1942"/>
      <c r="G410" s="1921"/>
      <c r="H410" s="1644"/>
      <c r="I410" s="1644"/>
      <c r="J410" s="597"/>
      <c r="K410" s="1942">
        <f t="shared" si="554"/>
        <v>0</v>
      </c>
      <c r="L410" s="1921" t="s">
        <v>495</v>
      </c>
      <c r="M410" s="1942">
        <f t="shared" si="555"/>
        <v>0</v>
      </c>
      <c r="N410" s="1921" t="s">
        <v>495</v>
      </c>
      <c r="O410" s="1942">
        <f t="shared" si="556"/>
        <v>5.3097000000000003</v>
      </c>
      <c r="P410" s="1921" t="s">
        <v>495</v>
      </c>
      <c r="Q410" s="1942">
        <f t="shared" si="556"/>
        <v>5.3097000000000003</v>
      </c>
      <c r="R410" s="1921" t="s">
        <v>495</v>
      </c>
      <c r="S410" s="1644">
        <f t="shared" si="558"/>
        <v>0</v>
      </c>
      <c r="T410" s="1648"/>
      <c r="U410" s="1644">
        <f t="shared" si="559"/>
        <v>0</v>
      </c>
      <c r="V410" s="1648"/>
      <c r="W410" s="1644">
        <f t="shared" si="560"/>
        <v>6419</v>
      </c>
      <c r="X410" s="1648"/>
      <c r="Y410" s="1644">
        <f t="shared" si="561"/>
        <v>6419</v>
      </c>
      <c r="AA410" s="596"/>
      <c r="AB410" s="596"/>
    </row>
    <row r="411" spans="1:28" hidden="1">
      <c r="A411" s="1900" t="s">
        <v>1909</v>
      </c>
      <c r="C411" s="528">
        <f>'BD-Redesign'!J30</f>
        <v>80254.565247485123</v>
      </c>
      <c r="D411" s="528">
        <f t="shared" si="557"/>
        <v>96796.969732563564</v>
      </c>
      <c r="E411" s="597"/>
      <c r="F411" s="1942"/>
      <c r="G411" s="1921"/>
      <c r="H411" s="1644"/>
      <c r="I411" s="1644"/>
      <c r="J411" s="597"/>
      <c r="K411" s="1942">
        <f t="shared" si="554"/>
        <v>0</v>
      </c>
      <c r="L411" s="1921" t="s">
        <v>495</v>
      </c>
      <c r="M411" s="1942">
        <f t="shared" si="555"/>
        <v>0</v>
      </c>
      <c r="N411" s="1921" t="s">
        <v>495</v>
      </c>
      <c r="O411" s="1942">
        <f t="shared" si="556"/>
        <v>-2.0670999999999999</v>
      </c>
      <c r="P411" s="1921" t="s">
        <v>495</v>
      </c>
      <c r="Q411" s="1942">
        <f t="shared" si="556"/>
        <v>-2.0670999999999999</v>
      </c>
      <c r="R411" s="1921" t="s">
        <v>495</v>
      </c>
      <c r="S411" s="1644">
        <f t="shared" si="558"/>
        <v>0</v>
      </c>
      <c r="T411" s="1648"/>
      <c r="U411" s="1644">
        <f t="shared" si="559"/>
        <v>0</v>
      </c>
      <c r="V411" s="1648"/>
      <c r="W411" s="1644">
        <f t="shared" si="560"/>
        <v>-2001</v>
      </c>
      <c r="X411" s="1648"/>
      <c r="Y411" s="1644">
        <f t="shared" si="561"/>
        <v>-2001</v>
      </c>
      <c r="AA411" s="596"/>
      <c r="AB411" s="596"/>
    </row>
    <row r="412" spans="1:28" hidden="1">
      <c r="A412" s="1900" t="s">
        <v>261</v>
      </c>
      <c r="C412" s="528">
        <f>'BD-Redesign'!J31</f>
        <v>0</v>
      </c>
      <c r="D412" s="528">
        <f t="shared" si="557"/>
        <v>0</v>
      </c>
      <c r="F412" s="1901"/>
      <c r="G412" s="1902"/>
      <c r="H412" s="1644"/>
      <c r="I412" s="1644"/>
      <c r="K412" s="1901">
        <f t="shared" si="554"/>
        <v>-0.61</v>
      </c>
      <c r="L412" s="1902"/>
      <c r="M412" s="1901">
        <f t="shared" si="555"/>
        <v>0</v>
      </c>
      <c r="N412" s="1902"/>
      <c r="O412" s="1901">
        <f t="shared" si="556"/>
        <v>0</v>
      </c>
      <c r="P412" s="1902"/>
      <c r="Q412" s="1901">
        <f t="shared" si="556"/>
        <v>-0.61</v>
      </c>
      <c r="R412" s="1902"/>
      <c r="S412" s="1644">
        <f>ROUND($D412*K412,0)</f>
        <v>0</v>
      </c>
      <c r="T412" s="1643"/>
      <c r="U412" s="1644">
        <f>ROUND($D412*M412,0)</f>
        <v>0</v>
      </c>
      <c r="V412" s="1643"/>
      <c r="W412" s="1644">
        <f>ROUND($D412*O412,0)</f>
        <v>0</v>
      </c>
      <c r="X412" s="1643"/>
      <c r="Y412" s="1644">
        <f>ROUND($D412*Q412,0)</f>
        <v>0</v>
      </c>
      <c r="AA412" s="596"/>
      <c r="AB412" s="596"/>
    </row>
    <row r="413" spans="1:28" hidden="1">
      <c r="A413" s="1116" t="s">
        <v>1158</v>
      </c>
      <c r="C413" s="528">
        <f>'BD-Redesign'!J32</f>
        <v>0</v>
      </c>
      <c r="D413" s="528">
        <f t="shared" si="557"/>
        <v>0</v>
      </c>
      <c r="F413" s="1943"/>
      <c r="G413" s="1921"/>
      <c r="H413" s="1644"/>
      <c r="I413" s="1644"/>
      <c r="K413" s="1943">
        <f t="shared" si="554"/>
        <v>0</v>
      </c>
      <c r="L413" s="1921" t="s">
        <v>495</v>
      </c>
      <c r="M413" s="1943">
        <f t="shared" si="555"/>
        <v>7.125</v>
      </c>
      <c r="N413" s="1921" t="s">
        <v>495</v>
      </c>
      <c r="O413" s="1943">
        <f t="shared" si="556"/>
        <v>0</v>
      </c>
      <c r="P413" s="1921" t="s">
        <v>495</v>
      </c>
      <c r="Q413" s="1943">
        <f t="shared" si="556"/>
        <v>7.125</v>
      </c>
      <c r="R413" s="1921" t="s">
        <v>495</v>
      </c>
      <c r="S413" s="1644">
        <f>ROUND($D413*K413/100,0)</f>
        <v>0</v>
      </c>
      <c r="T413" s="1648"/>
      <c r="U413" s="1644">
        <f>ROUND($D413*M413/100,0)</f>
        <v>0</v>
      </c>
      <c r="V413" s="1648"/>
      <c r="W413" s="1644">
        <f>ROUND($D413*O413/100,0)</f>
        <v>0</v>
      </c>
      <c r="X413" s="1648"/>
      <c r="Y413" s="1644">
        <f>ROUND($D413*Q413/100,0)</f>
        <v>0</v>
      </c>
      <c r="AA413" s="1109"/>
      <c r="AB413" s="1114"/>
    </row>
    <row r="414" spans="1:28" hidden="1">
      <c r="A414" s="1900" t="s">
        <v>1240</v>
      </c>
      <c r="C414" s="584"/>
      <c r="D414" s="584"/>
      <c r="F414" s="1930"/>
      <c r="G414" s="597"/>
      <c r="H414" s="1644"/>
      <c r="I414" s="1644"/>
      <c r="K414" s="1930"/>
      <c r="L414" s="597"/>
      <c r="M414" s="1930"/>
      <c r="N414" s="597"/>
      <c r="O414" s="1931" t="str">
        <f>$O$43</f>
        <v>Tax Year 1 (7/1/2021)</v>
      </c>
      <c r="P414" s="597"/>
      <c r="Q414" s="1930">
        <f>$Q$979</f>
        <v>-3.0599999999999999E-2</v>
      </c>
      <c r="R414" s="597"/>
      <c r="S414" s="1645"/>
      <c r="T414" s="1645"/>
      <c r="U414" s="1645"/>
      <c r="V414" s="1645"/>
      <c r="W414" s="1645"/>
      <c r="X414" s="1645"/>
      <c r="Y414" s="1644">
        <f>Q414*SUM(Y404:Y407,Y413)</f>
        <v>-583.81740000000002</v>
      </c>
    </row>
    <row r="415" spans="1:28" hidden="1">
      <c r="A415" s="1900"/>
      <c r="C415" s="584"/>
      <c r="D415" s="584"/>
      <c r="F415" s="1930"/>
      <c r="G415" s="597"/>
      <c r="H415" s="1644"/>
      <c r="I415" s="1644"/>
      <c r="K415" s="1930"/>
      <c r="L415" s="597"/>
      <c r="M415" s="1930"/>
      <c r="N415" s="597"/>
      <c r="O415" s="1931" t="str">
        <f>$O$44</f>
        <v>Tax Year 2 (1/1/2022)</v>
      </c>
      <c r="P415" s="597"/>
      <c r="Q415" s="1930">
        <f>$Q$980</f>
        <v>-1.66E-2</v>
      </c>
      <c r="R415" s="597"/>
      <c r="S415" s="1645"/>
      <c r="T415" s="1645"/>
      <c r="U415" s="1645"/>
      <c r="V415" s="1645"/>
      <c r="W415" s="1645"/>
      <c r="X415" s="1645"/>
      <c r="Y415" s="1644">
        <f>Q415*SUM(Y404:Y407,Y413)</f>
        <v>-316.71140000000003</v>
      </c>
    </row>
    <row r="416" spans="1:28" hidden="1">
      <c r="A416" s="1900" t="s">
        <v>1923</v>
      </c>
      <c r="C416" s="528">
        <f>SUM(C408:C411,C413)</f>
        <v>214889.5</v>
      </c>
      <c r="D416" s="528">
        <f>D434</f>
        <v>259183.41670908913</v>
      </c>
      <c r="F416" s="1901"/>
      <c r="G416" s="1902"/>
      <c r="H416" s="1644"/>
      <c r="I416" s="1644"/>
      <c r="K416" s="1901"/>
      <c r="L416" s="1902"/>
      <c r="M416" s="1901"/>
      <c r="N416" s="1902"/>
      <c r="O416" s="1901"/>
      <c r="P416" s="1902"/>
      <c r="Q416" s="1901"/>
      <c r="R416" s="1902"/>
      <c r="S416" s="1644">
        <f>SUM(S403:S413)</f>
        <v>12846</v>
      </c>
      <c r="T416" s="1643"/>
      <c r="U416" s="1644">
        <f>SUM(U403:U413)</f>
        <v>5676</v>
      </c>
      <c r="V416" s="1643"/>
      <c r="W416" s="1644">
        <f>SUM(W403:W413)</f>
        <v>8530</v>
      </c>
      <c r="X416" s="1643"/>
      <c r="Y416" s="1644">
        <f>SUM(Y403:Y413)</f>
        <v>27051</v>
      </c>
      <c r="AA416" s="1109" t="s">
        <v>1743</v>
      </c>
      <c r="AB416" s="1499">
        <f>Y416/Y434-1</f>
        <v>-0.28728757739428268</v>
      </c>
    </row>
    <row r="417" spans="1:28" hidden="1">
      <c r="A417" s="1900"/>
      <c r="C417" s="528"/>
      <c r="D417" s="528"/>
      <c r="F417" s="1901"/>
      <c r="G417" s="1902"/>
      <c r="H417" s="1644"/>
      <c r="I417" s="1644"/>
      <c r="K417" s="1901"/>
      <c r="L417" s="1902"/>
      <c r="M417" s="1901"/>
      <c r="N417" s="1902"/>
      <c r="O417" s="1901"/>
      <c r="P417" s="1902"/>
      <c r="Q417" s="1901"/>
      <c r="R417" s="1902"/>
      <c r="S417" s="1643"/>
      <c r="T417" s="1643"/>
      <c r="U417" s="1643"/>
      <c r="V417" s="1643"/>
      <c r="W417" s="1643"/>
      <c r="X417" s="1643"/>
      <c r="Y417" s="1644"/>
      <c r="AA417" s="1109"/>
      <c r="AB417" s="1114"/>
    </row>
    <row r="418" spans="1:28" hidden="1">
      <c r="A418" s="1900" t="s">
        <v>240</v>
      </c>
      <c r="C418" s="528">
        <f>C403</f>
        <v>37.433333333333337</v>
      </c>
      <c r="D418" s="528">
        <f>C418*D804/C804</f>
        <v>48.191644746146238</v>
      </c>
      <c r="F418" s="1944">
        <f>F384</f>
        <v>54</v>
      </c>
      <c r="G418" s="597"/>
      <c r="H418" s="1644">
        <f t="shared" ref="H418:H420" si="562">ROUND($F418*C418,0)</f>
        <v>2021</v>
      </c>
      <c r="I418" s="1644">
        <f t="shared" ref="I418:I420" si="563">ROUND($F418*D418,0)</f>
        <v>2602</v>
      </c>
      <c r="K418" s="1944">
        <f t="shared" ref="K418:K425" si="564">K384</f>
        <v>54</v>
      </c>
      <c r="L418" s="597"/>
      <c r="M418" s="1944">
        <f t="shared" ref="M418:M425" si="565">M384</f>
        <v>0</v>
      </c>
      <c r="N418" s="597"/>
      <c r="O418" s="1944">
        <f t="shared" ref="O418:O425" si="566">O384</f>
        <v>0</v>
      </c>
      <c r="P418" s="597"/>
      <c r="Q418" s="1944">
        <f t="shared" ref="Q418:Q425" si="567">Q384</f>
        <v>54</v>
      </c>
      <c r="R418" s="597"/>
      <c r="S418" s="1644">
        <f>ROUND($D418*K418,0)</f>
        <v>2602</v>
      </c>
      <c r="T418" s="1643"/>
      <c r="U418" s="1644">
        <f>ROUND($D418*M418,0)</f>
        <v>0</v>
      </c>
      <c r="V418" s="1643"/>
      <c r="W418" s="1644">
        <f>ROUND($D418*O418,0)</f>
        <v>0</v>
      </c>
      <c r="X418" s="1643"/>
      <c r="Y418" s="1644">
        <f>ROUND($D418*Q418,0)</f>
        <v>2602</v>
      </c>
    </row>
    <row r="419" spans="1:28" hidden="1">
      <c r="A419" s="1900" t="s">
        <v>262</v>
      </c>
      <c r="C419" s="584">
        <v>0</v>
      </c>
      <c r="D419" s="528">
        <v>0</v>
      </c>
      <c r="F419" s="1944">
        <f>F385</f>
        <v>648</v>
      </c>
      <c r="G419" s="597"/>
      <c r="H419" s="1644">
        <f t="shared" si="562"/>
        <v>0</v>
      </c>
      <c r="I419" s="1644">
        <f t="shared" si="563"/>
        <v>0</v>
      </c>
      <c r="K419" s="1944">
        <f t="shared" si="564"/>
        <v>648</v>
      </c>
      <c r="L419" s="597"/>
      <c r="M419" s="1944">
        <f t="shared" si="565"/>
        <v>0</v>
      </c>
      <c r="N419" s="597"/>
      <c r="O419" s="1944">
        <f t="shared" si="566"/>
        <v>0</v>
      </c>
      <c r="P419" s="597"/>
      <c r="Q419" s="1944">
        <f t="shared" si="567"/>
        <v>648</v>
      </c>
      <c r="R419" s="597"/>
      <c r="S419" s="1644">
        <f t="shared" ref="S419:S423" si="568">ROUND($D419*K419,0)</f>
        <v>0</v>
      </c>
      <c r="T419" s="1643"/>
      <c r="U419" s="1644">
        <f t="shared" ref="U419:U423" si="569">ROUND($D419*M419,0)</f>
        <v>0</v>
      </c>
      <c r="V419" s="1643"/>
      <c r="W419" s="1644">
        <f t="shared" ref="W419:W423" si="570">ROUND($D419*O419,0)</f>
        <v>0</v>
      </c>
      <c r="X419" s="1643"/>
      <c r="Y419" s="1644">
        <f t="shared" ref="Y419:Y423" si="571">ROUND($D419*Q419,0)</f>
        <v>0</v>
      </c>
    </row>
    <row r="420" spans="1:28" hidden="1">
      <c r="A420" s="1900" t="s">
        <v>1298</v>
      </c>
      <c r="C420" s="528">
        <v>0</v>
      </c>
      <c r="D420" s="528">
        <v>0</v>
      </c>
      <c r="F420" s="1944">
        <f>F386</f>
        <v>54</v>
      </c>
      <c r="G420" s="597"/>
      <c r="H420" s="1644">
        <f t="shared" si="562"/>
        <v>0</v>
      </c>
      <c r="I420" s="1644">
        <f t="shared" si="563"/>
        <v>0</v>
      </c>
      <c r="K420" s="1944">
        <f t="shared" si="564"/>
        <v>54</v>
      </c>
      <c r="L420" s="597"/>
      <c r="M420" s="1944">
        <f t="shared" si="565"/>
        <v>0</v>
      </c>
      <c r="N420" s="597"/>
      <c r="O420" s="1944">
        <f t="shared" si="566"/>
        <v>0</v>
      </c>
      <c r="P420" s="597"/>
      <c r="Q420" s="1944">
        <f t="shared" si="567"/>
        <v>54</v>
      </c>
      <c r="R420" s="597"/>
      <c r="S420" s="1644">
        <f t="shared" si="568"/>
        <v>0</v>
      </c>
      <c r="T420" s="1645"/>
      <c r="U420" s="1644">
        <f t="shared" si="569"/>
        <v>0</v>
      </c>
      <c r="V420" s="1645"/>
      <c r="W420" s="1644">
        <f t="shared" si="570"/>
        <v>0</v>
      </c>
      <c r="X420" s="1645"/>
      <c r="Y420" s="1644">
        <f t="shared" si="571"/>
        <v>0</v>
      </c>
    </row>
    <row r="421" spans="1:28" hidden="1">
      <c r="A421" s="1900" t="s">
        <v>168</v>
      </c>
      <c r="C421" s="528">
        <f>'BD-Redesign'!J55</f>
        <v>1329.6670792079208</v>
      </c>
      <c r="D421" s="528">
        <f>ROUND(C421/$C$434*$D$434,0)</f>
        <v>1604</v>
      </c>
      <c r="F421" s="1944">
        <f>F387</f>
        <v>4.04</v>
      </c>
      <c r="G421" s="597"/>
      <c r="H421" s="1644">
        <f>ROUND($F421*C421,0)</f>
        <v>5372</v>
      </c>
      <c r="I421" s="1644">
        <f>ROUND($F421*D421,0)</f>
        <v>6480</v>
      </c>
      <c r="K421" s="1944">
        <f t="shared" si="564"/>
        <v>4.03</v>
      </c>
      <c r="L421" s="597"/>
      <c r="M421" s="1944">
        <f t="shared" si="565"/>
        <v>0</v>
      </c>
      <c r="N421" s="597"/>
      <c r="O421" s="1944">
        <f t="shared" si="566"/>
        <v>0</v>
      </c>
      <c r="P421" s="597"/>
      <c r="Q421" s="1944">
        <f t="shared" si="567"/>
        <v>4.03</v>
      </c>
      <c r="R421" s="597"/>
      <c r="S421" s="1644">
        <f t="shared" si="568"/>
        <v>6464</v>
      </c>
      <c r="T421" s="1643"/>
      <c r="U421" s="1644">
        <f t="shared" si="569"/>
        <v>0</v>
      </c>
      <c r="V421" s="1643"/>
      <c r="W421" s="1644">
        <f t="shared" si="570"/>
        <v>0</v>
      </c>
      <c r="X421" s="1643"/>
      <c r="Y421" s="1644">
        <f t="shared" si="571"/>
        <v>6464</v>
      </c>
    </row>
    <row r="422" spans="1:28" hidden="1">
      <c r="A422" s="1900" t="s">
        <v>1645</v>
      </c>
      <c r="C422" s="528">
        <f>'BD-Redesign'!J56</f>
        <v>371</v>
      </c>
      <c r="D422" s="528">
        <f t="shared" ref="D422:D423" si="572">ROUND(C422/$C$434*$D$434,0)</f>
        <v>447</v>
      </c>
      <c r="F422" s="1944"/>
      <c r="G422" s="597"/>
      <c r="H422" s="1644"/>
      <c r="I422" s="1644"/>
      <c r="K422" s="1944">
        <f t="shared" si="564"/>
        <v>6.34</v>
      </c>
      <c r="L422" s="597"/>
      <c r="M422" s="1944">
        <f t="shared" si="565"/>
        <v>7.0600000000000005</v>
      </c>
      <c r="N422" s="597"/>
      <c r="O422" s="1944">
        <f t="shared" si="566"/>
        <v>0</v>
      </c>
      <c r="P422" s="597"/>
      <c r="Q422" s="1944">
        <f t="shared" si="567"/>
        <v>13.4</v>
      </c>
      <c r="R422" s="597"/>
      <c r="S422" s="1644">
        <f t="shared" si="568"/>
        <v>2834</v>
      </c>
      <c r="T422" s="1645"/>
      <c r="U422" s="1644">
        <f t="shared" si="569"/>
        <v>3156</v>
      </c>
      <c r="V422" s="1645"/>
      <c r="W422" s="1644">
        <f t="shared" si="570"/>
        <v>0</v>
      </c>
      <c r="X422" s="1645"/>
      <c r="Y422" s="1644">
        <f t="shared" si="571"/>
        <v>5990</v>
      </c>
    </row>
    <row r="423" spans="1:28" hidden="1">
      <c r="A423" s="1900" t="s">
        <v>1646</v>
      </c>
      <c r="C423" s="528">
        <f>'BD-Redesign'!J57</f>
        <v>958.66707920792078</v>
      </c>
      <c r="D423" s="528">
        <f t="shared" si="572"/>
        <v>1156</v>
      </c>
      <c r="F423" s="1944"/>
      <c r="G423" s="597"/>
      <c r="H423" s="1644"/>
      <c r="I423" s="1644"/>
      <c r="K423" s="1944">
        <f t="shared" si="564"/>
        <v>5.61</v>
      </c>
      <c r="L423" s="597"/>
      <c r="M423" s="1944">
        <f t="shared" si="565"/>
        <v>6.2499999999999991</v>
      </c>
      <c r="N423" s="597"/>
      <c r="O423" s="1944">
        <f t="shared" si="566"/>
        <v>0</v>
      </c>
      <c r="P423" s="597"/>
      <c r="Q423" s="1944">
        <f t="shared" si="567"/>
        <v>11.86</v>
      </c>
      <c r="R423" s="597"/>
      <c r="S423" s="1644">
        <f t="shared" si="568"/>
        <v>6485</v>
      </c>
      <c r="T423" s="1645"/>
      <c r="U423" s="1644">
        <f t="shared" si="569"/>
        <v>7225</v>
      </c>
      <c r="V423" s="1645"/>
      <c r="W423" s="1644">
        <f t="shared" si="570"/>
        <v>0</v>
      </c>
      <c r="X423" s="1645"/>
      <c r="Y423" s="1644">
        <f t="shared" si="571"/>
        <v>13710</v>
      </c>
    </row>
    <row r="424" spans="1:28" hidden="1">
      <c r="A424" s="1900" t="s">
        <v>1647</v>
      </c>
      <c r="C424" s="528">
        <f>'BD-Redesign'!J59</f>
        <v>34400</v>
      </c>
      <c r="D424" s="528">
        <f>D434-D425</f>
        <v>41490.416709089128</v>
      </c>
      <c r="F424" s="1943"/>
      <c r="G424" s="1921"/>
      <c r="H424" s="1644"/>
      <c r="I424" s="1644"/>
      <c r="K424" s="1943">
        <f t="shared" si="564"/>
        <v>0</v>
      </c>
      <c r="L424" s="1921" t="s">
        <v>495</v>
      </c>
      <c r="M424" s="1943">
        <f t="shared" si="565"/>
        <v>1.6192</v>
      </c>
      <c r="N424" s="1921" t="s">
        <v>495</v>
      </c>
      <c r="O424" s="1943">
        <f t="shared" si="566"/>
        <v>2.305570240802</v>
      </c>
      <c r="P424" s="1921" t="s">
        <v>495</v>
      </c>
      <c r="Q424" s="1943">
        <f t="shared" si="567"/>
        <v>3.9247702408020002</v>
      </c>
      <c r="R424" s="1921" t="s">
        <v>495</v>
      </c>
      <c r="S424" s="1644">
        <f>ROUND($D424*K424/100,0)</f>
        <v>0</v>
      </c>
      <c r="T424" s="1648"/>
      <c r="U424" s="1644">
        <f>ROUND($D424*M424/100,0)</f>
        <v>672</v>
      </c>
      <c r="V424" s="1648"/>
      <c r="W424" s="1644">
        <f>ROUND($D424*O424/100,0)</f>
        <v>957</v>
      </c>
      <c r="X424" s="1648"/>
      <c r="Y424" s="1644">
        <f>ROUND($D424*Q424/100,0)</f>
        <v>1628</v>
      </c>
    </row>
    <row r="425" spans="1:28" hidden="1">
      <c r="A425" s="1900" t="s">
        <v>1648</v>
      </c>
      <c r="C425" s="528">
        <f>'BD-Redesign'!J60</f>
        <v>180489.5</v>
      </c>
      <c r="D425" s="528">
        <f>ROUND(C425/C434*D434,0)</f>
        <v>217693</v>
      </c>
      <c r="F425" s="1943"/>
      <c r="G425" s="1921"/>
      <c r="H425" s="1644"/>
      <c r="I425" s="1644"/>
      <c r="K425" s="1943">
        <f t="shared" si="564"/>
        <v>0</v>
      </c>
      <c r="L425" s="1921" t="s">
        <v>495</v>
      </c>
      <c r="M425" s="1943">
        <f t="shared" si="565"/>
        <v>1.4329000000000001</v>
      </c>
      <c r="N425" s="1921" t="s">
        <v>495</v>
      </c>
      <c r="O425" s="1943">
        <f t="shared" si="566"/>
        <v>2.0403480007099999</v>
      </c>
      <c r="P425" s="1921" t="s">
        <v>495</v>
      </c>
      <c r="Q425" s="1943">
        <f t="shared" si="567"/>
        <v>3.4732480007099999</v>
      </c>
      <c r="R425" s="1921" t="s">
        <v>495</v>
      </c>
      <c r="S425" s="1644">
        <f>ROUND($D425*K425/100,0)</f>
        <v>0</v>
      </c>
      <c r="T425" s="1648"/>
      <c r="U425" s="1644">
        <f>ROUND($D425*M425/100,0)</f>
        <v>3119</v>
      </c>
      <c r="V425" s="1648"/>
      <c r="W425" s="1644">
        <f>ROUND($D425*O425/100,0)</f>
        <v>4442</v>
      </c>
      <c r="X425" s="1648"/>
      <c r="Y425" s="1644">
        <f>ROUND($D425*Q425/100,0)</f>
        <v>7561</v>
      </c>
    </row>
    <row r="426" spans="1:28" hidden="1">
      <c r="A426" s="1900" t="s">
        <v>196</v>
      </c>
      <c r="C426" s="528">
        <f>(C422+C423)*C783/(C783+C784)</f>
        <v>493.69099513980711</v>
      </c>
      <c r="D426" s="528">
        <f>ROUND(C426/C434*D434,0)</f>
        <v>595</v>
      </c>
      <c r="F426" s="1944">
        <f>F392</f>
        <v>14.62</v>
      </c>
      <c r="G426" s="597"/>
      <c r="H426" s="1644">
        <f t="shared" ref="H426:H428" si="573">ROUND($F426*C426,0)</f>
        <v>7218</v>
      </c>
      <c r="I426" s="1644">
        <f t="shared" ref="I426:I428" si="574">ROUND($F426*D426,0)</f>
        <v>8699</v>
      </c>
      <c r="K426" s="1944"/>
      <c r="L426" s="597"/>
      <c r="M426" s="1944"/>
      <c r="N426" s="597"/>
      <c r="O426" s="1944"/>
      <c r="P426" s="597"/>
      <c r="Q426" s="1944"/>
      <c r="R426" s="597"/>
      <c r="S426" s="1644"/>
      <c r="T426" s="1643"/>
      <c r="U426" s="1644"/>
      <c r="V426" s="1643"/>
      <c r="W426" s="1644"/>
      <c r="X426" s="1643"/>
      <c r="Y426" s="1644"/>
    </row>
    <row r="427" spans="1:28" hidden="1">
      <c r="A427" s="1900" t="s">
        <v>161</v>
      </c>
      <c r="C427" s="528">
        <f>C422+C423-C426</f>
        <v>835.97608406811366</v>
      </c>
      <c r="D427" s="528">
        <f>ROUND(C427/C434*D434,0)</f>
        <v>1008</v>
      </c>
      <c r="F427" s="1944">
        <f>F393</f>
        <v>10.91</v>
      </c>
      <c r="G427" s="597"/>
      <c r="H427" s="1644">
        <f t="shared" si="573"/>
        <v>9120</v>
      </c>
      <c r="I427" s="1644">
        <f t="shared" si="574"/>
        <v>10997</v>
      </c>
      <c r="K427" s="1944"/>
      <c r="L427" s="597"/>
      <c r="M427" s="1944"/>
      <c r="N427" s="597"/>
      <c r="O427" s="1944"/>
      <c r="P427" s="597"/>
      <c r="Q427" s="1944"/>
      <c r="R427" s="597"/>
      <c r="S427" s="1644"/>
      <c r="T427" s="1643"/>
      <c r="U427" s="1644"/>
      <c r="V427" s="1643"/>
      <c r="W427" s="1644"/>
      <c r="X427" s="1643"/>
      <c r="Y427" s="1644"/>
    </row>
    <row r="428" spans="1:28" hidden="1">
      <c r="A428" s="1900" t="s">
        <v>261</v>
      </c>
      <c r="C428" s="528">
        <f>C412</f>
        <v>0</v>
      </c>
      <c r="D428" s="528">
        <f>D412</f>
        <v>0</v>
      </c>
      <c r="F428" s="1944">
        <f>F394</f>
        <v>-0.96</v>
      </c>
      <c r="G428" s="597"/>
      <c r="H428" s="1644">
        <f t="shared" si="573"/>
        <v>0</v>
      </c>
      <c r="I428" s="1644">
        <f t="shared" si="574"/>
        <v>0</v>
      </c>
      <c r="K428" s="1944">
        <f>K394</f>
        <v>-0.96</v>
      </c>
      <c r="L428" s="597"/>
      <c r="M428" s="1944">
        <f>M394</f>
        <v>0</v>
      </c>
      <c r="N428" s="597"/>
      <c r="O428" s="1944">
        <f>O394</f>
        <v>0</v>
      </c>
      <c r="P428" s="597"/>
      <c r="Q428" s="1944">
        <f>Q394</f>
        <v>-0.96</v>
      </c>
      <c r="R428" s="597"/>
      <c r="S428" s="1644">
        <f t="shared" ref="S428" si="575">ROUND($D428*K428,0)</f>
        <v>0</v>
      </c>
      <c r="T428" s="1643"/>
      <c r="U428" s="1644">
        <f t="shared" ref="U428" si="576">ROUND($D428*M428,0)</f>
        <v>0</v>
      </c>
      <c r="V428" s="1643"/>
      <c r="W428" s="1644">
        <f t="shared" ref="W428" si="577">ROUND($D428*O428,0)</f>
        <v>0</v>
      </c>
      <c r="X428" s="1643"/>
      <c r="Y428" s="1644">
        <f t="shared" ref="Y428" si="578">ROUND($D428*Q428,0)</f>
        <v>0</v>
      </c>
    </row>
    <row r="429" spans="1:28" hidden="1">
      <c r="A429" s="1900" t="s">
        <v>1362</v>
      </c>
      <c r="C429" s="528">
        <f>(C424+C425)*C725/(C725+C726)</f>
        <v>96272.600187557677</v>
      </c>
      <c r="D429" s="528">
        <f>ROUND(C429/C434*D434,0)</f>
        <v>116117</v>
      </c>
      <c r="F429" s="1943">
        <f>F395</f>
        <v>3.8127</v>
      </c>
      <c r="G429" s="1921" t="s">
        <v>495</v>
      </c>
      <c r="H429" s="1644">
        <f>ROUND($F429*C429/100,0)</f>
        <v>3671</v>
      </c>
      <c r="I429" s="1644">
        <f>ROUND($F429*D429/100,0)</f>
        <v>4427</v>
      </c>
      <c r="K429" s="1943"/>
      <c r="L429" s="1921"/>
      <c r="M429" s="1943"/>
      <c r="N429" s="1921"/>
      <c r="O429" s="1943"/>
      <c r="P429" s="1921"/>
      <c r="Q429" s="1943"/>
      <c r="R429" s="1921"/>
      <c r="S429" s="1648"/>
      <c r="T429" s="1648"/>
      <c r="U429" s="1648"/>
      <c r="V429" s="1648"/>
      <c r="W429" s="1648"/>
      <c r="X429" s="1648"/>
      <c r="Y429" s="1644"/>
    </row>
    <row r="430" spans="1:28" hidden="1">
      <c r="A430" s="1900" t="s">
        <v>1363</v>
      </c>
      <c r="C430" s="528">
        <f>C424+C425-C429</f>
        <v>118616.89981244232</v>
      </c>
      <c r="D430" s="528">
        <f>D434-D429</f>
        <v>143066.41670908913</v>
      </c>
      <c r="F430" s="1943">
        <f>F396</f>
        <v>3.5143</v>
      </c>
      <c r="G430" s="1921" t="s">
        <v>495</v>
      </c>
      <c r="H430" s="1644">
        <f>ROUND($F430*C430/100,0)</f>
        <v>4169</v>
      </c>
      <c r="I430" s="1644">
        <f>ROUND($F430*D430/100,0)</f>
        <v>5028</v>
      </c>
      <c r="K430" s="1943"/>
      <c r="L430" s="1921"/>
      <c r="M430" s="1943"/>
      <c r="N430" s="1921"/>
      <c r="O430" s="1943"/>
      <c r="P430" s="1921"/>
      <c r="Q430" s="1943"/>
      <c r="R430" s="1921"/>
      <c r="S430" s="1648"/>
      <c r="T430" s="1648"/>
      <c r="U430" s="1648"/>
      <c r="V430" s="1648"/>
      <c r="W430" s="1648"/>
      <c r="X430" s="1648"/>
      <c r="Y430" s="1644"/>
    </row>
    <row r="431" spans="1:28" hidden="1">
      <c r="A431" s="1900" t="s">
        <v>246</v>
      </c>
      <c r="C431" s="529">
        <v>0</v>
      </c>
      <c r="D431" s="529">
        <v>0</v>
      </c>
      <c r="H431" s="1030">
        <v>0</v>
      </c>
      <c r="I431" s="1030">
        <v>0</v>
      </c>
      <c r="Y431" s="1030"/>
    </row>
    <row r="432" spans="1:28" hidden="1">
      <c r="A432" s="1900" t="s">
        <v>1240</v>
      </c>
      <c r="C432" s="584"/>
      <c r="D432" s="584"/>
      <c r="F432" s="1930">
        <f>F398</f>
        <v>-3.61E-2</v>
      </c>
      <c r="G432" s="597"/>
      <c r="H432" s="1644">
        <f>SUM(H426:H427,H429:H430)*$F432</f>
        <v>-872.82579999999996</v>
      </c>
      <c r="I432" s="1644">
        <f>SUM(I426:I427,I429:I430)*$F432</f>
        <v>-1052.3511000000001</v>
      </c>
      <c r="K432" s="1930"/>
      <c r="L432" s="597"/>
      <c r="M432" s="1930"/>
      <c r="N432" s="597"/>
      <c r="O432" s="1931" t="str">
        <f>$O$43</f>
        <v>Tax Year 1 (7/1/2021)</v>
      </c>
      <c r="P432" s="597"/>
      <c r="Q432" s="1930">
        <f>$Q$687</f>
        <v>-2.76E-2</v>
      </c>
      <c r="R432" s="597"/>
      <c r="S432" s="1645"/>
      <c r="T432" s="1645"/>
      <c r="U432" s="1645"/>
      <c r="V432" s="1645"/>
      <c r="W432" s="1645"/>
      <c r="X432" s="1645"/>
      <c r="Y432" s="1644">
        <f>Q432*SUM(Y422:Y425)</f>
        <v>-797.33640000000003</v>
      </c>
    </row>
    <row r="433" spans="1:28" hidden="1">
      <c r="A433" s="1900"/>
      <c r="C433" s="584"/>
      <c r="D433" s="584"/>
      <c r="F433" s="1930"/>
      <c r="G433" s="597"/>
      <c r="H433" s="1644"/>
      <c r="I433" s="1644"/>
      <c r="K433" s="1930"/>
      <c r="L433" s="597"/>
      <c r="M433" s="1930"/>
      <c r="N433" s="597"/>
      <c r="O433" s="1931" t="str">
        <f>$O$44</f>
        <v>Tax Year 2 (1/1/2022)</v>
      </c>
      <c r="P433" s="597"/>
      <c r="Q433" s="1930">
        <f>$Q$688</f>
        <v>-1.4999999999999999E-2</v>
      </c>
      <c r="R433" s="597"/>
      <c r="S433" s="1645"/>
      <c r="T433" s="1645"/>
      <c r="U433" s="1645"/>
      <c r="V433" s="1645"/>
      <c r="W433" s="1645"/>
      <c r="X433" s="1645"/>
      <c r="Y433" s="1644">
        <f>Q433*SUM(Y422:Y425)</f>
        <v>-433.33499999999998</v>
      </c>
    </row>
    <row r="434" spans="1:28" ht="16.5" hidden="1" thickBot="1">
      <c r="A434" s="1900" t="s">
        <v>247</v>
      </c>
      <c r="C434" s="1949">
        <f>SUM(C429:C431)</f>
        <v>214889.5</v>
      </c>
      <c r="D434" s="1949">
        <f>C434*D791/C791</f>
        <v>259183.41670908913</v>
      </c>
      <c r="F434" s="1939"/>
      <c r="H434" s="1647">
        <f>SUM(H418:H432)</f>
        <v>30698.174200000001</v>
      </c>
      <c r="I434" s="1647">
        <f>SUM(I418:I432)</f>
        <v>37180.6489</v>
      </c>
      <c r="K434" s="1939"/>
      <c r="M434" s="1939"/>
      <c r="O434" s="1939"/>
      <c r="Q434" s="1939"/>
      <c r="S434" s="1647">
        <f>SUM(S418:S431)</f>
        <v>18385</v>
      </c>
      <c r="U434" s="1647">
        <f>SUM(U418:U431)</f>
        <v>14172</v>
      </c>
      <c r="W434" s="1647">
        <f>SUM(W418:W431)</f>
        <v>5399</v>
      </c>
      <c r="Y434" s="1647">
        <f>SUM(Y418:Y431)</f>
        <v>37955</v>
      </c>
      <c r="AA434" s="1104" t="s">
        <v>1743</v>
      </c>
      <c r="AB434" s="1890">
        <f>Y434/I434-1</f>
        <v>2.0826723656240498E-2</v>
      </c>
    </row>
    <row r="435" spans="1:28" ht="16.5" hidden="1" thickTop="1"/>
    <row r="436" spans="1:28" hidden="1">
      <c r="A436" s="1897" t="s">
        <v>1920</v>
      </c>
      <c r="C436" s="528"/>
      <c r="D436" s="528"/>
    </row>
    <row r="437" spans="1:28" hidden="1">
      <c r="A437" s="1900" t="s">
        <v>240</v>
      </c>
      <c r="C437" s="528">
        <f>'BD-Redesign'!H22</f>
        <v>412.38333333333333</v>
      </c>
      <c r="D437" s="528">
        <f>D452</f>
        <v>520.77474317213728</v>
      </c>
      <c r="F437" s="1901"/>
      <c r="G437" s="1902"/>
      <c r="H437" s="1644"/>
      <c r="I437" s="1644"/>
      <c r="K437" s="1901">
        <f t="shared" ref="K437:K447" si="579">K369</f>
        <v>54</v>
      </c>
      <c r="L437" s="1902"/>
      <c r="M437" s="1901">
        <f t="shared" ref="M437:M447" si="580">M369</f>
        <v>0</v>
      </c>
      <c r="N437" s="1902"/>
      <c r="O437" s="1901">
        <f t="shared" ref="O437:O447" si="581">O369</f>
        <v>0</v>
      </c>
      <c r="P437" s="1902"/>
      <c r="Q437" s="1901">
        <f t="shared" ref="Q437:Q447" si="582">Q369</f>
        <v>54</v>
      </c>
      <c r="R437" s="1902"/>
      <c r="S437" s="1644">
        <f>ROUND($D437*K437,0)</f>
        <v>28122</v>
      </c>
      <c r="T437" s="1643"/>
      <c r="U437" s="1644">
        <f>ROUND($D437*M437,0)</f>
        <v>0</v>
      </c>
      <c r="V437" s="1643"/>
      <c r="W437" s="1644">
        <f>ROUND($D437*O437,0)</f>
        <v>0</v>
      </c>
      <c r="X437" s="1643"/>
      <c r="Y437" s="1644">
        <f>ROUND($D437*Q437,0)</f>
        <v>28122</v>
      </c>
      <c r="AA437" s="1109"/>
      <c r="AB437" s="1114"/>
    </row>
    <row r="438" spans="1:28" hidden="1">
      <c r="A438" s="1900" t="s">
        <v>1910</v>
      </c>
      <c r="C438" s="528">
        <f>'BD-Redesign'!H23</f>
        <v>471759</v>
      </c>
      <c r="D438" s="528">
        <f>C438/$C$416*$D$416</f>
        <v>568999.92546524224</v>
      </c>
      <c r="E438" s="597"/>
      <c r="F438" s="1942"/>
      <c r="G438" s="1921"/>
      <c r="H438" s="1644"/>
      <c r="I438" s="1644"/>
      <c r="J438" s="597"/>
      <c r="K438" s="1942">
        <f t="shared" si="579"/>
        <v>3.9525000000000001</v>
      </c>
      <c r="L438" s="1921" t="s">
        <v>495</v>
      </c>
      <c r="M438" s="1942">
        <f t="shared" si="580"/>
        <v>17.075028114911813</v>
      </c>
      <c r="N438" s="1921" t="s">
        <v>495</v>
      </c>
      <c r="O438" s="1942">
        <f t="shared" si="581"/>
        <v>1.3496999999999999</v>
      </c>
      <c r="P438" s="1921" t="s">
        <v>495</v>
      </c>
      <c r="Q438" s="1942">
        <f t="shared" si="582"/>
        <v>22.377228114911812</v>
      </c>
      <c r="R438" s="1921" t="s">
        <v>495</v>
      </c>
      <c r="S438" s="1644">
        <f>ROUND($D438*K438/100,0)</f>
        <v>22490</v>
      </c>
      <c r="T438" s="1648"/>
      <c r="U438" s="1644">
        <f>ROUND($D438*M438/100,0)</f>
        <v>97157</v>
      </c>
      <c r="V438" s="1648"/>
      <c r="W438" s="1644">
        <f>ROUND($D438*O438/100,0)</f>
        <v>7680</v>
      </c>
      <c r="X438" s="1648"/>
      <c r="Y438" s="1644">
        <f>ROUND($D438*Q438/100,0)</f>
        <v>127326</v>
      </c>
      <c r="AA438" s="596"/>
      <c r="AB438" s="596"/>
    </row>
    <row r="439" spans="1:28" hidden="1">
      <c r="A439" s="1900" t="s">
        <v>1911</v>
      </c>
      <c r="C439" s="528">
        <f>'BD-Redesign'!H24</f>
        <v>1131389</v>
      </c>
      <c r="D439" s="528">
        <f t="shared" ref="D439:D447" si="583">C439/$C$416*$D$416</f>
        <v>1364595.6021447284</v>
      </c>
      <c r="E439" s="597"/>
      <c r="F439" s="1942"/>
      <c r="G439" s="1921"/>
      <c r="H439" s="1644"/>
      <c r="I439" s="1644"/>
      <c r="J439" s="597"/>
      <c r="K439" s="1942">
        <f t="shared" si="579"/>
        <v>3.9525000000000001</v>
      </c>
      <c r="L439" s="1921" t="s">
        <v>495</v>
      </c>
      <c r="M439" s="1942">
        <f t="shared" si="580"/>
        <v>-0.91518271744099966</v>
      </c>
      <c r="N439" s="1921" t="s">
        <v>495</v>
      </c>
      <c r="O439" s="1942">
        <f t="shared" si="581"/>
        <v>1.3496999999999999</v>
      </c>
      <c r="P439" s="1921" t="s">
        <v>495</v>
      </c>
      <c r="Q439" s="1942">
        <f t="shared" si="582"/>
        <v>4.3870172825590004</v>
      </c>
      <c r="R439" s="1921" t="s">
        <v>495</v>
      </c>
      <c r="S439" s="1644">
        <f t="shared" ref="S439:S445" si="584">ROUND($D439*K439/100,0)</f>
        <v>53936</v>
      </c>
      <c r="T439" s="1648"/>
      <c r="U439" s="1644">
        <f t="shared" ref="U439:U445" si="585">ROUND($D439*M439/100,0)</f>
        <v>-12489</v>
      </c>
      <c r="V439" s="1648"/>
      <c r="W439" s="1644">
        <f t="shared" ref="W439:W445" si="586">ROUND($D439*O439/100,0)</f>
        <v>18418</v>
      </c>
      <c r="X439" s="1648"/>
      <c r="Y439" s="1644">
        <f t="shared" ref="Y439:Y445" si="587">ROUND($D439*Q439/100,0)</f>
        <v>59865</v>
      </c>
      <c r="AA439" s="596"/>
      <c r="AB439" s="596"/>
    </row>
    <row r="440" spans="1:28" hidden="1">
      <c r="A440" s="1900" t="s">
        <v>1912</v>
      </c>
      <c r="C440" s="528">
        <f>'BD-Redesign'!H25</f>
        <v>798767.5</v>
      </c>
      <c r="D440" s="528">
        <f t="shared" si="583"/>
        <v>963412.77636262984</v>
      </c>
      <c r="E440" s="597"/>
      <c r="F440" s="1942"/>
      <c r="G440" s="1921"/>
      <c r="H440" s="1644"/>
      <c r="I440" s="1644"/>
      <c r="J440" s="597"/>
      <c r="K440" s="1942">
        <f t="shared" si="579"/>
        <v>3.9525000000000001</v>
      </c>
      <c r="L440" s="1921" t="s">
        <v>495</v>
      </c>
      <c r="M440" s="1942">
        <f t="shared" si="580"/>
        <v>14.656000000000001</v>
      </c>
      <c r="N440" s="1921" t="s">
        <v>495</v>
      </c>
      <c r="O440" s="1942">
        <f t="shared" si="581"/>
        <v>1.1943999999999999</v>
      </c>
      <c r="P440" s="1921" t="s">
        <v>495</v>
      </c>
      <c r="Q440" s="1942">
        <f t="shared" si="582"/>
        <v>19.802900000000001</v>
      </c>
      <c r="R440" s="1921" t="s">
        <v>495</v>
      </c>
      <c r="S440" s="1644">
        <f t="shared" si="584"/>
        <v>38079</v>
      </c>
      <c r="T440" s="1648"/>
      <c r="U440" s="1644">
        <f t="shared" si="585"/>
        <v>141198</v>
      </c>
      <c r="V440" s="1648"/>
      <c r="W440" s="1644">
        <f t="shared" si="586"/>
        <v>11507</v>
      </c>
      <c r="X440" s="1648"/>
      <c r="Y440" s="1644">
        <f t="shared" si="587"/>
        <v>190784</v>
      </c>
      <c r="AA440" s="596"/>
      <c r="AB440" s="596"/>
    </row>
    <row r="441" spans="1:28" hidden="1">
      <c r="A441" s="1900" t="s">
        <v>1913</v>
      </c>
      <c r="C441" s="528">
        <f>'BD-Redesign'!H26</f>
        <v>2071239.9999999998</v>
      </c>
      <c r="D441" s="528">
        <f t="shared" si="583"/>
        <v>2498172.5957970666</v>
      </c>
      <c r="E441" s="597"/>
      <c r="F441" s="1942"/>
      <c r="G441" s="1921"/>
      <c r="H441" s="1644"/>
      <c r="I441" s="1644"/>
      <c r="J441" s="597"/>
      <c r="K441" s="1942">
        <f t="shared" si="579"/>
        <v>3.9525000000000001</v>
      </c>
      <c r="L441" s="1921" t="s">
        <v>495</v>
      </c>
      <c r="M441" s="1942">
        <f t="shared" si="580"/>
        <v>-1.2646000000000002</v>
      </c>
      <c r="N441" s="1921" t="s">
        <v>495</v>
      </c>
      <c r="O441" s="1942">
        <f t="shared" si="581"/>
        <v>1.1943999999999999</v>
      </c>
      <c r="P441" s="1921" t="s">
        <v>495</v>
      </c>
      <c r="Q441" s="1942">
        <f t="shared" si="582"/>
        <v>3.8822999999999999</v>
      </c>
      <c r="R441" s="1921" t="s">
        <v>495</v>
      </c>
      <c r="S441" s="1644">
        <f t="shared" si="584"/>
        <v>98740</v>
      </c>
      <c r="T441" s="1648"/>
      <c r="U441" s="1644">
        <f t="shared" si="585"/>
        <v>-31592</v>
      </c>
      <c r="V441" s="1648"/>
      <c r="W441" s="1644">
        <f t="shared" si="586"/>
        <v>29838</v>
      </c>
      <c r="X441" s="1648"/>
      <c r="Y441" s="1644">
        <f t="shared" si="587"/>
        <v>96987</v>
      </c>
      <c r="AA441" s="596"/>
      <c r="AB441" s="596"/>
    </row>
    <row r="442" spans="1:28" hidden="1">
      <c r="A442" s="1900" t="s">
        <v>1906</v>
      </c>
      <c r="C442" s="528">
        <f>'BD-Redesign'!H27</f>
        <v>890309.04943846958</v>
      </c>
      <c r="D442" s="528">
        <f t="shared" si="583"/>
        <v>1073823.2503704643</v>
      </c>
      <c r="E442" s="597"/>
      <c r="F442" s="1942"/>
      <c r="G442" s="1921"/>
      <c r="H442" s="1644"/>
      <c r="I442" s="1644"/>
      <c r="J442" s="597"/>
      <c r="K442" s="1942">
        <f t="shared" si="579"/>
        <v>0</v>
      </c>
      <c r="L442" s="1921" t="s">
        <v>495</v>
      </c>
      <c r="M442" s="1942">
        <f t="shared" si="580"/>
        <v>0</v>
      </c>
      <c r="N442" s="1921" t="s">
        <v>495</v>
      </c>
      <c r="O442" s="1942">
        <f t="shared" si="581"/>
        <v>6</v>
      </c>
      <c r="P442" s="1921" t="s">
        <v>495</v>
      </c>
      <c r="Q442" s="1942">
        <f t="shared" si="582"/>
        <v>6</v>
      </c>
      <c r="R442" s="1921" t="s">
        <v>495</v>
      </c>
      <c r="S442" s="1644">
        <f t="shared" si="584"/>
        <v>0</v>
      </c>
      <c r="T442" s="1648"/>
      <c r="U442" s="1644">
        <f t="shared" si="585"/>
        <v>0</v>
      </c>
      <c r="V442" s="1648"/>
      <c r="W442" s="1644">
        <f t="shared" si="586"/>
        <v>64429</v>
      </c>
      <c r="X442" s="1648"/>
      <c r="Y442" s="1644">
        <f t="shared" si="587"/>
        <v>64429</v>
      </c>
      <c r="AA442" s="596"/>
      <c r="AB442" s="596"/>
    </row>
    <row r="443" spans="1:28" hidden="1">
      <c r="A443" s="1900" t="s">
        <v>1907</v>
      </c>
      <c r="C443" s="528">
        <f>'BD-Redesign'!H28</f>
        <v>712838.95056153019</v>
      </c>
      <c r="D443" s="528">
        <f t="shared" si="583"/>
        <v>859772.27723950613</v>
      </c>
      <c r="E443" s="597"/>
      <c r="F443" s="1942"/>
      <c r="G443" s="1921"/>
      <c r="H443" s="1644"/>
      <c r="I443" s="1644"/>
      <c r="J443" s="597"/>
      <c r="K443" s="1942">
        <f t="shared" si="579"/>
        <v>0</v>
      </c>
      <c r="L443" s="1921" t="s">
        <v>495</v>
      </c>
      <c r="M443" s="1942">
        <f t="shared" si="580"/>
        <v>0</v>
      </c>
      <c r="N443" s="1921" t="s">
        <v>495</v>
      </c>
      <c r="O443" s="1942">
        <f t="shared" si="581"/>
        <v>-2.3358000000000008</v>
      </c>
      <c r="P443" s="1921" t="s">
        <v>495</v>
      </c>
      <c r="Q443" s="1942">
        <f t="shared" si="582"/>
        <v>-2.3358000000000008</v>
      </c>
      <c r="R443" s="1921" t="s">
        <v>495</v>
      </c>
      <c r="S443" s="1644">
        <f t="shared" si="584"/>
        <v>0</v>
      </c>
      <c r="T443" s="1648"/>
      <c r="U443" s="1644">
        <f t="shared" si="585"/>
        <v>0</v>
      </c>
      <c r="V443" s="1648"/>
      <c r="W443" s="1644">
        <f t="shared" si="586"/>
        <v>-20083</v>
      </c>
      <c r="X443" s="1648"/>
      <c r="Y443" s="1644">
        <f t="shared" si="587"/>
        <v>-20083</v>
      </c>
      <c r="AA443" s="596"/>
      <c r="AB443" s="596"/>
    </row>
    <row r="444" spans="1:28" hidden="1">
      <c r="A444" s="1900" t="s">
        <v>1908</v>
      </c>
      <c r="C444" s="528">
        <f>'BD-Redesign'!H29</f>
        <v>1593860.1109855603</v>
      </c>
      <c r="D444" s="528">
        <f t="shared" si="583"/>
        <v>1922393.1803162347</v>
      </c>
      <c r="E444" s="597"/>
      <c r="F444" s="1942"/>
      <c r="G444" s="1921"/>
      <c r="H444" s="1644"/>
      <c r="I444" s="1644"/>
      <c r="J444" s="597"/>
      <c r="K444" s="1942">
        <f t="shared" si="579"/>
        <v>0</v>
      </c>
      <c r="L444" s="1921" t="s">
        <v>495</v>
      </c>
      <c r="M444" s="1942">
        <f t="shared" si="580"/>
        <v>0</v>
      </c>
      <c r="N444" s="1921" t="s">
        <v>495</v>
      </c>
      <c r="O444" s="1942">
        <f t="shared" si="581"/>
        <v>5.3097000000000003</v>
      </c>
      <c r="P444" s="1921" t="s">
        <v>495</v>
      </c>
      <c r="Q444" s="1942">
        <f t="shared" si="582"/>
        <v>5.3097000000000003</v>
      </c>
      <c r="R444" s="1921" t="s">
        <v>495</v>
      </c>
      <c r="S444" s="1644">
        <f t="shared" si="584"/>
        <v>0</v>
      </c>
      <c r="T444" s="1648"/>
      <c r="U444" s="1644">
        <f t="shared" si="585"/>
        <v>0</v>
      </c>
      <c r="V444" s="1648"/>
      <c r="W444" s="1644">
        <f t="shared" si="586"/>
        <v>102073</v>
      </c>
      <c r="X444" s="1648"/>
      <c r="Y444" s="1644">
        <f t="shared" si="587"/>
        <v>102073</v>
      </c>
      <c r="AA444" s="596"/>
      <c r="AB444" s="596"/>
    </row>
    <row r="445" spans="1:28" hidden="1">
      <c r="A445" s="1900" t="s">
        <v>1909</v>
      </c>
      <c r="C445" s="528">
        <f>'BD-Redesign'!H30</f>
        <v>1276147.3890144394</v>
      </c>
      <c r="D445" s="528">
        <f t="shared" si="583"/>
        <v>1539192.1918434615</v>
      </c>
      <c r="E445" s="597"/>
      <c r="F445" s="1942"/>
      <c r="G445" s="1921"/>
      <c r="H445" s="1644"/>
      <c r="I445" s="1644"/>
      <c r="J445" s="597"/>
      <c r="K445" s="1942">
        <f t="shared" si="579"/>
        <v>0</v>
      </c>
      <c r="L445" s="1921" t="s">
        <v>495</v>
      </c>
      <c r="M445" s="1942">
        <f t="shared" si="580"/>
        <v>0</v>
      </c>
      <c r="N445" s="1921" t="s">
        <v>495</v>
      </c>
      <c r="O445" s="1942">
        <f t="shared" si="581"/>
        <v>-2.0670999999999999</v>
      </c>
      <c r="P445" s="1921" t="s">
        <v>495</v>
      </c>
      <c r="Q445" s="1942">
        <f t="shared" si="582"/>
        <v>-2.0670999999999999</v>
      </c>
      <c r="R445" s="1921" t="s">
        <v>495</v>
      </c>
      <c r="S445" s="1644">
        <f t="shared" si="584"/>
        <v>0</v>
      </c>
      <c r="T445" s="1648"/>
      <c r="U445" s="1644">
        <f t="shared" si="585"/>
        <v>0</v>
      </c>
      <c r="V445" s="1648"/>
      <c r="W445" s="1644">
        <f t="shared" si="586"/>
        <v>-31817</v>
      </c>
      <c r="X445" s="1648"/>
      <c r="Y445" s="1644">
        <f t="shared" si="587"/>
        <v>-31817</v>
      </c>
      <c r="AA445" s="596"/>
      <c r="AB445" s="596"/>
    </row>
    <row r="446" spans="1:28" hidden="1">
      <c r="A446" s="1900" t="s">
        <v>261</v>
      </c>
      <c r="C446" s="528">
        <f>'BD-Redesign'!H31</f>
        <v>0</v>
      </c>
      <c r="D446" s="528">
        <f t="shared" si="583"/>
        <v>0</v>
      </c>
      <c r="F446" s="1901"/>
      <c r="G446" s="1902"/>
      <c r="H446" s="1644"/>
      <c r="I446" s="1644"/>
      <c r="K446" s="1901">
        <f t="shared" si="579"/>
        <v>-0.61</v>
      </c>
      <c r="L446" s="1902"/>
      <c r="M446" s="1901">
        <f t="shared" si="580"/>
        <v>0</v>
      </c>
      <c r="N446" s="1902"/>
      <c r="O446" s="1901">
        <f t="shared" si="581"/>
        <v>0</v>
      </c>
      <c r="P446" s="1902"/>
      <c r="Q446" s="1901">
        <f t="shared" si="582"/>
        <v>-0.61</v>
      </c>
      <c r="R446" s="1902"/>
      <c r="S446" s="1644">
        <f>ROUND($D446*K446,0)</f>
        <v>0</v>
      </c>
      <c r="T446" s="1643"/>
      <c r="U446" s="1644">
        <f>ROUND($D446*M446,0)</f>
        <v>0</v>
      </c>
      <c r="V446" s="1643"/>
      <c r="W446" s="1644">
        <f>ROUND($D446*O446,0)</f>
        <v>0</v>
      </c>
      <c r="X446" s="1643"/>
      <c r="Y446" s="1644">
        <f>ROUND($D446*Q446,0)</f>
        <v>0</v>
      </c>
      <c r="AA446" s="596"/>
      <c r="AB446" s="596"/>
    </row>
    <row r="447" spans="1:28" hidden="1">
      <c r="A447" s="1116" t="s">
        <v>1158</v>
      </c>
      <c r="C447" s="528">
        <f>'BD-Redesign'!H32</f>
        <v>0</v>
      </c>
      <c r="D447" s="528">
        <f t="shared" si="583"/>
        <v>0</v>
      </c>
      <c r="F447" s="1943"/>
      <c r="G447" s="1921"/>
      <c r="H447" s="1644"/>
      <c r="I447" s="1644"/>
      <c r="K447" s="1943">
        <f t="shared" si="579"/>
        <v>0</v>
      </c>
      <c r="L447" s="1921" t="s">
        <v>495</v>
      </c>
      <c r="M447" s="1943">
        <f t="shared" si="580"/>
        <v>7.125</v>
      </c>
      <c r="N447" s="1921" t="s">
        <v>495</v>
      </c>
      <c r="O447" s="1943">
        <f t="shared" si="581"/>
        <v>0</v>
      </c>
      <c r="P447" s="1921" t="s">
        <v>495</v>
      </c>
      <c r="Q447" s="1943">
        <f t="shared" si="582"/>
        <v>7.125</v>
      </c>
      <c r="R447" s="1921" t="s">
        <v>495</v>
      </c>
      <c r="S447" s="1644">
        <f>ROUND($D447*K447/100,0)</f>
        <v>0</v>
      </c>
      <c r="T447" s="1648"/>
      <c r="U447" s="1644">
        <f>ROUND($D447*M447/100,0)</f>
        <v>0</v>
      </c>
      <c r="V447" s="1648"/>
      <c r="W447" s="1644">
        <f>ROUND($D447*O447/100,0)</f>
        <v>0</v>
      </c>
      <c r="X447" s="1648"/>
      <c r="Y447" s="1644">
        <f>ROUND($D447*Q447/100,0)</f>
        <v>0</v>
      </c>
      <c r="AA447" s="1109"/>
      <c r="AB447" s="1114"/>
    </row>
    <row r="448" spans="1:28" hidden="1">
      <c r="A448" s="1900" t="s">
        <v>1240</v>
      </c>
      <c r="C448" s="584"/>
      <c r="D448" s="584"/>
      <c r="F448" s="1930"/>
      <c r="G448" s="597"/>
      <c r="H448" s="1644"/>
      <c r="I448" s="1644"/>
      <c r="K448" s="1930"/>
      <c r="L448" s="597"/>
      <c r="M448" s="1930"/>
      <c r="N448" s="597"/>
      <c r="O448" s="1931" t="str">
        <f>$O$43</f>
        <v>Tax Year 1 (7/1/2021)</v>
      </c>
      <c r="P448" s="597"/>
      <c r="Q448" s="1930">
        <f>$Q$979</f>
        <v>-3.0599999999999999E-2</v>
      </c>
      <c r="R448" s="597"/>
      <c r="S448" s="1645"/>
      <c r="T448" s="1645"/>
      <c r="U448" s="1645"/>
      <c r="V448" s="1645"/>
      <c r="W448" s="1645"/>
      <c r="X448" s="1645"/>
      <c r="Y448" s="1644">
        <f>Q448*SUM(Y438:Y441,Y447)</f>
        <v>-14533.8372</v>
      </c>
    </row>
    <row r="449" spans="1:28" hidden="1">
      <c r="A449" s="1900"/>
      <c r="C449" s="584"/>
      <c r="D449" s="584"/>
      <c r="F449" s="1930"/>
      <c r="G449" s="597"/>
      <c r="H449" s="1644"/>
      <c r="I449" s="1644"/>
      <c r="K449" s="1930"/>
      <c r="L449" s="597"/>
      <c r="M449" s="1930"/>
      <c r="N449" s="597"/>
      <c r="O449" s="1931" t="str">
        <f>$O$44</f>
        <v>Tax Year 2 (1/1/2022)</v>
      </c>
      <c r="P449" s="597"/>
      <c r="Q449" s="1930">
        <f>$Q$980</f>
        <v>-1.66E-2</v>
      </c>
      <c r="R449" s="597"/>
      <c r="S449" s="1645"/>
      <c r="T449" s="1645"/>
      <c r="U449" s="1645"/>
      <c r="V449" s="1645"/>
      <c r="W449" s="1645"/>
      <c r="X449" s="1645"/>
      <c r="Y449" s="1644">
        <f>Q449*SUM(Y438:Y441,Y447)</f>
        <v>-7884.3692000000001</v>
      </c>
    </row>
    <row r="450" spans="1:28" hidden="1">
      <c r="A450" s="1900" t="s">
        <v>1923</v>
      </c>
      <c r="C450" s="528">
        <f>SUM(C442:C445,C447)</f>
        <v>4473155.5</v>
      </c>
      <c r="D450" s="528">
        <f>D468</f>
        <v>5758585.2212515902</v>
      </c>
      <c r="F450" s="1901"/>
      <c r="G450" s="1902"/>
      <c r="H450" s="1644"/>
      <c r="I450" s="1644"/>
      <c r="K450" s="1901"/>
      <c r="L450" s="1902"/>
      <c r="M450" s="1901"/>
      <c r="N450" s="1902"/>
      <c r="O450" s="1901"/>
      <c r="P450" s="1902"/>
      <c r="Q450" s="1901"/>
      <c r="R450" s="1902"/>
      <c r="S450" s="1644">
        <f>SUM(S437:S447)</f>
        <v>241367</v>
      </c>
      <c r="T450" s="1643"/>
      <c r="U450" s="1644">
        <f>SUM(U437:U447)</f>
        <v>194274</v>
      </c>
      <c r="V450" s="1643"/>
      <c r="W450" s="1644">
        <f>SUM(W437:W447)</f>
        <v>182045</v>
      </c>
      <c r="X450" s="1643"/>
      <c r="Y450" s="1644">
        <f>SUM(Y437:Y447)</f>
        <v>617686</v>
      </c>
      <c r="AA450" s="1109" t="s">
        <v>1743</v>
      </c>
      <c r="AB450" s="1499">
        <f>Y450/Y468-1</f>
        <v>-0.30235006172483936</v>
      </c>
    </row>
    <row r="451" spans="1:28" hidden="1">
      <c r="A451" s="1900"/>
      <c r="C451" s="528"/>
      <c r="D451" s="528"/>
      <c r="F451" s="1901"/>
      <c r="G451" s="1902"/>
      <c r="H451" s="1644"/>
      <c r="I451" s="1644"/>
      <c r="K451" s="1901"/>
      <c r="L451" s="1902"/>
      <c r="M451" s="1901"/>
      <c r="N451" s="1902"/>
      <c r="O451" s="1901"/>
      <c r="P451" s="1902"/>
      <c r="Q451" s="1901"/>
      <c r="R451" s="1902"/>
      <c r="S451" s="1643"/>
      <c r="T451" s="1643"/>
      <c r="U451" s="1643"/>
      <c r="V451" s="1643"/>
      <c r="W451" s="1643"/>
      <c r="X451" s="1643"/>
      <c r="Y451" s="1644"/>
      <c r="AA451" s="1109"/>
      <c r="AB451" s="1114"/>
    </row>
    <row r="452" spans="1:28" hidden="1">
      <c r="A452" s="1900" t="s">
        <v>240</v>
      </c>
      <c r="C452" s="528">
        <f>C437</f>
        <v>412.38333333333333</v>
      </c>
      <c r="D452" s="528">
        <f>C452*D794/C794</f>
        <v>520.77474317213728</v>
      </c>
      <c r="F452" s="1944">
        <f>F384</f>
        <v>54</v>
      </c>
      <c r="G452" s="597"/>
      <c r="H452" s="1644">
        <f t="shared" ref="H452:H454" si="588">ROUND($F452*C452,0)</f>
        <v>22269</v>
      </c>
      <c r="I452" s="1644">
        <f t="shared" ref="I452:I454" si="589">ROUND($F452*D452,0)</f>
        <v>28122</v>
      </c>
      <c r="K452" s="1944">
        <f t="shared" ref="K452:K459" si="590">K384</f>
        <v>54</v>
      </c>
      <c r="L452" s="597"/>
      <c r="M452" s="1944">
        <f t="shared" ref="M452:M459" si="591">M384</f>
        <v>0</v>
      </c>
      <c r="N452" s="597"/>
      <c r="O452" s="1944">
        <f t="shared" ref="O452:O459" si="592">O384</f>
        <v>0</v>
      </c>
      <c r="P452" s="597"/>
      <c r="Q452" s="1944">
        <f t="shared" ref="Q452:Q459" si="593">Q384</f>
        <v>54</v>
      </c>
      <c r="R452" s="597"/>
      <c r="S452" s="1644">
        <f>ROUND($D452*K452,0)</f>
        <v>28122</v>
      </c>
      <c r="T452" s="1643"/>
      <c r="U452" s="1644">
        <f>ROUND($D452*M452,0)</f>
        <v>0</v>
      </c>
      <c r="V452" s="1643"/>
      <c r="W452" s="1644">
        <f>ROUND($D452*O452,0)</f>
        <v>0</v>
      </c>
      <c r="X452" s="1643"/>
      <c r="Y452" s="1644">
        <f>ROUND($D452*Q452,0)</f>
        <v>28122</v>
      </c>
    </row>
    <row r="453" spans="1:28" hidden="1">
      <c r="A453" s="1900" t="s">
        <v>262</v>
      </c>
      <c r="C453" s="584">
        <v>0</v>
      </c>
      <c r="D453" s="528">
        <v>0</v>
      </c>
      <c r="F453" s="1944">
        <f>F385</f>
        <v>648</v>
      </c>
      <c r="G453" s="597"/>
      <c r="H453" s="1644">
        <f t="shared" si="588"/>
        <v>0</v>
      </c>
      <c r="I453" s="1644">
        <f t="shared" si="589"/>
        <v>0</v>
      </c>
      <c r="K453" s="1944">
        <f t="shared" si="590"/>
        <v>648</v>
      </c>
      <c r="L453" s="597"/>
      <c r="M453" s="1944">
        <f t="shared" si="591"/>
        <v>0</v>
      </c>
      <c r="N453" s="597"/>
      <c r="O453" s="1944">
        <f t="shared" si="592"/>
        <v>0</v>
      </c>
      <c r="P453" s="597"/>
      <c r="Q453" s="1944">
        <f t="shared" si="593"/>
        <v>648</v>
      </c>
      <c r="R453" s="597"/>
      <c r="S453" s="1644">
        <f t="shared" ref="S453:S457" si="594">ROUND($D453*K453,0)</f>
        <v>0</v>
      </c>
      <c r="T453" s="1643"/>
      <c r="U453" s="1644">
        <f t="shared" ref="U453:U457" si="595">ROUND($D453*M453,0)</f>
        <v>0</v>
      </c>
      <c r="V453" s="1643"/>
      <c r="W453" s="1644">
        <f t="shared" ref="W453:W457" si="596">ROUND($D453*O453,0)</f>
        <v>0</v>
      </c>
      <c r="X453" s="1643"/>
      <c r="Y453" s="1644">
        <f t="shared" ref="Y453:Y457" si="597">ROUND($D453*Q453,0)</f>
        <v>0</v>
      </c>
    </row>
    <row r="454" spans="1:28" hidden="1">
      <c r="A454" s="1900" t="s">
        <v>1298</v>
      </c>
      <c r="C454" s="528">
        <v>0</v>
      </c>
      <c r="D454" s="528">
        <v>0</v>
      </c>
      <c r="F454" s="1944">
        <f>F386</f>
        <v>54</v>
      </c>
      <c r="G454" s="597"/>
      <c r="H454" s="1644">
        <f t="shared" si="588"/>
        <v>0</v>
      </c>
      <c r="I454" s="1644">
        <f t="shared" si="589"/>
        <v>0</v>
      </c>
      <c r="K454" s="1944">
        <f t="shared" si="590"/>
        <v>54</v>
      </c>
      <c r="L454" s="597"/>
      <c r="M454" s="1944">
        <f t="shared" si="591"/>
        <v>0</v>
      </c>
      <c r="N454" s="597"/>
      <c r="O454" s="1944">
        <f t="shared" si="592"/>
        <v>0</v>
      </c>
      <c r="P454" s="597"/>
      <c r="Q454" s="1944">
        <f t="shared" si="593"/>
        <v>54</v>
      </c>
      <c r="R454" s="597"/>
      <c r="S454" s="1644">
        <f t="shared" si="594"/>
        <v>0</v>
      </c>
      <c r="T454" s="1645"/>
      <c r="U454" s="1644">
        <f t="shared" si="595"/>
        <v>0</v>
      </c>
      <c r="V454" s="1645"/>
      <c r="W454" s="1644">
        <f t="shared" si="596"/>
        <v>0</v>
      </c>
      <c r="X454" s="1645"/>
      <c r="Y454" s="1644">
        <f t="shared" si="597"/>
        <v>0</v>
      </c>
    </row>
    <row r="455" spans="1:28" hidden="1">
      <c r="A455" s="1900" t="s">
        <v>168</v>
      </c>
      <c r="C455" s="528">
        <f>'BD-Redesign'!H55</f>
        <v>30550</v>
      </c>
      <c r="D455" s="528">
        <f>ROUND(C455/$C$468*$D$468,0)</f>
        <v>39329</v>
      </c>
      <c r="F455" s="1944">
        <f>F387</f>
        <v>4.04</v>
      </c>
      <c r="G455" s="597"/>
      <c r="H455" s="1644">
        <f>ROUND($F455*C455,0)</f>
        <v>123422</v>
      </c>
      <c r="I455" s="1644">
        <f>ROUND($F455*D455,0)</f>
        <v>158889</v>
      </c>
      <c r="K455" s="1944">
        <f t="shared" si="590"/>
        <v>4.03</v>
      </c>
      <c r="L455" s="597"/>
      <c r="M455" s="1944">
        <f t="shared" si="591"/>
        <v>0</v>
      </c>
      <c r="N455" s="597"/>
      <c r="O455" s="1944">
        <f t="shared" si="592"/>
        <v>0</v>
      </c>
      <c r="P455" s="597"/>
      <c r="Q455" s="1944">
        <f t="shared" si="593"/>
        <v>4.03</v>
      </c>
      <c r="R455" s="597"/>
      <c r="S455" s="1644">
        <f t="shared" si="594"/>
        <v>158496</v>
      </c>
      <c r="T455" s="1643"/>
      <c r="U455" s="1644">
        <f t="shared" si="595"/>
        <v>0</v>
      </c>
      <c r="V455" s="1643"/>
      <c r="W455" s="1644">
        <f t="shared" si="596"/>
        <v>0</v>
      </c>
      <c r="X455" s="1643"/>
      <c r="Y455" s="1644">
        <f t="shared" si="597"/>
        <v>158496</v>
      </c>
    </row>
    <row r="456" spans="1:28" hidden="1">
      <c r="A456" s="1900" t="s">
        <v>1645</v>
      </c>
      <c r="C456" s="528">
        <f>'BD-Redesign'!H56</f>
        <v>11597.5</v>
      </c>
      <c r="D456" s="528">
        <f t="shared" ref="D456:D457" si="598">ROUND(C456/$C$468*$D$468,0)</f>
        <v>14930</v>
      </c>
      <c r="F456" s="1944"/>
      <c r="G456" s="597"/>
      <c r="H456" s="1644"/>
      <c r="I456" s="1644"/>
      <c r="K456" s="1944">
        <f t="shared" si="590"/>
        <v>6.34</v>
      </c>
      <c r="L456" s="597"/>
      <c r="M456" s="1944">
        <f t="shared" si="591"/>
        <v>7.0600000000000005</v>
      </c>
      <c r="N456" s="597"/>
      <c r="O456" s="1944">
        <f t="shared" si="592"/>
        <v>0</v>
      </c>
      <c r="P456" s="597"/>
      <c r="Q456" s="1944">
        <f t="shared" si="593"/>
        <v>13.4</v>
      </c>
      <c r="R456" s="597"/>
      <c r="S456" s="1644">
        <f t="shared" si="594"/>
        <v>94656</v>
      </c>
      <c r="T456" s="1645"/>
      <c r="U456" s="1644">
        <f t="shared" si="595"/>
        <v>105406</v>
      </c>
      <c r="V456" s="1645"/>
      <c r="W456" s="1644">
        <f t="shared" si="596"/>
        <v>0</v>
      </c>
      <c r="X456" s="1645"/>
      <c r="Y456" s="1644">
        <f t="shared" si="597"/>
        <v>200062</v>
      </c>
    </row>
    <row r="457" spans="1:28" hidden="1">
      <c r="A457" s="1900" t="s">
        <v>1646</v>
      </c>
      <c r="C457" s="528">
        <f>'BD-Redesign'!H57</f>
        <v>18952.5</v>
      </c>
      <c r="D457" s="528">
        <f t="shared" si="598"/>
        <v>24399</v>
      </c>
      <c r="F457" s="1944"/>
      <c r="G457" s="597"/>
      <c r="H457" s="1644"/>
      <c r="I457" s="1644"/>
      <c r="K457" s="1944">
        <f t="shared" si="590"/>
        <v>5.61</v>
      </c>
      <c r="L457" s="597"/>
      <c r="M457" s="1944">
        <f t="shared" si="591"/>
        <v>6.2499999999999991</v>
      </c>
      <c r="N457" s="597"/>
      <c r="O457" s="1944">
        <f t="shared" si="592"/>
        <v>0</v>
      </c>
      <c r="P457" s="597"/>
      <c r="Q457" s="1944">
        <f t="shared" si="593"/>
        <v>11.86</v>
      </c>
      <c r="R457" s="597"/>
      <c r="S457" s="1644">
        <f t="shared" si="594"/>
        <v>136878</v>
      </c>
      <c r="T457" s="1645"/>
      <c r="U457" s="1644">
        <f t="shared" si="595"/>
        <v>152494</v>
      </c>
      <c r="V457" s="1645"/>
      <c r="W457" s="1644">
        <f t="shared" si="596"/>
        <v>0</v>
      </c>
      <c r="X457" s="1645"/>
      <c r="Y457" s="1644">
        <f t="shared" si="597"/>
        <v>289372</v>
      </c>
    </row>
    <row r="458" spans="1:28" hidden="1">
      <c r="A458" s="1900" t="s">
        <v>1647</v>
      </c>
      <c r="C458" s="528">
        <f>'BD-Redesign'!H59</f>
        <v>1603148</v>
      </c>
      <c r="D458" s="528">
        <f>D468-D459</f>
        <v>2063837.2212515902</v>
      </c>
      <c r="F458" s="1943"/>
      <c r="G458" s="1921"/>
      <c r="H458" s="1644"/>
      <c r="I458" s="1644"/>
      <c r="K458" s="1943">
        <f t="shared" si="590"/>
        <v>0</v>
      </c>
      <c r="L458" s="1921" t="s">
        <v>495</v>
      </c>
      <c r="M458" s="1943">
        <f t="shared" si="591"/>
        <v>1.6192</v>
      </c>
      <c r="N458" s="1921" t="s">
        <v>495</v>
      </c>
      <c r="O458" s="1943">
        <f t="shared" si="592"/>
        <v>2.305570240802</v>
      </c>
      <c r="P458" s="1921" t="s">
        <v>495</v>
      </c>
      <c r="Q458" s="1943">
        <f t="shared" si="593"/>
        <v>3.9247702408020002</v>
      </c>
      <c r="R458" s="1921" t="s">
        <v>495</v>
      </c>
      <c r="S458" s="1644">
        <f>ROUND($D458*K458/100,0)</f>
        <v>0</v>
      </c>
      <c r="T458" s="1648"/>
      <c r="U458" s="1644">
        <f>ROUND($D458*M458/100,0)</f>
        <v>33418</v>
      </c>
      <c r="V458" s="1648"/>
      <c r="W458" s="1644">
        <f>ROUND($D458*O458/100,0)</f>
        <v>47583</v>
      </c>
      <c r="X458" s="1648"/>
      <c r="Y458" s="1644">
        <f>ROUND($D458*Q458/100,0)</f>
        <v>81001</v>
      </c>
    </row>
    <row r="459" spans="1:28" hidden="1">
      <c r="A459" s="1900" t="s">
        <v>1648</v>
      </c>
      <c r="C459" s="528">
        <f>'BD-Redesign'!H60</f>
        <v>2870007.5</v>
      </c>
      <c r="D459" s="528">
        <f>ROUND(C459/C468*D468,0)</f>
        <v>3694748</v>
      </c>
      <c r="F459" s="1943"/>
      <c r="G459" s="1921"/>
      <c r="H459" s="1644"/>
      <c r="I459" s="1644"/>
      <c r="K459" s="1943">
        <f t="shared" si="590"/>
        <v>0</v>
      </c>
      <c r="L459" s="1921" t="s">
        <v>495</v>
      </c>
      <c r="M459" s="1943">
        <f t="shared" si="591"/>
        <v>1.4329000000000001</v>
      </c>
      <c r="N459" s="1921" t="s">
        <v>495</v>
      </c>
      <c r="O459" s="1943">
        <f t="shared" si="592"/>
        <v>2.0403480007099999</v>
      </c>
      <c r="P459" s="1921" t="s">
        <v>495</v>
      </c>
      <c r="Q459" s="1943">
        <f t="shared" si="593"/>
        <v>3.4732480007099999</v>
      </c>
      <c r="R459" s="1921" t="s">
        <v>495</v>
      </c>
      <c r="S459" s="1644">
        <f>ROUND($D459*K459/100,0)</f>
        <v>0</v>
      </c>
      <c r="T459" s="1648"/>
      <c r="U459" s="1644">
        <f>ROUND($D459*M459/100,0)</f>
        <v>52942</v>
      </c>
      <c r="V459" s="1648"/>
      <c r="W459" s="1644">
        <f>ROUND($D459*O459/100,0)</f>
        <v>75386</v>
      </c>
      <c r="X459" s="1648"/>
      <c r="Y459" s="1644">
        <f>ROUND($D459*Q459/100,0)</f>
        <v>128328</v>
      </c>
    </row>
    <row r="460" spans="1:28" hidden="1">
      <c r="A460" s="1900" t="s">
        <v>196</v>
      </c>
      <c r="C460" s="528">
        <f>(C456+C457)*C817/(C817+C818)</f>
        <v>11898.50368279063</v>
      </c>
      <c r="D460" s="528">
        <f>ROUND(C460/C468*D468,0)</f>
        <v>15318</v>
      </c>
      <c r="F460" s="1944">
        <f>F392</f>
        <v>14.62</v>
      </c>
      <c r="G460" s="597"/>
      <c r="H460" s="1644">
        <f t="shared" ref="H460:H462" si="599">ROUND($F460*C460,0)</f>
        <v>173956</v>
      </c>
      <c r="I460" s="1644">
        <f t="shared" ref="I460:I462" si="600">ROUND($F460*D460,0)</f>
        <v>223949</v>
      </c>
      <c r="K460" s="1944"/>
      <c r="L460" s="597"/>
      <c r="M460" s="1944"/>
      <c r="N460" s="597"/>
      <c r="O460" s="1944"/>
      <c r="P460" s="597"/>
      <c r="Q460" s="1944"/>
      <c r="R460" s="597"/>
      <c r="S460" s="1644"/>
      <c r="T460" s="1643"/>
      <c r="U460" s="1644"/>
      <c r="V460" s="1643"/>
      <c r="W460" s="1644"/>
      <c r="X460" s="1643"/>
      <c r="Y460" s="1644"/>
    </row>
    <row r="461" spans="1:28" hidden="1">
      <c r="A461" s="1900" t="s">
        <v>161</v>
      </c>
      <c r="C461" s="528">
        <f>C456+C457-C460</f>
        <v>18651.49631720937</v>
      </c>
      <c r="D461" s="528">
        <f>ROUND(C461/C468*D468,0)</f>
        <v>24011</v>
      </c>
      <c r="F461" s="1944">
        <f>F393</f>
        <v>10.91</v>
      </c>
      <c r="G461" s="597"/>
      <c r="H461" s="1644">
        <f t="shared" si="599"/>
        <v>203488</v>
      </c>
      <c r="I461" s="1644">
        <f t="shared" si="600"/>
        <v>261960</v>
      </c>
      <c r="K461" s="1944"/>
      <c r="L461" s="597"/>
      <c r="M461" s="1944"/>
      <c r="N461" s="597"/>
      <c r="O461" s="1944"/>
      <c r="P461" s="597"/>
      <c r="Q461" s="1944"/>
      <c r="R461" s="597"/>
      <c r="S461" s="1644"/>
      <c r="T461" s="1643"/>
      <c r="U461" s="1644"/>
      <c r="V461" s="1643"/>
      <c r="W461" s="1644"/>
      <c r="X461" s="1643"/>
      <c r="Y461" s="1644"/>
    </row>
    <row r="462" spans="1:28" hidden="1">
      <c r="A462" s="1900" t="s">
        <v>261</v>
      </c>
      <c r="C462" s="528">
        <f>C446</f>
        <v>0</v>
      </c>
      <c r="D462" s="528">
        <f>D446</f>
        <v>0</v>
      </c>
      <c r="F462" s="1944">
        <f>F394</f>
        <v>-0.96</v>
      </c>
      <c r="G462" s="597"/>
      <c r="H462" s="1644">
        <f t="shared" si="599"/>
        <v>0</v>
      </c>
      <c r="I462" s="1644">
        <f t="shared" si="600"/>
        <v>0</v>
      </c>
      <c r="K462" s="1944">
        <f>K394</f>
        <v>-0.96</v>
      </c>
      <c r="L462" s="597"/>
      <c r="M462" s="1944">
        <f>M394</f>
        <v>0</v>
      </c>
      <c r="N462" s="597"/>
      <c r="O462" s="1944">
        <f>O394</f>
        <v>0</v>
      </c>
      <c r="P462" s="597"/>
      <c r="Q462" s="1944">
        <f>Q394</f>
        <v>-0.96</v>
      </c>
      <c r="R462" s="597"/>
      <c r="S462" s="1644">
        <f t="shared" ref="S462" si="601">ROUND($D462*K462,0)</f>
        <v>0</v>
      </c>
      <c r="T462" s="1643"/>
      <c r="U462" s="1644">
        <f t="shared" ref="U462" si="602">ROUND($D462*M462,0)</f>
        <v>0</v>
      </c>
      <c r="V462" s="1643"/>
      <c r="W462" s="1644">
        <f t="shared" ref="W462" si="603">ROUND($D462*O462,0)</f>
        <v>0</v>
      </c>
      <c r="X462" s="1643"/>
      <c r="Y462" s="1644">
        <f t="shared" ref="Y462" si="604">ROUND($D462*Q462,0)</f>
        <v>0</v>
      </c>
    </row>
    <row r="463" spans="1:28" hidden="1">
      <c r="A463" s="1900" t="s">
        <v>1362</v>
      </c>
      <c r="C463" s="528">
        <f>(C458+C459)*C798/(C798+C799)</f>
        <v>1850523.9064960799</v>
      </c>
      <c r="D463" s="528">
        <f>ROUND(C463/C468*D468,0)</f>
        <v>2382300</v>
      </c>
      <c r="F463" s="1943">
        <f>F395</f>
        <v>3.8127</v>
      </c>
      <c r="G463" s="1921" t="s">
        <v>495</v>
      </c>
      <c r="H463" s="1644">
        <f>ROUND($F463*C463/100,0)</f>
        <v>70555</v>
      </c>
      <c r="I463" s="1644">
        <f>ROUND($F463*D463/100,0)</f>
        <v>90830</v>
      </c>
      <c r="K463" s="1943"/>
      <c r="L463" s="1921"/>
      <c r="M463" s="1943"/>
      <c r="N463" s="1921"/>
      <c r="O463" s="1943"/>
      <c r="P463" s="1921"/>
      <c r="Q463" s="1943"/>
      <c r="R463" s="1921"/>
      <c r="S463" s="1648"/>
      <c r="T463" s="1648"/>
      <c r="U463" s="1648"/>
      <c r="V463" s="1648"/>
      <c r="W463" s="1648"/>
      <c r="X463" s="1648"/>
      <c r="Y463" s="1644"/>
    </row>
    <row r="464" spans="1:28" hidden="1">
      <c r="A464" s="1900" t="s">
        <v>1363</v>
      </c>
      <c r="C464" s="528">
        <f>C458+C459-C463</f>
        <v>2622631.5935039204</v>
      </c>
      <c r="D464" s="528">
        <f>D468-D463</f>
        <v>3376285.2212515902</v>
      </c>
      <c r="F464" s="1943">
        <f>F396</f>
        <v>3.5143</v>
      </c>
      <c r="G464" s="1921" t="s">
        <v>495</v>
      </c>
      <c r="H464" s="1644">
        <f>ROUND($F464*C464/100,0)</f>
        <v>92167</v>
      </c>
      <c r="I464" s="1644">
        <f>ROUND($F464*D464/100,0)</f>
        <v>118653</v>
      </c>
      <c r="K464" s="1943"/>
      <c r="L464" s="1921"/>
      <c r="M464" s="1943"/>
      <c r="N464" s="1921"/>
      <c r="O464" s="1943"/>
      <c r="P464" s="1921"/>
      <c r="Q464" s="1943"/>
      <c r="R464" s="1921"/>
      <c r="S464" s="1648"/>
      <c r="T464" s="1648"/>
      <c r="U464" s="1648"/>
      <c r="V464" s="1648"/>
      <c r="W464" s="1648"/>
      <c r="X464" s="1648"/>
      <c r="Y464" s="1644"/>
    </row>
    <row r="465" spans="1:28" hidden="1">
      <c r="A465" s="1900" t="s">
        <v>246</v>
      </c>
      <c r="C465" s="529">
        <v>0</v>
      </c>
      <c r="D465" s="529">
        <v>0</v>
      </c>
      <c r="H465" s="1030">
        <v>0</v>
      </c>
      <c r="I465" s="1030">
        <v>0</v>
      </c>
      <c r="Y465" s="1030"/>
    </row>
    <row r="466" spans="1:28" hidden="1">
      <c r="A466" s="1900" t="s">
        <v>1240</v>
      </c>
      <c r="C466" s="584"/>
      <c r="D466" s="584"/>
      <c r="F466" s="1930">
        <f>F398</f>
        <v>-3.61E-2</v>
      </c>
      <c r="G466" s="597"/>
      <c r="H466" s="1644">
        <f>SUM(H460:H461,H463:H464)*$F466</f>
        <v>-19499.992600000001</v>
      </c>
      <c r="I466" s="1644">
        <f>SUM(I460:I461,I463:I464)*$F466</f>
        <v>-25103.6512</v>
      </c>
      <c r="K466" s="1930"/>
      <c r="L466" s="597"/>
      <c r="M466" s="1930"/>
      <c r="N466" s="597"/>
      <c r="O466" s="1931" t="str">
        <f>$O$43</f>
        <v>Tax Year 1 (7/1/2021)</v>
      </c>
      <c r="P466" s="597"/>
      <c r="Q466" s="1930">
        <f>$Q$687</f>
        <v>-2.76E-2</v>
      </c>
      <c r="R466" s="597"/>
      <c r="S466" s="1645"/>
      <c r="T466" s="1645"/>
      <c r="U466" s="1645"/>
      <c r="V466" s="1645"/>
      <c r="W466" s="1645"/>
      <c r="X466" s="1645"/>
      <c r="Y466" s="1644">
        <f>Q466*SUM(Y456:Y459)</f>
        <v>-19285.858799999998</v>
      </c>
    </row>
    <row r="467" spans="1:28" hidden="1">
      <c r="A467" s="1900"/>
      <c r="C467" s="584"/>
      <c r="D467" s="584"/>
      <c r="F467" s="1930"/>
      <c r="G467" s="597"/>
      <c r="H467" s="1644"/>
      <c r="I467" s="1644"/>
      <c r="K467" s="1930"/>
      <c r="L467" s="597"/>
      <c r="M467" s="1930"/>
      <c r="N467" s="597"/>
      <c r="O467" s="1931" t="str">
        <f>$O$44</f>
        <v>Tax Year 2 (1/1/2022)</v>
      </c>
      <c r="P467" s="597"/>
      <c r="Q467" s="1930">
        <f>$Q$688</f>
        <v>-1.4999999999999999E-2</v>
      </c>
      <c r="R467" s="597"/>
      <c r="S467" s="1645"/>
      <c r="T467" s="1645"/>
      <c r="U467" s="1645"/>
      <c r="V467" s="1645"/>
      <c r="W467" s="1645"/>
      <c r="X467" s="1645"/>
      <c r="Y467" s="1644">
        <f>Q467*SUM(Y456:Y459)</f>
        <v>-10481.445</v>
      </c>
    </row>
    <row r="468" spans="1:28" ht="16.5" hidden="1" thickBot="1">
      <c r="A468" s="1900" t="s">
        <v>247</v>
      </c>
      <c r="C468" s="1949">
        <f>SUM(C463:C465)</f>
        <v>4473155.5</v>
      </c>
      <c r="D468" s="1949">
        <f>C468*D810/C810</f>
        <v>5758585.2212515902</v>
      </c>
      <c r="F468" s="1939"/>
      <c r="H468" s="1647">
        <f>SUM(H452:H466)</f>
        <v>666357.0074</v>
      </c>
      <c r="I468" s="1647">
        <f>SUM(I452:I466)</f>
        <v>857299.34880000004</v>
      </c>
      <c r="K468" s="1939"/>
      <c r="M468" s="1939"/>
      <c r="O468" s="1939"/>
      <c r="Q468" s="1939"/>
      <c r="S468" s="1647">
        <f>SUM(S452:S465)</f>
        <v>418152</v>
      </c>
      <c r="U468" s="1647">
        <f>SUM(U452:U465)</f>
        <v>344260</v>
      </c>
      <c r="W468" s="1647">
        <f>SUM(W452:W465)</f>
        <v>122969</v>
      </c>
      <c r="Y468" s="1647">
        <f>SUM(Y452:Y465)</f>
        <v>885381</v>
      </c>
      <c r="AA468" s="1104" t="s">
        <v>1743</v>
      </c>
      <c r="AB468" s="1890">
        <f>Y468/I468-1</f>
        <v>3.2755946029012106E-2</v>
      </c>
    </row>
    <row r="469" spans="1:28" ht="16.5" hidden="1" thickTop="1"/>
    <row r="470" spans="1:28" hidden="1">
      <c r="A470" s="1897" t="s">
        <v>1921</v>
      </c>
      <c r="C470" s="528"/>
      <c r="D470" s="528"/>
    </row>
    <row r="471" spans="1:28" hidden="1">
      <c r="A471" s="1900" t="s">
        <v>240</v>
      </c>
      <c r="C471" s="528">
        <f>'BD-Redesign'!I22</f>
        <v>12</v>
      </c>
      <c r="D471" s="528">
        <f>D486</f>
        <v>33</v>
      </c>
      <c r="F471" s="1901"/>
      <c r="G471" s="1902"/>
      <c r="H471" s="1644"/>
      <c r="I471" s="1644"/>
      <c r="K471" s="1901">
        <f t="shared" ref="K471:K481" si="605">K369</f>
        <v>54</v>
      </c>
      <c r="L471" s="1902"/>
      <c r="M471" s="1901">
        <f t="shared" ref="M471:M481" si="606">M369</f>
        <v>0</v>
      </c>
      <c r="N471" s="1902"/>
      <c r="O471" s="1901">
        <f t="shared" ref="O471:O481" si="607">O369</f>
        <v>0</v>
      </c>
      <c r="P471" s="1902"/>
      <c r="Q471" s="1901">
        <f t="shared" ref="Q471:Q481" si="608">Q369</f>
        <v>54</v>
      </c>
      <c r="R471" s="1902"/>
      <c r="S471" s="1644">
        <f>ROUND($D471*K471,0)</f>
        <v>1782</v>
      </c>
      <c r="T471" s="1643"/>
      <c r="U471" s="1644">
        <f>ROUND($D471*M471,0)</f>
        <v>0</v>
      </c>
      <c r="V471" s="1643"/>
      <c r="W471" s="1644">
        <f>ROUND($D471*O471,0)</f>
        <v>0</v>
      </c>
      <c r="X471" s="1643"/>
      <c r="Y471" s="1644">
        <f>ROUND($D471*Q471,0)</f>
        <v>1782</v>
      </c>
      <c r="AA471" s="1109"/>
      <c r="AB471" s="1114"/>
    </row>
    <row r="472" spans="1:28" hidden="1">
      <c r="A472" s="1900" t="s">
        <v>1910</v>
      </c>
      <c r="C472" s="528">
        <f>'BD-Redesign'!I23</f>
        <v>13275</v>
      </c>
      <c r="D472" s="528">
        <f t="shared" ref="D472:D481" si="609">C472/$C$484*$D$484</f>
        <v>37438.428809180441</v>
      </c>
      <c r="E472" s="597"/>
      <c r="F472" s="1942"/>
      <c r="G472" s="1921"/>
      <c r="H472" s="1644"/>
      <c r="I472" s="1644"/>
      <c r="J472" s="597"/>
      <c r="K472" s="1942">
        <f t="shared" si="605"/>
        <v>3.9525000000000001</v>
      </c>
      <c r="L472" s="1921" t="s">
        <v>495</v>
      </c>
      <c r="M472" s="1942">
        <f t="shared" si="606"/>
        <v>17.075028114911813</v>
      </c>
      <c r="N472" s="1921" t="s">
        <v>495</v>
      </c>
      <c r="O472" s="1942">
        <f t="shared" si="607"/>
        <v>1.3496999999999999</v>
      </c>
      <c r="P472" s="1921" t="s">
        <v>495</v>
      </c>
      <c r="Q472" s="1942">
        <f t="shared" si="608"/>
        <v>22.377228114911812</v>
      </c>
      <c r="R472" s="1921" t="s">
        <v>495</v>
      </c>
      <c r="S472" s="1644">
        <f>ROUND($D472*K472/100,0)</f>
        <v>1480</v>
      </c>
      <c r="T472" s="1648"/>
      <c r="U472" s="1644">
        <f>ROUND($D472*M472/100,0)</f>
        <v>6393</v>
      </c>
      <c r="V472" s="1648"/>
      <c r="W472" s="1644">
        <f>ROUND($D472*O472/100,0)</f>
        <v>505</v>
      </c>
      <c r="X472" s="1648"/>
      <c r="Y472" s="1644">
        <f>ROUND($D472*Q472/100,0)</f>
        <v>8378</v>
      </c>
      <c r="AA472" s="596"/>
      <c r="AB472" s="596"/>
    </row>
    <row r="473" spans="1:28" hidden="1">
      <c r="A473" s="1900" t="s">
        <v>1911</v>
      </c>
      <c r="C473" s="528">
        <f>'BD-Redesign'!I24</f>
        <v>26685</v>
      </c>
      <c r="D473" s="528">
        <f t="shared" si="609"/>
        <v>75257.587402861027</v>
      </c>
      <c r="E473" s="597"/>
      <c r="F473" s="1942"/>
      <c r="G473" s="1921"/>
      <c r="H473" s="1644"/>
      <c r="I473" s="1644"/>
      <c r="J473" s="597"/>
      <c r="K473" s="1942">
        <f t="shared" si="605"/>
        <v>3.9525000000000001</v>
      </c>
      <c r="L473" s="1921" t="s">
        <v>495</v>
      </c>
      <c r="M473" s="1942">
        <f t="shared" si="606"/>
        <v>-0.91518271744099966</v>
      </c>
      <c r="N473" s="1921" t="s">
        <v>495</v>
      </c>
      <c r="O473" s="1942">
        <f t="shared" si="607"/>
        <v>1.3496999999999999</v>
      </c>
      <c r="P473" s="1921" t="s">
        <v>495</v>
      </c>
      <c r="Q473" s="1942">
        <f t="shared" si="608"/>
        <v>4.3870172825590004</v>
      </c>
      <c r="R473" s="1921" t="s">
        <v>495</v>
      </c>
      <c r="S473" s="1644">
        <f t="shared" ref="S473:S479" si="610">ROUND($D473*K473/100,0)</f>
        <v>2975</v>
      </c>
      <c r="T473" s="1648"/>
      <c r="U473" s="1644">
        <f t="shared" ref="U473:U479" si="611">ROUND($D473*M473/100,0)</f>
        <v>-689</v>
      </c>
      <c r="V473" s="1648"/>
      <c r="W473" s="1644">
        <f t="shared" ref="W473:W479" si="612">ROUND($D473*O473/100,0)</f>
        <v>1016</v>
      </c>
      <c r="X473" s="1648"/>
      <c r="Y473" s="1644">
        <f t="shared" ref="Y473:Y479" si="613">ROUND($D473*Q473/100,0)</f>
        <v>3302</v>
      </c>
      <c r="AA473" s="596"/>
      <c r="AB473" s="596"/>
    </row>
    <row r="474" spans="1:28" hidden="1">
      <c r="A474" s="1900" t="s">
        <v>1912</v>
      </c>
      <c r="C474" s="528">
        <f>'BD-Redesign'!I25</f>
        <v>22525</v>
      </c>
      <c r="D474" s="528">
        <f t="shared" si="609"/>
        <v>63525.469599004857</v>
      </c>
      <c r="E474" s="597"/>
      <c r="F474" s="1942"/>
      <c r="G474" s="1921"/>
      <c r="H474" s="1644"/>
      <c r="I474" s="1644"/>
      <c r="J474" s="597"/>
      <c r="K474" s="1942">
        <f t="shared" si="605"/>
        <v>3.9525000000000001</v>
      </c>
      <c r="L474" s="1921" t="s">
        <v>495</v>
      </c>
      <c r="M474" s="1942">
        <f t="shared" si="606"/>
        <v>14.656000000000001</v>
      </c>
      <c r="N474" s="1921" t="s">
        <v>495</v>
      </c>
      <c r="O474" s="1942">
        <f t="shared" si="607"/>
        <v>1.1943999999999999</v>
      </c>
      <c r="P474" s="1921" t="s">
        <v>495</v>
      </c>
      <c r="Q474" s="1942">
        <f t="shared" si="608"/>
        <v>19.802900000000001</v>
      </c>
      <c r="R474" s="1921" t="s">
        <v>495</v>
      </c>
      <c r="S474" s="1644">
        <f t="shared" si="610"/>
        <v>2511</v>
      </c>
      <c r="T474" s="1648"/>
      <c r="U474" s="1644">
        <f t="shared" si="611"/>
        <v>9310</v>
      </c>
      <c r="V474" s="1648"/>
      <c r="W474" s="1644">
        <f t="shared" si="612"/>
        <v>759</v>
      </c>
      <c r="X474" s="1648"/>
      <c r="Y474" s="1644">
        <f t="shared" si="613"/>
        <v>12580</v>
      </c>
      <c r="AA474" s="596"/>
      <c r="AB474" s="596"/>
    </row>
    <row r="475" spans="1:28" hidden="1">
      <c r="A475" s="1900" t="s">
        <v>1913</v>
      </c>
      <c r="C475" s="528">
        <f>'BD-Redesign'!I26</f>
        <v>46055</v>
      </c>
      <c r="D475" s="528">
        <f t="shared" si="609"/>
        <v>129885.26092706631</v>
      </c>
      <c r="E475" s="597"/>
      <c r="F475" s="1942"/>
      <c r="G475" s="1921"/>
      <c r="H475" s="1644"/>
      <c r="I475" s="1644"/>
      <c r="J475" s="597"/>
      <c r="K475" s="1942">
        <f t="shared" si="605"/>
        <v>3.9525000000000001</v>
      </c>
      <c r="L475" s="1921" t="s">
        <v>495</v>
      </c>
      <c r="M475" s="1942">
        <f t="shared" si="606"/>
        <v>-1.2646000000000002</v>
      </c>
      <c r="N475" s="1921" t="s">
        <v>495</v>
      </c>
      <c r="O475" s="1942">
        <f t="shared" si="607"/>
        <v>1.1943999999999999</v>
      </c>
      <c r="P475" s="1921" t="s">
        <v>495</v>
      </c>
      <c r="Q475" s="1942">
        <f t="shared" si="608"/>
        <v>3.8822999999999999</v>
      </c>
      <c r="R475" s="1921" t="s">
        <v>495</v>
      </c>
      <c r="S475" s="1644">
        <f t="shared" si="610"/>
        <v>5134</v>
      </c>
      <c r="T475" s="1648"/>
      <c r="U475" s="1644">
        <f t="shared" si="611"/>
        <v>-1643</v>
      </c>
      <c r="V475" s="1648"/>
      <c r="W475" s="1644">
        <f t="shared" si="612"/>
        <v>1551</v>
      </c>
      <c r="X475" s="1648"/>
      <c r="Y475" s="1644">
        <f t="shared" si="613"/>
        <v>5043</v>
      </c>
      <c r="AA475" s="596"/>
      <c r="AB475" s="596"/>
    </row>
    <row r="476" spans="1:28" hidden="1">
      <c r="A476" s="1900" t="s">
        <v>1906</v>
      </c>
      <c r="C476" s="528">
        <f>'BD-Redesign'!I27</f>
        <v>22191.806131162721</v>
      </c>
      <c r="D476" s="528">
        <f t="shared" si="609"/>
        <v>62585.789377677567</v>
      </c>
      <c r="E476" s="597"/>
      <c r="F476" s="1942"/>
      <c r="G476" s="1921"/>
      <c r="H476" s="1644"/>
      <c r="I476" s="1644"/>
      <c r="J476" s="597"/>
      <c r="K476" s="1942">
        <f t="shared" si="605"/>
        <v>0</v>
      </c>
      <c r="L476" s="1921" t="s">
        <v>495</v>
      </c>
      <c r="M476" s="1942">
        <f t="shared" si="606"/>
        <v>0</v>
      </c>
      <c r="N476" s="1921" t="s">
        <v>495</v>
      </c>
      <c r="O476" s="1942">
        <f t="shared" si="607"/>
        <v>6</v>
      </c>
      <c r="P476" s="1921" t="s">
        <v>495</v>
      </c>
      <c r="Q476" s="1942">
        <f t="shared" si="608"/>
        <v>6</v>
      </c>
      <c r="R476" s="1921" t="s">
        <v>495</v>
      </c>
      <c r="S476" s="1644">
        <f t="shared" si="610"/>
        <v>0</v>
      </c>
      <c r="T476" s="1648"/>
      <c r="U476" s="1644">
        <f t="shared" si="611"/>
        <v>0</v>
      </c>
      <c r="V476" s="1648"/>
      <c r="W476" s="1644">
        <f t="shared" si="612"/>
        <v>3755</v>
      </c>
      <c r="X476" s="1648"/>
      <c r="Y476" s="1644">
        <f t="shared" si="613"/>
        <v>3755</v>
      </c>
      <c r="AA476" s="596"/>
      <c r="AB476" s="596"/>
    </row>
    <row r="477" spans="1:28" hidden="1">
      <c r="A477" s="1900" t="s">
        <v>1907</v>
      </c>
      <c r="C477" s="528">
        <f>'BD-Redesign'!I28</f>
        <v>17768.193868837279</v>
      </c>
      <c r="D477" s="528">
        <f t="shared" si="609"/>
        <v>50110.226834363915</v>
      </c>
      <c r="E477" s="597"/>
      <c r="F477" s="1942"/>
      <c r="G477" s="1921"/>
      <c r="H477" s="1644"/>
      <c r="I477" s="1644"/>
      <c r="J477" s="597"/>
      <c r="K477" s="1942">
        <f t="shared" si="605"/>
        <v>0</v>
      </c>
      <c r="L477" s="1921" t="s">
        <v>495</v>
      </c>
      <c r="M477" s="1942">
        <f t="shared" si="606"/>
        <v>0</v>
      </c>
      <c r="N477" s="1921" t="s">
        <v>495</v>
      </c>
      <c r="O477" s="1942">
        <f t="shared" si="607"/>
        <v>-2.3358000000000008</v>
      </c>
      <c r="P477" s="1921" t="s">
        <v>495</v>
      </c>
      <c r="Q477" s="1942">
        <f t="shared" si="608"/>
        <v>-2.3358000000000008</v>
      </c>
      <c r="R477" s="1921" t="s">
        <v>495</v>
      </c>
      <c r="S477" s="1644">
        <f t="shared" si="610"/>
        <v>0</v>
      </c>
      <c r="T477" s="1648"/>
      <c r="U477" s="1644">
        <f t="shared" si="611"/>
        <v>0</v>
      </c>
      <c r="V477" s="1648"/>
      <c r="W477" s="1644">
        <f t="shared" si="612"/>
        <v>-1170</v>
      </c>
      <c r="X477" s="1648"/>
      <c r="Y477" s="1644">
        <f t="shared" si="613"/>
        <v>-1170</v>
      </c>
      <c r="AA477" s="596"/>
      <c r="AB477" s="596"/>
    </row>
    <row r="478" spans="1:28" hidden="1">
      <c r="A478" s="1900" t="s">
        <v>1908</v>
      </c>
      <c r="C478" s="528">
        <f>'BD-Redesign'!I29</f>
        <v>38085.937549427908</v>
      </c>
      <c r="D478" s="528">
        <f t="shared" si="609"/>
        <v>107410.74663466282</v>
      </c>
      <c r="E478" s="597"/>
      <c r="F478" s="1942"/>
      <c r="G478" s="1921"/>
      <c r="H478" s="1644"/>
      <c r="I478" s="1644"/>
      <c r="J478" s="597"/>
      <c r="K478" s="1942">
        <f t="shared" si="605"/>
        <v>0</v>
      </c>
      <c r="L478" s="1921" t="s">
        <v>495</v>
      </c>
      <c r="M478" s="1942">
        <f t="shared" si="606"/>
        <v>0</v>
      </c>
      <c r="N478" s="1921" t="s">
        <v>495</v>
      </c>
      <c r="O478" s="1942">
        <f t="shared" si="607"/>
        <v>5.3097000000000003</v>
      </c>
      <c r="P478" s="1921" t="s">
        <v>495</v>
      </c>
      <c r="Q478" s="1942">
        <f t="shared" si="608"/>
        <v>5.3097000000000003</v>
      </c>
      <c r="R478" s="1921" t="s">
        <v>495</v>
      </c>
      <c r="S478" s="1644">
        <f t="shared" si="610"/>
        <v>0</v>
      </c>
      <c r="T478" s="1648"/>
      <c r="U478" s="1644">
        <f t="shared" si="611"/>
        <v>0</v>
      </c>
      <c r="V478" s="1648"/>
      <c r="W478" s="1644">
        <f t="shared" si="612"/>
        <v>5703</v>
      </c>
      <c r="X478" s="1648"/>
      <c r="Y478" s="1644">
        <f t="shared" si="613"/>
        <v>5703</v>
      </c>
      <c r="AA478" s="596"/>
      <c r="AB478" s="596"/>
    </row>
    <row r="479" spans="1:28" hidden="1">
      <c r="A479" s="1900" t="s">
        <v>1909</v>
      </c>
      <c r="C479" s="528">
        <f>'BD-Redesign'!I30</f>
        <v>30494.062450572088</v>
      </c>
      <c r="D479" s="528">
        <f t="shared" si="609"/>
        <v>85999.983891408338</v>
      </c>
      <c r="E479" s="597"/>
      <c r="F479" s="1942"/>
      <c r="G479" s="1921"/>
      <c r="H479" s="1644"/>
      <c r="I479" s="1644"/>
      <c r="J479" s="597"/>
      <c r="K479" s="1942">
        <f t="shared" si="605"/>
        <v>0</v>
      </c>
      <c r="L479" s="1921" t="s">
        <v>495</v>
      </c>
      <c r="M479" s="1942">
        <f t="shared" si="606"/>
        <v>0</v>
      </c>
      <c r="N479" s="1921" t="s">
        <v>495</v>
      </c>
      <c r="O479" s="1942">
        <f t="shared" si="607"/>
        <v>-2.0670999999999999</v>
      </c>
      <c r="P479" s="1921" t="s">
        <v>495</v>
      </c>
      <c r="Q479" s="1942">
        <f t="shared" si="608"/>
        <v>-2.0670999999999999</v>
      </c>
      <c r="R479" s="1921" t="s">
        <v>495</v>
      </c>
      <c r="S479" s="1644">
        <f t="shared" si="610"/>
        <v>0</v>
      </c>
      <c r="T479" s="1648"/>
      <c r="U479" s="1644">
        <f t="shared" si="611"/>
        <v>0</v>
      </c>
      <c r="V479" s="1648"/>
      <c r="W479" s="1644">
        <f t="shared" si="612"/>
        <v>-1778</v>
      </c>
      <c r="X479" s="1648"/>
      <c r="Y479" s="1644">
        <f t="shared" si="613"/>
        <v>-1778</v>
      </c>
      <c r="AA479" s="596"/>
      <c r="AB479" s="596"/>
    </row>
    <row r="480" spans="1:28" hidden="1">
      <c r="A480" s="1900" t="s">
        <v>261</v>
      </c>
      <c r="C480" s="528">
        <f>'BD-Redesign'!I31</f>
        <v>0</v>
      </c>
      <c r="D480" s="528">
        <f t="shared" si="609"/>
        <v>0</v>
      </c>
      <c r="F480" s="1901"/>
      <c r="G480" s="1902"/>
      <c r="H480" s="1644"/>
      <c r="I480" s="1644"/>
      <c r="K480" s="1901">
        <f t="shared" si="605"/>
        <v>-0.61</v>
      </c>
      <c r="L480" s="1902"/>
      <c r="M480" s="1901">
        <f t="shared" si="606"/>
        <v>0</v>
      </c>
      <c r="N480" s="1902"/>
      <c r="O480" s="1901">
        <f t="shared" si="607"/>
        <v>0</v>
      </c>
      <c r="P480" s="1902"/>
      <c r="Q480" s="1901">
        <f t="shared" si="608"/>
        <v>-0.61</v>
      </c>
      <c r="R480" s="1902"/>
      <c r="S480" s="1644">
        <f>ROUND($D480*K480,0)</f>
        <v>0</v>
      </c>
      <c r="T480" s="1643"/>
      <c r="U480" s="1644">
        <f>ROUND($D480*M480,0)</f>
        <v>0</v>
      </c>
      <c r="V480" s="1643"/>
      <c r="W480" s="1644">
        <f>ROUND($D480*O480,0)</f>
        <v>0</v>
      </c>
      <c r="X480" s="1643"/>
      <c r="Y480" s="1644">
        <f>ROUND($D480*Q480,0)</f>
        <v>0</v>
      </c>
      <c r="AA480" s="596"/>
      <c r="AB480" s="596"/>
    </row>
    <row r="481" spans="1:28" hidden="1">
      <c r="A481" s="1116" t="s">
        <v>1158</v>
      </c>
      <c r="C481" s="528">
        <f>'BD-Redesign'!I32</f>
        <v>0</v>
      </c>
      <c r="D481" s="528">
        <f t="shared" si="609"/>
        <v>0</v>
      </c>
      <c r="F481" s="1943"/>
      <c r="G481" s="1921"/>
      <c r="H481" s="1644"/>
      <c r="I481" s="1644"/>
      <c r="K481" s="1943">
        <f t="shared" si="605"/>
        <v>0</v>
      </c>
      <c r="L481" s="1921" t="s">
        <v>495</v>
      </c>
      <c r="M481" s="1943">
        <f t="shared" si="606"/>
        <v>7.125</v>
      </c>
      <c r="N481" s="1921" t="s">
        <v>495</v>
      </c>
      <c r="O481" s="1943">
        <f t="shared" si="607"/>
        <v>0</v>
      </c>
      <c r="P481" s="1921" t="s">
        <v>495</v>
      </c>
      <c r="Q481" s="1943">
        <f t="shared" si="608"/>
        <v>7.125</v>
      </c>
      <c r="R481" s="1921" t="s">
        <v>495</v>
      </c>
      <c r="S481" s="1644">
        <f>ROUND($D481*K481/100,0)</f>
        <v>0</v>
      </c>
      <c r="T481" s="1648"/>
      <c r="U481" s="1644">
        <f>ROUND($D481*M481/100,0)</f>
        <v>0</v>
      </c>
      <c r="V481" s="1648"/>
      <c r="W481" s="1644">
        <f>ROUND($D481*O481/100,0)</f>
        <v>0</v>
      </c>
      <c r="X481" s="1648"/>
      <c r="Y481" s="1644">
        <f>ROUND($D481*Q481/100,0)</f>
        <v>0</v>
      </c>
      <c r="AA481" s="1109"/>
      <c r="AB481" s="1114"/>
    </row>
    <row r="482" spans="1:28" hidden="1">
      <c r="A482" s="1900" t="s">
        <v>1240</v>
      </c>
      <c r="C482" s="584"/>
      <c r="D482" s="584"/>
      <c r="F482" s="1930"/>
      <c r="G482" s="597"/>
      <c r="H482" s="1644"/>
      <c r="I482" s="1644"/>
      <c r="K482" s="1930"/>
      <c r="L482" s="597"/>
      <c r="M482" s="1930"/>
      <c r="N482" s="597"/>
      <c r="O482" s="1931" t="str">
        <f>$O$43</f>
        <v>Tax Year 1 (7/1/2021)</v>
      </c>
      <c r="P482" s="597"/>
      <c r="Q482" s="1930">
        <f>$Q$979</f>
        <v>-3.0599999999999999E-2</v>
      </c>
      <c r="R482" s="597"/>
      <c r="S482" s="1645"/>
      <c r="T482" s="1645"/>
      <c r="U482" s="1645"/>
      <c r="V482" s="1645"/>
      <c r="W482" s="1645"/>
      <c r="X482" s="1645"/>
      <c r="Y482" s="1644">
        <f>Q482*SUM(Y472:Y475,Y481)</f>
        <v>-896.67179999999996</v>
      </c>
    </row>
    <row r="483" spans="1:28" hidden="1">
      <c r="A483" s="1900"/>
      <c r="C483" s="584"/>
      <c r="D483" s="584"/>
      <c r="F483" s="1930"/>
      <c r="G483" s="597"/>
      <c r="H483" s="1644"/>
      <c r="I483" s="1644"/>
      <c r="K483" s="1930"/>
      <c r="L483" s="597"/>
      <c r="M483" s="1930"/>
      <c r="N483" s="597"/>
      <c r="O483" s="1931" t="str">
        <f>$O$44</f>
        <v>Tax Year 2 (1/1/2022)</v>
      </c>
      <c r="P483" s="597"/>
      <c r="Q483" s="1930">
        <f>$Q$980</f>
        <v>-1.66E-2</v>
      </c>
      <c r="R483" s="597"/>
      <c r="S483" s="1645"/>
      <c r="T483" s="1645"/>
      <c r="U483" s="1645"/>
      <c r="V483" s="1645"/>
      <c r="W483" s="1645"/>
      <c r="X483" s="1645"/>
      <c r="Y483" s="1644">
        <f>Q483*SUM(Y472:Y475,Y481)</f>
        <v>-486.4298</v>
      </c>
    </row>
    <row r="484" spans="1:28" hidden="1">
      <c r="A484" s="1900" t="s">
        <v>1923</v>
      </c>
      <c r="C484" s="528">
        <f>SUM(C476:C479,C481)</f>
        <v>108540</v>
      </c>
      <c r="D484" s="528">
        <f>D502</f>
        <v>306106.74673811265</v>
      </c>
      <c r="F484" s="1901"/>
      <c r="G484" s="1902"/>
      <c r="H484" s="1644"/>
      <c r="I484" s="1644"/>
      <c r="K484" s="1901"/>
      <c r="L484" s="1902"/>
      <c r="M484" s="1901"/>
      <c r="N484" s="1902"/>
      <c r="O484" s="1901"/>
      <c r="P484" s="1902"/>
      <c r="Q484" s="1901"/>
      <c r="R484" s="1902"/>
      <c r="S484" s="1644">
        <f>SUM(S471:S481)</f>
        <v>13882</v>
      </c>
      <c r="T484" s="1643"/>
      <c r="U484" s="1644">
        <f>SUM(U471:U481)</f>
        <v>13371</v>
      </c>
      <c r="V484" s="1643"/>
      <c r="W484" s="1644">
        <f>SUM(W471:W481)</f>
        <v>10341</v>
      </c>
      <c r="X484" s="1643"/>
      <c r="Y484" s="1644">
        <f>SUM(Y471:Y481)</f>
        <v>37595</v>
      </c>
      <c r="AA484" s="1109" t="s">
        <v>1743</v>
      </c>
      <c r="AB484" s="1499">
        <f>Y484/Y502-1</f>
        <v>-0.18574429836910611</v>
      </c>
    </row>
    <row r="485" spans="1:28" hidden="1">
      <c r="A485" s="1900"/>
      <c r="C485" s="528"/>
      <c r="D485" s="528"/>
      <c r="F485" s="1901"/>
      <c r="G485" s="1902"/>
      <c r="H485" s="1644"/>
      <c r="I485" s="1644"/>
      <c r="K485" s="1901"/>
      <c r="L485" s="1902"/>
      <c r="M485" s="1901"/>
      <c r="N485" s="1902"/>
      <c r="O485" s="1901"/>
      <c r="P485" s="1902"/>
      <c r="Q485" s="1901"/>
      <c r="R485" s="1902"/>
      <c r="S485" s="1643"/>
      <c r="T485" s="1643"/>
      <c r="U485" s="1643"/>
      <c r="V485" s="1643"/>
      <c r="W485" s="1643"/>
      <c r="X485" s="1643"/>
      <c r="Y485" s="1644"/>
      <c r="AA485" s="1109"/>
      <c r="AB485" s="1114"/>
    </row>
    <row r="486" spans="1:28" hidden="1">
      <c r="A486" s="1900" t="s">
        <v>240</v>
      </c>
      <c r="C486" s="528">
        <f>C471</f>
        <v>12</v>
      </c>
      <c r="D486" s="528">
        <f>C486*D813/C813</f>
        <v>33</v>
      </c>
      <c r="F486" s="1944">
        <f>F384</f>
        <v>54</v>
      </c>
      <c r="G486" s="597"/>
      <c r="H486" s="1644">
        <f t="shared" ref="H486:H488" si="614">ROUND($F486*C486,0)</f>
        <v>648</v>
      </c>
      <c r="I486" s="1644">
        <f t="shared" ref="I486:I488" si="615">ROUND($F486*D486,0)</f>
        <v>1782</v>
      </c>
      <c r="K486" s="1944">
        <f t="shared" ref="K486:K493" si="616">K384</f>
        <v>54</v>
      </c>
      <c r="L486" s="597"/>
      <c r="M486" s="1944">
        <f t="shared" ref="M486:M493" si="617">M384</f>
        <v>0</v>
      </c>
      <c r="N486" s="597"/>
      <c r="O486" s="1944">
        <f t="shared" ref="O486:O493" si="618">O384</f>
        <v>0</v>
      </c>
      <c r="P486" s="597"/>
      <c r="Q486" s="1944">
        <f t="shared" ref="Q486:Q493" si="619">Q384</f>
        <v>54</v>
      </c>
      <c r="R486" s="597"/>
      <c r="S486" s="1644">
        <f>ROUND($D486*K486,0)</f>
        <v>1782</v>
      </c>
      <c r="T486" s="1643"/>
      <c r="U486" s="1644">
        <f>ROUND($D486*M486,0)</f>
        <v>0</v>
      </c>
      <c r="V486" s="1643"/>
      <c r="W486" s="1644">
        <f>ROUND($D486*O486,0)</f>
        <v>0</v>
      </c>
      <c r="X486" s="1643"/>
      <c r="Y486" s="1644">
        <f>ROUND($D486*Q486,0)</f>
        <v>1782</v>
      </c>
    </row>
    <row r="487" spans="1:28" hidden="1">
      <c r="A487" s="1900" t="s">
        <v>262</v>
      </c>
      <c r="C487" s="584">
        <v>0</v>
      </c>
      <c r="D487" s="528">
        <v>0</v>
      </c>
      <c r="F487" s="1944">
        <f>F385</f>
        <v>648</v>
      </c>
      <c r="G487" s="597"/>
      <c r="H487" s="1644">
        <f t="shared" si="614"/>
        <v>0</v>
      </c>
      <c r="I487" s="1644">
        <f t="shared" si="615"/>
        <v>0</v>
      </c>
      <c r="K487" s="1944">
        <f t="shared" si="616"/>
        <v>648</v>
      </c>
      <c r="L487" s="597"/>
      <c r="M487" s="1944">
        <f t="shared" si="617"/>
        <v>0</v>
      </c>
      <c r="N487" s="597"/>
      <c r="O487" s="1944">
        <f t="shared" si="618"/>
        <v>0</v>
      </c>
      <c r="P487" s="597"/>
      <c r="Q487" s="1944">
        <f t="shared" si="619"/>
        <v>648</v>
      </c>
      <c r="R487" s="597"/>
      <c r="S487" s="1644">
        <f t="shared" ref="S487:S491" si="620">ROUND($D487*K487,0)</f>
        <v>0</v>
      </c>
      <c r="T487" s="1643"/>
      <c r="U487" s="1644">
        <f t="shared" ref="U487:U491" si="621">ROUND($D487*M487,0)</f>
        <v>0</v>
      </c>
      <c r="V487" s="1643"/>
      <c r="W487" s="1644">
        <f t="shared" ref="W487:W491" si="622">ROUND($D487*O487,0)</f>
        <v>0</v>
      </c>
      <c r="X487" s="1643"/>
      <c r="Y487" s="1644">
        <f t="shared" ref="Y487:Y491" si="623">ROUND($D487*Q487,0)</f>
        <v>0</v>
      </c>
    </row>
    <row r="488" spans="1:28" hidden="1">
      <c r="A488" s="1900" t="s">
        <v>1298</v>
      </c>
      <c r="C488" s="528">
        <v>0</v>
      </c>
      <c r="D488" s="528">
        <v>0</v>
      </c>
      <c r="F488" s="1944">
        <f>F386</f>
        <v>54</v>
      </c>
      <c r="G488" s="597"/>
      <c r="H488" s="1644">
        <f t="shared" si="614"/>
        <v>0</v>
      </c>
      <c r="I488" s="1644">
        <f t="shared" si="615"/>
        <v>0</v>
      </c>
      <c r="K488" s="1944">
        <f t="shared" si="616"/>
        <v>54</v>
      </c>
      <c r="L488" s="597"/>
      <c r="M488" s="1944">
        <f t="shared" si="617"/>
        <v>0</v>
      </c>
      <c r="N488" s="597"/>
      <c r="O488" s="1944">
        <f t="shared" si="618"/>
        <v>0</v>
      </c>
      <c r="P488" s="597"/>
      <c r="Q488" s="1944">
        <f t="shared" si="619"/>
        <v>54</v>
      </c>
      <c r="R488" s="597"/>
      <c r="S488" s="1644">
        <f t="shared" si="620"/>
        <v>0</v>
      </c>
      <c r="T488" s="1645"/>
      <c r="U488" s="1644">
        <f t="shared" si="621"/>
        <v>0</v>
      </c>
      <c r="V488" s="1645"/>
      <c r="W488" s="1644">
        <f t="shared" si="622"/>
        <v>0</v>
      </c>
      <c r="X488" s="1645"/>
      <c r="Y488" s="1644">
        <f t="shared" si="623"/>
        <v>0</v>
      </c>
    </row>
    <row r="489" spans="1:28" hidden="1">
      <c r="A489" s="1900" t="s">
        <v>168</v>
      </c>
      <c r="C489" s="528">
        <f>'BD-Redesign'!I55</f>
        <v>716</v>
      </c>
      <c r="D489" s="528">
        <f>ROUND(C489/$C$502*$D$502,0)</f>
        <v>2019</v>
      </c>
      <c r="F489" s="1944">
        <f>F387</f>
        <v>4.04</v>
      </c>
      <c r="G489" s="597"/>
      <c r="H489" s="1644">
        <f>ROUND($F489*C489,0)</f>
        <v>2893</v>
      </c>
      <c r="I489" s="1644">
        <f>ROUND($F489*D489,0)</f>
        <v>8157</v>
      </c>
      <c r="K489" s="1944">
        <f t="shared" si="616"/>
        <v>4.03</v>
      </c>
      <c r="L489" s="597"/>
      <c r="M489" s="1944">
        <f t="shared" si="617"/>
        <v>0</v>
      </c>
      <c r="N489" s="597"/>
      <c r="O489" s="1944">
        <f t="shared" si="618"/>
        <v>0</v>
      </c>
      <c r="P489" s="597"/>
      <c r="Q489" s="1944">
        <f t="shared" si="619"/>
        <v>4.03</v>
      </c>
      <c r="R489" s="597"/>
      <c r="S489" s="1644">
        <f t="shared" si="620"/>
        <v>8137</v>
      </c>
      <c r="T489" s="1643"/>
      <c r="U489" s="1644">
        <f t="shared" si="621"/>
        <v>0</v>
      </c>
      <c r="V489" s="1643"/>
      <c r="W489" s="1644">
        <f t="shared" si="622"/>
        <v>0</v>
      </c>
      <c r="X489" s="1643"/>
      <c r="Y489" s="1644">
        <f t="shared" si="623"/>
        <v>8137</v>
      </c>
    </row>
    <row r="490" spans="1:28" hidden="1">
      <c r="A490" s="1900" t="s">
        <v>1645</v>
      </c>
      <c r="C490" s="528">
        <f>'BD-Redesign'!I56</f>
        <v>265.5</v>
      </c>
      <c r="D490" s="528">
        <f t="shared" ref="D490:D491" si="624">ROUND(C490/$C$502*$D$502,0)</f>
        <v>749</v>
      </c>
      <c r="F490" s="1944"/>
      <c r="G490" s="597"/>
      <c r="H490" s="1644"/>
      <c r="I490" s="1644"/>
      <c r="K490" s="1944">
        <f t="shared" si="616"/>
        <v>6.34</v>
      </c>
      <c r="L490" s="597"/>
      <c r="M490" s="1944">
        <f t="shared" si="617"/>
        <v>7.0600000000000005</v>
      </c>
      <c r="N490" s="597"/>
      <c r="O490" s="1944">
        <f t="shared" si="618"/>
        <v>0</v>
      </c>
      <c r="P490" s="597"/>
      <c r="Q490" s="1944">
        <f t="shared" si="619"/>
        <v>13.4</v>
      </c>
      <c r="R490" s="597"/>
      <c r="S490" s="1644">
        <f t="shared" si="620"/>
        <v>4749</v>
      </c>
      <c r="T490" s="1645"/>
      <c r="U490" s="1644">
        <f t="shared" si="621"/>
        <v>5288</v>
      </c>
      <c r="V490" s="1645"/>
      <c r="W490" s="1644">
        <f t="shared" si="622"/>
        <v>0</v>
      </c>
      <c r="X490" s="1645"/>
      <c r="Y490" s="1644">
        <f t="shared" si="623"/>
        <v>10037</v>
      </c>
    </row>
    <row r="491" spans="1:28" hidden="1">
      <c r="A491" s="1900" t="s">
        <v>1646</v>
      </c>
      <c r="C491" s="528">
        <f>'BD-Redesign'!I57</f>
        <v>450.5</v>
      </c>
      <c r="D491" s="528">
        <f t="shared" si="624"/>
        <v>1271</v>
      </c>
      <c r="F491" s="1944"/>
      <c r="G491" s="597"/>
      <c r="H491" s="1644"/>
      <c r="I491" s="1644"/>
      <c r="K491" s="1944">
        <f t="shared" si="616"/>
        <v>5.61</v>
      </c>
      <c r="L491" s="597"/>
      <c r="M491" s="1944">
        <f t="shared" si="617"/>
        <v>6.2499999999999991</v>
      </c>
      <c r="N491" s="597"/>
      <c r="O491" s="1944">
        <f t="shared" si="618"/>
        <v>0</v>
      </c>
      <c r="P491" s="597"/>
      <c r="Q491" s="1944">
        <f t="shared" si="619"/>
        <v>11.86</v>
      </c>
      <c r="R491" s="597"/>
      <c r="S491" s="1644">
        <f t="shared" si="620"/>
        <v>7130</v>
      </c>
      <c r="T491" s="1645"/>
      <c r="U491" s="1644">
        <f t="shared" si="621"/>
        <v>7944</v>
      </c>
      <c r="V491" s="1645"/>
      <c r="W491" s="1644">
        <f t="shared" si="622"/>
        <v>0</v>
      </c>
      <c r="X491" s="1645"/>
      <c r="Y491" s="1644">
        <f t="shared" si="623"/>
        <v>15074</v>
      </c>
    </row>
    <row r="492" spans="1:28" hidden="1">
      <c r="A492" s="1900" t="s">
        <v>1647</v>
      </c>
      <c r="C492" s="528">
        <f>'BD-Redesign'!I59</f>
        <v>39960</v>
      </c>
      <c r="D492" s="528">
        <f>D502-D493</f>
        <v>112695.74673811265</v>
      </c>
      <c r="F492" s="1943"/>
      <c r="G492" s="1921"/>
      <c r="H492" s="1644"/>
      <c r="I492" s="1644"/>
      <c r="K492" s="1943">
        <f t="shared" si="616"/>
        <v>0</v>
      </c>
      <c r="L492" s="1921" t="s">
        <v>495</v>
      </c>
      <c r="M492" s="1943">
        <f t="shared" si="617"/>
        <v>1.6192</v>
      </c>
      <c r="N492" s="1921" t="s">
        <v>495</v>
      </c>
      <c r="O492" s="1943">
        <f t="shared" si="618"/>
        <v>2.305570240802</v>
      </c>
      <c r="P492" s="1921" t="s">
        <v>495</v>
      </c>
      <c r="Q492" s="1943">
        <f t="shared" si="619"/>
        <v>3.9247702408020002</v>
      </c>
      <c r="R492" s="1921" t="s">
        <v>495</v>
      </c>
      <c r="S492" s="1644">
        <f>ROUND($D492*K492/100,0)</f>
        <v>0</v>
      </c>
      <c r="T492" s="1648"/>
      <c r="U492" s="1644">
        <f>ROUND($D492*M492/100,0)</f>
        <v>1825</v>
      </c>
      <c r="V492" s="1648"/>
      <c r="W492" s="1644">
        <f>ROUND($D492*O492/100,0)</f>
        <v>2598</v>
      </c>
      <c r="X492" s="1648"/>
      <c r="Y492" s="1644">
        <f>ROUND($D492*Q492/100,0)</f>
        <v>4423</v>
      </c>
    </row>
    <row r="493" spans="1:28" hidden="1">
      <c r="A493" s="1900" t="s">
        <v>1648</v>
      </c>
      <c r="C493" s="528">
        <f>'BD-Redesign'!I60</f>
        <v>68580</v>
      </c>
      <c r="D493" s="528">
        <f>ROUND(C493/C502*D502,0)</f>
        <v>193411</v>
      </c>
      <c r="F493" s="1943"/>
      <c r="G493" s="1921"/>
      <c r="H493" s="1644"/>
      <c r="I493" s="1644"/>
      <c r="K493" s="1943">
        <f t="shared" si="616"/>
        <v>0</v>
      </c>
      <c r="L493" s="1921" t="s">
        <v>495</v>
      </c>
      <c r="M493" s="1943">
        <f t="shared" si="617"/>
        <v>1.4329000000000001</v>
      </c>
      <c r="N493" s="1921" t="s">
        <v>495</v>
      </c>
      <c r="O493" s="1943">
        <f t="shared" si="618"/>
        <v>2.0403480007099999</v>
      </c>
      <c r="P493" s="1921" t="s">
        <v>495</v>
      </c>
      <c r="Q493" s="1943">
        <f t="shared" si="619"/>
        <v>3.4732480007099999</v>
      </c>
      <c r="R493" s="1921" t="s">
        <v>495</v>
      </c>
      <c r="S493" s="1644">
        <f>ROUND($D493*K493/100,0)</f>
        <v>0</v>
      </c>
      <c r="T493" s="1648"/>
      <c r="U493" s="1644">
        <f>ROUND($D493*M493/100,0)</f>
        <v>2771</v>
      </c>
      <c r="V493" s="1648"/>
      <c r="W493" s="1644">
        <f>ROUND($D493*O493/100,0)</f>
        <v>3946</v>
      </c>
      <c r="X493" s="1648"/>
      <c r="Y493" s="1644">
        <f>ROUND($D493*Q493/100,0)</f>
        <v>6718</v>
      </c>
    </row>
    <row r="494" spans="1:28" hidden="1">
      <c r="A494" s="1900" t="s">
        <v>196</v>
      </c>
      <c r="C494" s="528">
        <f>(C490+C491)*C817/(C817+C818)</f>
        <v>278.86509449682785</v>
      </c>
      <c r="D494" s="528">
        <f>ROUND(C494/C502*D502,0)</f>
        <v>786</v>
      </c>
      <c r="F494" s="1944">
        <f>F392</f>
        <v>14.62</v>
      </c>
      <c r="G494" s="597"/>
      <c r="H494" s="1644">
        <f t="shared" ref="H494:H496" si="625">ROUND($F494*C494,0)</f>
        <v>4077</v>
      </c>
      <c r="I494" s="1644">
        <f t="shared" ref="I494:I496" si="626">ROUND($F494*D494,0)</f>
        <v>11491</v>
      </c>
      <c r="K494" s="1944"/>
      <c r="L494" s="597"/>
      <c r="M494" s="1944"/>
      <c r="N494" s="597"/>
      <c r="O494" s="1944"/>
      <c r="P494" s="597"/>
      <c r="Q494" s="1944"/>
      <c r="R494" s="597"/>
      <c r="S494" s="1644"/>
      <c r="T494" s="1643"/>
      <c r="U494" s="1644"/>
      <c r="V494" s="1643"/>
      <c r="W494" s="1644"/>
      <c r="X494" s="1643"/>
      <c r="Y494" s="1644"/>
    </row>
    <row r="495" spans="1:28" hidden="1">
      <c r="A495" s="1900" t="s">
        <v>161</v>
      </c>
      <c r="C495" s="528">
        <f>C490+C491-C494</f>
        <v>437.13490550317215</v>
      </c>
      <c r="D495" s="528">
        <f>ROUND(C495/C502*D502,0)</f>
        <v>1233</v>
      </c>
      <c r="F495" s="1944">
        <f>F393</f>
        <v>10.91</v>
      </c>
      <c r="G495" s="597"/>
      <c r="H495" s="1644">
        <f t="shared" si="625"/>
        <v>4769</v>
      </c>
      <c r="I495" s="1644">
        <f t="shared" si="626"/>
        <v>13452</v>
      </c>
      <c r="K495" s="1944"/>
      <c r="L495" s="597"/>
      <c r="M495" s="1944"/>
      <c r="N495" s="597"/>
      <c r="O495" s="1944"/>
      <c r="P495" s="597"/>
      <c r="Q495" s="1944"/>
      <c r="R495" s="597"/>
      <c r="S495" s="1644"/>
      <c r="T495" s="1643"/>
      <c r="U495" s="1644"/>
      <c r="V495" s="1643"/>
      <c r="W495" s="1644"/>
      <c r="X495" s="1643"/>
      <c r="Y495" s="1644"/>
    </row>
    <row r="496" spans="1:28" hidden="1">
      <c r="A496" s="1900" t="s">
        <v>261</v>
      </c>
      <c r="C496" s="528">
        <f>C480</f>
        <v>0</v>
      </c>
      <c r="D496" s="528">
        <f>D480</f>
        <v>0</v>
      </c>
      <c r="F496" s="1944">
        <f>F394</f>
        <v>-0.96</v>
      </c>
      <c r="G496" s="597"/>
      <c r="H496" s="1644">
        <f t="shared" si="625"/>
        <v>0</v>
      </c>
      <c r="I496" s="1644">
        <f t="shared" si="626"/>
        <v>0</v>
      </c>
      <c r="K496" s="1944">
        <f>K394</f>
        <v>-0.96</v>
      </c>
      <c r="L496" s="597"/>
      <c r="M496" s="1944">
        <f>M394</f>
        <v>0</v>
      </c>
      <c r="N496" s="597"/>
      <c r="O496" s="1944">
        <f>O394</f>
        <v>0</v>
      </c>
      <c r="P496" s="597"/>
      <c r="Q496" s="1944">
        <f>Q394</f>
        <v>-0.96</v>
      </c>
      <c r="R496" s="597"/>
      <c r="S496" s="1644">
        <f t="shared" ref="S496" si="627">ROUND($D496*K496,0)</f>
        <v>0</v>
      </c>
      <c r="T496" s="1643"/>
      <c r="U496" s="1644">
        <f t="shared" ref="U496" si="628">ROUND($D496*M496,0)</f>
        <v>0</v>
      </c>
      <c r="V496" s="1643"/>
      <c r="W496" s="1644">
        <f t="shared" ref="W496" si="629">ROUND($D496*O496,0)</f>
        <v>0</v>
      </c>
      <c r="X496" s="1643"/>
      <c r="Y496" s="1644">
        <f t="shared" ref="Y496" si="630">ROUND($D496*Q496,0)</f>
        <v>0</v>
      </c>
    </row>
    <row r="497" spans="1:28" hidden="1">
      <c r="A497" s="1900" t="s">
        <v>1362</v>
      </c>
      <c r="C497" s="528">
        <f>(C492+C493)*C824/(C824+C825)</f>
        <v>51673.888905823311</v>
      </c>
      <c r="D497" s="528">
        <f>ROUND(C497/C502*D502,0)</f>
        <v>145732</v>
      </c>
      <c r="F497" s="1943">
        <f>F395</f>
        <v>3.8127</v>
      </c>
      <c r="G497" s="1921" t="s">
        <v>495</v>
      </c>
      <c r="H497" s="1644">
        <f>ROUND($F497*C497/100,0)</f>
        <v>1970</v>
      </c>
      <c r="I497" s="1644">
        <f>ROUND($F497*D497/100,0)</f>
        <v>5556</v>
      </c>
      <c r="K497" s="1943"/>
      <c r="L497" s="1921"/>
      <c r="M497" s="1943"/>
      <c r="N497" s="1921"/>
      <c r="O497" s="1943"/>
      <c r="P497" s="1921"/>
      <c r="Q497" s="1943"/>
      <c r="R497" s="1921"/>
      <c r="S497" s="1648"/>
      <c r="T497" s="1648"/>
      <c r="U497" s="1648"/>
      <c r="V497" s="1648"/>
      <c r="W497" s="1648"/>
      <c r="X497" s="1648"/>
      <c r="Y497" s="1644"/>
    </row>
    <row r="498" spans="1:28" hidden="1">
      <c r="A498" s="1900" t="s">
        <v>1363</v>
      </c>
      <c r="C498" s="528">
        <f>C492+C493-C497</f>
        <v>56866.111094176689</v>
      </c>
      <c r="D498" s="528">
        <f>D502-D497</f>
        <v>160374.74673811265</v>
      </c>
      <c r="F498" s="1943">
        <f>F396</f>
        <v>3.5143</v>
      </c>
      <c r="G498" s="1921" t="s">
        <v>495</v>
      </c>
      <c r="H498" s="1644">
        <f>ROUND($F498*C498/100,0)</f>
        <v>1998</v>
      </c>
      <c r="I498" s="1644">
        <f>ROUND($F498*D498/100,0)</f>
        <v>5636</v>
      </c>
      <c r="K498" s="1943"/>
      <c r="L498" s="1921"/>
      <c r="M498" s="1943"/>
      <c r="N498" s="1921"/>
      <c r="O498" s="1943"/>
      <c r="P498" s="1921"/>
      <c r="Q498" s="1943"/>
      <c r="R498" s="1921"/>
      <c r="S498" s="1648"/>
      <c r="T498" s="1648"/>
      <c r="U498" s="1648"/>
      <c r="V498" s="1648"/>
      <c r="W498" s="1648"/>
      <c r="X498" s="1648"/>
      <c r="Y498" s="1644"/>
    </row>
    <row r="499" spans="1:28" hidden="1">
      <c r="A499" s="1900" t="s">
        <v>246</v>
      </c>
      <c r="C499" s="529">
        <v>0</v>
      </c>
      <c r="D499" s="529">
        <v>0</v>
      </c>
      <c r="H499" s="1030">
        <v>0</v>
      </c>
      <c r="I499" s="1030">
        <v>0</v>
      </c>
      <c r="Y499" s="1030"/>
    </row>
    <row r="500" spans="1:28" hidden="1">
      <c r="A500" s="1900" t="s">
        <v>1240</v>
      </c>
      <c r="C500" s="584"/>
      <c r="D500" s="584"/>
      <c r="F500" s="1930">
        <f t="shared" ref="F500" si="631">F398</f>
        <v>-3.61E-2</v>
      </c>
      <c r="G500" s="597"/>
      <c r="H500" s="1644">
        <f>SUM(H494:H495,H497:H498)*$F500</f>
        <v>-462.58539999999999</v>
      </c>
      <c r="I500" s="1644">
        <f>SUM(I494:I495,I497:I498)*$F500</f>
        <v>-1304.4735000000001</v>
      </c>
      <c r="K500" s="1930"/>
      <c r="L500" s="597"/>
      <c r="M500" s="1930"/>
      <c r="N500" s="597"/>
      <c r="O500" s="1931" t="str">
        <f>$O$43</f>
        <v>Tax Year 1 (7/1/2021)</v>
      </c>
      <c r="P500" s="597"/>
      <c r="Q500" s="1930">
        <f>$Q$687</f>
        <v>-2.76E-2</v>
      </c>
      <c r="R500" s="597"/>
      <c r="S500" s="1645"/>
      <c r="T500" s="1645"/>
      <c r="U500" s="1645"/>
      <c r="V500" s="1645"/>
      <c r="W500" s="1645"/>
      <c r="X500" s="1645"/>
      <c r="Y500" s="1644">
        <f>Q500*SUM(Y490:Y493)</f>
        <v>-1000.5552</v>
      </c>
    </row>
    <row r="501" spans="1:28" hidden="1">
      <c r="A501" s="1900"/>
      <c r="C501" s="584"/>
      <c r="D501" s="584"/>
      <c r="F501" s="1930"/>
      <c r="G501" s="597"/>
      <c r="H501" s="1644"/>
      <c r="I501" s="1644"/>
      <c r="K501" s="1930"/>
      <c r="L501" s="597"/>
      <c r="M501" s="1930"/>
      <c r="N501" s="597"/>
      <c r="O501" s="1931" t="str">
        <f>$O$44</f>
        <v>Tax Year 2 (1/1/2022)</v>
      </c>
      <c r="P501" s="597"/>
      <c r="Q501" s="1930">
        <f>$Q$688</f>
        <v>-1.4999999999999999E-2</v>
      </c>
      <c r="R501" s="597"/>
      <c r="S501" s="1645"/>
      <c r="T501" s="1645"/>
      <c r="U501" s="1645"/>
      <c r="V501" s="1645"/>
      <c r="W501" s="1645"/>
      <c r="X501" s="1645"/>
      <c r="Y501" s="1644">
        <f>Q501*SUM(Y490:Y493)</f>
        <v>-543.78</v>
      </c>
    </row>
    <row r="502" spans="1:28" ht="16.5" hidden="1" thickBot="1">
      <c r="A502" s="1900" t="s">
        <v>247</v>
      </c>
      <c r="C502" s="1949">
        <f>SUM(C497:C499)</f>
        <v>108540</v>
      </c>
      <c r="D502" s="1949">
        <f>C502*D829/C829</f>
        <v>306106.74673811265</v>
      </c>
      <c r="F502" s="1939"/>
      <c r="H502" s="1647">
        <f>SUM(H486:H500)</f>
        <v>15892.4146</v>
      </c>
      <c r="I502" s="1647">
        <f>SUM(I486:I500)</f>
        <v>44769.5265</v>
      </c>
      <c r="K502" s="1939"/>
      <c r="M502" s="1939"/>
      <c r="O502" s="1939"/>
      <c r="Q502" s="1939"/>
      <c r="S502" s="1647">
        <f>SUM(S486:S499)</f>
        <v>21798</v>
      </c>
      <c r="U502" s="1647">
        <f>SUM(U486:U499)</f>
        <v>17828</v>
      </c>
      <c r="W502" s="1647">
        <f>SUM(W486:W499)</f>
        <v>6544</v>
      </c>
      <c r="Y502" s="1647">
        <f>SUM(Y486:Y499)</f>
        <v>46171</v>
      </c>
      <c r="AA502" s="1104" t="s">
        <v>1743</v>
      </c>
      <c r="AB502" s="1890">
        <f>Y502/I502-1</f>
        <v>3.1304184108357669E-2</v>
      </c>
    </row>
    <row r="503" spans="1:28" ht="16.5" thickTop="1">
      <c r="C503" s="528"/>
      <c r="D503" s="528"/>
    </row>
    <row r="504" spans="1:28">
      <c r="A504" s="1897" t="s">
        <v>1922</v>
      </c>
      <c r="C504" s="528"/>
      <c r="D504" s="528"/>
    </row>
    <row r="505" spans="1:28">
      <c r="A505" s="1900" t="s">
        <v>240</v>
      </c>
      <c r="C505" s="528">
        <f>'BD-Redesign'!L22</f>
        <v>55.716666666666669</v>
      </c>
      <c r="D505" s="528">
        <f>D520</f>
        <v>157.84953632148375</v>
      </c>
      <c r="F505" s="1901"/>
      <c r="G505" s="1902"/>
      <c r="H505" s="1644"/>
      <c r="I505" s="1644"/>
      <c r="K505" s="1901">
        <f t="shared" ref="K505:K515" si="632">K369</f>
        <v>54</v>
      </c>
      <c r="L505" s="1902"/>
      <c r="M505" s="1901">
        <f t="shared" ref="M505:M515" si="633">M369</f>
        <v>0</v>
      </c>
      <c r="N505" s="1902"/>
      <c r="O505" s="1901">
        <f t="shared" ref="O505:O515" si="634">O369</f>
        <v>0</v>
      </c>
      <c r="P505" s="1902"/>
      <c r="Q505" s="1901">
        <f t="shared" ref="Q505:Q515" si="635">Q369</f>
        <v>54</v>
      </c>
      <c r="R505" s="1902"/>
      <c r="S505" s="1644">
        <f>ROUND($D505*K505,0)</f>
        <v>8524</v>
      </c>
      <c r="T505" s="1643"/>
      <c r="U505" s="1644">
        <f>ROUND($D505*M505,0)</f>
        <v>0</v>
      </c>
      <c r="V505" s="1643"/>
      <c r="W505" s="1644">
        <f>ROUND($D505*O505,0)</f>
        <v>0</v>
      </c>
      <c r="X505" s="1643"/>
      <c r="Y505" s="1644">
        <f>ROUND($D505*Q505,0)</f>
        <v>8524</v>
      </c>
      <c r="AA505" s="1109"/>
      <c r="AB505" s="1114"/>
    </row>
    <row r="506" spans="1:28">
      <c r="A506" s="1900" t="s">
        <v>1910</v>
      </c>
      <c r="C506" s="528">
        <f>'BD-Redesign'!L23</f>
        <v>111994.63366336633</v>
      </c>
      <c r="D506" s="528">
        <f t="shared" ref="D506:D515" si="636">C506/$C$518*$D$518</f>
        <v>446919.92134186177</v>
      </c>
      <c r="E506" s="597"/>
      <c r="F506" s="1942"/>
      <c r="G506" s="1921"/>
      <c r="H506" s="1644"/>
      <c r="I506" s="1644"/>
      <c r="J506" s="597"/>
      <c r="K506" s="1942">
        <f t="shared" si="632"/>
        <v>3.9525000000000001</v>
      </c>
      <c r="L506" s="1921" t="s">
        <v>495</v>
      </c>
      <c r="M506" s="1942">
        <f t="shared" si="633"/>
        <v>17.075028114911813</v>
      </c>
      <c r="N506" s="1921" t="s">
        <v>495</v>
      </c>
      <c r="O506" s="1942">
        <f t="shared" si="634"/>
        <v>1.3496999999999999</v>
      </c>
      <c r="P506" s="1921" t="s">
        <v>495</v>
      </c>
      <c r="Q506" s="1942">
        <f t="shared" si="635"/>
        <v>22.377228114911812</v>
      </c>
      <c r="R506" s="1921" t="s">
        <v>495</v>
      </c>
      <c r="S506" s="1644">
        <f>ROUND($D506*K506/100,0)</f>
        <v>17665</v>
      </c>
      <c r="T506" s="1648"/>
      <c r="U506" s="1644">
        <f>ROUND($D506*M506/100,0)</f>
        <v>76312</v>
      </c>
      <c r="V506" s="1648"/>
      <c r="W506" s="1644">
        <f>ROUND($D506*O506/100,0)</f>
        <v>6032</v>
      </c>
      <c r="X506" s="1648"/>
      <c r="Y506" s="1644">
        <f>ROUND($D506*Q506/100,0)</f>
        <v>100008</v>
      </c>
      <c r="AA506" s="596"/>
      <c r="AB506" s="596"/>
    </row>
    <row r="507" spans="1:28">
      <c r="A507" s="1900" t="s">
        <v>1911</v>
      </c>
      <c r="C507" s="528">
        <f>'BD-Redesign'!L24</f>
        <v>266833.36633663368</v>
      </c>
      <c r="D507" s="528">
        <f t="shared" si="636"/>
        <v>1064811.2609841989</v>
      </c>
      <c r="E507" s="597"/>
      <c r="F507" s="1942"/>
      <c r="G507" s="1921"/>
      <c r="H507" s="1644"/>
      <c r="I507" s="1644"/>
      <c r="J507" s="597"/>
      <c r="K507" s="1942">
        <f t="shared" si="632"/>
        <v>3.9525000000000001</v>
      </c>
      <c r="L507" s="1921" t="s">
        <v>495</v>
      </c>
      <c r="M507" s="1942">
        <f t="shared" si="633"/>
        <v>-0.91518271744099966</v>
      </c>
      <c r="N507" s="1921" t="s">
        <v>495</v>
      </c>
      <c r="O507" s="1942">
        <f t="shared" si="634"/>
        <v>1.3496999999999999</v>
      </c>
      <c r="P507" s="1921" t="s">
        <v>495</v>
      </c>
      <c r="Q507" s="1942">
        <f t="shared" si="635"/>
        <v>4.3870172825590004</v>
      </c>
      <c r="R507" s="1921" t="s">
        <v>495</v>
      </c>
      <c r="S507" s="1644">
        <f t="shared" ref="S507:S513" si="637">ROUND($D507*K507/100,0)</f>
        <v>42087</v>
      </c>
      <c r="T507" s="1648"/>
      <c r="U507" s="1644">
        <f t="shared" ref="U507:U513" si="638">ROUND($D507*M507/100,0)</f>
        <v>-9745</v>
      </c>
      <c r="V507" s="1648"/>
      <c r="W507" s="1644">
        <f t="shared" ref="W507:W513" si="639">ROUND($D507*O507/100,0)</f>
        <v>14372</v>
      </c>
      <c r="X507" s="1648"/>
      <c r="Y507" s="1644">
        <f t="shared" ref="Y507:Y513" si="640">ROUND($D507*Q507/100,0)</f>
        <v>46713</v>
      </c>
      <c r="AA507" s="596"/>
      <c r="AB507" s="596"/>
    </row>
    <row r="508" spans="1:28">
      <c r="A508" s="1900" t="s">
        <v>1912</v>
      </c>
      <c r="C508" s="528">
        <f>'BD-Redesign'!L25</f>
        <v>151504.07425742573</v>
      </c>
      <c r="D508" s="528">
        <f t="shared" si="636"/>
        <v>604584.22636234248</v>
      </c>
      <c r="E508" s="597"/>
      <c r="F508" s="1942"/>
      <c r="G508" s="1921"/>
      <c r="H508" s="1644"/>
      <c r="I508" s="1644"/>
      <c r="J508" s="597"/>
      <c r="K508" s="1942">
        <f t="shared" si="632"/>
        <v>3.9525000000000001</v>
      </c>
      <c r="L508" s="1921" t="s">
        <v>495</v>
      </c>
      <c r="M508" s="1942">
        <f t="shared" si="633"/>
        <v>14.656000000000001</v>
      </c>
      <c r="N508" s="1921" t="s">
        <v>495</v>
      </c>
      <c r="O508" s="1942">
        <f t="shared" si="634"/>
        <v>1.1943999999999999</v>
      </c>
      <c r="P508" s="1921" t="s">
        <v>495</v>
      </c>
      <c r="Q508" s="1942">
        <f t="shared" si="635"/>
        <v>19.802900000000001</v>
      </c>
      <c r="R508" s="1921" t="s">
        <v>495</v>
      </c>
      <c r="S508" s="1644">
        <f t="shared" si="637"/>
        <v>23896</v>
      </c>
      <c r="T508" s="1648"/>
      <c r="U508" s="1644">
        <f t="shared" si="638"/>
        <v>88608</v>
      </c>
      <c r="V508" s="1648"/>
      <c r="W508" s="1644">
        <f t="shared" si="639"/>
        <v>7221</v>
      </c>
      <c r="X508" s="1648"/>
      <c r="Y508" s="1644">
        <f t="shared" si="640"/>
        <v>119725</v>
      </c>
      <c r="AA508" s="596"/>
      <c r="AB508" s="596"/>
    </row>
    <row r="509" spans="1:28">
      <c r="A509" s="1900" t="s">
        <v>1913</v>
      </c>
      <c r="C509" s="528">
        <f>'BD-Redesign'!L26</f>
        <v>460068.42574257427</v>
      </c>
      <c r="D509" s="528">
        <f t="shared" si="636"/>
        <v>1835924.9717515896</v>
      </c>
      <c r="E509" s="597"/>
      <c r="F509" s="1942"/>
      <c r="G509" s="1921"/>
      <c r="H509" s="1644"/>
      <c r="I509" s="1644"/>
      <c r="J509" s="597"/>
      <c r="K509" s="1942">
        <f t="shared" si="632"/>
        <v>3.9525000000000001</v>
      </c>
      <c r="L509" s="1921" t="s">
        <v>495</v>
      </c>
      <c r="M509" s="1942">
        <f t="shared" si="633"/>
        <v>-1.2646000000000002</v>
      </c>
      <c r="N509" s="1921" t="s">
        <v>495</v>
      </c>
      <c r="O509" s="1942">
        <f t="shared" si="634"/>
        <v>1.1943999999999999</v>
      </c>
      <c r="P509" s="1921" t="s">
        <v>495</v>
      </c>
      <c r="Q509" s="1942">
        <f t="shared" si="635"/>
        <v>3.8822999999999999</v>
      </c>
      <c r="R509" s="1921" t="s">
        <v>495</v>
      </c>
      <c r="S509" s="1644">
        <f t="shared" si="637"/>
        <v>72565</v>
      </c>
      <c r="T509" s="1648"/>
      <c r="U509" s="1644">
        <f t="shared" si="638"/>
        <v>-23217</v>
      </c>
      <c r="V509" s="1648"/>
      <c r="W509" s="1644">
        <f t="shared" si="639"/>
        <v>21928</v>
      </c>
      <c r="X509" s="1648"/>
      <c r="Y509" s="1644">
        <f t="shared" si="640"/>
        <v>71276</v>
      </c>
      <c r="AA509" s="596"/>
      <c r="AB509" s="596"/>
    </row>
    <row r="510" spans="1:28">
      <c r="A510" s="1900" t="s">
        <v>1906</v>
      </c>
      <c r="C510" s="528">
        <f>'BD-Redesign'!L27</f>
        <v>210382.32064704984</v>
      </c>
      <c r="D510" s="528">
        <f t="shared" si="636"/>
        <v>839540.67368902243</v>
      </c>
      <c r="E510" s="597"/>
      <c r="F510" s="1942"/>
      <c r="G510" s="1921"/>
      <c r="H510" s="1644"/>
      <c r="I510" s="1644"/>
      <c r="J510" s="597"/>
      <c r="K510" s="1942">
        <f t="shared" si="632"/>
        <v>0</v>
      </c>
      <c r="L510" s="1921" t="s">
        <v>495</v>
      </c>
      <c r="M510" s="1942">
        <f t="shared" si="633"/>
        <v>0</v>
      </c>
      <c r="N510" s="1921" t="s">
        <v>495</v>
      </c>
      <c r="O510" s="1942">
        <f t="shared" si="634"/>
        <v>6</v>
      </c>
      <c r="P510" s="1921" t="s">
        <v>495</v>
      </c>
      <c r="Q510" s="1942">
        <f t="shared" si="635"/>
        <v>6</v>
      </c>
      <c r="R510" s="1921" t="s">
        <v>495</v>
      </c>
      <c r="S510" s="1644">
        <f t="shared" si="637"/>
        <v>0</v>
      </c>
      <c r="T510" s="1648"/>
      <c r="U510" s="1644">
        <f t="shared" si="638"/>
        <v>0</v>
      </c>
      <c r="V510" s="1648"/>
      <c r="W510" s="1644">
        <f t="shared" si="639"/>
        <v>50372</v>
      </c>
      <c r="X510" s="1648"/>
      <c r="Y510" s="1644">
        <f t="shared" si="640"/>
        <v>50372</v>
      </c>
      <c r="AA510" s="596"/>
      <c r="AB510" s="596"/>
    </row>
    <row r="511" spans="1:28">
      <c r="A511" s="1900" t="s">
        <v>1907</v>
      </c>
      <c r="C511" s="528">
        <f>'BD-Redesign'!L28</f>
        <v>168445.67935295016</v>
      </c>
      <c r="D511" s="528">
        <f t="shared" si="636"/>
        <v>672190.50863703794</v>
      </c>
      <c r="E511" s="597"/>
      <c r="F511" s="1942"/>
      <c r="G511" s="1921"/>
      <c r="H511" s="1644"/>
      <c r="I511" s="1644"/>
      <c r="J511" s="597"/>
      <c r="K511" s="1942">
        <f t="shared" si="632"/>
        <v>0</v>
      </c>
      <c r="L511" s="1921" t="s">
        <v>495</v>
      </c>
      <c r="M511" s="1942">
        <f t="shared" si="633"/>
        <v>0</v>
      </c>
      <c r="N511" s="1921" t="s">
        <v>495</v>
      </c>
      <c r="O511" s="1942">
        <f t="shared" si="634"/>
        <v>-2.3358000000000008</v>
      </c>
      <c r="P511" s="1921" t="s">
        <v>495</v>
      </c>
      <c r="Q511" s="1942">
        <f t="shared" si="635"/>
        <v>-2.3358000000000008</v>
      </c>
      <c r="R511" s="1921" t="s">
        <v>495</v>
      </c>
      <c r="S511" s="1644">
        <f t="shared" si="637"/>
        <v>0</v>
      </c>
      <c r="T511" s="1648"/>
      <c r="U511" s="1644">
        <f t="shared" si="638"/>
        <v>0</v>
      </c>
      <c r="V511" s="1648"/>
      <c r="W511" s="1644">
        <f t="shared" si="639"/>
        <v>-15701</v>
      </c>
      <c r="X511" s="1648"/>
      <c r="Y511" s="1644">
        <f t="shared" si="640"/>
        <v>-15701</v>
      </c>
      <c r="AA511" s="596"/>
      <c r="AB511" s="596"/>
    </row>
    <row r="512" spans="1:28">
      <c r="A512" s="1900" t="s">
        <v>1908</v>
      </c>
      <c r="C512" s="528">
        <f>'BD-Redesign'!L29</f>
        <v>339637.09597473755</v>
      </c>
      <c r="D512" s="528">
        <f t="shared" si="636"/>
        <v>1355338.0126592533</v>
      </c>
      <c r="E512" s="597"/>
      <c r="F512" s="1942"/>
      <c r="G512" s="1921"/>
      <c r="H512" s="1644"/>
      <c r="I512" s="1644"/>
      <c r="J512" s="597"/>
      <c r="K512" s="1942">
        <f t="shared" si="632"/>
        <v>0</v>
      </c>
      <c r="L512" s="1921" t="s">
        <v>495</v>
      </c>
      <c r="M512" s="1942">
        <f t="shared" si="633"/>
        <v>0</v>
      </c>
      <c r="N512" s="1921" t="s">
        <v>495</v>
      </c>
      <c r="O512" s="1942">
        <f t="shared" si="634"/>
        <v>5.3097000000000003</v>
      </c>
      <c r="P512" s="1921" t="s">
        <v>495</v>
      </c>
      <c r="Q512" s="1942">
        <f t="shared" si="635"/>
        <v>5.3097000000000003</v>
      </c>
      <c r="R512" s="1921" t="s">
        <v>495</v>
      </c>
      <c r="S512" s="1644">
        <f t="shared" si="637"/>
        <v>0</v>
      </c>
      <c r="T512" s="1648"/>
      <c r="U512" s="1644">
        <f t="shared" si="638"/>
        <v>0</v>
      </c>
      <c r="V512" s="1648"/>
      <c r="W512" s="1644">
        <f t="shared" si="639"/>
        <v>71964</v>
      </c>
      <c r="X512" s="1648"/>
      <c r="Y512" s="1644">
        <f t="shared" si="640"/>
        <v>71964</v>
      </c>
      <c r="AA512" s="596"/>
      <c r="AB512" s="596"/>
    </row>
    <row r="513" spans="1:28">
      <c r="A513" s="1900" t="s">
        <v>1909</v>
      </c>
      <c r="C513" s="528">
        <f>'BD-Redesign'!L30</f>
        <v>271935.40402526245</v>
      </c>
      <c r="D513" s="528">
        <f t="shared" si="636"/>
        <v>1085171.1854546787</v>
      </c>
      <c r="E513" s="597"/>
      <c r="F513" s="1942"/>
      <c r="G513" s="1921"/>
      <c r="H513" s="1644"/>
      <c r="I513" s="1644"/>
      <c r="J513" s="597"/>
      <c r="K513" s="1942">
        <f t="shared" si="632"/>
        <v>0</v>
      </c>
      <c r="L513" s="1921" t="s">
        <v>495</v>
      </c>
      <c r="M513" s="1942">
        <f t="shared" si="633"/>
        <v>0</v>
      </c>
      <c r="N513" s="1921" t="s">
        <v>495</v>
      </c>
      <c r="O513" s="1942">
        <f t="shared" si="634"/>
        <v>-2.0670999999999999</v>
      </c>
      <c r="P513" s="1921" t="s">
        <v>495</v>
      </c>
      <c r="Q513" s="1942">
        <f t="shared" si="635"/>
        <v>-2.0670999999999999</v>
      </c>
      <c r="R513" s="1921" t="s">
        <v>495</v>
      </c>
      <c r="S513" s="1644">
        <f t="shared" si="637"/>
        <v>0</v>
      </c>
      <c r="T513" s="1648"/>
      <c r="U513" s="1644">
        <f t="shared" si="638"/>
        <v>0</v>
      </c>
      <c r="V513" s="1648"/>
      <c r="W513" s="1644">
        <f t="shared" si="639"/>
        <v>-22432</v>
      </c>
      <c r="X513" s="1648"/>
      <c r="Y513" s="1644">
        <f t="shared" si="640"/>
        <v>-22432</v>
      </c>
      <c r="AA513" s="596"/>
      <c r="AB513" s="596"/>
    </row>
    <row r="514" spans="1:28">
      <c r="A514" s="1900" t="s">
        <v>261</v>
      </c>
      <c r="C514" s="528">
        <f>'BD-Redesign'!L31</f>
        <v>0</v>
      </c>
      <c r="D514" s="528">
        <f t="shared" si="636"/>
        <v>0</v>
      </c>
      <c r="F514" s="1901"/>
      <c r="G514" s="1902"/>
      <c r="H514" s="1644"/>
      <c r="I514" s="1644"/>
      <c r="K514" s="1901">
        <f t="shared" si="632"/>
        <v>-0.61</v>
      </c>
      <c r="L514" s="1902"/>
      <c r="M514" s="1901">
        <f t="shared" si="633"/>
        <v>0</v>
      </c>
      <c r="N514" s="1902"/>
      <c r="O514" s="1901">
        <f t="shared" si="634"/>
        <v>0</v>
      </c>
      <c r="P514" s="1902"/>
      <c r="Q514" s="1901">
        <f t="shared" si="635"/>
        <v>-0.61</v>
      </c>
      <c r="R514" s="1902"/>
      <c r="S514" s="1644">
        <f>ROUND($D514*K514,0)</f>
        <v>0</v>
      </c>
      <c r="T514" s="1643"/>
      <c r="U514" s="1644">
        <f>ROUND($D514*M514,0)</f>
        <v>0</v>
      </c>
      <c r="V514" s="1643"/>
      <c r="W514" s="1644">
        <f>ROUND($D514*O514,0)</f>
        <v>0</v>
      </c>
      <c r="X514" s="1643"/>
      <c r="Y514" s="1644">
        <f>ROUND($D514*Q514,0)</f>
        <v>0</v>
      </c>
      <c r="AA514" s="596"/>
      <c r="AB514" s="596"/>
    </row>
    <row r="515" spans="1:28">
      <c r="A515" s="1116" t="s">
        <v>1158</v>
      </c>
      <c r="C515" s="528">
        <f>'BD-Redesign'!L32</f>
        <v>0</v>
      </c>
      <c r="D515" s="528">
        <f t="shared" si="636"/>
        <v>0</v>
      </c>
      <c r="F515" s="1943"/>
      <c r="G515" s="1921"/>
      <c r="H515" s="1644"/>
      <c r="I515" s="1644"/>
      <c r="K515" s="1943">
        <f t="shared" si="632"/>
        <v>0</v>
      </c>
      <c r="L515" s="1921" t="s">
        <v>495</v>
      </c>
      <c r="M515" s="1943">
        <f t="shared" si="633"/>
        <v>7.125</v>
      </c>
      <c r="N515" s="1921" t="s">
        <v>495</v>
      </c>
      <c r="O515" s="1943">
        <f t="shared" si="634"/>
        <v>0</v>
      </c>
      <c r="P515" s="1921" t="s">
        <v>495</v>
      </c>
      <c r="Q515" s="1943">
        <f t="shared" si="635"/>
        <v>7.125</v>
      </c>
      <c r="R515" s="1921" t="s">
        <v>495</v>
      </c>
      <c r="S515" s="1644">
        <f>ROUND($D515*K515/100,0)</f>
        <v>0</v>
      </c>
      <c r="T515" s="1648"/>
      <c r="U515" s="1644">
        <f>ROUND($D515*M515/100,0)</f>
        <v>0</v>
      </c>
      <c r="V515" s="1648"/>
      <c r="W515" s="1644">
        <f>ROUND($D515*O515/100,0)</f>
        <v>0</v>
      </c>
      <c r="X515" s="1648"/>
      <c r="Y515" s="1644">
        <f>ROUND($D515*Q515/100,0)</f>
        <v>0</v>
      </c>
      <c r="AA515" s="1109"/>
      <c r="AB515" s="1114"/>
    </row>
    <row r="516" spans="1:28">
      <c r="A516" s="1900" t="s">
        <v>1240</v>
      </c>
      <c r="C516" s="584"/>
      <c r="D516" s="584"/>
      <c r="F516" s="1930"/>
      <c r="G516" s="597"/>
      <c r="H516" s="1644"/>
      <c r="I516" s="1644"/>
      <c r="K516" s="1930"/>
      <c r="L516" s="597"/>
      <c r="M516" s="1930"/>
      <c r="N516" s="597"/>
      <c r="O516" s="1931" t="str">
        <f>$O$43</f>
        <v>Tax Year 1 (7/1/2021)</v>
      </c>
      <c r="P516" s="597"/>
      <c r="Q516" s="1930">
        <f>$Q$979</f>
        <v>-3.0599999999999999E-2</v>
      </c>
      <c r="R516" s="597"/>
      <c r="S516" s="1645"/>
      <c r="T516" s="1645"/>
      <c r="U516" s="1645"/>
      <c r="V516" s="1645"/>
      <c r="W516" s="1645"/>
      <c r="X516" s="1645"/>
      <c r="Y516" s="1644">
        <f>Q516*SUM(Y506:Y509,Y515)</f>
        <v>-10334.2932</v>
      </c>
    </row>
    <row r="517" spans="1:28">
      <c r="A517" s="1900"/>
      <c r="C517" s="584"/>
      <c r="D517" s="584"/>
      <c r="F517" s="1930"/>
      <c r="G517" s="597"/>
      <c r="H517" s="1644"/>
      <c r="I517" s="1644"/>
      <c r="K517" s="1930"/>
      <c r="L517" s="597"/>
      <c r="M517" s="1930"/>
      <c r="N517" s="597"/>
      <c r="O517" s="1931" t="str">
        <f>$O$44</f>
        <v>Tax Year 2 (1/1/2022)</v>
      </c>
      <c r="P517" s="597"/>
      <c r="Q517" s="1930">
        <f>$Q$980</f>
        <v>-1.66E-2</v>
      </c>
      <c r="R517" s="597"/>
      <c r="S517" s="1645"/>
      <c r="T517" s="1645"/>
      <c r="U517" s="1645"/>
      <c r="V517" s="1645"/>
      <c r="W517" s="1645"/>
      <c r="X517" s="1645"/>
      <c r="Y517" s="1644">
        <f>Q517*SUM(Y506:Y509,Y515)</f>
        <v>-5606.1851999999999</v>
      </c>
    </row>
    <row r="518" spans="1:28">
      <c r="A518" s="1900" t="s">
        <v>1923</v>
      </c>
      <c r="C518" s="528">
        <f>SUM(C510:C513,C515)</f>
        <v>990400.5</v>
      </c>
      <c r="D518" s="528">
        <f>D536</f>
        <v>3952240.3804399925</v>
      </c>
      <c r="F518" s="1901"/>
      <c r="G518" s="1902"/>
      <c r="H518" s="1644"/>
      <c r="I518" s="1644"/>
      <c r="K518" s="1901"/>
      <c r="L518" s="1902"/>
      <c r="M518" s="1901"/>
      <c r="N518" s="1902"/>
      <c r="O518" s="1901"/>
      <c r="P518" s="1902"/>
      <c r="Q518" s="1901"/>
      <c r="R518" s="1902"/>
      <c r="S518" s="1644">
        <f>SUM(S505:S515)</f>
        <v>164737</v>
      </c>
      <c r="T518" s="1643"/>
      <c r="U518" s="1644">
        <f>SUM(U505:U515)</f>
        <v>131958</v>
      </c>
      <c r="V518" s="1643"/>
      <c r="W518" s="1644">
        <f>SUM(W505:W515)</f>
        <v>133756</v>
      </c>
      <c r="X518" s="1643"/>
      <c r="Y518" s="1644">
        <f>SUM(Y505:Y515)</f>
        <v>430449</v>
      </c>
      <c r="AA518" s="1109" t="s">
        <v>1743</v>
      </c>
      <c r="AB518" s="1499">
        <f>Y518/Y536-1</f>
        <v>-0.14212173150510199</v>
      </c>
    </row>
    <row r="519" spans="1:28">
      <c r="A519" s="1900"/>
      <c r="C519" s="528"/>
      <c r="D519" s="528"/>
      <c r="F519" s="1901"/>
      <c r="G519" s="1902"/>
      <c r="H519" s="1644"/>
      <c r="I519" s="1644"/>
      <c r="K519" s="1901"/>
      <c r="L519" s="1902"/>
      <c r="M519" s="1901"/>
      <c r="N519" s="1902"/>
      <c r="O519" s="1901"/>
      <c r="P519" s="1902"/>
      <c r="Q519" s="1901"/>
      <c r="R519" s="1902"/>
      <c r="S519" s="1643"/>
      <c r="T519" s="1643"/>
      <c r="U519" s="1643"/>
      <c r="V519" s="1643"/>
      <c r="W519" s="1643"/>
      <c r="X519" s="1643"/>
      <c r="Y519" s="1644"/>
      <c r="AA519" s="1109"/>
      <c r="AB519" s="1114"/>
    </row>
    <row r="520" spans="1:28">
      <c r="A520" s="1900" t="s">
        <v>240</v>
      </c>
      <c r="C520" s="528">
        <f>C505</f>
        <v>55.716666666666669</v>
      </c>
      <c r="D520" s="528">
        <f>C520*D851/C851</f>
        <v>157.84953632148375</v>
      </c>
      <c r="F520" s="1944">
        <f>F384</f>
        <v>54</v>
      </c>
      <c r="G520" s="597"/>
      <c r="H520" s="1644">
        <f t="shared" ref="H520:H522" si="641">ROUND($F520*C520,0)</f>
        <v>3009</v>
      </c>
      <c r="I520" s="1644">
        <f t="shared" ref="I520:I522" si="642">ROUND($F520*D520,0)</f>
        <v>8524</v>
      </c>
      <c r="K520" s="1944">
        <f t="shared" ref="K520:K527" si="643">K384</f>
        <v>54</v>
      </c>
      <c r="L520" s="597"/>
      <c r="M520" s="1944">
        <f t="shared" ref="M520:M527" si="644">M384</f>
        <v>0</v>
      </c>
      <c r="N520" s="597"/>
      <c r="O520" s="1944">
        <f t="shared" ref="O520:O527" si="645">O384</f>
        <v>0</v>
      </c>
      <c r="P520" s="597"/>
      <c r="Q520" s="1944">
        <f t="shared" ref="Q520:Q527" si="646">Q384</f>
        <v>54</v>
      </c>
      <c r="R520" s="597"/>
      <c r="S520" s="1644">
        <f>ROUND($D520*K520,0)</f>
        <v>8524</v>
      </c>
      <c r="T520" s="1643"/>
      <c r="U520" s="1644">
        <f>ROUND($D520*M520,0)</f>
        <v>0</v>
      </c>
      <c r="V520" s="1643"/>
      <c r="W520" s="1644">
        <f>ROUND($D520*O520,0)</f>
        <v>0</v>
      </c>
      <c r="X520" s="1643"/>
      <c r="Y520" s="1644">
        <f>ROUND($D520*Q520,0)</f>
        <v>8524</v>
      </c>
    </row>
    <row r="521" spans="1:28">
      <c r="A521" s="1900" t="s">
        <v>262</v>
      </c>
      <c r="C521" s="584">
        <v>0</v>
      </c>
      <c r="D521" s="528">
        <v>0</v>
      </c>
      <c r="F521" s="1944">
        <f>F385</f>
        <v>648</v>
      </c>
      <c r="G521" s="597"/>
      <c r="H521" s="1644">
        <f t="shared" si="641"/>
        <v>0</v>
      </c>
      <c r="I521" s="1644">
        <f t="shared" si="642"/>
        <v>0</v>
      </c>
      <c r="K521" s="1944">
        <f t="shared" si="643"/>
        <v>648</v>
      </c>
      <c r="L521" s="597"/>
      <c r="M521" s="1944">
        <f t="shared" si="644"/>
        <v>0</v>
      </c>
      <c r="N521" s="597"/>
      <c r="O521" s="1944">
        <f t="shared" si="645"/>
        <v>0</v>
      </c>
      <c r="P521" s="597"/>
      <c r="Q521" s="1944">
        <f t="shared" si="646"/>
        <v>648</v>
      </c>
      <c r="R521" s="597"/>
      <c r="S521" s="1644">
        <f t="shared" ref="S521:S525" si="647">ROUND($D521*K521,0)</f>
        <v>0</v>
      </c>
      <c r="T521" s="1643"/>
      <c r="U521" s="1644">
        <f t="shared" ref="U521:U525" si="648">ROUND($D521*M521,0)</f>
        <v>0</v>
      </c>
      <c r="V521" s="1643"/>
      <c r="W521" s="1644">
        <f t="shared" ref="W521:W525" si="649">ROUND($D521*O521,0)</f>
        <v>0</v>
      </c>
      <c r="X521" s="1643"/>
      <c r="Y521" s="1644">
        <f t="shared" ref="Y521:Y525" si="650">ROUND($D521*Q521,0)</f>
        <v>0</v>
      </c>
    </row>
    <row r="522" spans="1:28">
      <c r="A522" s="1900" t="s">
        <v>1236</v>
      </c>
      <c r="C522" s="528">
        <v>0</v>
      </c>
      <c r="D522" s="528">
        <v>0</v>
      </c>
      <c r="F522" s="1944">
        <f>F386</f>
        <v>54</v>
      </c>
      <c r="G522" s="597"/>
      <c r="H522" s="1644">
        <f t="shared" si="641"/>
        <v>0</v>
      </c>
      <c r="I522" s="1644">
        <f t="shared" si="642"/>
        <v>0</v>
      </c>
      <c r="K522" s="1944">
        <f t="shared" si="643"/>
        <v>54</v>
      </c>
      <c r="L522" s="597"/>
      <c r="M522" s="1944">
        <f t="shared" si="644"/>
        <v>0</v>
      </c>
      <c r="N522" s="597"/>
      <c r="O522" s="1944">
        <f t="shared" si="645"/>
        <v>0</v>
      </c>
      <c r="P522" s="597"/>
      <c r="Q522" s="1944">
        <f t="shared" si="646"/>
        <v>54</v>
      </c>
      <c r="R522" s="597"/>
      <c r="S522" s="1644">
        <f t="shared" si="647"/>
        <v>0</v>
      </c>
      <c r="T522" s="1645"/>
      <c r="U522" s="1644">
        <f t="shared" si="648"/>
        <v>0</v>
      </c>
      <c r="V522" s="1645"/>
      <c r="W522" s="1644">
        <f t="shared" si="649"/>
        <v>0</v>
      </c>
      <c r="X522" s="1645"/>
      <c r="Y522" s="1644">
        <f t="shared" si="650"/>
        <v>0</v>
      </c>
    </row>
    <row r="523" spans="1:28">
      <c r="A523" s="1900" t="s">
        <v>168</v>
      </c>
      <c r="C523" s="528">
        <f>'BD-Redesign'!L55</f>
        <v>5287.6844059405939</v>
      </c>
      <c r="D523" s="528">
        <f>ROUND(C523/$C$536*$D$536,0)</f>
        <v>21101</v>
      </c>
      <c r="F523" s="1944">
        <f>F387</f>
        <v>4.04</v>
      </c>
      <c r="G523" s="597"/>
      <c r="H523" s="1644">
        <f>ROUND($F523*C523,0)</f>
        <v>21362</v>
      </c>
      <c r="I523" s="1644">
        <f>ROUND($F523*D523,0)</f>
        <v>85248</v>
      </c>
      <c r="K523" s="1944">
        <f t="shared" si="643"/>
        <v>4.03</v>
      </c>
      <c r="L523" s="597"/>
      <c r="M523" s="1944">
        <f t="shared" si="644"/>
        <v>0</v>
      </c>
      <c r="N523" s="597"/>
      <c r="O523" s="1944">
        <f t="shared" si="645"/>
        <v>0</v>
      </c>
      <c r="P523" s="597"/>
      <c r="Q523" s="1944">
        <f t="shared" si="646"/>
        <v>4.03</v>
      </c>
      <c r="R523" s="597"/>
      <c r="S523" s="1644">
        <f t="shared" si="647"/>
        <v>85037</v>
      </c>
      <c r="T523" s="1643"/>
      <c r="U523" s="1644">
        <f t="shared" si="648"/>
        <v>0</v>
      </c>
      <c r="V523" s="1643"/>
      <c r="W523" s="1644">
        <f t="shared" si="649"/>
        <v>0</v>
      </c>
      <c r="X523" s="1643"/>
      <c r="Y523" s="1644">
        <f t="shared" si="650"/>
        <v>85037</v>
      </c>
    </row>
    <row r="524" spans="1:28">
      <c r="A524" s="1900" t="s">
        <v>1645</v>
      </c>
      <c r="C524" s="528">
        <f>'BD-Redesign'!L56</f>
        <v>2252.7326732673264</v>
      </c>
      <c r="D524" s="528">
        <f t="shared" ref="D524:D525" si="651">ROUND(C524/$C$536*$D$536,0)</f>
        <v>8990</v>
      </c>
      <c r="F524" s="1944"/>
      <c r="G524" s="597"/>
      <c r="H524" s="1644"/>
      <c r="I524" s="1644"/>
      <c r="K524" s="1944">
        <f t="shared" si="643"/>
        <v>6.34</v>
      </c>
      <c r="L524" s="597"/>
      <c r="M524" s="1944">
        <f t="shared" si="644"/>
        <v>7.0600000000000005</v>
      </c>
      <c r="N524" s="597"/>
      <c r="O524" s="1944">
        <f t="shared" si="645"/>
        <v>0</v>
      </c>
      <c r="P524" s="597"/>
      <c r="Q524" s="1944">
        <f t="shared" si="646"/>
        <v>13.4</v>
      </c>
      <c r="R524" s="597"/>
      <c r="S524" s="1644">
        <f t="shared" si="647"/>
        <v>56997</v>
      </c>
      <c r="T524" s="1645"/>
      <c r="U524" s="1644">
        <f t="shared" si="648"/>
        <v>63469</v>
      </c>
      <c r="V524" s="1645"/>
      <c r="W524" s="1644">
        <f t="shared" si="649"/>
        <v>0</v>
      </c>
      <c r="X524" s="1645"/>
      <c r="Y524" s="1644">
        <f t="shared" si="650"/>
        <v>120466</v>
      </c>
    </row>
    <row r="525" spans="1:28">
      <c r="A525" s="1900" t="s">
        <v>1646</v>
      </c>
      <c r="C525" s="528">
        <f>'BD-Redesign'!L57</f>
        <v>3034.9517326732675</v>
      </c>
      <c r="D525" s="528">
        <f t="shared" si="651"/>
        <v>12111</v>
      </c>
      <c r="F525" s="1944"/>
      <c r="G525" s="597"/>
      <c r="H525" s="1644"/>
      <c r="I525" s="1644"/>
      <c r="K525" s="1944">
        <f t="shared" si="643"/>
        <v>5.61</v>
      </c>
      <c r="L525" s="597"/>
      <c r="M525" s="1944">
        <f t="shared" si="644"/>
        <v>6.2499999999999991</v>
      </c>
      <c r="N525" s="597"/>
      <c r="O525" s="1944">
        <f t="shared" si="645"/>
        <v>0</v>
      </c>
      <c r="P525" s="597"/>
      <c r="Q525" s="1944">
        <f t="shared" si="646"/>
        <v>11.86</v>
      </c>
      <c r="R525" s="597"/>
      <c r="S525" s="1644">
        <f t="shared" si="647"/>
        <v>67943</v>
      </c>
      <c r="T525" s="1645"/>
      <c r="U525" s="1644">
        <f t="shared" si="648"/>
        <v>75694</v>
      </c>
      <c r="V525" s="1645"/>
      <c r="W525" s="1644">
        <f t="shared" si="649"/>
        <v>0</v>
      </c>
      <c r="X525" s="1645"/>
      <c r="Y525" s="1644">
        <f t="shared" si="650"/>
        <v>143636</v>
      </c>
    </row>
    <row r="526" spans="1:28">
      <c r="A526" s="1900" t="s">
        <v>1647</v>
      </c>
      <c r="C526" s="528">
        <f>'BD-Redesign'!L59</f>
        <v>378828</v>
      </c>
      <c r="D526" s="528">
        <f>D536-D527</f>
        <v>1511731.3804399925</v>
      </c>
      <c r="F526" s="1943"/>
      <c r="G526" s="1921"/>
      <c r="H526" s="1644"/>
      <c r="I526" s="1644"/>
      <c r="K526" s="1943">
        <f t="shared" si="643"/>
        <v>0</v>
      </c>
      <c r="L526" s="1921" t="s">
        <v>495</v>
      </c>
      <c r="M526" s="1943">
        <f t="shared" si="644"/>
        <v>1.6192</v>
      </c>
      <c r="N526" s="1921" t="s">
        <v>495</v>
      </c>
      <c r="O526" s="1943">
        <f t="shared" si="645"/>
        <v>2.305570240802</v>
      </c>
      <c r="P526" s="1921" t="s">
        <v>495</v>
      </c>
      <c r="Q526" s="1943">
        <f t="shared" si="646"/>
        <v>3.9247702408020002</v>
      </c>
      <c r="R526" s="1921" t="s">
        <v>495</v>
      </c>
      <c r="S526" s="1644">
        <f>ROUND($D526*K526/100,0)</f>
        <v>0</v>
      </c>
      <c r="T526" s="1648"/>
      <c r="U526" s="1644">
        <f>ROUND($D526*M526/100,0)</f>
        <v>24478</v>
      </c>
      <c r="V526" s="1648"/>
      <c r="W526" s="1644">
        <f>ROUND($D526*O526/100,0)</f>
        <v>34854</v>
      </c>
      <c r="X526" s="1648"/>
      <c r="Y526" s="1644">
        <f>ROUND($D526*Q526/100,0)</f>
        <v>59332</v>
      </c>
    </row>
    <row r="527" spans="1:28">
      <c r="A527" s="1900" t="s">
        <v>1648</v>
      </c>
      <c r="C527" s="528">
        <f>'BD-Redesign'!L60</f>
        <v>611572.5</v>
      </c>
      <c r="D527" s="528">
        <f>ROUND(C527/C536*D536,0)</f>
        <v>2440509</v>
      </c>
      <c r="F527" s="1943"/>
      <c r="G527" s="1921"/>
      <c r="H527" s="1644"/>
      <c r="I527" s="1644"/>
      <c r="K527" s="1943">
        <f t="shared" si="643"/>
        <v>0</v>
      </c>
      <c r="L527" s="1921" t="s">
        <v>495</v>
      </c>
      <c r="M527" s="1943">
        <f t="shared" si="644"/>
        <v>1.4329000000000001</v>
      </c>
      <c r="N527" s="1921" t="s">
        <v>495</v>
      </c>
      <c r="O527" s="1943">
        <f t="shared" si="645"/>
        <v>2.0403480007099999</v>
      </c>
      <c r="P527" s="1921" t="s">
        <v>495</v>
      </c>
      <c r="Q527" s="1943">
        <f t="shared" si="646"/>
        <v>3.4732480007099999</v>
      </c>
      <c r="R527" s="1921" t="s">
        <v>495</v>
      </c>
      <c r="S527" s="1644">
        <f>ROUND($D527*K527/100,0)</f>
        <v>0</v>
      </c>
      <c r="T527" s="1648"/>
      <c r="U527" s="1644">
        <f>ROUND($D527*M527/100,0)</f>
        <v>34970</v>
      </c>
      <c r="V527" s="1648"/>
      <c r="W527" s="1644">
        <f>ROUND($D527*O527/100,0)</f>
        <v>49795</v>
      </c>
      <c r="X527" s="1648"/>
      <c r="Y527" s="1644">
        <f>ROUND($D527*Q527/100,0)</f>
        <v>84765</v>
      </c>
    </row>
    <row r="528" spans="1:28">
      <c r="A528" s="1900" t="s">
        <v>196</v>
      </c>
      <c r="C528" s="528">
        <f>(C524+C525)*C859/(C859+C860)</f>
        <v>2627.3123887994552</v>
      </c>
      <c r="D528" s="528">
        <f>ROUND(C528/C536*D536,0)</f>
        <v>10484</v>
      </c>
      <c r="F528" s="1944">
        <f>F392</f>
        <v>14.62</v>
      </c>
      <c r="G528" s="597"/>
      <c r="H528" s="1644">
        <f t="shared" ref="H528:H530" si="652">ROUND($F528*C528,0)</f>
        <v>38411</v>
      </c>
      <c r="I528" s="1644">
        <f t="shared" ref="I528:I530" si="653">ROUND($F528*D528,0)</f>
        <v>153276</v>
      </c>
      <c r="K528" s="1944"/>
      <c r="L528" s="597"/>
      <c r="M528" s="1944"/>
      <c r="N528" s="597"/>
      <c r="O528" s="1944"/>
      <c r="P528" s="597"/>
      <c r="Q528" s="1944"/>
      <c r="R528" s="597"/>
      <c r="S528" s="1644"/>
      <c r="T528" s="1643"/>
      <c r="U528" s="1644"/>
      <c r="V528" s="1643"/>
      <c r="W528" s="1644"/>
      <c r="X528" s="1643"/>
      <c r="Y528" s="1644"/>
    </row>
    <row r="529" spans="1:28">
      <c r="A529" s="1900" t="s">
        <v>161</v>
      </c>
      <c r="C529" s="528">
        <f>C524+C525-C528</f>
        <v>2660.3720171411387</v>
      </c>
      <c r="D529" s="528">
        <f>ROUND(C529/C536*D536,0)</f>
        <v>10616</v>
      </c>
      <c r="F529" s="1944">
        <f>F393</f>
        <v>10.91</v>
      </c>
      <c r="G529" s="597"/>
      <c r="H529" s="1644">
        <f t="shared" si="652"/>
        <v>29025</v>
      </c>
      <c r="I529" s="1644">
        <f t="shared" si="653"/>
        <v>115821</v>
      </c>
      <c r="K529" s="1944"/>
      <c r="L529" s="597"/>
      <c r="M529" s="1944"/>
      <c r="N529" s="597"/>
      <c r="O529" s="1944"/>
      <c r="P529" s="597"/>
      <c r="Q529" s="1944"/>
      <c r="R529" s="597"/>
      <c r="S529" s="1644"/>
      <c r="T529" s="1643"/>
      <c r="U529" s="1644"/>
      <c r="V529" s="1643"/>
      <c r="W529" s="1644"/>
      <c r="X529" s="1643"/>
      <c r="Y529" s="1644"/>
    </row>
    <row r="530" spans="1:28">
      <c r="A530" s="1900" t="s">
        <v>261</v>
      </c>
      <c r="C530" s="528">
        <f>C514</f>
        <v>0</v>
      </c>
      <c r="D530" s="528">
        <f>D514</f>
        <v>0</v>
      </c>
      <c r="F530" s="1944">
        <f>F394</f>
        <v>-0.96</v>
      </c>
      <c r="G530" s="597"/>
      <c r="H530" s="1644">
        <f t="shared" si="652"/>
        <v>0</v>
      </c>
      <c r="I530" s="1644">
        <f t="shared" si="653"/>
        <v>0</v>
      </c>
      <c r="K530" s="1944">
        <f>K394</f>
        <v>-0.96</v>
      </c>
      <c r="L530" s="597"/>
      <c r="M530" s="1944">
        <f>M394</f>
        <v>0</v>
      </c>
      <c r="N530" s="597"/>
      <c r="O530" s="1944">
        <f>O394</f>
        <v>0</v>
      </c>
      <c r="P530" s="597"/>
      <c r="Q530" s="1944">
        <f>Q394</f>
        <v>-0.96</v>
      </c>
      <c r="R530" s="597"/>
      <c r="S530" s="1644">
        <f t="shared" ref="S530" si="654">ROUND($D530*K530,0)</f>
        <v>0</v>
      </c>
      <c r="T530" s="1643"/>
      <c r="U530" s="1644">
        <f t="shared" ref="U530" si="655">ROUND($D530*M530,0)</f>
        <v>0</v>
      </c>
      <c r="V530" s="1643"/>
      <c r="W530" s="1644">
        <f t="shared" ref="W530" si="656">ROUND($D530*O530,0)</f>
        <v>0</v>
      </c>
      <c r="X530" s="1643"/>
      <c r="Y530" s="1644">
        <f t="shared" ref="Y530" si="657">ROUND($D530*Q530,0)</f>
        <v>0</v>
      </c>
    </row>
    <row r="531" spans="1:28">
      <c r="A531" s="1900" t="s">
        <v>1362</v>
      </c>
      <c r="C531" s="528">
        <f>(C526+C527)*C862/(C862+C863)</f>
        <v>466945.20143776794</v>
      </c>
      <c r="D531" s="528">
        <f>ROUND(C531/C536*D536,0)</f>
        <v>1863367</v>
      </c>
      <c r="F531" s="1943">
        <f>F395</f>
        <v>3.8127</v>
      </c>
      <c r="G531" s="1921" t="s">
        <v>495</v>
      </c>
      <c r="H531" s="1644">
        <f>ROUND($F531*C531/100,0)</f>
        <v>17803</v>
      </c>
      <c r="I531" s="1644">
        <f>ROUND($F531*D531/100,0)</f>
        <v>71045</v>
      </c>
      <c r="K531" s="1943"/>
      <c r="L531" s="1921"/>
      <c r="M531" s="1943"/>
      <c r="N531" s="1921"/>
      <c r="O531" s="1943"/>
      <c r="P531" s="1921"/>
      <c r="Q531" s="1943"/>
      <c r="R531" s="1921"/>
      <c r="S531" s="1648"/>
      <c r="T531" s="1648"/>
      <c r="U531" s="1648"/>
      <c r="V531" s="1648"/>
      <c r="W531" s="1648"/>
      <c r="X531" s="1648"/>
      <c r="Y531" s="1644"/>
    </row>
    <row r="532" spans="1:28">
      <c r="A532" s="1900" t="s">
        <v>1363</v>
      </c>
      <c r="C532" s="528">
        <f>C526+C527-C531</f>
        <v>523455.29856223206</v>
      </c>
      <c r="D532" s="528">
        <f>D536-D531</f>
        <v>2088873.3804399925</v>
      </c>
      <c r="F532" s="1943">
        <f>F396</f>
        <v>3.5143</v>
      </c>
      <c r="G532" s="1921" t="s">
        <v>495</v>
      </c>
      <c r="H532" s="1644">
        <f>ROUND($F532*C532/100,0)</f>
        <v>18396</v>
      </c>
      <c r="I532" s="1644">
        <f>ROUND($F532*D532/100,0)</f>
        <v>73409</v>
      </c>
      <c r="K532" s="1943"/>
      <c r="L532" s="1921"/>
      <c r="M532" s="1943"/>
      <c r="N532" s="1921"/>
      <c r="O532" s="1943"/>
      <c r="P532" s="1921"/>
      <c r="Q532" s="1943"/>
      <c r="R532" s="1921"/>
      <c r="S532" s="1648"/>
      <c r="T532" s="1648"/>
      <c r="U532" s="1648"/>
      <c r="V532" s="1648"/>
      <c r="W532" s="1648"/>
      <c r="X532" s="1648"/>
      <c r="Y532" s="1644"/>
    </row>
    <row r="533" spans="1:28">
      <c r="A533" s="1900" t="s">
        <v>246</v>
      </c>
      <c r="C533" s="529">
        <v>0</v>
      </c>
      <c r="D533" s="529">
        <v>0</v>
      </c>
      <c r="H533" s="1030">
        <v>0</v>
      </c>
      <c r="I533" s="1030">
        <v>0</v>
      </c>
      <c r="Y533" s="1030"/>
    </row>
    <row r="534" spans="1:28">
      <c r="A534" s="1900" t="s">
        <v>1240</v>
      </c>
      <c r="C534" s="584"/>
      <c r="D534" s="584"/>
      <c r="F534" s="1930">
        <f t="shared" ref="F534" si="658">F398</f>
        <v>-3.61E-2</v>
      </c>
      <c r="G534" s="597"/>
      <c r="H534" s="1644">
        <f>SUM(H528:H529,H531:H532)*$F534</f>
        <v>-3741.2235000000001</v>
      </c>
      <c r="I534" s="1644">
        <f>SUM(I528:I529,I531:I532)*$F534</f>
        <v>-14929.1911</v>
      </c>
      <c r="K534" s="1930"/>
      <c r="L534" s="597"/>
      <c r="M534" s="1930"/>
      <c r="N534" s="597"/>
      <c r="O534" s="1931" t="str">
        <f>$O$43</f>
        <v>Tax Year 1 (7/1/2021)</v>
      </c>
      <c r="P534" s="597"/>
      <c r="Q534" s="1930">
        <f>$Q$687</f>
        <v>-2.76E-2</v>
      </c>
      <c r="R534" s="597"/>
      <c r="S534" s="1645"/>
      <c r="T534" s="1645"/>
      <c r="U534" s="1645"/>
      <c r="V534" s="1645"/>
      <c r="W534" s="1645"/>
      <c r="X534" s="1645"/>
      <c r="Y534" s="1644">
        <f>Q534*SUM(Y524:Y527)</f>
        <v>-11266.2924</v>
      </c>
    </row>
    <row r="535" spans="1:28">
      <c r="A535" s="1900"/>
      <c r="C535" s="584"/>
      <c r="D535" s="584"/>
      <c r="F535" s="1930"/>
      <c r="G535" s="597"/>
      <c r="H535" s="1644"/>
      <c r="I535" s="1644"/>
      <c r="K535" s="1930"/>
      <c r="L535" s="597"/>
      <c r="M535" s="1930"/>
      <c r="N535" s="597"/>
      <c r="O535" s="1931" t="str">
        <f>$O$44</f>
        <v>Tax Year 2 (1/1/2022)</v>
      </c>
      <c r="P535" s="597"/>
      <c r="Q535" s="1930">
        <f>$Q$688</f>
        <v>-1.4999999999999999E-2</v>
      </c>
      <c r="R535" s="597"/>
      <c r="S535" s="1645"/>
      <c r="T535" s="1645"/>
      <c r="U535" s="1645"/>
      <c r="V535" s="1645"/>
      <c r="W535" s="1645"/>
      <c r="X535" s="1645"/>
      <c r="Y535" s="1644">
        <f>Q535*SUM(Y524:Y527)</f>
        <v>-6122.9849999999997</v>
      </c>
    </row>
    <row r="536" spans="1:28" ht="16.5" thickBot="1">
      <c r="A536" s="1900" t="s">
        <v>247</v>
      </c>
      <c r="C536" s="1949">
        <f>SUM(C531:C533)</f>
        <v>990400.5</v>
      </c>
      <c r="D536" s="1949">
        <f>C536*D867/C867</f>
        <v>3952240.3804399925</v>
      </c>
      <c r="F536" s="1939"/>
      <c r="H536" s="1647">
        <f>SUM(H520:H534)</f>
        <v>124264.77650000001</v>
      </c>
      <c r="I536" s="1647">
        <f>SUM(I520:I534)</f>
        <v>492393.8089</v>
      </c>
      <c r="K536" s="1939"/>
      <c r="M536" s="1939"/>
      <c r="O536" s="1939"/>
      <c r="Q536" s="1939"/>
      <c r="S536" s="1647">
        <f>SUM(S520:S533)</f>
        <v>218501</v>
      </c>
      <c r="U536" s="1647">
        <f>SUM(U520:U533)</f>
        <v>198611</v>
      </c>
      <c r="W536" s="1647">
        <f>SUM(W520:W533)</f>
        <v>84649</v>
      </c>
      <c r="Y536" s="1647">
        <f>SUM(Y520:Y533)</f>
        <v>501760</v>
      </c>
      <c r="AA536" s="1104" t="s">
        <v>1743</v>
      </c>
      <c r="AB536" s="1890">
        <f>Y536/I536-1</f>
        <v>1.9021748305332986E-2</v>
      </c>
    </row>
    <row r="538" spans="1:28">
      <c r="A538" s="1897" t="s">
        <v>1925</v>
      </c>
      <c r="C538" s="528"/>
      <c r="D538" s="528"/>
      <c r="E538" s="597"/>
      <c r="J538" s="597"/>
    </row>
    <row r="539" spans="1:28">
      <c r="A539" s="1900" t="s">
        <v>240</v>
      </c>
      <c r="C539" s="528">
        <f t="shared" ref="C539:D549" si="659">C572+C605+C638</f>
        <v>63</v>
      </c>
      <c r="D539" s="528">
        <f t="shared" si="659"/>
        <v>69.151622418879057</v>
      </c>
      <c r="F539" s="1901"/>
      <c r="G539" s="1902"/>
      <c r="H539" s="1644"/>
      <c r="I539" s="1644"/>
      <c r="K539" s="1901">
        <f>K969</f>
        <v>54</v>
      </c>
      <c r="L539" s="1902"/>
      <c r="M539" s="1901">
        <f>M969</f>
        <v>0</v>
      </c>
      <c r="N539" s="1902"/>
      <c r="O539" s="1901">
        <f>O969</f>
        <v>0</v>
      </c>
      <c r="P539" s="1902"/>
      <c r="Q539" s="1901">
        <f>Q969</f>
        <v>54</v>
      </c>
      <c r="R539" s="1902"/>
      <c r="S539" s="1644">
        <f>ROUND($D539*K539,0)</f>
        <v>3734</v>
      </c>
      <c r="T539" s="1643"/>
      <c r="U539" s="1644">
        <f>ROUND($D539*M539,0)</f>
        <v>0</v>
      </c>
      <c r="V539" s="1643"/>
      <c r="W539" s="1644">
        <f>ROUND($D539*O539,0)</f>
        <v>0</v>
      </c>
      <c r="X539" s="1643"/>
      <c r="Y539" s="1644">
        <f>ROUND($D539*Q539,0)</f>
        <v>3734</v>
      </c>
      <c r="AA539" s="1109"/>
      <c r="AB539" s="1114"/>
    </row>
    <row r="540" spans="1:28">
      <c r="A540" s="1900" t="s">
        <v>1910</v>
      </c>
      <c r="C540" s="528">
        <f t="shared" si="659"/>
        <v>22414.5</v>
      </c>
      <c r="D540" s="528">
        <f t="shared" si="659"/>
        <v>23181.405554894285</v>
      </c>
      <c r="E540" s="597"/>
      <c r="F540" s="1942"/>
      <c r="G540" s="1921"/>
      <c r="H540" s="1644"/>
      <c r="I540" s="1644"/>
      <c r="J540" s="597"/>
      <c r="K540" s="1942">
        <f>K961</f>
        <v>3.9525000000000001</v>
      </c>
      <c r="L540" s="1921" t="s">
        <v>495</v>
      </c>
      <c r="M540" s="1942">
        <f>M961</f>
        <v>17.075028114911813</v>
      </c>
      <c r="N540" s="1921" t="s">
        <v>495</v>
      </c>
      <c r="O540" s="1942">
        <f>O961</f>
        <v>1.3496999999999999</v>
      </c>
      <c r="P540" s="1921" t="s">
        <v>495</v>
      </c>
      <c r="Q540" s="1942">
        <f>Q961</f>
        <v>22.377228114911812</v>
      </c>
      <c r="R540" s="1921" t="s">
        <v>495</v>
      </c>
      <c r="S540" s="1644">
        <f>ROUND($D540*K540/100,0)</f>
        <v>916</v>
      </c>
      <c r="T540" s="1648"/>
      <c r="U540" s="1644">
        <f>ROUND($D540*M540/100,0)</f>
        <v>3958</v>
      </c>
      <c r="V540" s="1648"/>
      <c r="W540" s="1644">
        <f>ROUND($D540*O540/100,0)</f>
        <v>313</v>
      </c>
      <c r="X540" s="1648"/>
      <c r="Y540" s="1644">
        <f>ROUND($D540*Q540/100,0)</f>
        <v>5187</v>
      </c>
      <c r="AA540" s="596"/>
      <c r="AB540" s="596"/>
    </row>
    <row r="541" spans="1:28">
      <c r="A541" s="1900" t="s">
        <v>1911</v>
      </c>
      <c r="C541" s="528">
        <f t="shared" si="659"/>
        <v>29653.5</v>
      </c>
      <c r="D541" s="528">
        <f t="shared" si="659"/>
        <v>32182.25158153542</v>
      </c>
      <c r="E541" s="597"/>
      <c r="F541" s="1942"/>
      <c r="G541" s="1921"/>
      <c r="H541" s="1644"/>
      <c r="I541" s="1644"/>
      <c r="J541" s="597"/>
      <c r="K541" s="1942">
        <f t="shared" ref="K541" si="660">K962</f>
        <v>3.9525000000000001</v>
      </c>
      <c r="L541" s="1921" t="s">
        <v>495</v>
      </c>
      <c r="M541" s="1942">
        <f t="shared" ref="M541" si="661">M962</f>
        <v>-0.91518271744099966</v>
      </c>
      <c r="N541" s="1921" t="s">
        <v>495</v>
      </c>
      <c r="O541" s="1942">
        <f t="shared" ref="O541" si="662">O962</f>
        <v>1.3496999999999999</v>
      </c>
      <c r="P541" s="1921" t="s">
        <v>495</v>
      </c>
      <c r="Q541" s="1942">
        <f t="shared" ref="Q541:Q547" si="663">Q962</f>
        <v>4.3870172825590004</v>
      </c>
      <c r="R541" s="1921" t="s">
        <v>495</v>
      </c>
      <c r="S541" s="1644">
        <f t="shared" ref="S541:S547" si="664">ROUND($D541*K541/100,0)</f>
        <v>1272</v>
      </c>
      <c r="T541" s="1648"/>
      <c r="U541" s="1644">
        <f t="shared" ref="U541:U547" si="665">ROUND($D541*M541/100,0)</f>
        <v>-295</v>
      </c>
      <c r="V541" s="1648"/>
      <c r="W541" s="1644">
        <f t="shared" ref="W541:W547" si="666">ROUND($D541*O541/100,0)</f>
        <v>434</v>
      </c>
      <c r="X541" s="1648"/>
      <c r="Y541" s="1644">
        <f t="shared" ref="Y541:Y547" si="667">ROUND($D541*Q541/100,0)</f>
        <v>1412</v>
      </c>
      <c r="AA541" s="596"/>
      <c r="AB541" s="596"/>
    </row>
    <row r="542" spans="1:28">
      <c r="A542" s="1900" t="s">
        <v>1912</v>
      </c>
      <c r="C542" s="528">
        <f t="shared" si="659"/>
        <v>49842</v>
      </c>
      <c r="D542" s="528">
        <f t="shared" si="659"/>
        <v>59234.229549653035</v>
      </c>
      <c r="E542" s="597"/>
      <c r="F542" s="1942"/>
      <c r="G542" s="1921"/>
      <c r="H542" s="1644"/>
      <c r="I542" s="1644"/>
      <c r="J542" s="597"/>
      <c r="K542" s="1942">
        <f t="shared" ref="K542" si="668">K963</f>
        <v>3.9525000000000001</v>
      </c>
      <c r="L542" s="1921" t="s">
        <v>495</v>
      </c>
      <c r="M542" s="1942">
        <f t="shared" ref="M542" si="669">M963</f>
        <v>14.656000000000001</v>
      </c>
      <c r="N542" s="1921" t="s">
        <v>495</v>
      </c>
      <c r="O542" s="1942">
        <f t="shared" ref="O542" si="670">O963</f>
        <v>1.1943999999999999</v>
      </c>
      <c r="P542" s="1921" t="s">
        <v>495</v>
      </c>
      <c r="Q542" s="1942">
        <f t="shared" si="663"/>
        <v>19.802900000000001</v>
      </c>
      <c r="R542" s="1921" t="s">
        <v>495</v>
      </c>
      <c r="S542" s="1644">
        <f t="shared" si="664"/>
        <v>2341</v>
      </c>
      <c r="T542" s="1648"/>
      <c r="U542" s="1644">
        <f t="shared" si="665"/>
        <v>8681</v>
      </c>
      <c r="V542" s="1648"/>
      <c r="W542" s="1644">
        <f t="shared" si="666"/>
        <v>707</v>
      </c>
      <c r="X542" s="1648"/>
      <c r="Y542" s="1644">
        <f t="shared" si="667"/>
        <v>11730</v>
      </c>
      <c r="AA542" s="596"/>
      <c r="AB542" s="596"/>
    </row>
    <row r="543" spans="1:28">
      <c r="A543" s="1900" t="s">
        <v>1913</v>
      </c>
      <c r="C543" s="528">
        <f t="shared" si="659"/>
        <v>25704.5</v>
      </c>
      <c r="D543" s="528">
        <f t="shared" si="659"/>
        <v>26202.396718020587</v>
      </c>
      <c r="E543" s="597"/>
      <c r="F543" s="1942"/>
      <c r="G543" s="1921"/>
      <c r="H543" s="1644"/>
      <c r="I543" s="1644"/>
      <c r="J543" s="597"/>
      <c r="K543" s="1942">
        <f t="shared" ref="K543" si="671">K964</f>
        <v>3.9525000000000001</v>
      </c>
      <c r="L543" s="1921" t="s">
        <v>495</v>
      </c>
      <c r="M543" s="1942">
        <f t="shared" ref="M543" si="672">M964</f>
        <v>-1.2646000000000002</v>
      </c>
      <c r="N543" s="1921" t="s">
        <v>495</v>
      </c>
      <c r="O543" s="1942">
        <f t="shared" ref="O543" si="673">O964</f>
        <v>1.1943999999999999</v>
      </c>
      <c r="P543" s="1921" t="s">
        <v>495</v>
      </c>
      <c r="Q543" s="1942">
        <f t="shared" si="663"/>
        <v>3.8822999999999999</v>
      </c>
      <c r="R543" s="1921" t="s">
        <v>495</v>
      </c>
      <c r="S543" s="1644">
        <f t="shared" si="664"/>
        <v>1036</v>
      </c>
      <c r="T543" s="1648"/>
      <c r="U543" s="1644">
        <f t="shared" si="665"/>
        <v>-331</v>
      </c>
      <c r="V543" s="1648"/>
      <c r="W543" s="1644">
        <f t="shared" si="666"/>
        <v>313</v>
      </c>
      <c r="X543" s="1648"/>
      <c r="Y543" s="1644">
        <f t="shared" si="667"/>
        <v>1017</v>
      </c>
      <c r="AA543" s="596"/>
      <c r="AB543" s="596"/>
    </row>
    <row r="544" spans="1:28">
      <c r="A544" s="1900" t="s">
        <v>1906</v>
      </c>
      <c r="C544" s="528">
        <f t="shared" si="659"/>
        <v>28915.990030965484</v>
      </c>
      <c r="D544" s="528">
        <f t="shared" si="659"/>
        <v>30746.234881977271</v>
      </c>
      <c r="E544" s="597"/>
      <c r="F544" s="1942"/>
      <c r="G544" s="1921"/>
      <c r="H544" s="1644"/>
      <c r="I544" s="1644"/>
      <c r="J544" s="597"/>
      <c r="K544" s="1942">
        <f t="shared" ref="K544" si="674">K965</f>
        <v>0</v>
      </c>
      <c r="L544" s="1921" t="s">
        <v>495</v>
      </c>
      <c r="M544" s="1942">
        <f t="shared" ref="M544" si="675">M965</f>
        <v>0</v>
      </c>
      <c r="N544" s="1921" t="s">
        <v>495</v>
      </c>
      <c r="O544" s="1942">
        <f t="shared" ref="O544" si="676">O965</f>
        <v>6</v>
      </c>
      <c r="P544" s="1921" t="s">
        <v>495</v>
      </c>
      <c r="Q544" s="1942">
        <f t="shared" si="663"/>
        <v>6</v>
      </c>
      <c r="R544" s="1921" t="s">
        <v>495</v>
      </c>
      <c r="S544" s="1644">
        <f t="shared" si="664"/>
        <v>0</v>
      </c>
      <c r="T544" s="1648"/>
      <c r="U544" s="1644">
        <f t="shared" si="665"/>
        <v>0</v>
      </c>
      <c r="V544" s="1648"/>
      <c r="W544" s="1644">
        <f t="shared" si="666"/>
        <v>1845</v>
      </c>
      <c r="X544" s="1648"/>
      <c r="Y544" s="1644">
        <f t="shared" si="667"/>
        <v>1845</v>
      </c>
      <c r="AA544" s="596"/>
      <c r="AB544" s="596"/>
    </row>
    <row r="545" spans="1:28">
      <c r="A545" s="1900" t="s">
        <v>1907</v>
      </c>
      <c r="C545" s="528">
        <f t="shared" si="659"/>
        <v>23152.009969034516</v>
      </c>
      <c r="D545" s="528">
        <f t="shared" si="659"/>
        <v>24617.422254452438</v>
      </c>
      <c r="E545" s="597"/>
      <c r="F545" s="1942"/>
      <c r="G545" s="1921"/>
      <c r="H545" s="1644"/>
      <c r="I545" s="1644"/>
      <c r="J545" s="597"/>
      <c r="K545" s="1942">
        <f t="shared" ref="K545" si="677">K966</f>
        <v>0</v>
      </c>
      <c r="L545" s="1921" t="s">
        <v>495</v>
      </c>
      <c r="M545" s="1942">
        <f t="shared" ref="M545" si="678">M966</f>
        <v>0</v>
      </c>
      <c r="N545" s="1921" t="s">
        <v>495</v>
      </c>
      <c r="O545" s="1942">
        <f t="shared" ref="O545" si="679">O966</f>
        <v>-2.3358000000000008</v>
      </c>
      <c r="P545" s="1921" t="s">
        <v>495</v>
      </c>
      <c r="Q545" s="1942">
        <f t="shared" si="663"/>
        <v>-2.3358000000000008</v>
      </c>
      <c r="R545" s="1921" t="s">
        <v>495</v>
      </c>
      <c r="S545" s="1644">
        <f t="shared" si="664"/>
        <v>0</v>
      </c>
      <c r="T545" s="1648"/>
      <c r="U545" s="1644">
        <f t="shared" si="665"/>
        <v>0</v>
      </c>
      <c r="V545" s="1648"/>
      <c r="W545" s="1644">
        <f t="shared" si="666"/>
        <v>-575</v>
      </c>
      <c r="X545" s="1648"/>
      <c r="Y545" s="1644">
        <f t="shared" si="667"/>
        <v>-575</v>
      </c>
      <c r="AA545" s="596"/>
      <c r="AB545" s="596"/>
    </row>
    <row r="546" spans="1:28">
      <c r="A546" s="1900" t="s">
        <v>1908</v>
      </c>
      <c r="C546" s="528">
        <f t="shared" si="659"/>
        <v>41954.78683403114</v>
      </c>
      <c r="D546" s="528">
        <f t="shared" si="659"/>
        <v>47447.273439259698</v>
      </c>
      <c r="E546" s="597"/>
      <c r="F546" s="1942"/>
      <c r="G546" s="1921"/>
      <c r="H546" s="1644"/>
      <c r="I546" s="1644"/>
      <c r="J546" s="597"/>
      <c r="K546" s="1942">
        <f t="shared" ref="K546" si="680">K967</f>
        <v>0</v>
      </c>
      <c r="L546" s="1921" t="s">
        <v>495</v>
      </c>
      <c r="M546" s="1942">
        <f t="shared" ref="M546" si="681">M967</f>
        <v>0</v>
      </c>
      <c r="N546" s="1921" t="s">
        <v>495</v>
      </c>
      <c r="O546" s="1942">
        <f t="shared" ref="O546" si="682">O967</f>
        <v>5.3097000000000003</v>
      </c>
      <c r="P546" s="1921" t="s">
        <v>495</v>
      </c>
      <c r="Q546" s="1942">
        <f t="shared" si="663"/>
        <v>5.3097000000000003</v>
      </c>
      <c r="R546" s="1921" t="s">
        <v>495</v>
      </c>
      <c r="S546" s="1644">
        <f t="shared" si="664"/>
        <v>0</v>
      </c>
      <c r="T546" s="1648"/>
      <c r="U546" s="1644">
        <f t="shared" si="665"/>
        <v>0</v>
      </c>
      <c r="V546" s="1648"/>
      <c r="W546" s="1644">
        <f t="shared" si="666"/>
        <v>2519</v>
      </c>
      <c r="X546" s="1648"/>
      <c r="Y546" s="1644">
        <f t="shared" si="667"/>
        <v>2519</v>
      </c>
      <c r="AA546" s="596"/>
      <c r="AB546" s="596"/>
    </row>
    <row r="547" spans="1:28">
      <c r="A547" s="1900" t="s">
        <v>1909</v>
      </c>
      <c r="C547" s="528">
        <f t="shared" si="659"/>
        <v>33591.713165968853</v>
      </c>
      <c r="D547" s="528">
        <f t="shared" si="659"/>
        <v>37989.352828413917</v>
      </c>
      <c r="E547" s="597"/>
      <c r="F547" s="1942"/>
      <c r="G547" s="1921"/>
      <c r="H547" s="1644"/>
      <c r="I547" s="1644"/>
      <c r="J547" s="597"/>
      <c r="K547" s="1942">
        <f t="shared" ref="K547" si="683">K968</f>
        <v>0</v>
      </c>
      <c r="L547" s="1921" t="s">
        <v>495</v>
      </c>
      <c r="M547" s="1942">
        <f t="shared" ref="M547" si="684">M968</f>
        <v>0</v>
      </c>
      <c r="N547" s="1921" t="s">
        <v>495</v>
      </c>
      <c r="O547" s="1942">
        <f t="shared" ref="O547" si="685">O968</f>
        <v>-2.0670999999999999</v>
      </c>
      <c r="P547" s="1921" t="s">
        <v>495</v>
      </c>
      <c r="Q547" s="1942">
        <f t="shared" si="663"/>
        <v>-2.0670999999999999</v>
      </c>
      <c r="R547" s="1921" t="s">
        <v>495</v>
      </c>
      <c r="S547" s="1644">
        <f t="shared" si="664"/>
        <v>0</v>
      </c>
      <c r="T547" s="1648"/>
      <c r="U547" s="1644">
        <f t="shared" si="665"/>
        <v>0</v>
      </c>
      <c r="V547" s="1648"/>
      <c r="W547" s="1644">
        <f t="shared" si="666"/>
        <v>-785</v>
      </c>
      <c r="X547" s="1648"/>
      <c r="Y547" s="1644">
        <f t="shared" si="667"/>
        <v>-785</v>
      </c>
      <c r="AA547" s="596"/>
      <c r="AB547" s="596"/>
    </row>
    <row r="548" spans="1:28">
      <c r="A548" s="1900" t="s">
        <v>261</v>
      </c>
      <c r="C548" s="528">
        <f t="shared" si="659"/>
        <v>0</v>
      </c>
      <c r="D548" s="528">
        <f t="shared" si="659"/>
        <v>0</v>
      </c>
      <c r="F548" s="1901"/>
      <c r="G548" s="1902"/>
      <c r="H548" s="1644"/>
      <c r="I548" s="1644"/>
      <c r="K548" s="1901">
        <f>K996</f>
        <v>-0.61</v>
      </c>
      <c r="L548" s="1902"/>
      <c r="M548" s="1901">
        <f>M996</f>
        <v>0</v>
      </c>
      <c r="N548" s="1902"/>
      <c r="O548" s="1901">
        <f>O996</f>
        <v>0</v>
      </c>
      <c r="P548" s="1902"/>
      <c r="Q548" s="1901">
        <f>Q996</f>
        <v>-0.61</v>
      </c>
      <c r="R548" s="1902"/>
      <c r="S548" s="1644">
        <f>ROUND($D548*K548,0)</f>
        <v>0</v>
      </c>
      <c r="T548" s="1643"/>
      <c r="U548" s="1644">
        <f>ROUND($D548*M548,0)</f>
        <v>0</v>
      </c>
      <c r="V548" s="1643"/>
      <c r="W548" s="1644">
        <f>ROUND($D548*O548,0)</f>
        <v>0</v>
      </c>
      <c r="X548" s="1643"/>
      <c r="Y548" s="1644">
        <f>ROUND($D548*Q548,0)</f>
        <v>0</v>
      </c>
      <c r="AA548" s="596"/>
      <c r="AB548" s="596"/>
    </row>
    <row r="549" spans="1:28">
      <c r="A549" s="1116" t="s">
        <v>1158</v>
      </c>
      <c r="C549" s="528">
        <f t="shared" si="659"/>
        <v>0</v>
      </c>
      <c r="D549" s="528">
        <f t="shared" si="659"/>
        <v>0</v>
      </c>
      <c r="F549" s="1943"/>
      <c r="G549" s="1921"/>
      <c r="H549" s="1644"/>
      <c r="I549" s="1644"/>
      <c r="K549" s="1943">
        <f>K1001</f>
        <v>0</v>
      </c>
      <c r="L549" s="1921" t="s">
        <v>495</v>
      </c>
      <c r="M549" s="1943">
        <f>M1001</f>
        <v>7.125</v>
      </c>
      <c r="N549" s="1921" t="s">
        <v>495</v>
      </c>
      <c r="O549" s="1943">
        <f>O1001</f>
        <v>0</v>
      </c>
      <c r="P549" s="1921" t="s">
        <v>495</v>
      </c>
      <c r="Q549" s="1943">
        <f>Q1001</f>
        <v>7.125</v>
      </c>
      <c r="R549" s="1921" t="s">
        <v>495</v>
      </c>
      <c r="S549" s="1644">
        <f>ROUND($D549*K549/100,0)</f>
        <v>0</v>
      </c>
      <c r="T549" s="1648"/>
      <c r="U549" s="1644">
        <f>ROUND($D549*M549/100,0)</f>
        <v>0</v>
      </c>
      <c r="V549" s="1648"/>
      <c r="W549" s="1644">
        <f>ROUND($D549*O549/100,0)</f>
        <v>0</v>
      </c>
      <c r="X549" s="1648"/>
      <c r="Y549" s="1644">
        <f>ROUND($D549*Q549/100,0)</f>
        <v>0</v>
      </c>
      <c r="AA549" s="1109"/>
      <c r="AB549" s="1114"/>
    </row>
    <row r="550" spans="1:28">
      <c r="A550" s="1900" t="s">
        <v>1240</v>
      </c>
      <c r="C550" s="584"/>
      <c r="D550" s="584"/>
      <c r="F550" s="1930"/>
      <c r="G550" s="597"/>
      <c r="H550" s="1644"/>
      <c r="I550" s="1644"/>
      <c r="K550" s="1930"/>
      <c r="L550" s="597"/>
      <c r="M550" s="1930"/>
      <c r="N550" s="597"/>
      <c r="O550" s="1931" t="str">
        <f>$O$43</f>
        <v>Tax Year 1 (7/1/2021)</v>
      </c>
      <c r="P550" s="597"/>
      <c r="Q550" s="1930">
        <f>$Q$979</f>
        <v>-3.0599999999999999E-2</v>
      </c>
      <c r="R550" s="597"/>
      <c r="S550" s="1645"/>
      <c r="T550" s="1645"/>
      <c r="U550" s="1645"/>
      <c r="V550" s="1645"/>
      <c r="W550" s="1645"/>
      <c r="X550" s="1645"/>
      <c r="Y550" s="1644">
        <f>Q550*SUM(Y540:Y543,Y549)</f>
        <v>-591.98759999999993</v>
      </c>
    </row>
    <row r="551" spans="1:28">
      <c r="A551" s="1900"/>
      <c r="C551" s="584"/>
      <c r="D551" s="584"/>
      <c r="F551" s="1930"/>
      <c r="G551" s="597"/>
      <c r="H551" s="1644"/>
      <c r="I551" s="1644"/>
      <c r="K551" s="1930"/>
      <c r="L551" s="597"/>
      <c r="M551" s="1930"/>
      <c r="N551" s="597"/>
      <c r="O551" s="1931" t="str">
        <f>$O$44</f>
        <v>Tax Year 2 (1/1/2022)</v>
      </c>
      <c r="P551" s="597"/>
      <c r="Q551" s="1930">
        <f>$Q$980</f>
        <v>-1.66E-2</v>
      </c>
      <c r="R551" s="597"/>
      <c r="S551" s="1645"/>
      <c r="T551" s="1645"/>
      <c r="U551" s="1645"/>
      <c r="V551" s="1645"/>
      <c r="W551" s="1645"/>
      <c r="X551" s="1645"/>
      <c r="Y551" s="1644">
        <f>Q551*SUM(Y540:Y543,Y549)</f>
        <v>-321.14359999999999</v>
      </c>
    </row>
    <row r="552" spans="1:28">
      <c r="A552" s="1900" t="s">
        <v>1923</v>
      </c>
      <c r="C552" s="528">
        <f>SUM(C544:C547,C549)</f>
        <v>127614.5</v>
      </c>
      <c r="D552" s="528">
        <f>SUM(D544:D547,D549)</f>
        <v>140800.28340410333</v>
      </c>
      <c r="F552" s="1901"/>
      <c r="G552" s="1902"/>
      <c r="H552" s="1644"/>
      <c r="I552" s="1644"/>
      <c r="K552" s="1901"/>
      <c r="L552" s="1902"/>
      <c r="M552" s="1901"/>
      <c r="N552" s="1902"/>
      <c r="O552" s="1901"/>
      <c r="P552" s="1902"/>
      <c r="Q552" s="1901"/>
      <c r="R552" s="1902"/>
      <c r="S552" s="1644">
        <f>SUM(S539:S549)</f>
        <v>9299</v>
      </c>
      <c r="T552" s="1643"/>
      <c r="U552" s="1644">
        <f>SUM(U539:U549)</f>
        <v>12013</v>
      </c>
      <c r="V552" s="1643"/>
      <c r="W552" s="1644">
        <f>SUM(W539:W549)</f>
        <v>4771</v>
      </c>
      <c r="X552" s="1643"/>
      <c r="Y552" s="1644">
        <f>SUM(Y539:Y549)</f>
        <v>26084</v>
      </c>
      <c r="AA552" s="1109" t="s">
        <v>1743</v>
      </c>
      <c r="AB552" s="1499">
        <f>Y552/Y569-1</f>
        <v>-0.52185071124798355</v>
      </c>
    </row>
    <row r="553" spans="1:28">
      <c r="A553" s="1900"/>
      <c r="C553" s="528"/>
      <c r="D553" s="528"/>
      <c r="F553" s="1901"/>
      <c r="G553" s="1902"/>
      <c r="H553" s="1644"/>
      <c r="I553" s="1644"/>
      <c r="K553" s="1901"/>
      <c r="L553" s="1902"/>
      <c r="M553" s="1901"/>
      <c r="N553" s="1902"/>
      <c r="O553" s="1901"/>
      <c r="P553" s="1902"/>
      <c r="Q553" s="1901"/>
      <c r="R553" s="1902"/>
      <c r="S553" s="1643"/>
      <c r="T553" s="1643"/>
      <c r="U553" s="1643"/>
      <c r="V553" s="1643"/>
      <c r="W553" s="1643"/>
      <c r="X553" s="1643"/>
      <c r="Y553" s="1644"/>
      <c r="AA553" s="1109"/>
      <c r="AB553" s="1114"/>
    </row>
    <row r="554" spans="1:28">
      <c r="A554" s="1900" t="s">
        <v>240</v>
      </c>
      <c r="C554" s="528">
        <f t="shared" ref="C554" si="686">C587+C620+C653</f>
        <v>63</v>
      </c>
      <c r="D554" s="528">
        <f t="shared" ref="D554" si="687">D587+D620+D653</f>
        <v>69.151622418879057</v>
      </c>
      <c r="F554" s="1901">
        <f>F889</f>
        <v>54</v>
      </c>
      <c r="G554" s="1902"/>
      <c r="H554" s="1644">
        <f t="shared" ref="H554:H555" si="688">ROUND($F554*C554,0)</f>
        <v>3402</v>
      </c>
      <c r="I554" s="1644">
        <f t="shared" ref="I554:I555" si="689">ROUND($F554*D554,0)</f>
        <v>3734</v>
      </c>
      <c r="K554" s="1901">
        <f>K889</f>
        <v>54</v>
      </c>
      <c r="L554" s="1902"/>
      <c r="M554" s="1901">
        <f>M889</f>
        <v>0</v>
      </c>
      <c r="N554" s="1902"/>
      <c r="O554" s="1901">
        <f>O889</f>
        <v>0</v>
      </c>
      <c r="P554" s="1902"/>
      <c r="Q554" s="1901">
        <f>Q889</f>
        <v>54</v>
      </c>
      <c r="R554" s="1902"/>
      <c r="S554" s="1644">
        <f t="shared" ref="S554:S558" si="690">ROUND($D554*K554,0)</f>
        <v>3734</v>
      </c>
      <c r="T554" s="1643"/>
      <c r="U554" s="1644">
        <f t="shared" ref="U554:U558" si="691">ROUND($D554*M554,0)</f>
        <v>0</v>
      </c>
      <c r="V554" s="1643"/>
      <c r="W554" s="1644">
        <f t="shared" ref="W554:W558" si="692">ROUND($D554*O554,0)</f>
        <v>0</v>
      </c>
      <c r="X554" s="1643"/>
      <c r="Y554" s="1644">
        <f t="shared" ref="Y554:Y558" si="693">ROUND($D554*Q554,0)</f>
        <v>3734</v>
      </c>
    </row>
    <row r="555" spans="1:28">
      <c r="A555" s="1900" t="s">
        <v>262</v>
      </c>
      <c r="C555" s="528">
        <f t="shared" ref="C555" si="694">C588+C621+C654</f>
        <v>0</v>
      </c>
      <c r="D555" s="528">
        <f t="shared" ref="D555" si="695">D588+D621+D654</f>
        <v>0</v>
      </c>
      <c r="E555" s="597"/>
      <c r="F555" s="1901">
        <f>F890</f>
        <v>648</v>
      </c>
      <c r="G555" s="1902"/>
      <c r="H555" s="1644">
        <f t="shared" si="688"/>
        <v>0</v>
      </c>
      <c r="I555" s="1644">
        <f t="shared" si="689"/>
        <v>0</v>
      </c>
      <c r="J555" s="597"/>
      <c r="K555" s="1901">
        <f>K890</f>
        <v>648</v>
      </c>
      <c r="L555" s="1902"/>
      <c r="M555" s="1901">
        <f>M890</f>
        <v>0</v>
      </c>
      <c r="N555" s="1902"/>
      <c r="O555" s="1901">
        <f>O890</f>
        <v>0</v>
      </c>
      <c r="P555" s="1902"/>
      <c r="Q555" s="1901">
        <f>Q890</f>
        <v>648</v>
      </c>
      <c r="R555" s="1902"/>
      <c r="S555" s="1644">
        <f t="shared" si="690"/>
        <v>0</v>
      </c>
      <c r="T555" s="1645"/>
      <c r="U555" s="1644">
        <f t="shared" si="691"/>
        <v>0</v>
      </c>
      <c r="V555" s="1645"/>
      <c r="W555" s="1644">
        <f t="shared" si="692"/>
        <v>0</v>
      </c>
      <c r="X555" s="1645"/>
      <c r="Y555" s="1644">
        <f t="shared" si="693"/>
        <v>0</v>
      </c>
    </row>
    <row r="556" spans="1:28">
      <c r="A556" s="1900" t="s">
        <v>168</v>
      </c>
      <c r="C556" s="528">
        <f t="shared" ref="C556" si="696">C589+C622+C655</f>
        <v>2545.5</v>
      </c>
      <c r="D556" s="528">
        <f t="shared" ref="D556" si="697">D589+D622+D655</f>
        <v>2794</v>
      </c>
      <c r="F556" s="1901">
        <f>F891</f>
        <v>4.04</v>
      </c>
      <c r="G556" s="1902"/>
      <c r="H556" s="1644">
        <f>ROUND($F556*C556,0)</f>
        <v>10284</v>
      </c>
      <c r="I556" s="1644">
        <f>ROUND($F556*D556,0)</f>
        <v>11288</v>
      </c>
      <c r="K556" s="1901">
        <f>K891</f>
        <v>4.03</v>
      </c>
      <c r="L556" s="1902"/>
      <c r="M556" s="1901">
        <f>M891</f>
        <v>0</v>
      </c>
      <c r="N556" s="1902"/>
      <c r="O556" s="1901">
        <f>O891</f>
        <v>0</v>
      </c>
      <c r="P556" s="1902"/>
      <c r="Q556" s="1901">
        <f>Q891</f>
        <v>4.03</v>
      </c>
      <c r="R556" s="1902"/>
      <c r="S556" s="1644">
        <f t="shared" si="690"/>
        <v>11260</v>
      </c>
      <c r="T556" s="1643"/>
      <c r="U556" s="1644">
        <f t="shared" si="691"/>
        <v>0</v>
      </c>
      <c r="V556" s="1643"/>
      <c r="W556" s="1644">
        <f t="shared" si="692"/>
        <v>0</v>
      </c>
      <c r="X556" s="1643"/>
      <c r="Y556" s="1644">
        <f t="shared" si="693"/>
        <v>11260</v>
      </c>
    </row>
    <row r="557" spans="1:28">
      <c r="A557" s="1900" t="s">
        <v>1649</v>
      </c>
      <c r="C557" s="528">
        <f t="shared" ref="C557" si="698">C590+C623+C656</f>
        <v>813.5</v>
      </c>
      <c r="D557" s="528">
        <f t="shared" ref="D557" si="699">D590+D623+D656</f>
        <v>832</v>
      </c>
      <c r="F557" s="1944"/>
      <c r="G557" s="597"/>
      <c r="H557" s="1644"/>
      <c r="I557" s="1644"/>
      <c r="K557" s="1944">
        <f t="shared" ref="K557" si="700">K892</f>
        <v>6.34</v>
      </c>
      <c r="L557" s="597"/>
      <c r="M557" s="1944">
        <f t="shared" ref="M557" si="701">M892</f>
        <v>7.0600000000000005</v>
      </c>
      <c r="N557" s="597"/>
      <c r="O557" s="1944">
        <f t="shared" ref="O557" si="702">O892</f>
        <v>0</v>
      </c>
      <c r="P557" s="597"/>
      <c r="Q557" s="1944">
        <f t="shared" ref="Q557:Q560" si="703">Q892</f>
        <v>13.4</v>
      </c>
      <c r="R557" s="597"/>
      <c r="S557" s="1644">
        <f t="shared" si="690"/>
        <v>5275</v>
      </c>
      <c r="T557" s="1645"/>
      <c r="U557" s="1644">
        <f t="shared" si="691"/>
        <v>5874</v>
      </c>
      <c r="V557" s="1645"/>
      <c r="W557" s="1644">
        <f t="shared" si="692"/>
        <v>0</v>
      </c>
      <c r="X557" s="1645"/>
      <c r="Y557" s="1644">
        <f t="shared" si="693"/>
        <v>11149</v>
      </c>
    </row>
    <row r="558" spans="1:28">
      <c r="A558" s="1900" t="s">
        <v>1650</v>
      </c>
      <c r="C558" s="528">
        <f t="shared" ref="C558" si="704">C591+C624+C657</f>
        <v>1732</v>
      </c>
      <c r="D558" s="528">
        <f t="shared" ref="D558" si="705">D591+D624+D657</f>
        <v>1962</v>
      </c>
      <c r="F558" s="1944"/>
      <c r="G558" s="597"/>
      <c r="H558" s="1644"/>
      <c r="I558" s="1644"/>
      <c r="K558" s="1944">
        <f t="shared" ref="K558" si="706">K893</f>
        <v>5.61</v>
      </c>
      <c r="L558" s="597"/>
      <c r="M558" s="1944">
        <f t="shared" ref="M558" si="707">M893</f>
        <v>6.2499999999999991</v>
      </c>
      <c r="N558" s="597"/>
      <c r="O558" s="1944">
        <f t="shared" ref="O558" si="708">O893</f>
        <v>0</v>
      </c>
      <c r="P558" s="597"/>
      <c r="Q558" s="1944">
        <f t="shared" si="703"/>
        <v>11.86</v>
      </c>
      <c r="R558" s="597"/>
      <c r="S558" s="1644">
        <f t="shared" si="690"/>
        <v>11007</v>
      </c>
      <c r="T558" s="1645"/>
      <c r="U558" s="1644">
        <f t="shared" si="691"/>
        <v>12263</v>
      </c>
      <c r="V558" s="1645"/>
      <c r="W558" s="1644">
        <f t="shared" si="692"/>
        <v>0</v>
      </c>
      <c r="X558" s="1645"/>
      <c r="Y558" s="1644">
        <f t="shared" si="693"/>
        <v>23269</v>
      </c>
    </row>
    <row r="559" spans="1:28">
      <c r="A559" s="1900" t="s">
        <v>1647</v>
      </c>
      <c r="C559" s="528">
        <f t="shared" ref="C559" si="709">C592+C625+C658</f>
        <v>52068</v>
      </c>
      <c r="D559" s="528">
        <f t="shared" ref="D559" si="710">D592+D625+D658</f>
        <v>55363.283404103327</v>
      </c>
      <c r="F559" s="1943"/>
      <c r="G559" s="1921"/>
      <c r="H559" s="1644"/>
      <c r="I559" s="1644"/>
      <c r="K559" s="1943">
        <f t="shared" ref="K559" si="711">K894</f>
        <v>0</v>
      </c>
      <c r="L559" s="1921" t="s">
        <v>495</v>
      </c>
      <c r="M559" s="1943">
        <f t="shared" ref="M559" si="712">M894</f>
        <v>1.6192</v>
      </c>
      <c r="N559" s="1921" t="s">
        <v>495</v>
      </c>
      <c r="O559" s="1943">
        <f t="shared" ref="O559" si="713">O894</f>
        <v>2.305570240802</v>
      </c>
      <c r="P559" s="1921" t="s">
        <v>495</v>
      </c>
      <c r="Q559" s="1943">
        <f t="shared" si="703"/>
        <v>3.9247702408020002</v>
      </c>
      <c r="R559" s="1921" t="s">
        <v>495</v>
      </c>
      <c r="S559" s="1644">
        <f>ROUND($D559*K559/100,0)</f>
        <v>0</v>
      </c>
      <c r="T559" s="1648"/>
      <c r="U559" s="1644">
        <f>ROUND($D559*M559/100,0)</f>
        <v>896</v>
      </c>
      <c r="V559" s="1648"/>
      <c r="W559" s="1644">
        <f>ROUND($D559*O559/100,0)</f>
        <v>1276</v>
      </c>
      <c r="X559" s="1648"/>
      <c r="Y559" s="1644">
        <f>ROUND($D559*Q559/100,0)</f>
        <v>2173</v>
      </c>
    </row>
    <row r="560" spans="1:28">
      <c r="A560" s="1900" t="s">
        <v>1648</v>
      </c>
      <c r="C560" s="528">
        <f t="shared" ref="C560" si="714">C593+C626+C659</f>
        <v>75546.5</v>
      </c>
      <c r="D560" s="528">
        <f t="shared" ref="D560" si="715">D593+D626+D659</f>
        <v>85437</v>
      </c>
      <c r="F560" s="1943"/>
      <c r="G560" s="1921"/>
      <c r="H560" s="1644"/>
      <c r="I560" s="1644"/>
      <c r="K560" s="1943">
        <f t="shared" ref="K560" si="716">K895</f>
        <v>0</v>
      </c>
      <c r="L560" s="1921" t="s">
        <v>495</v>
      </c>
      <c r="M560" s="1943">
        <f t="shared" ref="M560" si="717">M895</f>
        <v>1.4329000000000001</v>
      </c>
      <c r="N560" s="1921" t="s">
        <v>495</v>
      </c>
      <c r="O560" s="1943">
        <f t="shared" ref="O560" si="718">O895</f>
        <v>2.0403480007099999</v>
      </c>
      <c r="P560" s="1921" t="s">
        <v>495</v>
      </c>
      <c r="Q560" s="1943">
        <f t="shared" si="703"/>
        <v>3.4732480007099999</v>
      </c>
      <c r="R560" s="1921" t="s">
        <v>495</v>
      </c>
      <c r="S560" s="1644">
        <f>ROUND($D560*K560/100,0)</f>
        <v>0</v>
      </c>
      <c r="T560" s="1648"/>
      <c r="U560" s="1644">
        <f>ROUND($D560*M560/100,0)</f>
        <v>1224</v>
      </c>
      <c r="V560" s="1648"/>
      <c r="W560" s="1644">
        <f>ROUND($D560*O560/100,0)</f>
        <v>1743</v>
      </c>
      <c r="X560" s="1648"/>
      <c r="Y560" s="1644">
        <f>ROUND($D560*Q560/100,0)</f>
        <v>2967</v>
      </c>
    </row>
    <row r="561" spans="1:28">
      <c r="A561" s="1900" t="s">
        <v>158</v>
      </c>
      <c r="C561" s="528">
        <f t="shared" ref="C561" si="719">C594+C627+C660</f>
        <v>1160.9530573023851</v>
      </c>
      <c r="D561" s="528">
        <f t="shared" ref="D561" si="720">D594+D627+D660</f>
        <v>1206</v>
      </c>
      <c r="F561" s="1901">
        <f t="shared" ref="F561:F565" si="721">F896</f>
        <v>14.62</v>
      </c>
      <c r="G561" s="1902"/>
      <c r="H561" s="1644">
        <f t="shared" ref="H561:H563" si="722">ROUND($F561*C561,0)</f>
        <v>16973</v>
      </c>
      <c r="I561" s="1644">
        <f t="shared" ref="I561:I563" si="723">ROUND($F561*D561,0)</f>
        <v>17632</v>
      </c>
      <c r="K561" s="1901"/>
      <c r="L561" s="1902"/>
      <c r="M561" s="1901"/>
      <c r="N561" s="1902"/>
      <c r="O561" s="1901"/>
      <c r="P561" s="1902"/>
      <c r="Q561" s="1901"/>
      <c r="R561" s="1902"/>
      <c r="S561" s="1644"/>
      <c r="T561" s="1643"/>
      <c r="U561" s="1644"/>
      <c r="V561" s="1643"/>
      <c r="W561" s="1644"/>
      <c r="X561" s="1643"/>
      <c r="Y561" s="1644"/>
    </row>
    <row r="562" spans="1:28">
      <c r="A562" s="1900" t="s">
        <v>165</v>
      </c>
      <c r="C562" s="528">
        <f t="shared" ref="C562" si="724">C595+C628+C661</f>
        <v>1384.5469426976149</v>
      </c>
      <c r="D562" s="528">
        <f t="shared" ref="D562" si="725">D595+D628+D661</f>
        <v>1588</v>
      </c>
      <c r="F562" s="1901">
        <f t="shared" si="721"/>
        <v>10.91</v>
      </c>
      <c r="G562" s="1902"/>
      <c r="H562" s="1644">
        <f t="shared" si="722"/>
        <v>15105</v>
      </c>
      <c r="I562" s="1644">
        <f t="shared" si="723"/>
        <v>17325</v>
      </c>
      <c r="K562" s="1901"/>
      <c r="L562" s="1902"/>
      <c r="M562" s="1901"/>
      <c r="N562" s="1902"/>
      <c r="O562" s="1901"/>
      <c r="P562" s="1902"/>
      <c r="Q562" s="1901"/>
      <c r="R562" s="1902"/>
      <c r="S562" s="1644"/>
      <c r="T562" s="1643"/>
      <c r="U562" s="1644"/>
      <c r="V562" s="1643"/>
      <c r="W562" s="1644"/>
      <c r="X562" s="1643"/>
      <c r="Y562" s="1644"/>
    </row>
    <row r="563" spans="1:28">
      <c r="A563" s="1900" t="s">
        <v>261</v>
      </c>
      <c r="C563" s="528">
        <f t="shared" ref="C563" si="726">C596+C629+C662</f>
        <v>0</v>
      </c>
      <c r="D563" s="528">
        <f t="shared" ref="D563" si="727">D596+D629+D662</f>
        <v>0</v>
      </c>
      <c r="F563" s="1901">
        <f t="shared" si="721"/>
        <v>-0.96</v>
      </c>
      <c r="G563" s="1902"/>
      <c r="H563" s="1644">
        <f t="shared" si="722"/>
        <v>0</v>
      </c>
      <c r="I563" s="1644">
        <f t="shared" si="723"/>
        <v>0</v>
      </c>
      <c r="K563" s="1901">
        <f>K898</f>
        <v>-0.96</v>
      </c>
      <c r="L563" s="1902"/>
      <c r="M563" s="1901">
        <f>M898</f>
        <v>0</v>
      </c>
      <c r="N563" s="1902"/>
      <c r="O563" s="1901">
        <f>O898</f>
        <v>0</v>
      </c>
      <c r="P563" s="1902"/>
      <c r="Q563" s="1901">
        <f>Q898</f>
        <v>-0.96</v>
      </c>
      <c r="R563" s="1902"/>
      <c r="S563" s="1644">
        <f t="shared" ref="S563" si="728">ROUND($D563*K563,0)</f>
        <v>0</v>
      </c>
      <c r="T563" s="1643"/>
      <c r="U563" s="1644">
        <f t="shared" ref="U563" si="729">ROUND($D563*M563,0)</f>
        <v>0</v>
      </c>
      <c r="V563" s="1643"/>
      <c r="W563" s="1644">
        <f t="shared" ref="W563" si="730">ROUND($D563*O563,0)</f>
        <v>0</v>
      </c>
      <c r="X563" s="1643"/>
      <c r="Y563" s="1644">
        <f t="shared" ref="Y563" si="731">ROUND($D563*Q563,0)</f>
        <v>0</v>
      </c>
    </row>
    <row r="564" spans="1:28">
      <c r="A564" s="1900" t="s">
        <v>1362</v>
      </c>
      <c r="C564" s="528">
        <f t="shared" ref="C564" si="732">C597+C630+C663</f>
        <v>56207.204457290034</v>
      </c>
      <c r="D564" s="528">
        <f t="shared" ref="D564" si="733">D597+D630+D663</f>
        <v>59699</v>
      </c>
      <c r="F564" s="1943">
        <f t="shared" si="721"/>
        <v>3.8127</v>
      </c>
      <c r="G564" s="1921" t="s">
        <v>495</v>
      </c>
      <c r="H564" s="1644">
        <f>ROUND($F564*C564/100,0)</f>
        <v>2143</v>
      </c>
      <c r="I564" s="1644">
        <f>ROUND($F564*D564/100,0)</f>
        <v>2276</v>
      </c>
      <c r="K564" s="1943"/>
      <c r="L564" s="1921"/>
      <c r="M564" s="1943"/>
      <c r="N564" s="1921"/>
      <c r="O564" s="1943"/>
      <c r="P564" s="1921"/>
      <c r="Q564" s="1943"/>
      <c r="R564" s="1921"/>
      <c r="S564" s="1648"/>
      <c r="T564" s="1648"/>
      <c r="U564" s="1648"/>
      <c r="V564" s="1648"/>
      <c r="W564" s="1648"/>
      <c r="X564" s="1648"/>
      <c r="Y564" s="1644"/>
    </row>
    <row r="565" spans="1:28">
      <c r="A565" s="1900" t="s">
        <v>1363</v>
      </c>
      <c r="C565" s="528">
        <f t="shared" ref="C565" si="734">C598+C631+C664</f>
        <v>71407.295542709966</v>
      </c>
      <c r="D565" s="528">
        <f t="shared" ref="D565" si="735">D598+D631+D664</f>
        <v>81101.283404103335</v>
      </c>
      <c r="F565" s="1943">
        <f t="shared" si="721"/>
        <v>3.5143</v>
      </c>
      <c r="G565" s="1921" t="s">
        <v>495</v>
      </c>
      <c r="H565" s="1644">
        <f>ROUND($F565*C565/100,0)</f>
        <v>2509</v>
      </c>
      <c r="I565" s="1644">
        <f>ROUND($F565*D565/100,0)</f>
        <v>2850</v>
      </c>
      <c r="K565" s="1943"/>
      <c r="L565" s="1921"/>
      <c r="M565" s="1943"/>
      <c r="N565" s="1921"/>
      <c r="O565" s="1943"/>
      <c r="P565" s="1921"/>
      <c r="Q565" s="1943"/>
      <c r="R565" s="1921"/>
      <c r="S565" s="1648"/>
      <c r="T565" s="1648"/>
      <c r="U565" s="1648"/>
      <c r="V565" s="1648"/>
      <c r="W565" s="1648"/>
      <c r="X565" s="1648"/>
      <c r="Y565" s="1644"/>
    </row>
    <row r="566" spans="1:28">
      <c r="A566" s="1900" t="s">
        <v>246</v>
      </c>
      <c r="C566" s="529">
        <f t="shared" ref="C566" si="736">C599+C632+C665</f>
        <v>0</v>
      </c>
      <c r="D566" s="529">
        <f t="shared" ref="D566" si="737">D599+D632+D665</f>
        <v>0</v>
      </c>
      <c r="H566" s="1030">
        <f>H599+H632+H665</f>
        <v>0</v>
      </c>
      <c r="I566" s="1030">
        <f>I599+I632+I665</f>
        <v>0</v>
      </c>
      <c r="Y566" s="1030"/>
    </row>
    <row r="567" spans="1:28">
      <c r="A567" s="1900" t="s">
        <v>1240</v>
      </c>
      <c r="C567" s="584"/>
      <c r="D567" s="584"/>
      <c r="F567" s="1930">
        <f>F902</f>
        <v>-3.61E-2</v>
      </c>
      <c r="G567" s="597"/>
      <c r="H567" s="1644">
        <f>SUM(H561:H562,H564:H565)*$F567</f>
        <v>-1325.953</v>
      </c>
      <c r="I567" s="1644">
        <f>SUM(I561:I562,I564:I565)*$F567</f>
        <v>-1446.9963</v>
      </c>
      <c r="K567" s="1930"/>
      <c r="L567" s="597"/>
      <c r="M567" s="1930"/>
      <c r="N567" s="597"/>
      <c r="O567" s="1931" t="str">
        <f>$O$43</f>
        <v>Tax Year 1 (7/1/2021)</v>
      </c>
      <c r="P567" s="597"/>
      <c r="Q567" s="1930">
        <f>$Q$687</f>
        <v>-2.76E-2</v>
      </c>
      <c r="R567" s="597"/>
      <c r="S567" s="1645"/>
      <c r="T567" s="1645"/>
      <c r="U567" s="1645"/>
      <c r="V567" s="1645"/>
      <c r="W567" s="1645"/>
      <c r="X567" s="1645"/>
      <c r="Y567" s="1644">
        <f>Q567*SUM(Y557:Y560)</f>
        <v>-1091.8008</v>
      </c>
    </row>
    <row r="568" spans="1:28">
      <c r="A568" s="1900"/>
      <c r="C568" s="584"/>
      <c r="D568" s="584"/>
      <c r="F568" s="1930"/>
      <c r="G568" s="597"/>
      <c r="H568" s="1644"/>
      <c r="I568" s="1644"/>
      <c r="K568" s="1930"/>
      <c r="L568" s="597"/>
      <c r="M568" s="1930"/>
      <c r="N568" s="597"/>
      <c r="O568" s="1931" t="str">
        <f>$O$44</f>
        <v>Tax Year 2 (1/1/2022)</v>
      </c>
      <c r="P568" s="597"/>
      <c r="Q568" s="1930">
        <f>$Q$688</f>
        <v>-1.4999999999999999E-2</v>
      </c>
      <c r="R568" s="597"/>
      <c r="S568" s="1645"/>
      <c r="T568" s="1645"/>
      <c r="U568" s="1645"/>
      <c r="V568" s="1645"/>
      <c r="W568" s="1645"/>
      <c r="X568" s="1645"/>
      <c r="Y568" s="1644">
        <f>Q568*SUM(Y557:Y560)</f>
        <v>-593.37</v>
      </c>
    </row>
    <row r="569" spans="1:28" ht="16.5" thickBot="1">
      <c r="A569" s="1900" t="s">
        <v>247</v>
      </c>
      <c r="C569" s="1949">
        <f>SUM(C564:C566)</f>
        <v>127614.5</v>
      </c>
      <c r="D569" s="1949">
        <f>SUM(D564:D566)</f>
        <v>140800.28340410333</v>
      </c>
      <c r="F569" s="1939"/>
      <c r="H569" s="1647">
        <f>SUM(H554:H567)</f>
        <v>49090.046999999999</v>
      </c>
      <c r="I569" s="1647">
        <f>SUM(I554:I567)</f>
        <v>53658.003700000001</v>
      </c>
      <c r="K569" s="1939"/>
      <c r="M569" s="1939"/>
      <c r="O569" s="1939"/>
      <c r="Q569" s="1939"/>
      <c r="S569" s="1647">
        <f>SUM(S554:S566)</f>
        <v>31276</v>
      </c>
      <c r="U569" s="1647">
        <f>SUM(U554:U566)</f>
        <v>20257</v>
      </c>
      <c r="W569" s="1647">
        <f>SUM(W554:W566)</f>
        <v>3019</v>
      </c>
      <c r="Y569" s="1647">
        <f>SUM(Y554:Y566)</f>
        <v>54552</v>
      </c>
      <c r="AA569" s="1104" t="s">
        <v>1743</v>
      </c>
      <c r="AB569" s="1890">
        <f>Y569/I569-1</f>
        <v>1.6661005597567558E-2</v>
      </c>
    </row>
    <row r="570" spans="1:28" ht="16.5" hidden="1" thickTop="1">
      <c r="C570" s="528"/>
      <c r="D570" s="528"/>
    </row>
    <row r="571" spans="1:28" hidden="1">
      <c r="A571" s="1897" t="s">
        <v>1926</v>
      </c>
      <c r="C571" s="528"/>
      <c r="D571" s="528"/>
    </row>
    <row r="572" spans="1:28" hidden="1">
      <c r="A572" s="1900" t="s">
        <v>240</v>
      </c>
      <c r="C572" s="528">
        <f>'BD-Redesign'!F38</f>
        <v>7</v>
      </c>
      <c r="D572" s="528">
        <f>D587</f>
        <v>9.1516224188790556</v>
      </c>
      <c r="F572" s="1901"/>
      <c r="G572" s="1902"/>
      <c r="H572" s="1644"/>
      <c r="I572" s="1644"/>
      <c r="K572" s="1901">
        <f>K539</f>
        <v>54</v>
      </c>
      <c r="L572" s="1902"/>
      <c r="M572" s="1901">
        <f>M539</f>
        <v>0</v>
      </c>
      <c r="N572" s="1902"/>
      <c r="O572" s="1901">
        <f>O539</f>
        <v>0</v>
      </c>
      <c r="P572" s="1902"/>
      <c r="Q572" s="1901">
        <f t="shared" ref="Q572:Q582" si="738">Q539</f>
        <v>54</v>
      </c>
      <c r="R572" s="1902"/>
      <c r="S572" s="1644">
        <f>ROUND($D572*K572,0)</f>
        <v>494</v>
      </c>
      <c r="T572" s="1643"/>
      <c r="U572" s="1644">
        <f>ROUND($D572*M572,0)</f>
        <v>0</v>
      </c>
      <c r="V572" s="1643"/>
      <c r="W572" s="1644">
        <f>ROUND($D572*O572,0)</f>
        <v>0</v>
      </c>
      <c r="X572" s="1643"/>
      <c r="Y572" s="1644">
        <f>ROUND($D572*Q572,0)</f>
        <v>494</v>
      </c>
      <c r="AA572" s="1109"/>
      <c r="AB572" s="1114"/>
    </row>
    <row r="573" spans="1:28" hidden="1">
      <c r="A573" s="1900" t="s">
        <v>1910</v>
      </c>
      <c r="C573" s="528">
        <f>'BD-Redesign'!F39</f>
        <v>1900</v>
      </c>
      <c r="D573" s="528">
        <f t="shared" ref="D573:D582" si="739">C573/$C$585*$D$585</f>
        <v>2469.8223468910705</v>
      </c>
      <c r="E573" s="597"/>
      <c r="F573" s="1942"/>
      <c r="G573" s="1921"/>
      <c r="H573" s="1644"/>
      <c r="I573" s="1644"/>
      <c r="J573" s="597"/>
      <c r="K573" s="1942">
        <f t="shared" ref="K573" si="740">K540</f>
        <v>3.9525000000000001</v>
      </c>
      <c r="L573" s="1921" t="s">
        <v>495</v>
      </c>
      <c r="M573" s="1942">
        <f t="shared" ref="M573" si="741">M540</f>
        <v>17.075028114911813</v>
      </c>
      <c r="N573" s="1921" t="s">
        <v>495</v>
      </c>
      <c r="O573" s="1942">
        <f t="shared" ref="O573" si="742">O540</f>
        <v>1.3496999999999999</v>
      </c>
      <c r="P573" s="1921" t="s">
        <v>495</v>
      </c>
      <c r="Q573" s="1942">
        <f t="shared" si="738"/>
        <v>22.377228114911812</v>
      </c>
      <c r="R573" s="1921" t="s">
        <v>495</v>
      </c>
      <c r="S573" s="1644">
        <f>ROUND($D573*K573/100,0)</f>
        <v>98</v>
      </c>
      <c r="T573" s="1648"/>
      <c r="U573" s="1644">
        <f>ROUND($D573*M573/100,0)</f>
        <v>422</v>
      </c>
      <c r="V573" s="1648"/>
      <c r="W573" s="1644">
        <f>ROUND($D573*O573/100,0)</f>
        <v>33</v>
      </c>
      <c r="X573" s="1648"/>
      <c r="Y573" s="1644">
        <f>ROUND($D573*Q573/100,0)</f>
        <v>553</v>
      </c>
      <c r="AA573" s="596"/>
      <c r="AB573" s="596"/>
    </row>
    <row r="574" spans="1:28" hidden="1">
      <c r="A574" s="1900" t="s">
        <v>1911</v>
      </c>
      <c r="C574" s="528">
        <f>'BD-Redesign'!F40</f>
        <v>7729.5</v>
      </c>
      <c r="D574" s="528">
        <f t="shared" si="739"/>
        <v>10047.627279102384</v>
      </c>
      <c r="E574" s="597"/>
      <c r="F574" s="1942"/>
      <c r="G574" s="1921"/>
      <c r="H574" s="1644"/>
      <c r="I574" s="1644"/>
      <c r="J574" s="597"/>
      <c r="K574" s="1942">
        <f t="shared" ref="K574" si="743">K541</f>
        <v>3.9525000000000001</v>
      </c>
      <c r="L574" s="1921" t="s">
        <v>495</v>
      </c>
      <c r="M574" s="1942">
        <f t="shared" ref="M574" si="744">M541</f>
        <v>-0.91518271744099966</v>
      </c>
      <c r="N574" s="1921" t="s">
        <v>495</v>
      </c>
      <c r="O574" s="1942">
        <f t="shared" ref="O574" si="745">O541</f>
        <v>1.3496999999999999</v>
      </c>
      <c r="P574" s="1921" t="s">
        <v>495</v>
      </c>
      <c r="Q574" s="1942">
        <f t="shared" si="738"/>
        <v>4.3870172825590004</v>
      </c>
      <c r="R574" s="1921" t="s">
        <v>495</v>
      </c>
      <c r="S574" s="1644">
        <f t="shared" ref="S574:S580" si="746">ROUND($D574*K574/100,0)</f>
        <v>397</v>
      </c>
      <c r="T574" s="1648"/>
      <c r="U574" s="1644">
        <f t="shared" ref="U574:U580" si="747">ROUND($D574*M574/100,0)</f>
        <v>-92</v>
      </c>
      <c r="V574" s="1648"/>
      <c r="W574" s="1644">
        <f t="shared" ref="W574:W580" si="748">ROUND($D574*O574/100,0)</f>
        <v>136</v>
      </c>
      <c r="X574" s="1648"/>
      <c r="Y574" s="1644">
        <f t="shared" ref="Y574:Y580" si="749">ROUND($D574*Q574/100,0)</f>
        <v>441</v>
      </c>
      <c r="AA574" s="596"/>
      <c r="AB574" s="596"/>
    </row>
    <row r="575" spans="1:28" hidden="1">
      <c r="A575" s="1900" t="s">
        <v>1912</v>
      </c>
      <c r="C575" s="528">
        <f>'BD-Redesign'!F41</f>
        <v>2874</v>
      </c>
      <c r="D575" s="528">
        <f t="shared" si="739"/>
        <v>3735.9312762973354</v>
      </c>
      <c r="E575" s="597"/>
      <c r="F575" s="1942"/>
      <c r="G575" s="1921"/>
      <c r="H575" s="1644"/>
      <c r="I575" s="1644"/>
      <c r="J575" s="597"/>
      <c r="K575" s="1942">
        <f t="shared" ref="K575" si="750">K542</f>
        <v>3.9525000000000001</v>
      </c>
      <c r="L575" s="1921" t="s">
        <v>495</v>
      </c>
      <c r="M575" s="1942">
        <f t="shared" ref="M575" si="751">M542</f>
        <v>14.656000000000001</v>
      </c>
      <c r="N575" s="1921" t="s">
        <v>495</v>
      </c>
      <c r="O575" s="1942">
        <f t="shared" ref="O575" si="752">O542</f>
        <v>1.1943999999999999</v>
      </c>
      <c r="P575" s="1921" t="s">
        <v>495</v>
      </c>
      <c r="Q575" s="1942">
        <f t="shared" si="738"/>
        <v>19.802900000000001</v>
      </c>
      <c r="R575" s="1921" t="s">
        <v>495</v>
      </c>
      <c r="S575" s="1644">
        <f t="shared" si="746"/>
        <v>148</v>
      </c>
      <c r="T575" s="1648"/>
      <c r="U575" s="1644">
        <f t="shared" si="747"/>
        <v>548</v>
      </c>
      <c r="V575" s="1648"/>
      <c r="W575" s="1644">
        <f t="shared" si="748"/>
        <v>45</v>
      </c>
      <c r="X575" s="1648"/>
      <c r="Y575" s="1644">
        <f t="shared" si="749"/>
        <v>740</v>
      </c>
      <c r="AA575" s="596"/>
      <c r="AB575" s="596"/>
    </row>
    <row r="576" spans="1:28" hidden="1">
      <c r="A576" s="1900" t="s">
        <v>1913</v>
      </c>
      <c r="C576" s="528">
        <f>'BD-Redesign'!F42</f>
        <v>258.5</v>
      </c>
      <c r="D576" s="528">
        <f t="shared" si="739"/>
        <v>336.02582982702194</v>
      </c>
      <c r="E576" s="597"/>
      <c r="F576" s="1942"/>
      <c r="G576" s="1921"/>
      <c r="H576" s="1644"/>
      <c r="I576" s="1644"/>
      <c r="J576" s="597"/>
      <c r="K576" s="1942">
        <f t="shared" ref="K576" si="753">K543</f>
        <v>3.9525000000000001</v>
      </c>
      <c r="L576" s="1921" t="s">
        <v>495</v>
      </c>
      <c r="M576" s="1942">
        <f t="shared" ref="M576" si="754">M543</f>
        <v>-1.2646000000000002</v>
      </c>
      <c r="N576" s="1921" t="s">
        <v>495</v>
      </c>
      <c r="O576" s="1942">
        <f t="shared" ref="O576" si="755">O543</f>
        <v>1.1943999999999999</v>
      </c>
      <c r="P576" s="1921" t="s">
        <v>495</v>
      </c>
      <c r="Q576" s="1942">
        <f t="shared" si="738"/>
        <v>3.8822999999999999</v>
      </c>
      <c r="R576" s="1921" t="s">
        <v>495</v>
      </c>
      <c r="S576" s="1644">
        <f t="shared" si="746"/>
        <v>13</v>
      </c>
      <c r="T576" s="1648"/>
      <c r="U576" s="1644">
        <f t="shared" si="747"/>
        <v>-4</v>
      </c>
      <c r="V576" s="1648"/>
      <c r="W576" s="1644">
        <f t="shared" si="748"/>
        <v>4</v>
      </c>
      <c r="X576" s="1648"/>
      <c r="Y576" s="1644">
        <f t="shared" si="749"/>
        <v>13</v>
      </c>
      <c r="AA576" s="596"/>
      <c r="AB576" s="596"/>
    </row>
    <row r="577" spans="1:28" hidden="1">
      <c r="A577" s="1900" t="s">
        <v>1906</v>
      </c>
      <c r="C577" s="528">
        <f>'BD-Redesign'!F43</f>
        <v>5347.7476761769631</v>
      </c>
      <c r="D577" s="528">
        <f t="shared" si="739"/>
        <v>6951.5719558719238</v>
      </c>
      <c r="E577" s="597"/>
      <c r="F577" s="1942"/>
      <c r="G577" s="1921"/>
      <c r="H577" s="1644"/>
      <c r="I577" s="1644"/>
      <c r="J577" s="597"/>
      <c r="K577" s="1942">
        <f t="shared" ref="K577" si="756">K544</f>
        <v>0</v>
      </c>
      <c r="L577" s="1921" t="s">
        <v>495</v>
      </c>
      <c r="M577" s="1942">
        <f t="shared" ref="M577" si="757">M544</f>
        <v>0</v>
      </c>
      <c r="N577" s="1921" t="s">
        <v>495</v>
      </c>
      <c r="O577" s="1942">
        <f t="shared" ref="O577" si="758">O544</f>
        <v>6</v>
      </c>
      <c r="P577" s="1921" t="s">
        <v>495</v>
      </c>
      <c r="Q577" s="1942">
        <f t="shared" si="738"/>
        <v>6</v>
      </c>
      <c r="R577" s="1921" t="s">
        <v>495</v>
      </c>
      <c r="S577" s="1644">
        <f t="shared" si="746"/>
        <v>0</v>
      </c>
      <c r="T577" s="1648"/>
      <c r="U577" s="1644">
        <f t="shared" si="747"/>
        <v>0</v>
      </c>
      <c r="V577" s="1648"/>
      <c r="W577" s="1644">
        <f t="shared" si="748"/>
        <v>417</v>
      </c>
      <c r="X577" s="1648"/>
      <c r="Y577" s="1644">
        <f t="shared" si="749"/>
        <v>417</v>
      </c>
      <c r="AA577" s="596"/>
      <c r="AB577" s="596"/>
    </row>
    <row r="578" spans="1:28" hidden="1">
      <c r="A578" s="1900" t="s">
        <v>1907</v>
      </c>
      <c r="C578" s="528">
        <f>'BD-Redesign'!F44</f>
        <v>4281.7523238230369</v>
      </c>
      <c r="D578" s="528">
        <f t="shared" si="739"/>
        <v>5565.8776701215311</v>
      </c>
      <c r="E578" s="597"/>
      <c r="F578" s="1942"/>
      <c r="G578" s="1921"/>
      <c r="H578" s="1644"/>
      <c r="I578" s="1644"/>
      <c r="J578" s="597"/>
      <c r="K578" s="1942">
        <f t="shared" ref="K578" si="759">K545</f>
        <v>0</v>
      </c>
      <c r="L578" s="1921" t="s">
        <v>495</v>
      </c>
      <c r="M578" s="1942">
        <f t="shared" ref="M578" si="760">M545</f>
        <v>0</v>
      </c>
      <c r="N578" s="1921" t="s">
        <v>495</v>
      </c>
      <c r="O578" s="1942">
        <f t="shared" ref="O578" si="761">O545</f>
        <v>-2.3358000000000008</v>
      </c>
      <c r="P578" s="1921" t="s">
        <v>495</v>
      </c>
      <c r="Q578" s="1942">
        <f t="shared" si="738"/>
        <v>-2.3358000000000008</v>
      </c>
      <c r="R578" s="1921" t="s">
        <v>495</v>
      </c>
      <c r="S578" s="1644">
        <f t="shared" si="746"/>
        <v>0</v>
      </c>
      <c r="T578" s="1648"/>
      <c r="U578" s="1644">
        <f t="shared" si="747"/>
        <v>0</v>
      </c>
      <c r="V578" s="1648"/>
      <c r="W578" s="1644">
        <f t="shared" si="748"/>
        <v>-130</v>
      </c>
      <c r="X578" s="1648"/>
      <c r="Y578" s="1644">
        <f t="shared" si="749"/>
        <v>-130</v>
      </c>
      <c r="AA578" s="596"/>
      <c r="AB578" s="596"/>
    </row>
    <row r="579" spans="1:28" hidden="1">
      <c r="A579" s="1900" t="s">
        <v>1908</v>
      </c>
      <c r="C579" s="528">
        <f>'BD-Redesign'!F45</f>
        <v>1739.6354530997805</v>
      </c>
      <c r="D579" s="528">
        <f t="shared" si="739"/>
        <v>2261.3634302683217</v>
      </c>
      <c r="E579" s="597"/>
      <c r="F579" s="1942"/>
      <c r="G579" s="1921"/>
      <c r="H579" s="1644"/>
      <c r="I579" s="1644"/>
      <c r="J579" s="597"/>
      <c r="K579" s="1942">
        <f t="shared" ref="K579" si="762">K546</f>
        <v>0</v>
      </c>
      <c r="L579" s="1921" t="s">
        <v>495</v>
      </c>
      <c r="M579" s="1942">
        <f t="shared" ref="M579" si="763">M546</f>
        <v>0</v>
      </c>
      <c r="N579" s="1921" t="s">
        <v>495</v>
      </c>
      <c r="O579" s="1942">
        <f t="shared" ref="O579" si="764">O546</f>
        <v>5.3097000000000003</v>
      </c>
      <c r="P579" s="1921" t="s">
        <v>495</v>
      </c>
      <c r="Q579" s="1942">
        <f t="shared" si="738"/>
        <v>5.3097000000000003</v>
      </c>
      <c r="R579" s="1921" t="s">
        <v>495</v>
      </c>
      <c r="S579" s="1644">
        <f t="shared" si="746"/>
        <v>0</v>
      </c>
      <c r="T579" s="1648"/>
      <c r="U579" s="1644">
        <f t="shared" si="747"/>
        <v>0</v>
      </c>
      <c r="V579" s="1648"/>
      <c r="W579" s="1644">
        <f t="shared" si="748"/>
        <v>120</v>
      </c>
      <c r="X579" s="1648"/>
      <c r="Y579" s="1644">
        <f t="shared" si="749"/>
        <v>120</v>
      </c>
      <c r="AA579" s="596"/>
      <c r="AB579" s="596"/>
    </row>
    <row r="580" spans="1:28" hidden="1">
      <c r="A580" s="1900" t="s">
        <v>1909</v>
      </c>
      <c r="C580" s="528">
        <f>'BD-Redesign'!F46</f>
        <v>1392.8645469002195</v>
      </c>
      <c r="D580" s="528">
        <f t="shared" si="739"/>
        <v>1810.5936758560356</v>
      </c>
      <c r="E580" s="597"/>
      <c r="F580" s="1942"/>
      <c r="G580" s="1921"/>
      <c r="H580" s="1644"/>
      <c r="I580" s="1644"/>
      <c r="J580" s="597"/>
      <c r="K580" s="1942">
        <f t="shared" ref="K580" si="765">K547</f>
        <v>0</v>
      </c>
      <c r="L580" s="1921" t="s">
        <v>495</v>
      </c>
      <c r="M580" s="1942">
        <f t="shared" ref="M580" si="766">M547</f>
        <v>0</v>
      </c>
      <c r="N580" s="1921" t="s">
        <v>495</v>
      </c>
      <c r="O580" s="1942">
        <f t="shared" ref="O580" si="767">O547</f>
        <v>-2.0670999999999999</v>
      </c>
      <c r="P580" s="1921" t="s">
        <v>495</v>
      </c>
      <c r="Q580" s="1942">
        <f t="shared" si="738"/>
        <v>-2.0670999999999999</v>
      </c>
      <c r="R580" s="1921" t="s">
        <v>495</v>
      </c>
      <c r="S580" s="1644">
        <f t="shared" si="746"/>
        <v>0</v>
      </c>
      <c r="T580" s="1648"/>
      <c r="U580" s="1644">
        <f t="shared" si="747"/>
        <v>0</v>
      </c>
      <c r="V580" s="1648"/>
      <c r="W580" s="1644">
        <f t="shared" si="748"/>
        <v>-37</v>
      </c>
      <c r="X580" s="1648"/>
      <c r="Y580" s="1644">
        <f t="shared" si="749"/>
        <v>-37</v>
      </c>
      <c r="AA580" s="596"/>
      <c r="AB580" s="596"/>
    </row>
    <row r="581" spans="1:28" hidden="1">
      <c r="A581" s="1900" t="s">
        <v>261</v>
      </c>
      <c r="C581" s="528">
        <f>'BD-Redesign'!F47</f>
        <v>0</v>
      </c>
      <c r="D581" s="528">
        <f t="shared" si="739"/>
        <v>0</v>
      </c>
      <c r="F581" s="1901"/>
      <c r="G581" s="1902"/>
      <c r="H581" s="1644"/>
      <c r="I581" s="1644"/>
      <c r="K581" s="1901">
        <f t="shared" ref="K581" si="768">K548</f>
        <v>-0.61</v>
      </c>
      <c r="L581" s="1902"/>
      <c r="M581" s="1901">
        <f t="shared" ref="M581" si="769">M548</f>
        <v>0</v>
      </c>
      <c r="N581" s="1902"/>
      <c r="O581" s="1901">
        <f t="shared" ref="O581" si="770">O548</f>
        <v>0</v>
      </c>
      <c r="P581" s="1902"/>
      <c r="Q581" s="1901">
        <f t="shared" si="738"/>
        <v>-0.61</v>
      </c>
      <c r="R581" s="1902"/>
      <c r="S581" s="1644">
        <f>ROUND($D581*K581,0)</f>
        <v>0</v>
      </c>
      <c r="T581" s="1643"/>
      <c r="U581" s="1644">
        <f>ROUND($D581*M581,0)</f>
        <v>0</v>
      </c>
      <c r="V581" s="1643"/>
      <c r="W581" s="1644">
        <f>ROUND($D581*O581,0)</f>
        <v>0</v>
      </c>
      <c r="X581" s="1643"/>
      <c r="Y581" s="1644">
        <f>ROUND($D581*Q581,0)</f>
        <v>0</v>
      </c>
      <c r="AA581" s="596"/>
      <c r="AB581" s="596"/>
    </row>
    <row r="582" spans="1:28" hidden="1">
      <c r="A582" s="1116" t="s">
        <v>1158</v>
      </c>
      <c r="C582" s="528">
        <f>'BD-Redesign'!F48</f>
        <v>0</v>
      </c>
      <c r="D582" s="528">
        <f t="shared" si="739"/>
        <v>0</v>
      </c>
      <c r="F582" s="1943"/>
      <c r="G582" s="1921"/>
      <c r="H582" s="1644"/>
      <c r="I582" s="1644"/>
      <c r="K582" s="1943">
        <f t="shared" ref="K582" si="771">K549</f>
        <v>0</v>
      </c>
      <c r="L582" s="1921" t="s">
        <v>495</v>
      </c>
      <c r="M582" s="1943">
        <f t="shared" ref="M582" si="772">M549</f>
        <v>7.125</v>
      </c>
      <c r="N582" s="1921" t="s">
        <v>495</v>
      </c>
      <c r="O582" s="1943">
        <f t="shared" ref="O582" si="773">O549</f>
        <v>0</v>
      </c>
      <c r="P582" s="1921" t="s">
        <v>495</v>
      </c>
      <c r="Q582" s="1943">
        <f t="shared" si="738"/>
        <v>7.125</v>
      </c>
      <c r="R582" s="1921" t="s">
        <v>495</v>
      </c>
      <c r="S582" s="1644">
        <f>ROUND($D582*K582/100,0)</f>
        <v>0</v>
      </c>
      <c r="T582" s="1648"/>
      <c r="U582" s="1644">
        <f>ROUND($D582*M582/100,0)</f>
        <v>0</v>
      </c>
      <c r="V582" s="1648"/>
      <c r="W582" s="1644">
        <f>ROUND($D582*O582/100,0)</f>
        <v>0</v>
      </c>
      <c r="X582" s="1648"/>
      <c r="Y582" s="1644">
        <f>ROUND($D582*Q582/100,0)</f>
        <v>0</v>
      </c>
      <c r="AA582" s="1109"/>
      <c r="AB582" s="1114"/>
    </row>
    <row r="583" spans="1:28" hidden="1">
      <c r="A583" s="1900" t="s">
        <v>1240</v>
      </c>
      <c r="C583" s="584"/>
      <c r="D583" s="584"/>
      <c r="F583" s="1930"/>
      <c r="G583" s="597"/>
      <c r="H583" s="1644"/>
      <c r="I583" s="1644"/>
      <c r="K583" s="1930"/>
      <c r="L583" s="597"/>
      <c r="M583" s="1930"/>
      <c r="N583" s="597"/>
      <c r="O583" s="1931" t="str">
        <f>$O$43</f>
        <v>Tax Year 1 (7/1/2021)</v>
      </c>
      <c r="P583" s="597"/>
      <c r="Q583" s="1930">
        <f>$Q$979</f>
        <v>-3.0599999999999999E-2</v>
      </c>
      <c r="R583" s="597"/>
      <c r="S583" s="1645"/>
      <c r="T583" s="1645"/>
      <c r="U583" s="1645"/>
      <c r="V583" s="1645"/>
      <c r="W583" s="1645"/>
      <c r="X583" s="1645"/>
      <c r="Y583" s="1644">
        <f>Q583*SUM(Y573:Y576,Y582)</f>
        <v>-53.458199999999998</v>
      </c>
    </row>
    <row r="584" spans="1:28" hidden="1">
      <c r="A584" s="1900"/>
      <c r="C584" s="584"/>
      <c r="D584" s="584"/>
      <c r="F584" s="1930"/>
      <c r="G584" s="597"/>
      <c r="H584" s="1644"/>
      <c r="I584" s="1644"/>
      <c r="K584" s="1930"/>
      <c r="L584" s="597"/>
      <c r="M584" s="1930"/>
      <c r="N584" s="597"/>
      <c r="O584" s="1931" t="str">
        <f>$O$44</f>
        <v>Tax Year 2 (1/1/2022)</v>
      </c>
      <c r="P584" s="597"/>
      <c r="Q584" s="1930">
        <f>$Q$980</f>
        <v>-1.66E-2</v>
      </c>
      <c r="R584" s="597"/>
      <c r="S584" s="1645"/>
      <c r="T584" s="1645"/>
      <c r="U584" s="1645"/>
      <c r="V584" s="1645"/>
      <c r="W584" s="1645"/>
      <c r="X584" s="1645"/>
      <c r="Y584" s="1644">
        <f>Q584*SUM(Y573:Y576,Y582)</f>
        <v>-29.0002</v>
      </c>
    </row>
    <row r="585" spans="1:28" hidden="1">
      <c r="A585" s="1900" t="s">
        <v>1923</v>
      </c>
      <c r="C585" s="528">
        <f>SUM(C577:C580,C582)</f>
        <v>12762</v>
      </c>
      <c r="D585" s="528">
        <f>D602</f>
        <v>16589.406732117812</v>
      </c>
      <c r="F585" s="1901"/>
      <c r="G585" s="1902"/>
      <c r="H585" s="1644"/>
      <c r="I585" s="1644"/>
      <c r="K585" s="1901"/>
      <c r="L585" s="1902"/>
      <c r="M585" s="1901"/>
      <c r="N585" s="1902"/>
      <c r="O585" s="1901"/>
      <c r="P585" s="1902"/>
      <c r="Q585" s="1901"/>
      <c r="R585" s="1902"/>
      <c r="S585" s="1644">
        <f>SUM(S572:S582)</f>
        <v>1150</v>
      </c>
      <c r="T585" s="1643"/>
      <c r="U585" s="1644">
        <f>SUM(U572:U582)</f>
        <v>874</v>
      </c>
      <c r="V585" s="1643"/>
      <c r="W585" s="1644">
        <f>SUM(W572:W582)</f>
        <v>588</v>
      </c>
      <c r="X585" s="1643"/>
      <c r="Y585" s="1644">
        <f>SUM(Y572:Y582)</f>
        <v>2611</v>
      </c>
      <c r="AA585" s="1109" t="s">
        <v>1743</v>
      </c>
      <c r="AB585" s="1499">
        <f>Y585/Y602-1</f>
        <v>-0.35973516429622365</v>
      </c>
    </row>
    <row r="586" spans="1:28" hidden="1">
      <c r="A586" s="1900"/>
      <c r="C586" s="528"/>
      <c r="D586" s="528"/>
      <c r="F586" s="1901"/>
      <c r="G586" s="1902"/>
      <c r="H586" s="1644"/>
      <c r="I586" s="1644"/>
      <c r="K586" s="1901"/>
      <c r="L586" s="1902"/>
      <c r="M586" s="1901"/>
      <c r="N586" s="1902"/>
      <c r="O586" s="1901"/>
      <c r="P586" s="1902"/>
      <c r="Q586" s="1901"/>
      <c r="R586" s="1902"/>
      <c r="S586" s="1643"/>
      <c r="T586" s="1643"/>
      <c r="U586" s="1643"/>
      <c r="V586" s="1643"/>
      <c r="W586" s="1643"/>
      <c r="X586" s="1643"/>
      <c r="Y586" s="1644"/>
      <c r="AA586" s="1109"/>
      <c r="AB586" s="1114"/>
    </row>
    <row r="587" spans="1:28" hidden="1">
      <c r="A587" s="1950" t="s">
        <v>240</v>
      </c>
      <c r="C587" s="528">
        <f>C572</f>
        <v>7</v>
      </c>
      <c r="D587" s="528">
        <f>C587*D917/C917</f>
        <v>9.1516224188790556</v>
      </c>
      <c r="F587" s="1901">
        <f>F554</f>
        <v>54</v>
      </c>
      <c r="G587" s="1902"/>
      <c r="H587" s="1644">
        <f t="shared" ref="H587:H588" si="774">ROUND($F587*C587,0)</f>
        <v>378</v>
      </c>
      <c r="I587" s="1644">
        <f t="shared" ref="I587:I588" si="775">ROUND($F587*D587,0)</f>
        <v>494</v>
      </c>
      <c r="K587" s="1901">
        <f t="shared" ref="K587" si="776">K554</f>
        <v>54</v>
      </c>
      <c r="L587" s="1902"/>
      <c r="M587" s="1901">
        <f t="shared" ref="M587" si="777">M554</f>
        <v>0</v>
      </c>
      <c r="N587" s="1902"/>
      <c r="O587" s="1901">
        <f t="shared" ref="O587" si="778">O554</f>
        <v>0</v>
      </c>
      <c r="P587" s="1902"/>
      <c r="Q587" s="1901">
        <f t="shared" ref="Q587:Q593" si="779">Q554</f>
        <v>54</v>
      </c>
      <c r="R587" s="1902"/>
      <c r="S587" s="1644">
        <f t="shared" ref="S587:S591" si="780">ROUND($D587*K587,0)</f>
        <v>494</v>
      </c>
      <c r="T587" s="1643"/>
      <c r="U587" s="1644">
        <f t="shared" ref="U587:U591" si="781">ROUND($D587*M587,0)</f>
        <v>0</v>
      </c>
      <c r="V587" s="1643"/>
      <c r="W587" s="1644">
        <f t="shared" ref="W587:W591" si="782">ROUND($D587*O587,0)</f>
        <v>0</v>
      </c>
      <c r="X587" s="1643"/>
      <c r="Y587" s="1644">
        <f t="shared" ref="Y587:Y591" si="783">ROUND($D587*Q587,0)</f>
        <v>494</v>
      </c>
    </row>
    <row r="588" spans="1:28" hidden="1">
      <c r="A588" s="1900" t="s">
        <v>262</v>
      </c>
      <c r="C588" s="584">
        <v>0</v>
      </c>
      <c r="D588" s="528">
        <v>0</v>
      </c>
      <c r="E588" s="597"/>
      <c r="F588" s="1901">
        <f>F555</f>
        <v>648</v>
      </c>
      <c r="G588" s="1902"/>
      <c r="H588" s="1644">
        <f t="shared" si="774"/>
        <v>0</v>
      </c>
      <c r="I588" s="1644">
        <f t="shared" si="775"/>
        <v>0</v>
      </c>
      <c r="J588" s="597"/>
      <c r="K588" s="1901">
        <f t="shared" ref="K588" si="784">K555</f>
        <v>648</v>
      </c>
      <c r="L588" s="1902"/>
      <c r="M588" s="1901">
        <f t="shared" ref="M588" si="785">M555</f>
        <v>0</v>
      </c>
      <c r="N588" s="1902"/>
      <c r="O588" s="1901">
        <f t="shared" ref="O588" si="786">O555</f>
        <v>0</v>
      </c>
      <c r="P588" s="1902"/>
      <c r="Q588" s="1901">
        <f t="shared" si="779"/>
        <v>648</v>
      </c>
      <c r="R588" s="1902"/>
      <c r="S588" s="1644">
        <f t="shared" si="780"/>
        <v>0</v>
      </c>
      <c r="T588" s="1645"/>
      <c r="U588" s="1644">
        <f t="shared" si="781"/>
        <v>0</v>
      </c>
      <c r="V588" s="1645"/>
      <c r="W588" s="1644">
        <f t="shared" si="782"/>
        <v>0</v>
      </c>
      <c r="X588" s="1645"/>
      <c r="Y588" s="1644">
        <f t="shared" si="783"/>
        <v>0</v>
      </c>
    </row>
    <row r="589" spans="1:28" hidden="1">
      <c r="A589" s="1900" t="s">
        <v>168</v>
      </c>
      <c r="C589" s="528">
        <f>'BD-Redesign'!F68</f>
        <v>139.5</v>
      </c>
      <c r="D589" s="528">
        <f>ROUND(C589/C602*D602,0)</f>
        <v>181</v>
      </c>
      <c r="F589" s="1901">
        <f>F556</f>
        <v>4.04</v>
      </c>
      <c r="G589" s="1902"/>
      <c r="H589" s="1644">
        <f>ROUND($F589*C589,0)</f>
        <v>564</v>
      </c>
      <c r="I589" s="1644">
        <f>ROUND($F589*D589,0)</f>
        <v>731</v>
      </c>
      <c r="K589" s="1901">
        <f t="shared" ref="K589" si="787">K556</f>
        <v>4.03</v>
      </c>
      <c r="L589" s="1902"/>
      <c r="M589" s="1901">
        <f t="shared" ref="M589" si="788">M556</f>
        <v>0</v>
      </c>
      <c r="N589" s="1902"/>
      <c r="O589" s="1901">
        <f t="shared" ref="O589" si="789">O556</f>
        <v>0</v>
      </c>
      <c r="P589" s="1902"/>
      <c r="Q589" s="1901">
        <f t="shared" si="779"/>
        <v>4.03</v>
      </c>
      <c r="R589" s="1902"/>
      <c r="S589" s="1644">
        <f t="shared" si="780"/>
        <v>729</v>
      </c>
      <c r="T589" s="1643"/>
      <c r="U589" s="1644">
        <f t="shared" si="781"/>
        <v>0</v>
      </c>
      <c r="V589" s="1643"/>
      <c r="W589" s="1644">
        <f t="shared" si="782"/>
        <v>0</v>
      </c>
      <c r="X589" s="1643"/>
      <c r="Y589" s="1644">
        <f t="shared" si="783"/>
        <v>729</v>
      </c>
    </row>
    <row r="590" spans="1:28" hidden="1">
      <c r="A590" s="1900" t="s">
        <v>1649</v>
      </c>
      <c r="C590" s="528">
        <f>'BD-Redesign'!F69</f>
        <v>38</v>
      </c>
      <c r="D590" s="528">
        <f>ROUND(C590/C592*D592,0)</f>
        <v>49</v>
      </c>
      <c r="F590" s="1944"/>
      <c r="G590" s="597"/>
      <c r="H590" s="1644"/>
      <c r="I590" s="1644"/>
      <c r="K590" s="1944">
        <f t="shared" ref="K590" si="790">K557</f>
        <v>6.34</v>
      </c>
      <c r="L590" s="597"/>
      <c r="M590" s="1944">
        <f t="shared" ref="M590" si="791">M557</f>
        <v>7.0600000000000005</v>
      </c>
      <c r="N590" s="597"/>
      <c r="O590" s="1944">
        <f t="shared" ref="O590" si="792">O557</f>
        <v>0</v>
      </c>
      <c r="P590" s="597"/>
      <c r="Q590" s="1944">
        <f t="shared" si="779"/>
        <v>13.4</v>
      </c>
      <c r="R590" s="597"/>
      <c r="S590" s="1644">
        <f t="shared" si="780"/>
        <v>311</v>
      </c>
      <c r="T590" s="1645"/>
      <c r="U590" s="1644">
        <f t="shared" si="781"/>
        <v>346</v>
      </c>
      <c r="V590" s="1645"/>
      <c r="W590" s="1644">
        <f t="shared" si="782"/>
        <v>0</v>
      </c>
      <c r="X590" s="1645"/>
      <c r="Y590" s="1644">
        <f t="shared" si="783"/>
        <v>657</v>
      </c>
    </row>
    <row r="591" spans="1:28" hidden="1">
      <c r="A591" s="1900" t="s">
        <v>1650</v>
      </c>
      <c r="C591" s="528">
        <f>'BD-Redesign'!F70</f>
        <v>101.5</v>
      </c>
      <c r="D591" s="528">
        <f>ROUND(C591/C593*D593,0)</f>
        <v>132</v>
      </c>
      <c r="F591" s="1944"/>
      <c r="G591" s="597"/>
      <c r="H591" s="1644"/>
      <c r="I591" s="1644"/>
      <c r="K591" s="1944">
        <f t="shared" ref="K591" si="793">K558</f>
        <v>5.61</v>
      </c>
      <c r="L591" s="597"/>
      <c r="M591" s="1944">
        <f t="shared" ref="M591" si="794">M558</f>
        <v>6.2499999999999991</v>
      </c>
      <c r="N591" s="597"/>
      <c r="O591" s="1944">
        <f t="shared" ref="O591" si="795">O558</f>
        <v>0</v>
      </c>
      <c r="P591" s="597"/>
      <c r="Q591" s="1944">
        <f t="shared" si="779"/>
        <v>11.86</v>
      </c>
      <c r="R591" s="597"/>
      <c r="S591" s="1644">
        <f t="shared" si="780"/>
        <v>741</v>
      </c>
      <c r="T591" s="1645"/>
      <c r="U591" s="1644">
        <f t="shared" si="781"/>
        <v>825</v>
      </c>
      <c r="V591" s="1645"/>
      <c r="W591" s="1644">
        <f t="shared" si="782"/>
        <v>0</v>
      </c>
      <c r="X591" s="1645"/>
      <c r="Y591" s="1644">
        <f t="shared" si="783"/>
        <v>1566</v>
      </c>
    </row>
    <row r="592" spans="1:28" hidden="1">
      <c r="A592" s="1900" t="s">
        <v>1647</v>
      </c>
      <c r="C592" s="528">
        <f>'BD-Redesign'!F72</f>
        <v>9629.5</v>
      </c>
      <c r="D592" s="528">
        <f>D602-D593</f>
        <v>12517.406732117812</v>
      </c>
      <c r="F592" s="1943"/>
      <c r="G592" s="1921"/>
      <c r="H592" s="1644"/>
      <c r="I592" s="1644"/>
      <c r="K592" s="1943">
        <f t="shared" ref="K592" si="796">K559</f>
        <v>0</v>
      </c>
      <c r="L592" s="1921" t="s">
        <v>495</v>
      </c>
      <c r="M592" s="1943">
        <f t="shared" ref="M592" si="797">M559</f>
        <v>1.6192</v>
      </c>
      <c r="N592" s="1921" t="s">
        <v>495</v>
      </c>
      <c r="O592" s="1943">
        <f t="shared" ref="O592" si="798">O559</f>
        <v>2.305570240802</v>
      </c>
      <c r="P592" s="1921" t="s">
        <v>495</v>
      </c>
      <c r="Q592" s="1943">
        <f t="shared" si="779"/>
        <v>3.9247702408020002</v>
      </c>
      <c r="R592" s="1921" t="s">
        <v>495</v>
      </c>
      <c r="S592" s="1644">
        <f>ROUND($D592*K592/100,0)</f>
        <v>0</v>
      </c>
      <c r="T592" s="1648"/>
      <c r="U592" s="1644">
        <f>ROUND($D592*M592/100,0)</f>
        <v>203</v>
      </c>
      <c r="V592" s="1648"/>
      <c r="W592" s="1644">
        <f>ROUND($D592*O592/100,0)</f>
        <v>289</v>
      </c>
      <c r="X592" s="1648"/>
      <c r="Y592" s="1644">
        <f>ROUND($D592*Q592/100,0)</f>
        <v>491</v>
      </c>
    </row>
    <row r="593" spans="1:28" hidden="1">
      <c r="A593" s="1900" t="s">
        <v>1648</v>
      </c>
      <c r="C593" s="528">
        <f>'BD-Redesign'!F73</f>
        <v>3132.5</v>
      </c>
      <c r="D593" s="528">
        <f>ROUND(C593/C602*D602,0)</f>
        <v>4072</v>
      </c>
      <c r="F593" s="1943"/>
      <c r="G593" s="1921"/>
      <c r="H593" s="1644"/>
      <c r="I593" s="1644"/>
      <c r="K593" s="1943">
        <f t="shared" ref="K593" si="799">K560</f>
        <v>0</v>
      </c>
      <c r="L593" s="1921" t="s">
        <v>495</v>
      </c>
      <c r="M593" s="1943">
        <f t="shared" ref="M593" si="800">M560</f>
        <v>1.4329000000000001</v>
      </c>
      <c r="N593" s="1921" t="s">
        <v>495</v>
      </c>
      <c r="O593" s="1943">
        <f t="shared" ref="O593" si="801">O560</f>
        <v>2.0403480007099999</v>
      </c>
      <c r="P593" s="1921" t="s">
        <v>495</v>
      </c>
      <c r="Q593" s="1943">
        <f t="shared" si="779"/>
        <v>3.4732480007099999</v>
      </c>
      <c r="R593" s="1921" t="s">
        <v>495</v>
      </c>
      <c r="S593" s="1644">
        <f>ROUND($D593*K593/100,0)</f>
        <v>0</v>
      </c>
      <c r="T593" s="1648"/>
      <c r="U593" s="1644">
        <f>ROUND($D593*M593/100,0)</f>
        <v>58</v>
      </c>
      <c r="V593" s="1648"/>
      <c r="W593" s="1644">
        <f>ROUND($D593*O593/100,0)</f>
        <v>83</v>
      </c>
      <c r="X593" s="1648"/>
      <c r="Y593" s="1644">
        <f>ROUND($D593*Q593/100,0)</f>
        <v>141</v>
      </c>
    </row>
    <row r="594" spans="1:28" hidden="1">
      <c r="A594" s="1900" t="s">
        <v>158</v>
      </c>
      <c r="C594" s="528">
        <f>(C590+C591)*C914/(C914+C915)</f>
        <v>117.62785174590704</v>
      </c>
      <c r="D594" s="528">
        <f>ROUND(C594/C602*D602,0)</f>
        <v>153</v>
      </c>
      <c r="F594" s="1901">
        <f>F561</f>
        <v>14.62</v>
      </c>
      <c r="G594" s="1902"/>
      <c r="H594" s="1644">
        <f t="shared" ref="H594:H596" si="802">ROUND($F594*C594,0)</f>
        <v>1720</v>
      </c>
      <c r="I594" s="1644">
        <f t="shared" ref="I594:I596" si="803">ROUND($F594*D594,0)</f>
        <v>2237</v>
      </c>
      <c r="K594" s="1901"/>
      <c r="L594" s="1902"/>
      <c r="M594" s="1901"/>
      <c r="N594" s="1902"/>
      <c r="O594" s="1901"/>
      <c r="P594" s="1902"/>
      <c r="Q594" s="1901"/>
      <c r="R594" s="1902"/>
      <c r="S594" s="1644"/>
      <c r="T594" s="1643"/>
      <c r="U594" s="1644"/>
      <c r="V594" s="1643"/>
      <c r="W594" s="1644"/>
      <c r="X594" s="1643"/>
      <c r="Y594" s="1644"/>
    </row>
    <row r="595" spans="1:28" hidden="1">
      <c r="A595" s="1900" t="s">
        <v>165</v>
      </c>
      <c r="C595" s="528">
        <f>C590+C591-C594</f>
        <v>21.872148254092963</v>
      </c>
      <c r="D595" s="528">
        <f>ROUND(C595/C602*D602,0)</f>
        <v>28</v>
      </c>
      <c r="F595" s="1901">
        <f>F562</f>
        <v>10.91</v>
      </c>
      <c r="G595" s="1902"/>
      <c r="H595" s="1644">
        <f t="shared" si="802"/>
        <v>239</v>
      </c>
      <c r="I595" s="1644">
        <f t="shared" si="803"/>
        <v>305</v>
      </c>
      <c r="K595" s="1901"/>
      <c r="L595" s="1902"/>
      <c r="M595" s="1901"/>
      <c r="N595" s="1902"/>
      <c r="O595" s="1901"/>
      <c r="P595" s="1902"/>
      <c r="Q595" s="1901"/>
      <c r="R595" s="1902"/>
      <c r="S595" s="1644"/>
      <c r="T595" s="1643"/>
      <c r="U595" s="1644"/>
      <c r="V595" s="1643"/>
      <c r="W595" s="1644"/>
      <c r="X595" s="1643"/>
      <c r="Y595" s="1644"/>
    </row>
    <row r="596" spans="1:28" hidden="1">
      <c r="A596" s="1900" t="s">
        <v>261</v>
      </c>
      <c r="C596" s="528">
        <f>C581</f>
        <v>0</v>
      </c>
      <c r="D596" s="528">
        <f>D581</f>
        <v>0</v>
      </c>
      <c r="F596" s="1901">
        <f>F563</f>
        <v>-0.96</v>
      </c>
      <c r="G596" s="1902"/>
      <c r="H596" s="1644">
        <f t="shared" si="802"/>
        <v>0</v>
      </c>
      <c r="I596" s="1644">
        <f t="shared" si="803"/>
        <v>0</v>
      </c>
      <c r="K596" s="1901">
        <f>K563</f>
        <v>-0.96</v>
      </c>
      <c r="L596" s="1902"/>
      <c r="M596" s="1901">
        <f>M563</f>
        <v>0</v>
      </c>
      <c r="N596" s="1902"/>
      <c r="O596" s="1901">
        <f>O563</f>
        <v>0</v>
      </c>
      <c r="P596" s="1902"/>
      <c r="Q596" s="1901">
        <f>Q563</f>
        <v>-0.96</v>
      </c>
      <c r="R596" s="1902"/>
      <c r="S596" s="1644">
        <f t="shared" ref="S596" si="804">ROUND($D596*K596,0)</f>
        <v>0</v>
      </c>
      <c r="T596" s="1643"/>
      <c r="U596" s="1644">
        <f t="shared" ref="U596" si="805">ROUND($D596*M596,0)</f>
        <v>0</v>
      </c>
      <c r="V596" s="1643"/>
      <c r="W596" s="1644">
        <f t="shared" ref="W596" si="806">ROUND($D596*O596,0)</f>
        <v>0</v>
      </c>
      <c r="X596" s="1643"/>
      <c r="Y596" s="1644">
        <f t="shared" ref="Y596" si="807">ROUND($D596*Q596,0)</f>
        <v>0</v>
      </c>
    </row>
    <row r="597" spans="1:28" hidden="1">
      <c r="A597" s="1900" t="s">
        <v>1362</v>
      </c>
      <c r="C597" s="528">
        <f>(C592+C593)*C917/(C917+C918)</f>
        <v>10170</v>
      </c>
      <c r="D597" s="528">
        <f>ROUND(C597/C602*D602,0)</f>
        <v>13220</v>
      </c>
      <c r="F597" s="1943">
        <f>F564</f>
        <v>3.8127</v>
      </c>
      <c r="G597" s="1921" t="s">
        <v>495</v>
      </c>
      <c r="H597" s="1644">
        <f>ROUND($F597*C597/100,0)</f>
        <v>388</v>
      </c>
      <c r="I597" s="1644">
        <f>ROUND($F597*D597/100,0)</f>
        <v>504</v>
      </c>
      <c r="K597" s="1943"/>
      <c r="L597" s="1921"/>
      <c r="M597" s="1943"/>
      <c r="N597" s="1921"/>
      <c r="O597" s="1943"/>
      <c r="P597" s="1921"/>
      <c r="Q597" s="1943"/>
      <c r="R597" s="1921"/>
      <c r="S597" s="1648"/>
      <c r="T597" s="1648"/>
      <c r="U597" s="1648"/>
      <c r="V597" s="1648"/>
      <c r="W597" s="1648"/>
      <c r="X597" s="1648"/>
      <c r="Y597" s="1644"/>
    </row>
    <row r="598" spans="1:28" hidden="1">
      <c r="A598" s="1900" t="s">
        <v>1363</v>
      </c>
      <c r="C598" s="528">
        <f>C592+C593-C597</f>
        <v>2592</v>
      </c>
      <c r="D598" s="528">
        <f>D602-D597</f>
        <v>3369.4067321178118</v>
      </c>
      <c r="F598" s="1943">
        <f>F565</f>
        <v>3.5143</v>
      </c>
      <c r="G598" s="1921" t="s">
        <v>495</v>
      </c>
      <c r="H598" s="1644">
        <f>ROUND($F598*C598/100,0)</f>
        <v>91</v>
      </c>
      <c r="I598" s="1644">
        <f>ROUND($F598*D598/100,0)</f>
        <v>118</v>
      </c>
      <c r="K598" s="1943"/>
      <c r="L598" s="1921"/>
      <c r="M598" s="1943"/>
      <c r="N598" s="1921"/>
      <c r="O598" s="1943"/>
      <c r="P598" s="1921"/>
      <c r="Q598" s="1943"/>
      <c r="R598" s="1921"/>
      <c r="S598" s="1648"/>
      <c r="T598" s="1648"/>
      <c r="U598" s="1648"/>
      <c r="V598" s="1648"/>
      <c r="W598" s="1648"/>
      <c r="X598" s="1648"/>
      <c r="Y598" s="1644"/>
    </row>
    <row r="599" spans="1:28" hidden="1">
      <c r="A599" s="1900" t="s">
        <v>246</v>
      </c>
      <c r="C599" s="529">
        <v>0</v>
      </c>
      <c r="D599" s="529">
        <v>0</v>
      </c>
      <c r="H599" s="1030">
        <v>0</v>
      </c>
      <c r="I599" s="1030">
        <v>0</v>
      </c>
      <c r="Y599" s="1030"/>
    </row>
    <row r="600" spans="1:28" hidden="1">
      <c r="A600" s="1900" t="s">
        <v>1240</v>
      </c>
      <c r="C600" s="584"/>
      <c r="D600" s="584"/>
      <c r="F600" s="1930">
        <f>F567</f>
        <v>-3.61E-2</v>
      </c>
      <c r="G600" s="597"/>
      <c r="H600" s="1644">
        <f>SUM(H594:H595,H597:H598)*$F600</f>
        <v>-88.011799999999994</v>
      </c>
      <c r="I600" s="1644">
        <f>SUM(I594:I595,I597:I598)*$F600</f>
        <v>-114.2204</v>
      </c>
      <c r="K600" s="1930"/>
      <c r="L600" s="597"/>
      <c r="M600" s="1930"/>
      <c r="N600" s="597"/>
      <c r="O600" s="1931" t="str">
        <f>$O$43</f>
        <v>Tax Year 1 (7/1/2021)</v>
      </c>
      <c r="P600" s="597"/>
      <c r="Q600" s="1930">
        <f>$Q$687</f>
        <v>-2.76E-2</v>
      </c>
      <c r="R600" s="597"/>
      <c r="S600" s="1645"/>
      <c r="T600" s="1645"/>
      <c r="U600" s="1645"/>
      <c r="V600" s="1645"/>
      <c r="W600" s="1645"/>
      <c r="X600" s="1645"/>
      <c r="Y600" s="1644">
        <f>Q600*SUM(Y590:Y593)</f>
        <v>-78.798000000000002</v>
      </c>
    </row>
    <row r="601" spans="1:28" hidden="1">
      <c r="A601" s="1900"/>
      <c r="C601" s="584"/>
      <c r="D601" s="584"/>
      <c r="F601" s="1930"/>
      <c r="G601" s="597"/>
      <c r="H601" s="1644"/>
      <c r="I601" s="1644"/>
      <c r="K601" s="1930"/>
      <c r="L601" s="597"/>
      <c r="M601" s="1930"/>
      <c r="N601" s="597"/>
      <c r="O601" s="1931" t="str">
        <f>$O$44</f>
        <v>Tax Year 2 (1/1/2022)</v>
      </c>
      <c r="P601" s="597"/>
      <c r="Q601" s="1930">
        <f>$Q$688</f>
        <v>-1.4999999999999999E-2</v>
      </c>
      <c r="R601" s="597"/>
      <c r="S601" s="1645"/>
      <c r="T601" s="1645"/>
      <c r="U601" s="1645"/>
      <c r="V601" s="1645"/>
      <c r="W601" s="1645"/>
      <c r="X601" s="1645"/>
      <c r="Y601" s="1644">
        <f>Q601*SUM(Y590:Y593)</f>
        <v>-42.824999999999996</v>
      </c>
    </row>
    <row r="602" spans="1:28" ht="16.5" hidden="1" thickBot="1">
      <c r="A602" s="1900" t="s">
        <v>247</v>
      </c>
      <c r="C602" s="1949">
        <f>SUM(C597:C599)</f>
        <v>12762</v>
      </c>
      <c r="D602" s="1949">
        <f>C602*D922/C922</f>
        <v>16589.406732117812</v>
      </c>
      <c r="F602" s="1939"/>
      <c r="H602" s="1647">
        <f>SUM(H587:H600)</f>
        <v>3291.9881999999998</v>
      </c>
      <c r="I602" s="1647">
        <f>SUM(I587:I600)</f>
        <v>4274.7795999999998</v>
      </c>
      <c r="K602" s="1939"/>
      <c r="M602" s="1939"/>
      <c r="O602" s="1939"/>
      <c r="Q602" s="1939"/>
      <c r="S602" s="1647">
        <f>SUM(S587:S599)</f>
        <v>2275</v>
      </c>
      <c r="U602" s="1647">
        <f>SUM(U587:U599)</f>
        <v>1432</v>
      </c>
      <c r="W602" s="1647">
        <f>SUM(W587:W599)</f>
        <v>372</v>
      </c>
      <c r="Y602" s="1647">
        <f>SUM(Y587:Y599)</f>
        <v>4078</v>
      </c>
      <c r="AA602" s="1104" t="s">
        <v>1743</v>
      </c>
      <c r="AB602" s="1890">
        <f>Y602/I602-1</f>
        <v>-4.6032689030330309E-2</v>
      </c>
    </row>
    <row r="603" spans="1:28" ht="16.5" hidden="1" thickTop="1">
      <c r="C603" s="528"/>
      <c r="D603" s="528"/>
    </row>
    <row r="604" spans="1:28" hidden="1">
      <c r="A604" s="1897" t="s">
        <v>1927</v>
      </c>
      <c r="C604" s="528"/>
      <c r="D604" s="528"/>
      <c r="E604" s="597"/>
      <c r="J604" s="597"/>
    </row>
    <row r="605" spans="1:28" hidden="1">
      <c r="A605" s="1900" t="s">
        <v>240</v>
      </c>
      <c r="C605" s="528">
        <f>'BD-Redesign'!D38</f>
        <v>54</v>
      </c>
      <c r="D605" s="528">
        <f>D620</f>
        <v>54</v>
      </c>
      <c r="F605" s="1901"/>
      <c r="G605" s="1902"/>
      <c r="H605" s="1644"/>
      <c r="I605" s="1644"/>
      <c r="K605" s="1901">
        <f>K539</f>
        <v>54</v>
      </c>
      <c r="L605" s="1902"/>
      <c r="M605" s="1901">
        <f>M539</f>
        <v>0</v>
      </c>
      <c r="N605" s="1902"/>
      <c r="O605" s="1901">
        <f>O539</f>
        <v>0</v>
      </c>
      <c r="P605" s="1902"/>
      <c r="Q605" s="1901">
        <f t="shared" ref="Q605:Q615" si="808">Q539</f>
        <v>54</v>
      </c>
      <c r="R605" s="1902"/>
      <c r="S605" s="1644">
        <f>ROUND($D605*K605,0)</f>
        <v>2916</v>
      </c>
      <c r="T605" s="1643"/>
      <c r="U605" s="1644">
        <f>ROUND($D605*M605,0)</f>
        <v>0</v>
      </c>
      <c r="V605" s="1643"/>
      <c r="W605" s="1644">
        <f>ROUND($D605*O605,0)</f>
        <v>0</v>
      </c>
      <c r="X605" s="1643"/>
      <c r="Y605" s="1644">
        <f>ROUND($D605*Q605,0)</f>
        <v>2916</v>
      </c>
      <c r="AA605" s="1109"/>
      <c r="AB605" s="1114"/>
    </row>
    <row r="606" spans="1:28" hidden="1">
      <c r="A606" s="1900" t="s">
        <v>1910</v>
      </c>
      <c r="C606" s="528">
        <f>'BD-Redesign'!D39</f>
        <v>20514.5</v>
      </c>
      <c r="D606" s="528">
        <f t="shared" ref="D606:D615" si="809">C606/$C$618*$D$618</f>
        <v>20711.583208003216</v>
      </c>
      <c r="E606" s="597"/>
      <c r="F606" s="1942"/>
      <c r="G606" s="1921"/>
      <c r="H606" s="1644"/>
      <c r="I606" s="1644"/>
      <c r="J606" s="597"/>
      <c r="K606" s="1942">
        <f t="shared" ref="K606" si="810">K540</f>
        <v>3.9525000000000001</v>
      </c>
      <c r="L606" s="1921" t="s">
        <v>495</v>
      </c>
      <c r="M606" s="1942">
        <f t="shared" ref="M606" si="811">M540</f>
        <v>17.075028114911813</v>
      </c>
      <c r="N606" s="1921" t="s">
        <v>495</v>
      </c>
      <c r="O606" s="1942">
        <f t="shared" ref="O606" si="812">O540</f>
        <v>1.3496999999999999</v>
      </c>
      <c r="P606" s="1921" t="s">
        <v>495</v>
      </c>
      <c r="Q606" s="1942">
        <f t="shared" si="808"/>
        <v>22.377228114911812</v>
      </c>
      <c r="R606" s="1921" t="s">
        <v>495</v>
      </c>
      <c r="S606" s="1644">
        <f>ROUND($D606*K606/100,0)</f>
        <v>819</v>
      </c>
      <c r="T606" s="1648"/>
      <c r="U606" s="1644">
        <f>ROUND($D606*M606/100,0)</f>
        <v>3537</v>
      </c>
      <c r="V606" s="1648"/>
      <c r="W606" s="1644">
        <f>ROUND($D606*O606/100,0)</f>
        <v>280</v>
      </c>
      <c r="X606" s="1648"/>
      <c r="Y606" s="1644">
        <f>ROUND($D606*Q606/100,0)</f>
        <v>4635</v>
      </c>
      <c r="AA606" s="596"/>
      <c r="AB606" s="596"/>
    </row>
    <row r="607" spans="1:28" hidden="1">
      <c r="A607" s="1900" t="s">
        <v>1911</v>
      </c>
      <c r="C607" s="528">
        <f>'BD-Redesign'!D40</f>
        <v>21924</v>
      </c>
      <c r="D607" s="528">
        <f t="shared" si="809"/>
        <v>22134.624302433036</v>
      </c>
      <c r="E607" s="597"/>
      <c r="F607" s="1942"/>
      <c r="G607" s="1921"/>
      <c r="H607" s="1644"/>
      <c r="I607" s="1644"/>
      <c r="J607" s="597"/>
      <c r="K607" s="1942">
        <f t="shared" ref="K607" si="813">K541</f>
        <v>3.9525000000000001</v>
      </c>
      <c r="L607" s="1921" t="s">
        <v>495</v>
      </c>
      <c r="M607" s="1942">
        <f t="shared" ref="M607" si="814">M541</f>
        <v>-0.91518271744099966</v>
      </c>
      <c r="N607" s="1921" t="s">
        <v>495</v>
      </c>
      <c r="O607" s="1942">
        <f t="shared" ref="O607" si="815">O541</f>
        <v>1.3496999999999999</v>
      </c>
      <c r="P607" s="1921" t="s">
        <v>495</v>
      </c>
      <c r="Q607" s="1942">
        <f t="shared" si="808"/>
        <v>4.3870172825590004</v>
      </c>
      <c r="R607" s="1921" t="s">
        <v>495</v>
      </c>
      <c r="S607" s="1644">
        <f t="shared" ref="S607:S613" si="816">ROUND($D607*K607/100,0)</f>
        <v>875</v>
      </c>
      <c r="T607" s="1648"/>
      <c r="U607" s="1644">
        <f t="shared" ref="U607:U613" si="817">ROUND($D607*M607/100,0)</f>
        <v>-203</v>
      </c>
      <c r="V607" s="1648"/>
      <c r="W607" s="1644">
        <f t="shared" ref="W607:W613" si="818">ROUND($D607*O607/100,0)</f>
        <v>299</v>
      </c>
      <c r="X607" s="1648"/>
      <c r="Y607" s="1644">
        <f t="shared" ref="Y607:Y613" si="819">ROUND($D607*Q607/100,0)</f>
        <v>971</v>
      </c>
      <c r="AA607" s="596"/>
      <c r="AB607" s="596"/>
    </row>
    <row r="608" spans="1:28" hidden="1">
      <c r="A608" s="1900" t="s">
        <v>1912</v>
      </c>
      <c r="C608" s="528">
        <f>'BD-Redesign'!D41</f>
        <v>43500.5</v>
      </c>
      <c r="D608" s="528">
        <f t="shared" si="809"/>
        <v>43918.410165480214</v>
      </c>
      <c r="E608" s="597"/>
      <c r="F608" s="1942"/>
      <c r="G608" s="1921"/>
      <c r="H608" s="1644"/>
      <c r="I608" s="1644"/>
      <c r="J608" s="597"/>
      <c r="K608" s="1942">
        <f t="shared" ref="K608" si="820">K542</f>
        <v>3.9525000000000001</v>
      </c>
      <c r="L608" s="1921" t="s">
        <v>495</v>
      </c>
      <c r="M608" s="1942">
        <f t="shared" ref="M608" si="821">M542</f>
        <v>14.656000000000001</v>
      </c>
      <c r="N608" s="1921" t="s">
        <v>495</v>
      </c>
      <c r="O608" s="1942">
        <f t="shared" ref="O608" si="822">O542</f>
        <v>1.1943999999999999</v>
      </c>
      <c r="P608" s="1921" t="s">
        <v>495</v>
      </c>
      <c r="Q608" s="1942">
        <f t="shared" si="808"/>
        <v>19.802900000000001</v>
      </c>
      <c r="R608" s="1921" t="s">
        <v>495</v>
      </c>
      <c r="S608" s="1644">
        <f t="shared" si="816"/>
        <v>1736</v>
      </c>
      <c r="T608" s="1648"/>
      <c r="U608" s="1644">
        <f t="shared" si="817"/>
        <v>6437</v>
      </c>
      <c r="V608" s="1648"/>
      <c r="W608" s="1644">
        <f t="shared" si="818"/>
        <v>525</v>
      </c>
      <c r="X608" s="1648"/>
      <c r="Y608" s="1644">
        <f t="shared" si="819"/>
        <v>8697</v>
      </c>
      <c r="AA608" s="596"/>
      <c r="AB608" s="596"/>
    </row>
    <row r="609" spans="1:28" hidden="1">
      <c r="A609" s="1900" t="s">
        <v>1913</v>
      </c>
      <c r="C609" s="528">
        <f>'BD-Redesign'!D42</f>
        <v>25370.5</v>
      </c>
      <c r="D609" s="528">
        <f t="shared" si="809"/>
        <v>25614.234896226844</v>
      </c>
      <c r="E609" s="597"/>
      <c r="F609" s="1942"/>
      <c r="G609" s="1921"/>
      <c r="H609" s="1644"/>
      <c r="I609" s="1644"/>
      <c r="J609" s="597"/>
      <c r="K609" s="1942">
        <f t="shared" ref="K609" si="823">K543</f>
        <v>3.9525000000000001</v>
      </c>
      <c r="L609" s="1921" t="s">
        <v>495</v>
      </c>
      <c r="M609" s="1942">
        <f t="shared" ref="M609" si="824">M543</f>
        <v>-1.2646000000000002</v>
      </c>
      <c r="N609" s="1921" t="s">
        <v>495</v>
      </c>
      <c r="O609" s="1942">
        <f t="shared" ref="O609" si="825">O543</f>
        <v>1.1943999999999999</v>
      </c>
      <c r="P609" s="1921" t="s">
        <v>495</v>
      </c>
      <c r="Q609" s="1942">
        <f t="shared" si="808"/>
        <v>3.8822999999999999</v>
      </c>
      <c r="R609" s="1921" t="s">
        <v>495</v>
      </c>
      <c r="S609" s="1644">
        <f t="shared" si="816"/>
        <v>1012</v>
      </c>
      <c r="T609" s="1648"/>
      <c r="U609" s="1644">
        <f t="shared" si="817"/>
        <v>-324</v>
      </c>
      <c r="V609" s="1648"/>
      <c r="W609" s="1644">
        <f t="shared" si="818"/>
        <v>306</v>
      </c>
      <c r="X609" s="1648"/>
      <c r="Y609" s="1644">
        <f t="shared" si="819"/>
        <v>994</v>
      </c>
      <c r="AA609" s="596"/>
      <c r="AB609" s="596"/>
    </row>
    <row r="610" spans="1:28" hidden="1">
      <c r="A610" s="1900" t="s">
        <v>1906</v>
      </c>
      <c r="C610" s="528">
        <f>'BD-Redesign'!D43</f>
        <v>23568.242354788523</v>
      </c>
      <c r="D610" s="528">
        <f t="shared" si="809"/>
        <v>23794.662926105346</v>
      </c>
      <c r="E610" s="597"/>
      <c r="F610" s="1942"/>
      <c r="G610" s="1921"/>
      <c r="H610" s="1644"/>
      <c r="I610" s="1644"/>
      <c r="J610" s="597"/>
      <c r="K610" s="1942">
        <f t="shared" ref="K610" si="826">K544</f>
        <v>0</v>
      </c>
      <c r="L610" s="1921" t="s">
        <v>495</v>
      </c>
      <c r="M610" s="1942">
        <f t="shared" ref="M610" si="827">M544</f>
        <v>0</v>
      </c>
      <c r="N610" s="1921" t="s">
        <v>495</v>
      </c>
      <c r="O610" s="1942">
        <f t="shared" ref="O610" si="828">O544</f>
        <v>6</v>
      </c>
      <c r="P610" s="1921" t="s">
        <v>495</v>
      </c>
      <c r="Q610" s="1942">
        <f t="shared" si="808"/>
        <v>6</v>
      </c>
      <c r="R610" s="1921" t="s">
        <v>495</v>
      </c>
      <c r="S610" s="1644">
        <f t="shared" si="816"/>
        <v>0</v>
      </c>
      <c r="T610" s="1648"/>
      <c r="U610" s="1644">
        <f t="shared" si="817"/>
        <v>0</v>
      </c>
      <c r="V610" s="1648"/>
      <c r="W610" s="1644">
        <f t="shared" si="818"/>
        <v>1428</v>
      </c>
      <c r="X610" s="1648"/>
      <c r="Y610" s="1644">
        <f t="shared" si="819"/>
        <v>1428</v>
      </c>
      <c r="AA610" s="596"/>
      <c r="AB610" s="596"/>
    </row>
    <row r="611" spans="1:28" hidden="1">
      <c r="A611" s="1900" t="s">
        <v>1907</v>
      </c>
      <c r="C611" s="528">
        <f>'BD-Redesign'!D44</f>
        <v>18870.257645211477</v>
      </c>
      <c r="D611" s="528">
        <f t="shared" si="809"/>
        <v>19051.544584330906</v>
      </c>
      <c r="E611" s="597"/>
      <c r="F611" s="1942"/>
      <c r="G611" s="1921"/>
      <c r="H611" s="1644"/>
      <c r="I611" s="1644"/>
      <c r="J611" s="597"/>
      <c r="K611" s="1942">
        <f t="shared" ref="K611" si="829">K545</f>
        <v>0</v>
      </c>
      <c r="L611" s="1921" t="s">
        <v>495</v>
      </c>
      <c r="M611" s="1942">
        <f t="shared" ref="M611" si="830">M545</f>
        <v>0</v>
      </c>
      <c r="N611" s="1921" t="s">
        <v>495</v>
      </c>
      <c r="O611" s="1942">
        <f t="shared" ref="O611" si="831">O545</f>
        <v>-2.3358000000000008</v>
      </c>
      <c r="P611" s="1921" t="s">
        <v>495</v>
      </c>
      <c r="Q611" s="1942">
        <f t="shared" si="808"/>
        <v>-2.3358000000000008</v>
      </c>
      <c r="R611" s="1921" t="s">
        <v>495</v>
      </c>
      <c r="S611" s="1644">
        <f t="shared" si="816"/>
        <v>0</v>
      </c>
      <c r="T611" s="1648"/>
      <c r="U611" s="1644">
        <f t="shared" si="817"/>
        <v>0</v>
      </c>
      <c r="V611" s="1648"/>
      <c r="W611" s="1644">
        <f t="shared" si="818"/>
        <v>-445</v>
      </c>
      <c r="X611" s="1648"/>
      <c r="Y611" s="1644">
        <f t="shared" si="819"/>
        <v>-445</v>
      </c>
      <c r="AA611" s="596"/>
      <c r="AB611" s="596"/>
    </row>
    <row r="612" spans="1:28" hidden="1">
      <c r="A612" s="1900" t="s">
        <v>1908</v>
      </c>
      <c r="C612" s="528">
        <f>'BD-Redesign'!D45</f>
        <v>38247.544546028723</v>
      </c>
      <c r="D612" s="528">
        <f t="shared" si="809"/>
        <v>38614.989464373175</v>
      </c>
      <c r="E612" s="597"/>
      <c r="F612" s="1942"/>
      <c r="G612" s="1921"/>
      <c r="H612" s="1644"/>
      <c r="I612" s="1644"/>
      <c r="J612" s="597"/>
      <c r="K612" s="1942">
        <f t="shared" ref="K612" si="832">K546</f>
        <v>0</v>
      </c>
      <c r="L612" s="1921" t="s">
        <v>495</v>
      </c>
      <c r="M612" s="1942">
        <f t="shared" ref="M612" si="833">M546</f>
        <v>0</v>
      </c>
      <c r="N612" s="1921" t="s">
        <v>495</v>
      </c>
      <c r="O612" s="1942">
        <f t="shared" ref="O612" si="834">O546</f>
        <v>5.3097000000000003</v>
      </c>
      <c r="P612" s="1921" t="s">
        <v>495</v>
      </c>
      <c r="Q612" s="1942">
        <f t="shared" si="808"/>
        <v>5.3097000000000003</v>
      </c>
      <c r="R612" s="1921" t="s">
        <v>495</v>
      </c>
      <c r="S612" s="1644">
        <f t="shared" si="816"/>
        <v>0</v>
      </c>
      <c r="T612" s="1648"/>
      <c r="U612" s="1644">
        <f t="shared" si="817"/>
        <v>0</v>
      </c>
      <c r="V612" s="1648"/>
      <c r="W612" s="1644">
        <f t="shared" si="818"/>
        <v>2050</v>
      </c>
      <c r="X612" s="1648"/>
      <c r="Y612" s="1644">
        <f t="shared" si="819"/>
        <v>2050</v>
      </c>
      <c r="AA612" s="596"/>
      <c r="AB612" s="596"/>
    </row>
    <row r="613" spans="1:28" hidden="1">
      <c r="A613" s="1900" t="s">
        <v>1909</v>
      </c>
      <c r="C613" s="528">
        <f>'BD-Redesign'!D46</f>
        <v>30623.455453971277</v>
      </c>
      <c r="D613" s="528">
        <f t="shared" si="809"/>
        <v>30917.655597333884</v>
      </c>
      <c r="E613" s="597"/>
      <c r="F613" s="1942"/>
      <c r="G613" s="1921"/>
      <c r="H613" s="1644"/>
      <c r="I613" s="1644"/>
      <c r="J613" s="597"/>
      <c r="K613" s="1942">
        <f t="shared" ref="K613" si="835">K547</f>
        <v>0</v>
      </c>
      <c r="L613" s="1921" t="s">
        <v>495</v>
      </c>
      <c r="M613" s="1942">
        <f t="shared" ref="M613" si="836">M547</f>
        <v>0</v>
      </c>
      <c r="N613" s="1921" t="s">
        <v>495</v>
      </c>
      <c r="O613" s="1942">
        <f t="shared" ref="O613" si="837">O547</f>
        <v>-2.0670999999999999</v>
      </c>
      <c r="P613" s="1921" t="s">
        <v>495</v>
      </c>
      <c r="Q613" s="1942">
        <f t="shared" si="808"/>
        <v>-2.0670999999999999</v>
      </c>
      <c r="R613" s="1921" t="s">
        <v>495</v>
      </c>
      <c r="S613" s="1644">
        <f t="shared" si="816"/>
        <v>0</v>
      </c>
      <c r="T613" s="1648"/>
      <c r="U613" s="1644">
        <f t="shared" si="817"/>
        <v>0</v>
      </c>
      <c r="V613" s="1648"/>
      <c r="W613" s="1644">
        <f t="shared" si="818"/>
        <v>-639</v>
      </c>
      <c r="X613" s="1648"/>
      <c r="Y613" s="1644">
        <f t="shared" si="819"/>
        <v>-639</v>
      </c>
      <c r="AA613" s="596"/>
      <c r="AB613" s="596"/>
    </row>
    <row r="614" spans="1:28" hidden="1">
      <c r="A614" s="1900" t="s">
        <v>261</v>
      </c>
      <c r="C614" s="528">
        <f>'BD-Redesign'!D47</f>
        <v>0</v>
      </c>
      <c r="D614" s="528">
        <f t="shared" si="809"/>
        <v>0</v>
      </c>
      <c r="F614" s="1901"/>
      <c r="G614" s="1902"/>
      <c r="H614" s="1644"/>
      <c r="I614" s="1644"/>
      <c r="K614" s="1901">
        <f t="shared" ref="K614" si="838">K548</f>
        <v>-0.61</v>
      </c>
      <c r="L614" s="1902"/>
      <c r="M614" s="1901">
        <f t="shared" ref="M614" si="839">M548</f>
        <v>0</v>
      </c>
      <c r="N614" s="1902"/>
      <c r="O614" s="1901">
        <f t="shared" ref="O614" si="840">O548</f>
        <v>0</v>
      </c>
      <c r="P614" s="1902"/>
      <c r="Q614" s="1901">
        <f t="shared" si="808"/>
        <v>-0.61</v>
      </c>
      <c r="R614" s="1902"/>
      <c r="S614" s="1644">
        <f>ROUND($D614*K614,0)</f>
        <v>0</v>
      </c>
      <c r="T614" s="1643"/>
      <c r="U614" s="1644">
        <f>ROUND($D614*M614,0)</f>
        <v>0</v>
      </c>
      <c r="V614" s="1643"/>
      <c r="W614" s="1644">
        <f>ROUND($D614*O614,0)</f>
        <v>0</v>
      </c>
      <c r="X614" s="1643"/>
      <c r="Y614" s="1644">
        <f>ROUND($D614*Q614,0)</f>
        <v>0</v>
      </c>
      <c r="AA614" s="596"/>
      <c r="AB614" s="596"/>
    </row>
    <row r="615" spans="1:28" hidden="1">
      <c r="A615" s="1116" t="s">
        <v>1158</v>
      </c>
      <c r="C615" s="528">
        <f>'BD-Redesign'!D48</f>
        <v>0</v>
      </c>
      <c r="D615" s="528">
        <f t="shared" si="809"/>
        <v>0</v>
      </c>
      <c r="F615" s="1943"/>
      <c r="G615" s="1921"/>
      <c r="H615" s="1644"/>
      <c r="I615" s="1644"/>
      <c r="K615" s="1943">
        <f t="shared" ref="K615" si="841">K549</f>
        <v>0</v>
      </c>
      <c r="L615" s="1921" t="s">
        <v>495</v>
      </c>
      <c r="M615" s="1943">
        <f t="shared" ref="M615" si="842">M549</f>
        <v>7.125</v>
      </c>
      <c r="N615" s="1921" t="s">
        <v>495</v>
      </c>
      <c r="O615" s="1943">
        <f t="shared" ref="O615" si="843">O549</f>
        <v>0</v>
      </c>
      <c r="P615" s="1921" t="s">
        <v>495</v>
      </c>
      <c r="Q615" s="1943">
        <f t="shared" si="808"/>
        <v>7.125</v>
      </c>
      <c r="R615" s="1921" t="s">
        <v>495</v>
      </c>
      <c r="S615" s="1644">
        <f>ROUND($D615*K615/100,0)</f>
        <v>0</v>
      </c>
      <c r="T615" s="1648"/>
      <c r="U615" s="1644">
        <f>ROUND($D615*M615/100,0)</f>
        <v>0</v>
      </c>
      <c r="V615" s="1648"/>
      <c r="W615" s="1644">
        <f>ROUND($D615*O615/100,0)</f>
        <v>0</v>
      </c>
      <c r="X615" s="1648"/>
      <c r="Y615" s="1644">
        <f>ROUND($D615*Q615/100,0)</f>
        <v>0</v>
      </c>
      <c r="AA615" s="1109"/>
      <c r="AB615" s="1114"/>
    </row>
    <row r="616" spans="1:28" hidden="1">
      <c r="A616" s="1900" t="s">
        <v>1240</v>
      </c>
      <c r="C616" s="584"/>
      <c r="D616" s="584"/>
      <c r="F616" s="1930"/>
      <c r="G616" s="597"/>
      <c r="H616" s="1644"/>
      <c r="I616" s="1644"/>
      <c r="K616" s="1930"/>
      <c r="L616" s="597"/>
      <c r="M616" s="1930"/>
      <c r="N616" s="597"/>
      <c r="O616" s="1931" t="str">
        <f>$O$43</f>
        <v>Tax Year 1 (7/1/2021)</v>
      </c>
      <c r="P616" s="597"/>
      <c r="Q616" s="1930">
        <f>$Q$979</f>
        <v>-3.0599999999999999E-2</v>
      </c>
      <c r="R616" s="597"/>
      <c r="S616" s="1645"/>
      <c r="T616" s="1645"/>
      <c r="U616" s="1645"/>
      <c r="V616" s="1645"/>
      <c r="W616" s="1645"/>
      <c r="X616" s="1645"/>
      <c r="Y616" s="1644">
        <f>Q616*SUM(Y606:Y609,Y615)</f>
        <v>-468.08819999999997</v>
      </c>
    </row>
    <row r="617" spans="1:28" hidden="1">
      <c r="A617" s="1900"/>
      <c r="C617" s="584"/>
      <c r="D617" s="584"/>
      <c r="F617" s="1930"/>
      <c r="G617" s="597"/>
      <c r="H617" s="1644"/>
      <c r="I617" s="1644"/>
      <c r="K617" s="1930"/>
      <c r="L617" s="597"/>
      <c r="M617" s="1930"/>
      <c r="N617" s="597"/>
      <c r="O617" s="1931" t="str">
        <f>$O$44</f>
        <v>Tax Year 2 (1/1/2022)</v>
      </c>
      <c r="P617" s="597"/>
      <c r="Q617" s="1930">
        <f>$Q$980</f>
        <v>-1.66E-2</v>
      </c>
      <c r="R617" s="597"/>
      <c r="S617" s="1645"/>
      <c r="T617" s="1645"/>
      <c r="U617" s="1645"/>
      <c r="V617" s="1645"/>
      <c r="W617" s="1645"/>
      <c r="X617" s="1645"/>
      <c r="Y617" s="1644">
        <f>Q617*SUM(Y606:Y609,Y615)</f>
        <v>-253.93020000000001</v>
      </c>
    </row>
    <row r="618" spans="1:28" hidden="1">
      <c r="A618" s="1900" t="s">
        <v>1923</v>
      </c>
      <c r="C618" s="528">
        <f>SUM(C610:C613,C615)</f>
        <v>111309.5</v>
      </c>
      <c r="D618" s="528">
        <f>D635</f>
        <v>112378.85257214331</v>
      </c>
      <c r="F618" s="1901"/>
      <c r="G618" s="1902"/>
      <c r="H618" s="1644"/>
      <c r="I618" s="1644"/>
      <c r="K618" s="1901"/>
      <c r="L618" s="1902"/>
      <c r="M618" s="1901"/>
      <c r="N618" s="1902"/>
      <c r="O618" s="1901"/>
      <c r="P618" s="1902"/>
      <c r="Q618" s="1901"/>
      <c r="R618" s="1902"/>
      <c r="S618" s="1644">
        <f>SUM(S605:S615)</f>
        <v>7358</v>
      </c>
      <c r="T618" s="1643"/>
      <c r="U618" s="1644">
        <f>SUM(U605:U615)</f>
        <v>9447</v>
      </c>
      <c r="V618" s="1643"/>
      <c r="W618" s="1644">
        <f>SUM(W605:W615)</f>
        <v>3804</v>
      </c>
      <c r="X618" s="1643"/>
      <c r="Y618" s="1644">
        <f>SUM(Y605:Y615)</f>
        <v>20607</v>
      </c>
      <c r="AA618" s="1109" t="s">
        <v>1743</v>
      </c>
      <c r="AB618" s="1499">
        <f>Y618/Y635-1</f>
        <v>-0.54753644826980508</v>
      </c>
    </row>
    <row r="619" spans="1:28" hidden="1">
      <c r="A619" s="1900"/>
      <c r="C619" s="528"/>
      <c r="D619" s="528"/>
      <c r="F619" s="1901"/>
      <c r="G619" s="1902"/>
      <c r="H619" s="1644"/>
      <c r="I619" s="1644"/>
      <c r="K619" s="1901"/>
      <c r="L619" s="1902"/>
      <c r="M619" s="1901"/>
      <c r="N619" s="1902"/>
      <c r="O619" s="1901"/>
      <c r="P619" s="1902"/>
      <c r="Q619" s="1901"/>
      <c r="R619" s="1902"/>
      <c r="S619" s="1643"/>
      <c r="T619" s="1643"/>
      <c r="U619" s="1643"/>
      <c r="V619" s="1643"/>
      <c r="W619" s="1643"/>
      <c r="X619" s="1643"/>
      <c r="Y619" s="1644"/>
      <c r="AA619" s="1109"/>
      <c r="AB619" s="1114"/>
    </row>
    <row r="620" spans="1:28" hidden="1">
      <c r="A620" s="1900" t="s">
        <v>240</v>
      </c>
      <c r="C620" s="528">
        <f>C605</f>
        <v>54</v>
      </c>
      <c r="D620" s="528">
        <f>C620*D925/C925</f>
        <v>54</v>
      </c>
      <c r="F620" s="1901">
        <f>F554</f>
        <v>54</v>
      </c>
      <c r="G620" s="1902"/>
      <c r="H620" s="1644">
        <f t="shared" ref="H620:H621" si="844">ROUND($F620*C620,0)</f>
        <v>2916</v>
      </c>
      <c r="I620" s="1644">
        <f t="shared" ref="I620:I621" si="845">ROUND($F620*D620,0)</f>
        <v>2916</v>
      </c>
      <c r="K620" s="1901">
        <f t="shared" ref="K620" si="846">K554</f>
        <v>54</v>
      </c>
      <c r="L620" s="1902"/>
      <c r="M620" s="1901">
        <f t="shared" ref="M620" si="847">M554</f>
        <v>0</v>
      </c>
      <c r="N620" s="1902"/>
      <c r="O620" s="1901">
        <f t="shared" ref="O620" si="848">O554</f>
        <v>0</v>
      </c>
      <c r="P620" s="1902"/>
      <c r="Q620" s="1901">
        <f t="shared" ref="Q620:Q626" si="849">Q554</f>
        <v>54</v>
      </c>
      <c r="R620" s="1902"/>
      <c r="S620" s="1644">
        <f t="shared" ref="S620:S624" si="850">ROUND($D620*K620,0)</f>
        <v>2916</v>
      </c>
      <c r="T620" s="1643"/>
      <c r="U620" s="1644">
        <f t="shared" ref="U620:U624" si="851">ROUND($D620*M620,0)</f>
        <v>0</v>
      </c>
      <c r="V620" s="1643"/>
      <c r="W620" s="1644">
        <f t="shared" ref="W620:W624" si="852">ROUND($D620*O620,0)</f>
        <v>0</v>
      </c>
      <c r="X620" s="1643"/>
      <c r="Y620" s="1644">
        <f t="shared" ref="Y620:Y624" si="853">ROUND($D620*Q620,0)</f>
        <v>2916</v>
      </c>
    </row>
    <row r="621" spans="1:28" hidden="1">
      <c r="A621" s="1900" t="s">
        <v>262</v>
      </c>
      <c r="C621" s="584">
        <v>0</v>
      </c>
      <c r="D621" s="528">
        <v>0</v>
      </c>
      <c r="E621" s="597"/>
      <c r="F621" s="1901">
        <f>F555</f>
        <v>648</v>
      </c>
      <c r="G621" s="1902"/>
      <c r="H621" s="1644">
        <f t="shared" si="844"/>
        <v>0</v>
      </c>
      <c r="I621" s="1644">
        <f t="shared" si="845"/>
        <v>0</v>
      </c>
      <c r="J621" s="597"/>
      <c r="K621" s="1901">
        <f t="shared" ref="K621" si="854">K555</f>
        <v>648</v>
      </c>
      <c r="L621" s="1902"/>
      <c r="M621" s="1901">
        <f t="shared" ref="M621" si="855">M555</f>
        <v>0</v>
      </c>
      <c r="N621" s="1902"/>
      <c r="O621" s="1901">
        <f t="shared" ref="O621" si="856">O555</f>
        <v>0</v>
      </c>
      <c r="P621" s="1902"/>
      <c r="Q621" s="1901">
        <f t="shared" si="849"/>
        <v>648</v>
      </c>
      <c r="R621" s="1902"/>
      <c r="S621" s="1644">
        <f t="shared" si="850"/>
        <v>0</v>
      </c>
      <c r="T621" s="1645"/>
      <c r="U621" s="1644">
        <f t="shared" si="851"/>
        <v>0</v>
      </c>
      <c r="V621" s="1645"/>
      <c r="W621" s="1644">
        <f t="shared" si="852"/>
        <v>0</v>
      </c>
      <c r="X621" s="1645"/>
      <c r="Y621" s="1644">
        <f t="shared" si="853"/>
        <v>0</v>
      </c>
    </row>
    <row r="622" spans="1:28" hidden="1">
      <c r="A622" s="1900" t="s">
        <v>168</v>
      </c>
      <c r="C622" s="528">
        <f>'BD-Redesign'!D68</f>
        <v>2327</v>
      </c>
      <c r="D622" s="528">
        <f>ROUND(C622/C635*D635,0)</f>
        <v>2349</v>
      </c>
      <c r="F622" s="1901">
        <f>F556</f>
        <v>4.04</v>
      </c>
      <c r="G622" s="1902"/>
      <c r="H622" s="1644">
        <f>ROUND($F622*C622,0)</f>
        <v>9401</v>
      </c>
      <c r="I622" s="1644">
        <f>ROUND($F622*D622,0)</f>
        <v>9490</v>
      </c>
      <c r="K622" s="1901">
        <f t="shared" ref="K622" si="857">K556</f>
        <v>4.03</v>
      </c>
      <c r="L622" s="1902"/>
      <c r="M622" s="1901">
        <f t="shared" ref="M622" si="858">M556</f>
        <v>0</v>
      </c>
      <c r="N622" s="1902"/>
      <c r="O622" s="1901">
        <f t="shared" ref="O622" si="859">O556</f>
        <v>0</v>
      </c>
      <c r="P622" s="1902"/>
      <c r="Q622" s="1901">
        <f t="shared" si="849"/>
        <v>4.03</v>
      </c>
      <c r="R622" s="1902"/>
      <c r="S622" s="1644">
        <f t="shared" si="850"/>
        <v>9466</v>
      </c>
      <c r="T622" s="1643"/>
      <c r="U622" s="1644">
        <f t="shared" si="851"/>
        <v>0</v>
      </c>
      <c r="V622" s="1643"/>
      <c r="W622" s="1644">
        <f t="shared" si="852"/>
        <v>0</v>
      </c>
      <c r="X622" s="1643"/>
      <c r="Y622" s="1644">
        <f t="shared" si="853"/>
        <v>9466</v>
      </c>
    </row>
    <row r="623" spans="1:28" hidden="1">
      <c r="A623" s="1900" t="s">
        <v>1649</v>
      </c>
      <c r="C623" s="528">
        <f>'BD-Redesign'!D69</f>
        <v>775.5</v>
      </c>
      <c r="D623" s="528">
        <f>ROUND(C623/C625*D625,0)</f>
        <v>783</v>
      </c>
      <c r="F623" s="1944"/>
      <c r="G623" s="597"/>
      <c r="H623" s="1644"/>
      <c r="I623" s="1644"/>
      <c r="K623" s="1944">
        <f t="shared" ref="K623" si="860">K557</f>
        <v>6.34</v>
      </c>
      <c r="L623" s="597"/>
      <c r="M623" s="1944">
        <f t="shared" ref="M623" si="861">M557</f>
        <v>7.0600000000000005</v>
      </c>
      <c r="N623" s="597"/>
      <c r="O623" s="1944">
        <f t="shared" ref="O623" si="862">O557</f>
        <v>0</v>
      </c>
      <c r="P623" s="597"/>
      <c r="Q623" s="1944">
        <f t="shared" si="849"/>
        <v>13.4</v>
      </c>
      <c r="R623" s="597"/>
      <c r="S623" s="1644">
        <f t="shared" si="850"/>
        <v>4964</v>
      </c>
      <c r="T623" s="1645"/>
      <c r="U623" s="1644">
        <f t="shared" si="851"/>
        <v>5528</v>
      </c>
      <c r="V623" s="1645"/>
      <c r="W623" s="1644">
        <f t="shared" si="852"/>
        <v>0</v>
      </c>
      <c r="X623" s="1645"/>
      <c r="Y623" s="1644">
        <f t="shared" si="853"/>
        <v>10492</v>
      </c>
    </row>
    <row r="624" spans="1:28" hidden="1">
      <c r="A624" s="1900" t="s">
        <v>1650</v>
      </c>
      <c r="C624" s="528">
        <f>'BD-Redesign'!D70</f>
        <v>1551.5</v>
      </c>
      <c r="D624" s="528">
        <f>ROUND(C624/C626*D626,0)</f>
        <v>1566</v>
      </c>
      <c r="F624" s="1944"/>
      <c r="G624" s="597"/>
      <c r="H624" s="1644"/>
      <c r="I624" s="1644"/>
      <c r="K624" s="1944">
        <f t="shared" ref="K624" si="863">K558</f>
        <v>5.61</v>
      </c>
      <c r="L624" s="597"/>
      <c r="M624" s="1944">
        <f t="shared" ref="M624" si="864">M558</f>
        <v>6.2499999999999991</v>
      </c>
      <c r="N624" s="597"/>
      <c r="O624" s="1944">
        <f t="shared" ref="O624" si="865">O558</f>
        <v>0</v>
      </c>
      <c r="P624" s="597"/>
      <c r="Q624" s="1944">
        <f t="shared" si="849"/>
        <v>11.86</v>
      </c>
      <c r="R624" s="597"/>
      <c r="S624" s="1644">
        <f t="shared" si="850"/>
        <v>8785</v>
      </c>
      <c r="T624" s="1645"/>
      <c r="U624" s="1644">
        <f t="shared" si="851"/>
        <v>9788</v>
      </c>
      <c r="V624" s="1645"/>
      <c r="W624" s="1644">
        <f t="shared" si="852"/>
        <v>0</v>
      </c>
      <c r="X624" s="1645"/>
      <c r="Y624" s="1644">
        <f t="shared" si="853"/>
        <v>18573</v>
      </c>
    </row>
    <row r="625" spans="1:28" hidden="1">
      <c r="A625" s="1900" t="s">
        <v>1647</v>
      </c>
      <c r="C625" s="528">
        <f>'BD-Redesign'!D72</f>
        <v>42438.5</v>
      </c>
      <c r="D625" s="528">
        <f>D635-D626</f>
        <v>42845.852572143311</v>
      </c>
      <c r="F625" s="1943"/>
      <c r="G625" s="1921"/>
      <c r="H625" s="1644"/>
      <c r="I625" s="1644"/>
      <c r="K625" s="1943">
        <f t="shared" ref="K625" si="866">K559</f>
        <v>0</v>
      </c>
      <c r="L625" s="1921" t="s">
        <v>495</v>
      </c>
      <c r="M625" s="1943">
        <f t="shared" ref="M625" si="867">M559</f>
        <v>1.6192</v>
      </c>
      <c r="N625" s="1921" t="s">
        <v>495</v>
      </c>
      <c r="O625" s="1943">
        <f t="shared" ref="O625" si="868">O559</f>
        <v>2.305570240802</v>
      </c>
      <c r="P625" s="1921" t="s">
        <v>495</v>
      </c>
      <c r="Q625" s="1943">
        <f t="shared" si="849"/>
        <v>3.9247702408020002</v>
      </c>
      <c r="R625" s="1921" t="s">
        <v>495</v>
      </c>
      <c r="S625" s="1644">
        <f>ROUND($D625*K625/100,0)</f>
        <v>0</v>
      </c>
      <c r="T625" s="1648"/>
      <c r="U625" s="1644">
        <f>ROUND($D625*M625/100,0)</f>
        <v>694</v>
      </c>
      <c r="V625" s="1648"/>
      <c r="W625" s="1644">
        <f>ROUND($D625*O625/100,0)</f>
        <v>988</v>
      </c>
      <c r="X625" s="1648"/>
      <c r="Y625" s="1644">
        <f>ROUND($D625*Q625/100,0)</f>
        <v>1682</v>
      </c>
    </row>
    <row r="626" spans="1:28" hidden="1">
      <c r="A626" s="1900" t="s">
        <v>1648</v>
      </c>
      <c r="C626" s="528">
        <f>'BD-Redesign'!D73</f>
        <v>68871</v>
      </c>
      <c r="D626" s="528">
        <f>ROUND(C626/C635*D635,0)</f>
        <v>69533</v>
      </c>
      <c r="F626" s="1943"/>
      <c r="G626" s="1921"/>
      <c r="H626" s="1644"/>
      <c r="I626" s="1644"/>
      <c r="K626" s="1943">
        <f t="shared" ref="K626" si="869">K560</f>
        <v>0</v>
      </c>
      <c r="L626" s="1921" t="s">
        <v>495</v>
      </c>
      <c r="M626" s="1943">
        <f t="shared" ref="M626" si="870">M560</f>
        <v>1.4329000000000001</v>
      </c>
      <c r="N626" s="1921" t="s">
        <v>495</v>
      </c>
      <c r="O626" s="1943">
        <f t="shared" ref="O626" si="871">O560</f>
        <v>2.0403480007099999</v>
      </c>
      <c r="P626" s="1921" t="s">
        <v>495</v>
      </c>
      <c r="Q626" s="1943">
        <f t="shared" si="849"/>
        <v>3.4732480007099999</v>
      </c>
      <c r="R626" s="1921" t="s">
        <v>495</v>
      </c>
      <c r="S626" s="1644">
        <f>ROUND($D626*K626/100,0)</f>
        <v>0</v>
      </c>
      <c r="T626" s="1648"/>
      <c r="U626" s="1644">
        <f>ROUND($D626*M626/100,0)</f>
        <v>996</v>
      </c>
      <c r="V626" s="1648"/>
      <c r="W626" s="1644">
        <f>ROUND($D626*O626/100,0)</f>
        <v>1419</v>
      </c>
      <c r="X626" s="1648"/>
      <c r="Y626" s="1644">
        <f>ROUND($D626*Q626/100,0)</f>
        <v>2415</v>
      </c>
    </row>
    <row r="627" spans="1:28" hidden="1">
      <c r="A627" s="1900" t="s">
        <v>158</v>
      </c>
      <c r="C627" s="528">
        <f>(C623+C624)*C932/(C932+C933)</f>
        <v>1043.3252055564781</v>
      </c>
      <c r="D627" s="528">
        <f>ROUND(C627/C635*D635,0)</f>
        <v>1053</v>
      </c>
      <c r="F627" s="1901">
        <f>F561</f>
        <v>14.62</v>
      </c>
      <c r="G627" s="1902"/>
      <c r="H627" s="1644">
        <f t="shared" ref="H627:H629" si="872">ROUND($F627*C627,0)</f>
        <v>15253</v>
      </c>
      <c r="I627" s="1644">
        <f t="shared" ref="I627:I629" si="873">ROUND($F627*D627,0)</f>
        <v>15395</v>
      </c>
      <c r="K627" s="1901"/>
      <c r="L627" s="1902"/>
      <c r="M627" s="1901"/>
      <c r="N627" s="1902"/>
      <c r="O627" s="1901"/>
      <c r="P627" s="1902"/>
      <c r="Q627" s="1901"/>
      <c r="R627" s="1902"/>
      <c r="S627" s="1644"/>
      <c r="T627" s="1643"/>
      <c r="U627" s="1644"/>
      <c r="V627" s="1643"/>
      <c r="W627" s="1644"/>
      <c r="X627" s="1643"/>
      <c r="Y627" s="1644"/>
    </row>
    <row r="628" spans="1:28" hidden="1">
      <c r="A628" s="1900" t="s">
        <v>165</v>
      </c>
      <c r="C628" s="528">
        <f>C623+C624-C627</f>
        <v>1283.6747944435219</v>
      </c>
      <c r="D628" s="528">
        <f>ROUND(C628/C635*D635,0)</f>
        <v>1296</v>
      </c>
      <c r="F628" s="1901">
        <f>F562</f>
        <v>10.91</v>
      </c>
      <c r="G628" s="1902"/>
      <c r="H628" s="1644">
        <f t="shared" si="872"/>
        <v>14005</v>
      </c>
      <c r="I628" s="1644">
        <f t="shared" si="873"/>
        <v>14139</v>
      </c>
      <c r="K628" s="1901"/>
      <c r="L628" s="1902"/>
      <c r="M628" s="1901"/>
      <c r="N628" s="1902"/>
      <c r="O628" s="1901"/>
      <c r="P628" s="1902"/>
      <c r="Q628" s="1901"/>
      <c r="R628" s="1902"/>
      <c r="S628" s="1644"/>
      <c r="T628" s="1643"/>
      <c r="U628" s="1644"/>
      <c r="V628" s="1643"/>
      <c r="W628" s="1644"/>
      <c r="X628" s="1643"/>
      <c r="Y628" s="1644"/>
    </row>
    <row r="629" spans="1:28" hidden="1">
      <c r="A629" s="1900" t="s">
        <v>261</v>
      </c>
      <c r="C629" s="528">
        <f>C614</f>
        <v>0</v>
      </c>
      <c r="D629" s="528">
        <f>D614</f>
        <v>0</v>
      </c>
      <c r="F629" s="1901">
        <f>F563</f>
        <v>-0.96</v>
      </c>
      <c r="G629" s="1902"/>
      <c r="H629" s="1644">
        <f t="shared" si="872"/>
        <v>0</v>
      </c>
      <c r="I629" s="1644">
        <f t="shared" si="873"/>
        <v>0</v>
      </c>
      <c r="K629" s="1901">
        <f>K563</f>
        <v>-0.96</v>
      </c>
      <c r="L629" s="1902"/>
      <c r="M629" s="1901">
        <f>M563</f>
        <v>0</v>
      </c>
      <c r="N629" s="1902"/>
      <c r="O629" s="1901">
        <f>O563</f>
        <v>0</v>
      </c>
      <c r="P629" s="1902"/>
      <c r="Q629" s="1901">
        <f>Q563</f>
        <v>-0.96</v>
      </c>
      <c r="R629" s="1902"/>
      <c r="S629" s="1644">
        <f t="shared" ref="S629" si="874">ROUND($D629*K629,0)</f>
        <v>0</v>
      </c>
      <c r="T629" s="1643"/>
      <c r="U629" s="1644">
        <f t="shared" ref="U629" si="875">ROUND($D629*M629,0)</f>
        <v>0</v>
      </c>
      <c r="V629" s="1643"/>
      <c r="W629" s="1644">
        <f t="shared" ref="W629" si="876">ROUND($D629*O629,0)</f>
        <v>0</v>
      </c>
      <c r="X629" s="1643"/>
      <c r="Y629" s="1644">
        <f t="shared" ref="Y629" si="877">ROUND($D629*Q629,0)</f>
        <v>0</v>
      </c>
    </row>
    <row r="630" spans="1:28" hidden="1">
      <c r="A630" s="1900" t="s">
        <v>1362</v>
      </c>
      <c r="C630" s="528">
        <f>(C625+C626)*C935/(C935+C936)</f>
        <v>46037.204457290034</v>
      </c>
      <c r="D630" s="528">
        <f>ROUND(C630/C635*D635,0)</f>
        <v>46479</v>
      </c>
      <c r="F630" s="1943">
        <f>F564</f>
        <v>3.8127</v>
      </c>
      <c r="G630" s="1921" t="s">
        <v>495</v>
      </c>
      <c r="H630" s="1644">
        <f>ROUND($F630*C630/100,0)</f>
        <v>1755</v>
      </c>
      <c r="I630" s="1644">
        <f>ROUND($F630*D630/100,0)</f>
        <v>1772</v>
      </c>
      <c r="K630" s="1943"/>
      <c r="L630" s="1921"/>
      <c r="M630" s="1943"/>
      <c r="N630" s="1921"/>
      <c r="O630" s="1943"/>
      <c r="P630" s="1921"/>
      <c r="Q630" s="1943"/>
      <c r="R630" s="1921"/>
      <c r="S630" s="1648"/>
      <c r="T630" s="1648"/>
      <c r="U630" s="1648"/>
      <c r="V630" s="1648"/>
      <c r="W630" s="1648"/>
      <c r="X630" s="1648"/>
      <c r="Y630" s="1644"/>
    </row>
    <row r="631" spans="1:28" hidden="1">
      <c r="A631" s="1900" t="s">
        <v>1363</v>
      </c>
      <c r="C631" s="528">
        <f>C625+C626-C630</f>
        <v>65272.295542709966</v>
      </c>
      <c r="D631" s="528">
        <f>D635-D630</f>
        <v>65899.852572143311</v>
      </c>
      <c r="F631" s="1943">
        <f>F565</f>
        <v>3.5143</v>
      </c>
      <c r="G631" s="1921" t="s">
        <v>495</v>
      </c>
      <c r="H631" s="1644">
        <f>ROUND($F631*C631/100,0)</f>
        <v>2294</v>
      </c>
      <c r="I631" s="1644">
        <f>ROUND($F631*D631/100,0)</f>
        <v>2316</v>
      </c>
      <c r="K631" s="1943"/>
      <c r="L631" s="1921"/>
      <c r="M631" s="1943"/>
      <c r="N631" s="1921"/>
      <c r="O631" s="1943"/>
      <c r="P631" s="1921"/>
      <c r="Q631" s="1943"/>
      <c r="R631" s="1921"/>
      <c r="S631" s="1648"/>
      <c r="T631" s="1648"/>
      <c r="U631" s="1648"/>
      <c r="V631" s="1648"/>
      <c r="W631" s="1648"/>
      <c r="X631" s="1648"/>
      <c r="Y631" s="1644"/>
    </row>
    <row r="632" spans="1:28" hidden="1">
      <c r="A632" s="1900" t="s">
        <v>246</v>
      </c>
      <c r="C632" s="529">
        <v>0</v>
      </c>
      <c r="D632" s="529">
        <v>0</v>
      </c>
      <c r="H632" s="1030">
        <v>0</v>
      </c>
      <c r="I632" s="1030">
        <v>0</v>
      </c>
      <c r="Y632" s="1030"/>
    </row>
    <row r="633" spans="1:28" hidden="1">
      <c r="A633" s="1900" t="s">
        <v>1240</v>
      </c>
      <c r="C633" s="584"/>
      <c r="D633" s="584"/>
      <c r="F633" s="1930">
        <f>F567</f>
        <v>-3.61E-2</v>
      </c>
      <c r="G633" s="597"/>
      <c r="H633" s="1644">
        <f>SUM(H627:H628,H630:H631)*$F633</f>
        <v>-1202.3827000000001</v>
      </c>
      <c r="I633" s="1644">
        <f>SUM(I627:I628,I630:I631)*$F633</f>
        <v>-1213.7542000000001</v>
      </c>
      <c r="K633" s="1930"/>
      <c r="L633" s="597"/>
      <c r="M633" s="1930"/>
      <c r="N633" s="597"/>
      <c r="O633" s="1931" t="str">
        <f>$O$43</f>
        <v>Tax Year 1 (7/1/2021)</v>
      </c>
      <c r="P633" s="597"/>
      <c r="Q633" s="1930">
        <f>$Q$687</f>
        <v>-2.76E-2</v>
      </c>
      <c r="R633" s="597"/>
      <c r="S633" s="1645"/>
      <c r="T633" s="1645"/>
      <c r="U633" s="1645"/>
      <c r="V633" s="1645"/>
      <c r="W633" s="1645"/>
      <c r="X633" s="1645"/>
      <c r="Y633" s="1644">
        <f>Q633*SUM(Y623:Y626)</f>
        <v>-915.27120000000002</v>
      </c>
    </row>
    <row r="634" spans="1:28" hidden="1">
      <c r="A634" s="1900"/>
      <c r="C634" s="584"/>
      <c r="D634" s="584"/>
      <c r="F634" s="1930"/>
      <c r="G634" s="597"/>
      <c r="H634" s="1644"/>
      <c r="I634" s="1644"/>
      <c r="K634" s="1930"/>
      <c r="L634" s="597"/>
      <c r="M634" s="1930"/>
      <c r="N634" s="597"/>
      <c r="O634" s="1931" t="str">
        <f>$O$44</f>
        <v>Tax Year 2 (1/1/2022)</v>
      </c>
      <c r="P634" s="597"/>
      <c r="Q634" s="1930">
        <f>$Q$688</f>
        <v>-1.4999999999999999E-2</v>
      </c>
      <c r="R634" s="597"/>
      <c r="S634" s="1645"/>
      <c r="T634" s="1645"/>
      <c r="U634" s="1645"/>
      <c r="V634" s="1645"/>
      <c r="W634" s="1645"/>
      <c r="X634" s="1645"/>
      <c r="Y634" s="1644">
        <f>Q634*SUM(Y623:Y626)</f>
        <v>-497.43</v>
      </c>
    </row>
    <row r="635" spans="1:28" ht="16.5" hidden="1" thickBot="1">
      <c r="A635" s="1900" t="s">
        <v>247</v>
      </c>
      <c r="C635" s="1949">
        <f>SUM(C630:C632)</f>
        <v>111309.5</v>
      </c>
      <c r="D635" s="1949">
        <f>C635*D940/C940</f>
        <v>112378.85257214331</v>
      </c>
      <c r="F635" s="1939"/>
      <c r="H635" s="1647">
        <f>SUM(H620:H633)</f>
        <v>44421.617299999998</v>
      </c>
      <c r="I635" s="1647">
        <f>SUM(I620:I633)</f>
        <v>44814.245799999997</v>
      </c>
      <c r="K635" s="1939"/>
      <c r="M635" s="1939"/>
      <c r="O635" s="1939"/>
      <c r="Q635" s="1939"/>
      <c r="S635" s="1647">
        <f>SUM(S620:S632)</f>
        <v>26131</v>
      </c>
      <c r="U635" s="1647">
        <f>SUM(U620:U632)</f>
        <v>17006</v>
      </c>
      <c r="W635" s="1647">
        <f>SUM(W620:W632)</f>
        <v>2407</v>
      </c>
      <c r="Y635" s="1647">
        <f>SUM(Y620:Y632)</f>
        <v>45544</v>
      </c>
      <c r="AA635" s="1104" t="s">
        <v>1743</v>
      </c>
      <c r="AB635" s="1890">
        <f>Y635/I635-1</f>
        <v>1.6283978163033286E-2</v>
      </c>
    </row>
    <row r="636" spans="1:28" ht="16.5" hidden="1" thickTop="1">
      <c r="C636" s="528"/>
      <c r="D636" s="528"/>
    </row>
    <row r="637" spans="1:28" hidden="1">
      <c r="A637" s="1897" t="s">
        <v>1928</v>
      </c>
      <c r="C637" s="528"/>
      <c r="D637" s="528"/>
    </row>
    <row r="638" spans="1:28" hidden="1">
      <c r="A638" s="1900" t="s">
        <v>240</v>
      </c>
      <c r="C638" s="528">
        <f>'BD-Redesign'!E38</f>
        <v>2</v>
      </c>
      <c r="D638" s="528">
        <f>D653</f>
        <v>6</v>
      </c>
      <c r="F638" s="1901"/>
      <c r="G638" s="1902"/>
      <c r="H638" s="1644"/>
      <c r="I638" s="1644"/>
      <c r="K638" s="1901">
        <f t="shared" ref="K638" si="878">K539</f>
        <v>54</v>
      </c>
      <c r="L638" s="1902"/>
      <c r="M638" s="1901">
        <f t="shared" ref="M638" si="879">M539</f>
        <v>0</v>
      </c>
      <c r="N638" s="1902"/>
      <c r="O638" s="1901">
        <f t="shared" ref="O638" si="880">O539</f>
        <v>0</v>
      </c>
      <c r="P638" s="1902"/>
      <c r="Q638" s="1901">
        <f t="shared" ref="Q638:Q648" si="881">Q539</f>
        <v>54</v>
      </c>
      <c r="R638" s="1902"/>
      <c r="S638" s="1644">
        <f>ROUND($D638*K638,0)</f>
        <v>324</v>
      </c>
      <c r="T638" s="1643"/>
      <c r="U638" s="1644">
        <f>ROUND($D638*M638,0)</f>
        <v>0</v>
      </c>
      <c r="V638" s="1643"/>
      <c r="W638" s="1644">
        <f>ROUND($D638*O638,0)</f>
        <v>0</v>
      </c>
      <c r="X638" s="1643"/>
      <c r="Y638" s="1644">
        <f>ROUND($D638*Q638,0)</f>
        <v>324</v>
      </c>
      <c r="AA638" s="1109"/>
      <c r="AB638" s="1114"/>
    </row>
    <row r="639" spans="1:28" hidden="1">
      <c r="A639" s="1900" t="s">
        <v>1910</v>
      </c>
      <c r="C639" s="528">
        <f>'BD-Redesign'!E39</f>
        <v>0</v>
      </c>
      <c r="D639" s="528">
        <f t="shared" ref="D639:D648" si="882">C639/$C$651*$D$651</f>
        <v>0</v>
      </c>
      <c r="E639" s="597"/>
      <c r="F639" s="1942"/>
      <c r="G639" s="1921"/>
      <c r="H639" s="1644"/>
      <c r="I639" s="1644"/>
      <c r="J639" s="597"/>
      <c r="K639" s="1942">
        <f t="shared" ref="K639" si="883">K540</f>
        <v>3.9525000000000001</v>
      </c>
      <c r="L639" s="1921" t="s">
        <v>495</v>
      </c>
      <c r="M639" s="1942">
        <f t="shared" ref="M639" si="884">M540</f>
        <v>17.075028114911813</v>
      </c>
      <c r="N639" s="1921" t="s">
        <v>495</v>
      </c>
      <c r="O639" s="1942">
        <f t="shared" ref="O639" si="885">O540</f>
        <v>1.3496999999999999</v>
      </c>
      <c r="P639" s="1921" t="s">
        <v>495</v>
      </c>
      <c r="Q639" s="1942">
        <f t="shared" si="881"/>
        <v>22.377228114911812</v>
      </c>
      <c r="R639" s="1921" t="s">
        <v>495</v>
      </c>
      <c r="S639" s="1644">
        <f>ROUND($D639*K639/100,0)</f>
        <v>0</v>
      </c>
      <c r="T639" s="1648"/>
      <c r="U639" s="1644">
        <f>ROUND($D639*M639/100,0)</f>
        <v>0</v>
      </c>
      <c r="V639" s="1648"/>
      <c r="W639" s="1644">
        <f>ROUND($D639*O639/100,0)</f>
        <v>0</v>
      </c>
      <c r="X639" s="1648"/>
      <c r="Y639" s="1644">
        <f>ROUND($D639*Q639/100,0)</f>
        <v>0</v>
      </c>
      <c r="AA639" s="596"/>
      <c r="AB639" s="596"/>
    </row>
    <row r="640" spans="1:28" hidden="1">
      <c r="A640" s="1900" t="s">
        <v>1911</v>
      </c>
      <c r="C640" s="528">
        <f>'BD-Redesign'!E40</f>
        <v>0</v>
      </c>
      <c r="D640" s="528">
        <f t="shared" si="882"/>
        <v>0</v>
      </c>
      <c r="E640" s="597"/>
      <c r="F640" s="1942"/>
      <c r="G640" s="1921"/>
      <c r="H640" s="1644"/>
      <c r="I640" s="1644"/>
      <c r="J640" s="597"/>
      <c r="K640" s="1942">
        <f t="shared" ref="K640" si="886">K541</f>
        <v>3.9525000000000001</v>
      </c>
      <c r="L640" s="1921" t="s">
        <v>495</v>
      </c>
      <c r="M640" s="1942">
        <f t="shared" ref="M640" si="887">M541</f>
        <v>-0.91518271744099966</v>
      </c>
      <c r="N640" s="1921" t="s">
        <v>495</v>
      </c>
      <c r="O640" s="1942">
        <f t="shared" ref="O640" si="888">O541</f>
        <v>1.3496999999999999</v>
      </c>
      <c r="P640" s="1921" t="s">
        <v>495</v>
      </c>
      <c r="Q640" s="1942">
        <f t="shared" si="881"/>
        <v>4.3870172825590004</v>
      </c>
      <c r="R640" s="1921" t="s">
        <v>495</v>
      </c>
      <c r="S640" s="1644">
        <f t="shared" ref="S640:S646" si="889">ROUND($D640*K640/100,0)</f>
        <v>0</v>
      </c>
      <c r="T640" s="1648"/>
      <c r="U640" s="1644">
        <f t="shared" ref="U640:U646" si="890">ROUND($D640*M640/100,0)</f>
        <v>0</v>
      </c>
      <c r="V640" s="1648"/>
      <c r="W640" s="1644">
        <f t="shared" ref="W640:W646" si="891">ROUND($D640*O640/100,0)</f>
        <v>0</v>
      </c>
      <c r="X640" s="1648"/>
      <c r="Y640" s="1644">
        <f t="shared" ref="Y640:Y646" si="892">ROUND($D640*Q640/100,0)</f>
        <v>0</v>
      </c>
      <c r="AA640" s="596"/>
      <c r="AB640" s="596"/>
    </row>
    <row r="641" spans="1:28" hidden="1">
      <c r="A641" s="1900" t="s">
        <v>1912</v>
      </c>
      <c r="C641" s="528">
        <f>'BD-Redesign'!E41</f>
        <v>3467.5</v>
      </c>
      <c r="D641" s="528">
        <f t="shared" si="882"/>
        <v>11579.888107875484</v>
      </c>
      <c r="E641" s="597"/>
      <c r="F641" s="1942"/>
      <c r="G641" s="1921"/>
      <c r="H641" s="1644"/>
      <c r="I641" s="1644"/>
      <c r="J641" s="597"/>
      <c r="K641" s="1942">
        <f t="shared" ref="K641" si="893">K542</f>
        <v>3.9525000000000001</v>
      </c>
      <c r="L641" s="1921" t="s">
        <v>495</v>
      </c>
      <c r="M641" s="1942">
        <f t="shared" ref="M641" si="894">M542</f>
        <v>14.656000000000001</v>
      </c>
      <c r="N641" s="1921" t="s">
        <v>495</v>
      </c>
      <c r="O641" s="1942">
        <f t="shared" ref="O641" si="895">O542</f>
        <v>1.1943999999999999</v>
      </c>
      <c r="P641" s="1921" t="s">
        <v>495</v>
      </c>
      <c r="Q641" s="1942">
        <f t="shared" si="881"/>
        <v>19.802900000000001</v>
      </c>
      <c r="R641" s="1921" t="s">
        <v>495</v>
      </c>
      <c r="S641" s="1644">
        <f t="shared" si="889"/>
        <v>458</v>
      </c>
      <c r="T641" s="1648"/>
      <c r="U641" s="1644">
        <f t="shared" si="890"/>
        <v>1697</v>
      </c>
      <c r="V641" s="1648"/>
      <c r="W641" s="1644">
        <f t="shared" si="891"/>
        <v>138</v>
      </c>
      <c r="X641" s="1648"/>
      <c r="Y641" s="1644">
        <f t="shared" si="892"/>
        <v>2293</v>
      </c>
      <c r="AA641" s="596"/>
      <c r="AB641" s="596"/>
    </row>
    <row r="642" spans="1:28" hidden="1">
      <c r="A642" s="1900" t="s">
        <v>1913</v>
      </c>
      <c r="C642" s="528">
        <f>'BD-Redesign'!E42</f>
        <v>75.5</v>
      </c>
      <c r="D642" s="528">
        <f t="shared" si="882"/>
        <v>252.13599196671925</v>
      </c>
      <c r="E642" s="597"/>
      <c r="F642" s="1942"/>
      <c r="G642" s="1921"/>
      <c r="H642" s="1644"/>
      <c r="I642" s="1644"/>
      <c r="J642" s="597"/>
      <c r="K642" s="1942">
        <f t="shared" ref="K642" si="896">K543</f>
        <v>3.9525000000000001</v>
      </c>
      <c r="L642" s="1921" t="s">
        <v>495</v>
      </c>
      <c r="M642" s="1942">
        <f t="shared" ref="M642" si="897">M543</f>
        <v>-1.2646000000000002</v>
      </c>
      <c r="N642" s="1921" t="s">
        <v>495</v>
      </c>
      <c r="O642" s="1942">
        <f t="shared" ref="O642" si="898">O543</f>
        <v>1.1943999999999999</v>
      </c>
      <c r="P642" s="1921" t="s">
        <v>495</v>
      </c>
      <c r="Q642" s="1942">
        <f t="shared" si="881"/>
        <v>3.8822999999999999</v>
      </c>
      <c r="R642" s="1921" t="s">
        <v>495</v>
      </c>
      <c r="S642" s="1644">
        <f t="shared" si="889"/>
        <v>10</v>
      </c>
      <c r="T642" s="1648"/>
      <c r="U642" s="1644">
        <f t="shared" si="890"/>
        <v>-3</v>
      </c>
      <c r="V642" s="1648"/>
      <c r="W642" s="1644">
        <f t="shared" si="891"/>
        <v>3</v>
      </c>
      <c r="X642" s="1648"/>
      <c r="Y642" s="1644">
        <f t="shared" si="892"/>
        <v>10</v>
      </c>
      <c r="AA642" s="596"/>
      <c r="AB642" s="596"/>
    </row>
    <row r="643" spans="1:28" hidden="1">
      <c r="A643" s="1900" t="s">
        <v>1906</v>
      </c>
      <c r="C643" s="528">
        <f>'BD-Redesign'!E43</f>
        <v>0</v>
      </c>
      <c r="D643" s="528">
        <f t="shared" si="882"/>
        <v>0</v>
      </c>
      <c r="E643" s="597"/>
      <c r="F643" s="1942"/>
      <c r="G643" s="1921"/>
      <c r="H643" s="1644"/>
      <c r="I643" s="1644"/>
      <c r="J643" s="597"/>
      <c r="K643" s="1942">
        <f t="shared" ref="K643" si="899">K544</f>
        <v>0</v>
      </c>
      <c r="L643" s="1921" t="s">
        <v>495</v>
      </c>
      <c r="M643" s="1942">
        <f t="shared" ref="M643" si="900">M544</f>
        <v>0</v>
      </c>
      <c r="N643" s="1921" t="s">
        <v>495</v>
      </c>
      <c r="O643" s="1942">
        <f t="shared" ref="O643" si="901">O544</f>
        <v>6</v>
      </c>
      <c r="P643" s="1921" t="s">
        <v>495</v>
      </c>
      <c r="Q643" s="1942">
        <f t="shared" si="881"/>
        <v>6</v>
      </c>
      <c r="R643" s="1921" t="s">
        <v>495</v>
      </c>
      <c r="S643" s="1644">
        <f t="shared" si="889"/>
        <v>0</v>
      </c>
      <c r="T643" s="1648"/>
      <c r="U643" s="1644">
        <f t="shared" si="890"/>
        <v>0</v>
      </c>
      <c r="V643" s="1648"/>
      <c r="W643" s="1644">
        <f t="shared" si="891"/>
        <v>0</v>
      </c>
      <c r="X643" s="1648"/>
      <c r="Y643" s="1644">
        <f t="shared" si="892"/>
        <v>0</v>
      </c>
      <c r="AA643" s="596"/>
      <c r="AB643" s="596"/>
    </row>
    <row r="644" spans="1:28" hidden="1">
      <c r="A644" s="1900" t="s">
        <v>1907</v>
      </c>
      <c r="C644" s="528">
        <f>'BD-Redesign'!E44</f>
        <v>0</v>
      </c>
      <c r="D644" s="528">
        <f t="shared" si="882"/>
        <v>0</v>
      </c>
      <c r="E644" s="597"/>
      <c r="F644" s="1942"/>
      <c r="G644" s="1921"/>
      <c r="H644" s="1644"/>
      <c r="I644" s="1644"/>
      <c r="J644" s="597"/>
      <c r="K644" s="1942">
        <f t="shared" ref="K644" si="902">K545</f>
        <v>0</v>
      </c>
      <c r="L644" s="1921" t="s">
        <v>495</v>
      </c>
      <c r="M644" s="1942">
        <f t="shared" ref="M644" si="903">M545</f>
        <v>0</v>
      </c>
      <c r="N644" s="1921" t="s">
        <v>495</v>
      </c>
      <c r="O644" s="1942">
        <f t="shared" ref="O644" si="904">O545</f>
        <v>-2.3358000000000008</v>
      </c>
      <c r="P644" s="1921" t="s">
        <v>495</v>
      </c>
      <c r="Q644" s="1942">
        <f t="shared" si="881"/>
        <v>-2.3358000000000008</v>
      </c>
      <c r="R644" s="1921" t="s">
        <v>495</v>
      </c>
      <c r="S644" s="1644">
        <f t="shared" si="889"/>
        <v>0</v>
      </c>
      <c r="T644" s="1648"/>
      <c r="U644" s="1644">
        <f t="shared" si="890"/>
        <v>0</v>
      </c>
      <c r="V644" s="1648"/>
      <c r="W644" s="1644">
        <f t="shared" si="891"/>
        <v>0</v>
      </c>
      <c r="X644" s="1648"/>
      <c r="Y644" s="1644">
        <f t="shared" si="892"/>
        <v>0</v>
      </c>
      <c r="AA644" s="596"/>
      <c r="AB644" s="596"/>
    </row>
    <row r="645" spans="1:28" hidden="1">
      <c r="A645" s="1900" t="s">
        <v>1908</v>
      </c>
      <c r="C645" s="528">
        <f>'BD-Redesign'!E45</f>
        <v>1967.6068349026409</v>
      </c>
      <c r="D645" s="528">
        <f t="shared" si="882"/>
        <v>6570.9205446182013</v>
      </c>
      <c r="E645" s="597"/>
      <c r="F645" s="1942"/>
      <c r="G645" s="1921"/>
      <c r="H645" s="1644"/>
      <c r="I645" s="1644"/>
      <c r="J645" s="597"/>
      <c r="K645" s="1942">
        <f t="shared" ref="K645" si="905">K546</f>
        <v>0</v>
      </c>
      <c r="L645" s="1921" t="s">
        <v>495</v>
      </c>
      <c r="M645" s="1942">
        <f t="shared" ref="M645" si="906">M546</f>
        <v>0</v>
      </c>
      <c r="N645" s="1921" t="s">
        <v>495</v>
      </c>
      <c r="O645" s="1942">
        <f t="shared" ref="O645" si="907">O546</f>
        <v>5.3097000000000003</v>
      </c>
      <c r="P645" s="1921" t="s">
        <v>495</v>
      </c>
      <c r="Q645" s="1942">
        <f t="shared" si="881"/>
        <v>5.3097000000000003</v>
      </c>
      <c r="R645" s="1921" t="s">
        <v>495</v>
      </c>
      <c r="S645" s="1644">
        <f t="shared" si="889"/>
        <v>0</v>
      </c>
      <c r="T645" s="1648"/>
      <c r="U645" s="1644">
        <f t="shared" si="890"/>
        <v>0</v>
      </c>
      <c r="V645" s="1648"/>
      <c r="W645" s="1644">
        <f t="shared" si="891"/>
        <v>349</v>
      </c>
      <c r="X645" s="1648"/>
      <c r="Y645" s="1644">
        <f t="shared" si="892"/>
        <v>349</v>
      </c>
      <c r="AA645" s="596"/>
      <c r="AB645" s="596"/>
    </row>
    <row r="646" spans="1:28" hidden="1">
      <c r="A646" s="1900" t="s">
        <v>1909</v>
      </c>
      <c r="C646" s="528">
        <f>'BD-Redesign'!E46</f>
        <v>1575.3931650973593</v>
      </c>
      <c r="D646" s="528">
        <f t="shared" si="882"/>
        <v>5261.1035552240028</v>
      </c>
      <c r="E646" s="597"/>
      <c r="F646" s="1942"/>
      <c r="G646" s="1921"/>
      <c r="H646" s="1644"/>
      <c r="I646" s="1644"/>
      <c r="J646" s="597"/>
      <c r="K646" s="1942">
        <f t="shared" ref="K646" si="908">K547</f>
        <v>0</v>
      </c>
      <c r="L646" s="1921" t="s">
        <v>495</v>
      </c>
      <c r="M646" s="1942">
        <f t="shared" ref="M646" si="909">M547</f>
        <v>0</v>
      </c>
      <c r="N646" s="1921" t="s">
        <v>495</v>
      </c>
      <c r="O646" s="1942">
        <f t="shared" ref="O646" si="910">O547</f>
        <v>-2.0670999999999999</v>
      </c>
      <c r="P646" s="1921" t="s">
        <v>495</v>
      </c>
      <c r="Q646" s="1942">
        <f t="shared" si="881"/>
        <v>-2.0670999999999999</v>
      </c>
      <c r="R646" s="1921" t="s">
        <v>495</v>
      </c>
      <c r="S646" s="1644">
        <f t="shared" si="889"/>
        <v>0</v>
      </c>
      <c r="T646" s="1648"/>
      <c r="U646" s="1644">
        <f t="shared" si="890"/>
        <v>0</v>
      </c>
      <c r="V646" s="1648"/>
      <c r="W646" s="1644">
        <f t="shared" si="891"/>
        <v>-109</v>
      </c>
      <c r="X646" s="1648"/>
      <c r="Y646" s="1644">
        <f t="shared" si="892"/>
        <v>-109</v>
      </c>
      <c r="AA646" s="596"/>
      <c r="AB646" s="596"/>
    </row>
    <row r="647" spans="1:28" hidden="1">
      <c r="A647" s="1900" t="s">
        <v>261</v>
      </c>
      <c r="C647" s="528">
        <f>'BD-Redesign'!E47</f>
        <v>0</v>
      </c>
      <c r="D647" s="528">
        <f t="shared" si="882"/>
        <v>0</v>
      </c>
      <c r="F647" s="1901"/>
      <c r="G647" s="1902"/>
      <c r="H647" s="1644"/>
      <c r="I647" s="1644"/>
      <c r="K647" s="1901">
        <f t="shared" ref="K647" si="911">K548</f>
        <v>-0.61</v>
      </c>
      <c r="L647" s="1902"/>
      <c r="M647" s="1901">
        <f t="shared" ref="M647" si="912">M548</f>
        <v>0</v>
      </c>
      <c r="N647" s="1902"/>
      <c r="O647" s="1901">
        <f t="shared" ref="O647" si="913">O548</f>
        <v>0</v>
      </c>
      <c r="P647" s="1902"/>
      <c r="Q647" s="1901">
        <f t="shared" si="881"/>
        <v>-0.61</v>
      </c>
      <c r="R647" s="1902"/>
      <c r="S647" s="1644">
        <f>ROUND($D647*K647,0)</f>
        <v>0</v>
      </c>
      <c r="T647" s="1643"/>
      <c r="U647" s="1644">
        <f>ROUND($D647*M647,0)</f>
        <v>0</v>
      </c>
      <c r="V647" s="1643"/>
      <c r="W647" s="1644">
        <f>ROUND($D647*O647,0)</f>
        <v>0</v>
      </c>
      <c r="X647" s="1643"/>
      <c r="Y647" s="1644">
        <f>ROUND($D647*Q647,0)</f>
        <v>0</v>
      </c>
      <c r="AA647" s="596"/>
      <c r="AB647" s="596"/>
    </row>
    <row r="648" spans="1:28" hidden="1">
      <c r="A648" s="1116" t="s">
        <v>1158</v>
      </c>
      <c r="C648" s="528">
        <f>'BD-Redesign'!E48</f>
        <v>0</v>
      </c>
      <c r="D648" s="528">
        <f t="shared" si="882"/>
        <v>0</v>
      </c>
      <c r="F648" s="1943"/>
      <c r="G648" s="1921"/>
      <c r="H648" s="1644"/>
      <c r="I648" s="1644"/>
      <c r="K648" s="1943">
        <f t="shared" ref="K648" si="914">K549</f>
        <v>0</v>
      </c>
      <c r="L648" s="1921" t="s">
        <v>495</v>
      </c>
      <c r="M648" s="1943">
        <f t="shared" ref="M648" si="915">M549</f>
        <v>7.125</v>
      </c>
      <c r="N648" s="1921" t="s">
        <v>495</v>
      </c>
      <c r="O648" s="1943">
        <f t="shared" ref="O648" si="916">O549</f>
        <v>0</v>
      </c>
      <c r="P648" s="1921" t="s">
        <v>495</v>
      </c>
      <c r="Q648" s="1943">
        <f t="shared" si="881"/>
        <v>7.125</v>
      </c>
      <c r="R648" s="1921" t="s">
        <v>495</v>
      </c>
      <c r="S648" s="1644">
        <f>ROUND($D648*K648/100,0)</f>
        <v>0</v>
      </c>
      <c r="T648" s="1648"/>
      <c r="U648" s="1644">
        <f>ROUND($D648*M648/100,0)</f>
        <v>0</v>
      </c>
      <c r="V648" s="1648"/>
      <c r="W648" s="1644">
        <f>ROUND($D648*O648/100,0)</f>
        <v>0</v>
      </c>
      <c r="X648" s="1648"/>
      <c r="Y648" s="1644">
        <f>ROUND($D648*Q648/100,0)</f>
        <v>0</v>
      </c>
      <c r="AA648" s="1109"/>
      <c r="AB648" s="1114"/>
    </row>
    <row r="649" spans="1:28" hidden="1">
      <c r="A649" s="1900" t="s">
        <v>1240</v>
      </c>
      <c r="C649" s="584"/>
      <c r="D649" s="584"/>
      <c r="F649" s="1930"/>
      <c r="G649" s="597"/>
      <c r="H649" s="1644"/>
      <c r="I649" s="1644"/>
      <c r="K649" s="1930"/>
      <c r="L649" s="597"/>
      <c r="M649" s="1930"/>
      <c r="N649" s="597"/>
      <c r="O649" s="1931" t="str">
        <f>$O$43</f>
        <v>Tax Year 1 (7/1/2021)</v>
      </c>
      <c r="P649" s="597"/>
      <c r="Q649" s="1930">
        <f>$Q$979</f>
        <v>-3.0599999999999999E-2</v>
      </c>
      <c r="R649" s="597"/>
      <c r="S649" s="1645"/>
      <c r="T649" s="1645"/>
      <c r="U649" s="1645"/>
      <c r="V649" s="1645"/>
      <c r="W649" s="1645"/>
      <c r="X649" s="1645"/>
      <c r="Y649" s="1644">
        <f>Q649*SUM(Y639:Y642,Y648)</f>
        <v>-70.471800000000002</v>
      </c>
    </row>
    <row r="650" spans="1:28" hidden="1">
      <c r="A650" s="1900"/>
      <c r="C650" s="584"/>
      <c r="D650" s="584"/>
      <c r="F650" s="1930"/>
      <c r="G650" s="597"/>
      <c r="H650" s="1644"/>
      <c r="I650" s="1644"/>
      <c r="K650" s="1930"/>
      <c r="L650" s="597"/>
      <c r="M650" s="1930"/>
      <c r="N650" s="597"/>
      <c r="O650" s="1931" t="str">
        <f>$O$44</f>
        <v>Tax Year 2 (1/1/2022)</v>
      </c>
      <c r="P650" s="597"/>
      <c r="Q650" s="1930">
        <f>$Q$980</f>
        <v>-1.66E-2</v>
      </c>
      <c r="R650" s="597"/>
      <c r="S650" s="1645"/>
      <c r="T650" s="1645"/>
      <c r="U650" s="1645"/>
      <c r="V650" s="1645"/>
      <c r="W650" s="1645"/>
      <c r="X650" s="1645"/>
      <c r="Y650" s="1644">
        <f>Q650*SUM(Y639:Y642,Y648)</f>
        <v>-38.229799999999997</v>
      </c>
    </row>
    <row r="651" spans="1:28" hidden="1">
      <c r="A651" s="1900" t="s">
        <v>1923</v>
      </c>
      <c r="C651" s="528">
        <f>SUM(C643:C646,C648)</f>
        <v>3543</v>
      </c>
      <c r="D651" s="528">
        <f>D668</f>
        <v>11832.024099842203</v>
      </c>
      <c r="F651" s="1901"/>
      <c r="G651" s="1902"/>
      <c r="H651" s="1644"/>
      <c r="I651" s="1644"/>
      <c r="K651" s="1901"/>
      <c r="L651" s="1902"/>
      <c r="M651" s="1901"/>
      <c r="N651" s="1902"/>
      <c r="O651" s="1901"/>
      <c r="P651" s="1902"/>
      <c r="Q651" s="1901"/>
      <c r="R651" s="1902"/>
      <c r="S651" s="1644">
        <f>SUM(S638:S648)</f>
        <v>792</v>
      </c>
      <c r="T651" s="1643"/>
      <c r="U651" s="1644">
        <f>SUM(U638:U648)</f>
        <v>1694</v>
      </c>
      <c r="V651" s="1643"/>
      <c r="W651" s="1644">
        <f>SUM(W638:W648)</f>
        <v>381</v>
      </c>
      <c r="X651" s="1643"/>
      <c r="Y651" s="1644">
        <f>SUM(Y638:Y648)</f>
        <v>2867</v>
      </c>
      <c r="AA651" s="1109" t="s">
        <v>1743</v>
      </c>
      <c r="AB651" s="1499">
        <f>Y651/Y668-1</f>
        <v>-0.41845841784989857</v>
      </c>
    </row>
    <row r="652" spans="1:28" hidden="1">
      <c r="A652" s="1900"/>
      <c r="C652" s="528"/>
      <c r="D652" s="528"/>
      <c r="F652" s="1901"/>
      <c r="G652" s="1902"/>
      <c r="H652" s="1644"/>
      <c r="I652" s="1644"/>
      <c r="K652" s="1901"/>
      <c r="L652" s="1902"/>
      <c r="M652" s="1901"/>
      <c r="N652" s="1902"/>
      <c r="O652" s="1901"/>
      <c r="P652" s="1902"/>
      <c r="Q652" s="1901"/>
      <c r="R652" s="1902"/>
      <c r="S652" s="1643"/>
      <c r="T652" s="1643"/>
      <c r="U652" s="1643"/>
      <c r="V652" s="1643"/>
      <c r="W652" s="1643"/>
      <c r="X652" s="1643"/>
      <c r="Y652" s="1644"/>
      <c r="AA652" s="1109"/>
      <c r="AB652" s="1114"/>
    </row>
    <row r="653" spans="1:28" hidden="1">
      <c r="A653" s="1950" t="s">
        <v>240</v>
      </c>
      <c r="C653" s="528">
        <f>C638</f>
        <v>2</v>
      </c>
      <c r="D653" s="528">
        <f>C653*D943/C943</f>
        <v>6</v>
      </c>
      <c r="F653" s="1901">
        <f>F554</f>
        <v>54</v>
      </c>
      <c r="G653" s="1902"/>
      <c r="H653" s="1644">
        <f t="shared" ref="H653:H654" si="917">ROUND($F653*C653,0)</f>
        <v>108</v>
      </c>
      <c r="I653" s="1644">
        <f t="shared" ref="I653:I654" si="918">ROUND($F653*D653,0)</f>
        <v>324</v>
      </c>
      <c r="K653" s="1901">
        <f t="shared" ref="K653" si="919">K554</f>
        <v>54</v>
      </c>
      <c r="L653" s="1902"/>
      <c r="M653" s="1901">
        <f t="shared" ref="M653" si="920">M554</f>
        <v>0</v>
      </c>
      <c r="N653" s="1902"/>
      <c r="O653" s="1901">
        <f t="shared" ref="O653" si="921">O554</f>
        <v>0</v>
      </c>
      <c r="P653" s="1902"/>
      <c r="Q653" s="1901">
        <f t="shared" ref="Q653:Q659" si="922">Q554</f>
        <v>54</v>
      </c>
      <c r="R653" s="1902"/>
      <c r="S653" s="1644">
        <f t="shared" ref="S653:S657" si="923">ROUND($D653*K653,0)</f>
        <v>324</v>
      </c>
      <c r="T653" s="1643"/>
      <c r="U653" s="1644">
        <f t="shared" ref="U653:U657" si="924">ROUND($D653*M653,0)</f>
        <v>0</v>
      </c>
      <c r="V653" s="1643"/>
      <c r="W653" s="1644">
        <f t="shared" ref="W653:W657" si="925">ROUND($D653*O653,0)</f>
        <v>0</v>
      </c>
      <c r="X653" s="1643"/>
      <c r="Y653" s="1644">
        <f t="shared" ref="Y653:Y657" si="926">ROUND($D653*Q653,0)</f>
        <v>324</v>
      </c>
    </row>
    <row r="654" spans="1:28" hidden="1">
      <c r="A654" s="1900" t="s">
        <v>262</v>
      </c>
      <c r="C654" s="584">
        <v>0</v>
      </c>
      <c r="D654" s="528">
        <v>0</v>
      </c>
      <c r="E654" s="597"/>
      <c r="F654" s="1901">
        <f>F555</f>
        <v>648</v>
      </c>
      <c r="G654" s="1902"/>
      <c r="H654" s="1644">
        <f t="shared" si="917"/>
        <v>0</v>
      </c>
      <c r="I654" s="1644">
        <f t="shared" si="918"/>
        <v>0</v>
      </c>
      <c r="J654" s="597"/>
      <c r="K654" s="1901">
        <f t="shared" ref="K654" si="927">K555</f>
        <v>648</v>
      </c>
      <c r="L654" s="1902"/>
      <c r="M654" s="1901">
        <f t="shared" ref="M654" si="928">M555</f>
        <v>0</v>
      </c>
      <c r="N654" s="1902"/>
      <c r="O654" s="1901">
        <f t="shared" ref="O654" si="929">O555</f>
        <v>0</v>
      </c>
      <c r="P654" s="1902"/>
      <c r="Q654" s="1901">
        <f t="shared" si="922"/>
        <v>648</v>
      </c>
      <c r="R654" s="1902"/>
      <c r="S654" s="1644">
        <f t="shared" si="923"/>
        <v>0</v>
      </c>
      <c r="T654" s="1645"/>
      <c r="U654" s="1644">
        <f t="shared" si="924"/>
        <v>0</v>
      </c>
      <c r="V654" s="1645"/>
      <c r="W654" s="1644">
        <f t="shared" si="925"/>
        <v>0</v>
      </c>
      <c r="X654" s="1645"/>
      <c r="Y654" s="1644">
        <f t="shared" si="926"/>
        <v>0</v>
      </c>
    </row>
    <row r="655" spans="1:28" hidden="1">
      <c r="A655" s="1900" t="s">
        <v>168</v>
      </c>
      <c r="C655" s="528">
        <f>'BD-Redesign'!E68</f>
        <v>79</v>
      </c>
      <c r="D655" s="528">
        <f>ROUND(C655/C668*D668,0)</f>
        <v>264</v>
      </c>
      <c r="F655" s="1901">
        <f>F556</f>
        <v>4.04</v>
      </c>
      <c r="G655" s="1902"/>
      <c r="H655" s="1644">
        <f>ROUND($F655*C655,0)</f>
        <v>319</v>
      </c>
      <c r="I655" s="1644">
        <f>ROUND($F655*D655,0)</f>
        <v>1067</v>
      </c>
      <c r="K655" s="1901">
        <f t="shared" ref="K655" si="930">K556</f>
        <v>4.03</v>
      </c>
      <c r="L655" s="1902"/>
      <c r="M655" s="1901">
        <f t="shared" ref="M655" si="931">M556</f>
        <v>0</v>
      </c>
      <c r="N655" s="1902"/>
      <c r="O655" s="1901">
        <f t="shared" ref="O655" si="932">O556</f>
        <v>0</v>
      </c>
      <c r="P655" s="1902"/>
      <c r="Q655" s="1901">
        <f t="shared" si="922"/>
        <v>4.03</v>
      </c>
      <c r="R655" s="1902"/>
      <c r="S655" s="1644">
        <f t="shared" si="923"/>
        <v>1064</v>
      </c>
      <c r="T655" s="1643"/>
      <c r="U655" s="1644">
        <f t="shared" si="924"/>
        <v>0</v>
      </c>
      <c r="V655" s="1643"/>
      <c r="W655" s="1644">
        <f t="shared" si="925"/>
        <v>0</v>
      </c>
      <c r="X655" s="1643"/>
      <c r="Y655" s="1644">
        <f t="shared" si="926"/>
        <v>1064</v>
      </c>
    </row>
    <row r="656" spans="1:28" hidden="1">
      <c r="A656" s="1900" t="s">
        <v>1649</v>
      </c>
      <c r="C656" s="528">
        <f>'BD-Redesign'!E69</f>
        <v>0</v>
      </c>
      <c r="D656" s="528">
        <v>0</v>
      </c>
      <c r="F656" s="1944"/>
      <c r="G656" s="597"/>
      <c r="H656" s="1644"/>
      <c r="I656" s="1644"/>
      <c r="K656" s="1944">
        <f t="shared" ref="K656" si="933">K557</f>
        <v>6.34</v>
      </c>
      <c r="L656" s="597"/>
      <c r="M656" s="1944">
        <f t="shared" ref="M656" si="934">M557</f>
        <v>7.0600000000000005</v>
      </c>
      <c r="N656" s="597"/>
      <c r="O656" s="1944">
        <f t="shared" ref="O656" si="935">O557</f>
        <v>0</v>
      </c>
      <c r="P656" s="597"/>
      <c r="Q656" s="1944">
        <f t="shared" si="922"/>
        <v>13.4</v>
      </c>
      <c r="R656" s="597"/>
      <c r="S656" s="1644">
        <f t="shared" si="923"/>
        <v>0</v>
      </c>
      <c r="T656" s="1645"/>
      <c r="U656" s="1644">
        <f t="shared" si="924"/>
        <v>0</v>
      </c>
      <c r="V656" s="1645"/>
      <c r="W656" s="1644">
        <f t="shared" si="925"/>
        <v>0</v>
      </c>
      <c r="X656" s="1645"/>
      <c r="Y656" s="1644">
        <f t="shared" si="926"/>
        <v>0</v>
      </c>
    </row>
    <row r="657" spans="1:30" hidden="1">
      <c r="A657" s="1900" t="s">
        <v>1650</v>
      </c>
      <c r="C657" s="528">
        <f>'BD-Redesign'!E70</f>
        <v>79</v>
      </c>
      <c r="D657" s="528">
        <f>ROUND(C657/C659*D659,0)</f>
        <v>264</v>
      </c>
      <c r="F657" s="1944"/>
      <c r="G657" s="597"/>
      <c r="H657" s="1644"/>
      <c r="I657" s="1644"/>
      <c r="K657" s="1944">
        <f t="shared" ref="K657" si="936">K558</f>
        <v>5.61</v>
      </c>
      <c r="L657" s="597"/>
      <c r="M657" s="1944">
        <f t="shared" ref="M657" si="937">M558</f>
        <v>6.2499999999999991</v>
      </c>
      <c r="N657" s="597"/>
      <c r="O657" s="1944">
        <f t="shared" ref="O657" si="938">O558</f>
        <v>0</v>
      </c>
      <c r="P657" s="597"/>
      <c r="Q657" s="1944">
        <f t="shared" si="922"/>
        <v>11.86</v>
      </c>
      <c r="R657" s="597"/>
      <c r="S657" s="1644">
        <f t="shared" si="923"/>
        <v>1481</v>
      </c>
      <c r="T657" s="1645"/>
      <c r="U657" s="1644">
        <f t="shared" si="924"/>
        <v>1650</v>
      </c>
      <c r="V657" s="1645"/>
      <c r="W657" s="1644">
        <f t="shared" si="925"/>
        <v>0</v>
      </c>
      <c r="X657" s="1645"/>
      <c r="Y657" s="1644">
        <f t="shared" si="926"/>
        <v>3131</v>
      </c>
    </row>
    <row r="658" spans="1:30" hidden="1">
      <c r="A658" s="1900" t="s">
        <v>1647</v>
      </c>
      <c r="C658" s="528">
        <f>'BD-Redesign'!E72</f>
        <v>0</v>
      </c>
      <c r="D658" s="528">
        <f>D668-D659</f>
        <v>2.4099842203213484E-2</v>
      </c>
      <c r="F658" s="1943"/>
      <c r="G658" s="1921"/>
      <c r="H658" s="1644"/>
      <c r="I658" s="1644"/>
      <c r="K658" s="1943">
        <f t="shared" ref="K658" si="939">K559</f>
        <v>0</v>
      </c>
      <c r="L658" s="1921" t="s">
        <v>495</v>
      </c>
      <c r="M658" s="1943">
        <f t="shared" ref="M658" si="940">M559</f>
        <v>1.6192</v>
      </c>
      <c r="N658" s="1921" t="s">
        <v>495</v>
      </c>
      <c r="O658" s="1943">
        <f t="shared" ref="O658" si="941">O559</f>
        <v>2.305570240802</v>
      </c>
      <c r="P658" s="1921" t="s">
        <v>495</v>
      </c>
      <c r="Q658" s="1943">
        <f t="shared" si="922"/>
        <v>3.9247702408020002</v>
      </c>
      <c r="R658" s="1921" t="s">
        <v>495</v>
      </c>
      <c r="S658" s="1644">
        <f>ROUND($D658*K658/100,0)</f>
        <v>0</v>
      </c>
      <c r="T658" s="1648"/>
      <c r="U658" s="1644">
        <f>ROUND($D658*M658/100,0)</f>
        <v>0</v>
      </c>
      <c r="V658" s="1648"/>
      <c r="W658" s="1644">
        <f>ROUND($D658*O658/100,0)</f>
        <v>0</v>
      </c>
      <c r="X658" s="1648"/>
      <c r="Y658" s="1644">
        <f>ROUND($D658*Q658/100,0)</f>
        <v>0</v>
      </c>
    </row>
    <row r="659" spans="1:30" hidden="1">
      <c r="A659" s="1900" t="s">
        <v>1648</v>
      </c>
      <c r="C659" s="528">
        <f>'BD-Redesign'!E73</f>
        <v>3543</v>
      </c>
      <c r="D659" s="528">
        <f>ROUND(C659/C668*D668,0)</f>
        <v>11832</v>
      </c>
      <c r="F659" s="1943"/>
      <c r="G659" s="1921"/>
      <c r="H659" s="1644"/>
      <c r="I659" s="1644"/>
      <c r="K659" s="1943">
        <f t="shared" ref="K659" si="942">K560</f>
        <v>0</v>
      </c>
      <c r="L659" s="1921" t="s">
        <v>495</v>
      </c>
      <c r="M659" s="1943">
        <f t="shared" ref="M659" si="943">M560</f>
        <v>1.4329000000000001</v>
      </c>
      <c r="N659" s="1921" t="s">
        <v>495</v>
      </c>
      <c r="O659" s="1943">
        <f t="shared" ref="O659" si="944">O560</f>
        <v>2.0403480007099999</v>
      </c>
      <c r="P659" s="1921" t="s">
        <v>495</v>
      </c>
      <c r="Q659" s="1943">
        <f t="shared" si="922"/>
        <v>3.4732480007099999</v>
      </c>
      <c r="R659" s="1921" t="s">
        <v>495</v>
      </c>
      <c r="S659" s="1644">
        <f>ROUND($D659*K659/100,0)</f>
        <v>0</v>
      </c>
      <c r="T659" s="1648"/>
      <c r="U659" s="1644">
        <f>ROUND($D659*M659/100,0)</f>
        <v>170</v>
      </c>
      <c r="V659" s="1648"/>
      <c r="W659" s="1644">
        <f>ROUND($D659*O659/100,0)</f>
        <v>241</v>
      </c>
      <c r="X659" s="1648"/>
      <c r="Y659" s="1644">
        <f>ROUND($D659*Q659/100,0)</f>
        <v>411</v>
      </c>
    </row>
    <row r="660" spans="1:30" hidden="1">
      <c r="A660" s="1900" t="s">
        <v>158</v>
      </c>
      <c r="C660" s="528">
        <f>(C656+C657)*C950/(C950+C951)</f>
        <v>0</v>
      </c>
      <c r="D660" s="528">
        <f>ROUND(C660/C668*D668,0)</f>
        <v>0</v>
      </c>
      <c r="F660" s="1901">
        <f>F561</f>
        <v>14.62</v>
      </c>
      <c r="G660" s="1902"/>
      <c r="H660" s="1644">
        <f t="shared" ref="H660:H662" si="945">ROUND($F660*C660,0)</f>
        <v>0</v>
      </c>
      <c r="I660" s="1644">
        <f t="shared" ref="I660:I662" si="946">ROUND($F660*D660,0)</f>
        <v>0</v>
      </c>
      <c r="K660" s="1901"/>
      <c r="L660" s="1902"/>
      <c r="M660" s="1901"/>
      <c r="N660" s="1902"/>
      <c r="O660" s="1901"/>
      <c r="P660" s="1902"/>
      <c r="Q660" s="1901"/>
      <c r="R660" s="1902"/>
      <c r="S660" s="1644"/>
      <c r="T660" s="1643"/>
      <c r="U660" s="1644"/>
      <c r="V660" s="1643"/>
      <c r="W660" s="1644"/>
      <c r="X660" s="1643"/>
      <c r="Y660" s="1644"/>
    </row>
    <row r="661" spans="1:30" hidden="1">
      <c r="A661" s="1900" t="s">
        <v>165</v>
      </c>
      <c r="C661" s="528">
        <f>C656+C657-C660</f>
        <v>79</v>
      </c>
      <c r="D661" s="528">
        <f>ROUND(C661/C668*D668,0)</f>
        <v>264</v>
      </c>
      <c r="F661" s="1901">
        <f>F562</f>
        <v>10.91</v>
      </c>
      <c r="G661" s="1902"/>
      <c r="H661" s="1644">
        <f t="shared" si="945"/>
        <v>862</v>
      </c>
      <c r="I661" s="1644">
        <f t="shared" si="946"/>
        <v>2880</v>
      </c>
      <c r="K661" s="1901"/>
      <c r="L661" s="1902"/>
      <c r="M661" s="1901"/>
      <c r="N661" s="1902"/>
      <c r="O661" s="1901"/>
      <c r="P661" s="1902"/>
      <c r="Q661" s="1901"/>
      <c r="R661" s="1902"/>
      <c r="S661" s="1644"/>
      <c r="T661" s="1643"/>
      <c r="U661" s="1644"/>
      <c r="V661" s="1643"/>
      <c r="W661" s="1644"/>
      <c r="X661" s="1643"/>
      <c r="Y661" s="1644"/>
    </row>
    <row r="662" spans="1:30" hidden="1">
      <c r="A662" s="1900" t="s">
        <v>261</v>
      </c>
      <c r="C662" s="528">
        <f>C647</f>
        <v>0</v>
      </c>
      <c r="D662" s="528">
        <f>D647</f>
        <v>0</v>
      </c>
      <c r="F662" s="1901">
        <f>F563</f>
        <v>-0.96</v>
      </c>
      <c r="G662" s="1902"/>
      <c r="H662" s="1644">
        <f t="shared" si="945"/>
        <v>0</v>
      </c>
      <c r="I662" s="1644">
        <f t="shared" si="946"/>
        <v>0</v>
      </c>
      <c r="K662" s="1901">
        <f>K563</f>
        <v>-0.96</v>
      </c>
      <c r="L662" s="1902"/>
      <c r="M662" s="1901">
        <f>M563</f>
        <v>0</v>
      </c>
      <c r="N662" s="1902"/>
      <c r="O662" s="1901">
        <f>O563</f>
        <v>0</v>
      </c>
      <c r="P662" s="1902"/>
      <c r="Q662" s="1901">
        <f>Q563</f>
        <v>-0.96</v>
      </c>
      <c r="R662" s="1902"/>
      <c r="S662" s="1644">
        <f t="shared" ref="S662" si="947">ROUND($D662*K662,0)</f>
        <v>0</v>
      </c>
      <c r="T662" s="1643"/>
      <c r="U662" s="1644">
        <f t="shared" ref="U662" si="948">ROUND($D662*M662,0)</f>
        <v>0</v>
      </c>
      <c r="V662" s="1643"/>
      <c r="W662" s="1644">
        <f t="shared" ref="W662" si="949">ROUND($D662*O662,0)</f>
        <v>0</v>
      </c>
      <c r="X662" s="1643"/>
      <c r="Y662" s="1644">
        <f t="shared" ref="Y662" si="950">ROUND($D662*Q662,0)</f>
        <v>0</v>
      </c>
    </row>
    <row r="663" spans="1:30" hidden="1">
      <c r="A663" s="1900" t="s">
        <v>1362</v>
      </c>
      <c r="C663" s="528">
        <f>(C658+C659)*C953/(C953+C954)</f>
        <v>0</v>
      </c>
      <c r="D663" s="528">
        <f>ROUND(C663/C668*D668,0)</f>
        <v>0</v>
      </c>
      <c r="F663" s="1943">
        <f>F564</f>
        <v>3.8127</v>
      </c>
      <c r="G663" s="1921" t="s">
        <v>495</v>
      </c>
      <c r="H663" s="1644">
        <f>ROUND($F663*C663/100,0)</f>
        <v>0</v>
      </c>
      <c r="I663" s="1644">
        <f>ROUND($F663*D663/100,0)</f>
        <v>0</v>
      </c>
      <c r="K663" s="1943"/>
      <c r="L663" s="1921"/>
      <c r="M663" s="1943"/>
      <c r="N663" s="1921"/>
      <c r="O663" s="1943"/>
      <c r="P663" s="1921"/>
      <c r="Q663" s="1943"/>
      <c r="R663" s="1921"/>
      <c r="S663" s="1648"/>
      <c r="T663" s="1648"/>
      <c r="U663" s="1648"/>
      <c r="V663" s="1648"/>
      <c r="W663" s="1648"/>
      <c r="X663" s="1648"/>
      <c r="Y663" s="1644"/>
    </row>
    <row r="664" spans="1:30" hidden="1">
      <c r="A664" s="1900" t="s">
        <v>1363</v>
      </c>
      <c r="C664" s="528">
        <f>C658+C659-C663</f>
        <v>3543</v>
      </c>
      <c r="D664" s="528">
        <f>D668-D663</f>
        <v>11832.024099842203</v>
      </c>
      <c r="F664" s="1943">
        <f>F565</f>
        <v>3.5143</v>
      </c>
      <c r="G664" s="1921" t="s">
        <v>495</v>
      </c>
      <c r="H664" s="1644">
        <f>ROUND($F664*C664/100,0)</f>
        <v>125</v>
      </c>
      <c r="I664" s="1644">
        <f>ROUND($F664*D664/100,0)</f>
        <v>416</v>
      </c>
      <c r="K664" s="1943"/>
      <c r="L664" s="1921"/>
      <c r="M664" s="1943"/>
      <c r="N664" s="1921"/>
      <c r="O664" s="1943"/>
      <c r="P664" s="1921"/>
      <c r="Q664" s="1943"/>
      <c r="R664" s="1921"/>
      <c r="S664" s="1648"/>
      <c r="T664" s="1648"/>
      <c r="U664" s="1648"/>
      <c r="V664" s="1648"/>
      <c r="W664" s="1648"/>
      <c r="X664" s="1648"/>
      <c r="Y664" s="1644"/>
    </row>
    <row r="665" spans="1:30" hidden="1">
      <c r="A665" s="1900" t="s">
        <v>246</v>
      </c>
      <c r="C665" s="529">
        <v>0</v>
      </c>
      <c r="D665" s="529">
        <v>0</v>
      </c>
      <c r="H665" s="1030">
        <v>0</v>
      </c>
      <c r="I665" s="1030">
        <v>0</v>
      </c>
      <c r="Y665" s="1030"/>
    </row>
    <row r="666" spans="1:30" hidden="1">
      <c r="A666" s="1900" t="s">
        <v>1240</v>
      </c>
      <c r="C666" s="584"/>
      <c r="D666" s="584"/>
      <c r="F666" s="1930">
        <f>F567</f>
        <v>-3.61E-2</v>
      </c>
      <c r="G666" s="597"/>
      <c r="H666" s="1644">
        <f>SUM(H660:H661,H663:H664)*$F666</f>
        <v>-35.630699999999997</v>
      </c>
      <c r="I666" s="1644">
        <f>SUM(I660:I661,I663:I664)*$F666</f>
        <v>-118.98560000000001</v>
      </c>
      <c r="K666" s="1930"/>
      <c r="L666" s="597"/>
      <c r="M666" s="1930"/>
      <c r="N666" s="597"/>
      <c r="O666" s="1931" t="str">
        <f>$O$43</f>
        <v>Tax Year 1 (7/1/2021)</v>
      </c>
      <c r="P666" s="597"/>
      <c r="Q666" s="1930">
        <f>$Q$687</f>
        <v>-2.76E-2</v>
      </c>
      <c r="R666" s="597"/>
      <c r="S666" s="1645"/>
      <c r="T666" s="1645"/>
      <c r="U666" s="1645"/>
      <c r="V666" s="1645"/>
      <c r="W666" s="1645"/>
      <c r="X666" s="1645"/>
      <c r="Y666" s="1644">
        <f>Q666*SUM(Y656:Y659)</f>
        <v>-97.759199999999993</v>
      </c>
    </row>
    <row r="667" spans="1:30" hidden="1">
      <c r="A667" s="1900"/>
      <c r="C667" s="584"/>
      <c r="D667" s="584"/>
      <c r="F667" s="1930"/>
      <c r="G667" s="597"/>
      <c r="H667" s="1644"/>
      <c r="I667" s="1644"/>
      <c r="K667" s="1930"/>
      <c r="L667" s="597"/>
      <c r="M667" s="1930"/>
      <c r="N667" s="597"/>
      <c r="O667" s="1931" t="str">
        <f>$O$44</f>
        <v>Tax Year 2 (1/1/2022)</v>
      </c>
      <c r="P667" s="597"/>
      <c r="Q667" s="1930">
        <f>$Q$688</f>
        <v>-1.4999999999999999E-2</v>
      </c>
      <c r="R667" s="597"/>
      <c r="S667" s="1645"/>
      <c r="T667" s="1645"/>
      <c r="U667" s="1645"/>
      <c r="V667" s="1645"/>
      <c r="W667" s="1645"/>
      <c r="X667" s="1645"/>
      <c r="Y667" s="1644">
        <f>Q667*SUM(Y656:Y659)</f>
        <v>-53.129999999999995</v>
      </c>
    </row>
    <row r="668" spans="1:30" ht="16.5" hidden="1" thickBot="1">
      <c r="A668" s="1900" t="s">
        <v>247</v>
      </c>
      <c r="C668" s="1949">
        <f>SUM(C663:C665)</f>
        <v>3543</v>
      </c>
      <c r="D668" s="1949">
        <f>C668*D958/C958</f>
        <v>11832.024099842203</v>
      </c>
      <c r="F668" s="1939"/>
      <c r="H668" s="1647">
        <f>SUM(H653:H666)</f>
        <v>1378.3693000000001</v>
      </c>
      <c r="I668" s="1647">
        <f>SUM(I653:I666)</f>
        <v>4568.0144</v>
      </c>
      <c r="K668" s="1939"/>
      <c r="M668" s="1939"/>
      <c r="O668" s="1939"/>
      <c r="Q668" s="1939"/>
      <c r="S668" s="1647">
        <f>SUM(S653:S665)</f>
        <v>2869</v>
      </c>
      <c r="U668" s="1647">
        <f>SUM(U653:U665)</f>
        <v>1820</v>
      </c>
      <c r="W668" s="1647">
        <f>SUM(W653:W665)</f>
        <v>241</v>
      </c>
      <c r="Y668" s="1647">
        <f>SUM(Y653:Y665)</f>
        <v>4930</v>
      </c>
      <c r="AA668" s="1104" t="s">
        <v>1743</v>
      </c>
      <c r="AB668" s="1890">
        <f>Y668/I668-1</f>
        <v>7.924353303264553E-2</v>
      </c>
    </row>
    <row r="669" spans="1:30" ht="16.5" hidden="1" thickTop="1"/>
    <row r="670" spans="1:30" ht="16.5" thickTop="1">
      <c r="C670" s="528"/>
      <c r="D670" s="528"/>
    </row>
    <row r="671" spans="1:30">
      <c r="A671" s="1897" t="s">
        <v>549</v>
      </c>
      <c r="C671" s="528"/>
      <c r="D671" s="528"/>
      <c r="AA671" s="1869" t="s">
        <v>2316</v>
      </c>
      <c r="AB671" s="2023">
        <f>D675+D759+D835+D891+D970+D971+D1066+D1067</f>
        <v>18932644</v>
      </c>
      <c r="AC671" s="2023">
        <f>D682+D766+D972+D1068</f>
        <v>815912</v>
      </c>
      <c r="AD671" s="2023">
        <f>AB671-AC671</f>
        <v>18116732</v>
      </c>
    </row>
    <row r="672" spans="1:30">
      <c r="A672" s="1900" t="s">
        <v>240</v>
      </c>
      <c r="C672" s="528">
        <f t="shared" ref="C672:D686" si="951">C693+C714+C735</f>
        <v>157930.33333333372</v>
      </c>
      <c r="D672" s="528">
        <f t="shared" si="951"/>
        <v>157116</v>
      </c>
      <c r="F672" s="1901">
        <v>54</v>
      </c>
      <c r="G672" s="1902"/>
      <c r="H672" s="1644">
        <f t="shared" ref="H672:I682" si="952">ROUND($F672*C672,0)</f>
        <v>8528238</v>
      </c>
      <c r="I672" s="1644">
        <f t="shared" si="952"/>
        <v>8484264</v>
      </c>
      <c r="K672" s="1907">
        <f>Q672</f>
        <v>54</v>
      </c>
      <c r="L672" s="1110"/>
      <c r="M672" s="1907"/>
      <c r="N672" s="1110"/>
      <c r="O672" s="1907"/>
      <c r="P672" s="1902"/>
      <c r="Q672" s="1901">
        <f>ROUND(F672*(1+$AB$676),0)</f>
        <v>54</v>
      </c>
      <c r="R672" s="1902"/>
      <c r="S672" s="1629">
        <f>Y672</f>
        <v>8484264</v>
      </c>
      <c r="T672" s="1629"/>
      <c r="U672" s="1629"/>
      <c r="V672" s="1629"/>
      <c r="W672" s="1629"/>
      <c r="X672" s="1643"/>
      <c r="Y672" s="1644">
        <f>ROUND($D672*Q672,0)</f>
        <v>8484264</v>
      </c>
      <c r="AA672" s="1903" t="s">
        <v>1741</v>
      </c>
      <c r="AB672" s="1904">
        <f>Y690+Y772+Y848+Y904</f>
        <v>487283031</v>
      </c>
      <c r="AC672" s="1951">
        <v>1.0107646226535731</v>
      </c>
      <c r="AD672" s="1869" t="s">
        <v>2255</v>
      </c>
    </row>
    <row r="673" spans="1:30">
      <c r="A673" s="1900" t="s">
        <v>262</v>
      </c>
      <c r="C673" s="528">
        <f t="shared" si="951"/>
        <v>0</v>
      </c>
      <c r="D673" s="528">
        <f t="shared" si="951"/>
        <v>0</v>
      </c>
      <c r="F673" s="1901">
        <v>648</v>
      </c>
      <c r="G673" s="1902"/>
      <c r="H673" s="1644">
        <f t="shared" si="952"/>
        <v>0</v>
      </c>
      <c r="I673" s="1644">
        <f t="shared" si="952"/>
        <v>0</v>
      </c>
      <c r="K673" s="1907">
        <f t="shared" ref="K673:K674" si="953">Q673</f>
        <v>648</v>
      </c>
      <c r="L673" s="1110"/>
      <c r="M673" s="1907"/>
      <c r="N673" s="1110"/>
      <c r="O673" s="1907"/>
      <c r="P673" s="1902"/>
      <c r="Q673" s="1901">
        <f>Q672*12</f>
        <v>648</v>
      </c>
      <c r="R673" s="1902"/>
      <c r="S673" s="1629">
        <f>MIN($S$690-S672-S682,Y673)</f>
        <v>0</v>
      </c>
      <c r="T673" s="1629"/>
      <c r="U673" s="1629"/>
      <c r="V673" s="1629"/>
      <c r="W673" s="1629"/>
      <c r="X673" s="1643"/>
      <c r="Y673" s="1644">
        <f t="shared" ref="Y673:Y677" si="954">ROUND($D673*Q673,0)</f>
        <v>0</v>
      </c>
      <c r="AA673" s="1905" t="s">
        <v>1742</v>
      </c>
      <c r="AB673" s="1906">
        <f>AC672*AC673</f>
        <v>487283031.02363288</v>
      </c>
      <c r="AC673" s="1906">
        <f>SUM(RateSpread!M23:M25,RateSpread!M29)*1000</f>
        <v>482093476.66360009</v>
      </c>
      <c r="AD673" s="1906">
        <f>AB672+AB687+AB969-AC673-AC970</f>
        <v>0.3409583568572998</v>
      </c>
    </row>
    <row r="674" spans="1:30">
      <c r="A674" s="1900" t="s">
        <v>1298</v>
      </c>
      <c r="C674" s="528">
        <f t="shared" si="951"/>
        <v>13.633333333333301</v>
      </c>
      <c r="D674" s="528">
        <f t="shared" si="951"/>
        <v>14</v>
      </c>
      <c r="F674" s="1944">
        <v>54</v>
      </c>
      <c r="G674" s="597"/>
      <c r="H674" s="1644">
        <f t="shared" si="952"/>
        <v>736</v>
      </c>
      <c r="I674" s="1644">
        <f t="shared" si="952"/>
        <v>756</v>
      </c>
      <c r="K674" s="1907">
        <f t="shared" si="953"/>
        <v>54</v>
      </c>
      <c r="L674" s="1110"/>
      <c r="M674" s="1907"/>
      <c r="N674" s="1110"/>
      <c r="O674" s="1907"/>
      <c r="P674" s="597"/>
      <c r="Q674" s="1901">
        <f>Q672</f>
        <v>54</v>
      </c>
      <c r="R674" s="597"/>
      <c r="S674" s="1629">
        <f>MIN($S$690-S672-S673-S682,Y674)</f>
        <v>756</v>
      </c>
      <c r="T674" s="1114"/>
      <c r="U674" s="1114"/>
      <c r="V674" s="1114"/>
      <c r="W674" s="1114"/>
      <c r="X674" s="1645"/>
      <c r="Y674" s="1644">
        <f t="shared" si="954"/>
        <v>756</v>
      </c>
      <c r="AA674" s="1908" t="s">
        <v>87</v>
      </c>
      <c r="AB674" s="1909">
        <f>AB673-AB672</f>
        <v>2.363288402557373E-2</v>
      </c>
      <c r="AD674" s="1933" t="s">
        <v>69</v>
      </c>
    </row>
    <row r="675" spans="1:30">
      <c r="A675" s="1900" t="s">
        <v>168</v>
      </c>
      <c r="C675" s="528">
        <f t="shared" si="951"/>
        <v>16142756.858910916</v>
      </c>
      <c r="D675" s="528">
        <f t="shared" si="951"/>
        <v>15576842</v>
      </c>
      <c r="F675" s="1901">
        <v>4.04</v>
      </c>
      <c r="G675" s="1902"/>
      <c r="H675" s="1644">
        <f>ROUND($F675*C675,0)</f>
        <v>65216738</v>
      </c>
      <c r="I675" s="1644">
        <f>ROUND($F675*D675,0)</f>
        <v>62930442</v>
      </c>
      <c r="K675" s="1907">
        <f>Q675</f>
        <v>4.03</v>
      </c>
      <c r="L675" s="1110"/>
      <c r="M675" s="1907"/>
      <c r="N675" s="1110"/>
      <c r="O675" s="1907"/>
      <c r="P675" s="1902"/>
      <c r="Q675" s="1901">
        <f>ROUND(F675*(1+$AB$676),2)</f>
        <v>4.03</v>
      </c>
      <c r="R675" s="1902"/>
      <c r="S675" s="1629">
        <f>MIN($S$690-S672-S673-S674-S682,Y675)</f>
        <v>62774673</v>
      </c>
      <c r="T675" s="1629"/>
      <c r="U675" s="1629"/>
      <c r="V675" s="1629"/>
      <c r="W675" s="1629"/>
      <c r="X675" s="1643"/>
      <c r="Y675" s="1644">
        <f t="shared" si="954"/>
        <v>62774673</v>
      </c>
      <c r="AA675" s="1903" t="s">
        <v>1743</v>
      </c>
      <c r="AB675" s="1953">
        <f>AB672/(I690+I772+I848+I904)-1</f>
        <v>2.8095933670104101E-2</v>
      </c>
      <c r="AD675" s="1953">
        <f>AB972</f>
        <v>2.9193767702622608E-2</v>
      </c>
    </row>
    <row r="676" spans="1:30">
      <c r="A676" s="1900" t="s">
        <v>1645</v>
      </c>
      <c r="C676" s="528">
        <f t="shared" si="951"/>
        <v>7196639.5007194839</v>
      </c>
      <c r="D676" s="528">
        <f t="shared" si="951"/>
        <v>6921590</v>
      </c>
      <c r="F676" s="1944"/>
      <c r="G676" s="597"/>
      <c r="H676" s="1644"/>
      <c r="I676" s="1644"/>
      <c r="K676" s="1142">
        <f t="shared" ref="K676:K677" si="955">ROUND(S676/$D676,2)</f>
        <v>6.34</v>
      </c>
      <c r="L676" s="617"/>
      <c r="M676" s="1142">
        <f>Q676-K676</f>
        <v>7.0600000000000005</v>
      </c>
      <c r="N676" s="617"/>
      <c r="O676" s="1142">
        <v>0</v>
      </c>
      <c r="P676" s="597"/>
      <c r="Q676" s="1944">
        <f>ROUND(SUM(I680:I681,I764:I765,I840:I841,I896:I897)*(1+AB676)/(SUM(D680,D764,D840,D896)+SUM(D681,D765,D841,D897)/AB680),2)</f>
        <v>13.4</v>
      </c>
      <c r="R676" s="597"/>
      <c r="S676" s="1114">
        <f>MIN($S$690-SUM($S$672:$S$675,$S$682),SUM($Y$676:$Y$677))*$Y676/SUM($Y$676:$Y$677)</f>
        <v>43869131.725542255</v>
      </c>
      <c r="T676" s="1114"/>
      <c r="U676" s="1114">
        <f>MIN($U$690-$U$685,SUM($Y$676:$Y$677)-SUM($S$676:$S$677))*$Y676/SUM($Y$676:$Y$677)</f>
        <v>48880174.274457745</v>
      </c>
      <c r="V676" s="1114"/>
      <c r="W676" s="1114">
        <f>Y676-S676-U676</f>
        <v>0</v>
      </c>
      <c r="X676" s="1645"/>
      <c r="Y676" s="1644">
        <f t="shared" si="954"/>
        <v>92749306</v>
      </c>
      <c r="AA676" s="1905" t="s">
        <v>1744</v>
      </c>
      <c r="AB676" s="1953">
        <f>(AB673-I685-I682-I766-I842-I898)/(SUM(I672:I684,I756:I768,I832:I844,I889:I900)-SUM(I682,I766,I842,I898))-1</f>
        <v>-3.4281330220690132E-3</v>
      </c>
      <c r="AC676" s="1953">
        <f>AB673/(I690+I772+I848+I904)-1</f>
        <v>2.8095933719965993E-2</v>
      </c>
      <c r="AD676" s="1953">
        <f>AB973</f>
        <v>2.919435398062542E-2</v>
      </c>
    </row>
    <row r="677" spans="1:30">
      <c r="A677" s="1900" t="s">
        <v>1646</v>
      </c>
      <c r="C677" s="528">
        <f t="shared" si="951"/>
        <v>8946117.636377288</v>
      </c>
      <c r="D677" s="528">
        <f t="shared" si="951"/>
        <v>8655252</v>
      </c>
      <c r="F677" s="1944"/>
      <c r="G677" s="597"/>
      <c r="H677" s="1644"/>
      <c r="I677" s="1644"/>
      <c r="K677" s="1142">
        <f t="shared" si="955"/>
        <v>5.61</v>
      </c>
      <c r="L677" s="617"/>
      <c r="M677" s="1142">
        <f>Q677-K677</f>
        <v>6.2499999999999991</v>
      </c>
      <c r="N677" s="617"/>
      <c r="O677" s="1142">
        <v>0</v>
      </c>
      <c r="P677" s="597"/>
      <c r="Q677" s="1944">
        <f>ROUND(Q676/AB680,2)</f>
        <v>11.86</v>
      </c>
      <c r="R677" s="597"/>
      <c r="S677" s="1114">
        <f>MIN($S$690-SUM($S$672:$S$675,$S$682),SUM($Y$676:$Y$677))*$Y677/SUM($Y$676:$Y$677)</f>
        <v>48552631.961879127</v>
      </c>
      <c r="T677" s="1114"/>
      <c r="U677" s="1114">
        <f>MIN($U$690-$U$685,SUM($Y$676:$Y$677)-SUM($S$676:$S$677))*$Y677/SUM($Y$676:$Y$677)</f>
        <v>54098657.038120881</v>
      </c>
      <c r="V677" s="1114"/>
      <c r="W677" s="1114">
        <f>Y677-S677-U677</f>
        <v>0</v>
      </c>
      <c r="X677" s="1645"/>
      <c r="Y677" s="1644">
        <f t="shared" si="954"/>
        <v>102651289</v>
      </c>
      <c r="AA677" s="1903" t="s">
        <v>1678</v>
      </c>
      <c r="AB677" s="1910">
        <f>SUM(Y672:Y674,Y756:Y758,Y832:Y834,Y889:Y890)/SUM(I672:I674,I756:I758,I832:I834,I889:I890)-1</f>
        <v>0</v>
      </c>
    </row>
    <row r="678" spans="1:30">
      <c r="A678" s="1900" t="s">
        <v>1647</v>
      </c>
      <c r="C678" s="528">
        <f t="shared" si="951"/>
        <v>2104339921.2249358</v>
      </c>
      <c r="D678" s="528">
        <f t="shared" si="951"/>
        <v>2063156225.1889281</v>
      </c>
      <c r="F678" s="1943"/>
      <c r="G678" s="1921"/>
      <c r="H678" s="1644"/>
      <c r="I678" s="1644"/>
      <c r="K678" s="1924"/>
      <c r="L678" s="1921"/>
      <c r="M678" s="1924">
        <f>ROUND(U678/$D678*100,4)</f>
        <v>1.6192</v>
      </c>
      <c r="N678" s="1921" t="s">
        <v>495</v>
      </c>
      <c r="O678" s="1922">
        <f>Q678-M678</f>
        <v>2.305570240802</v>
      </c>
      <c r="P678" s="1921" t="s">
        <v>495</v>
      </c>
      <c r="Q678" s="1943">
        <f>ROUND((AB673-SUM(Y672:Y677,Y682,Y685,Y756:Y761,Y766,Y832:Y837,Y842,Y889:Y893,Y898))/SUM(D678,D762,D838,D894,(D679+D763+D839+D895)/$AB$680)*100,$AB$8)</f>
        <v>3.9247702408020002</v>
      </c>
      <c r="R678" s="1921" t="s">
        <v>495</v>
      </c>
      <c r="S678" s="1648"/>
      <c r="T678" s="1648"/>
      <c r="U678" s="1114">
        <f>MIN($U$690-SUM($U$676:$U$677,$U$685),SUM($Y$678:$Y$679))*$Y678/SUM($Y$678:$Y$679)</f>
        <v>33406721.600283016</v>
      </c>
      <c r="V678" s="1648"/>
      <c r="W678" s="1114">
        <f t="shared" ref="W678:W679" si="956">Y678-S678-U678</f>
        <v>47567420.399716988</v>
      </c>
      <c r="X678" s="1648"/>
      <c r="Y678" s="1644">
        <f>ROUND($D678*Q678/100,0)</f>
        <v>80974142</v>
      </c>
      <c r="AA678" s="1915" t="s">
        <v>1675</v>
      </c>
      <c r="AB678" s="1954">
        <f>SUM(Y675:Y677,Y759:Y761,Y835:Y837,Y891:Y893)/SUM(I675:I681,I759:I765,I835:I841,I891:I897)-1</f>
        <v>-4.2325117028239045E-3</v>
      </c>
    </row>
    <row r="679" spans="1:30">
      <c r="A679" s="1900" t="s">
        <v>1648</v>
      </c>
      <c r="C679" s="528">
        <f t="shared" si="951"/>
        <v>3672776336.5082054</v>
      </c>
      <c r="D679" s="528">
        <f t="shared" si="951"/>
        <v>3526754594</v>
      </c>
      <c r="F679" s="1943"/>
      <c r="G679" s="1921"/>
      <c r="H679" s="1644"/>
      <c r="I679" s="1644"/>
      <c r="K679" s="1924"/>
      <c r="L679" s="1921"/>
      <c r="M679" s="1924">
        <f>ROUND(U679/$D679*100,4)</f>
        <v>1.4329000000000001</v>
      </c>
      <c r="N679" s="1921" t="s">
        <v>495</v>
      </c>
      <c r="O679" s="1922">
        <f>Q679-M679</f>
        <v>2.0403480007099999</v>
      </c>
      <c r="P679" s="1921" t="s">
        <v>495</v>
      </c>
      <c r="Q679" s="1943">
        <f>ROUND(Q678/$AB$680,$AB$8)</f>
        <v>3.4732480007099999</v>
      </c>
      <c r="R679" s="1921" t="s">
        <v>495</v>
      </c>
      <c r="S679" s="1648"/>
      <c r="T679" s="1648"/>
      <c r="U679" s="1114">
        <f>MIN($U$690-SUM($U$676:$U$677,$U$685),SUM($Y$678:$Y$679))*$Y679/SUM($Y$678:$Y$679)</f>
        <v>50535729.180472448</v>
      </c>
      <c r="V679" s="1648"/>
      <c r="W679" s="1114">
        <f t="shared" si="956"/>
        <v>71957203.819527552</v>
      </c>
      <c r="X679" s="1648"/>
      <c r="Y679" s="1644">
        <f>ROUND($D679*Q679/100,0)</f>
        <v>122492933</v>
      </c>
      <c r="AA679" s="1898" t="s">
        <v>2182</v>
      </c>
      <c r="AB679" s="1955">
        <f>SUM(Y678:Y679,Y762:Y763,Y838:Y839,Y894:Y895)/SUM(I683:I684,I767:I768,I843:I844,I899:I900)-1</f>
        <v>-2.5442581370834771E-3</v>
      </c>
    </row>
    <row r="680" spans="1:30">
      <c r="A680" s="1900" t="s">
        <v>196</v>
      </c>
      <c r="C680" s="528">
        <f t="shared" si="951"/>
        <v>7370533.2140903417</v>
      </c>
      <c r="D680" s="528">
        <f t="shared" si="951"/>
        <v>7107269</v>
      </c>
      <c r="F680" s="1901">
        <v>14.62</v>
      </c>
      <c r="G680" s="1902"/>
      <c r="H680" s="1644">
        <f t="shared" si="952"/>
        <v>107757196</v>
      </c>
      <c r="I680" s="1644">
        <f t="shared" si="952"/>
        <v>103908273</v>
      </c>
      <c r="K680" s="1907"/>
      <c r="L680" s="1110"/>
      <c r="M680" s="1907"/>
      <c r="N680" s="1110"/>
      <c r="O680" s="1907"/>
      <c r="P680" s="1902"/>
      <c r="Q680" s="1901"/>
      <c r="R680" s="1902"/>
      <c r="S680" s="1629"/>
      <c r="T680" s="1629"/>
      <c r="U680" s="1629"/>
      <c r="V680" s="1629"/>
      <c r="W680" s="1629"/>
      <c r="X680" s="1643"/>
      <c r="Y680" s="1644"/>
      <c r="AA680" s="1104" t="s">
        <v>2180</v>
      </c>
      <c r="AB680" s="1956">
        <v>1.1299999999999999</v>
      </c>
    </row>
    <row r="681" spans="1:30">
      <c r="A681" s="1900" t="s">
        <v>161</v>
      </c>
      <c r="C681" s="528">
        <f t="shared" si="951"/>
        <v>8772223.9230064284</v>
      </c>
      <c r="D681" s="528">
        <f t="shared" si="951"/>
        <v>8469573</v>
      </c>
      <c r="F681" s="1901">
        <v>10.91</v>
      </c>
      <c r="G681" s="1902"/>
      <c r="H681" s="1644">
        <f t="shared" si="952"/>
        <v>95704963</v>
      </c>
      <c r="I681" s="1644">
        <f t="shared" si="952"/>
        <v>92403041</v>
      </c>
      <c r="K681" s="1907"/>
      <c r="L681" s="1110"/>
      <c r="M681" s="1907"/>
      <c r="N681" s="1110"/>
      <c r="O681" s="1907"/>
      <c r="P681" s="1902"/>
      <c r="Q681" s="1901"/>
      <c r="R681" s="1902"/>
      <c r="S681" s="1629"/>
      <c r="T681" s="1629"/>
      <c r="U681" s="1629"/>
      <c r="V681" s="1629"/>
      <c r="W681" s="1629"/>
      <c r="X681" s="1643"/>
      <c r="Y681" s="1644"/>
    </row>
    <row r="682" spans="1:30">
      <c r="A682" s="1900" t="s">
        <v>261</v>
      </c>
      <c r="C682" s="528">
        <f t="shared" si="951"/>
        <v>572697.33333333302</v>
      </c>
      <c r="D682" s="528">
        <f t="shared" si="951"/>
        <v>569738</v>
      </c>
      <c r="F682" s="1901">
        <v>-0.96</v>
      </c>
      <c r="G682" s="1902"/>
      <c r="H682" s="1644">
        <f t="shared" si="952"/>
        <v>-549789</v>
      </c>
      <c r="I682" s="1644">
        <f t="shared" si="952"/>
        <v>-546948</v>
      </c>
      <c r="K682" s="1142">
        <f>Q682</f>
        <v>-0.96</v>
      </c>
      <c r="L682" s="617"/>
      <c r="M682" s="1142"/>
      <c r="N682" s="617"/>
      <c r="O682" s="1142"/>
      <c r="P682" s="1902"/>
      <c r="Q682" s="1901">
        <f>F682</f>
        <v>-0.96</v>
      </c>
      <c r="R682" s="1902"/>
      <c r="S682" s="1114">
        <f>Y682</f>
        <v>-546948</v>
      </c>
      <c r="T682" s="1629"/>
      <c r="U682" s="1114"/>
      <c r="V682" s="1629"/>
      <c r="W682" s="1114">
        <f>Y682-S682-U682</f>
        <v>0</v>
      </c>
      <c r="X682" s="1643"/>
      <c r="Y682" s="1644">
        <f t="shared" ref="Y682" si="957">ROUND($D682*Q682,0)</f>
        <v>-546948</v>
      </c>
      <c r="AA682" s="1109" t="s">
        <v>1938</v>
      </c>
      <c r="AB682" s="1917">
        <f>SUM(RateSpread!W23:W25,RateSpread!W29)*1000</f>
        <v>-11407060.936159356</v>
      </c>
      <c r="AC682" s="1918">
        <f>ROUND(AB682/SUM(Y676:Y679,Y685,Y760:Y763,Y836:Y839,Y892:Y895),4)</f>
        <v>-2.76E-2</v>
      </c>
    </row>
    <row r="683" spans="1:30">
      <c r="A683" s="1900" t="s">
        <v>1362</v>
      </c>
      <c r="C683" s="528">
        <f t="shared" si="951"/>
        <v>2582975621.7403913</v>
      </c>
      <c r="D683" s="528">
        <f t="shared" si="951"/>
        <v>2527546695.1889286</v>
      </c>
      <c r="F683" s="1943">
        <v>3.8127</v>
      </c>
      <c r="G683" s="1921" t="s">
        <v>495</v>
      </c>
      <c r="H683" s="1644">
        <f t="shared" ref="H683:I685" si="958">ROUND($F683*C683/100,0)</f>
        <v>98481112</v>
      </c>
      <c r="I683" s="1644">
        <f t="shared" si="958"/>
        <v>96367773</v>
      </c>
      <c r="K683" s="1106"/>
      <c r="L683" s="1921"/>
      <c r="M683" s="1106"/>
      <c r="N683" s="1921"/>
      <c r="O683" s="1106"/>
      <c r="P683" s="1921"/>
      <c r="Q683" s="1943"/>
      <c r="R683" s="1921"/>
      <c r="S683" s="1648"/>
      <c r="T683" s="1648"/>
      <c r="U683" s="1648"/>
      <c r="V683" s="1648"/>
      <c r="W683" s="1648"/>
      <c r="X683" s="1648"/>
      <c r="Y683" s="1644"/>
      <c r="AA683" s="1109" t="s">
        <v>1939</v>
      </c>
      <c r="AB683" s="1917">
        <f>SUM(RateSpread!X23:X25,RateSpread!X29)*1000</f>
        <v>-6192016.0565531496</v>
      </c>
      <c r="AC683" s="1918">
        <f>ROUND(AB683/SUM(Y676:Y679,Y685,Y760:Y763,Y836:Y839,Y892:Y895),4)</f>
        <v>-1.4999999999999999E-2</v>
      </c>
    </row>
    <row r="684" spans="1:30">
      <c r="A684" s="1900" t="s">
        <v>1363</v>
      </c>
      <c r="C684" s="528">
        <f t="shared" si="951"/>
        <v>3194140635.9927492</v>
      </c>
      <c r="D684" s="528">
        <f t="shared" si="951"/>
        <v>3062364124</v>
      </c>
      <c r="F684" s="1943">
        <v>3.5143</v>
      </c>
      <c r="G684" s="1921" t="s">
        <v>495</v>
      </c>
      <c r="H684" s="1644">
        <f t="shared" si="958"/>
        <v>112251684</v>
      </c>
      <c r="I684" s="1644">
        <f t="shared" si="958"/>
        <v>107620662</v>
      </c>
      <c r="K684" s="1106"/>
      <c r="L684" s="1921"/>
      <c r="M684" s="1106"/>
      <c r="N684" s="1921"/>
      <c r="O684" s="1106"/>
      <c r="P684" s="1921"/>
      <c r="Q684" s="1943"/>
      <c r="R684" s="1921"/>
      <c r="S684" s="1648"/>
      <c r="T684" s="1648"/>
      <c r="U684" s="1648"/>
      <c r="V684" s="1648"/>
      <c r="W684" s="1648"/>
      <c r="X684" s="1648"/>
      <c r="Y684" s="1644"/>
      <c r="AA684" s="1869" t="s">
        <v>1929</v>
      </c>
    </row>
    <row r="685" spans="1:30">
      <c r="A685" s="1116" t="s">
        <v>1158</v>
      </c>
      <c r="C685" s="528">
        <f t="shared" si="951"/>
        <v>2072493</v>
      </c>
      <c r="D685" s="528">
        <f t="shared" si="951"/>
        <v>1977670</v>
      </c>
      <c r="F685" s="1943">
        <v>7.125</v>
      </c>
      <c r="G685" s="1921" t="s">
        <v>495</v>
      </c>
      <c r="H685" s="1644">
        <f t="shared" si="958"/>
        <v>147665</v>
      </c>
      <c r="I685" s="1644">
        <f t="shared" si="958"/>
        <v>140909</v>
      </c>
      <c r="K685" s="1924"/>
      <c r="L685" s="1921"/>
      <c r="M685" s="1924">
        <f>Q685</f>
        <v>7.125</v>
      </c>
      <c r="N685" s="1921" t="s">
        <v>495</v>
      </c>
      <c r="O685" s="1922"/>
      <c r="P685" s="1921" t="s">
        <v>495</v>
      </c>
      <c r="Q685" s="1943">
        <f>F685</f>
        <v>7.125</v>
      </c>
      <c r="R685" s="1921" t="s">
        <v>495</v>
      </c>
      <c r="S685" s="1114"/>
      <c r="T685" s="1648"/>
      <c r="U685" s="1114">
        <f>Y685</f>
        <v>140909</v>
      </c>
      <c r="V685" s="1648"/>
      <c r="W685" s="1114">
        <f>Y685-S685-U685</f>
        <v>0</v>
      </c>
      <c r="X685" s="1648"/>
      <c r="Y685" s="1644">
        <f>ROUND($D685*Q685/100,0)</f>
        <v>140909</v>
      </c>
      <c r="AA685" s="1890" t="s">
        <v>1930</v>
      </c>
      <c r="AB685" s="1917">
        <f>Y258+Y400+Y536+Y569</f>
        <v>31053787</v>
      </c>
    </row>
    <row r="686" spans="1:30">
      <c r="A686" s="1900" t="s">
        <v>246</v>
      </c>
      <c r="C686" s="529">
        <f t="shared" si="951"/>
        <v>17677070</v>
      </c>
      <c r="D686" s="529">
        <f t="shared" si="951"/>
        <v>0</v>
      </c>
      <c r="H686" s="1030">
        <f>H707+H728+H749</f>
        <v>1707393.6474135239</v>
      </c>
      <c r="I686" s="1030">
        <f>I707+I728+I749</f>
        <v>0</v>
      </c>
      <c r="Y686" s="1030"/>
      <c r="AA686" s="1869" t="s">
        <v>1931</v>
      </c>
      <c r="AB686" s="1917">
        <f>Y238+Y382+Y518+Y552</f>
        <v>25358195</v>
      </c>
    </row>
    <row r="687" spans="1:30">
      <c r="A687" s="1900" t="s">
        <v>1240</v>
      </c>
      <c r="C687" s="584"/>
      <c r="D687" s="584"/>
      <c r="F687" s="1930">
        <v>-3.61E-2</v>
      </c>
      <c r="G687" s="597"/>
      <c r="H687" s="1644">
        <f>SUM(H680:H681,H683:H685)*$F687</f>
        <v>-14957768.582</v>
      </c>
      <c r="I687" s="1644">
        <f>SUM(I680:I681,I683:I685)*$F687</f>
        <v>-14455907.753799999</v>
      </c>
      <c r="K687" s="1930"/>
      <c r="L687" s="597"/>
      <c r="M687" s="1930"/>
      <c r="N687" s="597"/>
      <c r="O687" s="1931" t="str">
        <f>$O$43</f>
        <v>Tax Year 1 (7/1/2021)</v>
      </c>
      <c r="P687" s="597"/>
      <c r="Q687" s="1930">
        <f>AC682</f>
        <v>-2.76E-2</v>
      </c>
      <c r="R687" s="597"/>
      <c r="S687" s="1645"/>
      <c r="T687" s="1645"/>
      <c r="U687" s="1645"/>
      <c r="V687" s="1645"/>
      <c r="W687" s="1645"/>
      <c r="X687" s="1645"/>
      <c r="Y687" s="1644">
        <f>Q687*SUM(Y676:Y679,Y685)</f>
        <v>-11012636.780400001</v>
      </c>
      <c r="AB687" s="1917">
        <f>AB686-AB685</f>
        <v>-5695592</v>
      </c>
    </row>
    <row r="688" spans="1:30">
      <c r="A688" s="1900"/>
      <c r="C688" s="584"/>
      <c r="D688" s="584"/>
      <c r="F688" s="1930"/>
      <c r="G688" s="597"/>
      <c r="H688" s="1644"/>
      <c r="I688" s="1644"/>
      <c r="K688" s="1930"/>
      <c r="L688" s="597"/>
      <c r="M688" s="1930"/>
      <c r="N688" s="597"/>
      <c r="O688" s="1931" t="str">
        <f>$O$44</f>
        <v>Tax Year 2 (1/1/2022)</v>
      </c>
      <c r="P688" s="597"/>
      <c r="Q688" s="1930">
        <f>AC683</f>
        <v>-1.4999999999999999E-2</v>
      </c>
      <c r="R688" s="597"/>
      <c r="S688" s="1645"/>
      <c r="T688" s="1645"/>
      <c r="U688" s="1645"/>
      <c r="V688" s="1645"/>
      <c r="W688" s="1645"/>
      <c r="X688" s="1645"/>
      <c r="Y688" s="1644">
        <f>Q688*SUM(Y676:Y679,Y685)</f>
        <v>-5985128.6849999996</v>
      </c>
      <c r="AA688" s="1932" t="s">
        <v>1940</v>
      </c>
      <c r="AB688" s="1932"/>
      <c r="AC688" s="1932"/>
      <c r="AD688" s="1932"/>
    </row>
    <row r="689" spans="1:31">
      <c r="A689" s="1116" t="s">
        <v>1317</v>
      </c>
      <c r="C689" s="528">
        <f>C710+C731+C752</f>
        <v>26720</v>
      </c>
      <c r="D689" s="528">
        <f>D710+D731+D752</f>
        <v>25489</v>
      </c>
      <c r="F689" s="1930"/>
      <c r="G689" s="597"/>
      <c r="H689" s="1644"/>
      <c r="I689" s="1644"/>
      <c r="K689" s="1930"/>
      <c r="L689" s="597"/>
      <c r="M689" s="1930"/>
      <c r="N689" s="597"/>
      <c r="O689" s="1930"/>
      <c r="P689" s="597"/>
      <c r="Q689" s="1930"/>
      <c r="R689" s="597"/>
      <c r="S689" s="1645"/>
      <c r="T689" s="1645"/>
      <c r="U689" s="1645"/>
      <c r="V689" s="1645"/>
      <c r="W689" s="1645"/>
      <c r="X689" s="1645"/>
      <c r="Y689" s="1644"/>
      <c r="AA689" s="1933" t="s">
        <v>1660</v>
      </c>
      <c r="AB689" s="1933" t="s">
        <v>1661</v>
      </c>
      <c r="AC689" s="1933" t="s">
        <v>1662</v>
      </c>
      <c r="AD689" s="1933" t="s">
        <v>93</v>
      </c>
    </row>
    <row r="690" spans="1:31" ht="16.5" thickBot="1">
      <c r="A690" s="1900" t="s">
        <v>247</v>
      </c>
      <c r="C690" s="1949">
        <f>SUM(C683:C689)</f>
        <v>5796892540.7331409</v>
      </c>
      <c r="D690" s="1949">
        <f>SUM(D683:D689)</f>
        <v>5591913978.1889286</v>
      </c>
      <c r="F690" s="1939"/>
      <c r="H690" s="1647">
        <f>SUM(H672:H687)</f>
        <v>474288168.06541353</v>
      </c>
      <c r="I690" s="1647">
        <f>SUM(I672:I687)</f>
        <v>456853264.24620003</v>
      </c>
      <c r="K690" s="1939"/>
      <c r="M690" s="1939"/>
      <c r="O690" s="1939"/>
      <c r="Q690" s="1939"/>
      <c r="S690" s="1646">
        <f>$Y690*AA690/$AD690</f>
        <v>163134508.68742138</v>
      </c>
      <c r="T690" s="1646"/>
      <c r="U690" s="1646">
        <f>$Y690*AB690/$AD690</f>
        <v>187062191.09333408</v>
      </c>
      <c r="V690" s="1646"/>
      <c r="W690" s="1646">
        <f>Y690-S690-U690</f>
        <v>119524624.21924454</v>
      </c>
      <c r="Y690" s="1646">
        <f>SUM(Y672:Y686)</f>
        <v>469721324</v>
      </c>
      <c r="Z690" s="1936"/>
      <c r="AA690" s="1937">
        <f>('Unit Cost Target'!$E$87+'Unit Cost Target'!$E$123+'Unit Cost Target'!$E$129+'Unit Cost Target'!$E$75+'Unit Cost Target'!$E$81)</f>
        <v>173645002.8371194</v>
      </c>
      <c r="AB690" s="1937">
        <f>('Unit Cost Target'!$E$45+'Unit Cost Target'!$E$51)</f>
        <v>199114307.35577011</v>
      </c>
      <c r="AC690" s="1937">
        <f>('Unit Cost Target'!$E$33+'Unit Cost Target'!$E$39+'Unit Cost Target'!$E$63+'Unit Cost Target'!$E$69)</f>
        <v>127225403.61723401</v>
      </c>
      <c r="AD690" s="1937">
        <f>SUM(AA690:AC690)</f>
        <v>499984713.8101235</v>
      </c>
      <c r="AE690" s="1937">
        <f>AD690-'Unit Cost Target'!$E$21</f>
        <v>0</v>
      </c>
    </row>
    <row r="691" spans="1:31" ht="16.5" hidden="1" thickTop="1">
      <c r="C691" s="528"/>
      <c r="D691" s="528"/>
      <c r="AA691" s="1938">
        <f>S690-SUM(S672:S689)</f>
        <v>0</v>
      </c>
      <c r="AB691" s="1938">
        <f>U690-SUM(U672:U689)</f>
        <v>0</v>
      </c>
      <c r="AC691" s="1938">
        <f>W690-SUM(W672:W689)</f>
        <v>0</v>
      </c>
      <c r="AD691" s="1938">
        <f>SUM(AA691:AC691)</f>
        <v>0</v>
      </c>
      <c r="AE691" s="1937">
        <f>AD690-AB672</f>
        <v>12701682.810123503</v>
      </c>
    </row>
    <row r="692" spans="1:31" hidden="1">
      <c r="A692" s="1897" t="s">
        <v>908</v>
      </c>
      <c r="C692" s="528"/>
      <c r="D692" s="528"/>
      <c r="AA692" s="1937"/>
      <c r="AB692" s="1937"/>
      <c r="AC692" s="1937"/>
      <c r="AD692" s="1937"/>
    </row>
    <row r="693" spans="1:31" hidden="1">
      <c r="A693" s="1900" t="s">
        <v>240</v>
      </c>
      <c r="C693" s="528">
        <f>'6'!H25</f>
        <v>3583.0333333333301</v>
      </c>
      <c r="D693" s="528">
        <f>Bill!P10</f>
        <v>3780</v>
      </c>
      <c r="F693" s="1944">
        <v>54</v>
      </c>
      <c r="G693" s="597"/>
      <c r="H693" s="1644">
        <f t="shared" ref="H693:I703" si="959">ROUND($F693*C693,0)</f>
        <v>193484</v>
      </c>
      <c r="I693" s="1644">
        <f t="shared" si="959"/>
        <v>204120</v>
      </c>
      <c r="K693" s="1944">
        <f t="shared" ref="K693:K700" si="960">K672</f>
        <v>54</v>
      </c>
      <c r="L693" s="597"/>
      <c r="M693" s="1944">
        <f t="shared" ref="M693:M700" si="961">M672</f>
        <v>0</v>
      </c>
      <c r="N693" s="597"/>
      <c r="O693" s="1944">
        <f t="shared" ref="O693:O700" si="962">O672</f>
        <v>0</v>
      </c>
      <c r="P693" s="597"/>
      <c r="Q693" s="1944">
        <f t="shared" ref="Q693:Q700" si="963">Q672</f>
        <v>54</v>
      </c>
      <c r="R693" s="597"/>
      <c r="S693" s="1644">
        <f>ROUND($D693*K693,0)</f>
        <v>204120</v>
      </c>
      <c r="T693" s="1643"/>
      <c r="U693" s="1644">
        <f>ROUND($D693*M693,0)</f>
        <v>0</v>
      </c>
      <c r="V693" s="1643"/>
      <c r="W693" s="1644">
        <f>ROUND($D693*O693,0)</f>
        <v>0</v>
      </c>
      <c r="X693" s="1645"/>
      <c r="Y693" s="1644">
        <f>ROUND($D693*Q693,0)</f>
        <v>204120</v>
      </c>
      <c r="AA693" s="1937"/>
      <c r="AB693" s="1937"/>
      <c r="AC693" s="1937"/>
      <c r="AD693" s="1937"/>
    </row>
    <row r="694" spans="1:31" hidden="1">
      <c r="A694" s="1900" t="s">
        <v>262</v>
      </c>
      <c r="C694" s="584">
        <v>0</v>
      </c>
      <c r="D694" s="528">
        <f>ROUND(C694/C693*D693,0)</f>
        <v>0</v>
      </c>
      <c r="F694" s="1944">
        <v>648</v>
      </c>
      <c r="G694" s="597"/>
      <c r="H694" s="1644">
        <f t="shared" si="959"/>
        <v>0</v>
      </c>
      <c r="I694" s="1644">
        <f t="shared" si="959"/>
        <v>0</v>
      </c>
      <c r="K694" s="1944">
        <f t="shared" si="960"/>
        <v>648</v>
      </c>
      <c r="L694" s="597"/>
      <c r="M694" s="1944">
        <f t="shared" si="961"/>
        <v>0</v>
      </c>
      <c r="N694" s="597"/>
      <c r="O694" s="1944">
        <f t="shared" si="962"/>
        <v>0</v>
      </c>
      <c r="P694" s="597"/>
      <c r="Q694" s="1944">
        <f t="shared" si="963"/>
        <v>648</v>
      </c>
      <c r="R694" s="597"/>
      <c r="S694" s="1644">
        <f t="shared" ref="S694:S698" si="964">ROUND($D694*K694,0)</f>
        <v>0</v>
      </c>
      <c r="T694" s="1643"/>
      <c r="U694" s="1644">
        <f t="shared" ref="U694:U698" si="965">ROUND($D694*M694,0)</f>
        <v>0</v>
      </c>
      <c r="V694" s="1643"/>
      <c r="W694" s="1644">
        <f t="shared" ref="W694:W698" si="966">ROUND($D694*O694,0)</f>
        <v>0</v>
      </c>
      <c r="X694" s="1645"/>
      <c r="Y694" s="1644">
        <f t="shared" ref="Y694:Y698" si="967">ROUND($D694*Q694,0)</f>
        <v>0</v>
      </c>
    </row>
    <row r="695" spans="1:31" hidden="1">
      <c r="A695" s="1900" t="s">
        <v>1298</v>
      </c>
      <c r="C695" s="528">
        <f>'6'!AB25</f>
        <v>0</v>
      </c>
      <c r="D695" s="528">
        <f>ROUND(C695/C693*D693,0)</f>
        <v>0</v>
      </c>
      <c r="F695" s="1944">
        <v>54</v>
      </c>
      <c r="G695" s="597"/>
      <c r="H695" s="1644">
        <f t="shared" si="959"/>
        <v>0</v>
      </c>
      <c r="I695" s="1644">
        <f t="shared" si="959"/>
        <v>0</v>
      </c>
      <c r="K695" s="1944">
        <f t="shared" si="960"/>
        <v>54</v>
      </c>
      <c r="L695" s="597"/>
      <c r="M695" s="1944">
        <f t="shared" si="961"/>
        <v>0</v>
      </c>
      <c r="N695" s="597"/>
      <c r="O695" s="1944">
        <f t="shared" si="962"/>
        <v>0</v>
      </c>
      <c r="P695" s="597"/>
      <c r="Q695" s="1944">
        <f t="shared" si="963"/>
        <v>54</v>
      </c>
      <c r="R695" s="597"/>
      <c r="S695" s="1644">
        <f t="shared" si="964"/>
        <v>0</v>
      </c>
      <c r="T695" s="1645"/>
      <c r="U695" s="1644">
        <f t="shared" si="965"/>
        <v>0</v>
      </c>
      <c r="V695" s="1645"/>
      <c r="W695" s="1644">
        <f t="shared" si="966"/>
        <v>0</v>
      </c>
      <c r="X695" s="1645"/>
      <c r="Y695" s="1644">
        <f t="shared" si="967"/>
        <v>0</v>
      </c>
    </row>
    <row r="696" spans="1:31" hidden="1">
      <c r="A696" s="1900" t="s">
        <v>168</v>
      </c>
      <c r="C696" s="528">
        <f>'6'!J25</f>
        <v>299679.84158415801</v>
      </c>
      <c r="D696" s="528">
        <f>ROUND(C696/$C$711*$D$711,0)</f>
        <v>359920</v>
      </c>
      <c r="F696" s="1944">
        <v>4.04</v>
      </c>
      <c r="G696" s="597"/>
      <c r="H696" s="1644">
        <f>ROUND($F696*C696,0)</f>
        <v>1210707</v>
      </c>
      <c r="I696" s="1644">
        <f>ROUND($F696*D696,0)</f>
        <v>1454077</v>
      </c>
      <c r="K696" s="1944">
        <f t="shared" si="960"/>
        <v>4.03</v>
      </c>
      <c r="L696" s="597"/>
      <c r="M696" s="1944">
        <f t="shared" si="961"/>
        <v>0</v>
      </c>
      <c r="N696" s="597"/>
      <c r="O696" s="1944">
        <f t="shared" si="962"/>
        <v>0</v>
      </c>
      <c r="P696" s="597"/>
      <c r="Q696" s="1944">
        <f t="shared" si="963"/>
        <v>4.03</v>
      </c>
      <c r="R696" s="597"/>
      <c r="S696" s="1644">
        <f t="shared" si="964"/>
        <v>1450478</v>
      </c>
      <c r="T696" s="1643"/>
      <c r="U696" s="1644">
        <f t="shared" si="965"/>
        <v>0</v>
      </c>
      <c r="V696" s="1643"/>
      <c r="W696" s="1644">
        <f t="shared" si="966"/>
        <v>0</v>
      </c>
      <c r="X696" s="1645"/>
      <c r="Y696" s="1644">
        <f t="shared" si="967"/>
        <v>1450478</v>
      </c>
    </row>
    <row r="697" spans="1:31" hidden="1">
      <c r="A697" s="1900" t="s">
        <v>1645</v>
      </c>
      <c r="C697" s="528">
        <f>'6'!L25+'6-may'!L25</f>
        <v>103225.47243554296</v>
      </c>
      <c r="D697" s="528">
        <f t="shared" ref="D697:D698" si="968">ROUND(C697/$C$711*$D$711,0)</f>
        <v>123975</v>
      </c>
      <c r="F697" s="1944"/>
      <c r="G697" s="597"/>
      <c r="H697" s="1644"/>
      <c r="I697" s="1644"/>
      <c r="K697" s="1944">
        <f t="shared" si="960"/>
        <v>6.34</v>
      </c>
      <c r="L697" s="597"/>
      <c r="M697" s="1944">
        <f t="shared" si="961"/>
        <v>7.0600000000000005</v>
      </c>
      <c r="N697" s="597"/>
      <c r="O697" s="1944">
        <f t="shared" si="962"/>
        <v>0</v>
      </c>
      <c r="P697" s="597"/>
      <c r="Q697" s="1944">
        <f t="shared" si="963"/>
        <v>13.4</v>
      </c>
      <c r="R697" s="597"/>
      <c r="S697" s="1644">
        <f t="shared" si="964"/>
        <v>786002</v>
      </c>
      <c r="T697" s="1645"/>
      <c r="U697" s="1644">
        <f t="shared" si="965"/>
        <v>875264</v>
      </c>
      <c r="V697" s="1645"/>
      <c r="W697" s="1644">
        <f t="shared" si="966"/>
        <v>0</v>
      </c>
      <c r="X697" s="1645"/>
      <c r="Y697" s="1644">
        <f t="shared" si="967"/>
        <v>1661265</v>
      </c>
    </row>
    <row r="698" spans="1:31" hidden="1">
      <c r="A698" s="1900" t="s">
        <v>1646</v>
      </c>
      <c r="C698" s="528">
        <f>'6'!M25+'6-may'!M25</f>
        <v>196454.36991531623</v>
      </c>
      <c r="D698" s="528">
        <f t="shared" si="968"/>
        <v>235945</v>
      </c>
      <c r="F698" s="1944"/>
      <c r="G698" s="597"/>
      <c r="H698" s="1644"/>
      <c r="I698" s="1644"/>
      <c r="K698" s="1944">
        <f t="shared" si="960"/>
        <v>5.61</v>
      </c>
      <c r="L698" s="597"/>
      <c r="M698" s="1944">
        <f t="shared" si="961"/>
        <v>6.2499999999999991</v>
      </c>
      <c r="N698" s="597"/>
      <c r="O698" s="1944">
        <f t="shared" si="962"/>
        <v>0</v>
      </c>
      <c r="P698" s="597"/>
      <c r="Q698" s="1944">
        <f t="shared" si="963"/>
        <v>11.86</v>
      </c>
      <c r="R698" s="597"/>
      <c r="S698" s="1644">
        <f t="shared" si="964"/>
        <v>1323651</v>
      </c>
      <c r="T698" s="1645"/>
      <c r="U698" s="1644">
        <f t="shared" si="965"/>
        <v>1474656</v>
      </c>
      <c r="V698" s="1645"/>
      <c r="W698" s="1644">
        <f t="shared" si="966"/>
        <v>0</v>
      </c>
      <c r="X698" s="1645"/>
      <c r="Y698" s="1644">
        <f t="shared" si="967"/>
        <v>2798308</v>
      </c>
    </row>
    <row r="699" spans="1:31" hidden="1">
      <c r="A699" s="1900" t="s">
        <v>1647</v>
      </c>
      <c r="C699" s="528">
        <f>'6'!P25+'6'!U25+TempRevMay!C324-TempRevMay!M324+'6-may'!P25+'6-may'!U25</f>
        <v>41751453.943650171</v>
      </c>
      <c r="D699" s="528">
        <f>D711-SUM(D700,D706:D710)</f>
        <v>56993222.034597188</v>
      </c>
      <c r="F699" s="1943"/>
      <c r="G699" s="1921"/>
      <c r="H699" s="1644"/>
      <c r="I699" s="1644"/>
      <c r="K699" s="1943">
        <f t="shared" si="960"/>
        <v>0</v>
      </c>
      <c r="L699" s="1921" t="s">
        <v>495</v>
      </c>
      <c r="M699" s="1943">
        <f t="shared" si="961"/>
        <v>1.6192</v>
      </c>
      <c r="N699" s="1921" t="s">
        <v>495</v>
      </c>
      <c r="O699" s="1943">
        <f t="shared" si="962"/>
        <v>2.305570240802</v>
      </c>
      <c r="P699" s="1921" t="s">
        <v>495</v>
      </c>
      <c r="Q699" s="1943">
        <f t="shared" si="963"/>
        <v>3.9247702408020002</v>
      </c>
      <c r="R699" s="1921" t="s">
        <v>495</v>
      </c>
      <c r="S699" s="1644">
        <f>ROUND($D699*K699/100,0)</f>
        <v>0</v>
      </c>
      <c r="T699" s="1648"/>
      <c r="U699" s="1644">
        <f>ROUND($D699*M699/100,0)</f>
        <v>922834</v>
      </c>
      <c r="V699" s="1648"/>
      <c r="W699" s="1644">
        <f>ROUND($D699*O699/100,0)</f>
        <v>1314019</v>
      </c>
      <c r="X699" s="1648"/>
      <c r="Y699" s="1644">
        <f>ROUND($D699*Q699/100,0)</f>
        <v>2236853</v>
      </c>
    </row>
    <row r="700" spans="1:31" hidden="1">
      <c r="A700" s="1900" t="s">
        <v>1648</v>
      </c>
      <c r="C700" s="528">
        <f>'6'!Q25+'6'!V25+TempRevMay!C325-TempRevMay!M325+'6-may'!Q25+'6-may'!V25</f>
        <v>84462817.942580998</v>
      </c>
      <c r="D700" s="528">
        <f>ROUND(Energy!T10*(1-(D706+D710)/Energy!P10),0)</f>
        <v>95452005</v>
      </c>
      <c r="F700" s="1943"/>
      <c r="G700" s="1921"/>
      <c r="H700" s="1644"/>
      <c r="I700" s="1644"/>
      <c r="K700" s="1943">
        <f t="shared" si="960"/>
        <v>0</v>
      </c>
      <c r="L700" s="1921" t="s">
        <v>495</v>
      </c>
      <c r="M700" s="1943">
        <f t="shared" si="961"/>
        <v>1.4329000000000001</v>
      </c>
      <c r="N700" s="1921" t="s">
        <v>495</v>
      </c>
      <c r="O700" s="1943">
        <f t="shared" si="962"/>
        <v>2.0403480007099999</v>
      </c>
      <c r="P700" s="1921" t="s">
        <v>495</v>
      </c>
      <c r="Q700" s="1943">
        <f t="shared" si="963"/>
        <v>3.4732480007099999</v>
      </c>
      <c r="R700" s="1921" t="s">
        <v>495</v>
      </c>
      <c r="S700" s="1644">
        <f>ROUND($D700*K700/100,0)</f>
        <v>0</v>
      </c>
      <c r="T700" s="1648"/>
      <c r="U700" s="1644">
        <f>ROUND($D700*M700/100,0)</f>
        <v>1367732</v>
      </c>
      <c r="V700" s="1648"/>
      <c r="W700" s="1644">
        <f>ROUND($D700*O700/100,0)</f>
        <v>1947553</v>
      </c>
      <c r="X700" s="1648"/>
      <c r="Y700" s="1644">
        <f>ROUND($D700*Q700/100,0)</f>
        <v>3315285</v>
      </c>
    </row>
    <row r="701" spans="1:31" hidden="1">
      <c r="A701" s="1900" t="s">
        <v>196</v>
      </c>
      <c r="C701" s="528">
        <f>'6'!L25</f>
        <v>125353.22640218861</v>
      </c>
      <c r="D701" s="528">
        <f>ROUND(C701/C711*D711,0)</f>
        <v>150551</v>
      </c>
      <c r="F701" s="1944">
        <v>14.62</v>
      </c>
      <c r="G701" s="597"/>
      <c r="H701" s="1644">
        <f t="shared" si="959"/>
        <v>1832664</v>
      </c>
      <c r="I701" s="1644">
        <f t="shared" si="959"/>
        <v>2201056</v>
      </c>
      <c r="K701" s="1944"/>
      <c r="L701" s="597"/>
      <c r="M701" s="1944"/>
      <c r="N701" s="597"/>
      <c r="O701" s="1944"/>
      <c r="P701" s="597"/>
      <c r="Q701" s="1944"/>
      <c r="R701" s="597"/>
      <c r="S701" s="1644"/>
      <c r="T701" s="1643"/>
      <c r="U701" s="1644"/>
      <c r="V701" s="1643"/>
      <c r="W701" s="1644"/>
      <c r="X701" s="1645"/>
      <c r="Y701" s="1644"/>
    </row>
    <row r="702" spans="1:31" hidden="1">
      <c r="A702" s="1900" t="s">
        <v>161</v>
      </c>
      <c r="C702" s="528">
        <f>'6'!M25</f>
        <v>174326.6159486706</v>
      </c>
      <c r="D702" s="528">
        <f>ROUND(C702/C711*D711,0)</f>
        <v>209369</v>
      </c>
      <c r="F702" s="1944">
        <v>10.91</v>
      </c>
      <c r="G702" s="597"/>
      <c r="H702" s="1644">
        <f t="shared" si="959"/>
        <v>1901903</v>
      </c>
      <c r="I702" s="1644">
        <f t="shared" si="959"/>
        <v>2284216</v>
      </c>
      <c r="K702" s="1944"/>
      <c r="L702" s="597"/>
      <c r="M702" s="1944"/>
      <c r="N702" s="597"/>
      <c r="O702" s="1944"/>
      <c r="P702" s="597"/>
      <c r="Q702" s="1944"/>
      <c r="R702" s="597"/>
      <c r="S702" s="1644"/>
      <c r="T702" s="1643"/>
      <c r="U702" s="1644"/>
      <c r="V702" s="1643"/>
      <c r="W702" s="1644"/>
      <c r="X702" s="1645"/>
      <c r="Y702" s="1644"/>
    </row>
    <row r="703" spans="1:31" hidden="1">
      <c r="A703" s="1900" t="s">
        <v>261</v>
      </c>
      <c r="C703" s="528">
        <f>'6'!N25</f>
        <v>24132</v>
      </c>
      <c r="D703" s="528">
        <f>ROUND(C703/C711*D711,0)</f>
        <v>28983</v>
      </c>
      <c r="F703" s="1944">
        <v>-0.96</v>
      </c>
      <c r="G703" s="597"/>
      <c r="H703" s="1644">
        <f t="shared" si="959"/>
        <v>-23167</v>
      </c>
      <c r="I703" s="1644">
        <f t="shared" si="959"/>
        <v>-27824</v>
      </c>
      <c r="K703" s="1944">
        <f>K682</f>
        <v>-0.96</v>
      </c>
      <c r="L703" s="597"/>
      <c r="M703" s="1944">
        <f>M682</f>
        <v>0</v>
      </c>
      <c r="N703" s="597"/>
      <c r="O703" s="1944">
        <f>O682</f>
        <v>0</v>
      </c>
      <c r="P703" s="597"/>
      <c r="Q703" s="1944">
        <f>Q682</f>
        <v>-0.96</v>
      </c>
      <c r="R703" s="597"/>
      <c r="S703" s="1644">
        <f t="shared" ref="S703" si="969">ROUND($D703*K703,0)</f>
        <v>-27824</v>
      </c>
      <c r="T703" s="1643"/>
      <c r="U703" s="1644">
        <f t="shared" ref="U703" si="970">ROUND($D703*M703,0)</f>
        <v>0</v>
      </c>
      <c r="V703" s="1643"/>
      <c r="W703" s="1644">
        <f t="shared" ref="W703" si="971">ROUND($D703*O703,0)</f>
        <v>0</v>
      </c>
      <c r="X703" s="1645"/>
      <c r="Y703" s="1644">
        <f t="shared" ref="Y703" si="972">ROUND($D703*Q703,0)</f>
        <v>-27824</v>
      </c>
    </row>
    <row r="704" spans="1:31" hidden="1">
      <c r="A704" s="1900" t="s">
        <v>1362</v>
      </c>
      <c r="C704" s="528">
        <f>'6'!P25+'6'!U25+TempRev!C324-TempRev!M324</f>
        <v>50979480.334788077</v>
      </c>
      <c r="D704" s="528">
        <f>D711-SUM(D705:D710)</f>
        <v>66094782.034597188</v>
      </c>
      <c r="F704" s="1943">
        <v>3.8127</v>
      </c>
      <c r="G704" s="1921" t="s">
        <v>495</v>
      </c>
      <c r="H704" s="1644">
        <f t="shared" ref="H704:I706" si="973">ROUND($F704*C704/100,0)</f>
        <v>1943695</v>
      </c>
      <c r="I704" s="1644">
        <f t="shared" si="973"/>
        <v>2519996</v>
      </c>
      <c r="K704" s="1943"/>
      <c r="L704" s="1921"/>
      <c r="M704" s="1943"/>
      <c r="N704" s="1921"/>
      <c r="O704" s="1943"/>
      <c r="P704" s="1921"/>
      <c r="Q704" s="1943"/>
      <c r="R704" s="1921"/>
      <c r="S704" s="1644"/>
      <c r="T704" s="1648"/>
      <c r="U704" s="1644"/>
      <c r="V704" s="1648"/>
      <c r="W704" s="1644"/>
      <c r="X704" s="1648"/>
      <c r="Y704" s="1644"/>
    </row>
    <row r="705" spans="1:28" hidden="1">
      <c r="A705" s="1900" t="s">
        <v>1363</v>
      </c>
      <c r="C705" s="528">
        <f>'6'!Q25+'6'!V25+TempRev!C325-TempRev!M325</f>
        <v>75234791.5514431</v>
      </c>
      <c r="D705" s="528">
        <f>ROUND(Energy!R10*(1-(D706+D710)/Energy!P10),0)</f>
        <v>86350445</v>
      </c>
      <c r="F705" s="1943">
        <v>3.5143</v>
      </c>
      <c r="G705" s="1921" t="s">
        <v>495</v>
      </c>
      <c r="H705" s="1644">
        <f t="shared" si="973"/>
        <v>2643976</v>
      </c>
      <c r="I705" s="1644">
        <f t="shared" si="973"/>
        <v>3034614</v>
      </c>
      <c r="K705" s="1943"/>
      <c r="L705" s="1921"/>
      <c r="M705" s="1943"/>
      <c r="N705" s="1921"/>
      <c r="O705" s="1943"/>
      <c r="P705" s="1921"/>
      <c r="Q705" s="1943"/>
      <c r="R705" s="1921"/>
      <c r="S705" s="1644"/>
      <c r="T705" s="1648"/>
      <c r="U705" s="1644"/>
      <c r="V705" s="1648"/>
      <c r="W705" s="1644"/>
      <c r="X705" s="1648"/>
      <c r="Y705" s="1644"/>
    </row>
    <row r="706" spans="1:28" hidden="1">
      <c r="A706" s="1116" t="s">
        <v>1158</v>
      </c>
      <c r="C706" s="528">
        <f>'6'!S25</f>
        <v>0</v>
      </c>
      <c r="D706" s="528">
        <f>ROUND(C706/(C711-C707)*D711,0)</f>
        <v>0</v>
      </c>
      <c r="F706" s="1943">
        <v>7.125</v>
      </c>
      <c r="G706" s="1921" t="s">
        <v>495</v>
      </c>
      <c r="H706" s="1644">
        <f t="shared" si="973"/>
        <v>0</v>
      </c>
      <c r="I706" s="1644">
        <f t="shared" si="973"/>
        <v>0</v>
      </c>
      <c r="K706" s="1943">
        <f>K685</f>
        <v>0</v>
      </c>
      <c r="L706" s="1921" t="s">
        <v>495</v>
      </c>
      <c r="M706" s="1943">
        <f>M685</f>
        <v>7.125</v>
      </c>
      <c r="N706" s="1921" t="s">
        <v>495</v>
      </c>
      <c r="O706" s="1943">
        <f>O685</f>
        <v>0</v>
      </c>
      <c r="P706" s="1921" t="s">
        <v>495</v>
      </c>
      <c r="Q706" s="1943">
        <f>Q685</f>
        <v>7.125</v>
      </c>
      <c r="R706" s="1921" t="s">
        <v>495</v>
      </c>
      <c r="S706" s="1644">
        <f>ROUND($D706*K706/100,0)</f>
        <v>0</v>
      </c>
      <c r="T706" s="1648"/>
      <c r="U706" s="1644">
        <f>ROUND($D706*M706/100,0)</f>
        <v>0</v>
      </c>
      <c r="V706" s="1648"/>
      <c r="W706" s="1644">
        <f>ROUND($D706*O706/100,0)</f>
        <v>0</v>
      </c>
      <c r="X706" s="1648"/>
      <c r="Y706" s="1644">
        <f>ROUND($D706*Q706/100,0)</f>
        <v>0</v>
      </c>
    </row>
    <row r="707" spans="1:28" hidden="1">
      <c r="A707" s="1900" t="s">
        <v>246</v>
      </c>
      <c r="C707" s="529">
        <f>'Table 2'!J18</f>
        <v>716029</v>
      </c>
      <c r="D707" s="529">
        <v>0</v>
      </c>
      <c r="H707" s="1030">
        <f>'Table 3'!F18</f>
        <v>57893</v>
      </c>
      <c r="I707" s="1030">
        <v>0</v>
      </c>
      <c r="Y707" s="1030">
        <v>0</v>
      </c>
    </row>
    <row r="708" spans="1:28" hidden="1">
      <c r="A708" s="1900" t="s">
        <v>1240</v>
      </c>
      <c r="C708" s="584"/>
      <c r="D708" s="584"/>
      <c r="F708" s="1930">
        <v>-3.61E-2</v>
      </c>
      <c r="G708" s="597"/>
      <c r="H708" s="1644">
        <f>SUM(H701:H702,H704:H706)*$F708</f>
        <v>-300432.79180000001</v>
      </c>
      <c r="I708" s="1644">
        <f>SUM(I701:I702,I704:I706)*$F708</f>
        <v>-362439.7402</v>
      </c>
      <c r="K708" s="1930"/>
      <c r="L708" s="597"/>
      <c r="M708" s="1930"/>
      <c r="N708" s="597"/>
      <c r="O708" s="1931" t="str">
        <f>$O$43</f>
        <v>Tax Year 1 (7/1/2021)</v>
      </c>
      <c r="P708" s="597"/>
      <c r="Q708" s="1930">
        <f>$Q$687</f>
        <v>-2.76E-2</v>
      </c>
      <c r="R708" s="597"/>
      <c r="S708" s="1645"/>
      <c r="T708" s="1645"/>
      <c r="U708" s="1645"/>
      <c r="V708" s="1645"/>
      <c r="W708" s="1645"/>
      <c r="X708" s="1645"/>
      <c r="Y708" s="1644">
        <f>Q708*SUM(Y697:Y700,Y706)</f>
        <v>-276323.22359999997</v>
      </c>
    </row>
    <row r="709" spans="1:28" hidden="1">
      <c r="A709" s="1900"/>
      <c r="C709" s="584"/>
      <c r="D709" s="584"/>
      <c r="F709" s="1930"/>
      <c r="G709" s="597"/>
      <c r="H709" s="1644"/>
      <c r="I709" s="1644"/>
      <c r="K709" s="1930"/>
      <c r="L709" s="597"/>
      <c r="M709" s="1930"/>
      <c r="N709" s="597"/>
      <c r="O709" s="1931" t="str">
        <f>$O$44</f>
        <v>Tax Year 2 (1/1/2022)</v>
      </c>
      <c r="P709" s="597"/>
      <c r="Q709" s="1930">
        <f>$Q$688</f>
        <v>-1.4999999999999999E-2</v>
      </c>
      <c r="R709" s="597"/>
      <c r="S709" s="1645"/>
      <c r="T709" s="1645"/>
      <c r="U709" s="1645"/>
      <c r="V709" s="1645"/>
      <c r="W709" s="1645"/>
      <c r="X709" s="1645"/>
      <c r="Y709" s="1644">
        <f>Q709*SUM(Y697:Y700,Y706)</f>
        <v>-150175.66500000001</v>
      </c>
    </row>
    <row r="710" spans="1:28" hidden="1">
      <c r="A710" s="1116" t="s">
        <v>1317</v>
      </c>
      <c r="C710" s="584">
        <f>'6'!AD25</f>
        <v>0</v>
      </c>
      <c r="D710" s="528">
        <f>ROUND(C710/(C711-C707)*D711,0)</f>
        <v>0</v>
      </c>
      <c r="F710" s="1930"/>
      <c r="G710" s="597"/>
      <c r="H710" s="1644"/>
      <c r="I710" s="1644"/>
      <c r="K710" s="1930"/>
      <c r="L710" s="597"/>
      <c r="M710" s="1930"/>
      <c r="N710" s="597"/>
      <c r="O710" s="1930"/>
      <c r="P710" s="597"/>
      <c r="Q710" s="1930"/>
      <c r="R710" s="597"/>
      <c r="S710" s="1645"/>
      <c r="T710" s="1645"/>
      <c r="U710" s="1645"/>
      <c r="V710" s="1645"/>
      <c r="W710" s="1645"/>
      <c r="X710" s="1645"/>
      <c r="Y710" s="1644"/>
    </row>
    <row r="711" spans="1:28" ht="16.5" hidden="1" thickBot="1">
      <c r="A711" s="1900" t="s">
        <v>247</v>
      </c>
      <c r="C711" s="1949">
        <f>SUM(C704:C706,C707,C710)</f>
        <v>126930300.88623118</v>
      </c>
      <c r="D711" s="1949">
        <f>Energy!P10</f>
        <v>152445227.03459719</v>
      </c>
      <c r="F711" s="1939"/>
      <c r="H711" s="1647">
        <f>SUM(H693:H708)</f>
        <v>9460722.2082000002</v>
      </c>
      <c r="I711" s="1647">
        <f>SUM(I693:I708)</f>
        <v>11307815.2598</v>
      </c>
      <c r="K711" s="1939"/>
      <c r="M711" s="1939"/>
      <c r="O711" s="1939"/>
      <c r="Q711" s="1939"/>
      <c r="S711" s="1647">
        <f>SUM(S693:S707)</f>
        <v>3736427</v>
      </c>
      <c r="U711" s="1647">
        <f>SUM(U693:U707)</f>
        <v>4640486</v>
      </c>
      <c r="W711" s="1647">
        <f>SUM(W693:W707)</f>
        <v>3261572</v>
      </c>
      <c r="Y711" s="1647">
        <f>SUM(Y693:Y707)</f>
        <v>11638485</v>
      </c>
      <c r="AA711" s="1104" t="s">
        <v>1743</v>
      </c>
      <c r="AB711" s="1890">
        <f>Y711/I711-1</f>
        <v>2.9242584230709134E-2</v>
      </c>
    </row>
    <row r="712" spans="1:28" ht="16.5" hidden="1" thickTop="1"/>
    <row r="713" spans="1:28" hidden="1">
      <c r="A713" s="1897" t="s">
        <v>551</v>
      </c>
      <c r="C713" s="528"/>
      <c r="D713" s="528"/>
    </row>
    <row r="714" spans="1:28" hidden="1">
      <c r="A714" s="1900" t="s">
        <v>240</v>
      </c>
      <c r="C714" s="528">
        <f>'6'!H23</f>
        <v>142578.73333333369</v>
      </c>
      <c r="D714" s="528">
        <f>Bill!P31</f>
        <v>141468</v>
      </c>
      <c r="F714" s="1944">
        <v>54</v>
      </c>
      <c r="G714" s="597"/>
      <c r="H714" s="1644">
        <f t="shared" ref="H714:I724" si="974">ROUND($F714*C714,0)</f>
        <v>7699252</v>
      </c>
      <c r="I714" s="1644">
        <f t="shared" si="974"/>
        <v>7639272</v>
      </c>
      <c r="K714" s="1944">
        <f t="shared" ref="K714:K721" si="975">K672</f>
        <v>54</v>
      </c>
      <c r="L714" s="597"/>
      <c r="M714" s="1944">
        <f t="shared" ref="M714:M721" si="976">M672</f>
        <v>0</v>
      </c>
      <c r="N714" s="597"/>
      <c r="O714" s="1944">
        <f t="shared" ref="O714:O721" si="977">O672</f>
        <v>0</v>
      </c>
      <c r="P714" s="597"/>
      <c r="Q714" s="1944">
        <f t="shared" ref="Q714:Q721" si="978">Q672</f>
        <v>54</v>
      </c>
      <c r="R714" s="597"/>
      <c r="S714" s="1644">
        <f>ROUND($D714*K714,0)</f>
        <v>7639272</v>
      </c>
      <c r="T714" s="1643"/>
      <c r="U714" s="1644">
        <f>ROUND($D714*M714,0)</f>
        <v>0</v>
      </c>
      <c r="V714" s="1643"/>
      <c r="W714" s="1644">
        <f>ROUND($D714*O714,0)</f>
        <v>0</v>
      </c>
      <c r="X714" s="1645"/>
      <c r="Y714" s="1644">
        <f>ROUND($D714*Q714,0)</f>
        <v>7639272</v>
      </c>
    </row>
    <row r="715" spans="1:28" hidden="1">
      <c r="A715" s="1900" t="s">
        <v>262</v>
      </c>
      <c r="C715" s="584">
        <v>0</v>
      </c>
      <c r="D715" s="528">
        <f>ROUND(C715/C714*D714,0)</f>
        <v>0</v>
      </c>
      <c r="F715" s="1944">
        <v>648</v>
      </c>
      <c r="G715" s="597"/>
      <c r="H715" s="1644">
        <f t="shared" si="974"/>
        <v>0</v>
      </c>
      <c r="I715" s="1644">
        <f t="shared" si="974"/>
        <v>0</v>
      </c>
      <c r="K715" s="1944">
        <f t="shared" si="975"/>
        <v>648</v>
      </c>
      <c r="L715" s="597"/>
      <c r="M715" s="1944">
        <f t="shared" si="976"/>
        <v>0</v>
      </c>
      <c r="N715" s="597"/>
      <c r="O715" s="1944">
        <f t="shared" si="977"/>
        <v>0</v>
      </c>
      <c r="P715" s="597"/>
      <c r="Q715" s="1944">
        <f t="shared" si="978"/>
        <v>648</v>
      </c>
      <c r="R715" s="597"/>
      <c r="S715" s="1644">
        <f t="shared" ref="S715:S719" si="979">ROUND($D715*K715,0)</f>
        <v>0</v>
      </c>
      <c r="T715" s="1643"/>
      <c r="U715" s="1644">
        <f t="shared" ref="U715:U719" si="980">ROUND($D715*M715,0)</f>
        <v>0</v>
      </c>
      <c r="V715" s="1643"/>
      <c r="W715" s="1644">
        <f t="shared" ref="W715:W719" si="981">ROUND($D715*O715,0)</f>
        <v>0</v>
      </c>
      <c r="X715" s="1645"/>
      <c r="Y715" s="1644">
        <f t="shared" ref="Y715:Y719" si="982">ROUND($D715*Q715,0)</f>
        <v>0</v>
      </c>
    </row>
    <row r="716" spans="1:28" hidden="1">
      <c r="A716" s="1900" t="s">
        <v>1298</v>
      </c>
      <c r="C716" s="528">
        <f>'6'!AB23</f>
        <v>13.633333333333301</v>
      </c>
      <c r="D716" s="528">
        <f>ROUND(C716/C714*D714,0)</f>
        <v>14</v>
      </c>
      <c r="F716" s="1944">
        <v>54</v>
      </c>
      <c r="G716" s="597"/>
      <c r="H716" s="1644">
        <f t="shared" si="974"/>
        <v>736</v>
      </c>
      <c r="I716" s="1644">
        <f t="shared" si="974"/>
        <v>756</v>
      </c>
      <c r="K716" s="1944">
        <f t="shared" si="975"/>
        <v>54</v>
      </c>
      <c r="L716" s="597"/>
      <c r="M716" s="1944">
        <f t="shared" si="976"/>
        <v>0</v>
      </c>
      <c r="N716" s="597"/>
      <c r="O716" s="1944">
        <f t="shared" si="977"/>
        <v>0</v>
      </c>
      <c r="P716" s="597"/>
      <c r="Q716" s="1944">
        <f t="shared" si="978"/>
        <v>54</v>
      </c>
      <c r="R716" s="597"/>
      <c r="S716" s="1644">
        <f t="shared" si="979"/>
        <v>756</v>
      </c>
      <c r="T716" s="1645"/>
      <c r="U716" s="1644">
        <f t="shared" si="980"/>
        <v>0</v>
      </c>
      <c r="V716" s="1645"/>
      <c r="W716" s="1644">
        <f t="shared" si="981"/>
        <v>0</v>
      </c>
      <c r="X716" s="1645"/>
      <c r="Y716" s="1644">
        <f t="shared" si="982"/>
        <v>756</v>
      </c>
    </row>
    <row r="717" spans="1:28" hidden="1">
      <c r="A717" s="1900" t="s">
        <v>168</v>
      </c>
      <c r="C717" s="528">
        <f>'6'!J23</f>
        <v>14000970.475247549</v>
      </c>
      <c r="D717" s="528">
        <f>ROUND(C717/$C$732*$D$732,0)</f>
        <v>13285763</v>
      </c>
      <c r="F717" s="1944">
        <v>4.04</v>
      </c>
      <c r="G717" s="597"/>
      <c r="H717" s="1644">
        <f>ROUND($F717*C717,0)</f>
        <v>56563921</v>
      </c>
      <c r="I717" s="1644">
        <f>ROUND($F717*D717,0)</f>
        <v>53674483</v>
      </c>
      <c r="K717" s="1944">
        <f t="shared" si="975"/>
        <v>4.03</v>
      </c>
      <c r="L717" s="597"/>
      <c r="M717" s="1944">
        <f t="shared" si="976"/>
        <v>0</v>
      </c>
      <c r="N717" s="597"/>
      <c r="O717" s="1944">
        <f t="shared" si="977"/>
        <v>0</v>
      </c>
      <c r="P717" s="597"/>
      <c r="Q717" s="1944">
        <f t="shared" si="978"/>
        <v>4.03</v>
      </c>
      <c r="R717" s="597"/>
      <c r="S717" s="1644">
        <f t="shared" si="979"/>
        <v>53541625</v>
      </c>
      <c r="T717" s="1643"/>
      <c r="U717" s="1644">
        <f t="shared" si="980"/>
        <v>0</v>
      </c>
      <c r="V717" s="1643"/>
      <c r="W717" s="1644">
        <f t="shared" si="981"/>
        <v>0</v>
      </c>
      <c r="X717" s="1645"/>
      <c r="Y717" s="1644">
        <f t="shared" si="982"/>
        <v>53541625</v>
      </c>
    </row>
    <row r="718" spans="1:28" hidden="1">
      <c r="A718" s="1900" t="s">
        <v>1645</v>
      </c>
      <c r="C718" s="528">
        <f>'6'!L23</f>
        <v>6424044.8932969086</v>
      </c>
      <c r="D718" s="528">
        <f t="shared" ref="D718:D719" si="983">ROUND(C718/$C$732*$D$732,0)</f>
        <v>6095887</v>
      </c>
      <c r="F718" s="1944"/>
      <c r="G718" s="597"/>
      <c r="H718" s="1644"/>
      <c r="I718" s="1644"/>
      <c r="K718" s="1944">
        <f t="shared" si="975"/>
        <v>6.34</v>
      </c>
      <c r="L718" s="597"/>
      <c r="M718" s="1944">
        <f t="shared" si="976"/>
        <v>7.0600000000000005</v>
      </c>
      <c r="N718" s="597"/>
      <c r="O718" s="1944">
        <f t="shared" si="977"/>
        <v>0</v>
      </c>
      <c r="P718" s="597"/>
      <c r="Q718" s="1944">
        <f t="shared" si="978"/>
        <v>13.4</v>
      </c>
      <c r="R718" s="597"/>
      <c r="S718" s="1644">
        <f t="shared" si="979"/>
        <v>38647924</v>
      </c>
      <c r="T718" s="1645"/>
      <c r="U718" s="1644">
        <f t="shared" si="980"/>
        <v>43036962</v>
      </c>
      <c r="V718" s="1645"/>
      <c r="W718" s="1644">
        <f t="shared" si="981"/>
        <v>0</v>
      </c>
      <c r="X718" s="1645"/>
      <c r="Y718" s="1644">
        <f t="shared" si="982"/>
        <v>81684886</v>
      </c>
    </row>
    <row r="719" spans="1:28" hidden="1">
      <c r="A719" s="1900" t="s">
        <v>1646</v>
      </c>
      <c r="C719" s="528">
        <f>'6'!M23</f>
        <v>7576925.8441796647</v>
      </c>
      <c r="D719" s="528">
        <f t="shared" si="983"/>
        <v>7189876</v>
      </c>
      <c r="F719" s="1944"/>
      <c r="G719" s="597"/>
      <c r="H719" s="1644"/>
      <c r="I719" s="1644"/>
      <c r="K719" s="1944">
        <f t="shared" si="975"/>
        <v>5.61</v>
      </c>
      <c r="L719" s="597"/>
      <c r="M719" s="1944">
        <f t="shared" si="976"/>
        <v>6.2499999999999991</v>
      </c>
      <c r="N719" s="597"/>
      <c r="O719" s="1944">
        <f t="shared" si="977"/>
        <v>0</v>
      </c>
      <c r="P719" s="597"/>
      <c r="Q719" s="1944">
        <f t="shared" si="978"/>
        <v>11.86</v>
      </c>
      <c r="R719" s="597"/>
      <c r="S719" s="1644">
        <f t="shared" si="979"/>
        <v>40335204</v>
      </c>
      <c r="T719" s="1645"/>
      <c r="U719" s="1644">
        <f t="shared" si="980"/>
        <v>44936725</v>
      </c>
      <c r="V719" s="1645"/>
      <c r="W719" s="1644">
        <f t="shared" si="981"/>
        <v>0</v>
      </c>
      <c r="X719" s="1645"/>
      <c r="Y719" s="1644">
        <f t="shared" si="982"/>
        <v>85271929</v>
      </c>
    </row>
    <row r="720" spans="1:28" hidden="1">
      <c r="A720" s="1900" t="s">
        <v>1647</v>
      </c>
      <c r="C720" s="528">
        <f>'6'!P23+'6'!U23+TempRevMay!C333-TempRevMay!M333-TempRevMay!W333+'6-may'!P23+'6-may'!U23</f>
        <v>1838806321.3440943</v>
      </c>
      <c r="D720" s="528">
        <f>D732-SUM(D721,D727:D731)</f>
        <v>1770056466.9150953</v>
      </c>
      <c r="F720" s="1943"/>
      <c r="G720" s="1921"/>
      <c r="H720" s="1644"/>
      <c r="I720" s="1644"/>
      <c r="K720" s="1943">
        <f t="shared" si="975"/>
        <v>0</v>
      </c>
      <c r="L720" s="1921" t="s">
        <v>495</v>
      </c>
      <c r="M720" s="1943">
        <f t="shared" si="976"/>
        <v>1.6192</v>
      </c>
      <c r="N720" s="1921" t="s">
        <v>495</v>
      </c>
      <c r="O720" s="1943">
        <f t="shared" si="977"/>
        <v>2.305570240802</v>
      </c>
      <c r="P720" s="1921" t="s">
        <v>495</v>
      </c>
      <c r="Q720" s="1943">
        <f t="shared" si="978"/>
        <v>3.9247702408020002</v>
      </c>
      <c r="R720" s="1921" t="s">
        <v>495</v>
      </c>
      <c r="S720" s="1644">
        <f>ROUND($D720*K720/100,0)</f>
        <v>0</v>
      </c>
      <c r="T720" s="1648"/>
      <c r="U720" s="1644">
        <f>ROUND($D720*M720/100,0)</f>
        <v>28660754</v>
      </c>
      <c r="V720" s="1648"/>
      <c r="W720" s="1644">
        <f>ROUND($D720*O720/100,0)</f>
        <v>40809895</v>
      </c>
      <c r="X720" s="1648"/>
      <c r="Y720" s="1644">
        <f>ROUND($D720*Q720/100,0)</f>
        <v>69470649</v>
      </c>
    </row>
    <row r="721" spans="1:28" hidden="1">
      <c r="A721" s="1900" t="s">
        <v>1648</v>
      </c>
      <c r="C721" s="528">
        <f>'6'!Q23+'6'!V23+TempRevMay!C334-TempRevMay!M334-TempRevMay!W334+'6-may'!Q23+'6-may'!V23</f>
        <v>3207450115.5028152</v>
      </c>
      <c r="D721" s="528">
        <f>ROUND(Energy!T31*(1-(D727+D731)/Energy!P31),0)</f>
        <v>3043808629</v>
      </c>
      <c r="F721" s="1943"/>
      <c r="G721" s="1921"/>
      <c r="H721" s="1644"/>
      <c r="I721" s="1644"/>
      <c r="K721" s="1943">
        <f t="shared" si="975"/>
        <v>0</v>
      </c>
      <c r="L721" s="1921" t="s">
        <v>495</v>
      </c>
      <c r="M721" s="1943">
        <f t="shared" si="976"/>
        <v>1.4329000000000001</v>
      </c>
      <c r="N721" s="1921" t="s">
        <v>495</v>
      </c>
      <c r="O721" s="1943">
        <f t="shared" si="977"/>
        <v>2.0403480007099999</v>
      </c>
      <c r="P721" s="1921" t="s">
        <v>495</v>
      </c>
      <c r="Q721" s="1943">
        <f t="shared" si="978"/>
        <v>3.4732480007099999</v>
      </c>
      <c r="R721" s="1921" t="s">
        <v>495</v>
      </c>
      <c r="S721" s="1644">
        <f>ROUND($D721*K721/100,0)</f>
        <v>0</v>
      </c>
      <c r="T721" s="1648"/>
      <c r="U721" s="1644">
        <f>ROUND($D721*M721/100,0)</f>
        <v>43614734</v>
      </c>
      <c r="V721" s="1648"/>
      <c r="W721" s="1644">
        <f>ROUND($D721*O721/100,0)</f>
        <v>62104289</v>
      </c>
      <c r="X721" s="1648"/>
      <c r="Y721" s="1644">
        <f>ROUND($D721*Q721/100,0)</f>
        <v>105719022</v>
      </c>
    </row>
    <row r="722" spans="1:28" hidden="1">
      <c r="A722" s="1900" t="s">
        <v>196</v>
      </c>
      <c r="C722" s="528">
        <f>'6'!L23</f>
        <v>6424044.8932969086</v>
      </c>
      <c r="D722" s="528">
        <f>ROUND(C722/C732*D732,0)</f>
        <v>6095887</v>
      </c>
      <c r="F722" s="1944">
        <v>14.62</v>
      </c>
      <c r="G722" s="597"/>
      <c r="H722" s="1644">
        <f t="shared" si="974"/>
        <v>93919536</v>
      </c>
      <c r="I722" s="1644">
        <f t="shared" si="974"/>
        <v>89121868</v>
      </c>
      <c r="K722" s="1944"/>
      <c r="L722" s="597"/>
      <c r="M722" s="1944"/>
      <c r="N722" s="597"/>
      <c r="O722" s="1944"/>
      <c r="P722" s="597"/>
      <c r="Q722" s="1944"/>
      <c r="R722" s="597"/>
      <c r="S722" s="1644"/>
      <c r="T722" s="1643"/>
      <c r="U722" s="1644"/>
      <c r="V722" s="1643"/>
      <c r="W722" s="1644"/>
      <c r="X722" s="1645"/>
      <c r="Y722" s="1644"/>
    </row>
    <row r="723" spans="1:28" hidden="1">
      <c r="A723" s="1900" t="s">
        <v>161</v>
      </c>
      <c r="C723" s="528">
        <f>'6'!M23</f>
        <v>7576925.8441796647</v>
      </c>
      <c r="D723" s="528">
        <f>ROUND(C723/C732*D732,0)</f>
        <v>7189876</v>
      </c>
      <c r="F723" s="1944">
        <v>10.91</v>
      </c>
      <c r="G723" s="597"/>
      <c r="H723" s="1644">
        <f t="shared" si="974"/>
        <v>82664261</v>
      </c>
      <c r="I723" s="1644">
        <f t="shared" si="974"/>
        <v>78441547</v>
      </c>
      <c r="K723" s="1944"/>
      <c r="L723" s="597"/>
      <c r="M723" s="1944"/>
      <c r="N723" s="597"/>
      <c r="O723" s="1944"/>
      <c r="P723" s="597"/>
      <c r="Q723" s="1944"/>
      <c r="R723" s="597"/>
      <c r="S723" s="1644"/>
      <c r="T723" s="1643"/>
      <c r="U723" s="1644"/>
      <c r="V723" s="1643"/>
      <c r="W723" s="1644"/>
      <c r="X723" s="1645"/>
      <c r="Y723" s="1644"/>
    </row>
    <row r="724" spans="1:28" hidden="1">
      <c r="A724" s="1900" t="s">
        <v>261</v>
      </c>
      <c r="C724" s="528">
        <f>'6'!N23</f>
        <v>345279.625</v>
      </c>
      <c r="D724" s="528">
        <f>ROUND(C724/C732*D732,0)</f>
        <v>327642</v>
      </c>
      <c r="F724" s="1944">
        <v>-0.96</v>
      </c>
      <c r="G724" s="597"/>
      <c r="H724" s="1644">
        <f t="shared" si="974"/>
        <v>-331468</v>
      </c>
      <c r="I724" s="1644">
        <f t="shared" si="974"/>
        <v>-314536</v>
      </c>
      <c r="K724" s="1944">
        <f>K682</f>
        <v>-0.96</v>
      </c>
      <c r="L724" s="597"/>
      <c r="M724" s="1944">
        <f>M682</f>
        <v>0</v>
      </c>
      <c r="N724" s="597"/>
      <c r="O724" s="1944">
        <f>O682</f>
        <v>0</v>
      </c>
      <c r="P724" s="597"/>
      <c r="Q724" s="1944">
        <f>Q682</f>
        <v>-0.96</v>
      </c>
      <c r="R724" s="597"/>
      <c r="S724" s="1644">
        <f t="shared" ref="S724" si="984">ROUND($D724*K724,0)</f>
        <v>-314536</v>
      </c>
      <c r="T724" s="1643"/>
      <c r="U724" s="1644">
        <f t="shared" ref="U724" si="985">ROUND($D724*M724,0)</f>
        <v>0</v>
      </c>
      <c r="V724" s="1643"/>
      <c r="W724" s="1644">
        <f t="shared" ref="W724" si="986">ROUND($D724*O724,0)</f>
        <v>0</v>
      </c>
      <c r="X724" s="1645"/>
      <c r="Y724" s="1644">
        <f t="shared" ref="Y724" si="987">ROUND($D724*Q724,0)</f>
        <v>-314536</v>
      </c>
    </row>
    <row r="725" spans="1:28" hidden="1">
      <c r="A725" s="1900" t="s">
        <v>1362</v>
      </c>
      <c r="C725" s="528">
        <f>'6'!P23+'6'!U23+TempRev!C333-TempRev!M333-TempRev!W333</f>
        <v>2260772296.4056034</v>
      </c>
      <c r="D725" s="528">
        <f>D732-SUM(D726:D731)</f>
        <v>2177285937.9150953</v>
      </c>
      <c r="F725" s="1943">
        <v>3.8127</v>
      </c>
      <c r="G725" s="1921" t="s">
        <v>495</v>
      </c>
      <c r="H725" s="1644">
        <f t="shared" ref="H725:I727" si="988">ROUND($F725*C725/100,0)</f>
        <v>86196465</v>
      </c>
      <c r="I725" s="1644">
        <f t="shared" si="988"/>
        <v>83013381</v>
      </c>
      <c r="K725" s="1943"/>
      <c r="L725" s="1921"/>
      <c r="M725" s="1943"/>
      <c r="N725" s="1921"/>
      <c r="O725" s="1943"/>
      <c r="P725" s="1921"/>
      <c r="Q725" s="1943"/>
      <c r="R725" s="1921"/>
      <c r="S725" s="1644"/>
      <c r="T725" s="1648"/>
      <c r="U725" s="1644"/>
      <c r="V725" s="1648"/>
      <c r="W725" s="1644"/>
      <c r="X725" s="1648"/>
      <c r="Y725" s="1644"/>
    </row>
    <row r="726" spans="1:28" hidden="1">
      <c r="A726" s="1900" t="s">
        <v>1363</v>
      </c>
      <c r="C726" s="528">
        <f>'6'!Q23+'6'!V23+TempRev!C334-TempRev!M334-TempRev!W334</f>
        <v>2785484140.4413061</v>
      </c>
      <c r="D726" s="528">
        <f>ROUND(Energy!R31*(1-(D727+D731)/Energy!P31),0)</f>
        <v>2636579158</v>
      </c>
      <c r="F726" s="1943">
        <v>3.5143</v>
      </c>
      <c r="G726" s="1921" t="s">
        <v>495</v>
      </c>
      <c r="H726" s="1644">
        <f t="shared" si="988"/>
        <v>97890269</v>
      </c>
      <c r="I726" s="1644">
        <f t="shared" si="988"/>
        <v>92657301</v>
      </c>
      <c r="K726" s="1943"/>
      <c r="L726" s="1921"/>
      <c r="M726" s="1943"/>
      <c r="N726" s="1921"/>
      <c r="O726" s="1943"/>
      <c r="P726" s="1921"/>
      <c r="Q726" s="1943"/>
      <c r="R726" s="1921"/>
      <c r="S726" s="1644"/>
      <c r="T726" s="1648"/>
      <c r="U726" s="1644"/>
      <c r="V726" s="1648"/>
      <c r="W726" s="1644"/>
      <c r="X726" s="1648"/>
      <c r="Y726" s="1644"/>
    </row>
    <row r="727" spans="1:28" hidden="1">
      <c r="A727" s="1116" t="s">
        <v>1158</v>
      </c>
      <c r="C727" s="528">
        <f>'6'!S23</f>
        <v>2064493</v>
      </c>
      <c r="D727" s="528">
        <f>ROUND(C727/(C732-C728)*D732,0)</f>
        <v>1969419</v>
      </c>
      <c r="F727" s="1943">
        <v>7.125</v>
      </c>
      <c r="G727" s="1921" t="s">
        <v>495</v>
      </c>
      <c r="H727" s="1644">
        <f t="shared" si="988"/>
        <v>147095</v>
      </c>
      <c r="I727" s="1644">
        <f t="shared" si="988"/>
        <v>140321</v>
      </c>
      <c r="K727" s="1943">
        <f>K685</f>
        <v>0</v>
      </c>
      <c r="L727" s="1921" t="s">
        <v>495</v>
      </c>
      <c r="M727" s="1943">
        <f>M685</f>
        <v>7.125</v>
      </c>
      <c r="N727" s="1921" t="s">
        <v>495</v>
      </c>
      <c r="O727" s="1943">
        <f>O685</f>
        <v>0</v>
      </c>
      <c r="P727" s="1921" t="s">
        <v>495</v>
      </c>
      <c r="Q727" s="1943">
        <f>Q685</f>
        <v>7.125</v>
      </c>
      <c r="R727" s="1921" t="s">
        <v>495</v>
      </c>
      <c r="S727" s="1644">
        <f>ROUND($D727*K727/100,0)</f>
        <v>0</v>
      </c>
      <c r="T727" s="1648"/>
      <c r="U727" s="1644">
        <f>ROUND($D727*M727/100,0)</f>
        <v>140321</v>
      </c>
      <c r="V727" s="1648"/>
      <c r="W727" s="1644">
        <f>ROUND($D727*O727/100,0)</f>
        <v>0</v>
      </c>
      <c r="X727" s="1648"/>
      <c r="Y727" s="1644">
        <f>ROUND($D727*Q727/100,0)</f>
        <v>140321</v>
      </c>
    </row>
    <row r="728" spans="1:28" hidden="1">
      <c r="A728" s="1900" t="s">
        <v>246</v>
      </c>
      <c r="C728" s="529">
        <f>'Table 2'!J45</f>
        <v>26762696</v>
      </c>
      <c r="D728" s="529">
        <v>0</v>
      </c>
      <c r="H728" s="1030">
        <f>'Table 3'!F45</f>
        <v>2430886</v>
      </c>
      <c r="I728" s="1030">
        <v>0</v>
      </c>
      <c r="Y728" s="1030"/>
    </row>
    <row r="729" spans="1:28" hidden="1">
      <c r="A729" s="1900" t="s">
        <v>1240</v>
      </c>
      <c r="C729" s="584"/>
      <c r="D729" s="584"/>
      <c r="F729" s="1930">
        <v>-3.61E-2</v>
      </c>
      <c r="G729" s="597"/>
      <c r="H729" s="1644">
        <f>SUM(H722:H723,H725:H727)*$F729</f>
        <v>-13025516.298599999</v>
      </c>
      <c r="I729" s="1644">
        <f>SUM(I722:I723,I725:I727)*$F729</f>
        <v>-12395816.489800001</v>
      </c>
      <c r="K729" s="1930"/>
      <c r="L729" s="597"/>
      <c r="M729" s="1930"/>
      <c r="N729" s="597"/>
      <c r="O729" s="1931" t="str">
        <f>$O$43</f>
        <v>Tax Year 1 (7/1/2021)</v>
      </c>
      <c r="P729" s="597"/>
      <c r="Q729" s="1930">
        <f>$Q$687</f>
        <v>-2.76E-2</v>
      </c>
      <c r="R729" s="597"/>
      <c r="S729" s="1645"/>
      <c r="T729" s="1645"/>
      <c r="U729" s="1645"/>
      <c r="V729" s="1645"/>
      <c r="W729" s="1645"/>
      <c r="X729" s="1645"/>
      <c r="Y729" s="1644">
        <f>Q729*SUM(Y718:Y721,Y727)</f>
        <v>-9447115.8731999993</v>
      </c>
    </row>
    <row r="730" spans="1:28" hidden="1">
      <c r="A730" s="1900"/>
      <c r="C730" s="584"/>
      <c r="D730" s="584"/>
      <c r="F730" s="1930"/>
      <c r="G730" s="597"/>
      <c r="H730" s="1644"/>
      <c r="I730" s="1644"/>
      <c r="K730" s="1930"/>
      <c r="L730" s="597"/>
      <c r="M730" s="1930"/>
      <c r="N730" s="597"/>
      <c r="O730" s="1931" t="str">
        <f>$O$44</f>
        <v>Tax Year 2 (1/1/2022)</v>
      </c>
      <c r="P730" s="597"/>
      <c r="Q730" s="1930">
        <f>$Q$688</f>
        <v>-1.4999999999999999E-2</v>
      </c>
      <c r="R730" s="597"/>
      <c r="S730" s="1645"/>
      <c r="T730" s="1645"/>
      <c r="U730" s="1645"/>
      <c r="V730" s="1645"/>
      <c r="W730" s="1645"/>
      <c r="X730" s="1645"/>
      <c r="Y730" s="1644">
        <f>Q730*SUM(Y718:Y721,Y727)</f>
        <v>-5134302.1049999995</v>
      </c>
    </row>
    <row r="731" spans="1:28" hidden="1">
      <c r="A731" s="1116" t="s">
        <v>1317</v>
      </c>
      <c r="C731" s="584">
        <f>'6'!AD23</f>
        <v>26720</v>
      </c>
      <c r="D731" s="528">
        <f>ROUND(C731/(C732-C728)*D732,0)</f>
        <v>25489</v>
      </c>
      <c r="F731" s="1930"/>
      <c r="G731" s="597"/>
      <c r="H731" s="1644"/>
      <c r="I731" s="1644"/>
      <c r="K731" s="1930"/>
      <c r="L731" s="597"/>
      <c r="M731" s="1930"/>
      <c r="N731" s="597"/>
      <c r="O731" s="1930"/>
      <c r="P731" s="597"/>
      <c r="Q731" s="1930"/>
      <c r="R731" s="597"/>
      <c r="S731" s="1645"/>
      <c r="T731" s="1645"/>
      <c r="U731" s="1645"/>
      <c r="V731" s="1645"/>
      <c r="W731" s="1645"/>
      <c r="X731" s="1645"/>
      <c r="Y731" s="1644"/>
    </row>
    <row r="732" spans="1:28" ht="16.5" hidden="1" thickBot="1">
      <c r="A732" s="1900" t="s">
        <v>247</v>
      </c>
      <c r="C732" s="1949">
        <f>SUM(C725:C727,C728,C731)</f>
        <v>5075110345.8469095</v>
      </c>
      <c r="D732" s="1949">
        <f>Energy!P31</f>
        <v>4815860003.9150953</v>
      </c>
      <c r="F732" s="1939"/>
      <c r="H732" s="1647">
        <f>SUM(H714:H729)</f>
        <v>414155436.70139998</v>
      </c>
      <c r="I732" s="1647">
        <f>SUM(I714:I729)</f>
        <v>391978576.51020002</v>
      </c>
      <c r="K732" s="1939"/>
      <c r="M732" s="1939"/>
      <c r="O732" s="1939"/>
      <c r="Q732" s="1939"/>
      <c r="S732" s="1647">
        <f>SUM(S714:S728)</f>
        <v>139850245</v>
      </c>
      <c r="U732" s="1647">
        <f>SUM(U714:U728)</f>
        <v>160389496</v>
      </c>
      <c r="W732" s="1647">
        <f>SUM(W714:W728)</f>
        <v>102914184</v>
      </c>
      <c r="Y732" s="1647">
        <f>SUM(Y714:Y728)</f>
        <v>403153924</v>
      </c>
      <c r="AA732" s="1104" t="s">
        <v>1743</v>
      </c>
      <c r="AB732" s="1890">
        <f>Y732/I732-1</f>
        <v>2.8510097641801124E-2</v>
      </c>
    </row>
    <row r="733" spans="1:28" ht="16.5" hidden="1" thickTop="1"/>
    <row r="734" spans="1:28" hidden="1">
      <c r="A734" s="1897" t="s">
        <v>550</v>
      </c>
      <c r="C734" s="528"/>
      <c r="D734" s="528"/>
    </row>
    <row r="735" spans="1:28" hidden="1">
      <c r="A735" s="1900" t="s">
        <v>240</v>
      </c>
      <c r="C735" s="528">
        <f>'6'!H24</f>
        <v>11768.5666666667</v>
      </c>
      <c r="D735" s="528">
        <f>Bill!P56</f>
        <v>11868</v>
      </c>
      <c r="F735" s="1944">
        <v>54</v>
      </c>
      <c r="G735" s="597"/>
      <c r="H735" s="1644">
        <f t="shared" ref="H735:I745" si="989">ROUND($F735*C735,0)</f>
        <v>635503</v>
      </c>
      <c r="I735" s="1644">
        <f t="shared" si="989"/>
        <v>640872</v>
      </c>
      <c r="K735" s="1944">
        <f t="shared" ref="K735:K742" si="990">K672</f>
        <v>54</v>
      </c>
      <c r="L735" s="597"/>
      <c r="M735" s="1944">
        <f t="shared" ref="M735:M742" si="991">M672</f>
        <v>0</v>
      </c>
      <c r="N735" s="597"/>
      <c r="O735" s="1944">
        <f t="shared" ref="O735:O742" si="992">O672</f>
        <v>0</v>
      </c>
      <c r="P735" s="597"/>
      <c r="Q735" s="1944">
        <f t="shared" ref="Q735:Q742" si="993">Q672</f>
        <v>54</v>
      </c>
      <c r="R735" s="597"/>
      <c r="S735" s="1644">
        <f>ROUND($D735*K735,0)</f>
        <v>640872</v>
      </c>
      <c r="T735" s="1643"/>
      <c r="U735" s="1644">
        <f>ROUND($D735*M735,0)</f>
        <v>0</v>
      </c>
      <c r="V735" s="1643"/>
      <c r="W735" s="1644">
        <f>ROUND($D735*O735,0)</f>
        <v>0</v>
      </c>
      <c r="X735" s="1645"/>
      <c r="Y735" s="1644">
        <f>ROUND($D735*Q735,0)</f>
        <v>640872</v>
      </c>
    </row>
    <row r="736" spans="1:28" hidden="1">
      <c r="A736" s="1900" t="s">
        <v>262</v>
      </c>
      <c r="C736" s="584">
        <v>0</v>
      </c>
      <c r="D736" s="528">
        <f>ROUND(C736/C735*D735,0)</f>
        <v>0</v>
      </c>
      <c r="F736" s="1944">
        <v>648</v>
      </c>
      <c r="G736" s="597"/>
      <c r="H736" s="1644">
        <f t="shared" si="989"/>
        <v>0</v>
      </c>
      <c r="I736" s="1644">
        <f t="shared" si="989"/>
        <v>0</v>
      </c>
      <c r="K736" s="1944">
        <f t="shared" si="990"/>
        <v>648</v>
      </c>
      <c r="L736" s="597"/>
      <c r="M736" s="1944">
        <f t="shared" si="991"/>
        <v>0</v>
      </c>
      <c r="N736" s="597"/>
      <c r="O736" s="1944">
        <f t="shared" si="992"/>
        <v>0</v>
      </c>
      <c r="P736" s="597"/>
      <c r="Q736" s="1944">
        <f t="shared" si="993"/>
        <v>648</v>
      </c>
      <c r="R736" s="597"/>
      <c r="S736" s="1644">
        <f t="shared" ref="S736:S740" si="994">ROUND($D736*K736,0)</f>
        <v>0</v>
      </c>
      <c r="T736" s="1643"/>
      <c r="U736" s="1644">
        <f t="shared" ref="U736:U740" si="995">ROUND($D736*M736,0)</f>
        <v>0</v>
      </c>
      <c r="V736" s="1643"/>
      <c r="W736" s="1644">
        <f t="shared" ref="W736:W740" si="996">ROUND($D736*O736,0)</f>
        <v>0</v>
      </c>
      <c r="X736" s="1645"/>
      <c r="Y736" s="1644">
        <f t="shared" ref="Y736:Y740" si="997">ROUND($D736*Q736,0)</f>
        <v>0</v>
      </c>
    </row>
    <row r="737" spans="1:25" hidden="1">
      <c r="A737" s="1900" t="s">
        <v>1298</v>
      </c>
      <c r="C737" s="528">
        <f>'6'!AB24</f>
        <v>0</v>
      </c>
      <c r="D737" s="528">
        <f>ROUND(C737/C735*D735,0)</f>
        <v>0</v>
      </c>
      <c r="F737" s="1944">
        <v>54</v>
      </c>
      <c r="G737" s="597"/>
      <c r="H737" s="1644">
        <f t="shared" si="989"/>
        <v>0</v>
      </c>
      <c r="I737" s="1644">
        <f t="shared" si="989"/>
        <v>0</v>
      </c>
      <c r="K737" s="1944">
        <f t="shared" si="990"/>
        <v>54</v>
      </c>
      <c r="L737" s="597"/>
      <c r="M737" s="1944">
        <f t="shared" si="991"/>
        <v>0</v>
      </c>
      <c r="N737" s="597"/>
      <c r="O737" s="1944">
        <f t="shared" si="992"/>
        <v>0</v>
      </c>
      <c r="P737" s="597"/>
      <c r="Q737" s="1944">
        <f t="shared" si="993"/>
        <v>54</v>
      </c>
      <c r="R737" s="597"/>
      <c r="S737" s="1644">
        <f t="shared" si="994"/>
        <v>0</v>
      </c>
      <c r="T737" s="1645"/>
      <c r="U737" s="1644">
        <f t="shared" si="995"/>
        <v>0</v>
      </c>
      <c r="V737" s="1645"/>
      <c r="W737" s="1644">
        <f t="shared" si="996"/>
        <v>0</v>
      </c>
      <c r="X737" s="1645"/>
      <c r="Y737" s="1644">
        <f t="shared" si="997"/>
        <v>0</v>
      </c>
    </row>
    <row r="738" spans="1:25" hidden="1">
      <c r="A738" s="1900" t="s">
        <v>168</v>
      </c>
      <c r="C738" s="528">
        <f>'6'!J24</f>
        <v>1842106.54207921</v>
      </c>
      <c r="D738" s="528">
        <f>ROUND(C738/$C$753*$D$753,0)</f>
        <v>1931159</v>
      </c>
      <c r="F738" s="1944">
        <v>4.04</v>
      </c>
      <c r="G738" s="597"/>
      <c r="H738" s="1644">
        <f>ROUND($F738*C738,0)</f>
        <v>7442110</v>
      </c>
      <c r="I738" s="1644">
        <f>ROUND($F738*D738,0)</f>
        <v>7801882</v>
      </c>
      <c r="K738" s="1944">
        <f t="shared" si="990"/>
        <v>4.03</v>
      </c>
      <c r="L738" s="597"/>
      <c r="M738" s="1944">
        <f t="shared" si="991"/>
        <v>0</v>
      </c>
      <c r="N738" s="597"/>
      <c r="O738" s="1944">
        <f t="shared" si="992"/>
        <v>0</v>
      </c>
      <c r="P738" s="597"/>
      <c r="Q738" s="1944">
        <f t="shared" si="993"/>
        <v>4.03</v>
      </c>
      <c r="R738" s="597"/>
      <c r="S738" s="1644">
        <f t="shared" si="994"/>
        <v>7782571</v>
      </c>
      <c r="T738" s="1643"/>
      <c r="U738" s="1644">
        <f t="shared" si="995"/>
        <v>0</v>
      </c>
      <c r="V738" s="1643"/>
      <c r="W738" s="1644">
        <f t="shared" si="996"/>
        <v>0</v>
      </c>
      <c r="X738" s="1645"/>
      <c r="Y738" s="1644">
        <f t="shared" si="997"/>
        <v>7782571</v>
      </c>
    </row>
    <row r="739" spans="1:25" hidden="1">
      <c r="A739" s="1900" t="s">
        <v>1645</v>
      </c>
      <c r="C739" s="528">
        <f>'6'!L24+'6-may'!L24</f>
        <v>669369.13498703158</v>
      </c>
      <c r="D739" s="528">
        <f t="shared" ref="D739:D740" si="998">ROUND(C739/$C$753*$D$753,0)</f>
        <v>701728</v>
      </c>
      <c r="F739" s="1944"/>
      <c r="G739" s="597"/>
      <c r="H739" s="1644"/>
      <c r="I739" s="1644"/>
      <c r="K739" s="1944">
        <f t="shared" si="990"/>
        <v>6.34</v>
      </c>
      <c r="L739" s="597"/>
      <c r="M739" s="1944">
        <f t="shared" si="991"/>
        <v>7.0600000000000005</v>
      </c>
      <c r="N739" s="597"/>
      <c r="O739" s="1944">
        <f t="shared" si="992"/>
        <v>0</v>
      </c>
      <c r="P739" s="597"/>
      <c r="Q739" s="1944">
        <f t="shared" si="993"/>
        <v>13.4</v>
      </c>
      <c r="R739" s="597"/>
      <c r="S739" s="1644">
        <f t="shared" si="994"/>
        <v>4448956</v>
      </c>
      <c r="T739" s="1645"/>
      <c r="U739" s="1644">
        <f t="shared" si="995"/>
        <v>4954200</v>
      </c>
      <c r="V739" s="1645"/>
      <c r="W739" s="1644">
        <f t="shared" si="996"/>
        <v>0</v>
      </c>
      <c r="X739" s="1645"/>
      <c r="Y739" s="1644">
        <f t="shared" si="997"/>
        <v>9403155</v>
      </c>
    </row>
    <row r="740" spans="1:25" hidden="1">
      <c r="A740" s="1900" t="s">
        <v>1646</v>
      </c>
      <c r="C740" s="528">
        <f>'6'!M24+'6-may'!M24</f>
        <v>1172737.4222823069</v>
      </c>
      <c r="D740" s="528">
        <f t="shared" si="998"/>
        <v>1229431</v>
      </c>
      <c r="F740" s="1944"/>
      <c r="G740" s="597"/>
      <c r="H740" s="1644"/>
      <c r="I740" s="1644"/>
      <c r="K740" s="1944">
        <f t="shared" si="990"/>
        <v>5.61</v>
      </c>
      <c r="L740" s="597"/>
      <c r="M740" s="1944">
        <f t="shared" si="991"/>
        <v>6.2499999999999991</v>
      </c>
      <c r="N740" s="597"/>
      <c r="O740" s="1944">
        <f t="shared" si="992"/>
        <v>0</v>
      </c>
      <c r="P740" s="597"/>
      <c r="Q740" s="1944">
        <f t="shared" si="993"/>
        <v>11.86</v>
      </c>
      <c r="R740" s="597"/>
      <c r="S740" s="1644">
        <f t="shared" si="994"/>
        <v>6897108</v>
      </c>
      <c r="T740" s="1645"/>
      <c r="U740" s="1644">
        <f t="shared" si="995"/>
        <v>7683944</v>
      </c>
      <c r="V740" s="1645"/>
      <c r="W740" s="1644">
        <f t="shared" si="996"/>
        <v>0</v>
      </c>
      <c r="X740" s="1645"/>
      <c r="Y740" s="1644">
        <f t="shared" si="997"/>
        <v>14581052</v>
      </c>
    </row>
    <row r="741" spans="1:25" hidden="1">
      <c r="A741" s="1900" t="s">
        <v>1647</v>
      </c>
      <c r="C741" s="528">
        <f>'6'!P24+'6'!U24+'6-may'!P24+'6-may'!U24</f>
        <v>223782145.93719122</v>
      </c>
      <c r="D741" s="528">
        <f>D753-SUM(D742,D748:D752)</f>
        <v>236106536.23923564</v>
      </c>
      <c r="F741" s="1943"/>
      <c r="G741" s="1921"/>
      <c r="H741" s="1644"/>
      <c r="I741" s="1644"/>
      <c r="K741" s="1943">
        <f t="shared" si="990"/>
        <v>0</v>
      </c>
      <c r="L741" s="1921" t="s">
        <v>495</v>
      </c>
      <c r="M741" s="1943">
        <f t="shared" si="991"/>
        <v>1.6192</v>
      </c>
      <c r="N741" s="1921" t="s">
        <v>495</v>
      </c>
      <c r="O741" s="1943">
        <f t="shared" si="992"/>
        <v>2.305570240802</v>
      </c>
      <c r="P741" s="1921" t="s">
        <v>495</v>
      </c>
      <c r="Q741" s="1943">
        <f t="shared" si="993"/>
        <v>3.9247702408020002</v>
      </c>
      <c r="R741" s="1921" t="s">
        <v>495</v>
      </c>
      <c r="S741" s="1644">
        <f>ROUND($D741*K741/100,0)</f>
        <v>0</v>
      </c>
      <c r="T741" s="1648"/>
      <c r="U741" s="1644">
        <f>ROUND($D741*M741/100,0)</f>
        <v>3823037</v>
      </c>
      <c r="V741" s="1648"/>
      <c r="W741" s="1644">
        <f>ROUND($D741*O741/100,0)</f>
        <v>5443602</v>
      </c>
      <c r="X741" s="1648"/>
      <c r="Y741" s="1644">
        <f>ROUND($D741*Q741/100,0)</f>
        <v>9266639</v>
      </c>
    </row>
    <row r="742" spans="1:25" hidden="1">
      <c r="A742" s="1900" t="s">
        <v>1648</v>
      </c>
      <c r="C742" s="528">
        <f>'6'!Q24+'6'!V24+'6-may'!Q24+'6-may'!V24</f>
        <v>380863403.06280875</v>
      </c>
      <c r="D742" s="528">
        <f>ROUND(Energy!T56*(1-(D748+D752)/Energy!P56),0)</f>
        <v>387493960</v>
      </c>
      <c r="F742" s="1943"/>
      <c r="G742" s="1921"/>
      <c r="H742" s="1644"/>
      <c r="I742" s="1644"/>
      <c r="K742" s="1943">
        <f t="shared" si="990"/>
        <v>0</v>
      </c>
      <c r="L742" s="1921" t="s">
        <v>495</v>
      </c>
      <c r="M742" s="1943">
        <f t="shared" si="991"/>
        <v>1.4329000000000001</v>
      </c>
      <c r="N742" s="1921" t="s">
        <v>495</v>
      </c>
      <c r="O742" s="1943">
        <f t="shared" si="992"/>
        <v>2.0403480007099999</v>
      </c>
      <c r="P742" s="1921" t="s">
        <v>495</v>
      </c>
      <c r="Q742" s="1943">
        <f t="shared" si="993"/>
        <v>3.4732480007099999</v>
      </c>
      <c r="R742" s="1921" t="s">
        <v>495</v>
      </c>
      <c r="S742" s="1644">
        <f>ROUND($D742*K742/100,0)</f>
        <v>0</v>
      </c>
      <c r="T742" s="1648"/>
      <c r="U742" s="1644">
        <f>ROUND($D742*M742/100,0)</f>
        <v>5552401</v>
      </c>
      <c r="V742" s="1648"/>
      <c r="W742" s="1644">
        <f>ROUND($D742*O742/100,0)</f>
        <v>7906225</v>
      </c>
      <c r="X742" s="1648"/>
      <c r="Y742" s="1644">
        <f>ROUND($D742*Q742/100,0)</f>
        <v>13458626</v>
      </c>
    </row>
    <row r="743" spans="1:25" hidden="1">
      <c r="A743" s="1900" t="s">
        <v>196</v>
      </c>
      <c r="C743" s="528">
        <f>'6'!L24</f>
        <v>821135.09439124481</v>
      </c>
      <c r="D743" s="528">
        <f>ROUND(C743/C753*D753,0)</f>
        <v>860831</v>
      </c>
      <c r="F743" s="1944">
        <v>14.62</v>
      </c>
      <c r="G743" s="597"/>
      <c r="H743" s="1644">
        <f t="shared" si="989"/>
        <v>12004995</v>
      </c>
      <c r="I743" s="1644">
        <f t="shared" si="989"/>
        <v>12585349</v>
      </c>
      <c r="K743" s="1944"/>
      <c r="L743" s="597"/>
      <c r="M743" s="1944"/>
      <c r="N743" s="597"/>
      <c r="O743" s="1944"/>
      <c r="P743" s="597"/>
      <c r="Q743" s="1944"/>
      <c r="R743" s="597"/>
      <c r="S743" s="1644"/>
      <c r="T743" s="1643"/>
      <c r="U743" s="1644"/>
      <c r="V743" s="1643"/>
      <c r="W743" s="1644"/>
      <c r="X743" s="1645"/>
      <c r="Y743" s="1644"/>
    </row>
    <row r="744" spans="1:25" hidden="1">
      <c r="A744" s="1900" t="s">
        <v>161</v>
      </c>
      <c r="C744" s="528">
        <f>'6'!M24</f>
        <v>1020971.4628780936</v>
      </c>
      <c r="D744" s="528">
        <f>ROUND(C744/C753*D753,0)</f>
        <v>1070328</v>
      </c>
      <c r="F744" s="1944">
        <v>10.91</v>
      </c>
      <c r="G744" s="597"/>
      <c r="H744" s="1644">
        <f t="shared" si="989"/>
        <v>11138799</v>
      </c>
      <c r="I744" s="1644">
        <f t="shared" si="989"/>
        <v>11677278</v>
      </c>
      <c r="K744" s="1944"/>
      <c r="L744" s="597"/>
      <c r="M744" s="1944"/>
      <c r="N744" s="597"/>
      <c r="O744" s="1944"/>
      <c r="P744" s="597"/>
      <c r="Q744" s="1944"/>
      <c r="R744" s="597"/>
      <c r="S744" s="1644"/>
      <c r="T744" s="1643"/>
      <c r="U744" s="1644"/>
      <c r="V744" s="1643"/>
      <c r="W744" s="1644"/>
      <c r="X744" s="1645"/>
      <c r="Y744" s="1644"/>
    </row>
    <row r="745" spans="1:25" hidden="1">
      <c r="A745" s="1900" t="s">
        <v>261</v>
      </c>
      <c r="C745" s="528">
        <f>'6'!N24</f>
        <v>203285.70833333299</v>
      </c>
      <c r="D745" s="528">
        <f>ROUND(C745/C753*D753,0)</f>
        <v>213113</v>
      </c>
      <c r="F745" s="1944">
        <v>-0.96</v>
      </c>
      <c r="G745" s="597"/>
      <c r="H745" s="1644">
        <f t="shared" si="989"/>
        <v>-195154</v>
      </c>
      <c r="I745" s="1644">
        <f t="shared" si="989"/>
        <v>-204588</v>
      </c>
      <c r="K745" s="1944">
        <f>K682</f>
        <v>-0.96</v>
      </c>
      <c r="L745" s="597"/>
      <c r="M745" s="1944">
        <f>M682</f>
        <v>0</v>
      </c>
      <c r="N745" s="597"/>
      <c r="O745" s="1944">
        <f>O682</f>
        <v>0</v>
      </c>
      <c r="P745" s="597"/>
      <c r="Q745" s="1944">
        <f>Q682</f>
        <v>-0.96</v>
      </c>
      <c r="R745" s="597"/>
      <c r="S745" s="1644">
        <f t="shared" ref="S745" si="999">ROUND($D745*K745,0)</f>
        <v>-204588</v>
      </c>
      <c r="T745" s="1643"/>
      <c r="U745" s="1644">
        <f t="shared" ref="U745" si="1000">ROUND($D745*M745,0)</f>
        <v>0</v>
      </c>
      <c r="V745" s="1643"/>
      <c r="W745" s="1644">
        <f t="shared" ref="W745" si="1001">ROUND($D745*O745,0)</f>
        <v>0</v>
      </c>
      <c r="X745" s="1645"/>
      <c r="Y745" s="1644">
        <f t="shared" ref="Y745" si="1002">ROUND($D745*Q745,0)</f>
        <v>-204588</v>
      </c>
    </row>
    <row r="746" spans="1:25" hidden="1">
      <c r="A746" s="1900" t="s">
        <v>1362</v>
      </c>
      <c r="C746" s="528">
        <f>'6'!P24+'6'!U24</f>
        <v>271223845</v>
      </c>
      <c r="D746" s="528">
        <f>D753-SUM(D747:D752)</f>
        <v>284165975.23923564</v>
      </c>
      <c r="F746" s="1943">
        <v>3.8127</v>
      </c>
      <c r="G746" s="1921" t="s">
        <v>495</v>
      </c>
      <c r="H746" s="1644">
        <f t="shared" ref="H746:I748" si="1003">ROUND($F746*C746/100,0)</f>
        <v>10340952</v>
      </c>
      <c r="I746" s="1644">
        <f t="shared" si="1003"/>
        <v>10834396</v>
      </c>
      <c r="K746" s="1943"/>
      <c r="L746" s="1921"/>
      <c r="M746" s="1943"/>
      <c r="N746" s="1921"/>
      <c r="O746" s="1943"/>
      <c r="P746" s="1921"/>
      <c r="Q746" s="1943"/>
      <c r="R746" s="1921"/>
      <c r="S746" s="1644"/>
      <c r="T746" s="1648"/>
      <c r="U746" s="1644"/>
      <c r="V746" s="1648"/>
      <c r="W746" s="1644"/>
      <c r="X746" s="1648"/>
      <c r="Y746" s="1644"/>
    </row>
    <row r="747" spans="1:25" hidden="1">
      <c r="A747" s="1900" t="s">
        <v>1363</v>
      </c>
      <c r="C747" s="528">
        <f>'6'!Q24+'6'!V24</f>
        <v>333421704</v>
      </c>
      <c r="D747" s="528">
        <f>ROUND(Energy!R56*(1-(D748+D752)/Energy!P56),0)</f>
        <v>339434521</v>
      </c>
      <c r="F747" s="1943">
        <v>3.5143</v>
      </c>
      <c r="G747" s="1921" t="s">
        <v>495</v>
      </c>
      <c r="H747" s="1644">
        <f t="shared" si="1003"/>
        <v>11717439</v>
      </c>
      <c r="I747" s="1644">
        <f t="shared" si="1003"/>
        <v>11928747</v>
      </c>
      <c r="K747" s="1943"/>
      <c r="L747" s="1921"/>
      <c r="M747" s="1943"/>
      <c r="N747" s="1921"/>
      <c r="O747" s="1943"/>
      <c r="P747" s="1921"/>
      <c r="Q747" s="1943"/>
      <c r="R747" s="1921"/>
      <c r="S747" s="1644"/>
      <c r="T747" s="1648"/>
      <c r="U747" s="1644"/>
      <c r="V747" s="1648"/>
      <c r="W747" s="1644"/>
      <c r="X747" s="1648"/>
      <c r="Y747" s="1644"/>
    </row>
    <row r="748" spans="1:25" hidden="1">
      <c r="A748" s="1116" t="s">
        <v>1158</v>
      </c>
      <c r="C748" s="528">
        <f>'6'!S24</f>
        <v>8000</v>
      </c>
      <c r="D748" s="528">
        <f>ROUND(C748/(C753-C749)*D753,0)</f>
        <v>8251</v>
      </c>
      <c r="F748" s="1943">
        <v>7.125</v>
      </c>
      <c r="G748" s="1921" t="s">
        <v>495</v>
      </c>
      <c r="H748" s="1644">
        <f t="shared" si="1003"/>
        <v>570</v>
      </c>
      <c r="I748" s="1644">
        <f t="shared" si="1003"/>
        <v>588</v>
      </c>
      <c r="K748" s="1943">
        <f>K685</f>
        <v>0</v>
      </c>
      <c r="L748" s="1921" t="s">
        <v>495</v>
      </c>
      <c r="M748" s="1943">
        <f>M685</f>
        <v>7.125</v>
      </c>
      <c r="N748" s="1921" t="s">
        <v>495</v>
      </c>
      <c r="O748" s="1943">
        <f>O685</f>
        <v>0</v>
      </c>
      <c r="P748" s="1921" t="s">
        <v>495</v>
      </c>
      <c r="Q748" s="1943">
        <f>Q685</f>
        <v>7.125</v>
      </c>
      <c r="R748" s="1921" t="s">
        <v>495</v>
      </c>
      <c r="S748" s="1644">
        <f>ROUND($D748*K748/100,0)</f>
        <v>0</v>
      </c>
      <c r="T748" s="1648"/>
      <c r="U748" s="1644">
        <f>ROUND($D748*M748/100,0)</f>
        <v>588</v>
      </c>
      <c r="V748" s="1648"/>
      <c r="W748" s="1644">
        <f>ROUND($D748*O748/100,0)</f>
        <v>0</v>
      </c>
      <c r="X748" s="1648"/>
      <c r="Y748" s="1644">
        <f>ROUND($D748*Q748/100,0)</f>
        <v>588</v>
      </c>
    </row>
    <row r="749" spans="1:25" hidden="1">
      <c r="A749" s="1900" t="s">
        <v>246</v>
      </c>
      <c r="C749" s="529">
        <f>'Table 2'!J83</f>
        <v>-9801655</v>
      </c>
      <c r="D749" s="529">
        <v>0</v>
      </c>
      <c r="H749" s="1030">
        <f>'Table 3'!F83</f>
        <v>-781385.35258647613</v>
      </c>
      <c r="I749" s="1030">
        <v>0</v>
      </c>
      <c r="Y749" s="1030">
        <v>0</v>
      </c>
    </row>
    <row r="750" spans="1:25" hidden="1">
      <c r="A750" s="1900" t="s">
        <v>1240</v>
      </c>
      <c r="C750" s="584"/>
      <c r="D750" s="584"/>
      <c r="F750" s="1930">
        <v>-3.61E-2</v>
      </c>
      <c r="G750" s="597"/>
      <c r="H750" s="1644">
        <f>SUM(H743:H744,H746:H748)*$F750</f>
        <v>-1631819.4554999999</v>
      </c>
      <c r="I750" s="1644">
        <f>SUM(I743:I744,I746:I748)*$F750</f>
        <v>-1697651.5238000001</v>
      </c>
      <c r="K750" s="1930"/>
      <c r="L750" s="597"/>
      <c r="M750" s="1930"/>
      <c r="N750" s="597"/>
      <c r="O750" s="1931" t="str">
        <f>$O$43</f>
        <v>Tax Year 1 (7/1/2021)</v>
      </c>
      <c r="P750" s="597"/>
      <c r="Q750" s="1930">
        <f>$Q$687</f>
        <v>-2.76E-2</v>
      </c>
      <c r="R750" s="597"/>
      <c r="S750" s="1645"/>
      <c r="T750" s="1645"/>
      <c r="U750" s="1645"/>
      <c r="V750" s="1645"/>
      <c r="W750" s="1645"/>
      <c r="X750" s="1645"/>
      <c r="Y750" s="1644">
        <f>Q750*SUM(Y739:Y742,Y748)</f>
        <v>-1289197.656</v>
      </c>
    </row>
    <row r="751" spans="1:25" hidden="1">
      <c r="A751" s="1900"/>
      <c r="C751" s="584"/>
      <c r="D751" s="584"/>
      <c r="F751" s="1930"/>
      <c r="G751" s="597"/>
      <c r="H751" s="1644"/>
      <c r="I751" s="1644"/>
      <c r="K751" s="1930"/>
      <c r="L751" s="597"/>
      <c r="M751" s="1930"/>
      <c r="N751" s="597"/>
      <c r="O751" s="1931" t="str">
        <f>$O$44</f>
        <v>Tax Year 2 (1/1/2022)</v>
      </c>
      <c r="P751" s="597"/>
      <c r="Q751" s="1930">
        <f>$Q$688</f>
        <v>-1.4999999999999999E-2</v>
      </c>
      <c r="R751" s="597"/>
      <c r="S751" s="1645"/>
      <c r="T751" s="1645"/>
      <c r="U751" s="1645"/>
      <c r="V751" s="1645"/>
      <c r="W751" s="1645"/>
      <c r="X751" s="1645"/>
      <c r="Y751" s="1644">
        <f>Q751*SUM(Y739:Y742,Y748)</f>
        <v>-700650.9</v>
      </c>
    </row>
    <row r="752" spans="1:25" hidden="1">
      <c r="A752" s="1116" t="s">
        <v>1317</v>
      </c>
      <c r="C752" s="584">
        <f>'6'!AD24</f>
        <v>0</v>
      </c>
      <c r="D752" s="528">
        <f>ROUND(C752/(C753-C749)*D753,0)</f>
        <v>0</v>
      </c>
      <c r="F752" s="1930"/>
      <c r="G752" s="597"/>
      <c r="H752" s="1644"/>
      <c r="I752" s="1644"/>
      <c r="K752" s="1930"/>
      <c r="L752" s="597"/>
      <c r="M752" s="1930"/>
      <c r="N752" s="597"/>
      <c r="O752" s="1930"/>
      <c r="P752" s="597"/>
      <c r="Q752" s="1930"/>
      <c r="R752" s="597"/>
      <c r="S752" s="1645"/>
      <c r="T752" s="1645"/>
      <c r="U752" s="1645"/>
      <c r="V752" s="1645"/>
      <c r="W752" s="1645"/>
      <c r="X752" s="1645"/>
      <c r="Y752" s="1644"/>
    </row>
    <row r="753" spans="1:28" ht="16.5" hidden="1" thickBot="1">
      <c r="A753" s="1900" t="s">
        <v>247</v>
      </c>
      <c r="C753" s="1949">
        <f>SUM(C746:C748,C749,C752)</f>
        <v>594851894</v>
      </c>
      <c r="D753" s="1949">
        <f>Energy!P56</f>
        <v>623608747.23923564</v>
      </c>
      <c r="F753" s="1939"/>
      <c r="H753" s="1647">
        <f>SUM(H735:H750)</f>
        <v>50672009.191913523</v>
      </c>
      <c r="I753" s="1647">
        <f>SUM(I735:I750)</f>
        <v>53566872.476199999</v>
      </c>
      <c r="K753" s="1939"/>
      <c r="M753" s="1939"/>
      <c r="O753" s="1939"/>
      <c r="Q753" s="1939"/>
      <c r="S753" s="1647">
        <f>SUM(S735:S749)</f>
        <v>19564919</v>
      </c>
      <c r="U753" s="1647">
        <f>SUM(U735:U749)</f>
        <v>22014170</v>
      </c>
      <c r="W753" s="1647">
        <f>SUM(W735:W749)</f>
        <v>13349827</v>
      </c>
      <c r="Y753" s="1647">
        <f>SUM(Y735:Y749)</f>
        <v>54928915</v>
      </c>
      <c r="AA753" s="1104" t="s">
        <v>1743</v>
      </c>
      <c r="AB753" s="1890">
        <f>Y753/I753-1</f>
        <v>2.5426956266770384E-2</v>
      </c>
    </row>
    <row r="754" spans="1:28" ht="16.5" thickTop="1">
      <c r="C754" s="528"/>
      <c r="D754" s="528"/>
    </row>
    <row r="755" spans="1:28">
      <c r="A755" s="1897" t="s">
        <v>979</v>
      </c>
      <c r="C755" s="528"/>
      <c r="D755" s="528"/>
    </row>
    <row r="756" spans="1:28">
      <c r="A756" s="1900" t="s">
        <v>240</v>
      </c>
      <c r="C756" s="528">
        <f t="shared" ref="C756:D769" si="1004">C775+C794+C813</f>
        <v>3423.7666666666673</v>
      </c>
      <c r="D756" s="528">
        <f t="shared" si="1004"/>
        <v>4434</v>
      </c>
      <c r="F756" s="1901">
        <v>54</v>
      </c>
      <c r="G756" s="1902"/>
      <c r="H756" s="1644">
        <f t="shared" ref="H756:I766" si="1005">ROUND($F756*C756,0)</f>
        <v>184883</v>
      </c>
      <c r="I756" s="1644">
        <f t="shared" si="1005"/>
        <v>239436</v>
      </c>
      <c r="K756" s="1901">
        <f t="shared" ref="K756:K763" si="1006">K672</f>
        <v>54</v>
      </c>
      <c r="L756" s="1902"/>
      <c r="M756" s="1901">
        <f t="shared" ref="M756:M763" si="1007">M672</f>
        <v>0</v>
      </c>
      <c r="N756" s="1902"/>
      <c r="O756" s="1901">
        <f t="shared" ref="O756:O763" si="1008">O672</f>
        <v>0</v>
      </c>
      <c r="P756" s="1902"/>
      <c r="Q756" s="1901">
        <f t="shared" ref="Q756:Q763" si="1009">Q672</f>
        <v>54</v>
      </c>
      <c r="R756" s="1902"/>
      <c r="S756" s="1644">
        <f>ROUND($D756*K756,0)</f>
        <v>239436</v>
      </c>
      <c r="T756" s="1645"/>
      <c r="U756" s="1644">
        <f>ROUND($D756*M756,0)</f>
        <v>0</v>
      </c>
      <c r="V756" s="1645"/>
      <c r="W756" s="1644">
        <f>ROUND($D756*O756,0)</f>
        <v>0</v>
      </c>
      <c r="X756" s="1643"/>
      <c r="Y756" s="1644">
        <f>ROUND($D756*Q756,0)</f>
        <v>239436</v>
      </c>
    </row>
    <row r="757" spans="1:28">
      <c r="A757" s="1900" t="s">
        <v>262</v>
      </c>
      <c r="C757" s="528">
        <f t="shared" si="1004"/>
        <v>0</v>
      </c>
      <c r="D757" s="528">
        <f t="shared" si="1004"/>
        <v>0</v>
      </c>
      <c r="F757" s="1901">
        <v>648</v>
      </c>
      <c r="G757" s="1902"/>
      <c r="H757" s="1644">
        <f t="shared" si="1005"/>
        <v>0</v>
      </c>
      <c r="I757" s="1644">
        <f t="shared" si="1005"/>
        <v>0</v>
      </c>
      <c r="K757" s="1901">
        <f t="shared" si="1006"/>
        <v>648</v>
      </c>
      <c r="L757" s="1902"/>
      <c r="M757" s="1901">
        <f t="shared" si="1007"/>
        <v>0</v>
      </c>
      <c r="N757" s="1902"/>
      <c r="O757" s="1901">
        <f t="shared" si="1008"/>
        <v>0</v>
      </c>
      <c r="P757" s="1902"/>
      <c r="Q757" s="1901">
        <f t="shared" si="1009"/>
        <v>648</v>
      </c>
      <c r="R757" s="1902"/>
      <c r="S757" s="1644">
        <f t="shared" ref="S757:S761" si="1010">ROUND($D757*K757,0)</f>
        <v>0</v>
      </c>
      <c r="T757" s="1645"/>
      <c r="U757" s="1644">
        <f t="shared" ref="U757:Y761" si="1011">ROUND($D757*M757,0)</f>
        <v>0</v>
      </c>
      <c r="V757" s="1645"/>
      <c r="W757" s="1644">
        <f t="shared" si="1011"/>
        <v>0</v>
      </c>
      <c r="X757" s="1643"/>
      <c r="Y757" s="1644">
        <f t="shared" si="1011"/>
        <v>0</v>
      </c>
    </row>
    <row r="758" spans="1:28">
      <c r="A758" s="1900" t="s">
        <v>1298</v>
      </c>
      <c r="C758" s="528">
        <f t="shared" si="1004"/>
        <v>0</v>
      </c>
      <c r="D758" s="528">
        <f t="shared" si="1004"/>
        <v>0</v>
      </c>
      <c r="F758" s="1944">
        <v>54</v>
      </c>
      <c r="G758" s="597"/>
      <c r="H758" s="1644">
        <f t="shared" si="1005"/>
        <v>0</v>
      </c>
      <c r="I758" s="1644">
        <f t="shared" si="1005"/>
        <v>0</v>
      </c>
      <c r="K758" s="1944">
        <f t="shared" si="1006"/>
        <v>54</v>
      </c>
      <c r="L758" s="597"/>
      <c r="M758" s="1944">
        <f t="shared" si="1007"/>
        <v>0</v>
      </c>
      <c r="N758" s="597"/>
      <c r="O758" s="1944">
        <f t="shared" si="1008"/>
        <v>0</v>
      </c>
      <c r="P758" s="597"/>
      <c r="Q758" s="1944">
        <f t="shared" si="1009"/>
        <v>54</v>
      </c>
      <c r="R758" s="597"/>
      <c r="S758" s="1644">
        <f t="shared" si="1010"/>
        <v>0</v>
      </c>
      <c r="T758" s="1645"/>
      <c r="U758" s="1644">
        <f t="shared" si="1011"/>
        <v>0</v>
      </c>
      <c r="V758" s="1645"/>
      <c r="W758" s="1644">
        <f t="shared" si="1011"/>
        <v>0</v>
      </c>
      <c r="X758" s="1645"/>
      <c r="Y758" s="1644">
        <f t="shared" si="1011"/>
        <v>0</v>
      </c>
    </row>
    <row r="759" spans="1:28">
      <c r="A759" s="1900" t="s">
        <v>168</v>
      </c>
      <c r="C759" s="528">
        <f t="shared" si="1004"/>
        <v>383745.23267326731</v>
      </c>
      <c r="D759" s="528">
        <f t="shared" si="1004"/>
        <v>505379</v>
      </c>
      <c r="F759" s="1901">
        <v>4.04</v>
      </c>
      <c r="G759" s="1902"/>
      <c r="H759" s="1644">
        <f>ROUND($F759*C759,0)</f>
        <v>1550331</v>
      </c>
      <c r="I759" s="1644">
        <f>ROUND($F759*D759,0)</f>
        <v>2041731</v>
      </c>
      <c r="K759" s="1901">
        <f t="shared" si="1006"/>
        <v>4.03</v>
      </c>
      <c r="L759" s="1902"/>
      <c r="M759" s="1901">
        <f t="shared" si="1007"/>
        <v>0</v>
      </c>
      <c r="N759" s="1902"/>
      <c r="O759" s="1901">
        <f t="shared" si="1008"/>
        <v>0</v>
      </c>
      <c r="P759" s="1902"/>
      <c r="Q759" s="1901">
        <f t="shared" si="1009"/>
        <v>4.03</v>
      </c>
      <c r="R759" s="1902"/>
      <c r="S759" s="1644">
        <f t="shared" si="1010"/>
        <v>2036677</v>
      </c>
      <c r="T759" s="1645"/>
      <c r="U759" s="1644">
        <f t="shared" si="1011"/>
        <v>0</v>
      </c>
      <c r="V759" s="1645"/>
      <c r="W759" s="1644">
        <f t="shared" si="1011"/>
        <v>0</v>
      </c>
      <c r="X759" s="1643"/>
      <c r="Y759" s="1644">
        <f t="shared" si="1011"/>
        <v>2036677</v>
      </c>
    </row>
    <row r="760" spans="1:28">
      <c r="A760" s="1900" t="s">
        <v>1645</v>
      </c>
      <c r="C760" s="528">
        <f t="shared" si="1004"/>
        <v>157278.49761986933</v>
      </c>
      <c r="D760" s="528">
        <f t="shared" si="1004"/>
        <v>206980</v>
      </c>
      <c r="F760" s="1944"/>
      <c r="G760" s="597"/>
      <c r="H760" s="1644"/>
      <c r="I760" s="1644"/>
      <c r="K760" s="1944">
        <f t="shared" si="1006"/>
        <v>6.34</v>
      </c>
      <c r="L760" s="597"/>
      <c r="M760" s="1944">
        <f t="shared" si="1007"/>
        <v>7.0600000000000005</v>
      </c>
      <c r="N760" s="597"/>
      <c r="O760" s="1944">
        <f t="shared" si="1008"/>
        <v>0</v>
      </c>
      <c r="P760" s="597"/>
      <c r="Q760" s="1944">
        <f t="shared" si="1009"/>
        <v>13.4</v>
      </c>
      <c r="R760" s="597"/>
      <c r="S760" s="1644">
        <f t="shared" si="1010"/>
        <v>1312253</v>
      </c>
      <c r="T760" s="1644"/>
      <c r="U760" s="1644">
        <f t="shared" si="1011"/>
        <v>1461279</v>
      </c>
      <c r="V760" s="1644"/>
      <c r="W760" s="1644">
        <f t="shared" si="1011"/>
        <v>0</v>
      </c>
      <c r="X760" s="1645"/>
      <c r="Y760" s="1644">
        <f t="shared" si="1011"/>
        <v>2773532</v>
      </c>
    </row>
    <row r="761" spans="1:28">
      <c r="A761" s="1900" t="s">
        <v>1646</v>
      </c>
      <c r="C761" s="528">
        <f t="shared" si="1004"/>
        <v>226466.75962037957</v>
      </c>
      <c r="D761" s="528">
        <f t="shared" si="1004"/>
        <v>298398</v>
      </c>
      <c r="F761" s="1944"/>
      <c r="G761" s="597"/>
      <c r="H761" s="1644"/>
      <c r="I761" s="1644"/>
      <c r="K761" s="1944">
        <f t="shared" si="1006"/>
        <v>5.61</v>
      </c>
      <c r="L761" s="597"/>
      <c r="M761" s="1944">
        <f t="shared" si="1007"/>
        <v>6.2499999999999991</v>
      </c>
      <c r="N761" s="597"/>
      <c r="O761" s="1944">
        <f t="shared" si="1008"/>
        <v>0</v>
      </c>
      <c r="P761" s="597"/>
      <c r="Q761" s="1944">
        <f t="shared" si="1009"/>
        <v>11.86</v>
      </c>
      <c r="R761" s="597"/>
      <c r="S761" s="1644">
        <f t="shared" si="1010"/>
        <v>1674013</v>
      </c>
      <c r="T761" s="1644"/>
      <c r="U761" s="1644">
        <f t="shared" si="1011"/>
        <v>1864988</v>
      </c>
      <c r="V761" s="1644"/>
      <c r="W761" s="1644">
        <f t="shared" si="1011"/>
        <v>0</v>
      </c>
      <c r="X761" s="1645"/>
      <c r="Y761" s="1644">
        <f t="shared" si="1011"/>
        <v>3539000</v>
      </c>
    </row>
    <row r="762" spans="1:28">
      <c r="A762" s="1900" t="s">
        <v>1647</v>
      </c>
      <c r="C762" s="528">
        <f t="shared" si="1004"/>
        <v>50086245.627021879</v>
      </c>
      <c r="D762" s="528">
        <f t="shared" si="1004"/>
        <v>60590665.781530641</v>
      </c>
      <c r="F762" s="1943"/>
      <c r="G762" s="1921"/>
      <c r="H762" s="1644"/>
      <c r="I762" s="1644"/>
      <c r="K762" s="1943">
        <f t="shared" si="1006"/>
        <v>0</v>
      </c>
      <c r="L762" s="1921" t="s">
        <v>495</v>
      </c>
      <c r="M762" s="1943">
        <f t="shared" si="1007"/>
        <v>1.6192</v>
      </c>
      <c r="N762" s="1921" t="s">
        <v>495</v>
      </c>
      <c r="O762" s="1943">
        <f t="shared" si="1008"/>
        <v>2.305570240802</v>
      </c>
      <c r="P762" s="1921" t="s">
        <v>495</v>
      </c>
      <c r="Q762" s="1943">
        <f t="shared" si="1009"/>
        <v>3.9247702408020002</v>
      </c>
      <c r="R762" s="1921" t="s">
        <v>495</v>
      </c>
      <c r="S762" s="1644">
        <f>ROUND($D762*K762/100,0)</f>
        <v>0</v>
      </c>
      <c r="T762" s="1644"/>
      <c r="U762" s="1644">
        <f>ROUND($D762*M762/100,0)</f>
        <v>981084</v>
      </c>
      <c r="V762" s="1644"/>
      <c r="W762" s="1644">
        <f>ROUND($D762*O762/100,0)</f>
        <v>1396960</v>
      </c>
      <c r="X762" s="1648"/>
      <c r="Y762" s="1644">
        <f>ROUND($D762*Q762/100,0)</f>
        <v>2378044</v>
      </c>
    </row>
    <row r="763" spans="1:28">
      <c r="A763" s="1900" t="s">
        <v>1648</v>
      </c>
      <c r="C763" s="528">
        <f t="shared" si="1004"/>
        <v>79149936.007644281</v>
      </c>
      <c r="D763" s="528">
        <f t="shared" si="1004"/>
        <v>109661557.70953687</v>
      </c>
      <c r="F763" s="1943"/>
      <c r="G763" s="1921"/>
      <c r="H763" s="1644"/>
      <c r="I763" s="1644"/>
      <c r="K763" s="1943">
        <f t="shared" si="1006"/>
        <v>0</v>
      </c>
      <c r="L763" s="1921" t="s">
        <v>495</v>
      </c>
      <c r="M763" s="1943">
        <f t="shared" si="1007"/>
        <v>1.4329000000000001</v>
      </c>
      <c r="N763" s="1921" t="s">
        <v>495</v>
      </c>
      <c r="O763" s="1943">
        <f t="shared" si="1008"/>
        <v>2.0403480007099999</v>
      </c>
      <c r="P763" s="1921" t="s">
        <v>495</v>
      </c>
      <c r="Q763" s="1943">
        <f t="shared" si="1009"/>
        <v>3.4732480007099999</v>
      </c>
      <c r="R763" s="1921" t="s">
        <v>495</v>
      </c>
      <c r="S763" s="1644">
        <f>ROUND($D763*K763/100,0)</f>
        <v>0</v>
      </c>
      <c r="T763" s="1644"/>
      <c r="U763" s="1644">
        <f>ROUND($D763*M763/100,0)</f>
        <v>1571340</v>
      </c>
      <c r="V763" s="1644"/>
      <c r="W763" s="1644">
        <f>ROUND($D763*O763/100,0)</f>
        <v>2237477</v>
      </c>
      <c r="X763" s="1648"/>
      <c r="Y763" s="1644">
        <f>ROUND($D763*Q763/100,0)</f>
        <v>3808818</v>
      </c>
    </row>
    <row r="764" spans="1:28">
      <c r="A764" s="1900" t="s">
        <v>196</v>
      </c>
      <c r="C764" s="528">
        <f t="shared" si="1004"/>
        <v>172978.83652530829</v>
      </c>
      <c r="D764" s="528">
        <f t="shared" si="1004"/>
        <v>228131</v>
      </c>
      <c r="F764" s="1901">
        <v>14.62</v>
      </c>
      <c r="G764" s="1902"/>
      <c r="H764" s="1644">
        <f t="shared" si="1005"/>
        <v>2528951</v>
      </c>
      <c r="I764" s="1644">
        <f t="shared" si="1005"/>
        <v>3335275</v>
      </c>
      <c r="K764" s="1901"/>
      <c r="L764" s="1902"/>
      <c r="M764" s="1901"/>
      <c r="N764" s="1902"/>
      <c r="O764" s="1901"/>
      <c r="P764" s="1902"/>
      <c r="Q764" s="1901"/>
      <c r="R764" s="1902"/>
      <c r="S764" s="1644"/>
      <c r="T764" s="1645"/>
      <c r="U764" s="1644"/>
      <c r="V764" s="1645"/>
      <c r="W764" s="1644"/>
      <c r="X764" s="1643"/>
      <c r="Y764" s="1644"/>
    </row>
    <row r="765" spans="1:28">
      <c r="A765" s="1900" t="s">
        <v>161</v>
      </c>
      <c r="C765" s="528">
        <f t="shared" si="1004"/>
        <v>210766.42071494064</v>
      </c>
      <c r="D765" s="528">
        <f t="shared" si="1004"/>
        <v>277248</v>
      </c>
      <c r="F765" s="1901">
        <v>10.91</v>
      </c>
      <c r="G765" s="1902"/>
      <c r="H765" s="1644">
        <f t="shared" si="1005"/>
        <v>2299462</v>
      </c>
      <c r="I765" s="1644">
        <f t="shared" si="1005"/>
        <v>3024776</v>
      </c>
      <c r="K765" s="1901"/>
      <c r="L765" s="1902"/>
      <c r="M765" s="1901"/>
      <c r="N765" s="1902"/>
      <c r="O765" s="1901"/>
      <c r="P765" s="1902"/>
      <c r="Q765" s="1901"/>
      <c r="R765" s="1902"/>
      <c r="S765" s="1644"/>
      <c r="T765" s="1645"/>
      <c r="U765" s="1644"/>
      <c r="V765" s="1645"/>
      <c r="W765" s="1644"/>
      <c r="X765" s="1643"/>
      <c r="Y765" s="1644"/>
    </row>
    <row r="766" spans="1:28">
      <c r="A766" s="1900" t="s">
        <v>261</v>
      </c>
      <c r="C766" s="528">
        <f t="shared" si="1004"/>
        <v>15842</v>
      </c>
      <c r="D766" s="528">
        <f t="shared" si="1004"/>
        <v>26614</v>
      </c>
      <c r="F766" s="1901">
        <v>-0.96</v>
      </c>
      <c r="G766" s="1902"/>
      <c r="H766" s="1644">
        <f t="shared" si="1005"/>
        <v>-15208</v>
      </c>
      <c r="I766" s="1644">
        <f t="shared" si="1005"/>
        <v>-25549</v>
      </c>
      <c r="K766" s="1901">
        <f>K682</f>
        <v>-0.96</v>
      </c>
      <c r="L766" s="1902"/>
      <c r="M766" s="1901">
        <f>M682</f>
        <v>0</v>
      </c>
      <c r="N766" s="1902"/>
      <c r="O766" s="1901">
        <f>O682</f>
        <v>0</v>
      </c>
      <c r="P766" s="1902"/>
      <c r="Q766" s="1901">
        <f>Q682</f>
        <v>-0.96</v>
      </c>
      <c r="R766" s="1902"/>
      <c r="S766" s="1644">
        <f t="shared" ref="S766" si="1012">ROUND($D766*K766,0)</f>
        <v>-25549</v>
      </c>
      <c r="T766" s="1644"/>
      <c r="U766" s="1644">
        <f t="shared" ref="U766:Y766" si="1013">ROUND($D766*M766,0)</f>
        <v>0</v>
      </c>
      <c r="V766" s="1644"/>
      <c r="W766" s="1644">
        <f t="shared" si="1013"/>
        <v>0</v>
      </c>
      <c r="X766" s="1643"/>
      <c r="Y766" s="1644">
        <f t="shared" si="1013"/>
        <v>-25549</v>
      </c>
    </row>
    <row r="767" spans="1:28">
      <c r="A767" s="1900" t="s">
        <v>1362</v>
      </c>
      <c r="C767" s="528">
        <f t="shared" si="1004"/>
        <v>54977993.984188855</v>
      </c>
      <c r="D767" s="528">
        <f t="shared" si="1004"/>
        <v>72856846.09838742</v>
      </c>
      <c r="F767" s="1943">
        <v>3.8127</v>
      </c>
      <c r="G767" s="1921" t="s">
        <v>495</v>
      </c>
      <c r="H767" s="1644">
        <f>ROUND($F767*C767/100,0)</f>
        <v>2096146</v>
      </c>
      <c r="I767" s="1644">
        <f>ROUND($F767*D767/100,0)</f>
        <v>2777813</v>
      </c>
      <c r="K767" s="1943"/>
      <c r="L767" s="1921"/>
      <c r="M767" s="1943"/>
      <c r="N767" s="1921"/>
      <c r="O767" s="1943"/>
      <c r="P767" s="1921"/>
      <c r="Q767" s="1943"/>
      <c r="R767" s="1921"/>
      <c r="S767" s="1648"/>
      <c r="T767" s="1648"/>
      <c r="U767" s="1648"/>
      <c r="V767" s="1648"/>
      <c r="W767" s="1648"/>
      <c r="X767" s="1648"/>
      <c r="Y767" s="1644"/>
    </row>
    <row r="768" spans="1:28">
      <c r="A768" s="1900" t="s">
        <v>1363</v>
      </c>
      <c r="C768" s="528">
        <f t="shared" si="1004"/>
        <v>74258187.650477305</v>
      </c>
      <c r="D768" s="528">
        <f t="shared" si="1004"/>
        <v>97395377.392680094</v>
      </c>
      <c r="F768" s="1943">
        <v>3.5143</v>
      </c>
      <c r="G768" s="1921" t="s">
        <v>495</v>
      </c>
      <c r="H768" s="1644">
        <f>ROUND($F768*C768/100,0)</f>
        <v>2609655</v>
      </c>
      <c r="I768" s="1644">
        <f>ROUND($F768*D768/100,0)</f>
        <v>3422766</v>
      </c>
      <c r="K768" s="1943"/>
      <c r="L768" s="1921"/>
      <c r="M768" s="1943"/>
      <c r="N768" s="1921"/>
      <c r="O768" s="1943"/>
      <c r="P768" s="1921"/>
      <c r="Q768" s="1943"/>
      <c r="R768" s="1921"/>
      <c r="S768" s="1648"/>
      <c r="T768" s="1648"/>
      <c r="U768" s="1648"/>
      <c r="V768" s="1648"/>
      <c r="W768" s="1648"/>
      <c r="X768" s="1648"/>
      <c r="Y768" s="1644"/>
    </row>
    <row r="769" spans="1:28">
      <c r="A769" s="1900" t="s">
        <v>246</v>
      </c>
      <c r="C769" s="529">
        <f t="shared" si="1004"/>
        <v>638530</v>
      </c>
      <c r="D769" s="529">
        <f t="shared" si="1004"/>
        <v>0</v>
      </c>
      <c r="H769" s="1030">
        <f>H788+H807+H826</f>
        <v>60083</v>
      </c>
      <c r="I769" s="1030">
        <f>I788+I807+I826</f>
        <v>0</v>
      </c>
      <c r="Y769" s="1030">
        <f>Y788+Y807+Y826</f>
        <v>0</v>
      </c>
    </row>
    <row r="770" spans="1:28">
      <c r="A770" s="1900" t="s">
        <v>1240</v>
      </c>
      <c r="C770" s="584"/>
      <c r="D770" s="584"/>
      <c r="F770" s="1930">
        <v>-3.61E-2</v>
      </c>
      <c r="G770" s="597"/>
      <c r="H770" s="1644">
        <f>SUM(H764:H765,H767:H768)*$F770</f>
        <v>-344185.12540000002</v>
      </c>
      <c r="I770" s="1644">
        <f>SUM(I764:I765,I767:I768)*$F770</f>
        <v>-453438.74300000002</v>
      </c>
      <c r="K770" s="1930"/>
      <c r="L770" s="597"/>
      <c r="M770" s="1930"/>
      <c r="N770" s="597"/>
      <c r="O770" s="1931" t="str">
        <f>$O$43</f>
        <v>Tax Year 1 (7/1/2021)</v>
      </c>
      <c r="P770" s="597"/>
      <c r="Q770" s="1930">
        <f>$Q$687</f>
        <v>-2.76E-2</v>
      </c>
      <c r="R770" s="597"/>
      <c r="S770" s="1645"/>
      <c r="T770" s="1645"/>
      <c r="U770" s="1645"/>
      <c r="V770" s="1645"/>
      <c r="W770" s="1645"/>
      <c r="X770" s="1645"/>
      <c r="Y770" s="1644">
        <f>Q770*SUM(Y760:Y763)</f>
        <v>-344983.27439999999</v>
      </c>
    </row>
    <row r="771" spans="1:28">
      <c r="A771" s="1900"/>
      <c r="C771" s="584"/>
      <c r="D771" s="584"/>
      <c r="F771" s="1930"/>
      <c r="G771" s="597"/>
      <c r="H771" s="1644"/>
      <c r="I771" s="1644"/>
      <c r="K771" s="1930"/>
      <c r="L771" s="597"/>
      <c r="M771" s="1930"/>
      <c r="N771" s="597"/>
      <c r="O771" s="1931" t="str">
        <f>$O$44</f>
        <v>Tax Year 2 (1/1/2022)</v>
      </c>
      <c r="P771" s="597"/>
      <c r="Q771" s="1930">
        <f>$Q$688</f>
        <v>-1.4999999999999999E-2</v>
      </c>
      <c r="R771" s="597"/>
      <c r="S771" s="1645"/>
      <c r="T771" s="1645"/>
      <c r="U771" s="1645"/>
      <c r="V771" s="1645"/>
      <c r="W771" s="1645"/>
      <c r="X771" s="1645"/>
      <c r="Y771" s="1644">
        <f>Q771*SUM(Y760:Y763)</f>
        <v>-187490.91</v>
      </c>
    </row>
    <row r="772" spans="1:28" ht="16.5" thickBot="1">
      <c r="A772" s="1900" t="s">
        <v>247</v>
      </c>
      <c r="C772" s="1949">
        <f>SUM(C767:C769)</f>
        <v>129874711.63466616</v>
      </c>
      <c r="D772" s="1949">
        <f>SUM(D767:D769)</f>
        <v>170252223.49106753</v>
      </c>
      <c r="F772" s="1939"/>
      <c r="H772" s="1647">
        <f>SUM(H756:H770)</f>
        <v>10970117.874600001</v>
      </c>
      <c r="I772" s="1647">
        <f>SUM(I756:I770)</f>
        <v>14362809.256999999</v>
      </c>
      <c r="K772" s="1939"/>
      <c r="M772" s="1939"/>
      <c r="O772" s="1939"/>
      <c r="Q772" s="1939"/>
      <c r="S772" s="1647">
        <f>SUM(S756:S769)</f>
        <v>5236830</v>
      </c>
      <c r="U772" s="1647">
        <f>SUM(U756:U769)</f>
        <v>5878691</v>
      </c>
      <c r="W772" s="1647">
        <f>SUM(W756:W769)</f>
        <v>3634437</v>
      </c>
      <c r="Y772" s="1647">
        <f>SUM(Y756:Y769)</f>
        <v>14749958</v>
      </c>
      <c r="AA772" s="1104" t="s">
        <v>1743</v>
      </c>
      <c r="AB772" s="1890">
        <f>Y772/I772-1</f>
        <v>2.6954945656701312E-2</v>
      </c>
    </row>
    <row r="773" spans="1:28" ht="16.5" hidden="1" thickTop="1">
      <c r="C773" s="528"/>
      <c r="D773" s="528"/>
    </row>
    <row r="774" spans="1:28" hidden="1">
      <c r="A774" s="1897" t="s">
        <v>982</v>
      </c>
      <c r="C774" s="528"/>
      <c r="D774" s="528"/>
    </row>
    <row r="775" spans="1:28" hidden="1">
      <c r="A775" s="1900" t="s">
        <v>240</v>
      </c>
      <c r="C775" s="528">
        <f>'6'!H29</f>
        <v>158.96666666666701</v>
      </c>
      <c r="D775" s="528">
        <f>Bill!P20</f>
        <v>204</v>
      </c>
      <c r="F775" s="1944">
        <v>54</v>
      </c>
      <c r="G775" s="597"/>
      <c r="H775" s="1644">
        <f t="shared" ref="H775:I785" si="1014">ROUND($F775*C775,0)</f>
        <v>8584</v>
      </c>
      <c r="I775" s="1644">
        <f t="shared" si="1014"/>
        <v>11016</v>
      </c>
      <c r="K775" s="1944">
        <f t="shared" ref="K775:K782" si="1015">K756</f>
        <v>54</v>
      </c>
      <c r="L775" s="597"/>
      <c r="M775" s="1944">
        <f t="shared" ref="M775:M782" si="1016">M756</f>
        <v>0</v>
      </c>
      <c r="N775" s="597"/>
      <c r="O775" s="1944">
        <f t="shared" ref="O775:O782" si="1017">O756</f>
        <v>0</v>
      </c>
      <c r="P775" s="597"/>
      <c r="Q775" s="1944">
        <f t="shared" ref="Q775:Q782" si="1018">Q756</f>
        <v>54</v>
      </c>
      <c r="R775" s="597"/>
      <c r="S775" s="1644">
        <f>ROUND($D775*K775,0)</f>
        <v>11016</v>
      </c>
      <c r="T775" s="1645"/>
      <c r="U775" s="1644">
        <f>ROUND($D775*M775,0)</f>
        <v>0</v>
      </c>
      <c r="V775" s="1645"/>
      <c r="W775" s="1644">
        <f>ROUND($D775*O775,0)</f>
        <v>0</v>
      </c>
      <c r="X775" s="1645"/>
      <c r="Y775" s="1644">
        <f>ROUND($D775*Q775,0)</f>
        <v>11016</v>
      </c>
    </row>
    <row r="776" spans="1:28" hidden="1">
      <c r="A776" s="1900" t="s">
        <v>262</v>
      </c>
      <c r="C776" s="584">
        <v>0</v>
      </c>
      <c r="D776" s="528">
        <f>ROUND(C776/C775*D775,0)</f>
        <v>0</v>
      </c>
      <c r="F776" s="1944">
        <v>648</v>
      </c>
      <c r="G776" s="597"/>
      <c r="H776" s="1644">
        <f t="shared" si="1014"/>
        <v>0</v>
      </c>
      <c r="I776" s="1644">
        <f t="shared" si="1014"/>
        <v>0</v>
      </c>
      <c r="K776" s="1944">
        <f t="shared" si="1015"/>
        <v>648</v>
      </c>
      <c r="L776" s="597"/>
      <c r="M776" s="1944">
        <f t="shared" si="1016"/>
        <v>0</v>
      </c>
      <c r="N776" s="597"/>
      <c r="O776" s="1944">
        <f t="shared" si="1017"/>
        <v>0</v>
      </c>
      <c r="P776" s="597"/>
      <c r="Q776" s="1944">
        <f t="shared" si="1018"/>
        <v>648</v>
      </c>
      <c r="R776" s="597"/>
      <c r="S776" s="1644">
        <f t="shared" ref="S776:S780" si="1019">ROUND($D776*K776,0)</f>
        <v>0</v>
      </c>
      <c r="T776" s="1645"/>
      <c r="U776" s="1644">
        <f t="shared" ref="U776:U780" si="1020">ROUND($D776*M776,0)</f>
        <v>0</v>
      </c>
      <c r="V776" s="1645"/>
      <c r="W776" s="1644">
        <f t="shared" ref="W776:W780" si="1021">ROUND($D776*O776,0)</f>
        <v>0</v>
      </c>
      <c r="X776" s="1645"/>
      <c r="Y776" s="1644">
        <f t="shared" ref="Y776:Y780" si="1022">ROUND($D776*Q776,0)</f>
        <v>0</v>
      </c>
    </row>
    <row r="777" spans="1:28" hidden="1">
      <c r="A777" s="1900" t="s">
        <v>1298</v>
      </c>
      <c r="C777" s="528">
        <v>0</v>
      </c>
      <c r="D777" s="528">
        <f>ROUND(C777/C775*D775,0)</f>
        <v>0</v>
      </c>
      <c r="F777" s="1944">
        <v>54</v>
      </c>
      <c r="G777" s="597"/>
      <c r="H777" s="1644">
        <f t="shared" si="1014"/>
        <v>0</v>
      </c>
      <c r="I777" s="1644">
        <f t="shared" si="1014"/>
        <v>0</v>
      </c>
      <c r="K777" s="1944">
        <f t="shared" si="1015"/>
        <v>54</v>
      </c>
      <c r="L777" s="597"/>
      <c r="M777" s="1944">
        <f t="shared" si="1016"/>
        <v>0</v>
      </c>
      <c r="N777" s="597"/>
      <c r="O777" s="1944">
        <f t="shared" si="1017"/>
        <v>0</v>
      </c>
      <c r="P777" s="597"/>
      <c r="Q777" s="1944">
        <f t="shared" si="1018"/>
        <v>54</v>
      </c>
      <c r="R777" s="597"/>
      <c r="S777" s="1644">
        <f t="shared" si="1019"/>
        <v>0</v>
      </c>
      <c r="T777" s="1645"/>
      <c r="U777" s="1644">
        <f t="shared" si="1020"/>
        <v>0</v>
      </c>
      <c r="V777" s="1645"/>
      <c r="W777" s="1644">
        <f t="shared" si="1021"/>
        <v>0</v>
      </c>
      <c r="X777" s="1645"/>
      <c r="Y777" s="1644">
        <f t="shared" si="1022"/>
        <v>0</v>
      </c>
    </row>
    <row r="778" spans="1:28" hidden="1">
      <c r="A778" s="1900" t="s">
        <v>168</v>
      </c>
      <c r="C778" s="528">
        <f>'6'!J29</f>
        <v>11471.5346534653</v>
      </c>
      <c r="D778" s="528">
        <f>ROUND(C778/$C$791*$D$791,0)</f>
        <v>13836</v>
      </c>
      <c r="F778" s="1944">
        <v>4.04</v>
      </c>
      <c r="G778" s="597"/>
      <c r="H778" s="1644">
        <f>ROUND($F778*C778,0)</f>
        <v>46345</v>
      </c>
      <c r="I778" s="1644">
        <f>ROUND($F778*D778,0)</f>
        <v>55897</v>
      </c>
      <c r="K778" s="1944">
        <f t="shared" si="1015"/>
        <v>4.03</v>
      </c>
      <c r="L778" s="597"/>
      <c r="M778" s="1944">
        <f t="shared" si="1016"/>
        <v>0</v>
      </c>
      <c r="N778" s="597"/>
      <c r="O778" s="1944">
        <f t="shared" si="1017"/>
        <v>0</v>
      </c>
      <c r="P778" s="597"/>
      <c r="Q778" s="1944">
        <f t="shared" si="1018"/>
        <v>4.03</v>
      </c>
      <c r="R778" s="597"/>
      <c r="S778" s="1644">
        <f t="shared" si="1019"/>
        <v>55759</v>
      </c>
      <c r="T778" s="1645"/>
      <c r="U778" s="1644">
        <f t="shared" si="1020"/>
        <v>0</v>
      </c>
      <c r="V778" s="1645"/>
      <c r="W778" s="1644">
        <f t="shared" si="1021"/>
        <v>0</v>
      </c>
      <c r="X778" s="1645"/>
      <c r="Y778" s="1644">
        <f t="shared" si="1022"/>
        <v>55759</v>
      </c>
    </row>
    <row r="779" spans="1:28" hidden="1">
      <c r="A779" s="1900" t="s">
        <v>1645</v>
      </c>
      <c r="C779" s="528">
        <f>'6'!L29+'6-may'!L29</f>
        <v>3464.7546487512086</v>
      </c>
      <c r="D779" s="528">
        <f t="shared" ref="D779:D780" si="1023">ROUND(C779/$C$791*$D$791,0)</f>
        <v>4179</v>
      </c>
      <c r="F779" s="1944"/>
      <c r="G779" s="597"/>
      <c r="H779" s="1644"/>
      <c r="I779" s="1644"/>
      <c r="K779" s="1944">
        <f t="shared" si="1015"/>
        <v>6.34</v>
      </c>
      <c r="L779" s="597"/>
      <c r="M779" s="1944">
        <f t="shared" si="1016"/>
        <v>7.0600000000000005</v>
      </c>
      <c r="N779" s="597"/>
      <c r="O779" s="1944">
        <f t="shared" si="1017"/>
        <v>0</v>
      </c>
      <c r="P779" s="597"/>
      <c r="Q779" s="1944">
        <f t="shared" si="1018"/>
        <v>13.4</v>
      </c>
      <c r="R779" s="597"/>
      <c r="S779" s="1644">
        <f t="shared" si="1019"/>
        <v>26495</v>
      </c>
      <c r="T779" s="1644"/>
      <c r="U779" s="1644">
        <f t="shared" si="1020"/>
        <v>29504</v>
      </c>
      <c r="V779" s="1644"/>
      <c r="W779" s="1644">
        <f t="shared" si="1021"/>
        <v>0</v>
      </c>
      <c r="X779" s="1645"/>
      <c r="Y779" s="1644">
        <f t="shared" si="1022"/>
        <v>55999</v>
      </c>
    </row>
    <row r="780" spans="1:28" hidden="1">
      <c r="A780" s="1900" t="s">
        <v>1646</v>
      </c>
      <c r="C780" s="528">
        <f>'6'!M29+'6-may'!M29</f>
        <v>8006.7795760529116</v>
      </c>
      <c r="D780" s="528">
        <f t="shared" si="1023"/>
        <v>9657</v>
      </c>
      <c r="F780" s="1944"/>
      <c r="G780" s="597"/>
      <c r="H780" s="1644"/>
      <c r="I780" s="1644"/>
      <c r="K780" s="1944">
        <f t="shared" si="1015"/>
        <v>5.61</v>
      </c>
      <c r="L780" s="597"/>
      <c r="M780" s="1944">
        <f t="shared" si="1016"/>
        <v>6.2499999999999991</v>
      </c>
      <c r="N780" s="597"/>
      <c r="O780" s="1944">
        <f t="shared" si="1017"/>
        <v>0</v>
      </c>
      <c r="P780" s="597"/>
      <c r="Q780" s="1944">
        <f t="shared" si="1018"/>
        <v>11.86</v>
      </c>
      <c r="R780" s="597"/>
      <c r="S780" s="1644">
        <f t="shared" si="1019"/>
        <v>54176</v>
      </c>
      <c r="T780" s="1644"/>
      <c r="U780" s="1644">
        <f t="shared" si="1020"/>
        <v>60356</v>
      </c>
      <c r="V780" s="1644"/>
      <c r="W780" s="1644">
        <f t="shared" si="1021"/>
        <v>0</v>
      </c>
      <c r="X780" s="1645"/>
      <c r="Y780" s="1644">
        <f t="shared" si="1022"/>
        <v>114532</v>
      </c>
    </row>
    <row r="781" spans="1:28" hidden="1">
      <c r="A781" s="1900" t="s">
        <v>1647</v>
      </c>
      <c r="C781" s="528">
        <f>'6'!P29+'6'!U29+TempRevMay!M324+'6-may'!P29+'6-may'!U29</f>
        <v>1076461.2380270492</v>
      </c>
      <c r="D781" s="528">
        <f>Energy!S20</f>
        <v>1454609.0476190476</v>
      </c>
      <c r="F781" s="1943"/>
      <c r="G781" s="1921"/>
      <c r="H781" s="1644"/>
      <c r="I781" s="1644"/>
      <c r="K781" s="1943">
        <f t="shared" si="1015"/>
        <v>0</v>
      </c>
      <c r="L781" s="1921" t="s">
        <v>495</v>
      </c>
      <c r="M781" s="1943">
        <f t="shared" si="1016"/>
        <v>1.6192</v>
      </c>
      <c r="N781" s="1921" t="s">
        <v>495</v>
      </c>
      <c r="O781" s="1943">
        <f t="shared" si="1017"/>
        <v>2.305570240802</v>
      </c>
      <c r="P781" s="1921" t="s">
        <v>495</v>
      </c>
      <c r="Q781" s="1943">
        <f t="shared" si="1018"/>
        <v>3.9247702408020002</v>
      </c>
      <c r="R781" s="1921" t="s">
        <v>495</v>
      </c>
      <c r="S781" s="1644">
        <f>ROUND($D781*K781/100,0)</f>
        <v>0</v>
      </c>
      <c r="T781" s="1644"/>
      <c r="U781" s="1644">
        <f>ROUND($D781*M781/100,0)</f>
        <v>23553</v>
      </c>
      <c r="V781" s="1644"/>
      <c r="W781" s="1644">
        <f>ROUND($D781*O781/100,0)</f>
        <v>33537</v>
      </c>
      <c r="X781" s="1648"/>
      <c r="Y781" s="1644">
        <f>ROUND($D781*Q781/100,0)</f>
        <v>57090</v>
      </c>
    </row>
    <row r="782" spans="1:28" hidden="1">
      <c r="A782" s="1900" t="s">
        <v>1648</v>
      </c>
      <c r="C782" s="528">
        <f>'6'!Q29+'6'!V29+TempRevMay!M325+'6-may'!Q29+'6-may'!V29</f>
        <v>2694300.4670450641</v>
      </c>
      <c r="D782" s="528">
        <f>Energy!T20</f>
        <v>3119199.1373626376</v>
      </c>
      <c r="F782" s="1943"/>
      <c r="G782" s="1921"/>
      <c r="H782" s="1644"/>
      <c r="I782" s="1644"/>
      <c r="K782" s="1943">
        <f t="shared" si="1015"/>
        <v>0</v>
      </c>
      <c r="L782" s="1921" t="s">
        <v>495</v>
      </c>
      <c r="M782" s="1943">
        <f t="shared" si="1016"/>
        <v>1.4329000000000001</v>
      </c>
      <c r="N782" s="1921" t="s">
        <v>495</v>
      </c>
      <c r="O782" s="1943">
        <f t="shared" si="1017"/>
        <v>2.0403480007099999</v>
      </c>
      <c r="P782" s="1921" t="s">
        <v>495</v>
      </c>
      <c r="Q782" s="1943">
        <f t="shared" si="1018"/>
        <v>3.4732480007099999</v>
      </c>
      <c r="R782" s="1921" t="s">
        <v>495</v>
      </c>
      <c r="S782" s="1644">
        <f>ROUND($D782*K782/100,0)</f>
        <v>0</v>
      </c>
      <c r="T782" s="1644"/>
      <c r="U782" s="1644">
        <f>ROUND($D782*M782/100,0)</f>
        <v>44695</v>
      </c>
      <c r="V782" s="1644"/>
      <c r="W782" s="1644">
        <f>ROUND($D782*O782/100,0)</f>
        <v>63643</v>
      </c>
      <c r="X782" s="1648"/>
      <c r="Y782" s="1644">
        <f>ROUND($D782*Q782/100,0)</f>
        <v>108338</v>
      </c>
    </row>
    <row r="783" spans="1:28" hidden="1">
      <c r="A783" s="1900" t="s">
        <v>196</v>
      </c>
      <c r="C783" s="528">
        <f>'6'!L29</f>
        <v>4259.2564979480203</v>
      </c>
      <c r="D783" s="528">
        <f>ROUND(C783/C791*D791,0)</f>
        <v>5137</v>
      </c>
      <c r="F783" s="1944">
        <v>14.62</v>
      </c>
      <c r="G783" s="597"/>
      <c r="H783" s="1644">
        <f t="shared" si="1014"/>
        <v>62270</v>
      </c>
      <c r="I783" s="1644">
        <f t="shared" si="1014"/>
        <v>75103</v>
      </c>
      <c r="K783" s="1944"/>
      <c r="L783" s="597"/>
      <c r="M783" s="1944"/>
      <c r="N783" s="597"/>
      <c r="O783" s="1944"/>
      <c r="P783" s="597"/>
      <c r="Q783" s="1944"/>
      <c r="R783" s="597"/>
      <c r="S783" s="1644"/>
      <c r="T783" s="1645"/>
      <c r="U783" s="1644"/>
      <c r="V783" s="1645"/>
      <c r="W783" s="1644"/>
      <c r="X783" s="1645"/>
      <c r="Y783" s="1644"/>
    </row>
    <row r="784" spans="1:28" hidden="1">
      <c r="A784" s="1900" t="s">
        <v>161</v>
      </c>
      <c r="C784" s="528">
        <f>'6'!M29</f>
        <v>7212.2777268561003</v>
      </c>
      <c r="D784" s="528">
        <f>ROUND(C784/C791*D791,0)</f>
        <v>8699</v>
      </c>
      <c r="F784" s="1944">
        <v>10.91</v>
      </c>
      <c r="G784" s="597"/>
      <c r="H784" s="1644">
        <f t="shared" si="1014"/>
        <v>78686</v>
      </c>
      <c r="I784" s="1644">
        <f t="shared" si="1014"/>
        <v>94906</v>
      </c>
      <c r="K784" s="1944"/>
      <c r="L784" s="597"/>
      <c r="M784" s="1944"/>
      <c r="N784" s="597"/>
      <c r="O784" s="1944"/>
      <c r="P784" s="597"/>
      <c r="Q784" s="1944"/>
      <c r="R784" s="597"/>
      <c r="S784" s="1644"/>
      <c r="T784" s="1645"/>
      <c r="U784" s="1644"/>
      <c r="V784" s="1645"/>
      <c r="W784" s="1644"/>
      <c r="X784" s="1645"/>
      <c r="Y784" s="1644"/>
    </row>
    <row r="785" spans="1:28" hidden="1">
      <c r="A785" s="1900" t="s">
        <v>261</v>
      </c>
      <c r="C785" s="528">
        <f>'6'!N29</f>
        <v>0</v>
      </c>
      <c r="D785" s="528">
        <f>ROUND(C785/C791*D791,0)</f>
        <v>0</v>
      </c>
      <c r="F785" s="1944">
        <v>-0.96</v>
      </c>
      <c r="G785" s="597"/>
      <c r="H785" s="1644">
        <f t="shared" si="1014"/>
        <v>0</v>
      </c>
      <c r="I785" s="1644">
        <f t="shared" si="1014"/>
        <v>0</v>
      </c>
      <c r="K785" s="1944">
        <f>K766</f>
        <v>-0.96</v>
      </c>
      <c r="L785" s="597"/>
      <c r="M785" s="1944">
        <f>M766</f>
        <v>0</v>
      </c>
      <c r="N785" s="597"/>
      <c r="O785" s="1944">
        <f>O766</f>
        <v>0</v>
      </c>
      <c r="P785" s="597"/>
      <c r="Q785" s="1944">
        <f>Q766</f>
        <v>-0.96</v>
      </c>
      <c r="R785" s="597"/>
      <c r="S785" s="1644">
        <f t="shared" ref="S785" si="1024">ROUND($D785*K785,0)</f>
        <v>0</v>
      </c>
      <c r="T785" s="1644"/>
      <c r="U785" s="1644">
        <f t="shared" ref="U785" si="1025">ROUND($D785*M785,0)</f>
        <v>0</v>
      </c>
      <c r="V785" s="1644"/>
      <c r="W785" s="1644">
        <f t="shared" ref="W785" si="1026">ROUND($D785*O785,0)</f>
        <v>0</v>
      </c>
      <c r="X785" s="1645"/>
      <c r="Y785" s="1644">
        <f t="shared" ref="Y785" si="1027">ROUND($D785*Q785,0)</f>
        <v>0</v>
      </c>
    </row>
    <row r="786" spans="1:28" hidden="1">
      <c r="A786" s="1900" t="s">
        <v>1362</v>
      </c>
      <c r="C786" s="528">
        <f>'6'!P29+'6'!U29+TempRev!M324</f>
        <v>1331517.1683641539</v>
      </c>
      <c r="D786" s="528">
        <f>Energy!Q20</f>
        <v>1752959.0476190476</v>
      </c>
      <c r="F786" s="1943">
        <v>3.8127</v>
      </c>
      <c r="G786" s="1921" t="s">
        <v>495</v>
      </c>
      <c r="H786" s="1644">
        <f>ROUND($F786*C786/100,0)</f>
        <v>50767</v>
      </c>
      <c r="I786" s="1644">
        <f>ROUND($F786*D786/100,0)</f>
        <v>66835</v>
      </c>
      <c r="K786" s="1943"/>
      <c r="L786" s="1921"/>
      <c r="M786" s="1943"/>
      <c r="N786" s="1921"/>
      <c r="O786" s="1943"/>
      <c r="P786" s="1921"/>
      <c r="Q786" s="1943"/>
      <c r="R786" s="1921"/>
      <c r="S786" s="1648"/>
      <c r="T786" s="1648"/>
      <c r="U786" s="1648"/>
      <c r="V786" s="1648"/>
      <c r="W786" s="1648"/>
      <c r="X786" s="1648"/>
      <c r="Y786" s="1644"/>
    </row>
    <row r="787" spans="1:28" hidden="1">
      <c r="A787" s="1900" t="s">
        <v>1363</v>
      </c>
      <c r="C787" s="528">
        <f>'6'!Q29+'6'!V29+TempRev!M325</f>
        <v>2439244.5367079591</v>
      </c>
      <c r="D787" s="528">
        <f>Energy!R20</f>
        <v>2820849.1373626376</v>
      </c>
      <c r="F787" s="1943">
        <v>3.5143</v>
      </c>
      <c r="G787" s="1921" t="s">
        <v>495</v>
      </c>
      <c r="H787" s="1644">
        <f>ROUND($F787*C787/100,0)</f>
        <v>85722</v>
      </c>
      <c r="I787" s="1644">
        <f>ROUND($F787*D787/100,0)</f>
        <v>99133</v>
      </c>
      <c r="K787" s="1943"/>
      <c r="L787" s="1921"/>
      <c r="M787" s="1943"/>
      <c r="N787" s="1921"/>
      <c r="O787" s="1943"/>
      <c r="P787" s="1921"/>
      <c r="Q787" s="1943"/>
      <c r="R787" s="1921"/>
      <c r="S787" s="1648"/>
      <c r="T787" s="1648"/>
      <c r="U787" s="1648"/>
      <c r="V787" s="1648"/>
      <c r="W787" s="1648"/>
      <c r="X787" s="1648"/>
      <c r="Y787" s="1644"/>
    </row>
    <row r="788" spans="1:28" hidden="1">
      <c r="A788" s="1900" t="s">
        <v>246</v>
      </c>
      <c r="C788" s="529">
        <f>'Table 2'!J19</f>
        <v>21392</v>
      </c>
      <c r="D788" s="529">
        <v>0</v>
      </c>
      <c r="H788" s="1030">
        <f>'Table 3'!F19</f>
        <v>1984</v>
      </c>
      <c r="I788" s="1030">
        <v>0</v>
      </c>
      <c r="Y788" s="1030">
        <v>0</v>
      </c>
    </row>
    <row r="789" spans="1:28" hidden="1">
      <c r="A789" s="1900" t="s">
        <v>1240</v>
      </c>
      <c r="C789" s="584"/>
      <c r="D789" s="584"/>
      <c r="F789" s="1930">
        <v>-3.61E-2</v>
      </c>
      <c r="G789" s="597"/>
      <c r="H789" s="1644">
        <f>SUM(H783:H784,H786:H787)*$F789</f>
        <v>-10015.764499999999</v>
      </c>
      <c r="I789" s="1644">
        <f>SUM(I783:I784,I786:I787)*$F789</f>
        <v>-12128.769700000001</v>
      </c>
      <c r="K789" s="1930"/>
      <c r="L789" s="597"/>
      <c r="M789" s="1930"/>
      <c r="N789" s="597"/>
      <c r="O789" s="1931" t="str">
        <f>$O$43</f>
        <v>Tax Year 1 (7/1/2021)</v>
      </c>
      <c r="P789" s="597"/>
      <c r="Q789" s="1930">
        <f>$Q$687</f>
        <v>-2.76E-2</v>
      </c>
      <c r="R789" s="597"/>
      <c r="S789" s="1645"/>
      <c r="T789" s="1645"/>
      <c r="U789" s="1645"/>
      <c r="V789" s="1645"/>
      <c r="W789" s="1645"/>
      <c r="X789" s="1645"/>
      <c r="Y789" s="1644">
        <f>Q789*SUM(Y779:Y782)</f>
        <v>-9272.4683999999997</v>
      </c>
    </row>
    <row r="790" spans="1:28" hidden="1">
      <c r="A790" s="1900"/>
      <c r="C790" s="584"/>
      <c r="D790" s="584"/>
      <c r="F790" s="1930"/>
      <c r="G790" s="597"/>
      <c r="H790" s="1644"/>
      <c r="I790" s="1644"/>
      <c r="K790" s="1930"/>
      <c r="L790" s="597"/>
      <c r="M790" s="1930"/>
      <c r="N790" s="597"/>
      <c r="O790" s="1931" t="str">
        <f>$O$44</f>
        <v>Tax Year 2 (1/1/2022)</v>
      </c>
      <c r="P790" s="597"/>
      <c r="Q790" s="1930">
        <f>$Q$688</f>
        <v>-1.4999999999999999E-2</v>
      </c>
      <c r="R790" s="597"/>
      <c r="S790" s="1645"/>
      <c r="T790" s="1645"/>
      <c r="U790" s="1645"/>
      <c r="V790" s="1645"/>
      <c r="W790" s="1645"/>
      <c r="X790" s="1645"/>
      <c r="Y790" s="1644">
        <f>Q790*SUM(Y779:Y782)</f>
        <v>-5039.3850000000002</v>
      </c>
    </row>
    <row r="791" spans="1:28" ht="16.5" hidden="1" thickBot="1">
      <c r="A791" s="1900" t="s">
        <v>247</v>
      </c>
      <c r="C791" s="1949">
        <f>SUM(C786:C788)</f>
        <v>3792153.7050721133</v>
      </c>
      <c r="D791" s="1949">
        <f>SUM(D786:D788)</f>
        <v>4573808.1849816851</v>
      </c>
      <c r="F791" s="1939"/>
      <c r="H791" s="1647">
        <f>SUM(H775:H789)</f>
        <v>324342.23550000001</v>
      </c>
      <c r="I791" s="1647">
        <f>SUM(I775:I789)</f>
        <v>390761.2303</v>
      </c>
      <c r="K791" s="1939"/>
      <c r="M791" s="1939"/>
      <c r="O791" s="1939"/>
      <c r="Q791" s="1939"/>
      <c r="S791" s="1647">
        <f>SUM(S775:S788)</f>
        <v>147446</v>
      </c>
      <c r="U791" s="1647">
        <f>SUM(U775:U788)</f>
        <v>158108</v>
      </c>
      <c r="W791" s="1647">
        <f>SUM(W775:W788)</f>
        <v>97180</v>
      </c>
      <c r="Y791" s="1647">
        <f>SUM(Y775:Y788)</f>
        <v>402734</v>
      </c>
      <c r="AA791" s="1104" t="s">
        <v>1743</v>
      </c>
      <c r="AB791" s="1890">
        <f>Y791/I791-1</f>
        <v>3.06396048830333E-2</v>
      </c>
    </row>
    <row r="792" spans="1:28" ht="16.5" hidden="1" thickTop="1"/>
    <row r="793" spans="1:28" hidden="1">
      <c r="A793" s="1897" t="s">
        <v>980</v>
      </c>
      <c r="C793" s="528"/>
      <c r="D793" s="528"/>
    </row>
    <row r="794" spans="1:28" hidden="1">
      <c r="A794" s="1900" t="s">
        <v>240</v>
      </c>
      <c r="C794" s="528">
        <f>'6'!H27</f>
        <v>3192.8</v>
      </c>
      <c r="D794" s="528">
        <f>Bill!P46</f>
        <v>4032</v>
      </c>
      <c r="F794" s="1944">
        <v>54</v>
      </c>
      <c r="G794" s="597"/>
      <c r="H794" s="1644">
        <f t="shared" ref="H794:I804" si="1028">ROUND($F794*C794,0)</f>
        <v>172411</v>
      </c>
      <c r="I794" s="1644">
        <f t="shared" si="1028"/>
        <v>217728</v>
      </c>
      <c r="K794" s="1944">
        <f t="shared" ref="K794:K801" si="1029">K756</f>
        <v>54</v>
      </c>
      <c r="L794" s="597"/>
      <c r="M794" s="1944">
        <f t="shared" ref="M794:M801" si="1030">M756</f>
        <v>0</v>
      </c>
      <c r="N794" s="597"/>
      <c r="O794" s="1944">
        <f t="shared" ref="O794:O801" si="1031">O756</f>
        <v>0</v>
      </c>
      <c r="P794" s="597"/>
      <c r="Q794" s="1944">
        <f t="shared" ref="Q794:Q801" si="1032">Q756</f>
        <v>54</v>
      </c>
      <c r="R794" s="597"/>
      <c r="S794" s="1644">
        <f>ROUND($D794*K794,0)</f>
        <v>217728</v>
      </c>
      <c r="T794" s="1645"/>
      <c r="U794" s="1644">
        <f>ROUND($D794*M794,0)</f>
        <v>0</v>
      </c>
      <c r="V794" s="1645"/>
      <c r="W794" s="1644">
        <f>ROUND($D794*O794,0)</f>
        <v>0</v>
      </c>
      <c r="X794" s="1645"/>
      <c r="Y794" s="1644">
        <f>ROUND($D794*Q794,0)</f>
        <v>217728</v>
      </c>
    </row>
    <row r="795" spans="1:28" hidden="1">
      <c r="A795" s="1900" t="s">
        <v>262</v>
      </c>
      <c r="C795" s="584">
        <v>0</v>
      </c>
      <c r="D795" s="528">
        <f>ROUND(C795/C794*D794,0)</f>
        <v>0</v>
      </c>
      <c r="F795" s="1944">
        <v>648</v>
      </c>
      <c r="G795" s="597"/>
      <c r="H795" s="1644">
        <f t="shared" si="1028"/>
        <v>0</v>
      </c>
      <c r="I795" s="1644">
        <f t="shared" si="1028"/>
        <v>0</v>
      </c>
      <c r="K795" s="1944">
        <f t="shared" si="1029"/>
        <v>648</v>
      </c>
      <c r="L795" s="597"/>
      <c r="M795" s="1944">
        <f t="shared" si="1030"/>
        <v>0</v>
      </c>
      <c r="N795" s="597"/>
      <c r="O795" s="1944">
        <f t="shared" si="1031"/>
        <v>0</v>
      </c>
      <c r="P795" s="597"/>
      <c r="Q795" s="1944">
        <f t="shared" si="1032"/>
        <v>648</v>
      </c>
      <c r="R795" s="597"/>
      <c r="S795" s="1644">
        <f t="shared" ref="S795:S799" si="1033">ROUND($D795*K795,0)</f>
        <v>0</v>
      </c>
      <c r="T795" s="1645"/>
      <c r="U795" s="1644">
        <f t="shared" ref="U795:U799" si="1034">ROUND($D795*M795,0)</f>
        <v>0</v>
      </c>
      <c r="V795" s="1645"/>
      <c r="W795" s="1644">
        <f t="shared" ref="W795:W799" si="1035">ROUND($D795*O795,0)</f>
        <v>0</v>
      </c>
      <c r="X795" s="1645"/>
      <c r="Y795" s="1644">
        <f t="shared" ref="Y795:Y799" si="1036">ROUND($D795*Q795,0)</f>
        <v>0</v>
      </c>
    </row>
    <row r="796" spans="1:28" hidden="1">
      <c r="A796" s="1900" t="s">
        <v>1298</v>
      </c>
      <c r="C796" s="528">
        <v>0</v>
      </c>
      <c r="D796" s="528">
        <f>ROUND(C796/C794*D794,0)</f>
        <v>0</v>
      </c>
      <c r="F796" s="1944">
        <v>54</v>
      </c>
      <c r="G796" s="597"/>
      <c r="H796" s="1644">
        <f t="shared" si="1028"/>
        <v>0</v>
      </c>
      <c r="I796" s="1644">
        <f t="shared" si="1028"/>
        <v>0</v>
      </c>
      <c r="K796" s="1944">
        <f t="shared" si="1029"/>
        <v>54</v>
      </c>
      <c r="L796" s="597"/>
      <c r="M796" s="1944">
        <f t="shared" si="1030"/>
        <v>0</v>
      </c>
      <c r="N796" s="597"/>
      <c r="O796" s="1944">
        <f t="shared" si="1031"/>
        <v>0</v>
      </c>
      <c r="P796" s="597"/>
      <c r="Q796" s="1944">
        <f t="shared" si="1032"/>
        <v>54</v>
      </c>
      <c r="R796" s="597"/>
      <c r="S796" s="1644">
        <f t="shared" si="1033"/>
        <v>0</v>
      </c>
      <c r="T796" s="1645"/>
      <c r="U796" s="1644">
        <f t="shared" si="1034"/>
        <v>0</v>
      </c>
      <c r="V796" s="1645"/>
      <c r="W796" s="1644">
        <f t="shared" si="1035"/>
        <v>0</v>
      </c>
      <c r="X796" s="1645"/>
      <c r="Y796" s="1644">
        <f t="shared" si="1036"/>
        <v>0</v>
      </c>
    </row>
    <row r="797" spans="1:28" hidden="1">
      <c r="A797" s="1900" t="s">
        <v>168</v>
      </c>
      <c r="C797" s="528">
        <f>'6'!J27</f>
        <v>364255.69801980199</v>
      </c>
      <c r="D797" s="528">
        <f>ROUND(C797/$C$810*$D$810,0)</f>
        <v>468930</v>
      </c>
      <c r="F797" s="1944">
        <v>4.04</v>
      </c>
      <c r="G797" s="597"/>
      <c r="H797" s="1644">
        <f>ROUND($F797*C797,0)</f>
        <v>1471593</v>
      </c>
      <c r="I797" s="1644">
        <f>ROUND($F797*D797,0)</f>
        <v>1894477</v>
      </c>
      <c r="K797" s="1944">
        <f t="shared" si="1029"/>
        <v>4.03</v>
      </c>
      <c r="L797" s="597"/>
      <c r="M797" s="1944">
        <f t="shared" si="1030"/>
        <v>0</v>
      </c>
      <c r="N797" s="597"/>
      <c r="O797" s="1944">
        <f t="shared" si="1031"/>
        <v>0</v>
      </c>
      <c r="P797" s="597"/>
      <c r="Q797" s="1944">
        <f t="shared" si="1032"/>
        <v>4.03</v>
      </c>
      <c r="R797" s="597"/>
      <c r="S797" s="1644">
        <f t="shared" si="1033"/>
        <v>1889788</v>
      </c>
      <c r="T797" s="1645"/>
      <c r="U797" s="1644">
        <f t="shared" si="1034"/>
        <v>0</v>
      </c>
      <c r="V797" s="1645"/>
      <c r="W797" s="1644">
        <f t="shared" si="1035"/>
        <v>0</v>
      </c>
      <c r="X797" s="1645"/>
      <c r="Y797" s="1644">
        <f t="shared" si="1036"/>
        <v>1889788</v>
      </c>
    </row>
    <row r="798" spans="1:28" hidden="1">
      <c r="A798" s="1900" t="s">
        <v>1645</v>
      </c>
      <c r="C798" s="528">
        <f>'6'!L27+'6-may'!L27</f>
        <v>150690.92065663519</v>
      </c>
      <c r="D798" s="528">
        <f t="shared" ref="D798:D799" si="1037">ROUND(C798/$C$810*$D$810,0)</f>
        <v>193994</v>
      </c>
      <c r="F798" s="1944"/>
      <c r="G798" s="597"/>
      <c r="H798" s="1644"/>
      <c r="I798" s="1644"/>
      <c r="K798" s="1944">
        <f t="shared" si="1029"/>
        <v>6.34</v>
      </c>
      <c r="L798" s="597"/>
      <c r="M798" s="1944">
        <f t="shared" si="1030"/>
        <v>7.0600000000000005</v>
      </c>
      <c r="N798" s="597"/>
      <c r="O798" s="1944">
        <f t="shared" si="1031"/>
        <v>0</v>
      </c>
      <c r="P798" s="597"/>
      <c r="Q798" s="1944">
        <f t="shared" si="1032"/>
        <v>13.4</v>
      </c>
      <c r="R798" s="597"/>
      <c r="S798" s="1644">
        <f t="shared" si="1033"/>
        <v>1229922</v>
      </c>
      <c r="T798" s="1644"/>
      <c r="U798" s="1644">
        <f t="shared" si="1034"/>
        <v>1369598</v>
      </c>
      <c r="V798" s="1644"/>
      <c r="W798" s="1644">
        <f t="shared" si="1035"/>
        <v>0</v>
      </c>
      <c r="X798" s="1645"/>
      <c r="Y798" s="1644">
        <f t="shared" si="1036"/>
        <v>2599520</v>
      </c>
    </row>
    <row r="799" spans="1:28" hidden="1">
      <c r="A799" s="1900" t="s">
        <v>1646</v>
      </c>
      <c r="C799" s="528">
        <f>'6'!M27+'6-may'!M27</f>
        <v>213564.80074693981</v>
      </c>
      <c r="D799" s="528">
        <f t="shared" si="1037"/>
        <v>274936</v>
      </c>
      <c r="F799" s="1944"/>
      <c r="G799" s="597"/>
      <c r="H799" s="1644"/>
      <c r="I799" s="1644"/>
      <c r="K799" s="1944">
        <f t="shared" si="1029"/>
        <v>5.61</v>
      </c>
      <c r="L799" s="597"/>
      <c r="M799" s="1944">
        <f t="shared" si="1030"/>
        <v>6.2499999999999991</v>
      </c>
      <c r="N799" s="597"/>
      <c r="O799" s="1944">
        <f t="shared" si="1031"/>
        <v>0</v>
      </c>
      <c r="P799" s="597"/>
      <c r="Q799" s="1944">
        <f t="shared" si="1032"/>
        <v>11.86</v>
      </c>
      <c r="R799" s="597"/>
      <c r="S799" s="1644">
        <f t="shared" si="1033"/>
        <v>1542391</v>
      </c>
      <c r="T799" s="1644"/>
      <c r="U799" s="1644">
        <f t="shared" si="1034"/>
        <v>1718350</v>
      </c>
      <c r="V799" s="1644"/>
      <c r="W799" s="1644">
        <f t="shared" si="1035"/>
        <v>0</v>
      </c>
      <c r="X799" s="1645"/>
      <c r="Y799" s="1644">
        <f t="shared" si="1036"/>
        <v>3260741</v>
      </c>
    </row>
    <row r="800" spans="1:28" hidden="1">
      <c r="A800" s="1900" t="s">
        <v>1647</v>
      </c>
      <c r="C800" s="528">
        <f>'6'!P27+'6'!U27+TempRevMay!M333+'6-may'!P27+'6-may'!U27</f>
        <v>48125028.184217915</v>
      </c>
      <c r="D800" s="528">
        <f>Energy!S46</f>
        <v>56616651.067244932</v>
      </c>
      <c r="F800" s="1943"/>
      <c r="G800" s="1921"/>
      <c r="H800" s="1644"/>
      <c r="I800" s="1644"/>
      <c r="K800" s="1943">
        <f t="shared" si="1029"/>
        <v>0</v>
      </c>
      <c r="L800" s="1921" t="s">
        <v>495</v>
      </c>
      <c r="M800" s="1943">
        <f t="shared" si="1030"/>
        <v>1.6192</v>
      </c>
      <c r="N800" s="1921" t="s">
        <v>495</v>
      </c>
      <c r="O800" s="1943">
        <f t="shared" si="1031"/>
        <v>2.305570240802</v>
      </c>
      <c r="P800" s="1921" t="s">
        <v>495</v>
      </c>
      <c r="Q800" s="1943">
        <f t="shared" si="1032"/>
        <v>3.9247702408020002</v>
      </c>
      <c r="R800" s="1921" t="s">
        <v>495</v>
      </c>
      <c r="S800" s="1644">
        <f>ROUND($D800*K800/100,0)</f>
        <v>0</v>
      </c>
      <c r="T800" s="1644"/>
      <c r="U800" s="1644">
        <f>ROUND($D800*M800/100,0)</f>
        <v>916737</v>
      </c>
      <c r="V800" s="1644"/>
      <c r="W800" s="1644">
        <f>ROUND($D800*O800/100,0)</f>
        <v>1305337</v>
      </c>
      <c r="X800" s="1648"/>
      <c r="Y800" s="1644">
        <f>ROUND($D800*Q800/100,0)</f>
        <v>2222073</v>
      </c>
    </row>
    <row r="801" spans="1:28" hidden="1">
      <c r="A801" s="1900" t="s">
        <v>1648</v>
      </c>
      <c r="C801" s="528">
        <f>'6'!Q27+'6'!V27+TempRevMay!M334+'6-may'!Q27+'6-may'!V27</f>
        <v>75109563.745376125</v>
      </c>
      <c r="D801" s="528">
        <f>Energy!T46</f>
        <v>102872324.73884089</v>
      </c>
      <c r="F801" s="1943"/>
      <c r="G801" s="1921"/>
      <c r="H801" s="1644"/>
      <c r="I801" s="1644"/>
      <c r="K801" s="1943">
        <f t="shared" si="1029"/>
        <v>0</v>
      </c>
      <c r="L801" s="1921" t="s">
        <v>495</v>
      </c>
      <c r="M801" s="1943">
        <f t="shared" si="1030"/>
        <v>1.4329000000000001</v>
      </c>
      <c r="N801" s="1921" t="s">
        <v>495</v>
      </c>
      <c r="O801" s="1943">
        <f t="shared" si="1031"/>
        <v>2.0403480007099999</v>
      </c>
      <c r="P801" s="1921" t="s">
        <v>495</v>
      </c>
      <c r="Q801" s="1943">
        <f t="shared" si="1032"/>
        <v>3.4732480007099999</v>
      </c>
      <c r="R801" s="1921" t="s">
        <v>495</v>
      </c>
      <c r="S801" s="1644">
        <f>ROUND($D801*K801/100,0)</f>
        <v>0</v>
      </c>
      <c r="T801" s="1644"/>
      <c r="U801" s="1644">
        <f>ROUND($D801*M801/100,0)</f>
        <v>1474058</v>
      </c>
      <c r="V801" s="1644"/>
      <c r="W801" s="1644">
        <f>ROUND($D801*O801/100,0)</f>
        <v>2098953</v>
      </c>
      <c r="X801" s="1648"/>
      <c r="Y801" s="1644">
        <f>ROUND($D801*Q801/100,0)</f>
        <v>3573011</v>
      </c>
    </row>
    <row r="802" spans="1:28" hidden="1">
      <c r="A802" s="1900" t="s">
        <v>196</v>
      </c>
      <c r="C802" s="528">
        <f>'6'!L27</f>
        <v>164941.854309166</v>
      </c>
      <c r="D802" s="528">
        <f>ROUND(C802/C810*D810,0)</f>
        <v>212340</v>
      </c>
      <c r="F802" s="1944">
        <v>14.62</v>
      </c>
      <c r="G802" s="597"/>
      <c r="H802" s="1644">
        <f t="shared" si="1028"/>
        <v>2411450</v>
      </c>
      <c r="I802" s="1644">
        <f t="shared" si="1028"/>
        <v>3104411</v>
      </c>
      <c r="K802" s="1944"/>
      <c r="L802" s="597"/>
      <c r="M802" s="1944"/>
      <c r="N802" s="597"/>
      <c r="O802" s="1944"/>
      <c r="P802" s="597"/>
      <c r="Q802" s="1944"/>
      <c r="R802" s="597"/>
      <c r="S802" s="1644"/>
      <c r="T802" s="1645"/>
      <c r="U802" s="1644"/>
      <c r="V802" s="1645"/>
      <c r="W802" s="1644"/>
      <c r="X802" s="1645"/>
      <c r="Y802" s="1644"/>
    </row>
    <row r="803" spans="1:28" hidden="1">
      <c r="A803" s="1900" t="s">
        <v>161</v>
      </c>
      <c r="C803" s="528">
        <f>'6'!M27</f>
        <v>199313.86709440901</v>
      </c>
      <c r="D803" s="528">
        <f>ROUND(C803/C810*D810,0)</f>
        <v>256590</v>
      </c>
      <c r="F803" s="1944">
        <v>10.91</v>
      </c>
      <c r="G803" s="597"/>
      <c r="H803" s="1644">
        <f t="shared" si="1028"/>
        <v>2174514</v>
      </c>
      <c r="I803" s="1644">
        <f t="shared" si="1028"/>
        <v>2799397</v>
      </c>
      <c r="K803" s="1944"/>
      <c r="L803" s="597"/>
      <c r="M803" s="1944"/>
      <c r="N803" s="597"/>
      <c r="O803" s="1944"/>
      <c r="P803" s="597"/>
      <c r="Q803" s="1944"/>
      <c r="R803" s="597"/>
      <c r="S803" s="1644"/>
      <c r="T803" s="1645"/>
      <c r="U803" s="1644"/>
      <c r="V803" s="1645"/>
      <c r="W803" s="1644"/>
      <c r="X803" s="1645"/>
      <c r="Y803" s="1644"/>
    </row>
    <row r="804" spans="1:28" hidden="1">
      <c r="A804" s="1900" t="s">
        <v>261</v>
      </c>
      <c r="C804" s="528">
        <f>'6'!N27</f>
        <v>11785</v>
      </c>
      <c r="D804" s="528">
        <f>ROUND(C804/C810*D810,0)</f>
        <v>15172</v>
      </c>
      <c r="F804" s="1944">
        <v>-0.96</v>
      </c>
      <c r="G804" s="597"/>
      <c r="H804" s="1644">
        <f t="shared" si="1028"/>
        <v>-11314</v>
      </c>
      <c r="I804" s="1644">
        <f t="shared" si="1028"/>
        <v>-14565</v>
      </c>
      <c r="K804" s="1944">
        <f>K766</f>
        <v>-0.96</v>
      </c>
      <c r="L804" s="597"/>
      <c r="M804" s="1944">
        <f>M766</f>
        <v>0</v>
      </c>
      <c r="N804" s="597"/>
      <c r="O804" s="1944">
        <f>O766</f>
        <v>0</v>
      </c>
      <c r="P804" s="597"/>
      <c r="Q804" s="1944">
        <f>Q766</f>
        <v>-0.96</v>
      </c>
      <c r="R804" s="597"/>
      <c r="S804" s="1644">
        <f t="shared" ref="S804" si="1038">ROUND($D804*K804,0)</f>
        <v>-14565</v>
      </c>
      <c r="T804" s="1644"/>
      <c r="U804" s="1644">
        <f t="shared" ref="U804" si="1039">ROUND($D804*M804,0)</f>
        <v>0</v>
      </c>
      <c r="V804" s="1644"/>
      <c r="W804" s="1644">
        <f t="shared" ref="W804" si="1040">ROUND($D804*O804,0)</f>
        <v>0</v>
      </c>
      <c r="X804" s="1645"/>
      <c r="Y804" s="1644">
        <f t="shared" ref="Y804" si="1041">ROUND($D804*Q804,0)</f>
        <v>-14565</v>
      </c>
    </row>
    <row r="805" spans="1:28" hidden="1">
      <c r="A805" s="1900" t="s">
        <v>1362</v>
      </c>
      <c r="C805" s="528">
        <f>'6'!P27+'6'!U27+TempRev!M333</f>
        <v>52584420.815824702</v>
      </c>
      <c r="D805" s="528">
        <f>Energy!Q46</f>
        <v>68150622.717435047</v>
      </c>
      <c r="F805" s="1943">
        <v>3.8127</v>
      </c>
      <c r="G805" s="1921" t="s">
        <v>495</v>
      </c>
      <c r="H805" s="1644">
        <f>ROUND($F805*C805/100,0)</f>
        <v>2004886</v>
      </c>
      <c r="I805" s="1644">
        <f>ROUND($F805*D805/100,0)</f>
        <v>2598379</v>
      </c>
      <c r="K805" s="1943"/>
      <c r="L805" s="1921"/>
      <c r="M805" s="1943"/>
      <c r="N805" s="1921"/>
      <c r="O805" s="1943"/>
      <c r="P805" s="1921"/>
      <c r="Q805" s="1943"/>
      <c r="R805" s="1921"/>
      <c r="S805" s="1648"/>
      <c r="T805" s="1648"/>
      <c r="U805" s="1648"/>
      <c r="V805" s="1648"/>
      <c r="W805" s="1648"/>
      <c r="X805" s="1648"/>
      <c r="Y805" s="1644"/>
    </row>
    <row r="806" spans="1:28" hidden="1">
      <c r="A806" s="1900" t="s">
        <v>1363</v>
      </c>
      <c r="C806" s="528">
        <f>'6'!Q27+'6'!V27+TempRev!M334</f>
        <v>70650171.113769352</v>
      </c>
      <c r="D806" s="528">
        <f>Energy!R46</f>
        <v>91338353.088650778</v>
      </c>
      <c r="F806" s="1943">
        <v>3.5143</v>
      </c>
      <c r="G806" s="1921" t="s">
        <v>495</v>
      </c>
      <c r="H806" s="1644">
        <f>ROUND($F806*C806/100,0)</f>
        <v>2482859</v>
      </c>
      <c r="I806" s="1644">
        <f>ROUND($F806*D806/100,0)</f>
        <v>3209904</v>
      </c>
      <c r="K806" s="1943"/>
      <c r="L806" s="1921"/>
      <c r="M806" s="1943"/>
      <c r="N806" s="1921"/>
      <c r="O806" s="1943"/>
      <c r="P806" s="1921"/>
      <c r="Q806" s="1943"/>
      <c r="R806" s="1921"/>
      <c r="S806" s="1648"/>
      <c r="T806" s="1648"/>
      <c r="U806" s="1648"/>
      <c r="V806" s="1648"/>
      <c r="W806" s="1648"/>
      <c r="X806" s="1648"/>
      <c r="Y806" s="1644"/>
    </row>
    <row r="807" spans="1:28" hidden="1">
      <c r="A807" s="1900" t="s">
        <v>246</v>
      </c>
      <c r="C807" s="529">
        <f>'Table 2'!J46</f>
        <v>653301</v>
      </c>
      <c r="D807" s="529">
        <v>0</v>
      </c>
      <c r="H807" s="1030">
        <f>'Table 3'!F46</f>
        <v>61273</v>
      </c>
      <c r="I807" s="1030">
        <v>0</v>
      </c>
      <c r="Y807" s="1030">
        <v>0</v>
      </c>
    </row>
    <row r="808" spans="1:28" hidden="1">
      <c r="A808" s="1900" t="s">
        <v>1240</v>
      </c>
      <c r="C808" s="584"/>
      <c r="D808" s="584"/>
      <c r="F808" s="1930">
        <v>-3.61E-2</v>
      </c>
      <c r="G808" s="597"/>
      <c r="H808" s="1644">
        <f>SUM(H802:H803,H805:H806)*$F808</f>
        <v>-327560.89490000001</v>
      </c>
      <c r="I808" s="1644">
        <f>SUM(I802:I803,I805:I806)*$F808</f>
        <v>-422806.48509999999</v>
      </c>
      <c r="K808" s="1930"/>
      <c r="L808" s="597"/>
      <c r="M808" s="1930"/>
      <c r="N808" s="597"/>
      <c r="O808" s="1931" t="str">
        <f>$O$43</f>
        <v>Tax Year 1 (7/1/2021)</v>
      </c>
      <c r="P808" s="597"/>
      <c r="Q808" s="1930">
        <f>$Q$687</f>
        <v>-2.76E-2</v>
      </c>
      <c r="R808" s="597"/>
      <c r="S808" s="1645"/>
      <c r="T808" s="1645"/>
      <c r="U808" s="1645"/>
      <c r="V808" s="1645"/>
      <c r="W808" s="1645"/>
      <c r="X808" s="1645"/>
      <c r="Y808" s="1644">
        <f>Q808*SUM(Y798:Y801)</f>
        <v>-321687.522</v>
      </c>
    </row>
    <row r="809" spans="1:28" hidden="1">
      <c r="A809" s="1900"/>
      <c r="C809" s="584"/>
      <c r="D809" s="584"/>
      <c r="F809" s="1930"/>
      <c r="G809" s="597"/>
      <c r="H809" s="1644"/>
      <c r="I809" s="1644"/>
      <c r="K809" s="1930"/>
      <c r="L809" s="597"/>
      <c r="M809" s="1930"/>
      <c r="N809" s="597"/>
      <c r="O809" s="1931" t="str">
        <f>$O$44</f>
        <v>Tax Year 2 (1/1/2022)</v>
      </c>
      <c r="P809" s="597"/>
      <c r="Q809" s="1930">
        <f>$Q$688</f>
        <v>-1.4999999999999999E-2</v>
      </c>
      <c r="R809" s="597"/>
      <c r="S809" s="1645"/>
      <c r="T809" s="1645"/>
      <c r="U809" s="1645"/>
      <c r="V809" s="1645"/>
      <c r="W809" s="1645"/>
      <c r="X809" s="1645"/>
      <c r="Y809" s="1644">
        <f>Q809*SUM(Y798:Y801)</f>
        <v>-174830.17499999999</v>
      </c>
    </row>
    <row r="810" spans="1:28" ht="16.5" hidden="1" thickBot="1">
      <c r="A810" s="1900" t="s">
        <v>247</v>
      </c>
      <c r="C810" s="1949">
        <f>SUM(C805:C807)</f>
        <v>123887892.92959405</v>
      </c>
      <c r="D810" s="1949">
        <f>SUM(D805:D807)</f>
        <v>159488975.80608582</v>
      </c>
      <c r="F810" s="1939"/>
      <c r="H810" s="1647">
        <f>SUM(H794:H808)</f>
        <v>10440111.1051</v>
      </c>
      <c r="I810" s="1647">
        <f>SUM(I794:I808)</f>
        <v>13386924.514900001</v>
      </c>
      <c r="K810" s="1939"/>
      <c r="M810" s="1939"/>
      <c r="O810" s="1939"/>
      <c r="Q810" s="1939"/>
      <c r="S810" s="1647">
        <f>SUM(S794:S807)</f>
        <v>4865264</v>
      </c>
      <c r="U810" s="1647">
        <f>SUM(U794:U807)</f>
        <v>5478743</v>
      </c>
      <c r="W810" s="1647">
        <f>SUM(W794:W807)</f>
        <v>3404290</v>
      </c>
      <c r="Y810" s="1647">
        <f>SUM(Y794:Y807)</f>
        <v>13748296</v>
      </c>
      <c r="AA810" s="1104" t="s">
        <v>1743</v>
      </c>
      <c r="AB810" s="1890">
        <f>Y810/I810-1</f>
        <v>2.699436190125537E-2</v>
      </c>
    </row>
    <row r="811" spans="1:28" ht="16.5" hidden="1" thickTop="1"/>
    <row r="812" spans="1:28" hidden="1">
      <c r="A812" s="1897" t="s">
        <v>981</v>
      </c>
      <c r="C812" s="528"/>
      <c r="D812" s="528"/>
    </row>
    <row r="813" spans="1:28" hidden="1">
      <c r="A813" s="1900" t="s">
        <v>240</v>
      </c>
      <c r="C813" s="528">
        <f>'6'!H28</f>
        <v>72</v>
      </c>
      <c r="D813" s="528">
        <f>Bill!P72</f>
        <v>198</v>
      </c>
      <c r="F813" s="1944">
        <v>54</v>
      </c>
      <c r="G813" s="597"/>
      <c r="H813" s="1644">
        <f t="shared" ref="H813:I823" si="1042">ROUND($F813*C813,0)</f>
        <v>3888</v>
      </c>
      <c r="I813" s="1644">
        <f t="shared" si="1042"/>
        <v>10692</v>
      </c>
      <c r="K813" s="1944">
        <f t="shared" ref="K813:K820" si="1043">K756</f>
        <v>54</v>
      </c>
      <c r="L813" s="597"/>
      <c r="M813" s="1944">
        <f t="shared" ref="M813:M820" si="1044">M756</f>
        <v>0</v>
      </c>
      <c r="N813" s="597"/>
      <c r="O813" s="1944">
        <f t="shared" ref="O813:O820" si="1045">O756</f>
        <v>0</v>
      </c>
      <c r="P813" s="597"/>
      <c r="Q813" s="1944">
        <f t="shared" ref="Q813:Q820" si="1046">Q756</f>
        <v>54</v>
      </c>
      <c r="R813" s="597"/>
      <c r="S813" s="1644">
        <f>ROUND($D813*K813,0)</f>
        <v>10692</v>
      </c>
      <c r="T813" s="1645"/>
      <c r="U813" s="1644">
        <f>ROUND($D813*M813,0)</f>
        <v>0</v>
      </c>
      <c r="V813" s="1645"/>
      <c r="W813" s="1644">
        <f>ROUND($D813*O813,0)</f>
        <v>0</v>
      </c>
      <c r="X813" s="1645"/>
      <c r="Y813" s="1644">
        <f>ROUND($D813*Q813,0)</f>
        <v>10692</v>
      </c>
    </row>
    <row r="814" spans="1:28" hidden="1">
      <c r="A814" s="1900" t="s">
        <v>262</v>
      </c>
      <c r="C814" s="584">
        <v>0</v>
      </c>
      <c r="D814" s="528">
        <f>ROUND(C814/C813*D813,0)</f>
        <v>0</v>
      </c>
      <c r="F814" s="1944">
        <v>648</v>
      </c>
      <c r="G814" s="597"/>
      <c r="H814" s="1644">
        <f t="shared" si="1042"/>
        <v>0</v>
      </c>
      <c r="I814" s="1644">
        <f t="shared" si="1042"/>
        <v>0</v>
      </c>
      <c r="K814" s="1944">
        <f t="shared" si="1043"/>
        <v>648</v>
      </c>
      <c r="L814" s="597"/>
      <c r="M814" s="1944">
        <f t="shared" si="1044"/>
        <v>0</v>
      </c>
      <c r="N814" s="597"/>
      <c r="O814" s="1944">
        <f t="shared" si="1045"/>
        <v>0</v>
      </c>
      <c r="P814" s="597"/>
      <c r="Q814" s="1944">
        <f t="shared" si="1046"/>
        <v>648</v>
      </c>
      <c r="R814" s="597"/>
      <c r="S814" s="1644">
        <f t="shared" ref="S814:S818" si="1047">ROUND($D814*K814,0)</f>
        <v>0</v>
      </c>
      <c r="T814" s="1645"/>
      <c r="U814" s="1644">
        <f t="shared" ref="U814:U818" si="1048">ROUND($D814*M814,0)</f>
        <v>0</v>
      </c>
      <c r="V814" s="1645"/>
      <c r="W814" s="1644">
        <f t="shared" ref="W814:W818" si="1049">ROUND($D814*O814,0)</f>
        <v>0</v>
      </c>
      <c r="X814" s="1645"/>
      <c r="Y814" s="1644">
        <f t="shared" ref="Y814:Y818" si="1050">ROUND($D814*Q814,0)</f>
        <v>0</v>
      </c>
    </row>
    <row r="815" spans="1:28" hidden="1">
      <c r="A815" s="1900" t="s">
        <v>1298</v>
      </c>
      <c r="C815" s="528">
        <v>0</v>
      </c>
      <c r="D815" s="528">
        <f>ROUND(C815/C813*D813,0)</f>
        <v>0</v>
      </c>
      <c r="F815" s="1944">
        <v>54</v>
      </c>
      <c r="G815" s="597"/>
      <c r="H815" s="1644">
        <f t="shared" si="1042"/>
        <v>0</v>
      </c>
      <c r="I815" s="1644">
        <f t="shared" si="1042"/>
        <v>0</v>
      </c>
      <c r="K815" s="1944">
        <f t="shared" si="1043"/>
        <v>54</v>
      </c>
      <c r="L815" s="597"/>
      <c r="M815" s="1944">
        <f t="shared" si="1044"/>
        <v>0</v>
      </c>
      <c r="N815" s="597"/>
      <c r="O815" s="1944">
        <f t="shared" si="1045"/>
        <v>0</v>
      </c>
      <c r="P815" s="597"/>
      <c r="Q815" s="1944">
        <f t="shared" si="1046"/>
        <v>54</v>
      </c>
      <c r="R815" s="597"/>
      <c r="S815" s="1644">
        <f t="shared" si="1047"/>
        <v>0</v>
      </c>
      <c r="T815" s="1645"/>
      <c r="U815" s="1644">
        <f t="shared" si="1048"/>
        <v>0</v>
      </c>
      <c r="V815" s="1645"/>
      <c r="W815" s="1644">
        <f t="shared" si="1049"/>
        <v>0</v>
      </c>
      <c r="X815" s="1645"/>
      <c r="Y815" s="1644">
        <f t="shared" si="1050"/>
        <v>0</v>
      </c>
    </row>
    <row r="816" spans="1:28" hidden="1">
      <c r="A816" s="1900" t="s">
        <v>168</v>
      </c>
      <c r="C816" s="528">
        <f>'6'!J28</f>
        <v>8018</v>
      </c>
      <c r="D816" s="528">
        <f>ROUND(C816/$C$829*$D$829,0)</f>
        <v>22613</v>
      </c>
      <c r="F816" s="1944">
        <v>4.04</v>
      </c>
      <c r="G816" s="597"/>
      <c r="H816" s="1644">
        <f>ROUND($F816*C816,0)</f>
        <v>32393</v>
      </c>
      <c r="I816" s="1644">
        <f>ROUND($F816*D816,0)</f>
        <v>91357</v>
      </c>
      <c r="K816" s="1944">
        <f t="shared" si="1043"/>
        <v>4.03</v>
      </c>
      <c r="L816" s="597"/>
      <c r="M816" s="1944">
        <f t="shared" si="1044"/>
        <v>0</v>
      </c>
      <c r="N816" s="597"/>
      <c r="O816" s="1944">
        <f t="shared" si="1045"/>
        <v>0</v>
      </c>
      <c r="P816" s="597"/>
      <c r="Q816" s="1944">
        <f t="shared" si="1046"/>
        <v>4.03</v>
      </c>
      <c r="R816" s="597"/>
      <c r="S816" s="1644">
        <f t="shared" si="1047"/>
        <v>91130</v>
      </c>
      <c r="T816" s="1645"/>
      <c r="U816" s="1644">
        <f t="shared" si="1048"/>
        <v>0</v>
      </c>
      <c r="V816" s="1645"/>
      <c r="W816" s="1644">
        <f t="shared" si="1049"/>
        <v>0</v>
      </c>
      <c r="X816" s="1645"/>
      <c r="Y816" s="1644">
        <f t="shared" si="1050"/>
        <v>91130</v>
      </c>
    </row>
    <row r="817" spans="1:28" hidden="1">
      <c r="A817" s="1900" t="s">
        <v>1645</v>
      </c>
      <c r="C817" s="528">
        <f>'6'!L28+'6-may'!L28</f>
        <v>3122.8223144829426</v>
      </c>
      <c r="D817" s="528">
        <f t="shared" ref="D817:D818" si="1051">ROUND(C817/$C$829*$D$829,0)</f>
        <v>8807</v>
      </c>
      <c r="F817" s="1944"/>
      <c r="G817" s="597"/>
      <c r="H817" s="1644"/>
      <c r="I817" s="1644"/>
      <c r="K817" s="1944">
        <f t="shared" si="1043"/>
        <v>6.34</v>
      </c>
      <c r="L817" s="597"/>
      <c r="M817" s="1944">
        <f t="shared" si="1044"/>
        <v>7.0600000000000005</v>
      </c>
      <c r="N817" s="597"/>
      <c r="O817" s="1944">
        <f t="shared" si="1045"/>
        <v>0</v>
      </c>
      <c r="P817" s="597"/>
      <c r="Q817" s="1944">
        <f t="shared" si="1046"/>
        <v>13.4</v>
      </c>
      <c r="R817" s="597"/>
      <c r="S817" s="1644">
        <f t="shared" si="1047"/>
        <v>55836</v>
      </c>
      <c r="T817" s="1644"/>
      <c r="U817" s="1644">
        <f t="shared" si="1048"/>
        <v>62177</v>
      </c>
      <c r="V817" s="1644"/>
      <c r="W817" s="1644">
        <f t="shared" si="1049"/>
        <v>0</v>
      </c>
      <c r="X817" s="1645"/>
      <c r="Y817" s="1644">
        <f t="shared" si="1050"/>
        <v>118014</v>
      </c>
    </row>
    <row r="818" spans="1:28" hidden="1">
      <c r="A818" s="1900" t="s">
        <v>1646</v>
      </c>
      <c r="C818" s="528">
        <f>'6'!M28+'6-may'!M28</f>
        <v>4895.1792973868469</v>
      </c>
      <c r="D818" s="528">
        <f t="shared" si="1051"/>
        <v>13805</v>
      </c>
      <c r="F818" s="1944"/>
      <c r="G818" s="597"/>
      <c r="H818" s="1644"/>
      <c r="I818" s="1644"/>
      <c r="K818" s="1944">
        <f t="shared" si="1043"/>
        <v>5.61</v>
      </c>
      <c r="L818" s="597"/>
      <c r="M818" s="1944">
        <f t="shared" si="1044"/>
        <v>6.2499999999999991</v>
      </c>
      <c r="N818" s="597"/>
      <c r="O818" s="1944">
        <f t="shared" si="1045"/>
        <v>0</v>
      </c>
      <c r="P818" s="597"/>
      <c r="Q818" s="1944">
        <f t="shared" si="1046"/>
        <v>11.86</v>
      </c>
      <c r="R818" s="597"/>
      <c r="S818" s="1644">
        <f t="shared" si="1047"/>
        <v>77446</v>
      </c>
      <c r="T818" s="1644"/>
      <c r="U818" s="1644">
        <f t="shared" si="1048"/>
        <v>86281</v>
      </c>
      <c r="V818" s="1644"/>
      <c r="W818" s="1644">
        <f t="shared" si="1049"/>
        <v>0</v>
      </c>
      <c r="X818" s="1645"/>
      <c r="Y818" s="1644">
        <f t="shared" si="1050"/>
        <v>163727</v>
      </c>
    </row>
    <row r="819" spans="1:28" hidden="1">
      <c r="A819" s="1900" t="s">
        <v>1647</v>
      </c>
      <c r="C819" s="528">
        <f>'6'!P28+'6'!U28+'6-may'!P28+'6-may'!U28</f>
        <v>884756.20477691339</v>
      </c>
      <c r="D819" s="528">
        <f>Energy!S72</f>
        <v>2519405.666666667</v>
      </c>
      <c r="F819" s="1943"/>
      <c r="G819" s="1921"/>
      <c r="H819" s="1644"/>
      <c r="I819" s="1644"/>
      <c r="K819" s="1943">
        <f t="shared" si="1043"/>
        <v>0</v>
      </c>
      <c r="L819" s="1921" t="s">
        <v>495</v>
      </c>
      <c r="M819" s="1943">
        <f t="shared" si="1044"/>
        <v>1.6192</v>
      </c>
      <c r="N819" s="1921" t="s">
        <v>495</v>
      </c>
      <c r="O819" s="1943">
        <f t="shared" si="1045"/>
        <v>2.305570240802</v>
      </c>
      <c r="P819" s="1921" t="s">
        <v>495</v>
      </c>
      <c r="Q819" s="1943">
        <f t="shared" si="1046"/>
        <v>3.9247702408020002</v>
      </c>
      <c r="R819" s="1921" t="s">
        <v>495</v>
      </c>
      <c r="S819" s="1644">
        <f>ROUND($D819*K819/100,0)</f>
        <v>0</v>
      </c>
      <c r="T819" s="1644"/>
      <c r="U819" s="1644">
        <f>ROUND($D819*M819/100,0)</f>
        <v>40794</v>
      </c>
      <c r="V819" s="1644"/>
      <c r="W819" s="1644">
        <f>ROUND($D819*O819/100,0)</f>
        <v>58087</v>
      </c>
      <c r="X819" s="1648"/>
      <c r="Y819" s="1644">
        <f>ROUND($D819*Q819/100,0)</f>
        <v>98881</v>
      </c>
    </row>
    <row r="820" spans="1:28" hidden="1">
      <c r="A820" s="1900" t="s">
        <v>1648</v>
      </c>
      <c r="C820" s="528">
        <f>'6'!Q28+'6'!V28+'6-may'!Q28+'6-may'!V28</f>
        <v>1346071.7952230866</v>
      </c>
      <c r="D820" s="528">
        <f>Energy!T72</f>
        <v>3670033.833333333</v>
      </c>
      <c r="F820" s="1943"/>
      <c r="G820" s="1921"/>
      <c r="H820" s="1644"/>
      <c r="I820" s="1644"/>
      <c r="K820" s="1943">
        <f t="shared" si="1043"/>
        <v>0</v>
      </c>
      <c r="L820" s="1921" t="s">
        <v>495</v>
      </c>
      <c r="M820" s="1943">
        <f t="shared" si="1044"/>
        <v>1.4329000000000001</v>
      </c>
      <c r="N820" s="1921" t="s">
        <v>495</v>
      </c>
      <c r="O820" s="1943">
        <f t="shared" si="1045"/>
        <v>2.0403480007099999</v>
      </c>
      <c r="P820" s="1921" t="s">
        <v>495</v>
      </c>
      <c r="Q820" s="1943">
        <f t="shared" si="1046"/>
        <v>3.4732480007099999</v>
      </c>
      <c r="R820" s="1921" t="s">
        <v>495</v>
      </c>
      <c r="S820" s="1644">
        <f>ROUND($D820*K820/100,0)</f>
        <v>0</v>
      </c>
      <c r="T820" s="1644"/>
      <c r="U820" s="1644">
        <f>ROUND($D820*M820/100,0)</f>
        <v>52588</v>
      </c>
      <c r="V820" s="1644"/>
      <c r="W820" s="1644">
        <f>ROUND($D820*O820/100,0)</f>
        <v>74881</v>
      </c>
      <c r="X820" s="1648"/>
      <c r="Y820" s="1644">
        <f>ROUND($D820*Q820/100,0)</f>
        <v>127469</v>
      </c>
    </row>
    <row r="821" spans="1:28" hidden="1">
      <c r="A821" s="1900" t="s">
        <v>196</v>
      </c>
      <c r="C821" s="528">
        <f>'6'!L28</f>
        <v>3777.72571819426</v>
      </c>
      <c r="D821" s="528">
        <f>ROUND(C821/C829*D829,0)</f>
        <v>10654</v>
      </c>
      <c r="F821" s="1944">
        <v>14.62</v>
      </c>
      <c r="G821" s="597"/>
      <c r="H821" s="1644">
        <f t="shared" si="1042"/>
        <v>55230</v>
      </c>
      <c r="I821" s="1644">
        <f t="shared" si="1042"/>
        <v>155761</v>
      </c>
      <c r="K821" s="1944"/>
      <c r="L821" s="597"/>
      <c r="M821" s="1944"/>
      <c r="N821" s="597"/>
      <c r="O821" s="1944"/>
      <c r="P821" s="597"/>
      <c r="Q821" s="1944"/>
      <c r="R821" s="597"/>
      <c r="S821" s="1644"/>
      <c r="T821" s="1645"/>
      <c r="U821" s="1644"/>
      <c r="V821" s="1645"/>
      <c r="W821" s="1644"/>
      <c r="X821" s="1645"/>
      <c r="Y821" s="1644"/>
    </row>
    <row r="822" spans="1:28" hidden="1">
      <c r="A822" s="1900" t="s">
        <v>161</v>
      </c>
      <c r="C822" s="528">
        <f>'6'!M28</f>
        <v>4240.2758936755299</v>
      </c>
      <c r="D822" s="528">
        <f>ROUND(C822/C829*D829,0)</f>
        <v>11959</v>
      </c>
      <c r="F822" s="1944">
        <v>10.91</v>
      </c>
      <c r="G822" s="597"/>
      <c r="H822" s="1644">
        <f t="shared" si="1042"/>
        <v>46261</v>
      </c>
      <c r="I822" s="1644">
        <f t="shared" si="1042"/>
        <v>130473</v>
      </c>
      <c r="K822" s="1944"/>
      <c r="L822" s="597"/>
      <c r="M822" s="1944"/>
      <c r="N822" s="597"/>
      <c r="O822" s="1944"/>
      <c r="P822" s="597"/>
      <c r="Q822" s="1944"/>
      <c r="R822" s="597"/>
      <c r="S822" s="1644"/>
      <c r="T822" s="1645"/>
      <c r="U822" s="1644"/>
      <c r="V822" s="1645"/>
      <c r="W822" s="1644"/>
      <c r="X822" s="1645"/>
      <c r="Y822" s="1644"/>
    </row>
    <row r="823" spans="1:28" hidden="1">
      <c r="A823" s="1900" t="s">
        <v>261</v>
      </c>
      <c r="C823" s="528">
        <f>'6'!N28</f>
        <v>4057</v>
      </c>
      <c r="D823" s="528">
        <f>ROUND(C823/C829*D829,0)</f>
        <v>11442</v>
      </c>
      <c r="F823" s="1944">
        <v>-0.96</v>
      </c>
      <c r="G823" s="597"/>
      <c r="H823" s="1644">
        <f t="shared" si="1042"/>
        <v>-3895</v>
      </c>
      <c r="I823" s="1644">
        <f t="shared" si="1042"/>
        <v>-10984</v>
      </c>
      <c r="K823" s="1944">
        <f>K766</f>
        <v>-0.96</v>
      </c>
      <c r="L823" s="597"/>
      <c r="M823" s="1944">
        <f>M766</f>
        <v>0</v>
      </c>
      <c r="N823" s="597"/>
      <c r="O823" s="1944">
        <f>O766</f>
        <v>0</v>
      </c>
      <c r="P823" s="597"/>
      <c r="Q823" s="1944">
        <f>Q766</f>
        <v>-0.96</v>
      </c>
      <c r="R823" s="597"/>
      <c r="S823" s="1644">
        <f t="shared" ref="S823" si="1052">ROUND($D823*K823,0)</f>
        <v>-10984</v>
      </c>
      <c r="T823" s="1644"/>
      <c r="U823" s="1644">
        <f t="shared" ref="U823" si="1053">ROUND($D823*M823,0)</f>
        <v>0</v>
      </c>
      <c r="V823" s="1644"/>
      <c r="W823" s="1644">
        <f t="shared" ref="W823" si="1054">ROUND($D823*O823,0)</f>
        <v>0</v>
      </c>
      <c r="X823" s="1645"/>
      <c r="Y823" s="1644">
        <f t="shared" ref="Y823" si="1055">ROUND($D823*Q823,0)</f>
        <v>-10984</v>
      </c>
    </row>
    <row r="824" spans="1:28" hidden="1">
      <c r="A824" s="1900" t="s">
        <v>1362</v>
      </c>
      <c r="C824" s="528">
        <f>'6'!P28+'6'!U28</f>
        <v>1062056</v>
      </c>
      <c r="D824" s="528">
        <f>Energy!Q72</f>
        <v>2953264.3333333335</v>
      </c>
      <c r="F824" s="1943">
        <v>3.8127</v>
      </c>
      <c r="G824" s="1921" t="s">
        <v>495</v>
      </c>
      <c r="H824" s="1644">
        <f>ROUND($F824*C824/100,0)</f>
        <v>40493</v>
      </c>
      <c r="I824" s="1644">
        <f>ROUND($F824*D824/100,0)</f>
        <v>112599</v>
      </c>
      <c r="K824" s="1943"/>
      <c r="L824" s="1921"/>
      <c r="M824" s="1943"/>
      <c r="N824" s="1921"/>
      <c r="O824" s="1943"/>
      <c r="P824" s="1921"/>
      <c r="Q824" s="1943"/>
      <c r="R824" s="1921"/>
      <c r="S824" s="1648"/>
      <c r="T824" s="1648"/>
      <c r="U824" s="1648"/>
      <c r="V824" s="1648"/>
      <c r="W824" s="1648"/>
      <c r="X824" s="1648"/>
      <c r="Y824" s="1644"/>
    </row>
    <row r="825" spans="1:28" hidden="1">
      <c r="A825" s="1900" t="s">
        <v>1363</v>
      </c>
      <c r="C825" s="528">
        <f>'6'!Q28+'6'!V28</f>
        <v>1168772</v>
      </c>
      <c r="D825" s="528">
        <f>Energy!R72</f>
        <v>3236175.1666666665</v>
      </c>
      <c r="F825" s="1943">
        <v>3.5143</v>
      </c>
      <c r="G825" s="1921" t="s">
        <v>495</v>
      </c>
      <c r="H825" s="1644">
        <f>ROUND($F825*C825/100,0)</f>
        <v>41074</v>
      </c>
      <c r="I825" s="1644">
        <f>ROUND($F825*D825/100,0)</f>
        <v>113729</v>
      </c>
      <c r="K825" s="1943"/>
      <c r="L825" s="1921"/>
      <c r="M825" s="1943"/>
      <c r="N825" s="1921"/>
      <c r="O825" s="1943"/>
      <c r="P825" s="1921"/>
      <c r="Q825" s="1943"/>
      <c r="R825" s="1921"/>
      <c r="S825" s="1648"/>
      <c r="T825" s="1648"/>
      <c r="U825" s="1648"/>
      <c r="V825" s="1648"/>
      <c r="W825" s="1648"/>
      <c r="X825" s="1648"/>
      <c r="Y825" s="1644"/>
    </row>
    <row r="826" spans="1:28" hidden="1">
      <c r="A826" s="1900" t="s">
        <v>246</v>
      </c>
      <c r="C826" s="529">
        <f>'Table 2'!J84</f>
        <v>-36163</v>
      </c>
      <c r="D826" s="529">
        <v>0</v>
      </c>
      <c r="H826" s="1030">
        <f>'Table 3'!F84</f>
        <v>-3174</v>
      </c>
      <c r="I826" s="1030">
        <v>0</v>
      </c>
      <c r="Y826" s="1030">
        <v>0</v>
      </c>
    </row>
    <row r="827" spans="1:28" hidden="1">
      <c r="A827" s="1900" t="s">
        <v>1240</v>
      </c>
      <c r="C827" s="584"/>
      <c r="D827" s="584"/>
      <c r="F827" s="1930">
        <v>-3.61E-2</v>
      </c>
      <c r="G827" s="597"/>
      <c r="H827" s="1644">
        <f>SUM(H821:H822,H824:H825)*$F827</f>
        <v>-6608.3937999999998</v>
      </c>
      <c r="I827" s="1644">
        <f>SUM(I821:I822,I824:I825)*$F827</f>
        <v>-18503.4882</v>
      </c>
      <c r="K827" s="1930"/>
      <c r="L827" s="597"/>
      <c r="M827" s="1930"/>
      <c r="N827" s="597"/>
      <c r="O827" s="1931" t="str">
        <f>$O$43</f>
        <v>Tax Year 1 (7/1/2021)</v>
      </c>
      <c r="P827" s="597"/>
      <c r="Q827" s="1930">
        <f>$Q$687</f>
        <v>-2.76E-2</v>
      </c>
      <c r="R827" s="597"/>
      <c r="S827" s="1645"/>
      <c r="T827" s="1645"/>
      <c r="U827" s="1645"/>
      <c r="V827" s="1645"/>
      <c r="W827" s="1645"/>
      <c r="X827" s="1645"/>
      <c r="Y827" s="1644">
        <f>Q827*SUM(Y817:Y820)</f>
        <v>-14023.311599999999</v>
      </c>
    </row>
    <row r="828" spans="1:28" hidden="1">
      <c r="A828" s="1900"/>
      <c r="C828" s="584"/>
      <c r="D828" s="584"/>
      <c r="F828" s="1930"/>
      <c r="G828" s="597"/>
      <c r="H828" s="1644"/>
      <c r="I828" s="1644"/>
      <c r="K828" s="1930"/>
      <c r="L828" s="597"/>
      <c r="M828" s="1930"/>
      <c r="N828" s="597"/>
      <c r="O828" s="1931" t="str">
        <f>$O$44</f>
        <v>Tax Year 2 (1/1/2022)</v>
      </c>
      <c r="P828" s="597"/>
      <c r="Q828" s="1930">
        <f>$Q$688</f>
        <v>-1.4999999999999999E-2</v>
      </c>
      <c r="R828" s="597"/>
      <c r="S828" s="1645"/>
      <c r="T828" s="1645"/>
      <c r="U828" s="1645"/>
      <c r="V828" s="1645"/>
      <c r="W828" s="1645"/>
      <c r="X828" s="1645"/>
      <c r="Y828" s="1644">
        <f>Q828*SUM(Y817:Y820)</f>
        <v>-7621.3649999999998</v>
      </c>
    </row>
    <row r="829" spans="1:28" ht="16.5" hidden="1" thickBot="1">
      <c r="A829" s="1900" t="s">
        <v>247</v>
      </c>
      <c r="C829" s="1949">
        <f>SUM(C824:C826)</f>
        <v>2194665</v>
      </c>
      <c r="D829" s="1949">
        <f>SUM(D824:D826)</f>
        <v>6189439.5</v>
      </c>
      <c r="F829" s="1939"/>
      <c r="H829" s="1647">
        <f>SUM(H813:H827)</f>
        <v>205661.60620000001</v>
      </c>
      <c r="I829" s="1647">
        <f>SUM(I813:I827)</f>
        <v>585123.51179999998</v>
      </c>
      <c r="K829" s="1939"/>
      <c r="M829" s="1939"/>
      <c r="O829" s="1939"/>
      <c r="Q829" s="1939"/>
      <c r="S829" s="1647">
        <f>SUM(S813:S826)</f>
        <v>224120</v>
      </c>
      <c r="U829" s="1647">
        <f>SUM(U813:U826)</f>
        <v>241840</v>
      </c>
      <c r="W829" s="1647">
        <f>SUM(W813:W826)</f>
        <v>132968</v>
      </c>
      <c r="Y829" s="1647">
        <f>SUM(Y813:Y826)</f>
        <v>598929</v>
      </c>
      <c r="AA829" s="1104" t="s">
        <v>1743</v>
      </c>
      <c r="AB829" s="1890">
        <f>Y829/I829-1</f>
        <v>2.3594143666403999E-2</v>
      </c>
    </row>
    <row r="830" spans="1:28" ht="16.5" thickTop="1">
      <c r="C830" s="528"/>
      <c r="D830" s="528"/>
    </row>
    <row r="831" spans="1:28">
      <c r="A831" s="1897" t="s">
        <v>1558</v>
      </c>
      <c r="C831" s="528"/>
      <c r="D831" s="528"/>
    </row>
    <row r="832" spans="1:28">
      <c r="A832" s="1900" t="s">
        <v>240</v>
      </c>
      <c r="C832" s="528">
        <f t="shared" ref="C832:D845" si="1056">C851+C870</f>
        <v>220.73333333333335</v>
      </c>
      <c r="D832" s="528">
        <f t="shared" si="1056"/>
        <v>611</v>
      </c>
      <c r="F832" s="1944">
        <v>54</v>
      </c>
      <c r="G832" s="597"/>
      <c r="H832" s="1644">
        <f t="shared" ref="H832:H842" si="1057">ROUND($F832*C832,0)</f>
        <v>11920</v>
      </c>
      <c r="I832" s="1644">
        <f t="shared" ref="I832:I842" si="1058">ROUND($F832*D832,0)</f>
        <v>32994</v>
      </c>
      <c r="K832" s="1944">
        <f>K672</f>
        <v>54</v>
      </c>
      <c r="L832" s="597"/>
      <c r="M832" s="1944">
        <f>M672</f>
        <v>0</v>
      </c>
      <c r="N832" s="597"/>
      <c r="O832" s="1944">
        <f>O672</f>
        <v>0</v>
      </c>
      <c r="P832" s="597"/>
      <c r="Q832" s="1944">
        <f>Q672</f>
        <v>54</v>
      </c>
      <c r="R832" s="597"/>
      <c r="S832" s="1644">
        <f>ROUND($D832*K832,0)</f>
        <v>32994</v>
      </c>
      <c r="T832" s="1645"/>
      <c r="U832" s="1644">
        <f>ROUND($D832*M832,0)</f>
        <v>0</v>
      </c>
      <c r="V832" s="1645"/>
      <c r="W832" s="1644">
        <f>ROUND($D832*O832,0)</f>
        <v>0</v>
      </c>
      <c r="X832" s="1645"/>
      <c r="Y832" s="1644">
        <f>ROUND($D832*Q832,0)</f>
        <v>32994</v>
      </c>
    </row>
    <row r="833" spans="1:28">
      <c r="A833" s="1900" t="s">
        <v>262</v>
      </c>
      <c r="C833" s="584">
        <f t="shared" si="1056"/>
        <v>0</v>
      </c>
      <c r="D833" s="528">
        <f t="shared" si="1056"/>
        <v>0</v>
      </c>
      <c r="F833" s="1944">
        <v>648</v>
      </c>
      <c r="G833" s="597"/>
      <c r="H833" s="1644">
        <f t="shared" si="1057"/>
        <v>0</v>
      </c>
      <c r="I833" s="1644">
        <f t="shared" si="1058"/>
        <v>0</v>
      </c>
      <c r="K833" s="1944">
        <f>K673</f>
        <v>648</v>
      </c>
      <c r="L833" s="597"/>
      <c r="M833" s="1944">
        <f>M673</f>
        <v>0</v>
      </c>
      <c r="N833" s="597"/>
      <c r="O833" s="1944">
        <f>O673</f>
        <v>0</v>
      </c>
      <c r="P833" s="597"/>
      <c r="Q833" s="1944">
        <f>Q673</f>
        <v>648</v>
      </c>
      <c r="R833" s="597"/>
      <c r="S833" s="1644">
        <f t="shared" ref="S833:S837" si="1059">ROUND($D833*K833,0)</f>
        <v>0</v>
      </c>
      <c r="T833" s="1645"/>
      <c r="U833" s="1644">
        <f t="shared" ref="U833:Y837" si="1060">ROUND($D833*M833,0)</f>
        <v>0</v>
      </c>
      <c r="V833" s="1645"/>
      <c r="W833" s="1644">
        <f t="shared" si="1060"/>
        <v>0</v>
      </c>
      <c r="X833" s="1645"/>
      <c r="Y833" s="1644">
        <f t="shared" si="1060"/>
        <v>0</v>
      </c>
    </row>
    <row r="834" spans="1:28">
      <c r="A834" s="1900" t="s">
        <v>1236</v>
      </c>
      <c r="C834" s="528">
        <f t="shared" si="1056"/>
        <v>21</v>
      </c>
      <c r="D834" s="528">
        <f t="shared" si="1056"/>
        <v>59</v>
      </c>
      <c r="F834" s="1944">
        <v>2</v>
      </c>
      <c r="G834" s="597"/>
      <c r="H834" s="1644">
        <f t="shared" si="1057"/>
        <v>42</v>
      </c>
      <c r="I834" s="1644">
        <f t="shared" si="1058"/>
        <v>118</v>
      </c>
      <c r="K834" s="1944">
        <f>Q834</f>
        <v>2</v>
      </c>
      <c r="L834" s="597"/>
      <c r="M834" s="1944">
        <v>0</v>
      </c>
      <c r="N834" s="597"/>
      <c r="O834" s="1944">
        <v>0</v>
      </c>
      <c r="P834" s="597"/>
      <c r="Q834" s="1944">
        <f>F834</f>
        <v>2</v>
      </c>
      <c r="R834" s="597"/>
      <c r="S834" s="1644">
        <f t="shared" si="1059"/>
        <v>118</v>
      </c>
      <c r="T834" s="1645"/>
      <c r="U834" s="1644">
        <f t="shared" si="1060"/>
        <v>0</v>
      </c>
      <c r="V834" s="1645"/>
      <c r="W834" s="1644">
        <f t="shared" si="1060"/>
        <v>0</v>
      </c>
      <c r="X834" s="1645"/>
      <c r="Y834" s="1644">
        <f t="shared" si="1060"/>
        <v>118</v>
      </c>
    </row>
    <row r="835" spans="1:28">
      <c r="A835" s="1900" t="s">
        <v>168</v>
      </c>
      <c r="C835" s="528">
        <f t="shared" si="1056"/>
        <v>25513.264851485168</v>
      </c>
      <c r="D835" s="528">
        <f t="shared" si="1056"/>
        <v>94165</v>
      </c>
      <c r="F835" s="1944">
        <v>4.04</v>
      </c>
      <c r="G835" s="597"/>
      <c r="H835" s="1644">
        <f>ROUND($F835*C835,0)</f>
        <v>103074</v>
      </c>
      <c r="I835" s="1644">
        <f>ROUND($F835*D835,0)</f>
        <v>380427</v>
      </c>
      <c r="K835" s="1944">
        <f>K675</f>
        <v>4.03</v>
      </c>
      <c r="L835" s="597"/>
      <c r="M835" s="1944">
        <f>M675</f>
        <v>0</v>
      </c>
      <c r="N835" s="597"/>
      <c r="O835" s="1944">
        <f>O675</f>
        <v>0</v>
      </c>
      <c r="P835" s="597"/>
      <c r="Q835" s="1944">
        <f>Q675</f>
        <v>4.03</v>
      </c>
      <c r="R835" s="597"/>
      <c r="S835" s="1644">
        <f t="shared" si="1059"/>
        <v>379485</v>
      </c>
      <c r="T835" s="1645"/>
      <c r="U835" s="1644">
        <f t="shared" si="1060"/>
        <v>0</v>
      </c>
      <c r="V835" s="1645"/>
      <c r="W835" s="1644">
        <f t="shared" si="1060"/>
        <v>0</v>
      </c>
      <c r="X835" s="1645"/>
      <c r="Y835" s="1644">
        <f t="shared" si="1060"/>
        <v>379485</v>
      </c>
    </row>
    <row r="836" spans="1:28">
      <c r="A836" s="1900" t="s">
        <v>1645</v>
      </c>
      <c r="C836" s="528">
        <f t="shared" si="1056"/>
        <v>11239.792072758026</v>
      </c>
      <c r="D836" s="528">
        <f t="shared" si="1056"/>
        <v>40576</v>
      </c>
      <c r="F836" s="1944"/>
      <c r="G836" s="597"/>
      <c r="H836" s="1644"/>
      <c r="I836" s="1644"/>
      <c r="K836" s="1944">
        <f>K676</f>
        <v>6.34</v>
      </c>
      <c r="L836" s="597"/>
      <c r="M836" s="1944">
        <f>M676</f>
        <v>7.0600000000000005</v>
      </c>
      <c r="N836" s="597"/>
      <c r="O836" s="1944">
        <f>O676</f>
        <v>0</v>
      </c>
      <c r="P836" s="597"/>
      <c r="Q836" s="1944">
        <f>Q676</f>
        <v>13.4</v>
      </c>
      <c r="R836" s="597"/>
      <c r="S836" s="1644">
        <f t="shared" si="1059"/>
        <v>257252</v>
      </c>
      <c r="T836" s="1644"/>
      <c r="U836" s="1644">
        <f t="shared" si="1060"/>
        <v>286467</v>
      </c>
      <c r="V836" s="1644"/>
      <c r="W836" s="1644">
        <f t="shared" si="1060"/>
        <v>0</v>
      </c>
      <c r="X836" s="1645"/>
      <c r="Y836" s="1644">
        <f t="shared" si="1060"/>
        <v>543718</v>
      </c>
    </row>
    <row r="837" spans="1:28">
      <c r="A837" s="1900" t="s">
        <v>1646</v>
      </c>
      <c r="C837" s="528">
        <f t="shared" si="1056"/>
        <v>14273.476505122684</v>
      </c>
      <c r="D837" s="528">
        <f t="shared" si="1056"/>
        <v>53589</v>
      </c>
      <c r="F837" s="1944"/>
      <c r="G837" s="597"/>
      <c r="H837" s="1644"/>
      <c r="I837" s="1644"/>
      <c r="K837" s="1944">
        <f>K677</f>
        <v>5.61</v>
      </c>
      <c r="L837" s="597"/>
      <c r="M837" s="1944">
        <f>M677</f>
        <v>6.2499999999999991</v>
      </c>
      <c r="N837" s="597"/>
      <c r="O837" s="1944">
        <f>O677</f>
        <v>0</v>
      </c>
      <c r="P837" s="597"/>
      <c r="Q837" s="1944">
        <f>Q677</f>
        <v>11.86</v>
      </c>
      <c r="R837" s="597"/>
      <c r="S837" s="1644">
        <f t="shared" si="1059"/>
        <v>300634</v>
      </c>
      <c r="T837" s="1644"/>
      <c r="U837" s="1644">
        <f t="shared" si="1060"/>
        <v>334931</v>
      </c>
      <c r="V837" s="1644"/>
      <c r="W837" s="1644">
        <f t="shared" si="1060"/>
        <v>0</v>
      </c>
      <c r="X837" s="1645"/>
      <c r="Y837" s="1644">
        <f t="shared" si="1060"/>
        <v>635566</v>
      </c>
    </row>
    <row r="838" spans="1:28">
      <c r="A838" s="1900" t="s">
        <v>1647</v>
      </c>
      <c r="C838" s="528">
        <f t="shared" si="1056"/>
        <v>2917301.8660099008</v>
      </c>
      <c r="D838" s="528">
        <f t="shared" si="1056"/>
        <v>8593598.8227068186</v>
      </c>
      <c r="F838" s="1943"/>
      <c r="G838" s="1921"/>
      <c r="H838" s="1644"/>
      <c r="I838" s="1644"/>
      <c r="K838" s="1943">
        <f>K678</f>
        <v>0</v>
      </c>
      <c r="L838" s="1921" t="s">
        <v>495</v>
      </c>
      <c r="M838" s="1943">
        <f>M678</f>
        <v>1.6192</v>
      </c>
      <c r="N838" s="1921" t="s">
        <v>495</v>
      </c>
      <c r="O838" s="1943">
        <f>O678</f>
        <v>2.305570240802</v>
      </c>
      <c r="P838" s="1921" t="s">
        <v>495</v>
      </c>
      <c r="Q838" s="1943">
        <f>Q678</f>
        <v>3.9247702408020002</v>
      </c>
      <c r="R838" s="1921" t="s">
        <v>495</v>
      </c>
      <c r="S838" s="1644">
        <f>ROUND($D838*K838/100,0)</f>
        <v>0</v>
      </c>
      <c r="T838" s="1644"/>
      <c r="U838" s="1644">
        <f>ROUND($D838*M838/100,0)</f>
        <v>139148</v>
      </c>
      <c r="V838" s="1644"/>
      <c r="W838" s="1644">
        <f>ROUND($D838*O838/100,0)</f>
        <v>198131</v>
      </c>
      <c r="X838" s="1648"/>
      <c r="Y838" s="1644">
        <f>ROUND($D838*Q838/100,0)</f>
        <v>337279</v>
      </c>
    </row>
    <row r="839" spans="1:28">
      <c r="A839" s="1900" t="s">
        <v>1648</v>
      </c>
      <c r="C839" s="528">
        <f t="shared" si="1056"/>
        <v>3833312.1309039872</v>
      </c>
      <c r="D839" s="528">
        <f t="shared" si="1056"/>
        <v>15566357.794983968</v>
      </c>
      <c r="F839" s="1943"/>
      <c r="G839" s="1921"/>
      <c r="H839" s="1644"/>
      <c r="I839" s="1644"/>
      <c r="K839" s="1943">
        <f>K679</f>
        <v>0</v>
      </c>
      <c r="L839" s="1921" t="s">
        <v>495</v>
      </c>
      <c r="M839" s="1943">
        <f>M679</f>
        <v>1.4329000000000001</v>
      </c>
      <c r="N839" s="1921" t="s">
        <v>495</v>
      </c>
      <c r="O839" s="1943">
        <f>O679</f>
        <v>2.0403480007099999</v>
      </c>
      <c r="P839" s="1921" t="s">
        <v>495</v>
      </c>
      <c r="Q839" s="1943">
        <f>Q679</f>
        <v>3.4732480007099999</v>
      </c>
      <c r="R839" s="1921" t="s">
        <v>495</v>
      </c>
      <c r="S839" s="1644">
        <f>ROUND($D839*K839/100,0)</f>
        <v>0</v>
      </c>
      <c r="T839" s="1644"/>
      <c r="U839" s="1644">
        <f>ROUND($D839*M839/100,0)</f>
        <v>223050</v>
      </c>
      <c r="V839" s="1644"/>
      <c r="W839" s="1644">
        <f>ROUND($D839*O839/100,0)</f>
        <v>317608</v>
      </c>
      <c r="X839" s="1648"/>
      <c r="Y839" s="1644">
        <f>ROUND($D839*Q839/100,0)</f>
        <v>540658</v>
      </c>
    </row>
    <row r="840" spans="1:28">
      <c r="A840" s="1900" t="s">
        <v>196</v>
      </c>
      <c r="C840" s="528">
        <f t="shared" si="1056"/>
        <v>12796.58755129959</v>
      </c>
      <c r="D840" s="528">
        <f t="shared" si="1056"/>
        <v>46788</v>
      </c>
      <c r="F840" s="1944">
        <v>14.62</v>
      </c>
      <c r="G840" s="597"/>
      <c r="H840" s="1644">
        <f t="shared" si="1057"/>
        <v>187086</v>
      </c>
      <c r="I840" s="1644">
        <f t="shared" si="1058"/>
        <v>684041</v>
      </c>
      <c r="K840" s="1944"/>
      <c r="L840" s="597"/>
      <c r="M840" s="1944"/>
      <c r="N840" s="597"/>
      <c r="O840" s="1944"/>
      <c r="P840" s="597"/>
      <c r="Q840" s="1944"/>
      <c r="R840" s="597"/>
      <c r="S840" s="1644"/>
      <c r="T840" s="1645"/>
      <c r="U840" s="1644"/>
      <c r="V840" s="1645"/>
      <c r="W840" s="1644"/>
      <c r="X840" s="1645"/>
      <c r="Y840" s="1644"/>
    </row>
    <row r="841" spans="1:28">
      <c r="A841" s="1900" t="s">
        <v>161</v>
      </c>
      <c r="C841" s="528">
        <f t="shared" si="1056"/>
        <v>12716.681026581118</v>
      </c>
      <c r="D841" s="528">
        <f t="shared" si="1056"/>
        <v>47377</v>
      </c>
      <c r="F841" s="1944">
        <v>10.91</v>
      </c>
      <c r="G841" s="597"/>
      <c r="H841" s="1644">
        <f t="shared" si="1057"/>
        <v>138739</v>
      </c>
      <c r="I841" s="1644">
        <f t="shared" si="1058"/>
        <v>516883</v>
      </c>
      <c r="K841" s="1944"/>
      <c r="L841" s="597"/>
      <c r="M841" s="1944"/>
      <c r="N841" s="597"/>
      <c r="O841" s="1944"/>
      <c r="P841" s="597"/>
      <c r="Q841" s="1944"/>
      <c r="R841" s="597"/>
      <c r="S841" s="1644"/>
      <c r="T841" s="1645"/>
      <c r="U841" s="1644"/>
      <c r="V841" s="1645"/>
      <c r="W841" s="1644"/>
      <c r="X841" s="1645"/>
      <c r="Y841" s="1644"/>
    </row>
    <row r="842" spans="1:28">
      <c r="A842" s="1900" t="s">
        <v>261</v>
      </c>
      <c r="C842" s="528">
        <f t="shared" si="1056"/>
        <v>0</v>
      </c>
      <c r="D842" s="528">
        <f t="shared" si="1056"/>
        <v>0</v>
      </c>
      <c r="F842" s="1944">
        <v>-0.96</v>
      </c>
      <c r="G842" s="597"/>
      <c r="H842" s="1644">
        <f t="shared" si="1057"/>
        <v>0</v>
      </c>
      <c r="I842" s="1644">
        <f t="shared" si="1058"/>
        <v>0</v>
      </c>
      <c r="K842" s="1944">
        <f>K682</f>
        <v>-0.96</v>
      </c>
      <c r="L842" s="597"/>
      <c r="M842" s="1944">
        <f>M682</f>
        <v>0</v>
      </c>
      <c r="N842" s="597"/>
      <c r="O842" s="1944">
        <f>O682</f>
        <v>0</v>
      </c>
      <c r="P842" s="597"/>
      <c r="Q842" s="1944">
        <f>Q682</f>
        <v>-0.96</v>
      </c>
      <c r="R842" s="597"/>
      <c r="S842" s="1644">
        <f t="shared" ref="S842" si="1061">ROUND($D842*K842,0)</f>
        <v>0</v>
      </c>
      <c r="T842" s="1644"/>
      <c r="U842" s="1644">
        <f t="shared" ref="U842:Y842" si="1062">ROUND($D842*M842,0)</f>
        <v>0</v>
      </c>
      <c r="V842" s="1644"/>
      <c r="W842" s="1644">
        <f t="shared" si="1062"/>
        <v>0</v>
      </c>
      <c r="X842" s="1645"/>
      <c r="Y842" s="1644">
        <f t="shared" si="1062"/>
        <v>0</v>
      </c>
    </row>
    <row r="843" spans="1:28">
      <c r="A843" s="1900" t="s">
        <v>1362</v>
      </c>
      <c r="C843" s="528">
        <f t="shared" si="1056"/>
        <v>3253739.3356775618</v>
      </c>
      <c r="D843" s="528">
        <f t="shared" si="1056"/>
        <v>10344290.948182104</v>
      </c>
      <c r="F843" s="1943">
        <v>3.8127</v>
      </c>
      <c r="G843" s="1921" t="s">
        <v>495</v>
      </c>
      <c r="H843" s="1644">
        <f>ROUND($F843*C843/100,0)</f>
        <v>124055</v>
      </c>
      <c r="I843" s="1644">
        <f>ROUND($F843*D843/100,0)</f>
        <v>394397</v>
      </c>
      <c r="K843" s="1943"/>
      <c r="L843" s="1921"/>
      <c r="M843" s="1943"/>
      <c r="N843" s="1921"/>
      <c r="O843" s="1943"/>
      <c r="P843" s="1921"/>
      <c r="Q843" s="1943"/>
      <c r="R843" s="1921"/>
      <c r="S843" s="1648"/>
      <c r="T843" s="1648"/>
      <c r="U843" s="1648"/>
      <c r="V843" s="1648"/>
      <c r="W843" s="1648"/>
      <c r="X843" s="1648"/>
      <c r="Y843" s="1644"/>
    </row>
    <row r="844" spans="1:28">
      <c r="A844" s="1900" t="s">
        <v>1363</v>
      </c>
      <c r="C844" s="528">
        <f t="shared" si="1056"/>
        <v>3496874.6612363262</v>
      </c>
      <c r="D844" s="528">
        <f t="shared" si="1056"/>
        <v>13815665.669508683</v>
      </c>
      <c r="F844" s="1943">
        <v>3.5143</v>
      </c>
      <c r="G844" s="1921" t="s">
        <v>495</v>
      </c>
      <c r="H844" s="1644">
        <f>ROUND($F844*C844/100,0)</f>
        <v>122891</v>
      </c>
      <c r="I844" s="1644">
        <f>ROUND($F844*D844/100,0)</f>
        <v>485524</v>
      </c>
      <c r="K844" s="1943"/>
      <c r="L844" s="1921"/>
      <c r="M844" s="1943"/>
      <c r="N844" s="1921"/>
      <c r="O844" s="1943"/>
      <c r="P844" s="1921"/>
      <c r="Q844" s="1943"/>
      <c r="R844" s="1921"/>
      <c r="S844" s="1648"/>
      <c r="T844" s="1648"/>
      <c r="U844" s="1648"/>
      <c r="V844" s="1648"/>
      <c r="W844" s="1648"/>
      <c r="X844" s="1648"/>
      <c r="Y844" s="1644"/>
    </row>
    <row r="845" spans="1:28">
      <c r="A845" s="1900" t="s">
        <v>246</v>
      </c>
      <c r="C845" s="529">
        <f t="shared" si="1056"/>
        <v>20121</v>
      </c>
      <c r="D845" s="529">
        <f t="shared" si="1056"/>
        <v>0</v>
      </c>
      <c r="H845" s="1030">
        <f>H864+H883</f>
        <v>2719</v>
      </c>
      <c r="I845" s="1030">
        <v>0</v>
      </c>
      <c r="Y845" s="1030">
        <v>0</v>
      </c>
    </row>
    <row r="846" spans="1:28">
      <c r="A846" s="1900" t="s">
        <v>1240</v>
      </c>
      <c r="C846" s="584"/>
      <c r="D846" s="584"/>
      <c r="F846" s="1930">
        <v>-3.61E-2</v>
      </c>
      <c r="G846" s="597"/>
      <c r="H846" s="1644">
        <f>SUM(H840:H841,H843:H844)*$F846</f>
        <v>-20677.033100000001</v>
      </c>
      <c r="I846" s="1644">
        <f>SUM(I840:I841,I843:I844)*$F846</f>
        <v>-75118.504499999995</v>
      </c>
      <c r="K846" s="1930"/>
      <c r="L846" s="597"/>
      <c r="M846" s="1930"/>
      <c r="N846" s="597"/>
      <c r="O846" s="1931" t="str">
        <f>$O$43</f>
        <v>Tax Year 1 (7/1/2021)</v>
      </c>
      <c r="P846" s="597"/>
      <c r="Q846" s="1930">
        <f>$Q$687</f>
        <v>-2.76E-2</v>
      </c>
      <c r="R846" s="597"/>
      <c r="S846" s="1645"/>
      <c r="T846" s="1645"/>
      <c r="U846" s="1645"/>
      <c r="V846" s="1645"/>
      <c r="W846" s="1645"/>
      <c r="X846" s="1645"/>
      <c r="Y846" s="1644">
        <f>Q846*SUM(Y836:Y839)</f>
        <v>-56779.299599999998</v>
      </c>
    </row>
    <row r="847" spans="1:28">
      <c r="A847" s="1900"/>
      <c r="C847" s="584"/>
      <c r="D847" s="584"/>
      <c r="F847" s="1930"/>
      <c r="G847" s="597"/>
      <c r="H847" s="1644"/>
      <c r="I847" s="1644"/>
      <c r="K847" s="1930"/>
      <c r="L847" s="597"/>
      <c r="M847" s="1930"/>
      <c r="N847" s="597"/>
      <c r="O847" s="1931" t="str">
        <f>$O$44</f>
        <v>Tax Year 2 (1/1/2022)</v>
      </c>
      <c r="P847" s="597"/>
      <c r="Q847" s="1930">
        <f>$Q$688</f>
        <v>-1.4999999999999999E-2</v>
      </c>
      <c r="R847" s="597"/>
      <c r="S847" s="1645"/>
      <c r="T847" s="1645"/>
      <c r="U847" s="1645"/>
      <c r="V847" s="1645"/>
      <c r="W847" s="1645"/>
      <c r="X847" s="1645"/>
      <c r="Y847" s="1644">
        <f>Q847*SUM(Y836:Y839)</f>
        <v>-30858.314999999999</v>
      </c>
    </row>
    <row r="848" spans="1:28" ht="16.5" thickBot="1">
      <c r="A848" s="1900" t="s">
        <v>247</v>
      </c>
      <c r="C848" s="1949">
        <f>SUM(C843:C845)</f>
        <v>6770734.9969138876</v>
      </c>
      <c r="D848" s="1949">
        <f>SUM(D843:D845)</f>
        <v>24159956.617690787</v>
      </c>
      <c r="F848" s="1939"/>
      <c r="H848" s="1647">
        <f>SUM(H832:H846)</f>
        <v>669848.9669</v>
      </c>
      <c r="I848" s="1647">
        <f>SUM(I832:I846)</f>
        <v>2419265.4955000002</v>
      </c>
      <c r="K848" s="1939"/>
      <c r="M848" s="1939"/>
      <c r="O848" s="1939"/>
      <c r="Q848" s="1939"/>
      <c r="S848" s="1647">
        <f>SUM(S832:S845)</f>
        <v>970483</v>
      </c>
      <c r="U848" s="1647">
        <f>SUM(U832:U845)</f>
        <v>983596</v>
      </c>
      <c r="W848" s="1647">
        <f>SUM(W832:W845)</f>
        <v>515739</v>
      </c>
      <c r="Y848" s="1647">
        <f>SUM(Y832:Y845)</f>
        <v>2469818</v>
      </c>
      <c r="AA848" s="1104" t="s">
        <v>1743</v>
      </c>
      <c r="AB848" s="1890">
        <f>Y848/I848-1</f>
        <v>2.089580684469361E-2</v>
      </c>
    </row>
    <row r="849" spans="1:25" ht="16.5" hidden="1" thickTop="1"/>
    <row r="850" spans="1:25" hidden="1">
      <c r="A850" s="1897" t="s">
        <v>1238</v>
      </c>
      <c r="C850" s="528"/>
      <c r="D850" s="528"/>
    </row>
    <row r="851" spans="1:25" hidden="1">
      <c r="A851" s="1900" t="s">
        <v>240</v>
      </c>
      <c r="C851" s="528">
        <f>'6'!H31</f>
        <v>215.66666666666669</v>
      </c>
      <c r="D851" s="528">
        <f>Bill!P50</f>
        <v>611</v>
      </c>
      <c r="F851" s="1944">
        <v>54</v>
      </c>
      <c r="G851" s="597"/>
      <c r="H851" s="1644">
        <f t="shared" ref="H851:I861" si="1063">ROUND($F851*C851,0)</f>
        <v>11646</v>
      </c>
      <c r="I851" s="1644">
        <f t="shared" si="1063"/>
        <v>32994</v>
      </c>
      <c r="K851" s="1944">
        <f>K832</f>
        <v>54</v>
      </c>
      <c r="L851" s="597"/>
      <c r="M851" s="1944">
        <f>M832</f>
        <v>0</v>
      </c>
      <c r="N851" s="597"/>
      <c r="O851" s="1944">
        <f>O832</f>
        <v>0</v>
      </c>
      <c r="P851" s="597"/>
      <c r="Q851" s="1944">
        <f t="shared" ref="Q851:Q858" si="1064">Q832</f>
        <v>54</v>
      </c>
      <c r="R851" s="597"/>
      <c r="S851" s="1644">
        <f>ROUND($D851*K851,0)</f>
        <v>32994</v>
      </c>
      <c r="T851" s="1645"/>
      <c r="U851" s="1644">
        <f>ROUND($D851*M851,0)</f>
        <v>0</v>
      </c>
      <c r="V851" s="1645"/>
      <c r="W851" s="1644">
        <f>ROUND($D851*O851,0)</f>
        <v>0</v>
      </c>
      <c r="X851" s="1645"/>
      <c r="Y851" s="1644">
        <f>ROUND($D851*Q851,0)</f>
        <v>32994</v>
      </c>
    </row>
    <row r="852" spans="1:25" hidden="1">
      <c r="A852" s="1900" t="s">
        <v>262</v>
      </c>
      <c r="C852" s="584">
        <v>0</v>
      </c>
      <c r="D852" s="528">
        <f>ROUND(C852/C851*D851,0)</f>
        <v>0</v>
      </c>
      <c r="F852" s="1944">
        <v>648</v>
      </c>
      <c r="G852" s="597"/>
      <c r="H852" s="1644">
        <f t="shared" si="1063"/>
        <v>0</v>
      </c>
      <c r="I852" s="1644">
        <f t="shared" si="1063"/>
        <v>0</v>
      </c>
      <c r="K852" s="1944">
        <f t="shared" ref="K852" si="1065">K833</f>
        <v>648</v>
      </c>
      <c r="L852" s="597"/>
      <c r="M852" s="1944">
        <f t="shared" ref="M852" si="1066">M833</f>
        <v>0</v>
      </c>
      <c r="N852" s="597"/>
      <c r="O852" s="1944">
        <f t="shared" ref="O852" si="1067">O833</f>
        <v>0</v>
      </c>
      <c r="P852" s="597"/>
      <c r="Q852" s="1944">
        <f t="shared" si="1064"/>
        <v>648</v>
      </c>
      <c r="R852" s="597"/>
      <c r="S852" s="1644">
        <f t="shared" ref="S852:S856" si="1068">ROUND($D852*K852,0)</f>
        <v>0</v>
      </c>
      <c r="T852" s="1645"/>
      <c r="U852" s="1644">
        <f t="shared" ref="U852:U856" si="1069">ROUND($D852*M852,0)</f>
        <v>0</v>
      </c>
      <c r="V852" s="1645"/>
      <c r="W852" s="1644">
        <f t="shared" ref="W852:W856" si="1070">ROUND($D852*O852,0)</f>
        <v>0</v>
      </c>
      <c r="X852" s="1645"/>
      <c r="Y852" s="1644">
        <f t="shared" ref="Y852:Y856" si="1071">ROUND($D852*Q852,0)</f>
        <v>0</v>
      </c>
    </row>
    <row r="853" spans="1:25" hidden="1">
      <c r="A853" s="1900" t="s">
        <v>1236</v>
      </c>
      <c r="C853" s="528">
        <f>'6'!I31</f>
        <v>21</v>
      </c>
      <c r="D853" s="528">
        <f>ROUND(C853/C851*D851,0)</f>
        <v>59</v>
      </c>
      <c r="F853" s="1944">
        <v>2</v>
      </c>
      <c r="G853" s="597"/>
      <c r="H853" s="1644">
        <f t="shared" si="1063"/>
        <v>42</v>
      </c>
      <c r="I853" s="1644">
        <f t="shared" si="1063"/>
        <v>118</v>
      </c>
      <c r="K853" s="1944">
        <f t="shared" ref="K853" si="1072">K834</f>
        <v>2</v>
      </c>
      <c r="L853" s="597"/>
      <c r="M853" s="1944">
        <f t="shared" ref="M853" si="1073">M834</f>
        <v>0</v>
      </c>
      <c r="N853" s="597"/>
      <c r="O853" s="1944">
        <f t="shared" ref="O853" si="1074">O834</f>
        <v>0</v>
      </c>
      <c r="P853" s="597"/>
      <c r="Q853" s="1944">
        <f t="shared" si="1064"/>
        <v>2</v>
      </c>
      <c r="R853" s="597"/>
      <c r="S853" s="1644">
        <f t="shared" si="1068"/>
        <v>118</v>
      </c>
      <c r="T853" s="1645"/>
      <c r="U853" s="1644">
        <f t="shared" si="1069"/>
        <v>0</v>
      </c>
      <c r="V853" s="1645"/>
      <c r="W853" s="1644">
        <f t="shared" si="1070"/>
        <v>0</v>
      </c>
      <c r="X853" s="1645"/>
      <c r="Y853" s="1644">
        <f t="shared" si="1071"/>
        <v>118</v>
      </c>
    </row>
    <row r="854" spans="1:25" hidden="1">
      <c r="A854" s="1900" t="s">
        <v>168</v>
      </c>
      <c r="C854" s="528">
        <f>'6'!J31</f>
        <v>23596.9975247525</v>
      </c>
      <c r="D854" s="528">
        <f>ROUND(C854/$C$867*$D$867,0)</f>
        <v>94165</v>
      </c>
      <c r="F854" s="1944">
        <v>4.04</v>
      </c>
      <c r="G854" s="597"/>
      <c r="H854" s="1644">
        <f>ROUND($F854*C854,0)</f>
        <v>95332</v>
      </c>
      <c r="I854" s="1644">
        <f>ROUND($F854*D854,0)</f>
        <v>380427</v>
      </c>
      <c r="K854" s="1944">
        <f t="shared" ref="K854" si="1075">K835</f>
        <v>4.03</v>
      </c>
      <c r="L854" s="597"/>
      <c r="M854" s="1944">
        <f t="shared" ref="M854" si="1076">M835</f>
        <v>0</v>
      </c>
      <c r="N854" s="597"/>
      <c r="O854" s="1944">
        <f t="shared" ref="O854" si="1077">O835</f>
        <v>0</v>
      </c>
      <c r="P854" s="597"/>
      <c r="Q854" s="1944">
        <f t="shared" si="1064"/>
        <v>4.03</v>
      </c>
      <c r="R854" s="597"/>
      <c r="S854" s="1644">
        <f t="shared" si="1068"/>
        <v>379485</v>
      </c>
      <c r="T854" s="1645"/>
      <c r="U854" s="1644">
        <f t="shared" si="1069"/>
        <v>0</v>
      </c>
      <c r="V854" s="1645"/>
      <c r="W854" s="1644">
        <f t="shared" si="1070"/>
        <v>0</v>
      </c>
      <c r="X854" s="1645"/>
      <c r="Y854" s="1644">
        <f t="shared" si="1071"/>
        <v>379485</v>
      </c>
    </row>
    <row r="855" spans="1:25" hidden="1">
      <c r="A855" s="1900" t="s">
        <v>1645</v>
      </c>
      <c r="C855" s="528">
        <f>'6'!L31+'6-may'!L31</f>
        <v>10167.939131581556</v>
      </c>
      <c r="D855" s="528">
        <f t="shared" ref="D855:D856" si="1078">ROUND(C855/$C$867*$D$867,0)</f>
        <v>40576</v>
      </c>
      <c r="F855" s="1944"/>
      <c r="G855" s="597"/>
      <c r="H855" s="1644"/>
      <c r="I855" s="1644"/>
      <c r="K855" s="1944">
        <f t="shared" ref="K855" si="1079">K836</f>
        <v>6.34</v>
      </c>
      <c r="L855" s="597"/>
      <c r="M855" s="1944">
        <f t="shared" ref="M855" si="1080">M836</f>
        <v>7.0600000000000005</v>
      </c>
      <c r="N855" s="597"/>
      <c r="O855" s="1944">
        <f t="shared" ref="O855" si="1081">O836</f>
        <v>0</v>
      </c>
      <c r="P855" s="597"/>
      <c r="Q855" s="1944">
        <f t="shared" si="1064"/>
        <v>13.4</v>
      </c>
      <c r="R855" s="597"/>
      <c r="S855" s="1644">
        <f t="shared" si="1068"/>
        <v>257252</v>
      </c>
      <c r="T855" s="1644"/>
      <c r="U855" s="1644">
        <f t="shared" si="1069"/>
        <v>286467</v>
      </c>
      <c r="V855" s="1644"/>
      <c r="W855" s="1644">
        <f t="shared" si="1070"/>
        <v>0</v>
      </c>
      <c r="X855" s="1645"/>
      <c r="Y855" s="1644">
        <f t="shared" si="1071"/>
        <v>543718</v>
      </c>
    </row>
    <row r="856" spans="1:25" hidden="1">
      <c r="A856" s="1900" t="s">
        <v>1646</v>
      </c>
      <c r="C856" s="528">
        <f>'6'!M31+'6-may'!M31</f>
        <v>13429.063122904536</v>
      </c>
      <c r="D856" s="528">
        <f t="shared" si="1078"/>
        <v>53589</v>
      </c>
      <c r="F856" s="1944"/>
      <c r="G856" s="597"/>
      <c r="H856" s="1644"/>
      <c r="I856" s="1644"/>
      <c r="K856" s="1944">
        <f t="shared" ref="K856" si="1082">K837</f>
        <v>5.61</v>
      </c>
      <c r="L856" s="597"/>
      <c r="M856" s="1944">
        <f t="shared" ref="M856" si="1083">M837</f>
        <v>6.2499999999999991</v>
      </c>
      <c r="N856" s="597"/>
      <c r="O856" s="1944">
        <f t="shared" ref="O856" si="1084">O837</f>
        <v>0</v>
      </c>
      <c r="P856" s="597"/>
      <c r="Q856" s="1944">
        <f t="shared" si="1064"/>
        <v>11.86</v>
      </c>
      <c r="R856" s="597"/>
      <c r="S856" s="1644">
        <f t="shared" si="1068"/>
        <v>300634</v>
      </c>
      <c r="T856" s="1644"/>
      <c r="U856" s="1644">
        <f t="shared" si="1069"/>
        <v>334931</v>
      </c>
      <c r="V856" s="1644"/>
      <c r="W856" s="1644">
        <f t="shared" si="1070"/>
        <v>0</v>
      </c>
      <c r="X856" s="1645"/>
      <c r="Y856" s="1644">
        <f t="shared" si="1071"/>
        <v>635566</v>
      </c>
    </row>
    <row r="857" spans="1:25" hidden="1">
      <c r="A857" s="1900" t="s">
        <v>1647</v>
      </c>
      <c r="C857" s="528">
        <f>'6'!P31+'6'!U31+TempRevMay!W333+'6-may'!P31+'6-may'!U31</f>
        <v>2502935.8660099008</v>
      </c>
      <c r="D857" s="528">
        <f>Energy!S50</f>
        <v>8593598.8227068186</v>
      </c>
      <c r="F857" s="1943"/>
      <c r="G857" s="1921"/>
      <c r="H857" s="1644"/>
      <c r="I857" s="1644"/>
      <c r="K857" s="1943">
        <f t="shared" ref="K857" si="1085">K838</f>
        <v>0</v>
      </c>
      <c r="L857" s="1921" t="s">
        <v>495</v>
      </c>
      <c r="M857" s="1943">
        <f t="shared" ref="M857" si="1086">M838</f>
        <v>1.6192</v>
      </c>
      <c r="N857" s="1921" t="s">
        <v>495</v>
      </c>
      <c r="O857" s="1943">
        <f t="shared" ref="O857" si="1087">O838</f>
        <v>2.305570240802</v>
      </c>
      <c r="P857" s="1921" t="s">
        <v>495</v>
      </c>
      <c r="Q857" s="1943">
        <f t="shared" si="1064"/>
        <v>3.9247702408020002</v>
      </c>
      <c r="R857" s="1921" t="s">
        <v>495</v>
      </c>
      <c r="S857" s="1644">
        <f>ROUND($D857*K857/100,0)</f>
        <v>0</v>
      </c>
      <c r="T857" s="1644"/>
      <c r="U857" s="1644">
        <f>ROUND($D857*M857/100,0)</f>
        <v>139148</v>
      </c>
      <c r="V857" s="1644"/>
      <c r="W857" s="1644">
        <f>ROUND($D857*O857/100,0)</f>
        <v>198131</v>
      </c>
      <c r="X857" s="1648"/>
      <c r="Y857" s="1644">
        <f>ROUND($D857*Q857/100,0)</f>
        <v>337279</v>
      </c>
    </row>
    <row r="858" spans="1:25" hidden="1">
      <c r="A858" s="1900" t="s">
        <v>1648</v>
      </c>
      <c r="C858" s="528">
        <f>'6'!Q31+'6'!V31+TempRevMay!W334+'6-may'!Q31+'6-may'!V31</f>
        <v>3519434.1309039872</v>
      </c>
      <c r="D858" s="528">
        <f>Energy!T50</f>
        <v>15566357.794983968</v>
      </c>
      <c r="F858" s="1943"/>
      <c r="G858" s="1921"/>
      <c r="H858" s="1644"/>
      <c r="I858" s="1644"/>
      <c r="K858" s="1943">
        <f t="shared" ref="K858" si="1088">K839</f>
        <v>0</v>
      </c>
      <c r="L858" s="1921" t="s">
        <v>495</v>
      </c>
      <c r="M858" s="1943">
        <f t="shared" ref="M858" si="1089">M839</f>
        <v>1.4329000000000001</v>
      </c>
      <c r="N858" s="1921" t="s">
        <v>495</v>
      </c>
      <c r="O858" s="1943">
        <f t="shared" ref="O858" si="1090">O839</f>
        <v>2.0403480007099999</v>
      </c>
      <c r="P858" s="1921" t="s">
        <v>495</v>
      </c>
      <c r="Q858" s="1943">
        <f t="shared" si="1064"/>
        <v>3.4732480007099999</v>
      </c>
      <c r="R858" s="1921" t="s">
        <v>495</v>
      </c>
      <c r="S858" s="1644">
        <f>ROUND($D858*K858/100,0)</f>
        <v>0</v>
      </c>
      <c r="T858" s="1644"/>
      <c r="U858" s="1644">
        <f>ROUND($D858*M858/100,0)</f>
        <v>223050</v>
      </c>
      <c r="V858" s="1644"/>
      <c r="W858" s="1644">
        <f>ROUND($D858*O858/100,0)</f>
        <v>317608</v>
      </c>
      <c r="X858" s="1648"/>
      <c r="Y858" s="1644">
        <f>ROUND($D858*Q858/100,0)</f>
        <v>540658</v>
      </c>
    </row>
    <row r="859" spans="1:25" hidden="1">
      <c r="A859" s="1900" t="s">
        <v>196</v>
      </c>
      <c r="C859" s="528">
        <f>'6'!L31</f>
        <v>11724.73461012312</v>
      </c>
      <c r="D859" s="528">
        <f>ROUND(C859/C867*D867,0)</f>
        <v>46788</v>
      </c>
      <c r="F859" s="1944">
        <v>14.62</v>
      </c>
      <c r="G859" s="597"/>
      <c r="H859" s="1644">
        <f t="shared" si="1063"/>
        <v>171416</v>
      </c>
      <c r="I859" s="1644">
        <f t="shared" si="1063"/>
        <v>684041</v>
      </c>
      <c r="K859" s="1944"/>
      <c r="L859" s="597"/>
      <c r="M859" s="1944"/>
      <c r="N859" s="597"/>
      <c r="O859" s="1944"/>
      <c r="P859" s="597"/>
      <c r="Q859" s="1944"/>
      <c r="R859" s="597"/>
      <c r="S859" s="1644"/>
      <c r="T859" s="1645"/>
      <c r="U859" s="1644"/>
      <c r="V859" s="1645"/>
      <c r="W859" s="1644"/>
      <c r="X859" s="1645"/>
      <c r="Y859" s="1644"/>
    </row>
    <row r="860" spans="1:25" hidden="1">
      <c r="A860" s="1900" t="s">
        <v>161</v>
      </c>
      <c r="C860" s="528">
        <f>'6'!M31</f>
        <v>11872.26764436297</v>
      </c>
      <c r="D860" s="528">
        <f>ROUND(C860/C867*D867,0)</f>
        <v>47377</v>
      </c>
      <c r="F860" s="1944">
        <v>10.91</v>
      </c>
      <c r="G860" s="597"/>
      <c r="H860" s="1644">
        <f t="shared" si="1063"/>
        <v>129526</v>
      </c>
      <c r="I860" s="1644">
        <f t="shared" si="1063"/>
        <v>516883</v>
      </c>
      <c r="K860" s="1944"/>
      <c r="L860" s="597"/>
      <c r="M860" s="1944"/>
      <c r="N860" s="597"/>
      <c r="O860" s="1944"/>
      <c r="P860" s="597"/>
      <c r="Q860" s="1944"/>
      <c r="R860" s="597"/>
      <c r="S860" s="1644"/>
      <c r="T860" s="1645"/>
      <c r="U860" s="1644"/>
      <c r="V860" s="1645"/>
      <c r="W860" s="1644"/>
      <c r="X860" s="1645"/>
      <c r="Y860" s="1644"/>
    </row>
    <row r="861" spans="1:25" hidden="1">
      <c r="A861" s="1900" t="s">
        <v>261</v>
      </c>
      <c r="C861" s="528">
        <f>'6'!N31</f>
        <v>0</v>
      </c>
      <c r="D861" s="528">
        <f>ROUND(C861/C867*D867,0)</f>
        <v>0</v>
      </c>
      <c r="F861" s="1944">
        <v>-0.96</v>
      </c>
      <c r="G861" s="597"/>
      <c r="H861" s="1644">
        <f t="shared" si="1063"/>
        <v>0</v>
      </c>
      <c r="I861" s="1644">
        <f t="shared" si="1063"/>
        <v>0</v>
      </c>
      <c r="K861" s="1944">
        <f>K842</f>
        <v>-0.96</v>
      </c>
      <c r="L861" s="597"/>
      <c r="M861" s="1944">
        <f>M842</f>
        <v>0</v>
      </c>
      <c r="N861" s="597"/>
      <c r="O861" s="1944">
        <f>O842</f>
        <v>0</v>
      </c>
      <c r="P861" s="597"/>
      <c r="Q861" s="1944">
        <f>Q842</f>
        <v>-0.96</v>
      </c>
      <c r="R861" s="597"/>
      <c r="S861" s="1644">
        <f t="shared" ref="S861" si="1091">ROUND($D861*K861,0)</f>
        <v>0</v>
      </c>
      <c r="T861" s="1644"/>
      <c r="U861" s="1644">
        <f t="shared" ref="U861" si="1092">ROUND($D861*M861,0)</f>
        <v>0</v>
      </c>
      <c r="V861" s="1644"/>
      <c r="W861" s="1644">
        <f t="shared" ref="W861" si="1093">ROUND($D861*O861,0)</f>
        <v>0</v>
      </c>
      <c r="X861" s="1645"/>
      <c r="Y861" s="1644">
        <f t="shared" ref="Y861" si="1094">ROUND($D861*Q861,0)</f>
        <v>0</v>
      </c>
    </row>
    <row r="862" spans="1:25" hidden="1">
      <c r="A862" s="1900" t="s">
        <v>1362</v>
      </c>
      <c r="C862" s="528">
        <f>'6'!P31+'6'!U31+TempRev!W333</f>
        <v>2839373.3356775618</v>
      </c>
      <c r="D862" s="528">
        <f>Energy!Q50</f>
        <v>10344290.948182104</v>
      </c>
      <c r="F862" s="1943">
        <v>3.8127</v>
      </c>
      <c r="G862" s="1921" t="s">
        <v>495</v>
      </c>
      <c r="H862" s="1644">
        <f>ROUND($F862*C862/100,0)</f>
        <v>108257</v>
      </c>
      <c r="I862" s="1644">
        <f>ROUND($F862*D862/100,0)</f>
        <v>394397</v>
      </c>
      <c r="K862" s="1943"/>
      <c r="L862" s="1921"/>
      <c r="M862" s="1943"/>
      <c r="N862" s="1921"/>
      <c r="O862" s="1943"/>
      <c r="P862" s="1921"/>
      <c r="Q862" s="1943"/>
      <c r="R862" s="1921"/>
      <c r="S862" s="1648"/>
      <c r="T862" s="1648"/>
      <c r="U862" s="1648"/>
      <c r="V862" s="1648"/>
      <c r="W862" s="1648"/>
      <c r="X862" s="1648"/>
      <c r="Y862" s="1644"/>
    </row>
    <row r="863" spans="1:25" hidden="1">
      <c r="A863" s="1900" t="s">
        <v>1363</v>
      </c>
      <c r="C863" s="528">
        <f>'6'!Q31+'6'!V31+TempRev!W334</f>
        <v>3182996.6612363262</v>
      </c>
      <c r="D863" s="528">
        <f>Energy!R50</f>
        <v>13815665.669508683</v>
      </c>
      <c r="F863" s="1943">
        <v>3.5143</v>
      </c>
      <c r="G863" s="1921" t="s">
        <v>495</v>
      </c>
      <c r="H863" s="1644">
        <f>ROUND($F863*C863/100,0)</f>
        <v>111860</v>
      </c>
      <c r="I863" s="1644">
        <f>ROUND($F863*D863/100,0)</f>
        <v>485524</v>
      </c>
      <c r="K863" s="1943"/>
      <c r="L863" s="1921"/>
      <c r="M863" s="1943"/>
      <c r="N863" s="1921"/>
      <c r="O863" s="1943"/>
      <c r="P863" s="1921"/>
      <c r="Q863" s="1943"/>
      <c r="R863" s="1921"/>
      <c r="S863" s="1648"/>
      <c r="T863" s="1648"/>
      <c r="U863" s="1648"/>
      <c r="V863" s="1648"/>
      <c r="W863" s="1648"/>
      <c r="X863" s="1648"/>
      <c r="Y863" s="1644"/>
    </row>
    <row r="864" spans="1:25" hidden="1">
      <c r="A864" s="1900" t="s">
        <v>246</v>
      </c>
      <c r="C864" s="529">
        <f>'Table 2'!J47</f>
        <v>31926</v>
      </c>
      <c r="D864" s="529">
        <v>0</v>
      </c>
      <c r="H864" s="1030">
        <f>'Table 3'!F47</f>
        <v>3599</v>
      </c>
      <c r="I864" s="1030">
        <v>0</v>
      </c>
      <c r="Y864" s="1030">
        <v>0</v>
      </c>
    </row>
    <row r="865" spans="1:28" hidden="1">
      <c r="A865" s="1900" t="s">
        <v>1240</v>
      </c>
      <c r="C865" s="584"/>
      <c r="D865" s="584"/>
      <c r="F865" s="1930">
        <v>-3.61E-2</v>
      </c>
      <c r="G865" s="597"/>
      <c r="H865" s="1644">
        <f>SUM(H859:H860,H862:H863)*$F865</f>
        <v>-18810.229899999998</v>
      </c>
      <c r="I865" s="1644">
        <f>SUM(I859:I860,I862:I863)*$F865</f>
        <v>-75118.504499999995</v>
      </c>
      <c r="K865" s="1930"/>
      <c r="L865" s="597"/>
      <c r="M865" s="1930"/>
      <c r="N865" s="597"/>
      <c r="O865" s="1931" t="str">
        <f>$O$43</f>
        <v>Tax Year 1 (7/1/2021)</v>
      </c>
      <c r="P865" s="597"/>
      <c r="Q865" s="1930">
        <f>$Q$687</f>
        <v>-2.76E-2</v>
      </c>
      <c r="R865" s="597"/>
      <c r="S865" s="1645"/>
      <c r="T865" s="1645"/>
      <c r="U865" s="1645"/>
      <c r="V865" s="1645"/>
      <c r="W865" s="1645"/>
      <c r="X865" s="1645"/>
      <c r="Y865" s="1644">
        <f>Q865*SUM(Y855:Y858)</f>
        <v>-56779.299599999998</v>
      </c>
    </row>
    <row r="866" spans="1:28" hidden="1">
      <c r="A866" s="1900"/>
      <c r="C866" s="584"/>
      <c r="D866" s="584"/>
      <c r="F866" s="1930"/>
      <c r="G866" s="597"/>
      <c r="H866" s="1644"/>
      <c r="I866" s="1644"/>
      <c r="K866" s="1930"/>
      <c r="L866" s="597"/>
      <c r="M866" s="1930"/>
      <c r="N866" s="597"/>
      <c r="O866" s="1931" t="str">
        <f>$O$44</f>
        <v>Tax Year 2 (1/1/2022)</v>
      </c>
      <c r="P866" s="597"/>
      <c r="Q866" s="1930">
        <f>$Q$688</f>
        <v>-1.4999999999999999E-2</v>
      </c>
      <c r="R866" s="597"/>
      <c r="S866" s="1645"/>
      <c r="T866" s="1645"/>
      <c r="U866" s="1645"/>
      <c r="V866" s="1645"/>
      <c r="W866" s="1645"/>
      <c r="X866" s="1645"/>
      <c r="Y866" s="1644">
        <f>Q866*SUM(Y855:Y858)</f>
        <v>-30858.314999999999</v>
      </c>
    </row>
    <row r="867" spans="1:28" ht="16.5" hidden="1" thickBot="1">
      <c r="A867" s="1900" t="s">
        <v>247</v>
      </c>
      <c r="C867" s="1949">
        <f>SUM(C862:C864)</f>
        <v>6054295.9969138876</v>
      </c>
      <c r="D867" s="1949">
        <f>SUM(D862:D864)</f>
        <v>24159956.617690787</v>
      </c>
      <c r="F867" s="1939"/>
      <c r="H867" s="1647">
        <f>SUM(H851:H865)</f>
        <v>612867.77009999997</v>
      </c>
      <c r="I867" s="1647">
        <f>SUM(I851:I865)</f>
        <v>2419265.4955000002</v>
      </c>
      <c r="K867" s="1939"/>
      <c r="M867" s="1939"/>
      <c r="O867" s="1939"/>
      <c r="Q867" s="1939"/>
      <c r="S867" s="1647">
        <f>SUM(S851:S864)</f>
        <v>970483</v>
      </c>
      <c r="U867" s="1647">
        <f>SUM(U851:U864)</f>
        <v>983596</v>
      </c>
      <c r="W867" s="1647">
        <f>SUM(W851:W864)</f>
        <v>515739</v>
      </c>
      <c r="Y867" s="1647">
        <f>SUM(Y851:Y864)</f>
        <v>2469818</v>
      </c>
      <c r="AA867" s="1104" t="s">
        <v>1743</v>
      </c>
      <c r="AB867" s="1890">
        <f>Y867/I867-1</f>
        <v>2.089580684469361E-2</v>
      </c>
    </row>
    <row r="868" spans="1:28" ht="16.5" hidden="1" thickTop="1"/>
    <row r="869" spans="1:28" hidden="1">
      <c r="A869" s="1897" t="s">
        <v>1559</v>
      </c>
      <c r="C869" s="528"/>
      <c r="D869" s="528"/>
    </row>
    <row r="870" spans="1:28" hidden="1">
      <c r="A870" s="1900" t="s">
        <v>240</v>
      </c>
      <c r="C870" s="528">
        <f>'6'!H32</f>
        <v>5.06666666666667</v>
      </c>
      <c r="D870" s="528">
        <v>0</v>
      </c>
      <c r="F870" s="1944">
        <v>54</v>
      </c>
      <c r="G870" s="597"/>
      <c r="H870" s="1644">
        <f t="shared" ref="H870:H880" si="1095">ROUND($F870*C870,0)</f>
        <v>274</v>
      </c>
      <c r="I870" s="1644">
        <f t="shared" ref="I870:I880" si="1096">ROUND($F870*D870,0)</f>
        <v>0</v>
      </c>
      <c r="K870" s="1944">
        <f t="shared" ref="K870:K877" si="1097">K832</f>
        <v>54</v>
      </c>
      <c r="L870" s="597"/>
      <c r="M870" s="1944">
        <f>M832</f>
        <v>0</v>
      </c>
      <c r="N870" s="597"/>
      <c r="O870" s="1944">
        <f>O832</f>
        <v>0</v>
      </c>
      <c r="P870" s="597"/>
      <c r="Q870" s="1944">
        <f t="shared" ref="Q870:Q877" si="1098">Q832</f>
        <v>54</v>
      </c>
      <c r="R870" s="597"/>
      <c r="S870" s="1644">
        <f>ROUND($D870*K870,0)</f>
        <v>0</v>
      </c>
      <c r="T870" s="1645"/>
      <c r="U870" s="1644">
        <f>ROUND($D870*M870,0)</f>
        <v>0</v>
      </c>
      <c r="V870" s="1645"/>
      <c r="W870" s="1644">
        <f>ROUND($D870*O870,0)</f>
        <v>0</v>
      </c>
      <c r="X870" s="1645"/>
      <c r="Y870" s="1644">
        <f>ROUND($D870*Q870,0)</f>
        <v>0</v>
      </c>
    </row>
    <row r="871" spans="1:28" hidden="1">
      <c r="A871" s="1900" t="s">
        <v>262</v>
      </c>
      <c r="C871" s="584">
        <v>0</v>
      </c>
      <c r="D871" s="528">
        <f>ROUND(C871/C870*D870,0)</f>
        <v>0</v>
      </c>
      <c r="F871" s="1944">
        <v>648</v>
      </c>
      <c r="G871" s="597"/>
      <c r="H871" s="1644">
        <f t="shared" si="1095"/>
        <v>0</v>
      </c>
      <c r="I871" s="1644">
        <f t="shared" si="1096"/>
        <v>0</v>
      </c>
      <c r="K871" s="1944">
        <f t="shared" si="1097"/>
        <v>648</v>
      </c>
      <c r="L871" s="597"/>
      <c r="M871" s="1944">
        <f t="shared" ref="M871" si="1099">M833</f>
        <v>0</v>
      </c>
      <c r="N871" s="597"/>
      <c r="O871" s="1944">
        <f t="shared" ref="O871" si="1100">O833</f>
        <v>0</v>
      </c>
      <c r="P871" s="597"/>
      <c r="Q871" s="1944">
        <f t="shared" si="1098"/>
        <v>648</v>
      </c>
      <c r="R871" s="597"/>
      <c r="S871" s="1644">
        <f t="shared" ref="S871:S875" si="1101">ROUND($D871*K871,0)</f>
        <v>0</v>
      </c>
      <c r="T871" s="1645"/>
      <c r="U871" s="1644">
        <f t="shared" ref="U871:U875" si="1102">ROUND($D871*M871,0)</f>
        <v>0</v>
      </c>
      <c r="V871" s="1645"/>
      <c r="W871" s="1644">
        <f t="shared" ref="W871:W875" si="1103">ROUND($D871*O871,0)</f>
        <v>0</v>
      </c>
      <c r="X871" s="1645"/>
      <c r="Y871" s="1644">
        <f t="shared" ref="Y871:Y875" si="1104">ROUND($D871*Q871,0)</f>
        <v>0</v>
      </c>
    </row>
    <row r="872" spans="1:28" hidden="1">
      <c r="A872" s="1900" t="s">
        <v>1236</v>
      </c>
      <c r="C872" s="528">
        <f>'6'!I32</f>
        <v>0</v>
      </c>
      <c r="D872" s="528">
        <f>ROUND(C872/C870*D870,0)</f>
        <v>0</v>
      </c>
      <c r="F872" s="1944">
        <v>2</v>
      </c>
      <c r="G872" s="597"/>
      <c r="H872" s="1644">
        <f t="shared" si="1095"/>
        <v>0</v>
      </c>
      <c r="I872" s="1644">
        <f t="shared" si="1096"/>
        <v>0</v>
      </c>
      <c r="K872" s="1944">
        <f t="shared" si="1097"/>
        <v>2</v>
      </c>
      <c r="L872" s="597"/>
      <c r="M872" s="1944">
        <f t="shared" ref="M872" si="1105">M834</f>
        <v>0</v>
      </c>
      <c r="N872" s="597"/>
      <c r="O872" s="1944">
        <f t="shared" ref="O872" si="1106">O834</f>
        <v>0</v>
      </c>
      <c r="P872" s="597"/>
      <c r="Q872" s="1944">
        <f t="shared" si="1098"/>
        <v>2</v>
      </c>
      <c r="R872" s="597"/>
      <c r="S872" s="1644">
        <f t="shared" si="1101"/>
        <v>0</v>
      </c>
      <c r="T872" s="1645"/>
      <c r="U872" s="1644">
        <f t="shared" si="1102"/>
        <v>0</v>
      </c>
      <c r="V872" s="1645"/>
      <c r="W872" s="1644">
        <f t="shared" si="1103"/>
        <v>0</v>
      </c>
      <c r="X872" s="1645"/>
      <c r="Y872" s="1644">
        <f t="shared" si="1104"/>
        <v>0</v>
      </c>
    </row>
    <row r="873" spans="1:28" hidden="1">
      <c r="A873" s="1900" t="s">
        <v>168</v>
      </c>
      <c r="C873" s="528">
        <f>'6'!J32</f>
        <v>1916.26732673267</v>
      </c>
      <c r="D873" s="528">
        <f>ROUND(C873/C886*D886,0)</f>
        <v>0</v>
      </c>
      <c r="F873" s="1944">
        <v>4.04</v>
      </c>
      <c r="G873" s="597"/>
      <c r="H873" s="1644">
        <f>ROUND($F873*C873,0)</f>
        <v>7742</v>
      </c>
      <c r="I873" s="1644">
        <f>ROUND($F873*D873,0)</f>
        <v>0</v>
      </c>
      <c r="K873" s="1944">
        <f t="shared" si="1097"/>
        <v>4.03</v>
      </c>
      <c r="L873" s="597"/>
      <c r="M873" s="1944">
        <f t="shared" ref="M873" si="1107">M835</f>
        <v>0</v>
      </c>
      <c r="N873" s="597"/>
      <c r="O873" s="1944">
        <f t="shared" ref="O873" si="1108">O835</f>
        <v>0</v>
      </c>
      <c r="P873" s="597"/>
      <c r="Q873" s="1944">
        <f t="shared" si="1098"/>
        <v>4.03</v>
      </c>
      <c r="R873" s="597"/>
      <c r="S873" s="1644">
        <f t="shared" si="1101"/>
        <v>0</v>
      </c>
      <c r="T873" s="1645"/>
      <c r="U873" s="1644">
        <f t="shared" si="1102"/>
        <v>0</v>
      </c>
      <c r="V873" s="1645"/>
      <c r="W873" s="1644">
        <f t="shared" si="1103"/>
        <v>0</v>
      </c>
      <c r="X873" s="1645"/>
      <c r="Y873" s="1644">
        <f t="shared" si="1104"/>
        <v>0</v>
      </c>
    </row>
    <row r="874" spans="1:28" hidden="1">
      <c r="A874" s="1900" t="s">
        <v>1645</v>
      </c>
      <c r="C874" s="528">
        <f>'6'!L32+'6-may'!L32</f>
        <v>1071.85294117647</v>
      </c>
      <c r="D874" s="528"/>
      <c r="F874" s="1944"/>
      <c r="G874" s="597"/>
      <c r="H874" s="1644"/>
      <c r="I874" s="1644"/>
      <c r="K874" s="1944">
        <f t="shared" si="1097"/>
        <v>6.34</v>
      </c>
      <c r="L874" s="597"/>
      <c r="M874" s="1944">
        <f t="shared" ref="M874" si="1109">M836</f>
        <v>7.0600000000000005</v>
      </c>
      <c r="N874" s="597"/>
      <c r="O874" s="1944">
        <f t="shared" ref="O874" si="1110">O836</f>
        <v>0</v>
      </c>
      <c r="P874" s="597"/>
      <c r="Q874" s="1944">
        <f t="shared" si="1098"/>
        <v>13.4</v>
      </c>
      <c r="R874" s="597"/>
      <c r="S874" s="1644">
        <f t="shared" si="1101"/>
        <v>0</v>
      </c>
      <c r="T874" s="1644"/>
      <c r="U874" s="1644">
        <f t="shared" si="1102"/>
        <v>0</v>
      </c>
      <c r="V874" s="1644"/>
      <c r="W874" s="1644">
        <f t="shared" si="1103"/>
        <v>0</v>
      </c>
      <c r="X874" s="1645"/>
      <c r="Y874" s="1644">
        <f t="shared" si="1104"/>
        <v>0</v>
      </c>
    </row>
    <row r="875" spans="1:28" hidden="1">
      <c r="A875" s="1900" t="s">
        <v>1646</v>
      </c>
      <c r="C875" s="528">
        <f>'6'!M32+'6-may'!M32</f>
        <v>844.41338221814897</v>
      </c>
      <c r="D875" s="528"/>
      <c r="F875" s="1944"/>
      <c r="G875" s="597"/>
      <c r="H875" s="1644"/>
      <c r="I875" s="1644"/>
      <c r="K875" s="1944">
        <f t="shared" si="1097"/>
        <v>5.61</v>
      </c>
      <c r="L875" s="597"/>
      <c r="M875" s="1944">
        <f t="shared" ref="M875" si="1111">M837</f>
        <v>6.2499999999999991</v>
      </c>
      <c r="N875" s="597"/>
      <c r="O875" s="1944">
        <f t="shared" ref="O875" si="1112">O837</f>
        <v>0</v>
      </c>
      <c r="P875" s="597"/>
      <c r="Q875" s="1944">
        <f t="shared" si="1098"/>
        <v>11.86</v>
      </c>
      <c r="R875" s="597"/>
      <c r="S875" s="1644">
        <f t="shared" si="1101"/>
        <v>0</v>
      </c>
      <c r="T875" s="1644"/>
      <c r="U875" s="1644">
        <f t="shared" si="1102"/>
        <v>0</v>
      </c>
      <c r="V875" s="1644"/>
      <c r="W875" s="1644">
        <f t="shared" si="1103"/>
        <v>0</v>
      </c>
      <c r="X875" s="1645"/>
      <c r="Y875" s="1644">
        <f t="shared" si="1104"/>
        <v>0</v>
      </c>
    </row>
    <row r="876" spans="1:28" hidden="1">
      <c r="A876" s="1900" t="s">
        <v>1647</v>
      </c>
      <c r="C876" s="528">
        <f>'6'!P32+'6'!U32+'6-may'!P32+'6-may'!U32</f>
        <v>414366</v>
      </c>
      <c r="D876" s="528"/>
      <c r="F876" s="1943"/>
      <c r="G876" s="1921"/>
      <c r="H876" s="1644"/>
      <c r="I876" s="1644"/>
      <c r="K876" s="1943">
        <f t="shared" si="1097"/>
        <v>0</v>
      </c>
      <c r="L876" s="1921" t="s">
        <v>495</v>
      </c>
      <c r="M876" s="1943">
        <f t="shared" ref="M876" si="1113">M838</f>
        <v>1.6192</v>
      </c>
      <c r="N876" s="1921" t="s">
        <v>495</v>
      </c>
      <c r="O876" s="1943">
        <f t="shared" ref="O876" si="1114">O838</f>
        <v>2.305570240802</v>
      </c>
      <c r="P876" s="1921" t="s">
        <v>495</v>
      </c>
      <c r="Q876" s="1943">
        <f t="shared" si="1098"/>
        <v>3.9247702408020002</v>
      </c>
      <c r="R876" s="1921" t="s">
        <v>495</v>
      </c>
      <c r="S876" s="1644">
        <f>ROUND($D876*K876/100,0)</f>
        <v>0</v>
      </c>
      <c r="T876" s="1644"/>
      <c r="U876" s="1644">
        <f>ROUND($D876*M876/100,0)</f>
        <v>0</v>
      </c>
      <c r="V876" s="1644"/>
      <c r="W876" s="1644">
        <f>ROUND($D876*O876/100,0)</f>
        <v>0</v>
      </c>
      <c r="X876" s="1648"/>
      <c r="Y876" s="1644">
        <f>ROUND($D876*Q876/100,0)</f>
        <v>0</v>
      </c>
    </row>
    <row r="877" spans="1:28" hidden="1">
      <c r="A877" s="1900" t="s">
        <v>1648</v>
      </c>
      <c r="C877" s="528">
        <f>'6'!Q32+'6'!V32+'6-may'!Q32+'6-may'!V32</f>
        <v>313878</v>
      </c>
      <c r="D877" s="528"/>
      <c r="F877" s="1943"/>
      <c r="G877" s="1921"/>
      <c r="H877" s="1644"/>
      <c r="I877" s="1644"/>
      <c r="K877" s="1943">
        <f t="shared" si="1097"/>
        <v>0</v>
      </c>
      <c r="L877" s="1921" t="s">
        <v>495</v>
      </c>
      <c r="M877" s="1943">
        <f t="shared" ref="M877" si="1115">M839</f>
        <v>1.4329000000000001</v>
      </c>
      <c r="N877" s="1921" t="s">
        <v>495</v>
      </c>
      <c r="O877" s="1943">
        <f t="shared" ref="O877" si="1116">O839</f>
        <v>2.0403480007099999</v>
      </c>
      <c r="P877" s="1921" t="s">
        <v>495</v>
      </c>
      <c r="Q877" s="1943">
        <f t="shared" si="1098"/>
        <v>3.4732480007099999</v>
      </c>
      <c r="R877" s="1921" t="s">
        <v>495</v>
      </c>
      <c r="S877" s="1644">
        <f>ROUND($D877*K877/100,0)</f>
        <v>0</v>
      </c>
      <c r="T877" s="1644"/>
      <c r="U877" s="1644">
        <f>ROUND($D877*M877/100,0)</f>
        <v>0</v>
      </c>
      <c r="V877" s="1644"/>
      <c r="W877" s="1644">
        <f>ROUND($D877*O877/100,0)</f>
        <v>0</v>
      </c>
      <c r="X877" s="1648"/>
      <c r="Y877" s="1644">
        <f>ROUND($D877*Q877/100,0)</f>
        <v>0</v>
      </c>
    </row>
    <row r="878" spans="1:28" hidden="1">
      <c r="A878" s="1900" t="s">
        <v>196</v>
      </c>
      <c r="C878" s="528">
        <f>'6'!L32</f>
        <v>1071.85294117647</v>
      </c>
      <c r="D878" s="528">
        <f>ROUND(C878/C886*D886,0)</f>
        <v>0</v>
      </c>
      <c r="F878" s="1944">
        <v>14.62</v>
      </c>
      <c r="G878" s="597"/>
      <c r="H878" s="1644">
        <f t="shared" si="1095"/>
        <v>15670</v>
      </c>
      <c r="I878" s="1644">
        <f t="shared" si="1096"/>
        <v>0</v>
      </c>
      <c r="K878" s="1944"/>
      <c r="L878" s="597"/>
      <c r="M878" s="1944"/>
      <c r="N878" s="597"/>
      <c r="O878" s="1944"/>
      <c r="P878" s="597"/>
      <c r="Q878" s="1944"/>
      <c r="R878" s="597"/>
      <c r="S878" s="1644"/>
      <c r="T878" s="1645"/>
      <c r="U878" s="1644"/>
      <c r="V878" s="1645"/>
      <c r="W878" s="1644"/>
      <c r="X878" s="1645"/>
      <c r="Y878" s="1644"/>
    </row>
    <row r="879" spans="1:28" hidden="1">
      <c r="A879" s="1900" t="s">
        <v>161</v>
      </c>
      <c r="C879" s="528">
        <f>'6'!M32</f>
        <v>844.41338221814897</v>
      </c>
      <c r="D879" s="528">
        <f>ROUND(C879/C886*D886,0)</f>
        <v>0</v>
      </c>
      <c r="F879" s="1944">
        <v>10.91</v>
      </c>
      <c r="G879" s="597"/>
      <c r="H879" s="1644">
        <f t="shared" si="1095"/>
        <v>9213</v>
      </c>
      <c r="I879" s="1644">
        <f t="shared" si="1096"/>
        <v>0</v>
      </c>
      <c r="K879" s="1944"/>
      <c r="L879" s="597"/>
      <c r="M879" s="1944"/>
      <c r="N879" s="597"/>
      <c r="O879" s="1944"/>
      <c r="P879" s="597"/>
      <c r="Q879" s="1944"/>
      <c r="R879" s="597"/>
      <c r="S879" s="1644"/>
      <c r="T879" s="1645"/>
      <c r="U879" s="1644"/>
      <c r="V879" s="1645"/>
      <c r="W879" s="1644"/>
      <c r="X879" s="1645"/>
      <c r="Y879" s="1644"/>
    </row>
    <row r="880" spans="1:28" hidden="1">
      <c r="A880" s="1900" t="s">
        <v>261</v>
      </c>
      <c r="C880" s="528">
        <f>'6'!N32</f>
        <v>0</v>
      </c>
      <c r="D880" s="528">
        <f>ROUND(C880/C886*D886,0)</f>
        <v>0</v>
      </c>
      <c r="F880" s="1944">
        <v>-0.96</v>
      </c>
      <c r="G880" s="597"/>
      <c r="H880" s="1644">
        <f t="shared" si="1095"/>
        <v>0</v>
      </c>
      <c r="I880" s="1644">
        <f t="shared" si="1096"/>
        <v>0</v>
      </c>
      <c r="K880" s="1944">
        <f>K842</f>
        <v>-0.96</v>
      </c>
      <c r="L880" s="597"/>
      <c r="M880" s="1944">
        <f>M842</f>
        <v>0</v>
      </c>
      <c r="N880" s="597"/>
      <c r="O880" s="1944">
        <f>O842</f>
        <v>0</v>
      </c>
      <c r="P880" s="597"/>
      <c r="Q880" s="1944">
        <f>Q842</f>
        <v>-0.96</v>
      </c>
      <c r="R880" s="597"/>
      <c r="S880" s="1644">
        <f t="shared" ref="S880" si="1117">ROUND($D880*K880,0)</f>
        <v>0</v>
      </c>
      <c r="T880" s="1644"/>
      <c r="U880" s="1644">
        <f t="shared" ref="U880" si="1118">ROUND($D880*M880,0)</f>
        <v>0</v>
      </c>
      <c r="V880" s="1644"/>
      <c r="W880" s="1644">
        <f t="shared" ref="W880" si="1119">ROUND($D880*O880,0)</f>
        <v>0</v>
      </c>
      <c r="X880" s="1645"/>
      <c r="Y880" s="1644">
        <f t="shared" ref="Y880" si="1120">ROUND($D880*Q880,0)</f>
        <v>0</v>
      </c>
    </row>
    <row r="881" spans="1:28" hidden="1">
      <c r="A881" s="1900" t="s">
        <v>1362</v>
      </c>
      <c r="C881" s="528">
        <f>'6'!P32+'6'!U32</f>
        <v>414366</v>
      </c>
      <c r="D881" s="528">
        <v>0</v>
      </c>
      <c r="F881" s="1943">
        <v>3.8127</v>
      </c>
      <c r="G881" s="1921" t="s">
        <v>495</v>
      </c>
      <c r="H881" s="1644">
        <f>ROUND($F881*C881/100,0)</f>
        <v>15799</v>
      </c>
      <c r="I881" s="1644">
        <f>ROUND($F881*D881/100,0)</f>
        <v>0</v>
      </c>
      <c r="K881" s="1943"/>
      <c r="L881" s="1921"/>
      <c r="M881" s="1943"/>
      <c r="N881" s="1921"/>
      <c r="O881" s="1943"/>
      <c r="P881" s="1921"/>
      <c r="Q881" s="1943"/>
      <c r="R881" s="1921"/>
      <c r="S881" s="1648"/>
      <c r="T881" s="1648"/>
      <c r="U881" s="1648"/>
      <c r="V881" s="1648"/>
      <c r="W881" s="1648"/>
      <c r="X881" s="1648"/>
      <c r="Y881" s="1644"/>
    </row>
    <row r="882" spans="1:28" hidden="1">
      <c r="A882" s="1900" t="s">
        <v>1363</v>
      </c>
      <c r="C882" s="528">
        <f>'6'!Q32+'6'!V32</f>
        <v>313878</v>
      </c>
      <c r="D882" s="528">
        <v>0</v>
      </c>
      <c r="F882" s="1943">
        <v>3.5143</v>
      </c>
      <c r="G882" s="1921" t="s">
        <v>495</v>
      </c>
      <c r="H882" s="1644">
        <f>ROUND($F882*C882/100,0)</f>
        <v>11031</v>
      </c>
      <c r="I882" s="1644">
        <f>ROUND($F882*D882/100,0)</f>
        <v>0</v>
      </c>
      <c r="K882" s="1943"/>
      <c r="L882" s="1921"/>
      <c r="M882" s="1943"/>
      <c r="N882" s="1921"/>
      <c r="O882" s="1943"/>
      <c r="P882" s="1921"/>
      <c r="Q882" s="1943"/>
      <c r="R882" s="1921"/>
      <c r="S882" s="1648"/>
      <c r="T882" s="1648"/>
      <c r="U882" s="1648"/>
      <c r="V882" s="1648"/>
      <c r="W882" s="1648"/>
      <c r="X882" s="1648"/>
      <c r="Y882" s="1644"/>
    </row>
    <row r="883" spans="1:28" hidden="1">
      <c r="A883" s="1900" t="s">
        <v>246</v>
      </c>
      <c r="C883" s="529">
        <f>'Table 2'!J85</f>
        <v>-11805</v>
      </c>
      <c r="D883" s="529">
        <v>0</v>
      </c>
      <c r="H883" s="1030">
        <f>'Table 3'!F85</f>
        <v>-880</v>
      </c>
      <c r="I883" s="1030">
        <v>0</v>
      </c>
      <c r="Y883" s="1030">
        <v>0</v>
      </c>
    </row>
    <row r="884" spans="1:28" hidden="1">
      <c r="A884" s="1900" t="s">
        <v>1240</v>
      </c>
      <c r="C884" s="584"/>
      <c r="D884" s="584"/>
      <c r="F884" s="1930">
        <v>-3.61E-2</v>
      </c>
      <c r="G884" s="597"/>
      <c r="H884" s="1644">
        <f>SUM(H878:H879,H881:H882)*$F884</f>
        <v>-1866.8393000000001</v>
      </c>
      <c r="I884" s="1644">
        <f>SUM(I878:I879,I881:I882)*$F884</f>
        <v>0</v>
      </c>
      <c r="K884" s="1930"/>
      <c r="L884" s="597"/>
      <c r="M884" s="1930"/>
      <c r="N884" s="597"/>
      <c r="O884" s="1931" t="str">
        <f>$O$43</f>
        <v>Tax Year 1 (7/1/2021)</v>
      </c>
      <c r="P884" s="597"/>
      <c r="Q884" s="1930">
        <f>$Q$687</f>
        <v>-2.76E-2</v>
      </c>
      <c r="R884" s="597"/>
      <c r="S884" s="1645"/>
      <c r="T884" s="1645"/>
      <c r="U884" s="1645"/>
      <c r="V884" s="1645"/>
      <c r="W884" s="1645"/>
      <c r="X884" s="1645"/>
      <c r="Y884" s="1644">
        <f>Q884*SUM(Y874:Y877)</f>
        <v>0</v>
      </c>
    </row>
    <row r="885" spans="1:28" hidden="1">
      <c r="A885" s="1900"/>
      <c r="C885" s="584"/>
      <c r="D885" s="584"/>
      <c r="F885" s="1930"/>
      <c r="G885" s="597"/>
      <c r="H885" s="1644"/>
      <c r="I885" s="1644"/>
      <c r="K885" s="1930"/>
      <c r="L885" s="597"/>
      <c r="M885" s="1930"/>
      <c r="N885" s="597"/>
      <c r="O885" s="1931" t="str">
        <f>$O$44</f>
        <v>Tax Year 2 (1/1/2022)</v>
      </c>
      <c r="P885" s="597"/>
      <c r="Q885" s="1930">
        <f>$Q$688</f>
        <v>-1.4999999999999999E-2</v>
      </c>
      <c r="R885" s="597"/>
      <c r="S885" s="1645"/>
      <c r="T885" s="1645"/>
      <c r="U885" s="1645"/>
      <c r="V885" s="1645"/>
      <c r="W885" s="1645"/>
      <c r="X885" s="1645"/>
      <c r="Y885" s="1644">
        <f>Q885*SUM(Y874:Y877)</f>
        <v>0</v>
      </c>
    </row>
    <row r="886" spans="1:28" ht="16.5" hidden="1" thickBot="1">
      <c r="A886" s="1900" t="s">
        <v>247</v>
      </c>
      <c r="C886" s="1949">
        <f>SUM(C881:C883)</f>
        <v>716439</v>
      </c>
      <c r="D886" s="1949">
        <f>SUM(D881:D883)</f>
        <v>0</v>
      </c>
      <c r="F886" s="1939"/>
      <c r="H886" s="1647">
        <f>SUM(H870:H884)</f>
        <v>56982.1607</v>
      </c>
      <c r="I886" s="1647">
        <f>SUM(I870:I884)</f>
        <v>0</v>
      </c>
      <c r="K886" s="1939"/>
      <c r="M886" s="1939"/>
      <c r="O886" s="1939"/>
      <c r="Q886" s="1939"/>
      <c r="S886" s="1647">
        <f>SUM(S870:S883)</f>
        <v>0</v>
      </c>
      <c r="U886" s="1647">
        <f>SUM(U870:U883)</f>
        <v>0</v>
      </c>
      <c r="W886" s="1647">
        <f>SUM(W870:W883)</f>
        <v>0</v>
      </c>
      <c r="Y886" s="1647">
        <f>SUM(Y870:Y883)</f>
        <v>0</v>
      </c>
      <c r="AA886" s="1104" t="s">
        <v>1743</v>
      </c>
      <c r="AB886" s="1890"/>
    </row>
    <row r="887" spans="1:28" ht="16.5" thickTop="1"/>
    <row r="888" spans="1:28">
      <c r="A888" s="1897" t="s">
        <v>764</v>
      </c>
      <c r="C888" s="528"/>
      <c r="D888" s="528"/>
      <c r="E888" s="597"/>
      <c r="J888" s="597"/>
    </row>
    <row r="889" spans="1:28">
      <c r="A889" s="1900" t="s">
        <v>240</v>
      </c>
      <c r="C889" s="528">
        <f t="shared" ref="C889:D901" si="1121">C907+C925+C943</f>
        <v>186</v>
      </c>
      <c r="D889" s="528">
        <f t="shared" si="1121"/>
        <v>192</v>
      </c>
      <c r="F889" s="1901">
        <v>54</v>
      </c>
      <c r="G889" s="1902"/>
      <c r="H889" s="1644">
        <f t="shared" ref="H889:I898" si="1122">ROUND($F889*C889,0)</f>
        <v>10044</v>
      </c>
      <c r="I889" s="1644">
        <f t="shared" si="1122"/>
        <v>10368</v>
      </c>
      <c r="K889" s="1901">
        <f>K672</f>
        <v>54</v>
      </c>
      <c r="L889" s="1902"/>
      <c r="M889" s="1901">
        <f>M672</f>
        <v>0</v>
      </c>
      <c r="N889" s="1902"/>
      <c r="O889" s="1901">
        <f>O672</f>
        <v>0</v>
      </c>
      <c r="P889" s="1902"/>
      <c r="Q889" s="1901">
        <f>Q672</f>
        <v>54</v>
      </c>
      <c r="R889" s="1902"/>
      <c r="S889" s="1644">
        <f>ROUND($D889*K889,0)</f>
        <v>10368</v>
      </c>
      <c r="T889" s="1645"/>
      <c r="U889" s="1644">
        <f>ROUND($D889*M889,0)</f>
        <v>0</v>
      </c>
      <c r="V889" s="1645"/>
      <c r="W889" s="1644">
        <f>ROUND($D889*O889,0)</f>
        <v>0</v>
      </c>
      <c r="X889" s="1643"/>
      <c r="Y889" s="1644">
        <f>ROUND($D889*Q889,0)</f>
        <v>10368</v>
      </c>
    </row>
    <row r="890" spans="1:28">
      <c r="A890" s="1900" t="s">
        <v>262</v>
      </c>
      <c r="C890" s="528">
        <f t="shared" si="1121"/>
        <v>0</v>
      </c>
      <c r="D890" s="528">
        <f t="shared" si="1121"/>
        <v>0</v>
      </c>
      <c r="E890" s="597"/>
      <c r="F890" s="1901">
        <v>648</v>
      </c>
      <c r="G890" s="1902"/>
      <c r="H890" s="1644">
        <f t="shared" si="1122"/>
        <v>0</v>
      </c>
      <c r="I890" s="1644">
        <f t="shared" si="1122"/>
        <v>0</v>
      </c>
      <c r="J890" s="597"/>
      <c r="K890" s="1901">
        <f>K673</f>
        <v>648</v>
      </c>
      <c r="L890" s="1902"/>
      <c r="M890" s="1901">
        <f>M673</f>
        <v>0</v>
      </c>
      <c r="N890" s="1902"/>
      <c r="O890" s="1901">
        <f>O673</f>
        <v>0</v>
      </c>
      <c r="P890" s="1902"/>
      <c r="Q890" s="1901">
        <f>Q673</f>
        <v>648</v>
      </c>
      <c r="R890" s="1902"/>
      <c r="S890" s="1644">
        <f t="shared" ref="S890:S893" si="1123">ROUND($D890*K890,0)</f>
        <v>0</v>
      </c>
      <c r="T890" s="1645"/>
      <c r="U890" s="1644">
        <f t="shared" ref="U890:Y893" si="1124">ROUND($D890*M890,0)</f>
        <v>0</v>
      </c>
      <c r="V890" s="1645"/>
      <c r="W890" s="1644">
        <f t="shared" si="1124"/>
        <v>0</v>
      </c>
      <c r="X890" s="1643"/>
      <c r="Y890" s="1644">
        <f t="shared" si="1124"/>
        <v>0</v>
      </c>
    </row>
    <row r="891" spans="1:28">
      <c r="A891" s="1900" t="s">
        <v>168</v>
      </c>
      <c r="C891" s="528">
        <f t="shared" si="1121"/>
        <v>14257</v>
      </c>
      <c r="D891" s="528">
        <f t="shared" si="1121"/>
        <v>14844</v>
      </c>
      <c r="F891" s="1901">
        <v>4.04</v>
      </c>
      <c r="G891" s="1902"/>
      <c r="H891" s="1644">
        <f>ROUND($F891*C891,0)</f>
        <v>57598</v>
      </c>
      <c r="I891" s="1644">
        <f>ROUND($F891*D891,0)</f>
        <v>59970</v>
      </c>
      <c r="K891" s="1901">
        <f>K675</f>
        <v>4.03</v>
      </c>
      <c r="L891" s="1902"/>
      <c r="M891" s="1901">
        <f>M675</f>
        <v>0</v>
      </c>
      <c r="N891" s="1902"/>
      <c r="O891" s="1901">
        <f>O675</f>
        <v>0</v>
      </c>
      <c r="P891" s="1902"/>
      <c r="Q891" s="1901">
        <f>Q675</f>
        <v>4.03</v>
      </c>
      <c r="R891" s="1902"/>
      <c r="S891" s="1644">
        <f t="shared" si="1123"/>
        <v>59821</v>
      </c>
      <c r="T891" s="1645"/>
      <c r="U891" s="1644">
        <f t="shared" si="1124"/>
        <v>0</v>
      </c>
      <c r="V891" s="1645"/>
      <c r="W891" s="1644">
        <f t="shared" si="1124"/>
        <v>0</v>
      </c>
      <c r="X891" s="1643"/>
      <c r="Y891" s="1644">
        <f t="shared" si="1124"/>
        <v>59821</v>
      </c>
    </row>
    <row r="892" spans="1:28">
      <c r="A892" s="1900" t="s">
        <v>1649</v>
      </c>
      <c r="C892" s="528">
        <f t="shared" si="1121"/>
        <v>4160.3301148008668</v>
      </c>
      <c r="D892" s="528">
        <f t="shared" si="1121"/>
        <v>4915</v>
      </c>
      <c r="F892" s="1944"/>
      <c r="G892" s="597"/>
      <c r="H892" s="1644"/>
      <c r="I892" s="1644"/>
      <c r="K892" s="1944">
        <f>K676</f>
        <v>6.34</v>
      </c>
      <c r="L892" s="597"/>
      <c r="M892" s="1944">
        <f>M676</f>
        <v>7.0600000000000005</v>
      </c>
      <c r="N892" s="597"/>
      <c r="O892" s="1944">
        <f>O676</f>
        <v>0</v>
      </c>
      <c r="P892" s="597"/>
      <c r="Q892" s="1944">
        <f>Q676</f>
        <v>13.4</v>
      </c>
      <c r="R892" s="597"/>
      <c r="S892" s="1644">
        <f t="shared" si="1123"/>
        <v>31161</v>
      </c>
      <c r="T892" s="1644"/>
      <c r="U892" s="1644">
        <f t="shared" si="1124"/>
        <v>34700</v>
      </c>
      <c r="V892" s="1644"/>
      <c r="W892" s="1644">
        <f t="shared" si="1124"/>
        <v>0</v>
      </c>
      <c r="X892" s="1645"/>
      <c r="Y892" s="1644">
        <f t="shared" si="1124"/>
        <v>65861</v>
      </c>
    </row>
    <row r="893" spans="1:28">
      <c r="A893" s="1900" t="s">
        <v>1650</v>
      </c>
      <c r="C893" s="528">
        <f t="shared" si="1121"/>
        <v>7102.6696538572614</v>
      </c>
      <c r="D893" s="528">
        <f t="shared" si="1121"/>
        <v>6971</v>
      </c>
      <c r="F893" s="1944"/>
      <c r="G893" s="597"/>
      <c r="H893" s="1644"/>
      <c r="I893" s="1644"/>
      <c r="K893" s="1944">
        <f>K677</f>
        <v>5.61</v>
      </c>
      <c r="L893" s="597"/>
      <c r="M893" s="1944">
        <f>M677</f>
        <v>6.2499999999999991</v>
      </c>
      <c r="N893" s="597"/>
      <c r="O893" s="1944">
        <f>O677</f>
        <v>0</v>
      </c>
      <c r="P893" s="597"/>
      <c r="Q893" s="1944">
        <f>Q677</f>
        <v>11.86</v>
      </c>
      <c r="R893" s="597"/>
      <c r="S893" s="1644">
        <f t="shared" si="1123"/>
        <v>39107</v>
      </c>
      <c r="T893" s="1644"/>
      <c r="U893" s="1644">
        <f t="shared" si="1124"/>
        <v>43569</v>
      </c>
      <c r="V893" s="1644"/>
      <c r="W893" s="1644">
        <f t="shared" si="1124"/>
        <v>0</v>
      </c>
      <c r="X893" s="1645"/>
      <c r="Y893" s="1644">
        <f t="shared" si="1124"/>
        <v>82676</v>
      </c>
    </row>
    <row r="894" spans="1:28">
      <c r="A894" s="1900" t="s">
        <v>1647</v>
      </c>
      <c r="C894" s="528">
        <f t="shared" si="1121"/>
        <v>1116494.5635641532</v>
      </c>
      <c r="D894" s="528">
        <f t="shared" si="1121"/>
        <v>1281170</v>
      </c>
      <c r="F894" s="1943"/>
      <c r="G894" s="1921"/>
      <c r="H894" s="1644"/>
      <c r="I894" s="1644"/>
      <c r="K894" s="1943">
        <f>K678</f>
        <v>0</v>
      </c>
      <c r="L894" s="1921" t="s">
        <v>495</v>
      </c>
      <c r="M894" s="1943">
        <f>M678</f>
        <v>1.6192</v>
      </c>
      <c r="N894" s="1921" t="s">
        <v>495</v>
      </c>
      <c r="O894" s="1943">
        <f>O678</f>
        <v>2.305570240802</v>
      </c>
      <c r="P894" s="1921" t="s">
        <v>495</v>
      </c>
      <c r="Q894" s="1943">
        <f>Q678</f>
        <v>3.9247702408020002</v>
      </c>
      <c r="R894" s="1921" t="s">
        <v>495</v>
      </c>
      <c r="S894" s="1644">
        <f>ROUND($D894*K894/100,0)</f>
        <v>0</v>
      </c>
      <c r="T894" s="1644"/>
      <c r="U894" s="1644">
        <f>ROUND($D894*M894/100,0)</f>
        <v>20745</v>
      </c>
      <c r="V894" s="1644"/>
      <c r="W894" s="1644">
        <f>ROUND($D894*O894/100,0)</f>
        <v>29538</v>
      </c>
      <c r="X894" s="1648"/>
      <c r="Y894" s="1644">
        <f>ROUND($D894*Q894/100,0)</f>
        <v>50283</v>
      </c>
    </row>
    <row r="895" spans="1:28">
      <c r="A895" s="1900" t="s">
        <v>1648</v>
      </c>
      <c r="C895" s="528">
        <f t="shared" si="1121"/>
        <v>2191180.143108299</v>
      </c>
      <c r="D895" s="528">
        <f t="shared" si="1121"/>
        <v>2099521</v>
      </c>
      <c r="F895" s="1943"/>
      <c r="G895" s="1921"/>
      <c r="H895" s="1644"/>
      <c r="I895" s="1644"/>
      <c r="K895" s="1943">
        <f>K679</f>
        <v>0</v>
      </c>
      <c r="L895" s="1921" t="s">
        <v>495</v>
      </c>
      <c r="M895" s="1943">
        <f>M679</f>
        <v>1.4329000000000001</v>
      </c>
      <c r="N895" s="1921" t="s">
        <v>495</v>
      </c>
      <c r="O895" s="1943">
        <f>O679</f>
        <v>2.0403480007099999</v>
      </c>
      <c r="P895" s="1921" t="s">
        <v>495</v>
      </c>
      <c r="Q895" s="1943">
        <f>Q679</f>
        <v>3.4732480007099999</v>
      </c>
      <c r="R895" s="1921" t="s">
        <v>495</v>
      </c>
      <c r="S895" s="1644">
        <f>ROUND($D895*K895/100,0)</f>
        <v>0</v>
      </c>
      <c r="T895" s="1644"/>
      <c r="U895" s="1644">
        <f>ROUND($D895*M895/100,0)</f>
        <v>30084</v>
      </c>
      <c r="V895" s="1644"/>
      <c r="W895" s="1644">
        <f>ROUND($D895*O895/100,0)</f>
        <v>42838</v>
      </c>
      <c r="X895" s="1648"/>
      <c r="Y895" s="1644">
        <f>ROUND($D895*Q895/100,0)</f>
        <v>72922</v>
      </c>
    </row>
    <row r="896" spans="1:28">
      <c r="A896" s="1900" t="s">
        <v>158</v>
      </c>
      <c r="C896" s="528">
        <f t="shared" si="1121"/>
        <v>5006.6367989056098</v>
      </c>
      <c r="D896" s="528">
        <f t="shared" si="1121"/>
        <v>5072</v>
      </c>
      <c r="F896" s="1901">
        <v>14.62</v>
      </c>
      <c r="G896" s="1902"/>
      <c r="H896" s="1644">
        <f t="shared" si="1122"/>
        <v>73197</v>
      </c>
      <c r="I896" s="1644">
        <f t="shared" si="1122"/>
        <v>74153</v>
      </c>
      <c r="K896" s="1901"/>
      <c r="L896" s="1902"/>
      <c r="M896" s="1901"/>
      <c r="N896" s="1902"/>
      <c r="O896" s="1901"/>
      <c r="P896" s="1902"/>
      <c r="Q896" s="1901"/>
      <c r="R896" s="1902"/>
      <c r="S896" s="1644"/>
      <c r="T896" s="1645"/>
      <c r="U896" s="1644"/>
      <c r="V896" s="1645"/>
      <c r="W896" s="1644"/>
      <c r="X896" s="1643"/>
      <c r="Y896" s="1644"/>
    </row>
    <row r="897" spans="1:28">
      <c r="A897" s="1900" t="s">
        <v>165</v>
      </c>
      <c r="C897" s="528">
        <f t="shared" si="1121"/>
        <v>6256.3629697525175</v>
      </c>
      <c r="D897" s="528">
        <f t="shared" si="1121"/>
        <v>6688</v>
      </c>
      <c r="F897" s="1901">
        <v>10.91</v>
      </c>
      <c r="G897" s="1902"/>
      <c r="H897" s="1644">
        <f t="shared" si="1122"/>
        <v>68257</v>
      </c>
      <c r="I897" s="1644">
        <f t="shared" si="1122"/>
        <v>72966</v>
      </c>
      <c r="K897" s="1901"/>
      <c r="L897" s="1902"/>
      <c r="M897" s="1901"/>
      <c r="N897" s="1902"/>
      <c r="O897" s="1901"/>
      <c r="P897" s="1902"/>
      <c r="Q897" s="1901"/>
      <c r="R897" s="1902"/>
      <c r="S897" s="1644"/>
      <c r="T897" s="1645"/>
      <c r="U897" s="1644"/>
      <c r="V897" s="1645"/>
      <c r="W897" s="1644"/>
      <c r="X897" s="1643"/>
      <c r="Y897" s="1644"/>
    </row>
    <row r="898" spans="1:28">
      <c r="A898" s="1900" t="s">
        <v>261</v>
      </c>
      <c r="C898" s="528">
        <f t="shared" si="1121"/>
        <v>0</v>
      </c>
      <c r="D898" s="528">
        <f t="shared" si="1121"/>
        <v>0</v>
      </c>
      <c r="F898" s="1901">
        <v>-0.96</v>
      </c>
      <c r="G898" s="1902"/>
      <c r="H898" s="1644">
        <f t="shared" si="1122"/>
        <v>0</v>
      </c>
      <c r="I898" s="1644">
        <f t="shared" si="1122"/>
        <v>0</v>
      </c>
      <c r="K898" s="1901">
        <f>K682</f>
        <v>-0.96</v>
      </c>
      <c r="L898" s="1902"/>
      <c r="M898" s="1901">
        <f>M682</f>
        <v>0</v>
      </c>
      <c r="N898" s="1902"/>
      <c r="O898" s="1901">
        <f>O682</f>
        <v>0</v>
      </c>
      <c r="P898" s="1902"/>
      <c r="Q898" s="1901">
        <f>Q682</f>
        <v>-0.96</v>
      </c>
      <c r="R898" s="1902"/>
      <c r="S898" s="1644">
        <f t="shared" ref="S898" si="1125">ROUND($D898*K898,0)</f>
        <v>0</v>
      </c>
      <c r="T898" s="1644"/>
      <c r="U898" s="1644">
        <f t="shared" ref="U898:Y898" si="1126">ROUND($D898*M898,0)</f>
        <v>0</v>
      </c>
      <c r="V898" s="1644"/>
      <c r="W898" s="1644">
        <f t="shared" si="1126"/>
        <v>0</v>
      </c>
      <c r="X898" s="1643"/>
      <c r="Y898" s="1644">
        <f t="shared" si="1126"/>
        <v>0</v>
      </c>
    </row>
    <row r="899" spans="1:28">
      <c r="A899" s="1900" t="s">
        <v>1362</v>
      </c>
      <c r="C899" s="528">
        <f t="shared" si="1121"/>
        <v>1374894.8539157421</v>
      </c>
      <c r="D899" s="528">
        <f t="shared" si="1121"/>
        <v>1563144</v>
      </c>
      <c r="F899" s="1943">
        <v>3.8127</v>
      </c>
      <c r="G899" s="1921" t="s">
        <v>495</v>
      </c>
      <c r="H899" s="1644">
        <f>ROUND($F899*C899/100,0)</f>
        <v>52421</v>
      </c>
      <c r="I899" s="1644">
        <f>ROUND($F899*D899/100,0)</f>
        <v>59598</v>
      </c>
      <c r="K899" s="1943"/>
      <c r="L899" s="1921"/>
      <c r="M899" s="1943"/>
      <c r="N899" s="1921"/>
      <c r="O899" s="1943"/>
      <c r="P899" s="1921"/>
      <c r="Q899" s="1943"/>
      <c r="R899" s="1921"/>
      <c r="S899" s="1648"/>
      <c r="T899" s="1648"/>
      <c r="U899" s="1648"/>
      <c r="V899" s="1648"/>
      <c r="W899" s="1648"/>
      <c r="X899" s="1648"/>
      <c r="Y899" s="1644"/>
    </row>
    <row r="900" spans="1:28">
      <c r="A900" s="1900" t="s">
        <v>1363</v>
      </c>
      <c r="C900" s="528">
        <f t="shared" si="1121"/>
        <v>1932779.8527567103</v>
      </c>
      <c r="D900" s="528">
        <f t="shared" si="1121"/>
        <v>1817547</v>
      </c>
      <c r="F900" s="1943">
        <v>3.5143</v>
      </c>
      <c r="G900" s="1921" t="s">
        <v>495</v>
      </c>
      <c r="H900" s="1644">
        <f>ROUND($F900*C900/100,0)</f>
        <v>67924</v>
      </c>
      <c r="I900" s="1644">
        <f>ROUND($F900*D900/100,0)</f>
        <v>63874</v>
      </c>
      <c r="K900" s="1943"/>
      <c r="L900" s="1921"/>
      <c r="M900" s="1943"/>
      <c r="N900" s="1921"/>
      <c r="O900" s="1943"/>
      <c r="P900" s="1921"/>
      <c r="Q900" s="1943"/>
      <c r="R900" s="1921"/>
      <c r="S900" s="1648"/>
      <c r="T900" s="1648"/>
      <c r="U900" s="1648"/>
      <c r="V900" s="1648"/>
      <c r="W900" s="1648"/>
      <c r="X900" s="1648"/>
      <c r="Y900" s="1644"/>
    </row>
    <row r="901" spans="1:28">
      <c r="A901" s="1900" t="s">
        <v>246</v>
      </c>
      <c r="C901" s="529">
        <f t="shared" si="1121"/>
        <v>17379</v>
      </c>
      <c r="D901" s="529">
        <f t="shared" si="1121"/>
        <v>0</v>
      </c>
      <c r="H901" s="1030">
        <f>H919+H937+H955</f>
        <v>1831</v>
      </c>
      <c r="I901" s="1030">
        <f>I919+I937+I955</f>
        <v>0</v>
      </c>
      <c r="Y901" s="1030">
        <f>Y919+Y937+Y955</f>
        <v>0</v>
      </c>
    </row>
    <row r="902" spans="1:28">
      <c r="A902" s="1900" t="s">
        <v>1240</v>
      </c>
      <c r="C902" s="584"/>
      <c r="D902" s="584"/>
      <c r="F902" s="1930">
        <v>-3.61E-2</v>
      </c>
      <c r="G902" s="597"/>
      <c r="H902" s="1644">
        <f>SUM(H896:H897,H899:H900)*$F902</f>
        <v>-9450.9439000000002</v>
      </c>
      <c r="I902" s="1644">
        <f>SUM(I896:I897,I899:I900)*$F902</f>
        <v>-9768.3351000000002</v>
      </c>
      <c r="K902" s="1930"/>
      <c r="L902" s="597"/>
      <c r="M902" s="1930"/>
      <c r="N902" s="597"/>
      <c r="O902" s="1931" t="str">
        <f>$O$43</f>
        <v>Tax Year 1 (7/1/2021)</v>
      </c>
      <c r="P902" s="597"/>
      <c r="Q902" s="1930">
        <f>$Q$687</f>
        <v>-2.76E-2</v>
      </c>
      <c r="R902" s="597"/>
      <c r="S902" s="1645"/>
      <c r="T902" s="1645"/>
      <c r="U902" s="1645"/>
      <c r="V902" s="1645"/>
      <c r="W902" s="1645"/>
      <c r="X902" s="1645"/>
      <c r="Y902" s="1644">
        <f>Q902*SUM(Y892:Y895)</f>
        <v>-7500.0792000000001</v>
      </c>
    </row>
    <row r="903" spans="1:28">
      <c r="A903" s="1900"/>
      <c r="C903" s="584"/>
      <c r="D903" s="584"/>
      <c r="F903" s="1930"/>
      <c r="G903" s="597"/>
      <c r="H903" s="1644"/>
      <c r="I903" s="1644"/>
      <c r="K903" s="1930"/>
      <c r="L903" s="597"/>
      <c r="M903" s="1930"/>
      <c r="N903" s="597"/>
      <c r="O903" s="1931" t="str">
        <f>$O$44</f>
        <v>Tax Year 2 (1/1/2022)</v>
      </c>
      <c r="P903" s="597"/>
      <c r="Q903" s="1930">
        <f>$Q$688</f>
        <v>-1.4999999999999999E-2</v>
      </c>
      <c r="R903" s="597"/>
      <c r="S903" s="1645"/>
      <c r="T903" s="1645"/>
      <c r="U903" s="1645"/>
      <c r="V903" s="1645"/>
      <c r="W903" s="1645"/>
      <c r="X903" s="1645"/>
      <c r="Y903" s="1644">
        <f>Q903*SUM(Y892:Y895)</f>
        <v>-4076.1299999999997</v>
      </c>
    </row>
    <row r="904" spans="1:28" ht="16.5" thickBot="1">
      <c r="A904" s="1900" t="s">
        <v>247</v>
      </c>
      <c r="C904" s="1949">
        <f>SUM(C899:C901)</f>
        <v>3325053.7066724524</v>
      </c>
      <c r="D904" s="1949">
        <f>SUM(D899:D901)</f>
        <v>3380691</v>
      </c>
      <c r="F904" s="1939"/>
      <c r="H904" s="1647">
        <f>SUM(H889:H902)</f>
        <v>321821.05609999999</v>
      </c>
      <c r="I904" s="1647">
        <f>SUM(I889:I902)</f>
        <v>331160.66489999997</v>
      </c>
      <c r="K904" s="1939"/>
      <c r="M904" s="1939"/>
      <c r="O904" s="1939"/>
      <c r="Q904" s="1939"/>
      <c r="S904" s="1647">
        <f>SUM(S889:S901)</f>
        <v>140457</v>
      </c>
      <c r="U904" s="1647">
        <f>SUM(U889:U901)</f>
        <v>129098</v>
      </c>
      <c r="W904" s="1647">
        <f>SUM(W889:W901)</f>
        <v>72376</v>
      </c>
      <c r="Y904" s="1647">
        <f>SUM(Y889:Y901)</f>
        <v>341931</v>
      </c>
      <c r="AA904" s="1104" t="s">
        <v>1743</v>
      </c>
      <c r="AB904" s="1890">
        <f>Y904/I904-1</f>
        <v>3.2522990323299084E-2</v>
      </c>
    </row>
    <row r="905" spans="1:28" ht="16.5" hidden="1" thickTop="1">
      <c r="C905" s="528"/>
      <c r="D905" s="528"/>
    </row>
    <row r="906" spans="1:28" hidden="1">
      <c r="A906" s="1897" t="s">
        <v>983</v>
      </c>
      <c r="C906" s="528"/>
      <c r="D906" s="528"/>
    </row>
    <row r="907" spans="1:28" hidden="1">
      <c r="A907" s="1950" t="s">
        <v>240</v>
      </c>
      <c r="C907" s="528">
        <f>'6'!H37</f>
        <v>14</v>
      </c>
      <c r="D907" s="528">
        <f>Bill!P12</f>
        <v>12</v>
      </c>
      <c r="F907" s="1901">
        <v>54</v>
      </c>
      <c r="G907" s="1902"/>
      <c r="H907" s="1644">
        <f t="shared" ref="H907:I916" si="1127">ROUND($F907*C907,0)</f>
        <v>756</v>
      </c>
      <c r="I907" s="1644">
        <f t="shared" si="1127"/>
        <v>648</v>
      </c>
      <c r="K907" s="1901">
        <f t="shared" ref="K907:K913" si="1128">K889</f>
        <v>54</v>
      </c>
      <c r="L907" s="1902"/>
      <c r="M907" s="1901">
        <f t="shared" ref="M907:M913" si="1129">M889</f>
        <v>0</v>
      </c>
      <c r="N907" s="1902"/>
      <c r="O907" s="1901">
        <f t="shared" ref="O907:O913" si="1130">O889</f>
        <v>0</v>
      </c>
      <c r="P907" s="1902"/>
      <c r="Q907" s="1901">
        <f t="shared" ref="Q907:Q913" si="1131">Q889</f>
        <v>54</v>
      </c>
      <c r="R907" s="1902"/>
      <c r="S907" s="1644">
        <f>ROUND($D907*K907,0)</f>
        <v>648</v>
      </c>
      <c r="T907" s="1645"/>
      <c r="U907" s="1644">
        <f>ROUND($D907*M907,0)</f>
        <v>0</v>
      </c>
      <c r="V907" s="1645"/>
      <c r="W907" s="1644">
        <f>ROUND($D907*O907,0)</f>
        <v>0</v>
      </c>
      <c r="X907" s="1643"/>
      <c r="Y907" s="1644">
        <f>ROUND($D907*Q907,0)</f>
        <v>648</v>
      </c>
    </row>
    <row r="908" spans="1:28" hidden="1">
      <c r="A908" s="1900" t="s">
        <v>262</v>
      </c>
      <c r="C908" s="528">
        <v>0</v>
      </c>
      <c r="D908" s="528">
        <f>ROUND(C908/C907*D907,0)</f>
        <v>0</v>
      </c>
      <c r="E908" s="597"/>
      <c r="F908" s="1901">
        <v>648</v>
      </c>
      <c r="G908" s="1902"/>
      <c r="H908" s="1644">
        <f t="shared" si="1127"/>
        <v>0</v>
      </c>
      <c r="I908" s="1644">
        <f t="shared" si="1127"/>
        <v>0</v>
      </c>
      <c r="J908" s="597"/>
      <c r="K908" s="1901">
        <f t="shared" si="1128"/>
        <v>648</v>
      </c>
      <c r="L908" s="1902"/>
      <c r="M908" s="1901">
        <f t="shared" si="1129"/>
        <v>0</v>
      </c>
      <c r="N908" s="1902"/>
      <c r="O908" s="1901">
        <f t="shared" si="1130"/>
        <v>0</v>
      </c>
      <c r="P908" s="1902"/>
      <c r="Q908" s="1901">
        <f t="shared" si="1131"/>
        <v>648</v>
      </c>
      <c r="R908" s="1902"/>
      <c r="S908" s="1644">
        <f t="shared" ref="S908:S911" si="1132">ROUND($D908*K908,0)</f>
        <v>0</v>
      </c>
      <c r="T908" s="1645"/>
      <c r="U908" s="1644">
        <f t="shared" ref="U908:U911" si="1133">ROUND($D908*M908,0)</f>
        <v>0</v>
      </c>
      <c r="V908" s="1645"/>
      <c r="W908" s="1644">
        <f t="shared" ref="W908:W911" si="1134">ROUND($D908*O908,0)</f>
        <v>0</v>
      </c>
      <c r="X908" s="1643"/>
      <c r="Y908" s="1644">
        <f t="shared" ref="Y908:Y911" si="1135">ROUND($D908*Q908,0)</f>
        <v>0</v>
      </c>
    </row>
    <row r="909" spans="1:28" hidden="1">
      <c r="A909" s="1900" t="s">
        <v>168</v>
      </c>
      <c r="C909" s="528">
        <f>'6'!J37</f>
        <v>279</v>
      </c>
      <c r="D909" s="528">
        <f>ROUND(C909/C922*D922,0)</f>
        <v>363</v>
      </c>
      <c r="F909" s="1901">
        <v>4.04</v>
      </c>
      <c r="G909" s="1902"/>
      <c r="H909" s="1644">
        <f>ROUND($F909*C909,0)</f>
        <v>1127</v>
      </c>
      <c r="I909" s="1644">
        <f>ROUND($F909*D909,0)</f>
        <v>1467</v>
      </c>
      <c r="K909" s="1901">
        <f t="shared" si="1128"/>
        <v>4.03</v>
      </c>
      <c r="L909" s="1902"/>
      <c r="M909" s="1901">
        <f t="shared" si="1129"/>
        <v>0</v>
      </c>
      <c r="N909" s="1902"/>
      <c r="O909" s="1901">
        <f t="shared" si="1130"/>
        <v>0</v>
      </c>
      <c r="P909" s="1902"/>
      <c r="Q909" s="1901">
        <f t="shared" si="1131"/>
        <v>4.03</v>
      </c>
      <c r="R909" s="1902"/>
      <c r="S909" s="1644">
        <f t="shared" si="1132"/>
        <v>1463</v>
      </c>
      <c r="T909" s="1645"/>
      <c r="U909" s="1644">
        <f t="shared" si="1133"/>
        <v>0</v>
      </c>
      <c r="V909" s="1645"/>
      <c r="W909" s="1644">
        <f t="shared" si="1134"/>
        <v>0</v>
      </c>
      <c r="X909" s="1643"/>
      <c r="Y909" s="1644">
        <f t="shared" si="1135"/>
        <v>1463</v>
      </c>
    </row>
    <row r="910" spans="1:28" hidden="1">
      <c r="A910" s="1900" t="s">
        <v>1649</v>
      </c>
      <c r="C910" s="528">
        <f>'6'!L37+'6-may'!L37</f>
        <v>58.024799757320203</v>
      </c>
      <c r="D910" s="528">
        <f>ROUND(C910/C912*D912,0)</f>
        <v>77</v>
      </c>
      <c r="F910" s="1944"/>
      <c r="G910" s="597"/>
      <c r="H910" s="1644"/>
      <c r="I910" s="1644"/>
      <c r="K910" s="1944">
        <f t="shared" si="1128"/>
        <v>6.34</v>
      </c>
      <c r="L910" s="597"/>
      <c r="M910" s="1944">
        <f t="shared" si="1129"/>
        <v>7.0600000000000005</v>
      </c>
      <c r="N910" s="597"/>
      <c r="O910" s="1944">
        <f t="shared" si="1130"/>
        <v>0</v>
      </c>
      <c r="P910" s="597"/>
      <c r="Q910" s="1944">
        <f t="shared" si="1131"/>
        <v>13.4</v>
      </c>
      <c r="R910" s="597"/>
      <c r="S910" s="1644">
        <f t="shared" si="1132"/>
        <v>488</v>
      </c>
      <c r="T910" s="1644"/>
      <c r="U910" s="1644">
        <f t="shared" si="1133"/>
        <v>544</v>
      </c>
      <c r="V910" s="1644"/>
      <c r="W910" s="1644">
        <f t="shared" si="1134"/>
        <v>0</v>
      </c>
      <c r="X910" s="1645"/>
      <c r="Y910" s="1644">
        <f t="shared" si="1135"/>
        <v>1032</v>
      </c>
    </row>
    <row r="911" spans="1:28" hidden="1">
      <c r="A911" s="1900" t="s">
        <v>1650</v>
      </c>
      <c r="C911" s="528">
        <f>'6'!M37+'6-may'!M37</f>
        <v>11.97507610801749</v>
      </c>
      <c r="D911" s="528">
        <f>ROUND(C911/C913*D913,0)</f>
        <v>15</v>
      </c>
      <c r="F911" s="1944"/>
      <c r="G911" s="597"/>
      <c r="H911" s="1644"/>
      <c r="I911" s="1644"/>
      <c r="K911" s="1944">
        <f t="shared" si="1128"/>
        <v>5.61</v>
      </c>
      <c r="L911" s="597"/>
      <c r="M911" s="1944">
        <f t="shared" si="1129"/>
        <v>6.2499999999999991</v>
      </c>
      <c r="N911" s="597"/>
      <c r="O911" s="1944">
        <f t="shared" si="1130"/>
        <v>0</v>
      </c>
      <c r="P911" s="597"/>
      <c r="Q911" s="1944">
        <f t="shared" si="1131"/>
        <v>11.86</v>
      </c>
      <c r="R911" s="597"/>
      <c r="S911" s="1644">
        <f t="shared" si="1132"/>
        <v>84</v>
      </c>
      <c r="T911" s="1644"/>
      <c r="U911" s="1644">
        <f t="shared" si="1133"/>
        <v>94</v>
      </c>
      <c r="V911" s="1644"/>
      <c r="W911" s="1644">
        <f t="shared" si="1134"/>
        <v>0</v>
      </c>
      <c r="X911" s="1645"/>
      <c r="Y911" s="1644">
        <f t="shared" si="1135"/>
        <v>178</v>
      </c>
    </row>
    <row r="912" spans="1:28" hidden="1">
      <c r="A912" s="1900" t="s">
        <v>1647</v>
      </c>
      <c r="C912" s="528">
        <f>'6'!P37+'6'!U37+'6-may'!P37+'6-may'!U37</f>
        <v>19258.837638376383</v>
      </c>
      <c r="D912" s="528">
        <f>Energy!S12</f>
        <v>25685</v>
      </c>
      <c r="F912" s="1943"/>
      <c r="G912" s="1921"/>
      <c r="H912" s="1644"/>
      <c r="I912" s="1644"/>
      <c r="K912" s="1943">
        <f t="shared" si="1128"/>
        <v>0</v>
      </c>
      <c r="L912" s="1921" t="s">
        <v>495</v>
      </c>
      <c r="M912" s="1943">
        <f t="shared" si="1129"/>
        <v>1.6192</v>
      </c>
      <c r="N912" s="1921" t="s">
        <v>495</v>
      </c>
      <c r="O912" s="1943">
        <f t="shared" si="1130"/>
        <v>2.305570240802</v>
      </c>
      <c r="P912" s="1921" t="s">
        <v>495</v>
      </c>
      <c r="Q912" s="1943">
        <f t="shared" si="1131"/>
        <v>3.9247702408020002</v>
      </c>
      <c r="R912" s="1921" t="s">
        <v>495</v>
      </c>
      <c r="S912" s="1644">
        <f>ROUND($D912*K912/100,0)</f>
        <v>0</v>
      </c>
      <c r="T912" s="1644"/>
      <c r="U912" s="1644">
        <f>ROUND($D912*M912/100,0)</f>
        <v>416</v>
      </c>
      <c r="V912" s="1644"/>
      <c r="W912" s="1644">
        <f>ROUND($D912*O912/100,0)</f>
        <v>592</v>
      </c>
      <c r="X912" s="1648"/>
      <c r="Y912" s="1644">
        <f>ROUND($D912*Q912/100,0)</f>
        <v>1008</v>
      </c>
    </row>
    <row r="913" spans="1:28" hidden="1">
      <c r="A913" s="1900" t="s">
        <v>1648</v>
      </c>
      <c r="C913" s="528">
        <f>'6'!Q37+'6'!V37+'6-may'!Q37+'6-may'!V37</f>
        <v>6265.1623616236157</v>
      </c>
      <c r="D913" s="528">
        <f>Energy!T12</f>
        <v>7681</v>
      </c>
      <c r="F913" s="1943"/>
      <c r="G913" s="1921"/>
      <c r="H913" s="1644"/>
      <c r="I913" s="1644"/>
      <c r="K913" s="1943">
        <f t="shared" si="1128"/>
        <v>0</v>
      </c>
      <c r="L913" s="1921" t="s">
        <v>495</v>
      </c>
      <c r="M913" s="1943">
        <f t="shared" si="1129"/>
        <v>1.4329000000000001</v>
      </c>
      <c r="N913" s="1921" t="s">
        <v>495</v>
      </c>
      <c r="O913" s="1943">
        <f t="shared" si="1130"/>
        <v>2.0403480007099999</v>
      </c>
      <c r="P913" s="1921" t="s">
        <v>495</v>
      </c>
      <c r="Q913" s="1943">
        <f t="shared" si="1131"/>
        <v>3.4732480007099999</v>
      </c>
      <c r="R913" s="1921" t="s">
        <v>495</v>
      </c>
      <c r="S913" s="1644">
        <f>ROUND($D913*K913/100,0)</f>
        <v>0</v>
      </c>
      <c r="T913" s="1644"/>
      <c r="U913" s="1644">
        <f>ROUND($D913*M913/100,0)</f>
        <v>110</v>
      </c>
      <c r="V913" s="1644"/>
      <c r="W913" s="1644">
        <f>ROUND($D913*O913/100,0)</f>
        <v>157</v>
      </c>
      <c r="X913" s="1648"/>
      <c r="Y913" s="1644">
        <f>ROUND($D913*Q913/100,0)</f>
        <v>267</v>
      </c>
    </row>
    <row r="914" spans="1:28" hidden="1">
      <c r="A914" s="1900" t="s">
        <v>158</v>
      </c>
      <c r="C914" s="528">
        <f>'6'!L37</f>
        <v>59.024623803009597</v>
      </c>
      <c r="D914" s="528">
        <f>ROUND(C914/C922*D922,0)</f>
        <v>77</v>
      </c>
      <c r="F914" s="1901">
        <v>14.62</v>
      </c>
      <c r="G914" s="1902"/>
      <c r="H914" s="1644">
        <f t="shared" si="1127"/>
        <v>863</v>
      </c>
      <c r="I914" s="1644">
        <f t="shared" si="1127"/>
        <v>1126</v>
      </c>
      <c r="K914" s="1901"/>
      <c r="L914" s="1902"/>
      <c r="M914" s="1901"/>
      <c r="N914" s="1902"/>
      <c r="O914" s="1901"/>
      <c r="P914" s="1902"/>
      <c r="Q914" s="1901"/>
      <c r="R914" s="1902"/>
      <c r="S914" s="1644"/>
      <c r="T914" s="1645"/>
      <c r="U914" s="1644"/>
      <c r="V914" s="1645"/>
      <c r="W914" s="1644"/>
      <c r="X914" s="1643"/>
      <c r="Y914" s="1644"/>
    </row>
    <row r="915" spans="1:28" hidden="1">
      <c r="A915" s="1900" t="s">
        <v>165</v>
      </c>
      <c r="C915" s="528">
        <f>'6'!M37</f>
        <v>10.975252062328099</v>
      </c>
      <c r="D915" s="528">
        <f>ROUND(C915/C922*D922,0)</f>
        <v>14</v>
      </c>
      <c r="F915" s="1901">
        <v>10.91</v>
      </c>
      <c r="G915" s="1902"/>
      <c r="H915" s="1644">
        <f t="shared" si="1127"/>
        <v>120</v>
      </c>
      <c r="I915" s="1644">
        <f t="shared" si="1127"/>
        <v>153</v>
      </c>
      <c r="K915" s="1901"/>
      <c r="L915" s="1902"/>
      <c r="M915" s="1901"/>
      <c r="N915" s="1902"/>
      <c r="O915" s="1901"/>
      <c r="P915" s="1902"/>
      <c r="Q915" s="1901"/>
      <c r="R915" s="1902"/>
      <c r="S915" s="1644"/>
      <c r="T915" s="1645"/>
      <c r="U915" s="1644"/>
      <c r="V915" s="1645"/>
      <c r="W915" s="1644"/>
      <c r="X915" s="1643"/>
      <c r="Y915" s="1644"/>
    </row>
    <row r="916" spans="1:28" hidden="1">
      <c r="A916" s="1900" t="s">
        <v>261</v>
      </c>
      <c r="C916" s="528">
        <f>'6'!N37</f>
        <v>0</v>
      </c>
      <c r="D916" s="528">
        <f>ROUND(C916/C922*D922,0)</f>
        <v>0</v>
      </c>
      <c r="F916" s="1901">
        <v>-0.96</v>
      </c>
      <c r="G916" s="1902"/>
      <c r="H916" s="1644">
        <f t="shared" si="1127"/>
        <v>0</v>
      </c>
      <c r="I916" s="1644">
        <f t="shared" si="1127"/>
        <v>0</v>
      </c>
      <c r="K916" s="1901">
        <f>K898</f>
        <v>-0.96</v>
      </c>
      <c r="L916" s="1902"/>
      <c r="M916" s="1901">
        <f>M898</f>
        <v>0</v>
      </c>
      <c r="N916" s="1902"/>
      <c r="O916" s="1901">
        <f>O898</f>
        <v>0</v>
      </c>
      <c r="P916" s="1902"/>
      <c r="Q916" s="1901">
        <f>Q898</f>
        <v>-0.96</v>
      </c>
      <c r="R916" s="1902"/>
      <c r="S916" s="1644">
        <f t="shared" ref="S916" si="1136">ROUND($D916*K916,0)</f>
        <v>0</v>
      </c>
      <c r="T916" s="1644"/>
      <c r="U916" s="1644">
        <f t="shared" ref="U916" si="1137">ROUND($D916*M916,0)</f>
        <v>0</v>
      </c>
      <c r="V916" s="1644"/>
      <c r="W916" s="1644">
        <f t="shared" ref="W916" si="1138">ROUND($D916*O916,0)</f>
        <v>0</v>
      </c>
      <c r="X916" s="1643"/>
      <c r="Y916" s="1644">
        <f t="shared" ref="Y916" si="1139">ROUND($D916*Q916,0)</f>
        <v>0</v>
      </c>
    </row>
    <row r="917" spans="1:28" hidden="1">
      <c r="A917" s="1900" t="s">
        <v>1362</v>
      </c>
      <c r="C917" s="528">
        <f>'6'!P37+'6'!U37</f>
        <v>20340</v>
      </c>
      <c r="D917" s="528">
        <f>Energy!Q12</f>
        <v>26592</v>
      </c>
      <c r="F917" s="1943">
        <v>3.8127</v>
      </c>
      <c r="G917" s="1921" t="s">
        <v>495</v>
      </c>
      <c r="H917" s="1644">
        <f>ROUND($F917*C917/100,0)</f>
        <v>776</v>
      </c>
      <c r="I917" s="1644">
        <f>ROUND($F917*D917/100,0)</f>
        <v>1014</v>
      </c>
      <c r="K917" s="1943"/>
      <c r="L917" s="1921"/>
      <c r="M917" s="1943"/>
      <c r="N917" s="1921"/>
      <c r="O917" s="1943"/>
      <c r="P917" s="1921"/>
      <c r="Q917" s="1943"/>
      <c r="R917" s="1921"/>
      <c r="S917" s="1648"/>
      <c r="T917" s="1648"/>
      <c r="U917" s="1648"/>
      <c r="V917" s="1648"/>
      <c r="W917" s="1648"/>
      <c r="X917" s="1648"/>
      <c r="Y917" s="1644"/>
    </row>
    <row r="918" spans="1:28" hidden="1">
      <c r="A918" s="1900" t="s">
        <v>1363</v>
      </c>
      <c r="C918" s="528">
        <f>'6'!Q37+'6'!V37</f>
        <v>5184</v>
      </c>
      <c r="D918" s="528">
        <f>Energy!R12</f>
        <v>6774</v>
      </c>
      <c r="F918" s="1943">
        <v>3.5143</v>
      </c>
      <c r="G918" s="1921" t="s">
        <v>495</v>
      </c>
      <c r="H918" s="1644">
        <f>ROUND($F918*C918/100,0)</f>
        <v>182</v>
      </c>
      <c r="I918" s="1644">
        <f>ROUND($F918*D918/100,0)</f>
        <v>238</v>
      </c>
      <c r="K918" s="1943"/>
      <c r="L918" s="1921"/>
      <c r="M918" s="1943"/>
      <c r="N918" s="1921"/>
      <c r="O918" s="1943"/>
      <c r="P918" s="1921"/>
      <c r="Q918" s="1943"/>
      <c r="R918" s="1921"/>
      <c r="S918" s="1648"/>
      <c r="T918" s="1648"/>
      <c r="U918" s="1648"/>
      <c r="V918" s="1648"/>
      <c r="W918" s="1648"/>
      <c r="X918" s="1648"/>
      <c r="Y918" s="1644"/>
    </row>
    <row r="919" spans="1:28" hidden="1">
      <c r="A919" s="1900" t="s">
        <v>246</v>
      </c>
      <c r="C919" s="529">
        <f>'Table 2'!J22</f>
        <v>144</v>
      </c>
      <c r="D919" s="529">
        <v>0</v>
      </c>
      <c r="H919" s="1030">
        <f>'Table 3'!F22</f>
        <v>23</v>
      </c>
      <c r="I919" s="1030">
        <v>0</v>
      </c>
      <c r="Y919" s="1030">
        <v>0</v>
      </c>
    </row>
    <row r="920" spans="1:28" hidden="1">
      <c r="A920" s="1900" t="s">
        <v>1240</v>
      </c>
      <c r="C920" s="584"/>
      <c r="D920" s="584"/>
      <c r="F920" s="1930">
        <v>-3.61E-2</v>
      </c>
      <c r="G920" s="597"/>
      <c r="H920" s="1644">
        <f>SUM(H914:H915,H917:H918)*$F920</f>
        <v>-70.070099999999996</v>
      </c>
      <c r="I920" s="1644">
        <f>SUM(I914:I915,I917:I918)*$F920</f>
        <v>-91.369100000000003</v>
      </c>
      <c r="K920" s="1930"/>
      <c r="L920" s="597"/>
      <c r="M920" s="1930"/>
      <c r="N920" s="597"/>
      <c r="O920" s="1931" t="str">
        <f>$O$43</f>
        <v>Tax Year 1 (7/1/2021)</v>
      </c>
      <c r="P920" s="597"/>
      <c r="Q920" s="1930">
        <f>$Q$687</f>
        <v>-2.76E-2</v>
      </c>
      <c r="R920" s="597"/>
      <c r="S920" s="1645"/>
      <c r="T920" s="1645"/>
      <c r="U920" s="1645"/>
      <c r="V920" s="1645"/>
      <c r="W920" s="1645"/>
      <c r="X920" s="1645"/>
      <c r="Y920" s="1644">
        <f>Q920*SUM(Y910:Y913)</f>
        <v>-68.585999999999999</v>
      </c>
    </row>
    <row r="921" spans="1:28" hidden="1">
      <c r="A921" s="1900"/>
      <c r="C921" s="584"/>
      <c r="D921" s="584"/>
      <c r="F921" s="1930"/>
      <c r="G921" s="597"/>
      <c r="H921" s="1644"/>
      <c r="I921" s="1644"/>
      <c r="K921" s="1930"/>
      <c r="L921" s="597"/>
      <c r="M921" s="1930"/>
      <c r="N921" s="597"/>
      <c r="O921" s="1931" t="str">
        <f>$O$44</f>
        <v>Tax Year 2 (1/1/2022)</v>
      </c>
      <c r="P921" s="597"/>
      <c r="Q921" s="1930">
        <f>$Q$688</f>
        <v>-1.4999999999999999E-2</v>
      </c>
      <c r="R921" s="597"/>
      <c r="S921" s="1645"/>
      <c r="T921" s="1645"/>
      <c r="U921" s="1645"/>
      <c r="V921" s="1645"/>
      <c r="W921" s="1645"/>
      <c r="X921" s="1645"/>
      <c r="Y921" s="1644">
        <f>Q921*SUM(Y910:Y913)</f>
        <v>-37.274999999999999</v>
      </c>
    </row>
    <row r="922" spans="1:28" ht="16.5" hidden="1" thickBot="1">
      <c r="A922" s="1900" t="s">
        <v>247</v>
      </c>
      <c r="C922" s="1949">
        <f>SUM(C917:C919)</f>
        <v>25668</v>
      </c>
      <c r="D922" s="1949">
        <f>SUM(D917:D919)</f>
        <v>33366</v>
      </c>
      <c r="F922" s="1939"/>
      <c r="H922" s="1647">
        <f>SUM(H907:H920)</f>
        <v>3776.9299000000001</v>
      </c>
      <c r="I922" s="1647">
        <f>SUM(I907:I920)</f>
        <v>4554.6309000000001</v>
      </c>
      <c r="K922" s="1939"/>
      <c r="M922" s="1939"/>
      <c r="O922" s="1939"/>
      <c r="Q922" s="1939"/>
      <c r="S922" s="1647">
        <f>SUM(S907:S919)</f>
        <v>2683</v>
      </c>
      <c r="U922" s="1647">
        <f>SUM(U907:U919)</f>
        <v>1164</v>
      </c>
      <c r="W922" s="1647">
        <f>SUM(W907:W919)</f>
        <v>749</v>
      </c>
      <c r="Y922" s="1647">
        <f>SUM(Y907:Y919)</f>
        <v>4596</v>
      </c>
      <c r="AA922" s="1104" t="s">
        <v>1743</v>
      </c>
      <c r="AB922" s="1890">
        <f>Y922/I922-1</f>
        <v>9.0828655292352067E-3</v>
      </c>
    </row>
    <row r="923" spans="1:28" ht="16.5" hidden="1" thickTop="1">
      <c r="C923" s="528"/>
      <c r="D923" s="528"/>
    </row>
    <row r="924" spans="1:28" hidden="1">
      <c r="A924" s="1897" t="s">
        <v>555</v>
      </c>
      <c r="C924" s="528"/>
      <c r="D924" s="528"/>
      <c r="E924" s="597"/>
      <c r="J924" s="597"/>
    </row>
    <row r="925" spans="1:28" hidden="1">
      <c r="A925" s="1900" t="s">
        <v>240</v>
      </c>
      <c r="C925" s="528">
        <f>'6'!H35</f>
        <v>168</v>
      </c>
      <c r="D925" s="528">
        <f>Bill!P33</f>
        <v>168</v>
      </c>
      <c r="F925" s="1901">
        <v>54</v>
      </c>
      <c r="G925" s="1902"/>
      <c r="H925" s="1644">
        <f t="shared" ref="H925:I934" si="1140">ROUND($F925*C925,0)</f>
        <v>9072</v>
      </c>
      <c r="I925" s="1644">
        <f t="shared" si="1140"/>
        <v>9072</v>
      </c>
      <c r="K925" s="1901">
        <f t="shared" ref="K925:K931" si="1141">K889</f>
        <v>54</v>
      </c>
      <c r="L925" s="1902"/>
      <c r="M925" s="1901">
        <f t="shared" ref="M925:M931" si="1142">M889</f>
        <v>0</v>
      </c>
      <c r="N925" s="1902"/>
      <c r="O925" s="1901">
        <f t="shared" ref="O925:O931" si="1143">O889</f>
        <v>0</v>
      </c>
      <c r="P925" s="1902"/>
      <c r="Q925" s="1901">
        <f t="shared" ref="Q925:Q931" si="1144">Q889</f>
        <v>54</v>
      </c>
      <c r="R925" s="1902"/>
      <c r="S925" s="1644">
        <f>ROUND($D925*K925,0)</f>
        <v>9072</v>
      </c>
      <c r="T925" s="1645"/>
      <c r="U925" s="1644">
        <f>ROUND($D925*M925,0)</f>
        <v>0</v>
      </c>
      <c r="V925" s="1645"/>
      <c r="W925" s="1644">
        <f>ROUND($D925*O925,0)</f>
        <v>0</v>
      </c>
      <c r="X925" s="1643"/>
      <c r="Y925" s="1644">
        <f>ROUND($D925*Q925,0)</f>
        <v>9072</v>
      </c>
    </row>
    <row r="926" spans="1:28" hidden="1">
      <c r="A926" s="1900" t="s">
        <v>262</v>
      </c>
      <c r="C926" s="528">
        <v>0</v>
      </c>
      <c r="D926" s="528">
        <f>ROUND(C926/C925*D925,0)</f>
        <v>0</v>
      </c>
      <c r="E926" s="597"/>
      <c r="F926" s="1901">
        <v>648</v>
      </c>
      <c r="G926" s="1902"/>
      <c r="H926" s="1644">
        <f t="shared" si="1140"/>
        <v>0</v>
      </c>
      <c r="I926" s="1644">
        <f t="shared" si="1140"/>
        <v>0</v>
      </c>
      <c r="J926" s="597"/>
      <c r="K926" s="1901">
        <f t="shared" si="1141"/>
        <v>648</v>
      </c>
      <c r="L926" s="1902"/>
      <c r="M926" s="1901">
        <f t="shared" si="1142"/>
        <v>0</v>
      </c>
      <c r="N926" s="1902"/>
      <c r="O926" s="1901">
        <f t="shared" si="1143"/>
        <v>0</v>
      </c>
      <c r="P926" s="1902"/>
      <c r="Q926" s="1901">
        <f t="shared" si="1144"/>
        <v>648</v>
      </c>
      <c r="R926" s="1902"/>
      <c r="S926" s="1644">
        <f t="shared" ref="S926:S929" si="1145">ROUND($D926*K926,0)</f>
        <v>0</v>
      </c>
      <c r="T926" s="1645"/>
      <c r="U926" s="1644">
        <f t="shared" ref="U926:U929" si="1146">ROUND($D926*M926,0)</f>
        <v>0</v>
      </c>
      <c r="V926" s="1645"/>
      <c r="W926" s="1644">
        <f t="shared" ref="W926:W929" si="1147">ROUND($D926*O926,0)</f>
        <v>0</v>
      </c>
      <c r="X926" s="1643"/>
      <c r="Y926" s="1644">
        <f t="shared" ref="Y926:Y929" si="1148">ROUND($D926*Q926,0)</f>
        <v>0</v>
      </c>
    </row>
    <row r="927" spans="1:28" hidden="1">
      <c r="A927" s="1900" t="s">
        <v>168</v>
      </c>
      <c r="C927" s="528">
        <f>'6'!J35</f>
        <v>13820</v>
      </c>
      <c r="D927" s="528">
        <f>ROUND(C927/C940*D940,0)</f>
        <v>13953</v>
      </c>
      <c r="F927" s="1901">
        <v>4.04</v>
      </c>
      <c r="G927" s="1902"/>
      <c r="H927" s="1644">
        <f>ROUND($F927*C927,0)</f>
        <v>55833</v>
      </c>
      <c r="I927" s="1644">
        <f>ROUND($F927*D927,0)</f>
        <v>56370</v>
      </c>
      <c r="K927" s="1901">
        <f t="shared" si="1141"/>
        <v>4.03</v>
      </c>
      <c r="L927" s="1902"/>
      <c r="M927" s="1901">
        <f t="shared" si="1142"/>
        <v>0</v>
      </c>
      <c r="N927" s="1902"/>
      <c r="O927" s="1901">
        <f t="shared" si="1143"/>
        <v>0</v>
      </c>
      <c r="P927" s="1902"/>
      <c r="Q927" s="1901">
        <f t="shared" si="1144"/>
        <v>4.03</v>
      </c>
      <c r="R927" s="1902"/>
      <c r="S927" s="1644">
        <f t="shared" si="1145"/>
        <v>56231</v>
      </c>
      <c r="T927" s="1645"/>
      <c r="U927" s="1644">
        <f t="shared" si="1146"/>
        <v>0</v>
      </c>
      <c r="V927" s="1645"/>
      <c r="W927" s="1644">
        <f t="shared" si="1147"/>
        <v>0</v>
      </c>
      <c r="X927" s="1643"/>
      <c r="Y927" s="1644">
        <f t="shared" si="1148"/>
        <v>56231</v>
      </c>
    </row>
    <row r="928" spans="1:28" hidden="1">
      <c r="A928" s="1900" t="s">
        <v>1649</v>
      </c>
      <c r="C928" s="528">
        <f>'6'!L35+'6-may'!L35</f>
        <v>4102.3053150435462</v>
      </c>
      <c r="D928" s="528">
        <f>ROUND(C928/C930*D930,0)</f>
        <v>4665</v>
      </c>
      <c r="F928" s="1944"/>
      <c r="G928" s="597"/>
      <c r="H928" s="1644"/>
      <c r="I928" s="1644"/>
      <c r="K928" s="1944">
        <f t="shared" si="1141"/>
        <v>6.34</v>
      </c>
      <c r="L928" s="597"/>
      <c r="M928" s="1944">
        <f t="shared" si="1142"/>
        <v>7.0600000000000005</v>
      </c>
      <c r="N928" s="597"/>
      <c r="O928" s="1944">
        <f t="shared" si="1143"/>
        <v>0</v>
      </c>
      <c r="P928" s="597"/>
      <c r="Q928" s="1944">
        <f t="shared" si="1144"/>
        <v>13.4</v>
      </c>
      <c r="R928" s="597"/>
      <c r="S928" s="1644">
        <f t="shared" si="1145"/>
        <v>29576</v>
      </c>
      <c r="T928" s="1644"/>
      <c r="U928" s="1644">
        <f t="shared" si="1146"/>
        <v>32935</v>
      </c>
      <c r="V928" s="1644"/>
      <c r="W928" s="1644">
        <f t="shared" si="1147"/>
        <v>0</v>
      </c>
      <c r="X928" s="1645"/>
      <c r="Y928" s="1644">
        <f t="shared" si="1148"/>
        <v>62511</v>
      </c>
    </row>
    <row r="929" spans="1:28" hidden="1">
      <c r="A929" s="1900" t="s">
        <v>1650</v>
      </c>
      <c r="C929" s="528">
        <f>'6'!M35+'6-may'!M35</f>
        <v>6932.6945777492438</v>
      </c>
      <c r="D929" s="528">
        <f>ROUND(C929/C931*D931,0)</f>
        <v>6610</v>
      </c>
      <c r="F929" s="1944"/>
      <c r="G929" s="597"/>
      <c r="H929" s="1644"/>
      <c r="I929" s="1644"/>
      <c r="K929" s="1944">
        <f t="shared" si="1141"/>
        <v>5.61</v>
      </c>
      <c r="L929" s="597"/>
      <c r="M929" s="1944">
        <f t="shared" si="1142"/>
        <v>6.2499999999999991</v>
      </c>
      <c r="N929" s="597"/>
      <c r="O929" s="1944">
        <f t="shared" si="1143"/>
        <v>0</v>
      </c>
      <c r="P929" s="597"/>
      <c r="Q929" s="1944">
        <f t="shared" si="1144"/>
        <v>11.86</v>
      </c>
      <c r="R929" s="597"/>
      <c r="S929" s="1644">
        <f t="shared" si="1145"/>
        <v>37082</v>
      </c>
      <c r="T929" s="1644"/>
      <c r="U929" s="1644">
        <f t="shared" si="1146"/>
        <v>41313</v>
      </c>
      <c r="V929" s="1644"/>
      <c r="W929" s="1644">
        <f t="shared" si="1147"/>
        <v>0</v>
      </c>
      <c r="X929" s="1645"/>
      <c r="Y929" s="1644">
        <f t="shared" si="1148"/>
        <v>78395</v>
      </c>
    </row>
    <row r="930" spans="1:28" hidden="1">
      <c r="A930" s="1900" t="s">
        <v>1647</v>
      </c>
      <c r="C930" s="528">
        <f>'6'!P35+'6'!U35+'6-may'!P35+'6-may'!U35+TempRevMay!C341</f>
        <v>1097235.7259257769</v>
      </c>
      <c r="D930" s="528">
        <f>Energy!S33</f>
        <v>1247725</v>
      </c>
      <c r="F930" s="1943"/>
      <c r="G930" s="1921"/>
      <c r="H930" s="1644"/>
      <c r="I930" s="1644"/>
      <c r="K930" s="1943">
        <f t="shared" si="1141"/>
        <v>0</v>
      </c>
      <c r="L930" s="1921" t="s">
        <v>495</v>
      </c>
      <c r="M930" s="1943">
        <f t="shared" si="1142"/>
        <v>1.6192</v>
      </c>
      <c r="N930" s="1921" t="s">
        <v>495</v>
      </c>
      <c r="O930" s="1943">
        <f t="shared" si="1143"/>
        <v>2.305570240802</v>
      </c>
      <c r="P930" s="1921" t="s">
        <v>495</v>
      </c>
      <c r="Q930" s="1943">
        <f t="shared" si="1144"/>
        <v>3.9247702408020002</v>
      </c>
      <c r="R930" s="1921" t="s">
        <v>495</v>
      </c>
      <c r="S930" s="1644">
        <f>ROUND($D930*K930/100,0)</f>
        <v>0</v>
      </c>
      <c r="T930" s="1644"/>
      <c r="U930" s="1644">
        <f>ROUND($D930*M930/100,0)</f>
        <v>20203</v>
      </c>
      <c r="V930" s="1644"/>
      <c r="W930" s="1644">
        <f>ROUND($D930*O930/100,0)</f>
        <v>28767</v>
      </c>
      <c r="X930" s="1648"/>
      <c r="Y930" s="1644">
        <f>ROUND($D930*Q930/100,0)</f>
        <v>48970</v>
      </c>
    </row>
    <row r="931" spans="1:28" hidden="1">
      <c r="A931" s="1900" t="s">
        <v>1648</v>
      </c>
      <c r="C931" s="528">
        <f>'6'!Q35+'6'!V35+'6-may'!Q35+'6-may'!V35+TempRevMay!C342</f>
        <v>2177828.9807466753</v>
      </c>
      <c r="D931" s="528">
        <f>Energy!T33</f>
        <v>2076320</v>
      </c>
      <c r="F931" s="1943"/>
      <c r="G931" s="1921"/>
      <c r="H931" s="1644"/>
      <c r="I931" s="1644"/>
      <c r="K931" s="1943">
        <f t="shared" si="1141"/>
        <v>0</v>
      </c>
      <c r="L931" s="1921" t="s">
        <v>495</v>
      </c>
      <c r="M931" s="1943">
        <f t="shared" si="1142"/>
        <v>1.4329000000000001</v>
      </c>
      <c r="N931" s="1921" t="s">
        <v>495</v>
      </c>
      <c r="O931" s="1943">
        <f t="shared" si="1143"/>
        <v>2.0403480007099999</v>
      </c>
      <c r="P931" s="1921" t="s">
        <v>495</v>
      </c>
      <c r="Q931" s="1943">
        <f t="shared" si="1144"/>
        <v>3.4732480007099999</v>
      </c>
      <c r="R931" s="1921" t="s">
        <v>495</v>
      </c>
      <c r="S931" s="1644">
        <f>ROUND($D931*K931/100,0)</f>
        <v>0</v>
      </c>
      <c r="T931" s="1644"/>
      <c r="U931" s="1644">
        <f>ROUND($D931*M931/100,0)</f>
        <v>29752</v>
      </c>
      <c r="V931" s="1644"/>
      <c r="W931" s="1644">
        <f>ROUND($D931*O931/100,0)</f>
        <v>42364</v>
      </c>
      <c r="X931" s="1648"/>
      <c r="Y931" s="1644">
        <f>ROUND($D931*Q931/100,0)</f>
        <v>72116</v>
      </c>
    </row>
    <row r="932" spans="1:28" hidden="1">
      <c r="A932" s="1900" t="s">
        <v>158</v>
      </c>
      <c r="C932" s="528">
        <f>'6'!L35</f>
        <v>4947.6121751026003</v>
      </c>
      <c r="D932" s="528">
        <f>ROUND(C932/C940*D940,0)</f>
        <v>4995</v>
      </c>
      <c r="F932" s="1901">
        <v>14.62</v>
      </c>
      <c r="G932" s="1902"/>
      <c r="H932" s="1644">
        <f t="shared" si="1140"/>
        <v>72334</v>
      </c>
      <c r="I932" s="1644">
        <f t="shared" si="1140"/>
        <v>73027</v>
      </c>
      <c r="K932" s="1901"/>
      <c r="L932" s="1902"/>
      <c r="M932" s="1901"/>
      <c r="N932" s="1902"/>
      <c r="O932" s="1901"/>
      <c r="P932" s="1902"/>
      <c r="Q932" s="1901"/>
      <c r="R932" s="1902"/>
      <c r="S932" s="1644"/>
      <c r="T932" s="1645"/>
      <c r="U932" s="1644"/>
      <c r="V932" s="1645"/>
      <c r="W932" s="1644"/>
      <c r="X932" s="1643"/>
      <c r="Y932" s="1644"/>
    </row>
    <row r="933" spans="1:28" hidden="1">
      <c r="A933" s="1900" t="s">
        <v>165</v>
      </c>
      <c r="C933" s="528">
        <f>'6'!M35</f>
        <v>6087.3877176901897</v>
      </c>
      <c r="D933" s="528">
        <f>ROUND(C933/C940*D940,0)</f>
        <v>6146</v>
      </c>
      <c r="F933" s="1901">
        <v>10.91</v>
      </c>
      <c r="G933" s="1902"/>
      <c r="H933" s="1644">
        <f t="shared" si="1140"/>
        <v>66413</v>
      </c>
      <c r="I933" s="1644">
        <f t="shared" si="1140"/>
        <v>67053</v>
      </c>
      <c r="K933" s="1901"/>
      <c r="L933" s="1902"/>
      <c r="M933" s="1901"/>
      <c r="N933" s="1902"/>
      <c r="O933" s="1901"/>
      <c r="P933" s="1902"/>
      <c r="Q933" s="1901"/>
      <c r="R933" s="1902"/>
      <c r="S933" s="1644"/>
      <c r="T933" s="1645"/>
      <c r="U933" s="1644"/>
      <c r="V933" s="1645"/>
      <c r="W933" s="1644"/>
      <c r="X933" s="1643"/>
      <c r="Y933" s="1644"/>
    </row>
    <row r="934" spans="1:28" hidden="1">
      <c r="A934" s="1900" t="s">
        <v>261</v>
      </c>
      <c r="C934" s="528">
        <f>'6'!N35</f>
        <v>0</v>
      </c>
      <c r="D934" s="528">
        <f>ROUND(C934/C940*D940,0)</f>
        <v>0</v>
      </c>
      <c r="F934" s="1901">
        <v>-0.96</v>
      </c>
      <c r="G934" s="1902"/>
      <c r="H934" s="1644">
        <f t="shared" si="1140"/>
        <v>0</v>
      </c>
      <c r="I934" s="1644">
        <f t="shared" si="1140"/>
        <v>0</v>
      </c>
      <c r="K934" s="1901">
        <f>K898</f>
        <v>-0.96</v>
      </c>
      <c r="L934" s="1902"/>
      <c r="M934" s="1901">
        <f>M898</f>
        <v>0</v>
      </c>
      <c r="N934" s="1902"/>
      <c r="O934" s="1901">
        <f>O898</f>
        <v>0</v>
      </c>
      <c r="P934" s="1902"/>
      <c r="Q934" s="1901">
        <f>Q898</f>
        <v>-0.96</v>
      </c>
      <c r="R934" s="1902"/>
      <c r="S934" s="1644">
        <f t="shared" ref="S934" si="1149">ROUND($D934*K934,0)</f>
        <v>0</v>
      </c>
      <c r="T934" s="1644"/>
      <c r="U934" s="1644">
        <f t="shared" ref="U934" si="1150">ROUND($D934*M934,0)</f>
        <v>0</v>
      </c>
      <c r="V934" s="1644"/>
      <c r="W934" s="1644">
        <f t="shared" ref="W934" si="1151">ROUND($D934*O934,0)</f>
        <v>0</v>
      </c>
      <c r="X934" s="1643"/>
      <c r="Y934" s="1644">
        <f t="shared" ref="Y934" si="1152">ROUND($D934*Q934,0)</f>
        <v>0</v>
      </c>
    </row>
    <row r="935" spans="1:28" hidden="1">
      <c r="A935" s="1900" t="s">
        <v>1362</v>
      </c>
      <c r="C935" s="528">
        <f>'6'!P35+'6'!U35+TempRev!C341</f>
        <v>1354554.8539157421</v>
      </c>
      <c r="D935" s="528">
        <f>Energy!Q33</f>
        <v>1526852</v>
      </c>
      <c r="F935" s="1943">
        <v>3.8127</v>
      </c>
      <c r="G935" s="1921" t="s">
        <v>495</v>
      </c>
      <c r="H935" s="1644">
        <f>ROUND($F935*C935/100,0)</f>
        <v>51645</v>
      </c>
      <c r="I935" s="1644">
        <f>ROUND($F935*D935/100,0)</f>
        <v>58214</v>
      </c>
      <c r="K935" s="1943"/>
      <c r="L935" s="1921"/>
      <c r="M935" s="1943"/>
      <c r="N935" s="1921"/>
      <c r="O935" s="1943"/>
      <c r="P935" s="1921"/>
      <c r="Q935" s="1943"/>
      <c r="R935" s="1921"/>
      <c r="S935" s="1648"/>
      <c r="T935" s="1648"/>
      <c r="U935" s="1648"/>
      <c r="V935" s="1648"/>
      <c r="W935" s="1648"/>
      <c r="X935" s="1648"/>
      <c r="Y935" s="1644"/>
    </row>
    <row r="936" spans="1:28" hidden="1">
      <c r="A936" s="1900" t="s">
        <v>1363</v>
      </c>
      <c r="C936" s="528">
        <f>'6'!Q35+'6'!V35+TempRev!C342</f>
        <v>1920509.8527567103</v>
      </c>
      <c r="D936" s="528">
        <f>Energy!R33</f>
        <v>1797193</v>
      </c>
      <c r="F936" s="1943">
        <v>3.5143</v>
      </c>
      <c r="G936" s="1921" t="s">
        <v>495</v>
      </c>
      <c r="H936" s="1644">
        <f>ROUND($F936*C936/100,0)</f>
        <v>67492</v>
      </c>
      <c r="I936" s="1644">
        <f>ROUND($F936*D936/100,0)</f>
        <v>63159</v>
      </c>
      <c r="K936" s="1943"/>
      <c r="L936" s="1921"/>
      <c r="M936" s="1943"/>
      <c r="N936" s="1921"/>
      <c r="O936" s="1943"/>
      <c r="P936" s="1921"/>
      <c r="Q936" s="1943"/>
      <c r="R936" s="1921"/>
      <c r="S936" s="1648"/>
      <c r="T936" s="1648"/>
      <c r="U936" s="1648"/>
      <c r="V936" s="1648"/>
      <c r="W936" s="1648"/>
      <c r="X936" s="1648"/>
      <c r="Y936" s="1644"/>
    </row>
    <row r="937" spans="1:28" hidden="1">
      <c r="A937" s="1900" t="s">
        <v>246</v>
      </c>
      <c r="C937" s="529">
        <f>'Table 2'!J51</f>
        <v>17350</v>
      </c>
      <c r="D937" s="529">
        <v>0</v>
      </c>
      <c r="H937" s="1030">
        <f>'Table 3'!F51</f>
        <v>1850</v>
      </c>
      <c r="I937" s="1030">
        <v>0</v>
      </c>
      <c r="Y937" s="1030">
        <v>0</v>
      </c>
    </row>
    <row r="938" spans="1:28" hidden="1">
      <c r="A938" s="1900" t="s">
        <v>1240</v>
      </c>
      <c r="C938" s="584"/>
      <c r="D938" s="584"/>
      <c r="F938" s="1930">
        <v>-3.61E-2</v>
      </c>
      <c r="G938" s="597"/>
      <c r="H938" s="1644">
        <f>SUM(H932:H933,H935:H936)*$F938</f>
        <v>-9309.6124</v>
      </c>
      <c r="I938" s="1644">
        <f>SUM(I932:I933,I935:I936)*$F938</f>
        <v>-9438.4532999999992</v>
      </c>
      <c r="K938" s="1930"/>
      <c r="L938" s="597"/>
      <c r="M938" s="1930"/>
      <c r="N938" s="597"/>
      <c r="O938" s="1931" t="str">
        <f>$O$43</f>
        <v>Tax Year 1 (7/1/2021)</v>
      </c>
      <c r="P938" s="597"/>
      <c r="Q938" s="1930">
        <f>$Q$687</f>
        <v>-2.76E-2</v>
      </c>
      <c r="R938" s="597"/>
      <c r="S938" s="1645"/>
      <c r="T938" s="1645"/>
      <c r="U938" s="1645"/>
      <c r="V938" s="1645"/>
      <c r="W938" s="1645"/>
      <c r="X938" s="1645"/>
      <c r="Y938" s="1644">
        <f>Q938*SUM(Y928:Y931)</f>
        <v>-7230.9791999999998</v>
      </c>
    </row>
    <row r="939" spans="1:28" hidden="1">
      <c r="A939" s="1900"/>
      <c r="C939" s="584"/>
      <c r="D939" s="584"/>
      <c r="F939" s="1930"/>
      <c r="G939" s="597"/>
      <c r="H939" s="1644"/>
      <c r="I939" s="1644"/>
      <c r="K939" s="1930"/>
      <c r="L939" s="597"/>
      <c r="M939" s="1930"/>
      <c r="N939" s="597"/>
      <c r="O939" s="1931" t="str">
        <f>$O$44</f>
        <v>Tax Year 2 (1/1/2022)</v>
      </c>
      <c r="P939" s="597"/>
      <c r="Q939" s="1930">
        <f>$Q$688</f>
        <v>-1.4999999999999999E-2</v>
      </c>
      <c r="R939" s="597"/>
      <c r="S939" s="1645"/>
      <c r="T939" s="1645"/>
      <c r="U939" s="1645"/>
      <c r="V939" s="1645"/>
      <c r="W939" s="1645"/>
      <c r="X939" s="1645"/>
      <c r="Y939" s="1644">
        <f>Q939*SUM(Y928:Y931)</f>
        <v>-3929.8799999999997</v>
      </c>
    </row>
    <row r="940" spans="1:28" ht="16.5" hidden="1" thickBot="1">
      <c r="A940" s="1900" t="s">
        <v>247</v>
      </c>
      <c r="C940" s="1949">
        <f>SUM(C935:C937)</f>
        <v>3292414.7066724524</v>
      </c>
      <c r="D940" s="1949">
        <f>SUM(D935:D937)</f>
        <v>3324045</v>
      </c>
      <c r="F940" s="1939"/>
      <c r="H940" s="1647">
        <f>SUM(H925:H938)</f>
        <v>315329.38760000002</v>
      </c>
      <c r="I940" s="1647">
        <f>SUM(I925:I938)</f>
        <v>317456.54670000001</v>
      </c>
      <c r="K940" s="1939"/>
      <c r="M940" s="1939"/>
      <c r="O940" s="1939"/>
      <c r="Q940" s="1939"/>
      <c r="S940" s="1647">
        <f>SUM(S925:S937)</f>
        <v>131961</v>
      </c>
      <c r="U940" s="1647">
        <f>SUM(U925:U937)</f>
        <v>124203</v>
      </c>
      <c r="W940" s="1647">
        <f>SUM(W925:W937)</f>
        <v>71131</v>
      </c>
      <c r="Y940" s="1647">
        <f>SUM(Y925:Y937)</f>
        <v>327295</v>
      </c>
      <c r="AA940" s="1104" t="s">
        <v>1743</v>
      </c>
      <c r="AB940" s="1890">
        <f>Y940/I940-1</f>
        <v>3.0991496008735409E-2</v>
      </c>
    </row>
    <row r="941" spans="1:28" ht="16.5" hidden="1" thickTop="1">
      <c r="C941" s="528"/>
      <c r="D941" s="528"/>
    </row>
    <row r="942" spans="1:28" hidden="1">
      <c r="A942" s="1897" t="s">
        <v>556</v>
      </c>
      <c r="C942" s="528"/>
      <c r="D942" s="528"/>
    </row>
    <row r="943" spans="1:28" hidden="1">
      <c r="A943" s="1950" t="s">
        <v>240</v>
      </c>
      <c r="C943" s="528">
        <f>'6'!H36</f>
        <v>4</v>
      </c>
      <c r="D943" s="528">
        <f>Bill!P58</f>
        <v>12</v>
      </c>
      <c r="F943" s="1901">
        <v>54</v>
      </c>
      <c r="G943" s="1902"/>
      <c r="H943" s="1644">
        <f t="shared" ref="H943:I952" si="1153">ROUND($F943*C943,0)</f>
        <v>216</v>
      </c>
      <c r="I943" s="1644">
        <f t="shared" si="1153"/>
        <v>648</v>
      </c>
      <c r="K943" s="1901">
        <f t="shared" ref="K943:K949" si="1154">K889</f>
        <v>54</v>
      </c>
      <c r="L943" s="1902"/>
      <c r="M943" s="1901">
        <f t="shared" ref="M943:M949" si="1155">M889</f>
        <v>0</v>
      </c>
      <c r="N943" s="1902"/>
      <c r="O943" s="1901">
        <f t="shared" ref="O943:O949" si="1156">O889</f>
        <v>0</v>
      </c>
      <c r="P943" s="1902"/>
      <c r="Q943" s="1901">
        <f t="shared" ref="Q943:Q949" si="1157">Q889</f>
        <v>54</v>
      </c>
      <c r="R943" s="1902"/>
      <c r="S943" s="1644">
        <f>ROUND($D943*K943,0)</f>
        <v>648</v>
      </c>
      <c r="T943" s="1645"/>
      <c r="U943" s="1644">
        <f>ROUND($D943*M943,0)</f>
        <v>0</v>
      </c>
      <c r="V943" s="1645"/>
      <c r="W943" s="1644">
        <f>ROUND($D943*O943,0)</f>
        <v>0</v>
      </c>
      <c r="X943" s="1643"/>
      <c r="Y943" s="1644">
        <f>ROUND($D943*Q943,0)</f>
        <v>648</v>
      </c>
    </row>
    <row r="944" spans="1:28" hidden="1">
      <c r="A944" s="1900" t="s">
        <v>262</v>
      </c>
      <c r="C944" s="528">
        <v>0</v>
      </c>
      <c r="D944" s="528">
        <f>ROUND(C944/C943*D943,0)</f>
        <v>0</v>
      </c>
      <c r="E944" s="597"/>
      <c r="F944" s="1901">
        <v>648</v>
      </c>
      <c r="G944" s="1902"/>
      <c r="H944" s="1644">
        <f t="shared" si="1153"/>
        <v>0</v>
      </c>
      <c r="I944" s="1644">
        <f t="shared" si="1153"/>
        <v>0</v>
      </c>
      <c r="J944" s="597"/>
      <c r="K944" s="1901">
        <f t="shared" si="1154"/>
        <v>648</v>
      </c>
      <c r="L944" s="1902"/>
      <c r="M944" s="1901">
        <f t="shared" si="1155"/>
        <v>0</v>
      </c>
      <c r="N944" s="1902"/>
      <c r="O944" s="1901">
        <f t="shared" si="1156"/>
        <v>0</v>
      </c>
      <c r="P944" s="1902"/>
      <c r="Q944" s="1901">
        <f t="shared" si="1157"/>
        <v>648</v>
      </c>
      <c r="R944" s="1902"/>
      <c r="S944" s="1644">
        <f t="shared" ref="S944:S947" si="1158">ROUND($D944*K944,0)</f>
        <v>0</v>
      </c>
      <c r="T944" s="1645"/>
      <c r="U944" s="1644">
        <f t="shared" ref="U944:U947" si="1159">ROUND($D944*M944,0)</f>
        <v>0</v>
      </c>
      <c r="V944" s="1645"/>
      <c r="W944" s="1644">
        <f t="shared" ref="W944:W947" si="1160">ROUND($D944*O944,0)</f>
        <v>0</v>
      </c>
      <c r="X944" s="1643"/>
      <c r="Y944" s="1644">
        <f t="shared" ref="Y944:Y947" si="1161">ROUND($D944*Q944,0)</f>
        <v>0</v>
      </c>
    </row>
    <row r="945" spans="1:33" hidden="1">
      <c r="A945" s="1900" t="s">
        <v>168</v>
      </c>
      <c r="C945" s="528">
        <f>'6'!J36</f>
        <v>158</v>
      </c>
      <c r="D945" s="528">
        <f>ROUND(C945/C958*D958,0)</f>
        <v>528</v>
      </c>
      <c r="F945" s="1901">
        <v>4.04</v>
      </c>
      <c r="G945" s="1902"/>
      <c r="H945" s="1644">
        <f>ROUND($F945*C945,0)</f>
        <v>638</v>
      </c>
      <c r="I945" s="1644">
        <f>ROUND($F945*D945,0)</f>
        <v>2133</v>
      </c>
      <c r="K945" s="1901">
        <f t="shared" si="1154"/>
        <v>4.03</v>
      </c>
      <c r="L945" s="1902"/>
      <c r="M945" s="1901">
        <f t="shared" si="1155"/>
        <v>0</v>
      </c>
      <c r="N945" s="1902"/>
      <c r="O945" s="1901">
        <f t="shared" si="1156"/>
        <v>0</v>
      </c>
      <c r="P945" s="1902"/>
      <c r="Q945" s="1901">
        <f t="shared" si="1157"/>
        <v>4.03</v>
      </c>
      <c r="R945" s="1902"/>
      <c r="S945" s="1644">
        <f t="shared" si="1158"/>
        <v>2128</v>
      </c>
      <c r="T945" s="1645"/>
      <c r="U945" s="1644">
        <f t="shared" si="1159"/>
        <v>0</v>
      </c>
      <c r="V945" s="1645"/>
      <c r="W945" s="1644">
        <f t="shared" si="1160"/>
        <v>0</v>
      </c>
      <c r="X945" s="1643"/>
      <c r="Y945" s="1644">
        <f t="shared" si="1161"/>
        <v>2128</v>
      </c>
    </row>
    <row r="946" spans="1:33" hidden="1">
      <c r="A946" s="1900" t="s">
        <v>1649</v>
      </c>
      <c r="C946" s="528">
        <f>'6'!L36+'6-may'!L36</f>
        <v>0</v>
      </c>
      <c r="D946" s="528">
        <f>ROUND(D948*D947/D949,0)</f>
        <v>173</v>
      </c>
      <c r="F946" s="1944"/>
      <c r="G946" s="597"/>
      <c r="H946" s="1644"/>
      <c r="I946" s="1644"/>
      <c r="K946" s="1944">
        <f t="shared" si="1154"/>
        <v>6.34</v>
      </c>
      <c r="L946" s="597"/>
      <c r="M946" s="1944">
        <f t="shared" si="1155"/>
        <v>7.0600000000000005</v>
      </c>
      <c r="N946" s="597"/>
      <c r="O946" s="1944">
        <f t="shared" si="1156"/>
        <v>0</v>
      </c>
      <c r="P946" s="597"/>
      <c r="Q946" s="1944">
        <f t="shared" si="1157"/>
        <v>13.4</v>
      </c>
      <c r="R946" s="597"/>
      <c r="S946" s="1644">
        <f t="shared" si="1158"/>
        <v>1097</v>
      </c>
      <c r="T946" s="1644"/>
      <c r="U946" s="1644">
        <f t="shared" si="1159"/>
        <v>1221</v>
      </c>
      <c r="V946" s="1644"/>
      <c r="W946" s="1644">
        <f t="shared" si="1160"/>
        <v>0</v>
      </c>
      <c r="X946" s="1645"/>
      <c r="Y946" s="1644">
        <f t="shared" si="1161"/>
        <v>2318</v>
      </c>
    </row>
    <row r="947" spans="1:33" hidden="1">
      <c r="A947" s="1900" t="s">
        <v>1650</v>
      </c>
      <c r="C947" s="528">
        <f>'6'!M36+'6-may'!M36</f>
        <v>158</v>
      </c>
      <c r="D947" s="528">
        <f>ROUND(C947/C949*D949,0)</f>
        <v>346</v>
      </c>
      <c r="F947" s="1944"/>
      <c r="G947" s="597"/>
      <c r="H947" s="1644"/>
      <c r="I947" s="1644"/>
      <c r="K947" s="1944">
        <f t="shared" si="1154"/>
        <v>5.61</v>
      </c>
      <c r="L947" s="597"/>
      <c r="M947" s="1944">
        <f t="shared" si="1155"/>
        <v>6.2499999999999991</v>
      </c>
      <c r="N947" s="597"/>
      <c r="O947" s="1944">
        <f t="shared" si="1156"/>
        <v>0</v>
      </c>
      <c r="P947" s="597"/>
      <c r="Q947" s="1944">
        <f t="shared" si="1157"/>
        <v>11.86</v>
      </c>
      <c r="R947" s="597"/>
      <c r="S947" s="1644">
        <f t="shared" si="1158"/>
        <v>1941</v>
      </c>
      <c r="T947" s="1644"/>
      <c r="U947" s="1644">
        <f t="shared" si="1159"/>
        <v>2163</v>
      </c>
      <c r="V947" s="1644"/>
      <c r="W947" s="1644">
        <f t="shared" si="1160"/>
        <v>0</v>
      </c>
      <c r="X947" s="1645"/>
      <c r="Y947" s="1644">
        <f t="shared" si="1161"/>
        <v>4104</v>
      </c>
    </row>
    <row r="948" spans="1:33" hidden="1">
      <c r="A948" s="1900" t="s">
        <v>1647</v>
      </c>
      <c r="C948" s="528">
        <f>'6'!P36+'6'!U36+'6-may'!P36+'6-may'!U36</f>
        <v>0</v>
      </c>
      <c r="D948" s="528">
        <f>Energy!S58</f>
        <v>7760</v>
      </c>
      <c r="F948" s="1943"/>
      <c r="G948" s="1921"/>
      <c r="H948" s="1644"/>
      <c r="I948" s="1644"/>
      <c r="K948" s="1943">
        <f t="shared" si="1154"/>
        <v>0</v>
      </c>
      <c r="L948" s="1921" t="s">
        <v>495</v>
      </c>
      <c r="M948" s="1943">
        <f t="shared" si="1155"/>
        <v>1.6192</v>
      </c>
      <c r="N948" s="1921" t="s">
        <v>495</v>
      </c>
      <c r="O948" s="1943">
        <f t="shared" si="1156"/>
        <v>2.305570240802</v>
      </c>
      <c r="P948" s="1921" t="s">
        <v>495</v>
      </c>
      <c r="Q948" s="1943">
        <f t="shared" si="1157"/>
        <v>3.9247702408020002</v>
      </c>
      <c r="R948" s="1921" t="s">
        <v>495</v>
      </c>
      <c r="S948" s="1644">
        <f>ROUND($D948*K948/100,0)</f>
        <v>0</v>
      </c>
      <c r="T948" s="1644"/>
      <c r="U948" s="1644">
        <f>ROUND($D948*M948/100,0)</f>
        <v>126</v>
      </c>
      <c r="V948" s="1644"/>
      <c r="W948" s="1644">
        <f>ROUND($D948*O948/100,0)</f>
        <v>179</v>
      </c>
      <c r="X948" s="1648"/>
      <c r="Y948" s="1644">
        <f>ROUND($D948*Q948/100,0)</f>
        <v>305</v>
      </c>
    </row>
    <row r="949" spans="1:33" hidden="1">
      <c r="A949" s="1900" t="s">
        <v>1648</v>
      </c>
      <c r="C949" s="528">
        <f>'6'!Q36+'6'!V36+'6-may'!Q36+'6-may'!V36</f>
        <v>7086</v>
      </c>
      <c r="D949" s="528">
        <f>Energy!T58</f>
        <v>15520</v>
      </c>
      <c r="F949" s="1943"/>
      <c r="G949" s="1921"/>
      <c r="H949" s="1644"/>
      <c r="I949" s="1644"/>
      <c r="K949" s="1943">
        <f t="shared" si="1154"/>
        <v>0</v>
      </c>
      <c r="L949" s="1921" t="s">
        <v>495</v>
      </c>
      <c r="M949" s="1943">
        <f t="shared" si="1155"/>
        <v>1.4329000000000001</v>
      </c>
      <c r="N949" s="1921" t="s">
        <v>495</v>
      </c>
      <c r="O949" s="1943">
        <f t="shared" si="1156"/>
        <v>2.0403480007099999</v>
      </c>
      <c r="P949" s="1921" t="s">
        <v>495</v>
      </c>
      <c r="Q949" s="1943">
        <f t="shared" si="1157"/>
        <v>3.4732480007099999</v>
      </c>
      <c r="R949" s="1921" t="s">
        <v>495</v>
      </c>
      <c r="S949" s="1644">
        <f>ROUND($D949*K949/100,0)</f>
        <v>0</v>
      </c>
      <c r="T949" s="1644"/>
      <c r="U949" s="1644">
        <f>ROUND($D949*M949/100,0)</f>
        <v>222</v>
      </c>
      <c r="V949" s="1644"/>
      <c r="W949" s="1644">
        <f>ROUND($D949*O949/100,0)</f>
        <v>317</v>
      </c>
      <c r="X949" s="1648"/>
      <c r="Y949" s="1644">
        <f>ROUND($D949*Q949/100,0)</f>
        <v>539</v>
      </c>
    </row>
    <row r="950" spans="1:33" hidden="1">
      <c r="A950" s="1900" t="s">
        <v>158</v>
      </c>
      <c r="C950" s="528">
        <f>'6'!L36</f>
        <v>0</v>
      </c>
      <c r="D950" s="528">
        <f>ROUND(C950/C958*D958,0)</f>
        <v>0</v>
      </c>
      <c r="F950" s="1901">
        <v>14.62</v>
      </c>
      <c r="G950" s="1902"/>
      <c r="H950" s="1644">
        <f t="shared" si="1153"/>
        <v>0</v>
      </c>
      <c r="I950" s="1644">
        <f t="shared" si="1153"/>
        <v>0</v>
      </c>
      <c r="K950" s="1901"/>
      <c r="L950" s="1902"/>
      <c r="M950" s="1901"/>
      <c r="N950" s="1902"/>
      <c r="O950" s="1901"/>
      <c r="P950" s="1902"/>
      <c r="Q950" s="1901"/>
      <c r="R950" s="1902"/>
      <c r="S950" s="1644"/>
      <c r="T950" s="1645"/>
      <c r="U950" s="1644"/>
      <c r="V950" s="1645"/>
      <c r="W950" s="1644"/>
      <c r="X950" s="1643"/>
      <c r="Y950" s="1644"/>
    </row>
    <row r="951" spans="1:33" hidden="1">
      <c r="A951" s="1900" t="s">
        <v>165</v>
      </c>
      <c r="C951" s="528">
        <f>'6'!M36</f>
        <v>158</v>
      </c>
      <c r="D951" s="528">
        <f>ROUND(C951/C958*D958,0)</f>
        <v>528</v>
      </c>
      <c r="F951" s="1901">
        <v>10.91</v>
      </c>
      <c r="G951" s="1902"/>
      <c r="H951" s="1644">
        <f t="shared" si="1153"/>
        <v>1724</v>
      </c>
      <c r="I951" s="1644">
        <f t="shared" si="1153"/>
        <v>5760</v>
      </c>
      <c r="K951" s="1901"/>
      <c r="L951" s="1902"/>
      <c r="M951" s="1901"/>
      <c r="N951" s="1902"/>
      <c r="O951" s="1901"/>
      <c r="P951" s="1902"/>
      <c r="Q951" s="1901"/>
      <c r="R951" s="1902"/>
      <c r="S951" s="1644"/>
      <c r="T951" s="1645"/>
      <c r="U951" s="1644"/>
      <c r="V951" s="1645"/>
      <c r="W951" s="1644"/>
      <c r="X951" s="1643"/>
      <c r="Y951" s="1644"/>
    </row>
    <row r="952" spans="1:33" hidden="1">
      <c r="A952" s="1900" t="s">
        <v>261</v>
      </c>
      <c r="C952" s="528">
        <f>'6'!N36</f>
        <v>0</v>
      </c>
      <c r="D952" s="528">
        <f>ROUND(C952/C958*D958,0)</f>
        <v>0</v>
      </c>
      <c r="F952" s="1901">
        <v>-0.96</v>
      </c>
      <c r="G952" s="1902"/>
      <c r="H952" s="1644">
        <f t="shared" si="1153"/>
        <v>0</v>
      </c>
      <c r="I952" s="1644">
        <f t="shared" si="1153"/>
        <v>0</v>
      </c>
      <c r="K952" s="1901">
        <f>K898</f>
        <v>-0.96</v>
      </c>
      <c r="L952" s="1902"/>
      <c r="M952" s="1901">
        <f>M898</f>
        <v>0</v>
      </c>
      <c r="N952" s="1902"/>
      <c r="O952" s="1901">
        <f>O898</f>
        <v>0</v>
      </c>
      <c r="P952" s="1902"/>
      <c r="Q952" s="1901">
        <f>Q898</f>
        <v>-0.96</v>
      </c>
      <c r="R952" s="1902"/>
      <c r="S952" s="1644">
        <f t="shared" ref="S952" si="1162">ROUND($D952*K952,0)</f>
        <v>0</v>
      </c>
      <c r="T952" s="1644"/>
      <c r="U952" s="1644">
        <f t="shared" ref="U952" si="1163">ROUND($D952*M952,0)</f>
        <v>0</v>
      </c>
      <c r="V952" s="1644"/>
      <c r="W952" s="1644">
        <f t="shared" ref="W952" si="1164">ROUND($D952*O952,0)</f>
        <v>0</v>
      </c>
      <c r="X952" s="1643"/>
      <c r="Y952" s="1644">
        <f t="shared" ref="Y952" si="1165">ROUND($D952*Q952,0)</f>
        <v>0</v>
      </c>
    </row>
    <row r="953" spans="1:33" hidden="1">
      <c r="A953" s="1900" t="s">
        <v>1362</v>
      </c>
      <c r="C953" s="528">
        <f>'6'!P36+'6'!U36</f>
        <v>0</v>
      </c>
      <c r="D953" s="528">
        <f>Energy!Q58</f>
        <v>9700</v>
      </c>
      <c r="F953" s="1943">
        <v>3.8127</v>
      </c>
      <c r="G953" s="1921" t="s">
        <v>495</v>
      </c>
      <c r="H953" s="1644">
        <f>ROUND($F953*C953/100,0)</f>
        <v>0</v>
      </c>
      <c r="I953" s="1644">
        <f>ROUND($F953*D953/100,0)</f>
        <v>370</v>
      </c>
      <c r="K953" s="1943"/>
      <c r="L953" s="1921"/>
      <c r="M953" s="1943"/>
      <c r="N953" s="1921"/>
      <c r="O953" s="1943"/>
      <c r="P953" s="1921"/>
      <c r="Q953" s="1943"/>
      <c r="R953" s="1921"/>
      <c r="S953" s="1648"/>
      <c r="T953" s="1648"/>
      <c r="U953" s="1648"/>
      <c r="V953" s="1648"/>
      <c r="W953" s="1648"/>
      <c r="X953" s="1648"/>
      <c r="Y953" s="1644"/>
    </row>
    <row r="954" spans="1:33" hidden="1">
      <c r="A954" s="1900" t="s">
        <v>1363</v>
      </c>
      <c r="C954" s="528">
        <f>'6'!Q36+'6'!V36</f>
        <v>7086</v>
      </c>
      <c r="D954" s="528">
        <f>Energy!R58</f>
        <v>13580</v>
      </c>
      <c r="F954" s="1943">
        <v>3.5143</v>
      </c>
      <c r="G954" s="1921" t="s">
        <v>495</v>
      </c>
      <c r="H954" s="1644">
        <f>ROUND($F954*C954/100,0)</f>
        <v>249</v>
      </c>
      <c r="I954" s="1644">
        <f>ROUND($F954*D954/100,0)</f>
        <v>477</v>
      </c>
      <c r="K954" s="1943"/>
      <c r="L954" s="1921"/>
      <c r="M954" s="1943"/>
      <c r="N954" s="1921"/>
      <c r="O954" s="1943"/>
      <c r="P954" s="1921"/>
      <c r="Q954" s="1943"/>
      <c r="R954" s="1921"/>
      <c r="S954" s="1648"/>
      <c r="T954" s="1648"/>
      <c r="U954" s="1648"/>
      <c r="V954" s="1648"/>
      <c r="W954" s="1648"/>
      <c r="X954" s="1648"/>
      <c r="Y954" s="1644"/>
    </row>
    <row r="955" spans="1:33" hidden="1">
      <c r="A955" s="1900" t="s">
        <v>246</v>
      </c>
      <c r="C955" s="529">
        <f>'Table 2'!J88</f>
        <v>-115</v>
      </c>
      <c r="D955" s="529">
        <v>0</v>
      </c>
      <c r="H955" s="1030">
        <f>'Table 3'!F88</f>
        <v>-42</v>
      </c>
      <c r="I955" s="1030">
        <v>0</v>
      </c>
      <c r="Y955" s="1030">
        <v>0</v>
      </c>
    </row>
    <row r="956" spans="1:33" hidden="1">
      <c r="A956" s="1900" t="s">
        <v>1240</v>
      </c>
      <c r="C956" s="584"/>
      <c r="D956" s="584"/>
      <c r="F956" s="1930">
        <v>-3.61E-2</v>
      </c>
      <c r="G956" s="597"/>
      <c r="H956" s="1644">
        <f>SUM(H950:H951,H953:H954)*$F956</f>
        <v>-71.225300000000004</v>
      </c>
      <c r="I956" s="1644">
        <f>SUM(I950:I951,I953:I954)*$F956</f>
        <v>-238.5127</v>
      </c>
      <c r="K956" s="1952">
        <f>K902</f>
        <v>0</v>
      </c>
      <c r="L956" s="597"/>
      <c r="M956" s="1952">
        <f>M902</f>
        <v>0</v>
      </c>
      <c r="N956" s="597"/>
      <c r="O956" s="1931" t="str">
        <f>$O$43</f>
        <v>Tax Year 1 (7/1/2021)</v>
      </c>
      <c r="P956" s="597"/>
      <c r="Q956" s="1930">
        <f>$Q$687</f>
        <v>-2.76E-2</v>
      </c>
      <c r="R956" s="597"/>
      <c r="S956" s="1645"/>
      <c r="T956" s="1645"/>
      <c r="U956" s="1645"/>
      <c r="V956" s="1645"/>
      <c r="W956" s="1645"/>
      <c r="X956" s="1645"/>
      <c r="Y956" s="1644">
        <f>Q956*SUM(Y946:Y949)</f>
        <v>-200.54159999999999</v>
      </c>
    </row>
    <row r="957" spans="1:33" hidden="1">
      <c r="A957" s="1900"/>
      <c r="C957" s="584"/>
      <c r="D957" s="584"/>
      <c r="F957" s="1930"/>
      <c r="G957" s="597"/>
      <c r="H957" s="1644"/>
      <c r="I957" s="1644"/>
      <c r="K957" s="1952"/>
      <c r="L957" s="597"/>
      <c r="M957" s="1952"/>
      <c r="N957" s="597"/>
      <c r="O957" s="1931" t="str">
        <f>$O$44</f>
        <v>Tax Year 2 (1/1/2022)</v>
      </c>
      <c r="P957" s="597"/>
      <c r="Q957" s="1930">
        <f>$Q$688</f>
        <v>-1.4999999999999999E-2</v>
      </c>
      <c r="R957" s="597"/>
      <c r="S957" s="1645"/>
      <c r="T957" s="1645"/>
      <c r="U957" s="1645"/>
      <c r="V957" s="1645"/>
      <c r="W957" s="1645"/>
      <c r="X957" s="1645"/>
      <c r="Y957" s="1644">
        <f>Q957*SUM(Y946:Y949)</f>
        <v>-108.99</v>
      </c>
    </row>
    <row r="958" spans="1:33" ht="16.5" hidden="1" thickBot="1">
      <c r="A958" s="1900" t="s">
        <v>247</v>
      </c>
      <c r="C958" s="1949">
        <f>SUM(C953:C955)</f>
        <v>6971</v>
      </c>
      <c r="D958" s="1949">
        <f>SUM(D953:D955)</f>
        <v>23280</v>
      </c>
      <c r="F958" s="1939"/>
      <c r="H958" s="1647">
        <f>SUM(H943:H956)</f>
        <v>2713.7746999999999</v>
      </c>
      <c r="I958" s="1647">
        <f>SUM(I943:I956)</f>
        <v>9149.4873000000007</v>
      </c>
      <c r="K958" s="1939"/>
      <c r="M958" s="1939"/>
      <c r="O958" s="1939"/>
      <c r="Q958" s="1939"/>
      <c r="S958" s="1647">
        <f>SUM(S943:S955)</f>
        <v>5814</v>
      </c>
      <c r="U958" s="1647">
        <f>SUM(U943:U955)</f>
        <v>3732</v>
      </c>
      <c r="W958" s="1647">
        <f>SUM(W943:W955)</f>
        <v>496</v>
      </c>
      <c r="Y958" s="1647">
        <f>SUM(Y943:Y955)</f>
        <v>10042</v>
      </c>
      <c r="AA958" s="1104" t="s">
        <v>1743</v>
      </c>
      <c r="AB958" s="1890">
        <f>Y958/I958-1</f>
        <v>9.7547837461886999E-2</v>
      </c>
    </row>
    <row r="959" spans="1:33" ht="16.5" thickTop="1">
      <c r="C959" s="528"/>
      <c r="D959" s="528"/>
    </row>
    <row r="960" spans="1:33">
      <c r="A960" s="1897" t="s">
        <v>552</v>
      </c>
      <c r="C960" s="528"/>
      <c r="D960" s="528"/>
      <c r="F960" s="1943"/>
      <c r="G960" s="1957"/>
      <c r="K960" s="1943"/>
      <c r="L960" s="1957"/>
      <c r="M960" s="1943"/>
      <c r="N960" s="1957"/>
      <c r="O960" s="1943"/>
      <c r="P960" s="1957"/>
      <c r="Q960" s="1943"/>
      <c r="R960" s="1957"/>
      <c r="S960" s="1645"/>
      <c r="T960" s="1645"/>
      <c r="U960" s="1645"/>
      <c r="V960" s="1645"/>
      <c r="W960" s="1645"/>
      <c r="X960" s="1645"/>
      <c r="AE960" s="1869" t="s">
        <v>2312</v>
      </c>
      <c r="AG960" s="1869" t="s">
        <v>93</v>
      </c>
    </row>
    <row r="961" spans="1:33">
      <c r="A961" s="1900" t="s">
        <v>1910</v>
      </c>
      <c r="C961" s="528">
        <f t="shared" ref="C961:D961" si="1166">C985+C1009+C1033</f>
        <v>19779189.087820396</v>
      </c>
      <c r="D961" s="528">
        <f t="shared" si="1166"/>
        <v>44585441.124639124</v>
      </c>
      <c r="E961" s="597"/>
      <c r="F961" s="1942"/>
      <c r="G961" s="1921"/>
      <c r="H961" s="1644"/>
      <c r="I961" s="1644"/>
      <c r="J961" s="597"/>
      <c r="K961" s="1923">
        <f>ROUND((S982-SUM(S969:S972))/SUM($D$961:$D$964)*100,4)</f>
        <v>3.9525000000000001</v>
      </c>
      <c r="L961" s="1921" t="s">
        <v>495</v>
      </c>
      <c r="M961" s="1924">
        <f>Q961-K961-O961</f>
        <v>17.075028114911813</v>
      </c>
      <c r="N961" s="1921" t="s">
        <v>495</v>
      </c>
      <c r="O961" s="1920">
        <f>ROUND((W982-SUM(W965:W968))/(D961+D962+(D963+D964)/AB976)*100,4)</f>
        <v>1.3496999999999999</v>
      </c>
      <c r="P961" s="1921" t="s">
        <v>495</v>
      </c>
      <c r="Q961" s="1942">
        <f>AA961*(1+AB961)</f>
        <v>22.377228114911812</v>
      </c>
      <c r="R961" s="1921" t="s">
        <v>495</v>
      </c>
      <c r="S961" s="1644">
        <f>ROUND($D961*K961/100,0)</f>
        <v>1762240</v>
      </c>
      <c r="T961" s="1648"/>
      <c r="U961" s="1644">
        <f>ROUND($D961*M961/100,0)</f>
        <v>7612977</v>
      </c>
      <c r="V961" s="1648"/>
      <c r="W961" s="1644">
        <f>ROUND($D961*O961/100,0)</f>
        <v>601770</v>
      </c>
      <c r="X961" s="1648"/>
      <c r="Y961" s="1644">
        <f>ROUND($D961*Q961/100,0)</f>
        <v>9976986</v>
      </c>
      <c r="AA961" s="1942">
        <f>'BD-Redesign'!B7*100</f>
        <v>22</v>
      </c>
      <c r="AB961" s="1890">
        <f>RateSpread!Q30</f>
        <v>1.7146732495991589E-2</v>
      </c>
      <c r="AE961" s="1869">
        <f>O961+O965</f>
        <v>7.3497000000000003</v>
      </c>
      <c r="AG961" s="1869">
        <f>Q961+Q965</f>
        <v>28.377228114911812</v>
      </c>
    </row>
    <row r="962" spans="1:33">
      <c r="A962" s="1900" t="s">
        <v>1911</v>
      </c>
      <c r="C962" s="528">
        <f t="shared" ref="C962:D962" si="1167">C986+C1010+C1034</f>
        <v>35655696.16045028</v>
      </c>
      <c r="D962" s="528">
        <f t="shared" si="1167"/>
        <v>80754202</v>
      </c>
      <c r="E962" s="597"/>
      <c r="F962" s="1942"/>
      <c r="G962" s="1921"/>
      <c r="H962" s="1644"/>
      <c r="I962" s="1644"/>
      <c r="J962" s="597"/>
      <c r="K962" s="1923">
        <f>$K$961</f>
        <v>3.9525000000000001</v>
      </c>
      <c r="L962" s="1921" t="s">
        <v>495</v>
      </c>
      <c r="M962" s="1924">
        <f t="shared" ref="M962:M964" si="1168">Q962-K962-O962</f>
        <v>-0.91518271744099966</v>
      </c>
      <c r="N962" s="1921" t="s">
        <v>495</v>
      </c>
      <c r="O962" s="1920">
        <f>O961</f>
        <v>1.3496999999999999</v>
      </c>
      <c r="P962" s="1921" t="s">
        <v>495</v>
      </c>
      <c r="Q962" s="1942">
        <f>ROUND((AB970-SUM(Y961,Y963,Y965:Y977,Y1057,Y1059,Y1061:Y1068))/(D962+D1058+(D964+D1060)/AB976)*100,$AB$8)</f>
        <v>4.3870172825590004</v>
      </c>
      <c r="R962" s="1921" t="s">
        <v>495</v>
      </c>
      <c r="S962" s="1644">
        <f t="shared" ref="S962:S964" si="1169">ROUND($D962*K962/100,0)</f>
        <v>3191810</v>
      </c>
      <c r="T962" s="1648"/>
      <c r="U962" s="1644">
        <f t="shared" ref="U962:U964" si="1170">ROUND($D962*M962/100,0)</f>
        <v>-739049</v>
      </c>
      <c r="V962" s="1648"/>
      <c r="W962" s="1644">
        <f t="shared" ref="W962:Y968" si="1171">ROUND($D962*O962/100,0)</f>
        <v>1089939</v>
      </c>
      <c r="X962" s="1648"/>
      <c r="Y962" s="1644">
        <f t="shared" si="1171"/>
        <v>3542701</v>
      </c>
      <c r="AA962" s="1942">
        <f>'BD-Redesign'!B8*100</f>
        <v>4.325922505952053</v>
      </c>
      <c r="AE962" s="1869">
        <f>O962+O965</f>
        <v>7.3497000000000003</v>
      </c>
      <c r="AG962" s="1869">
        <f>Q962+Q965</f>
        <v>10.387017282559</v>
      </c>
    </row>
    <row r="963" spans="1:33">
      <c r="A963" s="1900" t="s">
        <v>1912</v>
      </c>
      <c r="C963" s="528">
        <f t="shared" ref="C963:D963" si="1172">C987+C1011+C1035</f>
        <v>34405474.716320619</v>
      </c>
      <c r="D963" s="528">
        <f t="shared" si="1172"/>
        <v>73546803</v>
      </c>
      <c r="E963" s="597"/>
      <c r="F963" s="1942"/>
      <c r="G963" s="1921"/>
      <c r="H963" s="1644"/>
      <c r="I963" s="1644"/>
      <c r="J963" s="597"/>
      <c r="K963" s="1923">
        <f t="shared" ref="K963:K964" si="1173">$K$961</f>
        <v>3.9525000000000001</v>
      </c>
      <c r="L963" s="1921" t="s">
        <v>495</v>
      </c>
      <c r="M963" s="1924">
        <f t="shared" si="1168"/>
        <v>14.656000000000001</v>
      </c>
      <c r="N963" s="1921" t="s">
        <v>495</v>
      </c>
      <c r="O963" s="1920">
        <f>ROUND(O961/AB976,4)</f>
        <v>1.1943999999999999</v>
      </c>
      <c r="P963" s="1921" t="s">
        <v>495</v>
      </c>
      <c r="Q963" s="1942">
        <f>ROUND(Q961/$AB$976,4)</f>
        <v>19.802900000000001</v>
      </c>
      <c r="R963" s="1921" t="s">
        <v>495</v>
      </c>
      <c r="S963" s="1644">
        <f t="shared" si="1169"/>
        <v>2906937</v>
      </c>
      <c r="T963" s="1648"/>
      <c r="U963" s="1644">
        <f t="shared" si="1170"/>
        <v>10779019</v>
      </c>
      <c r="V963" s="1648"/>
      <c r="W963" s="1644">
        <f t="shared" si="1171"/>
        <v>878443</v>
      </c>
      <c r="X963" s="1648"/>
      <c r="Y963" s="1644">
        <f t="shared" si="1171"/>
        <v>14564400</v>
      </c>
      <c r="AA963" s="1942">
        <f>'BD-Redesign'!B9*100</f>
        <v>19.469000000000001</v>
      </c>
      <c r="AE963" s="1869">
        <f>O963+O965</f>
        <v>7.1943999999999999</v>
      </c>
      <c r="AG963" s="1869">
        <f>Q963+Q965</f>
        <v>25.802900000000001</v>
      </c>
    </row>
    <row r="964" spans="1:33">
      <c r="A964" s="1900" t="s">
        <v>1913</v>
      </c>
      <c r="C964" s="528">
        <f t="shared" ref="C964:D964" si="1174">C988+C1012+C1036</f>
        <v>72036642.888999879</v>
      </c>
      <c r="D964" s="528">
        <f t="shared" si="1174"/>
        <v>153778261</v>
      </c>
      <c r="E964" s="597"/>
      <c r="F964" s="1942"/>
      <c r="G964" s="1921"/>
      <c r="H964" s="1644"/>
      <c r="I964" s="1644"/>
      <c r="J964" s="597"/>
      <c r="K964" s="1923">
        <f t="shared" si="1173"/>
        <v>3.9525000000000001</v>
      </c>
      <c r="L964" s="1921" t="s">
        <v>495</v>
      </c>
      <c r="M964" s="1924">
        <f t="shared" si="1168"/>
        <v>-1.2646000000000002</v>
      </c>
      <c r="N964" s="1921" t="s">
        <v>495</v>
      </c>
      <c r="O964" s="1920">
        <f>O963</f>
        <v>1.1943999999999999</v>
      </c>
      <c r="P964" s="1921" t="s">
        <v>495</v>
      </c>
      <c r="Q964" s="1942">
        <f>ROUND(Q962/$AB$976,4)</f>
        <v>3.8822999999999999</v>
      </c>
      <c r="R964" s="1921" t="s">
        <v>495</v>
      </c>
      <c r="S964" s="1644">
        <f t="shared" si="1169"/>
        <v>6078086</v>
      </c>
      <c r="T964" s="1648"/>
      <c r="U964" s="1644">
        <f t="shared" si="1170"/>
        <v>-1944680</v>
      </c>
      <c r="V964" s="1648"/>
      <c r="W964" s="1644">
        <f t="shared" si="1171"/>
        <v>1836728</v>
      </c>
      <c r="X964" s="1648"/>
      <c r="Y964" s="1644">
        <f t="shared" si="1171"/>
        <v>5970133</v>
      </c>
      <c r="AA964" s="1942">
        <f>'BD-Redesign'!B10*100</f>
        <v>3.8282999999999996</v>
      </c>
      <c r="AE964" s="1869">
        <f>O964+O965</f>
        <v>7.1943999999999999</v>
      </c>
      <c r="AG964" s="1869">
        <f>Q964+Q965</f>
        <v>9.8823000000000008</v>
      </c>
    </row>
    <row r="965" spans="1:33">
      <c r="A965" s="1900" t="s">
        <v>1906</v>
      </c>
      <c r="C965" s="528">
        <f t="shared" ref="C965:D965" si="1175">C989+C1013+C1037</f>
        <v>28929914.642585691</v>
      </c>
      <c r="D965" s="528">
        <f t="shared" si="1175"/>
        <v>65422495.124639124</v>
      </c>
      <c r="E965" s="597"/>
      <c r="F965" s="1942"/>
      <c r="G965" s="1921"/>
      <c r="H965" s="1644"/>
      <c r="I965" s="1644"/>
      <c r="J965" s="597"/>
      <c r="K965" s="1923"/>
      <c r="L965" s="1921"/>
      <c r="M965" s="1923"/>
      <c r="N965" s="1921"/>
      <c r="O965" s="1920">
        <f>Q965</f>
        <v>6</v>
      </c>
      <c r="P965" s="1921" t="s">
        <v>495</v>
      </c>
      <c r="Q965" s="1942">
        <f>AA965*AB965</f>
        <v>6</v>
      </c>
      <c r="R965" s="1921" t="s">
        <v>495</v>
      </c>
      <c r="S965" s="1648"/>
      <c r="T965" s="1648"/>
      <c r="U965" s="1648"/>
      <c r="V965" s="1648"/>
      <c r="W965" s="1648">
        <f t="shared" ref="W965:W968" si="1176">Y965-S965-U965</f>
        <v>3925350</v>
      </c>
      <c r="X965" s="1648"/>
      <c r="Y965" s="1644">
        <f t="shared" si="1171"/>
        <v>3925350</v>
      </c>
      <c r="AA965" s="1942">
        <f>'BD-Redesign'!B11*100</f>
        <v>6</v>
      </c>
      <c r="AB965" s="1869">
        <v>1</v>
      </c>
      <c r="AE965" s="1869">
        <f>O966-O965</f>
        <v>-8.3358000000000008</v>
      </c>
      <c r="AG965" s="1869">
        <f>Q966-Q965</f>
        <v>-8.3358000000000008</v>
      </c>
    </row>
    <row r="966" spans="1:33">
      <c r="A966" s="1900" t="s">
        <v>1907</v>
      </c>
      <c r="C966" s="528">
        <f t="shared" ref="C966:D966" si="1177">C990+C1014+C1038</f>
        <v>26504970.605684984</v>
      </c>
      <c r="D966" s="528">
        <f t="shared" si="1177"/>
        <v>59917149</v>
      </c>
      <c r="E966" s="597"/>
      <c r="F966" s="1942"/>
      <c r="G966" s="1921"/>
      <c r="H966" s="1644"/>
      <c r="I966" s="1644"/>
      <c r="J966" s="597"/>
      <c r="K966" s="1923"/>
      <c r="L966" s="1921"/>
      <c r="M966" s="1923"/>
      <c r="N966" s="1921"/>
      <c r="O966" s="1920">
        <f t="shared" ref="O966:O968" si="1178">Q966</f>
        <v>-2.3358000000000008</v>
      </c>
      <c r="P966" s="1921" t="s">
        <v>495</v>
      </c>
      <c r="Q966" s="1942">
        <f>Q965-AB977</f>
        <v>-2.3358000000000008</v>
      </c>
      <c r="R966" s="1921" t="s">
        <v>495</v>
      </c>
      <c r="S966" s="1648"/>
      <c r="T966" s="1648"/>
      <c r="U966" s="1648"/>
      <c r="V966" s="1648"/>
      <c r="W966" s="1648">
        <f t="shared" si="1176"/>
        <v>-1399545</v>
      </c>
      <c r="X966" s="1648"/>
      <c r="Y966" s="1644">
        <f t="shared" si="1171"/>
        <v>-1399545</v>
      </c>
      <c r="AA966" s="1942">
        <f>'BD-Redesign'!B12*100</f>
        <v>-2.3357999999999999</v>
      </c>
      <c r="AE966" s="1869">
        <f>O968-O967</f>
        <v>-7.3768000000000002</v>
      </c>
      <c r="AG966" s="1869">
        <f>Q968-Q967</f>
        <v>-7.3768000000000002</v>
      </c>
    </row>
    <row r="967" spans="1:33">
      <c r="A967" s="1900" t="s">
        <v>1908</v>
      </c>
      <c r="C967" s="528">
        <f t="shared" ref="C967:D967" si="1179">C991+C1015+C1039</f>
        <v>58020904.957487509</v>
      </c>
      <c r="D967" s="528">
        <f t="shared" si="1179"/>
        <v>124025012</v>
      </c>
      <c r="E967" s="597"/>
      <c r="F967" s="1942"/>
      <c r="G967" s="1921"/>
      <c r="H967" s="1644"/>
      <c r="I967" s="1644"/>
      <c r="J967" s="597"/>
      <c r="K967" s="1923"/>
      <c r="L967" s="1921"/>
      <c r="M967" s="1923"/>
      <c r="N967" s="1921"/>
      <c r="O967" s="1920">
        <f t="shared" si="1178"/>
        <v>5.3097000000000003</v>
      </c>
      <c r="P967" s="1921" t="s">
        <v>495</v>
      </c>
      <c r="Q967" s="1942">
        <f>ROUND(Q965/$AB$976,4)</f>
        <v>5.3097000000000003</v>
      </c>
      <c r="R967" s="1921" t="s">
        <v>495</v>
      </c>
      <c r="S967" s="1648"/>
      <c r="T967" s="1648"/>
      <c r="U967" s="1648"/>
      <c r="V967" s="1648"/>
      <c r="W967" s="1648">
        <f t="shared" si="1176"/>
        <v>6585356</v>
      </c>
      <c r="X967" s="1648"/>
      <c r="Y967" s="1644">
        <f t="shared" si="1171"/>
        <v>6585356</v>
      </c>
      <c r="AA967" s="1942">
        <f>'BD-Redesign'!B13*100</f>
        <v>5.3096999999999994</v>
      </c>
    </row>
    <row r="968" spans="1:33">
      <c r="A968" s="1900" t="s">
        <v>1909</v>
      </c>
      <c r="C968" s="528">
        <f t="shared" ref="C968:D968" si="1180">C992+C1016+C1040</f>
        <v>48421212.647832997</v>
      </c>
      <c r="D968" s="528">
        <f t="shared" si="1180"/>
        <v>103300051</v>
      </c>
      <c r="E968" s="597"/>
      <c r="F968" s="1942"/>
      <c r="G968" s="1921"/>
      <c r="H968" s="1644"/>
      <c r="I968" s="1644"/>
      <c r="J968" s="597"/>
      <c r="K968" s="1923"/>
      <c r="L968" s="1921"/>
      <c r="M968" s="1923"/>
      <c r="N968" s="1921"/>
      <c r="O968" s="1920">
        <f t="shared" si="1178"/>
        <v>-2.0670999999999999</v>
      </c>
      <c r="P968" s="1921" t="s">
        <v>495</v>
      </c>
      <c r="Q968" s="1942">
        <f>ROUND(Q966/$AB$976,4)</f>
        <v>-2.0670999999999999</v>
      </c>
      <c r="R968" s="1921" t="s">
        <v>495</v>
      </c>
      <c r="S968" s="1648"/>
      <c r="T968" s="1648"/>
      <c r="U968" s="1648"/>
      <c r="V968" s="1648"/>
      <c r="W968" s="1648">
        <f t="shared" si="1176"/>
        <v>-2135315</v>
      </c>
      <c r="X968" s="1648"/>
      <c r="Y968" s="1644">
        <f t="shared" si="1171"/>
        <v>-2135315</v>
      </c>
      <c r="AA968" s="1942">
        <f>'BD-Redesign'!B14*100</f>
        <v>-2.0670999999999999</v>
      </c>
    </row>
    <row r="969" spans="1:33">
      <c r="A969" s="1900" t="s">
        <v>240</v>
      </c>
      <c r="C969" s="528">
        <f>C993+C1017+C1041</f>
        <v>30591.066666666738</v>
      </c>
      <c r="D969" s="528">
        <f>D993+D1017+D1041</f>
        <v>31870</v>
      </c>
      <c r="F969" s="1901">
        <v>54</v>
      </c>
      <c r="G969" s="1902"/>
      <c r="H969" s="1644">
        <f t="shared" ref="H969:I972" si="1181">ROUND($F969*C969,0)</f>
        <v>1651918</v>
      </c>
      <c r="I969" s="1644">
        <f t="shared" si="1181"/>
        <v>1720980</v>
      </c>
      <c r="K969" s="1901">
        <f>Q969</f>
        <v>54</v>
      </c>
      <c r="L969" s="1902"/>
      <c r="M969" s="1901"/>
      <c r="N969" s="1902"/>
      <c r="O969" s="1901"/>
      <c r="P969" s="1902"/>
      <c r="Q969" s="1901">
        <f>Q672</f>
        <v>54</v>
      </c>
      <c r="R969" s="1902"/>
      <c r="S969" s="1643">
        <f>Y969</f>
        <v>1720980</v>
      </c>
      <c r="T969" s="1643"/>
      <c r="U969" s="1643"/>
      <c r="V969" s="1643"/>
      <c r="W969" s="1643"/>
      <c r="X969" s="1643"/>
      <c r="Y969" s="1644">
        <f>ROUND($D969*Q969,0)</f>
        <v>1720980</v>
      </c>
      <c r="AA969" s="1903" t="s">
        <v>1741</v>
      </c>
      <c r="AB969" s="1904">
        <f>Y982+Y1076+Y1164</f>
        <v>47517911</v>
      </c>
      <c r="AC969" s="1953">
        <f>AC672</f>
        <v>1.0107646226535731</v>
      </c>
    </row>
    <row r="970" spans="1:33">
      <c r="A970" s="1900" t="s">
        <v>157</v>
      </c>
      <c r="C970" s="528">
        <f t="shared" ref="C970" si="1182">C994+C1018+C1042</f>
        <v>1056197.9999999977</v>
      </c>
      <c r="D970" s="528">
        <f t="shared" ref="D970:D978" si="1183">D994+D1018+D1042</f>
        <v>1149761</v>
      </c>
      <c r="E970" s="597"/>
      <c r="F970" s="1901">
        <v>6.52</v>
      </c>
      <c r="G970" s="1902"/>
      <c r="H970" s="1644">
        <f t="shared" si="1181"/>
        <v>6886411</v>
      </c>
      <c r="I970" s="1644">
        <f t="shared" si="1181"/>
        <v>7496442</v>
      </c>
      <c r="J970" s="597"/>
      <c r="K970" s="1901"/>
      <c r="L970" s="1902"/>
      <c r="M970" s="1901"/>
      <c r="N970" s="1902"/>
      <c r="O970" s="1901"/>
      <c r="P970" s="1902"/>
      <c r="Q970" s="1901"/>
      <c r="R970" s="1902"/>
      <c r="S970" s="1643"/>
      <c r="T970" s="1643"/>
      <c r="U970" s="1643"/>
      <c r="V970" s="1643"/>
      <c r="W970" s="1643"/>
      <c r="X970" s="1643"/>
      <c r="Y970" s="1644"/>
      <c r="AA970" s="1905" t="s">
        <v>1742</v>
      </c>
      <c r="AB970" s="1906">
        <f>AC969*AC970</f>
        <v>47517938.068475187</v>
      </c>
      <c r="AC970" s="1906">
        <f>(SUM(RateSpread!M26:M28)+RateSpread!M42*'Blocking-Step2'!I1925/('Blocking-Step2'!I1925+'Blocking-Step2'!I1933))*1000</f>
        <v>47011872.995441556</v>
      </c>
    </row>
    <row r="971" spans="1:33">
      <c r="A971" s="1900" t="s">
        <v>162</v>
      </c>
      <c r="C971" s="528">
        <f t="shared" ref="C971" si="1184">C995+C1019+C1043</f>
        <v>1254506.3692870212</v>
      </c>
      <c r="D971" s="528">
        <f t="shared" si="1183"/>
        <v>1365599</v>
      </c>
      <c r="E971" s="597"/>
      <c r="F971" s="1901">
        <v>5.47</v>
      </c>
      <c r="G971" s="1902"/>
      <c r="H971" s="1644">
        <f t="shared" si="1181"/>
        <v>6862150</v>
      </c>
      <c r="I971" s="1644">
        <f t="shared" si="1181"/>
        <v>7469827</v>
      </c>
      <c r="J971" s="597"/>
      <c r="K971" s="1901"/>
      <c r="L971" s="1902"/>
      <c r="M971" s="1901"/>
      <c r="N971" s="1902"/>
      <c r="O971" s="1901"/>
      <c r="P971" s="1902"/>
      <c r="Q971" s="1901"/>
      <c r="R971" s="1902"/>
      <c r="S971" s="1643"/>
      <c r="T971" s="1643"/>
      <c r="U971" s="1643"/>
      <c r="V971" s="1643"/>
      <c r="W971" s="1643"/>
      <c r="X971" s="1643"/>
      <c r="Y971" s="1644"/>
      <c r="AA971" s="1908" t="s">
        <v>87</v>
      </c>
      <c r="AB971" s="1909">
        <f>AB970-AB969</f>
        <v>27.068475186824799</v>
      </c>
      <c r="AC971" s="1869" t="s">
        <v>2310</v>
      </c>
    </row>
    <row r="972" spans="1:33">
      <c r="A972" s="1900" t="s">
        <v>261</v>
      </c>
      <c r="C972" s="528">
        <f t="shared" ref="C972" si="1185">C996+C1020+C1044</f>
        <v>188556.63934426199</v>
      </c>
      <c r="D972" s="528">
        <f t="shared" si="1183"/>
        <v>203454</v>
      </c>
      <c r="E972" s="597"/>
      <c r="F972" s="1901">
        <v>-0.61</v>
      </c>
      <c r="G972" s="1902"/>
      <c r="H972" s="1644">
        <f t="shared" si="1181"/>
        <v>-115020</v>
      </c>
      <c r="I972" s="1644">
        <f t="shared" si="1181"/>
        <v>-124107</v>
      </c>
      <c r="J972" s="597"/>
      <c r="K972" s="1901">
        <f>Q972</f>
        <v>-0.61</v>
      </c>
      <c r="L972" s="1902"/>
      <c r="M972" s="1901"/>
      <c r="N972" s="1902"/>
      <c r="O972" s="1901"/>
      <c r="P972" s="1902"/>
      <c r="Q972" s="1901">
        <f>F972</f>
        <v>-0.61</v>
      </c>
      <c r="R972" s="1902"/>
      <c r="S972" s="1643">
        <f>Y972</f>
        <v>-124107</v>
      </c>
      <c r="T972" s="1643"/>
      <c r="U972" s="1643"/>
      <c r="V972" s="1643"/>
      <c r="W972" s="1643"/>
      <c r="X972" s="1643"/>
      <c r="Y972" s="1644">
        <f>ROUND($D972*Q972,0)</f>
        <v>-124107</v>
      </c>
      <c r="AA972" s="1903" t="s">
        <v>1743</v>
      </c>
      <c r="AB972" s="1958">
        <f>AB969/(I982+I1076+I1164)-1</f>
        <v>2.9193767702622608E-2</v>
      </c>
      <c r="AC972" s="2036">
        <v>1.0529999999999999</v>
      </c>
    </row>
    <row r="973" spans="1:33">
      <c r="A973" s="1900" t="s">
        <v>188</v>
      </c>
      <c r="C973" s="528">
        <f t="shared" ref="C973" si="1186">C997+C1021+C1045</f>
        <v>72211859.805493146</v>
      </c>
      <c r="D973" s="528">
        <f t="shared" si="1183"/>
        <v>79326838.124639124</v>
      </c>
      <c r="E973" s="597"/>
      <c r="F973" s="1920">
        <v>11.926600000000001</v>
      </c>
      <c r="G973" s="1921" t="s">
        <v>495</v>
      </c>
      <c r="H973" s="1644">
        <f t="shared" ref="H973:I977" si="1187">ROUND($F973*C973/100,0)</f>
        <v>8612420</v>
      </c>
      <c r="I973" s="1644">
        <f t="shared" si="1187"/>
        <v>9460995</v>
      </c>
      <c r="J973" s="597"/>
      <c r="K973" s="1920"/>
      <c r="L973" s="1921"/>
      <c r="M973" s="1920"/>
      <c r="N973" s="1921"/>
      <c r="O973" s="1920"/>
      <c r="P973" s="1921"/>
      <c r="Q973" s="1920"/>
      <c r="R973" s="1921"/>
      <c r="S973" s="1648"/>
      <c r="T973" s="1648"/>
      <c r="U973" s="1648"/>
      <c r="V973" s="1648"/>
      <c r="W973" s="1648"/>
      <c r="X973" s="1648"/>
      <c r="Y973" s="1644"/>
      <c r="AA973" s="1905" t="s">
        <v>1744</v>
      </c>
      <c r="AB973" s="1953">
        <f>AB970/(I982+I1076+I1164)-1</f>
        <v>2.919435398062542E-2</v>
      </c>
      <c r="AC973" s="1644">
        <f>RateSpread!AF30*1000</f>
        <v>-1744.9486827481451</v>
      </c>
    </row>
    <row r="974" spans="1:33">
      <c r="A974" s="1900" t="s">
        <v>189</v>
      </c>
      <c r="C974" s="528">
        <f t="shared" ref="C974" si="1188">C998+C1022+C1046</f>
        <v>63753636.726301193</v>
      </c>
      <c r="D974" s="528">
        <f t="shared" si="1183"/>
        <v>70006450</v>
      </c>
      <c r="E974" s="597"/>
      <c r="F974" s="1920">
        <v>3.5908000000000002</v>
      </c>
      <c r="G974" s="1921" t="s">
        <v>495</v>
      </c>
      <c r="H974" s="1644">
        <f t="shared" si="1187"/>
        <v>2289266</v>
      </c>
      <c r="I974" s="1644">
        <f t="shared" si="1187"/>
        <v>2513792</v>
      </c>
      <c r="J974" s="597"/>
      <c r="K974" s="1920"/>
      <c r="L974" s="1921"/>
      <c r="M974" s="1920"/>
      <c r="N974" s="1921"/>
      <c r="O974" s="1920"/>
      <c r="P974" s="1921"/>
      <c r="Q974" s="1920"/>
      <c r="R974" s="1921"/>
      <c r="S974" s="1648"/>
      <c r="T974" s="1648"/>
      <c r="U974" s="1648"/>
      <c r="V974" s="1648"/>
      <c r="W974" s="1648"/>
      <c r="X974" s="1648"/>
      <c r="Y974" s="1644"/>
      <c r="AA974" s="1915" t="s">
        <v>1751</v>
      </c>
      <c r="AB974" s="1954">
        <f>(AB970-Y969-Y1065-Y1153-Y977)/SUM(I970:I976,I1066:I1072,I1154:I1160)-1</f>
        <v>-3.02818211541378E-3</v>
      </c>
    </row>
    <row r="975" spans="1:33">
      <c r="A975" s="1900" t="s">
        <v>163</v>
      </c>
      <c r="C975" s="528">
        <f t="shared" ref="C975" si="1189">C999+C1023+C1047</f>
        <v>101525113.29458006</v>
      </c>
      <c r="D975" s="528">
        <f t="shared" si="1183"/>
        <v>110209144</v>
      </c>
      <c r="E975" s="597"/>
      <c r="F975" s="1920">
        <v>9.9693000000000005</v>
      </c>
      <c r="G975" s="1921" t="s">
        <v>495</v>
      </c>
      <c r="H975" s="1644">
        <f t="shared" si="1187"/>
        <v>10121343</v>
      </c>
      <c r="I975" s="1644">
        <f t="shared" si="1187"/>
        <v>10987080</v>
      </c>
      <c r="J975" s="597"/>
      <c r="K975" s="1920"/>
      <c r="L975" s="1921"/>
      <c r="M975" s="1920"/>
      <c r="N975" s="1921"/>
      <c r="O975" s="1920"/>
      <c r="P975" s="1921"/>
      <c r="Q975" s="1920"/>
      <c r="R975" s="1921"/>
      <c r="S975" s="1648"/>
      <c r="T975" s="1648"/>
      <c r="U975" s="1648"/>
      <c r="V975" s="1648"/>
      <c r="W975" s="1648"/>
      <c r="X975" s="1648"/>
      <c r="Y975" s="1644"/>
      <c r="AA975" s="1104" t="s">
        <v>1743</v>
      </c>
      <c r="AB975" s="1890">
        <f>Y982/I982-1</f>
        <v>3.9341662558124657E-2</v>
      </c>
    </row>
    <row r="976" spans="1:33">
      <c r="A976" s="1900" t="s">
        <v>164</v>
      </c>
      <c r="C976" s="528">
        <f t="shared" ref="C976" si="1190">C1000+C1024+C1048</f>
        <v>85966694.527216792</v>
      </c>
      <c r="D976" s="528">
        <f t="shared" si="1183"/>
        <v>93122275</v>
      </c>
      <c r="E976" s="597"/>
      <c r="F976" s="1920">
        <v>3.0059999999999998</v>
      </c>
      <c r="G976" s="1921" t="s">
        <v>495</v>
      </c>
      <c r="H976" s="1644">
        <f t="shared" si="1187"/>
        <v>2584159</v>
      </c>
      <c r="I976" s="1644">
        <f t="shared" si="1187"/>
        <v>2799256</v>
      </c>
      <c r="J976" s="597"/>
      <c r="K976" s="1920"/>
      <c r="L976" s="1921"/>
      <c r="M976" s="1920"/>
      <c r="N976" s="1921"/>
      <c r="O976" s="1920"/>
      <c r="P976" s="1921"/>
      <c r="Q976" s="1920"/>
      <c r="R976" s="1921"/>
      <c r="S976" s="1648"/>
      <c r="T976" s="1648"/>
      <c r="U976" s="1648"/>
      <c r="V976" s="1648"/>
      <c r="W976" s="1648"/>
      <c r="X976" s="1648"/>
      <c r="Y976" s="1644"/>
      <c r="AA976" s="1109" t="s">
        <v>2180</v>
      </c>
      <c r="AB976" s="1959">
        <v>1.1299999999999999</v>
      </c>
    </row>
    <row r="977" spans="1:31">
      <c r="A977" s="1116" t="s">
        <v>1158</v>
      </c>
      <c r="C977" s="528">
        <f t="shared" ref="C977" si="1191">C1001+C1025+C1049</f>
        <v>26996026</v>
      </c>
      <c r="D977" s="528">
        <f t="shared" si="1183"/>
        <v>29568815</v>
      </c>
      <c r="F977" s="1943">
        <v>7.125</v>
      </c>
      <c r="G977" s="1921" t="s">
        <v>495</v>
      </c>
      <c r="H977" s="1644">
        <f t="shared" si="1187"/>
        <v>1923467</v>
      </c>
      <c r="I977" s="1644">
        <f t="shared" si="1187"/>
        <v>2106778</v>
      </c>
      <c r="K977" s="1923"/>
      <c r="L977" s="1921" t="s">
        <v>495</v>
      </c>
      <c r="M977" s="1923">
        <f>Q977</f>
        <v>7.125</v>
      </c>
      <c r="N977" s="1921" t="s">
        <v>495</v>
      </c>
      <c r="O977" s="1920"/>
      <c r="P977" s="1921" t="s">
        <v>495</v>
      </c>
      <c r="Q977" s="1943">
        <f>F977</f>
        <v>7.125</v>
      </c>
      <c r="R977" s="1921" t="s">
        <v>495</v>
      </c>
      <c r="S977" s="1648"/>
      <c r="T977" s="1648"/>
      <c r="U977" s="1648">
        <f>Y977</f>
        <v>2106778</v>
      </c>
      <c r="V977" s="1648"/>
      <c r="W977" s="1648"/>
      <c r="X977" s="1648"/>
      <c r="Y977" s="1644">
        <f t="shared" ref="Y977" si="1192">ROUND($D977*Q977/100,0)</f>
        <v>2106778</v>
      </c>
      <c r="AA977" s="1109" t="s">
        <v>1757</v>
      </c>
      <c r="AB977" s="1959">
        <f>F973-F974</f>
        <v>8.3358000000000008</v>
      </c>
    </row>
    <row r="978" spans="1:31">
      <c r="A978" s="1900" t="s">
        <v>246</v>
      </c>
      <c r="C978" s="529">
        <f t="shared" ref="C978" si="1193">C1002+C1026+C1050</f>
        <v>662780</v>
      </c>
      <c r="D978" s="529">
        <f t="shared" si="1183"/>
        <v>0</v>
      </c>
      <c r="H978" s="1030">
        <f>H1002+H1026+H1050</f>
        <v>97502</v>
      </c>
      <c r="I978" s="1030">
        <f t="shared" ref="I978" si="1194">I1002+I1026+I1050</f>
        <v>0</v>
      </c>
      <c r="Y978" s="1030"/>
      <c r="AA978" s="1109" t="s">
        <v>1938</v>
      </c>
      <c r="AB978" s="1917">
        <f>SUM(RateSpread!W26:W28,RateSpread!W42*'Blocking-Step2'!Y1899/('Blocking-Step2'!Y1899+'Blocking-Step2'!Y1917))*1000</f>
        <v>-1111777.2926630392</v>
      </c>
      <c r="AC978" s="1918">
        <f>ROUND(AB978/SUM(Y961:Y964,Y977,Y1057:Y1060,Y1889:Y1892)*AC972,4)</f>
        <v>-3.0599999999999999E-2</v>
      </c>
    </row>
    <row r="979" spans="1:31">
      <c r="A979" s="1900" t="s">
        <v>1240</v>
      </c>
      <c r="C979" s="584"/>
      <c r="D979" s="584"/>
      <c r="F979" s="1930">
        <v>-4.99E-2</v>
      </c>
      <c r="G979" s="597"/>
      <c r="H979" s="1644">
        <f>SUM(H973:H977)*$F979</f>
        <v>-1273979.6845</v>
      </c>
      <c r="I979" s="1644">
        <f>SUM(I973:I977)*$F979</f>
        <v>-1390608.2598999999</v>
      </c>
      <c r="K979" s="1930"/>
      <c r="L979" s="597"/>
      <c r="M979" s="1930"/>
      <c r="N979" s="597"/>
      <c r="O979" s="1931" t="str">
        <f>$O$43</f>
        <v>Tax Year 1 (7/1/2021)</v>
      </c>
      <c r="P979" s="597"/>
      <c r="Q979" s="1930">
        <f>AC978</f>
        <v>-3.0599999999999999E-2</v>
      </c>
      <c r="R979" s="597"/>
      <c r="S979" s="1645"/>
      <c r="T979" s="1645"/>
      <c r="U979" s="1645"/>
      <c r="V979" s="1645"/>
      <c r="W979" s="1645"/>
      <c r="X979" s="1645"/>
      <c r="Y979" s="1644">
        <f>Q979*SUM(Y961:Y964,Y977)</f>
        <v>-1106526.5388</v>
      </c>
      <c r="AA979" s="1109" t="s">
        <v>1939</v>
      </c>
      <c r="AB979" s="1917">
        <f>SUM(RateSpread!X26:X28,RateSpread!X42*'Blocking-Step2'!Y1899/('Blocking-Step2'!Y1899+'Blocking-Step2'!Y1917))*1000</f>
        <v>-603498.39543197386</v>
      </c>
      <c r="AC979" s="1918">
        <f>ROUND(AB979/SUM(Y961:Y964,Y977,Y1057:Y1060,Y1889:Y1892)*AC972,4)</f>
        <v>-1.66E-2</v>
      </c>
    </row>
    <row r="980" spans="1:31">
      <c r="A980" s="1900"/>
      <c r="C980" s="584"/>
      <c r="D980" s="584"/>
      <c r="F980" s="1930"/>
      <c r="G980" s="597"/>
      <c r="H980" s="1644"/>
      <c r="I980" s="1644"/>
      <c r="K980" s="1930"/>
      <c r="L980" s="597"/>
      <c r="M980" s="1930"/>
      <c r="N980" s="597"/>
      <c r="O980" s="1931" t="str">
        <f>$O$44</f>
        <v>Tax Year 2 (1/1/2022)</v>
      </c>
      <c r="P980" s="597"/>
      <c r="Q980" s="1930">
        <f>AC979</f>
        <v>-1.66E-2</v>
      </c>
      <c r="R980" s="597"/>
      <c r="S980" s="1645"/>
      <c r="T980" s="1645"/>
      <c r="U980" s="1645"/>
      <c r="V980" s="1645"/>
      <c r="W980" s="1645"/>
      <c r="X980" s="1645"/>
      <c r="Y980" s="1644">
        <f>Q980*SUM(Y961:Y964,Y977)</f>
        <v>-600272.56680000003</v>
      </c>
    </row>
    <row r="981" spans="1:31">
      <c r="A981" s="1116" t="s">
        <v>1317</v>
      </c>
      <c r="C981" s="584">
        <f t="shared" ref="C981:D981" si="1195">C1005+C1029+C1053</f>
        <v>-1494890</v>
      </c>
      <c r="D981" s="584">
        <f t="shared" si="1195"/>
        <v>-1649518</v>
      </c>
      <c r="F981" s="1930"/>
      <c r="G981" s="597"/>
      <c r="H981" s="1644"/>
      <c r="I981" s="1644"/>
      <c r="K981" s="1930"/>
      <c r="L981" s="597"/>
      <c r="M981" s="1930"/>
      <c r="N981" s="597"/>
      <c r="O981" s="1930"/>
      <c r="P981" s="597"/>
      <c r="Q981" s="1930"/>
      <c r="R981" s="597"/>
      <c r="S981" s="1645"/>
      <c r="T981" s="1645"/>
      <c r="U981" s="1645"/>
      <c r="V981" s="1645"/>
      <c r="W981" s="1645"/>
      <c r="X981" s="1645"/>
      <c r="Y981" s="1644"/>
      <c r="AA981" s="1933" t="s">
        <v>1660</v>
      </c>
      <c r="AB981" s="1933" t="s">
        <v>1661</v>
      </c>
      <c r="AC981" s="1933" t="s">
        <v>1662</v>
      </c>
      <c r="AD981" s="1933" t="s">
        <v>93</v>
      </c>
    </row>
    <row r="982" spans="1:31" ht="16.5" thickBot="1">
      <c r="A982" s="1900" t="s">
        <v>247</v>
      </c>
      <c r="C982" s="1949">
        <f>SUM(C973:C981)</f>
        <v>349621220.3535912</v>
      </c>
      <c r="D982" s="1949">
        <f>SUM(D973:D981)</f>
        <v>380584004.12463915</v>
      </c>
      <c r="F982" s="1939"/>
      <c r="H982" s="1647">
        <f>SUM(H969:H979)</f>
        <v>39639636.315499999</v>
      </c>
      <c r="I982" s="1647">
        <f>SUM(I969:I979)</f>
        <v>43040434.740099996</v>
      </c>
      <c r="K982" s="1939"/>
      <c r="M982" s="1939"/>
      <c r="O982" s="1939"/>
      <c r="Q982" s="1939"/>
      <c r="S982" s="1646">
        <f>$Y982*AA982/$AD982</f>
        <v>15536047.804713137</v>
      </c>
      <c r="T982" s="1646"/>
      <c r="U982" s="1646">
        <f>$Y982*AB982/$AD982</f>
        <v>17814790.7923574</v>
      </c>
      <c r="V982" s="1646"/>
      <c r="W982" s="1646">
        <f>Y982-S982-U982</f>
        <v>11382878.402929462</v>
      </c>
      <c r="Y982" s="1646">
        <f>SUM(Y961:Y978)</f>
        <v>44733717</v>
      </c>
      <c r="Z982" s="1936"/>
      <c r="AA982" s="1937">
        <f>'Unit Cost Target'!$E$87+'Unit Cost Target'!$E$123+'Unit Cost Target'!$E$129+'Unit Cost Target'!$E$75+'Unit Cost Target'!$E$81</f>
        <v>173645002.8371194</v>
      </c>
      <c r="AB982" s="1937">
        <f>'Unit Cost Target'!$E$45+'Unit Cost Target'!$E$51</f>
        <v>199114307.35577011</v>
      </c>
      <c r="AC982" s="1937">
        <f>'Unit Cost Target'!$E$33+'Unit Cost Target'!$E$39+'Unit Cost Target'!$E$63+'Unit Cost Target'!$E$69</f>
        <v>127225403.61723401</v>
      </c>
      <c r="AD982" s="1937">
        <f>SUM(AA982:AC982)</f>
        <v>499984713.8101235</v>
      </c>
      <c r="AE982" s="1937">
        <f>AD982-'Unit Cost Target'!$E$21</f>
        <v>0</v>
      </c>
    </row>
    <row r="983" spans="1:31" ht="16.5" hidden="1" thickTop="1">
      <c r="C983" s="528"/>
      <c r="D983" s="528"/>
      <c r="AA983" s="1937">
        <f>S982-SUM(S961:S981)</f>
        <v>101.80471313744783</v>
      </c>
      <c r="AB983" s="1937">
        <f>U982-SUM(U961:U981)</f>
        <v>-254.2076425999403</v>
      </c>
      <c r="AC983" s="1937">
        <f>W982-SUM(W961:W981)</f>
        <v>152.40292946249247</v>
      </c>
      <c r="AD983" s="1937">
        <f>SUM(AA983:AC983)</f>
        <v>0</v>
      </c>
      <c r="AE983" s="1937"/>
    </row>
    <row r="984" spans="1:31" hidden="1">
      <c r="A984" s="1897" t="s">
        <v>909</v>
      </c>
      <c r="C984" s="528"/>
      <c r="D984" s="528"/>
      <c r="F984" s="1943"/>
      <c r="G984" s="1957"/>
      <c r="K984" s="1943"/>
      <c r="L984" s="1957"/>
      <c r="M984" s="1943"/>
      <c r="N984" s="1957"/>
      <c r="O984" s="1943"/>
      <c r="P984" s="1957"/>
      <c r="Q984" s="1943"/>
      <c r="R984" s="1957"/>
      <c r="S984" s="1645"/>
      <c r="T984" s="1645"/>
      <c r="U984" s="1645"/>
      <c r="V984" s="1645"/>
      <c r="W984" s="1645"/>
      <c r="X984" s="1645"/>
    </row>
    <row r="985" spans="1:31" hidden="1">
      <c r="A985" s="1900" t="s">
        <v>1910</v>
      </c>
      <c r="C985" s="528">
        <f>'BD-Redesign'!F7</f>
        <v>195834</v>
      </c>
      <c r="D985" s="528">
        <f>D1006-SUM(D986:D988,D1001:D1005)</f>
        <v>476420</v>
      </c>
      <c r="E985" s="597"/>
      <c r="F985" s="1942"/>
      <c r="G985" s="1921"/>
      <c r="H985" s="1644"/>
      <c r="I985" s="1644"/>
      <c r="J985" s="597"/>
      <c r="K985" s="1942">
        <f>K961</f>
        <v>3.9525000000000001</v>
      </c>
      <c r="L985" s="1921" t="s">
        <v>495</v>
      </c>
      <c r="M985" s="1942">
        <f>M961</f>
        <v>17.075028114911813</v>
      </c>
      <c r="N985" s="1921" t="s">
        <v>495</v>
      </c>
      <c r="O985" s="1942">
        <f>O961</f>
        <v>1.3496999999999999</v>
      </c>
      <c r="P985" s="1921" t="s">
        <v>495</v>
      </c>
      <c r="Q985" s="1942">
        <f t="shared" ref="Q985:Q993" si="1196">Q961</f>
        <v>22.377228114911812</v>
      </c>
      <c r="R985" s="1921" t="s">
        <v>495</v>
      </c>
      <c r="S985" s="1644">
        <f>ROUND($D985*K985/100,0)</f>
        <v>18831</v>
      </c>
      <c r="T985" s="1648"/>
      <c r="U985" s="1644">
        <f>ROUND($D985*M985/100,0)</f>
        <v>81349</v>
      </c>
      <c r="V985" s="1648"/>
      <c r="W985" s="1644">
        <f>ROUND($D985*O985/100,0)</f>
        <v>6430</v>
      </c>
      <c r="X985" s="1648"/>
      <c r="Y985" s="1644">
        <f>ROUND($D985*Q985/100,0)</f>
        <v>106610</v>
      </c>
    </row>
    <row r="986" spans="1:31" hidden="1">
      <c r="A986" s="1900" t="s">
        <v>1911</v>
      </c>
      <c r="C986" s="528">
        <f>'BD-Redesign'!F8</f>
        <v>1401051</v>
      </c>
      <c r="D986" s="528">
        <f>ROUND(C986/(C985+C986)*(Energy!S11*(1-1/Energy!P11*('Blocking-Step2'!D1001+'Blocking-Step2'!D1005))),0)</f>
        <v>3408441</v>
      </c>
      <c r="E986" s="597"/>
      <c r="F986" s="1942"/>
      <c r="G986" s="1921"/>
      <c r="H986" s="1644"/>
      <c r="I986" s="1644"/>
      <c r="J986" s="597"/>
      <c r="K986" s="1942">
        <f t="shared" ref="K986" si="1197">K962</f>
        <v>3.9525000000000001</v>
      </c>
      <c r="L986" s="1921" t="s">
        <v>495</v>
      </c>
      <c r="M986" s="1942">
        <f t="shared" ref="M986" si="1198">M962</f>
        <v>-0.91518271744099966</v>
      </c>
      <c r="N986" s="1921" t="s">
        <v>495</v>
      </c>
      <c r="O986" s="1942">
        <f t="shared" ref="O986" si="1199">O962</f>
        <v>1.3496999999999999</v>
      </c>
      <c r="P986" s="1921" t="s">
        <v>495</v>
      </c>
      <c r="Q986" s="1942">
        <f t="shared" si="1196"/>
        <v>4.3870172825590004</v>
      </c>
      <c r="R986" s="1921" t="s">
        <v>495</v>
      </c>
      <c r="S986" s="1644">
        <f t="shared" ref="S986:S992" si="1200">ROUND($D986*K986/100,0)</f>
        <v>134719</v>
      </c>
      <c r="T986" s="1648"/>
      <c r="U986" s="1644">
        <f t="shared" ref="U986:U992" si="1201">ROUND($D986*M986/100,0)</f>
        <v>-31193</v>
      </c>
      <c r="V986" s="1648"/>
      <c r="W986" s="1644">
        <f t="shared" ref="W986:Y992" si="1202">ROUND($D986*O986/100,0)</f>
        <v>46004</v>
      </c>
      <c r="X986" s="1648"/>
      <c r="Y986" s="1644">
        <f t="shared" si="1202"/>
        <v>149529</v>
      </c>
    </row>
    <row r="987" spans="1:31" hidden="1">
      <c r="A987" s="1900" t="s">
        <v>1912</v>
      </c>
      <c r="C987" s="528">
        <f>'BD-Redesign'!F9</f>
        <v>338106.98885443184</v>
      </c>
      <c r="D987" s="528">
        <f>ROUND(C987/(C987+C988)*(Energy!T11*(1-1/Energy!P11*('Blocking-Step2'!D1001+'Blocking-Step2'!D1005))),0)</f>
        <v>714796</v>
      </c>
      <c r="E987" s="597"/>
      <c r="F987" s="1942"/>
      <c r="G987" s="1921"/>
      <c r="H987" s="1644"/>
      <c r="I987" s="1644"/>
      <c r="J987" s="597"/>
      <c r="K987" s="1942">
        <f t="shared" ref="K987" si="1203">K963</f>
        <v>3.9525000000000001</v>
      </c>
      <c r="L987" s="1921" t="s">
        <v>495</v>
      </c>
      <c r="M987" s="1942">
        <f t="shared" ref="M987" si="1204">M963</f>
        <v>14.656000000000001</v>
      </c>
      <c r="N987" s="1921" t="s">
        <v>495</v>
      </c>
      <c r="O987" s="1942">
        <f t="shared" ref="O987" si="1205">O963</f>
        <v>1.1943999999999999</v>
      </c>
      <c r="P987" s="1921" t="s">
        <v>495</v>
      </c>
      <c r="Q987" s="1942">
        <f t="shared" si="1196"/>
        <v>19.802900000000001</v>
      </c>
      <c r="R987" s="1921" t="s">
        <v>495</v>
      </c>
      <c r="S987" s="1644">
        <f t="shared" si="1200"/>
        <v>28252</v>
      </c>
      <c r="T987" s="1648"/>
      <c r="U987" s="1644">
        <f t="shared" si="1201"/>
        <v>104761</v>
      </c>
      <c r="V987" s="1648"/>
      <c r="W987" s="1644">
        <f t="shared" si="1202"/>
        <v>8538</v>
      </c>
      <c r="X987" s="1648"/>
      <c r="Y987" s="1644">
        <f t="shared" si="1202"/>
        <v>141550</v>
      </c>
    </row>
    <row r="988" spans="1:31" hidden="1">
      <c r="A988" s="1900" t="s">
        <v>1913</v>
      </c>
      <c r="C988" s="528">
        <f>'BD-Redesign'!F10</f>
        <v>2623727.011145568</v>
      </c>
      <c r="D988" s="528">
        <f>ROUND(C988/(C987+C988)*(Energy!T11*(1-1/Energy!P11*('Blocking-Step2'!D1001+'Blocking-Step2'!D1005))),0)</f>
        <v>5546852</v>
      </c>
      <c r="E988" s="597"/>
      <c r="F988" s="1942"/>
      <c r="G988" s="1921"/>
      <c r="H988" s="1644"/>
      <c r="I988" s="1644"/>
      <c r="J988" s="597"/>
      <c r="K988" s="1942">
        <f t="shared" ref="K988" si="1206">K964</f>
        <v>3.9525000000000001</v>
      </c>
      <c r="L988" s="1921" t="s">
        <v>495</v>
      </c>
      <c r="M988" s="1942">
        <f t="shared" ref="M988" si="1207">M964</f>
        <v>-1.2646000000000002</v>
      </c>
      <c r="N988" s="1921" t="s">
        <v>495</v>
      </c>
      <c r="O988" s="1942">
        <f t="shared" ref="O988" si="1208">O964</f>
        <v>1.1943999999999999</v>
      </c>
      <c r="P988" s="1921" t="s">
        <v>495</v>
      </c>
      <c r="Q988" s="1942">
        <f t="shared" si="1196"/>
        <v>3.8822999999999999</v>
      </c>
      <c r="R988" s="1921" t="s">
        <v>495</v>
      </c>
      <c r="S988" s="1644">
        <f t="shared" si="1200"/>
        <v>219239</v>
      </c>
      <c r="T988" s="1648"/>
      <c r="U988" s="1644">
        <f t="shared" si="1201"/>
        <v>-70145</v>
      </c>
      <c r="V988" s="1648"/>
      <c r="W988" s="1644">
        <f t="shared" si="1202"/>
        <v>66252</v>
      </c>
      <c r="X988" s="1648"/>
      <c r="Y988" s="1644">
        <f t="shared" si="1202"/>
        <v>215345</v>
      </c>
    </row>
    <row r="989" spans="1:31" hidden="1">
      <c r="A989" s="1900" t="s">
        <v>1906</v>
      </c>
      <c r="C989" s="528">
        <f>'BD-Redesign'!F11</f>
        <v>830941</v>
      </c>
      <c r="D989" s="528">
        <f>D1006-SUM(D990:D992,D1001:D1005)</f>
        <v>2021492</v>
      </c>
      <c r="E989" s="597"/>
      <c r="F989" s="1942"/>
      <c r="G989" s="1921"/>
      <c r="H989" s="1644"/>
      <c r="I989" s="1644"/>
      <c r="J989" s="597"/>
      <c r="K989" s="1942">
        <f t="shared" ref="K989" si="1209">K965</f>
        <v>0</v>
      </c>
      <c r="L989" s="1921" t="s">
        <v>495</v>
      </c>
      <c r="M989" s="1942">
        <f t="shared" ref="M989" si="1210">M965</f>
        <v>0</v>
      </c>
      <c r="N989" s="1921" t="s">
        <v>495</v>
      </c>
      <c r="O989" s="1942">
        <f t="shared" ref="O989" si="1211">O965</f>
        <v>6</v>
      </c>
      <c r="P989" s="1921" t="s">
        <v>495</v>
      </c>
      <c r="Q989" s="1942">
        <f t="shared" si="1196"/>
        <v>6</v>
      </c>
      <c r="R989" s="1921" t="s">
        <v>495</v>
      </c>
      <c r="S989" s="1644">
        <f t="shared" si="1200"/>
        <v>0</v>
      </c>
      <c r="T989" s="1648"/>
      <c r="U989" s="1644">
        <f t="shared" si="1201"/>
        <v>0</v>
      </c>
      <c r="V989" s="1648"/>
      <c r="W989" s="1644">
        <f t="shared" si="1202"/>
        <v>121290</v>
      </c>
      <c r="X989" s="1648"/>
      <c r="Y989" s="1644">
        <f t="shared" si="1202"/>
        <v>121290</v>
      </c>
    </row>
    <row r="990" spans="1:31" hidden="1">
      <c r="A990" s="1900" t="s">
        <v>1907</v>
      </c>
      <c r="C990" s="528">
        <f>'BD-Redesign'!F12</f>
        <v>765944</v>
      </c>
      <c r="D990" s="528">
        <f>ROUND(C990/(C989+C990)*(Energy!S11*(1-1/Energy!P11*('Blocking-Step2'!D1001+'Blocking-Step2'!D1005))),0)</f>
        <v>1863369</v>
      </c>
      <c r="E990" s="597"/>
      <c r="F990" s="1942"/>
      <c r="G990" s="1921"/>
      <c r="H990" s="1644"/>
      <c r="I990" s="1644"/>
      <c r="J990" s="597"/>
      <c r="K990" s="1942">
        <f t="shared" ref="K990" si="1212">K966</f>
        <v>0</v>
      </c>
      <c r="L990" s="1921" t="s">
        <v>495</v>
      </c>
      <c r="M990" s="1942">
        <f t="shared" ref="M990" si="1213">M966</f>
        <v>0</v>
      </c>
      <c r="N990" s="1921" t="s">
        <v>495</v>
      </c>
      <c r="O990" s="1942">
        <f t="shared" ref="O990" si="1214">O966</f>
        <v>-2.3358000000000008</v>
      </c>
      <c r="P990" s="1921" t="s">
        <v>495</v>
      </c>
      <c r="Q990" s="1942">
        <f t="shared" si="1196"/>
        <v>-2.3358000000000008</v>
      </c>
      <c r="R990" s="1921" t="s">
        <v>495</v>
      </c>
      <c r="S990" s="1644">
        <f t="shared" si="1200"/>
        <v>0</v>
      </c>
      <c r="T990" s="1648"/>
      <c r="U990" s="1644">
        <f t="shared" si="1201"/>
        <v>0</v>
      </c>
      <c r="V990" s="1648"/>
      <c r="W990" s="1644">
        <f t="shared" si="1202"/>
        <v>-43525</v>
      </c>
      <c r="X990" s="1648"/>
      <c r="Y990" s="1644">
        <f t="shared" si="1202"/>
        <v>-43525</v>
      </c>
    </row>
    <row r="991" spans="1:31" hidden="1">
      <c r="A991" s="1900" t="s">
        <v>1908</v>
      </c>
      <c r="C991" s="528">
        <f>'BD-Redesign'!F13</f>
        <v>1469173.5</v>
      </c>
      <c r="D991" s="528">
        <f>ROUND(C991/(C991+C992)*(Energy!T11*(1-1/Energy!P11*('Blocking-Step2'!D1001+'Blocking-Step2'!D1005))),0)</f>
        <v>3105997</v>
      </c>
      <c r="E991" s="597"/>
      <c r="F991" s="1942"/>
      <c r="G991" s="1921"/>
      <c r="H991" s="1644"/>
      <c r="I991" s="1644"/>
      <c r="J991" s="597"/>
      <c r="K991" s="1942">
        <f t="shared" ref="K991" si="1215">K967</f>
        <v>0</v>
      </c>
      <c r="L991" s="1921" t="s">
        <v>495</v>
      </c>
      <c r="M991" s="1942">
        <f t="shared" ref="M991" si="1216">M967</f>
        <v>0</v>
      </c>
      <c r="N991" s="1921" t="s">
        <v>495</v>
      </c>
      <c r="O991" s="1942">
        <f t="shared" ref="O991" si="1217">O967</f>
        <v>5.3097000000000003</v>
      </c>
      <c r="P991" s="1921" t="s">
        <v>495</v>
      </c>
      <c r="Q991" s="1942">
        <f t="shared" si="1196"/>
        <v>5.3097000000000003</v>
      </c>
      <c r="R991" s="1921" t="s">
        <v>495</v>
      </c>
      <c r="S991" s="1644">
        <f t="shared" si="1200"/>
        <v>0</v>
      </c>
      <c r="T991" s="1648"/>
      <c r="U991" s="1644">
        <f t="shared" si="1201"/>
        <v>0</v>
      </c>
      <c r="V991" s="1648"/>
      <c r="W991" s="1644">
        <f t="shared" si="1202"/>
        <v>164919</v>
      </c>
      <c r="X991" s="1648"/>
      <c r="Y991" s="1644">
        <f t="shared" si="1202"/>
        <v>164919</v>
      </c>
    </row>
    <row r="992" spans="1:31" hidden="1">
      <c r="A992" s="1900" t="s">
        <v>1909</v>
      </c>
      <c r="C992" s="528">
        <f>'BD-Redesign'!F14</f>
        <v>1492660.5</v>
      </c>
      <c r="D992" s="528">
        <f>ROUND(C992/(C991+C992)*(Energy!T11*(1-1/Energy!P11*('Blocking-Step2'!D1001+'Blocking-Step2'!D1005))),0)</f>
        <v>3155651</v>
      </c>
      <c r="E992" s="597"/>
      <c r="F992" s="1942"/>
      <c r="G992" s="1921"/>
      <c r="H992" s="1644"/>
      <c r="I992" s="1644"/>
      <c r="J992" s="597"/>
      <c r="K992" s="1942">
        <f t="shared" ref="K992" si="1218">K968</f>
        <v>0</v>
      </c>
      <c r="L992" s="1921" t="s">
        <v>495</v>
      </c>
      <c r="M992" s="1942">
        <f t="shared" ref="M992" si="1219">M968</f>
        <v>0</v>
      </c>
      <c r="N992" s="1921" t="s">
        <v>495</v>
      </c>
      <c r="O992" s="1942">
        <f t="shared" ref="O992" si="1220">O968</f>
        <v>-2.0670999999999999</v>
      </c>
      <c r="P992" s="1921" t="s">
        <v>495</v>
      </c>
      <c r="Q992" s="1942">
        <f t="shared" si="1196"/>
        <v>-2.0670999999999999</v>
      </c>
      <c r="R992" s="1921" t="s">
        <v>495</v>
      </c>
      <c r="S992" s="1644">
        <f t="shared" si="1200"/>
        <v>0</v>
      </c>
      <c r="T992" s="1648"/>
      <c r="U992" s="1644">
        <f t="shared" si="1201"/>
        <v>0</v>
      </c>
      <c r="V992" s="1648"/>
      <c r="W992" s="1644">
        <f t="shared" si="1202"/>
        <v>-65230</v>
      </c>
      <c r="X992" s="1648"/>
      <c r="Y992" s="1644">
        <f t="shared" si="1202"/>
        <v>-65230</v>
      </c>
    </row>
    <row r="993" spans="1:28" hidden="1">
      <c r="A993" s="1900" t="s">
        <v>240</v>
      </c>
      <c r="C993" s="528">
        <f>'6A'!H18</f>
        <v>336.86666666666702</v>
      </c>
      <c r="D993" s="528">
        <f>Bill!P11</f>
        <v>348</v>
      </c>
      <c r="F993" s="1944">
        <v>54</v>
      </c>
      <c r="G993" s="597"/>
      <c r="H993" s="1644">
        <f t="shared" ref="H993:I996" si="1221">ROUND($F993*C993,0)</f>
        <v>18191</v>
      </c>
      <c r="I993" s="1644">
        <f t="shared" si="1221"/>
        <v>18792</v>
      </c>
      <c r="K993" s="1901">
        <f t="shared" ref="K993" si="1222">K969</f>
        <v>54</v>
      </c>
      <c r="L993" s="1902"/>
      <c r="M993" s="1901">
        <f t="shared" ref="M993" si="1223">M969</f>
        <v>0</v>
      </c>
      <c r="N993" s="1902"/>
      <c r="O993" s="1901">
        <f t="shared" ref="O993" si="1224">O969</f>
        <v>0</v>
      </c>
      <c r="P993" s="1902"/>
      <c r="Q993" s="1901">
        <f t="shared" si="1196"/>
        <v>54</v>
      </c>
      <c r="R993" s="1902"/>
      <c r="S993" s="1644">
        <f>ROUND($D993*K993,0)</f>
        <v>18792</v>
      </c>
      <c r="T993" s="1643"/>
      <c r="U993" s="1644">
        <f>ROUND($D993*M993,0)</f>
        <v>0</v>
      </c>
      <c r="V993" s="1643"/>
      <c r="W993" s="1644">
        <f>ROUND($D993*O993,0)</f>
        <v>0</v>
      </c>
      <c r="X993" s="1643"/>
      <c r="Y993" s="1644">
        <f>ROUND($D993*Q993,0)</f>
        <v>18792</v>
      </c>
    </row>
    <row r="994" spans="1:28" hidden="1">
      <c r="A994" s="1900" t="s">
        <v>157</v>
      </c>
      <c r="C994" s="528">
        <f>'6A'!J18</f>
        <v>10419.506134969301</v>
      </c>
      <c r="D994" s="528">
        <f>ROUND(C994/C1006*D1006,0)</f>
        <v>11530</v>
      </c>
      <c r="F994" s="1944">
        <v>6.52</v>
      </c>
      <c r="G994" s="597"/>
      <c r="H994" s="1644">
        <f t="shared" si="1221"/>
        <v>67935</v>
      </c>
      <c r="I994" s="1644">
        <f t="shared" si="1221"/>
        <v>75176</v>
      </c>
      <c r="K994" s="1944"/>
      <c r="L994" s="597"/>
      <c r="M994" s="1944"/>
      <c r="N994" s="597"/>
      <c r="O994" s="1944"/>
      <c r="P994" s="597"/>
      <c r="Q994" s="1944"/>
      <c r="R994" s="597"/>
      <c r="S994" s="1644"/>
      <c r="T994" s="1645"/>
      <c r="U994" s="1644"/>
      <c r="V994" s="1645"/>
      <c r="W994" s="1644"/>
      <c r="X994" s="1645"/>
      <c r="Y994" s="1644"/>
    </row>
    <row r="995" spans="1:28" hidden="1">
      <c r="A995" s="1900" t="s">
        <v>162</v>
      </c>
      <c r="C995" s="528">
        <f>'6A'!K18</f>
        <v>12416.2285191956</v>
      </c>
      <c r="D995" s="528">
        <f>ROUND(C995/C1006*D1006,0)</f>
        <v>13740</v>
      </c>
      <c r="F995" s="1944">
        <v>5.47</v>
      </c>
      <c r="G995" s="597"/>
      <c r="H995" s="1644">
        <f t="shared" si="1221"/>
        <v>67917</v>
      </c>
      <c r="I995" s="1644">
        <f t="shared" si="1221"/>
        <v>75158</v>
      </c>
      <c r="K995" s="1944"/>
      <c r="L995" s="597"/>
      <c r="M995" s="1944"/>
      <c r="N995" s="597"/>
      <c r="O995" s="1944"/>
      <c r="P995" s="597"/>
      <c r="Q995" s="1944"/>
      <c r="R995" s="597"/>
      <c r="S995" s="1644"/>
      <c r="T995" s="1645"/>
      <c r="U995" s="1644"/>
      <c r="V995" s="1645"/>
      <c r="W995" s="1644"/>
      <c r="X995" s="1645"/>
      <c r="Y995" s="1644"/>
    </row>
    <row r="996" spans="1:28" hidden="1">
      <c r="A996" s="1900" t="s">
        <v>261</v>
      </c>
      <c r="C996" s="528">
        <f>'6A'!L18</f>
        <v>0</v>
      </c>
      <c r="D996" s="528">
        <f>ROUND(C996/C1006*D1006,0)</f>
        <v>0</v>
      </c>
      <c r="E996" s="597"/>
      <c r="F996" s="1944">
        <v>-0.61</v>
      </c>
      <c r="G996" s="597"/>
      <c r="H996" s="1644">
        <f t="shared" si="1221"/>
        <v>0</v>
      </c>
      <c r="I996" s="1644">
        <f t="shared" si="1221"/>
        <v>0</v>
      </c>
      <c r="J996" s="597"/>
      <c r="K996" s="1944">
        <f t="shared" ref="K996" si="1225">K972</f>
        <v>-0.61</v>
      </c>
      <c r="L996" s="597"/>
      <c r="M996" s="1944">
        <f t="shared" ref="M996" si="1226">M972</f>
        <v>0</v>
      </c>
      <c r="N996" s="597"/>
      <c r="O996" s="1944">
        <f t="shared" ref="O996" si="1227">O972</f>
        <v>0</v>
      </c>
      <c r="P996" s="597"/>
      <c r="Q996" s="1944">
        <f t="shared" ref="Q996" si="1228">Q972</f>
        <v>-0.61</v>
      </c>
      <c r="R996" s="597"/>
      <c r="S996" s="1644">
        <f>ROUND($D996*K996,0)</f>
        <v>0</v>
      </c>
      <c r="T996" s="1645"/>
      <c r="U996" s="1644">
        <f>ROUND($D996*M996,0)</f>
        <v>0</v>
      </c>
      <c r="V996" s="1645"/>
      <c r="W996" s="1644">
        <f>ROUND($D996*O996,0)</f>
        <v>0</v>
      </c>
      <c r="X996" s="1645"/>
      <c r="Y996" s="1644">
        <f>ROUND($D996*Q996,0)</f>
        <v>0</v>
      </c>
    </row>
    <row r="997" spans="1:28" hidden="1">
      <c r="A997" s="1900" t="s">
        <v>188</v>
      </c>
      <c r="C997" s="528">
        <f>'6A'!N18+'6A'!U18</f>
        <v>2029544</v>
      </c>
      <c r="D997" s="528">
        <f>D1006-SUM(D998:D1005)</f>
        <v>2379892</v>
      </c>
      <c r="E997" s="597"/>
      <c r="F997" s="1942">
        <v>11.926600000000001</v>
      </c>
      <c r="G997" s="1921" t="s">
        <v>495</v>
      </c>
      <c r="H997" s="1644">
        <f t="shared" ref="H997:I1001" si="1229">ROUND($F997*C997/100,0)</f>
        <v>242056</v>
      </c>
      <c r="I997" s="1644">
        <f t="shared" si="1229"/>
        <v>283840</v>
      </c>
      <c r="J997" s="597"/>
      <c r="K997" s="1942"/>
      <c r="L997" s="1921"/>
      <c r="M997" s="1942"/>
      <c r="N997" s="1921"/>
      <c r="O997" s="1942"/>
      <c r="P997" s="1921"/>
      <c r="Q997" s="1942"/>
      <c r="R997" s="1921"/>
      <c r="S997" s="1644"/>
      <c r="T997" s="1648"/>
      <c r="U997" s="1644"/>
      <c r="V997" s="1648"/>
      <c r="W997" s="1644"/>
      <c r="X997" s="1648"/>
      <c r="Y997" s="1644"/>
    </row>
    <row r="998" spans="1:28" hidden="1">
      <c r="A998" s="1900" t="s">
        <v>189</v>
      </c>
      <c r="C998" s="528">
        <f>'6A'!O18+'6A'!V18</f>
        <v>1892228</v>
      </c>
      <c r="D998" s="528">
        <f>ROUND(C998/(C997+C998)*(Energy!Q11*(1-1/Energy!P11*('Blocking-Step2'!D1001+'Blocking-Step2'!D1005))),0)</f>
        <v>2218872</v>
      </c>
      <c r="E998" s="597"/>
      <c r="F998" s="1942">
        <v>3.5908000000000002</v>
      </c>
      <c r="G998" s="1921" t="s">
        <v>495</v>
      </c>
      <c r="H998" s="1644">
        <f t="shared" si="1229"/>
        <v>67946</v>
      </c>
      <c r="I998" s="1644">
        <f t="shared" si="1229"/>
        <v>79675</v>
      </c>
      <c r="J998" s="597"/>
      <c r="K998" s="1942"/>
      <c r="L998" s="1921"/>
      <c r="M998" s="1942"/>
      <c r="N998" s="1921"/>
      <c r="O998" s="1942"/>
      <c r="P998" s="1921"/>
      <c r="Q998" s="1942"/>
      <c r="R998" s="1921"/>
      <c r="S998" s="1644"/>
      <c r="T998" s="1648"/>
      <c r="U998" s="1644"/>
      <c r="V998" s="1648"/>
      <c r="W998" s="1644"/>
      <c r="X998" s="1648"/>
      <c r="Y998" s="1644"/>
    </row>
    <row r="999" spans="1:28" hidden="1">
      <c r="A999" s="1900" t="s">
        <v>163</v>
      </c>
      <c r="C999" s="528">
        <f>'6A'!P18+'6A'!W18</f>
        <v>2570685</v>
      </c>
      <c r="D999" s="528">
        <f>ROUND(C999/(C999+C1000)*(Energy!R11*(1-1/Energy!P11*('Blocking-Step2'!D1001+'Blocking-Step2'!D1005))),0)</f>
        <v>2744885</v>
      </c>
      <c r="E999" s="597"/>
      <c r="F999" s="1942">
        <v>9.9693000000000005</v>
      </c>
      <c r="G999" s="1921" t="s">
        <v>495</v>
      </c>
      <c r="H999" s="1644">
        <f t="shared" si="1229"/>
        <v>256279</v>
      </c>
      <c r="I999" s="1644">
        <f t="shared" si="1229"/>
        <v>273646</v>
      </c>
      <c r="J999" s="597"/>
      <c r="K999" s="1942"/>
      <c r="L999" s="1921"/>
      <c r="M999" s="1942"/>
      <c r="N999" s="1921"/>
      <c r="O999" s="1942"/>
      <c r="P999" s="1921"/>
      <c r="Q999" s="1942"/>
      <c r="R999" s="1921"/>
      <c r="S999" s="1644"/>
      <c r="T999" s="1648"/>
      <c r="U999" s="1644"/>
      <c r="V999" s="1648"/>
      <c r="W999" s="1644"/>
      <c r="X999" s="1648"/>
      <c r="Y999" s="1644"/>
    </row>
    <row r="1000" spans="1:28" hidden="1">
      <c r="A1000" s="1900" t="s">
        <v>164</v>
      </c>
      <c r="C1000" s="528">
        <f>'6A'!Q18+'6A'!X18</f>
        <v>2624981</v>
      </c>
      <c r="D1000" s="528">
        <f>ROUND(C1000/(C999+C1000)*(Energy!R11*(1-1/Energy!P11*('Blocking-Step2'!D1001+'Blocking-Step2'!D1005))),0)</f>
        <v>2802860</v>
      </c>
      <c r="E1000" s="597"/>
      <c r="F1000" s="1942">
        <v>3.0059999999999998</v>
      </c>
      <c r="G1000" s="1921" t="s">
        <v>495</v>
      </c>
      <c r="H1000" s="1644">
        <f t="shared" si="1229"/>
        <v>78907</v>
      </c>
      <c r="I1000" s="1644">
        <f t="shared" si="1229"/>
        <v>84254</v>
      </c>
      <c r="J1000" s="597"/>
      <c r="K1000" s="1942"/>
      <c r="L1000" s="1921"/>
      <c r="M1000" s="1942"/>
      <c r="N1000" s="1921"/>
      <c r="O1000" s="1942"/>
      <c r="P1000" s="1921"/>
      <c r="Q1000" s="1942"/>
      <c r="R1000" s="1921"/>
      <c r="S1000" s="1644"/>
      <c r="T1000" s="1648"/>
      <c r="U1000" s="1644"/>
      <c r="V1000" s="1648"/>
      <c r="W1000" s="1644"/>
      <c r="X1000" s="1648"/>
      <c r="Y1000" s="1644"/>
    </row>
    <row r="1001" spans="1:28" hidden="1">
      <c r="A1001" s="1116" t="s">
        <v>1158</v>
      </c>
      <c r="C1001" s="528">
        <f>'6A'!S18</f>
        <v>0</v>
      </c>
      <c r="D1001" s="528">
        <f>ROUND(C1001/(C1006-C1002)*D1006,0)</f>
        <v>0</v>
      </c>
      <c r="F1001" s="1943">
        <v>7.125</v>
      </c>
      <c r="G1001" s="1921" t="s">
        <v>495</v>
      </c>
      <c r="H1001" s="1644">
        <f t="shared" si="1229"/>
        <v>0</v>
      </c>
      <c r="I1001" s="1644">
        <f t="shared" si="1229"/>
        <v>0</v>
      </c>
      <c r="K1001" s="1943">
        <f t="shared" ref="K1001" si="1230">K977</f>
        <v>0</v>
      </c>
      <c r="L1001" s="1921" t="s">
        <v>495</v>
      </c>
      <c r="M1001" s="1943">
        <f t="shared" ref="M1001" si="1231">M977</f>
        <v>7.125</v>
      </c>
      <c r="N1001" s="1921" t="s">
        <v>495</v>
      </c>
      <c r="O1001" s="1943">
        <f t="shared" ref="O1001" si="1232">O977</f>
        <v>0</v>
      </c>
      <c r="P1001" s="1921" t="s">
        <v>495</v>
      </c>
      <c r="Q1001" s="1943">
        <f t="shared" ref="Q1001" si="1233">Q977</f>
        <v>7.125</v>
      </c>
      <c r="R1001" s="1921" t="s">
        <v>495</v>
      </c>
      <c r="S1001" s="1644">
        <f t="shared" ref="S1001" si="1234">ROUND($D1001*K1001/100,0)</f>
        <v>0</v>
      </c>
      <c r="T1001" s="1648"/>
      <c r="U1001" s="1644">
        <f t="shared" ref="U1001" si="1235">ROUND($D1001*M1001/100,0)</f>
        <v>0</v>
      </c>
      <c r="V1001" s="1648"/>
      <c r="W1001" s="1644">
        <f t="shared" ref="W1001:Y1001" si="1236">ROUND($D1001*O1001/100,0)</f>
        <v>0</v>
      </c>
      <c r="X1001" s="1648"/>
      <c r="Y1001" s="1644">
        <f t="shared" si="1236"/>
        <v>0</v>
      </c>
    </row>
    <row r="1002" spans="1:28" hidden="1">
      <c r="A1002" s="1900" t="s">
        <v>246</v>
      </c>
      <c r="C1002" s="529">
        <f>'Table 2'!J20</f>
        <v>51579</v>
      </c>
      <c r="D1002" s="529">
        <v>0</v>
      </c>
      <c r="H1002" s="1030">
        <f>'Table 3'!F20</f>
        <v>4715</v>
      </c>
      <c r="I1002" s="1030">
        <v>0</v>
      </c>
      <c r="Y1002" s="1030"/>
    </row>
    <row r="1003" spans="1:28" hidden="1">
      <c r="A1003" s="1900" t="s">
        <v>1240</v>
      </c>
      <c r="C1003" s="584"/>
      <c r="D1003" s="584"/>
      <c r="F1003" s="1930">
        <v>-4.99E-2</v>
      </c>
      <c r="G1003" s="597"/>
      <c r="H1003" s="1644">
        <f>SUM(H997:H1001)*$F1003</f>
        <v>-32194.8812</v>
      </c>
      <c r="I1003" s="1644">
        <f>SUM(I997:I1001)*$F1003</f>
        <v>-35998.608500000002</v>
      </c>
      <c r="K1003" s="1930"/>
      <c r="L1003" s="597"/>
      <c r="M1003" s="1930"/>
      <c r="N1003" s="597"/>
      <c r="O1003" s="1931" t="str">
        <f>$O$43</f>
        <v>Tax Year 1 (7/1/2021)</v>
      </c>
      <c r="P1003" s="597"/>
      <c r="Q1003" s="1930">
        <f>$Q$979</f>
        <v>-3.0599999999999999E-2</v>
      </c>
      <c r="R1003" s="597"/>
      <c r="S1003" s="1645"/>
      <c r="T1003" s="1645"/>
      <c r="U1003" s="1645"/>
      <c r="V1003" s="1645"/>
      <c r="W1003" s="1645"/>
      <c r="X1003" s="1645"/>
      <c r="Y1003" s="1644">
        <f>Q1003*SUM(Y985:Y988,Y1001)</f>
        <v>-18758.840400000001</v>
      </c>
    </row>
    <row r="1004" spans="1:28" hidden="1">
      <c r="A1004" s="1900"/>
      <c r="C1004" s="584"/>
      <c r="D1004" s="584"/>
      <c r="F1004" s="1930"/>
      <c r="G1004" s="597"/>
      <c r="H1004" s="1644"/>
      <c r="I1004" s="1644"/>
      <c r="K1004" s="1930"/>
      <c r="L1004" s="597"/>
      <c r="M1004" s="1930"/>
      <c r="N1004" s="597"/>
      <c r="O1004" s="1931" t="str">
        <f>$O$44</f>
        <v>Tax Year 2 (1/1/2022)</v>
      </c>
      <c r="P1004" s="597"/>
      <c r="Q1004" s="1930">
        <f>$Q$980</f>
        <v>-1.66E-2</v>
      </c>
      <c r="R1004" s="597"/>
      <c r="S1004" s="1645"/>
      <c r="T1004" s="1645"/>
      <c r="U1004" s="1645"/>
      <c r="V1004" s="1645"/>
      <c r="W1004" s="1645"/>
      <c r="X1004" s="1645"/>
      <c r="Y1004" s="1644">
        <f>Q1004*SUM(Y985:Y988,Y1001)</f>
        <v>-10176.3644</v>
      </c>
    </row>
    <row r="1005" spans="1:28" hidden="1">
      <c r="A1005" s="1116" t="s">
        <v>1317</v>
      </c>
      <c r="C1005" s="584">
        <f>'6A'!AE18</f>
        <v>0</v>
      </c>
      <c r="D1005" s="528">
        <f>ROUND(C1005/(C1006-C1002)*D1006,0)</f>
        <v>0</v>
      </c>
      <c r="F1005" s="1930"/>
      <c r="G1005" s="597"/>
      <c r="H1005" s="1644"/>
      <c r="I1005" s="1644"/>
      <c r="K1005" s="1930"/>
      <c r="L1005" s="597"/>
      <c r="M1005" s="1930"/>
      <c r="N1005" s="597"/>
      <c r="O1005" s="1930"/>
      <c r="P1005" s="597"/>
      <c r="Q1005" s="1930"/>
      <c r="R1005" s="597"/>
      <c r="S1005" s="1645"/>
      <c r="T1005" s="1645"/>
      <c r="U1005" s="1645"/>
      <c r="V1005" s="1645"/>
      <c r="W1005" s="1645"/>
      <c r="X1005" s="1645"/>
      <c r="Y1005" s="1644"/>
    </row>
    <row r="1006" spans="1:28" ht="16.5" hidden="1" thickBot="1">
      <c r="A1006" s="1900" t="s">
        <v>247</v>
      </c>
      <c r="C1006" s="1949">
        <f>SUM(C997:C1005)</f>
        <v>9169017</v>
      </c>
      <c r="D1006" s="1949">
        <f>Energy!P11</f>
        <v>10146509</v>
      </c>
      <c r="E1006" s="597"/>
      <c r="F1006" s="1939"/>
      <c r="H1006" s="1647">
        <f>SUM(H993:H1003)</f>
        <v>771751.11880000005</v>
      </c>
      <c r="I1006" s="1647">
        <f>SUM(I993:I1003)</f>
        <v>854542.39150000003</v>
      </c>
      <c r="J1006" s="597"/>
      <c r="K1006" s="1939"/>
      <c r="M1006" s="1939"/>
      <c r="O1006" s="1939"/>
      <c r="Q1006" s="1939"/>
      <c r="S1006" s="1647">
        <f>SUM(S985:S1002)</f>
        <v>419833</v>
      </c>
      <c r="U1006" s="1647">
        <f>SUM(U985:U1002)</f>
        <v>84772</v>
      </c>
      <c r="W1006" s="1647">
        <f>SUM(W985:W1002)</f>
        <v>304678</v>
      </c>
      <c r="Y1006" s="1647">
        <f>SUM(Y985:Y1002)</f>
        <v>809280</v>
      </c>
      <c r="AA1006" s="1104" t="s">
        <v>1743</v>
      </c>
      <c r="AB1006" s="1890">
        <f>Y1006/I1006-1</f>
        <v>-5.2966818206115929E-2</v>
      </c>
    </row>
    <row r="1007" spans="1:28" ht="16.5" hidden="1" thickTop="1">
      <c r="E1007" s="597"/>
      <c r="J1007" s="597"/>
    </row>
    <row r="1008" spans="1:28" hidden="1">
      <c r="A1008" s="1897" t="s">
        <v>554</v>
      </c>
      <c r="C1008" s="528"/>
      <c r="D1008" s="528"/>
      <c r="F1008" s="1943"/>
      <c r="G1008" s="1957"/>
      <c r="K1008" s="1943"/>
      <c r="L1008" s="1957"/>
      <c r="M1008" s="1943"/>
      <c r="N1008" s="1957"/>
      <c r="O1008" s="1943"/>
      <c r="P1008" s="1957"/>
      <c r="Q1008" s="1943"/>
      <c r="R1008" s="1957"/>
      <c r="S1008" s="1645"/>
      <c r="T1008" s="1645"/>
      <c r="U1008" s="1645"/>
      <c r="V1008" s="1645"/>
      <c r="W1008" s="1645"/>
      <c r="X1008" s="1645"/>
    </row>
    <row r="1009" spans="1:25" hidden="1">
      <c r="A1009" s="1900" t="s">
        <v>1910</v>
      </c>
      <c r="C1009" s="528">
        <f>'BD-Redesign'!D7/('BD-Redesign'!D7+'BD-Redesign'!D8)*('Blocking-Step2'!C1013+'Blocking-Step2'!C1014)</f>
        <v>16432592.288788307</v>
      </c>
      <c r="D1009" s="528">
        <f>D1030-SUM(D1010:D1012,D1025:D1029)</f>
        <v>36693479.025227547</v>
      </c>
      <c r="E1009" s="597"/>
      <c r="F1009" s="1942"/>
      <c r="G1009" s="1921"/>
      <c r="H1009" s="1644"/>
      <c r="I1009" s="1644"/>
      <c r="J1009" s="597"/>
      <c r="K1009" s="1942">
        <f>K961</f>
        <v>3.9525000000000001</v>
      </c>
      <c r="L1009" s="1921" t="s">
        <v>495</v>
      </c>
      <c r="M1009" s="1942">
        <f>M961</f>
        <v>17.075028114911813</v>
      </c>
      <c r="N1009" s="1921" t="s">
        <v>495</v>
      </c>
      <c r="O1009" s="1942">
        <f>O961</f>
        <v>1.3496999999999999</v>
      </c>
      <c r="P1009" s="1921" t="s">
        <v>495</v>
      </c>
      <c r="Q1009" s="1942">
        <f t="shared" ref="Q1009:Q1017" si="1237">Q961</f>
        <v>22.377228114911812</v>
      </c>
      <c r="R1009" s="1921" t="s">
        <v>495</v>
      </c>
      <c r="S1009" s="1644">
        <f>ROUND($D1009*K1009/100,0)</f>
        <v>1450310</v>
      </c>
      <c r="T1009" s="1648"/>
      <c r="U1009" s="1644">
        <f>ROUND($D1009*M1009/100,0)</f>
        <v>6265422</v>
      </c>
      <c r="V1009" s="1648"/>
      <c r="W1009" s="1644">
        <f>ROUND($D1009*O1009/100,0)</f>
        <v>495252</v>
      </c>
      <c r="X1009" s="1648"/>
      <c r="Y1009" s="1644">
        <f>ROUND($D1009*Q1009/100,0)</f>
        <v>8210984</v>
      </c>
    </row>
    <row r="1010" spans="1:25" hidden="1">
      <c r="A1010" s="1900" t="s">
        <v>1911</v>
      </c>
      <c r="C1010" s="528">
        <f>C1013+C1014-C1009</f>
        <v>27155370.959482368</v>
      </c>
      <c r="D1010" s="528">
        <f>ROUND(C1010/(C1009+C1010)*(Energy!S32*(1-1/Energy!P32*('Blocking-Step2'!D1025+'Blocking-Step2'!D1029))),0)</f>
        <v>60637118</v>
      </c>
      <c r="E1010" s="597"/>
      <c r="F1010" s="1942"/>
      <c r="G1010" s="1921"/>
      <c r="H1010" s="1644"/>
      <c r="I1010" s="1644"/>
      <c r="J1010" s="597"/>
      <c r="K1010" s="1942">
        <f t="shared" ref="K1010" si="1238">K962</f>
        <v>3.9525000000000001</v>
      </c>
      <c r="L1010" s="1921" t="s">
        <v>495</v>
      </c>
      <c r="M1010" s="1942">
        <f t="shared" ref="M1010" si="1239">M962</f>
        <v>-0.91518271744099966</v>
      </c>
      <c r="N1010" s="1921" t="s">
        <v>495</v>
      </c>
      <c r="O1010" s="1942">
        <f t="shared" ref="O1010" si="1240">O962</f>
        <v>1.3496999999999999</v>
      </c>
      <c r="P1010" s="1921" t="s">
        <v>495</v>
      </c>
      <c r="Q1010" s="1942">
        <f t="shared" si="1237"/>
        <v>4.3870172825590004</v>
      </c>
      <c r="R1010" s="1921" t="s">
        <v>495</v>
      </c>
      <c r="S1010" s="1644">
        <f t="shared" ref="S1010:S1016" si="1241">ROUND($D1010*K1010/100,0)</f>
        <v>2396682</v>
      </c>
      <c r="T1010" s="1648"/>
      <c r="U1010" s="1644">
        <f t="shared" ref="U1010:U1016" si="1242">ROUND($D1010*M1010/100,0)</f>
        <v>-554940</v>
      </c>
      <c r="V1010" s="1648"/>
      <c r="W1010" s="1644">
        <f t="shared" ref="W1010:W1016" si="1243">ROUND($D1010*O1010/100,0)</f>
        <v>818419</v>
      </c>
      <c r="X1010" s="1648"/>
      <c r="Y1010" s="1644">
        <f t="shared" ref="Y1010:Y1016" si="1244">ROUND($D1010*Q1010/100,0)</f>
        <v>2660161</v>
      </c>
    </row>
    <row r="1011" spans="1:25" hidden="1">
      <c r="A1011" s="1900" t="s">
        <v>1912</v>
      </c>
      <c r="C1011" s="528">
        <f>'BD-Redesign'!D9/('BD-Redesign'!D9+'BD-Redesign'!D10)*('Blocking-Step2'!C1015+'Blocking-Step2'!C1016)</f>
        <v>28847444.946726855</v>
      </c>
      <c r="D1011" s="528">
        <f>ROUND(C1011/(C1011+C1012)*(Energy!T32*(1-1/Energy!P32*('Blocking-Step2'!D1025+'Blocking-Step2'!D1029))),0)</f>
        <v>61197596</v>
      </c>
      <c r="E1011" s="597"/>
      <c r="F1011" s="1942"/>
      <c r="G1011" s="1921"/>
      <c r="H1011" s="1644"/>
      <c r="I1011" s="1644"/>
      <c r="J1011" s="597"/>
      <c r="K1011" s="1942">
        <f t="shared" ref="K1011" si="1245">K963</f>
        <v>3.9525000000000001</v>
      </c>
      <c r="L1011" s="1921" t="s">
        <v>495</v>
      </c>
      <c r="M1011" s="1942">
        <f t="shared" ref="M1011" si="1246">M963</f>
        <v>14.656000000000001</v>
      </c>
      <c r="N1011" s="1921" t="s">
        <v>495</v>
      </c>
      <c r="O1011" s="1942">
        <f t="shared" ref="O1011" si="1247">O963</f>
        <v>1.1943999999999999</v>
      </c>
      <c r="P1011" s="1921" t="s">
        <v>495</v>
      </c>
      <c r="Q1011" s="1942">
        <f t="shared" si="1237"/>
        <v>19.802900000000001</v>
      </c>
      <c r="R1011" s="1921" t="s">
        <v>495</v>
      </c>
      <c r="S1011" s="1644">
        <f t="shared" si="1241"/>
        <v>2418835</v>
      </c>
      <c r="T1011" s="1648"/>
      <c r="U1011" s="1644">
        <f t="shared" si="1242"/>
        <v>8969120</v>
      </c>
      <c r="V1011" s="1648"/>
      <c r="W1011" s="1644">
        <f t="shared" si="1243"/>
        <v>730944</v>
      </c>
      <c r="X1011" s="1648"/>
      <c r="Y1011" s="1644">
        <f t="shared" si="1244"/>
        <v>12118899</v>
      </c>
    </row>
    <row r="1012" spans="1:25" hidden="1">
      <c r="A1012" s="1900" t="s">
        <v>1913</v>
      </c>
      <c r="C1012" s="528">
        <f>C1015+C1016-C1011</f>
        <v>60315072.658593655</v>
      </c>
      <c r="D1012" s="528">
        <f>ROUND(C1012/(C1011+C1012)*(Energy!T32*(1-1/Energy!P32*('Blocking-Step2'!D1025+'Blocking-Step2'!D1029))),0)</f>
        <v>127953706</v>
      </c>
      <c r="E1012" s="597"/>
      <c r="F1012" s="1942"/>
      <c r="G1012" s="1921"/>
      <c r="H1012" s="1644"/>
      <c r="I1012" s="1644"/>
      <c r="J1012" s="597"/>
      <c r="K1012" s="1942">
        <f t="shared" ref="K1012" si="1248">K964</f>
        <v>3.9525000000000001</v>
      </c>
      <c r="L1012" s="1921" t="s">
        <v>495</v>
      </c>
      <c r="M1012" s="1942">
        <f t="shared" ref="M1012" si="1249">M964</f>
        <v>-1.2646000000000002</v>
      </c>
      <c r="N1012" s="1921" t="s">
        <v>495</v>
      </c>
      <c r="O1012" s="1942">
        <f t="shared" ref="O1012" si="1250">O964</f>
        <v>1.1943999999999999</v>
      </c>
      <c r="P1012" s="1921" t="s">
        <v>495</v>
      </c>
      <c r="Q1012" s="1942">
        <f t="shared" si="1237"/>
        <v>3.8822999999999999</v>
      </c>
      <c r="R1012" s="1921" t="s">
        <v>495</v>
      </c>
      <c r="S1012" s="1644">
        <f t="shared" si="1241"/>
        <v>5057370</v>
      </c>
      <c r="T1012" s="1648"/>
      <c r="U1012" s="1644">
        <f t="shared" si="1242"/>
        <v>-1618103</v>
      </c>
      <c r="V1012" s="1648"/>
      <c r="W1012" s="1644">
        <f t="shared" si="1243"/>
        <v>1528279</v>
      </c>
      <c r="X1012" s="1648"/>
      <c r="Y1012" s="1644">
        <f t="shared" si="1244"/>
        <v>4967547</v>
      </c>
    </row>
    <row r="1013" spans="1:25" hidden="1">
      <c r="A1013" s="1900" t="s">
        <v>1906</v>
      </c>
      <c r="C1013" s="528">
        <f>'BD-Redesign'!D11+TempRevMay!C336-TempRevMay!M336-TempRevMay!W336</f>
        <v>22652511.642585691</v>
      </c>
      <c r="D1013" s="528">
        <f>D1030-SUM(D1014:D1016,D1025:D1029)</f>
        <v>50582370.025227547</v>
      </c>
      <c r="E1013" s="597"/>
      <c r="F1013" s="1942"/>
      <c r="G1013" s="1921"/>
      <c r="H1013" s="1644"/>
      <c r="I1013" s="1644"/>
      <c r="J1013" s="597"/>
      <c r="K1013" s="1942">
        <f t="shared" ref="K1013" si="1251">K965</f>
        <v>0</v>
      </c>
      <c r="L1013" s="1921" t="s">
        <v>495</v>
      </c>
      <c r="M1013" s="1942">
        <f t="shared" ref="M1013" si="1252">M965</f>
        <v>0</v>
      </c>
      <c r="N1013" s="1921" t="s">
        <v>495</v>
      </c>
      <c r="O1013" s="1942">
        <f t="shared" ref="O1013" si="1253">O965</f>
        <v>6</v>
      </c>
      <c r="P1013" s="1921" t="s">
        <v>495</v>
      </c>
      <c r="Q1013" s="1942">
        <f t="shared" si="1237"/>
        <v>6</v>
      </c>
      <c r="R1013" s="1921" t="s">
        <v>495</v>
      </c>
      <c r="S1013" s="1644">
        <f t="shared" si="1241"/>
        <v>0</v>
      </c>
      <c r="T1013" s="1648"/>
      <c r="U1013" s="1644">
        <f t="shared" si="1242"/>
        <v>0</v>
      </c>
      <c r="V1013" s="1648"/>
      <c r="W1013" s="1644">
        <f t="shared" si="1243"/>
        <v>3034942</v>
      </c>
      <c r="X1013" s="1648"/>
      <c r="Y1013" s="1644">
        <f t="shared" si="1244"/>
        <v>3034942</v>
      </c>
    </row>
    <row r="1014" spans="1:25" hidden="1">
      <c r="A1014" s="1900" t="s">
        <v>1907</v>
      </c>
      <c r="C1014" s="528">
        <f>'BD-Redesign'!D12+TempRevMay!C337-TempRevMay!M337-TempRevMay!W337</f>
        <v>20935451.605684984</v>
      </c>
      <c r="D1014" s="528">
        <f>ROUND(C1014/(C1013+C1014)*(Energy!S32*(1-1/Energy!P32*('Blocking-Step2'!D1025+'Blocking-Step2'!D1029))),0)</f>
        <v>46748227</v>
      </c>
      <c r="E1014" s="597"/>
      <c r="F1014" s="1942"/>
      <c r="G1014" s="1921"/>
      <c r="H1014" s="1644"/>
      <c r="I1014" s="1644"/>
      <c r="J1014" s="597"/>
      <c r="K1014" s="1942">
        <f t="shared" ref="K1014" si="1254">K966</f>
        <v>0</v>
      </c>
      <c r="L1014" s="1921" t="s">
        <v>495</v>
      </c>
      <c r="M1014" s="1942">
        <f t="shared" ref="M1014" si="1255">M966</f>
        <v>0</v>
      </c>
      <c r="N1014" s="1921" t="s">
        <v>495</v>
      </c>
      <c r="O1014" s="1942">
        <f t="shared" ref="O1014" si="1256">O966</f>
        <v>-2.3358000000000008</v>
      </c>
      <c r="P1014" s="1921" t="s">
        <v>495</v>
      </c>
      <c r="Q1014" s="1942">
        <f t="shared" si="1237"/>
        <v>-2.3358000000000008</v>
      </c>
      <c r="R1014" s="1921" t="s">
        <v>495</v>
      </c>
      <c r="S1014" s="1644">
        <f t="shared" si="1241"/>
        <v>0</v>
      </c>
      <c r="T1014" s="1648"/>
      <c r="U1014" s="1644">
        <f t="shared" si="1242"/>
        <v>0</v>
      </c>
      <c r="V1014" s="1648"/>
      <c r="W1014" s="1644">
        <f t="shared" si="1243"/>
        <v>-1091945</v>
      </c>
      <c r="X1014" s="1648"/>
      <c r="Y1014" s="1644">
        <f t="shared" si="1244"/>
        <v>-1091945</v>
      </c>
    </row>
    <row r="1015" spans="1:25" hidden="1">
      <c r="A1015" s="1900" t="s">
        <v>1908</v>
      </c>
      <c r="C1015" s="528">
        <f>'BD-Redesign'!D13+TempRevMay!C338-TempRevMay!M338-TempRevMay!W338</f>
        <v>47718230.957487509</v>
      </c>
      <c r="D1015" s="528">
        <f>ROUND(C1015/(C1015+C1016)*(Energy!T32*(1-1/Energy!P32*('Blocking-Step2'!D1025+'Blocking-Step2'!D1029))),0)</f>
        <v>101230492</v>
      </c>
      <c r="E1015" s="597"/>
      <c r="F1015" s="1942"/>
      <c r="G1015" s="1921"/>
      <c r="H1015" s="1644"/>
      <c r="I1015" s="1644"/>
      <c r="J1015" s="597"/>
      <c r="K1015" s="1942">
        <f t="shared" ref="K1015" si="1257">K967</f>
        <v>0</v>
      </c>
      <c r="L1015" s="1921" t="s">
        <v>495</v>
      </c>
      <c r="M1015" s="1942">
        <f t="shared" ref="M1015" si="1258">M967</f>
        <v>0</v>
      </c>
      <c r="N1015" s="1921" t="s">
        <v>495</v>
      </c>
      <c r="O1015" s="1942">
        <f t="shared" ref="O1015" si="1259">O967</f>
        <v>5.3097000000000003</v>
      </c>
      <c r="P1015" s="1921" t="s">
        <v>495</v>
      </c>
      <c r="Q1015" s="1942">
        <f t="shared" si="1237"/>
        <v>5.3097000000000003</v>
      </c>
      <c r="R1015" s="1921" t="s">
        <v>495</v>
      </c>
      <c r="S1015" s="1644">
        <f t="shared" si="1241"/>
        <v>0</v>
      </c>
      <c r="T1015" s="1648"/>
      <c r="U1015" s="1644">
        <f t="shared" si="1242"/>
        <v>0</v>
      </c>
      <c r="V1015" s="1648"/>
      <c r="W1015" s="1644">
        <f t="shared" si="1243"/>
        <v>5375035</v>
      </c>
      <c r="X1015" s="1648"/>
      <c r="Y1015" s="1644">
        <f t="shared" si="1244"/>
        <v>5375035</v>
      </c>
    </row>
    <row r="1016" spans="1:25" hidden="1">
      <c r="A1016" s="1900" t="s">
        <v>1909</v>
      </c>
      <c r="C1016" s="528">
        <f>'BD-Redesign'!D14+TempRevMay!C339-TempRevMay!M339-TempRevMay!W339</f>
        <v>41444286.647832997</v>
      </c>
      <c r="D1016" s="528">
        <f>ROUND(C1016/(C1015+C1016)*(Energy!T32*(1-1/Energy!P32*('Blocking-Step2'!D1025+'Blocking-Step2'!D1029))),0)</f>
        <v>87920810</v>
      </c>
      <c r="E1016" s="597"/>
      <c r="F1016" s="1942"/>
      <c r="G1016" s="1921"/>
      <c r="H1016" s="1644"/>
      <c r="I1016" s="1644"/>
      <c r="J1016" s="597"/>
      <c r="K1016" s="1942">
        <f t="shared" ref="K1016" si="1260">K968</f>
        <v>0</v>
      </c>
      <c r="L1016" s="1921" t="s">
        <v>495</v>
      </c>
      <c r="M1016" s="1942">
        <f t="shared" ref="M1016" si="1261">M968</f>
        <v>0</v>
      </c>
      <c r="N1016" s="1921" t="s">
        <v>495</v>
      </c>
      <c r="O1016" s="1942">
        <f t="shared" ref="O1016" si="1262">O968</f>
        <v>-2.0670999999999999</v>
      </c>
      <c r="P1016" s="1921" t="s">
        <v>495</v>
      </c>
      <c r="Q1016" s="1942">
        <f t="shared" si="1237"/>
        <v>-2.0670999999999999</v>
      </c>
      <c r="R1016" s="1921" t="s">
        <v>495</v>
      </c>
      <c r="S1016" s="1644">
        <f t="shared" si="1241"/>
        <v>0</v>
      </c>
      <c r="T1016" s="1648"/>
      <c r="U1016" s="1644">
        <f t="shared" si="1242"/>
        <v>0</v>
      </c>
      <c r="V1016" s="1648"/>
      <c r="W1016" s="1644">
        <f t="shared" si="1243"/>
        <v>-1817411</v>
      </c>
      <c r="X1016" s="1648"/>
      <c r="Y1016" s="1644">
        <f t="shared" si="1244"/>
        <v>-1817411</v>
      </c>
    </row>
    <row r="1017" spans="1:25" hidden="1">
      <c r="A1017" s="1900" t="s">
        <v>240</v>
      </c>
      <c r="C1017" s="528">
        <f>'6A'!H16</f>
        <v>27150.133333333401</v>
      </c>
      <c r="D1017" s="528">
        <f>Bill!P32</f>
        <v>28366</v>
      </c>
      <c r="F1017" s="1944">
        <v>54</v>
      </c>
      <c r="G1017" s="597"/>
      <c r="H1017" s="1644">
        <f t="shared" ref="H1017:I1020" si="1263">ROUND($F1017*C1017,0)</f>
        <v>1466107</v>
      </c>
      <c r="I1017" s="1644">
        <f t="shared" si="1263"/>
        <v>1531764</v>
      </c>
      <c r="K1017" s="1944">
        <f t="shared" ref="K1017" si="1264">K969</f>
        <v>54</v>
      </c>
      <c r="L1017" s="597"/>
      <c r="M1017" s="1944">
        <f t="shared" ref="M1017" si="1265">M969</f>
        <v>0</v>
      </c>
      <c r="N1017" s="597"/>
      <c r="O1017" s="1944">
        <f t="shared" ref="O1017" si="1266">O969</f>
        <v>0</v>
      </c>
      <c r="P1017" s="597"/>
      <c r="Q1017" s="1944">
        <f t="shared" si="1237"/>
        <v>54</v>
      </c>
      <c r="R1017" s="597"/>
      <c r="S1017" s="1644">
        <f>ROUND($D1017*K1017,0)</f>
        <v>1531764</v>
      </c>
      <c r="T1017" s="1643"/>
      <c r="U1017" s="1644">
        <f>ROUND($D1017*M1017,0)</f>
        <v>0</v>
      </c>
      <c r="V1017" s="1643"/>
      <c r="W1017" s="1644">
        <f>ROUND($D1017*O1017,0)</f>
        <v>0</v>
      </c>
      <c r="X1017" s="1645"/>
      <c r="Y1017" s="1644">
        <f>ROUND($D1017*Q1017,0)</f>
        <v>1531764</v>
      </c>
    </row>
    <row r="1018" spans="1:25" hidden="1">
      <c r="A1018" s="1900" t="s">
        <v>157</v>
      </c>
      <c r="C1018" s="528">
        <f>'6A'!J16</f>
        <v>874539.542944783</v>
      </c>
      <c r="D1018" s="528">
        <f>ROUND(C1018/C1030*D1030,0)</f>
        <v>939725</v>
      </c>
      <c r="F1018" s="1944">
        <v>6.52</v>
      </c>
      <c r="G1018" s="597"/>
      <c r="H1018" s="1644">
        <f t="shared" si="1263"/>
        <v>5701998</v>
      </c>
      <c r="I1018" s="1644">
        <f t="shared" si="1263"/>
        <v>6127007</v>
      </c>
      <c r="K1018" s="1944"/>
      <c r="L1018" s="597"/>
      <c r="M1018" s="1944"/>
      <c r="N1018" s="597"/>
      <c r="O1018" s="1944"/>
      <c r="P1018" s="597"/>
      <c r="Q1018" s="1944"/>
      <c r="R1018" s="597"/>
      <c r="S1018" s="1644"/>
      <c r="T1018" s="1645"/>
      <c r="U1018" s="1644"/>
      <c r="V1018" s="1645"/>
      <c r="W1018" s="1644"/>
      <c r="X1018" s="1645"/>
      <c r="Y1018" s="1644"/>
    </row>
    <row r="1019" spans="1:25" hidden="1">
      <c r="A1019" s="1900" t="s">
        <v>162</v>
      </c>
      <c r="C1019" s="528">
        <f>'6A'!K16</f>
        <v>1039150.685557588</v>
      </c>
      <c r="D1019" s="528">
        <f>ROUND(C1019/C1030*D1030,0)</f>
        <v>1116605</v>
      </c>
      <c r="F1019" s="1944">
        <v>5.47</v>
      </c>
      <c r="G1019" s="597"/>
      <c r="H1019" s="1644">
        <f t="shared" si="1263"/>
        <v>5684154</v>
      </c>
      <c r="I1019" s="1644">
        <f t="shared" si="1263"/>
        <v>6107829</v>
      </c>
      <c r="K1019" s="1944"/>
      <c r="L1019" s="597"/>
      <c r="M1019" s="1944"/>
      <c r="N1019" s="597"/>
      <c r="O1019" s="1944"/>
      <c r="P1019" s="597"/>
      <c r="Q1019" s="1944"/>
      <c r="R1019" s="597"/>
      <c r="S1019" s="1644"/>
      <c r="T1019" s="1645"/>
      <c r="U1019" s="1644"/>
      <c r="V1019" s="1645"/>
      <c r="W1019" s="1644"/>
      <c r="X1019" s="1645"/>
      <c r="Y1019" s="1644"/>
    </row>
    <row r="1020" spans="1:25" hidden="1">
      <c r="A1020" s="1900" t="s">
        <v>261</v>
      </c>
      <c r="C1020" s="528">
        <f>'6A'!L16</f>
        <v>178611.63934426199</v>
      </c>
      <c r="D1020" s="528">
        <f>ROUND(C1020/C1030*D1030,0)</f>
        <v>191925</v>
      </c>
      <c r="F1020" s="1944">
        <v>-0.61</v>
      </c>
      <c r="G1020" s="597"/>
      <c r="H1020" s="1644">
        <f t="shared" si="1263"/>
        <v>-108953</v>
      </c>
      <c r="I1020" s="1644">
        <f t="shared" si="1263"/>
        <v>-117074</v>
      </c>
      <c r="K1020" s="1944">
        <f t="shared" ref="K1020" si="1267">K972</f>
        <v>-0.61</v>
      </c>
      <c r="L1020" s="597"/>
      <c r="M1020" s="1944">
        <f t="shared" ref="M1020" si="1268">M972</f>
        <v>0</v>
      </c>
      <c r="N1020" s="597"/>
      <c r="O1020" s="1944">
        <f t="shared" ref="O1020" si="1269">O972</f>
        <v>0</v>
      </c>
      <c r="P1020" s="597"/>
      <c r="Q1020" s="1944">
        <f t="shared" ref="Q1020" si="1270">Q972</f>
        <v>-0.61</v>
      </c>
      <c r="R1020" s="597"/>
      <c r="S1020" s="1644">
        <f>ROUND($D1020*K1020,0)</f>
        <v>-117074</v>
      </c>
      <c r="T1020" s="1645"/>
      <c r="U1020" s="1644">
        <f>ROUND($D1020*M1020,0)</f>
        <v>0</v>
      </c>
      <c r="V1020" s="1645"/>
      <c r="W1020" s="1644">
        <f>ROUND($D1020*O1020,0)</f>
        <v>0</v>
      </c>
      <c r="X1020" s="1645"/>
      <c r="Y1020" s="1644">
        <f>ROUND($D1020*Q1020,0)</f>
        <v>-117074</v>
      </c>
    </row>
    <row r="1021" spans="1:25" hidden="1">
      <c r="A1021" s="1900" t="s">
        <v>188</v>
      </c>
      <c r="C1021" s="528">
        <f>'6A'!N16+'6A'!U16+TempRev!C336-TempRev!M336-TempRev!W336</f>
        <v>56775991.805493139</v>
      </c>
      <c r="D1021" s="528">
        <f>D1030-SUM(D1022:D1029)</f>
        <v>61555077.025227547</v>
      </c>
      <c r="F1021" s="1942">
        <v>11.926600000000001</v>
      </c>
      <c r="G1021" s="1921" t="s">
        <v>495</v>
      </c>
      <c r="H1021" s="1644">
        <f t="shared" ref="H1021:I1025" si="1271">ROUND($F1021*C1021/100,0)</f>
        <v>6771445</v>
      </c>
      <c r="I1021" s="1644">
        <f t="shared" si="1271"/>
        <v>7341428</v>
      </c>
      <c r="K1021" s="1942"/>
      <c r="L1021" s="1921"/>
      <c r="M1021" s="1942"/>
      <c r="N1021" s="1921"/>
      <c r="O1021" s="1942"/>
      <c r="P1021" s="1921"/>
      <c r="Q1021" s="1942"/>
      <c r="R1021" s="1921"/>
      <c r="S1021" s="1644"/>
      <c r="T1021" s="1648"/>
      <c r="U1021" s="1644"/>
      <c r="V1021" s="1648"/>
      <c r="W1021" s="1644"/>
      <c r="X1021" s="1648"/>
      <c r="Y1021" s="1644"/>
    </row>
    <row r="1022" spans="1:25" hidden="1">
      <c r="A1022" s="1900" t="s">
        <v>189</v>
      </c>
      <c r="C1022" s="528">
        <f>'6A'!O16+'6A'!V16+TempRev!C337-TempRev!M337-TempRev!W337</f>
        <v>50614516.726301193</v>
      </c>
      <c r="D1022" s="528">
        <f>ROUND(C1022/(C1021+C1022)*(Energy!Q32*(1-1/Energy!P32*('Blocking-Step2'!D1025+'Blocking-Step2'!D1029))),0)</f>
        <v>54874963</v>
      </c>
      <c r="E1022" s="597"/>
      <c r="F1022" s="1942">
        <v>3.5908000000000002</v>
      </c>
      <c r="G1022" s="1921" t="s">
        <v>495</v>
      </c>
      <c r="H1022" s="1644">
        <f t="shared" si="1271"/>
        <v>1817466</v>
      </c>
      <c r="I1022" s="1644">
        <f t="shared" si="1271"/>
        <v>1970450</v>
      </c>
      <c r="J1022" s="597"/>
      <c r="K1022" s="1942"/>
      <c r="L1022" s="1921"/>
      <c r="M1022" s="1942"/>
      <c r="N1022" s="1921"/>
      <c r="O1022" s="1942"/>
      <c r="P1022" s="1921"/>
      <c r="Q1022" s="1942"/>
      <c r="R1022" s="1921"/>
      <c r="S1022" s="1644"/>
      <c r="T1022" s="1648"/>
      <c r="U1022" s="1644"/>
      <c r="V1022" s="1648"/>
      <c r="W1022" s="1644"/>
      <c r="X1022" s="1648"/>
      <c r="Y1022" s="1644"/>
    </row>
    <row r="1023" spans="1:25" hidden="1">
      <c r="A1023" s="1900" t="s">
        <v>163</v>
      </c>
      <c r="C1023" s="528">
        <f>'6A'!P16+'6A'!W16+TempRev!C338-TempRev!M338-TempRev!W338</f>
        <v>83800827.294580057</v>
      </c>
      <c r="D1023" s="528">
        <f>ROUND(C1023/(C1023+C1024)*(Energy!R32*(1-1/Energy!P32*('Blocking-Step2'!D1025+'Blocking-Step2'!D1029))),0)</f>
        <v>90299396</v>
      </c>
      <c r="F1023" s="1942">
        <v>9.9693000000000005</v>
      </c>
      <c r="G1023" s="1921" t="s">
        <v>495</v>
      </c>
      <c r="H1023" s="1644">
        <f t="shared" si="1271"/>
        <v>8354356</v>
      </c>
      <c r="I1023" s="1644">
        <f t="shared" si="1271"/>
        <v>9002218</v>
      </c>
      <c r="K1023" s="1942"/>
      <c r="L1023" s="1921"/>
      <c r="M1023" s="1942"/>
      <c r="N1023" s="1921"/>
      <c r="O1023" s="1942"/>
      <c r="P1023" s="1921"/>
      <c r="Q1023" s="1942"/>
      <c r="R1023" s="1921"/>
      <c r="S1023" s="1644"/>
      <c r="T1023" s="1648"/>
      <c r="U1023" s="1644"/>
      <c r="V1023" s="1648"/>
      <c r="W1023" s="1644"/>
      <c r="X1023" s="1648"/>
      <c r="Y1023" s="1644"/>
    </row>
    <row r="1024" spans="1:25" hidden="1">
      <c r="A1024" s="1900" t="s">
        <v>164</v>
      </c>
      <c r="C1024" s="528">
        <f>'6A'!Q16+'6A'!X16+TempRev!C339-TempRev!M339-TempRev!W339</f>
        <v>74012924.527216792</v>
      </c>
      <c r="D1024" s="528">
        <f>ROUND(C1024/(C1023+C1024)*(Energy!R32*(1-1/Energy!P32*('Blocking-Step2'!D1025+'Blocking-Step2'!D1029))),0)</f>
        <v>79752463</v>
      </c>
      <c r="E1024" s="597"/>
      <c r="F1024" s="1942">
        <v>3.0059999999999998</v>
      </c>
      <c r="G1024" s="1921" t="s">
        <v>495</v>
      </c>
      <c r="H1024" s="1644">
        <f t="shared" si="1271"/>
        <v>2224829</v>
      </c>
      <c r="I1024" s="1644">
        <f t="shared" si="1271"/>
        <v>2397359</v>
      </c>
      <c r="J1024" s="597"/>
      <c r="K1024" s="1942"/>
      <c r="L1024" s="1921"/>
      <c r="M1024" s="1942"/>
      <c r="N1024" s="1921"/>
      <c r="O1024" s="1942"/>
      <c r="P1024" s="1921"/>
      <c r="Q1024" s="1942"/>
      <c r="R1024" s="1921"/>
      <c r="S1024" s="1644"/>
      <c r="T1024" s="1648"/>
      <c r="U1024" s="1644"/>
      <c r="V1024" s="1648"/>
      <c r="W1024" s="1644"/>
      <c r="X1024" s="1648"/>
      <c r="Y1024" s="1644"/>
    </row>
    <row r="1025" spans="1:28" hidden="1">
      <c r="A1025" s="1116" t="s">
        <v>1158</v>
      </c>
      <c r="C1025" s="528">
        <f>'6A'!S16</f>
        <v>20238626</v>
      </c>
      <c r="D1025" s="528">
        <f>ROUND(C1025/(C1030-C1026)*D1030,0)</f>
        <v>21862394</v>
      </c>
      <c r="F1025" s="1943">
        <v>7.125</v>
      </c>
      <c r="G1025" s="1921" t="s">
        <v>495</v>
      </c>
      <c r="H1025" s="1644">
        <f t="shared" si="1271"/>
        <v>1442002</v>
      </c>
      <c r="I1025" s="1644">
        <f t="shared" si="1271"/>
        <v>1557696</v>
      </c>
      <c r="K1025" s="1943">
        <f t="shared" ref="K1025" si="1272">K977</f>
        <v>0</v>
      </c>
      <c r="L1025" s="1921" t="s">
        <v>495</v>
      </c>
      <c r="M1025" s="1943">
        <f t="shared" ref="M1025" si="1273">M977</f>
        <v>7.125</v>
      </c>
      <c r="N1025" s="1921" t="s">
        <v>495</v>
      </c>
      <c r="O1025" s="1943">
        <f t="shared" ref="O1025" si="1274">O977</f>
        <v>0</v>
      </c>
      <c r="P1025" s="1921" t="s">
        <v>495</v>
      </c>
      <c r="Q1025" s="1943">
        <f t="shared" ref="Q1025" si="1275">Q977</f>
        <v>7.125</v>
      </c>
      <c r="R1025" s="1921" t="s">
        <v>495</v>
      </c>
      <c r="S1025" s="1644">
        <f t="shared" ref="S1025" si="1276">ROUND($D1025*K1025/100,0)</f>
        <v>0</v>
      </c>
      <c r="T1025" s="1648"/>
      <c r="U1025" s="1644">
        <f t="shared" ref="U1025" si="1277">ROUND($D1025*M1025/100,0)</f>
        <v>1557696</v>
      </c>
      <c r="V1025" s="1648"/>
      <c r="W1025" s="1644">
        <f t="shared" ref="W1025" si="1278">ROUND($D1025*O1025/100,0)</f>
        <v>0</v>
      </c>
      <c r="X1025" s="1648"/>
      <c r="Y1025" s="1644">
        <f t="shared" ref="Y1025" si="1279">ROUND($D1025*Q1025/100,0)</f>
        <v>1557696</v>
      </c>
    </row>
    <row r="1026" spans="1:28" hidden="1">
      <c r="A1026" s="1900" t="s">
        <v>246</v>
      </c>
      <c r="C1026" s="529">
        <f>'Table 2'!J48</f>
        <v>1507907</v>
      </c>
      <c r="D1026" s="529">
        <v>0</v>
      </c>
      <c r="H1026" s="1030">
        <f>'Table 3'!F48</f>
        <v>190811</v>
      </c>
      <c r="I1026" s="1030">
        <v>0</v>
      </c>
      <c r="Y1026" s="1030"/>
    </row>
    <row r="1027" spans="1:28" hidden="1">
      <c r="A1027" s="1900" t="s">
        <v>1240</v>
      </c>
      <c r="C1027" s="584"/>
      <c r="D1027" s="584"/>
      <c r="F1027" s="1930">
        <v>-4.99E-2</v>
      </c>
      <c r="G1027" s="597"/>
      <c r="H1027" s="1644">
        <f>SUM(H1021:H1025)*$F$1027</f>
        <v>-1028443.8902</v>
      </c>
      <c r="I1027" s="1644">
        <f>SUM(I1021:I1025)*$F$1027</f>
        <v>-1111230.6348999999</v>
      </c>
      <c r="K1027" s="1930"/>
      <c r="L1027" s="597"/>
      <c r="M1027" s="1930"/>
      <c r="N1027" s="597"/>
      <c r="O1027" s="1931" t="str">
        <f>$O$43</f>
        <v>Tax Year 1 (7/1/2021)</v>
      </c>
      <c r="P1027" s="597"/>
      <c r="Q1027" s="1930">
        <f>$Q$979</f>
        <v>-3.0599999999999999E-2</v>
      </c>
      <c r="R1027" s="597"/>
      <c r="S1027" s="1645"/>
      <c r="T1027" s="1645"/>
      <c r="U1027" s="1645"/>
      <c r="V1027" s="1645"/>
      <c r="W1027" s="1645"/>
      <c r="X1027" s="1645"/>
      <c r="Y1027" s="1644">
        <f>Q1027*SUM(Y1009:Y1012,Y1025)</f>
        <v>-903167.78220000002</v>
      </c>
    </row>
    <row r="1028" spans="1:28" hidden="1">
      <c r="A1028" s="1900"/>
      <c r="C1028" s="584"/>
      <c r="D1028" s="584"/>
      <c r="F1028" s="1930"/>
      <c r="G1028" s="597"/>
      <c r="H1028" s="1644"/>
      <c r="I1028" s="1644"/>
      <c r="K1028" s="1930"/>
      <c r="L1028" s="597"/>
      <c r="M1028" s="1930"/>
      <c r="N1028" s="597"/>
      <c r="O1028" s="1931" t="str">
        <f>$O$44</f>
        <v>Tax Year 2 (1/1/2022)</v>
      </c>
      <c r="P1028" s="597"/>
      <c r="Q1028" s="1930">
        <f>$Q$980</f>
        <v>-1.66E-2</v>
      </c>
      <c r="R1028" s="597"/>
      <c r="S1028" s="1645"/>
      <c r="T1028" s="1645"/>
      <c r="U1028" s="1645"/>
      <c r="V1028" s="1645"/>
      <c r="W1028" s="1645"/>
      <c r="X1028" s="1645"/>
      <c r="Y1028" s="1644">
        <f>Q1028*SUM(Y1009:Y1012,Y1025)</f>
        <v>-489953.76419999998</v>
      </c>
    </row>
    <row r="1029" spans="1:28" hidden="1">
      <c r="A1029" s="1116" t="s">
        <v>1317</v>
      </c>
      <c r="C1029" s="584">
        <f>'6A'!AE16</f>
        <v>-918722</v>
      </c>
      <c r="D1029" s="528">
        <f>ROUND(C1029/(C1030-C1026)*D1030,0)</f>
        <v>-992432</v>
      </c>
      <c r="F1029" s="1930"/>
      <c r="G1029" s="597"/>
      <c r="H1029" s="1644"/>
      <c r="I1029" s="1644"/>
      <c r="K1029" s="1930"/>
      <c r="L1029" s="597"/>
      <c r="M1029" s="1930"/>
      <c r="N1029" s="597"/>
      <c r="O1029" s="1930"/>
      <c r="P1029" s="597"/>
      <c r="Q1029" s="1930"/>
      <c r="R1029" s="597"/>
      <c r="S1029" s="1645"/>
      <c r="T1029" s="1645"/>
      <c r="U1029" s="1645"/>
      <c r="V1029" s="1645"/>
      <c r="W1029" s="1645"/>
      <c r="X1029" s="1645"/>
      <c r="Y1029" s="1644"/>
    </row>
    <row r="1030" spans="1:28" ht="16.5" hidden="1" thickBot="1">
      <c r="A1030" s="1900" t="s">
        <v>247</v>
      </c>
      <c r="C1030" s="1949">
        <f>SUM(C1021:C1029)</f>
        <v>286032071.3535912</v>
      </c>
      <c r="D1030" s="1949">
        <f>Energy!P32</f>
        <v>307351861.02522755</v>
      </c>
      <c r="F1030" s="1939"/>
      <c r="H1030" s="1647">
        <f>SUM(H1017:H1027)</f>
        <v>32515771.1098</v>
      </c>
      <c r="I1030" s="1647">
        <f>SUM(I1017:I1027)</f>
        <v>34807446.365099996</v>
      </c>
      <c r="K1030" s="1939"/>
      <c r="M1030" s="1939"/>
      <c r="O1030" s="1939"/>
      <c r="Q1030" s="1939"/>
      <c r="S1030" s="1647">
        <f>SUM(S1009:S1026)</f>
        <v>12737887</v>
      </c>
      <c r="U1030" s="1647">
        <f>SUM(U1009:U1026)</f>
        <v>14619195</v>
      </c>
      <c r="W1030" s="1647">
        <f>SUM(W1009:W1026)</f>
        <v>9073515</v>
      </c>
      <c r="Y1030" s="1647">
        <f>SUM(Y1009:Y1026)</f>
        <v>36430598</v>
      </c>
      <c r="AA1030" s="1104" t="s">
        <v>1743</v>
      </c>
      <c r="AB1030" s="1890">
        <f>Y1030/I1030-1</f>
        <v>4.6632310163593926E-2</v>
      </c>
    </row>
    <row r="1031" spans="1:28" ht="16.5" hidden="1" thickTop="1">
      <c r="C1031" s="528"/>
      <c r="D1031" s="528"/>
    </row>
    <row r="1032" spans="1:28" hidden="1">
      <c r="A1032" s="1897" t="s">
        <v>553</v>
      </c>
      <c r="C1032" s="528"/>
      <c r="D1032" s="528"/>
      <c r="F1032" s="1943"/>
      <c r="G1032" s="1957"/>
      <c r="K1032" s="1943"/>
      <c r="L1032" s="1957"/>
      <c r="M1032" s="1943"/>
      <c r="N1032" s="1957"/>
      <c r="O1032" s="1943"/>
      <c r="P1032" s="1957"/>
      <c r="Q1032" s="1943"/>
      <c r="R1032" s="1957"/>
      <c r="S1032" s="1645"/>
      <c r="T1032" s="1645"/>
      <c r="U1032" s="1645"/>
      <c r="V1032" s="1645"/>
      <c r="W1032" s="1645"/>
      <c r="X1032" s="1645"/>
    </row>
    <row r="1033" spans="1:28" hidden="1">
      <c r="A1033" s="1900" t="s">
        <v>1910</v>
      </c>
      <c r="C1033" s="528">
        <f>'BD-Redesign'!E7</f>
        <v>3150762.7990320884</v>
      </c>
      <c r="D1033" s="528">
        <f>D1054-SUM(D1034:D1036,D1049:D1053)</f>
        <v>7415542.099411577</v>
      </c>
      <c r="E1033" s="597"/>
      <c r="F1033" s="1942"/>
      <c r="G1033" s="1921"/>
      <c r="H1033" s="1644"/>
      <c r="I1033" s="1644"/>
      <c r="J1033" s="597"/>
      <c r="K1033" s="1942">
        <f t="shared" ref="K1033:K1040" si="1280">K961</f>
        <v>3.9525000000000001</v>
      </c>
      <c r="L1033" s="1921" t="s">
        <v>495</v>
      </c>
      <c r="M1033" s="1942">
        <f>M961</f>
        <v>17.075028114911813</v>
      </c>
      <c r="N1033" s="1921" t="s">
        <v>495</v>
      </c>
      <c r="O1033" s="1942">
        <f>O961</f>
        <v>1.3496999999999999</v>
      </c>
      <c r="P1033" s="1921" t="s">
        <v>495</v>
      </c>
      <c r="Q1033" s="1942">
        <f t="shared" ref="Q1033:Q1041" si="1281">Q961</f>
        <v>22.377228114911812</v>
      </c>
      <c r="R1033" s="1921" t="s">
        <v>495</v>
      </c>
      <c r="S1033" s="1644">
        <f>ROUND($D1033*K1033/100,0)</f>
        <v>293099</v>
      </c>
      <c r="T1033" s="1648"/>
      <c r="U1033" s="1644">
        <f>ROUND($D1033*M1033/100,0)</f>
        <v>1266206</v>
      </c>
      <c r="V1033" s="1648"/>
      <c r="W1033" s="1644">
        <f>ROUND($D1033*O1033/100,0)</f>
        <v>100088</v>
      </c>
      <c r="X1033" s="1648"/>
      <c r="Y1033" s="1644">
        <f>ROUND($D1033*Q1033/100,0)</f>
        <v>1659393</v>
      </c>
    </row>
    <row r="1034" spans="1:28" hidden="1">
      <c r="A1034" s="1900" t="s">
        <v>1911</v>
      </c>
      <c r="C1034" s="528">
        <f>'BD-Redesign'!E8</f>
        <v>7099274.2009679126</v>
      </c>
      <c r="D1034" s="528">
        <f>ROUND(C1034/(C1033+C1034)*(Energy!S57*(1-1/Energy!P57*('Blocking-Step2'!D1049+'Blocking-Step2'!D1053))),0)</f>
        <v>16708643</v>
      </c>
      <c r="E1034" s="597"/>
      <c r="F1034" s="1942"/>
      <c r="G1034" s="1921"/>
      <c r="H1034" s="1644"/>
      <c r="I1034" s="1644"/>
      <c r="J1034" s="597"/>
      <c r="K1034" s="1942">
        <f t="shared" si="1280"/>
        <v>3.9525000000000001</v>
      </c>
      <c r="L1034" s="1921" t="s">
        <v>495</v>
      </c>
      <c r="M1034" s="1942">
        <f t="shared" ref="M1034" si="1282">M962</f>
        <v>-0.91518271744099966</v>
      </c>
      <c r="N1034" s="1921" t="s">
        <v>495</v>
      </c>
      <c r="O1034" s="1942">
        <f t="shared" ref="O1034" si="1283">O962</f>
        <v>1.3496999999999999</v>
      </c>
      <c r="P1034" s="1921" t="s">
        <v>495</v>
      </c>
      <c r="Q1034" s="1942">
        <f t="shared" si="1281"/>
        <v>4.3870172825590004</v>
      </c>
      <c r="R1034" s="1921" t="s">
        <v>495</v>
      </c>
      <c r="S1034" s="1644">
        <f t="shared" ref="S1034:S1040" si="1284">ROUND($D1034*K1034/100,0)</f>
        <v>660409</v>
      </c>
      <c r="T1034" s="1648"/>
      <c r="U1034" s="1644">
        <f t="shared" ref="U1034:U1040" si="1285">ROUND($D1034*M1034/100,0)</f>
        <v>-152915</v>
      </c>
      <c r="V1034" s="1648"/>
      <c r="W1034" s="1644">
        <f t="shared" ref="W1034:W1040" si="1286">ROUND($D1034*O1034/100,0)</f>
        <v>225517</v>
      </c>
      <c r="X1034" s="1648"/>
      <c r="Y1034" s="1644">
        <f t="shared" ref="Y1034:Y1040" si="1287">ROUND($D1034*Q1034/100,0)</f>
        <v>733011</v>
      </c>
    </row>
    <row r="1035" spans="1:28" hidden="1">
      <c r="A1035" s="1900" t="s">
        <v>1912</v>
      </c>
      <c r="C1035" s="528">
        <f>'BD-Redesign'!E9</f>
        <v>5219922.7807393372</v>
      </c>
      <c r="D1035" s="528">
        <f>ROUND(C1035/(C1035+C1036)*(Energy!T57*(1-1/Energy!P57*('Blocking-Step2'!D1049+'Blocking-Step2'!D1053))),0)</f>
        <v>11634411</v>
      </c>
      <c r="E1035" s="597"/>
      <c r="F1035" s="1942"/>
      <c r="G1035" s="1921"/>
      <c r="H1035" s="1644"/>
      <c r="I1035" s="1644"/>
      <c r="J1035" s="597"/>
      <c r="K1035" s="1942">
        <f t="shared" si="1280"/>
        <v>3.9525000000000001</v>
      </c>
      <c r="L1035" s="1921" t="s">
        <v>495</v>
      </c>
      <c r="M1035" s="1942">
        <f t="shared" ref="M1035" si="1288">M963</f>
        <v>14.656000000000001</v>
      </c>
      <c r="N1035" s="1921" t="s">
        <v>495</v>
      </c>
      <c r="O1035" s="1942">
        <f t="shared" ref="O1035" si="1289">O963</f>
        <v>1.1943999999999999</v>
      </c>
      <c r="P1035" s="1921" t="s">
        <v>495</v>
      </c>
      <c r="Q1035" s="1942">
        <f t="shared" si="1281"/>
        <v>19.802900000000001</v>
      </c>
      <c r="R1035" s="1921" t="s">
        <v>495</v>
      </c>
      <c r="S1035" s="1644">
        <f t="shared" si="1284"/>
        <v>459850</v>
      </c>
      <c r="T1035" s="1648"/>
      <c r="U1035" s="1644">
        <f t="shared" si="1285"/>
        <v>1705139</v>
      </c>
      <c r="V1035" s="1648"/>
      <c r="W1035" s="1644">
        <f t="shared" si="1286"/>
        <v>138961</v>
      </c>
      <c r="X1035" s="1648"/>
      <c r="Y1035" s="1644">
        <f t="shared" si="1287"/>
        <v>2303951</v>
      </c>
    </row>
    <row r="1036" spans="1:28" hidden="1">
      <c r="A1036" s="1900" t="s">
        <v>1913</v>
      </c>
      <c r="C1036" s="528">
        <f>'BD-Redesign'!E10</f>
        <v>9097843.2192606572</v>
      </c>
      <c r="D1036" s="528">
        <f>ROUND(C1036/(C1035+C1036)*(Energy!T57*(1-1/Energy!P57*('Blocking-Step2'!D1049+'Blocking-Step2'!D1053))),0)</f>
        <v>20277703</v>
      </c>
      <c r="E1036" s="597"/>
      <c r="F1036" s="1942"/>
      <c r="G1036" s="1921"/>
      <c r="H1036" s="1644"/>
      <c r="I1036" s="1644"/>
      <c r="J1036" s="597"/>
      <c r="K1036" s="1942">
        <f t="shared" si="1280"/>
        <v>3.9525000000000001</v>
      </c>
      <c r="L1036" s="1921" t="s">
        <v>495</v>
      </c>
      <c r="M1036" s="1942">
        <f t="shared" ref="M1036" si="1290">M964</f>
        <v>-1.2646000000000002</v>
      </c>
      <c r="N1036" s="1921" t="s">
        <v>495</v>
      </c>
      <c r="O1036" s="1942">
        <f t="shared" ref="O1036" si="1291">O964</f>
        <v>1.1943999999999999</v>
      </c>
      <c r="P1036" s="1921" t="s">
        <v>495</v>
      </c>
      <c r="Q1036" s="1942">
        <f t="shared" si="1281"/>
        <v>3.8822999999999999</v>
      </c>
      <c r="R1036" s="1921" t="s">
        <v>495</v>
      </c>
      <c r="S1036" s="1644">
        <f t="shared" si="1284"/>
        <v>801476</v>
      </c>
      <c r="T1036" s="1648"/>
      <c r="U1036" s="1644">
        <f t="shared" si="1285"/>
        <v>-256432</v>
      </c>
      <c r="V1036" s="1648"/>
      <c r="W1036" s="1644">
        <f t="shared" si="1286"/>
        <v>242197</v>
      </c>
      <c r="X1036" s="1648"/>
      <c r="Y1036" s="1644">
        <f t="shared" si="1287"/>
        <v>787241</v>
      </c>
    </row>
    <row r="1037" spans="1:28" hidden="1">
      <c r="A1037" s="1900" t="s">
        <v>1906</v>
      </c>
      <c r="C1037" s="528">
        <f>'BD-Redesign'!E11</f>
        <v>5446462</v>
      </c>
      <c r="D1037" s="528">
        <f>D1054-SUM(D1038:D1040,D1049:D1053)</f>
        <v>12818633.099411577</v>
      </c>
      <c r="E1037" s="597"/>
      <c r="F1037" s="1942"/>
      <c r="G1037" s="1921"/>
      <c r="H1037" s="1644"/>
      <c r="I1037" s="1644"/>
      <c r="J1037" s="597"/>
      <c r="K1037" s="1942">
        <f t="shared" si="1280"/>
        <v>0</v>
      </c>
      <c r="L1037" s="1921" t="s">
        <v>495</v>
      </c>
      <c r="M1037" s="1942">
        <f t="shared" ref="M1037" si="1292">M965</f>
        <v>0</v>
      </c>
      <c r="N1037" s="1921" t="s">
        <v>495</v>
      </c>
      <c r="O1037" s="1942">
        <f t="shared" ref="O1037" si="1293">O965</f>
        <v>6</v>
      </c>
      <c r="P1037" s="1921" t="s">
        <v>495</v>
      </c>
      <c r="Q1037" s="1942">
        <f t="shared" si="1281"/>
        <v>6</v>
      </c>
      <c r="R1037" s="1921" t="s">
        <v>495</v>
      </c>
      <c r="S1037" s="1644">
        <f t="shared" si="1284"/>
        <v>0</v>
      </c>
      <c r="T1037" s="1648"/>
      <c r="U1037" s="1644">
        <f t="shared" si="1285"/>
        <v>0</v>
      </c>
      <c r="V1037" s="1648"/>
      <c r="W1037" s="1644">
        <f t="shared" si="1286"/>
        <v>769118</v>
      </c>
      <c r="X1037" s="1648"/>
      <c r="Y1037" s="1644">
        <f t="shared" si="1287"/>
        <v>769118</v>
      </c>
    </row>
    <row r="1038" spans="1:28" hidden="1">
      <c r="A1038" s="1900" t="s">
        <v>1907</v>
      </c>
      <c r="C1038" s="528">
        <f>'BD-Redesign'!E12</f>
        <v>4803575</v>
      </c>
      <c r="D1038" s="528">
        <f>ROUND(C1038/(C1037+C1038)*(Energy!S57*(1-1/Energy!P57*('Blocking-Step2'!D1049+'Blocking-Step2'!D1053))),0)</f>
        <v>11305553</v>
      </c>
      <c r="E1038" s="597"/>
      <c r="F1038" s="1942"/>
      <c r="G1038" s="1921"/>
      <c r="H1038" s="1644"/>
      <c r="I1038" s="1644"/>
      <c r="J1038" s="597"/>
      <c r="K1038" s="1942">
        <f t="shared" si="1280"/>
        <v>0</v>
      </c>
      <c r="L1038" s="1921" t="s">
        <v>495</v>
      </c>
      <c r="M1038" s="1942">
        <f t="shared" ref="M1038" si="1294">M966</f>
        <v>0</v>
      </c>
      <c r="N1038" s="1921" t="s">
        <v>495</v>
      </c>
      <c r="O1038" s="1942">
        <f t="shared" ref="O1038" si="1295">O966</f>
        <v>-2.3358000000000008</v>
      </c>
      <c r="P1038" s="1921" t="s">
        <v>495</v>
      </c>
      <c r="Q1038" s="1942">
        <f t="shared" si="1281"/>
        <v>-2.3358000000000008</v>
      </c>
      <c r="R1038" s="1921" t="s">
        <v>495</v>
      </c>
      <c r="S1038" s="1644">
        <f t="shared" si="1284"/>
        <v>0</v>
      </c>
      <c r="T1038" s="1648"/>
      <c r="U1038" s="1644">
        <f t="shared" si="1285"/>
        <v>0</v>
      </c>
      <c r="V1038" s="1648"/>
      <c r="W1038" s="1644">
        <f t="shared" si="1286"/>
        <v>-264075</v>
      </c>
      <c r="X1038" s="1648"/>
      <c r="Y1038" s="1644">
        <f t="shared" si="1287"/>
        <v>-264075</v>
      </c>
    </row>
    <row r="1039" spans="1:28" hidden="1">
      <c r="A1039" s="1900" t="s">
        <v>1908</v>
      </c>
      <c r="C1039" s="528">
        <f>'BD-Redesign'!E13</f>
        <v>8833500.5</v>
      </c>
      <c r="D1039" s="528">
        <f>ROUND(C1039/(C1039+C1040)*(Energy!T57*(1-1/Energy!P57*('Blocking-Step2'!D1049+'Blocking-Step2'!D1053))),0)</f>
        <v>19688523</v>
      </c>
      <c r="E1039" s="597"/>
      <c r="F1039" s="1942"/>
      <c r="G1039" s="1921"/>
      <c r="H1039" s="1644"/>
      <c r="I1039" s="1644"/>
      <c r="J1039" s="597"/>
      <c r="K1039" s="1942">
        <f t="shared" si="1280"/>
        <v>0</v>
      </c>
      <c r="L1039" s="1921" t="s">
        <v>495</v>
      </c>
      <c r="M1039" s="1942">
        <f t="shared" ref="M1039" si="1296">M967</f>
        <v>0</v>
      </c>
      <c r="N1039" s="1921" t="s">
        <v>495</v>
      </c>
      <c r="O1039" s="1942">
        <f t="shared" ref="O1039" si="1297">O967</f>
        <v>5.3097000000000003</v>
      </c>
      <c r="P1039" s="1921" t="s">
        <v>495</v>
      </c>
      <c r="Q1039" s="1942">
        <f t="shared" si="1281"/>
        <v>5.3097000000000003</v>
      </c>
      <c r="R1039" s="1921" t="s">
        <v>495</v>
      </c>
      <c r="S1039" s="1644">
        <f t="shared" si="1284"/>
        <v>0</v>
      </c>
      <c r="T1039" s="1648"/>
      <c r="U1039" s="1644">
        <f t="shared" si="1285"/>
        <v>0</v>
      </c>
      <c r="V1039" s="1648"/>
      <c r="W1039" s="1644">
        <f t="shared" si="1286"/>
        <v>1045402</v>
      </c>
      <c r="X1039" s="1648"/>
      <c r="Y1039" s="1644">
        <f t="shared" si="1287"/>
        <v>1045402</v>
      </c>
    </row>
    <row r="1040" spans="1:28" hidden="1">
      <c r="A1040" s="1900" t="s">
        <v>1909</v>
      </c>
      <c r="C1040" s="528">
        <f>'BD-Redesign'!E14</f>
        <v>5484265.5</v>
      </c>
      <c r="D1040" s="528">
        <f>ROUND(C1040/(C1039+C1040)*(Energy!T57*(1-1/Energy!P57*('Blocking-Step2'!D1049+'Blocking-Step2'!D1053))),0)</f>
        <v>12223590</v>
      </c>
      <c r="E1040" s="597"/>
      <c r="F1040" s="1942"/>
      <c r="G1040" s="1921"/>
      <c r="H1040" s="1644"/>
      <c r="I1040" s="1644"/>
      <c r="J1040" s="597"/>
      <c r="K1040" s="1942">
        <f t="shared" si="1280"/>
        <v>0</v>
      </c>
      <c r="L1040" s="1921" t="s">
        <v>495</v>
      </c>
      <c r="M1040" s="1942">
        <f t="shared" ref="M1040" si="1298">M968</f>
        <v>0</v>
      </c>
      <c r="N1040" s="1921" t="s">
        <v>495</v>
      </c>
      <c r="O1040" s="1942">
        <f t="shared" ref="O1040" si="1299">O968</f>
        <v>-2.0670999999999999</v>
      </c>
      <c r="P1040" s="1921" t="s">
        <v>495</v>
      </c>
      <c r="Q1040" s="1942">
        <f t="shared" si="1281"/>
        <v>-2.0670999999999999</v>
      </c>
      <c r="R1040" s="1921" t="s">
        <v>495</v>
      </c>
      <c r="S1040" s="1644">
        <f t="shared" si="1284"/>
        <v>0</v>
      </c>
      <c r="T1040" s="1648"/>
      <c r="U1040" s="1644">
        <f t="shared" si="1285"/>
        <v>0</v>
      </c>
      <c r="V1040" s="1648"/>
      <c r="W1040" s="1644">
        <f t="shared" si="1286"/>
        <v>-252674</v>
      </c>
      <c r="X1040" s="1648"/>
      <c r="Y1040" s="1644">
        <f t="shared" si="1287"/>
        <v>-252674</v>
      </c>
    </row>
    <row r="1041" spans="1:28" hidden="1">
      <c r="A1041" s="1900" t="s">
        <v>240</v>
      </c>
      <c r="C1041" s="528">
        <f>'6A'!H17</f>
        <v>3104.0666666666698</v>
      </c>
      <c r="D1041" s="528">
        <f>Bill!P57</f>
        <v>3156</v>
      </c>
      <c r="F1041" s="1944">
        <v>54</v>
      </c>
      <c r="G1041" s="597"/>
      <c r="H1041" s="1644">
        <f t="shared" ref="H1041:I1044" si="1300">ROUND($F1041*C1041,0)</f>
        <v>167620</v>
      </c>
      <c r="I1041" s="1644">
        <f t="shared" si="1300"/>
        <v>170424</v>
      </c>
      <c r="K1041" s="1944">
        <f t="shared" ref="K1041" si="1301">K969</f>
        <v>54</v>
      </c>
      <c r="L1041" s="597"/>
      <c r="M1041" s="1944">
        <f t="shared" ref="M1041" si="1302">M969</f>
        <v>0</v>
      </c>
      <c r="N1041" s="597"/>
      <c r="O1041" s="1944">
        <f t="shared" ref="O1041" si="1303">O969</f>
        <v>0</v>
      </c>
      <c r="P1041" s="597"/>
      <c r="Q1041" s="1944">
        <f t="shared" si="1281"/>
        <v>54</v>
      </c>
      <c r="R1041" s="597"/>
      <c r="S1041" s="1644">
        <f>ROUND($D1041*K1041,0)</f>
        <v>170424</v>
      </c>
      <c r="T1041" s="1643"/>
      <c r="U1041" s="1644">
        <f>ROUND($D1041*M1041,0)</f>
        <v>0</v>
      </c>
      <c r="V1041" s="1643"/>
      <c r="W1041" s="1644">
        <f>ROUND($D1041*O1041,0)</f>
        <v>0</v>
      </c>
      <c r="X1041" s="1645"/>
      <c r="Y1041" s="1644">
        <f>ROUND($D1041*Q1041,0)</f>
        <v>170424</v>
      </c>
    </row>
    <row r="1042" spans="1:28" hidden="1">
      <c r="A1042" s="1900" t="s">
        <v>157</v>
      </c>
      <c r="C1042" s="528">
        <f>'6A'!J17</f>
        <v>171238.95092024549</v>
      </c>
      <c r="D1042" s="528">
        <f>ROUND(C1042/C1054*D1054,0)</f>
        <v>198506</v>
      </c>
      <c r="F1042" s="1944">
        <v>6.52</v>
      </c>
      <c r="G1042" s="597"/>
      <c r="H1042" s="1644">
        <f t="shared" si="1300"/>
        <v>1116478</v>
      </c>
      <c r="I1042" s="1644">
        <f t="shared" si="1300"/>
        <v>1294259</v>
      </c>
      <c r="K1042" s="1944"/>
      <c r="L1042" s="597"/>
      <c r="M1042" s="1944"/>
      <c r="N1042" s="597"/>
      <c r="O1042" s="1944"/>
      <c r="P1042" s="597"/>
      <c r="Q1042" s="1944"/>
      <c r="R1042" s="597"/>
      <c r="S1042" s="1644"/>
      <c r="T1042" s="1645"/>
      <c r="U1042" s="1644"/>
      <c r="V1042" s="1645"/>
      <c r="W1042" s="1644"/>
      <c r="X1042" s="1645"/>
      <c r="Y1042" s="1644"/>
    </row>
    <row r="1043" spans="1:28" hidden="1">
      <c r="A1043" s="1900" t="s">
        <v>162</v>
      </c>
      <c r="C1043" s="528">
        <f>'6A'!K17</f>
        <v>202939.45521023759</v>
      </c>
      <c r="D1043" s="528">
        <f>ROUND(C1043/C1054*D1054,0)</f>
        <v>235254</v>
      </c>
      <c r="F1043" s="1944">
        <v>5.47</v>
      </c>
      <c r="G1043" s="597"/>
      <c r="H1043" s="1644">
        <f t="shared" si="1300"/>
        <v>1110079</v>
      </c>
      <c r="I1043" s="1644">
        <f t="shared" si="1300"/>
        <v>1286839</v>
      </c>
      <c r="K1043" s="1944"/>
      <c r="L1043" s="597"/>
      <c r="M1043" s="1944"/>
      <c r="N1043" s="597"/>
      <c r="O1043" s="1944"/>
      <c r="P1043" s="597"/>
      <c r="Q1043" s="1944"/>
      <c r="R1043" s="597"/>
      <c r="S1043" s="1644"/>
      <c r="T1043" s="1645"/>
      <c r="U1043" s="1644"/>
      <c r="V1043" s="1645"/>
      <c r="W1043" s="1644"/>
      <c r="X1043" s="1645"/>
      <c r="Y1043" s="1644"/>
    </row>
    <row r="1044" spans="1:28" hidden="1">
      <c r="A1044" s="1900" t="s">
        <v>261</v>
      </c>
      <c r="C1044" s="528">
        <f>'6A'!L17</f>
        <v>9945</v>
      </c>
      <c r="D1044" s="528">
        <f>ROUND(C1044/C1054*D1054,0)</f>
        <v>11529</v>
      </c>
      <c r="E1044" s="597"/>
      <c r="F1044" s="1944">
        <v>-0.61</v>
      </c>
      <c r="G1044" s="597"/>
      <c r="H1044" s="1644">
        <f t="shared" si="1300"/>
        <v>-6066</v>
      </c>
      <c r="I1044" s="1644">
        <f t="shared" si="1300"/>
        <v>-7033</v>
      </c>
      <c r="J1044" s="597"/>
      <c r="K1044" s="1944">
        <f t="shared" ref="K1044" si="1304">K972</f>
        <v>-0.61</v>
      </c>
      <c r="L1044" s="597"/>
      <c r="M1044" s="1944">
        <f t="shared" ref="M1044" si="1305">M972</f>
        <v>0</v>
      </c>
      <c r="N1044" s="597"/>
      <c r="O1044" s="1944">
        <f t="shared" ref="O1044" si="1306">O972</f>
        <v>0</v>
      </c>
      <c r="P1044" s="597"/>
      <c r="Q1044" s="1944">
        <f t="shared" ref="Q1044" si="1307">Q972</f>
        <v>-0.61</v>
      </c>
      <c r="R1044" s="597"/>
      <c r="S1044" s="1644">
        <f>ROUND($D1044*K1044,0)</f>
        <v>-7033</v>
      </c>
      <c r="T1044" s="1645"/>
      <c r="U1044" s="1644">
        <f>ROUND($D1044*M1044,0)</f>
        <v>0</v>
      </c>
      <c r="V1044" s="1645"/>
      <c r="W1044" s="1644">
        <f>ROUND($D1044*O1044,0)</f>
        <v>0</v>
      </c>
      <c r="X1044" s="1645"/>
      <c r="Y1044" s="1644">
        <f>ROUND($D1044*Q1044,0)</f>
        <v>-7033</v>
      </c>
    </row>
    <row r="1045" spans="1:28" hidden="1">
      <c r="A1045" s="1900" t="s">
        <v>188</v>
      </c>
      <c r="C1045" s="528">
        <f>'6A'!N17+'6A'!U17</f>
        <v>13406324</v>
      </c>
      <c r="D1045" s="528">
        <f>D1054-SUM(D1046:D1053)</f>
        <v>15391869.099411577</v>
      </c>
      <c r="E1045" s="597"/>
      <c r="F1045" s="1942">
        <v>11.926600000000001</v>
      </c>
      <c r="G1045" s="1921" t="s">
        <v>495</v>
      </c>
      <c r="H1045" s="1644">
        <f t="shared" ref="H1045:I1049" si="1308">ROUND($F1045*C1045/100,0)</f>
        <v>1598919</v>
      </c>
      <c r="I1045" s="1644">
        <f t="shared" si="1308"/>
        <v>1835727</v>
      </c>
      <c r="J1045" s="597"/>
      <c r="K1045" s="1942"/>
      <c r="L1045" s="1921"/>
      <c r="M1045" s="1942"/>
      <c r="N1045" s="1921"/>
      <c r="O1045" s="1942"/>
      <c r="P1045" s="1921"/>
      <c r="Q1045" s="1942"/>
      <c r="R1045" s="1921"/>
      <c r="S1045" s="1644"/>
      <c r="T1045" s="1648"/>
      <c r="U1045" s="1644"/>
      <c r="V1045" s="1648"/>
      <c r="W1045" s="1644"/>
      <c r="X1045" s="1648"/>
      <c r="Y1045" s="1644"/>
    </row>
    <row r="1046" spans="1:28" hidden="1">
      <c r="A1046" s="1900" t="s">
        <v>189</v>
      </c>
      <c r="C1046" s="528">
        <f>'6A'!O17+'6A'!V17</f>
        <v>11246892</v>
      </c>
      <c r="D1046" s="528">
        <f>ROUND(C1046/(C1045+C1046)*(Energy!Q57*(1-1/Energy!P57*('Blocking-Step2'!D1049+'Blocking-Step2'!D1053))),0)</f>
        <v>12912615</v>
      </c>
      <c r="E1046" s="597"/>
      <c r="F1046" s="1942">
        <v>3.5908000000000002</v>
      </c>
      <c r="G1046" s="1921" t="s">
        <v>495</v>
      </c>
      <c r="H1046" s="1644">
        <f t="shared" si="1308"/>
        <v>403853</v>
      </c>
      <c r="I1046" s="1644">
        <f t="shared" si="1308"/>
        <v>463666</v>
      </c>
      <c r="J1046" s="597"/>
      <c r="K1046" s="1942"/>
      <c r="L1046" s="1921"/>
      <c r="M1046" s="1942"/>
      <c r="N1046" s="1921"/>
      <c r="O1046" s="1942"/>
      <c r="P1046" s="1921"/>
      <c r="Q1046" s="1942"/>
      <c r="R1046" s="1921"/>
      <c r="S1046" s="1644"/>
      <c r="T1046" s="1648"/>
      <c r="U1046" s="1644"/>
      <c r="V1046" s="1648"/>
      <c r="W1046" s="1644"/>
      <c r="X1046" s="1648"/>
      <c r="Y1046" s="1644"/>
    </row>
    <row r="1047" spans="1:28" hidden="1">
      <c r="A1047" s="1900" t="s">
        <v>163</v>
      </c>
      <c r="C1047" s="528">
        <f>'6A'!P17+'6A'!W17</f>
        <v>15153601</v>
      </c>
      <c r="D1047" s="528">
        <f>ROUND(C1047/(C1047+C1048)*(Energy!R57*(1-1/Energy!P57*('Blocking-Step2'!D1049+'Blocking-Step2'!D1053))),0)</f>
        <v>17164863</v>
      </c>
      <c r="E1047" s="597"/>
      <c r="F1047" s="1942">
        <v>9.9693000000000005</v>
      </c>
      <c r="G1047" s="1921" t="s">
        <v>495</v>
      </c>
      <c r="H1047" s="1644">
        <f t="shared" si="1308"/>
        <v>1510708</v>
      </c>
      <c r="I1047" s="1644">
        <f t="shared" si="1308"/>
        <v>1711217</v>
      </c>
      <c r="J1047" s="597"/>
      <c r="K1047" s="1942"/>
      <c r="L1047" s="1921"/>
      <c r="M1047" s="1942"/>
      <c r="N1047" s="1921"/>
      <c r="O1047" s="1942"/>
      <c r="P1047" s="1921"/>
      <c r="Q1047" s="1942"/>
      <c r="R1047" s="1921"/>
      <c r="S1047" s="1644"/>
      <c r="T1047" s="1648"/>
      <c r="U1047" s="1644"/>
      <c r="V1047" s="1648"/>
      <c r="W1047" s="1644"/>
      <c r="X1047" s="1648"/>
      <c r="Y1047" s="1644"/>
    </row>
    <row r="1048" spans="1:28" hidden="1">
      <c r="A1048" s="1900" t="s">
        <v>164</v>
      </c>
      <c r="C1048" s="528">
        <f>'6A'!Q17+'6A'!X17</f>
        <v>9328789</v>
      </c>
      <c r="D1048" s="528">
        <f>ROUND(C1048/(C1047+C1048)*(Energy!R57*(1-1/Energy!P57*('Blocking-Step2'!D1049+'Blocking-Step2'!D1053))),0)</f>
        <v>10566952</v>
      </c>
      <c r="E1048" s="597"/>
      <c r="F1048" s="1942">
        <v>3.0059999999999998</v>
      </c>
      <c r="G1048" s="1921" t="s">
        <v>495</v>
      </c>
      <c r="H1048" s="1644">
        <f t="shared" si="1308"/>
        <v>280423</v>
      </c>
      <c r="I1048" s="1644">
        <f t="shared" si="1308"/>
        <v>317643</v>
      </c>
      <c r="J1048" s="597"/>
      <c r="K1048" s="1942"/>
      <c r="L1048" s="1921"/>
      <c r="M1048" s="1942"/>
      <c r="N1048" s="1921"/>
      <c r="O1048" s="1942"/>
      <c r="P1048" s="1921"/>
      <c r="Q1048" s="1942"/>
      <c r="R1048" s="1921"/>
      <c r="S1048" s="1644"/>
      <c r="T1048" s="1648"/>
      <c r="U1048" s="1644"/>
      <c r="V1048" s="1648"/>
      <c r="W1048" s="1644"/>
      <c r="X1048" s="1648"/>
      <c r="Y1048" s="1644"/>
    </row>
    <row r="1049" spans="1:28" hidden="1">
      <c r="A1049" s="1116" t="s">
        <v>1158</v>
      </c>
      <c r="C1049" s="528">
        <f>'6A'!S17</f>
        <v>6757400</v>
      </c>
      <c r="D1049" s="528">
        <f>ROUND(C1049/(C1054-C1050)*D1054,0)</f>
        <v>7706421</v>
      </c>
      <c r="F1049" s="1943">
        <v>7.125</v>
      </c>
      <c r="G1049" s="1921" t="s">
        <v>495</v>
      </c>
      <c r="H1049" s="1644">
        <f t="shared" si="1308"/>
        <v>481465</v>
      </c>
      <c r="I1049" s="1644">
        <f t="shared" si="1308"/>
        <v>549082</v>
      </c>
      <c r="K1049" s="1943">
        <f t="shared" ref="K1049" si="1309">K977</f>
        <v>0</v>
      </c>
      <c r="L1049" s="1921" t="s">
        <v>495</v>
      </c>
      <c r="M1049" s="1943">
        <f t="shared" ref="M1049" si="1310">M977</f>
        <v>7.125</v>
      </c>
      <c r="N1049" s="1921" t="s">
        <v>495</v>
      </c>
      <c r="O1049" s="1943">
        <f t="shared" ref="O1049" si="1311">O977</f>
        <v>0</v>
      </c>
      <c r="P1049" s="1921" t="s">
        <v>495</v>
      </c>
      <c r="Q1049" s="1943">
        <f t="shared" ref="Q1049" si="1312">Q977</f>
        <v>7.125</v>
      </c>
      <c r="R1049" s="1921" t="s">
        <v>495</v>
      </c>
      <c r="S1049" s="1644">
        <f t="shared" ref="S1049" si="1313">ROUND($D1049*K1049/100,0)</f>
        <v>0</v>
      </c>
      <c r="T1049" s="1648"/>
      <c r="U1049" s="1644">
        <f t="shared" ref="U1049" si="1314">ROUND($D1049*M1049/100,0)</f>
        <v>549082</v>
      </c>
      <c r="V1049" s="1648"/>
      <c r="W1049" s="1644">
        <f t="shared" ref="W1049" si="1315">ROUND($D1049*O1049/100,0)</f>
        <v>0</v>
      </c>
      <c r="X1049" s="1648"/>
      <c r="Y1049" s="1644">
        <f t="shared" ref="Y1049" si="1316">ROUND($D1049*Q1049/100,0)</f>
        <v>549082</v>
      </c>
    </row>
    <row r="1050" spans="1:28" hidden="1">
      <c r="A1050" s="1900" t="s">
        <v>246</v>
      </c>
      <c r="C1050" s="529">
        <f>'Table 2'!J86</f>
        <v>-896706</v>
      </c>
      <c r="D1050" s="529">
        <v>0</v>
      </c>
      <c r="H1050" s="1030">
        <f>'Table 3'!F86</f>
        <v>-98024</v>
      </c>
      <c r="I1050" s="1030">
        <v>0</v>
      </c>
      <c r="Y1050" s="1030"/>
    </row>
    <row r="1051" spans="1:28" hidden="1">
      <c r="A1051" s="1900" t="s">
        <v>1240</v>
      </c>
      <c r="C1051" s="584"/>
      <c r="D1051" s="584"/>
      <c r="F1051" s="1930">
        <v>-4.99E-2</v>
      </c>
      <c r="G1051" s="597"/>
      <c r="H1051" s="1644">
        <f>SUM(H1045:H1049)*$F1051</f>
        <v>-213340.86319999999</v>
      </c>
      <c r="I1051" s="1644">
        <f>SUM(I1045:I1049)*$F1051</f>
        <v>-243379.0165</v>
      </c>
      <c r="K1051" s="1930"/>
      <c r="L1051" s="597"/>
      <c r="M1051" s="1930"/>
      <c r="N1051" s="597"/>
      <c r="O1051" s="1931" t="str">
        <f>$O$43</f>
        <v>Tax Year 1 (7/1/2021)</v>
      </c>
      <c r="P1051" s="597"/>
      <c r="Q1051" s="1930">
        <f>$Q$979</f>
        <v>-3.0599999999999999E-2</v>
      </c>
      <c r="R1051" s="597"/>
      <c r="S1051" s="1645"/>
      <c r="T1051" s="1645"/>
      <c r="U1051" s="1645"/>
      <c r="V1051" s="1645"/>
      <c r="W1051" s="1645"/>
      <c r="X1051" s="1645"/>
      <c r="Y1051" s="1644">
        <f>Q1051*SUM(Y1033:Y1036,Y1049)</f>
        <v>-184599.94680000001</v>
      </c>
    </row>
    <row r="1052" spans="1:28" hidden="1">
      <c r="A1052" s="1900"/>
      <c r="C1052" s="584"/>
      <c r="D1052" s="584"/>
      <c r="F1052" s="1930"/>
      <c r="G1052" s="597"/>
      <c r="H1052" s="1644"/>
      <c r="I1052" s="1644"/>
      <c r="K1052" s="1930"/>
      <c r="L1052" s="597"/>
      <c r="M1052" s="1930"/>
      <c r="N1052" s="597"/>
      <c r="O1052" s="1931" t="str">
        <f>$O$44</f>
        <v>Tax Year 2 (1/1/2022)</v>
      </c>
      <c r="P1052" s="597"/>
      <c r="Q1052" s="1930">
        <f>$Q$980</f>
        <v>-1.66E-2</v>
      </c>
      <c r="R1052" s="597"/>
      <c r="S1052" s="1645"/>
      <c r="T1052" s="1645"/>
      <c r="U1052" s="1645"/>
      <c r="V1052" s="1645"/>
      <c r="W1052" s="1645"/>
      <c r="X1052" s="1645"/>
      <c r="Y1052" s="1644">
        <f>Q1052*SUM(Y1033:Y1036,Y1049)</f>
        <v>-100142.45480000001</v>
      </c>
    </row>
    <row r="1053" spans="1:28" hidden="1">
      <c r="A1053" s="1116" t="s">
        <v>1317</v>
      </c>
      <c r="C1053" s="584">
        <f>'6A'!AE17</f>
        <v>-576168</v>
      </c>
      <c r="D1053" s="528">
        <f>ROUND(C1053/(C1054-C1050)*D1054,0)</f>
        <v>-657086</v>
      </c>
      <c r="F1053" s="1930"/>
      <c r="G1053" s="597"/>
      <c r="H1053" s="1644"/>
      <c r="I1053" s="1644"/>
      <c r="K1053" s="1930"/>
      <c r="L1053" s="597"/>
      <c r="M1053" s="1930"/>
      <c r="N1053" s="597"/>
      <c r="O1053" s="1930"/>
      <c r="P1053" s="597"/>
      <c r="Q1053" s="1930"/>
      <c r="R1053" s="597"/>
      <c r="S1053" s="1645"/>
      <c r="T1053" s="1645"/>
      <c r="U1053" s="1645"/>
      <c r="V1053" s="1645"/>
      <c r="W1053" s="1645"/>
      <c r="X1053" s="1645"/>
      <c r="Y1053" s="1644"/>
    </row>
    <row r="1054" spans="1:28" ht="16.5" hidden="1" thickBot="1">
      <c r="A1054" s="1900" t="s">
        <v>247</v>
      </c>
      <c r="C1054" s="1949">
        <f>SUM(C1045:C1053)</f>
        <v>54420132</v>
      </c>
      <c r="D1054" s="1949">
        <f>Energy!P57</f>
        <v>63085634.099411577</v>
      </c>
      <c r="E1054" s="597"/>
      <c r="F1054" s="1939"/>
      <c r="H1054" s="1647">
        <f>SUM(H1041:H1051)</f>
        <v>6352114.1368000004</v>
      </c>
      <c r="I1054" s="1647">
        <f>SUM(I1041:I1051)</f>
        <v>7378444.9835000001</v>
      </c>
      <c r="J1054" s="597"/>
      <c r="K1054" s="1939"/>
      <c r="M1054" s="1939"/>
      <c r="O1054" s="1939"/>
      <c r="Q1054" s="1939"/>
      <c r="S1054" s="1647">
        <f>SUM(S1033:S1050)</f>
        <v>2378225</v>
      </c>
      <c r="U1054" s="1647">
        <f>SUM(U1033:U1050)</f>
        <v>3111080</v>
      </c>
      <c r="W1054" s="1647">
        <f>SUM(W1033:W1050)</f>
        <v>2004534</v>
      </c>
      <c r="Y1054" s="1647">
        <f>SUM(Y1033:Y1050)</f>
        <v>7493840</v>
      </c>
      <c r="AA1054" s="1104" t="s">
        <v>1743</v>
      </c>
      <c r="AB1054" s="1890">
        <f>Y1054/I1054-1</f>
        <v>1.5639476442265376E-2</v>
      </c>
    </row>
    <row r="1055" spans="1:28" ht="16.5" thickTop="1">
      <c r="C1055" s="528"/>
      <c r="D1055" s="528"/>
    </row>
    <row r="1056" spans="1:28">
      <c r="A1056" s="1897" t="s">
        <v>985</v>
      </c>
      <c r="C1056" s="528"/>
      <c r="D1056" s="528"/>
      <c r="F1056" s="1943"/>
      <c r="G1056" s="1957"/>
      <c r="K1056" s="1943"/>
      <c r="L1056" s="1957"/>
      <c r="M1056" s="1943"/>
      <c r="N1056" s="1957"/>
      <c r="O1056" s="1943"/>
      <c r="P1056" s="1957"/>
      <c r="Q1056" s="1943"/>
      <c r="R1056" s="1957"/>
      <c r="S1056" s="1645"/>
      <c r="T1056" s="1645"/>
      <c r="U1056" s="1645"/>
      <c r="V1056" s="1645"/>
      <c r="W1056" s="1645"/>
      <c r="X1056" s="1645"/>
    </row>
    <row r="1057" spans="1:25">
      <c r="A1057" s="1900" t="s">
        <v>1910</v>
      </c>
      <c r="C1057" s="528">
        <f t="shared" ref="C1057:D1065" si="1317">C1079+C1101+C1123</f>
        <v>519342.45261118939</v>
      </c>
      <c r="D1057" s="528">
        <f t="shared" si="1317"/>
        <v>1790597.1011697315</v>
      </c>
      <c r="E1057" s="597"/>
      <c r="F1057" s="1942"/>
      <c r="G1057" s="1921"/>
      <c r="H1057" s="1644"/>
      <c r="I1057" s="1644"/>
      <c r="J1057" s="597"/>
      <c r="K1057" s="1942">
        <f>K961</f>
        <v>3.9525000000000001</v>
      </c>
      <c r="L1057" s="1921" t="s">
        <v>495</v>
      </c>
      <c r="M1057" s="1942">
        <f>M961</f>
        <v>17.075028114911813</v>
      </c>
      <c r="N1057" s="1921" t="s">
        <v>495</v>
      </c>
      <c r="O1057" s="1942">
        <f>O961</f>
        <v>1.3496999999999999</v>
      </c>
      <c r="P1057" s="1921" t="s">
        <v>495</v>
      </c>
      <c r="Q1057" s="1942">
        <f t="shared" ref="Q1057:Q1065" si="1318">Q961</f>
        <v>22.377228114911812</v>
      </c>
      <c r="R1057" s="1921" t="s">
        <v>495</v>
      </c>
      <c r="S1057" s="1644">
        <f>ROUND($D1057*K1057/100,0)</f>
        <v>70773</v>
      </c>
      <c r="T1057" s="1648"/>
      <c r="U1057" s="1644">
        <f>ROUND($D1057*M1057/100,0)</f>
        <v>305745</v>
      </c>
      <c r="V1057" s="1648"/>
      <c r="W1057" s="1644">
        <f>ROUND($D1057*O1057/100,0)</f>
        <v>24168</v>
      </c>
      <c r="X1057" s="1648"/>
      <c r="Y1057" s="1644">
        <f>ROUND($D1057*Q1057/100,0)</f>
        <v>400686</v>
      </c>
    </row>
    <row r="1058" spans="1:25">
      <c r="A1058" s="1900" t="s">
        <v>1911</v>
      </c>
      <c r="C1058" s="528">
        <f t="shared" si="1317"/>
        <v>1065674.9503393981</v>
      </c>
      <c r="D1058" s="528">
        <f t="shared" si="1317"/>
        <v>3521773</v>
      </c>
      <c r="E1058" s="597"/>
      <c r="F1058" s="1942"/>
      <c r="G1058" s="1921"/>
      <c r="H1058" s="1644"/>
      <c r="I1058" s="1644"/>
      <c r="J1058" s="597"/>
      <c r="K1058" s="1942">
        <f t="shared" ref="K1058" si="1319">K962</f>
        <v>3.9525000000000001</v>
      </c>
      <c r="L1058" s="1921" t="s">
        <v>495</v>
      </c>
      <c r="M1058" s="1942">
        <f t="shared" ref="M1058" si="1320">M962</f>
        <v>-0.91518271744099966</v>
      </c>
      <c r="N1058" s="1921" t="s">
        <v>495</v>
      </c>
      <c r="O1058" s="1942">
        <f t="shared" ref="O1058" si="1321">O962</f>
        <v>1.3496999999999999</v>
      </c>
      <c r="P1058" s="1921" t="s">
        <v>495</v>
      </c>
      <c r="Q1058" s="1942">
        <f t="shared" si="1318"/>
        <v>4.3870172825590004</v>
      </c>
      <c r="R1058" s="1921" t="s">
        <v>495</v>
      </c>
      <c r="S1058" s="1644">
        <f t="shared" ref="S1058:S1064" si="1322">ROUND($D1058*K1058/100,0)</f>
        <v>139198</v>
      </c>
      <c r="T1058" s="1648"/>
      <c r="U1058" s="1644">
        <f t="shared" ref="U1058:U1064" si="1323">ROUND($D1058*M1058/100,0)</f>
        <v>-32231</v>
      </c>
      <c r="V1058" s="1648"/>
      <c r="W1058" s="1644">
        <f t="shared" ref="W1058:W1064" si="1324">ROUND($D1058*O1058/100,0)</f>
        <v>47533</v>
      </c>
      <c r="X1058" s="1648"/>
      <c r="Y1058" s="1644">
        <f t="shared" ref="Y1058:Y1064" si="1325">ROUND($D1058*Q1058/100,0)</f>
        <v>154501</v>
      </c>
    </row>
    <row r="1059" spans="1:25">
      <c r="A1059" s="1900" t="s">
        <v>1912</v>
      </c>
      <c r="C1059" s="528">
        <f t="shared" si="1317"/>
        <v>1569625.3669775294</v>
      </c>
      <c r="D1059" s="528">
        <f t="shared" si="1317"/>
        <v>5330608</v>
      </c>
      <c r="E1059" s="597"/>
      <c r="F1059" s="1942"/>
      <c r="G1059" s="1921"/>
      <c r="H1059" s="1644"/>
      <c r="I1059" s="1644"/>
      <c r="J1059" s="597"/>
      <c r="K1059" s="1942">
        <f t="shared" ref="K1059" si="1326">K963</f>
        <v>3.9525000000000001</v>
      </c>
      <c r="L1059" s="1921" t="s">
        <v>495</v>
      </c>
      <c r="M1059" s="1942">
        <f t="shared" ref="M1059" si="1327">M963</f>
        <v>14.656000000000001</v>
      </c>
      <c r="N1059" s="1921" t="s">
        <v>495</v>
      </c>
      <c r="O1059" s="1942">
        <f t="shared" ref="O1059" si="1328">O963</f>
        <v>1.1943999999999999</v>
      </c>
      <c r="P1059" s="1921" t="s">
        <v>495</v>
      </c>
      <c r="Q1059" s="1942">
        <f t="shared" si="1318"/>
        <v>19.802900000000001</v>
      </c>
      <c r="R1059" s="1921" t="s">
        <v>495</v>
      </c>
      <c r="S1059" s="1644">
        <f t="shared" si="1322"/>
        <v>210692</v>
      </c>
      <c r="T1059" s="1648"/>
      <c r="U1059" s="1644">
        <f t="shared" si="1323"/>
        <v>781254</v>
      </c>
      <c r="V1059" s="1648"/>
      <c r="W1059" s="1644">
        <f t="shared" si="1324"/>
        <v>63669</v>
      </c>
      <c r="X1059" s="1648"/>
      <c r="Y1059" s="1644">
        <f t="shared" si="1325"/>
        <v>1055615</v>
      </c>
    </row>
    <row r="1060" spans="1:25">
      <c r="A1060" s="1900" t="s">
        <v>1913</v>
      </c>
      <c r="C1060" s="528">
        <f t="shared" si="1317"/>
        <v>4146826.5803954229</v>
      </c>
      <c r="D1060" s="528">
        <f t="shared" si="1317"/>
        <v>12790668</v>
      </c>
      <c r="E1060" s="597"/>
      <c r="F1060" s="1942"/>
      <c r="G1060" s="1921"/>
      <c r="H1060" s="1644"/>
      <c r="I1060" s="1644"/>
      <c r="J1060" s="597"/>
      <c r="K1060" s="1942">
        <f t="shared" ref="K1060" si="1329">K964</f>
        <v>3.9525000000000001</v>
      </c>
      <c r="L1060" s="1921" t="s">
        <v>495</v>
      </c>
      <c r="M1060" s="1942">
        <f t="shared" ref="M1060" si="1330">M964</f>
        <v>-1.2646000000000002</v>
      </c>
      <c r="N1060" s="1921" t="s">
        <v>495</v>
      </c>
      <c r="O1060" s="1942">
        <f t="shared" ref="O1060" si="1331">O964</f>
        <v>1.1943999999999999</v>
      </c>
      <c r="P1060" s="1921" t="s">
        <v>495</v>
      </c>
      <c r="Q1060" s="1942">
        <f t="shared" si="1318"/>
        <v>3.8822999999999999</v>
      </c>
      <c r="R1060" s="1921" t="s">
        <v>495</v>
      </c>
      <c r="S1060" s="1644">
        <f t="shared" si="1322"/>
        <v>505551</v>
      </c>
      <c r="T1060" s="1648"/>
      <c r="U1060" s="1644">
        <f t="shared" si="1323"/>
        <v>-161751</v>
      </c>
      <c r="V1060" s="1648"/>
      <c r="W1060" s="1644">
        <f t="shared" si="1324"/>
        <v>152772</v>
      </c>
      <c r="X1060" s="1648"/>
      <c r="Y1060" s="1644">
        <f t="shared" si="1325"/>
        <v>496572</v>
      </c>
    </row>
    <row r="1061" spans="1:25">
      <c r="A1061" s="1900" t="s">
        <v>1906</v>
      </c>
      <c r="C1061" s="528">
        <f t="shared" si="1317"/>
        <v>935529.56781097292</v>
      </c>
      <c r="D1061" s="528">
        <f t="shared" si="1317"/>
        <v>3345042.1011697315</v>
      </c>
      <c r="E1061" s="597"/>
      <c r="F1061" s="1942"/>
      <c r="G1061" s="1921"/>
      <c r="H1061" s="1644"/>
      <c r="I1061" s="1644"/>
      <c r="J1061" s="597"/>
      <c r="K1061" s="1942">
        <f t="shared" ref="K1061" si="1332">K965</f>
        <v>0</v>
      </c>
      <c r="L1061" s="1921" t="s">
        <v>495</v>
      </c>
      <c r="M1061" s="1942">
        <f t="shared" ref="M1061" si="1333">M965</f>
        <v>0</v>
      </c>
      <c r="N1061" s="1921" t="s">
        <v>495</v>
      </c>
      <c r="O1061" s="1942">
        <f t="shared" ref="O1061" si="1334">O965</f>
        <v>6</v>
      </c>
      <c r="P1061" s="1921" t="s">
        <v>495</v>
      </c>
      <c r="Q1061" s="1942">
        <f t="shared" si="1318"/>
        <v>6</v>
      </c>
      <c r="R1061" s="1921" t="s">
        <v>495</v>
      </c>
      <c r="S1061" s="1644">
        <f t="shared" si="1322"/>
        <v>0</v>
      </c>
      <c r="T1061" s="1648"/>
      <c r="U1061" s="1644">
        <f t="shared" si="1323"/>
        <v>0</v>
      </c>
      <c r="V1061" s="1648"/>
      <c r="W1061" s="1644">
        <f t="shared" si="1324"/>
        <v>200703</v>
      </c>
      <c r="X1061" s="1648"/>
      <c r="Y1061" s="1644">
        <f t="shared" si="1325"/>
        <v>200703</v>
      </c>
    </row>
    <row r="1062" spans="1:25">
      <c r="A1062" s="1900" t="s">
        <v>1907</v>
      </c>
      <c r="C1062" s="528">
        <f t="shared" si="1317"/>
        <v>649487.83513961465</v>
      </c>
      <c r="D1062" s="528">
        <f t="shared" si="1317"/>
        <v>1967328</v>
      </c>
      <c r="E1062" s="597"/>
      <c r="F1062" s="1942"/>
      <c r="G1062" s="1921"/>
      <c r="H1062" s="1644"/>
      <c r="I1062" s="1644"/>
      <c r="J1062" s="597"/>
      <c r="K1062" s="1942">
        <f t="shared" ref="K1062" si="1335">K966</f>
        <v>0</v>
      </c>
      <c r="L1062" s="1921" t="s">
        <v>495</v>
      </c>
      <c r="M1062" s="1942">
        <f t="shared" ref="M1062" si="1336">M966</f>
        <v>0</v>
      </c>
      <c r="N1062" s="1921" t="s">
        <v>495</v>
      </c>
      <c r="O1062" s="1942">
        <f t="shared" ref="O1062" si="1337">O966</f>
        <v>-2.3358000000000008</v>
      </c>
      <c r="P1062" s="1921" t="s">
        <v>495</v>
      </c>
      <c r="Q1062" s="1942">
        <f t="shared" si="1318"/>
        <v>-2.3358000000000008</v>
      </c>
      <c r="R1062" s="1921" t="s">
        <v>495</v>
      </c>
      <c r="S1062" s="1644">
        <f t="shared" si="1322"/>
        <v>0</v>
      </c>
      <c r="T1062" s="1648"/>
      <c r="U1062" s="1644">
        <f t="shared" si="1323"/>
        <v>0</v>
      </c>
      <c r="V1062" s="1648"/>
      <c r="W1062" s="1644">
        <f t="shared" si="1324"/>
        <v>-45953</v>
      </c>
      <c r="X1062" s="1648"/>
      <c r="Y1062" s="1644">
        <f t="shared" si="1325"/>
        <v>-45953</v>
      </c>
    </row>
    <row r="1063" spans="1:25">
      <c r="A1063" s="1900" t="s">
        <v>1908</v>
      </c>
      <c r="C1063" s="528">
        <f t="shared" si="1317"/>
        <v>3267750.5148829855</v>
      </c>
      <c r="D1063" s="528">
        <f t="shared" si="1317"/>
        <v>10972800</v>
      </c>
      <c r="E1063" s="597"/>
      <c r="F1063" s="1942"/>
      <c r="G1063" s="1921"/>
      <c r="H1063" s="1644"/>
      <c r="I1063" s="1644"/>
      <c r="J1063" s="597"/>
      <c r="K1063" s="1942">
        <f t="shared" ref="K1063" si="1338">K967</f>
        <v>0</v>
      </c>
      <c r="L1063" s="1921" t="s">
        <v>495</v>
      </c>
      <c r="M1063" s="1942">
        <f t="shared" ref="M1063" si="1339">M967</f>
        <v>0</v>
      </c>
      <c r="N1063" s="1921" t="s">
        <v>495</v>
      </c>
      <c r="O1063" s="1942">
        <f t="shared" ref="O1063" si="1340">O967</f>
        <v>5.3097000000000003</v>
      </c>
      <c r="P1063" s="1921" t="s">
        <v>495</v>
      </c>
      <c r="Q1063" s="1942">
        <f t="shared" si="1318"/>
        <v>5.3097000000000003</v>
      </c>
      <c r="R1063" s="1921" t="s">
        <v>495</v>
      </c>
      <c r="S1063" s="1644">
        <f t="shared" si="1322"/>
        <v>0</v>
      </c>
      <c r="T1063" s="1648"/>
      <c r="U1063" s="1644">
        <f t="shared" si="1323"/>
        <v>0</v>
      </c>
      <c r="V1063" s="1648"/>
      <c r="W1063" s="1644">
        <f t="shared" si="1324"/>
        <v>582623</v>
      </c>
      <c r="X1063" s="1648"/>
      <c r="Y1063" s="1644">
        <f t="shared" si="1325"/>
        <v>582623</v>
      </c>
    </row>
    <row r="1064" spans="1:25">
      <c r="A1064" s="1900" t="s">
        <v>1909</v>
      </c>
      <c r="C1064" s="528">
        <f t="shared" si="1317"/>
        <v>2448701.432489967</v>
      </c>
      <c r="D1064" s="528">
        <f t="shared" si="1317"/>
        <v>7148476</v>
      </c>
      <c r="E1064" s="597"/>
      <c r="F1064" s="1942"/>
      <c r="G1064" s="1921"/>
      <c r="H1064" s="1644"/>
      <c r="I1064" s="1644"/>
      <c r="J1064" s="597"/>
      <c r="K1064" s="1942">
        <f t="shared" ref="K1064" si="1341">K968</f>
        <v>0</v>
      </c>
      <c r="L1064" s="1921" t="s">
        <v>495</v>
      </c>
      <c r="M1064" s="1942">
        <f t="shared" ref="M1064" si="1342">M968</f>
        <v>0</v>
      </c>
      <c r="N1064" s="1921" t="s">
        <v>495</v>
      </c>
      <c r="O1064" s="1942">
        <f t="shared" ref="O1064" si="1343">O968</f>
        <v>-2.0670999999999999</v>
      </c>
      <c r="P1064" s="1921" t="s">
        <v>495</v>
      </c>
      <c r="Q1064" s="1942">
        <f t="shared" si="1318"/>
        <v>-2.0670999999999999</v>
      </c>
      <c r="R1064" s="1921" t="s">
        <v>495</v>
      </c>
      <c r="S1064" s="1644">
        <f t="shared" si="1322"/>
        <v>0</v>
      </c>
      <c r="T1064" s="1648"/>
      <c r="U1064" s="1644">
        <f t="shared" si="1323"/>
        <v>0</v>
      </c>
      <c r="V1064" s="1648"/>
      <c r="W1064" s="1644">
        <f t="shared" si="1324"/>
        <v>-147766</v>
      </c>
      <c r="X1064" s="1648"/>
      <c r="Y1064" s="1644">
        <f t="shared" si="1325"/>
        <v>-147766</v>
      </c>
    </row>
    <row r="1065" spans="1:25">
      <c r="A1065" s="1900" t="s">
        <v>240</v>
      </c>
      <c r="C1065" s="528">
        <f t="shared" si="1317"/>
        <v>1245.7333333333333</v>
      </c>
      <c r="D1065" s="528">
        <f t="shared" si="1317"/>
        <v>1797</v>
      </c>
      <c r="F1065" s="1901">
        <v>54</v>
      </c>
      <c r="G1065" s="1902"/>
      <c r="H1065" s="1644">
        <f t="shared" ref="H1065:I1068" si="1344">ROUND($F1065*C1065,0)</f>
        <v>67270</v>
      </c>
      <c r="I1065" s="1644">
        <f t="shared" si="1344"/>
        <v>97038</v>
      </c>
      <c r="K1065" s="1901">
        <f t="shared" ref="K1065" si="1345">K969</f>
        <v>54</v>
      </c>
      <c r="L1065" s="1902"/>
      <c r="M1065" s="1901">
        <f t="shared" ref="M1065" si="1346">M969</f>
        <v>0</v>
      </c>
      <c r="N1065" s="1902"/>
      <c r="O1065" s="1901">
        <f t="shared" ref="O1065" si="1347">O969</f>
        <v>0</v>
      </c>
      <c r="P1065" s="1902"/>
      <c r="Q1065" s="1901">
        <f t="shared" si="1318"/>
        <v>54</v>
      </c>
      <c r="R1065" s="1902"/>
      <c r="S1065" s="1644">
        <f>ROUND($D1065*K1065,0)</f>
        <v>97038</v>
      </c>
      <c r="T1065" s="1643"/>
      <c r="U1065" s="1644">
        <f>ROUND($D1065*M1065,0)</f>
        <v>0</v>
      </c>
      <c r="V1065" s="1643"/>
      <c r="W1065" s="1644">
        <f>ROUND($D1065*O1065,0)</f>
        <v>0</v>
      </c>
      <c r="X1065" s="1643"/>
      <c r="Y1065" s="1644">
        <f>ROUND($D1065*Q1065,0)</f>
        <v>97038</v>
      </c>
    </row>
    <row r="1066" spans="1:25">
      <c r="A1066" s="1900" t="s">
        <v>157</v>
      </c>
      <c r="C1066" s="528">
        <f t="shared" ref="C1066" si="1348">C1088+C1110+C1132</f>
        <v>58468.518404907991</v>
      </c>
      <c r="D1066" s="528">
        <f t="shared" ref="D1066:D1073" si="1349">D1088+D1110+D1132</f>
        <v>93220</v>
      </c>
      <c r="E1066" s="597"/>
      <c r="F1066" s="1901">
        <v>6.52</v>
      </c>
      <c r="G1066" s="1902"/>
      <c r="H1066" s="1644">
        <f t="shared" si="1344"/>
        <v>381215</v>
      </c>
      <c r="I1066" s="1644">
        <f t="shared" si="1344"/>
        <v>607794</v>
      </c>
      <c r="J1066" s="597"/>
      <c r="K1066" s="1901"/>
      <c r="L1066" s="1902"/>
      <c r="M1066" s="1901"/>
      <c r="N1066" s="1902"/>
      <c r="O1066" s="1901"/>
      <c r="P1066" s="1902"/>
      <c r="Q1066" s="1901"/>
      <c r="R1066" s="1902"/>
      <c r="S1066" s="1644"/>
      <c r="T1066" s="1645"/>
      <c r="U1066" s="1644"/>
      <c r="V1066" s="1645"/>
      <c r="W1066" s="1644"/>
      <c r="X1066" s="1643"/>
      <c r="Y1066" s="1644"/>
    </row>
    <row r="1067" spans="1:25">
      <c r="A1067" s="1900" t="s">
        <v>162</v>
      </c>
      <c r="C1067" s="528">
        <f t="shared" ref="C1067" si="1350">C1089+C1111+C1133</f>
        <v>83822.155393053035</v>
      </c>
      <c r="D1067" s="528">
        <f t="shared" si="1349"/>
        <v>132834</v>
      </c>
      <c r="E1067" s="597"/>
      <c r="F1067" s="1901">
        <v>5.47</v>
      </c>
      <c r="G1067" s="1902"/>
      <c r="H1067" s="1644">
        <f t="shared" si="1344"/>
        <v>458507</v>
      </c>
      <c r="I1067" s="1644">
        <f t="shared" si="1344"/>
        <v>726602</v>
      </c>
      <c r="J1067" s="597"/>
      <c r="K1067" s="1901"/>
      <c r="L1067" s="1902"/>
      <c r="M1067" s="1901"/>
      <c r="N1067" s="1902"/>
      <c r="O1067" s="1901"/>
      <c r="P1067" s="1902"/>
      <c r="Q1067" s="1901"/>
      <c r="R1067" s="1902"/>
      <c r="S1067" s="1644"/>
      <c r="T1067" s="1645"/>
      <c r="U1067" s="1644"/>
      <c r="V1067" s="1645"/>
      <c r="W1067" s="1644"/>
      <c r="X1067" s="1643"/>
      <c r="Y1067" s="1644"/>
    </row>
    <row r="1068" spans="1:25">
      <c r="A1068" s="1900" t="s">
        <v>261</v>
      </c>
      <c r="C1068" s="528">
        <f t="shared" ref="C1068" si="1351">C1090+C1112+C1134</f>
        <v>6358</v>
      </c>
      <c r="D1068" s="528">
        <f t="shared" si="1349"/>
        <v>16106</v>
      </c>
      <c r="E1068" s="597"/>
      <c r="F1068" s="1901">
        <v>-0.61</v>
      </c>
      <c r="G1068" s="1902"/>
      <c r="H1068" s="1644">
        <f t="shared" si="1344"/>
        <v>-3878</v>
      </c>
      <c r="I1068" s="1644">
        <f t="shared" si="1344"/>
        <v>-9825</v>
      </c>
      <c r="J1068" s="597"/>
      <c r="K1068" s="1901">
        <f t="shared" ref="K1068" si="1352">K972</f>
        <v>-0.61</v>
      </c>
      <c r="L1068" s="1902"/>
      <c r="M1068" s="1901">
        <f t="shared" ref="M1068" si="1353">M972</f>
        <v>0</v>
      </c>
      <c r="N1068" s="1902"/>
      <c r="O1068" s="1901">
        <f t="shared" ref="O1068" si="1354">O972</f>
        <v>0</v>
      </c>
      <c r="P1068" s="1902"/>
      <c r="Q1068" s="1901">
        <f>Q972</f>
        <v>-0.61</v>
      </c>
      <c r="R1068" s="1902"/>
      <c r="S1068" s="1644">
        <f>ROUND($D1068*K1068,0)</f>
        <v>-9825</v>
      </c>
      <c r="T1068" s="1645"/>
      <c r="U1068" s="1644">
        <f>ROUND($D1068*M1068,0)</f>
        <v>0</v>
      </c>
      <c r="V1068" s="1645"/>
      <c r="W1068" s="1644">
        <f>ROUND($D1068*O1068,0)</f>
        <v>0</v>
      </c>
      <c r="X1068" s="1643"/>
      <c r="Y1068" s="1644">
        <f>ROUND($D1068*Q1068,0)</f>
        <v>-9825</v>
      </c>
    </row>
    <row r="1069" spans="1:25">
      <c r="A1069" s="1900" t="s">
        <v>188</v>
      </c>
      <c r="C1069" s="528">
        <f t="shared" ref="C1069" si="1355">C1091+C1113+C1135</f>
        <v>2381003.0114695355</v>
      </c>
      <c r="D1069" s="528">
        <f t="shared" si="1349"/>
        <v>4206143.1011697315</v>
      </c>
      <c r="E1069" s="597"/>
      <c r="F1069" s="1920">
        <v>11.926600000000001</v>
      </c>
      <c r="G1069" s="1921" t="s">
        <v>495</v>
      </c>
      <c r="H1069" s="1644">
        <f t="shared" ref="H1069:I1072" si="1356">ROUND($F1069*C1069/100,0)</f>
        <v>283973</v>
      </c>
      <c r="I1069" s="1644">
        <f t="shared" si="1356"/>
        <v>501650</v>
      </c>
      <c r="J1069" s="597"/>
      <c r="K1069" s="1920"/>
      <c r="L1069" s="1921"/>
      <c r="M1069" s="1920"/>
      <c r="N1069" s="1921"/>
      <c r="O1069" s="1920"/>
      <c r="P1069" s="1921"/>
      <c r="Q1069" s="1920"/>
      <c r="R1069" s="1921"/>
      <c r="S1069" s="1648"/>
      <c r="T1069" s="1648"/>
      <c r="U1069" s="1648"/>
      <c r="V1069" s="1648"/>
      <c r="W1069" s="1648"/>
      <c r="X1069" s="1648"/>
      <c r="Y1069" s="1644"/>
    </row>
    <row r="1070" spans="1:25">
      <c r="A1070" s="1900" t="s">
        <v>189</v>
      </c>
      <c r="C1070" s="528">
        <f t="shared" ref="C1070" si="1357">C1092+C1114+C1136</f>
        <v>1615823.0636627364</v>
      </c>
      <c r="D1070" s="528">
        <f t="shared" si="1349"/>
        <v>2416795</v>
      </c>
      <c r="E1070" s="597"/>
      <c r="F1070" s="1920">
        <v>3.5908000000000002</v>
      </c>
      <c r="G1070" s="1921" t="s">
        <v>495</v>
      </c>
      <c r="H1070" s="1644">
        <f t="shared" si="1356"/>
        <v>58021</v>
      </c>
      <c r="I1070" s="1644">
        <f t="shared" si="1356"/>
        <v>86782</v>
      </c>
      <c r="J1070" s="597"/>
      <c r="K1070" s="1920"/>
      <c r="L1070" s="1921"/>
      <c r="M1070" s="1920"/>
      <c r="N1070" s="1921"/>
      <c r="O1070" s="1920"/>
      <c r="P1070" s="1921"/>
      <c r="Q1070" s="1920"/>
      <c r="R1070" s="1921"/>
      <c r="S1070" s="1648"/>
      <c r="T1070" s="1648"/>
      <c r="U1070" s="1648"/>
      <c r="V1070" s="1648"/>
      <c r="W1070" s="1648"/>
      <c r="X1070" s="1648"/>
      <c r="Y1070" s="1644"/>
    </row>
    <row r="1071" spans="1:25">
      <c r="A1071" s="1900" t="s">
        <v>163</v>
      </c>
      <c r="C1071" s="528">
        <f t="shared" ref="C1071" si="1358">C1093+C1115+C1137</f>
        <v>6019457.0712244231</v>
      </c>
      <c r="D1071" s="528">
        <f t="shared" si="1349"/>
        <v>10109190</v>
      </c>
      <c r="E1071" s="597"/>
      <c r="F1071" s="1920">
        <v>9.9693000000000005</v>
      </c>
      <c r="G1071" s="1921" t="s">
        <v>495</v>
      </c>
      <c r="H1071" s="1644">
        <f t="shared" si="1356"/>
        <v>600098</v>
      </c>
      <c r="I1071" s="1644">
        <f t="shared" si="1356"/>
        <v>1007815</v>
      </c>
      <c r="J1071" s="597"/>
      <c r="K1071" s="1920"/>
      <c r="L1071" s="1921"/>
      <c r="M1071" s="1920"/>
      <c r="N1071" s="1921"/>
      <c r="O1071" s="1920"/>
      <c r="P1071" s="1921"/>
      <c r="Q1071" s="1920"/>
      <c r="R1071" s="1921"/>
      <c r="S1071" s="1648"/>
      <c r="T1071" s="1648"/>
      <c r="U1071" s="1648"/>
      <c r="V1071" s="1648"/>
      <c r="W1071" s="1648"/>
      <c r="X1071" s="1648"/>
      <c r="Y1071" s="1644"/>
    </row>
    <row r="1072" spans="1:25">
      <c r="A1072" s="1900" t="s">
        <v>164</v>
      </c>
      <c r="C1072" s="528">
        <f t="shared" ref="C1072" si="1359">C1094+C1116+C1138</f>
        <v>4575664.2039668448</v>
      </c>
      <c r="D1072" s="528">
        <f t="shared" si="1349"/>
        <v>6701518</v>
      </c>
      <c r="E1072" s="597"/>
      <c r="F1072" s="1920">
        <v>3.0059999999999998</v>
      </c>
      <c r="G1072" s="1921" t="s">
        <v>495</v>
      </c>
      <c r="H1072" s="1644">
        <f t="shared" si="1356"/>
        <v>137544</v>
      </c>
      <c r="I1072" s="1644">
        <f t="shared" si="1356"/>
        <v>201448</v>
      </c>
      <c r="J1072" s="597"/>
      <c r="K1072" s="1920"/>
      <c r="L1072" s="1921"/>
      <c r="M1072" s="1920"/>
      <c r="N1072" s="1921"/>
      <c r="O1072" s="1920"/>
      <c r="P1072" s="1921"/>
      <c r="Q1072" s="1920"/>
      <c r="R1072" s="1921"/>
      <c r="S1072" s="1648"/>
      <c r="T1072" s="1648"/>
      <c r="U1072" s="1648"/>
      <c r="V1072" s="1648"/>
      <c r="W1072" s="1648"/>
      <c r="X1072" s="1648"/>
      <c r="Y1072" s="1644"/>
    </row>
    <row r="1073" spans="1:28">
      <c r="A1073" s="1900" t="s">
        <v>246</v>
      </c>
      <c r="C1073" s="529">
        <f t="shared" ref="C1073" si="1360">C1095+C1117+C1139</f>
        <v>-9687</v>
      </c>
      <c r="D1073" s="529">
        <f t="shared" si="1349"/>
        <v>0</v>
      </c>
      <c r="H1073" s="1030">
        <f>H1095+H1117+H1139</f>
        <v>-430</v>
      </c>
      <c r="I1073" s="1030">
        <f t="shared" ref="I1073" si="1361">I1095+I1117+I1139</f>
        <v>0</v>
      </c>
      <c r="Y1073" s="1030"/>
    </row>
    <row r="1074" spans="1:28">
      <c r="A1074" s="1900" t="s">
        <v>1240</v>
      </c>
      <c r="C1074" s="584"/>
      <c r="D1074" s="584"/>
      <c r="F1074" s="1930">
        <v>-4.99E-2</v>
      </c>
      <c r="G1074" s="597"/>
      <c r="H1074" s="1644">
        <f>SUM(H1069:H1072)*$F1074</f>
        <v>-53873.8364</v>
      </c>
      <c r="I1074" s="1644">
        <f>SUM(I1069:I1072)*$F1074</f>
        <v>-89704.980500000005</v>
      </c>
      <c r="K1074" s="1930"/>
      <c r="L1074" s="597"/>
      <c r="M1074" s="1930"/>
      <c r="N1074" s="597"/>
      <c r="O1074" s="1931" t="str">
        <f>$O$43</f>
        <v>Tax Year 1 (7/1/2021)</v>
      </c>
      <c r="P1074" s="597"/>
      <c r="Q1074" s="1930">
        <f>$Q$979</f>
        <v>-3.0599999999999999E-2</v>
      </c>
      <c r="R1074" s="597"/>
      <c r="S1074" s="1645"/>
      <c r="T1074" s="1645"/>
      <c r="U1074" s="1645"/>
      <c r="V1074" s="1645"/>
      <c r="W1074" s="1645"/>
      <c r="X1074" s="1645"/>
      <c r="Y1074" s="1644">
        <f>Q1074*SUM(Y1057:Y1060)</f>
        <v>-64485.644399999997</v>
      </c>
    </row>
    <row r="1075" spans="1:28">
      <c r="A1075" s="1900"/>
      <c r="C1075" s="584"/>
      <c r="D1075" s="584"/>
      <c r="F1075" s="1930"/>
      <c r="G1075" s="597"/>
      <c r="H1075" s="1644"/>
      <c r="I1075" s="1644"/>
      <c r="K1075" s="1930"/>
      <c r="L1075" s="597"/>
      <c r="M1075" s="1930"/>
      <c r="N1075" s="597"/>
      <c r="O1075" s="1931" t="str">
        <f>$O$44</f>
        <v>Tax Year 2 (1/1/2022)</v>
      </c>
      <c r="P1075" s="597"/>
      <c r="Q1075" s="1930">
        <f>$Q$980</f>
        <v>-1.66E-2</v>
      </c>
      <c r="R1075" s="597"/>
      <c r="S1075" s="1645"/>
      <c r="T1075" s="1645"/>
      <c r="U1075" s="1645"/>
      <c r="V1075" s="1645"/>
      <c r="W1075" s="1645"/>
      <c r="X1075" s="1645"/>
      <c r="Y1075" s="1644">
        <f>Q1075*SUM(Y1057:Y1060)</f>
        <v>-34982.4084</v>
      </c>
    </row>
    <row r="1076" spans="1:28" ht="16.5" thickBot="1">
      <c r="A1076" s="1900" t="s">
        <v>247</v>
      </c>
      <c r="C1076" s="1949">
        <f>SUM(C1069:C1073)</f>
        <v>14582260.350323539</v>
      </c>
      <c r="D1076" s="1949">
        <f>SUM(D1069:D1073)</f>
        <v>23433646.101169731</v>
      </c>
      <c r="F1076" s="1939"/>
      <c r="H1076" s="1647">
        <f>SUM(H1065:H1074)</f>
        <v>1928446.1636000001</v>
      </c>
      <c r="I1076" s="1647">
        <f>SUM(I1065:I1074)</f>
        <v>3129599.0194999999</v>
      </c>
      <c r="K1076" s="1939"/>
      <c r="M1076" s="1939"/>
      <c r="O1076" s="1939"/>
      <c r="Q1076" s="1939"/>
      <c r="S1076" s="1647">
        <f>SUM(S1057:S1073)</f>
        <v>1013427</v>
      </c>
      <c r="U1076" s="1647">
        <f>SUM(U1057:U1073)</f>
        <v>893017</v>
      </c>
      <c r="W1076" s="1647">
        <f>SUM(W1057:W1073)</f>
        <v>877749</v>
      </c>
      <c r="Y1076" s="1647">
        <f>SUM(Y1057:Y1073)</f>
        <v>2784194</v>
      </c>
      <c r="AA1076" s="1104" t="s">
        <v>1743</v>
      </c>
      <c r="AB1076" s="1890">
        <f>Y1076/I1076-1</f>
        <v>-0.11036718037928817</v>
      </c>
    </row>
    <row r="1077" spans="1:28" ht="16.5" hidden="1" thickTop="1">
      <c r="C1077" s="528"/>
      <c r="D1077" s="528"/>
      <c r="Y1077" s="1645"/>
    </row>
    <row r="1078" spans="1:28" hidden="1">
      <c r="A1078" s="1897" t="s">
        <v>988</v>
      </c>
      <c r="C1078" s="528"/>
      <c r="D1078" s="528"/>
      <c r="F1078" s="1943"/>
      <c r="G1078" s="1957"/>
      <c r="K1078" s="1943"/>
      <c r="L1078" s="1957"/>
      <c r="M1078" s="1943"/>
      <c r="N1078" s="1957"/>
      <c r="O1078" s="1943"/>
      <c r="P1078" s="1957"/>
      <c r="Q1078" s="1943"/>
      <c r="R1078" s="1957"/>
      <c r="S1078" s="1645"/>
      <c r="T1078" s="1645"/>
      <c r="U1078" s="1645"/>
      <c r="V1078" s="1645"/>
      <c r="W1078" s="1645"/>
      <c r="X1078" s="1645"/>
      <c r="Y1078" s="1637"/>
    </row>
    <row r="1079" spans="1:28" hidden="1">
      <c r="A1079" s="1900" t="s">
        <v>1910</v>
      </c>
      <c r="C1079" s="528">
        <f>'BD-Redesign'!J7</f>
        <v>0</v>
      </c>
      <c r="D1079" s="528">
        <v>0</v>
      </c>
      <c r="E1079" s="597"/>
      <c r="F1079" s="1942"/>
      <c r="G1079" s="1921"/>
      <c r="H1079" s="1644"/>
      <c r="I1079" s="1644"/>
      <c r="J1079" s="597"/>
      <c r="K1079" s="1942">
        <f>K1057</f>
        <v>3.9525000000000001</v>
      </c>
      <c r="L1079" s="1921" t="s">
        <v>495</v>
      </c>
      <c r="M1079" s="1942">
        <f>M1057</f>
        <v>17.075028114911813</v>
      </c>
      <c r="N1079" s="1921" t="s">
        <v>495</v>
      </c>
      <c r="O1079" s="1942">
        <f>O1057</f>
        <v>1.3496999999999999</v>
      </c>
      <c r="P1079" s="1921" t="s">
        <v>495</v>
      </c>
      <c r="Q1079" s="1942">
        <f t="shared" ref="Q1079:Q1087" si="1362">Q1057</f>
        <v>22.377228114911812</v>
      </c>
      <c r="R1079" s="1921" t="s">
        <v>495</v>
      </c>
      <c r="S1079" s="1644">
        <f>ROUND($D1079*K1079/100,0)</f>
        <v>0</v>
      </c>
      <c r="T1079" s="1648"/>
      <c r="U1079" s="1644">
        <f>ROUND($D1079*M1079/100,0)</f>
        <v>0</v>
      </c>
      <c r="V1079" s="1648"/>
      <c r="W1079" s="1644">
        <f>ROUND($D1079*O1079/100,0)</f>
        <v>0</v>
      </c>
      <c r="X1079" s="1648"/>
      <c r="Y1079" s="1644">
        <f>ROUND($D1079*Q1079/100,0)</f>
        <v>0</v>
      </c>
    </row>
    <row r="1080" spans="1:28" hidden="1">
      <c r="A1080" s="1900" t="s">
        <v>1911</v>
      </c>
      <c r="C1080" s="528">
        <f>'BD-Redesign'!J8</f>
        <v>0</v>
      </c>
      <c r="D1080" s="528">
        <v>0</v>
      </c>
      <c r="E1080" s="597"/>
      <c r="F1080" s="1942"/>
      <c r="G1080" s="1921"/>
      <c r="H1080" s="1644"/>
      <c r="I1080" s="1644"/>
      <c r="J1080" s="597"/>
      <c r="K1080" s="1942">
        <f t="shared" ref="K1080" si="1363">K1058</f>
        <v>3.9525000000000001</v>
      </c>
      <c r="L1080" s="1921" t="s">
        <v>495</v>
      </c>
      <c r="M1080" s="1942">
        <f t="shared" ref="M1080" si="1364">M1058</f>
        <v>-0.91518271744099966</v>
      </c>
      <c r="N1080" s="1921" t="s">
        <v>495</v>
      </c>
      <c r="O1080" s="1942">
        <f t="shared" ref="O1080" si="1365">O1058</f>
        <v>1.3496999999999999</v>
      </c>
      <c r="P1080" s="1921" t="s">
        <v>495</v>
      </c>
      <c r="Q1080" s="1942">
        <f t="shared" si="1362"/>
        <v>4.3870172825590004</v>
      </c>
      <c r="R1080" s="1921" t="s">
        <v>495</v>
      </c>
      <c r="S1080" s="1644">
        <f t="shared" ref="S1080:S1086" si="1366">ROUND($D1080*K1080/100,0)</f>
        <v>0</v>
      </c>
      <c r="T1080" s="1648"/>
      <c r="U1080" s="1644">
        <f t="shared" ref="U1080:U1086" si="1367">ROUND($D1080*M1080/100,0)</f>
        <v>0</v>
      </c>
      <c r="V1080" s="1648"/>
      <c r="W1080" s="1644">
        <f t="shared" ref="W1080:W1086" si="1368">ROUND($D1080*O1080/100,0)</f>
        <v>0</v>
      </c>
      <c r="X1080" s="1648"/>
      <c r="Y1080" s="1644">
        <f t="shared" ref="Y1080:Y1086" si="1369">ROUND($D1080*Q1080/100,0)</f>
        <v>0</v>
      </c>
    </row>
    <row r="1081" spans="1:28" hidden="1">
      <c r="A1081" s="1900" t="s">
        <v>1912</v>
      </c>
      <c r="C1081" s="528">
        <f>'BD-Redesign'!J9</f>
        <v>689.99085923217501</v>
      </c>
      <c r="D1081" s="528">
        <v>0</v>
      </c>
      <c r="E1081" s="597"/>
      <c r="F1081" s="1942"/>
      <c r="G1081" s="1921"/>
      <c r="H1081" s="1644"/>
      <c r="I1081" s="1644"/>
      <c r="J1081" s="597"/>
      <c r="K1081" s="1942">
        <f t="shared" ref="K1081" si="1370">K1059</f>
        <v>3.9525000000000001</v>
      </c>
      <c r="L1081" s="1921" t="s">
        <v>495</v>
      </c>
      <c r="M1081" s="1942">
        <f t="shared" ref="M1081" si="1371">M1059</f>
        <v>14.656000000000001</v>
      </c>
      <c r="N1081" s="1921" t="s">
        <v>495</v>
      </c>
      <c r="O1081" s="1942">
        <f t="shared" ref="O1081" si="1372">O1059</f>
        <v>1.1943999999999999</v>
      </c>
      <c r="P1081" s="1921" t="s">
        <v>495</v>
      </c>
      <c r="Q1081" s="1942">
        <f t="shared" si="1362"/>
        <v>19.802900000000001</v>
      </c>
      <c r="R1081" s="1921" t="s">
        <v>495</v>
      </c>
      <c r="S1081" s="1644">
        <f t="shared" si="1366"/>
        <v>0</v>
      </c>
      <c r="T1081" s="1648"/>
      <c r="U1081" s="1644">
        <f t="shared" si="1367"/>
        <v>0</v>
      </c>
      <c r="V1081" s="1648"/>
      <c r="W1081" s="1644">
        <f t="shared" si="1368"/>
        <v>0</v>
      </c>
      <c r="X1081" s="1648"/>
      <c r="Y1081" s="1644">
        <f t="shared" si="1369"/>
        <v>0</v>
      </c>
    </row>
    <row r="1082" spans="1:28" hidden="1">
      <c r="A1082" s="1900" t="s">
        <v>1913</v>
      </c>
      <c r="C1082" s="528">
        <f>'BD-Redesign'!J10</f>
        <v>2323.0091407678251</v>
      </c>
      <c r="D1082" s="528">
        <v>0</v>
      </c>
      <c r="E1082" s="597"/>
      <c r="F1082" s="1942"/>
      <c r="G1082" s="1921"/>
      <c r="H1082" s="1644"/>
      <c r="I1082" s="1644"/>
      <c r="J1082" s="597"/>
      <c r="K1082" s="1942">
        <f t="shared" ref="K1082" si="1373">K1060</f>
        <v>3.9525000000000001</v>
      </c>
      <c r="L1082" s="1921" t="s">
        <v>495</v>
      </c>
      <c r="M1082" s="1942">
        <f t="shared" ref="M1082" si="1374">M1060</f>
        <v>-1.2646000000000002</v>
      </c>
      <c r="N1082" s="1921" t="s">
        <v>495</v>
      </c>
      <c r="O1082" s="1942">
        <f t="shared" ref="O1082" si="1375">O1060</f>
        <v>1.1943999999999999</v>
      </c>
      <c r="P1082" s="1921" t="s">
        <v>495</v>
      </c>
      <c r="Q1082" s="1942">
        <f t="shared" si="1362"/>
        <v>3.8822999999999999</v>
      </c>
      <c r="R1082" s="1921" t="s">
        <v>495</v>
      </c>
      <c r="S1082" s="1644">
        <f t="shared" si="1366"/>
        <v>0</v>
      </c>
      <c r="T1082" s="1648"/>
      <c r="U1082" s="1644">
        <f t="shared" si="1367"/>
        <v>0</v>
      </c>
      <c r="V1082" s="1648"/>
      <c r="W1082" s="1644">
        <f t="shared" si="1368"/>
        <v>0</v>
      </c>
      <c r="X1082" s="1648"/>
      <c r="Y1082" s="1644">
        <f t="shared" si="1369"/>
        <v>0</v>
      </c>
    </row>
    <row r="1083" spans="1:28" hidden="1">
      <c r="A1083" s="1900" t="s">
        <v>1906</v>
      </c>
      <c r="C1083" s="528">
        <f>'BD-Redesign'!J11</f>
        <v>0</v>
      </c>
      <c r="D1083" s="528">
        <v>0</v>
      </c>
      <c r="E1083" s="597"/>
      <c r="F1083" s="1942"/>
      <c r="G1083" s="1921"/>
      <c r="H1083" s="1644"/>
      <c r="I1083" s="1644"/>
      <c r="J1083" s="597"/>
      <c r="K1083" s="1942">
        <f t="shared" ref="K1083" si="1376">K1061</f>
        <v>0</v>
      </c>
      <c r="L1083" s="1921" t="s">
        <v>495</v>
      </c>
      <c r="M1083" s="1942">
        <f t="shared" ref="M1083" si="1377">M1061</f>
        <v>0</v>
      </c>
      <c r="N1083" s="1921" t="s">
        <v>495</v>
      </c>
      <c r="O1083" s="1942">
        <f t="shared" ref="O1083" si="1378">O1061</f>
        <v>6</v>
      </c>
      <c r="P1083" s="1921" t="s">
        <v>495</v>
      </c>
      <c r="Q1083" s="1942">
        <f t="shared" si="1362"/>
        <v>6</v>
      </c>
      <c r="R1083" s="1921" t="s">
        <v>495</v>
      </c>
      <c r="S1083" s="1644">
        <f t="shared" si="1366"/>
        <v>0</v>
      </c>
      <c r="T1083" s="1648"/>
      <c r="U1083" s="1644">
        <f t="shared" si="1367"/>
        <v>0</v>
      </c>
      <c r="V1083" s="1648"/>
      <c r="W1083" s="1644">
        <f t="shared" si="1368"/>
        <v>0</v>
      </c>
      <c r="X1083" s="1648"/>
      <c r="Y1083" s="1644">
        <f t="shared" si="1369"/>
        <v>0</v>
      </c>
    </row>
    <row r="1084" spans="1:28" hidden="1">
      <c r="A1084" s="1900" t="s">
        <v>1907</v>
      </c>
      <c r="C1084" s="528">
        <f>'BD-Redesign'!J12</f>
        <v>0</v>
      </c>
      <c r="D1084" s="528">
        <v>0</v>
      </c>
      <c r="E1084" s="597"/>
      <c r="F1084" s="1942"/>
      <c r="G1084" s="1921"/>
      <c r="H1084" s="1644"/>
      <c r="I1084" s="1644"/>
      <c r="J1084" s="597"/>
      <c r="K1084" s="1942">
        <f t="shared" ref="K1084" si="1379">K1062</f>
        <v>0</v>
      </c>
      <c r="L1084" s="1921" t="s">
        <v>495</v>
      </c>
      <c r="M1084" s="1942">
        <f t="shared" ref="M1084" si="1380">M1062</f>
        <v>0</v>
      </c>
      <c r="N1084" s="1921" t="s">
        <v>495</v>
      </c>
      <c r="O1084" s="1942">
        <f t="shared" ref="O1084" si="1381">O1062</f>
        <v>-2.3358000000000008</v>
      </c>
      <c r="P1084" s="1921" t="s">
        <v>495</v>
      </c>
      <c r="Q1084" s="1942">
        <f t="shared" si="1362"/>
        <v>-2.3358000000000008</v>
      </c>
      <c r="R1084" s="1921" t="s">
        <v>495</v>
      </c>
      <c r="S1084" s="1644">
        <f t="shared" si="1366"/>
        <v>0</v>
      </c>
      <c r="T1084" s="1648"/>
      <c r="U1084" s="1644">
        <f t="shared" si="1367"/>
        <v>0</v>
      </c>
      <c r="V1084" s="1648"/>
      <c r="W1084" s="1644">
        <f t="shared" si="1368"/>
        <v>0</v>
      </c>
      <c r="X1084" s="1648"/>
      <c r="Y1084" s="1644">
        <f t="shared" si="1369"/>
        <v>0</v>
      </c>
    </row>
    <row r="1085" spans="1:28" hidden="1">
      <c r="A1085" s="1900" t="s">
        <v>1908</v>
      </c>
      <c r="C1085" s="528">
        <f>'BD-Redesign'!J13</f>
        <v>1005</v>
      </c>
      <c r="D1085" s="528">
        <v>0</v>
      </c>
      <c r="E1085" s="597"/>
      <c r="F1085" s="1942"/>
      <c r="G1085" s="1921"/>
      <c r="H1085" s="1644"/>
      <c r="I1085" s="1644"/>
      <c r="J1085" s="597"/>
      <c r="K1085" s="1942">
        <f t="shared" ref="K1085" si="1382">K1063</f>
        <v>0</v>
      </c>
      <c r="L1085" s="1921" t="s">
        <v>495</v>
      </c>
      <c r="M1085" s="1942">
        <f t="shared" ref="M1085" si="1383">M1063</f>
        <v>0</v>
      </c>
      <c r="N1085" s="1921" t="s">
        <v>495</v>
      </c>
      <c r="O1085" s="1942">
        <f t="shared" ref="O1085" si="1384">O1063</f>
        <v>5.3097000000000003</v>
      </c>
      <c r="P1085" s="1921" t="s">
        <v>495</v>
      </c>
      <c r="Q1085" s="1942">
        <f t="shared" si="1362"/>
        <v>5.3097000000000003</v>
      </c>
      <c r="R1085" s="1921" t="s">
        <v>495</v>
      </c>
      <c r="S1085" s="1644">
        <f t="shared" si="1366"/>
        <v>0</v>
      </c>
      <c r="T1085" s="1648"/>
      <c r="U1085" s="1644">
        <f t="shared" si="1367"/>
        <v>0</v>
      </c>
      <c r="V1085" s="1648"/>
      <c r="W1085" s="1644">
        <f t="shared" si="1368"/>
        <v>0</v>
      </c>
      <c r="X1085" s="1648"/>
      <c r="Y1085" s="1644">
        <f t="shared" si="1369"/>
        <v>0</v>
      </c>
    </row>
    <row r="1086" spans="1:28" hidden="1">
      <c r="A1086" s="1900" t="s">
        <v>1909</v>
      </c>
      <c r="C1086" s="528">
        <f>'BD-Redesign'!J14</f>
        <v>2008</v>
      </c>
      <c r="D1086" s="528">
        <v>0</v>
      </c>
      <c r="E1086" s="597"/>
      <c r="F1086" s="1942"/>
      <c r="G1086" s="1921"/>
      <c r="H1086" s="1644"/>
      <c r="I1086" s="1644"/>
      <c r="J1086" s="597"/>
      <c r="K1086" s="1942">
        <f t="shared" ref="K1086" si="1385">K1064</f>
        <v>0</v>
      </c>
      <c r="L1086" s="1921" t="s">
        <v>495</v>
      </c>
      <c r="M1086" s="1942">
        <f t="shared" ref="M1086" si="1386">M1064</f>
        <v>0</v>
      </c>
      <c r="N1086" s="1921" t="s">
        <v>495</v>
      </c>
      <c r="O1086" s="1942">
        <f t="shared" ref="O1086" si="1387">O1064</f>
        <v>-2.0670999999999999</v>
      </c>
      <c r="P1086" s="1921" t="s">
        <v>495</v>
      </c>
      <c r="Q1086" s="1942">
        <f t="shared" si="1362"/>
        <v>-2.0670999999999999</v>
      </c>
      <c r="R1086" s="1921" t="s">
        <v>495</v>
      </c>
      <c r="S1086" s="1644">
        <f t="shared" si="1366"/>
        <v>0</v>
      </c>
      <c r="T1086" s="1648"/>
      <c r="U1086" s="1644">
        <f t="shared" si="1367"/>
        <v>0</v>
      </c>
      <c r="V1086" s="1648"/>
      <c r="W1086" s="1644">
        <f t="shared" si="1368"/>
        <v>0</v>
      </c>
      <c r="X1086" s="1648"/>
      <c r="Y1086" s="1644">
        <f t="shared" si="1369"/>
        <v>0</v>
      </c>
    </row>
    <row r="1087" spans="1:28" hidden="1">
      <c r="A1087" s="1900" t="s">
        <v>240</v>
      </c>
      <c r="C1087" s="528">
        <f>'6A'!H22</f>
        <v>20.233333333333299</v>
      </c>
      <c r="D1087" s="528">
        <f>Bill!P21</f>
        <v>12</v>
      </c>
      <c r="F1087" s="1944">
        <v>54</v>
      </c>
      <c r="G1087" s="597"/>
      <c r="H1087" s="1644">
        <f t="shared" ref="H1087:I1090" si="1388">ROUND($F1087*C1087,0)</f>
        <v>1093</v>
      </c>
      <c r="I1087" s="1644">
        <f t="shared" si="1388"/>
        <v>648</v>
      </c>
      <c r="K1087" s="1944">
        <f t="shared" ref="K1087" si="1389">K1065</f>
        <v>54</v>
      </c>
      <c r="L1087" s="597"/>
      <c r="M1087" s="1944">
        <f t="shared" ref="M1087" si="1390">M1065</f>
        <v>0</v>
      </c>
      <c r="N1087" s="597"/>
      <c r="O1087" s="1944">
        <f t="shared" ref="O1087" si="1391">O1065</f>
        <v>0</v>
      </c>
      <c r="P1087" s="597"/>
      <c r="Q1087" s="1944">
        <f t="shared" si="1362"/>
        <v>54</v>
      </c>
      <c r="R1087" s="597"/>
      <c r="S1087" s="1644">
        <f>ROUND($D1087*K1087,0)</f>
        <v>648</v>
      </c>
      <c r="T1087" s="1643"/>
      <c r="U1087" s="1644">
        <f>ROUND($D1087*M1087,0)</f>
        <v>0</v>
      </c>
      <c r="V1087" s="1643"/>
      <c r="W1087" s="1644">
        <f>ROUND($D1087*O1087,0)</f>
        <v>0</v>
      </c>
      <c r="X1087" s="1645"/>
      <c r="Y1087" s="1644">
        <f>ROUND($D1087*Q1087,0)</f>
        <v>648</v>
      </c>
    </row>
    <row r="1088" spans="1:28" hidden="1">
      <c r="A1088" s="1900" t="s">
        <v>157</v>
      </c>
      <c r="C1088" s="528">
        <f>'6A'!J22</f>
        <v>374.33282208588997</v>
      </c>
      <c r="D1088" s="528">
        <f>ROUND(C1088/C1098*D1098,0)</f>
        <v>0</v>
      </c>
      <c r="F1088" s="1944">
        <v>6.52</v>
      </c>
      <c r="G1088" s="597"/>
      <c r="H1088" s="1644">
        <f t="shared" si="1388"/>
        <v>2441</v>
      </c>
      <c r="I1088" s="1644">
        <f t="shared" si="1388"/>
        <v>0</v>
      </c>
      <c r="K1088" s="1944"/>
      <c r="L1088" s="597"/>
      <c r="M1088" s="1944"/>
      <c r="N1088" s="597"/>
      <c r="O1088" s="1944"/>
      <c r="P1088" s="597"/>
      <c r="Q1088" s="1944"/>
      <c r="R1088" s="597"/>
      <c r="S1088" s="1644"/>
      <c r="T1088" s="1645"/>
      <c r="U1088" s="1644"/>
      <c r="V1088" s="1645"/>
      <c r="W1088" s="1644"/>
      <c r="X1088" s="1645"/>
      <c r="Y1088" s="1644"/>
    </row>
    <row r="1089" spans="1:28" hidden="1">
      <c r="A1089" s="1900" t="s">
        <v>162</v>
      </c>
      <c r="C1089" s="528">
        <f>'6A'!K22</f>
        <v>275.03473491773298</v>
      </c>
      <c r="D1089" s="528">
        <f>ROUND(C1089/C1098*D1098,0)</f>
        <v>0</v>
      </c>
      <c r="F1089" s="1944">
        <v>5.47</v>
      </c>
      <c r="G1089" s="597"/>
      <c r="H1089" s="1644">
        <f t="shared" si="1388"/>
        <v>1504</v>
      </c>
      <c r="I1089" s="1644">
        <f t="shared" si="1388"/>
        <v>0</v>
      </c>
      <c r="K1089" s="1944"/>
      <c r="L1089" s="597"/>
      <c r="M1089" s="1944"/>
      <c r="N1089" s="597"/>
      <c r="O1089" s="1944"/>
      <c r="P1089" s="597"/>
      <c r="Q1089" s="1944"/>
      <c r="R1089" s="597"/>
      <c r="S1089" s="1644"/>
      <c r="T1089" s="1645"/>
      <c r="U1089" s="1644"/>
      <c r="V1089" s="1645"/>
      <c r="W1089" s="1644"/>
      <c r="X1089" s="1645"/>
      <c r="Y1089" s="1644"/>
    </row>
    <row r="1090" spans="1:28" hidden="1">
      <c r="A1090" s="1900" t="s">
        <v>261</v>
      </c>
      <c r="C1090" s="528">
        <f>'6A'!L22</f>
        <v>0</v>
      </c>
      <c r="D1090" s="528">
        <f>ROUND(C1090/C1098*D1098,0)</f>
        <v>0</v>
      </c>
      <c r="E1090" s="597"/>
      <c r="F1090" s="1944">
        <v>-0.61</v>
      </c>
      <c r="G1090" s="597"/>
      <c r="H1090" s="1644">
        <f t="shared" si="1388"/>
        <v>0</v>
      </c>
      <c r="I1090" s="1644">
        <f t="shared" si="1388"/>
        <v>0</v>
      </c>
      <c r="J1090" s="597"/>
      <c r="K1090" s="1944">
        <f>K1068</f>
        <v>-0.61</v>
      </c>
      <c r="L1090" s="597"/>
      <c r="M1090" s="1944">
        <f>M1068</f>
        <v>0</v>
      </c>
      <c r="N1090" s="597"/>
      <c r="O1090" s="1944">
        <f>O1068</f>
        <v>0</v>
      </c>
      <c r="P1090" s="597"/>
      <c r="Q1090" s="1944">
        <f>Q1068</f>
        <v>-0.61</v>
      </c>
      <c r="R1090" s="597"/>
      <c r="S1090" s="1644">
        <f>ROUND($D1090*K1090,0)</f>
        <v>0</v>
      </c>
      <c r="T1090" s="1645"/>
      <c r="U1090" s="1644">
        <f>ROUND($D1090*M1090,0)</f>
        <v>0</v>
      </c>
      <c r="V1090" s="1645"/>
      <c r="W1090" s="1644">
        <f>ROUND($D1090*O1090,0)</f>
        <v>0</v>
      </c>
      <c r="X1090" s="1645"/>
      <c r="Y1090" s="1644">
        <f>ROUND($D1090*Q1090,0)</f>
        <v>0</v>
      </c>
    </row>
    <row r="1091" spans="1:28" hidden="1">
      <c r="A1091" s="1900" t="s">
        <v>188</v>
      </c>
      <c r="C1091" s="528">
        <f>'6A'!N22</f>
        <v>0</v>
      </c>
      <c r="D1091" s="528">
        <f>D1098-SUM(D1092:D1095)</f>
        <v>0</v>
      </c>
      <c r="E1091" s="597"/>
      <c r="F1091" s="1942">
        <v>11.926600000000001</v>
      </c>
      <c r="G1091" s="1921" t="s">
        <v>495</v>
      </c>
      <c r="H1091" s="1644">
        <f t="shared" ref="H1091:I1094" si="1392">ROUND($F1091*C1091/100,0)</f>
        <v>0</v>
      </c>
      <c r="I1091" s="1644">
        <f t="shared" si="1392"/>
        <v>0</v>
      </c>
      <c r="J1091" s="597"/>
      <c r="K1091" s="1942"/>
      <c r="L1091" s="1921"/>
      <c r="M1091" s="1942"/>
      <c r="N1091" s="1921"/>
      <c r="O1091" s="1942"/>
      <c r="P1091" s="1921"/>
      <c r="Q1091" s="1942"/>
      <c r="R1091" s="1921"/>
      <c r="S1091" s="1648"/>
      <c r="T1091" s="1648"/>
      <c r="U1091" s="1648"/>
      <c r="V1091" s="1648"/>
      <c r="W1091" s="1648"/>
      <c r="X1091" s="1648"/>
      <c r="Y1091" s="1644"/>
    </row>
    <row r="1092" spans="1:28" hidden="1">
      <c r="A1092" s="1900" t="s">
        <v>189</v>
      </c>
      <c r="C1092" s="528">
        <f>'6A'!O22</f>
        <v>0</v>
      </c>
      <c r="D1092" s="528">
        <f>IF((C1091+C1092)=0,0,ROUND(C1092/(C1091+C1092)*Energy!Q21,0))</f>
        <v>0</v>
      </c>
      <c r="E1092" s="597"/>
      <c r="F1092" s="1942">
        <v>3.5908000000000002</v>
      </c>
      <c r="G1092" s="1921" t="s">
        <v>495</v>
      </c>
      <c r="H1092" s="1644">
        <f t="shared" si="1392"/>
        <v>0</v>
      </c>
      <c r="I1092" s="1644">
        <f t="shared" si="1392"/>
        <v>0</v>
      </c>
      <c r="J1092" s="597"/>
      <c r="K1092" s="1942"/>
      <c r="L1092" s="1921"/>
      <c r="M1092" s="1942"/>
      <c r="N1092" s="1921"/>
      <c r="O1092" s="1942"/>
      <c r="P1092" s="1921"/>
      <c r="Q1092" s="1942"/>
      <c r="R1092" s="1921"/>
      <c r="S1092" s="1648"/>
      <c r="T1092" s="1648"/>
      <c r="U1092" s="1648"/>
      <c r="V1092" s="1648"/>
      <c r="W1092" s="1648"/>
      <c r="X1092" s="1648"/>
      <c r="Y1092" s="1644"/>
    </row>
    <row r="1093" spans="1:28" hidden="1">
      <c r="A1093" s="1900" t="s">
        <v>163</v>
      </c>
      <c r="C1093" s="528">
        <f>'6A'!P22</f>
        <v>2010</v>
      </c>
      <c r="D1093" s="528">
        <f>ROUND(C1093/(C1093+C1094)*Energy!R21,0)</f>
        <v>0</v>
      </c>
      <c r="E1093" s="597"/>
      <c r="F1093" s="1942">
        <v>9.9693000000000005</v>
      </c>
      <c r="G1093" s="1921" t="s">
        <v>495</v>
      </c>
      <c r="H1093" s="1644">
        <f t="shared" si="1392"/>
        <v>200</v>
      </c>
      <c r="I1093" s="1644">
        <f t="shared" si="1392"/>
        <v>0</v>
      </c>
      <c r="J1093" s="597"/>
      <c r="K1093" s="1942"/>
      <c r="L1093" s="1921"/>
      <c r="M1093" s="1942"/>
      <c r="N1093" s="1921"/>
      <c r="O1093" s="1942"/>
      <c r="P1093" s="1921"/>
      <c r="Q1093" s="1942"/>
      <c r="R1093" s="1921"/>
      <c r="S1093" s="1648"/>
      <c r="T1093" s="1648"/>
      <c r="U1093" s="1648"/>
      <c r="V1093" s="1648"/>
      <c r="W1093" s="1648"/>
      <c r="X1093" s="1648"/>
      <c r="Y1093" s="1644"/>
    </row>
    <row r="1094" spans="1:28" hidden="1">
      <c r="A1094" s="1900" t="s">
        <v>164</v>
      </c>
      <c r="C1094" s="528">
        <f>'6A'!Q22</f>
        <v>4016</v>
      </c>
      <c r="D1094" s="528">
        <f>ROUND(C1094/(C1093+C1094)*Energy!R21,0)</f>
        <v>0</v>
      </c>
      <c r="E1094" s="597"/>
      <c r="F1094" s="1942">
        <v>3.0059999999999998</v>
      </c>
      <c r="G1094" s="1921" t="s">
        <v>495</v>
      </c>
      <c r="H1094" s="1644">
        <f t="shared" si="1392"/>
        <v>121</v>
      </c>
      <c r="I1094" s="1644">
        <f t="shared" si="1392"/>
        <v>0</v>
      </c>
      <c r="J1094" s="597"/>
      <c r="K1094" s="1942"/>
      <c r="L1094" s="1921"/>
      <c r="M1094" s="1942"/>
      <c r="N1094" s="1921"/>
      <c r="O1094" s="1942"/>
      <c r="P1094" s="1921"/>
      <c r="Q1094" s="1942"/>
      <c r="R1094" s="1921"/>
      <c r="S1094" s="1648"/>
      <c r="T1094" s="1648"/>
      <c r="U1094" s="1648"/>
      <c r="V1094" s="1648"/>
      <c r="W1094" s="1648"/>
      <c r="X1094" s="1648"/>
      <c r="Y1094" s="1644"/>
    </row>
    <row r="1095" spans="1:28" hidden="1">
      <c r="A1095" s="1900" t="s">
        <v>246</v>
      </c>
      <c r="C1095" s="529">
        <f>'Table 2'!J21</f>
        <v>34</v>
      </c>
      <c r="D1095" s="529">
        <v>0</v>
      </c>
      <c r="H1095" s="1030">
        <f>'Table 3'!F21</f>
        <v>33</v>
      </c>
      <c r="I1095" s="1030">
        <v>0</v>
      </c>
      <c r="Y1095" s="1030"/>
    </row>
    <row r="1096" spans="1:28" hidden="1">
      <c r="A1096" s="1900" t="s">
        <v>1240</v>
      </c>
      <c r="C1096" s="584"/>
      <c r="D1096" s="584"/>
      <c r="F1096" s="1930">
        <v>-4.99E-2</v>
      </c>
      <c r="G1096" s="597"/>
      <c r="H1096" s="1644">
        <f>SUM(H1091:H1094)*$F1096</f>
        <v>-16.017900000000001</v>
      </c>
      <c r="I1096" s="1644">
        <f>SUM(I1091:I1094)*$F1096</f>
        <v>0</v>
      </c>
      <c r="K1096" s="1930"/>
      <c r="L1096" s="597"/>
      <c r="M1096" s="1930"/>
      <c r="N1096" s="597"/>
      <c r="O1096" s="1931" t="str">
        <f>$O$43</f>
        <v>Tax Year 1 (7/1/2021)</v>
      </c>
      <c r="P1096" s="597"/>
      <c r="Q1096" s="1930">
        <f>$Q$979</f>
        <v>-3.0599999999999999E-2</v>
      </c>
      <c r="R1096" s="597"/>
      <c r="S1096" s="1645"/>
      <c r="T1096" s="1645"/>
      <c r="U1096" s="1645"/>
      <c r="V1096" s="1645"/>
      <c r="W1096" s="1645"/>
      <c r="X1096" s="1645"/>
      <c r="Y1096" s="1644">
        <f>Q1096*SUM(Y1079:Y1082)</f>
        <v>0</v>
      </c>
    </row>
    <row r="1097" spans="1:28" hidden="1">
      <c r="A1097" s="1900"/>
      <c r="C1097" s="584"/>
      <c r="D1097" s="584"/>
      <c r="F1097" s="1930"/>
      <c r="G1097" s="597"/>
      <c r="H1097" s="1644"/>
      <c r="I1097" s="1644"/>
      <c r="K1097" s="1930"/>
      <c r="L1097" s="597"/>
      <c r="M1097" s="1930"/>
      <c r="N1097" s="597"/>
      <c r="O1097" s="1931" t="str">
        <f>$O$44</f>
        <v>Tax Year 2 (1/1/2022)</v>
      </c>
      <c r="P1097" s="597"/>
      <c r="Q1097" s="1930">
        <f>$Q$980</f>
        <v>-1.66E-2</v>
      </c>
      <c r="R1097" s="597"/>
      <c r="S1097" s="1645"/>
      <c r="T1097" s="1645"/>
      <c r="U1097" s="1645"/>
      <c r="V1097" s="1645"/>
      <c r="W1097" s="1645"/>
      <c r="X1097" s="1645"/>
      <c r="Y1097" s="1644">
        <f>Q1097*SUM(Y1079:Y1082)</f>
        <v>0</v>
      </c>
    </row>
    <row r="1098" spans="1:28" ht="16.5" hidden="1" thickBot="1">
      <c r="A1098" s="1900" t="s">
        <v>247</v>
      </c>
      <c r="C1098" s="1949">
        <f>SUM(C1091:C1095)</f>
        <v>6060</v>
      </c>
      <c r="D1098" s="1949">
        <f>Energy!P21</f>
        <v>0</v>
      </c>
      <c r="E1098" s="597"/>
      <c r="F1098" s="1939"/>
      <c r="H1098" s="1647">
        <f>SUM(H1087:H1096)</f>
        <v>5375.9821000000002</v>
      </c>
      <c r="I1098" s="1647">
        <f>SUM(I1087:I1096)</f>
        <v>648</v>
      </c>
      <c r="J1098" s="597"/>
      <c r="K1098" s="1939"/>
      <c r="M1098" s="1939"/>
      <c r="O1098" s="1939"/>
      <c r="Q1098" s="1939"/>
      <c r="S1098" s="1647">
        <f>SUM(S1079:S1095)</f>
        <v>648</v>
      </c>
      <c r="U1098" s="1647">
        <f>SUM(U1079:U1095)</f>
        <v>0</v>
      </c>
      <c r="W1098" s="1647">
        <f>SUM(W1079:W1095)</f>
        <v>0</v>
      </c>
      <c r="Y1098" s="1647">
        <f>SUM(Y1079:Y1095)</f>
        <v>648</v>
      </c>
      <c r="AA1098" s="1104" t="s">
        <v>1743</v>
      </c>
      <c r="AB1098" s="1890">
        <f>Y1098/I1098-1</f>
        <v>0</v>
      </c>
    </row>
    <row r="1099" spans="1:28" ht="16.5" hidden="1" thickTop="1">
      <c r="E1099" s="597"/>
      <c r="J1099" s="597"/>
    </row>
    <row r="1100" spans="1:28" hidden="1">
      <c r="A1100" s="1897" t="s">
        <v>986</v>
      </c>
      <c r="C1100" s="528"/>
      <c r="D1100" s="528"/>
      <c r="F1100" s="1943"/>
      <c r="G1100" s="1957"/>
      <c r="K1100" s="1943"/>
      <c r="L1100" s="1957"/>
      <c r="M1100" s="1943"/>
      <c r="N1100" s="1957"/>
      <c r="O1100" s="1943"/>
      <c r="P1100" s="1957"/>
      <c r="Q1100" s="1943"/>
      <c r="R1100" s="1957"/>
      <c r="S1100" s="1645"/>
      <c r="T1100" s="1645"/>
      <c r="U1100" s="1645"/>
      <c r="V1100" s="1645"/>
      <c r="W1100" s="1645"/>
      <c r="X1100" s="1645"/>
    </row>
    <row r="1101" spans="1:28" hidden="1">
      <c r="A1101" s="1900" t="s">
        <v>1910</v>
      </c>
      <c r="C1101" s="528">
        <f>'BD-Redesign'!H7/('BD-Redesign'!H7+'BD-Redesign'!H8)*('Blocking-Step2'!C1105+'Blocking-Step2'!C1106)</f>
        <v>285974.95261118939</v>
      </c>
      <c r="D1101" s="528">
        <f>D1120-SUM(D1102:D1104)</f>
        <v>662525.0242466554</v>
      </c>
      <c r="E1101" s="597"/>
      <c r="F1101" s="1942"/>
      <c r="G1101" s="1921"/>
      <c r="H1101" s="1644"/>
      <c r="I1101" s="1644"/>
      <c r="J1101" s="597"/>
      <c r="K1101" s="1942">
        <f t="shared" ref="K1101:K1109" si="1393">K1057</f>
        <v>3.9525000000000001</v>
      </c>
      <c r="L1101" s="1921" t="s">
        <v>495</v>
      </c>
      <c r="M1101" s="1942">
        <f>M1057</f>
        <v>17.075028114911813</v>
      </c>
      <c r="N1101" s="1921" t="s">
        <v>495</v>
      </c>
      <c r="O1101" s="1942">
        <f>O1057</f>
        <v>1.3496999999999999</v>
      </c>
      <c r="P1101" s="1921" t="s">
        <v>495</v>
      </c>
      <c r="Q1101" s="1942">
        <f t="shared" ref="Q1101:Q1109" si="1394">Q1057</f>
        <v>22.377228114911812</v>
      </c>
      <c r="R1101" s="1921" t="s">
        <v>495</v>
      </c>
      <c r="S1101" s="1644">
        <f>ROUND($D1101*K1101/100,0)</f>
        <v>26186</v>
      </c>
      <c r="T1101" s="1648"/>
      <c r="U1101" s="1644">
        <f>ROUND($D1101*M1101/100,0)</f>
        <v>113126</v>
      </c>
      <c r="V1101" s="1648"/>
      <c r="W1101" s="1644">
        <f>ROUND($D1101*O1101/100,0)</f>
        <v>8942</v>
      </c>
      <c r="X1101" s="1648"/>
      <c r="Y1101" s="1644">
        <f>ROUND($D1101*Q1101/100,0)</f>
        <v>148255</v>
      </c>
    </row>
    <row r="1102" spans="1:28" hidden="1">
      <c r="A1102" s="1900" t="s">
        <v>1911</v>
      </c>
      <c r="C1102" s="528">
        <f>C1105+C1106-C1101</f>
        <v>647385.45033939811</v>
      </c>
      <c r="D1102" s="528">
        <f>ROUND(C1102/(C1101+C1102)*(Energy!S47*(1-1/Energy!P47)),0)</f>
        <v>1499810</v>
      </c>
      <c r="E1102" s="597"/>
      <c r="F1102" s="1942"/>
      <c r="G1102" s="1921"/>
      <c r="H1102" s="1644"/>
      <c r="I1102" s="1644"/>
      <c r="J1102" s="597"/>
      <c r="K1102" s="1942">
        <f t="shared" si="1393"/>
        <v>3.9525000000000001</v>
      </c>
      <c r="L1102" s="1921" t="s">
        <v>495</v>
      </c>
      <c r="M1102" s="1942">
        <f t="shared" ref="M1102" si="1395">M1058</f>
        <v>-0.91518271744099966</v>
      </c>
      <c r="N1102" s="1921" t="s">
        <v>495</v>
      </c>
      <c r="O1102" s="1942">
        <f t="shared" ref="O1102" si="1396">O1058</f>
        <v>1.3496999999999999</v>
      </c>
      <c r="P1102" s="1921" t="s">
        <v>495</v>
      </c>
      <c r="Q1102" s="1942">
        <f t="shared" si="1394"/>
        <v>4.3870172825590004</v>
      </c>
      <c r="R1102" s="1921" t="s">
        <v>495</v>
      </c>
      <c r="S1102" s="1644">
        <f t="shared" ref="S1102:S1108" si="1397">ROUND($D1102*K1102/100,0)</f>
        <v>59280</v>
      </c>
      <c r="T1102" s="1648"/>
      <c r="U1102" s="1644">
        <f t="shared" ref="U1102:U1108" si="1398">ROUND($D1102*M1102/100,0)</f>
        <v>-13726</v>
      </c>
      <c r="V1102" s="1648"/>
      <c r="W1102" s="1644">
        <f t="shared" ref="W1102:W1108" si="1399">ROUND($D1102*O1102/100,0)</f>
        <v>20243</v>
      </c>
      <c r="X1102" s="1648"/>
      <c r="Y1102" s="1644">
        <f t="shared" ref="Y1102:Y1108" si="1400">ROUND($D1102*Q1102/100,0)</f>
        <v>65797</v>
      </c>
    </row>
    <row r="1103" spans="1:28" hidden="1">
      <c r="A1103" s="1900" t="s">
        <v>1912</v>
      </c>
      <c r="C1103" s="528">
        <f>'BD-Redesign'!H9/('BD-Redesign'!H9+'BD-Redesign'!H10)*('Blocking-Step2'!C1107+'Blocking-Step2'!C1108)</f>
        <v>1066590.8753472201</v>
      </c>
      <c r="D1103" s="528">
        <f>ROUND(C1103/(C1103+C1104)*(Energy!T47*(1-1/Energy!P47)),0)</f>
        <v>2661792</v>
      </c>
      <c r="E1103" s="597"/>
      <c r="F1103" s="1942"/>
      <c r="G1103" s="1921"/>
      <c r="H1103" s="1644"/>
      <c r="I1103" s="1644"/>
      <c r="J1103" s="597"/>
      <c r="K1103" s="1942">
        <f t="shared" si="1393"/>
        <v>3.9525000000000001</v>
      </c>
      <c r="L1103" s="1921" t="s">
        <v>495</v>
      </c>
      <c r="M1103" s="1942">
        <f t="shared" ref="M1103" si="1401">M1059</f>
        <v>14.656000000000001</v>
      </c>
      <c r="N1103" s="1921" t="s">
        <v>495</v>
      </c>
      <c r="O1103" s="1942">
        <f t="shared" ref="O1103" si="1402">O1059</f>
        <v>1.1943999999999999</v>
      </c>
      <c r="P1103" s="1921" t="s">
        <v>495</v>
      </c>
      <c r="Q1103" s="1942">
        <f t="shared" si="1394"/>
        <v>19.802900000000001</v>
      </c>
      <c r="R1103" s="1921" t="s">
        <v>495</v>
      </c>
      <c r="S1103" s="1644">
        <f t="shared" si="1397"/>
        <v>105207</v>
      </c>
      <c r="T1103" s="1648"/>
      <c r="U1103" s="1644">
        <f t="shared" si="1398"/>
        <v>390112</v>
      </c>
      <c r="V1103" s="1648"/>
      <c r="W1103" s="1644">
        <f t="shared" si="1399"/>
        <v>31792</v>
      </c>
      <c r="X1103" s="1648"/>
      <c r="Y1103" s="1644">
        <f t="shared" si="1400"/>
        <v>527112</v>
      </c>
    </row>
    <row r="1104" spans="1:28" hidden="1">
      <c r="A1104" s="1900" t="s">
        <v>1913</v>
      </c>
      <c r="C1104" s="528">
        <f>C1107+C1108-C1103</f>
        <v>3275666.5720257321</v>
      </c>
      <c r="D1104" s="528">
        <f>ROUND(C1104/(C1103+C1104)*(Energy!T47*(1-1/Energy!P47)),0)</f>
        <v>8174779</v>
      </c>
      <c r="E1104" s="597"/>
      <c r="F1104" s="1942"/>
      <c r="G1104" s="1921"/>
      <c r="H1104" s="1644"/>
      <c r="I1104" s="1644"/>
      <c r="J1104" s="597"/>
      <c r="K1104" s="1942">
        <f t="shared" si="1393"/>
        <v>3.9525000000000001</v>
      </c>
      <c r="L1104" s="1921" t="s">
        <v>495</v>
      </c>
      <c r="M1104" s="1942">
        <f t="shared" ref="M1104" si="1403">M1060</f>
        <v>-1.2646000000000002</v>
      </c>
      <c r="N1104" s="1921" t="s">
        <v>495</v>
      </c>
      <c r="O1104" s="1942">
        <f t="shared" ref="O1104" si="1404">O1060</f>
        <v>1.1943999999999999</v>
      </c>
      <c r="P1104" s="1921" t="s">
        <v>495</v>
      </c>
      <c r="Q1104" s="1942">
        <f t="shared" si="1394"/>
        <v>3.8822999999999999</v>
      </c>
      <c r="R1104" s="1921" t="s">
        <v>495</v>
      </c>
      <c r="S1104" s="1644">
        <f t="shared" si="1397"/>
        <v>323108</v>
      </c>
      <c r="T1104" s="1648"/>
      <c r="U1104" s="1644">
        <f t="shared" si="1398"/>
        <v>-103378</v>
      </c>
      <c r="V1104" s="1648"/>
      <c r="W1104" s="1644">
        <f t="shared" si="1399"/>
        <v>97640</v>
      </c>
      <c r="X1104" s="1648"/>
      <c r="Y1104" s="1644">
        <f t="shared" si="1400"/>
        <v>317369</v>
      </c>
    </row>
    <row r="1105" spans="1:28" hidden="1">
      <c r="A1105" s="1900" t="s">
        <v>1906</v>
      </c>
      <c r="C1105" s="528">
        <f>'BD-Redesign'!H11+TempRevMay!M336</f>
        <v>467669.56781097292</v>
      </c>
      <c r="D1105" s="528">
        <f>D1120-SUM(D1106:D1108)</f>
        <v>1083460.0242466554</v>
      </c>
      <c r="E1105" s="597"/>
      <c r="F1105" s="1942"/>
      <c r="G1105" s="1921"/>
      <c r="H1105" s="1644"/>
      <c r="I1105" s="1644"/>
      <c r="J1105" s="597"/>
      <c r="K1105" s="1942">
        <f t="shared" si="1393"/>
        <v>0</v>
      </c>
      <c r="L1105" s="1921" t="s">
        <v>495</v>
      </c>
      <c r="M1105" s="1942">
        <f t="shared" ref="M1105" si="1405">M1061</f>
        <v>0</v>
      </c>
      <c r="N1105" s="1921" t="s">
        <v>495</v>
      </c>
      <c r="O1105" s="1942">
        <f t="shared" ref="O1105" si="1406">O1061</f>
        <v>6</v>
      </c>
      <c r="P1105" s="1921" t="s">
        <v>495</v>
      </c>
      <c r="Q1105" s="1942">
        <f t="shared" si="1394"/>
        <v>6</v>
      </c>
      <c r="R1105" s="1921" t="s">
        <v>495</v>
      </c>
      <c r="S1105" s="1644">
        <f t="shared" si="1397"/>
        <v>0</v>
      </c>
      <c r="T1105" s="1648"/>
      <c r="U1105" s="1644">
        <f t="shared" si="1398"/>
        <v>0</v>
      </c>
      <c r="V1105" s="1648"/>
      <c r="W1105" s="1644">
        <f t="shared" si="1399"/>
        <v>65008</v>
      </c>
      <c r="X1105" s="1648"/>
      <c r="Y1105" s="1644">
        <f t="shared" si="1400"/>
        <v>65008</v>
      </c>
    </row>
    <row r="1106" spans="1:28" hidden="1">
      <c r="A1106" s="1900" t="s">
        <v>1907</v>
      </c>
      <c r="C1106" s="528">
        <f>'BD-Redesign'!H12+TempRevMay!M337</f>
        <v>465690.83513961465</v>
      </c>
      <c r="D1106" s="528">
        <f>ROUND(C1106/(C1105+C1106)*(Energy!S47*(1-1/Energy!P47)),0)</f>
        <v>1078875</v>
      </c>
      <c r="E1106" s="597"/>
      <c r="F1106" s="1942"/>
      <c r="G1106" s="1921"/>
      <c r="H1106" s="1644"/>
      <c r="I1106" s="1644"/>
      <c r="J1106" s="597"/>
      <c r="K1106" s="1942">
        <f t="shared" si="1393"/>
        <v>0</v>
      </c>
      <c r="L1106" s="1921" t="s">
        <v>495</v>
      </c>
      <c r="M1106" s="1942">
        <f t="shared" ref="M1106" si="1407">M1062</f>
        <v>0</v>
      </c>
      <c r="N1106" s="1921" t="s">
        <v>495</v>
      </c>
      <c r="O1106" s="1942">
        <f t="shared" ref="O1106" si="1408">O1062</f>
        <v>-2.3358000000000008</v>
      </c>
      <c r="P1106" s="1921" t="s">
        <v>495</v>
      </c>
      <c r="Q1106" s="1942">
        <f t="shared" si="1394"/>
        <v>-2.3358000000000008</v>
      </c>
      <c r="R1106" s="1921" t="s">
        <v>495</v>
      </c>
      <c r="S1106" s="1644">
        <f t="shared" si="1397"/>
        <v>0</v>
      </c>
      <c r="T1106" s="1648"/>
      <c r="U1106" s="1644">
        <f t="shared" si="1398"/>
        <v>0</v>
      </c>
      <c r="V1106" s="1648"/>
      <c r="W1106" s="1644">
        <f t="shared" si="1399"/>
        <v>-25200</v>
      </c>
      <c r="X1106" s="1648"/>
      <c r="Y1106" s="1644">
        <f t="shared" si="1400"/>
        <v>-25200</v>
      </c>
    </row>
    <row r="1107" spans="1:28" hidden="1">
      <c r="A1107" s="1900" t="s">
        <v>1908</v>
      </c>
      <c r="C1107" s="528">
        <f>'BD-Redesign'!H13+TempRevMay!M338</f>
        <v>2265620.0148829855</v>
      </c>
      <c r="D1107" s="528">
        <f>ROUND(C1107/(C1107+C1108)*(Energy!T47*(1-1/Energy!P47)),0)</f>
        <v>5654099</v>
      </c>
      <c r="E1107" s="597"/>
      <c r="F1107" s="1942"/>
      <c r="G1107" s="1921"/>
      <c r="H1107" s="1644"/>
      <c r="I1107" s="1644"/>
      <c r="J1107" s="597"/>
      <c r="K1107" s="1942">
        <f t="shared" si="1393"/>
        <v>0</v>
      </c>
      <c r="L1107" s="1921" t="s">
        <v>495</v>
      </c>
      <c r="M1107" s="1942">
        <f t="shared" ref="M1107" si="1409">M1063</f>
        <v>0</v>
      </c>
      <c r="N1107" s="1921" t="s">
        <v>495</v>
      </c>
      <c r="O1107" s="1942">
        <f t="shared" ref="O1107" si="1410">O1063</f>
        <v>5.3097000000000003</v>
      </c>
      <c r="P1107" s="1921" t="s">
        <v>495</v>
      </c>
      <c r="Q1107" s="1942">
        <f t="shared" si="1394"/>
        <v>5.3097000000000003</v>
      </c>
      <c r="R1107" s="1921" t="s">
        <v>495</v>
      </c>
      <c r="S1107" s="1644">
        <f t="shared" si="1397"/>
        <v>0</v>
      </c>
      <c r="T1107" s="1648"/>
      <c r="U1107" s="1644">
        <f t="shared" si="1398"/>
        <v>0</v>
      </c>
      <c r="V1107" s="1648"/>
      <c r="W1107" s="1644">
        <f t="shared" si="1399"/>
        <v>300216</v>
      </c>
      <c r="X1107" s="1648"/>
      <c r="Y1107" s="1644">
        <f t="shared" si="1400"/>
        <v>300216</v>
      </c>
    </row>
    <row r="1108" spans="1:28" hidden="1">
      <c r="A1108" s="1900" t="s">
        <v>1909</v>
      </c>
      <c r="C1108" s="528">
        <f>'BD-Redesign'!H14+TempRevMay!M339</f>
        <v>2076637.4324899667</v>
      </c>
      <c r="D1108" s="528">
        <f>ROUND(C1108/(C1107+C1108)*(Energy!T47*(1-1/Energy!P47)),0)</f>
        <v>5182472</v>
      </c>
      <c r="E1108" s="597"/>
      <c r="F1108" s="1942"/>
      <c r="G1108" s="1921"/>
      <c r="H1108" s="1644"/>
      <c r="I1108" s="1644"/>
      <c r="J1108" s="597"/>
      <c r="K1108" s="1942">
        <f t="shared" si="1393"/>
        <v>0</v>
      </c>
      <c r="L1108" s="1921" t="s">
        <v>495</v>
      </c>
      <c r="M1108" s="1942">
        <f t="shared" ref="M1108" si="1411">M1064</f>
        <v>0</v>
      </c>
      <c r="N1108" s="1921" t="s">
        <v>495</v>
      </c>
      <c r="O1108" s="1942">
        <f t="shared" ref="O1108" si="1412">O1064</f>
        <v>-2.0670999999999999</v>
      </c>
      <c r="P1108" s="1921" t="s">
        <v>495</v>
      </c>
      <c r="Q1108" s="1942">
        <f t="shared" si="1394"/>
        <v>-2.0670999999999999</v>
      </c>
      <c r="R1108" s="1921" t="s">
        <v>495</v>
      </c>
      <c r="S1108" s="1644">
        <f t="shared" si="1397"/>
        <v>0</v>
      </c>
      <c r="T1108" s="1648"/>
      <c r="U1108" s="1644">
        <f t="shared" si="1398"/>
        <v>0</v>
      </c>
      <c r="V1108" s="1648"/>
      <c r="W1108" s="1644">
        <f t="shared" si="1399"/>
        <v>-107127</v>
      </c>
      <c r="X1108" s="1648"/>
      <c r="Y1108" s="1644">
        <f t="shared" si="1400"/>
        <v>-107127</v>
      </c>
    </row>
    <row r="1109" spans="1:28" hidden="1">
      <c r="A1109" s="1900" t="s">
        <v>240</v>
      </c>
      <c r="C1109" s="528">
        <f>'6A'!H20</f>
        <v>1069.5</v>
      </c>
      <c r="D1109" s="528">
        <f>Bill!P47</f>
        <v>1356</v>
      </c>
      <c r="F1109" s="1944">
        <v>54</v>
      </c>
      <c r="G1109" s="597"/>
      <c r="H1109" s="1644">
        <f t="shared" ref="H1109:I1112" si="1413">ROUND($F1109*C1109,0)</f>
        <v>57753</v>
      </c>
      <c r="I1109" s="1644">
        <f t="shared" si="1413"/>
        <v>73224</v>
      </c>
      <c r="K1109" s="1944">
        <f t="shared" si="1393"/>
        <v>54</v>
      </c>
      <c r="L1109" s="597"/>
      <c r="M1109" s="1944">
        <f t="shared" ref="M1109" si="1414">M1065</f>
        <v>0</v>
      </c>
      <c r="N1109" s="597"/>
      <c r="O1109" s="1944">
        <f t="shared" ref="O1109" si="1415">O1065</f>
        <v>0</v>
      </c>
      <c r="P1109" s="597"/>
      <c r="Q1109" s="1944">
        <f t="shared" si="1394"/>
        <v>54</v>
      </c>
      <c r="R1109" s="597"/>
      <c r="S1109" s="1644">
        <f>ROUND($D1109*K1109,0)</f>
        <v>73224</v>
      </c>
      <c r="T1109" s="1643"/>
      <c r="U1109" s="1644">
        <f>ROUND($D1109*M1109,0)</f>
        <v>0</v>
      </c>
      <c r="V1109" s="1643"/>
      <c r="W1109" s="1644">
        <f>ROUND($D1109*O1109,0)</f>
        <v>0</v>
      </c>
      <c r="X1109" s="1645"/>
      <c r="Y1109" s="1644">
        <f>ROUND($D1109*Q1109,0)</f>
        <v>73224</v>
      </c>
    </row>
    <row r="1110" spans="1:28" hidden="1">
      <c r="A1110" s="1900" t="s">
        <v>157</v>
      </c>
      <c r="C1110" s="528">
        <f>'6A'!J20</f>
        <v>42357.259202453999</v>
      </c>
      <c r="D1110" s="528">
        <f>ROUND(C1110/C1120*D1120,0)</f>
        <v>51962</v>
      </c>
      <c r="F1110" s="1944">
        <v>6.52</v>
      </c>
      <c r="G1110" s="597"/>
      <c r="H1110" s="1644">
        <f t="shared" si="1413"/>
        <v>276169</v>
      </c>
      <c r="I1110" s="1644">
        <f t="shared" si="1413"/>
        <v>338792</v>
      </c>
      <c r="K1110" s="1944"/>
      <c r="L1110" s="597"/>
      <c r="M1110" s="1944"/>
      <c r="N1110" s="597"/>
      <c r="O1110" s="1944"/>
      <c r="P1110" s="597"/>
      <c r="Q1110" s="1944"/>
      <c r="R1110" s="597"/>
      <c r="S1110" s="1644"/>
      <c r="T1110" s="1645"/>
      <c r="U1110" s="1644"/>
      <c r="V1110" s="1645"/>
      <c r="W1110" s="1644"/>
      <c r="X1110" s="1645"/>
      <c r="Y1110" s="1644"/>
    </row>
    <row r="1111" spans="1:28" hidden="1">
      <c r="A1111" s="1900" t="s">
        <v>162</v>
      </c>
      <c r="C1111" s="528">
        <f>'6A'!K20</f>
        <v>61796.045703839103</v>
      </c>
      <c r="D1111" s="528">
        <f>ROUND(C1111/C1120*D1120,0)</f>
        <v>75809</v>
      </c>
      <c r="F1111" s="1944">
        <v>5.47</v>
      </c>
      <c r="G1111" s="597"/>
      <c r="H1111" s="1644">
        <f t="shared" si="1413"/>
        <v>338024</v>
      </c>
      <c r="I1111" s="1644">
        <f t="shared" si="1413"/>
        <v>414675</v>
      </c>
      <c r="K1111" s="1944"/>
      <c r="L1111" s="597"/>
      <c r="M1111" s="1944"/>
      <c r="N1111" s="597"/>
      <c r="O1111" s="1944"/>
      <c r="P1111" s="597"/>
      <c r="Q1111" s="1944"/>
      <c r="R1111" s="597"/>
      <c r="S1111" s="1644"/>
      <c r="T1111" s="1645"/>
      <c r="U1111" s="1644"/>
      <c r="V1111" s="1645"/>
      <c r="W1111" s="1644"/>
      <c r="X1111" s="1645"/>
      <c r="Y1111" s="1644"/>
    </row>
    <row r="1112" spans="1:28" hidden="1">
      <c r="A1112" s="1900" t="s">
        <v>261</v>
      </c>
      <c r="C1112" s="528">
        <f>'6A'!L20</f>
        <v>403</v>
      </c>
      <c r="D1112" s="528">
        <f>ROUND(C1112/C1120*D1120,0)</f>
        <v>494</v>
      </c>
      <c r="F1112" s="1944">
        <v>-0.61</v>
      </c>
      <c r="G1112" s="597"/>
      <c r="H1112" s="1644">
        <f t="shared" si="1413"/>
        <v>-246</v>
      </c>
      <c r="I1112" s="1644">
        <f t="shared" si="1413"/>
        <v>-301</v>
      </c>
      <c r="K1112" s="1944">
        <f>K1068</f>
        <v>-0.61</v>
      </c>
      <c r="L1112" s="597"/>
      <c r="M1112" s="1944">
        <f>M1068</f>
        <v>0</v>
      </c>
      <c r="N1112" s="597"/>
      <c r="O1112" s="1944">
        <f>O1068</f>
        <v>0</v>
      </c>
      <c r="P1112" s="597"/>
      <c r="Q1112" s="1944">
        <f>Q1068</f>
        <v>-0.61</v>
      </c>
      <c r="R1112" s="597"/>
      <c r="S1112" s="1644">
        <f>ROUND($D1112*K1112,0)</f>
        <v>-301</v>
      </c>
      <c r="T1112" s="1645"/>
      <c r="U1112" s="1644">
        <f>ROUND($D1112*M1112,0)</f>
        <v>0</v>
      </c>
      <c r="V1112" s="1645"/>
      <c r="W1112" s="1644">
        <f>ROUND($D1112*O1112,0)</f>
        <v>0</v>
      </c>
      <c r="X1112" s="1645"/>
      <c r="Y1112" s="1644">
        <f>ROUND($D1112*Q1112,0)</f>
        <v>-301</v>
      </c>
    </row>
    <row r="1113" spans="1:28" hidden="1">
      <c r="A1113" s="1900" t="s">
        <v>188</v>
      </c>
      <c r="C1113" s="528">
        <f>'6A'!N20+TempRev!M336</f>
        <v>1234808.0114695358</v>
      </c>
      <c r="D1113" s="528">
        <f>D1120-SUM(D1114:D1117)</f>
        <v>1401861.0242466554</v>
      </c>
      <c r="F1113" s="1942">
        <v>11.926600000000001</v>
      </c>
      <c r="G1113" s="1921" t="s">
        <v>495</v>
      </c>
      <c r="H1113" s="1644">
        <f t="shared" ref="H1113:I1116" si="1416">ROUND($F1113*C1113/100,0)</f>
        <v>147271</v>
      </c>
      <c r="I1113" s="1644">
        <f t="shared" si="1416"/>
        <v>167194</v>
      </c>
      <c r="K1113" s="1942"/>
      <c r="L1113" s="1921"/>
      <c r="M1113" s="1942"/>
      <c r="N1113" s="1921"/>
      <c r="O1113" s="1942"/>
      <c r="P1113" s="1921"/>
      <c r="Q1113" s="1942"/>
      <c r="R1113" s="1921"/>
      <c r="S1113" s="1648"/>
      <c r="T1113" s="1648"/>
      <c r="U1113" s="1648"/>
      <c r="V1113" s="1648"/>
      <c r="W1113" s="1648"/>
      <c r="X1113" s="1648"/>
      <c r="Y1113" s="1644"/>
    </row>
    <row r="1114" spans="1:28" hidden="1">
      <c r="A1114" s="1900" t="s">
        <v>189</v>
      </c>
      <c r="C1114" s="528">
        <f>'6A'!O20+TempRev!M337</f>
        <v>1171710.0636627364</v>
      </c>
      <c r="D1114" s="528">
        <f>ROUND(C1114/(C1113+C1114)*Energy!Q47,0)</f>
        <v>1330227</v>
      </c>
      <c r="E1114" s="597"/>
      <c r="F1114" s="1942">
        <v>3.5908000000000002</v>
      </c>
      <c r="G1114" s="1921" t="s">
        <v>495</v>
      </c>
      <c r="H1114" s="1644">
        <f t="shared" si="1416"/>
        <v>42074</v>
      </c>
      <c r="I1114" s="1644">
        <f t="shared" si="1416"/>
        <v>47766</v>
      </c>
      <c r="J1114" s="597"/>
      <c r="K1114" s="1942"/>
      <c r="L1114" s="1921"/>
      <c r="M1114" s="1942"/>
      <c r="N1114" s="1921"/>
      <c r="O1114" s="1942"/>
      <c r="P1114" s="1921"/>
      <c r="Q1114" s="1942"/>
      <c r="R1114" s="1921"/>
      <c r="S1114" s="1648"/>
      <c r="T1114" s="1648"/>
      <c r="U1114" s="1648"/>
      <c r="V1114" s="1648"/>
      <c r="W1114" s="1648"/>
      <c r="X1114" s="1648"/>
      <c r="Y1114" s="1644"/>
    </row>
    <row r="1115" spans="1:28" hidden="1">
      <c r="A1115" s="1900" t="s">
        <v>163</v>
      </c>
      <c r="C1115" s="528">
        <f>'6A'!P20+TempRev!M338</f>
        <v>4225671.0712244231</v>
      </c>
      <c r="D1115" s="528">
        <f>ROUND(C1115/(C1115+C1116)*Energy!R47,0)</f>
        <v>5333865</v>
      </c>
      <c r="F1115" s="1942">
        <v>9.9693000000000005</v>
      </c>
      <c r="G1115" s="1921" t="s">
        <v>495</v>
      </c>
      <c r="H1115" s="1644">
        <f t="shared" si="1416"/>
        <v>421270</v>
      </c>
      <c r="I1115" s="1644">
        <f t="shared" si="1416"/>
        <v>531749</v>
      </c>
      <c r="K1115" s="1942"/>
      <c r="L1115" s="1921"/>
      <c r="M1115" s="1942"/>
      <c r="N1115" s="1921"/>
      <c r="O1115" s="1942"/>
      <c r="P1115" s="1921"/>
      <c r="Q1115" s="1942"/>
      <c r="R1115" s="1921"/>
      <c r="S1115" s="1648"/>
      <c r="T1115" s="1648"/>
      <c r="U1115" s="1648"/>
      <c r="V1115" s="1648"/>
      <c r="W1115" s="1648"/>
      <c r="X1115" s="1648"/>
      <c r="Y1115" s="1644"/>
    </row>
    <row r="1116" spans="1:28" hidden="1">
      <c r="A1116" s="1900" t="s">
        <v>164</v>
      </c>
      <c r="C1116" s="528">
        <f>'6A'!Q20+TempRev!M339</f>
        <v>3908055.2039668453</v>
      </c>
      <c r="D1116" s="528">
        <f>ROUND(C1116/(C1115+C1116)*Energy!R47,0)</f>
        <v>4932953</v>
      </c>
      <c r="E1116" s="597"/>
      <c r="F1116" s="1942">
        <v>3.0059999999999998</v>
      </c>
      <c r="G1116" s="1921" t="s">
        <v>495</v>
      </c>
      <c r="H1116" s="1644">
        <f t="shared" si="1416"/>
        <v>117476</v>
      </c>
      <c r="I1116" s="1644">
        <f t="shared" si="1416"/>
        <v>148285</v>
      </c>
      <c r="J1116" s="597"/>
      <c r="K1116" s="1942"/>
      <c r="L1116" s="1921"/>
      <c r="M1116" s="1942"/>
      <c r="N1116" s="1921"/>
      <c r="O1116" s="1942"/>
      <c r="P1116" s="1921"/>
      <c r="Q1116" s="1942"/>
      <c r="R1116" s="1921"/>
      <c r="S1116" s="1648"/>
      <c r="T1116" s="1648"/>
      <c r="U1116" s="1648"/>
      <c r="V1116" s="1648"/>
      <c r="W1116" s="1648"/>
      <c r="X1116" s="1648"/>
      <c r="Y1116" s="1644"/>
    </row>
    <row r="1117" spans="1:28" hidden="1">
      <c r="A1117" s="1900" t="s">
        <v>246</v>
      </c>
      <c r="C1117" s="529">
        <f>'Table 2'!J49</f>
        <v>55861</v>
      </c>
      <c r="D1117" s="529">
        <v>0</v>
      </c>
      <c r="H1117" s="1030">
        <f>'Table 3'!F49</f>
        <v>8044</v>
      </c>
      <c r="I1117" s="1030">
        <v>0</v>
      </c>
      <c r="Y1117" s="1030"/>
    </row>
    <row r="1118" spans="1:28" hidden="1">
      <c r="A1118" s="1900" t="s">
        <v>1240</v>
      </c>
      <c r="C1118" s="584"/>
      <c r="D1118" s="584"/>
      <c r="F1118" s="1930">
        <v>-4.99E-2</v>
      </c>
      <c r="G1118" s="597"/>
      <c r="H1118" s="1644">
        <f>SUM(H1113:H1116)*$F1118</f>
        <v>-36331.740899999997</v>
      </c>
      <c r="I1118" s="1644">
        <f>SUM(I1113:I1116)*$F1118</f>
        <v>-44660.200599999996</v>
      </c>
      <c r="K1118" s="1930"/>
      <c r="L1118" s="597"/>
      <c r="M1118" s="1930"/>
      <c r="N1118" s="597"/>
      <c r="O1118" s="1931" t="str">
        <f>$O$43</f>
        <v>Tax Year 1 (7/1/2021)</v>
      </c>
      <c r="P1118" s="597"/>
      <c r="Q1118" s="1930">
        <f>$Q$979</f>
        <v>-3.0599999999999999E-2</v>
      </c>
      <c r="R1118" s="597"/>
      <c r="S1118" s="1645"/>
      <c r="T1118" s="1645"/>
      <c r="U1118" s="1645"/>
      <c r="V1118" s="1645"/>
      <c r="W1118" s="1645"/>
      <c r="X1118" s="1645"/>
      <c r="Y1118" s="1644">
        <f>Q1118*SUM(Y1101:Y1104)</f>
        <v>-32391.109799999998</v>
      </c>
    </row>
    <row r="1119" spans="1:28" hidden="1">
      <c r="A1119" s="1900"/>
      <c r="C1119" s="584"/>
      <c r="D1119" s="584"/>
      <c r="F1119" s="1930"/>
      <c r="G1119" s="597"/>
      <c r="H1119" s="1644"/>
      <c r="I1119" s="1644"/>
      <c r="K1119" s="1930"/>
      <c r="L1119" s="597"/>
      <c r="M1119" s="1930"/>
      <c r="N1119" s="597"/>
      <c r="O1119" s="1931" t="str">
        <f>$O$44</f>
        <v>Tax Year 2 (1/1/2022)</v>
      </c>
      <c r="P1119" s="597"/>
      <c r="Q1119" s="1930">
        <f>$Q$980</f>
        <v>-1.66E-2</v>
      </c>
      <c r="R1119" s="597"/>
      <c r="S1119" s="1645"/>
      <c r="T1119" s="1645"/>
      <c r="U1119" s="1645"/>
      <c r="V1119" s="1645"/>
      <c r="W1119" s="1645"/>
      <c r="X1119" s="1645"/>
      <c r="Y1119" s="1644">
        <f>Q1119*SUM(Y1101:Y1104)</f>
        <v>-17571.647799999999</v>
      </c>
    </row>
    <row r="1120" spans="1:28" ht="16.5" hidden="1" thickBot="1">
      <c r="A1120" s="1900" t="s">
        <v>247</v>
      </c>
      <c r="C1120" s="1949">
        <f>SUM(C1113:C1117)</f>
        <v>10596105.350323541</v>
      </c>
      <c r="D1120" s="1949">
        <f>Energy!P47</f>
        <v>12998906.024246655</v>
      </c>
      <c r="F1120" s="1939"/>
      <c r="H1120" s="1647">
        <f>SUM(H1109:H1118)</f>
        <v>1371503.2590999999</v>
      </c>
      <c r="I1120" s="1647">
        <f>SUM(I1109:I1118)</f>
        <v>1676723.7993999999</v>
      </c>
      <c r="K1120" s="1939"/>
      <c r="M1120" s="1939"/>
      <c r="O1120" s="1939"/>
      <c r="Q1120" s="1939"/>
      <c r="S1120" s="1647">
        <f>SUM(S1101:S1117)</f>
        <v>586704</v>
      </c>
      <c r="U1120" s="1647">
        <f>SUM(U1101:U1117)</f>
        <v>386134</v>
      </c>
      <c r="W1120" s="1647">
        <f>SUM(W1101:W1117)</f>
        <v>391514</v>
      </c>
      <c r="Y1120" s="1647">
        <f>SUM(Y1101:Y1117)</f>
        <v>1364353</v>
      </c>
      <c r="AA1120" s="1104" t="s">
        <v>1743</v>
      </c>
      <c r="AB1120" s="1890">
        <f>Y1120/I1120-1</f>
        <v>-0.1862983035797422</v>
      </c>
    </row>
    <row r="1121" spans="1:25" ht="16.5" hidden="1" thickTop="1">
      <c r="C1121" s="528"/>
      <c r="D1121" s="528"/>
    </row>
    <row r="1122" spans="1:25" hidden="1">
      <c r="A1122" s="1897" t="s">
        <v>987</v>
      </c>
      <c r="C1122" s="528"/>
      <c r="D1122" s="528"/>
      <c r="F1122" s="1943"/>
      <c r="G1122" s="1957"/>
      <c r="K1122" s="1943"/>
      <c r="L1122" s="1957"/>
      <c r="M1122" s="1943"/>
      <c r="N1122" s="1957"/>
      <c r="O1122" s="1943"/>
      <c r="P1122" s="1957"/>
      <c r="Q1122" s="1943"/>
      <c r="R1122" s="1957"/>
      <c r="S1122" s="1645"/>
      <c r="T1122" s="1645"/>
      <c r="U1122" s="1645"/>
      <c r="V1122" s="1645"/>
      <c r="W1122" s="1645"/>
      <c r="X1122" s="1645"/>
    </row>
    <row r="1123" spans="1:25" hidden="1">
      <c r="A1123" s="1900" t="s">
        <v>1910</v>
      </c>
      <c r="C1123" s="528">
        <f>'BD-Redesign'!I7</f>
        <v>233367.5</v>
      </c>
      <c r="D1123" s="528">
        <f>D1142-SUM(D1124:D1126)</f>
        <v>1128072.0769230761</v>
      </c>
      <c r="E1123" s="597"/>
      <c r="F1123" s="1942"/>
      <c r="G1123" s="1921"/>
      <c r="H1123" s="1644"/>
      <c r="I1123" s="1644"/>
      <c r="J1123" s="597"/>
      <c r="K1123" s="1942">
        <f>K1057</f>
        <v>3.9525000000000001</v>
      </c>
      <c r="L1123" s="1921" t="s">
        <v>495</v>
      </c>
      <c r="M1123" s="1942">
        <f>M1057</f>
        <v>17.075028114911813</v>
      </c>
      <c r="N1123" s="1921" t="s">
        <v>495</v>
      </c>
      <c r="O1123" s="1942">
        <f>O1057</f>
        <v>1.3496999999999999</v>
      </c>
      <c r="P1123" s="1921" t="s">
        <v>495</v>
      </c>
      <c r="Q1123" s="1942">
        <f t="shared" ref="Q1123:Q1131" si="1417">Q1057</f>
        <v>22.377228114911812</v>
      </c>
      <c r="R1123" s="1921" t="s">
        <v>495</v>
      </c>
      <c r="S1123" s="1644">
        <f>ROUND($D1123*K1123/100,0)</f>
        <v>44587</v>
      </c>
      <c r="T1123" s="1648"/>
      <c r="U1123" s="1644">
        <f>ROUND($D1123*M1123/100,0)</f>
        <v>192619</v>
      </c>
      <c r="V1123" s="1648"/>
      <c r="W1123" s="1644">
        <f>ROUND($D1123*O1123/100,0)</f>
        <v>15226</v>
      </c>
      <c r="X1123" s="1648"/>
      <c r="Y1123" s="1644">
        <f>ROUND($D1123*Q1123/100,0)</f>
        <v>252431</v>
      </c>
    </row>
    <row r="1124" spans="1:25" hidden="1">
      <c r="A1124" s="1900" t="s">
        <v>1911</v>
      </c>
      <c r="C1124" s="528">
        <f>'BD-Redesign'!I8</f>
        <v>418289.5</v>
      </c>
      <c r="D1124" s="528">
        <f>ROUND(C1124/(C1123+C1124)*(Energy!S73*(1-1/Energy!P73)),0)</f>
        <v>2021963</v>
      </c>
      <c r="E1124" s="597"/>
      <c r="F1124" s="1942"/>
      <c r="G1124" s="1921"/>
      <c r="H1124" s="1644"/>
      <c r="I1124" s="1644"/>
      <c r="J1124" s="597"/>
      <c r="K1124" s="1942">
        <f t="shared" ref="K1124" si="1418">K1058</f>
        <v>3.9525000000000001</v>
      </c>
      <c r="L1124" s="1921" t="s">
        <v>495</v>
      </c>
      <c r="M1124" s="1942">
        <f t="shared" ref="M1124" si="1419">M1058</f>
        <v>-0.91518271744099966</v>
      </c>
      <c r="N1124" s="1921" t="s">
        <v>495</v>
      </c>
      <c r="O1124" s="1942">
        <f t="shared" ref="O1124" si="1420">O1058</f>
        <v>1.3496999999999999</v>
      </c>
      <c r="P1124" s="1921" t="s">
        <v>495</v>
      </c>
      <c r="Q1124" s="1942">
        <f t="shared" si="1417"/>
        <v>4.3870172825590004</v>
      </c>
      <c r="R1124" s="1921" t="s">
        <v>495</v>
      </c>
      <c r="S1124" s="1644">
        <f t="shared" ref="S1124:S1130" si="1421">ROUND($D1124*K1124/100,0)</f>
        <v>79918</v>
      </c>
      <c r="T1124" s="1648"/>
      <c r="U1124" s="1644">
        <f t="shared" ref="U1124:U1130" si="1422">ROUND($D1124*M1124/100,0)</f>
        <v>-18505</v>
      </c>
      <c r="V1124" s="1648"/>
      <c r="W1124" s="1644">
        <f t="shared" ref="W1124:W1130" si="1423">ROUND($D1124*O1124/100,0)</f>
        <v>27290</v>
      </c>
      <c r="X1124" s="1648"/>
      <c r="Y1124" s="1644">
        <f t="shared" ref="Y1124:Y1130" si="1424">ROUND($D1124*Q1124/100,0)</f>
        <v>88704</v>
      </c>
    </row>
    <row r="1125" spans="1:25" hidden="1">
      <c r="A1125" s="1900" t="s">
        <v>1912</v>
      </c>
      <c r="C1125" s="528">
        <f>'BD-Redesign'!I9</f>
        <v>502344.50077107706</v>
      </c>
      <c r="D1125" s="528">
        <f>ROUND(C1125/(C1125+C1126)*(Energy!T73*(1-1/Energy!P73)),0)</f>
        <v>2668816</v>
      </c>
      <c r="E1125" s="597"/>
      <c r="F1125" s="1942"/>
      <c r="G1125" s="1921"/>
      <c r="H1125" s="1644"/>
      <c r="I1125" s="1644"/>
      <c r="J1125" s="597"/>
      <c r="K1125" s="1942">
        <f t="shared" ref="K1125" si="1425">K1059</f>
        <v>3.9525000000000001</v>
      </c>
      <c r="L1125" s="1921" t="s">
        <v>495</v>
      </c>
      <c r="M1125" s="1942">
        <f t="shared" ref="M1125" si="1426">M1059</f>
        <v>14.656000000000001</v>
      </c>
      <c r="N1125" s="1921" t="s">
        <v>495</v>
      </c>
      <c r="O1125" s="1942">
        <f t="shared" ref="O1125" si="1427">O1059</f>
        <v>1.1943999999999999</v>
      </c>
      <c r="P1125" s="1921" t="s">
        <v>495</v>
      </c>
      <c r="Q1125" s="1942">
        <f t="shared" si="1417"/>
        <v>19.802900000000001</v>
      </c>
      <c r="R1125" s="1921" t="s">
        <v>495</v>
      </c>
      <c r="S1125" s="1644">
        <f t="shared" si="1421"/>
        <v>105485</v>
      </c>
      <c r="T1125" s="1648"/>
      <c r="U1125" s="1644">
        <f t="shared" si="1422"/>
        <v>391142</v>
      </c>
      <c r="V1125" s="1648"/>
      <c r="W1125" s="1644">
        <f t="shared" si="1423"/>
        <v>31876</v>
      </c>
      <c r="X1125" s="1648"/>
      <c r="Y1125" s="1644">
        <f t="shared" si="1424"/>
        <v>528503</v>
      </c>
    </row>
    <row r="1126" spans="1:25" hidden="1">
      <c r="A1126" s="1900" t="s">
        <v>1913</v>
      </c>
      <c r="C1126" s="528">
        <f>'BD-Redesign'!I10</f>
        <v>868836.999228923</v>
      </c>
      <c r="D1126" s="528">
        <f>ROUND(C1126/(C1125+C1126)*(Energy!T73*(1-1/Energy!P73)),0)</f>
        <v>4615889</v>
      </c>
      <c r="E1126" s="597"/>
      <c r="F1126" s="1942"/>
      <c r="G1126" s="1921"/>
      <c r="H1126" s="1644"/>
      <c r="I1126" s="1644"/>
      <c r="J1126" s="597"/>
      <c r="K1126" s="1942">
        <f t="shared" ref="K1126" si="1428">K1060</f>
        <v>3.9525000000000001</v>
      </c>
      <c r="L1126" s="1921" t="s">
        <v>495</v>
      </c>
      <c r="M1126" s="1942">
        <f t="shared" ref="M1126" si="1429">M1060</f>
        <v>-1.2646000000000002</v>
      </c>
      <c r="N1126" s="1921" t="s">
        <v>495</v>
      </c>
      <c r="O1126" s="1942">
        <f t="shared" ref="O1126" si="1430">O1060</f>
        <v>1.1943999999999999</v>
      </c>
      <c r="P1126" s="1921" t="s">
        <v>495</v>
      </c>
      <c r="Q1126" s="1942">
        <f t="shared" si="1417"/>
        <v>3.8822999999999999</v>
      </c>
      <c r="R1126" s="1921" t="s">
        <v>495</v>
      </c>
      <c r="S1126" s="1644">
        <f t="shared" si="1421"/>
        <v>182443</v>
      </c>
      <c r="T1126" s="1648"/>
      <c r="U1126" s="1644">
        <f t="shared" si="1422"/>
        <v>-58373</v>
      </c>
      <c r="V1126" s="1648"/>
      <c r="W1126" s="1644">
        <f t="shared" si="1423"/>
        <v>55132</v>
      </c>
      <c r="X1126" s="1648"/>
      <c r="Y1126" s="1644">
        <f t="shared" si="1424"/>
        <v>179203</v>
      </c>
    </row>
    <row r="1127" spans="1:25" hidden="1">
      <c r="A1127" s="1900" t="s">
        <v>1906</v>
      </c>
      <c r="C1127" s="528">
        <f>'BD-Redesign'!I11</f>
        <v>467860</v>
      </c>
      <c r="D1127" s="528">
        <f>D1142-SUM(D1128:D1130)</f>
        <v>2261582.0769230761</v>
      </c>
      <c r="E1127" s="597"/>
      <c r="F1127" s="1942"/>
      <c r="G1127" s="1921"/>
      <c r="H1127" s="1644"/>
      <c r="I1127" s="1644"/>
      <c r="J1127" s="597"/>
      <c r="K1127" s="1942">
        <f t="shared" ref="K1127" si="1431">K1061</f>
        <v>0</v>
      </c>
      <c r="L1127" s="1921" t="s">
        <v>495</v>
      </c>
      <c r="M1127" s="1942">
        <f t="shared" ref="M1127" si="1432">M1061</f>
        <v>0</v>
      </c>
      <c r="N1127" s="1921" t="s">
        <v>495</v>
      </c>
      <c r="O1127" s="1942">
        <f t="shared" ref="O1127" si="1433">O1061</f>
        <v>6</v>
      </c>
      <c r="P1127" s="1921" t="s">
        <v>495</v>
      </c>
      <c r="Q1127" s="1942">
        <f t="shared" si="1417"/>
        <v>6</v>
      </c>
      <c r="R1127" s="1921" t="s">
        <v>495</v>
      </c>
      <c r="S1127" s="1644">
        <f t="shared" si="1421"/>
        <v>0</v>
      </c>
      <c r="T1127" s="1648"/>
      <c r="U1127" s="1644">
        <f t="shared" si="1422"/>
        <v>0</v>
      </c>
      <c r="V1127" s="1648"/>
      <c r="W1127" s="1644">
        <f t="shared" si="1423"/>
        <v>135695</v>
      </c>
      <c r="X1127" s="1648"/>
      <c r="Y1127" s="1644">
        <f t="shared" si="1424"/>
        <v>135695</v>
      </c>
    </row>
    <row r="1128" spans="1:25" hidden="1">
      <c r="A1128" s="1900" t="s">
        <v>1907</v>
      </c>
      <c r="C1128" s="528">
        <f>'BD-Redesign'!I12</f>
        <v>183797</v>
      </c>
      <c r="D1128" s="528">
        <f>ROUND(C1128/(C1127+C1128)*(Energy!S73*(1-1/Energy!P73)),0)</f>
        <v>888453</v>
      </c>
      <c r="E1128" s="597"/>
      <c r="F1128" s="1942"/>
      <c r="G1128" s="1921"/>
      <c r="H1128" s="1644"/>
      <c r="I1128" s="1644"/>
      <c r="J1128" s="597"/>
      <c r="K1128" s="1942">
        <f t="shared" ref="K1128" si="1434">K1062</f>
        <v>0</v>
      </c>
      <c r="L1128" s="1921" t="s">
        <v>495</v>
      </c>
      <c r="M1128" s="1942">
        <f t="shared" ref="M1128" si="1435">M1062</f>
        <v>0</v>
      </c>
      <c r="N1128" s="1921" t="s">
        <v>495</v>
      </c>
      <c r="O1128" s="1942">
        <f t="shared" ref="O1128" si="1436">O1062</f>
        <v>-2.3358000000000008</v>
      </c>
      <c r="P1128" s="1921" t="s">
        <v>495</v>
      </c>
      <c r="Q1128" s="1942">
        <f t="shared" si="1417"/>
        <v>-2.3358000000000008</v>
      </c>
      <c r="R1128" s="1921" t="s">
        <v>495</v>
      </c>
      <c r="S1128" s="1644">
        <f t="shared" si="1421"/>
        <v>0</v>
      </c>
      <c r="T1128" s="1648"/>
      <c r="U1128" s="1644">
        <f t="shared" si="1422"/>
        <v>0</v>
      </c>
      <c r="V1128" s="1648"/>
      <c r="W1128" s="1644">
        <f t="shared" si="1423"/>
        <v>-20752</v>
      </c>
      <c r="X1128" s="1648"/>
      <c r="Y1128" s="1644">
        <f t="shared" si="1424"/>
        <v>-20752</v>
      </c>
    </row>
    <row r="1129" spans="1:25" hidden="1">
      <c r="A1129" s="1900" t="s">
        <v>1908</v>
      </c>
      <c r="C1129" s="528">
        <f>'BD-Redesign'!I13</f>
        <v>1001125.5</v>
      </c>
      <c r="D1129" s="528">
        <f>ROUND(C1129/(C1129+C1130)*(Energy!T73*(1-1/Energy!P73)),0)</f>
        <v>5318701</v>
      </c>
      <c r="E1129" s="597"/>
      <c r="F1129" s="1942"/>
      <c r="G1129" s="1921"/>
      <c r="H1129" s="1644"/>
      <c r="I1129" s="1644"/>
      <c r="J1129" s="597"/>
      <c r="K1129" s="1942">
        <f t="shared" ref="K1129" si="1437">K1063</f>
        <v>0</v>
      </c>
      <c r="L1129" s="1921" t="s">
        <v>495</v>
      </c>
      <c r="M1129" s="1942">
        <f t="shared" ref="M1129" si="1438">M1063</f>
        <v>0</v>
      </c>
      <c r="N1129" s="1921" t="s">
        <v>495</v>
      </c>
      <c r="O1129" s="1942">
        <f t="shared" ref="O1129" si="1439">O1063</f>
        <v>5.3097000000000003</v>
      </c>
      <c r="P1129" s="1921" t="s">
        <v>495</v>
      </c>
      <c r="Q1129" s="1942">
        <f t="shared" si="1417"/>
        <v>5.3097000000000003</v>
      </c>
      <c r="R1129" s="1921" t="s">
        <v>495</v>
      </c>
      <c r="S1129" s="1644">
        <f t="shared" si="1421"/>
        <v>0</v>
      </c>
      <c r="T1129" s="1648"/>
      <c r="U1129" s="1644">
        <f t="shared" si="1422"/>
        <v>0</v>
      </c>
      <c r="V1129" s="1648"/>
      <c r="W1129" s="1644">
        <f t="shared" si="1423"/>
        <v>282407</v>
      </c>
      <c r="X1129" s="1648"/>
      <c r="Y1129" s="1644">
        <f t="shared" si="1424"/>
        <v>282407</v>
      </c>
    </row>
    <row r="1130" spans="1:25" hidden="1">
      <c r="A1130" s="1900" t="s">
        <v>1909</v>
      </c>
      <c r="C1130" s="528">
        <f>'BD-Redesign'!I14</f>
        <v>370056</v>
      </c>
      <c r="D1130" s="528">
        <f>ROUND(C1130/(C1129+C1130)*(Energy!T73*(1-1/Energy!P73)),0)</f>
        <v>1966004</v>
      </c>
      <c r="E1130" s="597"/>
      <c r="F1130" s="1942"/>
      <c r="G1130" s="1921"/>
      <c r="H1130" s="1644"/>
      <c r="I1130" s="1644"/>
      <c r="J1130" s="597"/>
      <c r="K1130" s="1942">
        <f t="shared" ref="K1130" si="1440">K1064</f>
        <v>0</v>
      </c>
      <c r="L1130" s="1921" t="s">
        <v>495</v>
      </c>
      <c r="M1130" s="1942">
        <f t="shared" ref="M1130" si="1441">M1064</f>
        <v>0</v>
      </c>
      <c r="N1130" s="1921" t="s">
        <v>495</v>
      </c>
      <c r="O1130" s="1942">
        <f t="shared" ref="O1130" si="1442">O1064</f>
        <v>-2.0670999999999999</v>
      </c>
      <c r="P1130" s="1921" t="s">
        <v>495</v>
      </c>
      <c r="Q1130" s="1942">
        <f t="shared" si="1417"/>
        <v>-2.0670999999999999</v>
      </c>
      <c r="R1130" s="1921" t="s">
        <v>495</v>
      </c>
      <c r="S1130" s="1644">
        <f t="shared" si="1421"/>
        <v>0</v>
      </c>
      <c r="T1130" s="1648"/>
      <c r="U1130" s="1644">
        <f t="shared" si="1422"/>
        <v>0</v>
      </c>
      <c r="V1130" s="1648"/>
      <c r="W1130" s="1644">
        <f t="shared" si="1423"/>
        <v>-40639</v>
      </c>
      <c r="X1130" s="1648"/>
      <c r="Y1130" s="1644">
        <f t="shared" si="1424"/>
        <v>-40639</v>
      </c>
    </row>
    <row r="1131" spans="1:25" hidden="1">
      <c r="A1131" s="1900" t="s">
        <v>240</v>
      </c>
      <c r="C1131" s="528">
        <f>'6A'!H21</f>
        <v>156</v>
      </c>
      <c r="D1131" s="528">
        <f>Bill!P73</f>
        <v>429</v>
      </c>
      <c r="F1131" s="1944">
        <v>54</v>
      </c>
      <c r="G1131" s="597"/>
      <c r="H1131" s="1644">
        <f t="shared" ref="H1131:I1134" si="1443">ROUND($F1131*C1131,0)</f>
        <v>8424</v>
      </c>
      <c r="I1131" s="1644">
        <f t="shared" si="1443"/>
        <v>23166</v>
      </c>
      <c r="K1131" s="1944">
        <f t="shared" ref="K1131" si="1444">K1065</f>
        <v>54</v>
      </c>
      <c r="L1131" s="597"/>
      <c r="M1131" s="1944">
        <f t="shared" ref="M1131" si="1445">M1065</f>
        <v>0</v>
      </c>
      <c r="N1131" s="597"/>
      <c r="O1131" s="1944">
        <f t="shared" ref="O1131" si="1446">O1065</f>
        <v>0</v>
      </c>
      <c r="P1131" s="597"/>
      <c r="Q1131" s="1944">
        <f t="shared" si="1417"/>
        <v>54</v>
      </c>
      <c r="R1131" s="597"/>
      <c r="S1131" s="1644">
        <f>ROUND($D1131*K1131,0)</f>
        <v>23166</v>
      </c>
      <c r="T1131" s="1643"/>
      <c r="U1131" s="1644">
        <f>ROUND($D1131*M1131,0)</f>
        <v>0</v>
      </c>
      <c r="V1131" s="1643"/>
      <c r="W1131" s="1644">
        <f>ROUND($D1131*O1131,0)</f>
        <v>0</v>
      </c>
      <c r="X1131" s="1645"/>
      <c r="Y1131" s="1644">
        <f>ROUND($D1131*Q1131,0)</f>
        <v>23166</v>
      </c>
    </row>
    <row r="1132" spans="1:25" hidden="1">
      <c r="A1132" s="1900" t="s">
        <v>157</v>
      </c>
      <c r="C1132" s="528">
        <f>'6A'!J21</f>
        <v>15736.926380368101</v>
      </c>
      <c r="D1132" s="528">
        <f>ROUND(C1132/C1142*D1142,0)</f>
        <v>41258</v>
      </c>
      <c r="F1132" s="1944">
        <v>6.52</v>
      </c>
      <c r="G1132" s="597"/>
      <c r="H1132" s="1644">
        <f t="shared" si="1443"/>
        <v>102605</v>
      </c>
      <c r="I1132" s="1644">
        <f t="shared" si="1443"/>
        <v>269002</v>
      </c>
      <c r="K1132" s="1944"/>
      <c r="L1132" s="597"/>
      <c r="M1132" s="1944"/>
      <c r="N1132" s="597"/>
      <c r="O1132" s="1944"/>
      <c r="P1132" s="597"/>
      <c r="Q1132" s="1944"/>
      <c r="R1132" s="597"/>
      <c r="S1132" s="1644"/>
      <c r="T1132" s="1645"/>
      <c r="U1132" s="1644"/>
      <c r="V1132" s="1645"/>
      <c r="W1132" s="1644"/>
      <c r="X1132" s="1645"/>
      <c r="Y1132" s="1644"/>
    </row>
    <row r="1133" spans="1:25" hidden="1">
      <c r="A1133" s="1900" t="s">
        <v>162</v>
      </c>
      <c r="C1133" s="528">
        <f>'6A'!K21</f>
        <v>21751.0749542962</v>
      </c>
      <c r="D1133" s="528">
        <f>ROUND(C1133/C1142*D1142,0)</f>
        <v>57025</v>
      </c>
      <c r="F1133" s="1944">
        <v>5.47</v>
      </c>
      <c r="G1133" s="597"/>
      <c r="H1133" s="1644">
        <f t="shared" si="1443"/>
        <v>118978</v>
      </c>
      <c r="I1133" s="1644">
        <f t="shared" si="1443"/>
        <v>311927</v>
      </c>
      <c r="K1133" s="1944"/>
      <c r="L1133" s="597"/>
      <c r="M1133" s="1944"/>
      <c r="N1133" s="597"/>
      <c r="O1133" s="1944"/>
      <c r="P1133" s="597"/>
      <c r="Q1133" s="1944"/>
      <c r="R1133" s="597"/>
      <c r="S1133" s="1644"/>
      <c r="T1133" s="1645"/>
      <c r="U1133" s="1644"/>
      <c r="V1133" s="1645"/>
      <c r="W1133" s="1644"/>
      <c r="X1133" s="1645"/>
      <c r="Y1133" s="1644"/>
    </row>
    <row r="1134" spans="1:25" hidden="1">
      <c r="A1134" s="1900" t="s">
        <v>261</v>
      </c>
      <c r="C1134" s="528">
        <f>'6A'!L21</f>
        <v>5955</v>
      </c>
      <c r="D1134" s="528">
        <f>ROUND(C1134/C1142*D1142,0)</f>
        <v>15612</v>
      </c>
      <c r="E1134" s="597"/>
      <c r="F1134" s="1944">
        <v>-0.61</v>
      </c>
      <c r="G1134" s="597"/>
      <c r="H1134" s="1644">
        <f t="shared" si="1443"/>
        <v>-3633</v>
      </c>
      <c r="I1134" s="1644">
        <f t="shared" si="1443"/>
        <v>-9523</v>
      </c>
      <c r="J1134" s="597"/>
      <c r="K1134" s="1944">
        <f>K1068</f>
        <v>-0.61</v>
      </c>
      <c r="L1134" s="597"/>
      <c r="M1134" s="1944">
        <f>M1068</f>
        <v>0</v>
      </c>
      <c r="N1134" s="597"/>
      <c r="O1134" s="1944">
        <f>O1068</f>
        <v>0</v>
      </c>
      <c r="P1134" s="597"/>
      <c r="Q1134" s="1944">
        <f>Q1068</f>
        <v>-0.61</v>
      </c>
      <c r="R1134" s="597"/>
      <c r="S1134" s="1644">
        <f>ROUND($D1134*K1134,0)</f>
        <v>-9523</v>
      </c>
      <c r="T1134" s="1645"/>
      <c r="U1134" s="1644">
        <f>ROUND($D1134*M1134,0)</f>
        <v>0</v>
      </c>
      <c r="V1134" s="1645"/>
      <c r="W1134" s="1644">
        <f>ROUND($D1134*O1134,0)</f>
        <v>0</v>
      </c>
      <c r="X1134" s="1645"/>
      <c r="Y1134" s="1644">
        <f>ROUND($D1134*Q1134,0)</f>
        <v>-9523</v>
      </c>
    </row>
    <row r="1135" spans="1:25" hidden="1">
      <c r="A1135" s="1900" t="s">
        <v>188</v>
      </c>
      <c r="C1135" s="528">
        <f>'6A'!N21</f>
        <v>1146195</v>
      </c>
      <c r="D1135" s="528">
        <f>D1142-SUM(D1136:D1139)</f>
        <v>2804282.0769230761</v>
      </c>
      <c r="E1135" s="597"/>
      <c r="F1135" s="1942">
        <v>11.926600000000001</v>
      </c>
      <c r="G1135" s="1921" t="s">
        <v>495</v>
      </c>
      <c r="H1135" s="1644">
        <f t="shared" ref="H1135:I1138" si="1447">ROUND($F1135*C1135/100,0)</f>
        <v>136702</v>
      </c>
      <c r="I1135" s="1644">
        <f t="shared" si="1447"/>
        <v>334456</v>
      </c>
      <c r="J1135" s="597"/>
      <c r="K1135" s="1942"/>
      <c r="L1135" s="1921"/>
      <c r="M1135" s="1942"/>
      <c r="N1135" s="1921"/>
      <c r="O1135" s="1942"/>
      <c r="P1135" s="1921"/>
      <c r="Q1135" s="1942"/>
      <c r="R1135" s="1921"/>
      <c r="S1135" s="1648"/>
      <c r="T1135" s="1648"/>
      <c r="U1135" s="1648"/>
      <c r="V1135" s="1648"/>
      <c r="W1135" s="1648"/>
      <c r="X1135" s="1648"/>
      <c r="Y1135" s="1644"/>
    </row>
    <row r="1136" spans="1:25" hidden="1">
      <c r="A1136" s="1900" t="s">
        <v>189</v>
      </c>
      <c r="C1136" s="528">
        <f>'6A'!O21</f>
        <v>444113</v>
      </c>
      <c r="D1136" s="528">
        <f>ROUND(C1136/(C1135+C1136)*Energy!Q73,0)</f>
        <v>1086568</v>
      </c>
      <c r="E1136" s="597"/>
      <c r="F1136" s="1942">
        <v>3.5908000000000002</v>
      </c>
      <c r="G1136" s="1921" t="s">
        <v>495</v>
      </c>
      <c r="H1136" s="1644">
        <f t="shared" si="1447"/>
        <v>15947</v>
      </c>
      <c r="I1136" s="1644">
        <f t="shared" si="1447"/>
        <v>39016</v>
      </c>
      <c r="J1136" s="597"/>
      <c r="K1136" s="1942"/>
      <c r="L1136" s="1921"/>
      <c r="M1136" s="1942"/>
      <c r="N1136" s="1921"/>
      <c r="O1136" s="1942"/>
      <c r="P1136" s="1921"/>
      <c r="Q1136" s="1942"/>
      <c r="R1136" s="1921"/>
      <c r="S1136" s="1648"/>
      <c r="T1136" s="1648"/>
      <c r="U1136" s="1648"/>
      <c r="V1136" s="1648"/>
      <c r="W1136" s="1648"/>
      <c r="X1136" s="1648"/>
      <c r="Y1136" s="1644"/>
    </row>
    <row r="1137" spans="1:28" hidden="1">
      <c r="A1137" s="1900" t="s">
        <v>163</v>
      </c>
      <c r="C1137" s="528">
        <f>'6A'!P21</f>
        <v>1791776</v>
      </c>
      <c r="D1137" s="528">
        <f>ROUND(C1137/(C1137+C1138)*Energy!R73,0)</f>
        <v>4775325</v>
      </c>
      <c r="E1137" s="597"/>
      <c r="F1137" s="1942">
        <v>9.9693000000000005</v>
      </c>
      <c r="G1137" s="1921" t="s">
        <v>495</v>
      </c>
      <c r="H1137" s="1644">
        <f t="shared" si="1447"/>
        <v>178628</v>
      </c>
      <c r="I1137" s="1644">
        <f t="shared" si="1447"/>
        <v>476066</v>
      </c>
      <c r="J1137" s="597"/>
      <c r="K1137" s="1942"/>
      <c r="L1137" s="1921"/>
      <c r="M1137" s="1942"/>
      <c r="N1137" s="1921"/>
      <c r="O1137" s="1942"/>
      <c r="P1137" s="1921"/>
      <c r="Q1137" s="1942"/>
      <c r="R1137" s="1921"/>
      <c r="S1137" s="1648"/>
      <c r="T1137" s="1648"/>
      <c r="U1137" s="1648"/>
      <c r="V1137" s="1648"/>
      <c r="W1137" s="1648"/>
      <c r="X1137" s="1648"/>
      <c r="Y1137" s="1644"/>
    </row>
    <row r="1138" spans="1:28" hidden="1">
      <c r="A1138" s="1900" t="s">
        <v>164</v>
      </c>
      <c r="C1138" s="528">
        <f>'6A'!Q21</f>
        <v>663593</v>
      </c>
      <c r="D1138" s="528">
        <f>ROUND(C1138/(C1137+C1138)*Energy!R73,0)</f>
        <v>1768565</v>
      </c>
      <c r="E1138" s="597"/>
      <c r="F1138" s="1942">
        <v>3.0059999999999998</v>
      </c>
      <c r="G1138" s="1921" t="s">
        <v>495</v>
      </c>
      <c r="H1138" s="1644">
        <f t="shared" si="1447"/>
        <v>19948</v>
      </c>
      <c r="I1138" s="1644">
        <f t="shared" si="1447"/>
        <v>53163</v>
      </c>
      <c r="J1138" s="597"/>
      <c r="K1138" s="1942"/>
      <c r="L1138" s="1921"/>
      <c r="M1138" s="1942"/>
      <c r="N1138" s="1921"/>
      <c r="O1138" s="1942"/>
      <c r="P1138" s="1921"/>
      <c r="Q1138" s="1942"/>
      <c r="R1138" s="1921"/>
      <c r="S1138" s="1648"/>
      <c r="T1138" s="1648"/>
      <c r="U1138" s="1648"/>
      <c r="V1138" s="1648"/>
      <c r="W1138" s="1648"/>
      <c r="X1138" s="1648"/>
      <c r="Y1138" s="1644"/>
    </row>
    <row r="1139" spans="1:28" hidden="1">
      <c r="A1139" s="1900" t="s">
        <v>246</v>
      </c>
      <c r="C1139" s="529">
        <f>'Table 2'!J87</f>
        <v>-65582</v>
      </c>
      <c r="D1139" s="529">
        <v>0</v>
      </c>
      <c r="H1139" s="1030">
        <f>'Table 3'!F87</f>
        <v>-8507</v>
      </c>
      <c r="I1139" s="1030">
        <v>0</v>
      </c>
      <c r="Y1139" s="1030"/>
    </row>
    <row r="1140" spans="1:28" hidden="1">
      <c r="A1140" s="1900" t="s">
        <v>1240</v>
      </c>
      <c r="C1140" s="584"/>
      <c r="D1140" s="584"/>
      <c r="F1140" s="1930">
        <v>-4.99E-2</v>
      </c>
      <c r="G1140" s="597"/>
      <c r="H1140" s="1644">
        <f>SUM(H1135:H1138)*$F1140</f>
        <v>-17526.127499999999</v>
      </c>
      <c r="I1140" s="1644">
        <f>SUM(I1135:I1138)*$F1140</f>
        <v>-45044.779900000001</v>
      </c>
      <c r="K1140" s="1930"/>
      <c r="L1140" s="597"/>
      <c r="M1140" s="1930"/>
      <c r="N1140" s="597"/>
      <c r="O1140" s="1931" t="str">
        <f>$O$43</f>
        <v>Tax Year 1 (7/1/2021)</v>
      </c>
      <c r="P1140" s="597"/>
      <c r="Q1140" s="1930">
        <f>$Q$979</f>
        <v>-3.0599999999999999E-2</v>
      </c>
      <c r="R1140" s="597"/>
      <c r="S1140" s="1645"/>
      <c r="T1140" s="1645"/>
      <c r="U1140" s="1645"/>
      <c r="V1140" s="1645"/>
      <c r="W1140" s="1645"/>
      <c r="X1140" s="1645"/>
      <c r="Y1140" s="1644">
        <f>Q1140*SUM(Y1123:Y1126)</f>
        <v>-32094.534599999999</v>
      </c>
    </row>
    <row r="1141" spans="1:28" hidden="1">
      <c r="A1141" s="1900"/>
      <c r="C1141" s="584"/>
      <c r="D1141" s="584"/>
      <c r="F1141" s="1930"/>
      <c r="G1141" s="597"/>
      <c r="H1141" s="1644"/>
      <c r="I1141" s="1644"/>
      <c r="K1141" s="1930"/>
      <c r="L1141" s="597"/>
      <c r="M1141" s="1930"/>
      <c r="N1141" s="597"/>
      <c r="O1141" s="1931" t="str">
        <f>$O$44</f>
        <v>Tax Year 2 (1/1/2022)</v>
      </c>
      <c r="P1141" s="597"/>
      <c r="Q1141" s="1930">
        <f>$Q$980</f>
        <v>-1.66E-2</v>
      </c>
      <c r="R1141" s="597"/>
      <c r="S1141" s="1645"/>
      <c r="T1141" s="1645"/>
      <c r="U1141" s="1645"/>
      <c r="V1141" s="1645"/>
      <c r="W1141" s="1645"/>
      <c r="X1141" s="1645"/>
      <c r="Y1141" s="1644">
        <f>Q1141*SUM(Y1123:Y1126)</f>
        <v>-17410.760600000001</v>
      </c>
    </row>
    <row r="1142" spans="1:28" ht="16.5" hidden="1" thickBot="1">
      <c r="A1142" s="1900" t="s">
        <v>247</v>
      </c>
      <c r="C1142" s="1949">
        <f>SUM(C1135:C1139)</f>
        <v>3980095</v>
      </c>
      <c r="D1142" s="1949">
        <f>Energy!P73</f>
        <v>10434740.076923076</v>
      </c>
      <c r="E1142" s="597"/>
      <c r="F1142" s="1939"/>
      <c r="H1142" s="1647">
        <f>SUM(H1131:H1140)</f>
        <v>551565.87250000006</v>
      </c>
      <c r="I1142" s="1647">
        <f>SUM(I1131:I1140)</f>
        <v>1452228.2201</v>
      </c>
      <c r="J1142" s="597"/>
      <c r="K1142" s="1939"/>
      <c r="M1142" s="1939"/>
      <c r="O1142" s="1939"/>
      <c r="Q1142" s="1939"/>
      <c r="S1142" s="1647">
        <f>SUM(S1123:S1139)</f>
        <v>426076</v>
      </c>
      <c r="U1142" s="1647">
        <f>SUM(U1123:U1139)</f>
        <v>506883</v>
      </c>
      <c r="W1142" s="1647">
        <f>SUM(W1123:W1139)</f>
        <v>486235</v>
      </c>
      <c r="Y1142" s="1647">
        <f>SUM(Y1123:Y1139)</f>
        <v>1419195</v>
      </c>
      <c r="AA1142" s="1104" t="s">
        <v>1743</v>
      </c>
      <c r="AB1142" s="1890">
        <f>Y1142/I1142-1</f>
        <v>-2.2746576359551351E-2</v>
      </c>
    </row>
    <row r="1143" spans="1:28" ht="16.5" thickTop="1">
      <c r="E1143" s="597"/>
      <c r="J1143" s="597"/>
    </row>
    <row r="1144" spans="1:28">
      <c r="A1144" s="1897" t="s">
        <v>1555</v>
      </c>
      <c r="C1144" s="528"/>
      <c r="D1144" s="528"/>
      <c r="F1144" s="1943"/>
      <c r="G1144" s="1957"/>
      <c r="K1144" s="1943"/>
      <c r="L1144" s="1957"/>
      <c r="M1144" s="1943"/>
      <c r="N1144" s="1957"/>
      <c r="O1144" s="1943"/>
      <c r="P1144" s="1957"/>
      <c r="Q1144" s="1943"/>
      <c r="R1144" s="1957"/>
      <c r="S1144" s="1645"/>
      <c r="T1144" s="1645"/>
      <c r="U1144" s="1645"/>
      <c r="V1144" s="1645"/>
      <c r="W1144" s="1645"/>
      <c r="X1144" s="1645"/>
    </row>
    <row r="1145" spans="1:28">
      <c r="A1145" s="1900" t="s">
        <v>1910</v>
      </c>
      <c r="C1145" s="528">
        <f>'BD-Redesign'!L7/('BD-Redesign'!L7+'BD-Redesign'!L8)*('Blocking-Step2'!C1149+'Blocking-Step2'!C1150)</f>
        <v>13322.339107795206</v>
      </c>
      <c r="D1145" s="528">
        <f>D1164-SUM(D1146:D1148)</f>
        <v>0</v>
      </c>
      <c r="E1145" s="597"/>
      <c r="F1145" s="1942"/>
      <c r="G1145" s="1921"/>
      <c r="H1145" s="1644"/>
      <c r="I1145" s="1644"/>
      <c r="J1145" s="597"/>
      <c r="K1145" s="1942">
        <f>K961</f>
        <v>3.9525000000000001</v>
      </c>
      <c r="L1145" s="1921" t="s">
        <v>495</v>
      </c>
      <c r="M1145" s="1942">
        <f>M961</f>
        <v>17.075028114911813</v>
      </c>
      <c r="N1145" s="1921" t="s">
        <v>495</v>
      </c>
      <c r="O1145" s="1942">
        <f>O961</f>
        <v>1.3496999999999999</v>
      </c>
      <c r="P1145" s="1921" t="s">
        <v>495</v>
      </c>
      <c r="Q1145" s="1942">
        <f t="shared" ref="Q1145:Q1153" si="1448">Q961</f>
        <v>22.377228114911812</v>
      </c>
      <c r="R1145" s="1921" t="s">
        <v>495</v>
      </c>
      <c r="S1145" s="1644">
        <f>ROUND($D1145*K1145/100,0)</f>
        <v>0</v>
      </c>
      <c r="T1145" s="1648"/>
      <c r="U1145" s="1644">
        <f>ROUND($D1145*M1145/100,0)</f>
        <v>0</v>
      </c>
      <c r="V1145" s="1648"/>
      <c r="W1145" s="1644">
        <f>ROUND($D1145*O1145/100,0)</f>
        <v>0</v>
      </c>
      <c r="X1145" s="1648"/>
      <c r="Y1145" s="1644">
        <f>ROUND($D1145*Q1145/100,0)</f>
        <v>0</v>
      </c>
    </row>
    <row r="1146" spans="1:28">
      <c r="A1146" s="1900" t="s">
        <v>1911</v>
      </c>
      <c r="C1146" s="528">
        <f>C1149+C1150-C1145</f>
        <v>53605.44143337437</v>
      </c>
      <c r="D1146" s="528">
        <v>0</v>
      </c>
      <c r="E1146" s="597"/>
      <c r="F1146" s="1942"/>
      <c r="G1146" s="1921"/>
      <c r="H1146" s="1644"/>
      <c r="I1146" s="1644"/>
      <c r="J1146" s="597"/>
      <c r="K1146" s="1942">
        <f t="shared" ref="K1146" si="1449">K962</f>
        <v>3.9525000000000001</v>
      </c>
      <c r="L1146" s="1921" t="s">
        <v>495</v>
      </c>
      <c r="M1146" s="1942">
        <f t="shared" ref="M1146" si="1450">M962</f>
        <v>-0.91518271744099966</v>
      </c>
      <c r="N1146" s="1921" t="s">
        <v>495</v>
      </c>
      <c r="O1146" s="1942">
        <f t="shared" ref="O1146" si="1451">O962</f>
        <v>1.3496999999999999</v>
      </c>
      <c r="P1146" s="1921" t="s">
        <v>495</v>
      </c>
      <c r="Q1146" s="1942">
        <f t="shared" si="1448"/>
        <v>4.3870172825590004</v>
      </c>
      <c r="R1146" s="1921" t="s">
        <v>495</v>
      </c>
      <c r="S1146" s="1644">
        <f t="shared" ref="S1146:S1152" si="1452">ROUND($D1146*K1146/100,0)</f>
        <v>0</v>
      </c>
      <c r="T1146" s="1648"/>
      <c r="U1146" s="1644">
        <f t="shared" ref="U1146:U1152" si="1453">ROUND($D1146*M1146/100,0)</f>
        <v>0</v>
      </c>
      <c r="V1146" s="1648"/>
      <c r="W1146" s="1644">
        <f t="shared" ref="W1146:W1152" si="1454">ROUND($D1146*O1146/100,0)</f>
        <v>0</v>
      </c>
      <c r="X1146" s="1648"/>
      <c r="Y1146" s="1644">
        <f t="shared" ref="Y1146:Y1152" si="1455">ROUND($D1146*Q1146/100,0)</f>
        <v>0</v>
      </c>
    </row>
    <row r="1147" spans="1:28">
      <c r="A1147" s="1900" t="s">
        <v>1912</v>
      </c>
      <c r="C1147" s="528">
        <f>'BD-Redesign'!L9/('BD-Redesign'!L9+'BD-Redesign'!L10)*('Blocking-Step2'!C1151+'Blocking-Step2'!C1152)</f>
        <v>13895.672297448593</v>
      </c>
      <c r="D1147" s="528">
        <v>0</v>
      </c>
      <c r="E1147" s="597"/>
      <c r="F1147" s="1942"/>
      <c r="G1147" s="1921"/>
      <c r="H1147" s="1644"/>
      <c r="I1147" s="1644"/>
      <c r="J1147" s="597"/>
      <c r="K1147" s="1942">
        <f t="shared" ref="K1147" si="1456">K963</f>
        <v>3.9525000000000001</v>
      </c>
      <c r="L1147" s="1921" t="s">
        <v>495</v>
      </c>
      <c r="M1147" s="1942">
        <f t="shared" ref="M1147" si="1457">M963</f>
        <v>14.656000000000001</v>
      </c>
      <c r="N1147" s="1921" t="s">
        <v>495</v>
      </c>
      <c r="O1147" s="1942">
        <f t="shared" ref="O1147" si="1458">O963</f>
        <v>1.1943999999999999</v>
      </c>
      <c r="P1147" s="1921" t="s">
        <v>495</v>
      </c>
      <c r="Q1147" s="1942">
        <f t="shared" si="1448"/>
        <v>19.802900000000001</v>
      </c>
      <c r="R1147" s="1921" t="s">
        <v>495</v>
      </c>
      <c r="S1147" s="1644">
        <f t="shared" si="1452"/>
        <v>0</v>
      </c>
      <c r="T1147" s="1648"/>
      <c r="U1147" s="1644">
        <f t="shared" si="1453"/>
        <v>0</v>
      </c>
      <c r="V1147" s="1648"/>
      <c r="W1147" s="1644">
        <f t="shared" si="1454"/>
        <v>0</v>
      </c>
      <c r="X1147" s="1648"/>
      <c r="Y1147" s="1644">
        <f t="shared" si="1455"/>
        <v>0</v>
      </c>
    </row>
    <row r="1148" spans="1:28">
      <c r="A1148" s="1900" t="s">
        <v>1913</v>
      </c>
      <c r="C1148" s="528">
        <f>C1151+C1152-C1147</f>
        <v>68636.435521739491</v>
      </c>
      <c r="D1148" s="528">
        <v>0</v>
      </c>
      <c r="E1148" s="597"/>
      <c r="F1148" s="1942"/>
      <c r="G1148" s="1921"/>
      <c r="H1148" s="1644"/>
      <c r="I1148" s="1644"/>
      <c r="J1148" s="597"/>
      <c r="K1148" s="1942">
        <f t="shared" ref="K1148" si="1459">K964</f>
        <v>3.9525000000000001</v>
      </c>
      <c r="L1148" s="1921" t="s">
        <v>495</v>
      </c>
      <c r="M1148" s="1942">
        <f t="shared" ref="M1148" si="1460">M964</f>
        <v>-1.2646000000000002</v>
      </c>
      <c r="N1148" s="1921" t="s">
        <v>495</v>
      </c>
      <c r="O1148" s="1942">
        <f t="shared" ref="O1148" si="1461">O964</f>
        <v>1.1943999999999999</v>
      </c>
      <c r="P1148" s="1921" t="s">
        <v>495</v>
      </c>
      <c r="Q1148" s="1942">
        <f t="shared" si="1448"/>
        <v>3.8822999999999999</v>
      </c>
      <c r="R1148" s="1921" t="s">
        <v>495</v>
      </c>
      <c r="S1148" s="1644">
        <f t="shared" si="1452"/>
        <v>0</v>
      </c>
      <c r="T1148" s="1648"/>
      <c r="U1148" s="1644">
        <f t="shared" si="1453"/>
        <v>0</v>
      </c>
      <c r="V1148" s="1648"/>
      <c r="W1148" s="1644">
        <f t="shared" si="1454"/>
        <v>0</v>
      </c>
      <c r="X1148" s="1648"/>
      <c r="Y1148" s="1644">
        <f t="shared" si="1455"/>
        <v>0</v>
      </c>
    </row>
    <row r="1149" spans="1:28">
      <c r="A1149" s="1900" t="s">
        <v>1906</v>
      </c>
      <c r="C1149" s="528">
        <f>'BD-Redesign'!L11+TempRevMay!W336</f>
        <v>34787.289603337464</v>
      </c>
      <c r="D1149" s="528">
        <f>D1164-SUM(D1150:D1152)</f>
        <v>0</v>
      </c>
      <c r="E1149" s="597"/>
      <c r="F1149" s="1942"/>
      <c r="G1149" s="1921"/>
      <c r="H1149" s="1644"/>
      <c r="I1149" s="1644"/>
      <c r="J1149" s="597"/>
      <c r="K1149" s="1942">
        <f t="shared" ref="K1149" si="1462">K965</f>
        <v>0</v>
      </c>
      <c r="L1149" s="1921" t="s">
        <v>495</v>
      </c>
      <c r="M1149" s="1942">
        <f t="shared" ref="M1149" si="1463">M965</f>
        <v>0</v>
      </c>
      <c r="N1149" s="1921" t="s">
        <v>495</v>
      </c>
      <c r="O1149" s="1942">
        <f t="shared" ref="O1149" si="1464">O965</f>
        <v>6</v>
      </c>
      <c r="P1149" s="1921" t="s">
        <v>495</v>
      </c>
      <c r="Q1149" s="1942">
        <f t="shared" si="1448"/>
        <v>6</v>
      </c>
      <c r="R1149" s="1921" t="s">
        <v>495</v>
      </c>
      <c r="S1149" s="1644">
        <f t="shared" si="1452"/>
        <v>0</v>
      </c>
      <c r="T1149" s="1648"/>
      <c r="U1149" s="1644">
        <f t="shared" si="1453"/>
        <v>0</v>
      </c>
      <c r="V1149" s="1648"/>
      <c r="W1149" s="1644">
        <f t="shared" si="1454"/>
        <v>0</v>
      </c>
      <c r="X1149" s="1648"/>
      <c r="Y1149" s="1644">
        <f t="shared" si="1455"/>
        <v>0</v>
      </c>
    </row>
    <row r="1150" spans="1:28">
      <c r="A1150" s="1900" t="s">
        <v>1907</v>
      </c>
      <c r="C1150" s="528">
        <f>'BD-Redesign'!L12+TempRevMay!W337</f>
        <v>32140.490937832117</v>
      </c>
      <c r="D1150" s="528">
        <v>0</v>
      </c>
      <c r="E1150" s="597"/>
      <c r="F1150" s="1942"/>
      <c r="G1150" s="1921"/>
      <c r="H1150" s="1644"/>
      <c r="I1150" s="1644"/>
      <c r="J1150" s="597"/>
      <c r="K1150" s="1942">
        <f t="shared" ref="K1150" si="1465">K966</f>
        <v>0</v>
      </c>
      <c r="L1150" s="1921" t="s">
        <v>495</v>
      </c>
      <c r="M1150" s="1942">
        <f t="shared" ref="M1150" si="1466">M966</f>
        <v>0</v>
      </c>
      <c r="N1150" s="1921" t="s">
        <v>495</v>
      </c>
      <c r="O1150" s="1942">
        <f t="shared" ref="O1150" si="1467">O966</f>
        <v>-2.3358000000000008</v>
      </c>
      <c r="P1150" s="1921" t="s">
        <v>495</v>
      </c>
      <c r="Q1150" s="1942">
        <f t="shared" si="1448"/>
        <v>-2.3358000000000008</v>
      </c>
      <c r="R1150" s="1921" t="s">
        <v>495</v>
      </c>
      <c r="S1150" s="1644">
        <f t="shared" si="1452"/>
        <v>0</v>
      </c>
      <c r="T1150" s="1648"/>
      <c r="U1150" s="1644">
        <f t="shared" si="1453"/>
        <v>0</v>
      </c>
      <c r="V1150" s="1648"/>
      <c r="W1150" s="1644">
        <f t="shared" si="1454"/>
        <v>0</v>
      </c>
      <c r="X1150" s="1648"/>
      <c r="Y1150" s="1644">
        <f t="shared" si="1455"/>
        <v>0</v>
      </c>
    </row>
    <row r="1151" spans="1:28">
      <c r="A1151" s="1900" t="s">
        <v>1908</v>
      </c>
      <c r="C1151" s="528">
        <f>'BD-Redesign'!L13+TempRevMay!W338</f>
        <v>40510.527629505144</v>
      </c>
      <c r="D1151" s="528">
        <v>0</v>
      </c>
      <c r="E1151" s="597"/>
      <c r="F1151" s="1942"/>
      <c r="G1151" s="1921"/>
      <c r="H1151" s="1644"/>
      <c r="I1151" s="1644"/>
      <c r="J1151" s="597"/>
      <c r="K1151" s="1942">
        <f t="shared" ref="K1151" si="1468">K967</f>
        <v>0</v>
      </c>
      <c r="L1151" s="1921" t="s">
        <v>495</v>
      </c>
      <c r="M1151" s="1942">
        <f t="shared" ref="M1151" si="1469">M967</f>
        <v>0</v>
      </c>
      <c r="N1151" s="1921" t="s">
        <v>495</v>
      </c>
      <c r="O1151" s="1942">
        <f t="shared" ref="O1151" si="1470">O967</f>
        <v>5.3097000000000003</v>
      </c>
      <c r="P1151" s="1921" t="s">
        <v>495</v>
      </c>
      <c r="Q1151" s="1942">
        <f t="shared" si="1448"/>
        <v>5.3097000000000003</v>
      </c>
      <c r="R1151" s="1921" t="s">
        <v>495</v>
      </c>
      <c r="S1151" s="1644">
        <f t="shared" si="1452"/>
        <v>0</v>
      </c>
      <c r="T1151" s="1648"/>
      <c r="U1151" s="1644">
        <f t="shared" si="1453"/>
        <v>0</v>
      </c>
      <c r="V1151" s="1648"/>
      <c r="W1151" s="1644">
        <f t="shared" si="1454"/>
        <v>0</v>
      </c>
      <c r="X1151" s="1648"/>
      <c r="Y1151" s="1644">
        <f t="shared" si="1455"/>
        <v>0</v>
      </c>
    </row>
    <row r="1152" spans="1:28">
      <c r="A1152" s="1900" t="s">
        <v>1909</v>
      </c>
      <c r="C1152" s="528">
        <f>'BD-Redesign'!L14+TempRevMay!W339</f>
        <v>42021.580189682936</v>
      </c>
      <c r="D1152" s="528">
        <v>0</v>
      </c>
      <c r="E1152" s="597"/>
      <c r="F1152" s="1942"/>
      <c r="G1152" s="1921"/>
      <c r="H1152" s="1644"/>
      <c r="I1152" s="1644"/>
      <c r="J1152" s="597"/>
      <c r="K1152" s="1942">
        <f t="shared" ref="K1152" si="1471">K968</f>
        <v>0</v>
      </c>
      <c r="L1152" s="1921" t="s">
        <v>495</v>
      </c>
      <c r="M1152" s="1942">
        <f t="shared" ref="M1152" si="1472">M968</f>
        <v>0</v>
      </c>
      <c r="N1152" s="1921" t="s">
        <v>495</v>
      </c>
      <c r="O1152" s="1942">
        <f t="shared" ref="O1152" si="1473">O968</f>
        <v>-2.0670999999999999</v>
      </c>
      <c r="P1152" s="1921" t="s">
        <v>495</v>
      </c>
      <c r="Q1152" s="1942">
        <f t="shared" si="1448"/>
        <v>-2.0670999999999999</v>
      </c>
      <c r="R1152" s="1921" t="s">
        <v>495</v>
      </c>
      <c r="S1152" s="1644">
        <f t="shared" si="1452"/>
        <v>0</v>
      </c>
      <c r="T1152" s="1648"/>
      <c r="U1152" s="1644">
        <f t="shared" si="1453"/>
        <v>0</v>
      </c>
      <c r="V1152" s="1648"/>
      <c r="W1152" s="1644">
        <f t="shared" si="1454"/>
        <v>0</v>
      </c>
      <c r="X1152" s="1648"/>
      <c r="Y1152" s="1644">
        <f t="shared" si="1455"/>
        <v>0</v>
      </c>
    </row>
    <row r="1153" spans="1:28">
      <c r="A1153" s="1900" t="s">
        <v>240</v>
      </c>
      <c r="C1153" s="528">
        <f>'6A'!H24</f>
        <v>14.6</v>
      </c>
      <c r="D1153" s="528">
        <v>0</v>
      </c>
      <c r="F1153" s="1944">
        <v>54</v>
      </c>
      <c r="G1153" s="597"/>
      <c r="H1153" s="1644">
        <f t="shared" ref="H1153:H1156" si="1474">ROUND($F1153*C1153,0)</f>
        <v>788</v>
      </c>
      <c r="I1153" s="1644">
        <f t="shared" ref="I1153:I1156" si="1475">ROUND($F1153*D1153,0)</f>
        <v>0</v>
      </c>
      <c r="K1153" s="1944">
        <f>K969</f>
        <v>54</v>
      </c>
      <c r="L1153" s="597"/>
      <c r="M1153" s="1944">
        <f>M969</f>
        <v>0</v>
      </c>
      <c r="N1153" s="597"/>
      <c r="O1153" s="1944">
        <f>O969</f>
        <v>0</v>
      </c>
      <c r="P1153" s="597"/>
      <c r="Q1153" s="1944">
        <f t="shared" si="1448"/>
        <v>54</v>
      </c>
      <c r="R1153" s="597"/>
      <c r="S1153" s="1644">
        <f>ROUND($D1153*K1153,0)</f>
        <v>0</v>
      </c>
      <c r="T1153" s="1643"/>
      <c r="U1153" s="1644">
        <f>ROUND($D1153*M1153,0)</f>
        <v>0</v>
      </c>
      <c r="V1153" s="1643"/>
      <c r="W1153" s="1644">
        <f>ROUND($D1153*O1153,0)</f>
        <v>0</v>
      </c>
      <c r="X1153" s="1645"/>
      <c r="Y1153" s="1644">
        <f>ROUND($D1153*Q1153,0)</f>
        <v>0</v>
      </c>
    </row>
    <row r="1154" spans="1:28">
      <c r="A1154" s="1900" t="s">
        <v>157</v>
      </c>
      <c r="C1154" s="528">
        <f>'6A'!J24</f>
        <v>610.87423312883402</v>
      </c>
      <c r="D1154" s="528">
        <f>ROUND(C1154/C1164*D1164,0)</f>
        <v>0</v>
      </c>
      <c r="F1154" s="1944">
        <v>6.52</v>
      </c>
      <c r="G1154" s="597"/>
      <c r="H1154" s="1644">
        <f t="shared" si="1474"/>
        <v>3983</v>
      </c>
      <c r="I1154" s="1644">
        <f t="shared" si="1475"/>
        <v>0</v>
      </c>
      <c r="K1154" s="1944"/>
      <c r="L1154" s="597"/>
      <c r="M1154" s="1944"/>
      <c r="N1154" s="597"/>
      <c r="O1154" s="1944"/>
      <c r="P1154" s="597"/>
      <c r="Q1154" s="1944"/>
      <c r="R1154" s="597"/>
      <c r="S1154" s="1644"/>
      <c r="T1154" s="1645"/>
      <c r="U1154" s="1644"/>
      <c r="V1154" s="1645"/>
      <c r="W1154" s="1644"/>
      <c r="X1154" s="1645"/>
      <c r="Y1154" s="1644"/>
    </row>
    <row r="1155" spans="1:28">
      <c r="A1155" s="1900" t="s">
        <v>162</v>
      </c>
      <c r="C1155" s="528">
        <f>'6A'!K24</f>
        <v>476.79341864716599</v>
      </c>
      <c r="D1155" s="528">
        <f>ROUND(C1155/C1164*D1164,0)</f>
        <v>0</v>
      </c>
      <c r="F1155" s="1944">
        <v>5.47</v>
      </c>
      <c r="G1155" s="597"/>
      <c r="H1155" s="1644">
        <f t="shared" si="1474"/>
        <v>2608</v>
      </c>
      <c r="I1155" s="1644">
        <f t="shared" si="1475"/>
        <v>0</v>
      </c>
      <c r="K1155" s="1944"/>
      <c r="L1155" s="597"/>
      <c r="M1155" s="1944"/>
      <c r="N1155" s="597"/>
      <c r="O1155" s="1944"/>
      <c r="P1155" s="597"/>
      <c r="Q1155" s="1944"/>
      <c r="R1155" s="597"/>
      <c r="S1155" s="1644"/>
      <c r="T1155" s="1645"/>
      <c r="U1155" s="1644"/>
      <c r="V1155" s="1645"/>
      <c r="W1155" s="1644"/>
      <c r="X1155" s="1645"/>
      <c r="Y1155" s="1644"/>
    </row>
    <row r="1156" spans="1:28">
      <c r="A1156" s="1900" t="s">
        <v>261</v>
      </c>
      <c r="C1156" s="528">
        <f>'6A'!L24</f>
        <v>0</v>
      </c>
      <c r="D1156" s="528">
        <f>ROUND(C1156/C1164*D1164,0)</f>
        <v>0</v>
      </c>
      <c r="F1156" s="1944">
        <v>-0.61</v>
      </c>
      <c r="G1156" s="597"/>
      <c r="H1156" s="1644">
        <f t="shared" si="1474"/>
        <v>0</v>
      </c>
      <c r="I1156" s="1644">
        <f t="shared" si="1475"/>
        <v>0</v>
      </c>
      <c r="K1156" s="1944">
        <f>K972</f>
        <v>-0.61</v>
      </c>
      <c r="L1156" s="597"/>
      <c r="M1156" s="1944">
        <f>M972</f>
        <v>0</v>
      </c>
      <c r="N1156" s="597"/>
      <c r="O1156" s="1944">
        <f>O972</f>
        <v>0</v>
      </c>
      <c r="P1156" s="597"/>
      <c r="Q1156" s="1944">
        <f>Q972</f>
        <v>-0.61</v>
      </c>
      <c r="R1156" s="597"/>
      <c r="S1156" s="1644">
        <f>ROUND($D1156*K1156,0)</f>
        <v>0</v>
      </c>
      <c r="T1156" s="1645"/>
      <c r="U1156" s="1644">
        <f>ROUND($D1156*M1156,0)</f>
        <v>0</v>
      </c>
      <c r="V1156" s="1645"/>
      <c r="W1156" s="1644">
        <f>ROUND($D1156*O1156,0)</f>
        <v>0</v>
      </c>
      <c r="X1156" s="1645"/>
      <c r="Y1156" s="1644">
        <f>ROUND($D1156*Q1156,0)</f>
        <v>0</v>
      </c>
    </row>
    <row r="1157" spans="1:28">
      <c r="A1157" s="1900" t="s">
        <v>188</v>
      </c>
      <c r="C1157" s="528">
        <f>'6A'!N24+TempRev!W336</f>
        <v>76746.183037327341</v>
      </c>
      <c r="D1157" s="528">
        <f>D1164-SUM(D1158:D1161)</f>
        <v>0</v>
      </c>
      <c r="F1157" s="1942">
        <v>11.926600000000001</v>
      </c>
      <c r="G1157" s="1921" t="s">
        <v>495</v>
      </c>
      <c r="H1157" s="1644">
        <f t="shared" ref="H1157:H1160" si="1476">ROUND($F1157*C1157/100,0)</f>
        <v>9153</v>
      </c>
      <c r="I1157" s="1644">
        <f t="shared" ref="I1157:I1160" si="1477">ROUND($F1157*D1157/100,0)</f>
        <v>0</v>
      </c>
      <c r="K1157" s="1942"/>
      <c r="L1157" s="1921"/>
      <c r="M1157" s="1942"/>
      <c r="N1157" s="1921"/>
      <c r="O1157" s="1942"/>
      <c r="P1157" s="1921"/>
      <c r="Q1157" s="1942"/>
      <c r="R1157" s="1921"/>
      <c r="S1157" s="1648"/>
      <c r="T1157" s="1648"/>
      <c r="U1157" s="1648"/>
      <c r="V1157" s="1648"/>
      <c r="W1157" s="1648"/>
      <c r="X1157" s="1648"/>
      <c r="Y1157" s="1644"/>
    </row>
    <row r="1158" spans="1:28">
      <c r="A1158" s="1900" t="s">
        <v>189</v>
      </c>
      <c r="C1158" s="528">
        <f>'6A'!O24+TempRev!W337</f>
        <v>70349.781849994804</v>
      </c>
      <c r="D1158" s="528">
        <v>0</v>
      </c>
      <c r="E1158" s="597"/>
      <c r="F1158" s="1942">
        <v>3.5908000000000002</v>
      </c>
      <c r="G1158" s="1921" t="s">
        <v>495</v>
      </c>
      <c r="H1158" s="1644">
        <f t="shared" si="1476"/>
        <v>2526</v>
      </c>
      <c r="I1158" s="1644">
        <f t="shared" si="1477"/>
        <v>0</v>
      </c>
      <c r="J1158" s="597"/>
      <c r="K1158" s="1942"/>
      <c r="L1158" s="1921"/>
      <c r="M1158" s="1942"/>
      <c r="N1158" s="1921"/>
      <c r="O1158" s="1942"/>
      <c r="P1158" s="1921"/>
      <c r="Q1158" s="1942"/>
      <c r="R1158" s="1921"/>
      <c r="S1158" s="1648"/>
      <c r="T1158" s="1648"/>
      <c r="U1158" s="1648"/>
      <c r="V1158" s="1648"/>
      <c r="W1158" s="1648"/>
      <c r="X1158" s="1648"/>
      <c r="Y1158" s="1644"/>
    </row>
    <row r="1159" spans="1:28">
      <c r="A1159" s="1900" t="s">
        <v>163</v>
      </c>
      <c r="C1159" s="528">
        <f>'6A'!P24+TempRev!W338</f>
        <v>73676.63419551526</v>
      </c>
      <c r="D1159" s="528">
        <v>0</v>
      </c>
      <c r="F1159" s="1942">
        <v>9.9693000000000005</v>
      </c>
      <c r="G1159" s="1921" t="s">
        <v>495</v>
      </c>
      <c r="H1159" s="1644">
        <f t="shared" si="1476"/>
        <v>7345</v>
      </c>
      <c r="I1159" s="1644">
        <f t="shared" si="1477"/>
        <v>0</v>
      </c>
      <c r="K1159" s="1942"/>
      <c r="L1159" s="1921"/>
      <c r="M1159" s="1942"/>
      <c r="N1159" s="1921"/>
      <c r="O1159" s="1942"/>
      <c r="P1159" s="1921"/>
      <c r="Q1159" s="1942"/>
      <c r="R1159" s="1921"/>
      <c r="S1159" s="1648"/>
      <c r="T1159" s="1648"/>
      <c r="U1159" s="1648"/>
      <c r="V1159" s="1648"/>
      <c r="W1159" s="1648"/>
      <c r="X1159" s="1648"/>
      <c r="Y1159" s="1644"/>
    </row>
    <row r="1160" spans="1:28">
      <c r="A1160" s="1900" t="s">
        <v>164</v>
      </c>
      <c r="C1160" s="528">
        <f>'6A'!Q24+TempRev!W339</f>
        <v>77835.789277520249</v>
      </c>
      <c r="D1160" s="528">
        <v>0</v>
      </c>
      <c r="E1160" s="597"/>
      <c r="F1160" s="1942">
        <v>3.0059999999999998</v>
      </c>
      <c r="G1160" s="1921" t="s">
        <v>495</v>
      </c>
      <c r="H1160" s="1644">
        <f t="shared" si="1476"/>
        <v>2340</v>
      </c>
      <c r="I1160" s="1644">
        <f t="shared" si="1477"/>
        <v>0</v>
      </c>
      <c r="J1160" s="597"/>
      <c r="K1160" s="1942"/>
      <c r="L1160" s="1921"/>
      <c r="M1160" s="1942"/>
      <c r="N1160" s="1921"/>
      <c r="O1160" s="1942"/>
      <c r="P1160" s="1921"/>
      <c r="Q1160" s="1942"/>
      <c r="R1160" s="1921"/>
      <c r="S1160" s="1648"/>
      <c r="T1160" s="1648"/>
      <c r="U1160" s="1648"/>
      <c r="V1160" s="1648"/>
      <c r="W1160" s="1648"/>
      <c r="X1160" s="1648"/>
      <c r="Y1160" s="1644"/>
    </row>
    <row r="1161" spans="1:28">
      <c r="A1161" s="1900" t="s">
        <v>246</v>
      </c>
      <c r="C1161" s="529">
        <f>'Table 2'!J50</f>
        <v>1583</v>
      </c>
      <c r="D1161" s="529">
        <v>0</v>
      </c>
      <c r="H1161" s="1030">
        <f>'Table 3'!F50</f>
        <v>163</v>
      </c>
      <c r="I1161" s="1030">
        <v>0</v>
      </c>
      <c r="Y1161" s="1030"/>
    </row>
    <row r="1162" spans="1:28">
      <c r="A1162" s="1900" t="s">
        <v>1240</v>
      </c>
      <c r="C1162" s="584"/>
      <c r="D1162" s="584"/>
      <c r="F1162" s="1930">
        <v>-4.99E-2</v>
      </c>
      <c r="G1162" s="597"/>
      <c r="H1162" s="1644">
        <f>SUM(H1157:H1160)*$F1162</f>
        <v>-1066.0636</v>
      </c>
      <c r="I1162" s="1644">
        <f>SUM(I1157:I1160)*$F1162</f>
        <v>0</v>
      </c>
      <c r="K1162" s="1930"/>
      <c r="L1162" s="597"/>
      <c r="M1162" s="1930"/>
      <c r="N1162" s="597"/>
      <c r="O1162" s="1931" t="str">
        <f>$O$43</f>
        <v>Tax Year 1 (7/1/2021)</v>
      </c>
      <c r="P1162" s="597"/>
      <c r="Q1162" s="1930">
        <f>$Q$979</f>
        <v>-3.0599999999999999E-2</v>
      </c>
      <c r="R1162" s="597"/>
      <c r="S1162" s="1645"/>
      <c r="T1162" s="1645"/>
      <c r="U1162" s="1645"/>
      <c r="V1162" s="1645"/>
      <c r="W1162" s="1645"/>
      <c r="X1162" s="1645"/>
      <c r="Y1162" s="1644">
        <f>Q1162*SUM(Y1145:Y1148)</f>
        <v>0</v>
      </c>
    </row>
    <row r="1163" spans="1:28">
      <c r="A1163" s="1900"/>
      <c r="C1163" s="584"/>
      <c r="D1163" s="584"/>
      <c r="F1163" s="1930"/>
      <c r="G1163" s="597"/>
      <c r="H1163" s="1644"/>
      <c r="I1163" s="1644"/>
      <c r="K1163" s="1930"/>
      <c r="L1163" s="597"/>
      <c r="M1163" s="1930"/>
      <c r="N1163" s="597"/>
      <c r="O1163" s="1931" t="str">
        <f>$O$44</f>
        <v>Tax Year 2 (1/1/2022)</v>
      </c>
      <c r="P1163" s="597"/>
      <c r="Q1163" s="1930">
        <f>$Q$980</f>
        <v>-1.66E-2</v>
      </c>
      <c r="R1163" s="597"/>
      <c r="S1163" s="1645"/>
      <c r="T1163" s="1645"/>
      <c r="U1163" s="1645"/>
      <c r="V1163" s="1645"/>
      <c r="W1163" s="1645"/>
      <c r="X1163" s="1645"/>
      <c r="Y1163" s="1644">
        <f>Q1163*SUM(Y1145:Y1148)</f>
        <v>0</v>
      </c>
    </row>
    <row r="1164" spans="1:28" ht="16.5" thickBot="1">
      <c r="A1164" s="1900" t="s">
        <v>247</v>
      </c>
      <c r="C1164" s="1949">
        <f>SUM(C1157:C1161)</f>
        <v>300191.38836035767</v>
      </c>
      <c r="D1164" s="1949">
        <v>0</v>
      </c>
      <c r="F1164" s="1939"/>
      <c r="H1164" s="1647">
        <f>SUM(H1153:H1162)</f>
        <v>27839.936399999999</v>
      </c>
      <c r="I1164" s="1647">
        <f>SUM(I1153:I1162)</f>
        <v>0</v>
      </c>
      <c r="K1164" s="1939"/>
      <c r="M1164" s="1939"/>
      <c r="O1164" s="1939"/>
      <c r="Q1164" s="1939"/>
      <c r="S1164" s="1647">
        <f>SUM(S1145:S1161)</f>
        <v>0</v>
      </c>
      <c r="U1164" s="1647">
        <f>SUM(U1145:U1161)</f>
        <v>0</v>
      </c>
      <c r="W1164" s="1647">
        <f>SUM(W1145:W1161)</f>
        <v>0</v>
      </c>
      <c r="Y1164" s="1647">
        <f>SUM(Y1145:Y1161)</f>
        <v>0</v>
      </c>
      <c r="AA1164" s="1104" t="s">
        <v>1743</v>
      </c>
      <c r="AB1164" s="1890"/>
    </row>
    <row r="1165" spans="1:28" ht="16.5" thickTop="1">
      <c r="C1165" s="528"/>
      <c r="D1165" s="528"/>
    </row>
    <row r="1166" spans="1:28">
      <c r="A1166" s="1897" t="s">
        <v>910</v>
      </c>
      <c r="C1166" s="528"/>
      <c r="D1166" s="528"/>
      <c r="AA1166" s="596"/>
      <c r="AB1166" s="596"/>
    </row>
    <row r="1167" spans="1:28">
      <c r="A1167" s="1960" t="s">
        <v>264</v>
      </c>
      <c r="C1167" s="528"/>
      <c r="D1167" s="528"/>
      <c r="H1167" s="1644"/>
      <c r="I1167" s="1644"/>
      <c r="Y1167" s="1644"/>
      <c r="AA1167" s="1109"/>
      <c r="AB1167" s="1114"/>
    </row>
    <row r="1168" spans="1:28">
      <c r="A1168" s="1900" t="s">
        <v>265</v>
      </c>
      <c r="B1168" s="1869">
        <v>29</v>
      </c>
      <c r="C1168" s="528">
        <f>C1210+C1252+C1294+C1336</f>
        <v>0</v>
      </c>
      <c r="D1168" s="528">
        <f>D1210+D1252+D1294+D1336</f>
        <v>0</v>
      </c>
      <c r="F1168" s="1901">
        <v>5.68</v>
      </c>
      <c r="G1168" s="1902"/>
      <c r="H1168" s="1644">
        <f t="shared" ref="H1168:I1171" si="1478">ROUND($F1168*C1168,0)</f>
        <v>0</v>
      </c>
      <c r="I1168" s="1644">
        <f t="shared" si="1478"/>
        <v>0</v>
      </c>
      <c r="K1168" s="1901"/>
      <c r="L1168" s="1902"/>
      <c r="M1168" s="1901"/>
      <c r="N1168" s="1902"/>
      <c r="O1168" s="1901"/>
      <c r="P1168" s="1902"/>
      <c r="Q1168" s="1901"/>
      <c r="R1168" s="1902"/>
      <c r="S1168" s="1643"/>
      <c r="T1168" s="1643"/>
      <c r="U1168" s="1643"/>
      <c r="V1168" s="1643"/>
      <c r="W1168" s="1643"/>
      <c r="X1168" s="1643"/>
      <c r="Y1168" s="1644"/>
      <c r="AA1168" s="1109"/>
      <c r="AB1168" s="1114"/>
    </row>
    <row r="1169" spans="1:28">
      <c r="A1169" s="1900" t="s">
        <v>266</v>
      </c>
      <c r="B1169" s="1869">
        <v>1</v>
      </c>
      <c r="C1169" s="528">
        <f t="shared" ref="C1169" si="1479">C1211+C1253+C1295+C1337</f>
        <v>37029.915140415185</v>
      </c>
      <c r="D1169" s="528">
        <f>D1211+D1253+D1295+D1337</f>
        <v>36084</v>
      </c>
      <c r="F1169" s="1901">
        <v>16.38</v>
      </c>
      <c r="G1169" s="1902"/>
      <c r="H1169" s="1644">
        <f t="shared" si="1478"/>
        <v>606550</v>
      </c>
      <c r="I1169" s="1644">
        <f t="shared" si="1478"/>
        <v>591056</v>
      </c>
      <c r="K1169" s="1901"/>
      <c r="L1169" s="1902"/>
      <c r="M1169" s="1901"/>
      <c r="N1169" s="1902"/>
      <c r="O1169" s="1901"/>
      <c r="P1169" s="1902"/>
      <c r="Q1169" s="1901"/>
      <c r="R1169" s="1902"/>
      <c r="S1169" s="1643"/>
      <c r="T1169" s="1643"/>
      <c r="U1169" s="1643"/>
      <c r="V1169" s="1643"/>
      <c r="W1169" s="1643"/>
      <c r="X1169" s="1643"/>
      <c r="Y1169" s="1644"/>
      <c r="AA1169" s="1945"/>
      <c r="AB1169" s="1114"/>
    </row>
    <row r="1170" spans="1:28">
      <c r="A1170" s="1900" t="s">
        <v>267</v>
      </c>
      <c r="B1170" s="1869">
        <v>40</v>
      </c>
      <c r="C1170" s="528">
        <f t="shared" ref="C1170" si="1480">C1212+C1254+C1296+C1338</f>
        <v>0</v>
      </c>
      <c r="D1170" s="528">
        <f>D1212+D1254+D1296+D1338</f>
        <v>0</v>
      </c>
      <c r="F1170" s="1901">
        <v>8.0500000000000007</v>
      </c>
      <c r="G1170" s="1902"/>
      <c r="H1170" s="1644">
        <f t="shared" si="1478"/>
        <v>0</v>
      </c>
      <c r="I1170" s="1644">
        <f t="shared" si="1478"/>
        <v>0</v>
      </c>
      <c r="K1170" s="1901"/>
      <c r="L1170" s="1902"/>
      <c r="M1170" s="1901"/>
      <c r="N1170" s="1902"/>
      <c r="O1170" s="1901"/>
      <c r="P1170" s="1902"/>
      <c r="Q1170" s="1901"/>
      <c r="R1170" s="1902"/>
      <c r="S1170" s="1643"/>
      <c r="T1170" s="1643"/>
      <c r="U1170" s="1643"/>
      <c r="V1170" s="1643"/>
      <c r="W1170" s="1643"/>
      <c r="X1170" s="1643"/>
      <c r="Y1170" s="1644"/>
      <c r="AA1170" s="1109"/>
      <c r="AB1170" s="1946"/>
    </row>
    <row r="1171" spans="1:28">
      <c r="A1171" s="1900" t="s">
        <v>268</v>
      </c>
      <c r="B1171" s="1869">
        <v>2</v>
      </c>
      <c r="C1171" s="528">
        <f t="shared" ref="C1171" si="1481">C1213+C1255+C1297+C1339</f>
        <v>9098.6105302464457</v>
      </c>
      <c r="D1171" s="528">
        <f>D1213+D1255+D1297+D1339</f>
        <v>8903</v>
      </c>
      <c r="F1171" s="1901">
        <v>26.78</v>
      </c>
      <c r="G1171" s="1902"/>
      <c r="H1171" s="1644">
        <f t="shared" si="1478"/>
        <v>243661</v>
      </c>
      <c r="I1171" s="1644">
        <f t="shared" si="1478"/>
        <v>238422</v>
      </c>
      <c r="K1171" s="1901"/>
      <c r="L1171" s="1902"/>
      <c r="M1171" s="1901"/>
      <c r="N1171" s="1902"/>
      <c r="O1171" s="1901"/>
      <c r="P1171" s="1902"/>
      <c r="Q1171" s="1901"/>
      <c r="R1171" s="1902"/>
      <c r="S1171" s="1643"/>
      <c r="T1171" s="1643"/>
      <c r="U1171" s="1643"/>
      <c r="V1171" s="1643"/>
      <c r="W1171" s="1643"/>
      <c r="X1171" s="1643"/>
      <c r="Y1171" s="1644"/>
      <c r="AA1171" s="1109"/>
      <c r="AB1171" s="1946"/>
    </row>
    <row r="1172" spans="1:28">
      <c r="A1172" s="1960" t="s">
        <v>269</v>
      </c>
      <c r="C1172" s="528"/>
      <c r="D1172" s="528"/>
      <c r="H1172" s="1644"/>
      <c r="I1172" s="1644"/>
      <c r="Y1172" s="1644"/>
      <c r="AA1172" s="1109"/>
      <c r="AB1172" s="1946"/>
    </row>
    <row r="1173" spans="1:28">
      <c r="A1173" s="1900" t="s">
        <v>270</v>
      </c>
      <c r="B1173" s="1869">
        <v>3</v>
      </c>
      <c r="C1173" s="528">
        <f t="shared" ref="C1173" si="1482">C1215+C1257+C1299+C1341</f>
        <v>3544.3636986301349</v>
      </c>
      <c r="D1173" s="528">
        <f t="shared" ref="D1173:D1183" si="1483">D1215+D1257+D1299+D1341</f>
        <v>3408</v>
      </c>
      <c r="F1173" s="1901">
        <v>14.6</v>
      </c>
      <c r="G1173" s="1902"/>
      <c r="H1173" s="1644">
        <f t="shared" ref="H1173:H1183" si="1484">ROUND($F1173*C1173,0)</f>
        <v>51748</v>
      </c>
      <c r="I1173" s="1644">
        <f t="shared" ref="I1173:I1183" si="1485">ROUND($F1173*D1173,0)</f>
        <v>49757</v>
      </c>
      <c r="K1173" s="1901"/>
      <c r="L1173" s="1902"/>
      <c r="M1173" s="1901"/>
      <c r="N1173" s="1902"/>
      <c r="O1173" s="1901"/>
      <c r="P1173" s="1902"/>
      <c r="Q1173" s="1901"/>
      <c r="R1173" s="1902"/>
      <c r="S1173" s="1643"/>
      <c r="T1173" s="1643"/>
      <c r="U1173" s="1643"/>
      <c r="V1173" s="1643"/>
      <c r="W1173" s="1643"/>
      <c r="X1173" s="1643"/>
      <c r="Y1173" s="1644"/>
      <c r="AA1173" s="1109"/>
      <c r="AB1173" s="1946"/>
    </row>
    <row r="1174" spans="1:28">
      <c r="A1174" s="1900" t="s">
        <v>271</v>
      </c>
      <c r="B1174" s="1869">
        <v>4</v>
      </c>
      <c r="C1174" s="528">
        <f t="shared" ref="C1174" si="1486">C1216+C1258+C1300+C1342</f>
        <v>1432.432542927228</v>
      </c>
      <c r="D1174" s="528">
        <f t="shared" si="1483"/>
        <v>1393</v>
      </c>
      <c r="F1174" s="1901">
        <v>12.23</v>
      </c>
      <c r="G1174" s="1902"/>
      <c r="H1174" s="1644">
        <f t="shared" si="1484"/>
        <v>17519</v>
      </c>
      <c r="I1174" s="1644">
        <f t="shared" si="1485"/>
        <v>17036</v>
      </c>
      <c r="K1174" s="1901"/>
      <c r="L1174" s="1902"/>
      <c r="M1174" s="1901"/>
      <c r="N1174" s="1902"/>
      <c r="O1174" s="1901"/>
      <c r="P1174" s="1902"/>
      <c r="Q1174" s="1901"/>
      <c r="R1174" s="1902"/>
      <c r="S1174" s="1643"/>
      <c r="T1174" s="1643"/>
      <c r="U1174" s="1643"/>
      <c r="V1174" s="1643"/>
      <c r="W1174" s="1643"/>
      <c r="X1174" s="1643"/>
      <c r="Y1174" s="1644"/>
    </row>
    <row r="1175" spans="1:28">
      <c r="A1175" s="1900" t="s">
        <v>272</v>
      </c>
      <c r="B1175" s="1869">
        <v>5</v>
      </c>
      <c r="C1175" s="528">
        <f t="shared" ref="C1175" si="1487">C1217+C1259+C1301+C1343</f>
        <v>22685.572721396195</v>
      </c>
      <c r="D1175" s="528">
        <f t="shared" si="1483"/>
        <v>21807</v>
      </c>
      <c r="F1175" s="1901">
        <v>15.47</v>
      </c>
      <c r="G1175" s="1902"/>
      <c r="H1175" s="1644">
        <f t="shared" si="1484"/>
        <v>350946</v>
      </c>
      <c r="I1175" s="1644">
        <f t="shared" si="1485"/>
        <v>337354</v>
      </c>
      <c r="K1175" s="1901"/>
      <c r="L1175" s="1902"/>
      <c r="M1175" s="1901"/>
      <c r="N1175" s="1902"/>
      <c r="O1175" s="1901"/>
      <c r="P1175" s="1902"/>
      <c r="Q1175" s="1901"/>
      <c r="R1175" s="1902"/>
      <c r="S1175" s="1643"/>
      <c r="T1175" s="1643"/>
      <c r="U1175" s="1643"/>
      <c r="V1175" s="1643"/>
      <c r="W1175" s="1643"/>
      <c r="X1175" s="1643"/>
      <c r="Y1175" s="1644"/>
    </row>
    <row r="1176" spans="1:28">
      <c r="A1176" s="1900" t="s">
        <v>273</v>
      </c>
      <c r="B1176" s="1869">
        <v>6</v>
      </c>
      <c r="C1176" s="528">
        <f t="shared" ref="C1176" si="1488">C1218+C1260+C1302+C1344</f>
        <v>17865.860255447038</v>
      </c>
      <c r="D1176" s="528">
        <f t="shared" si="1483"/>
        <v>17345</v>
      </c>
      <c r="F1176" s="1901">
        <v>13.31</v>
      </c>
      <c r="G1176" s="1902"/>
      <c r="H1176" s="1644">
        <f t="shared" si="1484"/>
        <v>237795</v>
      </c>
      <c r="I1176" s="1644">
        <f t="shared" si="1485"/>
        <v>230862</v>
      </c>
      <c r="K1176" s="1901"/>
      <c r="L1176" s="1902"/>
      <c r="M1176" s="1901"/>
      <c r="N1176" s="1902"/>
      <c r="O1176" s="1901"/>
      <c r="P1176" s="1902"/>
      <c r="Q1176" s="1901"/>
      <c r="R1176" s="1902"/>
      <c r="S1176" s="1643"/>
      <c r="T1176" s="1643"/>
      <c r="U1176" s="1643"/>
      <c r="V1176" s="1643"/>
      <c r="W1176" s="1643"/>
      <c r="X1176" s="1643"/>
      <c r="Y1176" s="1644"/>
    </row>
    <row r="1177" spans="1:28">
      <c r="A1177" s="1900" t="s">
        <v>274</v>
      </c>
      <c r="B1177" s="1869">
        <v>7</v>
      </c>
      <c r="C1177" s="528">
        <f t="shared" ref="C1177" si="1489">C1219+C1261+C1303+C1345</f>
        <v>3186.1654676258945</v>
      </c>
      <c r="D1177" s="528">
        <f t="shared" si="1483"/>
        <v>3018</v>
      </c>
      <c r="F1177" s="1901">
        <v>19.46</v>
      </c>
      <c r="G1177" s="1902"/>
      <c r="H1177" s="1644">
        <f t="shared" si="1484"/>
        <v>62003</v>
      </c>
      <c r="I1177" s="1644">
        <f t="shared" si="1485"/>
        <v>58730</v>
      </c>
      <c r="K1177" s="1901"/>
      <c r="L1177" s="1902"/>
      <c r="M1177" s="1901"/>
      <c r="N1177" s="1902"/>
      <c r="O1177" s="1901"/>
      <c r="P1177" s="1902"/>
      <c r="Q1177" s="1901"/>
      <c r="R1177" s="1902"/>
      <c r="S1177" s="1643"/>
      <c r="T1177" s="1643"/>
      <c r="U1177" s="1643"/>
      <c r="V1177" s="1643"/>
      <c r="W1177" s="1643"/>
      <c r="X1177" s="1643"/>
      <c r="Y1177" s="1644"/>
    </row>
    <row r="1178" spans="1:28">
      <c r="A1178" s="1900" t="s">
        <v>275</v>
      </c>
      <c r="B1178" s="1869">
        <v>8</v>
      </c>
      <c r="C1178" s="528">
        <f t="shared" ref="C1178" si="1490">C1220+C1262+C1304+C1346</f>
        <v>2284.6351430239388</v>
      </c>
      <c r="D1178" s="528">
        <f t="shared" si="1483"/>
        <v>2209</v>
      </c>
      <c r="F1178" s="1901">
        <v>17.13</v>
      </c>
      <c r="G1178" s="1902"/>
      <c r="H1178" s="1644">
        <f t="shared" si="1484"/>
        <v>39136</v>
      </c>
      <c r="I1178" s="1644">
        <f t="shared" si="1485"/>
        <v>37840</v>
      </c>
      <c r="K1178" s="1901"/>
      <c r="L1178" s="1902"/>
      <c r="M1178" s="1901"/>
      <c r="N1178" s="1902"/>
      <c r="O1178" s="1901"/>
      <c r="P1178" s="1902"/>
      <c r="Q1178" s="1901"/>
      <c r="R1178" s="1902"/>
      <c r="S1178" s="1643"/>
      <c r="T1178" s="1643"/>
      <c r="U1178" s="1643"/>
      <c r="V1178" s="1643"/>
      <c r="W1178" s="1643"/>
      <c r="X1178" s="1643"/>
      <c r="Y1178" s="1644"/>
    </row>
    <row r="1179" spans="1:28">
      <c r="A1179" s="1900" t="s">
        <v>276</v>
      </c>
      <c r="B1179" s="1869">
        <v>9</v>
      </c>
      <c r="C1179" s="528">
        <f t="shared" ref="C1179" si="1491">C1221+C1263+C1305+C1347</f>
        <v>96.233507356430906</v>
      </c>
      <c r="D1179" s="528">
        <f t="shared" si="1483"/>
        <v>90</v>
      </c>
      <c r="F1179" s="1901">
        <v>21.07</v>
      </c>
      <c r="G1179" s="1902"/>
      <c r="H1179" s="1644">
        <f t="shared" si="1484"/>
        <v>2028</v>
      </c>
      <c r="I1179" s="1644">
        <f t="shared" si="1485"/>
        <v>1896</v>
      </c>
      <c r="K1179" s="1901"/>
      <c r="L1179" s="1902"/>
      <c r="M1179" s="1901"/>
      <c r="N1179" s="1902"/>
      <c r="O1179" s="1901"/>
      <c r="P1179" s="1902"/>
      <c r="Q1179" s="1901"/>
      <c r="R1179" s="1902"/>
      <c r="S1179" s="1643"/>
      <c r="T1179" s="1643"/>
      <c r="U1179" s="1643"/>
      <c r="V1179" s="1643"/>
      <c r="W1179" s="1643"/>
      <c r="X1179" s="1643"/>
      <c r="Y1179" s="1644"/>
    </row>
    <row r="1180" spans="1:28">
      <c r="A1180" s="1900" t="s">
        <v>277</v>
      </c>
      <c r="B1180" s="1869">
        <v>10</v>
      </c>
      <c r="C1180" s="528">
        <f t="shared" ref="C1180" si="1492">C1222+C1264+C1306+C1348</f>
        <v>3256.3994045087184</v>
      </c>
      <c r="D1180" s="528">
        <f t="shared" si="1483"/>
        <v>3084</v>
      </c>
      <c r="F1180" s="1901">
        <v>23.51</v>
      </c>
      <c r="G1180" s="1902"/>
      <c r="H1180" s="1644">
        <f t="shared" si="1484"/>
        <v>76558</v>
      </c>
      <c r="I1180" s="1644">
        <f t="shared" si="1485"/>
        <v>72505</v>
      </c>
      <c r="K1180" s="1901"/>
      <c r="L1180" s="1902"/>
      <c r="M1180" s="1901"/>
      <c r="N1180" s="1902"/>
      <c r="O1180" s="1901"/>
      <c r="P1180" s="1902"/>
      <c r="Q1180" s="1901"/>
      <c r="R1180" s="1902"/>
      <c r="S1180" s="1643"/>
      <c r="T1180" s="1643"/>
      <c r="U1180" s="1643"/>
      <c r="V1180" s="1643"/>
      <c r="W1180" s="1643"/>
      <c r="X1180" s="1643"/>
      <c r="Y1180" s="1644"/>
    </row>
    <row r="1181" spans="1:28">
      <c r="A1181" s="1900" t="s">
        <v>278</v>
      </c>
      <c r="B1181" s="1869">
        <v>11</v>
      </c>
      <c r="C1181" s="528">
        <f t="shared" ref="C1181" si="1493">C1223+C1265+C1307+C1349</f>
        <v>3903.236457842675</v>
      </c>
      <c r="D1181" s="528">
        <f t="shared" si="1483"/>
        <v>3792</v>
      </c>
      <c r="F1181" s="1901">
        <v>21.23</v>
      </c>
      <c r="G1181" s="1902"/>
      <c r="H1181" s="1644">
        <f t="shared" si="1484"/>
        <v>82866</v>
      </c>
      <c r="I1181" s="1644">
        <f t="shared" si="1485"/>
        <v>80504</v>
      </c>
      <c r="K1181" s="1901"/>
      <c r="L1181" s="1902"/>
      <c r="M1181" s="1901"/>
      <c r="N1181" s="1902"/>
      <c r="O1181" s="1901"/>
      <c r="P1181" s="1902"/>
      <c r="Q1181" s="1901"/>
      <c r="R1181" s="1902"/>
      <c r="S1181" s="1643"/>
      <c r="T1181" s="1643"/>
      <c r="U1181" s="1643"/>
      <c r="V1181" s="1643"/>
      <c r="W1181" s="1643"/>
      <c r="X1181" s="1643"/>
      <c r="Y1181" s="1644"/>
    </row>
    <row r="1182" spans="1:28">
      <c r="A1182" s="1900" t="s">
        <v>279</v>
      </c>
      <c r="B1182" s="1869">
        <v>12</v>
      </c>
      <c r="C1182" s="528">
        <f t="shared" ref="C1182" si="1494">C1224+C1266+C1308+C1350</f>
        <v>2083.0886925795062</v>
      </c>
      <c r="D1182" s="528">
        <f t="shared" si="1483"/>
        <v>1972</v>
      </c>
      <c r="F1182" s="1901">
        <v>28.3</v>
      </c>
      <c r="G1182" s="1902"/>
      <c r="H1182" s="1644">
        <f t="shared" si="1484"/>
        <v>58951</v>
      </c>
      <c r="I1182" s="1644">
        <f t="shared" si="1485"/>
        <v>55808</v>
      </c>
      <c r="K1182" s="1901"/>
      <c r="L1182" s="1902"/>
      <c r="M1182" s="1901"/>
      <c r="N1182" s="1902"/>
      <c r="O1182" s="1901"/>
      <c r="P1182" s="1902"/>
      <c r="Q1182" s="1901"/>
      <c r="R1182" s="1902"/>
      <c r="S1182" s="1643"/>
      <c r="T1182" s="1643"/>
      <c r="U1182" s="1643"/>
      <c r="V1182" s="1643"/>
      <c r="W1182" s="1643"/>
      <c r="X1182" s="1643"/>
      <c r="Y1182" s="1644"/>
    </row>
    <row r="1183" spans="1:28">
      <c r="A1183" s="1900" t="s">
        <v>280</v>
      </c>
      <c r="B1183" s="1869">
        <v>13</v>
      </c>
      <c r="C1183" s="528">
        <f t="shared" ref="C1183" si="1495">C1225+C1267+C1309+C1351</f>
        <v>2142.9330511735266</v>
      </c>
      <c r="D1183" s="528">
        <f t="shared" si="1483"/>
        <v>2067</v>
      </c>
      <c r="F1183" s="1901">
        <v>25.99</v>
      </c>
      <c r="G1183" s="1902"/>
      <c r="H1183" s="1644">
        <f t="shared" si="1484"/>
        <v>55695</v>
      </c>
      <c r="I1183" s="1644">
        <f t="shared" si="1485"/>
        <v>53721</v>
      </c>
      <c r="K1183" s="1901"/>
      <c r="L1183" s="1902"/>
      <c r="M1183" s="1901"/>
      <c r="N1183" s="1902"/>
      <c r="O1183" s="1901"/>
      <c r="P1183" s="1902"/>
      <c r="Q1183" s="1901"/>
      <c r="R1183" s="1902"/>
      <c r="S1183" s="1643"/>
      <c r="T1183" s="1643"/>
      <c r="U1183" s="1643"/>
      <c r="V1183" s="1643"/>
      <c r="W1183" s="1643"/>
      <c r="X1183" s="1643"/>
      <c r="Y1183" s="1644"/>
    </row>
    <row r="1184" spans="1:28">
      <c r="A1184" s="1960" t="s">
        <v>281</v>
      </c>
      <c r="C1184" s="528"/>
      <c r="D1184" s="528"/>
      <c r="H1184" s="1644"/>
      <c r="I1184" s="1644"/>
      <c r="Y1184" s="1644"/>
    </row>
    <row r="1185" spans="1:25">
      <c r="A1185" s="1900" t="s">
        <v>274</v>
      </c>
      <c r="B1185" s="1869">
        <v>14</v>
      </c>
      <c r="C1185" s="528">
        <f t="shared" ref="C1185" si="1496">C1227+C1269+C1311+C1353</f>
        <v>4218.9188078108982</v>
      </c>
      <c r="D1185" s="528">
        <f t="shared" ref="D1185:D1190" si="1497">D1227+D1269+D1311+D1353</f>
        <v>4104</v>
      </c>
      <c r="F1185" s="1901">
        <v>19.46</v>
      </c>
      <c r="G1185" s="1902"/>
      <c r="H1185" s="1644">
        <f t="shared" ref="H1185:I1190" si="1498">ROUND($F1185*C1185,0)</f>
        <v>82100</v>
      </c>
      <c r="I1185" s="1644">
        <f t="shared" si="1498"/>
        <v>79864</v>
      </c>
      <c r="K1185" s="1901"/>
      <c r="L1185" s="1902"/>
      <c r="M1185" s="1901"/>
      <c r="N1185" s="1902"/>
      <c r="O1185" s="1901"/>
      <c r="P1185" s="1902"/>
      <c r="Q1185" s="1901"/>
      <c r="R1185" s="1902"/>
      <c r="S1185" s="1643"/>
      <c r="T1185" s="1643"/>
      <c r="U1185" s="1643"/>
      <c r="V1185" s="1643"/>
      <c r="W1185" s="1643"/>
      <c r="X1185" s="1643"/>
      <c r="Y1185" s="1644"/>
    </row>
    <row r="1186" spans="1:25">
      <c r="A1186" s="1900" t="s">
        <v>275</v>
      </c>
      <c r="B1186" s="1869">
        <v>15</v>
      </c>
      <c r="C1186" s="528">
        <f t="shared" ref="C1186" si="1499">C1228+C1270+C1312+C1354</f>
        <v>4637.4354932866354</v>
      </c>
      <c r="D1186" s="528">
        <f t="shared" si="1497"/>
        <v>4494</v>
      </c>
      <c r="F1186" s="1901">
        <v>17.13</v>
      </c>
      <c r="G1186" s="1902"/>
      <c r="H1186" s="1644">
        <f t="shared" si="1498"/>
        <v>79439</v>
      </c>
      <c r="I1186" s="1644">
        <f t="shared" si="1498"/>
        <v>76982</v>
      </c>
      <c r="K1186" s="1901"/>
      <c r="L1186" s="1902"/>
      <c r="M1186" s="1901"/>
      <c r="N1186" s="1902"/>
      <c r="O1186" s="1901"/>
      <c r="P1186" s="1902"/>
      <c r="Q1186" s="1901"/>
      <c r="R1186" s="1902"/>
      <c r="S1186" s="1643"/>
      <c r="T1186" s="1643"/>
      <c r="U1186" s="1643"/>
      <c r="V1186" s="1643"/>
      <c r="W1186" s="1643"/>
      <c r="X1186" s="1643"/>
      <c r="Y1186" s="1644"/>
    </row>
    <row r="1187" spans="1:25">
      <c r="A1187" s="1900" t="s">
        <v>277</v>
      </c>
      <c r="B1187" s="1869">
        <v>16</v>
      </c>
      <c r="C1187" s="528">
        <f t="shared" ref="C1187" si="1500">C1229+C1271+C1313+C1355</f>
        <v>943.19906422798852</v>
      </c>
      <c r="D1187" s="528">
        <f t="shared" si="1497"/>
        <v>906</v>
      </c>
      <c r="F1187" s="1901">
        <v>23.51</v>
      </c>
      <c r="G1187" s="1902"/>
      <c r="H1187" s="1644">
        <f t="shared" si="1498"/>
        <v>22175</v>
      </c>
      <c r="I1187" s="1644">
        <f t="shared" si="1498"/>
        <v>21300</v>
      </c>
      <c r="K1187" s="1901"/>
      <c r="L1187" s="1902"/>
      <c r="M1187" s="1901"/>
      <c r="N1187" s="1902"/>
      <c r="O1187" s="1901"/>
      <c r="P1187" s="1902"/>
      <c r="Q1187" s="1901"/>
      <c r="R1187" s="1902"/>
      <c r="S1187" s="1643"/>
      <c r="T1187" s="1643"/>
      <c r="U1187" s="1643"/>
      <c r="V1187" s="1643"/>
      <c r="W1187" s="1643"/>
      <c r="X1187" s="1643"/>
      <c r="Y1187" s="1644"/>
    </row>
    <row r="1188" spans="1:25">
      <c r="A1188" s="1900" t="s">
        <v>278</v>
      </c>
      <c r="B1188" s="1869">
        <v>17</v>
      </c>
      <c r="C1188" s="528">
        <f t="shared" ref="C1188" si="1501">C1230+C1272+C1314+C1356</f>
        <v>1248.0325011775799</v>
      </c>
      <c r="D1188" s="528">
        <f t="shared" si="1497"/>
        <v>1206</v>
      </c>
      <c r="F1188" s="1901">
        <v>21.23</v>
      </c>
      <c r="G1188" s="1902"/>
      <c r="H1188" s="1644">
        <f t="shared" si="1498"/>
        <v>26496</v>
      </c>
      <c r="I1188" s="1644">
        <f t="shared" si="1498"/>
        <v>25603</v>
      </c>
      <c r="K1188" s="1901"/>
      <c r="L1188" s="1902"/>
      <c r="M1188" s="1901"/>
      <c r="N1188" s="1902"/>
      <c r="O1188" s="1901"/>
      <c r="P1188" s="1902"/>
      <c r="Q1188" s="1901"/>
      <c r="R1188" s="1902"/>
      <c r="S1188" s="1643"/>
      <c r="T1188" s="1643"/>
      <c r="U1188" s="1643"/>
      <c r="V1188" s="1643"/>
      <c r="W1188" s="1643"/>
      <c r="X1188" s="1643"/>
      <c r="Y1188" s="1644"/>
    </row>
    <row r="1189" spans="1:25">
      <c r="A1189" s="1900" t="s">
        <v>279</v>
      </c>
      <c r="B1189" s="1869">
        <v>18</v>
      </c>
      <c r="C1189" s="528">
        <f t="shared" ref="C1189" si="1502">C1231+C1273+C1315+C1357</f>
        <v>8440.1773851590024</v>
      </c>
      <c r="D1189" s="528">
        <f t="shared" si="1497"/>
        <v>8226</v>
      </c>
      <c r="F1189" s="1901">
        <v>28.3</v>
      </c>
      <c r="G1189" s="1902"/>
      <c r="H1189" s="1644">
        <f t="shared" si="1498"/>
        <v>238857</v>
      </c>
      <c r="I1189" s="1644">
        <f t="shared" si="1498"/>
        <v>232796</v>
      </c>
      <c r="K1189" s="1901"/>
      <c r="L1189" s="1902"/>
      <c r="M1189" s="1901"/>
      <c r="N1189" s="1902"/>
      <c r="O1189" s="1901"/>
      <c r="P1189" s="1902"/>
      <c r="Q1189" s="1901"/>
      <c r="R1189" s="1902"/>
      <c r="S1189" s="1643"/>
      <c r="T1189" s="1643"/>
      <c r="U1189" s="1643"/>
      <c r="V1189" s="1643"/>
      <c r="W1189" s="1643"/>
      <c r="X1189" s="1643"/>
      <c r="Y1189" s="1644"/>
    </row>
    <row r="1190" spans="1:25">
      <c r="A1190" s="1900" t="s">
        <v>280</v>
      </c>
      <c r="B1190" s="1869">
        <v>19</v>
      </c>
      <c r="C1190" s="528">
        <f t="shared" ref="C1190" si="1503">C1232+C1274+C1316+C1358</f>
        <v>9563.0681031165896</v>
      </c>
      <c r="D1190" s="528">
        <f t="shared" si="1497"/>
        <v>9308</v>
      </c>
      <c r="F1190" s="1901">
        <v>25.99</v>
      </c>
      <c r="G1190" s="1902"/>
      <c r="H1190" s="1644">
        <f t="shared" si="1498"/>
        <v>248544</v>
      </c>
      <c r="I1190" s="1644">
        <f t="shared" si="1498"/>
        <v>241915</v>
      </c>
      <c r="K1190" s="1901"/>
      <c r="L1190" s="1902"/>
      <c r="M1190" s="1901"/>
      <c r="N1190" s="1902"/>
      <c r="O1190" s="1901"/>
      <c r="P1190" s="1902"/>
      <c r="Q1190" s="1901"/>
      <c r="R1190" s="1902"/>
      <c r="S1190" s="1643"/>
      <c r="T1190" s="1643"/>
      <c r="U1190" s="1643"/>
      <c r="V1190" s="1643"/>
      <c r="W1190" s="1643"/>
      <c r="X1190" s="1643"/>
      <c r="Y1190" s="1644"/>
    </row>
    <row r="1191" spans="1:25">
      <c r="A1191" s="1960" t="s">
        <v>289</v>
      </c>
      <c r="C1191" s="528"/>
      <c r="D1191" s="528"/>
    </row>
    <row r="1192" spans="1:25">
      <c r="A1192" s="1900" t="s">
        <v>290</v>
      </c>
      <c r="B1192" s="1869">
        <v>20</v>
      </c>
      <c r="C1192" s="528">
        <f t="shared" ref="C1192" si="1504">C1234+C1276+C1318+C1360</f>
        <v>0</v>
      </c>
      <c r="D1192" s="528">
        <f t="shared" ref="D1192:D1199" si="1505">D1234+D1276+D1318+D1360</f>
        <v>0</v>
      </c>
      <c r="F1192" s="1901">
        <v>29.4</v>
      </c>
      <c r="G1192" s="1902"/>
      <c r="H1192" s="1644">
        <f t="shared" ref="H1192:I1199" si="1506">ROUND($F1192*C1192,0)</f>
        <v>0</v>
      </c>
      <c r="I1192" s="1644">
        <f t="shared" si="1506"/>
        <v>0</v>
      </c>
      <c r="K1192" s="1901"/>
      <c r="L1192" s="1902"/>
      <c r="M1192" s="1901"/>
      <c r="N1192" s="1902"/>
      <c r="O1192" s="1901"/>
      <c r="P1192" s="1902"/>
      <c r="Q1192" s="1901"/>
      <c r="R1192" s="1902"/>
      <c r="S1192" s="1643"/>
      <c r="T1192" s="1643"/>
      <c r="U1192" s="1643"/>
      <c r="V1192" s="1643"/>
      <c r="W1192" s="1643"/>
      <c r="X1192" s="1643"/>
      <c r="Y1192" s="1644"/>
    </row>
    <row r="1193" spans="1:25">
      <c r="A1193" s="1900" t="s">
        <v>291</v>
      </c>
      <c r="B1193" s="1869">
        <v>21</v>
      </c>
      <c r="C1193" s="528">
        <f t="shared" ref="C1193" si="1507">C1235+C1277+C1319+C1361</f>
        <v>294.36622303809088</v>
      </c>
      <c r="D1193" s="528">
        <f t="shared" si="1505"/>
        <v>280</v>
      </c>
      <c r="F1193" s="1901">
        <v>21.79</v>
      </c>
      <c r="G1193" s="1902"/>
      <c r="H1193" s="1644">
        <f t="shared" si="1506"/>
        <v>6414</v>
      </c>
      <c r="I1193" s="1644">
        <f t="shared" si="1506"/>
        <v>6101</v>
      </c>
      <c r="K1193" s="1901"/>
      <c r="L1193" s="1902"/>
      <c r="M1193" s="1901"/>
      <c r="N1193" s="1902"/>
      <c r="O1193" s="1901"/>
      <c r="P1193" s="1902"/>
      <c r="Q1193" s="1901"/>
      <c r="R1193" s="1902"/>
      <c r="S1193" s="1643"/>
      <c r="T1193" s="1643"/>
      <c r="U1193" s="1643"/>
      <c r="V1193" s="1643"/>
      <c r="W1193" s="1643"/>
      <c r="X1193" s="1643"/>
      <c r="Y1193" s="1644"/>
    </row>
    <row r="1194" spans="1:25">
      <c r="A1194" s="1900" t="s">
        <v>292</v>
      </c>
      <c r="B1194" s="1869">
        <v>22</v>
      </c>
      <c r="C1194" s="528">
        <f t="shared" ref="C1194" si="1508">C1236+C1278+C1320+C1362</f>
        <v>108</v>
      </c>
      <c r="D1194" s="528">
        <f t="shared" si="1505"/>
        <v>108</v>
      </c>
      <c r="F1194" s="1901">
        <v>34.340000000000003</v>
      </c>
      <c r="G1194" s="1902"/>
      <c r="H1194" s="1644">
        <f t="shared" si="1506"/>
        <v>3709</v>
      </c>
      <c r="I1194" s="1644">
        <f t="shared" si="1506"/>
        <v>3709</v>
      </c>
      <c r="K1194" s="1901"/>
      <c r="L1194" s="1902"/>
      <c r="M1194" s="1901"/>
      <c r="N1194" s="1902"/>
      <c r="O1194" s="1901"/>
      <c r="P1194" s="1902"/>
      <c r="Q1194" s="1901"/>
      <c r="R1194" s="1902"/>
      <c r="S1194" s="1643"/>
      <c r="T1194" s="1643"/>
      <c r="U1194" s="1643"/>
      <c r="V1194" s="1643"/>
      <c r="W1194" s="1643"/>
      <c r="X1194" s="1643"/>
      <c r="Y1194" s="1644"/>
    </row>
    <row r="1195" spans="1:25">
      <c r="A1195" s="1900" t="s">
        <v>293</v>
      </c>
      <c r="B1195" s="1869">
        <v>23</v>
      </c>
      <c r="C1195" s="528">
        <f t="shared" ref="C1195" si="1509">C1237+C1279+C1321+C1363</f>
        <v>96</v>
      </c>
      <c r="D1195" s="528">
        <f t="shared" si="1505"/>
        <v>94</v>
      </c>
      <c r="F1195" s="1901">
        <v>27.43</v>
      </c>
      <c r="G1195" s="1902"/>
      <c r="H1195" s="1644">
        <f t="shared" si="1506"/>
        <v>2633</v>
      </c>
      <c r="I1195" s="1644">
        <f t="shared" si="1506"/>
        <v>2578</v>
      </c>
      <c r="K1195" s="1901"/>
      <c r="L1195" s="1902"/>
      <c r="M1195" s="1901"/>
      <c r="N1195" s="1902"/>
      <c r="O1195" s="1901"/>
      <c r="P1195" s="1902"/>
      <c r="Q1195" s="1901"/>
      <c r="R1195" s="1902"/>
      <c r="S1195" s="1643"/>
      <c r="T1195" s="1643"/>
      <c r="U1195" s="1643"/>
      <c r="V1195" s="1643"/>
      <c r="W1195" s="1643"/>
      <c r="X1195" s="1643"/>
      <c r="Y1195" s="1644"/>
    </row>
    <row r="1196" spans="1:25">
      <c r="A1196" s="1900" t="s">
        <v>294</v>
      </c>
      <c r="B1196" s="1869">
        <v>24</v>
      </c>
      <c r="C1196" s="528">
        <f t="shared" ref="C1196" si="1510">C1238+C1280+C1322+C1364</f>
        <v>326.76669392204963</v>
      </c>
      <c r="D1196" s="528">
        <f t="shared" si="1505"/>
        <v>304</v>
      </c>
      <c r="F1196" s="1901">
        <v>36.69</v>
      </c>
      <c r="G1196" s="1902"/>
      <c r="H1196" s="1644">
        <f t="shared" si="1506"/>
        <v>11989</v>
      </c>
      <c r="I1196" s="1644">
        <f t="shared" si="1506"/>
        <v>11154</v>
      </c>
      <c r="K1196" s="1901"/>
      <c r="L1196" s="1902"/>
      <c r="M1196" s="1901"/>
      <c r="N1196" s="1902"/>
      <c r="O1196" s="1901"/>
      <c r="P1196" s="1902"/>
      <c r="Q1196" s="1901"/>
      <c r="R1196" s="1902"/>
      <c r="S1196" s="1643"/>
      <c r="T1196" s="1643"/>
      <c r="U1196" s="1643"/>
      <c r="V1196" s="1643"/>
      <c r="W1196" s="1643"/>
      <c r="X1196" s="1643"/>
      <c r="Y1196" s="1644"/>
    </row>
    <row r="1197" spans="1:25">
      <c r="A1197" s="1900" t="s">
        <v>297</v>
      </c>
      <c r="B1197" s="1869">
        <v>25</v>
      </c>
      <c r="C1197" s="528">
        <f t="shared" ref="C1197" si="1511">C1239+C1281+C1323+C1365</f>
        <v>573.43304172274532</v>
      </c>
      <c r="D1197" s="528">
        <f t="shared" si="1505"/>
        <v>553</v>
      </c>
      <c r="F1197" s="1901">
        <v>29.72</v>
      </c>
      <c r="G1197" s="1902"/>
      <c r="H1197" s="1644">
        <f t="shared" si="1506"/>
        <v>17042</v>
      </c>
      <c r="I1197" s="1644">
        <f t="shared" si="1506"/>
        <v>16435</v>
      </c>
      <c r="K1197" s="1901"/>
      <c r="L1197" s="1902"/>
      <c r="M1197" s="1901"/>
      <c r="N1197" s="1902"/>
      <c r="O1197" s="1901"/>
      <c r="P1197" s="1902"/>
      <c r="Q1197" s="1901"/>
      <c r="R1197" s="1902"/>
      <c r="S1197" s="1643"/>
      <c r="T1197" s="1643"/>
      <c r="U1197" s="1643"/>
      <c r="V1197" s="1643"/>
      <c r="W1197" s="1643"/>
      <c r="X1197" s="1643"/>
      <c r="Y1197" s="1644"/>
    </row>
    <row r="1198" spans="1:25">
      <c r="A1198" s="1900" t="s">
        <v>298</v>
      </c>
      <c r="B1198" s="1869">
        <v>26</v>
      </c>
      <c r="C1198" s="528">
        <f t="shared" ref="C1198" si="1512">C1240+C1282+C1324+C1366</f>
        <v>12</v>
      </c>
      <c r="D1198" s="528">
        <f t="shared" si="1505"/>
        <v>12</v>
      </c>
      <c r="F1198" s="1901">
        <v>57.58</v>
      </c>
      <c r="G1198" s="1902"/>
      <c r="H1198" s="1644">
        <f t="shared" si="1506"/>
        <v>691</v>
      </c>
      <c r="I1198" s="1644">
        <f t="shared" si="1506"/>
        <v>691</v>
      </c>
      <c r="K1198" s="1901"/>
      <c r="L1198" s="1902"/>
      <c r="M1198" s="1901"/>
      <c r="N1198" s="1902"/>
      <c r="O1198" s="1901"/>
      <c r="P1198" s="1902"/>
      <c r="Q1198" s="1901"/>
      <c r="R1198" s="1902"/>
      <c r="S1198" s="1643"/>
      <c r="T1198" s="1643"/>
      <c r="U1198" s="1643"/>
      <c r="V1198" s="1643"/>
      <c r="W1198" s="1643"/>
      <c r="X1198" s="1643"/>
      <c r="Y1198" s="1644"/>
    </row>
    <row r="1199" spans="1:25">
      <c r="A1199" s="1900" t="s">
        <v>300</v>
      </c>
      <c r="B1199" s="1869">
        <v>27</v>
      </c>
      <c r="C1199" s="528">
        <f t="shared" ref="C1199" si="1513">C1241+C1283+C1325+C1367</f>
        <v>33.733401221995898</v>
      </c>
      <c r="D1199" s="528">
        <f t="shared" si="1505"/>
        <v>33</v>
      </c>
      <c r="F1199" s="1901">
        <v>49.1</v>
      </c>
      <c r="G1199" s="1902"/>
      <c r="H1199" s="1644">
        <f t="shared" si="1506"/>
        <v>1656</v>
      </c>
      <c r="I1199" s="1644">
        <f t="shared" si="1506"/>
        <v>1620</v>
      </c>
      <c r="K1199" s="1901"/>
      <c r="L1199" s="1902"/>
      <c r="M1199" s="1901"/>
      <c r="N1199" s="1902"/>
      <c r="O1199" s="1901"/>
      <c r="P1199" s="1902"/>
      <c r="Q1199" s="1901"/>
      <c r="R1199" s="1902"/>
      <c r="S1199" s="1643"/>
      <c r="T1199" s="1643"/>
      <c r="U1199" s="1643"/>
      <c r="V1199" s="1643"/>
      <c r="W1199" s="1643"/>
      <c r="X1199" s="1643"/>
      <c r="Y1199" s="1644"/>
    </row>
    <row r="1200" spans="1:25">
      <c r="A1200" s="1900" t="s">
        <v>130</v>
      </c>
      <c r="C1200" s="528">
        <f>SUM(C1168:C1199)</f>
        <v>139104.57732785653</v>
      </c>
      <c r="D1200" s="528">
        <f>SUM(D1168:D1199)</f>
        <v>134800</v>
      </c>
      <c r="H1200" s="1644">
        <f>SUM(H1168:H1199)</f>
        <v>2627201</v>
      </c>
      <c r="I1200" s="1644">
        <f>SUM(I1168:I1199)</f>
        <v>2546239</v>
      </c>
      <c r="Y1200" s="1644"/>
    </row>
    <row r="1201" spans="1:29">
      <c r="A1201" s="1900" t="s">
        <v>36</v>
      </c>
      <c r="C1201" s="1027">
        <f t="shared" ref="C1201:D1201" si="1514">C1243+C1285+C1327+C1369</f>
        <v>10821359.950480232</v>
      </c>
      <c r="D1201" s="1027">
        <f t="shared" si="1514"/>
        <v>10497984.469308628</v>
      </c>
      <c r="H1201" s="1644"/>
      <c r="I1201" s="1644"/>
      <c r="Y1201" s="1644"/>
    </row>
    <row r="1202" spans="1:29">
      <c r="A1202" s="1900" t="s">
        <v>136</v>
      </c>
      <c r="C1202" s="1028">
        <f t="shared" ref="C1202:D1202" si="1515">C1244+C1286+C1328+C1370</f>
        <v>21913</v>
      </c>
      <c r="D1202" s="1028">
        <f t="shared" si="1515"/>
        <v>0</v>
      </c>
      <c r="F1202" s="1961"/>
      <c r="H1202" s="1649">
        <f>H1244+H1286+H1328+H1370</f>
        <v>7198</v>
      </c>
      <c r="I1202" s="1649">
        <f t="shared" ref="I1202" si="1516">I1244+I1286+I1328+I1370</f>
        <v>0</v>
      </c>
      <c r="K1202" s="1961"/>
      <c r="M1202" s="1961"/>
      <c r="O1202" s="1961"/>
      <c r="Q1202" s="1961"/>
      <c r="Y1202" s="1649"/>
    </row>
    <row r="1203" spans="1:29">
      <c r="A1203" s="1900" t="s">
        <v>1240</v>
      </c>
      <c r="C1203" s="584"/>
      <c r="D1203" s="584"/>
      <c r="F1203" s="1930">
        <v>-1.9800000000000002E-2</v>
      </c>
      <c r="G1203" s="597"/>
      <c r="H1203" s="1644">
        <f>H1200*$F1203</f>
        <v>-52018.579800000007</v>
      </c>
      <c r="I1203" s="1644">
        <f>I1200*$F1203</f>
        <v>-50415.532200000001</v>
      </c>
      <c r="K1203" s="1930"/>
      <c r="L1203" s="597"/>
      <c r="M1203" s="1930"/>
      <c r="N1203" s="597"/>
      <c r="O1203" s="1931" t="str">
        <f>$O$43</f>
        <v>Tax Year 1 (7/1/2021)</v>
      </c>
      <c r="P1203" s="597"/>
      <c r="Q1203" s="1930">
        <f>$AC$1203</f>
        <v>-1.8700000000000001E-2</v>
      </c>
      <c r="R1203" s="597"/>
      <c r="S1203" s="1645"/>
      <c r="T1203" s="1645"/>
      <c r="U1203" s="1645"/>
      <c r="V1203" s="1645"/>
      <c r="W1203" s="1645"/>
      <c r="X1203" s="1645"/>
      <c r="Y1203" s="1644">
        <f>Q1203*Y1206</f>
        <v>-25867.090479218921</v>
      </c>
      <c r="AA1203" s="1109" t="s">
        <v>1938</v>
      </c>
      <c r="AB1203" s="1917">
        <f>RateSpread!W56*1000</f>
        <v>-25866.464967517881</v>
      </c>
      <c r="AC1203" s="1918">
        <f>ROUND(AB1203/Y1206,4)</f>
        <v>-1.8700000000000001E-2</v>
      </c>
    </row>
    <row r="1204" spans="1:29">
      <c r="A1204" s="1900"/>
      <c r="C1204" s="584"/>
      <c r="D1204" s="584"/>
      <c r="F1204" s="1930"/>
      <c r="G1204" s="597"/>
      <c r="H1204" s="1644"/>
      <c r="I1204" s="1644"/>
      <c r="K1204" s="1930"/>
      <c r="L1204" s="597"/>
      <c r="M1204" s="1930"/>
      <c r="N1204" s="597"/>
      <c r="O1204" s="1931" t="str">
        <f>$O$44</f>
        <v>Tax Year 2 (1/1/2022)</v>
      </c>
      <c r="P1204" s="597"/>
      <c r="Q1204" s="1930">
        <f>$AC$1204</f>
        <v>-1.0200000000000001E-2</v>
      </c>
      <c r="R1204" s="597"/>
      <c r="S1204" s="1645"/>
      <c r="T1204" s="1645"/>
      <c r="U1204" s="1645"/>
      <c r="V1204" s="1645"/>
      <c r="W1204" s="1645"/>
      <c r="X1204" s="1645"/>
      <c r="Y1204" s="1644">
        <f>Q1204*Y1206</f>
        <v>-14109.322079573956</v>
      </c>
      <c r="AA1204" s="1109" t="s">
        <v>1939</v>
      </c>
      <c r="AB1204" s="1917">
        <f>RateSpread!X56*1000</f>
        <v>-14040.914421472913</v>
      </c>
      <c r="AC1204" s="1918">
        <f>ROUND(AB1204/Y1206,4)</f>
        <v>-1.0200000000000001E-2</v>
      </c>
    </row>
    <row r="1205" spans="1:29">
      <c r="A1205" s="1900" t="s">
        <v>141</v>
      </c>
      <c r="C1205" s="528">
        <f t="shared" ref="C1205:D1205" si="1517">C1247+C1289+C1331+C1373</f>
        <v>6725.8333333333267</v>
      </c>
      <c r="D1205" s="528">
        <f t="shared" si="1517"/>
        <v>6491</v>
      </c>
    </row>
    <row r="1206" spans="1:29" ht="16.5" thickBot="1">
      <c r="A1206" s="1900" t="s">
        <v>302</v>
      </c>
      <c r="C1206" s="1029">
        <f>C1201+C1202</f>
        <v>10843272.950480232</v>
      </c>
      <c r="D1206" s="1029">
        <f>D1201+D1202</f>
        <v>10497984.469308628</v>
      </c>
      <c r="F1206" s="1935"/>
      <c r="H1206" s="1646">
        <f>SUM(H1200:H1203)</f>
        <v>2582380.4202000001</v>
      </c>
      <c r="I1206" s="1646">
        <f>SUM(I1200:I1203)</f>
        <v>2495823.4678000002</v>
      </c>
      <c r="K1206" s="1935"/>
      <c r="M1206" s="1935"/>
      <c r="O1206" s="1935"/>
      <c r="Q1206" s="1935"/>
      <c r="S1206" s="1637">
        <f>$Y1206*AA$1797/$AD$1797</f>
        <v>1014928.942939517</v>
      </c>
      <c r="U1206" s="1637">
        <f>$Y1206*AB$1797/$AD$1797</f>
        <v>150130.99724791467</v>
      </c>
      <c r="W1206" s="1637">
        <f>Y1206-S1206-U1206</f>
        <v>218206.93035903457</v>
      </c>
      <c r="Y1206" s="1646">
        <f>RateSpread!M56*1000</f>
        <v>1383266.8705464662</v>
      </c>
      <c r="AA1206" s="1104" t="s">
        <v>1743</v>
      </c>
      <c r="AB1206" s="1890">
        <f>Y1206/I1206-1</f>
        <v>-0.44576734356706005</v>
      </c>
    </row>
    <row r="1207" spans="1:29" ht="16.5" hidden="1" thickTop="1">
      <c r="E1207" s="597"/>
      <c r="J1207" s="597"/>
    </row>
    <row r="1208" spans="1:29" hidden="1">
      <c r="A1208" s="1897" t="s">
        <v>911</v>
      </c>
      <c r="C1208" s="528"/>
      <c r="D1208" s="528"/>
    </row>
    <row r="1209" spans="1:29" hidden="1">
      <c r="A1209" s="1960" t="s">
        <v>264</v>
      </c>
      <c r="C1209" s="528" t="s">
        <v>428</v>
      </c>
      <c r="D1209" s="528"/>
      <c r="H1209" s="1644"/>
      <c r="I1209" s="1644"/>
      <c r="Y1209" s="1644"/>
    </row>
    <row r="1210" spans="1:29" hidden="1">
      <c r="A1210" s="1900" t="s">
        <v>265</v>
      </c>
      <c r="B1210" s="1869">
        <v>29</v>
      </c>
      <c r="C1210" s="528">
        <f>SUMIFS('7'!$M$2:$M$85,'7'!$C$2:$C$85,B1210,'7'!$A$2:$A$85,$C$1209)</f>
        <v>0</v>
      </c>
      <c r="D1210" s="528">
        <f>ROUND(C1210/$C$1243*$D$1243,0)</f>
        <v>0</v>
      </c>
      <c r="F1210" s="1901">
        <v>5.68</v>
      </c>
      <c r="G1210" s="1902"/>
      <c r="H1210" s="1644">
        <f t="shared" ref="H1210:I1213" si="1518">ROUND($F1210*C1210,0)</f>
        <v>0</v>
      </c>
      <c r="I1210" s="1644">
        <f t="shared" si="1518"/>
        <v>0</v>
      </c>
      <c r="K1210" s="1901"/>
      <c r="L1210" s="1902"/>
      <c r="M1210" s="1901"/>
      <c r="N1210" s="1902"/>
      <c r="O1210" s="1901"/>
      <c r="P1210" s="1902"/>
      <c r="Q1210" s="1901"/>
      <c r="R1210" s="1902"/>
      <c r="S1210" s="1643"/>
      <c r="T1210" s="1643"/>
      <c r="U1210" s="1643"/>
      <c r="V1210" s="1643"/>
      <c r="W1210" s="1643"/>
      <c r="X1210" s="1643"/>
      <c r="Y1210" s="1644"/>
    </row>
    <row r="1211" spans="1:29" hidden="1">
      <c r="A1211" s="1900" t="s">
        <v>266</v>
      </c>
      <c r="B1211" s="1869">
        <v>1</v>
      </c>
      <c r="C1211" s="528">
        <f>SUMIFS('7'!$M$2:$M$85,'7'!$C$2:$C$85,B1211,'7'!$A$2:$A$85,$C$1209)+SUMIFS('7'!$M$2:$M$85,'7'!$C$2:$C$85,28,'7'!$A$2:$A$85,$C$1209)</f>
        <v>12068.206959707</v>
      </c>
      <c r="D1211" s="528">
        <f>ROUND(C1211/$C$1243*$D$1243,0)</f>
        <v>11765</v>
      </c>
      <c r="F1211" s="1901">
        <v>16.38</v>
      </c>
      <c r="G1211" s="1902"/>
      <c r="H1211" s="1644">
        <f t="shared" si="1518"/>
        <v>197677</v>
      </c>
      <c r="I1211" s="1644">
        <f t="shared" si="1518"/>
        <v>192711</v>
      </c>
      <c r="K1211" s="1901"/>
      <c r="L1211" s="1902"/>
      <c r="M1211" s="1901"/>
      <c r="N1211" s="1902"/>
      <c r="O1211" s="1901"/>
      <c r="P1211" s="1902"/>
      <c r="Q1211" s="1901"/>
      <c r="R1211" s="1902"/>
      <c r="S1211" s="1643"/>
      <c r="T1211" s="1643"/>
      <c r="U1211" s="1643"/>
      <c r="V1211" s="1643"/>
      <c r="W1211" s="1643"/>
      <c r="X1211" s="1643"/>
      <c r="Y1211" s="1644"/>
    </row>
    <row r="1212" spans="1:29" hidden="1">
      <c r="A1212" s="1900" t="s">
        <v>267</v>
      </c>
      <c r="B1212" s="1869">
        <v>40</v>
      </c>
      <c r="C1212" s="528">
        <f>SUMIFS('7'!$M$2:$M$85,'7'!$C$2:$C$85,B1212,'7'!$A$2:$A$85,$C$1209)</f>
        <v>0</v>
      </c>
      <c r="D1212" s="528">
        <f>ROUND(C1212/$C$1243*$D$1243,0)</f>
        <v>0</v>
      </c>
      <c r="F1212" s="1901">
        <v>8.0500000000000007</v>
      </c>
      <c r="G1212" s="1902"/>
      <c r="H1212" s="1644">
        <f t="shared" si="1518"/>
        <v>0</v>
      </c>
      <c r="I1212" s="1644">
        <f t="shared" si="1518"/>
        <v>0</v>
      </c>
      <c r="K1212" s="1901"/>
      <c r="L1212" s="1902"/>
      <c r="M1212" s="1901"/>
      <c r="N1212" s="1902"/>
      <c r="O1212" s="1901"/>
      <c r="P1212" s="1902"/>
      <c r="Q1212" s="1901"/>
      <c r="R1212" s="1902"/>
      <c r="S1212" s="1643"/>
      <c r="T1212" s="1643"/>
      <c r="U1212" s="1643"/>
      <c r="V1212" s="1643"/>
      <c r="W1212" s="1643"/>
      <c r="X1212" s="1643"/>
      <c r="Y1212" s="1644"/>
    </row>
    <row r="1213" spans="1:29" hidden="1">
      <c r="A1213" s="1900" t="s">
        <v>268</v>
      </c>
      <c r="B1213" s="1869">
        <v>2</v>
      </c>
      <c r="C1213" s="528">
        <f>SUMIFS('7'!$M$2:$M$85,'7'!$C$2:$C$85,B1213,'7'!$A$2:$A$85,$C$1209)</f>
        <v>762.60156833457802</v>
      </c>
      <c r="D1213" s="528">
        <f>ROUND(C1213/$C$1243*$D$1243,0)</f>
        <v>743</v>
      </c>
      <c r="F1213" s="1901">
        <v>26.78</v>
      </c>
      <c r="G1213" s="1902"/>
      <c r="H1213" s="1644">
        <f t="shared" si="1518"/>
        <v>20422</v>
      </c>
      <c r="I1213" s="1644">
        <f t="shared" si="1518"/>
        <v>19898</v>
      </c>
      <c r="K1213" s="1901"/>
      <c r="L1213" s="1902"/>
      <c r="M1213" s="1901"/>
      <c r="N1213" s="1902"/>
      <c r="O1213" s="1901"/>
      <c r="P1213" s="1902"/>
      <c r="Q1213" s="1901"/>
      <c r="R1213" s="1902"/>
      <c r="S1213" s="1643"/>
      <c r="T1213" s="1643"/>
      <c r="U1213" s="1643"/>
      <c r="V1213" s="1643"/>
      <c r="W1213" s="1643"/>
      <c r="X1213" s="1643"/>
      <c r="Y1213" s="1644"/>
    </row>
    <row r="1214" spans="1:29" hidden="1">
      <c r="A1214" s="1960" t="s">
        <v>269</v>
      </c>
      <c r="C1214" s="528"/>
      <c r="D1214" s="528"/>
      <c r="H1214" s="1644"/>
      <c r="I1214" s="1644"/>
      <c r="Y1214" s="1644"/>
    </row>
    <row r="1215" spans="1:29" hidden="1">
      <c r="A1215" s="1900" t="s">
        <v>270</v>
      </c>
      <c r="B1215" s="1869">
        <v>3</v>
      </c>
      <c r="C1215" s="528">
        <f>SUMIFS('7'!$M$2:$M$85,'7'!$C$2:$C$85,B1215,'7'!$A$2:$A$85,$C$1209)</f>
        <v>2326.39726027397</v>
      </c>
      <c r="D1215" s="528">
        <f t="shared" ref="D1215:D1225" si="1519">ROUND(C1215/$C$1243*$D$1243,0)</f>
        <v>2268</v>
      </c>
      <c r="F1215" s="1901">
        <v>14.6</v>
      </c>
      <c r="G1215" s="1902"/>
      <c r="H1215" s="1644">
        <f t="shared" ref="H1215:H1225" si="1520">ROUND($F1215*C1215,0)</f>
        <v>33965</v>
      </c>
      <c r="I1215" s="1644">
        <f t="shared" ref="I1215:I1225" si="1521">ROUND($F1215*D1215,0)</f>
        <v>33113</v>
      </c>
      <c r="K1215" s="1901"/>
      <c r="L1215" s="1902"/>
      <c r="M1215" s="1901"/>
      <c r="N1215" s="1902"/>
      <c r="O1215" s="1901"/>
      <c r="P1215" s="1902"/>
      <c r="Q1215" s="1901"/>
      <c r="R1215" s="1902"/>
      <c r="S1215" s="1643"/>
      <c r="T1215" s="1643"/>
      <c r="U1215" s="1643"/>
      <c r="V1215" s="1643"/>
      <c r="W1215" s="1643"/>
      <c r="X1215" s="1643"/>
      <c r="Y1215" s="1644"/>
    </row>
    <row r="1216" spans="1:29" hidden="1">
      <c r="A1216" s="1900" t="s">
        <v>271</v>
      </c>
      <c r="B1216" s="1869">
        <v>4</v>
      </c>
      <c r="C1216" s="528">
        <f>SUMIFS('7'!$M$2:$M$85,'7'!$C$2:$C$85,B1216,'7'!$A$2:$A$85,$C$1209)</f>
        <v>838.19869174161897</v>
      </c>
      <c r="D1216" s="528">
        <f t="shared" si="1519"/>
        <v>817</v>
      </c>
      <c r="F1216" s="1901">
        <v>12.23</v>
      </c>
      <c r="G1216" s="1902"/>
      <c r="H1216" s="1644">
        <f t="shared" si="1520"/>
        <v>10251</v>
      </c>
      <c r="I1216" s="1644">
        <f t="shared" si="1521"/>
        <v>9992</v>
      </c>
      <c r="K1216" s="1901"/>
      <c r="L1216" s="1902"/>
      <c r="M1216" s="1901"/>
      <c r="N1216" s="1902"/>
      <c r="O1216" s="1901"/>
      <c r="P1216" s="1902"/>
      <c r="Q1216" s="1901"/>
      <c r="R1216" s="1902"/>
      <c r="S1216" s="1643"/>
      <c r="T1216" s="1643"/>
      <c r="U1216" s="1643"/>
      <c r="V1216" s="1643"/>
      <c r="W1216" s="1643"/>
      <c r="X1216" s="1643"/>
      <c r="Y1216" s="1644"/>
    </row>
    <row r="1217" spans="1:25" hidden="1">
      <c r="A1217" s="1900" t="s">
        <v>272</v>
      </c>
      <c r="B1217" s="1869">
        <v>5</v>
      </c>
      <c r="C1217" s="528">
        <f>SUMIFS('7'!$M$2:$M$85,'7'!$C$2:$C$85,B1217,'7'!$A$2:$A$85,$C$1209)</f>
        <v>8663.8209437621099</v>
      </c>
      <c r="D1217" s="528">
        <f t="shared" si="1519"/>
        <v>8446</v>
      </c>
      <c r="F1217" s="1901">
        <v>15.47</v>
      </c>
      <c r="G1217" s="1902"/>
      <c r="H1217" s="1644">
        <f t="shared" si="1520"/>
        <v>134029</v>
      </c>
      <c r="I1217" s="1644">
        <f t="shared" si="1521"/>
        <v>130660</v>
      </c>
      <c r="K1217" s="1901"/>
      <c r="L1217" s="1902"/>
      <c r="M1217" s="1901"/>
      <c r="N1217" s="1902"/>
      <c r="O1217" s="1901"/>
      <c r="P1217" s="1902"/>
      <c r="Q1217" s="1901"/>
      <c r="R1217" s="1902"/>
      <c r="S1217" s="1643"/>
      <c r="T1217" s="1643"/>
      <c r="U1217" s="1643"/>
      <c r="V1217" s="1643"/>
      <c r="W1217" s="1643"/>
      <c r="X1217" s="1643"/>
      <c r="Y1217" s="1644"/>
    </row>
    <row r="1218" spans="1:25" hidden="1">
      <c r="A1218" s="1900" t="s">
        <v>273</v>
      </c>
      <c r="B1218" s="1869">
        <v>6</v>
      </c>
      <c r="C1218" s="528">
        <f>SUMIFS('7'!$M$2:$M$85,'7'!$C$2:$C$85,B1218,'7'!$A$2:$A$85,$C$1209)</f>
        <v>7765.4440270473397</v>
      </c>
      <c r="D1218" s="528">
        <f t="shared" si="1519"/>
        <v>7570</v>
      </c>
      <c r="F1218" s="1901">
        <v>13.31</v>
      </c>
      <c r="G1218" s="1902"/>
      <c r="H1218" s="1644">
        <f t="shared" si="1520"/>
        <v>103358</v>
      </c>
      <c r="I1218" s="1644">
        <f t="shared" si="1521"/>
        <v>100757</v>
      </c>
      <c r="K1218" s="1901"/>
      <c r="L1218" s="1902"/>
      <c r="M1218" s="1901"/>
      <c r="N1218" s="1902"/>
      <c r="O1218" s="1901"/>
      <c r="P1218" s="1902"/>
      <c r="Q1218" s="1901"/>
      <c r="R1218" s="1902"/>
      <c r="S1218" s="1643"/>
      <c r="T1218" s="1643"/>
      <c r="U1218" s="1643"/>
      <c r="V1218" s="1643"/>
      <c r="W1218" s="1643"/>
      <c r="X1218" s="1643"/>
      <c r="Y1218" s="1644"/>
    </row>
    <row r="1219" spans="1:25" hidden="1">
      <c r="A1219" s="1900" t="s">
        <v>274</v>
      </c>
      <c r="B1219" s="1869">
        <v>7</v>
      </c>
      <c r="C1219" s="528">
        <f>SUMIFS('7'!$M$2:$M$85,'7'!$C$2:$C$85,B1219,'7'!$A$2:$A$85,$C$1209)</f>
        <v>1029.5328879753299</v>
      </c>
      <c r="D1219" s="528">
        <f t="shared" si="1519"/>
        <v>1004</v>
      </c>
      <c r="F1219" s="1901">
        <v>19.46</v>
      </c>
      <c r="G1219" s="1902"/>
      <c r="H1219" s="1644">
        <f t="shared" si="1520"/>
        <v>20035</v>
      </c>
      <c r="I1219" s="1644">
        <f t="shared" si="1521"/>
        <v>19538</v>
      </c>
      <c r="K1219" s="1901"/>
      <c r="L1219" s="1902"/>
      <c r="M1219" s="1901"/>
      <c r="N1219" s="1902"/>
      <c r="O1219" s="1901"/>
      <c r="P1219" s="1902"/>
      <c r="Q1219" s="1901"/>
      <c r="R1219" s="1902"/>
      <c r="S1219" s="1643"/>
      <c r="T1219" s="1643"/>
      <c r="U1219" s="1643"/>
      <c r="V1219" s="1643"/>
      <c r="W1219" s="1643"/>
      <c r="X1219" s="1643"/>
      <c r="Y1219" s="1644"/>
    </row>
    <row r="1220" spans="1:25" hidden="1">
      <c r="A1220" s="1900" t="s">
        <v>275</v>
      </c>
      <c r="B1220" s="1869">
        <v>8</v>
      </c>
      <c r="C1220" s="528">
        <f>SUMIFS('7'!$M$2:$M$85,'7'!$C$2:$C$85,B1220,'7'!$A$2:$A$85,$C$1209)</f>
        <v>448.83537653239898</v>
      </c>
      <c r="D1220" s="528">
        <f t="shared" si="1519"/>
        <v>438</v>
      </c>
      <c r="F1220" s="1901">
        <v>17.13</v>
      </c>
      <c r="G1220" s="1902"/>
      <c r="H1220" s="1644">
        <f t="shared" si="1520"/>
        <v>7689</v>
      </c>
      <c r="I1220" s="1644">
        <f t="shared" si="1521"/>
        <v>7503</v>
      </c>
      <c r="K1220" s="1901"/>
      <c r="L1220" s="1902"/>
      <c r="M1220" s="1901"/>
      <c r="N1220" s="1902"/>
      <c r="O1220" s="1901"/>
      <c r="P1220" s="1902"/>
      <c r="Q1220" s="1901"/>
      <c r="R1220" s="1902"/>
      <c r="S1220" s="1643"/>
      <c r="T1220" s="1643"/>
      <c r="U1220" s="1643"/>
      <c r="V1220" s="1643"/>
      <c r="W1220" s="1643"/>
      <c r="X1220" s="1643"/>
      <c r="Y1220" s="1644"/>
    </row>
    <row r="1221" spans="1:25" hidden="1">
      <c r="A1221" s="1900" t="s">
        <v>276</v>
      </c>
      <c r="B1221" s="1869">
        <v>9</v>
      </c>
      <c r="C1221" s="528">
        <f>SUMIFS('7'!$M$2:$M$85,'7'!$C$2:$C$85,B1221,'7'!$A$2:$A$85,$C$1209)</f>
        <v>72.233507356430906</v>
      </c>
      <c r="D1221" s="528">
        <f t="shared" si="1519"/>
        <v>70</v>
      </c>
      <c r="F1221" s="1901">
        <v>21.07</v>
      </c>
      <c r="G1221" s="1902"/>
      <c r="H1221" s="1644">
        <f t="shared" si="1520"/>
        <v>1522</v>
      </c>
      <c r="I1221" s="1644">
        <f t="shared" si="1521"/>
        <v>1475</v>
      </c>
      <c r="K1221" s="1901"/>
      <c r="L1221" s="1902"/>
      <c r="M1221" s="1901"/>
      <c r="N1221" s="1902"/>
      <c r="O1221" s="1901"/>
      <c r="P1221" s="1902"/>
      <c r="Q1221" s="1901"/>
      <c r="R1221" s="1902"/>
      <c r="S1221" s="1643"/>
      <c r="T1221" s="1643"/>
      <c r="U1221" s="1643"/>
      <c r="V1221" s="1643"/>
      <c r="W1221" s="1643"/>
      <c r="X1221" s="1643"/>
      <c r="Y1221" s="1644"/>
    </row>
    <row r="1222" spans="1:25" hidden="1">
      <c r="A1222" s="1900" t="s">
        <v>277</v>
      </c>
      <c r="B1222" s="1869">
        <v>10</v>
      </c>
      <c r="C1222" s="528">
        <f>SUMIFS('7'!$M$2:$M$85,'7'!$C$2:$C$85,B1222,'7'!$A$2:$A$85,$C$1209)</f>
        <v>430.90131858783502</v>
      </c>
      <c r="D1222" s="528">
        <f t="shared" si="1519"/>
        <v>420</v>
      </c>
      <c r="F1222" s="1901">
        <v>23.51</v>
      </c>
      <c r="G1222" s="1902"/>
      <c r="H1222" s="1644">
        <f t="shared" si="1520"/>
        <v>10130</v>
      </c>
      <c r="I1222" s="1644">
        <f t="shared" si="1521"/>
        <v>9874</v>
      </c>
      <c r="K1222" s="1901"/>
      <c r="L1222" s="1902"/>
      <c r="M1222" s="1901"/>
      <c r="N1222" s="1902"/>
      <c r="O1222" s="1901"/>
      <c r="P1222" s="1902"/>
      <c r="Q1222" s="1901"/>
      <c r="R1222" s="1902"/>
      <c r="S1222" s="1643"/>
      <c r="T1222" s="1643"/>
      <c r="U1222" s="1643"/>
      <c r="V1222" s="1643"/>
      <c r="W1222" s="1643"/>
      <c r="X1222" s="1643"/>
      <c r="Y1222" s="1644"/>
    </row>
    <row r="1223" spans="1:25" hidden="1">
      <c r="A1223" s="1900" t="s">
        <v>278</v>
      </c>
      <c r="B1223" s="1869">
        <v>11</v>
      </c>
      <c r="C1223" s="528">
        <f>SUMIFS('7'!$M$2:$M$85,'7'!$C$2:$C$85,B1223,'7'!$A$2:$A$85,$C$1209)</f>
        <v>447.55204898728198</v>
      </c>
      <c r="D1223" s="528">
        <f t="shared" si="1519"/>
        <v>436</v>
      </c>
      <c r="F1223" s="1901">
        <v>21.23</v>
      </c>
      <c r="G1223" s="1902"/>
      <c r="H1223" s="1644">
        <f t="shared" si="1520"/>
        <v>9502</v>
      </c>
      <c r="I1223" s="1644">
        <f t="shared" si="1521"/>
        <v>9256</v>
      </c>
      <c r="K1223" s="1901"/>
      <c r="L1223" s="1902"/>
      <c r="M1223" s="1901"/>
      <c r="N1223" s="1902"/>
      <c r="O1223" s="1901"/>
      <c r="P1223" s="1902"/>
      <c r="Q1223" s="1901"/>
      <c r="R1223" s="1902"/>
      <c r="S1223" s="1643"/>
      <c r="T1223" s="1643"/>
      <c r="U1223" s="1643"/>
      <c r="V1223" s="1643"/>
      <c r="W1223" s="1643"/>
      <c r="X1223" s="1643"/>
      <c r="Y1223" s="1644"/>
    </row>
    <row r="1224" spans="1:25" hidden="1">
      <c r="A1224" s="1900" t="s">
        <v>279</v>
      </c>
      <c r="B1224" s="1869">
        <v>12</v>
      </c>
      <c r="C1224" s="528">
        <f>SUMIFS('7'!$M$2:$M$85,'7'!$C$2:$C$85,B1224,'7'!$A$2:$A$85,$C$1209)</f>
        <v>444</v>
      </c>
      <c r="D1224" s="528">
        <f t="shared" si="1519"/>
        <v>433</v>
      </c>
      <c r="F1224" s="1901">
        <v>28.3</v>
      </c>
      <c r="G1224" s="1902"/>
      <c r="H1224" s="1644">
        <f t="shared" si="1520"/>
        <v>12565</v>
      </c>
      <c r="I1224" s="1644">
        <f t="shared" si="1521"/>
        <v>12254</v>
      </c>
      <c r="K1224" s="1901"/>
      <c r="L1224" s="1902"/>
      <c r="M1224" s="1901"/>
      <c r="N1224" s="1902"/>
      <c r="O1224" s="1901"/>
      <c r="P1224" s="1902"/>
      <c r="Q1224" s="1901"/>
      <c r="R1224" s="1902"/>
      <c r="S1224" s="1643"/>
      <c r="T1224" s="1643"/>
      <c r="U1224" s="1643"/>
      <c r="V1224" s="1643"/>
      <c r="W1224" s="1643"/>
      <c r="X1224" s="1643"/>
      <c r="Y1224" s="1644"/>
    </row>
    <row r="1225" spans="1:25" hidden="1">
      <c r="A1225" s="1900" t="s">
        <v>280</v>
      </c>
      <c r="B1225" s="1869">
        <v>13</v>
      </c>
      <c r="C1225" s="528">
        <f>SUMIFS('7'!$M$2:$M$85,'7'!$C$2:$C$85,B1225,'7'!$A$2:$A$85,$C$1209)</f>
        <v>272.66641015775298</v>
      </c>
      <c r="D1225" s="528">
        <f t="shared" si="1519"/>
        <v>266</v>
      </c>
      <c r="F1225" s="1901">
        <v>25.99</v>
      </c>
      <c r="G1225" s="1902"/>
      <c r="H1225" s="1644">
        <f t="shared" si="1520"/>
        <v>7087</v>
      </c>
      <c r="I1225" s="1644">
        <f t="shared" si="1521"/>
        <v>6913</v>
      </c>
      <c r="K1225" s="1901"/>
      <c r="L1225" s="1902"/>
      <c r="M1225" s="1901"/>
      <c r="N1225" s="1902"/>
      <c r="O1225" s="1901"/>
      <c r="P1225" s="1902"/>
      <c r="Q1225" s="1901"/>
      <c r="R1225" s="1902"/>
      <c r="S1225" s="1643"/>
      <c r="T1225" s="1643"/>
      <c r="U1225" s="1643"/>
      <c r="V1225" s="1643"/>
      <c r="W1225" s="1643"/>
      <c r="X1225" s="1643"/>
      <c r="Y1225" s="1644"/>
    </row>
    <row r="1226" spans="1:25" hidden="1">
      <c r="A1226" s="1960" t="s">
        <v>281</v>
      </c>
      <c r="C1226" s="528"/>
      <c r="D1226" s="528"/>
      <c r="H1226" s="1644"/>
      <c r="I1226" s="1644"/>
      <c r="Y1226" s="1644"/>
    </row>
    <row r="1227" spans="1:25" hidden="1">
      <c r="A1227" s="1900" t="s">
        <v>274</v>
      </c>
      <c r="B1227" s="1869">
        <v>14</v>
      </c>
      <c r="C1227" s="528">
        <f>SUMIFS('7'!$M$2:$M$85,'7'!$C$2:$C$85,B1227,'7'!$A$2:$A$85,$C$1209)</f>
        <v>1019.1341212744099</v>
      </c>
      <c r="D1227" s="528">
        <f t="shared" ref="D1227:D1232" si="1522">ROUND(C1227/$C$1243*$D$1243,0)</f>
        <v>993</v>
      </c>
      <c r="F1227" s="1901">
        <v>19.46</v>
      </c>
      <c r="G1227" s="1902"/>
      <c r="H1227" s="1644">
        <f t="shared" ref="H1227:I1232" si="1523">ROUND($F1227*C1227,0)</f>
        <v>19832</v>
      </c>
      <c r="I1227" s="1644">
        <f t="shared" si="1523"/>
        <v>19324</v>
      </c>
      <c r="K1227" s="1901"/>
      <c r="L1227" s="1902"/>
      <c r="M1227" s="1901"/>
      <c r="N1227" s="1902"/>
      <c r="O1227" s="1901"/>
      <c r="P1227" s="1902"/>
      <c r="Q1227" s="1901"/>
      <c r="R1227" s="1902"/>
      <c r="S1227" s="1643"/>
      <c r="T1227" s="1643"/>
      <c r="U1227" s="1643"/>
      <c r="V1227" s="1643"/>
      <c r="W1227" s="1643"/>
      <c r="X1227" s="1643"/>
      <c r="Y1227" s="1644"/>
    </row>
    <row r="1228" spans="1:25" hidden="1">
      <c r="A1228" s="1900" t="s">
        <v>275</v>
      </c>
      <c r="B1228" s="1869">
        <v>15</v>
      </c>
      <c r="C1228" s="528">
        <f>SUMIFS('7'!$M$2:$M$85,'7'!$C$2:$C$85,B1228,'7'!$A$2:$A$85,$C$1209)</f>
        <v>990.43432574430801</v>
      </c>
      <c r="D1228" s="528">
        <f t="shared" si="1522"/>
        <v>966</v>
      </c>
      <c r="F1228" s="1901">
        <v>17.13</v>
      </c>
      <c r="G1228" s="1902"/>
      <c r="H1228" s="1644">
        <f t="shared" si="1523"/>
        <v>16966</v>
      </c>
      <c r="I1228" s="1644">
        <f t="shared" si="1523"/>
        <v>16548</v>
      </c>
      <c r="K1228" s="1901"/>
      <c r="L1228" s="1902"/>
      <c r="M1228" s="1901"/>
      <c r="N1228" s="1902"/>
      <c r="O1228" s="1901"/>
      <c r="P1228" s="1902"/>
      <c r="Q1228" s="1901"/>
      <c r="R1228" s="1902"/>
      <c r="S1228" s="1643"/>
      <c r="T1228" s="1643"/>
      <c r="U1228" s="1643"/>
      <c r="V1228" s="1643"/>
      <c r="W1228" s="1643"/>
      <c r="X1228" s="1643"/>
      <c r="Y1228" s="1644"/>
    </row>
    <row r="1229" spans="1:25" hidden="1">
      <c r="A1229" s="1900" t="s">
        <v>277</v>
      </c>
      <c r="B1229" s="1869">
        <v>16</v>
      </c>
      <c r="C1229" s="528">
        <f>SUMIFS('7'!$M$2:$M$85,'7'!$C$2:$C$85,B1229,'7'!$A$2:$A$85,$C$1209)</f>
        <v>115.83283709059999</v>
      </c>
      <c r="D1229" s="528">
        <f t="shared" si="1522"/>
        <v>113</v>
      </c>
      <c r="F1229" s="1901">
        <v>23.51</v>
      </c>
      <c r="G1229" s="1902"/>
      <c r="H1229" s="1644">
        <f t="shared" si="1523"/>
        <v>2723</v>
      </c>
      <c r="I1229" s="1644">
        <f t="shared" si="1523"/>
        <v>2657</v>
      </c>
      <c r="K1229" s="1901"/>
      <c r="L1229" s="1902"/>
      <c r="M1229" s="1901"/>
      <c r="N1229" s="1902"/>
      <c r="O1229" s="1901"/>
      <c r="P1229" s="1902"/>
      <c r="Q1229" s="1901"/>
      <c r="R1229" s="1902"/>
      <c r="S1229" s="1643"/>
      <c r="T1229" s="1643"/>
      <c r="U1229" s="1643"/>
      <c r="V1229" s="1643"/>
      <c r="W1229" s="1643"/>
      <c r="X1229" s="1643"/>
      <c r="Y1229" s="1644"/>
    </row>
    <row r="1230" spans="1:25" hidden="1">
      <c r="A1230" s="1900" t="s">
        <v>278</v>
      </c>
      <c r="B1230" s="1869">
        <v>17</v>
      </c>
      <c r="C1230" s="528">
        <f>SUMIFS('7'!$M$2:$M$85,'7'!$C$2:$C$85,B1230,'7'!$A$2:$A$85,$C$1209)</f>
        <v>108</v>
      </c>
      <c r="D1230" s="528">
        <f t="shared" si="1522"/>
        <v>105</v>
      </c>
      <c r="F1230" s="1901">
        <v>21.23</v>
      </c>
      <c r="G1230" s="1902"/>
      <c r="H1230" s="1644">
        <f t="shared" si="1523"/>
        <v>2293</v>
      </c>
      <c r="I1230" s="1644">
        <f t="shared" si="1523"/>
        <v>2229</v>
      </c>
      <c r="K1230" s="1901"/>
      <c r="L1230" s="1902"/>
      <c r="M1230" s="1901"/>
      <c r="N1230" s="1902"/>
      <c r="O1230" s="1901"/>
      <c r="P1230" s="1902"/>
      <c r="Q1230" s="1901"/>
      <c r="R1230" s="1902"/>
      <c r="S1230" s="1643"/>
      <c r="T1230" s="1643"/>
      <c r="U1230" s="1643"/>
      <c r="V1230" s="1643"/>
      <c r="W1230" s="1643"/>
      <c r="X1230" s="1643"/>
      <c r="Y1230" s="1644"/>
    </row>
    <row r="1231" spans="1:25" hidden="1">
      <c r="A1231" s="1900" t="s">
        <v>279</v>
      </c>
      <c r="B1231" s="1869">
        <v>18</v>
      </c>
      <c r="C1231" s="528">
        <f>SUMIFS('7'!$M$2:$M$85,'7'!$C$2:$C$85,B1231,'7'!$A$2:$A$85,$C$1209)</f>
        <v>427.00035335689</v>
      </c>
      <c r="D1231" s="528">
        <f t="shared" si="1522"/>
        <v>416</v>
      </c>
      <c r="F1231" s="1901">
        <v>28.3</v>
      </c>
      <c r="G1231" s="1902"/>
      <c r="H1231" s="1644">
        <f t="shared" si="1523"/>
        <v>12084</v>
      </c>
      <c r="I1231" s="1644">
        <f t="shared" si="1523"/>
        <v>11773</v>
      </c>
      <c r="K1231" s="1901"/>
      <c r="L1231" s="1902"/>
      <c r="M1231" s="1901"/>
      <c r="N1231" s="1902"/>
      <c r="O1231" s="1901"/>
      <c r="P1231" s="1902"/>
      <c r="Q1231" s="1901"/>
      <c r="R1231" s="1902"/>
      <c r="S1231" s="1643"/>
      <c r="T1231" s="1643"/>
      <c r="U1231" s="1643"/>
      <c r="V1231" s="1643"/>
      <c r="W1231" s="1643"/>
      <c r="X1231" s="1643"/>
      <c r="Y1231" s="1644"/>
    </row>
    <row r="1232" spans="1:25" hidden="1">
      <c r="A1232" s="1900" t="s">
        <v>280</v>
      </c>
      <c r="B1232" s="1869">
        <v>19</v>
      </c>
      <c r="C1232" s="528">
        <f>SUMIFS('7'!$M$2:$M$85,'7'!$C$2:$C$85,B1232,'7'!$A$2:$A$85,$C$1209)</f>
        <v>593.96614082339397</v>
      </c>
      <c r="D1232" s="528">
        <f t="shared" si="1522"/>
        <v>579</v>
      </c>
      <c r="F1232" s="1901">
        <v>25.99</v>
      </c>
      <c r="G1232" s="1902"/>
      <c r="H1232" s="1644">
        <f t="shared" si="1523"/>
        <v>15437</v>
      </c>
      <c r="I1232" s="1644">
        <f t="shared" si="1523"/>
        <v>15048</v>
      </c>
      <c r="K1232" s="1901"/>
      <c r="L1232" s="1902"/>
      <c r="M1232" s="1901"/>
      <c r="N1232" s="1902"/>
      <c r="O1232" s="1901"/>
      <c r="P1232" s="1902"/>
      <c r="Q1232" s="1901"/>
      <c r="R1232" s="1902"/>
      <c r="S1232" s="1643"/>
      <c r="T1232" s="1643"/>
      <c r="U1232" s="1643"/>
      <c r="V1232" s="1643"/>
      <c r="W1232" s="1643"/>
      <c r="X1232" s="1643"/>
      <c r="Y1232" s="1644"/>
    </row>
    <row r="1233" spans="1:28" hidden="1">
      <c r="A1233" s="1960" t="s">
        <v>289</v>
      </c>
      <c r="C1233" s="528"/>
      <c r="D1233" s="528"/>
    </row>
    <row r="1234" spans="1:28" hidden="1">
      <c r="A1234" s="1900" t="s">
        <v>290</v>
      </c>
      <c r="B1234" s="1869">
        <v>20</v>
      </c>
      <c r="C1234" s="528">
        <f>SUMIFS('7'!$M$2:$M$85,'7'!$C$2:$C$85,B1234,'7'!$A$2:$A$85,$C$1209)</f>
        <v>0</v>
      </c>
      <c r="D1234" s="528">
        <f t="shared" ref="D1234:D1241" si="1524">ROUND(C1234/$C$1243*$D$1243,0)</f>
        <v>0</v>
      </c>
      <c r="F1234" s="1901">
        <v>29.4</v>
      </c>
      <c r="G1234" s="1902"/>
      <c r="H1234" s="1644">
        <f t="shared" ref="H1234:I1241" si="1525">ROUND($F1234*C1234,0)</f>
        <v>0</v>
      </c>
      <c r="I1234" s="1644">
        <f t="shared" si="1525"/>
        <v>0</v>
      </c>
      <c r="K1234" s="1901"/>
      <c r="L1234" s="1902"/>
      <c r="M1234" s="1901"/>
      <c r="N1234" s="1902"/>
      <c r="O1234" s="1901"/>
      <c r="P1234" s="1902"/>
      <c r="Q1234" s="1901"/>
      <c r="R1234" s="1902"/>
      <c r="S1234" s="1643"/>
      <c r="T1234" s="1643"/>
      <c r="U1234" s="1643"/>
      <c r="V1234" s="1643"/>
      <c r="W1234" s="1643"/>
      <c r="X1234" s="1643"/>
      <c r="Y1234" s="1644"/>
    </row>
    <row r="1235" spans="1:28" hidden="1">
      <c r="A1235" s="1900" t="s">
        <v>291</v>
      </c>
      <c r="B1235" s="1869">
        <v>21</v>
      </c>
      <c r="C1235" s="528">
        <f>SUMIFS('7'!$M$2:$M$85,'7'!$C$2:$C$85,B1235,'7'!$A$2:$A$85,$C$1209)</f>
        <v>0</v>
      </c>
      <c r="D1235" s="528">
        <f t="shared" si="1524"/>
        <v>0</v>
      </c>
      <c r="F1235" s="1901">
        <v>21.79</v>
      </c>
      <c r="G1235" s="1902"/>
      <c r="H1235" s="1644">
        <f t="shared" si="1525"/>
        <v>0</v>
      </c>
      <c r="I1235" s="1644">
        <f t="shared" si="1525"/>
        <v>0</v>
      </c>
      <c r="K1235" s="1901"/>
      <c r="L1235" s="1902"/>
      <c r="M1235" s="1901"/>
      <c r="N1235" s="1902"/>
      <c r="O1235" s="1901"/>
      <c r="P1235" s="1902"/>
      <c r="Q1235" s="1901"/>
      <c r="R1235" s="1902"/>
      <c r="S1235" s="1643"/>
      <c r="T1235" s="1643"/>
      <c r="U1235" s="1643"/>
      <c r="V1235" s="1643"/>
      <c r="W1235" s="1643"/>
      <c r="X1235" s="1643"/>
      <c r="Y1235" s="1644"/>
    </row>
    <row r="1236" spans="1:28" hidden="1">
      <c r="A1236" s="1900" t="s">
        <v>292</v>
      </c>
      <c r="B1236" s="1869">
        <v>22</v>
      </c>
      <c r="C1236" s="528">
        <f>SUMIFS('7'!$M$2:$M$85,'7'!$C$2:$C$85,B1236,'7'!$A$2:$A$85,$C$1209)</f>
        <v>0</v>
      </c>
      <c r="D1236" s="528">
        <f t="shared" si="1524"/>
        <v>0</v>
      </c>
      <c r="F1236" s="1901">
        <v>34.340000000000003</v>
      </c>
      <c r="G1236" s="1902"/>
      <c r="H1236" s="1644">
        <f t="shared" si="1525"/>
        <v>0</v>
      </c>
      <c r="I1236" s="1644">
        <f t="shared" si="1525"/>
        <v>0</v>
      </c>
      <c r="K1236" s="1901"/>
      <c r="L1236" s="1902"/>
      <c r="M1236" s="1901"/>
      <c r="N1236" s="1902"/>
      <c r="O1236" s="1901"/>
      <c r="P1236" s="1902"/>
      <c r="Q1236" s="1901"/>
      <c r="R1236" s="1902"/>
      <c r="S1236" s="1643"/>
      <c r="T1236" s="1643"/>
      <c r="U1236" s="1643"/>
      <c r="V1236" s="1643"/>
      <c r="W1236" s="1643"/>
      <c r="X1236" s="1643"/>
      <c r="Y1236" s="1644"/>
    </row>
    <row r="1237" spans="1:28" hidden="1">
      <c r="A1237" s="1900" t="s">
        <v>293</v>
      </c>
      <c r="B1237" s="1869">
        <v>23</v>
      </c>
      <c r="C1237" s="528">
        <f>SUMIFS('7'!$M$2:$M$85,'7'!$C$2:$C$85,B1237,'7'!$A$2:$A$85,$C$1209)</f>
        <v>0</v>
      </c>
      <c r="D1237" s="528">
        <f t="shared" si="1524"/>
        <v>0</v>
      </c>
      <c r="F1237" s="1901">
        <v>27.43</v>
      </c>
      <c r="G1237" s="1902"/>
      <c r="H1237" s="1644">
        <f t="shared" si="1525"/>
        <v>0</v>
      </c>
      <c r="I1237" s="1644">
        <f t="shared" si="1525"/>
        <v>0</v>
      </c>
      <c r="K1237" s="1901"/>
      <c r="L1237" s="1902"/>
      <c r="M1237" s="1901"/>
      <c r="N1237" s="1902"/>
      <c r="O1237" s="1901"/>
      <c r="P1237" s="1902"/>
      <c r="Q1237" s="1901"/>
      <c r="R1237" s="1902"/>
      <c r="S1237" s="1643"/>
      <c r="T1237" s="1643"/>
      <c r="U1237" s="1643"/>
      <c r="V1237" s="1643"/>
      <c r="W1237" s="1643"/>
      <c r="X1237" s="1643"/>
      <c r="Y1237" s="1644"/>
    </row>
    <row r="1238" spans="1:28" hidden="1">
      <c r="A1238" s="1900" t="s">
        <v>294</v>
      </c>
      <c r="B1238" s="1869">
        <v>24</v>
      </c>
      <c r="C1238" s="528">
        <f>SUMIFS('7'!$M$2:$M$85,'7'!$C$2:$C$85,B1238,'7'!$A$2:$A$85,$C$1209)</f>
        <v>0</v>
      </c>
      <c r="D1238" s="528">
        <f t="shared" si="1524"/>
        <v>0</v>
      </c>
      <c r="F1238" s="1901">
        <v>36.69</v>
      </c>
      <c r="G1238" s="1902"/>
      <c r="H1238" s="1644">
        <f t="shared" si="1525"/>
        <v>0</v>
      </c>
      <c r="I1238" s="1644">
        <f t="shared" si="1525"/>
        <v>0</v>
      </c>
      <c r="K1238" s="1901"/>
      <c r="L1238" s="1902"/>
      <c r="M1238" s="1901"/>
      <c r="N1238" s="1902"/>
      <c r="O1238" s="1901"/>
      <c r="P1238" s="1902"/>
      <c r="Q1238" s="1901"/>
      <c r="R1238" s="1902"/>
      <c r="S1238" s="1643"/>
      <c r="T1238" s="1643"/>
      <c r="U1238" s="1643"/>
      <c r="V1238" s="1643"/>
      <c r="W1238" s="1643"/>
      <c r="X1238" s="1643"/>
      <c r="Y1238" s="1644"/>
    </row>
    <row r="1239" spans="1:28" hidden="1">
      <c r="A1239" s="1900" t="s">
        <v>297</v>
      </c>
      <c r="B1239" s="1869">
        <v>25</v>
      </c>
      <c r="C1239" s="528">
        <f>SUMIFS('7'!$M$2:$M$85,'7'!$C$2:$C$85,B1239,'7'!$A$2:$A$85,$C$1209)</f>
        <v>0</v>
      </c>
      <c r="D1239" s="528">
        <f t="shared" si="1524"/>
        <v>0</v>
      </c>
      <c r="F1239" s="1901">
        <v>29.72</v>
      </c>
      <c r="G1239" s="1902"/>
      <c r="H1239" s="1644">
        <f t="shared" si="1525"/>
        <v>0</v>
      </c>
      <c r="I1239" s="1644">
        <f t="shared" si="1525"/>
        <v>0</v>
      </c>
      <c r="K1239" s="1901"/>
      <c r="L1239" s="1902"/>
      <c r="M1239" s="1901"/>
      <c r="N1239" s="1902"/>
      <c r="O1239" s="1901"/>
      <c r="P1239" s="1902"/>
      <c r="Q1239" s="1901"/>
      <c r="R1239" s="1902"/>
      <c r="S1239" s="1643"/>
      <c r="T1239" s="1643"/>
      <c r="U1239" s="1643"/>
      <c r="V1239" s="1643"/>
      <c r="W1239" s="1643"/>
      <c r="X1239" s="1643"/>
      <c r="Y1239" s="1644"/>
    </row>
    <row r="1240" spans="1:28" hidden="1">
      <c r="A1240" s="1900" t="s">
        <v>298</v>
      </c>
      <c r="B1240" s="1869">
        <v>26</v>
      </c>
      <c r="C1240" s="528">
        <f>SUMIFS('7'!$M$2:$M$85,'7'!$C$2:$C$85,B1240,'7'!$A$2:$A$85,$C$1209)</f>
        <v>0</v>
      </c>
      <c r="D1240" s="528">
        <f t="shared" si="1524"/>
        <v>0</v>
      </c>
      <c r="F1240" s="1901">
        <v>57.58</v>
      </c>
      <c r="G1240" s="1902"/>
      <c r="H1240" s="1644">
        <f t="shared" si="1525"/>
        <v>0</v>
      </c>
      <c r="I1240" s="1644">
        <f t="shared" si="1525"/>
        <v>0</v>
      </c>
      <c r="K1240" s="1901"/>
      <c r="L1240" s="1902"/>
      <c r="M1240" s="1901"/>
      <c r="N1240" s="1902"/>
      <c r="O1240" s="1901"/>
      <c r="P1240" s="1902"/>
      <c r="Q1240" s="1901"/>
      <c r="R1240" s="1902"/>
      <c r="S1240" s="1643"/>
      <c r="T1240" s="1643"/>
      <c r="U1240" s="1643"/>
      <c r="V1240" s="1643"/>
      <c r="W1240" s="1643"/>
      <c r="X1240" s="1643"/>
      <c r="Y1240" s="1644"/>
    </row>
    <row r="1241" spans="1:28" hidden="1">
      <c r="A1241" s="1900" t="s">
        <v>300</v>
      </c>
      <c r="B1241" s="1869">
        <v>27</v>
      </c>
      <c r="C1241" s="528">
        <f>SUMIFS('7'!$M$2:$M$85,'7'!$C$2:$C$85,B1241,'7'!$A$2:$A$85,$C$1209)</f>
        <v>0</v>
      </c>
      <c r="D1241" s="528">
        <f t="shared" si="1524"/>
        <v>0</v>
      </c>
      <c r="F1241" s="1901">
        <v>49.1</v>
      </c>
      <c r="G1241" s="1902"/>
      <c r="H1241" s="1644">
        <f t="shared" si="1525"/>
        <v>0</v>
      </c>
      <c r="I1241" s="1644">
        <f t="shared" si="1525"/>
        <v>0</v>
      </c>
      <c r="K1241" s="1901"/>
      <c r="L1241" s="1902"/>
      <c r="M1241" s="1901"/>
      <c r="N1241" s="1902"/>
      <c r="O1241" s="1901"/>
      <c r="P1241" s="1902"/>
      <c r="Q1241" s="1901"/>
      <c r="R1241" s="1902"/>
      <c r="S1241" s="1643"/>
      <c r="T1241" s="1643"/>
      <c r="U1241" s="1643"/>
      <c r="V1241" s="1643"/>
      <c r="W1241" s="1643"/>
      <c r="X1241" s="1643"/>
      <c r="Y1241" s="1644"/>
    </row>
    <row r="1242" spans="1:28" hidden="1">
      <c r="A1242" s="1900" t="s">
        <v>130</v>
      </c>
      <c r="C1242" s="528">
        <f>SUM(C1210:C1241)</f>
        <v>38824.758778753254</v>
      </c>
      <c r="D1242" s="528">
        <f>SUM(D1210:D1241)</f>
        <v>37848</v>
      </c>
      <c r="H1242" s="1644">
        <f>SUM(H1210:H1241)</f>
        <v>637567</v>
      </c>
      <c r="I1242" s="1644">
        <f>SUM(I1210:I1241)</f>
        <v>621523</v>
      </c>
      <c r="Y1242" s="1644"/>
    </row>
    <row r="1243" spans="1:28" hidden="1">
      <c r="A1243" s="1900" t="s">
        <v>36</v>
      </c>
      <c r="C1243" s="1027">
        <f>'7'!N91</f>
        <v>2246900.6861753906</v>
      </c>
      <c r="D1243" s="1027">
        <f>D1248</f>
        <v>2190362.1297112624</v>
      </c>
      <c r="H1243" s="1644"/>
      <c r="I1243" s="1644"/>
      <c r="Y1243" s="1644"/>
    </row>
    <row r="1244" spans="1:28" hidden="1">
      <c r="A1244" s="1900" t="s">
        <v>136</v>
      </c>
      <c r="C1244" s="1028">
        <f>'Table 2'!J23</f>
        <v>12711</v>
      </c>
      <c r="D1244" s="1028">
        <v>0</v>
      </c>
      <c r="F1244" s="1961"/>
      <c r="H1244" s="1649">
        <f>'Table 3'!F23</f>
        <v>3843</v>
      </c>
      <c r="I1244" s="1030">
        <v>0</v>
      </c>
      <c r="K1244" s="1961"/>
      <c r="M1244" s="1961"/>
      <c r="O1244" s="1961"/>
      <c r="Q1244" s="1961"/>
      <c r="Y1244" s="1030"/>
    </row>
    <row r="1245" spans="1:28" hidden="1">
      <c r="A1245" s="1900" t="s">
        <v>1240</v>
      </c>
      <c r="C1245" s="584"/>
      <c r="D1245" s="584"/>
      <c r="F1245" s="1930">
        <v>-1.9800000000000002E-2</v>
      </c>
      <c r="G1245" s="597"/>
      <c r="H1245" s="1644">
        <f>H1242*$F1245</f>
        <v>-12623.8266</v>
      </c>
      <c r="I1245" s="1644">
        <f>I1242*$F1245</f>
        <v>-12306.155400000001</v>
      </c>
      <c r="K1245" s="1930"/>
      <c r="L1245" s="597"/>
      <c r="M1245" s="1930"/>
      <c r="N1245" s="597"/>
      <c r="O1245" s="1931" t="str">
        <f>$O$43</f>
        <v>Tax Year 1 (7/1/2021)</v>
      </c>
      <c r="P1245" s="597"/>
      <c r="Q1245" s="1930">
        <f>$AC$1203</f>
        <v>-1.8700000000000001E-2</v>
      </c>
      <c r="R1245" s="597"/>
      <c r="S1245" s="1645"/>
      <c r="T1245" s="1645"/>
      <c r="U1245" s="1645"/>
      <c r="V1245" s="1645"/>
      <c r="W1245" s="1645"/>
      <c r="X1245" s="1645"/>
      <c r="Y1245" s="1644">
        <f>Q1245*Y1248</f>
        <v>-6314.0151713627738</v>
      </c>
    </row>
    <row r="1246" spans="1:28" hidden="1">
      <c r="A1246" s="1900"/>
      <c r="C1246" s="584"/>
      <c r="D1246" s="584"/>
      <c r="F1246" s="1930"/>
      <c r="G1246" s="597"/>
      <c r="H1246" s="1644"/>
      <c r="I1246" s="1644"/>
      <c r="K1246" s="1930"/>
      <c r="L1246" s="597"/>
      <c r="M1246" s="1930"/>
      <c r="N1246" s="597"/>
      <c r="O1246" s="1931" t="str">
        <f>$O$44</f>
        <v>Tax Year 2 (1/1/2022)</v>
      </c>
      <c r="P1246" s="597"/>
      <c r="Q1246" s="1930">
        <f>$AC$1204</f>
        <v>-1.0200000000000001E-2</v>
      </c>
      <c r="R1246" s="597"/>
      <c r="S1246" s="1645"/>
      <c r="T1246" s="1645"/>
      <c r="U1246" s="1645"/>
      <c r="V1246" s="1645"/>
      <c r="W1246" s="1645"/>
      <c r="X1246" s="1645"/>
      <c r="Y1246" s="1644">
        <f>Q1246*Y1248</f>
        <v>-3444.0082752887861</v>
      </c>
    </row>
    <row r="1247" spans="1:28" hidden="1">
      <c r="A1247" s="1900" t="s">
        <v>141</v>
      </c>
      <c r="C1247" s="528">
        <f>'Table 2'!F23</f>
        <v>2277.3333333333298</v>
      </c>
      <c r="D1247" s="528">
        <f>ROUND(Bill!P13/12,0)</f>
        <v>2205</v>
      </c>
    </row>
    <row r="1248" spans="1:28" ht="16.5" hidden="1" thickBot="1">
      <c r="A1248" s="1900" t="s">
        <v>302</v>
      </c>
      <c r="C1248" s="1029">
        <f>C1243+C1244</f>
        <v>2259611.6861753906</v>
      </c>
      <c r="D1248" s="1029">
        <f>Energy!P13</f>
        <v>2190362.1297112624</v>
      </c>
      <c r="F1248" s="1935"/>
      <c r="H1248" s="1646">
        <f>SUM(H1242:H1245)</f>
        <v>628786.17339999997</v>
      </c>
      <c r="I1248" s="1646">
        <f>SUM(I1242:I1245)</f>
        <v>609216.84459999995</v>
      </c>
      <c r="K1248" s="1935"/>
      <c r="M1248" s="1935"/>
      <c r="O1248" s="1935"/>
      <c r="Q1248" s="1935"/>
      <c r="S1248" s="1646">
        <f>$Y1248/$Y$1206*S1206</f>
        <v>247738.59853792097</v>
      </c>
      <c r="U1248" s="1646">
        <f>$Y1248/$Y$1206*U1206</f>
        <v>36646.154505730083</v>
      </c>
      <c r="W1248" s="1646">
        <f>Y1248-S1248-U1248</f>
        <v>53263.117082700483</v>
      </c>
      <c r="Y1248" s="1646">
        <f>$Y$1206/$I$1206*I1248</f>
        <v>337647.87012635154</v>
      </c>
      <c r="AA1248" s="1104" t="s">
        <v>1743</v>
      </c>
      <c r="AB1248" s="1890">
        <f>Y1248/I1248-1</f>
        <v>-0.44576734356706005</v>
      </c>
    </row>
    <row r="1249" spans="1:25" ht="16.5" hidden="1" thickTop="1">
      <c r="E1249" s="597"/>
      <c r="J1249" s="597"/>
    </row>
    <row r="1250" spans="1:25" hidden="1">
      <c r="A1250" s="1897" t="s">
        <v>914</v>
      </c>
      <c r="C1250" s="528"/>
      <c r="D1250" s="528"/>
    </row>
    <row r="1251" spans="1:25" hidden="1">
      <c r="A1251" s="1960" t="s">
        <v>264</v>
      </c>
      <c r="C1251" s="528" t="s">
        <v>429</v>
      </c>
      <c r="D1251" s="528"/>
      <c r="H1251" s="1644"/>
      <c r="I1251" s="1644"/>
      <c r="Y1251" s="1644"/>
    </row>
    <row r="1252" spans="1:25" hidden="1">
      <c r="A1252" s="1900" t="s">
        <v>265</v>
      </c>
      <c r="B1252" s="1869">
        <v>29</v>
      </c>
      <c r="C1252" s="528">
        <f>SUMIFS('7'!$M$2:$M$85,'7'!$C$2:$C$85,B1252,'7'!$A$2:$A$85,$C$1251)</f>
        <v>0</v>
      </c>
      <c r="D1252" s="528">
        <f>ROUND(C1252/$C$1285*$D$1285,0)</f>
        <v>0</v>
      </c>
      <c r="F1252" s="1901">
        <v>5.68</v>
      </c>
      <c r="G1252" s="1902"/>
      <c r="H1252" s="1644">
        <f t="shared" ref="H1252:I1255" si="1526">ROUND($F1252*C1252,0)</f>
        <v>0</v>
      </c>
      <c r="I1252" s="1644">
        <f t="shared" si="1526"/>
        <v>0</v>
      </c>
      <c r="K1252" s="1901"/>
      <c r="L1252" s="1902"/>
      <c r="M1252" s="1901"/>
      <c r="N1252" s="1902"/>
      <c r="O1252" s="1901"/>
      <c r="P1252" s="1902"/>
      <c r="Q1252" s="1901"/>
      <c r="R1252" s="1902"/>
      <c r="S1252" s="1643"/>
      <c r="T1252" s="1643"/>
      <c r="U1252" s="1643"/>
      <c r="V1252" s="1643"/>
      <c r="W1252" s="1643"/>
      <c r="X1252" s="1643"/>
      <c r="Y1252" s="1644"/>
    </row>
    <row r="1253" spans="1:25" hidden="1">
      <c r="A1253" s="1900" t="s">
        <v>266</v>
      </c>
      <c r="B1253" s="1869">
        <v>1</v>
      </c>
      <c r="C1253" s="528">
        <f>SUMIFS('7'!$M$2:$M$85,'7'!$C$2:$C$85,B1253,'7'!$A$2:$A$85,$C$1251)+SUMIFS('7'!$M$2:$M$85,'7'!$C$2:$C$85,28,'7'!$A$2:$A$85,$C$1251)</f>
        <v>21854.609890109899</v>
      </c>
      <c r="D1253" s="528">
        <f t="shared" ref="D1253:D1255" si="1527">ROUND(C1253/$C$1285*$D$1285,0)</f>
        <v>21101</v>
      </c>
      <c r="F1253" s="1901">
        <v>16.38</v>
      </c>
      <c r="G1253" s="1902"/>
      <c r="H1253" s="1644">
        <f t="shared" si="1526"/>
        <v>357979</v>
      </c>
      <c r="I1253" s="1644">
        <f t="shared" si="1526"/>
        <v>345634</v>
      </c>
      <c r="K1253" s="1901"/>
      <c r="L1253" s="1902"/>
      <c r="M1253" s="1901"/>
      <c r="N1253" s="1902"/>
      <c r="O1253" s="1901"/>
      <c r="P1253" s="1902"/>
      <c r="Q1253" s="1901"/>
      <c r="R1253" s="1902"/>
      <c r="S1253" s="1643"/>
      <c r="T1253" s="1643"/>
      <c r="U1253" s="1643"/>
      <c r="V1253" s="1643"/>
      <c r="W1253" s="1643"/>
      <c r="X1253" s="1643"/>
      <c r="Y1253" s="1644"/>
    </row>
    <row r="1254" spans="1:25" hidden="1">
      <c r="A1254" s="1900" t="s">
        <v>267</v>
      </c>
      <c r="B1254" s="1869">
        <v>40</v>
      </c>
      <c r="C1254" s="528">
        <f>SUMIFS('7'!$M$2:$M$85,'7'!$C$2:$C$85,B1254,'7'!$A$2:$A$85,$C$1251)</f>
        <v>0</v>
      </c>
      <c r="D1254" s="528">
        <f t="shared" si="1527"/>
        <v>0</v>
      </c>
      <c r="F1254" s="1901">
        <v>8.0500000000000007</v>
      </c>
      <c r="G1254" s="1902"/>
      <c r="H1254" s="1644">
        <f t="shared" si="1526"/>
        <v>0</v>
      </c>
      <c r="I1254" s="1644">
        <f t="shared" si="1526"/>
        <v>0</v>
      </c>
      <c r="K1254" s="1901"/>
      <c r="L1254" s="1902"/>
      <c r="M1254" s="1901"/>
      <c r="N1254" s="1902"/>
      <c r="O1254" s="1901"/>
      <c r="P1254" s="1902"/>
      <c r="Q1254" s="1901"/>
      <c r="R1254" s="1902"/>
      <c r="S1254" s="1643"/>
      <c r="T1254" s="1643"/>
      <c r="U1254" s="1643"/>
      <c r="V1254" s="1643"/>
      <c r="W1254" s="1643"/>
      <c r="X1254" s="1643"/>
      <c r="Y1254" s="1644"/>
    </row>
    <row r="1255" spans="1:25" hidden="1">
      <c r="A1255" s="1900" t="s">
        <v>268</v>
      </c>
      <c r="B1255" s="1869">
        <v>2</v>
      </c>
      <c r="C1255" s="528">
        <f>SUMIFS('7'!$M$2:$M$85,'7'!$C$2:$C$85,B1255,'7'!$A$2:$A$85,$C$1251)</f>
        <v>6704.2098581030596</v>
      </c>
      <c r="D1255" s="528">
        <f t="shared" si="1527"/>
        <v>6473</v>
      </c>
      <c r="F1255" s="1901">
        <v>26.78</v>
      </c>
      <c r="G1255" s="1902"/>
      <c r="H1255" s="1644">
        <f t="shared" si="1526"/>
        <v>179539</v>
      </c>
      <c r="I1255" s="1644">
        <f t="shared" si="1526"/>
        <v>173347</v>
      </c>
      <c r="K1255" s="1901"/>
      <c r="L1255" s="1902"/>
      <c r="M1255" s="1901"/>
      <c r="N1255" s="1902"/>
      <c r="O1255" s="1901"/>
      <c r="P1255" s="1902"/>
      <c r="Q1255" s="1901"/>
      <c r="R1255" s="1902"/>
      <c r="S1255" s="1643"/>
      <c r="T1255" s="1643"/>
      <c r="U1255" s="1643"/>
      <c r="V1255" s="1643"/>
      <c r="W1255" s="1643"/>
      <c r="X1255" s="1643"/>
      <c r="Y1255" s="1644"/>
    </row>
    <row r="1256" spans="1:25" hidden="1">
      <c r="A1256" s="1960" t="s">
        <v>269</v>
      </c>
      <c r="C1256" s="528"/>
      <c r="D1256" s="528"/>
      <c r="H1256" s="1644"/>
      <c r="I1256" s="1644"/>
      <c r="K1256" s="1901"/>
      <c r="M1256" s="1901"/>
      <c r="O1256" s="1901"/>
      <c r="Q1256" s="1901"/>
      <c r="Y1256" s="1644"/>
    </row>
    <row r="1257" spans="1:25" hidden="1">
      <c r="A1257" s="1900" t="s">
        <v>270</v>
      </c>
      <c r="B1257" s="1869">
        <v>3</v>
      </c>
      <c r="C1257" s="528">
        <f>SUMIFS('7'!$M$2:$M$85,'7'!$C$2:$C$85,B1257,'7'!$A$2:$A$85,$C$1251)</f>
        <v>967.46575342465803</v>
      </c>
      <c r="D1257" s="528">
        <f t="shared" ref="D1257:D1267" si="1528">ROUND(C1257/$C$1285*$D$1285,0)</f>
        <v>934</v>
      </c>
      <c r="F1257" s="1901">
        <v>14.6</v>
      </c>
      <c r="G1257" s="1902"/>
      <c r="H1257" s="1644">
        <f t="shared" ref="H1257:H1267" si="1529">ROUND($F1257*C1257,0)</f>
        <v>14125</v>
      </c>
      <c r="I1257" s="1644">
        <f t="shared" ref="I1257:I1267" si="1530">ROUND($F1257*D1257,0)</f>
        <v>13636</v>
      </c>
      <c r="K1257" s="1901"/>
      <c r="L1257" s="1902"/>
      <c r="M1257" s="1901"/>
      <c r="N1257" s="1902"/>
      <c r="O1257" s="1901"/>
      <c r="P1257" s="1902"/>
      <c r="Q1257" s="1901"/>
      <c r="R1257" s="1902"/>
      <c r="S1257" s="1643"/>
      <c r="T1257" s="1643"/>
      <c r="U1257" s="1643"/>
      <c r="V1257" s="1643"/>
      <c r="W1257" s="1643"/>
      <c r="X1257" s="1643"/>
      <c r="Y1257" s="1644"/>
    </row>
    <row r="1258" spans="1:25" hidden="1">
      <c r="A1258" s="1900" t="s">
        <v>271</v>
      </c>
      <c r="B1258" s="1869">
        <v>4</v>
      </c>
      <c r="C1258" s="528">
        <f>SUMIFS('7'!$M$2:$M$85,'7'!$C$2:$C$85,B1258,'7'!$A$2:$A$85,$C$1251)</f>
        <v>534.23385118560896</v>
      </c>
      <c r="D1258" s="528">
        <f t="shared" si="1528"/>
        <v>516</v>
      </c>
      <c r="F1258" s="1901">
        <v>12.23</v>
      </c>
      <c r="G1258" s="1902"/>
      <c r="H1258" s="1644">
        <f t="shared" si="1529"/>
        <v>6534</v>
      </c>
      <c r="I1258" s="1644">
        <f t="shared" si="1530"/>
        <v>6311</v>
      </c>
      <c r="K1258" s="1901"/>
      <c r="L1258" s="1902"/>
      <c r="M1258" s="1901"/>
      <c r="N1258" s="1902"/>
      <c r="O1258" s="1901"/>
      <c r="P1258" s="1902"/>
      <c r="Q1258" s="1901"/>
      <c r="R1258" s="1902"/>
      <c r="S1258" s="1643"/>
      <c r="T1258" s="1643"/>
      <c r="U1258" s="1643"/>
      <c r="V1258" s="1643"/>
      <c r="W1258" s="1643"/>
      <c r="X1258" s="1643"/>
      <c r="Y1258" s="1644"/>
    </row>
    <row r="1259" spans="1:25" hidden="1">
      <c r="A1259" s="1900" t="s">
        <v>272</v>
      </c>
      <c r="B1259" s="1869">
        <v>5</v>
      </c>
      <c r="C1259" s="528">
        <f>SUMIFS('7'!$M$2:$M$85,'7'!$C$2:$C$85,B1259,'7'!$A$2:$A$85,$C$1251)</f>
        <v>11633.5837104072</v>
      </c>
      <c r="D1259" s="528">
        <f t="shared" si="1528"/>
        <v>11232</v>
      </c>
      <c r="F1259" s="1901">
        <v>15.47</v>
      </c>
      <c r="G1259" s="1902"/>
      <c r="H1259" s="1644">
        <f t="shared" si="1529"/>
        <v>179972</v>
      </c>
      <c r="I1259" s="1644">
        <f t="shared" si="1530"/>
        <v>173759</v>
      </c>
      <c r="K1259" s="1901"/>
      <c r="L1259" s="1902"/>
      <c r="M1259" s="1901"/>
      <c r="N1259" s="1902"/>
      <c r="O1259" s="1901"/>
      <c r="P1259" s="1902"/>
      <c r="Q1259" s="1901"/>
      <c r="R1259" s="1902"/>
      <c r="S1259" s="1643"/>
      <c r="T1259" s="1643"/>
      <c r="U1259" s="1643"/>
      <c r="V1259" s="1643"/>
      <c r="W1259" s="1643"/>
      <c r="X1259" s="1643"/>
      <c r="Y1259" s="1644"/>
    </row>
    <row r="1260" spans="1:25" hidden="1">
      <c r="A1260" s="1900" t="s">
        <v>273</v>
      </c>
      <c r="B1260" s="1869">
        <v>6</v>
      </c>
      <c r="C1260" s="528">
        <f>SUMIFS('7'!$M$2:$M$85,'7'!$C$2:$C$85,B1260,'7'!$A$2:$A$85,$C$1251)</f>
        <v>9374.8159278737803</v>
      </c>
      <c r="D1260" s="528">
        <f t="shared" si="1528"/>
        <v>9051</v>
      </c>
      <c r="F1260" s="1901">
        <v>13.31</v>
      </c>
      <c r="G1260" s="1902"/>
      <c r="H1260" s="1644">
        <f t="shared" si="1529"/>
        <v>124779</v>
      </c>
      <c r="I1260" s="1644">
        <f t="shared" si="1530"/>
        <v>120469</v>
      </c>
      <c r="K1260" s="1901"/>
      <c r="L1260" s="1902"/>
      <c r="M1260" s="1901"/>
      <c r="N1260" s="1902"/>
      <c r="O1260" s="1901"/>
      <c r="P1260" s="1902"/>
      <c r="Q1260" s="1901"/>
      <c r="R1260" s="1902"/>
      <c r="S1260" s="1643"/>
      <c r="T1260" s="1643"/>
      <c r="U1260" s="1643"/>
      <c r="V1260" s="1643"/>
      <c r="W1260" s="1643"/>
      <c r="X1260" s="1643"/>
      <c r="Y1260" s="1644"/>
    </row>
    <row r="1261" spans="1:25" hidden="1">
      <c r="A1261" s="1900" t="s">
        <v>274</v>
      </c>
      <c r="B1261" s="1869">
        <v>7</v>
      </c>
      <c r="C1261" s="528">
        <f>SUMIFS('7'!$M$2:$M$85,'7'!$C$2:$C$85,B1261,'7'!$A$2:$A$85,$C$1251)</f>
        <v>1431.1330935251799</v>
      </c>
      <c r="D1261" s="528">
        <f t="shared" si="1528"/>
        <v>1382</v>
      </c>
      <c r="F1261" s="1901">
        <v>19.46</v>
      </c>
      <c r="G1261" s="1902"/>
      <c r="H1261" s="1644">
        <f t="shared" si="1529"/>
        <v>27850</v>
      </c>
      <c r="I1261" s="1644">
        <f t="shared" si="1530"/>
        <v>26894</v>
      </c>
      <c r="K1261" s="1901"/>
      <c r="L1261" s="1902"/>
      <c r="M1261" s="1901"/>
      <c r="N1261" s="1902"/>
      <c r="O1261" s="1901"/>
      <c r="P1261" s="1902"/>
      <c r="Q1261" s="1901"/>
      <c r="R1261" s="1902"/>
      <c r="S1261" s="1643"/>
      <c r="T1261" s="1643"/>
      <c r="U1261" s="1643"/>
      <c r="V1261" s="1643"/>
      <c r="W1261" s="1643"/>
      <c r="X1261" s="1643"/>
      <c r="Y1261" s="1644"/>
    </row>
    <row r="1262" spans="1:25" hidden="1">
      <c r="A1262" s="1900" t="s">
        <v>275</v>
      </c>
      <c r="B1262" s="1869">
        <v>8</v>
      </c>
      <c r="C1262" s="528">
        <f>SUMIFS('7'!$M$2:$M$85,'7'!$C$2:$C$85,B1262,'7'!$A$2:$A$85,$C$1251)</f>
        <v>1655.7997664915399</v>
      </c>
      <c r="D1262" s="528">
        <f t="shared" si="1528"/>
        <v>1599</v>
      </c>
      <c r="F1262" s="1901">
        <v>17.13</v>
      </c>
      <c r="G1262" s="1902"/>
      <c r="H1262" s="1644">
        <f t="shared" si="1529"/>
        <v>28364</v>
      </c>
      <c r="I1262" s="1644">
        <f t="shared" si="1530"/>
        <v>27391</v>
      </c>
      <c r="K1262" s="1901"/>
      <c r="L1262" s="1902"/>
      <c r="M1262" s="1901"/>
      <c r="N1262" s="1902"/>
      <c r="O1262" s="1901"/>
      <c r="P1262" s="1902"/>
      <c r="Q1262" s="1901"/>
      <c r="R1262" s="1902"/>
      <c r="S1262" s="1643"/>
      <c r="T1262" s="1643"/>
      <c r="U1262" s="1643"/>
      <c r="V1262" s="1643"/>
      <c r="W1262" s="1643"/>
      <c r="X1262" s="1643"/>
      <c r="Y1262" s="1644"/>
    </row>
    <row r="1263" spans="1:25" hidden="1">
      <c r="A1263" s="1900" t="s">
        <v>276</v>
      </c>
      <c r="B1263" s="1869">
        <v>9</v>
      </c>
      <c r="C1263" s="528">
        <f>SUMIFS('7'!$M$2:$M$85,'7'!$C$2:$C$85,B1263,'7'!$A$2:$A$85,$C$1251)</f>
        <v>0</v>
      </c>
      <c r="D1263" s="528">
        <f t="shared" si="1528"/>
        <v>0</v>
      </c>
      <c r="F1263" s="1901">
        <v>21.07</v>
      </c>
      <c r="G1263" s="1902"/>
      <c r="H1263" s="1644">
        <f t="shared" si="1529"/>
        <v>0</v>
      </c>
      <c r="I1263" s="1644">
        <f t="shared" si="1530"/>
        <v>0</v>
      </c>
      <c r="K1263" s="1901"/>
      <c r="L1263" s="1902"/>
      <c r="M1263" s="1901"/>
      <c r="N1263" s="1902"/>
      <c r="O1263" s="1901"/>
      <c r="P1263" s="1902"/>
      <c r="Q1263" s="1901"/>
      <c r="R1263" s="1902"/>
      <c r="S1263" s="1643"/>
      <c r="T1263" s="1643"/>
      <c r="U1263" s="1643"/>
      <c r="V1263" s="1643"/>
      <c r="W1263" s="1643"/>
      <c r="X1263" s="1643"/>
      <c r="Y1263" s="1644"/>
    </row>
    <row r="1264" spans="1:25" hidden="1">
      <c r="A1264" s="1900" t="s">
        <v>277</v>
      </c>
      <c r="B1264" s="1869">
        <v>10</v>
      </c>
      <c r="C1264" s="528">
        <f>SUMIFS('7'!$M$2:$M$85,'7'!$C$2:$C$85,B1264,'7'!$A$2:$A$85,$C$1251)</f>
        <v>1981.86601446193</v>
      </c>
      <c r="D1264" s="528">
        <f t="shared" si="1528"/>
        <v>1913</v>
      </c>
      <c r="F1264" s="1901">
        <v>23.51</v>
      </c>
      <c r="G1264" s="1902"/>
      <c r="H1264" s="1644">
        <f t="shared" si="1529"/>
        <v>46594</v>
      </c>
      <c r="I1264" s="1644">
        <f t="shared" si="1530"/>
        <v>44975</v>
      </c>
      <c r="K1264" s="1901"/>
      <c r="L1264" s="1902"/>
      <c r="M1264" s="1901"/>
      <c r="N1264" s="1902"/>
      <c r="O1264" s="1901"/>
      <c r="P1264" s="1902"/>
      <c r="Q1264" s="1901"/>
      <c r="R1264" s="1902"/>
      <c r="S1264" s="1643"/>
      <c r="T1264" s="1643"/>
      <c r="U1264" s="1643"/>
      <c r="V1264" s="1643"/>
      <c r="W1264" s="1643"/>
      <c r="X1264" s="1643"/>
      <c r="Y1264" s="1644"/>
    </row>
    <row r="1265" spans="1:25" hidden="1">
      <c r="A1265" s="1900" t="s">
        <v>278</v>
      </c>
      <c r="B1265" s="1869">
        <v>11</v>
      </c>
      <c r="C1265" s="528">
        <f>SUMIFS('7'!$M$2:$M$85,'7'!$C$2:$C$85,B1265,'7'!$A$2:$A$85,$C$1251)</f>
        <v>3148.3509185115399</v>
      </c>
      <c r="D1265" s="528">
        <f t="shared" si="1528"/>
        <v>3040</v>
      </c>
      <c r="F1265" s="1901">
        <v>21.23</v>
      </c>
      <c r="G1265" s="1902"/>
      <c r="H1265" s="1644">
        <f t="shared" si="1529"/>
        <v>66839</v>
      </c>
      <c r="I1265" s="1644">
        <f t="shared" si="1530"/>
        <v>64539</v>
      </c>
      <c r="K1265" s="1901"/>
      <c r="L1265" s="1902"/>
      <c r="M1265" s="1901"/>
      <c r="N1265" s="1902"/>
      <c r="O1265" s="1901"/>
      <c r="P1265" s="1902"/>
      <c r="Q1265" s="1901"/>
      <c r="R1265" s="1902"/>
      <c r="S1265" s="1643"/>
      <c r="T1265" s="1643"/>
      <c r="U1265" s="1643"/>
      <c r="V1265" s="1643"/>
      <c r="W1265" s="1643"/>
      <c r="X1265" s="1643"/>
      <c r="Y1265" s="1644"/>
    </row>
    <row r="1266" spans="1:25" hidden="1">
      <c r="A1266" s="1900" t="s">
        <v>279</v>
      </c>
      <c r="B1266" s="1869">
        <v>12</v>
      </c>
      <c r="C1266" s="528">
        <f>SUMIFS('7'!$M$2:$M$85,'7'!$C$2:$C$85,B1266,'7'!$A$2:$A$85,$C$1251)</f>
        <v>999.25053003533606</v>
      </c>
      <c r="D1266" s="528">
        <f t="shared" si="1528"/>
        <v>965</v>
      </c>
      <c r="F1266" s="1901">
        <v>28.3</v>
      </c>
      <c r="G1266" s="1902"/>
      <c r="H1266" s="1644">
        <f t="shared" si="1529"/>
        <v>28279</v>
      </c>
      <c r="I1266" s="1644">
        <f t="shared" si="1530"/>
        <v>27310</v>
      </c>
      <c r="K1266" s="1901"/>
      <c r="L1266" s="1902"/>
      <c r="M1266" s="1901"/>
      <c r="N1266" s="1902"/>
      <c r="O1266" s="1901"/>
      <c r="P1266" s="1902"/>
      <c r="Q1266" s="1901"/>
      <c r="R1266" s="1902"/>
      <c r="S1266" s="1643"/>
      <c r="T1266" s="1643"/>
      <c r="U1266" s="1643"/>
      <c r="V1266" s="1643"/>
      <c r="W1266" s="1643"/>
      <c r="X1266" s="1643"/>
      <c r="Y1266" s="1644"/>
    </row>
    <row r="1267" spans="1:25" hidden="1">
      <c r="A1267" s="1900" t="s">
        <v>280</v>
      </c>
      <c r="B1267" s="1869">
        <v>13</v>
      </c>
      <c r="C1267" s="528">
        <f>SUMIFS('7'!$M$2:$M$85,'7'!$C$2:$C$85,B1267,'7'!$A$2:$A$85,$C$1251)</f>
        <v>1681.83339746056</v>
      </c>
      <c r="D1267" s="528">
        <f t="shared" si="1528"/>
        <v>1624</v>
      </c>
      <c r="F1267" s="1901">
        <v>25.99</v>
      </c>
      <c r="G1267" s="1902"/>
      <c r="H1267" s="1644">
        <f t="shared" si="1529"/>
        <v>43711</v>
      </c>
      <c r="I1267" s="1644">
        <f t="shared" si="1530"/>
        <v>42208</v>
      </c>
      <c r="K1267" s="1901"/>
      <c r="L1267" s="1902"/>
      <c r="M1267" s="1901"/>
      <c r="N1267" s="1902"/>
      <c r="O1267" s="1901"/>
      <c r="P1267" s="1902"/>
      <c r="Q1267" s="1901"/>
      <c r="R1267" s="1902"/>
      <c r="S1267" s="1643"/>
      <c r="T1267" s="1643"/>
      <c r="U1267" s="1643"/>
      <c r="V1267" s="1643"/>
      <c r="W1267" s="1643"/>
      <c r="X1267" s="1643"/>
      <c r="Y1267" s="1644"/>
    </row>
    <row r="1268" spans="1:25" hidden="1">
      <c r="A1268" s="1960" t="s">
        <v>281</v>
      </c>
      <c r="C1268" s="528"/>
      <c r="D1268" s="528"/>
      <c r="H1268" s="1644"/>
      <c r="I1268" s="1644"/>
      <c r="K1268" s="1901"/>
      <c r="M1268" s="1901"/>
      <c r="O1268" s="1901"/>
      <c r="Q1268" s="1901"/>
      <c r="Y1268" s="1644"/>
    </row>
    <row r="1269" spans="1:25" hidden="1">
      <c r="A1269" s="1900" t="s">
        <v>274</v>
      </c>
      <c r="B1269" s="1869">
        <v>14</v>
      </c>
      <c r="C1269" s="528">
        <f>SUMIFS('7'!$M$2:$M$85,'7'!$C$2:$C$85,B1269,'7'!$A$2:$A$85,$C$1251)</f>
        <v>2911.1181911613598</v>
      </c>
      <c r="D1269" s="528">
        <f t="shared" ref="D1269:D1274" si="1531">ROUND(C1269/$C$1285*$D$1285,0)</f>
        <v>2811</v>
      </c>
      <c r="F1269" s="1901">
        <v>19.46</v>
      </c>
      <c r="G1269" s="1902"/>
      <c r="H1269" s="1644">
        <f t="shared" ref="H1269:I1274" si="1532">ROUND($F1269*C1269,0)</f>
        <v>56650</v>
      </c>
      <c r="I1269" s="1644">
        <f t="shared" si="1532"/>
        <v>54702</v>
      </c>
      <c r="K1269" s="1901"/>
      <c r="L1269" s="1902"/>
      <c r="M1269" s="1901"/>
      <c r="N1269" s="1902"/>
      <c r="O1269" s="1901"/>
      <c r="P1269" s="1902"/>
      <c r="Q1269" s="1901"/>
      <c r="R1269" s="1902"/>
      <c r="S1269" s="1643"/>
      <c r="T1269" s="1643"/>
      <c r="U1269" s="1643"/>
      <c r="V1269" s="1643"/>
      <c r="W1269" s="1643"/>
      <c r="X1269" s="1643"/>
      <c r="Y1269" s="1644"/>
    </row>
    <row r="1270" spans="1:25" hidden="1">
      <c r="A1270" s="1900" t="s">
        <v>275</v>
      </c>
      <c r="B1270" s="1869">
        <v>15</v>
      </c>
      <c r="C1270" s="528">
        <f>SUMIFS('7'!$M$2:$M$85,'7'!$C$2:$C$85,B1270,'7'!$A$2:$A$85,$C$1251)</f>
        <v>3562.9678925861099</v>
      </c>
      <c r="D1270" s="528">
        <f t="shared" si="1531"/>
        <v>3440</v>
      </c>
      <c r="F1270" s="1901">
        <v>17.13</v>
      </c>
      <c r="G1270" s="1902"/>
      <c r="H1270" s="1644">
        <f t="shared" si="1532"/>
        <v>61034</v>
      </c>
      <c r="I1270" s="1644">
        <f t="shared" si="1532"/>
        <v>58927</v>
      </c>
      <c r="K1270" s="1901"/>
      <c r="L1270" s="1902"/>
      <c r="M1270" s="1901"/>
      <c r="N1270" s="1902"/>
      <c r="O1270" s="1901"/>
      <c r="P1270" s="1902"/>
      <c r="Q1270" s="1901"/>
      <c r="R1270" s="1902"/>
      <c r="S1270" s="1643"/>
      <c r="T1270" s="1643"/>
      <c r="U1270" s="1643"/>
      <c r="V1270" s="1643"/>
      <c r="W1270" s="1643"/>
      <c r="X1270" s="1643"/>
      <c r="Y1270" s="1644"/>
    </row>
    <row r="1271" spans="1:25" hidden="1">
      <c r="A1271" s="1900" t="s">
        <v>277</v>
      </c>
      <c r="B1271" s="1869">
        <v>16</v>
      </c>
      <c r="C1271" s="528">
        <f>SUMIFS('7'!$M$2:$M$85,'7'!$C$2:$C$85,B1271,'7'!$A$2:$A$85,$C$1251)</f>
        <v>732.46618460229695</v>
      </c>
      <c r="D1271" s="528">
        <f t="shared" si="1531"/>
        <v>707</v>
      </c>
      <c r="F1271" s="1901">
        <v>23.51</v>
      </c>
      <c r="G1271" s="1902"/>
      <c r="H1271" s="1644">
        <f t="shared" si="1532"/>
        <v>17220</v>
      </c>
      <c r="I1271" s="1644">
        <f t="shared" si="1532"/>
        <v>16622</v>
      </c>
      <c r="K1271" s="1901"/>
      <c r="L1271" s="1902"/>
      <c r="M1271" s="1901"/>
      <c r="N1271" s="1902"/>
      <c r="O1271" s="1901"/>
      <c r="P1271" s="1902"/>
      <c r="Q1271" s="1901"/>
      <c r="R1271" s="1902"/>
      <c r="S1271" s="1643"/>
      <c r="T1271" s="1643"/>
      <c r="U1271" s="1643"/>
      <c r="V1271" s="1643"/>
      <c r="W1271" s="1643"/>
      <c r="X1271" s="1643"/>
      <c r="Y1271" s="1644"/>
    </row>
    <row r="1272" spans="1:25" hidden="1">
      <c r="A1272" s="1900" t="s">
        <v>278</v>
      </c>
      <c r="B1272" s="1869">
        <v>17</v>
      </c>
      <c r="C1272" s="528">
        <f>SUMIFS('7'!$M$2:$M$85,'7'!$C$2:$C$85,B1272,'7'!$A$2:$A$85,$C$1251)</f>
        <v>1140.0325011775799</v>
      </c>
      <c r="D1272" s="528">
        <f t="shared" si="1531"/>
        <v>1101</v>
      </c>
      <c r="F1272" s="1901">
        <v>21.23</v>
      </c>
      <c r="G1272" s="1902"/>
      <c r="H1272" s="1644">
        <f t="shared" si="1532"/>
        <v>24203</v>
      </c>
      <c r="I1272" s="1644">
        <f t="shared" si="1532"/>
        <v>23374</v>
      </c>
      <c r="K1272" s="1901"/>
      <c r="L1272" s="1902"/>
      <c r="M1272" s="1901"/>
      <c r="N1272" s="1902"/>
      <c r="O1272" s="1901"/>
      <c r="P1272" s="1902"/>
      <c r="Q1272" s="1901"/>
      <c r="R1272" s="1902"/>
      <c r="S1272" s="1643"/>
      <c r="T1272" s="1643"/>
      <c r="U1272" s="1643"/>
      <c r="V1272" s="1643"/>
      <c r="W1272" s="1643"/>
      <c r="X1272" s="1643"/>
      <c r="Y1272" s="1644"/>
    </row>
    <row r="1273" spans="1:25" hidden="1">
      <c r="A1273" s="1900" t="s">
        <v>279</v>
      </c>
      <c r="B1273" s="1869">
        <v>18</v>
      </c>
      <c r="C1273" s="528">
        <f>SUMIFS('7'!$M$2:$M$85,'7'!$C$2:$C$85,B1273,'7'!$A$2:$A$85,$C$1251)</f>
        <v>6225.63356890459</v>
      </c>
      <c r="D1273" s="528">
        <f t="shared" si="1531"/>
        <v>6011</v>
      </c>
      <c r="F1273" s="1901">
        <v>28.3</v>
      </c>
      <c r="G1273" s="1902"/>
      <c r="H1273" s="1644">
        <f t="shared" si="1532"/>
        <v>176185</v>
      </c>
      <c r="I1273" s="1644">
        <f t="shared" si="1532"/>
        <v>170111</v>
      </c>
      <c r="K1273" s="1901"/>
      <c r="L1273" s="1902"/>
      <c r="M1273" s="1901"/>
      <c r="N1273" s="1902"/>
      <c r="O1273" s="1901"/>
      <c r="P1273" s="1902"/>
      <c r="Q1273" s="1901"/>
      <c r="R1273" s="1902"/>
      <c r="S1273" s="1643"/>
      <c r="T1273" s="1643"/>
      <c r="U1273" s="1643"/>
      <c r="V1273" s="1643"/>
      <c r="W1273" s="1643"/>
      <c r="X1273" s="1643"/>
      <c r="Y1273" s="1644"/>
    </row>
    <row r="1274" spans="1:25" hidden="1">
      <c r="A1274" s="1900" t="s">
        <v>280</v>
      </c>
      <c r="B1274" s="1869">
        <v>19</v>
      </c>
      <c r="C1274" s="528">
        <f>SUMIFS('7'!$M$2:$M$85,'7'!$C$2:$C$85,B1274,'7'!$A$2:$A$85,$C$1251)</f>
        <v>7943.3012697191298</v>
      </c>
      <c r="D1274" s="528">
        <f t="shared" si="1531"/>
        <v>7669</v>
      </c>
      <c r="F1274" s="1901">
        <v>25.99</v>
      </c>
      <c r="G1274" s="1902"/>
      <c r="H1274" s="1644">
        <f t="shared" si="1532"/>
        <v>206446</v>
      </c>
      <c r="I1274" s="1644">
        <f t="shared" si="1532"/>
        <v>199317</v>
      </c>
      <c r="K1274" s="1901"/>
      <c r="L1274" s="1902"/>
      <c r="M1274" s="1901"/>
      <c r="N1274" s="1902"/>
      <c r="O1274" s="1901"/>
      <c r="P1274" s="1902"/>
      <c r="Q1274" s="1901"/>
      <c r="R1274" s="1902"/>
      <c r="S1274" s="1643"/>
      <c r="T1274" s="1643"/>
      <c r="U1274" s="1643"/>
      <c r="V1274" s="1643"/>
      <c r="W1274" s="1643"/>
      <c r="X1274" s="1643"/>
      <c r="Y1274" s="1644"/>
    </row>
    <row r="1275" spans="1:25" hidden="1">
      <c r="A1275" s="1960" t="s">
        <v>289</v>
      </c>
      <c r="C1275" s="528"/>
      <c r="D1275" s="528"/>
      <c r="K1275" s="1901"/>
      <c r="M1275" s="1901"/>
      <c r="O1275" s="1901"/>
      <c r="Q1275" s="1901"/>
    </row>
    <row r="1276" spans="1:25" hidden="1">
      <c r="A1276" s="1900" t="s">
        <v>290</v>
      </c>
      <c r="B1276" s="1869">
        <v>20</v>
      </c>
      <c r="C1276" s="528">
        <f>SUMIFS('7'!$M$2:$M$85,'7'!$C$2:$C$85,B1276,'7'!$A$2:$A$85,$C$1251)</f>
        <v>0</v>
      </c>
      <c r="D1276" s="528">
        <f t="shared" ref="D1276:D1283" si="1533">ROUND(C1276/$C$1285*$D$1285,0)</f>
        <v>0</v>
      </c>
      <c r="F1276" s="1901">
        <v>29.4</v>
      </c>
      <c r="G1276" s="1902"/>
      <c r="H1276" s="1644">
        <f t="shared" ref="H1276:I1283" si="1534">ROUND($F1276*C1276,0)</f>
        <v>0</v>
      </c>
      <c r="I1276" s="1644">
        <f t="shared" si="1534"/>
        <v>0</v>
      </c>
      <c r="K1276" s="1901"/>
      <c r="L1276" s="1902"/>
      <c r="M1276" s="1901"/>
      <c r="N1276" s="1902"/>
      <c r="O1276" s="1901"/>
      <c r="P1276" s="1902"/>
      <c r="Q1276" s="1901"/>
      <c r="R1276" s="1902"/>
      <c r="S1276" s="1643"/>
      <c r="T1276" s="1643"/>
      <c r="U1276" s="1643"/>
      <c r="V1276" s="1643"/>
      <c r="W1276" s="1643"/>
      <c r="X1276" s="1643"/>
      <c r="Y1276" s="1644"/>
    </row>
    <row r="1277" spans="1:25" hidden="1">
      <c r="A1277" s="1900" t="s">
        <v>291</v>
      </c>
      <c r="B1277" s="1869">
        <v>21</v>
      </c>
      <c r="C1277" s="528">
        <f>SUMIFS('7'!$M$2:$M$85,'7'!$C$2:$C$85,B1277,'7'!$A$2:$A$85,$C$1251)</f>
        <v>264</v>
      </c>
      <c r="D1277" s="528">
        <f t="shared" si="1533"/>
        <v>255</v>
      </c>
      <c r="F1277" s="1901">
        <v>21.79</v>
      </c>
      <c r="G1277" s="1902"/>
      <c r="H1277" s="1644">
        <f t="shared" si="1534"/>
        <v>5753</v>
      </c>
      <c r="I1277" s="1644">
        <f t="shared" si="1534"/>
        <v>5556</v>
      </c>
      <c r="K1277" s="1901"/>
      <c r="L1277" s="1902"/>
      <c r="M1277" s="1901"/>
      <c r="N1277" s="1902"/>
      <c r="O1277" s="1901"/>
      <c r="P1277" s="1902"/>
      <c r="Q1277" s="1901"/>
      <c r="R1277" s="1902"/>
      <c r="S1277" s="1643"/>
      <c r="T1277" s="1643"/>
      <c r="U1277" s="1643"/>
      <c r="V1277" s="1643"/>
      <c r="W1277" s="1643"/>
      <c r="X1277" s="1643"/>
      <c r="Y1277" s="1644"/>
    </row>
    <row r="1278" spans="1:25" hidden="1">
      <c r="A1278" s="1900" t="s">
        <v>292</v>
      </c>
      <c r="B1278" s="1869">
        <v>22</v>
      </c>
      <c r="C1278" s="528">
        <f>SUMIFS('7'!$M$2:$M$85,'7'!$C$2:$C$85,B1278,'7'!$A$2:$A$85,$C$1251)</f>
        <v>72</v>
      </c>
      <c r="D1278" s="528">
        <f t="shared" si="1533"/>
        <v>70</v>
      </c>
      <c r="F1278" s="1901">
        <v>34.340000000000003</v>
      </c>
      <c r="G1278" s="1902"/>
      <c r="H1278" s="1644">
        <f t="shared" si="1534"/>
        <v>2472</v>
      </c>
      <c r="I1278" s="1644">
        <f t="shared" si="1534"/>
        <v>2404</v>
      </c>
      <c r="K1278" s="1901"/>
      <c r="L1278" s="1902"/>
      <c r="M1278" s="1901"/>
      <c r="N1278" s="1902"/>
      <c r="O1278" s="1901"/>
      <c r="P1278" s="1902"/>
      <c r="Q1278" s="1901"/>
      <c r="R1278" s="1902"/>
      <c r="S1278" s="1643"/>
      <c r="T1278" s="1643"/>
      <c r="U1278" s="1643"/>
      <c r="V1278" s="1643"/>
      <c r="W1278" s="1643"/>
      <c r="X1278" s="1643"/>
      <c r="Y1278" s="1644"/>
    </row>
    <row r="1279" spans="1:25" hidden="1">
      <c r="A1279" s="1900" t="s">
        <v>293</v>
      </c>
      <c r="B1279" s="1869">
        <v>23</v>
      </c>
      <c r="C1279" s="528">
        <f>SUMIFS('7'!$M$2:$M$85,'7'!$C$2:$C$85,B1279,'7'!$A$2:$A$85,$C$1251)</f>
        <v>84</v>
      </c>
      <c r="D1279" s="528">
        <f t="shared" si="1533"/>
        <v>81</v>
      </c>
      <c r="F1279" s="1901">
        <v>27.43</v>
      </c>
      <c r="G1279" s="1902"/>
      <c r="H1279" s="1644">
        <f t="shared" si="1534"/>
        <v>2304</v>
      </c>
      <c r="I1279" s="1644">
        <f t="shared" si="1534"/>
        <v>2222</v>
      </c>
      <c r="K1279" s="1901"/>
      <c r="L1279" s="1902"/>
      <c r="M1279" s="1901"/>
      <c r="N1279" s="1902"/>
      <c r="O1279" s="1901"/>
      <c r="P1279" s="1902"/>
      <c r="Q1279" s="1901"/>
      <c r="R1279" s="1902"/>
      <c r="S1279" s="1643"/>
      <c r="T1279" s="1643"/>
      <c r="U1279" s="1643"/>
      <c r="V1279" s="1643"/>
      <c r="W1279" s="1643"/>
      <c r="X1279" s="1643"/>
      <c r="Y1279" s="1644"/>
    </row>
    <row r="1280" spans="1:25" hidden="1">
      <c r="A1280" s="1900" t="s">
        <v>294</v>
      </c>
      <c r="B1280" s="1869">
        <v>24</v>
      </c>
      <c r="C1280" s="528">
        <f>SUMIFS('7'!$M$2:$M$85,'7'!$C$2:$C$85,B1280,'7'!$A$2:$A$85,$C$1251)</f>
        <v>252</v>
      </c>
      <c r="D1280" s="528">
        <f t="shared" si="1533"/>
        <v>243</v>
      </c>
      <c r="F1280" s="1901">
        <v>36.69</v>
      </c>
      <c r="G1280" s="1902"/>
      <c r="H1280" s="1644">
        <f t="shared" si="1534"/>
        <v>9246</v>
      </c>
      <c r="I1280" s="1644">
        <f t="shared" si="1534"/>
        <v>8916</v>
      </c>
      <c r="K1280" s="1901"/>
      <c r="L1280" s="1902"/>
      <c r="M1280" s="1901"/>
      <c r="N1280" s="1902"/>
      <c r="O1280" s="1901"/>
      <c r="P1280" s="1902"/>
      <c r="Q1280" s="1901"/>
      <c r="R1280" s="1902"/>
      <c r="S1280" s="1643"/>
      <c r="T1280" s="1643"/>
      <c r="U1280" s="1643"/>
      <c r="V1280" s="1643"/>
      <c r="W1280" s="1643"/>
      <c r="X1280" s="1643"/>
      <c r="Y1280" s="1644"/>
    </row>
    <row r="1281" spans="1:28" hidden="1">
      <c r="A1281" s="1900" t="s">
        <v>297</v>
      </c>
      <c r="B1281" s="1869">
        <v>25</v>
      </c>
      <c r="C1281" s="528">
        <f>SUMIFS('7'!$M$2:$M$85,'7'!$C$2:$C$85,B1281,'7'!$A$2:$A$85,$C$1251)</f>
        <v>563.06628532974401</v>
      </c>
      <c r="D1281" s="528">
        <f t="shared" si="1533"/>
        <v>544</v>
      </c>
      <c r="F1281" s="1901">
        <v>29.72</v>
      </c>
      <c r="G1281" s="1902"/>
      <c r="H1281" s="1644">
        <f t="shared" si="1534"/>
        <v>16734</v>
      </c>
      <c r="I1281" s="1644">
        <f t="shared" si="1534"/>
        <v>16168</v>
      </c>
      <c r="K1281" s="1901"/>
      <c r="L1281" s="1902"/>
      <c r="M1281" s="1901"/>
      <c r="N1281" s="1902"/>
      <c r="O1281" s="1901"/>
      <c r="P1281" s="1902"/>
      <c r="Q1281" s="1901"/>
      <c r="R1281" s="1902"/>
      <c r="S1281" s="1643"/>
      <c r="T1281" s="1643"/>
      <c r="U1281" s="1643"/>
      <c r="V1281" s="1643"/>
      <c r="W1281" s="1643"/>
      <c r="X1281" s="1643"/>
      <c r="Y1281" s="1644"/>
    </row>
    <row r="1282" spans="1:28" hidden="1">
      <c r="A1282" s="1900" t="s">
        <v>298</v>
      </c>
      <c r="B1282" s="1869">
        <v>26</v>
      </c>
      <c r="C1282" s="528">
        <f>SUMIFS('7'!$M$2:$M$85,'7'!$C$2:$C$85,B1282,'7'!$A$2:$A$85,$C$1251)</f>
        <v>12</v>
      </c>
      <c r="D1282" s="528">
        <f t="shared" si="1533"/>
        <v>12</v>
      </c>
      <c r="F1282" s="1901">
        <v>57.58</v>
      </c>
      <c r="G1282" s="1902"/>
      <c r="H1282" s="1644">
        <f t="shared" si="1534"/>
        <v>691</v>
      </c>
      <c r="I1282" s="1644">
        <f t="shared" si="1534"/>
        <v>691</v>
      </c>
      <c r="K1282" s="1901"/>
      <c r="L1282" s="1902"/>
      <c r="M1282" s="1901"/>
      <c r="N1282" s="1902"/>
      <c r="O1282" s="1901"/>
      <c r="P1282" s="1902"/>
      <c r="Q1282" s="1901"/>
      <c r="R1282" s="1902"/>
      <c r="S1282" s="1643"/>
      <c r="T1282" s="1643"/>
      <c r="U1282" s="1643"/>
      <c r="V1282" s="1643"/>
      <c r="W1282" s="1643"/>
      <c r="X1282" s="1643"/>
      <c r="Y1282" s="1644"/>
    </row>
    <row r="1283" spans="1:28" hidden="1">
      <c r="A1283" s="1900" t="s">
        <v>300</v>
      </c>
      <c r="B1283" s="1869">
        <v>27</v>
      </c>
      <c r="C1283" s="528">
        <f>SUMIFS('7'!$M$2:$M$85,'7'!$C$2:$C$85,B1283,'7'!$A$2:$A$85,$C$1251)</f>
        <v>33.733401221995898</v>
      </c>
      <c r="D1283" s="528">
        <f t="shared" si="1533"/>
        <v>33</v>
      </c>
      <c r="F1283" s="1901">
        <v>49.1</v>
      </c>
      <c r="G1283" s="1902"/>
      <c r="H1283" s="1644">
        <f t="shared" si="1534"/>
        <v>1656</v>
      </c>
      <c r="I1283" s="1644">
        <f t="shared" si="1534"/>
        <v>1620</v>
      </c>
      <c r="K1283" s="1901"/>
      <c r="L1283" s="1902"/>
      <c r="M1283" s="1901"/>
      <c r="N1283" s="1902"/>
      <c r="O1283" s="1901"/>
      <c r="P1283" s="1902"/>
      <c r="Q1283" s="1901"/>
      <c r="R1283" s="1902"/>
      <c r="S1283" s="1643"/>
      <c r="T1283" s="1643"/>
      <c r="U1283" s="1643"/>
      <c r="V1283" s="1643"/>
      <c r="W1283" s="1643"/>
      <c r="X1283" s="1643"/>
      <c r="Y1283" s="1644"/>
    </row>
    <row r="1284" spans="1:28" hidden="1">
      <c r="A1284" s="1900" t="s">
        <v>130</v>
      </c>
      <c r="C1284" s="528">
        <f>SUM(C1252:C1283)</f>
        <v>85763.472006293101</v>
      </c>
      <c r="D1284" s="528">
        <f>SUM(D1252:D1283)</f>
        <v>82807</v>
      </c>
      <c r="H1284" s="1644">
        <f>SUM(H1252:H1283)</f>
        <v>1685159</v>
      </c>
      <c r="I1284" s="1644">
        <f>SUM(I1252:I1283)</f>
        <v>1627103</v>
      </c>
      <c r="Y1284" s="1644"/>
    </row>
    <row r="1285" spans="1:28" hidden="1">
      <c r="A1285" s="1900" t="s">
        <v>36</v>
      </c>
      <c r="C1285" s="1027">
        <f>'7'!N88</f>
        <v>7238624.0497356383</v>
      </c>
      <c r="D1285" s="1027">
        <f>D1290</f>
        <v>6988898.6263882052</v>
      </c>
      <c r="H1285" s="1644"/>
      <c r="I1285" s="1644"/>
      <c r="Y1285" s="1644"/>
    </row>
    <row r="1286" spans="1:28" hidden="1">
      <c r="A1286" s="1900" t="s">
        <v>136</v>
      </c>
      <c r="C1286" s="1028">
        <f>'Table 2'!J52</f>
        <v>38396</v>
      </c>
      <c r="D1286" s="1028">
        <v>0</v>
      </c>
      <c r="F1286" s="1961"/>
      <c r="H1286" s="1030">
        <f>'Table 3'!F52</f>
        <v>9758</v>
      </c>
      <c r="I1286" s="1030">
        <v>0</v>
      </c>
      <c r="K1286" s="1961"/>
      <c r="M1286" s="1961"/>
      <c r="O1286" s="1961"/>
      <c r="Q1286" s="1961"/>
      <c r="Y1286" s="1030"/>
    </row>
    <row r="1287" spans="1:28" hidden="1">
      <c r="A1287" s="1900" t="s">
        <v>1240</v>
      </c>
      <c r="C1287" s="584"/>
      <c r="D1287" s="584"/>
      <c r="F1287" s="1930">
        <v>-1.9800000000000002E-2</v>
      </c>
      <c r="G1287" s="597"/>
      <c r="H1287" s="1644">
        <f>H1284*$F1287</f>
        <v>-33366.148200000003</v>
      </c>
      <c r="I1287" s="1644">
        <f>I1284*$F1287</f>
        <v>-32216.639400000004</v>
      </c>
      <c r="K1287" s="1930"/>
      <c r="L1287" s="597"/>
      <c r="M1287" s="1930"/>
      <c r="N1287" s="597"/>
      <c r="O1287" s="1931" t="str">
        <f>$O$43</f>
        <v>Tax Year 1 (7/1/2021)</v>
      </c>
      <c r="P1287" s="597"/>
      <c r="Q1287" s="1930">
        <f>$AC$1203</f>
        <v>-1.8700000000000001E-2</v>
      </c>
      <c r="R1287" s="597"/>
      <c r="S1287" s="1645"/>
      <c r="T1287" s="1645"/>
      <c r="U1287" s="1645"/>
      <c r="V1287" s="1645"/>
      <c r="W1287" s="1645"/>
      <c r="X1287" s="1645"/>
      <c r="Y1287" s="1644">
        <f>Q1287*Y1290</f>
        <v>-16529.642551232835</v>
      </c>
    </row>
    <row r="1288" spans="1:28" hidden="1">
      <c r="A1288" s="1900"/>
      <c r="C1288" s="584"/>
      <c r="D1288" s="584"/>
      <c r="F1288" s="1930"/>
      <c r="G1288" s="597"/>
      <c r="H1288" s="1644"/>
      <c r="I1288" s="1644"/>
      <c r="K1288" s="1930"/>
      <c r="L1288" s="597"/>
      <c r="M1288" s="1930"/>
      <c r="N1288" s="597"/>
      <c r="O1288" s="1931" t="str">
        <f>$O$44</f>
        <v>Tax Year 2 (1/1/2022)</v>
      </c>
      <c r="P1288" s="597"/>
      <c r="Q1288" s="1930">
        <f>$AC$1204</f>
        <v>-1.0200000000000001E-2</v>
      </c>
      <c r="R1288" s="597"/>
      <c r="S1288" s="1645"/>
      <c r="T1288" s="1645"/>
      <c r="U1288" s="1645"/>
      <c r="V1288" s="1645"/>
      <c r="W1288" s="1645"/>
      <c r="X1288" s="1645"/>
      <c r="Y1288" s="1644">
        <f>Q1288*Y1290</f>
        <v>-9016.1686643088178</v>
      </c>
    </row>
    <row r="1289" spans="1:28" hidden="1">
      <c r="A1289" s="1900" t="s">
        <v>141</v>
      </c>
      <c r="C1289" s="528">
        <f>'Table 2'!F52</f>
        <v>3860.5833333333298</v>
      </c>
      <c r="D1289" s="528">
        <f>ROUND(Bill!P34/12,0)</f>
        <v>3720</v>
      </c>
    </row>
    <row r="1290" spans="1:28" ht="16.5" hidden="1" thickBot="1">
      <c r="A1290" s="1900" t="s">
        <v>302</v>
      </c>
      <c r="C1290" s="1029">
        <f>C1285+C1286</f>
        <v>7277020.0497356383</v>
      </c>
      <c r="D1290" s="1029">
        <f>Energy!P34</f>
        <v>6988898.6263882052</v>
      </c>
      <c r="F1290" s="1935"/>
      <c r="H1290" s="1646">
        <f>SUM(H1284:H1287)</f>
        <v>1661550.8518000001</v>
      </c>
      <c r="I1290" s="1646">
        <f>SUM(I1284:I1287)</f>
        <v>1594886.3606</v>
      </c>
      <c r="K1290" s="1935"/>
      <c r="M1290" s="1935"/>
      <c r="O1290" s="1935"/>
      <c r="Q1290" s="1935"/>
      <c r="S1290" s="1637">
        <f>$Y1290/$Y$1206*S1248</f>
        <v>158310.44018132109</v>
      </c>
      <c r="U1290" s="1637">
        <f>$Y1290/$Y$1206*U1248</f>
        <v>23417.7027116217</v>
      </c>
      <c r="W1290" s="1637">
        <f>Y1290-S1290-U1290</f>
        <v>702209.96145105897</v>
      </c>
      <c r="Y1290" s="1646">
        <f>$Y$1206/$I$1206*I1290</f>
        <v>883938.10434400174</v>
      </c>
      <c r="AA1290" s="1104" t="s">
        <v>1743</v>
      </c>
      <c r="AB1290" s="1890">
        <f>Y1290/I1290-1</f>
        <v>-0.44576734356706005</v>
      </c>
    </row>
    <row r="1291" spans="1:28" ht="16.5" hidden="1" thickTop="1">
      <c r="E1291" s="597"/>
      <c r="J1291" s="597"/>
    </row>
    <row r="1292" spans="1:28" hidden="1">
      <c r="A1292" s="1897" t="s">
        <v>912</v>
      </c>
      <c r="C1292" s="528"/>
      <c r="D1292" s="528"/>
    </row>
    <row r="1293" spans="1:28" hidden="1">
      <c r="A1293" s="1960" t="s">
        <v>264</v>
      </c>
      <c r="C1293" s="528" t="s">
        <v>438</v>
      </c>
      <c r="D1293" s="528"/>
      <c r="H1293" s="1644"/>
      <c r="I1293" s="1644"/>
      <c r="Y1293" s="1644"/>
    </row>
    <row r="1294" spans="1:28" hidden="1">
      <c r="A1294" s="1900" t="s">
        <v>265</v>
      </c>
      <c r="B1294" s="1869">
        <v>29</v>
      </c>
      <c r="C1294" s="528">
        <f>SUMIFS('7'!$M$2:$M$85,'7'!$C$2:$C$85,B1294,'7'!$A$2:$A$85,$C$1293)</f>
        <v>0</v>
      </c>
      <c r="D1294" s="528">
        <f>ROUND(C1294/$C$1327*$D$1327,0)</f>
        <v>0</v>
      </c>
      <c r="F1294" s="1901">
        <v>5.68</v>
      </c>
      <c r="G1294" s="1902"/>
      <c r="H1294" s="1644">
        <f t="shared" ref="H1294:I1297" si="1535">ROUND($F1294*C1294,0)</f>
        <v>0</v>
      </c>
      <c r="I1294" s="1644">
        <f t="shared" si="1535"/>
        <v>0</v>
      </c>
      <c r="K1294" s="1901"/>
      <c r="L1294" s="1902"/>
      <c r="M1294" s="1901"/>
      <c r="N1294" s="1902"/>
      <c r="O1294" s="1901"/>
      <c r="P1294" s="1902"/>
      <c r="Q1294" s="1901"/>
      <c r="R1294" s="1902"/>
      <c r="S1294" s="1643"/>
      <c r="T1294" s="1643"/>
      <c r="U1294" s="1643"/>
      <c r="V1294" s="1643"/>
      <c r="W1294" s="1643"/>
      <c r="X1294" s="1643"/>
      <c r="Y1294" s="1644"/>
    </row>
    <row r="1295" spans="1:28" hidden="1">
      <c r="A1295" s="1900" t="s">
        <v>266</v>
      </c>
      <c r="B1295" s="1869">
        <v>1</v>
      </c>
      <c r="C1295" s="528">
        <f>SUMIFS('7'!$M$2:$M$85,'7'!$C$2:$C$85,B1295,'7'!$A$2:$A$85,$C$1293)+SUMIFS('7'!$M$2:$M$85,'7'!$C$2:$C$85,28,'7'!$A$2:$A$85,$C$1293)</f>
        <v>2928.8315018315002</v>
      </c>
      <c r="D1295" s="528">
        <f t="shared" ref="D1295:D1297" si="1536">ROUND(C1295/$C$1327*$D$1327,0)</f>
        <v>3072</v>
      </c>
      <c r="F1295" s="1901">
        <v>16.38</v>
      </c>
      <c r="G1295" s="1902"/>
      <c r="H1295" s="1644">
        <f t="shared" si="1535"/>
        <v>47974</v>
      </c>
      <c r="I1295" s="1644">
        <f t="shared" si="1535"/>
        <v>50319</v>
      </c>
      <c r="K1295" s="1901"/>
      <c r="L1295" s="1902"/>
      <c r="M1295" s="1901"/>
      <c r="N1295" s="1902"/>
      <c r="O1295" s="1901"/>
      <c r="P1295" s="1902"/>
      <c r="Q1295" s="1901"/>
      <c r="R1295" s="1902"/>
      <c r="S1295" s="1643"/>
      <c r="T1295" s="1643"/>
      <c r="U1295" s="1643"/>
      <c r="V1295" s="1643"/>
      <c r="W1295" s="1643"/>
      <c r="X1295" s="1643"/>
      <c r="Y1295" s="1644"/>
    </row>
    <row r="1296" spans="1:28" hidden="1">
      <c r="A1296" s="1900" t="s">
        <v>267</v>
      </c>
      <c r="B1296" s="1869">
        <v>40</v>
      </c>
      <c r="C1296" s="528">
        <f>SUMIFS('7'!$M$2:$M$85,'7'!$C$2:$C$85,B1296,'7'!$A$2:$A$85,$C$1293)</f>
        <v>0</v>
      </c>
      <c r="D1296" s="528">
        <f t="shared" si="1536"/>
        <v>0</v>
      </c>
      <c r="F1296" s="1901">
        <v>8.0500000000000007</v>
      </c>
      <c r="G1296" s="1902"/>
      <c r="H1296" s="1644">
        <f t="shared" si="1535"/>
        <v>0</v>
      </c>
      <c r="I1296" s="1644">
        <f t="shared" si="1535"/>
        <v>0</v>
      </c>
      <c r="K1296" s="1901"/>
      <c r="L1296" s="1902"/>
      <c r="M1296" s="1901"/>
      <c r="N1296" s="1902"/>
      <c r="O1296" s="1901"/>
      <c r="P1296" s="1902"/>
      <c r="Q1296" s="1901"/>
      <c r="R1296" s="1902"/>
      <c r="S1296" s="1643"/>
      <c r="T1296" s="1643"/>
      <c r="U1296" s="1643"/>
      <c r="V1296" s="1643"/>
      <c r="W1296" s="1643"/>
      <c r="X1296" s="1643"/>
      <c r="Y1296" s="1644"/>
    </row>
    <row r="1297" spans="1:25" hidden="1">
      <c r="A1297" s="1900" t="s">
        <v>268</v>
      </c>
      <c r="B1297" s="1869">
        <v>2</v>
      </c>
      <c r="C1297" s="528">
        <f>SUMIFS('7'!$M$2:$M$85,'7'!$C$2:$C$85,B1297,'7'!$A$2:$A$85,$C$1293)</f>
        <v>1525.76624346527</v>
      </c>
      <c r="D1297" s="528">
        <f t="shared" si="1536"/>
        <v>1600</v>
      </c>
      <c r="F1297" s="1901">
        <v>26.78</v>
      </c>
      <c r="G1297" s="1902"/>
      <c r="H1297" s="1644">
        <f t="shared" si="1535"/>
        <v>40860</v>
      </c>
      <c r="I1297" s="1644">
        <f t="shared" si="1535"/>
        <v>42848</v>
      </c>
      <c r="K1297" s="1901"/>
      <c r="L1297" s="1902"/>
      <c r="M1297" s="1901"/>
      <c r="N1297" s="1902"/>
      <c r="O1297" s="1901"/>
      <c r="P1297" s="1902"/>
      <c r="Q1297" s="1901"/>
      <c r="R1297" s="1902"/>
      <c r="S1297" s="1643"/>
      <c r="T1297" s="1643"/>
      <c r="U1297" s="1643"/>
      <c r="V1297" s="1643"/>
      <c r="W1297" s="1643"/>
      <c r="X1297" s="1643"/>
      <c r="Y1297" s="1644"/>
    </row>
    <row r="1298" spans="1:25" hidden="1">
      <c r="A1298" s="1960" t="s">
        <v>269</v>
      </c>
      <c r="C1298" s="528"/>
      <c r="D1298" s="528"/>
      <c r="H1298" s="1644"/>
      <c r="I1298" s="1644"/>
      <c r="K1298" s="1901"/>
      <c r="M1298" s="1901"/>
      <c r="O1298" s="1901"/>
      <c r="Q1298" s="1901"/>
      <c r="Y1298" s="1644"/>
    </row>
    <row r="1299" spans="1:25" hidden="1">
      <c r="A1299" s="1900" t="s">
        <v>270</v>
      </c>
      <c r="B1299" s="1869">
        <v>3</v>
      </c>
      <c r="C1299" s="528">
        <f>SUMIFS('7'!$M$2:$M$85,'7'!$C$2:$C$85,B1299,'7'!$A$2:$A$85,$C$1293)</f>
        <v>0</v>
      </c>
      <c r="D1299" s="528">
        <f t="shared" ref="D1299:D1309" si="1537">ROUND(C1299/$C$1327*$D$1327,0)</f>
        <v>0</v>
      </c>
      <c r="F1299" s="1901">
        <v>14.6</v>
      </c>
      <c r="G1299" s="1902"/>
      <c r="H1299" s="1644">
        <f t="shared" ref="H1299:H1309" si="1538">ROUND($F1299*C1299,0)</f>
        <v>0</v>
      </c>
      <c r="I1299" s="1644">
        <f t="shared" ref="I1299:I1309" si="1539">ROUND($F1299*D1299,0)</f>
        <v>0</v>
      </c>
      <c r="K1299" s="1901"/>
      <c r="L1299" s="1902"/>
      <c r="M1299" s="1901"/>
      <c r="N1299" s="1902"/>
      <c r="O1299" s="1901"/>
      <c r="P1299" s="1902"/>
      <c r="Q1299" s="1901"/>
      <c r="R1299" s="1902"/>
      <c r="S1299" s="1643"/>
      <c r="T1299" s="1643"/>
      <c r="U1299" s="1643"/>
      <c r="V1299" s="1643"/>
      <c r="W1299" s="1643"/>
      <c r="X1299" s="1643"/>
      <c r="Y1299" s="1644"/>
    </row>
    <row r="1300" spans="1:25" hidden="1">
      <c r="A1300" s="1900" t="s">
        <v>271</v>
      </c>
      <c r="B1300" s="1869">
        <v>4</v>
      </c>
      <c r="C1300" s="528">
        <f>SUMIFS('7'!$M$2:$M$85,'7'!$C$2:$C$85,B1300,'7'!$A$2:$A$85,$C$1293)</f>
        <v>48</v>
      </c>
      <c r="D1300" s="528">
        <f t="shared" si="1537"/>
        <v>50</v>
      </c>
      <c r="F1300" s="1901">
        <v>12.23</v>
      </c>
      <c r="G1300" s="1902"/>
      <c r="H1300" s="1644">
        <f t="shared" si="1538"/>
        <v>587</v>
      </c>
      <c r="I1300" s="1644">
        <f t="shared" si="1539"/>
        <v>612</v>
      </c>
      <c r="K1300" s="1901"/>
      <c r="L1300" s="1902"/>
      <c r="M1300" s="1901"/>
      <c r="N1300" s="1902"/>
      <c r="O1300" s="1901"/>
      <c r="P1300" s="1902"/>
      <c r="Q1300" s="1901"/>
      <c r="R1300" s="1902"/>
      <c r="S1300" s="1643"/>
      <c r="T1300" s="1643"/>
      <c r="U1300" s="1643"/>
      <c r="V1300" s="1643"/>
      <c r="W1300" s="1643"/>
      <c r="X1300" s="1643"/>
      <c r="Y1300" s="1644"/>
    </row>
    <row r="1301" spans="1:25" hidden="1">
      <c r="A1301" s="1900" t="s">
        <v>272</v>
      </c>
      <c r="B1301" s="1869">
        <v>5</v>
      </c>
      <c r="C1301" s="528">
        <f>SUMIFS('7'!$M$2:$M$85,'7'!$C$2:$C$85,B1301,'7'!$A$2:$A$85,$C$1293)</f>
        <v>737.599870717518</v>
      </c>
      <c r="D1301" s="528">
        <f t="shared" si="1537"/>
        <v>774</v>
      </c>
      <c r="F1301" s="1901">
        <v>15.47</v>
      </c>
      <c r="G1301" s="1902"/>
      <c r="H1301" s="1644">
        <f t="shared" si="1538"/>
        <v>11411</v>
      </c>
      <c r="I1301" s="1644">
        <f t="shared" si="1539"/>
        <v>11974</v>
      </c>
      <c r="K1301" s="1901"/>
      <c r="L1301" s="1902"/>
      <c r="M1301" s="1901"/>
      <c r="N1301" s="1902"/>
      <c r="O1301" s="1901"/>
      <c r="P1301" s="1902"/>
      <c r="Q1301" s="1901"/>
      <c r="R1301" s="1902"/>
      <c r="S1301" s="1643"/>
      <c r="T1301" s="1643"/>
      <c r="U1301" s="1643"/>
      <c r="V1301" s="1643"/>
      <c r="W1301" s="1643"/>
      <c r="X1301" s="1643"/>
      <c r="Y1301" s="1644"/>
    </row>
    <row r="1302" spans="1:25" hidden="1">
      <c r="A1302" s="1900" t="s">
        <v>273</v>
      </c>
      <c r="B1302" s="1869">
        <v>6</v>
      </c>
      <c r="C1302" s="528">
        <f>SUMIFS('7'!$M$2:$M$85,'7'!$C$2:$C$85,B1302,'7'!$A$2:$A$85,$C$1293)</f>
        <v>563.13373403456001</v>
      </c>
      <c r="D1302" s="528">
        <f t="shared" si="1537"/>
        <v>591</v>
      </c>
      <c r="F1302" s="1901">
        <v>13.31</v>
      </c>
      <c r="G1302" s="1902"/>
      <c r="H1302" s="1644">
        <f t="shared" si="1538"/>
        <v>7495</v>
      </c>
      <c r="I1302" s="1644">
        <f t="shared" si="1539"/>
        <v>7866</v>
      </c>
      <c r="K1302" s="1901"/>
      <c r="L1302" s="1902"/>
      <c r="M1302" s="1901"/>
      <c r="N1302" s="1902"/>
      <c r="O1302" s="1901"/>
      <c r="P1302" s="1902"/>
      <c r="Q1302" s="1901"/>
      <c r="R1302" s="1902"/>
      <c r="S1302" s="1643"/>
      <c r="T1302" s="1643"/>
      <c r="U1302" s="1643"/>
      <c r="V1302" s="1643"/>
      <c r="W1302" s="1643"/>
      <c r="X1302" s="1643"/>
      <c r="Y1302" s="1644"/>
    </row>
    <row r="1303" spans="1:25" hidden="1">
      <c r="A1303" s="1900" t="s">
        <v>274</v>
      </c>
      <c r="B1303" s="1869">
        <v>7</v>
      </c>
      <c r="C1303" s="528">
        <f>SUMIFS('7'!$M$2:$M$85,'7'!$C$2:$C$85,B1303,'7'!$A$2:$A$85,$C$1293)</f>
        <v>156</v>
      </c>
      <c r="D1303" s="528">
        <f t="shared" si="1537"/>
        <v>164</v>
      </c>
      <c r="F1303" s="1901">
        <v>19.46</v>
      </c>
      <c r="G1303" s="1902"/>
      <c r="H1303" s="1644">
        <f t="shared" si="1538"/>
        <v>3036</v>
      </c>
      <c r="I1303" s="1644">
        <f t="shared" si="1539"/>
        <v>3191</v>
      </c>
      <c r="K1303" s="1901"/>
      <c r="L1303" s="1902"/>
      <c r="M1303" s="1901"/>
      <c r="N1303" s="1902"/>
      <c r="O1303" s="1901"/>
      <c r="P1303" s="1902"/>
      <c r="Q1303" s="1901"/>
      <c r="R1303" s="1902"/>
      <c r="S1303" s="1643"/>
      <c r="T1303" s="1643"/>
      <c r="U1303" s="1643"/>
      <c r="V1303" s="1643"/>
      <c r="W1303" s="1643"/>
      <c r="X1303" s="1643"/>
      <c r="Y1303" s="1644"/>
    </row>
    <row r="1304" spans="1:25" hidden="1">
      <c r="A1304" s="1900" t="s">
        <v>275</v>
      </c>
      <c r="B1304" s="1869">
        <v>8</v>
      </c>
      <c r="C1304" s="528">
        <f>SUMIFS('7'!$M$2:$M$85,'7'!$C$2:$C$85,B1304,'7'!$A$2:$A$85,$C$1293)</f>
        <v>108</v>
      </c>
      <c r="D1304" s="528">
        <f t="shared" si="1537"/>
        <v>113</v>
      </c>
      <c r="F1304" s="1901">
        <v>17.13</v>
      </c>
      <c r="G1304" s="1902"/>
      <c r="H1304" s="1644">
        <f t="shared" si="1538"/>
        <v>1850</v>
      </c>
      <c r="I1304" s="1644">
        <f t="shared" si="1539"/>
        <v>1936</v>
      </c>
      <c r="K1304" s="1901"/>
      <c r="L1304" s="1902"/>
      <c r="M1304" s="1901"/>
      <c r="N1304" s="1902"/>
      <c r="O1304" s="1901"/>
      <c r="P1304" s="1902"/>
      <c r="Q1304" s="1901"/>
      <c r="R1304" s="1902"/>
      <c r="S1304" s="1643"/>
      <c r="T1304" s="1643"/>
      <c r="U1304" s="1643"/>
      <c r="V1304" s="1643"/>
      <c r="W1304" s="1643"/>
      <c r="X1304" s="1643"/>
      <c r="Y1304" s="1644"/>
    </row>
    <row r="1305" spans="1:25" hidden="1">
      <c r="A1305" s="1900" t="s">
        <v>276</v>
      </c>
      <c r="B1305" s="1869">
        <v>9</v>
      </c>
      <c r="C1305" s="528">
        <f>SUMIFS('7'!$M$2:$M$85,'7'!$C$2:$C$85,B1305,'7'!$A$2:$A$85,$C$1293)</f>
        <v>0</v>
      </c>
      <c r="D1305" s="528">
        <f t="shared" si="1537"/>
        <v>0</v>
      </c>
      <c r="F1305" s="1901">
        <v>21.07</v>
      </c>
      <c r="G1305" s="1902"/>
      <c r="H1305" s="1644">
        <f t="shared" si="1538"/>
        <v>0</v>
      </c>
      <c r="I1305" s="1644">
        <f t="shared" si="1539"/>
        <v>0</v>
      </c>
      <c r="K1305" s="1901"/>
      <c r="L1305" s="1902"/>
      <c r="M1305" s="1901"/>
      <c r="N1305" s="1902"/>
      <c r="O1305" s="1901"/>
      <c r="P1305" s="1902"/>
      <c r="Q1305" s="1901"/>
      <c r="R1305" s="1902"/>
      <c r="S1305" s="1643"/>
      <c r="T1305" s="1643"/>
      <c r="U1305" s="1643"/>
      <c r="V1305" s="1643"/>
      <c r="W1305" s="1643"/>
      <c r="X1305" s="1643"/>
      <c r="Y1305" s="1644"/>
    </row>
    <row r="1306" spans="1:25" hidden="1">
      <c r="A1306" s="1900" t="s">
        <v>277</v>
      </c>
      <c r="B1306" s="1869">
        <v>10</v>
      </c>
      <c r="C1306" s="528">
        <f>SUMIFS('7'!$M$2:$M$85,'7'!$C$2:$C$85,B1306,'7'!$A$2:$A$85,$C$1293)</f>
        <v>256.199914929817</v>
      </c>
      <c r="D1306" s="528">
        <f t="shared" si="1537"/>
        <v>269</v>
      </c>
      <c r="F1306" s="1901">
        <v>23.51</v>
      </c>
      <c r="G1306" s="1902"/>
      <c r="H1306" s="1644">
        <f t="shared" si="1538"/>
        <v>6023</v>
      </c>
      <c r="I1306" s="1644">
        <f t="shared" si="1539"/>
        <v>6324</v>
      </c>
      <c r="K1306" s="1901"/>
      <c r="L1306" s="1902"/>
      <c r="M1306" s="1901"/>
      <c r="N1306" s="1902"/>
      <c r="O1306" s="1901"/>
      <c r="P1306" s="1902"/>
      <c r="Q1306" s="1901"/>
      <c r="R1306" s="1902"/>
      <c r="S1306" s="1643"/>
      <c r="T1306" s="1643"/>
      <c r="U1306" s="1643"/>
      <c r="V1306" s="1643"/>
      <c r="W1306" s="1643"/>
      <c r="X1306" s="1643"/>
      <c r="Y1306" s="1644"/>
    </row>
    <row r="1307" spans="1:25" hidden="1">
      <c r="A1307" s="1900" t="s">
        <v>278</v>
      </c>
      <c r="B1307" s="1869">
        <v>11</v>
      </c>
      <c r="C1307" s="528">
        <f>SUMIFS('7'!$M$2:$M$85,'7'!$C$2:$C$85,B1307,'7'!$A$2:$A$85,$C$1293)</f>
        <v>276</v>
      </c>
      <c r="D1307" s="528">
        <f t="shared" si="1537"/>
        <v>290</v>
      </c>
      <c r="F1307" s="1901">
        <v>21.23</v>
      </c>
      <c r="G1307" s="1902"/>
      <c r="H1307" s="1644">
        <f t="shared" si="1538"/>
        <v>5859</v>
      </c>
      <c r="I1307" s="1644">
        <f t="shared" si="1539"/>
        <v>6157</v>
      </c>
      <c r="K1307" s="1901"/>
      <c r="L1307" s="1902"/>
      <c r="M1307" s="1901"/>
      <c r="N1307" s="1902"/>
      <c r="O1307" s="1901"/>
      <c r="P1307" s="1902"/>
      <c r="Q1307" s="1901"/>
      <c r="R1307" s="1902"/>
      <c r="S1307" s="1643"/>
      <c r="T1307" s="1643"/>
      <c r="U1307" s="1643"/>
      <c r="V1307" s="1643"/>
      <c r="W1307" s="1643"/>
      <c r="X1307" s="1643"/>
      <c r="Y1307" s="1644"/>
    </row>
    <row r="1308" spans="1:25" hidden="1">
      <c r="A1308" s="1900" t="s">
        <v>279</v>
      </c>
      <c r="B1308" s="1869">
        <v>12</v>
      </c>
      <c r="C1308" s="528">
        <f>SUMIFS('7'!$M$2:$M$85,'7'!$C$2:$C$85,B1308,'7'!$A$2:$A$85,$C$1293)</f>
        <v>215.4</v>
      </c>
      <c r="D1308" s="528">
        <f t="shared" si="1537"/>
        <v>226</v>
      </c>
      <c r="F1308" s="1901">
        <v>28.3</v>
      </c>
      <c r="G1308" s="1902"/>
      <c r="H1308" s="1644">
        <f t="shared" si="1538"/>
        <v>6096</v>
      </c>
      <c r="I1308" s="1644">
        <f t="shared" si="1539"/>
        <v>6396</v>
      </c>
      <c r="K1308" s="1901"/>
      <c r="L1308" s="1902"/>
      <c r="M1308" s="1901"/>
      <c r="N1308" s="1902"/>
      <c r="O1308" s="1901"/>
      <c r="P1308" s="1902"/>
      <c r="Q1308" s="1901"/>
      <c r="R1308" s="1902"/>
      <c r="S1308" s="1643"/>
      <c r="T1308" s="1643"/>
      <c r="U1308" s="1643"/>
      <c r="V1308" s="1643"/>
      <c r="W1308" s="1643"/>
      <c r="X1308" s="1643"/>
      <c r="Y1308" s="1644"/>
    </row>
    <row r="1309" spans="1:25" hidden="1">
      <c r="A1309" s="1900" t="s">
        <v>280</v>
      </c>
      <c r="B1309" s="1869">
        <v>13</v>
      </c>
      <c r="C1309" s="528">
        <f>SUMIFS('7'!$M$2:$M$85,'7'!$C$2:$C$85,B1309,'7'!$A$2:$A$85,$C$1293)</f>
        <v>96</v>
      </c>
      <c r="D1309" s="528">
        <f t="shared" si="1537"/>
        <v>101</v>
      </c>
      <c r="F1309" s="1901">
        <v>25.99</v>
      </c>
      <c r="G1309" s="1902"/>
      <c r="H1309" s="1644">
        <f t="shared" si="1538"/>
        <v>2495</v>
      </c>
      <c r="I1309" s="1644">
        <f t="shared" si="1539"/>
        <v>2625</v>
      </c>
      <c r="K1309" s="1901"/>
      <c r="L1309" s="1902"/>
      <c r="M1309" s="1901"/>
      <c r="N1309" s="1902"/>
      <c r="O1309" s="1901"/>
      <c r="P1309" s="1902"/>
      <c r="Q1309" s="1901"/>
      <c r="R1309" s="1902"/>
      <c r="S1309" s="1643"/>
      <c r="T1309" s="1643"/>
      <c r="U1309" s="1643"/>
      <c r="V1309" s="1643"/>
      <c r="W1309" s="1643"/>
      <c r="X1309" s="1643"/>
      <c r="Y1309" s="1644"/>
    </row>
    <row r="1310" spans="1:25" hidden="1">
      <c r="A1310" s="1960" t="s">
        <v>281</v>
      </c>
      <c r="C1310" s="528"/>
      <c r="D1310" s="528"/>
      <c r="H1310" s="1644"/>
      <c r="I1310" s="1644"/>
      <c r="K1310" s="1901"/>
      <c r="M1310" s="1901"/>
      <c r="O1310" s="1901"/>
      <c r="Q1310" s="1901"/>
      <c r="Y1310" s="1644"/>
    </row>
    <row r="1311" spans="1:25" hidden="1">
      <c r="A1311" s="1900" t="s">
        <v>274</v>
      </c>
      <c r="B1311" s="1869">
        <v>14</v>
      </c>
      <c r="C1311" s="528">
        <f>SUMIFS('7'!$M$2:$M$85,'7'!$C$2:$C$85,B1311,'7'!$A$2:$A$85,$C$1293)</f>
        <v>276.66649537512802</v>
      </c>
      <c r="D1311" s="528">
        <f t="shared" ref="D1311:D1316" si="1540">ROUND(C1311/$C$1327*$D$1327,0)</f>
        <v>290</v>
      </c>
      <c r="F1311" s="1901">
        <v>19.46</v>
      </c>
      <c r="G1311" s="1902"/>
      <c r="H1311" s="1644">
        <f t="shared" ref="H1311:I1316" si="1541">ROUND($F1311*C1311,0)</f>
        <v>5384</v>
      </c>
      <c r="I1311" s="1644">
        <f t="shared" si="1541"/>
        <v>5643</v>
      </c>
      <c r="K1311" s="1901"/>
      <c r="L1311" s="1902"/>
      <c r="M1311" s="1901"/>
      <c r="N1311" s="1902"/>
      <c r="O1311" s="1901"/>
      <c r="P1311" s="1902"/>
      <c r="Q1311" s="1901"/>
      <c r="R1311" s="1902"/>
      <c r="S1311" s="1643"/>
      <c r="T1311" s="1643"/>
      <c r="U1311" s="1643"/>
      <c r="V1311" s="1643"/>
      <c r="W1311" s="1643"/>
      <c r="X1311" s="1643"/>
      <c r="Y1311" s="1644"/>
    </row>
    <row r="1312" spans="1:25" hidden="1">
      <c r="A1312" s="1900" t="s">
        <v>275</v>
      </c>
      <c r="B1312" s="1869">
        <v>15</v>
      </c>
      <c r="C1312" s="528">
        <f>SUMIFS('7'!$M$2:$M$85,'7'!$C$2:$C$85,B1312,'7'!$A$2:$A$85,$C$1293)</f>
        <v>84.033274956217198</v>
      </c>
      <c r="D1312" s="528">
        <f t="shared" si="1540"/>
        <v>88</v>
      </c>
      <c r="F1312" s="1901">
        <v>17.13</v>
      </c>
      <c r="G1312" s="1902"/>
      <c r="H1312" s="1644">
        <f t="shared" si="1541"/>
        <v>1439</v>
      </c>
      <c r="I1312" s="1644">
        <f t="shared" si="1541"/>
        <v>1507</v>
      </c>
      <c r="K1312" s="1901"/>
      <c r="L1312" s="1902"/>
      <c r="M1312" s="1901"/>
      <c r="N1312" s="1902"/>
      <c r="O1312" s="1901"/>
      <c r="P1312" s="1902"/>
      <c r="Q1312" s="1901"/>
      <c r="R1312" s="1902"/>
      <c r="S1312" s="1643"/>
      <c r="T1312" s="1643"/>
      <c r="U1312" s="1643"/>
      <c r="V1312" s="1643"/>
      <c r="W1312" s="1643"/>
      <c r="X1312" s="1643"/>
      <c r="Y1312" s="1644"/>
    </row>
    <row r="1313" spans="1:25" hidden="1">
      <c r="A1313" s="1900" t="s">
        <v>277</v>
      </c>
      <c r="B1313" s="1869">
        <v>16</v>
      </c>
      <c r="C1313" s="528">
        <f>SUMIFS('7'!$M$2:$M$85,'7'!$C$2:$C$85,B1313,'7'!$A$2:$A$85,$C$1293)</f>
        <v>36</v>
      </c>
      <c r="D1313" s="528">
        <f t="shared" si="1540"/>
        <v>38</v>
      </c>
      <c r="F1313" s="1901">
        <v>23.51</v>
      </c>
      <c r="G1313" s="1902"/>
      <c r="H1313" s="1644">
        <f t="shared" si="1541"/>
        <v>846</v>
      </c>
      <c r="I1313" s="1644">
        <f t="shared" si="1541"/>
        <v>893</v>
      </c>
      <c r="K1313" s="1901"/>
      <c r="L1313" s="1902"/>
      <c r="M1313" s="1901"/>
      <c r="N1313" s="1902"/>
      <c r="O1313" s="1901"/>
      <c r="P1313" s="1902"/>
      <c r="Q1313" s="1901"/>
      <c r="R1313" s="1902"/>
      <c r="S1313" s="1643"/>
      <c r="T1313" s="1643"/>
      <c r="U1313" s="1643"/>
      <c r="V1313" s="1643"/>
      <c r="W1313" s="1643"/>
      <c r="X1313" s="1643"/>
      <c r="Y1313" s="1644"/>
    </row>
    <row r="1314" spans="1:25" hidden="1">
      <c r="A1314" s="1900" t="s">
        <v>278</v>
      </c>
      <c r="B1314" s="1869">
        <v>17</v>
      </c>
      <c r="C1314" s="528">
        <f>SUMIFS('7'!$M$2:$M$85,'7'!$C$2:$C$85,B1314,'7'!$A$2:$A$85,$C$1293)</f>
        <v>0</v>
      </c>
      <c r="D1314" s="528">
        <f t="shared" si="1540"/>
        <v>0</v>
      </c>
      <c r="F1314" s="1901">
        <v>21.23</v>
      </c>
      <c r="G1314" s="1902"/>
      <c r="H1314" s="1644">
        <f t="shared" si="1541"/>
        <v>0</v>
      </c>
      <c r="I1314" s="1644">
        <f t="shared" si="1541"/>
        <v>0</v>
      </c>
      <c r="K1314" s="1901"/>
      <c r="L1314" s="1902"/>
      <c r="M1314" s="1901"/>
      <c r="N1314" s="1902"/>
      <c r="O1314" s="1901"/>
      <c r="P1314" s="1902"/>
      <c r="Q1314" s="1901"/>
      <c r="R1314" s="1902"/>
      <c r="S1314" s="1643"/>
      <c r="T1314" s="1643"/>
      <c r="U1314" s="1643"/>
      <c r="V1314" s="1643"/>
      <c r="W1314" s="1643"/>
      <c r="X1314" s="1643"/>
      <c r="Y1314" s="1644"/>
    </row>
    <row r="1315" spans="1:25" hidden="1">
      <c r="A1315" s="1900" t="s">
        <v>279</v>
      </c>
      <c r="B1315" s="1869">
        <v>18</v>
      </c>
      <c r="C1315" s="528">
        <f>SUMIFS('7'!$M$2:$M$85,'7'!$C$2:$C$85,B1315,'7'!$A$2:$A$85,$C$1293)</f>
        <v>1450.7102473498201</v>
      </c>
      <c r="D1315" s="528">
        <f t="shared" si="1540"/>
        <v>1522</v>
      </c>
      <c r="F1315" s="1901">
        <v>28.3</v>
      </c>
      <c r="G1315" s="1902"/>
      <c r="H1315" s="1644">
        <f t="shared" si="1541"/>
        <v>41055</v>
      </c>
      <c r="I1315" s="1644">
        <f t="shared" si="1541"/>
        <v>43073</v>
      </c>
      <c r="K1315" s="1901"/>
      <c r="L1315" s="1902"/>
      <c r="M1315" s="1901"/>
      <c r="N1315" s="1902"/>
      <c r="O1315" s="1901"/>
      <c r="P1315" s="1902"/>
      <c r="Q1315" s="1901"/>
      <c r="R1315" s="1902"/>
      <c r="S1315" s="1643"/>
      <c r="T1315" s="1643"/>
      <c r="U1315" s="1643"/>
      <c r="V1315" s="1643"/>
      <c r="W1315" s="1643"/>
      <c r="X1315" s="1643"/>
      <c r="Y1315" s="1644"/>
    </row>
    <row r="1316" spans="1:25" hidden="1">
      <c r="A1316" s="1900" t="s">
        <v>280</v>
      </c>
      <c r="B1316" s="1869">
        <v>19</v>
      </c>
      <c r="C1316" s="528">
        <f>SUMIFS('7'!$M$2:$M$85,'7'!$C$2:$C$85,B1316,'7'!$A$2:$A$85,$C$1293)</f>
        <v>959.43401308195496</v>
      </c>
      <c r="D1316" s="528">
        <f t="shared" si="1540"/>
        <v>1006</v>
      </c>
      <c r="F1316" s="1901">
        <v>25.99</v>
      </c>
      <c r="G1316" s="1902"/>
      <c r="H1316" s="1644">
        <f t="shared" si="1541"/>
        <v>24936</v>
      </c>
      <c r="I1316" s="1644">
        <f t="shared" si="1541"/>
        <v>26146</v>
      </c>
      <c r="K1316" s="1901"/>
      <c r="L1316" s="1902"/>
      <c r="M1316" s="1901"/>
      <c r="N1316" s="1902"/>
      <c r="O1316" s="1901"/>
      <c r="P1316" s="1902"/>
      <c r="Q1316" s="1901"/>
      <c r="R1316" s="1902"/>
      <c r="S1316" s="1643"/>
      <c r="T1316" s="1643"/>
      <c r="U1316" s="1643"/>
      <c r="V1316" s="1643"/>
      <c r="W1316" s="1643"/>
      <c r="X1316" s="1643"/>
      <c r="Y1316" s="1644"/>
    </row>
    <row r="1317" spans="1:25" hidden="1">
      <c r="A1317" s="1960" t="s">
        <v>289</v>
      </c>
      <c r="C1317" s="528"/>
      <c r="D1317" s="528"/>
      <c r="K1317" s="1901"/>
      <c r="M1317" s="1901"/>
      <c r="O1317" s="1901"/>
      <c r="Q1317" s="1901"/>
    </row>
    <row r="1318" spans="1:25" hidden="1">
      <c r="A1318" s="1900" t="s">
        <v>290</v>
      </c>
      <c r="B1318" s="1869">
        <v>20</v>
      </c>
      <c r="C1318" s="528">
        <f>SUMIFS('7'!$M$2:$M$85,'7'!$C$2:$C$85,B1318,'7'!$A$2:$A$85,$C$1293)</f>
        <v>0</v>
      </c>
      <c r="D1318" s="528">
        <f t="shared" ref="D1318:D1325" si="1542">ROUND(C1318/$C$1327*$D$1327,0)</f>
        <v>0</v>
      </c>
      <c r="F1318" s="1901">
        <v>29.4</v>
      </c>
      <c r="G1318" s="1902"/>
      <c r="H1318" s="1644">
        <f t="shared" ref="H1318:I1325" si="1543">ROUND($F1318*C1318,0)</f>
        <v>0</v>
      </c>
      <c r="I1318" s="1644">
        <f t="shared" si="1543"/>
        <v>0</v>
      </c>
      <c r="K1318" s="1901"/>
      <c r="L1318" s="1902"/>
      <c r="M1318" s="1901"/>
      <c r="N1318" s="1902"/>
      <c r="O1318" s="1901"/>
      <c r="P1318" s="1902"/>
      <c r="Q1318" s="1901"/>
      <c r="R1318" s="1902"/>
      <c r="S1318" s="1643"/>
      <c r="T1318" s="1643"/>
      <c r="U1318" s="1643"/>
      <c r="V1318" s="1643"/>
      <c r="W1318" s="1643"/>
      <c r="X1318" s="1643"/>
      <c r="Y1318" s="1644"/>
    </row>
    <row r="1319" spans="1:25" hidden="1">
      <c r="A1319" s="1900" t="s">
        <v>291</v>
      </c>
      <c r="B1319" s="1869">
        <v>21</v>
      </c>
      <c r="C1319" s="528">
        <f>SUMIFS('7'!$M$2:$M$85,'7'!$C$2:$C$85,B1319,'7'!$A$2:$A$85,$C$1293)</f>
        <v>0</v>
      </c>
      <c r="D1319" s="528">
        <f t="shared" si="1542"/>
        <v>0</v>
      </c>
      <c r="F1319" s="1901">
        <v>21.79</v>
      </c>
      <c r="G1319" s="1902"/>
      <c r="H1319" s="1644">
        <f t="shared" si="1543"/>
        <v>0</v>
      </c>
      <c r="I1319" s="1644">
        <f t="shared" si="1543"/>
        <v>0</v>
      </c>
      <c r="K1319" s="1901"/>
      <c r="L1319" s="1902"/>
      <c r="M1319" s="1901"/>
      <c r="N1319" s="1902"/>
      <c r="O1319" s="1901"/>
      <c r="P1319" s="1902"/>
      <c r="Q1319" s="1901"/>
      <c r="R1319" s="1902"/>
      <c r="S1319" s="1643"/>
      <c r="T1319" s="1643"/>
      <c r="U1319" s="1643"/>
      <c r="V1319" s="1643"/>
      <c r="W1319" s="1643"/>
      <c r="X1319" s="1643"/>
      <c r="Y1319" s="1644"/>
    </row>
    <row r="1320" spans="1:25" hidden="1">
      <c r="A1320" s="1900" t="s">
        <v>292</v>
      </c>
      <c r="B1320" s="1869">
        <v>22</v>
      </c>
      <c r="C1320" s="528">
        <f>SUMIFS('7'!$M$2:$M$85,'7'!$C$2:$C$85,B1320,'7'!$A$2:$A$85,$C$1293)</f>
        <v>36</v>
      </c>
      <c r="D1320" s="528">
        <f t="shared" si="1542"/>
        <v>38</v>
      </c>
      <c r="F1320" s="1901">
        <v>34.340000000000003</v>
      </c>
      <c r="G1320" s="1902"/>
      <c r="H1320" s="1644">
        <f t="shared" si="1543"/>
        <v>1236</v>
      </c>
      <c r="I1320" s="1644">
        <f t="shared" si="1543"/>
        <v>1305</v>
      </c>
      <c r="K1320" s="1901"/>
      <c r="L1320" s="1902"/>
      <c r="M1320" s="1901"/>
      <c r="N1320" s="1902"/>
      <c r="O1320" s="1901"/>
      <c r="P1320" s="1902"/>
      <c r="Q1320" s="1901"/>
      <c r="R1320" s="1902"/>
      <c r="S1320" s="1643"/>
      <c r="T1320" s="1643"/>
      <c r="U1320" s="1643"/>
      <c r="V1320" s="1643"/>
      <c r="W1320" s="1643"/>
      <c r="X1320" s="1643"/>
      <c r="Y1320" s="1644"/>
    </row>
    <row r="1321" spans="1:25" hidden="1">
      <c r="A1321" s="1900" t="s">
        <v>293</v>
      </c>
      <c r="B1321" s="1869">
        <v>23</v>
      </c>
      <c r="C1321" s="528">
        <f>SUMIFS('7'!$M$2:$M$85,'7'!$C$2:$C$85,B1321,'7'!$A$2:$A$85,$C$1293)</f>
        <v>12</v>
      </c>
      <c r="D1321" s="528">
        <f t="shared" si="1542"/>
        <v>13</v>
      </c>
      <c r="F1321" s="1901">
        <v>27.43</v>
      </c>
      <c r="G1321" s="1902"/>
      <c r="H1321" s="1644">
        <f t="shared" si="1543"/>
        <v>329</v>
      </c>
      <c r="I1321" s="1644">
        <f t="shared" si="1543"/>
        <v>357</v>
      </c>
      <c r="K1321" s="1901"/>
      <c r="L1321" s="1902"/>
      <c r="M1321" s="1901"/>
      <c r="N1321" s="1902"/>
      <c r="O1321" s="1901"/>
      <c r="P1321" s="1902"/>
      <c r="Q1321" s="1901"/>
      <c r="R1321" s="1902"/>
      <c r="S1321" s="1643"/>
      <c r="T1321" s="1643"/>
      <c r="U1321" s="1643"/>
      <c r="V1321" s="1643"/>
      <c r="W1321" s="1643"/>
      <c r="X1321" s="1643"/>
      <c r="Y1321" s="1644"/>
    </row>
    <row r="1322" spans="1:25" hidden="1">
      <c r="A1322" s="1900" t="s">
        <v>294</v>
      </c>
      <c r="B1322" s="1869">
        <v>24</v>
      </c>
      <c r="C1322" s="528">
        <f>SUMIFS('7'!$M$2:$M$85,'7'!$C$2:$C$85,B1322,'7'!$A$2:$A$85,$C$1293)</f>
        <v>0</v>
      </c>
      <c r="D1322" s="528">
        <f t="shared" si="1542"/>
        <v>0</v>
      </c>
      <c r="F1322" s="1901">
        <v>36.69</v>
      </c>
      <c r="G1322" s="1902"/>
      <c r="H1322" s="1644">
        <f t="shared" si="1543"/>
        <v>0</v>
      </c>
      <c r="I1322" s="1644">
        <f t="shared" si="1543"/>
        <v>0</v>
      </c>
      <c r="K1322" s="1901"/>
      <c r="L1322" s="1902"/>
      <c r="M1322" s="1901"/>
      <c r="N1322" s="1902"/>
      <c r="O1322" s="1901"/>
      <c r="P1322" s="1902"/>
      <c r="Q1322" s="1901"/>
      <c r="R1322" s="1902"/>
      <c r="S1322" s="1643"/>
      <c r="T1322" s="1643"/>
      <c r="U1322" s="1643"/>
      <c r="V1322" s="1643"/>
      <c r="W1322" s="1643"/>
      <c r="X1322" s="1643"/>
      <c r="Y1322" s="1644"/>
    </row>
    <row r="1323" spans="1:25" hidden="1">
      <c r="A1323" s="1900" t="s">
        <v>297</v>
      </c>
      <c r="B1323" s="1869">
        <v>25</v>
      </c>
      <c r="C1323" s="528">
        <f>SUMIFS('7'!$M$2:$M$85,'7'!$C$2:$C$85,B1323,'7'!$A$2:$A$85,$C$1293)</f>
        <v>0</v>
      </c>
      <c r="D1323" s="528">
        <f t="shared" si="1542"/>
        <v>0</v>
      </c>
      <c r="F1323" s="1901">
        <v>29.72</v>
      </c>
      <c r="G1323" s="1902"/>
      <c r="H1323" s="1644">
        <f t="shared" si="1543"/>
        <v>0</v>
      </c>
      <c r="I1323" s="1644">
        <f t="shared" si="1543"/>
        <v>0</v>
      </c>
      <c r="K1323" s="1901"/>
      <c r="L1323" s="1902"/>
      <c r="M1323" s="1901"/>
      <c r="N1323" s="1902"/>
      <c r="O1323" s="1901"/>
      <c r="P1323" s="1902"/>
      <c r="Q1323" s="1901"/>
      <c r="R1323" s="1902"/>
      <c r="S1323" s="1643"/>
      <c r="T1323" s="1643"/>
      <c r="U1323" s="1643"/>
      <c r="V1323" s="1643"/>
      <c r="W1323" s="1643"/>
      <c r="X1323" s="1643"/>
      <c r="Y1323" s="1644"/>
    </row>
    <row r="1324" spans="1:25" hidden="1">
      <c r="A1324" s="1900" t="s">
        <v>298</v>
      </c>
      <c r="B1324" s="1869">
        <v>26</v>
      </c>
      <c r="C1324" s="528">
        <f>SUMIFS('7'!$M$2:$M$85,'7'!$C$2:$C$85,B1324,'7'!$A$2:$A$85,$C$1293)</f>
        <v>0</v>
      </c>
      <c r="D1324" s="528">
        <f t="shared" si="1542"/>
        <v>0</v>
      </c>
      <c r="F1324" s="1901">
        <v>57.58</v>
      </c>
      <c r="G1324" s="1902"/>
      <c r="H1324" s="1644">
        <f t="shared" si="1543"/>
        <v>0</v>
      </c>
      <c r="I1324" s="1644">
        <f t="shared" si="1543"/>
        <v>0</v>
      </c>
      <c r="K1324" s="1901"/>
      <c r="L1324" s="1902"/>
      <c r="M1324" s="1901"/>
      <c r="N1324" s="1902"/>
      <c r="O1324" s="1901"/>
      <c r="P1324" s="1902"/>
      <c r="Q1324" s="1901"/>
      <c r="R1324" s="1902"/>
      <c r="S1324" s="1643"/>
      <c r="T1324" s="1643"/>
      <c r="U1324" s="1643"/>
      <c r="V1324" s="1643"/>
      <c r="W1324" s="1643"/>
      <c r="X1324" s="1643"/>
      <c r="Y1324" s="1644"/>
    </row>
    <row r="1325" spans="1:25" hidden="1">
      <c r="A1325" s="1900" t="s">
        <v>300</v>
      </c>
      <c r="B1325" s="1869">
        <v>27</v>
      </c>
      <c r="C1325" s="528">
        <f>SUMIFS('7'!$M$2:$M$85,'7'!$C$2:$C$85,B1325,'7'!$A$2:$A$85,$C$1293)</f>
        <v>0</v>
      </c>
      <c r="D1325" s="528">
        <f t="shared" si="1542"/>
        <v>0</v>
      </c>
      <c r="F1325" s="1901">
        <v>49.1</v>
      </c>
      <c r="G1325" s="1902"/>
      <c r="H1325" s="1644">
        <f t="shared" si="1543"/>
        <v>0</v>
      </c>
      <c r="I1325" s="1644">
        <f t="shared" si="1543"/>
        <v>0</v>
      </c>
      <c r="K1325" s="1901"/>
      <c r="L1325" s="1902"/>
      <c r="M1325" s="1901"/>
      <c r="N1325" s="1902"/>
      <c r="O1325" s="1901"/>
      <c r="P1325" s="1902"/>
      <c r="Q1325" s="1901"/>
      <c r="R1325" s="1902"/>
      <c r="S1325" s="1643"/>
      <c r="T1325" s="1643"/>
      <c r="U1325" s="1643"/>
      <c r="V1325" s="1643"/>
      <c r="W1325" s="1643"/>
      <c r="X1325" s="1643"/>
      <c r="Y1325" s="1644"/>
    </row>
    <row r="1326" spans="1:25" hidden="1">
      <c r="A1326" s="1900" t="s">
        <v>130</v>
      </c>
      <c r="C1326" s="528">
        <f>SUM(C1294:C1325)</f>
        <v>9765.7752957417852</v>
      </c>
      <c r="D1326" s="528">
        <f>SUM(D1294:D1325)</f>
        <v>10245</v>
      </c>
      <c r="H1326" s="1644">
        <f>SUM(H1294:H1325)</f>
        <v>208911</v>
      </c>
      <c r="I1326" s="1644">
        <f>SUM(I1294:I1325)</f>
        <v>219172</v>
      </c>
      <c r="Y1326" s="1644"/>
    </row>
    <row r="1327" spans="1:25" hidden="1">
      <c r="A1327" s="1900" t="s">
        <v>36</v>
      </c>
      <c r="C1327" s="1027">
        <f>'7'!N89</f>
        <v>974055.11834088468</v>
      </c>
      <c r="D1327" s="1027">
        <f>D1332</f>
        <v>1021723.7132091596</v>
      </c>
      <c r="H1327" s="1644"/>
      <c r="I1327" s="1644"/>
      <c r="Y1327" s="1644"/>
    </row>
    <row r="1328" spans="1:25" hidden="1">
      <c r="A1328" s="1900" t="s">
        <v>136</v>
      </c>
      <c r="C1328" s="1028">
        <f>'Table 2'!J89</f>
        <v>-15790</v>
      </c>
      <c r="D1328" s="1028">
        <v>0</v>
      </c>
      <c r="F1328" s="1961"/>
      <c r="H1328" s="1649">
        <f>'Table 3'!F89</f>
        <v>-3114</v>
      </c>
      <c r="I1328" s="1030">
        <v>0</v>
      </c>
      <c r="K1328" s="1961"/>
      <c r="M1328" s="1961"/>
      <c r="O1328" s="1961"/>
      <c r="Q1328" s="1961"/>
      <c r="Y1328" s="1030"/>
    </row>
    <row r="1329" spans="1:28" hidden="1">
      <c r="A1329" s="1900" t="s">
        <v>1240</v>
      </c>
      <c r="C1329" s="584"/>
      <c r="D1329" s="584"/>
      <c r="F1329" s="1930">
        <v>-1.9800000000000002E-2</v>
      </c>
      <c r="G1329" s="597"/>
      <c r="H1329" s="1644">
        <f>H1326*$F1329</f>
        <v>-4136.4378000000006</v>
      </c>
      <c r="I1329" s="1644">
        <f>I1326*$F1329</f>
        <v>-4339.6056000000008</v>
      </c>
      <c r="K1329" s="1930"/>
      <c r="L1329" s="597"/>
      <c r="M1329" s="1930"/>
      <c r="N1329" s="597"/>
      <c r="O1329" s="1931" t="str">
        <f>$O$43</f>
        <v>Tax Year 1 (7/1/2021)</v>
      </c>
      <c r="P1329" s="597"/>
      <c r="Q1329" s="1930">
        <f>$AC$1203</f>
        <v>-1.8700000000000001E-2</v>
      </c>
      <c r="R1329" s="597"/>
      <c r="S1329" s="1645"/>
      <c r="T1329" s="1645"/>
      <c r="U1329" s="1645"/>
      <c r="V1329" s="1645"/>
      <c r="W1329" s="1645"/>
      <c r="X1329" s="1645"/>
      <c r="Y1329" s="1644">
        <f>Q1329*Y1332</f>
        <v>-2226.555305496212</v>
      </c>
    </row>
    <row r="1330" spans="1:28" hidden="1">
      <c r="A1330" s="1900"/>
      <c r="C1330" s="584"/>
      <c r="D1330" s="584"/>
      <c r="F1330" s="1930"/>
      <c r="G1330" s="597"/>
      <c r="H1330" s="1644"/>
      <c r="I1330" s="1644"/>
      <c r="K1330" s="1930"/>
      <c r="L1330" s="597"/>
      <c r="M1330" s="1930"/>
      <c r="N1330" s="597"/>
      <c r="O1330" s="1931" t="str">
        <f>$O$44</f>
        <v>Tax Year 2 (1/1/2022)</v>
      </c>
      <c r="P1330" s="597"/>
      <c r="Q1330" s="1930">
        <f>$AC$1204</f>
        <v>-1.0200000000000001E-2</v>
      </c>
      <c r="R1330" s="597"/>
      <c r="S1330" s="1645"/>
      <c r="T1330" s="1645"/>
      <c r="U1330" s="1645"/>
      <c r="V1330" s="1645"/>
      <c r="W1330" s="1645"/>
      <c r="X1330" s="1645"/>
      <c r="Y1330" s="1644">
        <f>Q1330*Y1332</f>
        <v>-1214.4847120888428</v>
      </c>
    </row>
    <row r="1331" spans="1:28" hidden="1">
      <c r="A1331" s="1900" t="s">
        <v>141</v>
      </c>
      <c r="C1331" s="528">
        <f>'Table 2'!F89</f>
        <v>394</v>
      </c>
      <c r="D1331" s="528">
        <f>ROUND(Bill!P59/12,0)</f>
        <v>403</v>
      </c>
    </row>
    <row r="1332" spans="1:28" ht="16.5" hidden="1" thickBot="1">
      <c r="A1332" s="1900" t="s">
        <v>302</v>
      </c>
      <c r="C1332" s="1029">
        <f>C1327+C1328</f>
        <v>958265.11834088468</v>
      </c>
      <c r="D1332" s="1029">
        <f>Energy!P59</f>
        <v>1021723.7132091596</v>
      </c>
      <c r="F1332" s="1935"/>
      <c r="H1332" s="1646">
        <f>SUM(H1326:H1329)</f>
        <v>201660.56219999999</v>
      </c>
      <c r="I1332" s="1646">
        <f>SUM(I1326:I1329)</f>
        <v>214832.39439999999</v>
      </c>
      <c r="K1332" s="1935"/>
      <c r="M1332" s="1935"/>
      <c r="O1332" s="1935"/>
      <c r="Q1332" s="1935"/>
      <c r="S1332" s="1637">
        <f>$Y1332/$Y$1206*S1290</f>
        <v>13626.849559456323</v>
      </c>
      <c r="U1332" s="1637">
        <f>$Y1332/$Y$1206*U1290</f>
        <v>2015.7199456577137</v>
      </c>
      <c r="W1332" s="1637">
        <f>Y1332-S1332-U1332</f>
        <v>103424.55913104702</v>
      </c>
      <c r="Y1332" s="1646">
        <f>$Y$1206/$I$1206*I1332</f>
        <v>119067.12863616105</v>
      </c>
      <c r="AA1332" s="1104" t="s">
        <v>1743</v>
      </c>
      <c r="AB1332" s="1890">
        <f>Y1332/I1332-1</f>
        <v>-0.44576734356706005</v>
      </c>
    </row>
    <row r="1333" spans="1:28" ht="16.5" hidden="1" thickTop="1">
      <c r="E1333" s="597"/>
      <c r="J1333" s="597"/>
    </row>
    <row r="1334" spans="1:28" hidden="1">
      <c r="A1334" s="1897" t="s">
        <v>913</v>
      </c>
      <c r="C1334" s="528"/>
      <c r="D1334" s="528"/>
    </row>
    <row r="1335" spans="1:28" hidden="1">
      <c r="A1335" s="1960" t="s">
        <v>264</v>
      </c>
      <c r="C1335" s="528" t="s">
        <v>441</v>
      </c>
      <c r="D1335" s="528"/>
      <c r="H1335" s="1644"/>
      <c r="I1335" s="1644"/>
      <c r="Y1335" s="1644"/>
    </row>
    <row r="1336" spans="1:28" hidden="1">
      <c r="A1336" s="1900" t="s">
        <v>265</v>
      </c>
      <c r="B1336" s="1869">
        <v>29</v>
      </c>
      <c r="C1336" s="528">
        <f>SUMIFS('7'!$M$2:$M$85,'7'!$C$2:$C$85,B1336,'7'!$A$2:$A$85,$C$1335)</f>
        <v>0</v>
      </c>
      <c r="D1336" s="528">
        <f>ROUND(C1336/$C$1369*$D$1369,0)</f>
        <v>0</v>
      </c>
      <c r="F1336" s="1901">
        <v>5.68</v>
      </c>
      <c r="G1336" s="1902"/>
      <c r="H1336" s="1644">
        <f t="shared" ref="H1336:I1339" si="1544">ROUND($F1336*C1336,0)</f>
        <v>0</v>
      </c>
      <c r="I1336" s="1644">
        <f t="shared" si="1544"/>
        <v>0</v>
      </c>
      <c r="K1336" s="1901"/>
      <c r="L1336" s="1902"/>
      <c r="M1336" s="1901"/>
      <c r="N1336" s="1902"/>
      <c r="O1336" s="1901"/>
      <c r="P1336" s="1902"/>
      <c r="Q1336" s="1901"/>
      <c r="R1336" s="1902"/>
      <c r="S1336" s="1643"/>
      <c r="T1336" s="1643"/>
      <c r="U1336" s="1643"/>
      <c r="V1336" s="1643"/>
      <c r="W1336" s="1643"/>
      <c r="X1336" s="1643"/>
      <c r="Y1336" s="1644"/>
    </row>
    <row r="1337" spans="1:28" hidden="1">
      <c r="A1337" s="1900" t="s">
        <v>266</v>
      </c>
      <c r="B1337" s="1869">
        <v>1</v>
      </c>
      <c r="C1337" s="528">
        <f>SUMIFS('7'!$M$2:$M$85,'7'!$C$2:$C$85,B1337,'7'!$A$2:$A$85,$C$1335)+SUMIFS('7'!$M$2:$M$85,'7'!$C$2:$C$85,28,'7'!$A$2:$A$85,$C$1335)</f>
        <v>178.26678876678901</v>
      </c>
      <c r="D1337" s="528">
        <f t="shared" ref="D1337:D1339" si="1545">ROUND(C1337/$C$1369*$D$1369,0)</f>
        <v>146</v>
      </c>
      <c r="F1337" s="1901">
        <v>16.38</v>
      </c>
      <c r="G1337" s="1902"/>
      <c r="H1337" s="1644">
        <f t="shared" si="1544"/>
        <v>2920</v>
      </c>
      <c r="I1337" s="1644">
        <f t="shared" si="1544"/>
        <v>2391</v>
      </c>
      <c r="K1337" s="1901"/>
      <c r="L1337" s="1902"/>
      <c r="M1337" s="1901"/>
      <c r="N1337" s="1902"/>
      <c r="O1337" s="1901"/>
      <c r="P1337" s="1902"/>
      <c r="Q1337" s="1901"/>
      <c r="R1337" s="1902"/>
      <c r="S1337" s="1643"/>
      <c r="T1337" s="1643"/>
      <c r="U1337" s="1643"/>
      <c r="V1337" s="1643"/>
      <c r="W1337" s="1643"/>
      <c r="X1337" s="1643"/>
      <c r="Y1337" s="1644"/>
    </row>
    <row r="1338" spans="1:28" hidden="1">
      <c r="A1338" s="1900" t="s">
        <v>267</v>
      </c>
      <c r="B1338" s="1869">
        <v>40</v>
      </c>
      <c r="C1338" s="528">
        <f>SUMIFS('7'!$M$2:$M$85,'7'!$C$2:$C$85,B1338,'7'!$A$2:$A$85,$C$1335)</f>
        <v>0</v>
      </c>
      <c r="D1338" s="528">
        <f t="shared" si="1545"/>
        <v>0</v>
      </c>
      <c r="F1338" s="1901">
        <v>8.0500000000000007</v>
      </c>
      <c r="G1338" s="1902"/>
      <c r="H1338" s="1644">
        <f t="shared" si="1544"/>
        <v>0</v>
      </c>
      <c r="I1338" s="1644">
        <f t="shared" si="1544"/>
        <v>0</v>
      </c>
      <c r="K1338" s="1901"/>
      <c r="L1338" s="1902"/>
      <c r="M1338" s="1901"/>
      <c r="N1338" s="1902"/>
      <c r="O1338" s="1901"/>
      <c r="P1338" s="1902"/>
      <c r="Q1338" s="1901"/>
      <c r="R1338" s="1902"/>
      <c r="S1338" s="1643"/>
      <c r="T1338" s="1643"/>
      <c r="U1338" s="1643"/>
      <c r="V1338" s="1643"/>
      <c r="W1338" s="1643"/>
      <c r="X1338" s="1643"/>
      <c r="Y1338" s="1644"/>
    </row>
    <row r="1339" spans="1:28" hidden="1">
      <c r="A1339" s="1900" t="s">
        <v>268</v>
      </c>
      <c r="B1339" s="1869">
        <v>2</v>
      </c>
      <c r="C1339" s="528">
        <f>SUMIFS('7'!$M$2:$M$85,'7'!$C$2:$C$85,B1339,'7'!$A$2:$A$85,$C$1335)</f>
        <v>106.03286034353999</v>
      </c>
      <c r="D1339" s="528">
        <f t="shared" si="1545"/>
        <v>87</v>
      </c>
      <c r="F1339" s="1901">
        <v>26.78</v>
      </c>
      <c r="G1339" s="1902"/>
      <c r="H1339" s="1644">
        <f t="shared" si="1544"/>
        <v>2840</v>
      </c>
      <c r="I1339" s="1644">
        <f t="shared" si="1544"/>
        <v>2330</v>
      </c>
      <c r="K1339" s="1901"/>
      <c r="L1339" s="1902"/>
      <c r="M1339" s="1901"/>
      <c r="N1339" s="1902"/>
      <c r="O1339" s="1901"/>
      <c r="P1339" s="1902"/>
      <c r="Q1339" s="1901"/>
      <c r="R1339" s="1902"/>
      <c r="S1339" s="1643"/>
      <c r="T1339" s="1643"/>
      <c r="U1339" s="1643"/>
      <c r="V1339" s="1643"/>
      <c r="W1339" s="1643"/>
      <c r="X1339" s="1643"/>
      <c r="Y1339" s="1644"/>
    </row>
    <row r="1340" spans="1:28" hidden="1">
      <c r="A1340" s="1960" t="s">
        <v>269</v>
      </c>
      <c r="C1340" s="528"/>
      <c r="D1340" s="528"/>
      <c r="H1340" s="1644"/>
      <c r="I1340" s="1644"/>
      <c r="K1340" s="1901"/>
      <c r="M1340" s="1901"/>
      <c r="O1340" s="1901"/>
      <c r="Q1340" s="1901"/>
      <c r="Y1340" s="1644"/>
    </row>
    <row r="1341" spans="1:28" hidden="1">
      <c r="A1341" s="1900" t="s">
        <v>270</v>
      </c>
      <c r="B1341" s="1869">
        <v>3</v>
      </c>
      <c r="C1341" s="528">
        <f>SUMIFS('7'!$M$2:$M$85,'7'!$C$2:$C$85,B1341,'7'!$A$2:$A$85,$C$1335)</f>
        <v>250.50068493150701</v>
      </c>
      <c r="D1341" s="528">
        <f t="shared" ref="D1341:D1351" si="1546">ROUND(C1341/$C$1369*$D$1369,0)</f>
        <v>206</v>
      </c>
      <c r="F1341" s="1901">
        <v>14.6</v>
      </c>
      <c r="G1341" s="1902"/>
      <c r="H1341" s="1644">
        <f t="shared" ref="H1341:H1351" si="1547">ROUND($F1341*C1341,0)</f>
        <v>3657</v>
      </c>
      <c r="I1341" s="1644">
        <f t="shared" ref="I1341:I1351" si="1548">ROUND($F1341*D1341,0)</f>
        <v>3008</v>
      </c>
      <c r="K1341" s="1901"/>
      <c r="L1341" s="1902"/>
      <c r="M1341" s="1901"/>
      <c r="N1341" s="1902"/>
      <c r="O1341" s="1901"/>
      <c r="P1341" s="1902"/>
      <c r="Q1341" s="1901"/>
      <c r="R1341" s="1902"/>
      <c r="S1341" s="1643"/>
      <c r="T1341" s="1643"/>
      <c r="U1341" s="1643"/>
      <c r="V1341" s="1643"/>
      <c r="W1341" s="1643"/>
      <c r="X1341" s="1643"/>
      <c r="Y1341" s="1644"/>
    </row>
    <row r="1342" spans="1:28" hidden="1">
      <c r="A1342" s="1900" t="s">
        <v>271</v>
      </c>
      <c r="B1342" s="1869">
        <v>4</v>
      </c>
      <c r="C1342" s="528">
        <f>SUMIFS('7'!$M$2:$M$85,'7'!$C$2:$C$85,B1342,'7'!$A$2:$A$85,$C$1335)</f>
        <v>12</v>
      </c>
      <c r="D1342" s="528">
        <f t="shared" si="1546"/>
        <v>10</v>
      </c>
      <c r="F1342" s="1901">
        <v>12.23</v>
      </c>
      <c r="G1342" s="1902"/>
      <c r="H1342" s="1644">
        <f t="shared" si="1547"/>
        <v>147</v>
      </c>
      <c r="I1342" s="1644">
        <f t="shared" si="1548"/>
        <v>122</v>
      </c>
      <c r="K1342" s="1901"/>
      <c r="L1342" s="1902"/>
      <c r="M1342" s="1901"/>
      <c r="N1342" s="1902"/>
      <c r="O1342" s="1901"/>
      <c r="P1342" s="1902"/>
      <c r="Q1342" s="1901"/>
      <c r="R1342" s="1902"/>
      <c r="S1342" s="1643"/>
      <c r="T1342" s="1643"/>
      <c r="U1342" s="1643"/>
      <c r="V1342" s="1643"/>
      <c r="W1342" s="1643"/>
      <c r="X1342" s="1643"/>
      <c r="Y1342" s="1644"/>
    </row>
    <row r="1343" spans="1:28" hidden="1">
      <c r="A1343" s="1900" t="s">
        <v>272</v>
      </c>
      <c r="B1343" s="1869">
        <v>5</v>
      </c>
      <c r="C1343" s="528">
        <f>SUMIFS('7'!$M$2:$M$85,'7'!$C$2:$C$85,B1343,'7'!$A$2:$A$85,$C$1335)</f>
        <v>1650.56819650937</v>
      </c>
      <c r="D1343" s="528">
        <f t="shared" si="1546"/>
        <v>1355</v>
      </c>
      <c r="F1343" s="1901">
        <v>15.47</v>
      </c>
      <c r="G1343" s="1902"/>
      <c r="H1343" s="1644">
        <f t="shared" si="1547"/>
        <v>25534</v>
      </c>
      <c r="I1343" s="1644">
        <f t="shared" si="1548"/>
        <v>20962</v>
      </c>
      <c r="K1343" s="1901"/>
      <c r="L1343" s="1902"/>
      <c r="M1343" s="1901"/>
      <c r="N1343" s="1902"/>
      <c r="O1343" s="1901"/>
      <c r="P1343" s="1902"/>
      <c r="Q1343" s="1901"/>
      <c r="R1343" s="1902"/>
      <c r="S1343" s="1643"/>
      <c r="T1343" s="1643"/>
      <c r="U1343" s="1643"/>
      <c r="V1343" s="1643"/>
      <c r="W1343" s="1643"/>
      <c r="X1343" s="1643"/>
      <c r="Y1343" s="1644"/>
    </row>
    <row r="1344" spans="1:28" hidden="1">
      <c r="A1344" s="1900" t="s">
        <v>273</v>
      </c>
      <c r="B1344" s="1869">
        <v>6</v>
      </c>
      <c r="C1344" s="528">
        <f>SUMIFS('7'!$M$2:$M$85,'7'!$C$2:$C$85,B1344,'7'!$A$2:$A$85,$C$1335)</f>
        <v>162.46656649136</v>
      </c>
      <c r="D1344" s="528">
        <f t="shared" si="1546"/>
        <v>133</v>
      </c>
      <c r="F1344" s="1901">
        <v>13.31</v>
      </c>
      <c r="G1344" s="1902"/>
      <c r="H1344" s="1644">
        <f t="shared" si="1547"/>
        <v>2162</v>
      </c>
      <c r="I1344" s="1644">
        <f t="shared" si="1548"/>
        <v>1770</v>
      </c>
      <c r="K1344" s="1901"/>
      <c r="L1344" s="1902"/>
      <c r="M1344" s="1901"/>
      <c r="N1344" s="1902"/>
      <c r="O1344" s="1901"/>
      <c r="P1344" s="1902"/>
      <c r="Q1344" s="1901"/>
      <c r="R1344" s="1902"/>
      <c r="S1344" s="1643"/>
      <c r="T1344" s="1643"/>
      <c r="U1344" s="1643"/>
      <c r="V1344" s="1643"/>
      <c r="W1344" s="1643"/>
      <c r="X1344" s="1643"/>
      <c r="Y1344" s="1644"/>
    </row>
    <row r="1345" spans="1:25" hidden="1">
      <c r="A1345" s="1900" t="s">
        <v>274</v>
      </c>
      <c r="B1345" s="1869">
        <v>7</v>
      </c>
      <c r="C1345" s="528">
        <f>SUMIFS('7'!$M$2:$M$85,'7'!$C$2:$C$85,B1345,'7'!$A$2:$A$85,$C$1335)</f>
        <v>569.49948612538503</v>
      </c>
      <c r="D1345" s="528">
        <f t="shared" si="1546"/>
        <v>468</v>
      </c>
      <c r="F1345" s="1901">
        <v>19.46</v>
      </c>
      <c r="G1345" s="1902"/>
      <c r="H1345" s="1644">
        <f t="shared" si="1547"/>
        <v>11082</v>
      </c>
      <c r="I1345" s="1644">
        <f t="shared" si="1548"/>
        <v>9107</v>
      </c>
      <c r="K1345" s="1901"/>
      <c r="L1345" s="1902"/>
      <c r="M1345" s="1901"/>
      <c r="N1345" s="1902"/>
      <c r="O1345" s="1901"/>
      <c r="P1345" s="1902"/>
      <c r="Q1345" s="1901"/>
      <c r="R1345" s="1902"/>
      <c r="S1345" s="1643"/>
      <c r="T1345" s="1643"/>
      <c r="U1345" s="1643"/>
      <c r="V1345" s="1643"/>
      <c r="W1345" s="1643"/>
      <c r="X1345" s="1643"/>
      <c r="Y1345" s="1644"/>
    </row>
    <row r="1346" spans="1:25" hidden="1">
      <c r="A1346" s="1900" t="s">
        <v>275</v>
      </c>
      <c r="B1346" s="1869">
        <v>8</v>
      </c>
      <c r="C1346" s="528">
        <f>SUMIFS('7'!$M$2:$M$85,'7'!$C$2:$C$85,B1346,'7'!$A$2:$A$85,$C$1335)</f>
        <v>72</v>
      </c>
      <c r="D1346" s="528">
        <f t="shared" si="1546"/>
        <v>59</v>
      </c>
      <c r="F1346" s="1901">
        <v>17.13</v>
      </c>
      <c r="G1346" s="1902"/>
      <c r="H1346" s="1644">
        <f t="shared" si="1547"/>
        <v>1233</v>
      </c>
      <c r="I1346" s="1644">
        <f t="shared" si="1548"/>
        <v>1011</v>
      </c>
      <c r="K1346" s="1901"/>
      <c r="L1346" s="1902"/>
      <c r="M1346" s="1901"/>
      <c r="N1346" s="1902"/>
      <c r="O1346" s="1901"/>
      <c r="P1346" s="1902"/>
      <c r="Q1346" s="1901"/>
      <c r="R1346" s="1902"/>
      <c r="S1346" s="1643"/>
      <c r="T1346" s="1643"/>
      <c r="U1346" s="1643"/>
      <c r="V1346" s="1643"/>
      <c r="W1346" s="1643"/>
      <c r="X1346" s="1643"/>
      <c r="Y1346" s="1644"/>
    </row>
    <row r="1347" spans="1:25" hidden="1">
      <c r="A1347" s="1900" t="s">
        <v>276</v>
      </c>
      <c r="B1347" s="1869">
        <v>9</v>
      </c>
      <c r="C1347" s="528">
        <f>SUMIFS('7'!$M$2:$M$85,'7'!$C$2:$C$85,B1347,'7'!$A$2:$A$85,$C$1335)</f>
        <v>24</v>
      </c>
      <c r="D1347" s="528">
        <f t="shared" si="1546"/>
        <v>20</v>
      </c>
      <c r="F1347" s="1901">
        <v>21.07</v>
      </c>
      <c r="G1347" s="1902"/>
      <c r="H1347" s="1644">
        <f t="shared" si="1547"/>
        <v>506</v>
      </c>
      <c r="I1347" s="1644">
        <f t="shared" si="1548"/>
        <v>421</v>
      </c>
      <c r="K1347" s="1901"/>
      <c r="L1347" s="1902"/>
      <c r="M1347" s="1901"/>
      <c r="N1347" s="1902"/>
      <c r="O1347" s="1901"/>
      <c r="P1347" s="1902"/>
      <c r="Q1347" s="1901"/>
      <c r="R1347" s="1902"/>
      <c r="S1347" s="1643"/>
      <c r="T1347" s="1643"/>
      <c r="U1347" s="1643"/>
      <c r="V1347" s="1643"/>
      <c r="W1347" s="1643"/>
      <c r="X1347" s="1643"/>
      <c r="Y1347" s="1644"/>
    </row>
    <row r="1348" spans="1:25" hidden="1">
      <c r="A1348" s="1900" t="s">
        <v>277</v>
      </c>
      <c r="B1348" s="1869">
        <v>10</v>
      </c>
      <c r="C1348" s="528">
        <f>SUMIFS('7'!$M$2:$M$85,'7'!$C$2:$C$85,B1348,'7'!$A$2:$A$85,$C$1335)</f>
        <v>587.43215652913602</v>
      </c>
      <c r="D1348" s="528">
        <f t="shared" si="1546"/>
        <v>482</v>
      </c>
      <c r="F1348" s="1901">
        <v>23.51</v>
      </c>
      <c r="G1348" s="1902"/>
      <c r="H1348" s="1644">
        <f t="shared" si="1547"/>
        <v>13811</v>
      </c>
      <c r="I1348" s="1644">
        <f t="shared" si="1548"/>
        <v>11332</v>
      </c>
      <c r="K1348" s="1901"/>
      <c r="L1348" s="1902"/>
      <c r="M1348" s="1901"/>
      <c r="N1348" s="1902"/>
      <c r="O1348" s="1901"/>
      <c r="P1348" s="1902"/>
      <c r="Q1348" s="1901"/>
      <c r="R1348" s="1902"/>
      <c r="S1348" s="1643"/>
      <c r="T1348" s="1643"/>
      <c r="U1348" s="1643"/>
      <c r="V1348" s="1643"/>
      <c r="W1348" s="1643"/>
      <c r="X1348" s="1643"/>
      <c r="Y1348" s="1644"/>
    </row>
    <row r="1349" spans="1:25" hidden="1">
      <c r="A1349" s="1900" t="s">
        <v>278</v>
      </c>
      <c r="B1349" s="1869">
        <v>11</v>
      </c>
      <c r="C1349" s="528">
        <f>SUMIFS('7'!$M$2:$M$85,'7'!$C$2:$C$85,B1349,'7'!$A$2:$A$85,$C$1335)</f>
        <v>31.333490343853001</v>
      </c>
      <c r="D1349" s="528">
        <f t="shared" si="1546"/>
        <v>26</v>
      </c>
      <c r="F1349" s="1901">
        <v>21.23</v>
      </c>
      <c r="G1349" s="1902"/>
      <c r="H1349" s="1644">
        <f t="shared" si="1547"/>
        <v>665</v>
      </c>
      <c r="I1349" s="1644">
        <f t="shared" si="1548"/>
        <v>552</v>
      </c>
      <c r="K1349" s="1901"/>
      <c r="L1349" s="1902"/>
      <c r="M1349" s="1901"/>
      <c r="N1349" s="1902"/>
      <c r="O1349" s="1901"/>
      <c r="P1349" s="1902"/>
      <c r="Q1349" s="1901"/>
      <c r="R1349" s="1902"/>
      <c r="S1349" s="1643"/>
      <c r="T1349" s="1643"/>
      <c r="U1349" s="1643"/>
      <c r="V1349" s="1643"/>
      <c r="W1349" s="1643"/>
      <c r="X1349" s="1643"/>
      <c r="Y1349" s="1644"/>
    </row>
    <row r="1350" spans="1:25" hidden="1">
      <c r="A1350" s="1900" t="s">
        <v>279</v>
      </c>
      <c r="B1350" s="1869">
        <v>12</v>
      </c>
      <c r="C1350" s="528">
        <f>SUMIFS('7'!$M$2:$M$85,'7'!$C$2:$C$85,B1350,'7'!$A$2:$A$85,$C$1335)</f>
        <v>424.43816254416998</v>
      </c>
      <c r="D1350" s="528">
        <f t="shared" si="1546"/>
        <v>348</v>
      </c>
      <c r="F1350" s="1901">
        <v>28.3</v>
      </c>
      <c r="G1350" s="1902"/>
      <c r="H1350" s="1644">
        <f t="shared" si="1547"/>
        <v>12012</v>
      </c>
      <c r="I1350" s="1644">
        <f t="shared" si="1548"/>
        <v>9848</v>
      </c>
      <c r="K1350" s="1901"/>
      <c r="L1350" s="1902"/>
      <c r="M1350" s="1901"/>
      <c r="N1350" s="1902"/>
      <c r="O1350" s="1901"/>
      <c r="P1350" s="1902"/>
      <c r="Q1350" s="1901"/>
      <c r="R1350" s="1902"/>
      <c r="S1350" s="1643"/>
      <c r="T1350" s="1643"/>
      <c r="U1350" s="1643"/>
      <c r="V1350" s="1643"/>
      <c r="W1350" s="1643"/>
      <c r="X1350" s="1643"/>
      <c r="Y1350" s="1644"/>
    </row>
    <row r="1351" spans="1:25" hidden="1">
      <c r="A1351" s="1900" t="s">
        <v>280</v>
      </c>
      <c r="B1351" s="1869">
        <v>13</v>
      </c>
      <c r="C1351" s="528">
        <f>SUMIFS('7'!$M$2:$M$85,'7'!$C$2:$C$85,B1351,'7'!$A$2:$A$85,$C$1335)</f>
        <v>92.433243555213593</v>
      </c>
      <c r="D1351" s="528">
        <f t="shared" si="1546"/>
        <v>76</v>
      </c>
      <c r="F1351" s="1901">
        <v>25.99</v>
      </c>
      <c r="G1351" s="1902"/>
      <c r="H1351" s="1644">
        <f t="shared" si="1547"/>
        <v>2402</v>
      </c>
      <c r="I1351" s="1644">
        <f t="shared" si="1548"/>
        <v>1975</v>
      </c>
      <c r="K1351" s="1901"/>
      <c r="L1351" s="1902"/>
      <c r="M1351" s="1901"/>
      <c r="N1351" s="1902"/>
      <c r="O1351" s="1901"/>
      <c r="P1351" s="1902"/>
      <c r="Q1351" s="1901"/>
      <c r="R1351" s="1902"/>
      <c r="S1351" s="1643"/>
      <c r="T1351" s="1643"/>
      <c r="U1351" s="1643"/>
      <c r="V1351" s="1643"/>
      <c r="W1351" s="1643"/>
      <c r="X1351" s="1643"/>
      <c r="Y1351" s="1644"/>
    </row>
    <row r="1352" spans="1:25" hidden="1">
      <c r="A1352" s="1960" t="s">
        <v>281</v>
      </c>
      <c r="C1352" s="528"/>
      <c r="D1352" s="528"/>
      <c r="H1352" s="1644"/>
      <c r="I1352" s="1644"/>
      <c r="K1352" s="1901"/>
      <c r="M1352" s="1901"/>
      <c r="O1352" s="1901"/>
      <c r="Q1352" s="1901"/>
      <c r="Y1352" s="1644"/>
    </row>
    <row r="1353" spans="1:25" hidden="1">
      <c r="A1353" s="1900" t="s">
        <v>274</v>
      </c>
      <c r="B1353" s="1869">
        <v>14</v>
      </c>
      <c r="C1353" s="528">
        <f>SUMIFS('7'!$M$2:$M$85,'7'!$C$2:$C$85,B1353,'7'!$A$2:$A$85,$C$1335)</f>
        <v>12</v>
      </c>
      <c r="D1353" s="528">
        <f t="shared" ref="D1353:D1358" si="1549">ROUND(C1353/$C$1369*$D$1369,0)</f>
        <v>10</v>
      </c>
      <c r="F1353" s="1901">
        <v>19.46</v>
      </c>
      <c r="G1353" s="1902"/>
      <c r="H1353" s="1644">
        <f t="shared" ref="H1353:I1358" si="1550">ROUND($F1353*C1353,0)</f>
        <v>234</v>
      </c>
      <c r="I1353" s="1644">
        <f t="shared" si="1550"/>
        <v>195</v>
      </c>
      <c r="K1353" s="1901"/>
      <c r="L1353" s="1902"/>
      <c r="M1353" s="1901"/>
      <c r="N1353" s="1902"/>
      <c r="O1353" s="1901"/>
      <c r="P1353" s="1902"/>
      <c r="Q1353" s="1901"/>
      <c r="R1353" s="1902"/>
      <c r="S1353" s="1643"/>
      <c r="T1353" s="1643"/>
      <c r="U1353" s="1643"/>
      <c r="V1353" s="1643"/>
      <c r="W1353" s="1643"/>
      <c r="X1353" s="1643"/>
      <c r="Y1353" s="1644"/>
    </row>
    <row r="1354" spans="1:25" hidden="1">
      <c r="A1354" s="1900" t="s">
        <v>275</v>
      </c>
      <c r="B1354" s="1869">
        <v>15</v>
      </c>
      <c r="C1354" s="528">
        <f>SUMIFS('7'!$M$2:$M$85,'7'!$C$2:$C$85,B1354,'7'!$A$2:$A$85,$C$1335)</f>
        <v>0</v>
      </c>
      <c r="D1354" s="528">
        <f t="shared" si="1549"/>
        <v>0</v>
      </c>
      <c r="F1354" s="1901">
        <v>17.13</v>
      </c>
      <c r="G1354" s="1902"/>
      <c r="H1354" s="1644">
        <f t="shared" si="1550"/>
        <v>0</v>
      </c>
      <c r="I1354" s="1644">
        <f t="shared" si="1550"/>
        <v>0</v>
      </c>
      <c r="K1354" s="1901"/>
      <c r="L1354" s="1902"/>
      <c r="M1354" s="1901"/>
      <c r="N1354" s="1902"/>
      <c r="O1354" s="1901"/>
      <c r="P1354" s="1902"/>
      <c r="Q1354" s="1901"/>
      <c r="R1354" s="1902"/>
      <c r="S1354" s="1643"/>
      <c r="T1354" s="1643"/>
      <c r="U1354" s="1643"/>
      <c r="V1354" s="1643"/>
      <c r="W1354" s="1643"/>
      <c r="X1354" s="1643"/>
      <c r="Y1354" s="1644"/>
    </row>
    <row r="1355" spans="1:25" hidden="1">
      <c r="A1355" s="1900" t="s">
        <v>277</v>
      </c>
      <c r="B1355" s="1869">
        <v>16</v>
      </c>
      <c r="C1355" s="528">
        <f>SUMIFS('7'!$M$2:$M$85,'7'!$C$2:$C$85,B1355,'7'!$A$2:$A$85,$C$1335)</f>
        <v>58.900042535091501</v>
      </c>
      <c r="D1355" s="528">
        <f t="shared" si="1549"/>
        <v>48</v>
      </c>
      <c r="F1355" s="1901">
        <v>23.51</v>
      </c>
      <c r="G1355" s="1902"/>
      <c r="H1355" s="1644">
        <f t="shared" si="1550"/>
        <v>1385</v>
      </c>
      <c r="I1355" s="1644">
        <f t="shared" si="1550"/>
        <v>1128</v>
      </c>
      <c r="K1355" s="1901"/>
      <c r="L1355" s="1902"/>
      <c r="M1355" s="1901"/>
      <c r="N1355" s="1902"/>
      <c r="O1355" s="1901"/>
      <c r="P1355" s="1902"/>
      <c r="Q1355" s="1901"/>
      <c r="R1355" s="1902"/>
      <c r="S1355" s="1643"/>
      <c r="T1355" s="1643"/>
      <c r="U1355" s="1643"/>
      <c r="V1355" s="1643"/>
      <c r="W1355" s="1643"/>
      <c r="X1355" s="1643"/>
      <c r="Y1355" s="1644"/>
    </row>
    <row r="1356" spans="1:25" hidden="1">
      <c r="A1356" s="1900" t="s">
        <v>278</v>
      </c>
      <c r="B1356" s="1869">
        <v>17</v>
      </c>
      <c r="C1356" s="528">
        <f>SUMIFS('7'!$M$2:$M$85,'7'!$C$2:$C$85,B1356,'7'!$A$2:$A$85,$C$1335)</f>
        <v>0</v>
      </c>
      <c r="D1356" s="528">
        <f t="shared" si="1549"/>
        <v>0</v>
      </c>
      <c r="F1356" s="1901">
        <v>21.23</v>
      </c>
      <c r="G1356" s="1902"/>
      <c r="H1356" s="1644">
        <f t="shared" si="1550"/>
        <v>0</v>
      </c>
      <c r="I1356" s="1644">
        <f t="shared" si="1550"/>
        <v>0</v>
      </c>
      <c r="K1356" s="1901"/>
      <c r="L1356" s="1902"/>
      <c r="M1356" s="1901"/>
      <c r="N1356" s="1902"/>
      <c r="O1356" s="1901"/>
      <c r="P1356" s="1902"/>
      <c r="Q1356" s="1901"/>
      <c r="R1356" s="1902"/>
      <c r="S1356" s="1643"/>
      <c r="T1356" s="1643"/>
      <c r="U1356" s="1643"/>
      <c r="V1356" s="1643"/>
      <c r="W1356" s="1643"/>
      <c r="X1356" s="1643"/>
      <c r="Y1356" s="1644"/>
    </row>
    <row r="1357" spans="1:25" hidden="1">
      <c r="A1357" s="1900" t="s">
        <v>279</v>
      </c>
      <c r="B1357" s="1869">
        <v>18</v>
      </c>
      <c r="C1357" s="528">
        <f>SUMIFS('7'!$M$2:$M$85,'7'!$C$2:$C$85,B1357,'7'!$A$2:$A$85,$C$1335)</f>
        <v>336.83321554770299</v>
      </c>
      <c r="D1357" s="528">
        <f t="shared" si="1549"/>
        <v>277</v>
      </c>
      <c r="F1357" s="1901">
        <v>28.3</v>
      </c>
      <c r="G1357" s="1902"/>
      <c r="H1357" s="1644">
        <f t="shared" si="1550"/>
        <v>9532</v>
      </c>
      <c r="I1357" s="1644">
        <f t="shared" si="1550"/>
        <v>7839</v>
      </c>
      <c r="K1357" s="1901"/>
      <c r="L1357" s="1902"/>
      <c r="M1357" s="1901"/>
      <c r="N1357" s="1902"/>
      <c r="O1357" s="1901"/>
      <c r="P1357" s="1902"/>
      <c r="Q1357" s="1901"/>
      <c r="R1357" s="1902"/>
      <c r="S1357" s="1643"/>
      <c r="T1357" s="1643"/>
      <c r="U1357" s="1643"/>
      <c r="V1357" s="1643"/>
      <c r="W1357" s="1643"/>
      <c r="X1357" s="1643"/>
      <c r="Y1357" s="1644"/>
    </row>
    <row r="1358" spans="1:25" hidden="1">
      <c r="A1358" s="1900" t="s">
        <v>280</v>
      </c>
      <c r="B1358" s="1869">
        <v>19</v>
      </c>
      <c r="C1358" s="528">
        <f>SUMIFS('7'!$M$2:$M$85,'7'!$C$2:$C$85,B1358,'7'!$A$2:$A$85,$C$1335)</f>
        <v>66.366679492112397</v>
      </c>
      <c r="D1358" s="528">
        <f t="shared" si="1549"/>
        <v>54</v>
      </c>
      <c r="F1358" s="1901">
        <v>25.99</v>
      </c>
      <c r="G1358" s="1902"/>
      <c r="H1358" s="1644">
        <f t="shared" si="1550"/>
        <v>1725</v>
      </c>
      <c r="I1358" s="1644">
        <f t="shared" si="1550"/>
        <v>1403</v>
      </c>
      <c r="K1358" s="1901"/>
      <c r="L1358" s="1902"/>
      <c r="M1358" s="1901"/>
      <c r="N1358" s="1902"/>
      <c r="O1358" s="1901"/>
      <c r="P1358" s="1902"/>
      <c r="Q1358" s="1901"/>
      <c r="R1358" s="1902"/>
      <c r="S1358" s="1643"/>
      <c r="T1358" s="1643"/>
      <c r="U1358" s="1643"/>
      <c r="V1358" s="1643"/>
      <c r="W1358" s="1643"/>
      <c r="X1358" s="1643"/>
      <c r="Y1358" s="1644"/>
    </row>
    <row r="1359" spans="1:25" hidden="1">
      <c r="A1359" s="1960" t="s">
        <v>289</v>
      </c>
      <c r="C1359" s="528"/>
      <c r="D1359" s="528"/>
      <c r="K1359" s="1901"/>
      <c r="M1359" s="1901"/>
      <c r="O1359" s="1901"/>
      <c r="Q1359" s="1901"/>
    </row>
    <row r="1360" spans="1:25" hidden="1">
      <c r="A1360" s="1900" t="s">
        <v>290</v>
      </c>
      <c r="B1360" s="1869">
        <v>20</v>
      </c>
      <c r="C1360" s="528">
        <f>SUMIFS('7'!$M$2:$M$85,'7'!$C$2:$C$85,B1360,'7'!$A$2:$A$85,$C$1335)</f>
        <v>0</v>
      </c>
      <c r="D1360" s="528">
        <f t="shared" ref="D1360:D1367" si="1551">ROUND(C1360/$C$1369*$D$1369,0)</f>
        <v>0</v>
      </c>
      <c r="F1360" s="1901">
        <v>29.4</v>
      </c>
      <c r="G1360" s="1902"/>
      <c r="H1360" s="1644">
        <f t="shared" ref="H1360:I1367" si="1552">ROUND($F1360*C1360,0)</f>
        <v>0</v>
      </c>
      <c r="I1360" s="1644">
        <f t="shared" si="1552"/>
        <v>0</v>
      </c>
      <c r="K1360" s="1901"/>
      <c r="L1360" s="1902"/>
      <c r="M1360" s="1901"/>
      <c r="N1360" s="1902"/>
      <c r="O1360" s="1901"/>
      <c r="P1360" s="1902"/>
      <c r="Q1360" s="1901"/>
      <c r="R1360" s="1902"/>
      <c r="S1360" s="1643"/>
      <c r="T1360" s="1643"/>
      <c r="U1360" s="1643"/>
      <c r="V1360" s="1643"/>
      <c r="W1360" s="1643"/>
      <c r="X1360" s="1643"/>
      <c r="Y1360" s="1644"/>
    </row>
    <row r="1361" spans="1:28" hidden="1">
      <c r="A1361" s="1900" t="s">
        <v>291</v>
      </c>
      <c r="B1361" s="1869">
        <v>21</v>
      </c>
      <c r="C1361" s="528">
        <f>SUMIFS('7'!$M$2:$M$85,'7'!$C$2:$C$85,B1361,'7'!$A$2:$A$85,$C$1335)</f>
        <v>30.366223038090901</v>
      </c>
      <c r="D1361" s="528">
        <f t="shared" si="1551"/>
        <v>25</v>
      </c>
      <c r="F1361" s="1901">
        <v>21.79</v>
      </c>
      <c r="G1361" s="1902"/>
      <c r="H1361" s="1644">
        <f t="shared" si="1552"/>
        <v>662</v>
      </c>
      <c r="I1361" s="1644">
        <f t="shared" si="1552"/>
        <v>545</v>
      </c>
      <c r="K1361" s="1901"/>
      <c r="L1361" s="1902"/>
      <c r="M1361" s="1901"/>
      <c r="N1361" s="1902"/>
      <c r="O1361" s="1901"/>
      <c r="P1361" s="1902"/>
      <c r="Q1361" s="1901"/>
      <c r="R1361" s="1902"/>
      <c r="S1361" s="1643"/>
      <c r="T1361" s="1643"/>
      <c r="U1361" s="1643"/>
      <c r="V1361" s="1643"/>
      <c r="W1361" s="1643"/>
      <c r="X1361" s="1643"/>
      <c r="Y1361" s="1644"/>
    </row>
    <row r="1362" spans="1:28" hidden="1">
      <c r="A1362" s="1900" t="s">
        <v>292</v>
      </c>
      <c r="B1362" s="1869">
        <v>22</v>
      </c>
      <c r="C1362" s="528">
        <f>SUMIFS('7'!$M$2:$M$85,'7'!$C$2:$C$85,B1362,'7'!$A$2:$A$85,$C$1335)</f>
        <v>0</v>
      </c>
      <c r="D1362" s="528">
        <f t="shared" si="1551"/>
        <v>0</v>
      </c>
      <c r="F1362" s="1901">
        <v>34.340000000000003</v>
      </c>
      <c r="G1362" s="1902"/>
      <c r="H1362" s="1644">
        <f t="shared" si="1552"/>
        <v>0</v>
      </c>
      <c r="I1362" s="1644">
        <f t="shared" si="1552"/>
        <v>0</v>
      </c>
      <c r="K1362" s="1901"/>
      <c r="L1362" s="1902"/>
      <c r="M1362" s="1901"/>
      <c r="N1362" s="1902"/>
      <c r="O1362" s="1901"/>
      <c r="P1362" s="1902"/>
      <c r="Q1362" s="1901"/>
      <c r="R1362" s="1902"/>
      <c r="S1362" s="1643"/>
      <c r="T1362" s="1643"/>
      <c r="U1362" s="1643"/>
      <c r="V1362" s="1643"/>
      <c r="W1362" s="1643"/>
      <c r="X1362" s="1643"/>
      <c r="Y1362" s="1644"/>
    </row>
    <row r="1363" spans="1:28" hidden="1">
      <c r="A1363" s="1900" t="s">
        <v>293</v>
      </c>
      <c r="B1363" s="1869">
        <v>23</v>
      </c>
      <c r="C1363" s="528">
        <f>SUMIFS('7'!$M$2:$M$85,'7'!$C$2:$C$85,B1363,'7'!$A$2:$A$85,$C$1335)</f>
        <v>0</v>
      </c>
      <c r="D1363" s="528">
        <f t="shared" si="1551"/>
        <v>0</v>
      </c>
      <c r="F1363" s="1901">
        <v>27.43</v>
      </c>
      <c r="G1363" s="1902"/>
      <c r="H1363" s="1644">
        <f t="shared" si="1552"/>
        <v>0</v>
      </c>
      <c r="I1363" s="1644">
        <f t="shared" si="1552"/>
        <v>0</v>
      </c>
      <c r="K1363" s="1901"/>
      <c r="L1363" s="1902"/>
      <c r="M1363" s="1901"/>
      <c r="N1363" s="1902"/>
      <c r="O1363" s="1901"/>
      <c r="P1363" s="1902"/>
      <c r="Q1363" s="1901"/>
      <c r="R1363" s="1902"/>
      <c r="S1363" s="1643"/>
      <c r="T1363" s="1643"/>
      <c r="U1363" s="1643"/>
      <c r="V1363" s="1643"/>
      <c r="W1363" s="1643"/>
      <c r="X1363" s="1643"/>
      <c r="Y1363" s="1644"/>
    </row>
    <row r="1364" spans="1:28" hidden="1">
      <c r="A1364" s="1900" t="s">
        <v>294</v>
      </c>
      <c r="B1364" s="1869">
        <v>24</v>
      </c>
      <c r="C1364" s="528">
        <f>SUMIFS('7'!$M$2:$M$85,'7'!$C$2:$C$85,B1364,'7'!$A$2:$A$85,$C$1335)</f>
        <v>74.766693922049598</v>
      </c>
      <c r="D1364" s="528">
        <f>ROUND(C1364/$C$1369*$D$1369,0)</f>
        <v>61</v>
      </c>
      <c r="F1364" s="1901">
        <v>36.69</v>
      </c>
      <c r="G1364" s="1902"/>
      <c r="H1364" s="1644">
        <f t="shared" si="1552"/>
        <v>2743</v>
      </c>
      <c r="I1364" s="1644">
        <f t="shared" si="1552"/>
        <v>2238</v>
      </c>
      <c r="K1364" s="1901"/>
      <c r="L1364" s="1902"/>
      <c r="M1364" s="1901"/>
      <c r="N1364" s="1902"/>
      <c r="O1364" s="1901"/>
      <c r="P1364" s="1902"/>
      <c r="Q1364" s="1901"/>
      <c r="R1364" s="1902"/>
      <c r="S1364" s="1643"/>
      <c r="T1364" s="1643"/>
      <c r="U1364" s="1643"/>
      <c r="V1364" s="1643"/>
      <c r="W1364" s="1643"/>
      <c r="X1364" s="1643"/>
      <c r="Y1364" s="1644"/>
    </row>
    <row r="1365" spans="1:28" hidden="1">
      <c r="A1365" s="1900" t="s">
        <v>297</v>
      </c>
      <c r="B1365" s="1869">
        <v>25</v>
      </c>
      <c r="C1365" s="528">
        <f>SUMIFS('7'!$M$2:$M$85,'7'!$C$2:$C$85,B1365,'7'!$A$2:$A$85,$C$1335)</f>
        <v>10.3667563930013</v>
      </c>
      <c r="D1365" s="528">
        <f t="shared" si="1551"/>
        <v>9</v>
      </c>
      <c r="F1365" s="1901">
        <v>29.72</v>
      </c>
      <c r="G1365" s="1902"/>
      <c r="H1365" s="1644">
        <f t="shared" si="1552"/>
        <v>308</v>
      </c>
      <c r="I1365" s="1644">
        <f t="shared" si="1552"/>
        <v>267</v>
      </c>
      <c r="K1365" s="1901"/>
      <c r="L1365" s="1902"/>
      <c r="M1365" s="1901"/>
      <c r="N1365" s="1902"/>
      <c r="O1365" s="1901"/>
      <c r="P1365" s="1902"/>
      <c r="Q1365" s="1901"/>
      <c r="R1365" s="1902"/>
      <c r="S1365" s="1643"/>
      <c r="T1365" s="1643"/>
      <c r="U1365" s="1643"/>
      <c r="V1365" s="1643"/>
      <c r="W1365" s="1643"/>
      <c r="X1365" s="1643"/>
      <c r="Y1365" s="1644"/>
    </row>
    <row r="1366" spans="1:28" hidden="1">
      <c r="A1366" s="1900" t="s">
        <v>298</v>
      </c>
      <c r="B1366" s="1869">
        <v>26</v>
      </c>
      <c r="C1366" s="528">
        <f>SUMIFS('7'!$M$2:$M$85,'7'!$C$2:$C$85,B1366,'7'!$A$2:$A$85,$C$1335)</f>
        <v>0</v>
      </c>
      <c r="D1366" s="528">
        <f t="shared" si="1551"/>
        <v>0</v>
      </c>
      <c r="F1366" s="1901">
        <v>57.58</v>
      </c>
      <c r="G1366" s="1902"/>
      <c r="H1366" s="1644">
        <f t="shared" si="1552"/>
        <v>0</v>
      </c>
      <c r="I1366" s="1644">
        <f t="shared" si="1552"/>
        <v>0</v>
      </c>
      <c r="K1366" s="1901"/>
      <c r="L1366" s="1902"/>
      <c r="M1366" s="1901"/>
      <c r="N1366" s="1902"/>
      <c r="O1366" s="1901"/>
      <c r="P1366" s="1902"/>
      <c r="Q1366" s="1901"/>
      <c r="R1366" s="1902"/>
      <c r="S1366" s="1643"/>
      <c r="T1366" s="1643"/>
      <c r="U1366" s="1643"/>
      <c r="V1366" s="1643"/>
      <c r="W1366" s="1643"/>
      <c r="X1366" s="1643"/>
      <c r="Y1366" s="1644"/>
    </row>
    <row r="1367" spans="1:28" hidden="1">
      <c r="A1367" s="1900" t="s">
        <v>300</v>
      </c>
      <c r="B1367" s="1869">
        <v>27</v>
      </c>
      <c r="C1367" s="528">
        <f>SUMIFS('7'!$M$2:$M$85,'7'!$C$2:$C$85,B1367,'7'!$A$2:$A$85,$C$1335)</f>
        <v>0</v>
      </c>
      <c r="D1367" s="528">
        <f t="shared" si="1551"/>
        <v>0</v>
      </c>
      <c r="F1367" s="1901">
        <v>49.1</v>
      </c>
      <c r="G1367" s="1902"/>
      <c r="H1367" s="1644">
        <f t="shared" si="1552"/>
        <v>0</v>
      </c>
      <c r="I1367" s="1644">
        <f t="shared" si="1552"/>
        <v>0</v>
      </c>
      <c r="K1367" s="1901"/>
      <c r="L1367" s="1902"/>
      <c r="M1367" s="1901"/>
      <c r="N1367" s="1902"/>
      <c r="O1367" s="1901"/>
      <c r="P1367" s="1902"/>
      <c r="Q1367" s="1901"/>
      <c r="R1367" s="1902"/>
      <c r="S1367" s="1643"/>
      <c r="T1367" s="1643"/>
      <c r="U1367" s="1643"/>
      <c r="V1367" s="1643"/>
      <c r="W1367" s="1643"/>
      <c r="X1367" s="1643"/>
      <c r="Y1367" s="1644"/>
    </row>
    <row r="1368" spans="1:28" hidden="1">
      <c r="A1368" s="1900" t="s">
        <v>130</v>
      </c>
      <c r="C1368" s="528">
        <f>SUM(C1336:C1367)</f>
        <v>4750.5712470683729</v>
      </c>
      <c r="D1368" s="528">
        <f>SUM(D1336:D1367)</f>
        <v>3900</v>
      </c>
      <c r="H1368" s="1644">
        <f>SUM(H1336:H1367)</f>
        <v>95560</v>
      </c>
      <c r="I1368" s="1644">
        <f>SUM(I1336:I1367)</f>
        <v>78444</v>
      </c>
      <c r="Y1368" s="1644"/>
    </row>
    <row r="1369" spans="1:28" hidden="1">
      <c r="A1369" s="1900" t="s">
        <v>36</v>
      </c>
      <c r="C1369" s="1027">
        <f>'7'!N90</f>
        <v>361780.09622831794</v>
      </c>
      <c r="D1369" s="1027">
        <f>D1374</f>
        <v>297000</v>
      </c>
      <c r="H1369" s="1644"/>
      <c r="I1369" s="1644"/>
      <c r="Y1369" s="1644"/>
    </row>
    <row r="1370" spans="1:28" hidden="1">
      <c r="A1370" s="1900" t="s">
        <v>136</v>
      </c>
      <c r="C1370" s="1028">
        <f>'Table 2'!J136</f>
        <v>-13404</v>
      </c>
      <c r="D1370" s="1028">
        <v>0</v>
      </c>
      <c r="F1370" s="1961"/>
      <c r="H1370" s="1649">
        <f>'Table 3'!F136</f>
        <v>-3289</v>
      </c>
      <c r="I1370" s="1030">
        <v>0</v>
      </c>
      <c r="K1370" s="1961"/>
      <c r="M1370" s="1961"/>
      <c r="O1370" s="1961"/>
      <c r="Q1370" s="1961"/>
      <c r="Y1370" s="1030"/>
    </row>
    <row r="1371" spans="1:28" hidden="1">
      <c r="A1371" s="1900" t="s">
        <v>1240</v>
      </c>
      <c r="C1371" s="584"/>
      <c r="D1371" s="584"/>
      <c r="F1371" s="1930">
        <v>-1.9800000000000002E-2</v>
      </c>
      <c r="G1371" s="597"/>
      <c r="H1371" s="1644">
        <f>H1368*$F1371</f>
        <v>-1892.0880000000002</v>
      </c>
      <c r="I1371" s="1644">
        <f>I1368*$F1371</f>
        <v>-1553.1912000000002</v>
      </c>
      <c r="K1371" s="1930"/>
      <c r="L1371" s="597"/>
      <c r="M1371" s="1930"/>
      <c r="N1371" s="597"/>
      <c r="O1371" s="1931" t="str">
        <f>$O$43</f>
        <v>Tax Year 1 (7/1/2021)</v>
      </c>
      <c r="P1371" s="597"/>
      <c r="Q1371" s="1930">
        <f>$AC$1203</f>
        <v>-1.8700000000000001E-2</v>
      </c>
      <c r="R1371" s="597"/>
      <c r="S1371" s="1645"/>
      <c r="T1371" s="1645"/>
      <c r="U1371" s="1645"/>
      <c r="V1371" s="1645"/>
      <c r="W1371" s="1645"/>
      <c r="X1371" s="1645"/>
      <c r="Y1371" s="1644">
        <f>Q1371*Y1374</f>
        <v>-796.90792794857384</v>
      </c>
    </row>
    <row r="1372" spans="1:28" hidden="1">
      <c r="A1372" s="1900"/>
      <c r="C1372" s="584"/>
      <c r="D1372" s="584"/>
      <c r="F1372" s="1930"/>
      <c r="G1372" s="597"/>
      <c r="H1372" s="1644"/>
      <c r="I1372" s="1644"/>
      <c r="K1372" s="1930"/>
      <c r="L1372" s="597"/>
      <c r="M1372" s="1930"/>
      <c r="N1372" s="597"/>
      <c r="O1372" s="1931" t="str">
        <f>$O$44</f>
        <v>Tax Year 2 (1/1/2022)</v>
      </c>
      <c r="P1372" s="597"/>
      <c r="Q1372" s="1930">
        <f>$AC$1204</f>
        <v>-1.0200000000000001E-2</v>
      </c>
      <c r="R1372" s="597"/>
      <c r="S1372" s="1645"/>
      <c r="T1372" s="1645"/>
      <c r="U1372" s="1645"/>
      <c r="V1372" s="1645"/>
      <c r="W1372" s="1645"/>
      <c r="X1372" s="1645"/>
      <c r="Y1372" s="1644">
        <f>Q1372*Y1374</f>
        <v>-434.67705160831304</v>
      </c>
    </row>
    <row r="1373" spans="1:28" hidden="1">
      <c r="A1373" s="1900" t="s">
        <v>141</v>
      </c>
      <c r="C1373" s="528">
        <f>'Table 2'!F136</f>
        <v>193.916666666667</v>
      </c>
      <c r="D1373" s="528">
        <f>ROUND(Bill!P85/12,0)</f>
        <v>163</v>
      </c>
    </row>
    <row r="1374" spans="1:28" ht="16.5" hidden="1" thickBot="1">
      <c r="A1374" s="1900" t="s">
        <v>302</v>
      </c>
      <c r="C1374" s="1029">
        <f>C1369+C1370</f>
        <v>348376.09622831794</v>
      </c>
      <c r="D1374" s="1029">
        <f>Energy!P85</f>
        <v>297000</v>
      </c>
      <c r="F1374" s="1935"/>
      <c r="H1374" s="1646">
        <f>SUM(H1368:H1371)</f>
        <v>90378.911999999997</v>
      </c>
      <c r="I1374" s="1646">
        <f>SUM(I1368:I1371)</f>
        <v>76890.808799999999</v>
      </c>
      <c r="K1374" s="1935"/>
      <c r="M1374" s="1935"/>
      <c r="O1374" s="1935"/>
      <c r="Q1374" s="1935"/>
      <c r="S1374" s="1637">
        <f>$Y1374/$Y$1206*S1332</f>
        <v>419.81313884595738</v>
      </c>
      <c r="U1374" s="1637">
        <f>$Y1374/$Y$1206*U1332</f>
        <v>62.09987963312701</v>
      </c>
      <c r="W1374" s="1637">
        <f>Y1374-S1374-U1374</f>
        <v>42133.48419802219</v>
      </c>
      <c r="Y1374" s="1646">
        <f>$Y$1206/$I$1206*I1374</f>
        <v>42615.397216501275</v>
      </c>
      <c r="AA1374" s="1104" t="s">
        <v>1743</v>
      </c>
      <c r="AB1374" s="1890">
        <f>Y1374/I1374-1</f>
        <v>-0.44576734356706005</v>
      </c>
    </row>
    <row r="1375" spans="1:28" ht="16.5" thickTop="1">
      <c r="C1375" s="528"/>
      <c r="D1375" s="528"/>
    </row>
    <row r="1376" spans="1:28">
      <c r="A1376" s="1897" t="s">
        <v>557</v>
      </c>
      <c r="C1376" s="528"/>
      <c r="D1376" s="528"/>
    </row>
    <row r="1377" spans="1:30">
      <c r="A1377" s="1900" t="s">
        <v>240</v>
      </c>
      <c r="C1377" s="528">
        <f t="shared" ref="C1377:D1391" si="1553">C1399+C1419</f>
        <v>2791.4995714285697</v>
      </c>
      <c r="D1377" s="528">
        <f t="shared" si="1553"/>
        <v>2823</v>
      </c>
      <c r="F1377" s="1901">
        <v>70</v>
      </c>
      <c r="G1377" s="1902"/>
      <c r="H1377" s="1644">
        <f t="shared" ref="H1377:I1387" si="1554">ROUND($F1377*C1377,0)</f>
        <v>195405</v>
      </c>
      <c r="I1377" s="1644">
        <f t="shared" si="1554"/>
        <v>197610</v>
      </c>
      <c r="K1377" s="1901">
        <f>Q1377</f>
        <v>71</v>
      </c>
      <c r="L1377" s="1902"/>
      <c r="M1377" s="1901"/>
      <c r="N1377" s="1902"/>
      <c r="O1377" s="1901"/>
      <c r="P1377" s="1902"/>
      <c r="Q1377" s="1901">
        <f>ROUND(F1377*(1+$AB$1381),0)</f>
        <v>71</v>
      </c>
      <c r="R1377" s="1902"/>
      <c r="S1377" s="1643">
        <f>Y1377</f>
        <v>200433</v>
      </c>
      <c r="T1377" s="1643"/>
      <c r="U1377" s="1643"/>
      <c r="V1377" s="1643"/>
      <c r="W1377" s="1643"/>
      <c r="X1377" s="1643"/>
      <c r="Y1377" s="1644">
        <f>ROUND($D1377*Q1377,0)</f>
        <v>200433</v>
      </c>
      <c r="AA1377" s="1903" t="s">
        <v>1741</v>
      </c>
      <c r="AB1377" s="1904">
        <f>Y1394+Y1456+Y1476</f>
        <v>149069937</v>
      </c>
    </row>
    <row r="1378" spans="1:30">
      <c r="A1378" s="1900" t="s">
        <v>168</v>
      </c>
      <c r="C1378" s="528">
        <f t="shared" si="1553"/>
        <v>4200189.0693277307</v>
      </c>
      <c r="D1378" s="528">
        <f t="shared" si="1553"/>
        <v>4249794</v>
      </c>
      <c r="F1378" s="1901">
        <v>4.76</v>
      </c>
      <c r="G1378" s="1902"/>
      <c r="H1378" s="1644">
        <f>ROUND($F1378*C1378,0)</f>
        <v>19992900</v>
      </c>
      <c r="I1378" s="1644">
        <f>ROUND($F1378*D1378,0)</f>
        <v>20229019</v>
      </c>
      <c r="K1378" s="1901">
        <f>Q1378</f>
        <v>4.84</v>
      </c>
      <c r="L1378" s="1902"/>
      <c r="M1378" s="1901"/>
      <c r="N1378" s="1902"/>
      <c r="O1378" s="1901"/>
      <c r="P1378" s="1902"/>
      <c r="Q1378" s="1901">
        <f>ROUND(F1378*(1+$AB$1381),2)</f>
        <v>4.84</v>
      </c>
      <c r="R1378" s="1902"/>
      <c r="S1378" s="1643">
        <f>MIN(S1394-S1377-S1387,Y1378)</f>
        <v>20569003</v>
      </c>
      <c r="T1378" s="1643"/>
      <c r="U1378" s="1643">
        <f>Y1378-S1378</f>
        <v>0</v>
      </c>
      <c r="V1378" s="1643"/>
      <c r="W1378" s="1643"/>
      <c r="X1378" s="1643"/>
      <c r="Y1378" s="1644">
        <f t="shared" ref="Y1378:Y1380" si="1555">ROUND($D1378*Q1378,0)</f>
        <v>20569003</v>
      </c>
      <c r="AA1378" s="1905" t="s">
        <v>1742</v>
      </c>
      <c r="AB1378" s="1906">
        <f>RateSpread!M34*1000</f>
        <v>149069936.47300002</v>
      </c>
    </row>
    <row r="1379" spans="1:30">
      <c r="A1379" s="1900" t="s">
        <v>1651</v>
      </c>
      <c r="C1379" s="528">
        <f t="shared" si="1553"/>
        <v>1425364.3681954143</v>
      </c>
      <c r="D1379" s="528">
        <f t="shared" si="1553"/>
        <v>1442193</v>
      </c>
      <c r="F1379" s="1944"/>
      <c r="G1379" s="597"/>
      <c r="H1379" s="1644"/>
      <c r="I1379" s="1644"/>
      <c r="K1379" s="1944">
        <f>ROUND(S1379/$D1379,2)</f>
        <v>7.23</v>
      </c>
      <c r="L1379" s="597"/>
      <c r="M1379" s="1944">
        <f>Q1379-K1379</f>
        <v>8.6</v>
      </c>
      <c r="N1379" s="597"/>
      <c r="O1379" s="1944"/>
      <c r="P1379" s="597"/>
      <c r="Q1379" s="1944">
        <f>ROUND(F1385*(1+$AB$1381),2)</f>
        <v>15.83</v>
      </c>
      <c r="R1379" s="597"/>
      <c r="S1379" s="1645">
        <f>MIN($S$1394-$S$1377-$S$1378-$S$1387,$Y$1379+$Y$1380)*$Y1379/SUM($Y$1379:$Y$1380)</f>
        <v>10422230.63618565</v>
      </c>
      <c r="T1379" s="1645"/>
      <c r="U1379" s="1645">
        <f>MIN($U$1394-$U$1378,SUM($Y$1379:$Y$1380,-$S$1379,-$S$1380))*$Y1379/SUM($Y$1379:$Y$1380)</f>
        <v>12407684.363814352</v>
      </c>
      <c r="V1379" s="1645"/>
      <c r="W1379" s="1645">
        <f>Y1379-S1379-U1379</f>
        <v>0</v>
      </c>
      <c r="X1379" s="1645"/>
      <c r="Y1379" s="1644">
        <f t="shared" si="1555"/>
        <v>22829915</v>
      </c>
      <c r="AA1379" s="1908" t="s">
        <v>87</v>
      </c>
      <c r="AB1379" s="1909">
        <f>AB1378-AB1377</f>
        <v>-0.52699998021125793</v>
      </c>
    </row>
    <row r="1380" spans="1:30">
      <c r="A1380" s="1900" t="s">
        <v>1652</v>
      </c>
      <c r="C1380" s="528">
        <f t="shared" si="1553"/>
        <v>2567346.9177186969</v>
      </c>
      <c r="D1380" s="528">
        <f t="shared" si="1553"/>
        <v>2597774</v>
      </c>
      <c r="F1380" s="1944"/>
      <c r="G1380" s="597"/>
      <c r="H1380" s="1644"/>
      <c r="I1380" s="1644"/>
      <c r="K1380" s="1944">
        <f>ROUND(S1380/$D1380,2)</f>
        <v>6.4</v>
      </c>
      <c r="L1380" s="597"/>
      <c r="M1380" s="1944">
        <f>Q1380-K1380</f>
        <v>7.6099999999999994</v>
      </c>
      <c r="N1380" s="597"/>
      <c r="O1380" s="1944"/>
      <c r="P1380" s="597"/>
      <c r="Q1380" s="1944">
        <f>ROUND(Q1379/$AB$1385,2)</f>
        <v>14.01</v>
      </c>
      <c r="R1380" s="597"/>
      <c r="S1380" s="1645">
        <f>MIN($S$1394-$S$1377-$S$1378-$S$1387,$Y$1379+$Y$1380)*$Y1380/SUM($Y$1379:$Y$1380)</f>
        <v>16614829.510713395</v>
      </c>
      <c r="T1380" s="1645"/>
      <c r="U1380" s="1645">
        <f>MIN($U$1394-$U$1378,SUM($Y$1379:$Y$1380,-$S$1379,-$S$1380))*$Y1380/SUM($Y$1379:$Y$1380)</f>
        <v>19779984.489286609</v>
      </c>
      <c r="V1380" s="1645"/>
      <c r="W1380" s="1645">
        <f>Y1380-S1380-U1380</f>
        <v>0</v>
      </c>
      <c r="X1380" s="1645"/>
      <c r="Y1380" s="1644">
        <f t="shared" si="1555"/>
        <v>36394814</v>
      </c>
      <c r="AA1380" s="1903" t="s">
        <v>1743</v>
      </c>
      <c r="AB1380" s="1958">
        <f>AB1377/(I1394+I1456+I1476)-1</f>
        <v>1.7146735763687859E-2</v>
      </c>
    </row>
    <row r="1381" spans="1:30">
      <c r="A1381" s="1900" t="s">
        <v>1532</v>
      </c>
      <c r="C1381" s="528">
        <f t="shared" si="1553"/>
        <v>185154109.36040783</v>
      </c>
      <c r="D1381" s="528">
        <f t="shared" si="1553"/>
        <v>186186148.05356526</v>
      </c>
      <c r="F1381" s="1943"/>
      <c r="G1381" s="1921"/>
      <c r="H1381" s="1644"/>
      <c r="I1381" s="1644"/>
      <c r="K1381" s="1923"/>
      <c r="L1381" s="1921"/>
      <c r="M1381" s="1923">
        <f>ROUND((U1394-U1378-U1379-U1380)/SUM(D1381:D1384)*100,4)</f>
        <v>1.4166000000000001</v>
      </c>
      <c r="N1381" s="1921" t="s">
        <v>495</v>
      </c>
      <c r="O1381" s="1920">
        <f>Q1381-M1381</f>
        <v>4.4476704152740005</v>
      </c>
      <c r="P1381" s="1921" t="s">
        <v>495</v>
      </c>
      <c r="Q1381" s="1943">
        <f>ROUND((AB1378-SUM(Y1377:Y1380,Y1387,Y1439:Y1442,Y1449,Y1459:Y1462,Y1469))/(D1381+D1443+D1463+(D1383+D1445+D1465)*AB1384+1/AB1385*(D1382+D1444+D1464+(D1384+D1446+D1466)*AB1384))*100,$AB$8)</f>
        <v>5.8642704152740004</v>
      </c>
      <c r="R1381" s="1921" t="s">
        <v>495</v>
      </c>
      <c r="S1381" s="1648"/>
      <c r="T1381" s="1648"/>
      <c r="U1381" s="1645">
        <f>MIN($U$1394-$U$1378-$U$1379-$U$1380-$U$1387,SUM($Y$1381:$Y$1384))*$Y1381/SUM($Y$1381:$Y$1384)</f>
        <v>4564077.9457503567</v>
      </c>
      <c r="V1381" s="1648"/>
      <c r="W1381" s="1645">
        <f>Y1381-S1381-U1381</f>
        <v>6354381.0542496433</v>
      </c>
      <c r="X1381" s="1648"/>
      <c r="Y1381" s="1644">
        <f>ROUND($D1381*Q1381/100,0)</f>
        <v>10918459</v>
      </c>
      <c r="AA1381" s="1905" t="s">
        <v>1744</v>
      </c>
      <c r="AB1381" s="1953">
        <f>AB1378/(I1394+I1456+I1476)-1</f>
        <v>1.7146732167816481E-2</v>
      </c>
    </row>
    <row r="1382" spans="1:30">
      <c r="A1382" s="1900" t="s">
        <v>1653</v>
      </c>
      <c r="C1382" s="528">
        <f t="shared" si="1553"/>
        <v>268735247.57796174</v>
      </c>
      <c r="D1382" s="528">
        <f t="shared" si="1553"/>
        <v>270238556</v>
      </c>
      <c r="F1382" s="1943"/>
      <c r="G1382" s="1921"/>
      <c r="H1382" s="1644"/>
      <c r="I1382" s="1644"/>
      <c r="K1382" s="1923"/>
      <c r="L1382" s="1921"/>
      <c r="M1382" s="1923">
        <f>$M$1381</f>
        <v>1.4166000000000001</v>
      </c>
      <c r="N1382" s="1921" t="s">
        <v>495</v>
      </c>
      <c r="O1382" s="1920">
        <f t="shared" ref="O1382:O1384" si="1556">Q1382-M1382</f>
        <v>3.7730198365260001</v>
      </c>
      <c r="P1382" s="1921" t="s">
        <v>495</v>
      </c>
      <c r="Q1382" s="1943">
        <f>ROUND(Q1381/$AB$1385,$AB$8)</f>
        <v>5.189619836526</v>
      </c>
      <c r="R1382" s="1921" t="s">
        <v>495</v>
      </c>
      <c r="S1382" s="1648"/>
      <c r="T1382" s="1648"/>
      <c r="U1382" s="1645">
        <f t="shared" ref="U1382:U1384" si="1557">MIN($U$1394-$U$1378-$U$1379-$U$1380-$U$1387,SUM($Y$1381:$Y$1384))*$Y1382/SUM($Y$1381:$Y$1384)</f>
        <v>5862388.1625415999</v>
      </c>
      <c r="V1382" s="1648"/>
      <c r="W1382" s="1645">
        <f t="shared" ref="W1382:W1384" si="1558">Y1382-S1382-U1382</f>
        <v>8161965.8374584001</v>
      </c>
      <c r="X1382" s="1648"/>
      <c r="Y1382" s="1644">
        <f t="shared" ref="Y1382:Y1384" si="1559">ROUND($D1382*Q1382/100,0)</f>
        <v>14024354</v>
      </c>
      <c r="AA1382" s="1905" t="s">
        <v>1751</v>
      </c>
      <c r="AB1382" s="1953">
        <f>(AB1378-Y1377-Y1439-Y1459)/SUM(I1378:I1390,I1440:I1452,I1460:I1472)-1</f>
        <v>-1.1173440691736425E-2</v>
      </c>
    </row>
    <row r="1383" spans="1:30">
      <c r="A1383" s="1900" t="s">
        <v>1533</v>
      </c>
      <c r="C1383" s="528">
        <f t="shared" si="1553"/>
        <v>521811126.72784448</v>
      </c>
      <c r="D1383" s="528">
        <f t="shared" si="1553"/>
        <v>524787623</v>
      </c>
      <c r="F1383" s="1943"/>
      <c r="G1383" s="1921"/>
      <c r="H1383" s="1644"/>
      <c r="I1383" s="1644"/>
      <c r="K1383" s="1923"/>
      <c r="L1383" s="1921"/>
      <c r="M1383" s="1923">
        <f t="shared" ref="M1383:M1384" si="1560">$M$1381</f>
        <v>1.4166000000000001</v>
      </c>
      <c r="N1383" s="1921" t="s">
        <v>495</v>
      </c>
      <c r="O1383" s="1920">
        <f t="shared" si="1556"/>
        <v>1.5641055047420001</v>
      </c>
      <c r="P1383" s="1921" t="s">
        <v>495</v>
      </c>
      <c r="Q1383" s="1943">
        <f>ROUND(Q1381*$AB$1384,$AB$8)</f>
        <v>2.9807055047420001</v>
      </c>
      <c r="R1383" s="1921" t="s">
        <v>495</v>
      </c>
      <c r="S1383" s="1648"/>
      <c r="T1383" s="1648"/>
      <c r="U1383" s="1645">
        <f t="shared" si="1557"/>
        <v>6538744.5419338746</v>
      </c>
      <c r="V1383" s="1648"/>
      <c r="W1383" s="1645">
        <f t="shared" si="1558"/>
        <v>9103629.4580661245</v>
      </c>
      <c r="X1383" s="1648"/>
      <c r="Y1383" s="1644">
        <f t="shared" si="1559"/>
        <v>15642374</v>
      </c>
      <c r="AA1383" s="1915" t="s">
        <v>1678</v>
      </c>
      <c r="AB1383" s="1962">
        <f>(Y1377+Y1439+Y1459)/(I1377+I1439+I1459)-1</f>
        <v>1.4285714285714235E-2</v>
      </c>
    </row>
    <row r="1384" spans="1:30">
      <c r="A1384" s="1900" t="s">
        <v>2177</v>
      </c>
      <c r="C1384" s="528">
        <f t="shared" si="1553"/>
        <v>970674891.32886767</v>
      </c>
      <c r="D1384" s="528">
        <f t="shared" si="1553"/>
        <v>976265495</v>
      </c>
      <c r="F1384" s="1943"/>
      <c r="G1384" s="1921"/>
      <c r="H1384" s="1644"/>
      <c r="I1384" s="1644"/>
      <c r="K1384" s="1923"/>
      <c r="L1384" s="1921"/>
      <c r="M1384" s="1923">
        <f t="shared" si="1560"/>
        <v>1.4166000000000001</v>
      </c>
      <c r="N1384" s="1921" t="s">
        <v>495</v>
      </c>
      <c r="O1384" s="1920">
        <f t="shared" si="1556"/>
        <v>1.2211924820729998</v>
      </c>
      <c r="P1384" s="1921" t="s">
        <v>495</v>
      </c>
      <c r="Q1384" s="1943">
        <f>ROUND(Q1383/$AB$1385,$AB$8)</f>
        <v>2.6377924820729999</v>
      </c>
      <c r="R1384" s="1921" t="s">
        <v>495</v>
      </c>
      <c r="S1384" s="1648"/>
      <c r="T1384" s="1656"/>
      <c r="U1384" s="1645">
        <f t="shared" si="1557"/>
        <v>10764658.928507667</v>
      </c>
      <c r="V1384" s="1656"/>
      <c r="W1384" s="1645">
        <f t="shared" si="1558"/>
        <v>14987199.071492333</v>
      </c>
      <c r="X1384" s="1648"/>
      <c r="Y1384" s="1644">
        <f t="shared" si="1559"/>
        <v>25751858</v>
      </c>
      <c r="AA1384" s="1898" t="s">
        <v>2178</v>
      </c>
      <c r="AB1384" s="1955">
        <f>'Large Profile'!C11/'Large Profile'!C10</f>
        <v>0.50828241088242498</v>
      </c>
    </row>
    <row r="1385" spans="1:30">
      <c r="A1385" s="1900" t="s">
        <v>18</v>
      </c>
      <c r="C1385" s="528">
        <f t="shared" si="1553"/>
        <v>1763929.8329048851</v>
      </c>
      <c r="D1385" s="528">
        <f t="shared" si="1553"/>
        <v>1784756</v>
      </c>
      <c r="F1385" s="1901">
        <v>15.56</v>
      </c>
      <c r="G1385" s="1902"/>
      <c r="H1385" s="1644">
        <f t="shared" si="1554"/>
        <v>27446748</v>
      </c>
      <c r="I1385" s="1644">
        <f t="shared" si="1554"/>
        <v>27770803</v>
      </c>
      <c r="K1385" s="1901"/>
      <c r="L1385" s="1902"/>
      <c r="M1385" s="1901"/>
      <c r="N1385" s="1902"/>
      <c r="O1385" s="1901"/>
      <c r="P1385" s="1902"/>
      <c r="Q1385" s="1901"/>
      <c r="R1385" s="1902"/>
      <c r="S1385" s="1643"/>
      <c r="T1385" s="1643"/>
      <c r="U1385" s="1643"/>
      <c r="V1385" s="1643"/>
      <c r="W1385" s="1643"/>
      <c r="X1385" s="1643"/>
      <c r="Y1385" s="1644"/>
      <c r="AA1385" s="1898" t="s">
        <v>1756</v>
      </c>
      <c r="AB1385" s="1899">
        <v>1.1299999999999999</v>
      </c>
    </row>
    <row r="1386" spans="1:30">
      <c r="A1386" s="1900" t="s">
        <v>166</v>
      </c>
      <c r="C1386" s="528">
        <f t="shared" si="1553"/>
        <v>2327490.8087578244</v>
      </c>
      <c r="D1386" s="528">
        <f t="shared" si="1553"/>
        <v>2355074</v>
      </c>
      <c r="F1386" s="1901">
        <v>11.19</v>
      </c>
      <c r="G1386" s="1902"/>
      <c r="H1386" s="1644">
        <f t="shared" si="1554"/>
        <v>26044622</v>
      </c>
      <c r="I1386" s="1644">
        <f t="shared" si="1554"/>
        <v>26353278</v>
      </c>
      <c r="K1386" s="1901"/>
      <c r="L1386" s="1902"/>
      <c r="M1386" s="1901"/>
      <c r="N1386" s="1902"/>
      <c r="O1386" s="1901"/>
      <c r="P1386" s="1902"/>
      <c r="Q1386" s="1901"/>
      <c r="R1386" s="1902"/>
      <c r="S1386" s="1643"/>
      <c r="T1386" s="1643"/>
      <c r="U1386" s="1643"/>
      <c r="V1386" s="1643"/>
      <c r="W1386" s="1643"/>
      <c r="X1386" s="1643"/>
      <c r="Y1386" s="1644"/>
      <c r="AA1386" s="1109" t="s">
        <v>1938</v>
      </c>
      <c r="AB1386" s="1917">
        <f>RateSpread!W34*1000</f>
        <v>-3440490.8300082409</v>
      </c>
      <c r="AC1386" s="1918">
        <f>ROUND(AB1386/SUM(Y1379:Y1384,Y1441:Y1446,Y1461:Y1466),4)</f>
        <v>-2.6499999999999999E-2</v>
      </c>
    </row>
    <row r="1387" spans="1:30">
      <c r="A1387" s="1900" t="s">
        <v>261</v>
      </c>
      <c r="C1387" s="528">
        <f t="shared" si="1553"/>
        <v>1864418.008849557</v>
      </c>
      <c r="D1387" s="528">
        <f t="shared" si="1553"/>
        <v>1886120</v>
      </c>
      <c r="F1387" s="1901">
        <v>-1.1299999999999999</v>
      </c>
      <c r="G1387" s="1902"/>
      <c r="H1387" s="1644">
        <f t="shared" si="1554"/>
        <v>-2106792</v>
      </c>
      <c r="I1387" s="1644">
        <f t="shared" si="1554"/>
        <v>-2131316</v>
      </c>
      <c r="K1387" s="1944">
        <f>Q1387</f>
        <v>-1.1299999999999999</v>
      </c>
      <c r="L1387" s="597"/>
      <c r="M1387" s="1944"/>
      <c r="N1387" s="597"/>
      <c r="O1387" s="1944"/>
      <c r="P1387" s="1902"/>
      <c r="Q1387" s="1901">
        <f>F1387</f>
        <v>-1.1299999999999999</v>
      </c>
      <c r="R1387" s="1902"/>
      <c r="S1387" s="1643">
        <f>Y1387</f>
        <v>-2131316</v>
      </c>
      <c r="T1387" s="1643"/>
      <c r="U1387" s="1643"/>
      <c r="V1387" s="1643"/>
      <c r="W1387" s="1643"/>
      <c r="X1387" s="1643"/>
      <c r="Y1387" s="1644">
        <f>ROUND($D1387*Q1387,0)</f>
        <v>-2131316</v>
      </c>
      <c r="AA1387" s="1109" t="s">
        <v>1939</v>
      </c>
      <c r="AB1387" s="1917">
        <f>RateSpread!X34*1000</f>
        <v>-1867577.860858486</v>
      </c>
      <c r="AC1387" s="1918">
        <f>ROUND(AB1387/SUM(Y1379:Y1384,Y1441:Y1446,Y1461:Y1466),4)</f>
        <v>-1.44E-2</v>
      </c>
    </row>
    <row r="1388" spans="1:30">
      <c r="A1388" s="1900" t="s">
        <v>188</v>
      </c>
      <c r="C1388" s="528">
        <f t="shared" si="1553"/>
        <v>232225090.33673632</v>
      </c>
      <c r="D1388" s="528">
        <f t="shared" si="1553"/>
        <v>233519498.05356526</v>
      </c>
      <c r="F1388" s="1963">
        <v>5.0473999999999997</v>
      </c>
      <c r="G1388" s="1921" t="s">
        <v>495</v>
      </c>
      <c r="H1388" s="1644">
        <f t="shared" ref="H1388:I1390" si="1561">ROUND($F1388*C1388/100,0)</f>
        <v>11721329</v>
      </c>
      <c r="I1388" s="1644">
        <f t="shared" si="1561"/>
        <v>11786663</v>
      </c>
      <c r="K1388" s="1963"/>
      <c r="L1388" s="1921"/>
      <c r="M1388" s="1963"/>
      <c r="N1388" s="1921"/>
      <c r="O1388" s="1963"/>
      <c r="P1388" s="1921"/>
      <c r="Q1388" s="1963"/>
      <c r="R1388" s="1921"/>
      <c r="S1388" s="1648"/>
      <c r="T1388" s="1648"/>
      <c r="U1388" s="1648"/>
      <c r="V1388" s="1648"/>
      <c r="W1388" s="1648"/>
      <c r="X1388" s="1648"/>
      <c r="Y1388" s="1644"/>
      <c r="AA1388" s="1915"/>
      <c r="AB1388" s="1962"/>
    </row>
    <row r="1389" spans="1:30">
      <c r="A1389" s="1900" t="s">
        <v>163</v>
      </c>
      <c r="C1389" s="528">
        <f t="shared" si="1553"/>
        <v>544895526.36305022</v>
      </c>
      <c r="D1389" s="528">
        <f t="shared" si="1553"/>
        <v>547943680</v>
      </c>
      <c r="F1389" s="1963">
        <v>3.9510999999999998</v>
      </c>
      <c r="G1389" s="1921" t="s">
        <v>495</v>
      </c>
      <c r="H1389" s="1644">
        <f t="shared" si="1561"/>
        <v>21529367</v>
      </c>
      <c r="I1389" s="1644">
        <f t="shared" si="1561"/>
        <v>21649803</v>
      </c>
      <c r="K1389" s="1963"/>
      <c r="L1389" s="1921"/>
      <c r="M1389" s="1963"/>
      <c r="N1389" s="1921"/>
      <c r="O1389" s="1963"/>
      <c r="P1389" s="1921"/>
      <c r="Q1389" s="1963"/>
      <c r="R1389" s="1921"/>
      <c r="S1389" s="1648"/>
      <c r="T1389" s="1648"/>
      <c r="U1389" s="1648"/>
      <c r="V1389" s="1648"/>
      <c r="W1389" s="1648"/>
      <c r="X1389" s="1648"/>
      <c r="Y1389" s="1644"/>
    </row>
    <row r="1390" spans="1:30">
      <c r="A1390" s="1900" t="s">
        <v>249</v>
      </c>
      <c r="C1390" s="528">
        <f t="shared" si="1553"/>
        <v>1169254758.2952952</v>
      </c>
      <c r="D1390" s="528">
        <f t="shared" si="1553"/>
        <v>1176014644</v>
      </c>
      <c r="F1390" s="1963">
        <v>3.4001999999999999</v>
      </c>
      <c r="G1390" s="1921" t="s">
        <v>495</v>
      </c>
      <c r="H1390" s="1644">
        <f t="shared" si="1561"/>
        <v>39757000</v>
      </c>
      <c r="I1390" s="1644">
        <f t="shared" si="1561"/>
        <v>39986850</v>
      </c>
      <c r="K1390" s="1963"/>
      <c r="L1390" s="1921"/>
      <c r="M1390" s="1963"/>
      <c r="N1390" s="1921"/>
      <c r="O1390" s="1963"/>
      <c r="P1390" s="1921"/>
      <c r="Q1390" s="1963"/>
      <c r="R1390" s="1921"/>
      <c r="S1390" s="1648"/>
      <c r="T1390" s="1648"/>
      <c r="U1390" s="1648"/>
      <c r="V1390" s="1648"/>
      <c r="W1390" s="1648"/>
      <c r="X1390" s="1648"/>
      <c r="Y1390" s="1644"/>
      <c r="AA1390" s="1104" t="s">
        <v>1743</v>
      </c>
      <c r="AB1390" s="1890">
        <f>Y1394/I1394-1</f>
        <v>1.7019869828150513E-2</v>
      </c>
    </row>
    <row r="1391" spans="1:30">
      <c r="A1391" s="1900" t="s">
        <v>246</v>
      </c>
      <c r="C1391" s="529">
        <f t="shared" si="1553"/>
        <v>-11458760</v>
      </c>
      <c r="D1391" s="529">
        <f t="shared" si="1553"/>
        <v>0</v>
      </c>
      <c r="H1391" s="1030">
        <f>H1413+H1433</f>
        <v>-736380</v>
      </c>
      <c r="I1391" s="1030">
        <f>I1413+I1433</f>
        <v>0</v>
      </c>
      <c r="U1391" s="1648"/>
      <c r="W1391" s="1648"/>
      <c r="Y1391" s="1030">
        <f>Y1413+Y1433</f>
        <v>0</v>
      </c>
    </row>
    <row r="1392" spans="1:30">
      <c r="A1392" s="1900" t="s">
        <v>1240</v>
      </c>
      <c r="C1392" s="584"/>
      <c r="D1392" s="584"/>
      <c r="F1392" s="1930">
        <v>-3.1800000000000002E-2</v>
      </c>
      <c r="G1392" s="597"/>
      <c r="H1392" s="1644">
        <f>SUM(H1385:H1386,H1388:H1390)*$F1392</f>
        <v>-4022670.2988000005</v>
      </c>
      <c r="I1392" s="1644">
        <f>SUM(I1385:I1386,I1388:I1390)*$F1392</f>
        <v>-4056007.2246000003</v>
      </c>
      <c r="K1392" s="1930"/>
      <c r="L1392" s="597"/>
      <c r="M1392" s="1930"/>
      <c r="N1392" s="597"/>
      <c r="O1392" s="1931" t="str">
        <f>$O$43</f>
        <v>Tax Year 1 (7/1/2021)</v>
      </c>
      <c r="P1392" s="597"/>
      <c r="Q1392" s="1930">
        <f>AC1386</f>
        <v>-2.6499999999999999E-2</v>
      </c>
      <c r="R1392" s="597"/>
      <c r="S1392" s="1645"/>
      <c r="T1392" s="1645"/>
      <c r="U1392" s="1645"/>
      <c r="V1392" s="1645"/>
      <c r="W1392" s="1645"/>
      <c r="X1392" s="1645"/>
      <c r="Y1392" s="1644">
        <f>Q1392*SUM(Y1379:Y1384)</f>
        <v>-3327387.0109999999</v>
      </c>
      <c r="AA1392" s="1932" t="s">
        <v>1940</v>
      </c>
      <c r="AB1392" s="1932"/>
      <c r="AC1392" s="1932"/>
      <c r="AD1392" s="1932"/>
    </row>
    <row r="1393" spans="1:31">
      <c r="A1393" s="1900"/>
      <c r="C1393" s="584"/>
      <c r="D1393" s="584"/>
      <c r="F1393" s="1930"/>
      <c r="G1393" s="597"/>
      <c r="H1393" s="1644"/>
      <c r="I1393" s="1644"/>
      <c r="K1393" s="1930"/>
      <c r="L1393" s="597"/>
      <c r="M1393" s="1930"/>
      <c r="N1393" s="597"/>
      <c r="O1393" s="1931" t="str">
        <f>$O$44</f>
        <v>Tax Year 2 (1/1/2022)</v>
      </c>
      <c r="P1393" s="597"/>
      <c r="Q1393" s="1930">
        <f>AC1387</f>
        <v>-1.44E-2</v>
      </c>
      <c r="R1393" s="597"/>
      <c r="S1393" s="1645"/>
      <c r="T1393" s="1645"/>
      <c r="U1393" s="1645"/>
      <c r="V1393" s="1645"/>
      <c r="W1393" s="1645"/>
      <c r="X1393" s="1645"/>
      <c r="Y1393" s="1644">
        <f>Q1393*SUM(Y1379:Y1384)</f>
        <v>-1808089.5455999998</v>
      </c>
      <c r="AA1393" s="1933" t="s">
        <v>1660</v>
      </c>
      <c r="AB1393" s="1933" t="s">
        <v>1661</v>
      </c>
      <c r="AC1393" s="1933" t="s">
        <v>1662</v>
      </c>
      <c r="AD1393" s="1933" t="s">
        <v>93</v>
      </c>
    </row>
    <row r="1394" spans="1:31" ht="16.5" thickBot="1">
      <c r="A1394" s="1900" t="s">
        <v>247</v>
      </c>
      <c r="C1394" s="1949">
        <f>SUM(C1388:C1391)</f>
        <v>1934916614.9950819</v>
      </c>
      <c r="D1394" s="1949">
        <f>SUM(D1388:D1391)</f>
        <v>1957477822.0535653</v>
      </c>
      <c r="F1394" s="1939"/>
      <c r="H1394" s="1647">
        <f>SUM(H1377:H1392)</f>
        <v>139821528.70120001</v>
      </c>
      <c r="I1394" s="1647">
        <f>SUM(I1377:I1392)</f>
        <v>141786702.77540001</v>
      </c>
      <c r="K1394" s="1939"/>
      <c r="M1394" s="1939"/>
      <c r="O1394" s="1935"/>
      <c r="Q1394" s="1935"/>
      <c r="S1394" s="1646">
        <f>$Y1394*AA1394/$AD1394*$W$2683</f>
        <v>45675180.146899045</v>
      </c>
      <c r="T1394" s="1646"/>
      <c r="U1394" s="1646">
        <f>$Y1394*AB1394/$AD1394*$W$2683</f>
        <v>59917538.431834459</v>
      </c>
      <c r="V1394" s="1646"/>
      <c r="W1394" s="1646">
        <f>Y1394-S1394-U1394</f>
        <v>38607175.421266496</v>
      </c>
      <c r="Y1394" s="1646">
        <f>SUM(Y1377:Y1391)</f>
        <v>144199894</v>
      </c>
      <c r="Z1394" s="1936"/>
      <c r="AA1394" s="1937">
        <f>'Unit Cost Target'!$F$87+'Unit Cost Target'!$F$123+'Unit Cost Target'!$F$129+'Unit Cost Target'!$F$75+'Unit Cost Target'!$F$81</f>
        <v>44578067.846668616</v>
      </c>
      <c r="AB1394" s="1937">
        <f>'Unit Cost Target'!$F$45+'Unit Cost Target'!$F$51</f>
        <v>58478326.408988006</v>
      </c>
      <c r="AC1394" s="1937">
        <f>'Unit Cost Target'!$F$33+'Unit Cost Target'!$F$39+'Unit Cost Target'!$F$63+'Unit Cost Target'!$F$69</f>
        <v>41132879.428334646</v>
      </c>
      <c r="AD1394" s="1937">
        <f>SUM(AA1394:AC1394)</f>
        <v>144189273.68399128</v>
      </c>
      <c r="AE1394" s="1937">
        <f>AD1394-'Unit Cost Target'!$F$21</f>
        <v>0</v>
      </c>
    </row>
    <row r="1395" spans="1:31" ht="16.5" hidden="1" thickTop="1">
      <c r="M1395" s="1964" t="s">
        <v>2309</v>
      </c>
      <c r="O1395" s="1869">
        <f>ROUND(SUM(W1381,W1383)/SUM(D1381,D1383)*100,4)</f>
        <v>2.1741999999999999</v>
      </c>
      <c r="P1395" s="1921" t="s">
        <v>495</v>
      </c>
      <c r="AA1395" s="1937">
        <f>S1394-SUM(S1377:S1393)</f>
        <v>0</v>
      </c>
      <c r="AB1395" s="1937">
        <f>U1394-SUM(U1377:U1393)</f>
        <v>0</v>
      </c>
      <c r="AC1395" s="1937">
        <f>W1394-SUM(W1377:W1393)</f>
        <v>0</v>
      </c>
      <c r="AD1395" s="1937">
        <f>SUM(AA1395:AC1395)</f>
        <v>0</v>
      </c>
      <c r="AE1395" s="1937"/>
    </row>
    <row r="1396" spans="1:31" hidden="1">
      <c r="M1396" s="1964" t="s">
        <v>2309</v>
      </c>
      <c r="O1396" s="1869">
        <f>ROUND(SUM(W1382,W1384)/SUM(D1382,D1384)*100,4)</f>
        <v>1.8571</v>
      </c>
      <c r="P1396" s="1921" t="s">
        <v>495</v>
      </c>
      <c r="AA1396" s="1937"/>
      <c r="AB1396" s="1937"/>
      <c r="AC1396" s="1937"/>
      <c r="AD1396" s="1937"/>
      <c r="AE1396" s="1937"/>
    </row>
    <row r="1397" spans="1:31" hidden="1">
      <c r="AA1397" s="1937"/>
      <c r="AB1397" s="1937"/>
      <c r="AC1397" s="1937"/>
      <c r="AD1397" s="1937"/>
      <c r="AE1397" s="1937"/>
    </row>
    <row r="1398" spans="1:31" hidden="1">
      <c r="A1398" s="1897" t="s">
        <v>558</v>
      </c>
    </row>
    <row r="1399" spans="1:31" hidden="1">
      <c r="A1399" s="1900" t="s">
        <v>240</v>
      </c>
      <c r="C1399" s="528">
        <f>'8'!G10</f>
        <v>1541.43314285714</v>
      </c>
      <c r="D1399" s="528">
        <f>Bill!P35</f>
        <v>1587</v>
      </c>
      <c r="F1399" s="1944">
        <v>70</v>
      </c>
      <c r="G1399" s="597"/>
      <c r="H1399" s="1644">
        <f t="shared" ref="H1399:I1409" si="1562">ROUND($F1399*C1399,0)</f>
        <v>107900</v>
      </c>
      <c r="I1399" s="1644">
        <f t="shared" si="1562"/>
        <v>111090</v>
      </c>
      <c r="K1399" s="1944">
        <f t="shared" ref="K1399:K1406" si="1563">K1377</f>
        <v>71</v>
      </c>
      <c r="L1399" s="597"/>
      <c r="M1399" s="1944">
        <f t="shared" ref="M1399:M1406" si="1564">M1377</f>
        <v>0</v>
      </c>
      <c r="N1399" s="597"/>
      <c r="O1399" s="1944">
        <f t="shared" ref="O1399:O1406" si="1565">O1377</f>
        <v>0</v>
      </c>
      <c r="P1399" s="597"/>
      <c r="Q1399" s="1944">
        <f t="shared" ref="Q1399:Q1406" si="1566">Q1377</f>
        <v>71</v>
      </c>
      <c r="R1399" s="597"/>
      <c r="S1399" s="1645">
        <f>Y1399</f>
        <v>112677</v>
      </c>
      <c r="T1399" s="1645"/>
      <c r="U1399" s="1645"/>
      <c r="V1399" s="1645"/>
      <c r="W1399" s="1645"/>
      <c r="X1399" s="1645"/>
      <c r="Y1399" s="1644">
        <f>ROUND($D1399*Q1399,0)</f>
        <v>112677</v>
      </c>
      <c r="Z1399" s="1878" t="s">
        <v>251</v>
      </c>
    </row>
    <row r="1400" spans="1:31" hidden="1">
      <c r="A1400" s="1900" t="s">
        <v>168</v>
      </c>
      <c r="C1400" s="528">
        <f>'8'!H10</f>
        <v>1960629.3991596601</v>
      </c>
      <c r="D1400" s="528">
        <f>ROUND(C1400/C1416*D1416,0)</f>
        <v>1975309</v>
      </c>
      <c r="F1400" s="1944">
        <v>4.76</v>
      </c>
      <c r="G1400" s="597"/>
      <c r="H1400" s="1644">
        <f>ROUND($F1400*C1400,0)</f>
        <v>9332596</v>
      </c>
      <c r="I1400" s="1644">
        <f>ROUND($F1400*D1400,0)</f>
        <v>9402471</v>
      </c>
      <c r="K1400" s="1944">
        <f t="shared" si="1563"/>
        <v>4.84</v>
      </c>
      <c r="L1400" s="597"/>
      <c r="M1400" s="1944">
        <f t="shared" si="1564"/>
        <v>0</v>
      </c>
      <c r="N1400" s="597"/>
      <c r="O1400" s="1944">
        <f t="shared" si="1565"/>
        <v>0</v>
      </c>
      <c r="P1400" s="597"/>
      <c r="Q1400" s="1944">
        <f t="shared" si="1566"/>
        <v>4.84</v>
      </c>
      <c r="R1400" s="597"/>
      <c r="S1400" s="1645">
        <f>Y1400</f>
        <v>9560496</v>
      </c>
      <c r="T1400" s="1645"/>
      <c r="U1400" s="1645"/>
      <c r="V1400" s="1645"/>
      <c r="W1400" s="1645"/>
      <c r="X1400" s="1645"/>
      <c r="Y1400" s="1644">
        <f t="shared" ref="Y1400:Y1402" si="1567">ROUND($D1400*Q1400,0)</f>
        <v>9560496</v>
      </c>
    </row>
    <row r="1401" spans="1:31" hidden="1">
      <c r="A1401" s="1900" t="s">
        <v>1651</v>
      </c>
      <c r="C1401" s="528">
        <f>C1407*Z1401</f>
        <v>665999.77967805869</v>
      </c>
      <c r="D1401" s="528">
        <f>ROUND(C1401/C1416*D1416,0)</f>
        <v>670986</v>
      </c>
      <c r="F1401" s="1944"/>
      <c r="G1401" s="597"/>
      <c r="H1401" s="1644"/>
      <c r="I1401" s="1644"/>
      <c r="K1401" s="1944">
        <f t="shared" si="1563"/>
        <v>7.23</v>
      </c>
      <c r="L1401" s="597"/>
      <c r="M1401" s="1944">
        <f t="shared" si="1564"/>
        <v>8.6</v>
      </c>
      <c r="N1401" s="597"/>
      <c r="O1401" s="1944">
        <f t="shared" si="1565"/>
        <v>0</v>
      </c>
      <c r="P1401" s="597"/>
      <c r="Q1401" s="1944">
        <f t="shared" si="1566"/>
        <v>15.83</v>
      </c>
      <c r="R1401" s="597"/>
      <c r="S1401" s="1644">
        <f t="shared" ref="S1401" si="1568">ROUND($D1401*K1401,0)</f>
        <v>4851229</v>
      </c>
      <c r="T1401" s="1644"/>
      <c r="U1401" s="1644">
        <f t="shared" ref="U1401" si="1569">ROUND($D1401*M1401,0)</f>
        <v>5770480</v>
      </c>
      <c r="V1401" s="1644"/>
      <c r="W1401" s="1644">
        <f t="shared" ref="W1401" si="1570">ROUND($D1401*O1401,0)</f>
        <v>0</v>
      </c>
      <c r="X1401" s="1645"/>
      <c r="Y1401" s="1644">
        <f t="shared" si="1567"/>
        <v>10621708</v>
      </c>
      <c r="Z1401" s="1878">
        <f>'Large Profile'!L9</f>
        <v>0.8080618296749863</v>
      </c>
    </row>
    <row r="1402" spans="1:31" hidden="1">
      <c r="A1402" s="1900" t="s">
        <v>1652</v>
      </c>
      <c r="C1402" s="528">
        <f>C1408*Z1402</f>
        <v>1185414.0959307961</v>
      </c>
      <c r="D1402" s="528">
        <f>ROUND(C1402/C1416*D1416,0)</f>
        <v>1194290</v>
      </c>
      <c r="F1402" s="1944"/>
      <c r="G1402" s="597"/>
      <c r="H1402" s="1644"/>
      <c r="I1402" s="1644"/>
      <c r="K1402" s="1944">
        <f t="shared" si="1563"/>
        <v>6.4</v>
      </c>
      <c r="L1402" s="597"/>
      <c r="M1402" s="1944">
        <f t="shared" si="1564"/>
        <v>7.6099999999999994</v>
      </c>
      <c r="N1402" s="597"/>
      <c r="O1402" s="1944">
        <f t="shared" si="1565"/>
        <v>0</v>
      </c>
      <c r="P1402" s="597"/>
      <c r="Q1402" s="1944">
        <f t="shared" si="1566"/>
        <v>14.01</v>
      </c>
      <c r="R1402" s="597"/>
      <c r="S1402" s="1644">
        <f t="shared" ref="S1402" si="1571">ROUND($D1402*K1402,0)</f>
        <v>7643456</v>
      </c>
      <c r="T1402" s="1644"/>
      <c r="U1402" s="1644">
        <f t="shared" ref="U1402" si="1572">ROUND($D1402*M1402,0)</f>
        <v>9088547</v>
      </c>
      <c r="V1402" s="1644"/>
      <c r="W1402" s="1644">
        <f t="shared" ref="W1402" si="1573">ROUND($D1402*O1402,0)</f>
        <v>0</v>
      </c>
      <c r="X1402" s="1645"/>
      <c r="Y1402" s="1644">
        <f t="shared" si="1567"/>
        <v>16732003</v>
      </c>
      <c r="Z1402" s="1878">
        <f>'Large Profile'!P9</f>
        <v>1.1030535149949241</v>
      </c>
    </row>
    <row r="1403" spans="1:31" hidden="1">
      <c r="A1403" s="1900" t="s">
        <v>1532</v>
      </c>
      <c r="C1403" s="528">
        <f>C1410*Z1403</f>
        <v>87099065.8190483</v>
      </c>
      <c r="D1403" s="528">
        <f>D1416-SUM(D1404:D1406,D1413)</f>
        <v>88216247.274568319</v>
      </c>
      <c r="F1403" s="1943"/>
      <c r="G1403" s="1921"/>
      <c r="H1403" s="1644"/>
      <c r="I1403" s="1644"/>
      <c r="K1403" s="1943">
        <f t="shared" si="1563"/>
        <v>0</v>
      </c>
      <c r="L1403" s="1921" t="s">
        <v>495</v>
      </c>
      <c r="M1403" s="1943">
        <f t="shared" si="1564"/>
        <v>1.4166000000000001</v>
      </c>
      <c r="N1403" s="1921" t="s">
        <v>495</v>
      </c>
      <c r="O1403" s="1943">
        <f t="shared" si="1565"/>
        <v>4.4476704152740005</v>
      </c>
      <c r="P1403" s="1921" t="s">
        <v>495</v>
      </c>
      <c r="Q1403" s="1943">
        <f t="shared" si="1566"/>
        <v>5.8642704152740004</v>
      </c>
      <c r="R1403" s="1921" t="s">
        <v>495</v>
      </c>
      <c r="S1403" s="1644">
        <f>ROUND($D1403*K1403/100,0)</f>
        <v>0</v>
      </c>
      <c r="T1403" s="1644"/>
      <c r="U1403" s="1644">
        <f>ROUND($D1403*M1403/100,0)</f>
        <v>1249671</v>
      </c>
      <c r="V1403" s="1644"/>
      <c r="W1403" s="1644">
        <f>ROUND($D1403*O1403/100,0)</f>
        <v>3923568</v>
      </c>
      <c r="X1403" s="1648"/>
      <c r="Y1403" s="1644">
        <f>ROUND($D1403*Q1403/100,0)</f>
        <v>5173239</v>
      </c>
      <c r="Z1403" s="1878">
        <f>'Large Profile'!M9</f>
        <v>0.79730449923359459</v>
      </c>
    </row>
    <row r="1404" spans="1:31" hidden="1">
      <c r="A1404" s="1900" t="s">
        <v>1653</v>
      </c>
      <c r="C1404" s="528">
        <f>C1411*Z1404</f>
        <v>126810760.2110763</v>
      </c>
      <c r="D1404" s="528">
        <f>ROUND(C1404/(C1416-C1413)*D1416,0)</f>
        <v>128437305</v>
      </c>
      <c r="F1404" s="1943"/>
      <c r="G1404" s="1921"/>
      <c r="H1404" s="1644"/>
      <c r="I1404" s="1644"/>
      <c r="K1404" s="1943">
        <f t="shared" si="1563"/>
        <v>0</v>
      </c>
      <c r="L1404" s="1921" t="s">
        <v>495</v>
      </c>
      <c r="M1404" s="1943">
        <f t="shared" si="1564"/>
        <v>1.4166000000000001</v>
      </c>
      <c r="N1404" s="1921" t="s">
        <v>495</v>
      </c>
      <c r="O1404" s="1943">
        <f t="shared" si="1565"/>
        <v>3.7730198365260001</v>
      </c>
      <c r="P1404" s="1921" t="s">
        <v>495</v>
      </c>
      <c r="Q1404" s="1943">
        <f t="shared" si="1566"/>
        <v>5.189619836526</v>
      </c>
      <c r="R1404" s="1921" t="s">
        <v>495</v>
      </c>
      <c r="S1404" s="1644">
        <f t="shared" ref="S1404:W1406" si="1574">ROUND($D1404*K1404/100,0)</f>
        <v>0</v>
      </c>
      <c r="T1404" s="1644"/>
      <c r="U1404" s="1644">
        <f t="shared" si="1574"/>
        <v>1819443</v>
      </c>
      <c r="V1404" s="1644"/>
      <c r="W1404" s="1644">
        <f t="shared" si="1574"/>
        <v>4845965</v>
      </c>
      <c r="X1404" s="1648"/>
      <c r="Y1404" s="1644">
        <f t="shared" ref="Y1404:Y1406" si="1575">ROUND($D1404*Q1404/100,0)</f>
        <v>6665408</v>
      </c>
      <c r="Z1404" s="1878">
        <f>'Large Profile'!Q9</f>
        <v>0.49318673869770435</v>
      </c>
    </row>
    <row r="1405" spans="1:31" hidden="1">
      <c r="A1405" s="1900" t="s">
        <v>1533</v>
      </c>
      <c r="C1405" s="528">
        <f>SUM(C1410:C1412)*Z1405</f>
        <v>250429218.18203184</v>
      </c>
      <c r="D1405" s="528">
        <f>ROUND(C1405/(C1416-C1413)*D1416,0)</f>
        <v>253641362</v>
      </c>
      <c r="F1405" s="1943"/>
      <c r="G1405" s="1921"/>
      <c r="H1405" s="1644"/>
      <c r="I1405" s="1644"/>
      <c r="K1405" s="1943">
        <f t="shared" si="1563"/>
        <v>0</v>
      </c>
      <c r="L1405" s="1921" t="s">
        <v>495</v>
      </c>
      <c r="M1405" s="1943">
        <f t="shared" si="1564"/>
        <v>1.4166000000000001</v>
      </c>
      <c r="N1405" s="1921" t="s">
        <v>495</v>
      </c>
      <c r="O1405" s="1943">
        <f t="shared" si="1565"/>
        <v>1.5641055047420001</v>
      </c>
      <c r="P1405" s="1921" t="s">
        <v>495</v>
      </c>
      <c r="Q1405" s="1943">
        <f t="shared" si="1566"/>
        <v>2.9807055047420001</v>
      </c>
      <c r="R1405" s="1921" t="s">
        <v>495</v>
      </c>
      <c r="S1405" s="1644">
        <f t="shared" si="1574"/>
        <v>0</v>
      </c>
      <c r="T1405" s="1644"/>
      <c r="U1405" s="1644">
        <f t="shared" si="1574"/>
        <v>3593084</v>
      </c>
      <c r="V1405" s="1644"/>
      <c r="W1405" s="1644">
        <f t="shared" si="1574"/>
        <v>3967219</v>
      </c>
      <c r="X1405" s="1648"/>
      <c r="Y1405" s="1644">
        <f t="shared" si="1575"/>
        <v>7560302</v>
      </c>
      <c r="Z1405" s="1878">
        <f>'Large Profile'!O6/'Large Profile'!C6</f>
        <v>0.26809377750638824</v>
      </c>
    </row>
    <row r="1406" spans="1:31" hidden="1">
      <c r="A1406" s="1900" t="s">
        <v>2177</v>
      </c>
      <c r="C1406" s="528">
        <f>SUM(C1410:C1412)-SUM(C1403:C1405)</f>
        <v>469771476.78292525</v>
      </c>
      <c r="D1406" s="528">
        <f>ROUND(C1406/(C1416-C1413)*D1416,0)</f>
        <v>475797027</v>
      </c>
      <c r="F1406" s="1943"/>
      <c r="G1406" s="1921"/>
      <c r="H1406" s="1644"/>
      <c r="I1406" s="1644"/>
      <c r="K1406" s="1943">
        <f t="shared" si="1563"/>
        <v>0</v>
      </c>
      <c r="L1406" s="1921" t="s">
        <v>495</v>
      </c>
      <c r="M1406" s="1943">
        <f t="shared" si="1564"/>
        <v>1.4166000000000001</v>
      </c>
      <c r="N1406" s="1921" t="s">
        <v>495</v>
      </c>
      <c r="O1406" s="1943">
        <f t="shared" si="1565"/>
        <v>1.2211924820729998</v>
      </c>
      <c r="P1406" s="1921" t="s">
        <v>495</v>
      </c>
      <c r="Q1406" s="1943">
        <f t="shared" si="1566"/>
        <v>2.6377924820729999</v>
      </c>
      <c r="R1406" s="1921" t="s">
        <v>495</v>
      </c>
      <c r="S1406" s="1644">
        <f t="shared" si="1574"/>
        <v>0</v>
      </c>
      <c r="T1406" s="1644"/>
      <c r="U1406" s="1644">
        <f t="shared" si="1574"/>
        <v>6740141</v>
      </c>
      <c r="V1406" s="1644"/>
      <c r="W1406" s="1644">
        <f t="shared" si="1574"/>
        <v>5810398</v>
      </c>
      <c r="X1406" s="1648"/>
      <c r="Y1406" s="1644">
        <f t="shared" si="1575"/>
        <v>12550538</v>
      </c>
      <c r="Z1406" s="1878">
        <f>D1406/D1416</f>
        <v>0.50290781079797553</v>
      </c>
    </row>
    <row r="1407" spans="1:31" hidden="1">
      <c r="A1407" s="1900" t="s">
        <v>18</v>
      </c>
      <c r="C1407" s="528">
        <f>'8'!J10</f>
        <v>824194.08419023221</v>
      </c>
      <c r="D1407" s="528">
        <f>ROUND(C1407/C1416*D1416,0)</f>
        <v>830365</v>
      </c>
      <c r="F1407" s="1944">
        <v>15.56</v>
      </c>
      <c r="G1407" s="597"/>
      <c r="H1407" s="1644">
        <f t="shared" si="1562"/>
        <v>12824460</v>
      </c>
      <c r="I1407" s="1644">
        <f t="shared" si="1562"/>
        <v>12920479</v>
      </c>
      <c r="K1407" s="1944"/>
      <c r="L1407" s="597"/>
      <c r="M1407" s="1944"/>
      <c r="N1407" s="597"/>
      <c r="O1407" s="1944"/>
      <c r="P1407" s="597"/>
      <c r="Q1407" s="1944"/>
      <c r="R1407" s="597"/>
      <c r="S1407" s="1645"/>
      <c r="T1407" s="1645"/>
      <c r="U1407" s="1645"/>
      <c r="V1407" s="1645"/>
      <c r="W1407" s="1645"/>
      <c r="X1407" s="1645"/>
      <c r="Y1407" s="1644"/>
    </row>
    <row r="1408" spans="1:31" hidden="1">
      <c r="A1408" s="1900" t="s">
        <v>166</v>
      </c>
      <c r="C1408" s="528">
        <f>'8'!K10</f>
        <v>1074665.9883824866</v>
      </c>
      <c r="D1408" s="528">
        <f>ROUND(C1408/C1416*D1416,0)</f>
        <v>1082712</v>
      </c>
      <c r="F1408" s="1944">
        <v>11.19</v>
      </c>
      <c r="G1408" s="597"/>
      <c r="H1408" s="1644">
        <f t="shared" si="1562"/>
        <v>12025512</v>
      </c>
      <c r="I1408" s="1644">
        <f t="shared" si="1562"/>
        <v>12115547</v>
      </c>
      <c r="K1408" s="1944"/>
      <c r="L1408" s="597"/>
      <c r="M1408" s="1944"/>
      <c r="N1408" s="597"/>
      <c r="O1408" s="1944"/>
      <c r="P1408" s="597"/>
      <c r="Q1408" s="1944"/>
      <c r="R1408" s="597"/>
      <c r="S1408" s="1645"/>
      <c r="T1408" s="1645"/>
      <c r="U1408" s="1645"/>
      <c r="V1408" s="1645"/>
      <c r="W1408" s="1645"/>
      <c r="X1408" s="1645"/>
      <c r="Y1408" s="1644"/>
    </row>
    <row r="1409" spans="1:28" hidden="1">
      <c r="A1409" s="1900" t="s">
        <v>261</v>
      </c>
      <c r="C1409" s="528">
        <f>'8'!L10</f>
        <v>909425.07079646003</v>
      </c>
      <c r="D1409" s="528">
        <f>ROUND(C1409/C1416*D1416,0)</f>
        <v>916234</v>
      </c>
      <c r="F1409" s="1944">
        <v>-1.1299999999999999</v>
      </c>
      <c r="G1409" s="597"/>
      <c r="H1409" s="1644">
        <f t="shared" si="1562"/>
        <v>-1027650</v>
      </c>
      <c r="I1409" s="1644">
        <f t="shared" si="1562"/>
        <v>-1035344</v>
      </c>
      <c r="K1409" s="1944">
        <f>K1387</f>
        <v>-1.1299999999999999</v>
      </c>
      <c r="L1409" s="597"/>
      <c r="M1409" s="1944">
        <f>M1387</f>
        <v>0</v>
      </c>
      <c r="N1409" s="597"/>
      <c r="O1409" s="1944">
        <f>O1387</f>
        <v>0</v>
      </c>
      <c r="P1409" s="597"/>
      <c r="Q1409" s="1944">
        <f>Q1387</f>
        <v>-1.1299999999999999</v>
      </c>
      <c r="R1409" s="597"/>
      <c r="S1409" s="1644">
        <f t="shared" ref="S1409" si="1576">ROUND($D1409*K1409,0)</f>
        <v>-1035344</v>
      </c>
      <c r="T1409" s="1644"/>
      <c r="U1409" s="1644">
        <f t="shared" ref="U1409" si="1577">ROUND($D1409*M1409,0)</f>
        <v>0</v>
      </c>
      <c r="V1409" s="1644"/>
      <c r="W1409" s="1644">
        <f t="shared" ref="W1409" si="1578">ROUND($D1409*O1409,0)</f>
        <v>0</v>
      </c>
      <c r="X1409" s="1645"/>
      <c r="Y1409" s="1644">
        <f>ROUND($D1409*Q1409,0)</f>
        <v>-1035344</v>
      </c>
    </row>
    <row r="1410" spans="1:28" hidden="1">
      <c r="A1410" s="1900" t="s">
        <v>188</v>
      </c>
      <c r="C1410" s="528">
        <f>'8'!N10+TempRev!C344-TempRev!M344-TempRev!W344</f>
        <v>109241909.33673634</v>
      </c>
      <c r="D1410" s="528">
        <f>D1416-SUM(D1411:D1413)</f>
        <v>110643106.27456832</v>
      </c>
      <c r="F1410" s="1943">
        <v>5.0473999999999997</v>
      </c>
      <c r="G1410" s="1921" t="s">
        <v>495</v>
      </c>
      <c r="H1410" s="1644">
        <f t="shared" ref="H1410:I1412" si="1579">ROUND($F1410*C1410/100,0)</f>
        <v>5513876</v>
      </c>
      <c r="I1410" s="1644">
        <f t="shared" si="1579"/>
        <v>5584600</v>
      </c>
      <c r="K1410" s="1943"/>
      <c r="L1410" s="1921"/>
      <c r="M1410" s="1943"/>
      <c r="N1410" s="1921"/>
      <c r="O1410" s="1943"/>
      <c r="P1410" s="1921"/>
      <c r="Q1410" s="1943"/>
      <c r="R1410" s="1921"/>
      <c r="S1410" s="1648"/>
      <c r="T1410" s="1648"/>
      <c r="U1410" s="1648"/>
      <c r="V1410" s="1648"/>
      <c r="W1410" s="1648"/>
      <c r="X1410" s="1648"/>
      <c r="Y1410" s="1644"/>
    </row>
    <row r="1411" spans="1:28" hidden="1">
      <c r="A1411" s="1900" t="s">
        <v>163</v>
      </c>
      <c r="C1411" s="528">
        <f>'8'!O10+TempRev!C345-TempRev!M345-TempRev!W345</f>
        <v>257125243.36305025</v>
      </c>
      <c r="D1411" s="528">
        <f>ROUND(C1411/(C1416-C1413)*D1416,0)</f>
        <v>260423275</v>
      </c>
      <c r="F1411" s="1943">
        <v>3.9510999999999998</v>
      </c>
      <c r="G1411" s="1921" t="s">
        <v>495</v>
      </c>
      <c r="H1411" s="1644">
        <f t="shared" si="1579"/>
        <v>10159275</v>
      </c>
      <c r="I1411" s="1644">
        <f t="shared" si="1579"/>
        <v>10289584</v>
      </c>
      <c r="K1411" s="1943"/>
      <c r="L1411" s="1921"/>
      <c r="M1411" s="1943"/>
      <c r="N1411" s="1921"/>
      <c r="O1411" s="1943"/>
      <c r="P1411" s="1921"/>
      <c r="Q1411" s="1943"/>
      <c r="R1411" s="1921"/>
      <c r="S1411" s="1648"/>
      <c r="T1411" s="1648"/>
      <c r="U1411" s="1648"/>
      <c r="V1411" s="1648"/>
      <c r="W1411" s="1648"/>
      <c r="X1411" s="1648"/>
      <c r="Y1411" s="1644"/>
    </row>
    <row r="1412" spans="1:28" hidden="1">
      <c r="A1412" s="1900" t="s">
        <v>249</v>
      </c>
      <c r="C1412" s="528">
        <f>'8'!P10+TempRev!C346-TempRev!M346-TempRev!W346</f>
        <v>567743368.29529512</v>
      </c>
      <c r="D1412" s="528">
        <f>ROUND(C1412/(C1416-C1413)*D1416,0)</f>
        <v>575025560</v>
      </c>
      <c r="F1412" s="1943">
        <v>3.4001999999999999</v>
      </c>
      <c r="G1412" s="1921" t="s">
        <v>495</v>
      </c>
      <c r="H1412" s="1644">
        <f t="shared" si="1579"/>
        <v>19304410</v>
      </c>
      <c r="I1412" s="1644">
        <f t="shared" si="1579"/>
        <v>19552019</v>
      </c>
      <c r="K1412" s="1943"/>
      <c r="L1412" s="1921"/>
      <c r="M1412" s="1943"/>
      <c r="N1412" s="1921"/>
      <c r="O1412" s="1943"/>
      <c r="P1412" s="1921"/>
      <c r="Q1412" s="1943"/>
      <c r="R1412" s="1921"/>
      <c r="S1412" s="1648"/>
      <c r="T1412" s="1648"/>
      <c r="U1412" s="1648"/>
      <c r="V1412" s="1648"/>
      <c r="W1412" s="1648"/>
      <c r="X1412" s="1648"/>
      <c r="Y1412" s="1644"/>
    </row>
    <row r="1413" spans="1:28" hidden="1">
      <c r="A1413" s="1900" t="s">
        <v>246</v>
      </c>
      <c r="C1413" s="529">
        <f>'Table 2'!J53</f>
        <v>4950427</v>
      </c>
      <c r="D1413" s="529">
        <v>0</v>
      </c>
      <c r="H1413" s="1030">
        <f>'Table 3'!F53</f>
        <v>391601</v>
      </c>
      <c r="I1413" s="1030">
        <v>0</v>
      </c>
      <c r="Y1413" s="1030">
        <v>0</v>
      </c>
    </row>
    <row r="1414" spans="1:28" hidden="1">
      <c r="A1414" s="1900" t="s">
        <v>1240</v>
      </c>
      <c r="C1414" s="584"/>
      <c r="D1414" s="584"/>
      <c r="F1414" s="1930">
        <v>-3.1800000000000002E-2</v>
      </c>
      <c r="G1414" s="597"/>
      <c r="H1414" s="1644">
        <f>SUM(H1407:H1408,H1410:H1412)*$F1414</f>
        <v>-1902515.5494000001</v>
      </c>
      <c r="I1414" s="1644">
        <f>SUM(I1407:I1408,I1410:I1412)*$F1414</f>
        <v>-1922698.8822000001</v>
      </c>
      <c r="K1414" s="1930"/>
      <c r="L1414" s="597"/>
      <c r="M1414" s="1930"/>
      <c r="N1414" s="597"/>
      <c r="O1414" s="1931" t="str">
        <f>$O$43</f>
        <v>Tax Year 1 (7/1/2021)</v>
      </c>
      <c r="P1414" s="597"/>
      <c r="Q1414" s="1930">
        <f>$Q$1392</f>
        <v>-2.6499999999999999E-2</v>
      </c>
      <c r="R1414" s="597"/>
      <c r="S1414" s="1645"/>
      <c r="T1414" s="1645"/>
      <c r="U1414" s="1645"/>
      <c r="V1414" s="1645"/>
      <c r="W1414" s="1645"/>
      <c r="X1414" s="1645"/>
      <c r="Y1414" s="1644">
        <f>Q1414*SUM(Y1401:Y1406)</f>
        <v>-1571534.747</v>
      </c>
    </row>
    <row r="1415" spans="1:28" hidden="1">
      <c r="A1415" s="1900"/>
      <c r="C1415" s="584"/>
      <c r="D1415" s="584"/>
      <c r="F1415" s="1930"/>
      <c r="G1415" s="597"/>
      <c r="H1415" s="1644"/>
      <c r="I1415" s="1644"/>
      <c r="K1415" s="1930"/>
      <c r="L1415" s="597"/>
      <c r="M1415" s="1930"/>
      <c r="N1415" s="597"/>
      <c r="O1415" s="1931" t="str">
        <f>$O$44</f>
        <v>Tax Year 2 (1/1/2022)</v>
      </c>
      <c r="P1415" s="597"/>
      <c r="Q1415" s="1930">
        <f>$Q$1393</f>
        <v>-1.44E-2</v>
      </c>
      <c r="R1415" s="597"/>
      <c r="S1415" s="1645"/>
      <c r="T1415" s="1645"/>
      <c r="U1415" s="1645"/>
      <c r="V1415" s="1645"/>
      <c r="W1415" s="1645"/>
      <c r="X1415" s="1645"/>
      <c r="Y1415" s="1644">
        <f>Q1415*SUM(Y1401:Y1406)</f>
        <v>-853966.05119999999</v>
      </c>
    </row>
    <row r="1416" spans="1:28" ht="16.5" hidden="1" thickBot="1">
      <c r="A1416" s="1900" t="s">
        <v>247</v>
      </c>
      <c r="C1416" s="1949">
        <f>SUM(C1410:C1413)</f>
        <v>939060947.99508166</v>
      </c>
      <c r="D1416" s="1949">
        <f>Energy!P35</f>
        <v>946091941.27456832</v>
      </c>
      <c r="F1416" s="1939"/>
      <c r="H1416" s="1647">
        <f>SUM(H1399:H1414)</f>
        <v>66729464.450599998</v>
      </c>
      <c r="I1416" s="1647">
        <f>SUM(I1399:I1414)</f>
        <v>67017747.117799997</v>
      </c>
      <c r="K1416" s="1939"/>
      <c r="M1416" s="1939"/>
      <c r="O1416" s="1939"/>
      <c r="Q1416" s="1939"/>
      <c r="S1416" s="1647">
        <f>SUM(S1399:S1413)</f>
        <v>21132514</v>
      </c>
      <c r="U1416" s="1647">
        <f>SUM(U1399:U1413)</f>
        <v>28261366</v>
      </c>
      <c r="W1416" s="1647">
        <f>SUM(W1399:W1413)</f>
        <v>18547150</v>
      </c>
      <c r="Y1416" s="1647">
        <f>SUM(Y1399:Y1413)</f>
        <v>67941027</v>
      </c>
      <c r="AA1416" s="1104" t="s">
        <v>1743</v>
      </c>
      <c r="AB1416" s="1890">
        <f>Y1416/I1416-1</f>
        <v>1.3776647558401356E-2</v>
      </c>
    </row>
    <row r="1417" spans="1:28" ht="16.5" hidden="1" thickTop="1"/>
    <row r="1418" spans="1:28" hidden="1">
      <c r="A1418" s="1897" t="s">
        <v>559</v>
      </c>
    </row>
    <row r="1419" spans="1:28" hidden="1">
      <c r="A1419" s="1900" t="s">
        <v>240</v>
      </c>
      <c r="C1419" s="528">
        <f>'8'!G11</f>
        <v>1250.0664285714299</v>
      </c>
      <c r="D1419" s="528">
        <f>Bill!P60</f>
        <v>1236</v>
      </c>
      <c r="F1419" s="1944">
        <v>70</v>
      </c>
      <c r="G1419" s="597"/>
      <c r="H1419" s="1644">
        <f t="shared" ref="H1419:I1429" si="1580">ROUND($F1419*C1419,0)</f>
        <v>87505</v>
      </c>
      <c r="I1419" s="1644">
        <f t="shared" si="1580"/>
        <v>86520</v>
      </c>
      <c r="K1419" s="1944">
        <f t="shared" ref="K1419:K1426" si="1581">K1377</f>
        <v>71</v>
      </c>
      <c r="L1419" s="597"/>
      <c r="M1419" s="1944">
        <f t="shared" ref="M1419:M1426" si="1582">M1377</f>
        <v>0</v>
      </c>
      <c r="N1419" s="597"/>
      <c r="O1419" s="1944">
        <f t="shared" ref="O1419:O1426" si="1583">O1377</f>
        <v>0</v>
      </c>
      <c r="P1419" s="597"/>
      <c r="Q1419" s="1944">
        <f t="shared" ref="Q1419:Q1426" si="1584">Q1377</f>
        <v>71</v>
      </c>
      <c r="R1419" s="597"/>
      <c r="S1419" s="1645">
        <f>Y1419</f>
        <v>87756</v>
      </c>
      <c r="T1419" s="1645"/>
      <c r="U1419" s="1645"/>
      <c r="V1419" s="1645"/>
      <c r="W1419" s="1645"/>
      <c r="X1419" s="1645"/>
      <c r="Y1419" s="1644">
        <f>ROUND($D1419*Q1419,0)</f>
        <v>87756</v>
      </c>
      <c r="Z1419" s="1878" t="s">
        <v>251</v>
      </c>
    </row>
    <row r="1420" spans="1:28" hidden="1">
      <c r="A1420" s="1900" t="s">
        <v>168</v>
      </c>
      <c r="C1420" s="528">
        <f>'8'!H11</f>
        <v>2239559.6701680701</v>
      </c>
      <c r="D1420" s="528">
        <f>ROUND(C1420/C1436*D1436,0)</f>
        <v>2274485</v>
      </c>
      <c r="F1420" s="1944">
        <v>4.76</v>
      </c>
      <c r="G1420" s="597"/>
      <c r="H1420" s="1644">
        <f>ROUND($F1420*C1420,0)</f>
        <v>10660304</v>
      </c>
      <c r="I1420" s="1644">
        <f>ROUND($F1420*D1420,0)</f>
        <v>10826549</v>
      </c>
      <c r="K1420" s="1944">
        <f t="shared" si="1581"/>
        <v>4.84</v>
      </c>
      <c r="L1420" s="597"/>
      <c r="M1420" s="1944">
        <f t="shared" si="1582"/>
        <v>0</v>
      </c>
      <c r="N1420" s="597"/>
      <c r="O1420" s="1944">
        <f t="shared" si="1583"/>
        <v>0</v>
      </c>
      <c r="P1420" s="597"/>
      <c r="Q1420" s="1944">
        <f t="shared" si="1584"/>
        <v>4.84</v>
      </c>
      <c r="R1420" s="597"/>
      <c r="S1420" s="1645">
        <f>Y1420</f>
        <v>11008507</v>
      </c>
      <c r="T1420" s="1645"/>
      <c r="U1420" s="1645"/>
      <c r="V1420" s="1645"/>
      <c r="W1420" s="1645"/>
      <c r="X1420" s="1645"/>
      <c r="Y1420" s="1644">
        <f t="shared" ref="Y1420:Y1422" si="1585">ROUND($D1420*Q1420,0)</f>
        <v>11008507</v>
      </c>
    </row>
    <row r="1421" spans="1:28" hidden="1">
      <c r="A1421" s="1900" t="s">
        <v>1651</v>
      </c>
      <c r="C1421" s="528">
        <f>C1427*Z1421</f>
        <v>759364.58851735562</v>
      </c>
      <c r="D1421" s="528">
        <f>ROUND(C1421/C1436*D1436,0)</f>
        <v>771207</v>
      </c>
      <c r="F1421" s="1944"/>
      <c r="G1421" s="597"/>
      <c r="H1421" s="1644"/>
      <c r="I1421" s="1644"/>
      <c r="K1421" s="1944">
        <f t="shared" si="1581"/>
        <v>7.23</v>
      </c>
      <c r="L1421" s="597"/>
      <c r="M1421" s="1944">
        <f t="shared" si="1582"/>
        <v>8.6</v>
      </c>
      <c r="N1421" s="597"/>
      <c r="O1421" s="1944">
        <f t="shared" si="1583"/>
        <v>0</v>
      </c>
      <c r="P1421" s="597"/>
      <c r="Q1421" s="1944">
        <f t="shared" si="1584"/>
        <v>15.83</v>
      </c>
      <c r="R1421" s="597"/>
      <c r="S1421" s="1644">
        <f t="shared" ref="S1421:S1422" si="1586">ROUND($D1421*K1421,0)</f>
        <v>5575827</v>
      </c>
      <c r="T1421" s="1644"/>
      <c r="U1421" s="1644">
        <f t="shared" ref="U1421:U1422" si="1587">ROUND($D1421*M1421,0)</f>
        <v>6632380</v>
      </c>
      <c r="V1421" s="1644"/>
      <c r="W1421" s="1644">
        <f t="shared" ref="W1421:W1422" si="1588">ROUND($D1421*O1421,0)</f>
        <v>0</v>
      </c>
      <c r="X1421" s="1645"/>
      <c r="Y1421" s="1644">
        <f t="shared" si="1585"/>
        <v>12208207</v>
      </c>
      <c r="Z1421" s="1878">
        <f>Z1401</f>
        <v>0.8080618296749863</v>
      </c>
    </row>
    <row r="1422" spans="1:28" hidden="1">
      <c r="A1422" s="1900" t="s">
        <v>1652</v>
      </c>
      <c r="C1422" s="528">
        <f>C1428*Z1422</f>
        <v>1381932.8217879008</v>
      </c>
      <c r="D1422" s="528">
        <f>ROUND(C1422/C1436*D1436,0)</f>
        <v>1403484</v>
      </c>
      <c r="F1422" s="1944"/>
      <c r="G1422" s="597"/>
      <c r="H1422" s="1644"/>
      <c r="I1422" s="1644"/>
      <c r="K1422" s="1944">
        <f t="shared" si="1581"/>
        <v>6.4</v>
      </c>
      <c r="L1422" s="597"/>
      <c r="M1422" s="1944">
        <f t="shared" si="1582"/>
        <v>7.6099999999999994</v>
      </c>
      <c r="N1422" s="597"/>
      <c r="O1422" s="1944">
        <f t="shared" si="1583"/>
        <v>0</v>
      </c>
      <c r="P1422" s="597"/>
      <c r="Q1422" s="1944">
        <f t="shared" si="1584"/>
        <v>14.01</v>
      </c>
      <c r="R1422" s="597"/>
      <c r="S1422" s="1644">
        <f t="shared" si="1586"/>
        <v>8982298</v>
      </c>
      <c r="T1422" s="1644"/>
      <c r="U1422" s="1644">
        <f t="shared" si="1587"/>
        <v>10680513</v>
      </c>
      <c r="V1422" s="1644"/>
      <c r="W1422" s="1644">
        <f t="shared" si="1588"/>
        <v>0</v>
      </c>
      <c r="X1422" s="1645"/>
      <c r="Y1422" s="1644">
        <f t="shared" si="1585"/>
        <v>19662811</v>
      </c>
      <c r="Z1422" s="1878">
        <f>Z1402</f>
        <v>1.1030535149949241</v>
      </c>
    </row>
    <row r="1423" spans="1:28" hidden="1">
      <c r="A1423" s="1900" t="s">
        <v>1532</v>
      </c>
      <c r="C1423" s="528">
        <f>C1430*Z1423</f>
        <v>98055043.541359529</v>
      </c>
      <c r="D1423" s="528">
        <f>D1436-SUM(D1424:D1426,D1433)</f>
        <v>97969900.778996944</v>
      </c>
      <c r="F1423" s="1943"/>
      <c r="G1423" s="1921"/>
      <c r="H1423" s="1644"/>
      <c r="I1423" s="1644"/>
      <c r="K1423" s="1943">
        <f t="shared" si="1581"/>
        <v>0</v>
      </c>
      <c r="L1423" s="1921" t="s">
        <v>495</v>
      </c>
      <c r="M1423" s="1943">
        <f t="shared" si="1582"/>
        <v>1.4166000000000001</v>
      </c>
      <c r="N1423" s="1921" t="s">
        <v>495</v>
      </c>
      <c r="O1423" s="1943">
        <f t="shared" si="1583"/>
        <v>4.4476704152740005</v>
      </c>
      <c r="P1423" s="1921" t="s">
        <v>495</v>
      </c>
      <c r="Q1423" s="1943">
        <f t="shared" si="1584"/>
        <v>5.8642704152740004</v>
      </c>
      <c r="R1423" s="1921" t="s">
        <v>495</v>
      </c>
      <c r="S1423" s="1644">
        <f>ROUND($D1423*K1423/100,0)</f>
        <v>0</v>
      </c>
      <c r="T1423" s="1644"/>
      <c r="U1423" s="1644">
        <f>ROUND($D1423*M1423/100,0)</f>
        <v>1387842</v>
      </c>
      <c r="V1423" s="1644"/>
      <c r="W1423" s="1644">
        <f>ROUND($D1423*O1423/100,0)</f>
        <v>4357378</v>
      </c>
      <c r="X1423" s="1648"/>
      <c r="Y1423" s="1644">
        <f>ROUND($D1423*Q1423/100,0)</f>
        <v>5745220</v>
      </c>
      <c r="Z1423" s="1878">
        <f>Z1403</f>
        <v>0.79730449923359459</v>
      </c>
    </row>
    <row r="1424" spans="1:28" hidden="1">
      <c r="A1424" s="1900" t="s">
        <v>1653</v>
      </c>
      <c r="C1424" s="528">
        <f>C1431*Z1424</f>
        <v>141924487.36688542</v>
      </c>
      <c r="D1424" s="528">
        <f>ROUND(C1424/(C1436-C1433)*D1436,0)</f>
        <v>141801251</v>
      </c>
      <c r="F1424" s="1943"/>
      <c r="G1424" s="1921"/>
      <c r="H1424" s="1644"/>
      <c r="I1424" s="1644"/>
      <c r="K1424" s="1943">
        <f t="shared" si="1581"/>
        <v>0</v>
      </c>
      <c r="L1424" s="1921" t="s">
        <v>495</v>
      </c>
      <c r="M1424" s="1943">
        <f t="shared" si="1582"/>
        <v>1.4166000000000001</v>
      </c>
      <c r="N1424" s="1921" t="s">
        <v>495</v>
      </c>
      <c r="O1424" s="1943">
        <f t="shared" si="1583"/>
        <v>3.7730198365260001</v>
      </c>
      <c r="P1424" s="1921" t="s">
        <v>495</v>
      </c>
      <c r="Q1424" s="1943">
        <f t="shared" si="1584"/>
        <v>5.189619836526</v>
      </c>
      <c r="R1424" s="1921" t="s">
        <v>495</v>
      </c>
      <c r="S1424" s="1644">
        <f t="shared" ref="S1424:S1426" si="1589">ROUND($D1424*K1424/100,0)</f>
        <v>0</v>
      </c>
      <c r="T1424" s="1644"/>
      <c r="U1424" s="1644">
        <f t="shared" ref="U1424:U1426" si="1590">ROUND($D1424*M1424/100,0)</f>
        <v>2008757</v>
      </c>
      <c r="V1424" s="1644"/>
      <c r="W1424" s="1644">
        <f t="shared" ref="W1424:W1426" si="1591">ROUND($D1424*O1424/100,0)</f>
        <v>5350189</v>
      </c>
      <c r="X1424" s="1648"/>
      <c r="Y1424" s="1644">
        <f t="shared" ref="Y1424:Y1426" si="1592">ROUND($D1424*Q1424/100,0)</f>
        <v>7358946</v>
      </c>
      <c r="Z1424" s="1878">
        <f>Z1404</f>
        <v>0.49318673869770435</v>
      </c>
    </row>
    <row r="1425" spans="1:28" hidden="1">
      <c r="A1425" s="1900" t="s">
        <v>1533</v>
      </c>
      <c r="C1425" s="528">
        <f>SUM(C1430:C1432)*Z1425</f>
        <v>271381908.54581261</v>
      </c>
      <c r="D1425" s="528">
        <f>ROUND(C1425/(C1436-C1433)*D1436,0)</f>
        <v>271146261</v>
      </c>
      <c r="F1425" s="1943"/>
      <c r="G1425" s="1921"/>
      <c r="H1425" s="1644"/>
      <c r="I1425" s="1644"/>
      <c r="K1425" s="1943">
        <f t="shared" si="1581"/>
        <v>0</v>
      </c>
      <c r="L1425" s="1921" t="s">
        <v>495</v>
      </c>
      <c r="M1425" s="1943">
        <f t="shared" si="1582"/>
        <v>1.4166000000000001</v>
      </c>
      <c r="N1425" s="1921" t="s">
        <v>495</v>
      </c>
      <c r="O1425" s="1943">
        <f t="shared" si="1583"/>
        <v>1.5641055047420001</v>
      </c>
      <c r="P1425" s="1921" t="s">
        <v>495</v>
      </c>
      <c r="Q1425" s="1943">
        <f t="shared" si="1584"/>
        <v>2.9807055047420001</v>
      </c>
      <c r="R1425" s="1921" t="s">
        <v>495</v>
      </c>
      <c r="S1425" s="1644">
        <f t="shared" si="1589"/>
        <v>0</v>
      </c>
      <c r="T1425" s="1644"/>
      <c r="U1425" s="1644">
        <f t="shared" si="1590"/>
        <v>3841058</v>
      </c>
      <c r="V1425" s="1644"/>
      <c r="W1425" s="1644">
        <f t="shared" si="1591"/>
        <v>4241014</v>
      </c>
      <c r="X1425" s="1648"/>
      <c r="Y1425" s="1644">
        <f t="shared" si="1592"/>
        <v>8082072</v>
      </c>
      <c r="Z1425" s="1878">
        <f>Z1405</f>
        <v>0.26809377750638824</v>
      </c>
    </row>
    <row r="1426" spans="1:28" hidden="1">
      <c r="A1426" s="1900" t="s">
        <v>2177</v>
      </c>
      <c r="C1426" s="528">
        <f>SUM(C1430:C1432)-SUM(C1423:C1425)</f>
        <v>500903414.54594243</v>
      </c>
      <c r="D1426" s="528">
        <f>ROUND(C1426/(C1436-C1433)*D1436,0)</f>
        <v>500468468</v>
      </c>
      <c r="F1426" s="1943"/>
      <c r="G1426" s="1921"/>
      <c r="H1426" s="1644"/>
      <c r="I1426" s="1644"/>
      <c r="K1426" s="1943">
        <f t="shared" si="1581"/>
        <v>0</v>
      </c>
      <c r="L1426" s="1921" t="s">
        <v>495</v>
      </c>
      <c r="M1426" s="1943">
        <f t="shared" si="1582"/>
        <v>1.4166000000000001</v>
      </c>
      <c r="N1426" s="1921" t="s">
        <v>495</v>
      </c>
      <c r="O1426" s="1943">
        <f t="shared" si="1583"/>
        <v>1.2211924820729998</v>
      </c>
      <c r="P1426" s="1921" t="s">
        <v>495</v>
      </c>
      <c r="Q1426" s="1943">
        <f t="shared" si="1584"/>
        <v>2.6377924820729999</v>
      </c>
      <c r="R1426" s="1921" t="s">
        <v>495</v>
      </c>
      <c r="S1426" s="1644">
        <f t="shared" si="1589"/>
        <v>0</v>
      </c>
      <c r="T1426" s="1644"/>
      <c r="U1426" s="1644">
        <f t="shared" si="1590"/>
        <v>7089636</v>
      </c>
      <c r="V1426" s="1644"/>
      <c r="W1426" s="1644">
        <f t="shared" si="1591"/>
        <v>6111683</v>
      </c>
      <c r="X1426" s="1648"/>
      <c r="Y1426" s="1644">
        <f t="shared" si="1592"/>
        <v>13201320</v>
      </c>
      <c r="Z1426" s="1878">
        <f>D1426/D1436</f>
        <v>0.49483434316338842</v>
      </c>
    </row>
    <row r="1427" spans="1:28" hidden="1">
      <c r="A1427" s="1900" t="s">
        <v>18</v>
      </c>
      <c r="C1427" s="528">
        <f>'8'!J11</f>
        <v>939735.74871465296</v>
      </c>
      <c r="D1427" s="528">
        <f>ROUND(C1427/C1436*D1436,0)</f>
        <v>954391</v>
      </c>
      <c r="F1427" s="1944">
        <v>15.56</v>
      </c>
      <c r="G1427" s="597"/>
      <c r="H1427" s="1644">
        <f t="shared" si="1580"/>
        <v>14622288</v>
      </c>
      <c r="I1427" s="1644">
        <f t="shared" si="1580"/>
        <v>14850324</v>
      </c>
      <c r="K1427" s="1944"/>
      <c r="L1427" s="597"/>
      <c r="M1427" s="1944"/>
      <c r="N1427" s="597"/>
      <c r="O1427" s="1944"/>
      <c r="P1427" s="597"/>
      <c r="Q1427" s="1944"/>
      <c r="R1427" s="597"/>
      <c r="S1427" s="1645"/>
      <c r="T1427" s="1645"/>
      <c r="U1427" s="1645"/>
      <c r="V1427" s="1645"/>
      <c r="W1427" s="1645"/>
      <c r="X1427" s="1645"/>
      <c r="Y1427" s="1644"/>
    </row>
    <row r="1428" spans="1:28" hidden="1">
      <c r="A1428" s="1900" t="s">
        <v>166</v>
      </c>
      <c r="C1428" s="528">
        <f>'8'!K11</f>
        <v>1252824.8203753377</v>
      </c>
      <c r="D1428" s="528">
        <f>ROUND(C1428/C1436*D1436,0)</f>
        <v>1272362</v>
      </c>
      <c r="F1428" s="1944">
        <v>11.19</v>
      </c>
      <c r="G1428" s="597"/>
      <c r="H1428" s="1644">
        <f t="shared" si="1580"/>
        <v>14019110</v>
      </c>
      <c r="I1428" s="1644">
        <f t="shared" si="1580"/>
        <v>14237731</v>
      </c>
      <c r="K1428" s="1944"/>
      <c r="L1428" s="597"/>
      <c r="M1428" s="1944"/>
      <c r="N1428" s="597"/>
      <c r="O1428" s="1944"/>
      <c r="P1428" s="597"/>
      <c r="Q1428" s="1944"/>
      <c r="R1428" s="597"/>
      <c r="S1428" s="1645"/>
      <c r="T1428" s="1645"/>
      <c r="U1428" s="1645"/>
      <c r="V1428" s="1645"/>
      <c r="W1428" s="1645"/>
      <c r="X1428" s="1645"/>
      <c r="Y1428" s="1644"/>
    </row>
    <row r="1429" spans="1:28" hidden="1">
      <c r="A1429" s="1900" t="s">
        <v>261</v>
      </c>
      <c r="C1429" s="528">
        <f>'8'!L11</f>
        <v>954992.93805309699</v>
      </c>
      <c r="D1429" s="528">
        <f>ROUND(C1429/C1436*D1436,0)</f>
        <v>969886</v>
      </c>
      <c r="F1429" s="1944">
        <v>-1.1299999999999999</v>
      </c>
      <c r="G1429" s="597"/>
      <c r="H1429" s="1644">
        <f t="shared" si="1580"/>
        <v>-1079142</v>
      </c>
      <c r="I1429" s="1644">
        <f t="shared" si="1580"/>
        <v>-1095971</v>
      </c>
      <c r="K1429" s="1944">
        <f>K1387</f>
        <v>-1.1299999999999999</v>
      </c>
      <c r="L1429" s="597"/>
      <c r="M1429" s="1944">
        <f>M1387</f>
        <v>0</v>
      </c>
      <c r="N1429" s="597"/>
      <c r="O1429" s="1944">
        <f>O1387</f>
        <v>0</v>
      </c>
      <c r="P1429" s="597"/>
      <c r="Q1429" s="1944">
        <f>Q1387</f>
        <v>-1.1299999999999999</v>
      </c>
      <c r="R1429" s="597"/>
      <c r="S1429" s="1644">
        <f t="shared" ref="S1429" si="1593">ROUND($D1429*K1429,0)</f>
        <v>-1095971</v>
      </c>
      <c r="T1429" s="1644"/>
      <c r="U1429" s="1644">
        <f t="shared" ref="U1429" si="1594">ROUND($D1429*M1429,0)</f>
        <v>0</v>
      </c>
      <c r="V1429" s="1644"/>
      <c r="W1429" s="1644">
        <f t="shared" ref="W1429" si="1595">ROUND($D1429*O1429,0)</f>
        <v>0</v>
      </c>
      <c r="X1429" s="1645"/>
      <c r="Y1429" s="1644">
        <f>ROUND($D1429*Q1429,0)</f>
        <v>-1095971</v>
      </c>
    </row>
    <row r="1430" spans="1:28" hidden="1">
      <c r="A1430" s="1900" t="s">
        <v>188</v>
      </c>
      <c r="C1430" s="528">
        <f>'8'!N11</f>
        <v>122983181</v>
      </c>
      <c r="D1430" s="528">
        <f>D1436-SUM(D1431:D1433)</f>
        <v>122876391.77899694</v>
      </c>
      <c r="F1430" s="1943">
        <v>5.0473999999999997</v>
      </c>
      <c r="G1430" s="1921" t="s">
        <v>495</v>
      </c>
      <c r="H1430" s="1644">
        <f t="shared" ref="H1430:I1432" si="1596">ROUND($F1430*C1430/100,0)</f>
        <v>6207453</v>
      </c>
      <c r="I1430" s="1644">
        <f t="shared" si="1596"/>
        <v>6202063</v>
      </c>
      <c r="K1430" s="1943"/>
      <c r="L1430" s="1921"/>
      <c r="M1430" s="1943"/>
      <c r="N1430" s="1921"/>
      <c r="O1430" s="1943"/>
      <c r="P1430" s="1921"/>
      <c r="Q1430" s="1943"/>
      <c r="R1430" s="1921"/>
      <c r="S1430" s="1648"/>
      <c r="T1430" s="1648"/>
      <c r="U1430" s="1648"/>
      <c r="V1430" s="1648"/>
      <c r="W1430" s="1648"/>
      <c r="X1430" s="1648"/>
      <c r="Y1430" s="1644"/>
    </row>
    <row r="1431" spans="1:28" hidden="1">
      <c r="A1431" s="1900" t="s">
        <v>163</v>
      </c>
      <c r="C1431" s="528">
        <f>'8'!O11</f>
        <v>287770283</v>
      </c>
      <c r="D1431" s="528">
        <f>ROUND(C1431/(C1436-C1433)*D1436,0)</f>
        <v>287520405</v>
      </c>
      <c r="F1431" s="1943">
        <v>3.9510999999999998</v>
      </c>
      <c r="G1431" s="1921" t="s">
        <v>495</v>
      </c>
      <c r="H1431" s="1644">
        <f t="shared" si="1596"/>
        <v>11370092</v>
      </c>
      <c r="I1431" s="1644">
        <f t="shared" si="1596"/>
        <v>11360219</v>
      </c>
      <c r="K1431" s="1943"/>
      <c r="L1431" s="1921"/>
      <c r="M1431" s="1943"/>
      <c r="N1431" s="1921"/>
      <c r="O1431" s="1943"/>
      <c r="P1431" s="1921"/>
      <c r="Q1431" s="1943"/>
      <c r="R1431" s="1921"/>
      <c r="S1431" s="1648"/>
      <c r="T1431" s="1648"/>
      <c r="U1431" s="1648"/>
      <c r="V1431" s="1648"/>
      <c r="W1431" s="1648"/>
      <c r="X1431" s="1648"/>
      <c r="Y1431" s="1644"/>
    </row>
    <row r="1432" spans="1:28" hidden="1">
      <c r="A1432" s="1900" t="s">
        <v>249</v>
      </c>
      <c r="C1432" s="528">
        <f>'8'!P11</f>
        <v>601511390</v>
      </c>
      <c r="D1432" s="528">
        <f>ROUND(C1432/(C1436-C1433)*D1436,0)</f>
        <v>600989084</v>
      </c>
      <c r="F1432" s="1943">
        <v>3.4001999999999999</v>
      </c>
      <c r="G1432" s="1921" t="s">
        <v>495</v>
      </c>
      <c r="H1432" s="1644">
        <f t="shared" si="1596"/>
        <v>20452590</v>
      </c>
      <c r="I1432" s="1644">
        <f t="shared" si="1596"/>
        <v>20434831</v>
      </c>
      <c r="K1432" s="1943"/>
      <c r="L1432" s="1921"/>
      <c r="M1432" s="1943"/>
      <c r="N1432" s="1921"/>
      <c r="O1432" s="1943"/>
      <c r="P1432" s="1921"/>
      <c r="Q1432" s="1943"/>
      <c r="R1432" s="1921"/>
      <c r="S1432" s="1648"/>
      <c r="T1432" s="1648"/>
      <c r="U1432" s="1648"/>
      <c r="V1432" s="1648"/>
      <c r="W1432" s="1648"/>
      <c r="X1432" s="1648"/>
      <c r="Y1432" s="1644"/>
    </row>
    <row r="1433" spans="1:28" s="1966" customFormat="1" hidden="1">
      <c r="A1433" s="1900" t="s">
        <v>246</v>
      </c>
      <c r="B1433" s="1869"/>
      <c r="C1433" s="529">
        <f>'Table 2'!J90</f>
        <v>-16409187</v>
      </c>
      <c r="D1433" s="529">
        <v>0</v>
      </c>
      <c r="E1433" s="596"/>
      <c r="F1433" s="1869"/>
      <c r="G1433" s="596"/>
      <c r="H1433" s="1030">
        <f>'Table 3'!F90</f>
        <v>-1127981</v>
      </c>
      <c r="I1433" s="1030">
        <v>0</v>
      </c>
      <c r="J1433" s="596"/>
      <c r="K1433" s="1869"/>
      <c r="L1433" s="596"/>
      <c r="M1433" s="1869"/>
      <c r="N1433" s="596"/>
      <c r="O1433" s="1869"/>
      <c r="P1433" s="596"/>
      <c r="Q1433" s="1869"/>
      <c r="R1433" s="596"/>
      <c r="S1433" s="1637"/>
      <c r="T1433" s="1637"/>
      <c r="U1433" s="1637"/>
      <c r="V1433" s="1637"/>
      <c r="W1433" s="1637"/>
      <c r="X1433" s="1637"/>
      <c r="Y1433" s="1030">
        <v>0</v>
      </c>
      <c r="Z1433" s="1965"/>
    </row>
    <row r="1434" spans="1:28" hidden="1">
      <c r="A1434" s="1900" t="s">
        <v>1240</v>
      </c>
      <c r="C1434" s="584"/>
      <c r="D1434" s="584"/>
      <c r="F1434" s="1930">
        <v>-3.1800000000000002E-2</v>
      </c>
      <c r="G1434" s="597"/>
      <c r="H1434" s="1644">
        <f>SUM(H1427:H1428,H1430:H1432)*$F1434</f>
        <v>-2120154.7494000001</v>
      </c>
      <c r="I1434" s="1644">
        <f>SUM(I1427:I1428,I1430:I1432)*$F1434</f>
        <v>-2133308.3424</v>
      </c>
      <c r="K1434" s="1930"/>
      <c r="L1434" s="597"/>
      <c r="M1434" s="1930"/>
      <c r="N1434" s="597"/>
      <c r="O1434" s="1931" t="str">
        <f>$O$43</f>
        <v>Tax Year 1 (7/1/2021)</v>
      </c>
      <c r="P1434" s="597"/>
      <c r="Q1434" s="1930">
        <f>$Q$1392</f>
        <v>-2.6499999999999999E-2</v>
      </c>
      <c r="R1434" s="597"/>
      <c r="S1434" s="1645"/>
      <c r="T1434" s="1645"/>
      <c r="U1434" s="1645"/>
      <c r="V1434" s="1645"/>
      <c r="W1434" s="1645"/>
      <c r="X1434" s="1645"/>
      <c r="Y1434" s="1644">
        <f>Q1434*SUM(Y1421:Y1426)</f>
        <v>-1755852.264</v>
      </c>
    </row>
    <row r="1435" spans="1:28" hidden="1">
      <c r="A1435" s="1900"/>
      <c r="C1435" s="584"/>
      <c r="D1435" s="584"/>
      <c r="F1435" s="1930"/>
      <c r="G1435" s="597"/>
      <c r="H1435" s="1644"/>
      <c r="I1435" s="1644"/>
      <c r="K1435" s="1930"/>
      <c r="L1435" s="597"/>
      <c r="M1435" s="1930"/>
      <c r="N1435" s="597"/>
      <c r="O1435" s="1931" t="str">
        <f>$O$44</f>
        <v>Tax Year 2 (1/1/2022)</v>
      </c>
      <c r="P1435" s="597"/>
      <c r="Q1435" s="1930">
        <f>$Q$1393</f>
        <v>-1.44E-2</v>
      </c>
      <c r="R1435" s="597"/>
      <c r="S1435" s="1645"/>
      <c r="T1435" s="1645"/>
      <c r="U1435" s="1645"/>
      <c r="V1435" s="1645"/>
      <c r="W1435" s="1645"/>
      <c r="X1435" s="1645"/>
      <c r="Y1435" s="1644">
        <f>Q1435*SUM(Y1421:Y1426)</f>
        <v>-954123.49439999997</v>
      </c>
    </row>
    <row r="1436" spans="1:28" ht="16.5" hidden="1" thickBot="1">
      <c r="A1436" s="1900" t="s">
        <v>247</v>
      </c>
      <c r="C1436" s="1949">
        <f>SUM(C1430:C1433)</f>
        <v>995855667</v>
      </c>
      <c r="D1436" s="1949">
        <f>Energy!P60</f>
        <v>1011385880.7789969</v>
      </c>
      <c r="F1436" s="1939"/>
      <c r="H1436" s="1647">
        <f>SUM(H1419:H1434)</f>
        <v>73092064.250599995</v>
      </c>
      <c r="I1436" s="1647">
        <f>SUM(I1419:I1434)</f>
        <v>74768957.657600001</v>
      </c>
      <c r="K1436" s="1939"/>
      <c r="M1436" s="1939"/>
      <c r="O1436" s="1939"/>
      <c r="Q1436" s="1939"/>
      <c r="S1436" s="1647">
        <f>SUM(S1419:S1433)</f>
        <v>24558417</v>
      </c>
      <c r="U1436" s="1647">
        <f>SUM(U1419:U1433)</f>
        <v>31640186</v>
      </c>
      <c r="W1436" s="1647">
        <f>SUM(W1419:W1433)</f>
        <v>20060264</v>
      </c>
      <c r="Y1436" s="1647">
        <f>SUM(Y1419:Y1433)</f>
        <v>76258868</v>
      </c>
      <c r="AA1436" s="1104" t="s">
        <v>1743</v>
      </c>
      <c r="AB1436" s="1890">
        <f>Y1436/I1436-1</f>
        <v>1.9926857202195558E-2</v>
      </c>
    </row>
    <row r="1437" spans="1:28" ht="16.5" thickTop="1">
      <c r="A1437" s="1966"/>
      <c r="B1437" s="1966"/>
      <c r="C1437" s="1967"/>
      <c r="D1437" s="1967"/>
      <c r="E1437" s="1968"/>
      <c r="F1437" s="1966"/>
      <c r="G1437" s="1968"/>
      <c r="H1437" s="1871"/>
      <c r="I1437" s="1871"/>
      <c r="J1437" s="1968"/>
      <c r="K1437" s="1966"/>
      <c r="L1437" s="1968"/>
      <c r="M1437" s="1966"/>
      <c r="N1437" s="1968"/>
      <c r="O1437" s="1966"/>
      <c r="P1437" s="1968"/>
      <c r="Q1437" s="1966"/>
      <c r="R1437" s="1968"/>
      <c r="S1437" s="1870"/>
      <c r="T1437" s="1870"/>
      <c r="U1437" s="1870"/>
      <c r="V1437" s="1870"/>
      <c r="W1437" s="1870"/>
      <c r="X1437" s="1870"/>
      <c r="Y1437" s="1871"/>
    </row>
    <row r="1438" spans="1:28">
      <c r="A1438" s="1897" t="s">
        <v>990</v>
      </c>
    </row>
    <row r="1439" spans="1:28">
      <c r="A1439" s="1900" t="s">
        <v>240</v>
      </c>
      <c r="C1439" s="528">
        <f>'8'!G13</f>
        <v>135.63328571428599</v>
      </c>
      <c r="D1439" s="528">
        <f>Bill!P48</f>
        <v>168</v>
      </c>
      <c r="F1439" s="1944">
        <v>70</v>
      </c>
      <c r="G1439" s="597"/>
      <c r="H1439" s="1644">
        <f t="shared" ref="H1439:I1449" si="1597">ROUND($F1439*C1439,0)</f>
        <v>9494</v>
      </c>
      <c r="I1439" s="1644">
        <f t="shared" si="1597"/>
        <v>11760</v>
      </c>
      <c r="K1439" s="1944">
        <f t="shared" ref="K1439:K1446" si="1598">K1377</f>
        <v>71</v>
      </c>
      <c r="L1439" s="597"/>
      <c r="M1439" s="1944">
        <f t="shared" ref="M1439:M1446" si="1599">M1377</f>
        <v>0</v>
      </c>
      <c r="N1439" s="597"/>
      <c r="O1439" s="1944">
        <f t="shared" ref="O1439:O1446" si="1600">O1377</f>
        <v>0</v>
      </c>
      <c r="P1439" s="597"/>
      <c r="Q1439" s="1944">
        <f t="shared" ref="Q1439:Q1446" si="1601">Q1377</f>
        <v>71</v>
      </c>
      <c r="R1439" s="597"/>
      <c r="S1439" s="1645">
        <f>Y1439</f>
        <v>11928</v>
      </c>
      <c r="T1439" s="1645"/>
      <c r="U1439" s="1645"/>
      <c r="V1439" s="1645"/>
      <c r="W1439" s="1645"/>
      <c r="X1439" s="1645"/>
      <c r="Y1439" s="1644">
        <f>ROUND($D1439*Q1439,0)</f>
        <v>11928</v>
      </c>
      <c r="Z1439" s="1878" t="s">
        <v>251</v>
      </c>
    </row>
    <row r="1440" spans="1:28">
      <c r="A1440" s="1900" t="s">
        <v>168</v>
      </c>
      <c r="C1440" s="528">
        <f>'8'!H13</f>
        <v>137123.266806723</v>
      </c>
      <c r="D1440" s="528">
        <f>ROUND(C1440/C1456*D1456,0)</f>
        <v>150062</v>
      </c>
      <c r="F1440" s="1944">
        <v>4.76</v>
      </c>
      <c r="G1440" s="597"/>
      <c r="H1440" s="1644">
        <f>ROUND($F1440*C1440,0)</f>
        <v>652707</v>
      </c>
      <c r="I1440" s="1644">
        <f>ROUND($F1440*D1440,0)</f>
        <v>714295</v>
      </c>
      <c r="K1440" s="1944">
        <f t="shared" si="1598"/>
        <v>4.84</v>
      </c>
      <c r="L1440" s="597"/>
      <c r="M1440" s="1944">
        <f t="shared" si="1599"/>
        <v>0</v>
      </c>
      <c r="N1440" s="597"/>
      <c r="O1440" s="1944">
        <f t="shared" si="1600"/>
        <v>0</v>
      </c>
      <c r="P1440" s="597"/>
      <c r="Q1440" s="1944">
        <f t="shared" si="1601"/>
        <v>4.84</v>
      </c>
      <c r="R1440" s="597"/>
      <c r="S1440" s="1645">
        <f>Y1440</f>
        <v>726300</v>
      </c>
      <c r="T1440" s="1645"/>
      <c r="U1440" s="1645"/>
      <c r="V1440" s="1645"/>
      <c r="W1440" s="1645"/>
      <c r="X1440" s="1645"/>
      <c r="Y1440" s="1644">
        <f t="shared" ref="Y1440:Y1442" si="1602">ROUND($D1440*Q1440,0)</f>
        <v>726300</v>
      </c>
    </row>
    <row r="1441" spans="1:28">
      <c r="A1441" s="1900" t="s">
        <v>1651</v>
      </c>
      <c r="C1441" s="528">
        <f>C1447*Z1441</f>
        <v>46334.006172912683</v>
      </c>
      <c r="D1441" s="528">
        <f>ROUND(C1441/C1456*D1456,0)</f>
        <v>50706</v>
      </c>
      <c r="F1441" s="1944"/>
      <c r="G1441" s="597"/>
      <c r="H1441" s="1644"/>
      <c r="I1441" s="1644"/>
      <c r="K1441" s="1944">
        <f t="shared" si="1598"/>
        <v>7.23</v>
      </c>
      <c r="L1441" s="597"/>
      <c r="M1441" s="1944">
        <f t="shared" si="1599"/>
        <v>8.6</v>
      </c>
      <c r="N1441" s="597"/>
      <c r="O1441" s="1944">
        <f t="shared" si="1600"/>
        <v>0</v>
      </c>
      <c r="P1441" s="597"/>
      <c r="Q1441" s="1944">
        <f t="shared" si="1601"/>
        <v>15.83</v>
      </c>
      <c r="R1441" s="597"/>
      <c r="S1441" s="1644">
        <f t="shared" ref="S1441:S1442" si="1603">ROUND($D1441*K1441,0)</f>
        <v>366604</v>
      </c>
      <c r="T1441" s="1644"/>
      <c r="U1441" s="1644">
        <f t="shared" ref="U1441:U1442" si="1604">ROUND($D1441*M1441,0)</f>
        <v>436072</v>
      </c>
      <c r="V1441" s="1644"/>
      <c r="W1441" s="1644">
        <f t="shared" ref="W1441:W1442" si="1605">ROUND($D1441*O1441,0)</f>
        <v>0</v>
      </c>
      <c r="X1441" s="1645"/>
      <c r="Y1441" s="1644">
        <f t="shared" si="1602"/>
        <v>802676</v>
      </c>
      <c r="Z1441" s="1878">
        <f>Z1401</f>
        <v>0.8080618296749863</v>
      </c>
    </row>
    <row r="1442" spans="1:28">
      <c r="A1442" s="1900" t="s">
        <v>1652</v>
      </c>
      <c r="C1442" s="528">
        <f>C1448*Z1442</f>
        <v>83916.986488279334</v>
      </c>
      <c r="D1442" s="528">
        <f>ROUND(C1442/C1456*D1456,0)</f>
        <v>91835</v>
      </c>
      <c r="F1442" s="1944"/>
      <c r="G1442" s="597"/>
      <c r="H1442" s="1644"/>
      <c r="I1442" s="1644"/>
      <c r="K1442" s="1944">
        <f t="shared" si="1598"/>
        <v>6.4</v>
      </c>
      <c r="L1442" s="597"/>
      <c r="M1442" s="1944">
        <f t="shared" si="1599"/>
        <v>7.6099999999999994</v>
      </c>
      <c r="N1442" s="597"/>
      <c r="O1442" s="1944">
        <f t="shared" si="1600"/>
        <v>0</v>
      </c>
      <c r="P1442" s="597"/>
      <c r="Q1442" s="1944">
        <f t="shared" si="1601"/>
        <v>14.01</v>
      </c>
      <c r="R1442" s="597"/>
      <c r="S1442" s="1644">
        <f t="shared" si="1603"/>
        <v>587744</v>
      </c>
      <c r="T1442" s="1644"/>
      <c r="U1442" s="1644">
        <f t="shared" si="1604"/>
        <v>698864</v>
      </c>
      <c r="V1442" s="1644"/>
      <c r="W1442" s="1644">
        <f t="shared" si="1605"/>
        <v>0</v>
      </c>
      <c r="X1442" s="1645"/>
      <c r="Y1442" s="1644">
        <f t="shared" si="1602"/>
        <v>1286608</v>
      </c>
      <c r="Z1442" s="1878">
        <f>Z1402</f>
        <v>1.1030535149949241</v>
      </c>
    </row>
    <row r="1443" spans="1:28">
      <c r="A1443" s="1900" t="s">
        <v>1532</v>
      </c>
      <c r="C1443" s="528">
        <f>C1450*Z1443</f>
        <v>5344083.4211376049</v>
      </c>
      <c r="D1443" s="528">
        <f>D1456-SUM(D1444:D1446,D1453)</f>
        <v>5879321.1969696805</v>
      </c>
      <c r="F1443" s="1943"/>
      <c r="G1443" s="1921"/>
      <c r="H1443" s="1644"/>
      <c r="I1443" s="1644"/>
      <c r="K1443" s="1943">
        <f t="shared" si="1598"/>
        <v>0</v>
      </c>
      <c r="L1443" s="1921" t="s">
        <v>495</v>
      </c>
      <c r="M1443" s="1943">
        <f t="shared" si="1599"/>
        <v>1.4166000000000001</v>
      </c>
      <c r="N1443" s="1921" t="s">
        <v>495</v>
      </c>
      <c r="O1443" s="1943">
        <f t="shared" si="1600"/>
        <v>4.4476704152740005</v>
      </c>
      <c r="P1443" s="1921" t="s">
        <v>495</v>
      </c>
      <c r="Q1443" s="1943">
        <f t="shared" si="1601"/>
        <v>5.8642704152740004</v>
      </c>
      <c r="R1443" s="1921" t="s">
        <v>495</v>
      </c>
      <c r="S1443" s="1644">
        <f>ROUND($D1443*K1443/100,0)</f>
        <v>0</v>
      </c>
      <c r="T1443" s="1644"/>
      <c r="U1443" s="1644">
        <f>ROUND($D1443*M1443/100,0)</f>
        <v>83286</v>
      </c>
      <c r="V1443" s="1644"/>
      <c r="W1443" s="1644">
        <f>ROUND($D1443*O1443/100,0)</f>
        <v>261493</v>
      </c>
      <c r="X1443" s="1648"/>
      <c r="Y1443" s="1644">
        <f>ROUND($D1443*Q1443/100,0)</f>
        <v>344779</v>
      </c>
      <c r="Z1443" s="1878">
        <f>Z1403</f>
        <v>0.79730449923359459</v>
      </c>
    </row>
    <row r="1444" spans="1:28">
      <c r="A1444" s="1900" t="s">
        <v>1653</v>
      </c>
      <c r="C1444" s="528">
        <f>C1451*Z1444</f>
        <v>7982184.139345699</v>
      </c>
      <c r="D1444" s="528">
        <f>ROUND(C1444/(C1456-C1453)*D1456,0)</f>
        <v>8781642</v>
      </c>
      <c r="F1444" s="1943"/>
      <c r="G1444" s="1921"/>
      <c r="H1444" s="1644"/>
      <c r="I1444" s="1644"/>
      <c r="K1444" s="1943">
        <f t="shared" si="1598"/>
        <v>0</v>
      </c>
      <c r="L1444" s="1921" t="s">
        <v>495</v>
      </c>
      <c r="M1444" s="1943">
        <f t="shared" si="1599"/>
        <v>1.4166000000000001</v>
      </c>
      <c r="N1444" s="1921" t="s">
        <v>495</v>
      </c>
      <c r="O1444" s="1943">
        <f t="shared" si="1600"/>
        <v>3.7730198365260001</v>
      </c>
      <c r="P1444" s="1921" t="s">
        <v>495</v>
      </c>
      <c r="Q1444" s="1943">
        <f t="shared" si="1601"/>
        <v>5.189619836526</v>
      </c>
      <c r="R1444" s="1921" t="s">
        <v>495</v>
      </c>
      <c r="S1444" s="1644">
        <f t="shared" ref="S1444:S1446" si="1606">ROUND($D1444*K1444/100,0)</f>
        <v>0</v>
      </c>
      <c r="T1444" s="1644"/>
      <c r="U1444" s="1644">
        <f t="shared" ref="U1444:U1446" si="1607">ROUND($D1444*M1444/100,0)</f>
        <v>124401</v>
      </c>
      <c r="V1444" s="1644"/>
      <c r="W1444" s="1644">
        <f t="shared" ref="W1444:W1446" si="1608">ROUND($D1444*O1444/100,0)</f>
        <v>331333</v>
      </c>
      <c r="X1444" s="1648"/>
      <c r="Y1444" s="1644">
        <f t="shared" ref="Y1444:Y1446" si="1609">ROUND($D1444*Q1444/100,0)</f>
        <v>455734</v>
      </c>
      <c r="Z1444" s="1878">
        <f>Z1404</f>
        <v>0.49318673869770435</v>
      </c>
    </row>
    <row r="1445" spans="1:28">
      <c r="A1445" s="1900" t="s">
        <v>1533</v>
      </c>
      <c r="C1445" s="528">
        <f>SUM(C1450:C1452)*Z1445</f>
        <v>15407276.072655506</v>
      </c>
      <c r="D1445" s="528">
        <f>ROUND(C1445/(C1456-C1453)*D1456,0)</f>
        <v>16950396</v>
      </c>
      <c r="F1445" s="1943"/>
      <c r="G1445" s="1921"/>
      <c r="H1445" s="1644"/>
      <c r="I1445" s="1644"/>
      <c r="K1445" s="1943">
        <f t="shared" si="1598"/>
        <v>0</v>
      </c>
      <c r="L1445" s="1921" t="s">
        <v>495</v>
      </c>
      <c r="M1445" s="1943">
        <f t="shared" si="1599"/>
        <v>1.4166000000000001</v>
      </c>
      <c r="N1445" s="1921" t="s">
        <v>495</v>
      </c>
      <c r="O1445" s="1943">
        <f t="shared" si="1600"/>
        <v>1.5641055047420001</v>
      </c>
      <c r="P1445" s="1921" t="s">
        <v>495</v>
      </c>
      <c r="Q1445" s="1943">
        <f t="shared" si="1601"/>
        <v>2.9807055047420001</v>
      </c>
      <c r="R1445" s="1921" t="s">
        <v>495</v>
      </c>
      <c r="S1445" s="1644">
        <f t="shared" si="1606"/>
        <v>0</v>
      </c>
      <c r="T1445" s="1644"/>
      <c r="U1445" s="1644">
        <f t="shared" si="1607"/>
        <v>240119</v>
      </c>
      <c r="V1445" s="1644"/>
      <c r="W1445" s="1644">
        <f t="shared" si="1608"/>
        <v>265122</v>
      </c>
      <c r="X1445" s="1648"/>
      <c r="Y1445" s="1644">
        <f t="shared" si="1609"/>
        <v>505241</v>
      </c>
      <c r="Z1445" s="1878">
        <f>Z1405</f>
        <v>0.26809377750638824</v>
      </c>
    </row>
    <row r="1446" spans="1:28">
      <c r="A1446" s="1900" t="s">
        <v>2177</v>
      </c>
      <c r="C1446" s="528">
        <f>SUM(C1450:C1452)-SUM(C1443:C1445)</f>
        <v>28736182.878094282</v>
      </c>
      <c r="D1446" s="528">
        <f>ROUND(C1446/(C1456-C1453)*D1456,0)</f>
        <v>31614263</v>
      </c>
      <c r="F1446" s="1943"/>
      <c r="G1446" s="1921"/>
      <c r="H1446" s="1644"/>
      <c r="I1446" s="1644"/>
      <c r="K1446" s="1943">
        <f t="shared" si="1598"/>
        <v>0</v>
      </c>
      <c r="L1446" s="1921" t="s">
        <v>495</v>
      </c>
      <c r="M1446" s="1943">
        <f t="shared" si="1599"/>
        <v>1.4166000000000001</v>
      </c>
      <c r="N1446" s="1921" t="s">
        <v>495</v>
      </c>
      <c r="O1446" s="1943">
        <f t="shared" si="1600"/>
        <v>1.2211924820729998</v>
      </c>
      <c r="P1446" s="1921" t="s">
        <v>495</v>
      </c>
      <c r="Q1446" s="1943">
        <f t="shared" si="1601"/>
        <v>2.6377924820729999</v>
      </c>
      <c r="R1446" s="1921" t="s">
        <v>495</v>
      </c>
      <c r="S1446" s="1644">
        <f t="shared" si="1606"/>
        <v>0</v>
      </c>
      <c r="T1446" s="1644"/>
      <c r="U1446" s="1644">
        <f t="shared" si="1607"/>
        <v>447848</v>
      </c>
      <c r="V1446" s="1644"/>
      <c r="W1446" s="1644">
        <f t="shared" si="1608"/>
        <v>386071</v>
      </c>
      <c r="X1446" s="1648"/>
      <c r="Y1446" s="1644">
        <f t="shared" si="1609"/>
        <v>833919</v>
      </c>
      <c r="Z1446" s="1878">
        <f>D1446/D1456</f>
        <v>0.50002296381537592</v>
      </c>
    </row>
    <row r="1447" spans="1:28">
      <c r="A1447" s="1900" t="s">
        <v>18</v>
      </c>
      <c r="C1447" s="528">
        <f>'8'!J13</f>
        <v>57339.679305912599</v>
      </c>
      <c r="D1447" s="528">
        <f>ROUND(C1447/C1456*D1456,0)</f>
        <v>62750</v>
      </c>
      <c r="F1447" s="1944">
        <v>15.56</v>
      </c>
      <c r="G1447" s="597"/>
      <c r="H1447" s="1644">
        <f t="shared" si="1597"/>
        <v>892205</v>
      </c>
      <c r="I1447" s="1644">
        <f t="shared" si="1597"/>
        <v>976390</v>
      </c>
      <c r="K1447" s="1944"/>
      <c r="L1447" s="597"/>
      <c r="M1447" s="1944"/>
      <c r="N1447" s="597"/>
      <c r="O1447" s="1944"/>
      <c r="P1447" s="597"/>
      <c r="Q1447" s="1944"/>
      <c r="R1447" s="597"/>
      <c r="S1447" s="1645"/>
      <c r="T1447" s="1645"/>
      <c r="U1447" s="1645"/>
      <c r="V1447" s="1645"/>
      <c r="W1447" s="1645"/>
      <c r="X1447" s="1645"/>
      <c r="Y1447" s="1644"/>
    </row>
    <row r="1448" spans="1:28">
      <c r="A1448" s="1900" t="s">
        <v>166</v>
      </c>
      <c r="C1448" s="528">
        <f>'8'!K13</f>
        <v>76076.985701519196</v>
      </c>
      <c r="D1448" s="528">
        <f>ROUND(C1448/C1456*D1456,0)</f>
        <v>83255</v>
      </c>
      <c r="F1448" s="1944">
        <v>11.19</v>
      </c>
      <c r="G1448" s="597"/>
      <c r="H1448" s="1644">
        <f t="shared" si="1597"/>
        <v>851301</v>
      </c>
      <c r="I1448" s="1644">
        <f t="shared" si="1597"/>
        <v>931623</v>
      </c>
      <c r="K1448" s="1944"/>
      <c r="L1448" s="597"/>
      <c r="M1448" s="1944"/>
      <c r="N1448" s="597"/>
      <c r="O1448" s="1944"/>
      <c r="P1448" s="597"/>
      <c r="Q1448" s="1944"/>
      <c r="R1448" s="597"/>
      <c r="S1448" s="1645"/>
      <c r="T1448" s="1645"/>
      <c r="U1448" s="1645"/>
      <c r="V1448" s="1645"/>
      <c r="W1448" s="1645"/>
      <c r="X1448" s="1645"/>
      <c r="Y1448" s="1644"/>
    </row>
    <row r="1449" spans="1:28">
      <c r="A1449" s="1900" t="s">
        <v>261</v>
      </c>
      <c r="C1449" s="528">
        <f>'8'!L13</f>
        <v>78554.203539822993</v>
      </c>
      <c r="D1449" s="528">
        <f>ROUND(C1449/C1456*D1456,0)</f>
        <v>85966</v>
      </c>
      <c r="F1449" s="1944">
        <v>-1.1299999999999999</v>
      </c>
      <c r="G1449" s="597"/>
      <c r="H1449" s="1644">
        <f t="shared" si="1597"/>
        <v>-88766</v>
      </c>
      <c r="I1449" s="1644">
        <f t="shared" si="1597"/>
        <v>-97142</v>
      </c>
      <c r="K1449" s="1944">
        <f>K1387</f>
        <v>-1.1299999999999999</v>
      </c>
      <c r="L1449" s="597"/>
      <c r="M1449" s="1944">
        <f>M1387</f>
        <v>0</v>
      </c>
      <c r="N1449" s="597"/>
      <c r="O1449" s="1944">
        <f>O1387</f>
        <v>0</v>
      </c>
      <c r="P1449" s="597"/>
      <c r="Q1449" s="1944">
        <f>Q1387</f>
        <v>-1.1299999999999999</v>
      </c>
      <c r="R1449" s="597"/>
      <c r="S1449" s="1644">
        <f t="shared" ref="S1449" si="1610">ROUND($D1449*K1449,0)</f>
        <v>-97142</v>
      </c>
      <c r="T1449" s="1644"/>
      <c r="U1449" s="1644">
        <f t="shared" ref="U1449" si="1611">ROUND($D1449*M1449,0)</f>
        <v>0</v>
      </c>
      <c r="V1449" s="1644"/>
      <c r="W1449" s="1644">
        <f t="shared" ref="W1449" si="1612">ROUND($D1449*O1449,0)</f>
        <v>0</v>
      </c>
      <c r="X1449" s="1645"/>
      <c r="Y1449" s="1644">
        <f>ROUND($D1449*Q1449,0)</f>
        <v>-97142</v>
      </c>
    </row>
    <row r="1450" spans="1:28">
      <c r="A1450" s="1900" t="s">
        <v>188</v>
      </c>
      <c r="C1450" s="528">
        <f>'8'!N13+TempRev!M344</f>
        <v>6702688.1527378578</v>
      </c>
      <c r="D1450" s="528">
        <f>D1456-SUM(D1451:D1453)</f>
        <v>7373997.1969696805</v>
      </c>
      <c r="F1450" s="1943">
        <v>5.0473999999999997</v>
      </c>
      <c r="G1450" s="1921" t="s">
        <v>495</v>
      </c>
      <c r="H1450" s="1644">
        <f t="shared" ref="H1450:I1452" si="1613">ROUND($F1450*C1450/100,0)</f>
        <v>338311</v>
      </c>
      <c r="I1450" s="1644">
        <f t="shared" si="1613"/>
        <v>372195</v>
      </c>
      <c r="K1450" s="1943"/>
      <c r="L1450" s="1921"/>
      <c r="M1450" s="1943"/>
      <c r="N1450" s="1921"/>
      <c r="O1450" s="1943"/>
      <c r="P1450" s="1921"/>
      <c r="Q1450" s="1943"/>
      <c r="R1450" s="1921"/>
      <c r="S1450" s="1648"/>
      <c r="T1450" s="1648"/>
      <c r="U1450" s="1648"/>
      <c r="V1450" s="1648"/>
      <c r="W1450" s="1648"/>
      <c r="X1450" s="1648"/>
      <c r="Y1450" s="1644"/>
    </row>
    <row r="1451" spans="1:28">
      <c r="A1451" s="1900" t="s">
        <v>163</v>
      </c>
      <c r="C1451" s="528">
        <f>'8'!O13+TempRev!M345</f>
        <v>16184912.352719054</v>
      </c>
      <c r="D1451" s="528">
        <f>ROUND(C1451/(C1456-C1453)*D1456,0)</f>
        <v>17805917</v>
      </c>
      <c r="F1451" s="1943">
        <v>3.9510999999999998</v>
      </c>
      <c r="G1451" s="1921" t="s">
        <v>495</v>
      </c>
      <c r="H1451" s="1644">
        <f t="shared" si="1613"/>
        <v>639482</v>
      </c>
      <c r="I1451" s="1644">
        <f t="shared" si="1613"/>
        <v>703530</v>
      </c>
      <c r="K1451" s="1943"/>
      <c r="L1451" s="1921"/>
      <c r="M1451" s="1943"/>
      <c r="N1451" s="1921"/>
      <c r="O1451" s="1943"/>
      <c r="P1451" s="1921"/>
      <c r="Q1451" s="1943"/>
      <c r="R1451" s="1921"/>
      <c r="S1451" s="1648"/>
      <c r="T1451" s="1648"/>
      <c r="U1451" s="1648"/>
      <c r="V1451" s="1648"/>
      <c r="W1451" s="1648"/>
      <c r="X1451" s="1648"/>
      <c r="Y1451" s="1644"/>
    </row>
    <row r="1452" spans="1:28">
      <c r="A1452" s="1900" t="s">
        <v>249</v>
      </c>
      <c r="C1452" s="528">
        <f>'8'!P13+TempRev!M346</f>
        <v>34582126.005776182</v>
      </c>
      <c r="D1452" s="528">
        <f>ROUND(C1452/(C1456-C1453)*D1456,0)</f>
        <v>38045708</v>
      </c>
      <c r="F1452" s="1943">
        <v>3.4001999999999999</v>
      </c>
      <c r="G1452" s="1921" t="s">
        <v>495</v>
      </c>
      <c r="H1452" s="1644">
        <f t="shared" si="1613"/>
        <v>1175861</v>
      </c>
      <c r="I1452" s="1644">
        <f t="shared" si="1613"/>
        <v>1293630</v>
      </c>
      <c r="K1452" s="1943"/>
      <c r="L1452" s="1921"/>
      <c r="M1452" s="1943"/>
      <c r="N1452" s="1921"/>
      <c r="O1452" s="1943"/>
      <c r="P1452" s="1921"/>
      <c r="Q1452" s="1943"/>
      <c r="R1452" s="1921"/>
      <c r="S1452" s="1648"/>
      <c r="T1452" s="1648"/>
      <c r="U1452" s="1648"/>
      <c r="V1452" s="1648"/>
      <c r="W1452" s="1648"/>
      <c r="X1452" s="1648"/>
      <c r="Y1452" s="1644"/>
    </row>
    <row r="1453" spans="1:28">
      <c r="A1453" s="1900" t="s">
        <v>246</v>
      </c>
      <c r="C1453" s="529">
        <f>'Table 2'!J54</f>
        <v>304568</v>
      </c>
      <c r="D1453" s="529">
        <v>0</v>
      </c>
      <c r="H1453" s="1030">
        <f>'Table 3'!F54</f>
        <v>25662</v>
      </c>
      <c r="I1453" s="1030">
        <v>0</v>
      </c>
      <c r="Y1453" s="1030">
        <v>0</v>
      </c>
    </row>
    <row r="1454" spans="1:28">
      <c r="A1454" s="1900" t="s">
        <v>1240</v>
      </c>
      <c r="C1454" s="584"/>
      <c r="D1454" s="584"/>
      <c r="F1454" s="1930">
        <v>-3.1800000000000002E-2</v>
      </c>
      <c r="G1454" s="597"/>
      <c r="H1454" s="1644">
        <f>SUM(H1447:H1448,H1450:H1452)*$F1454</f>
        <v>-123929.68800000001</v>
      </c>
      <c r="I1454" s="1644">
        <f>SUM(I1447:I1448,I1450:I1452)*$F1454</f>
        <v>-136020.30240000002</v>
      </c>
      <c r="K1454" s="1930"/>
      <c r="L1454" s="597"/>
      <c r="M1454" s="1930"/>
      <c r="N1454" s="597"/>
      <c r="O1454" s="1931" t="str">
        <f>$O$43</f>
        <v>Tax Year 1 (7/1/2021)</v>
      </c>
      <c r="P1454" s="597"/>
      <c r="Q1454" s="1930">
        <f>$Q$1392</f>
        <v>-2.6499999999999999E-2</v>
      </c>
      <c r="R1454" s="597"/>
      <c r="S1454" s="1645"/>
      <c r="T1454" s="1645"/>
      <c r="U1454" s="1645"/>
      <c r="V1454" s="1645"/>
      <c r="W1454" s="1645"/>
      <c r="X1454" s="1645"/>
      <c r="Y1454" s="1644">
        <f>Q1454*SUM(Y1441:Y1446)</f>
        <v>-112067.3605</v>
      </c>
    </row>
    <row r="1455" spans="1:28">
      <c r="A1455" s="1900"/>
      <c r="C1455" s="584"/>
      <c r="D1455" s="584"/>
      <c r="F1455" s="1930"/>
      <c r="G1455" s="597"/>
      <c r="H1455" s="1644"/>
      <c r="I1455" s="1644"/>
      <c r="K1455" s="1930"/>
      <c r="L1455" s="597"/>
      <c r="M1455" s="1930"/>
      <c r="N1455" s="597"/>
      <c r="O1455" s="1931" t="str">
        <f>$O$44</f>
        <v>Tax Year 2 (1/1/2022)</v>
      </c>
      <c r="P1455" s="597"/>
      <c r="Q1455" s="1930">
        <f>$Q$1393</f>
        <v>-1.44E-2</v>
      </c>
      <c r="R1455" s="597"/>
      <c r="S1455" s="1645"/>
      <c r="T1455" s="1645"/>
      <c r="U1455" s="1645"/>
      <c r="V1455" s="1645"/>
      <c r="W1455" s="1645"/>
      <c r="X1455" s="1645"/>
      <c r="Y1455" s="1644">
        <f>Q1455*SUM(Y1441:Y1446)</f>
        <v>-60896.980799999998</v>
      </c>
    </row>
    <row r="1456" spans="1:28" ht="16.5" thickBot="1">
      <c r="A1456" s="1900" t="s">
        <v>247</v>
      </c>
      <c r="C1456" s="1949">
        <f>SUM(C1450:C1453)</f>
        <v>57774294.511233091</v>
      </c>
      <c r="D1456" s="1949">
        <f>Energy!P48</f>
        <v>63225622.19696968</v>
      </c>
      <c r="F1456" s="1939"/>
      <c r="H1456" s="1647">
        <f>SUM(H1439:H1454)</f>
        <v>4372327.3119999999</v>
      </c>
      <c r="I1456" s="1647">
        <f>SUM(I1439:I1454)</f>
        <v>4770260.6975999996</v>
      </c>
      <c r="K1456" s="1939"/>
      <c r="M1456" s="1939"/>
      <c r="O1456" s="1939"/>
      <c r="Q1456" s="1939"/>
      <c r="S1456" s="1647">
        <f>SUM(S1439:S1453)</f>
        <v>1595434</v>
      </c>
      <c r="U1456" s="1647">
        <f>SUM(U1439:U1453)</f>
        <v>2030590</v>
      </c>
      <c r="W1456" s="1647">
        <f>SUM(W1439:W1453)</f>
        <v>1244019</v>
      </c>
      <c r="Y1456" s="1647">
        <f>SUM(Y1439:Y1453)</f>
        <v>4870043</v>
      </c>
      <c r="AA1456" s="1104" t="s">
        <v>1743</v>
      </c>
      <c r="AB1456" s="1890">
        <f>Y1456/I1456-1</f>
        <v>2.0917578456498775E-2</v>
      </c>
    </row>
    <row r="1457" spans="1:26" ht="16.5" thickTop="1">
      <c r="A1457" s="1966"/>
      <c r="B1457" s="1966"/>
      <c r="C1457" s="1967"/>
      <c r="D1457" s="1967"/>
      <c r="E1457" s="1968"/>
      <c r="F1457" s="1966"/>
      <c r="G1457" s="1968"/>
      <c r="H1457" s="1871"/>
      <c r="I1457" s="1871"/>
      <c r="J1457" s="1968"/>
      <c r="K1457" s="1966"/>
      <c r="L1457" s="1968"/>
      <c r="M1457" s="1966"/>
      <c r="N1457" s="1968"/>
      <c r="O1457" s="1966"/>
      <c r="P1457" s="1968"/>
      <c r="Q1457" s="1966"/>
      <c r="R1457" s="1968"/>
      <c r="S1457" s="1870"/>
      <c r="T1457" s="1870"/>
      <c r="U1457" s="1870"/>
      <c r="V1457" s="1870"/>
      <c r="W1457" s="1870"/>
      <c r="X1457" s="1870"/>
      <c r="Y1457" s="1871"/>
    </row>
    <row r="1458" spans="1:26">
      <c r="A1458" s="1897" t="s">
        <v>1560</v>
      </c>
    </row>
    <row r="1459" spans="1:26">
      <c r="A1459" s="1900" t="s">
        <v>240</v>
      </c>
      <c r="C1459" s="528">
        <f>'8'!G16</f>
        <v>6</v>
      </c>
      <c r="D1459" s="528">
        <v>0</v>
      </c>
      <c r="F1459" s="1944">
        <v>70</v>
      </c>
      <c r="G1459" s="597"/>
      <c r="H1459" s="1644">
        <f t="shared" ref="H1459:H1469" si="1614">ROUND($F1459*C1459,0)</f>
        <v>420</v>
      </c>
      <c r="I1459" s="1644">
        <f t="shared" ref="I1459:I1469" si="1615">ROUND($F1459*D1459,0)</f>
        <v>0</v>
      </c>
      <c r="K1459" s="1944">
        <f t="shared" ref="K1459:K1466" si="1616">K1377</f>
        <v>71</v>
      </c>
      <c r="L1459" s="597"/>
      <c r="M1459" s="1944">
        <f t="shared" ref="M1459:M1466" si="1617">M1377</f>
        <v>0</v>
      </c>
      <c r="N1459" s="597"/>
      <c r="O1459" s="1944">
        <f t="shared" ref="O1459:O1466" si="1618">O1377</f>
        <v>0</v>
      </c>
      <c r="P1459" s="597"/>
      <c r="Q1459" s="1944">
        <f t="shared" ref="Q1459:Q1466" si="1619">Q1377</f>
        <v>71</v>
      </c>
      <c r="R1459" s="597"/>
      <c r="S1459" s="1645">
        <f>Y1459</f>
        <v>0</v>
      </c>
      <c r="T1459" s="1645"/>
      <c r="U1459" s="1645"/>
      <c r="V1459" s="1645"/>
      <c r="W1459" s="1645"/>
      <c r="X1459" s="1645"/>
      <c r="Y1459" s="1644">
        <f>ROUND($D1459*Q1459,0)</f>
        <v>0</v>
      </c>
      <c r="Z1459" s="1878" t="s">
        <v>251</v>
      </c>
    </row>
    <row r="1460" spans="1:26">
      <c r="A1460" s="1900" t="s">
        <v>168</v>
      </c>
      <c r="C1460" s="528">
        <f>'8'!H16</f>
        <v>4549.6659663865503</v>
      </c>
      <c r="D1460" s="528">
        <f>ROUND(C1460/C1476*D1476,0)</f>
        <v>0</v>
      </c>
      <c r="F1460" s="1944">
        <v>4.76</v>
      </c>
      <c r="G1460" s="597"/>
      <c r="H1460" s="1644">
        <f>ROUND($F1460*C1460,0)</f>
        <v>21656</v>
      </c>
      <c r="I1460" s="1644">
        <f>ROUND($F1460*D1460,0)</f>
        <v>0</v>
      </c>
      <c r="K1460" s="1944">
        <f t="shared" si="1616"/>
        <v>4.84</v>
      </c>
      <c r="L1460" s="597"/>
      <c r="M1460" s="1944">
        <f t="shared" si="1617"/>
        <v>0</v>
      </c>
      <c r="N1460" s="597"/>
      <c r="O1460" s="1944">
        <f t="shared" si="1618"/>
        <v>0</v>
      </c>
      <c r="P1460" s="597"/>
      <c r="Q1460" s="1944">
        <f t="shared" si="1619"/>
        <v>4.84</v>
      </c>
      <c r="R1460" s="597"/>
      <c r="S1460" s="1645">
        <f>Y1460</f>
        <v>0</v>
      </c>
      <c r="T1460" s="1645"/>
      <c r="U1460" s="1645"/>
      <c r="V1460" s="1645"/>
      <c r="W1460" s="1645"/>
      <c r="X1460" s="1645"/>
      <c r="Y1460" s="1644">
        <f t="shared" ref="Y1460:Y1462" si="1620">ROUND($D1460*Q1460,0)</f>
        <v>0</v>
      </c>
    </row>
    <row r="1461" spans="1:26">
      <c r="A1461" s="1900" t="s">
        <v>1651</v>
      </c>
      <c r="C1461" s="528">
        <f>C1467*Z1461</f>
        <v>2238.0430456319273</v>
      </c>
      <c r="D1461" s="528">
        <f>ROUND(C1461/C1476*D1476,0)</f>
        <v>0</v>
      </c>
      <c r="F1461" s="1944"/>
      <c r="G1461" s="597"/>
      <c r="H1461" s="1644"/>
      <c r="I1461" s="1644"/>
      <c r="K1461" s="1944">
        <f t="shared" si="1616"/>
        <v>7.23</v>
      </c>
      <c r="L1461" s="597"/>
      <c r="M1461" s="1944">
        <f t="shared" si="1617"/>
        <v>8.6</v>
      </c>
      <c r="N1461" s="597"/>
      <c r="O1461" s="1944">
        <f t="shared" si="1618"/>
        <v>0</v>
      </c>
      <c r="P1461" s="597"/>
      <c r="Q1461" s="1944">
        <f t="shared" si="1619"/>
        <v>15.83</v>
      </c>
      <c r="R1461" s="597"/>
      <c r="S1461" s="1644">
        <f t="shared" ref="S1461:S1462" si="1621">ROUND($D1461*K1461,0)</f>
        <v>0</v>
      </c>
      <c r="T1461" s="1644"/>
      <c r="U1461" s="1644">
        <f t="shared" ref="U1461:U1462" si="1622">ROUND($D1461*M1461,0)</f>
        <v>0</v>
      </c>
      <c r="V1461" s="1644"/>
      <c r="W1461" s="1644">
        <f t="shared" ref="W1461:W1462" si="1623">ROUND($D1461*O1461,0)</f>
        <v>0</v>
      </c>
      <c r="X1461" s="1645"/>
      <c r="Y1461" s="1644">
        <f t="shared" si="1620"/>
        <v>0</v>
      </c>
      <c r="Z1461" s="1878">
        <f>Z1401</f>
        <v>0.8080618296749863</v>
      </c>
    </row>
    <row r="1462" spans="1:26">
      <c r="A1462" s="1900" t="s">
        <v>1652</v>
      </c>
      <c r="C1462" s="528">
        <f>C1468*Z1462</f>
        <v>1836.2420474444675</v>
      </c>
      <c r="D1462" s="528">
        <f>ROUND(C1462/C1476*D1476,0)</f>
        <v>0</v>
      </c>
      <c r="F1462" s="1944"/>
      <c r="G1462" s="597"/>
      <c r="H1462" s="1644"/>
      <c r="I1462" s="1644"/>
      <c r="K1462" s="1944">
        <f t="shared" si="1616"/>
        <v>6.4</v>
      </c>
      <c r="L1462" s="597"/>
      <c r="M1462" s="1944">
        <f t="shared" si="1617"/>
        <v>7.6099999999999994</v>
      </c>
      <c r="N1462" s="597"/>
      <c r="O1462" s="1944">
        <f t="shared" si="1618"/>
        <v>0</v>
      </c>
      <c r="P1462" s="597"/>
      <c r="Q1462" s="1944">
        <f t="shared" si="1619"/>
        <v>14.01</v>
      </c>
      <c r="R1462" s="597"/>
      <c r="S1462" s="1644">
        <f t="shared" si="1621"/>
        <v>0</v>
      </c>
      <c r="T1462" s="1644"/>
      <c r="U1462" s="1644">
        <f t="shared" si="1622"/>
        <v>0</v>
      </c>
      <c r="V1462" s="1644"/>
      <c r="W1462" s="1644">
        <f t="shared" si="1623"/>
        <v>0</v>
      </c>
      <c r="X1462" s="1645"/>
      <c r="Y1462" s="1644">
        <f t="shared" si="1620"/>
        <v>0</v>
      </c>
      <c r="Z1462" s="1878">
        <f>Z1402</f>
        <v>1.1030535149949241</v>
      </c>
    </row>
    <row r="1463" spans="1:26">
      <c r="A1463" s="1900" t="s">
        <v>1532</v>
      </c>
      <c r="C1463" s="528">
        <f>C1470*Z1463</f>
        <v>230965.96629601138</v>
      </c>
      <c r="D1463" s="528">
        <f>D1476-SUM(D1464:D1466,D1473)</f>
        <v>0</v>
      </c>
      <c r="F1463" s="1943"/>
      <c r="G1463" s="1921"/>
      <c r="H1463" s="1644"/>
      <c r="I1463" s="1644"/>
      <c r="K1463" s="1943">
        <f t="shared" si="1616"/>
        <v>0</v>
      </c>
      <c r="L1463" s="1921" t="s">
        <v>495</v>
      </c>
      <c r="M1463" s="1943">
        <f t="shared" si="1617"/>
        <v>1.4166000000000001</v>
      </c>
      <c r="N1463" s="1921" t="s">
        <v>495</v>
      </c>
      <c r="O1463" s="1943">
        <f t="shared" si="1618"/>
        <v>4.4476704152740005</v>
      </c>
      <c r="P1463" s="1921" t="s">
        <v>495</v>
      </c>
      <c r="Q1463" s="1943">
        <f t="shared" si="1619"/>
        <v>5.8642704152740004</v>
      </c>
      <c r="R1463" s="1921" t="s">
        <v>495</v>
      </c>
      <c r="S1463" s="1644">
        <f>ROUND($D1463*K1463/100,0)</f>
        <v>0</v>
      </c>
      <c r="T1463" s="1644"/>
      <c r="U1463" s="1644">
        <f>ROUND($D1463*M1463/100,0)</f>
        <v>0</v>
      </c>
      <c r="V1463" s="1644"/>
      <c r="W1463" s="1644">
        <f>ROUND($D1463*O1463/100,0)</f>
        <v>0</v>
      </c>
      <c r="X1463" s="1648"/>
      <c r="Y1463" s="1644">
        <f>ROUND($D1463*Q1463/100,0)</f>
        <v>0</v>
      </c>
      <c r="Z1463" s="1878">
        <f>Z1403</f>
        <v>0.79730449923359459</v>
      </c>
    </row>
    <row r="1464" spans="1:26">
      <c r="A1464" s="1900" t="s">
        <v>1653</v>
      </c>
      <c r="C1464" s="528">
        <f>C1471*Z1464</f>
        <v>189381.87509176272</v>
      </c>
      <c r="D1464" s="528">
        <f>ROUND(C1464/(C1476-C1473)*D1476,0)</f>
        <v>0</v>
      </c>
      <c r="F1464" s="1943"/>
      <c r="G1464" s="1921"/>
      <c r="H1464" s="1644"/>
      <c r="I1464" s="1644"/>
      <c r="K1464" s="1943">
        <f t="shared" si="1616"/>
        <v>0</v>
      </c>
      <c r="L1464" s="1921" t="s">
        <v>495</v>
      </c>
      <c r="M1464" s="1943">
        <f t="shared" si="1617"/>
        <v>1.4166000000000001</v>
      </c>
      <c r="N1464" s="1921" t="s">
        <v>495</v>
      </c>
      <c r="O1464" s="1943">
        <f t="shared" si="1618"/>
        <v>3.7730198365260001</v>
      </c>
      <c r="P1464" s="1921" t="s">
        <v>495</v>
      </c>
      <c r="Q1464" s="1943">
        <f t="shared" si="1619"/>
        <v>5.189619836526</v>
      </c>
      <c r="R1464" s="1921" t="s">
        <v>495</v>
      </c>
      <c r="S1464" s="1644">
        <f t="shared" ref="S1464:S1466" si="1624">ROUND($D1464*K1464/100,0)</f>
        <v>0</v>
      </c>
      <c r="T1464" s="1644"/>
      <c r="U1464" s="1644">
        <f t="shared" ref="U1464:U1466" si="1625">ROUND($D1464*M1464/100,0)</f>
        <v>0</v>
      </c>
      <c r="V1464" s="1644"/>
      <c r="W1464" s="1644">
        <f t="shared" ref="W1464:W1466" si="1626">ROUND($D1464*O1464/100,0)</f>
        <v>0</v>
      </c>
      <c r="X1464" s="1648"/>
      <c r="Y1464" s="1644">
        <f t="shared" ref="Y1464:Y1466" si="1627">ROUND($D1464*Q1464/100,0)</f>
        <v>0</v>
      </c>
      <c r="Z1464" s="1878">
        <f>Z1404</f>
        <v>0.49318673869770435</v>
      </c>
    </row>
    <row r="1465" spans="1:26">
      <c r="A1465" s="1900" t="s">
        <v>1533</v>
      </c>
      <c r="C1465" s="528">
        <f>SUM(C1470:C1472)*Z1465</f>
        <v>431146.08244347939</v>
      </c>
      <c r="D1465" s="528">
        <f>ROUND(C1465/(C1476-C1473)*D1476,0)</f>
        <v>0</v>
      </c>
      <c r="F1465" s="1943"/>
      <c r="G1465" s="1921"/>
      <c r="H1465" s="1644"/>
      <c r="I1465" s="1644"/>
      <c r="K1465" s="1943">
        <f t="shared" si="1616"/>
        <v>0</v>
      </c>
      <c r="L1465" s="1921" t="s">
        <v>495</v>
      </c>
      <c r="M1465" s="1943">
        <f t="shared" si="1617"/>
        <v>1.4166000000000001</v>
      </c>
      <c r="N1465" s="1921" t="s">
        <v>495</v>
      </c>
      <c r="O1465" s="1943">
        <f t="shared" si="1618"/>
        <v>1.5641055047420001</v>
      </c>
      <c r="P1465" s="1921" t="s">
        <v>495</v>
      </c>
      <c r="Q1465" s="1943">
        <f t="shared" si="1619"/>
        <v>2.9807055047420001</v>
      </c>
      <c r="R1465" s="1921" t="s">
        <v>495</v>
      </c>
      <c r="S1465" s="1644">
        <f t="shared" si="1624"/>
        <v>0</v>
      </c>
      <c r="T1465" s="1644"/>
      <c r="U1465" s="1644">
        <f t="shared" si="1625"/>
        <v>0</v>
      </c>
      <c r="V1465" s="1644"/>
      <c r="W1465" s="1644">
        <f t="shared" si="1626"/>
        <v>0</v>
      </c>
      <c r="X1465" s="1648"/>
      <c r="Y1465" s="1644">
        <f t="shared" si="1627"/>
        <v>0</v>
      </c>
      <c r="Z1465" s="1878">
        <f>Z1405</f>
        <v>0.26809377750638824</v>
      </c>
    </row>
    <row r="1466" spans="1:26">
      <c r="A1466" s="1900" t="s">
        <v>2177</v>
      </c>
      <c r="C1466" s="528">
        <f>SUM(C1470:C1472)-SUM(C1463:C1465)</f>
        <v>756697.38315723441</v>
      </c>
      <c r="D1466" s="528">
        <f>ROUND(C1466/(C1476-C1473)*D1476,0)</f>
        <v>0</v>
      </c>
      <c r="F1466" s="1943"/>
      <c r="G1466" s="1921"/>
      <c r="H1466" s="1644"/>
      <c r="I1466" s="1644"/>
      <c r="K1466" s="1943">
        <f t="shared" si="1616"/>
        <v>0</v>
      </c>
      <c r="L1466" s="1921" t="s">
        <v>495</v>
      </c>
      <c r="M1466" s="1943">
        <f t="shared" si="1617"/>
        <v>1.4166000000000001</v>
      </c>
      <c r="N1466" s="1921" t="s">
        <v>495</v>
      </c>
      <c r="O1466" s="1943">
        <f t="shared" si="1618"/>
        <v>1.2211924820729998</v>
      </c>
      <c r="P1466" s="1921" t="s">
        <v>495</v>
      </c>
      <c r="Q1466" s="1943">
        <f t="shared" si="1619"/>
        <v>2.6377924820729999</v>
      </c>
      <c r="R1466" s="1921" t="s">
        <v>495</v>
      </c>
      <c r="S1466" s="1644">
        <f t="shared" si="1624"/>
        <v>0</v>
      </c>
      <c r="T1466" s="1644"/>
      <c r="U1466" s="1644">
        <f t="shared" si="1625"/>
        <v>0</v>
      </c>
      <c r="V1466" s="1644"/>
      <c r="W1466" s="1644">
        <f t="shared" si="1626"/>
        <v>0</v>
      </c>
      <c r="X1466" s="1648"/>
      <c r="Y1466" s="1644">
        <f t="shared" si="1627"/>
        <v>0</v>
      </c>
      <c r="Z1466" s="1878" t="e">
        <f>D1466/D1476</f>
        <v>#DIV/0!</v>
      </c>
    </row>
    <row r="1467" spans="1:26">
      <c r="A1467" s="1900" t="s">
        <v>18</v>
      </c>
      <c r="C1467" s="528">
        <f>'8'!J16</f>
        <v>2769.6433161953701</v>
      </c>
      <c r="D1467" s="528">
        <f>ROUND(C1467/C1476*D1476,0)</f>
        <v>0</v>
      </c>
      <c r="F1467" s="1944">
        <v>15.56</v>
      </c>
      <c r="G1467" s="597"/>
      <c r="H1467" s="1644">
        <f t="shared" si="1614"/>
        <v>43096</v>
      </c>
      <c r="I1467" s="1644">
        <f t="shared" si="1615"/>
        <v>0</v>
      </c>
      <c r="K1467" s="1944"/>
      <c r="L1467" s="597"/>
      <c r="M1467" s="1944"/>
      <c r="N1467" s="597"/>
      <c r="O1467" s="1944"/>
      <c r="P1467" s="597"/>
      <c r="Q1467" s="1944"/>
      <c r="R1467" s="597"/>
      <c r="S1467" s="1645"/>
      <c r="T1467" s="1645"/>
      <c r="U1467" s="1645"/>
      <c r="V1467" s="1645"/>
      <c r="W1467" s="1645"/>
      <c r="X1467" s="1645"/>
      <c r="Y1467" s="1644"/>
    </row>
    <row r="1468" spans="1:26">
      <c r="A1468" s="1900" t="s">
        <v>166</v>
      </c>
      <c r="C1468" s="528">
        <f>'8'!K16</f>
        <v>1664.6899016979401</v>
      </c>
      <c r="D1468" s="528">
        <f>ROUND(C1468/C1476*D1476,0)</f>
        <v>0</v>
      </c>
      <c r="F1468" s="1944">
        <v>11.19</v>
      </c>
      <c r="G1468" s="597"/>
      <c r="H1468" s="1644">
        <f t="shared" si="1614"/>
        <v>18628</v>
      </c>
      <c r="I1468" s="1644">
        <f t="shared" si="1615"/>
        <v>0</v>
      </c>
      <c r="K1468" s="1944"/>
      <c r="L1468" s="597"/>
      <c r="M1468" s="1944"/>
      <c r="N1468" s="597"/>
      <c r="O1468" s="1944"/>
      <c r="P1468" s="597"/>
      <c r="Q1468" s="1944"/>
      <c r="R1468" s="597"/>
      <c r="S1468" s="1645"/>
      <c r="T1468" s="1645"/>
      <c r="U1468" s="1645"/>
      <c r="V1468" s="1645"/>
      <c r="W1468" s="1645"/>
      <c r="X1468" s="1645"/>
      <c r="Y1468" s="1644"/>
    </row>
    <row r="1469" spans="1:26">
      <c r="A1469" s="1900" t="s">
        <v>261</v>
      </c>
      <c r="C1469" s="528">
        <f>'8'!L16</f>
        <v>4434.3274336283203</v>
      </c>
      <c r="D1469" s="528">
        <f>ROUND(C1469/C1476*D1476,0)</f>
        <v>0</v>
      </c>
      <c r="F1469" s="1944">
        <v>-1.1299999999999999</v>
      </c>
      <c r="G1469" s="597"/>
      <c r="H1469" s="1644">
        <f t="shared" si="1614"/>
        <v>-5011</v>
      </c>
      <c r="I1469" s="1644">
        <f t="shared" si="1615"/>
        <v>0</v>
      </c>
      <c r="K1469" s="1944">
        <f>K1387</f>
        <v>-1.1299999999999999</v>
      </c>
      <c r="L1469" s="597"/>
      <c r="M1469" s="1944">
        <f>M1387</f>
        <v>0</v>
      </c>
      <c r="N1469" s="597"/>
      <c r="O1469" s="1944">
        <f>O1387</f>
        <v>0</v>
      </c>
      <c r="P1469" s="597"/>
      <c r="Q1469" s="1944">
        <f>Q1387</f>
        <v>-1.1299999999999999</v>
      </c>
      <c r="R1469" s="597"/>
      <c r="S1469" s="1644">
        <f t="shared" ref="S1469" si="1628">ROUND($D1469*K1469,0)</f>
        <v>0</v>
      </c>
      <c r="T1469" s="1644"/>
      <c r="U1469" s="1644">
        <f t="shared" ref="U1469" si="1629">ROUND($D1469*M1469,0)</f>
        <v>0</v>
      </c>
      <c r="V1469" s="1644"/>
      <c r="W1469" s="1644">
        <f t="shared" ref="W1469" si="1630">ROUND($D1469*O1469,0)</f>
        <v>0</v>
      </c>
      <c r="X1469" s="1645"/>
      <c r="Y1469" s="1644">
        <f>ROUND($D1469*Q1469,0)</f>
        <v>0</v>
      </c>
    </row>
    <row r="1470" spans="1:26">
      <c r="A1470" s="1900" t="s">
        <v>188</v>
      </c>
      <c r="C1470" s="528">
        <f>'8'!N16+TempRev!W344</f>
        <v>289683.51052581088</v>
      </c>
      <c r="D1470" s="528">
        <f>D1476-SUM(D1471:D1473)</f>
        <v>0</v>
      </c>
      <c r="F1470" s="1943">
        <v>5.0473999999999997</v>
      </c>
      <c r="G1470" s="1921" t="s">
        <v>495</v>
      </c>
      <c r="H1470" s="1644">
        <f t="shared" ref="H1470:H1472" si="1631">ROUND($F1470*C1470/100,0)</f>
        <v>14621</v>
      </c>
      <c r="I1470" s="1644">
        <f t="shared" ref="I1470:I1472" si="1632">ROUND($F1470*D1470/100,0)</f>
        <v>0</v>
      </c>
      <c r="K1470" s="1943"/>
      <c r="L1470" s="1921"/>
      <c r="M1470" s="1943"/>
      <c r="N1470" s="1921"/>
      <c r="O1470" s="1943"/>
      <c r="P1470" s="1921"/>
      <c r="Q1470" s="1943"/>
      <c r="R1470" s="1921"/>
      <c r="S1470" s="1648"/>
      <c r="T1470" s="1648"/>
      <c r="U1470" s="1648"/>
      <c r="V1470" s="1648"/>
      <c r="W1470" s="1648"/>
      <c r="X1470" s="1648"/>
      <c r="Y1470" s="1644"/>
    </row>
    <row r="1471" spans="1:26">
      <c r="A1471" s="1900" t="s">
        <v>163</v>
      </c>
      <c r="C1471" s="528">
        <f>'8'!O16+TempRev!W345</f>
        <v>383996.2842306738</v>
      </c>
      <c r="D1471" s="528">
        <f>ROUND(C1471/(C1476-C1473)*D1476,0)</f>
        <v>0</v>
      </c>
      <c r="F1471" s="1943">
        <v>3.9510999999999998</v>
      </c>
      <c r="G1471" s="1921" t="s">
        <v>495</v>
      </c>
      <c r="H1471" s="1644">
        <f t="shared" si="1631"/>
        <v>15172</v>
      </c>
      <c r="I1471" s="1644">
        <f t="shared" si="1632"/>
        <v>0</v>
      </c>
      <c r="K1471" s="1943"/>
      <c r="L1471" s="1921"/>
      <c r="M1471" s="1943"/>
      <c r="N1471" s="1921"/>
      <c r="O1471" s="1943"/>
      <c r="P1471" s="1921"/>
      <c r="Q1471" s="1943"/>
      <c r="R1471" s="1921"/>
      <c r="S1471" s="1648"/>
      <c r="T1471" s="1648"/>
      <c r="U1471" s="1648"/>
      <c r="V1471" s="1648"/>
      <c r="W1471" s="1648"/>
      <c r="X1471" s="1648"/>
      <c r="Y1471" s="1644"/>
    </row>
    <row r="1472" spans="1:26">
      <c r="A1472" s="1900" t="s">
        <v>249</v>
      </c>
      <c r="C1472" s="528">
        <f>'8'!P16+TempRev!W346</f>
        <v>934511.51223200338</v>
      </c>
      <c r="D1472" s="528">
        <f>ROUND(C1472/(C1476-C1473)*D1476,0)</f>
        <v>0</v>
      </c>
      <c r="F1472" s="1943">
        <v>3.4001999999999999</v>
      </c>
      <c r="G1472" s="1921" t="s">
        <v>495</v>
      </c>
      <c r="H1472" s="1644">
        <f t="shared" si="1631"/>
        <v>31775</v>
      </c>
      <c r="I1472" s="1644">
        <f t="shared" si="1632"/>
        <v>0</v>
      </c>
      <c r="K1472" s="1943"/>
      <c r="L1472" s="1921"/>
      <c r="M1472" s="1943"/>
      <c r="N1472" s="1921"/>
      <c r="O1472" s="1943"/>
      <c r="P1472" s="1921"/>
      <c r="Q1472" s="1943"/>
      <c r="R1472" s="1921"/>
      <c r="S1472" s="1648"/>
      <c r="T1472" s="1648"/>
      <c r="U1472" s="1648"/>
      <c r="V1472" s="1648"/>
      <c r="W1472" s="1648"/>
      <c r="X1472" s="1648"/>
      <c r="Y1472" s="1644"/>
    </row>
    <row r="1473" spans="1:29">
      <c r="A1473" s="1900" t="s">
        <v>246</v>
      </c>
      <c r="C1473" s="529">
        <f>'Table 2'!J55</f>
        <v>8531</v>
      </c>
      <c r="D1473" s="529">
        <v>0</v>
      </c>
      <c r="H1473" s="1030">
        <f>'Table 3'!F55</f>
        <v>806</v>
      </c>
      <c r="I1473" s="1030">
        <v>0</v>
      </c>
      <c r="Y1473" s="1030"/>
    </row>
    <row r="1474" spans="1:29">
      <c r="A1474" s="1900" t="s">
        <v>1240</v>
      </c>
      <c r="C1474" s="584"/>
      <c r="D1474" s="584"/>
      <c r="F1474" s="1930">
        <v>-3.1800000000000002E-2</v>
      </c>
      <c r="G1474" s="597"/>
      <c r="H1474" s="1644">
        <f>SUM(H1467:H1468,H1470:H1472)*$F1474</f>
        <v>-3920.6856000000002</v>
      </c>
      <c r="I1474" s="1644">
        <f>SUM(I1467:I1468,I1470:I1472)*$F1474</f>
        <v>0</v>
      </c>
      <c r="K1474" s="1930"/>
      <c r="L1474" s="597"/>
      <c r="M1474" s="1930"/>
      <c r="N1474" s="597"/>
      <c r="O1474" s="1931" t="str">
        <f>$O$43</f>
        <v>Tax Year 1 (7/1/2021)</v>
      </c>
      <c r="P1474" s="597"/>
      <c r="Q1474" s="1930">
        <f>$Q$1392</f>
        <v>-2.6499999999999999E-2</v>
      </c>
      <c r="R1474" s="597"/>
      <c r="S1474" s="1645"/>
      <c r="T1474" s="1645"/>
      <c r="U1474" s="1645"/>
      <c r="V1474" s="1645"/>
      <c r="W1474" s="1645"/>
      <c r="X1474" s="1645"/>
      <c r="Y1474" s="1644">
        <f>Q1474*SUM(Y1461:Y1466)</f>
        <v>0</v>
      </c>
    </row>
    <row r="1475" spans="1:29">
      <c r="A1475" s="1900"/>
      <c r="C1475" s="584"/>
      <c r="D1475" s="584"/>
      <c r="F1475" s="1930"/>
      <c r="G1475" s="597"/>
      <c r="H1475" s="1644"/>
      <c r="I1475" s="1644"/>
      <c r="K1475" s="1930"/>
      <c r="L1475" s="597"/>
      <c r="M1475" s="1930"/>
      <c r="N1475" s="597"/>
      <c r="O1475" s="1931" t="str">
        <f>$O$44</f>
        <v>Tax Year 2 (1/1/2022)</v>
      </c>
      <c r="P1475" s="597"/>
      <c r="Q1475" s="1930">
        <f>$Q$1393</f>
        <v>-1.44E-2</v>
      </c>
      <c r="R1475" s="597"/>
      <c r="S1475" s="1645"/>
      <c r="T1475" s="1645"/>
      <c r="U1475" s="1645"/>
      <c r="V1475" s="1645"/>
      <c r="W1475" s="1645"/>
      <c r="X1475" s="1645"/>
      <c r="Y1475" s="1644">
        <f>Q1475*SUM(Y1461:Y1466)</f>
        <v>0</v>
      </c>
    </row>
    <row r="1476" spans="1:29" ht="16.5" thickBot="1">
      <c r="A1476" s="1900" t="s">
        <v>247</v>
      </c>
      <c r="C1476" s="1949">
        <f>SUM(C1470:C1473)</f>
        <v>1616722.306988488</v>
      </c>
      <c r="D1476" s="1949">
        <v>0</v>
      </c>
      <c r="F1476" s="1939"/>
      <c r="H1476" s="1647">
        <f>SUM(H1459:H1474)</f>
        <v>137242.3144</v>
      </c>
      <c r="I1476" s="1647">
        <f>SUM(I1459:I1474)</f>
        <v>0</v>
      </c>
      <c r="K1476" s="1939"/>
      <c r="M1476" s="1939"/>
      <c r="O1476" s="1939"/>
      <c r="Q1476" s="1939"/>
      <c r="S1476" s="1647">
        <f>SUM(S1459:S1473)</f>
        <v>0</v>
      </c>
      <c r="U1476" s="1647">
        <f>SUM(U1459:U1473)</f>
        <v>0</v>
      </c>
      <c r="W1476" s="1647">
        <f>SUM(W1459:W1473)</f>
        <v>0</v>
      </c>
      <c r="Y1476" s="1647">
        <f>SUM(Y1459:Y1473)</f>
        <v>0</v>
      </c>
      <c r="AA1476" s="1104" t="s">
        <v>1743</v>
      </c>
      <c r="AB1476" s="1890"/>
    </row>
    <row r="1478" spans="1:29">
      <c r="A1478" s="1897" t="s">
        <v>560</v>
      </c>
      <c r="C1478" s="528"/>
      <c r="D1478" s="528"/>
      <c r="AA1478" s="1104" t="s">
        <v>2204</v>
      </c>
      <c r="AB1478" s="1104"/>
    </row>
    <row r="1479" spans="1:29">
      <c r="A1479" s="1900" t="s">
        <v>240</v>
      </c>
      <c r="C1479" s="528">
        <f t="shared" ref="C1479:D1492" si="1633">C1500+C1519</f>
        <v>1822.5331274131279</v>
      </c>
      <c r="D1479" s="528">
        <f t="shared" si="1633"/>
        <v>1872</v>
      </c>
      <c r="F1479" s="1901">
        <v>259</v>
      </c>
      <c r="G1479" s="1902"/>
      <c r="H1479" s="1644">
        <f t="shared" ref="H1479:I1488" si="1634">ROUND($F1479*C1479,0)</f>
        <v>472036</v>
      </c>
      <c r="I1479" s="1644">
        <f t="shared" si="1634"/>
        <v>484848</v>
      </c>
      <c r="K1479" s="1901">
        <f>ROUND(S1479/$D1479,2)</f>
        <v>269</v>
      </c>
      <c r="L1479" s="1902"/>
      <c r="M1479" s="1901">
        <f>Q1479-K1479</f>
        <v>0</v>
      </c>
      <c r="N1479" s="1902"/>
      <c r="O1479" s="1901"/>
      <c r="P1479" s="1902"/>
      <c r="Q1479" s="1901">
        <f>ROUND(F1479*(1+$AB$1483),0)</f>
        <v>269</v>
      </c>
      <c r="R1479" s="1902"/>
      <c r="S1479" s="1643">
        <f>MIN(S1495,Y1479)</f>
        <v>503568</v>
      </c>
      <c r="T1479" s="1643"/>
      <c r="U1479" s="1643">
        <f>MIN(U1495,Y1479-S1479)</f>
        <v>0</v>
      </c>
      <c r="V1479" s="1643"/>
      <c r="W1479" s="1643">
        <f>Y1479-S1479-U1479</f>
        <v>0</v>
      </c>
      <c r="X1479" s="1643"/>
      <c r="Y1479" s="1644">
        <f>ROUND($D1479*Q1479,0)</f>
        <v>503568</v>
      </c>
      <c r="AA1479" s="1903" t="s">
        <v>1741</v>
      </c>
      <c r="AB1479" s="1904">
        <f>Y1495+Y1557+Y1917+Y2331+Y2606</f>
        <v>305411670</v>
      </c>
    </row>
    <row r="1480" spans="1:29">
      <c r="A1480" s="1900" t="s">
        <v>168</v>
      </c>
      <c r="C1480" s="528">
        <f t="shared" si="1633"/>
        <v>8204516.3288288303</v>
      </c>
      <c r="D1480" s="528">
        <f t="shared" si="1633"/>
        <v>8792631</v>
      </c>
      <c r="F1480" s="1901">
        <v>2.2200000000000002</v>
      </c>
      <c r="G1480" s="1902"/>
      <c r="H1480" s="1644">
        <f>ROUND($F1480*C1480,0)</f>
        <v>18214026</v>
      </c>
      <c r="I1480" s="1644">
        <f>ROUND($F1480*D1480,0)</f>
        <v>19519641</v>
      </c>
      <c r="K1480" s="1901">
        <f>ROUND(S1480/$D1480,2)</f>
        <v>2.2999999999999998</v>
      </c>
      <c r="L1480" s="1902"/>
      <c r="M1480" s="1901">
        <f>ROUND(U1480/$D1480,2)</f>
        <v>0</v>
      </c>
      <c r="N1480" s="1902"/>
      <c r="O1480" s="1901"/>
      <c r="P1480" s="1902"/>
      <c r="Q1480" s="1901">
        <f>ROUND(F1480*(1+$AB$1483),2)</f>
        <v>2.2999999999999998</v>
      </c>
      <c r="R1480" s="1902"/>
      <c r="S1480" s="1643">
        <f>MIN(S1495-S1479,Y1480)</f>
        <v>20223051</v>
      </c>
      <c r="T1480" s="1643"/>
      <c r="U1480" s="1643">
        <f>MIN(U1495-U1479,Y1480-S1480)</f>
        <v>0</v>
      </c>
      <c r="V1480" s="1643"/>
      <c r="W1480" s="1643">
        <f>Y1480-S1480-U1480</f>
        <v>0</v>
      </c>
      <c r="X1480" s="1643"/>
      <c r="Y1480" s="1644">
        <f t="shared" ref="Y1480:Y1482" si="1635">ROUND($D1480*Q1480,0)</f>
        <v>20223051</v>
      </c>
      <c r="AA1480" s="1905" t="s">
        <v>1742</v>
      </c>
      <c r="AB1480" s="1906">
        <f>(RateSpread!M37+RateSpread!M42*'Blocking-Step2'!I1933/('Blocking-Step2'!I1925+'Blocking-Step2'!I1933)+RateSpread!M47+RateSpread!M48)*1000</f>
        <v>305411670.1842584</v>
      </c>
    </row>
    <row r="1481" spans="1:29">
      <c r="A1481" s="1900" t="s">
        <v>1651</v>
      </c>
      <c r="C1481" s="528">
        <f t="shared" si="1633"/>
        <v>2671934.0893816734</v>
      </c>
      <c r="D1481" s="528">
        <f t="shared" si="1633"/>
        <v>2857444</v>
      </c>
      <c r="F1481" s="1944"/>
      <c r="G1481" s="597"/>
      <c r="H1481" s="1644"/>
      <c r="I1481" s="1644"/>
      <c r="K1481" s="1944">
        <f>ROUND(S1481/$D1481,2)</f>
        <v>4.8</v>
      </c>
      <c r="L1481" s="597"/>
      <c r="M1481" s="1944">
        <f>ROUND(U1481/$D1481,2)</f>
        <v>9.68</v>
      </c>
      <c r="N1481" s="597"/>
      <c r="O1481" s="1944"/>
      <c r="P1481" s="597"/>
      <c r="Q1481" s="1944">
        <f>ROUND(F1487*(1+$AB$1483),2)</f>
        <v>14.48</v>
      </c>
      <c r="R1481" s="597"/>
      <c r="S1481" s="1645">
        <f>(S1495-S1479-S1480)*Y1481/(Y1481+Y1482)</f>
        <v>13711331.037548821</v>
      </c>
      <c r="T1481" s="1645"/>
      <c r="U1481" s="1645">
        <f>MIN($U$1495-$U$1479-$U$1480,SUM($Y$1481:$Y$1482,-$S$1481,-$S$1482))*$Y1481/SUM($Y$1481:$Y$1482)</f>
        <v>27664457.962451179</v>
      </c>
      <c r="V1481" s="1645"/>
      <c r="W1481" s="1645">
        <f>Y1481-S1481-U1481</f>
        <v>0</v>
      </c>
      <c r="X1481" s="1645"/>
      <c r="Y1481" s="1644">
        <f t="shared" si="1635"/>
        <v>41375789</v>
      </c>
      <c r="AA1481" s="1969" t="s">
        <v>87</v>
      </c>
      <c r="AB1481" s="1906">
        <f>AB1480-AB1479</f>
        <v>0.18425840139389038</v>
      </c>
    </row>
    <row r="1482" spans="1:29">
      <c r="A1482" s="1900" t="s">
        <v>1652</v>
      </c>
      <c r="C1482" s="528">
        <f t="shared" si="1633"/>
        <v>5230705.6305531329</v>
      </c>
      <c r="D1482" s="528">
        <f t="shared" si="1633"/>
        <v>5600405</v>
      </c>
      <c r="F1482" s="1944"/>
      <c r="G1482" s="597"/>
      <c r="H1482" s="1644"/>
      <c r="I1482" s="1644"/>
      <c r="K1482" s="1944">
        <f>ROUND(S1482/$D1482,2)</f>
        <v>4.25</v>
      </c>
      <c r="L1482" s="597"/>
      <c r="M1482" s="1944">
        <f>ROUND(U1482/$D1482,2)</f>
        <v>8.56</v>
      </c>
      <c r="N1482" s="597"/>
      <c r="O1482" s="1944"/>
      <c r="P1482" s="597"/>
      <c r="Q1482" s="1944">
        <f>ROUND(Q1481/$AB$1489,2)</f>
        <v>12.81</v>
      </c>
      <c r="R1482" s="597"/>
      <c r="S1482" s="1645">
        <f>S1495-S1479-S1480-S1481</f>
        <v>23773979.940177698</v>
      </c>
      <c r="T1482" s="1645"/>
      <c r="U1482" s="1645">
        <f>MIN($U$1495-$U$1479-$U$1480,SUM($Y$1481:$Y$1482,-$S$1481,-$S$1482))*$Y1482/SUM($Y$1481:$Y$1482)</f>
        <v>47967208.059822306</v>
      </c>
      <c r="V1482" s="1645"/>
      <c r="W1482" s="1645">
        <f>Y1482-S1482-U1482</f>
        <v>0</v>
      </c>
      <c r="X1482" s="1645"/>
      <c r="Y1482" s="1644">
        <f t="shared" si="1635"/>
        <v>71741188</v>
      </c>
      <c r="AA1482" s="1905" t="s">
        <v>1743</v>
      </c>
      <c r="AB1482" s="1953">
        <f>AB1479/(I1495+I1557+I1933+I2331+I2606)-1</f>
        <v>3.7146730796963734E-2</v>
      </c>
    </row>
    <row r="1483" spans="1:29">
      <c r="A1483" s="1900" t="s">
        <v>1532</v>
      </c>
      <c r="C1483" s="528">
        <f t="shared" si="1633"/>
        <v>319244318.2292161</v>
      </c>
      <c r="D1483" s="528">
        <f t="shared" si="1633"/>
        <v>337257779</v>
      </c>
      <c r="F1483" s="1943"/>
      <c r="G1483" s="1921"/>
      <c r="H1483" s="1644"/>
      <c r="I1483" s="1644"/>
      <c r="K1483" s="1923"/>
      <c r="L1483" s="1921"/>
      <c r="M1483" s="1923">
        <f>ROUND((U1495-U1479-U1480-U1481-U1482)/SUM(D1483:D1486)*100,4)</f>
        <v>1.0927</v>
      </c>
      <c r="N1483" s="1921" t="s">
        <v>495</v>
      </c>
      <c r="O1483" s="1920">
        <f>Q1483-M1483</f>
        <v>4.1108761607000002</v>
      </c>
      <c r="P1483" s="1921" t="s">
        <v>495</v>
      </c>
      <c r="Q1483" s="1943">
        <f>ROUND((AB1480-SUM(Y1479:Y1482,Y1538:Y1541,Y1901:Y1904,Y2296:Y2308,Y2315:Y2317,Y2587:Y2592))/(D1483+D1542+D1905+D2318+D2593+$AB$1488*(D1485+D1544+D1907+D2320+D2595)+1/$AB$1489*(D1484+D1543+D1906+D2319+D2594+$AB$1488*(D1486+D1545+D1908+D2321+D2596)))*100,10)</f>
        <v>5.2035761607</v>
      </c>
      <c r="R1483" s="1921" t="s">
        <v>495</v>
      </c>
      <c r="S1483" s="1648"/>
      <c r="T1483" s="1648"/>
      <c r="U1483" s="1645">
        <f>MIN($U$1495-SUM($U$1479:$U$1482),SUM($Y$1483:$Y$1486))*$Y1483/SUM($Y$1483:$Y$1486)</f>
        <v>6549905.0680455025</v>
      </c>
      <c r="V1483" s="1648"/>
      <c r="W1483" s="1645">
        <f>Y1483-S1483-U1483</f>
        <v>10999559.931954497</v>
      </c>
      <c r="X1483" s="1648"/>
      <c r="Y1483" s="1644">
        <f>ROUND($D1483*Q1483/100,0)</f>
        <v>17549465</v>
      </c>
      <c r="AA1483" s="1905" t="s">
        <v>1744</v>
      </c>
      <c r="AB1483" s="1953">
        <f>AB1480/(I1495+I1557+I1933+I2331+I2606)-1</f>
        <v>3.7146731422686541E-2</v>
      </c>
      <c r="AC1483" s="1953"/>
    </row>
    <row r="1484" spans="1:29">
      <c r="A1484" s="1900" t="s">
        <v>1653</v>
      </c>
      <c r="C1484" s="528">
        <f t="shared" si="1633"/>
        <v>617810732.40477073</v>
      </c>
      <c r="D1484" s="528">
        <f t="shared" si="1633"/>
        <v>653220065</v>
      </c>
      <c r="F1484" s="1943"/>
      <c r="G1484" s="1921"/>
      <c r="H1484" s="1644"/>
      <c r="I1484" s="1644"/>
      <c r="K1484" s="1923"/>
      <c r="L1484" s="1921"/>
      <c r="M1484" s="1923">
        <f>$M$1483</f>
        <v>1.0927</v>
      </c>
      <c r="N1484" s="1921" t="s">
        <v>495</v>
      </c>
      <c r="O1484" s="1920">
        <f t="shared" ref="O1484:O1486" si="1636">Q1484-M1484</f>
        <v>3.5122346554870001</v>
      </c>
      <c r="P1484" s="1921" t="s">
        <v>495</v>
      </c>
      <c r="Q1484" s="1943">
        <f>ROUND(Q1483/$AB$1489,$AB$8)</f>
        <v>4.6049346554869999</v>
      </c>
      <c r="R1484" s="1921" t="s">
        <v>495</v>
      </c>
      <c r="S1484" s="1648"/>
      <c r="T1484" s="1648"/>
      <c r="U1484" s="1645">
        <f t="shared" ref="U1484:U1485" si="1637">MIN($U$1495-SUM($U$1479:$U$1482),SUM($Y$1483:$Y$1486))*$Y1484/SUM($Y$1483:$Y$1486)</f>
        <v>11226751.514243769</v>
      </c>
      <c r="V1484" s="1648"/>
      <c r="W1484" s="1645">
        <f t="shared" ref="W1484:W1486" si="1638">Y1484-S1484-U1484</f>
        <v>18853605.485756233</v>
      </c>
      <c r="X1484" s="1648"/>
      <c r="Y1484" s="1644">
        <f t="shared" ref="Y1484:Y1486" si="1639">ROUND($D1484*Q1484/100,0)</f>
        <v>30080357</v>
      </c>
      <c r="AA1484" s="1905" t="s">
        <v>1678</v>
      </c>
      <c r="AB1484" s="1953">
        <f>SUM(Y1479,Y1538,Y1901,Y2231,Y2253,Y2543:Y2548)/SUM(I1479,I1538,I1927,I2231,I2253,I2543:I2548)-1</f>
        <v>4.3819887923439937E-2</v>
      </c>
    </row>
    <row r="1485" spans="1:29">
      <c r="A1485" s="1900" t="s">
        <v>1533</v>
      </c>
      <c r="C1485" s="528">
        <f t="shared" si="1633"/>
        <v>1249749246.2891898</v>
      </c>
      <c r="D1485" s="528">
        <f t="shared" si="1633"/>
        <v>1318310247</v>
      </c>
      <c r="F1485" s="1943"/>
      <c r="G1485" s="1921"/>
      <c r="H1485" s="1644"/>
      <c r="I1485" s="1644"/>
      <c r="K1485" s="1923"/>
      <c r="L1485" s="1921"/>
      <c r="M1485" s="1923">
        <f t="shared" ref="M1485:M1486" si="1640">$M$1483</f>
        <v>1.0927</v>
      </c>
      <c r="N1485" s="1921" t="s">
        <v>495</v>
      </c>
      <c r="O1485" s="1920">
        <f t="shared" si="1636"/>
        <v>1.5521862361710002</v>
      </c>
      <c r="P1485" s="1921" t="s">
        <v>495</v>
      </c>
      <c r="Q1485" s="1943">
        <f>ROUND(Q1483*AB1488,$AB$8)</f>
        <v>2.6448862361710002</v>
      </c>
      <c r="R1485" s="1921" t="s">
        <v>495</v>
      </c>
      <c r="S1485" s="1648"/>
      <c r="T1485" s="1648"/>
      <c r="U1485" s="1645">
        <f t="shared" si="1637"/>
        <v>13013548.802258495</v>
      </c>
      <c r="V1485" s="1648"/>
      <c r="W1485" s="1645">
        <f t="shared" si="1638"/>
        <v>21854257.197741505</v>
      </c>
      <c r="X1485" s="1648"/>
      <c r="Y1485" s="1644">
        <f t="shared" si="1639"/>
        <v>34867806</v>
      </c>
      <c r="AA1485" s="1905" t="s">
        <v>2207</v>
      </c>
      <c r="AB1485" s="1953">
        <f>SUM(Y1480,Y1539,Y1902,Y2232,Y2254,Y2276,Y2299,Y2315,Y2550:Y2554,Y2590)/SUM(I1480,I1539,I1928,I2232,I2254,I2276,I2299,I2315,I2550:I2554,I2590)-1</f>
        <v>4.4637218703301951E-2</v>
      </c>
    </row>
    <row r="1486" spans="1:29">
      <c r="A1486" s="1900" t="s">
        <v>2177</v>
      </c>
      <c r="C1486" s="528">
        <f t="shared" si="1633"/>
        <v>2408433787.0768232</v>
      </c>
      <c r="D1486" s="528">
        <f t="shared" si="1633"/>
        <v>2538543863.3051271</v>
      </c>
      <c r="F1486" s="1943"/>
      <c r="G1486" s="1921"/>
      <c r="H1486" s="1644"/>
      <c r="I1486" s="1644"/>
      <c r="K1486" s="1923"/>
      <c r="L1486" s="1921"/>
      <c r="M1486" s="1923">
        <f t="shared" si="1640"/>
        <v>1.0927</v>
      </c>
      <c r="N1486" s="1921" t="s">
        <v>495</v>
      </c>
      <c r="O1486" s="1920">
        <f t="shared" si="1636"/>
        <v>1.247907288647</v>
      </c>
      <c r="P1486" s="1921" t="s">
        <v>495</v>
      </c>
      <c r="Q1486" s="1943">
        <f>ROUND(Q1485/$AB$1489,$AB$8)</f>
        <v>2.340607288647</v>
      </c>
      <c r="R1486" s="1921" t="s">
        <v>495</v>
      </c>
      <c r="S1486" s="1648"/>
      <c r="T1486" s="1656"/>
      <c r="U1486" s="1645">
        <f>MIN($U$1495-SUM($U$1479:$U$1482),SUM($Y$1483:$Y$1486))*$Y1486/SUM($Y$1483:$Y$1486)</f>
        <v>22176058.133139554</v>
      </c>
      <c r="V1486" s="1656"/>
      <c r="W1486" s="1645">
        <f t="shared" si="1638"/>
        <v>37241284.866860449</v>
      </c>
      <c r="X1486" s="1648"/>
      <c r="Y1486" s="1644">
        <f t="shared" si="1639"/>
        <v>59417343</v>
      </c>
      <c r="AA1486" s="1905" t="s">
        <v>2205</v>
      </c>
      <c r="AB1486" s="1953">
        <f>SUM(Y1481:Y1482,Y1540:Y1541,Y1903:Y1904,Y2235:Y2242,Y2257:Y2264,Y2279:Y2286,Y2300:Y2301,Y2316:Y2317,Y2557:Y2570,Y2591:Y2592)/SUM(I1487:I1488,I1928,I2244:I2251,I2266:I2273,I2288:I2295,I2306:I2307,I2322:I2323,I2572:I2585,I2597:I2598)-1</f>
        <v>0.19006979230830789</v>
      </c>
    </row>
    <row r="1487" spans="1:29">
      <c r="A1487" s="1900" t="s">
        <v>18</v>
      </c>
      <c r="C1487" s="528">
        <f t="shared" si="1633"/>
        <v>3292870.7134670513</v>
      </c>
      <c r="D1487" s="528">
        <f t="shared" si="1633"/>
        <v>3521492</v>
      </c>
      <c r="F1487" s="1901">
        <v>13.96</v>
      </c>
      <c r="G1487" s="1902"/>
      <c r="H1487" s="1644">
        <f t="shared" si="1634"/>
        <v>45968475</v>
      </c>
      <c r="I1487" s="1644">
        <f t="shared" si="1634"/>
        <v>49160028</v>
      </c>
      <c r="K1487" s="1901"/>
      <c r="L1487" s="1902"/>
      <c r="M1487" s="1901"/>
      <c r="N1487" s="1902"/>
      <c r="O1487" s="1901"/>
      <c r="P1487" s="1902"/>
      <c r="Q1487" s="1901"/>
      <c r="R1487" s="1902"/>
      <c r="S1487" s="1643"/>
      <c r="T1487" s="1643"/>
      <c r="U1487" s="1643"/>
      <c r="V1487" s="1643"/>
      <c r="W1487" s="1643"/>
      <c r="X1487" s="1643"/>
      <c r="Y1487" s="1644"/>
      <c r="AA1487" s="1905" t="s">
        <v>2206</v>
      </c>
      <c r="AB1487" s="1953">
        <f>SUM(Y1483:Y1486,Y1542:Y1545,Y1905:Y1908,Y2302:Y2305,Y2318:Y2321,Y2593:Y2596)/SUM(I1489:I1491,I1552:I1553,I1929:I1930,I2309:I2311,I2324:I2326,I2599:I2601)-1</f>
        <v>-0.10629537531594035</v>
      </c>
    </row>
    <row r="1488" spans="1:29">
      <c r="A1488" s="1900" t="s">
        <v>166</v>
      </c>
      <c r="C1488" s="528">
        <f t="shared" si="1633"/>
        <v>4604756.4213305144</v>
      </c>
      <c r="D1488" s="528">
        <f t="shared" si="1633"/>
        <v>4930214</v>
      </c>
      <c r="F1488" s="1901">
        <v>9.4700000000000006</v>
      </c>
      <c r="G1488" s="1902"/>
      <c r="H1488" s="1644">
        <f t="shared" si="1634"/>
        <v>43607043</v>
      </c>
      <c r="I1488" s="1644">
        <f t="shared" si="1634"/>
        <v>46689127</v>
      </c>
      <c r="K1488" s="1901"/>
      <c r="L1488" s="1902"/>
      <c r="M1488" s="1901"/>
      <c r="N1488" s="1902"/>
      <c r="O1488" s="1901"/>
      <c r="P1488" s="1902"/>
      <c r="Q1488" s="1901"/>
      <c r="R1488" s="1902"/>
      <c r="S1488" s="1643"/>
      <c r="T1488" s="1643"/>
      <c r="U1488" s="1643"/>
      <c r="V1488" s="1643"/>
      <c r="W1488" s="1643"/>
      <c r="X1488" s="1643"/>
      <c r="Y1488" s="1644"/>
      <c r="AA1488" s="1905" t="s">
        <v>1757</v>
      </c>
      <c r="AB1488" s="1953">
        <f>'Large Profile'!C20/'Large Profile'!C19</f>
        <v>0.50828241088242498</v>
      </c>
    </row>
    <row r="1489" spans="1:31">
      <c r="A1489" s="1900" t="s">
        <v>19</v>
      </c>
      <c r="C1489" s="528">
        <f t="shared" si="1633"/>
        <v>461574942</v>
      </c>
      <c r="D1489" s="528">
        <f t="shared" si="1633"/>
        <v>487619452.30512714</v>
      </c>
      <c r="F1489" s="1970">
        <v>4.6531000000000002</v>
      </c>
      <c r="G1489" s="1921" t="s">
        <v>495</v>
      </c>
      <c r="H1489" s="1644">
        <f t="shared" ref="H1489:I1491" si="1641">ROUND($F1489*C1489/100,0)</f>
        <v>21477544</v>
      </c>
      <c r="I1489" s="1644">
        <f t="shared" si="1641"/>
        <v>22689421</v>
      </c>
      <c r="K1489" s="1970"/>
      <c r="L1489" s="1921"/>
      <c r="M1489" s="1970"/>
      <c r="N1489" s="1921"/>
      <c r="O1489" s="1970"/>
      <c r="P1489" s="1921"/>
      <c r="Q1489" s="1970"/>
      <c r="R1489" s="1921"/>
      <c r="S1489" s="1648"/>
      <c r="T1489" s="1648"/>
      <c r="U1489" s="1648"/>
      <c r="V1489" s="1648"/>
      <c r="W1489" s="1648"/>
      <c r="X1489" s="1648"/>
      <c r="Y1489" s="1644"/>
      <c r="AA1489" s="1915" t="s">
        <v>2203</v>
      </c>
      <c r="AB1489" s="1971">
        <v>1.1299999999999999</v>
      </c>
    </row>
    <row r="1490" spans="1:31">
      <c r="A1490" s="1900" t="s">
        <v>257</v>
      </c>
      <c r="C1490" s="528">
        <f t="shared" si="1633"/>
        <v>1236552267</v>
      </c>
      <c r="D1490" s="528">
        <f t="shared" si="1633"/>
        <v>1307424280</v>
      </c>
      <c r="F1490" s="1970">
        <v>3.4988999999999999</v>
      </c>
      <c r="G1490" s="1921" t="s">
        <v>495</v>
      </c>
      <c r="H1490" s="1644">
        <f t="shared" si="1641"/>
        <v>43265727</v>
      </c>
      <c r="I1490" s="1644">
        <f t="shared" si="1641"/>
        <v>45745468</v>
      </c>
      <c r="K1490" s="1970"/>
      <c r="L1490" s="1921"/>
      <c r="M1490" s="1970"/>
      <c r="N1490" s="1921"/>
      <c r="O1490" s="1970"/>
      <c r="P1490" s="1921"/>
      <c r="Q1490" s="1970"/>
      <c r="R1490" s="1921"/>
      <c r="S1490" s="1648"/>
      <c r="T1490" s="1648"/>
      <c r="U1490" s="1648"/>
      <c r="V1490" s="1648"/>
      <c r="W1490" s="1648"/>
      <c r="X1490" s="1648"/>
      <c r="Y1490" s="1644"/>
      <c r="AA1490" s="1109" t="s">
        <v>1753</v>
      </c>
      <c r="AB1490" s="1946">
        <f>(Y1495)/(I1495)-1</f>
        <v>3.7819360037866012E-2</v>
      </c>
    </row>
    <row r="1491" spans="1:31">
      <c r="A1491" s="1900" t="s">
        <v>249</v>
      </c>
      <c r="C1491" s="528">
        <f t="shared" si="1633"/>
        <v>2897110875</v>
      </c>
      <c r="D1491" s="528">
        <f t="shared" si="1633"/>
        <v>3052288222</v>
      </c>
      <c r="F1491" s="1972">
        <v>2.9224999999999999</v>
      </c>
      <c r="G1491" s="1921" t="s">
        <v>495</v>
      </c>
      <c r="H1491" s="1644">
        <f t="shared" si="1641"/>
        <v>84668065</v>
      </c>
      <c r="I1491" s="1644">
        <f t="shared" si="1641"/>
        <v>89203123</v>
      </c>
      <c r="K1491" s="1972"/>
      <c r="L1491" s="1921"/>
      <c r="M1491" s="1972"/>
      <c r="N1491" s="1921"/>
      <c r="O1491" s="1972"/>
      <c r="P1491" s="1921"/>
      <c r="Q1491" s="1972"/>
      <c r="R1491" s="1921"/>
      <c r="S1491" s="1648"/>
      <c r="T1491" s="1648"/>
      <c r="U1491" s="1648"/>
      <c r="V1491" s="1648"/>
      <c r="W1491" s="1648"/>
      <c r="X1491" s="1648"/>
      <c r="Y1491" s="1644"/>
      <c r="AA1491" s="1109" t="s">
        <v>1938</v>
      </c>
      <c r="AB1491" s="1917">
        <f>(RateSpread!W37+RateSpread!W42*'Blocking-Step2'!Y1917/('Blocking-Step2'!Y1917+'Blocking-Step2'!Y1899)+RateSpread!W47+RateSpread!W48)*1000</f>
        <v>-6900708.5731650898</v>
      </c>
      <c r="AC1491" s="1918">
        <f>ROUND((AB1491)/SUM(Y1481:Y1486,Y1540:Y1545,Y1903:Y1908,Y2301:Y2305,Y2316:Y2321,Y2591:Y2596),4)</f>
        <v>-2.5700000000000001E-2</v>
      </c>
    </row>
    <row r="1492" spans="1:31">
      <c r="A1492" s="1900" t="s">
        <v>246</v>
      </c>
      <c r="C1492" s="529">
        <f t="shared" si="1633"/>
        <v>-53797825</v>
      </c>
      <c r="D1492" s="529">
        <f t="shared" si="1633"/>
        <v>0</v>
      </c>
      <c r="H1492" s="1030">
        <f>H1513+H1532</f>
        <v>-2671415</v>
      </c>
      <c r="I1492" s="1030">
        <f>I1513+I1532</f>
        <v>0</v>
      </c>
      <c r="Y1492" s="1030">
        <f>Y1513+Y1532</f>
        <v>0</v>
      </c>
      <c r="AA1492" s="1109" t="s">
        <v>1939</v>
      </c>
      <c r="AB1492" s="1917">
        <f>(RateSpread!X37+RateSpread!X42*'Blocking-Step2'!Y1917/('Blocking-Step2'!Y1917+'Blocking-Step2'!Y1899)+RateSpread!X47+RateSpread!X48)*1000</f>
        <v>-3745863.8893342684</v>
      </c>
      <c r="AC1492" s="1918">
        <f>ROUND((AB1492)/SUM(Y1481:Y1486,Y1540:Y1545,Y1903:Y1908,Y2301:Y2305,Y2316:Y2321,Y2591:Y2596),4)</f>
        <v>-1.3899999999999999E-2</v>
      </c>
    </row>
    <row r="1493" spans="1:31">
      <c r="A1493" s="1900" t="s">
        <v>1240</v>
      </c>
      <c r="C1493" s="584"/>
      <c r="D1493" s="584"/>
      <c r="F1493" s="1930">
        <v>-3.0700000000000002E-2</v>
      </c>
      <c r="G1493" s="597"/>
      <c r="H1493" s="1644">
        <f>SUM(H1487:H1491)*$F1493</f>
        <v>-7336896.4177999999</v>
      </c>
      <c r="I1493" s="1644">
        <f>SUM(I1487:I1491)*$F1493</f>
        <v>-7782056.0268999999</v>
      </c>
      <c r="K1493" s="1930"/>
      <c r="L1493" s="597"/>
      <c r="M1493" s="1930"/>
      <c r="N1493" s="597"/>
      <c r="O1493" s="1931" t="str">
        <f>$O$43</f>
        <v>Tax Year 1 (7/1/2021)</v>
      </c>
      <c r="P1493" s="597"/>
      <c r="Q1493" s="1930">
        <f>$AC$1491</f>
        <v>-2.5700000000000001E-2</v>
      </c>
      <c r="R1493" s="597"/>
      <c r="S1493" s="1645"/>
      <c r="T1493" s="1645"/>
      <c r="U1493" s="1645"/>
      <c r="V1493" s="1645"/>
      <c r="W1493" s="1645"/>
      <c r="X1493" s="1645"/>
      <c r="Y1493" s="1644">
        <f>Q1493*SUM(Y1481:Y1486)</f>
        <v>-6554321.0636</v>
      </c>
      <c r="AA1493" s="1932" t="s">
        <v>1940</v>
      </c>
      <c r="AB1493" s="1932"/>
      <c r="AC1493" s="1932"/>
      <c r="AD1493" s="1932"/>
    </row>
    <row r="1494" spans="1:31">
      <c r="A1494" s="1900"/>
      <c r="C1494" s="584"/>
      <c r="D1494" s="584"/>
      <c r="F1494" s="1930"/>
      <c r="G1494" s="597"/>
      <c r="H1494" s="1644"/>
      <c r="I1494" s="1644"/>
      <c r="K1494" s="1930"/>
      <c r="L1494" s="597"/>
      <c r="M1494" s="1930"/>
      <c r="N1494" s="597"/>
      <c r="O1494" s="1931" t="str">
        <f>$O$44</f>
        <v>Tax Year 2 (1/1/2022)</v>
      </c>
      <c r="P1494" s="597"/>
      <c r="Q1494" s="1930">
        <f>$AC$1492</f>
        <v>-1.3899999999999999E-2</v>
      </c>
      <c r="R1494" s="597"/>
      <c r="S1494" s="1645"/>
      <c r="T1494" s="1645"/>
      <c r="U1494" s="1645"/>
      <c r="V1494" s="1645"/>
      <c r="W1494" s="1645"/>
      <c r="X1494" s="1645"/>
      <c r="Y1494" s="1644">
        <f>Q1494*SUM(Y1481:Y1486)</f>
        <v>-3544944.0771999997</v>
      </c>
      <c r="AA1494" s="1933" t="s">
        <v>1660</v>
      </c>
      <c r="AB1494" s="1933" t="s">
        <v>1661</v>
      </c>
      <c r="AC1494" s="1933" t="s">
        <v>1662</v>
      </c>
      <c r="AD1494" s="1933" t="s">
        <v>93</v>
      </c>
    </row>
    <row r="1495" spans="1:31" ht="16.5" thickBot="1">
      <c r="A1495" s="1900" t="s">
        <v>247</v>
      </c>
      <c r="C1495" s="1949">
        <f>SUM(C1489:C1492)</f>
        <v>4541440259</v>
      </c>
      <c r="D1495" s="1949">
        <f>SUM(D1489:D1492)</f>
        <v>4847331954.3051271</v>
      </c>
      <c r="F1495" s="1939"/>
      <c r="H1495" s="1647">
        <f>SUM(H1479:H1493)</f>
        <v>247664604.58219999</v>
      </c>
      <c r="I1495" s="1647">
        <f>SUM(I1479:I1493)</f>
        <v>265709599.97310001</v>
      </c>
      <c r="K1495" s="1939"/>
      <c r="M1495" s="1939"/>
      <c r="O1495" s="1939"/>
      <c r="Q1495" s="1939"/>
      <c r="S1495" s="1646">
        <f>$Y1495*AA1495/$AD1495*$W$2683</f>
        <v>58211929.977726519</v>
      </c>
      <c r="T1495" s="1646"/>
      <c r="U1495" s="1646">
        <f>$Y1495*AB1495/$AD1495*$W$2683</f>
        <v>128597929.5399608</v>
      </c>
      <c r="V1495" s="1646"/>
      <c r="W1495" s="1646">
        <f>Y1495-S1495-U1495</f>
        <v>88948707.482312679</v>
      </c>
      <c r="Y1495" s="1647">
        <f>SUM(Y1479:Y1492)</f>
        <v>275758567</v>
      </c>
      <c r="AA1495" s="1937">
        <f>'Unit Cost Target'!$H$87+'Unit Cost Target'!$H$123+'Unit Cost Target'!$H$129+'Unit Cost Target'!$H$75+'Unit Cost Target'!$H$81</f>
        <v>59241729.768442243</v>
      </c>
      <c r="AB1495" s="1937">
        <f>'Unit Cost Target'!$H$45+'Unit Cost Target'!$H$51</f>
        <v>130872894.84307647</v>
      </c>
      <c r="AC1495" s="1937">
        <f>'Unit Cost Target'!$H$33+'Unit Cost Target'!$H$39+'Unit Cost Target'!$H$63+'Unit Cost Target'!$H$69</f>
        <v>97407843.091679543</v>
      </c>
      <c r="AD1495" s="1937">
        <f>SUM(AA1495:AC1495)</f>
        <v>287522467.70319825</v>
      </c>
      <c r="AE1495" s="1937">
        <f>AD1495-'Unit Cost Target'!$H$21</f>
        <v>0</v>
      </c>
    </row>
    <row r="1496" spans="1:31" ht="16.5" hidden="1" thickTop="1">
      <c r="C1496" s="528"/>
      <c r="D1496" s="528"/>
      <c r="M1496" s="1964" t="s">
        <v>2309</v>
      </c>
      <c r="O1496" s="1869">
        <f>ROUND(SUM(W1483,W1485)/SUM(D1483,D1485)*100,4)</f>
        <v>1.9843999999999999</v>
      </c>
      <c r="P1496" s="1921" t="s">
        <v>495</v>
      </c>
      <c r="AA1496" s="1937">
        <f>S1495-SUM(S1479:S1494)</f>
        <v>0</v>
      </c>
      <c r="AB1496" s="1937">
        <f>U1495-SUM(U1479:U1494)</f>
        <v>0</v>
      </c>
      <c r="AC1496" s="1937">
        <f>W1495-SUM(W1479:W1494)</f>
        <v>0</v>
      </c>
      <c r="AD1496" s="1937">
        <f>SUM(AA1496:AC1496)</f>
        <v>0</v>
      </c>
      <c r="AE1496" s="1937"/>
    </row>
    <row r="1497" spans="1:31" hidden="1">
      <c r="C1497" s="528"/>
      <c r="D1497" s="528"/>
      <c r="M1497" s="1964" t="s">
        <v>2309</v>
      </c>
      <c r="O1497" s="1869">
        <f>ROUND(SUM(W1484,W1486)/SUM(D1484,D1486)*100,4)</f>
        <v>1.7575000000000001</v>
      </c>
      <c r="P1497" s="1921" t="s">
        <v>495</v>
      </c>
      <c r="AA1497" s="1937"/>
      <c r="AB1497" s="1937"/>
      <c r="AC1497" s="1937"/>
      <c r="AD1497" s="1937"/>
      <c r="AE1497" s="1937"/>
    </row>
    <row r="1498" spans="1:31" hidden="1">
      <c r="C1498" s="528"/>
      <c r="D1498" s="528"/>
      <c r="AA1498" s="1937"/>
      <c r="AB1498" s="1937"/>
      <c r="AC1498" s="1937"/>
      <c r="AD1498" s="1937"/>
      <c r="AE1498" s="1937"/>
    </row>
    <row r="1499" spans="1:31" hidden="1">
      <c r="A1499" s="1897" t="s">
        <v>561</v>
      </c>
      <c r="C1499" s="528"/>
      <c r="D1499" s="528"/>
    </row>
    <row r="1500" spans="1:31" hidden="1">
      <c r="A1500" s="1900" t="s">
        <v>240</v>
      </c>
      <c r="C1500" s="528">
        <f>'9'!G8</f>
        <v>469.39992277992297</v>
      </c>
      <c r="D1500" s="528">
        <f>Bill!P36</f>
        <v>492</v>
      </c>
      <c r="F1500" s="1944">
        <v>259</v>
      </c>
      <c r="G1500" s="597"/>
      <c r="H1500" s="1644">
        <f t="shared" ref="H1500:I1509" si="1642">ROUND($F1500*C1500,0)</f>
        <v>121575</v>
      </c>
      <c r="I1500" s="1644">
        <f t="shared" si="1642"/>
        <v>127428</v>
      </c>
      <c r="K1500" s="1944">
        <f>K1479</f>
        <v>269</v>
      </c>
      <c r="L1500" s="597"/>
      <c r="M1500" s="1944">
        <f>M1479</f>
        <v>0</v>
      </c>
      <c r="N1500" s="597"/>
      <c r="O1500" s="1944">
        <f>O1479</f>
        <v>0</v>
      </c>
      <c r="P1500" s="597"/>
      <c r="Q1500" s="1944">
        <f t="shared" ref="Q1500:Q1507" si="1643">Q1479</f>
        <v>269</v>
      </c>
      <c r="R1500" s="597"/>
      <c r="S1500" s="1644">
        <f t="shared" ref="S1500:S1503" si="1644">ROUND($D1500*K1500,0)</f>
        <v>132348</v>
      </c>
      <c r="T1500" s="1645"/>
      <c r="U1500" s="1644">
        <f t="shared" ref="U1500:U1503" si="1645">ROUND($D1500*M1500,0)</f>
        <v>0</v>
      </c>
      <c r="V1500" s="1645"/>
      <c r="W1500" s="1644">
        <f t="shared" ref="W1500:W1503" si="1646">ROUND($D1500*O1500,0)</f>
        <v>0</v>
      </c>
      <c r="X1500" s="1645"/>
      <c r="Y1500" s="1644">
        <f>ROUND($D1500*Q1500,0)</f>
        <v>132348</v>
      </c>
      <c r="Z1500" s="1878" t="s">
        <v>251</v>
      </c>
    </row>
    <row r="1501" spans="1:31" hidden="1">
      <c r="A1501" s="1900" t="s">
        <v>168</v>
      </c>
      <c r="C1501" s="528">
        <f>'9'!H8</f>
        <v>1842774.7972973001</v>
      </c>
      <c r="D1501" s="528">
        <f>ROUND(C1501/C1516*D1516,0)</f>
        <v>2502776</v>
      </c>
      <c r="F1501" s="1944">
        <v>2.2200000000000002</v>
      </c>
      <c r="G1501" s="597"/>
      <c r="H1501" s="1644">
        <f>ROUND($F1501*C1501,0)</f>
        <v>4090960</v>
      </c>
      <c r="I1501" s="1644">
        <f>ROUND($F1501*D1501,0)</f>
        <v>5556163</v>
      </c>
      <c r="K1501" s="1944">
        <f t="shared" ref="K1501" si="1647">K1480</f>
        <v>2.2999999999999998</v>
      </c>
      <c r="L1501" s="597"/>
      <c r="M1501" s="1944">
        <f t="shared" ref="M1501" si="1648">M1480</f>
        <v>0</v>
      </c>
      <c r="N1501" s="597"/>
      <c r="O1501" s="1944">
        <f t="shared" ref="O1501" si="1649">O1480</f>
        <v>0</v>
      </c>
      <c r="P1501" s="597"/>
      <c r="Q1501" s="1944">
        <f t="shared" si="1643"/>
        <v>2.2999999999999998</v>
      </c>
      <c r="R1501" s="597"/>
      <c r="S1501" s="1644">
        <f t="shared" si="1644"/>
        <v>5756385</v>
      </c>
      <c r="T1501" s="1645"/>
      <c r="U1501" s="1644">
        <f t="shared" si="1645"/>
        <v>0</v>
      </c>
      <c r="V1501" s="1645"/>
      <c r="W1501" s="1644">
        <f t="shared" si="1646"/>
        <v>0</v>
      </c>
      <c r="X1501" s="1645"/>
      <c r="Y1501" s="1644">
        <f t="shared" ref="Y1501:Y1503" si="1650">ROUND($D1501*Q1501,0)</f>
        <v>5756385</v>
      </c>
    </row>
    <row r="1502" spans="1:31" hidden="1">
      <c r="A1502" s="1900" t="s">
        <v>1651</v>
      </c>
      <c r="C1502" s="528">
        <f>C1508*Z1502</f>
        <v>583838.49794073892</v>
      </c>
      <c r="D1502" s="528">
        <f>ROUND(C1502/C1516*D1516,0)</f>
        <v>792944</v>
      </c>
      <c r="F1502" s="1944"/>
      <c r="G1502" s="597"/>
      <c r="H1502" s="1644"/>
      <c r="I1502" s="1644"/>
      <c r="K1502" s="1944">
        <f t="shared" ref="K1502" si="1651">K1481</f>
        <v>4.8</v>
      </c>
      <c r="L1502" s="597"/>
      <c r="M1502" s="1944">
        <f t="shared" ref="M1502" si="1652">M1481</f>
        <v>9.68</v>
      </c>
      <c r="N1502" s="597"/>
      <c r="O1502" s="1944">
        <f t="shared" ref="O1502" si="1653">O1481</f>
        <v>0</v>
      </c>
      <c r="P1502" s="597"/>
      <c r="Q1502" s="1944">
        <f t="shared" si="1643"/>
        <v>14.48</v>
      </c>
      <c r="R1502" s="597"/>
      <c r="S1502" s="1644">
        <f t="shared" si="1644"/>
        <v>3806131</v>
      </c>
      <c r="T1502" s="1644"/>
      <c r="U1502" s="1644">
        <f t="shared" si="1645"/>
        <v>7675698</v>
      </c>
      <c r="V1502" s="1644"/>
      <c r="W1502" s="1644">
        <f t="shared" si="1646"/>
        <v>0</v>
      </c>
      <c r="X1502" s="1645"/>
      <c r="Y1502" s="1644">
        <f t="shared" si="1650"/>
        <v>11481829</v>
      </c>
      <c r="Z1502" s="1878">
        <f>'Large Profile'!L10</f>
        <v>0.81143000192935111</v>
      </c>
    </row>
    <row r="1503" spans="1:31" hidden="1">
      <c r="A1503" s="1900" t="s">
        <v>1652</v>
      </c>
      <c r="C1503" s="528">
        <f>C1509*Z1503</f>
        <v>1160640.393116374</v>
      </c>
      <c r="D1503" s="528">
        <f>ROUND(C1503/C1516*D1516,0)</f>
        <v>1576331</v>
      </c>
      <c r="F1503" s="1944"/>
      <c r="G1503" s="597"/>
      <c r="H1503" s="1644"/>
      <c r="I1503" s="1644"/>
      <c r="K1503" s="1944">
        <f t="shared" ref="K1503" si="1654">K1482</f>
        <v>4.25</v>
      </c>
      <c r="L1503" s="597"/>
      <c r="M1503" s="1944">
        <f t="shared" ref="M1503" si="1655">M1482</f>
        <v>8.56</v>
      </c>
      <c r="N1503" s="597"/>
      <c r="O1503" s="1944">
        <f t="shared" ref="O1503" si="1656">O1482</f>
        <v>0</v>
      </c>
      <c r="P1503" s="597"/>
      <c r="Q1503" s="1944">
        <f t="shared" si="1643"/>
        <v>12.81</v>
      </c>
      <c r="R1503" s="597"/>
      <c r="S1503" s="1644">
        <f t="shared" si="1644"/>
        <v>6699407</v>
      </c>
      <c r="T1503" s="1644"/>
      <c r="U1503" s="1644">
        <f t="shared" si="1645"/>
        <v>13493393</v>
      </c>
      <c r="V1503" s="1644"/>
      <c r="W1503" s="1644">
        <f t="shared" si="1646"/>
        <v>0</v>
      </c>
      <c r="X1503" s="1645"/>
      <c r="Y1503" s="1644">
        <f t="shared" si="1650"/>
        <v>20192800</v>
      </c>
      <c r="Z1503" s="1878">
        <f>'Large Profile'!P10</f>
        <v>1.1359353572586484</v>
      </c>
    </row>
    <row r="1504" spans="1:31" hidden="1">
      <c r="A1504" s="1900" t="s">
        <v>1532</v>
      </c>
      <c r="C1504" s="528">
        <f>C1510*Z1504</f>
        <v>68088242.39647606</v>
      </c>
      <c r="D1504" s="528">
        <f>ROUND(C1504/($C$1516-$C$1513)*$D$1516,0)</f>
        <v>92965066</v>
      </c>
      <c r="F1504" s="1943"/>
      <c r="G1504" s="1921"/>
      <c r="H1504" s="1644"/>
      <c r="I1504" s="1644"/>
      <c r="K1504" s="1943">
        <f t="shared" ref="K1504" si="1657">K1483</f>
        <v>0</v>
      </c>
      <c r="L1504" s="1921" t="s">
        <v>495</v>
      </c>
      <c r="M1504" s="1943">
        <f t="shared" ref="M1504" si="1658">M1483</f>
        <v>1.0927</v>
      </c>
      <c r="N1504" s="1921" t="s">
        <v>495</v>
      </c>
      <c r="O1504" s="1943">
        <f t="shared" ref="O1504" si="1659">O1483</f>
        <v>4.1108761607000002</v>
      </c>
      <c r="P1504" s="1921" t="s">
        <v>495</v>
      </c>
      <c r="Q1504" s="1943">
        <f t="shared" si="1643"/>
        <v>5.2035761607</v>
      </c>
      <c r="R1504" s="1921" t="s">
        <v>495</v>
      </c>
      <c r="S1504" s="1644">
        <f>ROUND($D1504*K1504/100,0)</f>
        <v>0</v>
      </c>
      <c r="T1504" s="1644"/>
      <c r="U1504" s="1644">
        <f>ROUND($D1504*M1504/100,0)</f>
        <v>1015829</v>
      </c>
      <c r="V1504" s="1644"/>
      <c r="W1504" s="1644">
        <f>ROUND($D1504*O1504/100,0)</f>
        <v>3821679</v>
      </c>
      <c r="X1504" s="1648"/>
      <c r="Y1504" s="1644">
        <f>ROUND($D1504*Q1504/100,0)</f>
        <v>4837508</v>
      </c>
      <c r="Z1504" s="1878">
        <f>'Large Profile'!M10</f>
        <v>0.69164135480564293</v>
      </c>
    </row>
    <row r="1505" spans="1:28" hidden="1">
      <c r="A1505" s="1900" t="s">
        <v>1653</v>
      </c>
      <c r="C1505" s="528">
        <f>C1511*Z1505</f>
        <v>133164797.03791294</v>
      </c>
      <c r="D1505" s="528">
        <f>ROUND(C1505/($C$1516-$C$1513)*$D$1516,0)</f>
        <v>181818090</v>
      </c>
      <c r="F1505" s="1943"/>
      <c r="G1505" s="1921"/>
      <c r="H1505" s="1644"/>
      <c r="I1505" s="1644"/>
      <c r="K1505" s="1943">
        <f t="shared" ref="K1505" si="1660">K1484</f>
        <v>0</v>
      </c>
      <c r="L1505" s="1921" t="s">
        <v>495</v>
      </c>
      <c r="M1505" s="1943">
        <f t="shared" ref="M1505" si="1661">M1484</f>
        <v>1.0927</v>
      </c>
      <c r="N1505" s="1921" t="s">
        <v>495</v>
      </c>
      <c r="O1505" s="1943">
        <f t="shared" ref="O1505" si="1662">O1484</f>
        <v>3.5122346554870001</v>
      </c>
      <c r="P1505" s="1921" t="s">
        <v>495</v>
      </c>
      <c r="Q1505" s="1943">
        <f t="shared" si="1643"/>
        <v>4.6049346554869999</v>
      </c>
      <c r="R1505" s="1921" t="s">
        <v>495</v>
      </c>
      <c r="S1505" s="1644">
        <f t="shared" ref="S1505:S1507" si="1663">ROUND($D1505*K1505/100,0)</f>
        <v>0</v>
      </c>
      <c r="T1505" s="1644"/>
      <c r="U1505" s="1644">
        <f t="shared" ref="U1505:U1507" si="1664">ROUND($D1505*M1505/100,0)</f>
        <v>1986726</v>
      </c>
      <c r="V1505" s="1644"/>
      <c r="W1505" s="1644">
        <f t="shared" ref="W1505:W1507" si="1665">ROUND($D1505*O1505/100,0)</f>
        <v>6385878</v>
      </c>
      <c r="X1505" s="1648"/>
      <c r="Y1505" s="1644">
        <f t="shared" ref="Y1505:Y1507" si="1666">ROUND($D1505*Q1505/100,0)</f>
        <v>8372604</v>
      </c>
      <c r="Z1505" s="1878">
        <f>'Large Profile'!Q10</f>
        <v>0.49962363006591026</v>
      </c>
    </row>
    <row r="1506" spans="1:28" hidden="1">
      <c r="A1506" s="1900" t="s">
        <v>1533</v>
      </c>
      <c r="C1506" s="528">
        <f>SUM(C1510:C1512)*Z1506</f>
        <v>261563495.32008475</v>
      </c>
      <c r="D1506" s="528">
        <f>ROUND(C1506/($C$1516-$C$1513)*$D$1516,0)</f>
        <v>357128731</v>
      </c>
      <c r="F1506" s="1943"/>
      <c r="G1506" s="1921"/>
      <c r="H1506" s="1644"/>
      <c r="I1506" s="1644"/>
      <c r="K1506" s="1943">
        <f t="shared" ref="K1506" si="1667">K1485</f>
        <v>0</v>
      </c>
      <c r="L1506" s="1921" t="s">
        <v>495</v>
      </c>
      <c r="M1506" s="1943">
        <f t="shared" ref="M1506" si="1668">M1485</f>
        <v>1.0927</v>
      </c>
      <c r="N1506" s="1921" t="s">
        <v>495</v>
      </c>
      <c r="O1506" s="1943">
        <f t="shared" ref="O1506" si="1669">O1485</f>
        <v>1.5521862361710002</v>
      </c>
      <c r="P1506" s="1921" t="s">
        <v>495</v>
      </c>
      <c r="Q1506" s="1943">
        <f t="shared" si="1643"/>
        <v>2.6448862361710002</v>
      </c>
      <c r="R1506" s="1921" t="s">
        <v>495</v>
      </c>
      <c r="S1506" s="1644">
        <f t="shared" si="1663"/>
        <v>0</v>
      </c>
      <c r="T1506" s="1644"/>
      <c r="U1506" s="1644">
        <f t="shared" si="1664"/>
        <v>3902346</v>
      </c>
      <c r="V1506" s="1644"/>
      <c r="W1506" s="1644">
        <f t="shared" si="1665"/>
        <v>5543303</v>
      </c>
      <c r="X1506" s="1648"/>
      <c r="Y1506" s="1644">
        <f t="shared" si="1666"/>
        <v>9445649</v>
      </c>
      <c r="Z1506" s="1878">
        <f>'Large Profile'!O7/'Large Profile'!C7</f>
        <v>0.27196615788867357</v>
      </c>
    </row>
    <row r="1507" spans="1:28" hidden="1">
      <c r="A1507" s="1900" t="s">
        <v>2177</v>
      </c>
      <c r="C1507" s="528">
        <f>SUM(C1510:C1512)-SUM(C1504:C1506)</f>
        <v>498933623.24552625</v>
      </c>
      <c r="D1507" s="528">
        <f>D1516-SUM(D1504:D1506)</f>
        <v>681224769.90915966</v>
      </c>
      <c r="F1507" s="1943"/>
      <c r="G1507" s="1921"/>
      <c r="H1507" s="1644"/>
      <c r="I1507" s="1644"/>
      <c r="K1507" s="1943">
        <f t="shared" ref="K1507" si="1670">K1486</f>
        <v>0</v>
      </c>
      <c r="L1507" s="1921" t="s">
        <v>495</v>
      </c>
      <c r="M1507" s="1943">
        <f t="shared" ref="M1507" si="1671">M1486</f>
        <v>1.0927</v>
      </c>
      <c r="N1507" s="1921" t="s">
        <v>495</v>
      </c>
      <c r="O1507" s="1943">
        <f t="shared" ref="O1507" si="1672">O1486</f>
        <v>1.247907288647</v>
      </c>
      <c r="P1507" s="1921" t="s">
        <v>495</v>
      </c>
      <c r="Q1507" s="1943">
        <f t="shared" si="1643"/>
        <v>2.340607288647</v>
      </c>
      <c r="R1507" s="1921" t="s">
        <v>495</v>
      </c>
      <c r="S1507" s="1644">
        <f t="shared" si="1663"/>
        <v>0</v>
      </c>
      <c r="T1507" s="1644"/>
      <c r="U1507" s="1644">
        <f t="shared" si="1664"/>
        <v>7443743</v>
      </c>
      <c r="V1507" s="1644"/>
      <c r="W1507" s="1644">
        <f t="shared" si="1665"/>
        <v>8501054</v>
      </c>
      <c r="X1507" s="1648"/>
      <c r="Y1507" s="1644">
        <f t="shared" si="1666"/>
        <v>15944797</v>
      </c>
    </row>
    <row r="1508" spans="1:28" hidden="1">
      <c r="A1508" s="1900" t="s">
        <v>18</v>
      </c>
      <c r="C1508" s="528">
        <f>'9'!J8</f>
        <v>719518.00716332404</v>
      </c>
      <c r="D1508" s="528">
        <f>ROUND(C1508/C1516*D1516,0)</f>
        <v>977218</v>
      </c>
      <c r="F1508" s="1944">
        <v>13.96</v>
      </c>
      <c r="G1508" s="597"/>
      <c r="H1508" s="1644">
        <f t="shared" si="1642"/>
        <v>10044471</v>
      </c>
      <c r="I1508" s="1644">
        <f t="shared" si="1642"/>
        <v>13641963</v>
      </c>
      <c r="K1508" s="1944"/>
      <c r="L1508" s="597"/>
      <c r="M1508" s="1944"/>
      <c r="N1508" s="597"/>
      <c r="O1508" s="1944"/>
      <c r="P1508" s="597"/>
      <c r="Q1508" s="1944"/>
      <c r="R1508" s="597"/>
      <c r="S1508" s="1645"/>
      <c r="T1508" s="1645"/>
      <c r="U1508" s="1645"/>
      <c r="V1508" s="1645"/>
      <c r="W1508" s="1645"/>
      <c r="X1508" s="1645"/>
      <c r="Y1508" s="1644"/>
    </row>
    <row r="1509" spans="1:28" hidden="1">
      <c r="A1509" s="1900" t="s">
        <v>166</v>
      </c>
      <c r="C1509" s="528">
        <f>'9'!K8</f>
        <v>1021748.628299894</v>
      </c>
      <c r="D1509" s="528">
        <f>ROUND(C1509/C1516*D1516,0)</f>
        <v>1387694</v>
      </c>
      <c r="F1509" s="1944">
        <v>9.4700000000000006</v>
      </c>
      <c r="G1509" s="597"/>
      <c r="H1509" s="1644">
        <f t="shared" si="1642"/>
        <v>9675960</v>
      </c>
      <c r="I1509" s="1644">
        <f t="shared" si="1642"/>
        <v>13141462</v>
      </c>
      <c r="K1509" s="1944"/>
      <c r="L1509" s="597"/>
      <c r="M1509" s="1944"/>
      <c r="N1509" s="597"/>
      <c r="O1509" s="1944"/>
      <c r="P1509" s="597"/>
      <c r="Q1509" s="1944"/>
      <c r="R1509" s="597"/>
      <c r="S1509" s="1645"/>
      <c r="T1509" s="1645"/>
      <c r="U1509" s="1645"/>
      <c r="V1509" s="1645"/>
      <c r="W1509" s="1645"/>
      <c r="X1509" s="1645"/>
      <c r="Y1509" s="1644"/>
    </row>
    <row r="1510" spans="1:28" hidden="1">
      <c r="A1510" s="1900" t="s">
        <v>19</v>
      </c>
      <c r="C1510" s="528">
        <f>'9'!M8</f>
        <v>98444435</v>
      </c>
      <c r="D1510" s="528">
        <f>D1516-SUM(D1511:D1513)</f>
        <v>134412242.90915966</v>
      </c>
      <c r="F1510" s="1942">
        <v>4.6531000000000002</v>
      </c>
      <c r="G1510" s="1921" t="s">
        <v>495</v>
      </c>
      <c r="H1510" s="1644">
        <f t="shared" ref="H1510:I1512" si="1673">ROUND($F1510*C1510/100,0)</f>
        <v>4580718</v>
      </c>
      <c r="I1510" s="1644">
        <f t="shared" si="1673"/>
        <v>6254336</v>
      </c>
      <c r="K1510" s="1942"/>
      <c r="L1510" s="1921"/>
      <c r="M1510" s="1942"/>
      <c r="N1510" s="1921"/>
      <c r="O1510" s="1942"/>
      <c r="P1510" s="1921"/>
      <c r="Q1510" s="1942"/>
      <c r="R1510" s="1921"/>
      <c r="S1510" s="1648"/>
      <c r="T1510" s="1648"/>
      <c r="U1510" s="1648"/>
      <c r="V1510" s="1648"/>
      <c r="W1510" s="1648"/>
      <c r="X1510" s="1648"/>
      <c r="Y1510" s="1644"/>
    </row>
    <row r="1511" spans="1:28" hidden="1">
      <c r="A1511" s="1900" t="s">
        <v>257</v>
      </c>
      <c r="C1511" s="528">
        <f>'9'!N8</f>
        <v>266530222</v>
      </c>
      <c r="D1511" s="528">
        <f>ROUND(C1511/(C1516-C1513)*D1516,0)</f>
        <v>363910109</v>
      </c>
      <c r="F1511" s="1942">
        <v>3.4988999999999999</v>
      </c>
      <c r="G1511" s="1921" t="s">
        <v>495</v>
      </c>
      <c r="H1511" s="1644">
        <f t="shared" si="1673"/>
        <v>9325626</v>
      </c>
      <c r="I1511" s="1644">
        <f t="shared" si="1673"/>
        <v>12732851</v>
      </c>
      <c r="K1511" s="1942"/>
      <c r="L1511" s="1921"/>
      <c r="M1511" s="1942"/>
      <c r="N1511" s="1921"/>
      <c r="O1511" s="1942"/>
      <c r="P1511" s="1921"/>
      <c r="Q1511" s="1942"/>
      <c r="R1511" s="1921"/>
      <c r="S1511" s="1648"/>
      <c r="T1511" s="1648"/>
      <c r="U1511" s="1648"/>
      <c r="V1511" s="1648"/>
      <c r="W1511" s="1648"/>
      <c r="X1511" s="1648"/>
      <c r="Y1511" s="1644"/>
    </row>
    <row r="1512" spans="1:28" hidden="1">
      <c r="A1512" s="1900" t="s">
        <v>249</v>
      </c>
      <c r="C1512" s="528">
        <f>'9'!O8</f>
        <v>596775501</v>
      </c>
      <c r="D1512" s="528">
        <f>ROUND(C1512/(C1516-C1513)*D1516,0)</f>
        <v>814814305</v>
      </c>
      <c r="F1512" s="1942">
        <v>2.9224999999999999</v>
      </c>
      <c r="G1512" s="1921" t="s">
        <v>495</v>
      </c>
      <c r="H1512" s="1644">
        <f t="shared" si="1673"/>
        <v>17440764</v>
      </c>
      <c r="I1512" s="1644">
        <f t="shared" si="1673"/>
        <v>23812948</v>
      </c>
      <c r="K1512" s="1942"/>
      <c r="L1512" s="1921"/>
      <c r="M1512" s="1942"/>
      <c r="N1512" s="1921"/>
      <c r="O1512" s="1942"/>
      <c r="P1512" s="1921"/>
      <c r="Q1512" s="1942"/>
      <c r="R1512" s="1921"/>
      <c r="S1512" s="1648"/>
      <c r="T1512" s="1648"/>
      <c r="U1512" s="1648"/>
      <c r="V1512" s="1648"/>
      <c r="W1512" s="1648"/>
      <c r="X1512" s="1648"/>
      <c r="Y1512" s="1644"/>
    </row>
    <row r="1513" spans="1:28" hidden="1">
      <c r="A1513" s="1900" t="s">
        <v>246</v>
      </c>
      <c r="C1513" s="529">
        <f>'Table 2'!J56</f>
        <v>5102355</v>
      </c>
      <c r="D1513" s="529">
        <v>0</v>
      </c>
      <c r="H1513" s="1030">
        <f>'Table 3'!F56</f>
        <v>317097</v>
      </c>
      <c r="I1513" s="1030">
        <v>0</v>
      </c>
      <c r="Y1513" s="1030">
        <f>Y1532+Y1551</f>
        <v>0</v>
      </c>
    </row>
    <row r="1514" spans="1:28" hidden="1">
      <c r="A1514" s="1900" t="s">
        <v>1240</v>
      </c>
      <c r="C1514" s="584"/>
      <c r="D1514" s="584"/>
      <c r="F1514" s="1930">
        <v>-3.0700000000000002E-2</v>
      </c>
      <c r="G1514" s="597"/>
      <c r="H1514" s="1644">
        <f>SUM(H1508:H1512)*$F1514</f>
        <v>-1567773.4473000001</v>
      </c>
      <c r="I1514" s="1644">
        <f>SUM(I1508:I1512)*$F1514</f>
        <v>-2136215.2919999999</v>
      </c>
      <c r="K1514" s="1930"/>
      <c r="L1514" s="597"/>
      <c r="M1514" s="1930"/>
      <c r="N1514" s="597"/>
      <c r="O1514" s="1931" t="str">
        <f>$O$43</f>
        <v>Tax Year 1 (7/1/2021)</v>
      </c>
      <c r="P1514" s="597"/>
      <c r="Q1514" s="1930">
        <f>$AC$1491</f>
        <v>-2.5700000000000001E-2</v>
      </c>
      <c r="R1514" s="597"/>
      <c r="S1514" s="1645"/>
      <c r="T1514" s="1645"/>
      <c r="U1514" s="1645"/>
      <c r="V1514" s="1645"/>
      <c r="W1514" s="1645"/>
      <c r="X1514" s="1645"/>
      <c r="Y1514" s="1644">
        <f>Q1514*SUM(Y1502:Y1507)</f>
        <v>-1806072.3059</v>
      </c>
    </row>
    <row r="1515" spans="1:28" hidden="1">
      <c r="A1515" s="1900"/>
      <c r="C1515" s="584"/>
      <c r="D1515" s="584"/>
      <c r="F1515" s="1930"/>
      <c r="G1515" s="597"/>
      <c r="H1515" s="1644"/>
      <c r="I1515" s="1644"/>
      <c r="K1515" s="1930"/>
      <c r="L1515" s="597"/>
      <c r="M1515" s="1930"/>
      <c r="N1515" s="597"/>
      <c r="O1515" s="1931" t="str">
        <f>$O$44</f>
        <v>Tax Year 2 (1/1/2022)</v>
      </c>
      <c r="P1515" s="597"/>
      <c r="Q1515" s="1930">
        <f>$AC$1492</f>
        <v>-1.3899999999999999E-2</v>
      </c>
      <c r="R1515" s="597"/>
      <c r="S1515" s="1645"/>
      <c r="T1515" s="1645"/>
      <c r="U1515" s="1645"/>
      <c r="V1515" s="1645"/>
      <c r="W1515" s="1645"/>
      <c r="X1515" s="1645"/>
      <c r="Y1515" s="1644">
        <f>Q1515*SUM(Y1502:Y1507)</f>
        <v>-976825.09929999989</v>
      </c>
    </row>
    <row r="1516" spans="1:28" ht="16.5" hidden="1" thickBot="1">
      <c r="A1516" s="1900" t="s">
        <v>247</v>
      </c>
      <c r="C1516" s="1949">
        <f>SUM(C1510:C1513)</f>
        <v>966852513</v>
      </c>
      <c r="D1516" s="1949">
        <f>Energy!P36</f>
        <v>1313136656.9091597</v>
      </c>
      <c r="F1516" s="1939"/>
      <c r="H1516" s="1647">
        <f>SUM(H1500:H1514)</f>
        <v>54029397.552699998</v>
      </c>
      <c r="I1516" s="1647">
        <f>SUM(I1500:I1514)</f>
        <v>73130935.708000004</v>
      </c>
      <c r="K1516" s="1939"/>
      <c r="M1516" s="1939"/>
      <c r="O1516" s="1939"/>
      <c r="Q1516" s="1939"/>
      <c r="S1516" s="1647">
        <f>SUM(S1500:S1513)</f>
        <v>16394271</v>
      </c>
      <c r="U1516" s="1647">
        <f>SUM(U1500:U1513)</f>
        <v>35517735</v>
      </c>
      <c r="W1516" s="1647">
        <f>SUM(W1500:W1513)</f>
        <v>24251914</v>
      </c>
      <c r="Y1516" s="1647">
        <f>SUM(Y1500:Y1513)</f>
        <v>76163920</v>
      </c>
      <c r="AA1516" s="1104" t="s">
        <v>1743</v>
      </c>
      <c r="AB1516" s="1890">
        <f>Y1516/I1516-1</f>
        <v>4.1473341789447504E-2</v>
      </c>
    </row>
    <row r="1517" spans="1:28" ht="16.5" hidden="1" thickTop="1">
      <c r="C1517" s="528"/>
      <c r="D1517" s="528"/>
    </row>
    <row r="1518" spans="1:28" hidden="1">
      <c r="A1518" s="1897" t="s">
        <v>563</v>
      </c>
      <c r="C1518" s="528"/>
      <c r="D1518" s="528"/>
    </row>
    <row r="1519" spans="1:28" hidden="1">
      <c r="A1519" s="1900" t="s">
        <v>240</v>
      </c>
      <c r="C1519" s="528">
        <f>'9'!G9</f>
        <v>1353.133204633205</v>
      </c>
      <c r="D1519" s="528">
        <f>Bill!P61</f>
        <v>1380</v>
      </c>
      <c r="F1519" s="1944">
        <v>259</v>
      </c>
      <c r="G1519" s="597"/>
      <c r="H1519" s="1644">
        <f t="shared" ref="H1519:I1528" si="1674">ROUND($F1519*C1519,0)</f>
        <v>350462</v>
      </c>
      <c r="I1519" s="1644">
        <f t="shared" si="1674"/>
        <v>357420</v>
      </c>
      <c r="K1519" s="1944">
        <f>K1479</f>
        <v>269</v>
      </c>
      <c r="L1519" s="597"/>
      <c r="M1519" s="1944">
        <f>M1479</f>
        <v>0</v>
      </c>
      <c r="N1519" s="597"/>
      <c r="O1519" s="1944">
        <f>O1479</f>
        <v>0</v>
      </c>
      <c r="P1519" s="597"/>
      <c r="Q1519" s="1944">
        <f t="shared" ref="Q1519:Q1526" si="1675">Q1479</f>
        <v>269</v>
      </c>
      <c r="R1519" s="597"/>
      <c r="S1519" s="1644">
        <f t="shared" ref="S1519:S1522" si="1676">ROUND($D1519*K1519,0)</f>
        <v>371220</v>
      </c>
      <c r="T1519" s="1645"/>
      <c r="U1519" s="1644">
        <f t="shared" ref="U1519:U1522" si="1677">ROUND($D1519*M1519,0)</f>
        <v>0</v>
      </c>
      <c r="V1519" s="1645"/>
      <c r="W1519" s="1644">
        <f t="shared" ref="W1519:W1522" si="1678">ROUND($D1519*O1519,0)</f>
        <v>0</v>
      </c>
      <c r="X1519" s="1645"/>
      <c r="Y1519" s="1644">
        <f>ROUND($D1519*Q1519,0)</f>
        <v>371220</v>
      </c>
      <c r="Z1519" s="1878" t="s">
        <v>251</v>
      </c>
    </row>
    <row r="1520" spans="1:28" hidden="1">
      <c r="A1520" s="1900" t="s">
        <v>168</v>
      </c>
      <c r="C1520" s="528">
        <f>'9'!H9</f>
        <v>6361741.5315315304</v>
      </c>
      <c r="D1520" s="528">
        <f>ROUND(C1520/C1535*D1535,0)</f>
        <v>6289855</v>
      </c>
      <c r="F1520" s="1944">
        <v>2.2200000000000002</v>
      </c>
      <c r="G1520" s="597"/>
      <c r="H1520" s="1644">
        <f>ROUND($F1520*C1520,0)</f>
        <v>14123066</v>
      </c>
      <c r="I1520" s="1644">
        <f>ROUND($F1520*D1520,0)</f>
        <v>13963478</v>
      </c>
      <c r="K1520" s="1944">
        <f t="shared" ref="K1520" si="1679">K1480</f>
        <v>2.2999999999999998</v>
      </c>
      <c r="L1520" s="597"/>
      <c r="M1520" s="1944">
        <f t="shared" ref="M1520" si="1680">M1480</f>
        <v>0</v>
      </c>
      <c r="N1520" s="597"/>
      <c r="O1520" s="1944">
        <f t="shared" ref="O1520" si="1681">O1480</f>
        <v>0</v>
      </c>
      <c r="P1520" s="597"/>
      <c r="Q1520" s="1944">
        <f t="shared" si="1675"/>
        <v>2.2999999999999998</v>
      </c>
      <c r="R1520" s="597"/>
      <c r="S1520" s="1644">
        <f t="shared" si="1676"/>
        <v>14466667</v>
      </c>
      <c r="T1520" s="1645"/>
      <c r="U1520" s="1644">
        <f t="shared" si="1677"/>
        <v>0</v>
      </c>
      <c r="V1520" s="1645"/>
      <c r="W1520" s="1644">
        <f t="shared" si="1678"/>
        <v>0</v>
      </c>
      <c r="X1520" s="1645"/>
      <c r="Y1520" s="1644">
        <f t="shared" ref="Y1520:Y1522" si="1682">ROUND($D1520*Q1520,0)</f>
        <v>14466667</v>
      </c>
    </row>
    <row r="1521" spans="1:28" hidden="1">
      <c r="A1521" s="1900" t="s">
        <v>1651</v>
      </c>
      <c r="C1521" s="528">
        <f>C1527*Z1521</f>
        <v>2088095.5914409345</v>
      </c>
      <c r="D1521" s="528">
        <f>ROUND(C1521/C1535*D1535,0)</f>
        <v>2064500</v>
      </c>
      <c r="F1521" s="1944"/>
      <c r="G1521" s="597"/>
      <c r="H1521" s="1644"/>
      <c r="I1521" s="1644"/>
      <c r="K1521" s="1944">
        <f t="shared" ref="K1521" si="1683">K1481</f>
        <v>4.8</v>
      </c>
      <c r="L1521" s="597"/>
      <c r="M1521" s="1944">
        <f t="shared" ref="M1521" si="1684">M1481</f>
        <v>9.68</v>
      </c>
      <c r="N1521" s="597"/>
      <c r="O1521" s="1944">
        <f t="shared" ref="O1521" si="1685">O1481</f>
        <v>0</v>
      </c>
      <c r="P1521" s="597"/>
      <c r="Q1521" s="1944">
        <f t="shared" si="1675"/>
        <v>14.48</v>
      </c>
      <c r="R1521" s="597"/>
      <c r="S1521" s="1644">
        <f t="shared" si="1676"/>
        <v>9909600</v>
      </c>
      <c r="T1521" s="1644"/>
      <c r="U1521" s="1644">
        <f t="shared" si="1677"/>
        <v>19984360</v>
      </c>
      <c r="V1521" s="1644"/>
      <c r="W1521" s="1644">
        <f t="shared" si="1678"/>
        <v>0</v>
      </c>
      <c r="X1521" s="1645"/>
      <c r="Y1521" s="1644">
        <f t="shared" si="1682"/>
        <v>29893960</v>
      </c>
      <c r="Z1521" s="1878">
        <f>Z1502</f>
        <v>0.81143000192935111</v>
      </c>
    </row>
    <row r="1522" spans="1:28" hidden="1">
      <c r="A1522" s="1900" t="s">
        <v>1652</v>
      </c>
      <c r="C1522" s="528">
        <f>C1528*Z1522</f>
        <v>4070065.2374367588</v>
      </c>
      <c r="D1522" s="528">
        <f>ROUND(C1522/C1535*D1535,0)</f>
        <v>4024074</v>
      </c>
      <c r="F1522" s="1944"/>
      <c r="G1522" s="597"/>
      <c r="H1522" s="1644"/>
      <c r="I1522" s="1644"/>
      <c r="K1522" s="1944">
        <f t="shared" ref="K1522" si="1686">K1482</f>
        <v>4.25</v>
      </c>
      <c r="L1522" s="597"/>
      <c r="M1522" s="1944">
        <f t="shared" ref="M1522" si="1687">M1482</f>
        <v>8.56</v>
      </c>
      <c r="N1522" s="597"/>
      <c r="O1522" s="1944">
        <f t="shared" ref="O1522" si="1688">O1482</f>
        <v>0</v>
      </c>
      <c r="P1522" s="597"/>
      <c r="Q1522" s="1944">
        <f t="shared" si="1675"/>
        <v>12.81</v>
      </c>
      <c r="R1522" s="597"/>
      <c r="S1522" s="1644">
        <f t="shared" si="1676"/>
        <v>17102315</v>
      </c>
      <c r="T1522" s="1644"/>
      <c r="U1522" s="1644">
        <f t="shared" si="1677"/>
        <v>34446073</v>
      </c>
      <c r="V1522" s="1644"/>
      <c r="W1522" s="1644">
        <f t="shared" si="1678"/>
        <v>0</v>
      </c>
      <c r="X1522" s="1645"/>
      <c r="Y1522" s="1644">
        <f t="shared" si="1682"/>
        <v>51548388</v>
      </c>
      <c r="Z1522" s="1878">
        <f>Z1503</f>
        <v>1.1359353572586484</v>
      </c>
    </row>
    <row r="1523" spans="1:28" hidden="1">
      <c r="A1523" s="1900" t="s">
        <v>1532</v>
      </c>
      <c r="C1523" s="528">
        <f>C1529*Z1523</f>
        <v>251156075.83274001</v>
      </c>
      <c r="D1523" s="528">
        <f>ROUND(C1523/($C$1535-$C$1532)*$D$1535,0)</f>
        <v>244292713</v>
      </c>
      <c r="F1523" s="1943"/>
      <c r="G1523" s="1921"/>
      <c r="H1523" s="1644"/>
      <c r="I1523" s="1644"/>
      <c r="K1523" s="1943">
        <f t="shared" ref="K1523" si="1689">K1483</f>
        <v>0</v>
      </c>
      <c r="L1523" s="1921" t="s">
        <v>495</v>
      </c>
      <c r="M1523" s="1943">
        <f t="shared" ref="M1523" si="1690">M1483</f>
        <v>1.0927</v>
      </c>
      <c r="N1523" s="1921" t="s">
        <v>495</v>
      </c>
      <c r="O1523" s="1943">
        <f t="shared" ref="O1523" si="1691">O1483</f>
        <v>4.1108761607000002</v>
      </c>
      <c r="P1523" s="1921" t="s">
        <v>495</v>
      </c>
      <c r="Q1523" s="1943">
        <f t="shared" si="1675"/>
        <v>5.2035761607</v>
      </c>
      <c r="R1523" s="1921" t="s">
        <v>495</v>
      </c>
      <c r="S1523" s="1644">
        <f>ROUND($D1523*K1523/100,0)</f>
        <v>0</v>
      </c>
      <c r="T1523" s="1644"/>
      <c r="U1523" s="1644">
        <f>ROUND($D1523*M1523/100,0)</f>
        <v>2669386</v>
      </c>
      <c r="V1523" s="1644"/>
      <c r="W1523" s="1644">
        <f>ROUND($D1523*O1523/100,0)</f>
        <v>10042571</v>
      </c>
      <c r="X1523" s="1648"/>
      <c r="Y1523" s="1644">
        <f>ROUND($D1523*Q1523/100,0)</f>
        <v>12711957</v>
      </c>
      <c r="Z1523" s="1878">
        <f>Z1504</f>
        <v>0.69164135480564293</v>
      </c>
    </row>
    <row r="1524" spans="1:28" hidden="1">
      <c r="A1524" s="1900" t="s">
        <v>1653</v>
      </c>
      <c r="C1524" s="528">
        <f>C1530*Z1524</f>
        <v>484645935.36685777</v>
      </c>
      <c r="D1524" s="528">
        <f t="shared" ref="D1524:D1525" si="1692">ROUND(C1524/($C$1535-$C$1532)*$D$1535,0)</f>
        <v>471401975</v>
      </c>
      <c r="F1524" s="1943"/>
      <c r="G1524" s="1921"/>
      <c r="H1524" s="1644"/>
      <c r="I1524" s="1644"/>
      <c r="K1524" s="1943">
        <f t="shared" ref="K1524" si="1693">K1484</f>
        <v>0</v>
      </c>
      <c r="L1524" s="1921" t="s">
        <v>495</v>
      </c>
      <c r="M1524" s="1943">
        <f t="shared" ref="M1524" si="1694">M1484</f>
        <v>1.0927</v>
      </c>
      <c r="N1524" s="1921" t="s">
        <v>495</v>
      </c>
      <c r="O1524" s="1943">
        <f t="shared" ref="O1524" si="1695">O1484</f>
        <v>3.5122346554870001</v>
      </c>
      <c r="P1524" s="1921" t="s">
        <v>495</v>
      </c>
      <c r="Q1524" s="1943">
        <f t="shared" si="1675"/>
        <v>4.6049346554869999</v>
      </c>
      <c r="R1524" s="1921" t="s">
        <v>495</v>
      </c>
      <c r="S1524" s="1644">
        <f t="shared" ref="S1524:S1526" si="1696">ROUND($D1524*K1524/100,0)</f>
        <v>0</v>
      </c>
      <c r="T1524" s="1644"/>
      <c r="U1524" s="1644">
        <f t="shared" ref="U1524:U1526" si="1697">ROUND($D1524*M1524/100,0)</f>
        <v>5151009</v>
      </c>
      <c r="V1524" s="1644"/>
      <c r="W1524" s="1644">
        <f t="shared" ref="W1524:W1526" si="1698">ROUND($D1524*O1524/100,0)</f>
        <v>16556744</v>
      </c>
      <c r="X1524" s="1648"/>
      <c r="Y1524" s="1644">
        <f t="shared" ref="Y1524:Y1526" si="1699">ROUND($D1524*Q1524/100,0)</f>
        <v>21707753</v>
      </c>
      <c r="Z1524" s="1878">
        <f>Z1505</f>
        <v>0.49962363006591026</v>
      </c>
    </row>
    <row r="1525" spans="1:28" hidden="1">
      <c r="A1525" s="1900" t="s">
        <v>1533</v>
      </c>
      <c r="C1525" s="528">
        <f>SUM(C1529:C1531)*Z1525</f>
        <v>988185750.96910501</v>
      </c>
      <c r="D1525" s="528">
        <f t="shared" si="1692"/>
        <v>961181516</v>
      </c>
      <c r="F1525" s="1943"/>
      <c r="G1525" s="1921"/>
      <c r="H1525" s="1644"/>
      <c r="I1525" s="1644"/>
      <c r="K1525" s="1943">
        <f t="shared" ref="K1525" si="1700">K1485</f>
        <v>0</v>
      </c>
      <c r="L1525" s="1921" t="s">
        <v>495</v>
      </c>
      <c r="M1525" s="1943">
        <f t="shared" ref="M1525" si="1701">M1485</f>
        <v>1.0927</v>
      </c>
      <c r="N1525" s="1921" t="s">
        <v>495</v>
      </c>
      <c r="O1525" s="1943">
        <f t="shared" ref="O1525" si="1702">O1485</f>
        <v>1.5521862361710002</v>
      </c>
      <c r="P1525" s="1921" t="s">
        <v>495</v>
      </c>
      <c r="Q1525" s="1943">
        <f t="shared" si="1675"/>
        <v>2.6448862361710002</v>
      </c>
      <c r="R1525" s="1921" t="s">
        <v>495</v>
      </c>
      <c r="S1525" s="1644">
        <f t="shared" si="1696"/>
        <v>0</v>
      </c>
      <c r="T1525" s="1644"/>
      <c r="U1525" s="1644">
        <f t="shared" si="1697"/>
        <v>10502830</v>
      </c>
      <c r="V1525" s="1644"/>
      <c r="W1525" s="1644">
        <f t="shared" si="1698"/>
        <v>14919327</v>
      </c>
      <c r="X1525" s="1648"/>
      <c r="Y1525" s="1644">
        <f t="shared" si="1699"/>
        <v>25422158</v>
      </c>
      <c r="Z1525" s="1878">
        <f>Z1506</f>
        <v>0.27196615788867357</v>
      </c>
    </row>
    <row r="1526" spans="1:28" hidden="1">
      <c r="A1526" s="1900" t="s">
        <v>2177</v>
      </c>
      <c r="C1526" s="528">
        <f>SUM(C1529:C1531)-SUM(C1523:C1525)</f>
        <v>1909500163.8312972</v>
      </c>
      <c r="D1526" s="528">
        <f>D1535-SUM(D1523:D1525)</f>
        <v>1857319093.3959675</v>
      </c>
      <c r="F1526" s="1943"/>
      <c r="G1526" s="1921"/>
      <c r="H1526" s="1644"/>
      <c r="I1526" s="1644"/>
      <c r="K1526" s="1943">
        <f t="shared" ref="K1526" si="1703">K1486</f>
        <v>0</v>
      </c>
      <c r="L1526" s="1921" t="s">
        <v>495</v>
      </c>
      <c r="M1526" s="1943">
        <f t="shared" ref="M1526" si="1704">M1486</f>
        <v>1.0927</v>
      </c>
      <c r="N1526" s="1921" t="s">
        <v>495</v>
      </c>
      <c r="O1526" s="1943">
        <f t="shared" ref="O1526" si="1705">O1486</f>
        <v>1.247907288647</v>
      </c>
      <c r="P1526" s="1921" t="s">
        <v>495</v>
      </c>
      <c r="Q1526" s="1943">
        <f t="shared" si="1675"/>
        <v>2.340607288647</v>
      </c>
      <c r="R1526" s="1921" t="s">
        <v>495</v>
      </c>
      <c r="S1526" s="1644">
        <f t="shared" si="1696"/>
        <v>0</v>
      </c>
      <c r="T1526" s="1644"/>
      <c r="U1526" s="1644">
        <f t="shared" si="1697"/>
        <v>20294926</v>
      </c>
      <c r="V1526" s="1644"/>
      <c r="W1526" s="1644">
        <f t="shared" si="1698"/>
        <v>23177620</v>
      </c>
      <c r="X1526" s="1648"/>
      <c r="Y1526" s="1644">
        <f t="shared" si="1699"/>
        <v>43472546</v>
      </c>
    </row>
    <row r="1527" spans="1:28" hidden="1">
      <c r="A1527" s="1900" t="s">
        <v>18</v>
      </c>
      <c r="C1527" s="528">
        <f>'9'!J9</f>
        <v>2573352.7063037273</v>
      </c>
      <c r="D1527" s="528">
        <f>ROUND(C1527/C1535*D1535,0)</f>
        <v>2544274</v>
      </c>
      <c r="F1527" s="1944">
        <v>13.96</v>
      </c>
      <c r="G1527" s="597"/>
      <c r="H1527" s="1644">
        <f t="shared" si="1674"/>
        <v>35924004</v>
      </c>
      <c r="I1527" s="1644">
        <f t="shared" si="1674"/>
        <v>35518065</v>
      </c>
      <c r="K1527" s="1944"/>
      <c r="L1527" s="597"/>
      <c r="M1527" s="1944"/>
      <c r="N1527" s="597"/>
      <c r="O1527" s="1944"/>
      <c r="P1527" s="597"/>
      <c r="Q1527" s="1944"/>
      <c r="R1527" s="597"/>
      <c r="S1527" s="1645"/>
      <c r="T1527" s="1645"/>
      <c r="U1527" s="1645"/>
      <c r="V1527" s="1645"/>
      <c r="W1527" s="1645"/>
      <c r="X1527" s="1645"/>
      <c r="Y1527" s="1644"/>
    </row>
    <row r="1528" spans="1:28" hidden="1">
      <c r="A1528" s="1900" t="s">
        <v>166</v>
      </c>
      <c r="C1528" s="528">
        <f>'9'!K9</f>
        <v>3583007.7930306201</v>
      </c>
      <c r="D1528" s="528">
        <f>ROUND(C1528/C1535*D1535,0)</f>
        <v>3542520</v>
      </c>
      <c r="F1528" s="1944">
        <v>9.4700000000000006</v>
      </c>
      <c r="G1528" s="597"/>
      <c r="H1528" s="1644">
        <f t="shared" si="1674"/>
        <v>33931084</v>
      </c>
      <c r="I1528" s="1644">
        <f t="shared" si="1674"/>
        <v>33547664</v>
      </c>
      <c r="K1528" s="1944"/>
      <c r="L1528" s="597"/>
      <c r="M1528" s="1944"/>
      <c r="N1528" s="597"/>
      <c r="O1528" s="1944"/>
      <c r="P1528" s="597"/>
      <c r="Q1528" s="1944"/>
      <c r="R1528" s="597"/>
      <c r="S1528" s="1645"/>
      <c r="T1528" s="1645"/>
      <c r="U1528" s="1645"/>
      <c r="V1528" s="1645"/>
      <c r="W1528" s="1645"/>
      <c r="X1528" s="1645"/>
      <c r="Y1528" s="1644"/>
    </row>
    <row r="1529" spans="1:28" hidden="1">
      <c r="A1529" s="1900" t="s">
        <v>19</v>
      </c>
      <c r="C1529" s="528">
        <f>'9'!M9</f>
        <v>363130507</v>
      </c>
      <c r="D1529" s="528">
        <f>D1535-SUM(D1530:D1532)</f>
        <v>353207209.39596748</v>
      </c>
      <c r="F1529" s="1942">
        <v>4.6531000000000002</v>
      </c>
      <c r="G1529" s="1921" t="s">
        <v>495</v>
      </c>
      <c r="H1529" s="1644">
        <f t="shared" ref="H1529:I1531" si="1706">ROUND($F1529*C1529/100,0)</f>
        <v>16896826</v>
      </c>
      <c r="I1529" s="1644">
        <f t="shared" si="1706"/>
        <v>16435085</v>
      </c>
      <c r="K1529" s="1942"/>
      <c r="L1529" s="1921"/>
      <c r="M1529" s="1942"/>
      <c r="N1529" s="1921"/>
      <c r="O1529" s="1942"/>
      <c r="P1529" s="1921"/>
      <c r="Q1529" s="1942"/>
      <c r="R1529" s="1921"/>
      <c r="S1529" s="1648"/>
      <c r="T1529" s="1648"/>
      <c r="U1529" s="1648"/>
      <c r="V1529" s="1648"/>
      <c r="W1529" s="1648"/>
      <c r="X1529" s="1648"/>
      <c r="Y1529" s="1644"/>
    </row>
    <row r="1530" spans="1:28" hidden="1">
      <c r="A1530" s="1900" t="s">
        <v>257</v>
      </c>
      <c r="C1530" s="528">
        <f>'9'!N9</f>
        <v>970022045</v>
      </c>
      <c r="D1530" s="528">
        <f>ROUND(C1530/(C1535-C1532)*D1535,0)</f>
        <v>943514171</v>
      </c>
      <c r="F1530" s="1942">
        <v>3.4988999999999999</v>
      </c>
      <c r="G1530" s="1921" t="s">
        <v>495</v>
      </c>
      <c r="H1530" s="1644">
        <f t="shared" si="1706"/>
        <v>33940101</v>
      </c>
      <c r="I1530" s="1644">
        <f t="shared" si="1706"/>
        <v>33012617</v>
      </c>
      <c r="K1530" s="1942"/>
      <c r="L1530" s="1921"/>
      <c r="M1530" s="1942"/>
      <c r="N1530" s="1921"/>
      <c r="O1530" s="1942"/>
      <c r="P1530" s="1921"/>
      <c r="Q1530" s="1942"/>
      <c r="R1530" s="1921"/>
      <c r="S1530" s="1648"/>
      <c r="T1530" s="1648"/>
      <c r="U1530" s="1648"/>
      <c r="V1530" s="1648"/>
      <c r="W1530" s="1648"/>
      <c r="X1530" s="1648"/>
      <c r="Y1530" s="1644"/>
    </row>
    <row r="1531" spans="1:28" hidden="1">
      <c r="A1531" s="1900" t="s">
        <v>249</v>
      </c>
      <c r="C1531" s="528">
        <f>'9'!O9</f>
        <v>2300335374</v>
      </c>
      <c r="D1531" s="528">
        <f>ROUND(C1531/(C1535-C1532)*D1535,0)</f>
        <v>2237473917</v>
      </c>
      <c r="F1531" s="1942">
        <v>2.9224999999999999</v>
      </c>
      <c r="G1531" s="1921" t="s">
        <v>495</v>
      </c>
      <c r="H1531" s="1644">
        <f t="shared" si="1706"/>
        <v>67227301</v>
      </c>
      <c r="I1531" s="1644">
        <f t="shared" si="1706"/>
        <v>65390175</v>
      </c>
      <c r="K1531" s="1942"/>
      <c r="L1531" s="1921"/>
      <c r="M1531" s="1942"/>
      <c r="N1531" s="1921"/>
      <c r="O1531" s="1942"/>
      <c r="P1531" s="1921"/>
      <c r="Q1531" s="1942"/>
      <c r="R1531" s="1921"/>
      <c r="S1531" s="1648"/>
      <c r="T1531" s="1648"/>
      <c r="U1531" s="1648"/>
      <c r="V1531" s="1648"/>
      <c r="W1531" s="1648"/>
      <c r="X1531" s="1648"/>
      <c r="Y1531" s="1644"/>
    </row>
    <row r="1532" spans="1:28" hidden="1">
      <c r="A1532" s="1900" t="s">
        <v>246</v>
      </c>
      <c r="C1532" s="529">
        <f>'Table 2'!J91</f>
        <v>-58900180</v>
      </c>
      <c r="D1532" s="529">
        <v>0</v>
      </c>
      <c r="H1532" s="1030">
        <f>'Table 3'!F91</f>
        <v>-2988512</v>
      </c>
      <c r="I1532" s="1030">
        <v>0</v>
      </c>
      <c r="Y1532" s="1030">
        <f>Y1551+Y1570</f>
        <v>0</v>
      </c>
    </row>
    <row r="1533" spans="1:28" hidden="1">
      <c r="A1533" s="1900" t="s">
        <v>1240</v>
      </c>
      <c r="C1533" s="584"/>
      <c r="D1533" s="584"/>
      <c r="F1533" s="1930">
        <v>-3.0700000000000002E-2</v>
      </c>
      <c r="G1533" s="597"/>
      <c r="H1533" s="1644">
        <f>SUM(H1527:H1531)*$F1533</f>
        <v>-5769123.0012000008</v>
      </c>
      <c r="I1533" s="1644">
        <f>SUM(I1527:I1531)*$F1533</f>
        <v>-5645840.7042000005</v>
      </c>
      <c r="K1533" s="1930"/>
      <c r="L1533" s="597"/>
      <c r="M1533" s="1930"/>
      <c r="N1533" s="597"/>
      <c r="O1533" s="1931" t="str">
        <f>$O$43</f>
        <v>Tax Year 1 (7/1/2021)</v>
      </c>
      <c r="P1533" s="597"/>
      <c r="Q1533" s="1930">
        <f>$AC$1491</f>
        <v>-2.5700000000000001E-2</v>
      </c>
      <c r="R1533" s="597"/>
      <c r="S1533" s="1645"/>
      <c r="T1533" s="1645"/>
      <c r="U1533" s="1645"/>
      <c r="V1533" s="1645"/>
      <c r="W1533" s="1645"/>
      <c r="X1533" s="1645"/>
      <c r="Y1533" s="1644">
        <f>Q1533*SUM(Y1521:Y1526)</f>
        <v>-4748248.7834000001</v>
      </c>
    </row>
    <row r="1534" spans="1:28" hidden="1">
      <c r="A1534" s="1900"/>
      <c r="C1534" s="584"/>
      <c r="D1534" s="584"/>
      <c r="F1534" s="1930"/>
      <c r="G1534" s="597"/>
      <c r="H1534" s="1644"/>
      <c r="I1534" s="1644"/>
      <c r="K1534" s="1930"/>
      <c r="L1534" s="597"/>
      <c r="M1534" s="1930"/>
      <c r="N1534" s="597"/>
      <c r="O1534" s="1931" t="str">
        <f>$O$44</f>
        <v>Tax Year 2 (1/1/2022)</v>
      </c>
      <c r="P1534" s="597"/>
      <c r="Q1534" s="1930">
        <f>$AC$1492</f>
        <v>-1.3899999999999999E-2</v>
      </c>
      <c r="R1534" s="597"/>
      <c r="S1534" s="1645"/>
      <c r="T1534" s="1645"/>
      <c r="U1534" s="1645"/>
      <c r="V1534" s="1645"/>
      <c r="W1534" s="1645"/>
      <c r="X1534" s="1645"/>
      <c r="Y1534" s="1644">
        <f>Q1534*SUM(Y1521:Y1526)</f>
        <v>-2568118.9918</v>
      </c>
    </row>
    <row r="1535" spans="1:28" ht="16.5" hidden="1" thickBot="1">
      <c r="A1535" s="1900" t="s">
        <v>247</v>
      </c>
      <c r="C1535" s="1949">
        <f>SUM(C1529:C1532)</f>
        <v>3574587746</v>
      </c>
      <c r="D1535" s="1949">
        <f>Energy!P61</f>
        <v>3534195297.3959675</v>
      </c>
      <c r="F1535" s="1939"/>
      <c r="H1535" s="1647">
        <f>SUM(H1519:H1533)</f>
        <v>193635208.99880001</v>
      </c>
      <c r="I1535" s="1647">
        <f>SUM(I1519:I1533)</f>
        <v>192578663.2958</v>
      </c>
      <c r="K1535" s="1939"/>
      <c r="M1535" s="1939"/>
      <c r="O1535" s="1939"/>
      <c r="Q1535" s="1939"/>
      <c r="S1535" s="1647">
        <f>SUM(S1519:S1532)</f>
        <v>41849802</v>
      </c>
      <c r="U1535" s="1647">
        <f>SUM(U1519:U1532)</f>
        <v>93048584</v>
      </c>
      <c r="W1535" s="1647">
        <f>SUM(W1519:W1532)</f>
        <v>64696262</v>
      </c>
      <c r="Y1535" s="1647">
        <f>SUM(Y1519:Y1532)</f>
        <v>199594649</v>
      </c>
      <c r="AA1535" s="1104" t="s">
        <v>1743</v>
      </c>
      <c r="AB1535" s="1890">
        <f>Y1535/I1535-1</f>
        <v>3.643179147745701E-2</v>
      </c>
    </row>
    <row r="1536" spans="1:28" ht="16.5" thickTop="1">
      <c r="C1536" s="528"/>
      <c r="D1536" s="528"/>
    </row>
    <row r="1537" spans="1:29">
      <c r="A1537" s="1897" t="s">
        <v>768</v>
      </c>
      <c r="C1537" s="528"/>
      <c r="D1537" s="528"/>
      <c r="F1537" s="1943"/>
      <c r="G1537" s="1957"/>
      <c r="K1537" s="1943"/>
      <c r="L1537" s="1957"/>
      <c r="M1537" s="1943"/>
      <c r="N1537" s="1957"/>
      <c r="O1537" s="1943"/>
      <c r="P1537" s="1957"/>
      <c r="Q1537" s="1943"/>
      <c r="R1537" s="1957"/>
      <c r="S1537" s="1645"/>
      <c r="T1537" s="1645"/>
      <c r="U1537" s="1645"/>
      <c r="V1537" s="1645"/>
      <c r="W1537" s="1645"/>
      <c r="X1537" s="1645"/>
    </row>
    <row r="1538" spans="1:29">
      <c r="A1538" s="1900" t="s">
        <v>240</v>
      </c>
      <c r="C1538" s="528">
        <f>C1560+C1582</f>
        <v>108</v>
      </c>
      <c r="D1538" s="528">
        <f>D1560+D1582</f>
        <v>108</v>
      </c>
      <c r="F1538" s="1901">
        <v>259</v>
      </c>
      <c r="G1538" s="1902"/>
      <c r="H1538" s="1644">
        <f>ROUND($F1538*C1538,0)</f>
        <v>27972</v>
      </c>
      <c r="I1538" s="1644">
        <f>ROUND($F1538*D1538,0)</f>
        <v>27972</v>
      </c>
      <c r="K1538" s="1901">
        <f>K1479</f>
        <v>269</v>
      </c>
      <c r="L1538" s="1902"/>
      <c r="M1538" s="1901">
        <f>M1479</f>
        <v>0</v>
      </c>
      <c r="N1538" s="1902"/>
      <c r="O1538" s="1901">
        <f>O1479</f>
        <v>0</v>
      </c>
      <c r="P1538" s="1902"/>
      <c r="Q1538" s="1901">
        <f>Q1479</f>
        <v>269</v>
      </c>
      <c r="R1538" s="1902"/>
      <c r="S1538" s="1644">
        <f t="shared" ref="S1538:S1539" si="1707">ROUND($D1538*K1538,0)</f>
        <v>29052</v>
      </c>
      <c r="T1538" s="1644"/>
      <c r="U1538" s="1644">
        <f t="shared" ref="U1538:U1539" si="1708">ROUND($D1538*M1538,0)</f>
        <v>0</v>
      </c>
      <c r="V1538" s="1644"/>
      <c r="W1538" s="1644">
        <f t="shared" ref="W1538:W1539" si="1709">ROUND($D1538*O1538,0)</f>
        <v>0</v>
      </c>
      <c r="X1538" s="1643"/>
      <c r="Y1538" s="1644">
        <f>ROUND($D1538*Q1538,0)</f>
        <v>29052</v>
      </c>
      <c r="AA1538" s="1109"/>
      <c r="AB1538" s="1114"/>
    </row>
    <row r="1539" spans="1:29">
      <c r="A1539" s="1900" t="s">
        <v>305</v>
      </c>
      <c r="C1539" s="528">
        <f>C1561+C1583</f>
        <v>234406</v>
      </c>
      <c r="D1539" s="528">
        <f>D1561+D1583</f>
        <v>243087</v>
      </c>
      <c r="F1539" s="1901">
        <v>2.2200000000000002</v>
      </c>
      <c r="G1539" s="1902"/>
      <c r="H1539" s="1644">
        <f>ROUND($F1539*C1539,0)</f>
        <v>520381</v>
      </c>
      <c r="I1539" s="1644">
        <f>ROUND($F1539*D1539,0)</f>
        <v>539653</v>
      </c>
      <c r="K1539" s="1901">
        <f t="shared" ref="K1539" si="1710">K1480</f>
        <v>2.2999999999999998</v>
      </c>
      <c r="L1539" s="1902"/>
      <c r="M1539" s="1901">
        <f t="shared" ref="M1539" si="1711">M1480</f>
        <v>0</v>
      </c>
      <c r="N1539" s="1902"/>
      <c r="O1539" s="1901">
        <f t="shared" ref="O1539" si="1712">O1480</f>
        <v>0</v>
      </c>
      <c r="P1539" s="1902"/>
      <c r="Q1539" s="1901">
        <f>Q1480</f>
        <v>2.2999999999999998</v>
      </c>
      <c r="R1539" s="1902"/>
      <c r="S1539" s="1644">
        <f t="shared" si="1707"/>
        <v>559100</v>
      </c>
      <c r="T1539" s="1644"/>
      <c r="U1539" s="1644">
        <f t="shared" si="1708"/>
        <v>0</v>
      </c>
      <c r="V1539" s="1644"/>
      <c r="W1539" s="1644">
        <f t="shared" si="1709"/>
        <v>0</v>
      </c>
      <c r="X1539" s="1643"/>
      <c r="Y1539" s="1644">
        <f t="shared" ref="Y1539:Y1541" si="1713">ROUND($D1539*Q1539,0)</f>
        <v>559100</v>
      </c>
      <c r="AA1539" s="1109"/>
      <c r="AB1539" s="1109"/>
    </row>
    <row r="1540" spans="1:29">
      <c r="A1540" s="1900" t="s">
        <v>1651</v>
      </c>
      <c r="C1540" s="528">
        <f t="shared" ref="C1540:D1540" si="1714">C1562+C1584</f>
        <v>73367.066484446143</v>
      </c>
      <c r="D1540" s="528">
        <f t="shared" si="1714"/>
        <v>76062</v>
      </c>
      <c r="F1540" s="1944"/>
      <c r="G1540" s="597"/>
      <c r="H1540" s="1644"/>
      <c r="I1540" s="1644"/>
      <c r="K1540" s="1944">
        <f>K1481*$AB1540</f>
        <v>1.5840000000000001</v>
      </c>
      <c r="L1540" s="597"/>
      <c r="M1540" s="1944">
        <f>M1481*$AB1540</f>
        <v>3.1943999999999999</v>
      </c>
      <c r="N1540" s="597"/>
      <c r="O1540" s="1944">
        <f>O1481*$AB1540</f>
        <v>0</v>
      </c>
      <c r="P1540" s="597"/>
      <c r="Q1540" s="1944">
        <f>Q1481*$AB1540</f>
        <v>4.7784000000000004</v>
      </c>
      <c r="R1540" s="597"/>
      <c r="S1540" s="1644">
        <f t="shared" ref="S1540:S1541" si="1715">ROUND($D1540*K1540,0)</f>
        <v>120482</v>
      </c>
      <c r="T1540" s="1644"/>
      <c r="U1540" s="1644">
        <f t="shared" ref="U1540:U1541" si="1716">ROUND($D1540*M1540,0)</f>
        <v>242972</v>
      </c>
      <c r="V1540" s="1644"/>
      <c r="W1540" s="1644">
        <f t="shared" ref="W1540:W1541" si="1717">ROUND($D1540*O1540,0)</f>
        <v>0</v>
      </c>
      <c r="X1540" s="1645"/>
      <c r="Y1540" s="1644">
        <f t="shared" si="1713"/>
        <v>363455</v>
      </c>
      <c r="AA1540" s="1869" t="s">
        <v>2181</v>
      </c>
      <c r="AB1540" s="1869">
        <v>0.33</v>
      </c>
    </row>
    <row r="1541" spans="1:29">
      <c r="A1541" s="1900" t="s">
        <v>1652</v>
      </c>
      <c r="C1541" s="528">
        <f t="shared" ref="C1541:D1541" si="1718">C1563+C1585</f>
        <v>163562.19615631551</v>
      </c>
      <c r="D1541" s="528">
        <f t="shared" si="1718"/>
        <v>169650</v>
      </c>
      <c r="F1541" s="1944"/>
      <c r="G1541" s="597"/>
      <c r="H1541" s="1644"/>
      <c r="I1541" s="1644"/>
      <c r="K1541" s="1944">
        <f>K1482*$AB1541</f>
        <v>1.4025000000000001</v>
      </c>
      <c r="L1541" s="597"/>
      <c r="M1541" s="1944">
        <f>M1482*$AB1541</f>
        <v>2.8248000000000002</v>
      </c>
      <c r="N1541" s="597"/>
      <c r="O1541" s="1944">
        <f>O1482*$AB1541</f>
        <v>0</v>
      </c>
      <c r="P1541" s="597"/>
      <c r="Q1541" s="1944">
        <f>Q1482*$AB1541</f>
        <v>4.2273000000000005</v>
      </c>
      <c r="R1541" s="597"/>
      <c r="S1541" s="1644">
        <f t="shared" si="1715"/>
        <v>237934</v>
      </c>
      <c r="T1541" s="1644"/>
      <c r="U1541" s="1644">
        <f t="shared" si="1716"/>
        <v>479227</v>
      </c>
      <c r="V1541" s="1644"/>
      <c r="W1541" s="1644">
        <f t="shared" si="1717"/>
        <v>0</v>
      </c>
      <c r="X1541" s="1645"/>
      <c r="Y1541" s="1644">
        <f t="shared" si="1713"/>
        <v>717161</v>
      </c>
      <c r="AB1541" s="1869">
        <f>AB1540</f>
        <v>0.33</v>
      </c>
    </row>
    <row r="1542" spans="1:29">
      <c r="A1542" s="1900" t="s">
        <v>1532</v>
      </c>
      <c r="C1542" s="528">
        <f t="shared" ref="C1542:D1542" si="1719">C1564+C1586</f>
        <v>6528826.7241609599</v>
      </c>
      <c r="D1542" s="528">
        <f t="shared" si="1719"/>
        <v>6818306</v>
      </c>
      <c r="F1542" s="1943"/>
      <c r="G1542" s="1921"/>
      <c r="H1542" s="1644"/>
      <c r="I1542" s="1644"/>
      <c r="K1542" s="1943">
        <f t="shared" ref="K1542" si="1720">K1483</f>
        <v>0</v>
      </c>
      <c r="L1542" s="1921" t="s">
        <v>495</v>
      </c>
      <c r="M1542" s="1943">
        <f t="shared" ref="M1542" si="1721">M1483</f>
        <v>1.0927</v>
      </c>
      <c r="N1542" s="1921" t="s">
        <v>495</v>
      </c>
      <c r="O1542" s="1943">
        <f t="shared" ref="O1542" si="1722">O1483</f>
        <v>4.1108761607000002</v>
      </c>
      <c r="P1542" s="1921" t="s">
        <v>495</v>
      </c>
      <c r="Q1542" s="1943">
        <f>Q1483</f>
        <v>5.2035761607</v>
      </c>
      <c r="R1542" s="1921" t="s">
        <v>495</v>
      </c>
      <c r="S1542" s="1644">
        <f>ROUND($D1542*K1542/100,0)</f>
        <v>0</v>
      </c>
      <c r="T1542" s="1644"/>
      <c r="U1542" s="1644">
        <f>ROUND($D1542*M1542/100,0)</f>
        <v>74504</v>
      </c>
      <c r="V1542" s="1644"/>
      <c r="W1542" s="1644">
        <f>ROUND($D1542*O1542/100,0)</f>
        <v>280292</v>
      </c>
      <c r="X1542" s="1648"/>
      <c r="Y1542" s="1644">
        <f>ROUND($D1542*Q1542/100,0)</f>
        <v>354796</v>
      </c>
    </row>
    <row r="1543" spans="1:29">
      <c r="A1543" s="1900" t="s">
        <v>1653</v>
      </c>
      <c r="C1543" s="528">
        <f t="shared" ref="C1543:D1543" si="1723">C1565+C1587</f>
        <v>6832346.1464205012</v>
      </c>
      <c r="D1543" s="528">
        <f t="shared" si="1723"/>
        <v>7138084</v>
      </c>
      <c r="F1543" s="1943"/>
      <c r="G1543" s="1921"/>
      <c r="H1543" s="1644"/>
      <c r="I1543" s="1644"/>
      <c r="K1543" s="1943">
        <f t="shared" ref="K1543" si="1724">K1484</f>
        <v>0</v>
      </c>
      <c r="L1543" s="1921" t="s">
        <v>495</v>
      </c>
      <c r="M1543" s="1943">
        <f t="shared" ref="M1543" si="1725">M1484</f>
        <v>1.0927</v>
      </c>
      <c r="N1543" s="1921" t="s">
        <v>495</v>
      </c>
      <c r="O1543" s="1943">
        <f t="shared" ref="O1543" si="1726">O1484</f>
        <v>3.5122346554870001</v>
      </c>
      <c r="P1543" s="1921" t="s">
        <v>495</v>
      </c>
      <c r="Q1543" s="1943">
        <f>Q1484</f>
        <v>4.6049346554869999</v>
      </c>
      <c r="R1543" s="1921" t="s">
        <v>495</v>
      </c>
      <c r="S1543" s="1644">
        <f t="shared" ref="S1543:S1545" si="1727">ROUND($D1543*K1543/100,0)</f>
        <v>0</v>
      </c>
      <c r="T1543" s="1644"/>
      <c r="U1543" s="1644">
        <f t="shared" ref="U1543:U1545" si="1728">ROUND($D1543*M1543/100,0)</f>
        <v>77998</v>
      </c>
      <c r="V1543" s="1644"/>
      <c r="W1543" s="1644">
        <f t="shared" ref="W1543:W1545" si="1729">ROUND($D1543*O1543/100,0)</f>
        <v>250706</v>
      </c>
      <c r="X1543" s="1648"/>
      <c r="Y1543" s="1644">
        <f t="shared" ref="Y1543:Y1545" si="1730">ROUND($D1543*Q1543/100,0)</f>
        <v>328704</v>
      </c>
    </row>
    <row r="1544" spans="1:29">
      <c r="A1544" s="1900" t="s">
        <v>1533</v>
      </c>
      <c r="C1544" s="528">
        <f t="shared" ref="C1544:D1544" si="1731">C1566+C1588</f>
        <v>5462224.7361181956</v>
      </c>
      <c r="D1544" s="528">
        <f t="shared" si="1731"/>
        <v>5708900</v>
      </c>
      <c r="F1544" s="1943"/>
      <c r="G1544" s="1921"/>
      <c r="H1544" s="1644"/>
      <c r="I1544" s="1644"/>
      <c r="K1544" s="1943">
        <f t="shared" ref="K1544" si="1732">K1485</f>
        <v>0</v>
      </c>
      <c r="L1544" s="1921" t="s">
        <v>495</v>
      </c>
      <c r="M1544" s="1943">
        <f t="shared" ref="M1544" si="1733">M1485</f>
        <v>1.0927</v>
      </c>
      <c r="N1544" s="1921" t="s">
        <v>495</v>
      </c>
      <c r="O1544" s="1943">
        <f t="shared" ref="O1544" si="1734">O1485</f>
        <v>1.5521862361710002</v>
      </c>
      <c r="P1544" s="1921" t="s">
        <v>495</v>
      </c>
      <c r="Q1544" s="1943">
        <f>Q1485</f>
        <v>2.6448862361710002</v>
      </c>
      <c r="R1544" s="1921" t="s">
        <v>495</v>
      </c>
      <c r="S1544" s="1644">
        <f t="shared" si="1727"/>
        <v>0</v>
      </c>
      <c r="T1544" s="1644"/>
      <c r="U1544" s="1644">
        <f t="shared" si="1728"/>
        <v>62381</v>
      </c>
      <c r="V1544" s="1644"/>
      <c r="W1544" s="1644">
        <f t="shared" si="1729"/>
        <v>88613</v>
      </c>
      <c r="X1544" s="1648"/>
      <c r="Y1544" s="1644">
        <f t="shared" si="1730"/>
        <v>150994</v>
      </c>
    </row>
    <row r="1545" spans="1:29">
      <c r="A1545" s="1900" t="s">
        <v>2177</v>
      </c>
      <c r="C1545" s="528">
        <f t="shared" ref="C1545:D1545" si="1735">C1567+C1589</f>
        <v>21717553.393300343</v>
      </c>
      <c r="D1545" s="528">
        <f t="shared" si="1735"/>
        <v>22274997.423445866</v>
      </c>
      <c r="F1545" s="1943"/>
      <c r="G1545" s="1921"/>
      <c r="H1545" s="1644"/>
      <c r="I1545" s="1644"/>
      <c r="K1545" s="1943">
        <f t="shared" ref="K1545" si="1736">K1486</f>
        <v>0</v>
      </c>
      <c r="L1545" s="1921" t="s">
        <v>495</v>
      </c>
      <c r="M1545" s="1943">
        <f t="shared" ref="M1545" si="1737">M1486</f>
        <v>1.0927</v>
      </c>
      <c r="N1545" s="1921" t="s">
        <v>495</v>
      </c>
      <c r="O1545" s="1943">
        <f t="shared" ref="O1545" si="1738">O1486</f>
        <v>1.247907288647</v>
      </c>
      <c r="P1545" s="1921" t="s">
        <v>495</v>
      </c>
      <c r="Q1545" s="1943">
        <f>Q1486</f>
        <v>2.340607288647</v>
      </c>
      <c r="R1545" s="1921" t="s">
        <v>495</v>
      </c>
      <c r="S1545" s="1644">
        <f t="shared" si="1727"/>
        <v>0</v>
      </c>
      <c r="T1545" s="1644"/>
      <c r="U1545" s="1644">
        <f t="shared" si="1728"/>
        <v>243399</v>
      </c>
      <c r="V1545" s="1644"/>
      <c r="W1545" s="1644">
        <f t="shared" si="1729"/>
        <v>277971</v>
      </c>
      <c r="X1545" s="1648"/>
      <c r="Y1545" s="1644">
        <f t="shared" si="1730"/>
        <v>521370</v>
      </c>
    </row>
    <row r="1546" spans="1:29">
      <c r="A1546" s="1900" t="s">
        <v>2185</v>
      </c>
      <c r="C1546" s="528">
        <f t="shared" ref="C1546:D1546" si="1739">C1568+C1590</f>
        <v>90417</v>
      </c>
      <c r="D1546" s="528">
        <f t="shared" si="1739"/>
        <v>0</v>
      </c>
      <c r="F1546" s="1943"/>
      <c r="G1546" s="1921"/>
      <c r="H1546" s="1644"/>
      <c r="I1546" s="1644"/>
      <c r="K1546" s="1943"/>
      <c r="L1546" s="1921"/>
      <c r="M1546" s="1943"/>
      <c r="N1546" s="1921"/>
      <c r="O1546" s="1943"/>
      <c r="P1546" s="1921"/>
      <c r="Q1546" s="1943"/>
      <c r="R1546" s="1921"/>
      <c r="S1546" s="1648"/>
      <c r="T1546" s="1648"/>
      <c r="U1546" s="1648"/>
      <c r="V1546" s="1648"/>
      <c r="W1546" s="1648"/>
      <c r="X1546" s="1648"/>
      <c r="Y1546" s="1644"/>
    </row>
    <row r="1547" spans="1:29">
      <c r="A1547" s="1900" t="s">
        <v>2186</v>
      </c>
      <c r="C1547" s="528">
        <f t="shared" ref="C1547:D1547" si="1740">C1569+C1591</f>
        <v>143989</v>
      </c>
      <c r="D1547" s="528">
        <f t="shared" si="1740"/>
        <v>0</v>
      </c>
      <c r="F1547" s="1943"/>
      <c r="G1547" s="1921"/>
      <c r="H1547" s="1644"/>
      <c r="I1547" s="1644"/>
      <c r="K1547" s="1943"/>
      <c r="L1547" s="1921"/>
      <c r="M1547" s="1943"/>
      <c r="N1547" s="1921"/>
      <c r="O1547" s="1943"/>
      <c r="P1547" s="1921"/>
      <c r="Q1547" s="1943"/>
      <c r="R1547" s="1921"/>
      <c r="S1547" s="1648"/>
      <c r="T1547" s="1648"/>
      <c r="U1547" s="1648"/>
      <c r="V1547" s="1648"/>
      <c r="W1547" s="1648"/>
      <c r="X1547" s="1648"/>
      <c r="Y1547" s="1644"/>
    </row>
    <row r="1548" spans="1:29">
      <c r="A1548" s="1900" t="s">
        <v>2187</v>
      </c>
      <c r="C1548" s="528">
        <f t="shared" ref="C1548:D1548" si="1741">C1570+C1592</f>
        <v>9439613</v>
      </c>
      <c r="D1548" s="528">
        <f t="shared" si="1741"/>
        <v>0</v>
      </c>
      <c r="F1548" s="1943"/>
      <c r="G1548" s="1921"/>
      <c r="H1548" s="1644"/>
      <c r="I1548" s="1644"/>
      <c r="K1548" s="1943"/>
      <c r="L1548" s="1921"/>
      <c r="M1548" s="1943"/>
      <c r="N1548" s="1921"/>
      <c r="O1548" s="1943"/>
      <c r="P1548" s="1921"/>
      <c r="Q1548" s="1943"/>
      <c r="R1548" s="1921"/>
      <c r="S1548" s="1648"/>
      <c r="T1548" s="1648"/>
      <c r="U1548" s="1648"/>
      <c r="V1548" s="1648"/>
      <c r="W1548" s="1648"/>
      <c r="X1548" s="1648"/>
      <c r="Y1548" s="1644"/>
    </row>
    <row r="1549" spans="1:29">
      <c r="A1549" s="1900" t="s">
        <v>2188</v>
      </c>
      <c r="C1549" s="528">
        <f t="shared" ref="C1549:D1549" si="1742">C1571+C1593</f>
        <v>13674986</v>
      </c>
      <c r="D1549" s="528">
        <f t="shared" si="1742"/>
        <v>0</v>
      </c>
      <c r="F1549" s="1943"/>
      <c r="G1549" s="1921"/>
      <c r="H1549" s="1644"/>
      <c r="I1549" s="1644"/>
      <c r="K1549" s="1943"/>
      <c r="L1549" s="1921"/>
      <c r="M1549" s="1943"/>
      <c r="N1549" s="1921"/>
      <c r="O1549" s="1943"/>
      <c r="P1549" s="1921"/>
      <c r="Q1549" s="1943"/>
      <c r="R1549" s="1921"/>
      <c r="S1549" s="1648"/>
      <c r="T1549" s="1648"/>
      <c r="U1549" s="1648"/>
      <c r="V1549" s="1648"/>
      <c r="W1549" s="1648"/>
      <c r="X1549" s="1648"/>
      <c r="Y1549" s="1644"/>
    </row>
    <row r="1550" spans="1:29">
      <c r="A1550" s="1900" t="s">
        <v>2189</v>
      </c>
      <c r="C1550" s="528">
        <f t="shared" ref="C1550:D1550" si="1743">C1572+C1594</f>
        <v>6528100</v>
      </c>
      <c r="D1550" s="528">
        <f t="shared" si="1743"/>
        <v>0</v>
      </c>
      <c r="F1550" s="1943"/>
      <c r="G1550" s="1921"/>
      <c r="H1550" s="1644"/>
      <c r="I1550" s="1644"/>
      <c r="K1550" s="1943"/>
      <c r="L1550" s="1921"/>
      <c r="M1550" s="1943"/>
      <c r="N1550" s="1921"/>
      <c r="O1550" s="1943"/>
      <c r="P1550" s="1921"/>
      <c r="Q1550" s="1943"/>
      <c r="R1550" s="1921"/>
      <c r="S1550" s="1648"/>
      <c r="T1550" s="1648"/>
      <c r="U1550" s="1648"/>
      <c r="V1550" s="1648"/>
      <c r="W1550" s="1648"/>
      <c r="X1550" s="1648"/>
      <c r="Y1550" s="1644"/>
    </row>
    <row r="1551" spans="1:29">
      <c r="A1551" s="1900" t="s">
        <v>2190</v>
      </c>
      <c r="C1551" s="528">
        <f t="shared" ref="C1551:D1551" si="1744">C1573+C1595</f>
        <v>10898252</v>
      </c>
      <c r="D1551" s="528">
        <f t="shared" si="1744"/>
        <v>0</v>
      </c>
      <c r="F1551" s="1943"/>
      <c r="G1551" s="1921"/>
      <c r="H1551" s="1644"/>
      <c r="I1551" s="1644"/>
      <c r="K1551" s="1943"/>
      <c r="L1551" s="1921"/>
      <c r="M1551" s="1943"/>
      <c r="N1551" s="1921"/>
      <c r="O1551" s="1943"/>
      <c r="P1551" s="1921"/>
      <c r="Q1551" s="1943"/>
      <c r="R1551" s="1921"/>
      <c r="S1551" s="1648"/>
      <c r="T1551" s="1648"/>
      <c r="U1551" s="1648"/>
      <c r="V1551" s="1648"/>
      <c r="W1551" s="1648"/>
      <c r="X1551" s="1648"/>
      <c r="Y1551" s="1644"/>
    </row>
    <row r="1552" spans="1:29">
      <c r="A1552" s="1900" t="s">
        <v>248</v>
      </c>
      <c r="C1552" s="528">
        <f t="shared" ref="C1552:D1554" si="1745">C1574+C1596</f>
        <v>23114599</v>
      </c>
      <c r="D1552" s="528">
        <f t="shared" si="1745"/>
        <v>23854513</v>
      </c>
      <c r="F1552" s="1920">
        <v>8.6029</v>
      </c>
      <c r="G1552" s="1921" t="s">
        <v>495</v>
      </c>
      <c r="H1552" s="1644">
        <f>ROUND($F1552*C1552/100,0)</f>
        <v>1988526</v>
      </c>
      <c r="I1552" s="1644">
        <f>ROUND($F1552*D1552/100,0)</f>
        <v>2052180</v>
      </c>
      <c r="K1552" s="1920"/>
      <c r="L1552" s="1921"/>
      <c r="M1552" s="1920"/>
      <c r="N1552" s="1921"/>
      <c r="O1552" s="1920"/>
      <c r="P1552" s="1921"/>
      <c r="Q1552" s="1920"/>
      <c r="R1552" s="1921"/>
      <c r="S1552" s="1648"/>
      <c r="T1552" s="1648"/>
      <c r="U1552" s="1648"/>
      <c r="V1552" s="1648"/>
      <c r="W1552" s="1648"/>
      <c r="X1552" s="1648"/>
      <c r="Y1552" s="1644"/>
      <c r="AA1552" s="1945"/>
      <c r="AB1552" s="1973"/>
      <c r="AC1552" s="596"/>
    </row>
    <row r="1553" spans="1:29">
      <c r="A1553" s="1900" t="s">
        <v>249</v>
      </c>
      <c r="C1553" s="528">
        <f t="shared" si="1745"/>
        <v>17426352</v>
      </c>
      <c r="D1553" s="528">
        <f t="shared" si="1745"/>
        <v>18085775</v>
      </c>
      <c r="F1553" s="1920">
        <v>3.6981000000000002</v>
      </c>
      <c r="G1553" s="1921" t="s">
        <v>495</v>
      </c>
      <c r="H1553" s="1644">
        <f>ROUND($F1553*C1553/100,0)</f>
        <v>644444</v>
      </c>
      <c r="I1553" s="1644">
        <f>ROUND($F1553*D1553/100,0)</f>
        <v>668830</v>
      </c>
      <c r="K1553" s="1920"/>
      <c r="L1553" s="1921"/>
      <c r="M1553" s="1920"/>
      <c r="N1553" s="1921"/>
      <c r="O1553" s="1920"/>
      <c r="P1553" s="1921"/>
      <c r="Q1553" s="1920"/>
      <c r="R1553" s="1921"/>
      <c r="S1553" s="1648"/>
      <c r="T1553" s="1648"/>
      <c r="U1553" s="1648"/>
      <c r="V1553" s="1648"/>
      <c r="W1553" s="1648"/>
      <c r="X1553" s="1648"/>
      <c r="Y1553" s="1644"/>
      <c r="AA1553" s="1109"/>
      <c r="AB1553" s="1946"/>
      <c r="AC1553" s="596"/>
    </row>
    <row r="1554" spans="1:29">
      <c r="A1554" s="1900" t="s">
        <v>246</v>
      </c>
      <c r="C1554" s="529">
        <f t="shared" si="1745"/>
        <v>-164095</v>
      </c>
      <c r="D1554" s="529">
        <f t="shared" si="1745"/>
        <v>0</v>
      </c>
      <c r="H1554" s="1030">
        <f>H1576+H1598</f>
        <v>-14979</v>
      </c>
      <c r="I1554" s="1030">
        <f>I1576+I1598</f>
        <v>0</v>
      </c>
      <c r="Y1554" s="1030"/>
      <c r="AA1554" s="1109"/>
      <c r="AB1554" s="1946"/>
      <c r="AC1554" s="596"/>
    </row>
    <row r="1555" spans="1:29">
      <c r="A1555" s="1900" t="s">
        <v>1240</v>
      </c>
      <c r="C1555" s="584"/>
      <c r="D1555" s="584"/>
      <c r="F1555" s="1930">
        <v>-3.4099999999999998E-2</v>
      </c>
      <c r="G1555" s="597"/>
      <c r="H1555" s="1644">
        <f>SUM(H1552:H1553)*$F1555</f>
        <v>-89784.277000000002</v>
      </c>
      <c r="I1555" s="1644">
        <f>SUM(I1552:I1553)*$F1555</f>
        <v>-92786.440999999992</v>
      </c>
      <c r="K1555" s="1930"/>
      <c r="L1555" s="597"/>
      <c r="M1555" s="1930"/>
      <c r="N1555" s="597"/>
      <c r="O1555" s="1931" t="str">
        <f>$O$43</f>
        <v>Tax Year 1 (7/1/2021)</v>
      </c>
      <c r="P1555" s="597"/>
      <c r="Q1555" s="1930">
        <f>$AC$1491</f>
        <v>-2.5700000000000001E-2</v>
      </c>
      <c r="R1555" s="597"/>
      <c r="S1555" s="1645"/>
      <c r="T1555" s="1645"/>
      <c r="U1555" s="1645"/>
      <c r="V1555" s="1645"/>
      <c r="W1555" s="1645"/>
      <c r="X1555" s="1645"/>
      <c r="Y1555" s="1644">
        <f>Q1555*SUM(Y1540:Y1545)</f>
        <v>-62617.536</v>
      </c>
      <c r="AA1555" s="1109"/>
      <c r="AB1555" s="1946"/>
      <c r="AC1555" s="596"/>
    </row>
    <row r="1556" spans="1:29">
      <c r="A1556" s="1900"/>
      <c r="C1556" s="584"/>
      <c r="D1556" s="584"/>
      <c r="F1556" s="1930"/>
      <c r="G1556" s="597"/>
      <c r="H1556" s="1644"/>
      <c r="I1556" s="1644"/>
      <c r="K1556" s="1930"/>
      <c r="L1556" s="597"/>
      <c r="M1556" s="1930"/>
      <c r="N1556" s="597"/>
      <c r="O1556" s="1931" t="str">
        <f>$O$44</f>
        <v>Tax Year 2 (1/1/2022)</v>
      </c>
      <c r="P1556" s="597"/>
      <c r="Q1556" s="1930">
        <f>$AC$1492</f>
        <v>-1.3899999999999999E-2</v>
      </c>
      <c r="R1556" s="597"/>
      <c r="S1556" s="1645"/>
      <c r="T1556" s="1645"/>
      <c r="U1556" s="1645"/>
      <c r="V1556" s="1645"/>
      <c r="W1556" s="1645"/>
      <c r="X1556" s="1645"/>
      <c r="Y1556" s="1644">
        <f>Q1556*SUM(Y1540:Y1545)</f>
        <v>-33867.072</v>
      </c>
      <c r="AA1556" s="1109"/>
      <c r="AB1556" s="1946"/>
      <c r="AC1556" s="596">
        <f>AC1557/3</f>
        <v>0.21522791238953279</v>
      </c>
    </row>
    <row r="1557" spans="1:29" ht="16.5" thickBot="1">
      <c r="A1557" s="1900" t="s">
        <v>247</v>
      </c>
      <c r="C1557" s="1949">
        <f>SUM(C1552:C1554)</f>
        <v>40376856</v>
      </c>
      <c r="D1557" s="1949">
        <f>SUM(D1552:D1554)</f>
        <v>41940288</v>
      </c>
      <c r="F1557" s="1939"/>
      <c r="H1557" s="1647">
        <f>SUM(H1538:H1555)</f>
        <v>3076559.7230000002</v>
      </c>
      <c r="I1557" s="1647">
        <f>SUM(I1538:I1555)</f>
        <v>3195848.5589999999</v>
      </c>
      <c r="K1557" s="1939"/>
      <c r="M1557" s="1939"/>
      <c r="O1557" s="1939"/>
      <c r="Q1557" s="1939"/>
      <c r="S1557" s="1647">
        <f>SUM(S1538:S1545)</f>
        <v>946568</v>
      </c>
      <c r="U1557" s="1647">
        <f>SUM(U1538:U1545)</f>
        <v>1180481</v>
      </c>
      <c r="W1557" s="1647">
        <f>SUM(W1538:W1545)</f>
        <v>897582</v>
      </c>
      <c r="Y1557" s="1647">
        <f>SUM(Y1538:Y1545)</f>
        <v>3024632</v>
      </c>
      <c r="AA1557" s="1104" t="s">
        <v>1743</v>
      </c>
      <c r="AB1557" s="1890">
        <f>Y1557/I1557-1</f>
        <v>-5.3574678473993331E-2</v>
      </c>
      <c r="AC1557" s="596">
        <v>0.64568373716859839</v>
      </c>
    </row>
    <row r="1558" spans="1:29" ht="16.5" hidden="1" thickTop="1">
      <c r="C1558" s="528"/>
      <c r="D1558" s="528"/>
      <c r="AA1558" s="596"/>
      <c r="AB1558" s="596"/>
      <c r="AC1558" s="596"/>
    </row>
    <row r="1559" spans="1:29" hidden="1">
      <c r="A1559" s="1897" t="s">
        <v>564</v>
      </c>
      <c r="C1559" s="528"/>
      <c r="D1559" s="528"/>
      <c r="F1559" s="1943"/>
      <c r="G1559" s="1957"/>
      <c r="K1559" s="1943"/>
      <c r="L1559" s="1957"/>
      <c r="M1559" s="1943"/>
      <c r="N1559" s="1957"/>
      <c r="O1559" s="1943"/>
      <c r="P1559" s="1957"/>
      <c r="Q1559" s="1943"/>
      <c r="R1559" s="1957"/>
      <c r="S1559" s="1645"/>
      <c r="T1559" s="1645"/>
      <c r="U1559" s="1645"/>
      <c r="V1559" s="1645"/>
      <c r="W1559" s="1645"/>
      <c r="X1559" s="1645"/>
      <c r="AA1559" s="1109"/>
      <c r="AB1559" s="1917"/>
      <c r="AC1559" s="1974"/>
    </row>
    <row r="1560" spans="1:29" hidden="1">
      <c r="A1560" s="1900" t="s">
        <v>240</v>
      </c>
      <c r="C1560" s="528">
        <f>'9A'!G6</f>
        <v>24</v>
      </c>
      <c r="D1560" s="528">
        <f>Bill!P37</f>
        <v>24</v>
      </c>
      <c r="F1560" s="1901">
        <v>259</v>
      </c>
      <c r="G1560" s="1902"/>
      <c r="H1560" s="1644">
        <f>ROUND($F1560*C1560,0)</f>
        <v>6216</v>
      </c>
      <c r="I1560" s="1644">
        <f>ROUND($F1560*D1560,0)</f>
        <v>6216</v>
      </c>
      <c r="K1560" s="1901">
        <f>K1538</f>
        <v>269</v>
      </c>
      <c r="L1560" s="1902"/>
      <c r="M1560" s="1901">
        <f>M1538</f>
        <v>0</v>
      </c>
      <c r="N1560" s="1902"/>
      <c r="O1560" s="1901">
        <f>O1538</f>
        <v>0</v>
      </c>
      <c r="P1560" s="1902"/>
      <c r="Q1560" s="1901">
        <f>Q1538</f>
        <v>269</v>
      </c>
      <c r="R1560" s="1902"/>
      <c r="S1560" s="1644">
        <f t="shared" ref="S1560:S1563" si="1746">ROUND($D1560*K1560,0)</f>
        <v>6456</v>
      </c>
      <c r="T1560" s="1644"/>
      <c r="U1560" s="1644">
        <f t="shared" ref="U1560:U1563" si="1747">ROUND($D1560*M1560,0)</f>
        <v>0</v>
      </c>
      <c r="V1560" s="1644"/>
      <c r="W1560" s="1644">
        <f t="shared" ref="W1560:W1563" si="1748">ROUND($D1560*O1560,0)</f>
        <v>0</v>
      </c>
      <c r="X1560" s="1643"/>
      <c r="Y1560" s="1644">
        <f>ROUND($D1560*Q1560,0)</f>
        <v>6456</v>
      </c>
      <c r="AA1560" s="1109"/>
      <c r="AB1560" s="1917"/>
      <c r="AC1560" s="1974"/>
    </row>
    <row r="1561" spans="1:29" hidden="1">
      <c r="A1561" s="1900" t="s">
        <v>305</v>
      </c>
      <c r="C1561" s="528">
        <f>'9A'!H6</f>
        <v>72449</v>
      </c>
      <c r="D1561" s="528">
        <f>ROUND(C1561/C1579*D1579,0)</f>
        <v>75455</v>
      </c>
      <c r="F1561" s="1901">
        <v>2.2200000000000002</v>
      </c>
      <c r="G1561" s="1902"/>
      <c r="H1561" s="1644">
        <f>ROUND($F1561*C1561,0)</f>
        <v>160837</v>
      </c>
      <c r="I1561" s="1644">
        <f>ROUND($F1561*D1561,0)</f>
        <v>167510</v>
      </c>
      <c r="K1561" s="1901">
        <f t="shared" ref="K1561" si="1749">K1539</f>
        <v>2.2999999999999998</v>
      </c>
      <c r="L1561" s="1902"/>
      <c r="M1561" s="1901">
        <f t="shared" ref="M1561" si="1750">M1539</f>
        <v>0</v>
      </c>
      <c r="N1561" s="1902"/>
      <c r="O1561" s="1901">
        <f t="shared" ref="O1561" si="1751">O1539</f>
        <v>0</v>
      </c>
      <c r="P1561" s="1902"/>
      <c r="Q1561" s="1901">
        <f t="shared" ref="Q1561:Q1567" si="1752">Q1539</f>
        <v>2.2999999999999998</v>
      </c>
      <c r="R1561" s="1902"/>
      <c r="S1561" s="1644">
        <f t="shared" si="1746"/>
        <v>173547</v>
      </c>
      <c r="T1561" s="1644"/>
      <c r="U1561" s="1644">
        <f t="shared" si="1747"/>
        <v>0</v>
      </c>
      <c r="V1561" s="1644"/>
      <c r="W1561" s="1644">
        <f t="shared" si="1748"/>
        <v>0</v>
      </c>
      <c r="X1561" s="1643"/>
      <c r="Y1561" s="1644">
        <f t="shared" ref="Y1561:Y1563" si="1753">ROUND($D1561*Q1561,0)</f>
        <v>173547</v>
      </c>
    </row>
    <row r="1562" spans="1:29" hidden="1">
      <c r="A1562" s="1900" t="s">
        <v>1651</v>
      </c>
      <c r="C1562" s="528">
        <f>C1568*Z1562</f>
        <v>19256.85680578736</v>
      </c>
      <c r="D1562" s="528">
        <f>ROUND(C1562/C1579*D1579,0)</f>
        <v>20056</v>
      </c>
      <c r="F1562" s="1944"/>
      <c r="G1562" s="597"/>
      <c r="H1562" s="1644"/>
      <c r="I1562" s="1644"/>
      <c r="K1562" s="1944">
        <f t="shared" ref="K1562" si="1754">K1540</f>
        <v>1.5840000000000001</v>
      </c>
      <c r="L1562" s="597"/>
      <c r="M1562" s="1944">
        <f t="shared" ref="M1562" si="1755">M1540</f>
        <v>3.1943999999999999</v>
      </c>
      <c r="N1562" s="597"/>
      <c r="O1562" s="1944">
        <f t="shared" ref="O1562" si="1756">O1540</f>
        <v>0</v>
      </c>
      <c r="P1562" s="597"/>
      <c r="Q1562" s="1944">
        <f t="shared" si="1752"/>
        <v>4.7784000000000004</v>
      </c>
      <c r="R1562" s="597"/>
      <c r="S1562" s="1644">
        <f t="shared" si="1746"/>
        <v>31769</v>
      </c>
      <c r="T1562" s="1644"/>
      <c r="U1562" s="1644">
        <f t="shared" si="1747"/>
        <v>64067</v>
      </c>
      <c r="V1562" s="1644"/>
      <c r="W1562" s="1644">
        <f t="shared" si="1748"/>
        <v>0</v>
      </c>
      <c r="X1562" s="1645"/>
      <c r="Y1562" s="1644">
        <f t="shared" si="1753"/>
        <v>95836</v>
      </c>
      <c r="Z1562" s="1878">
        <f>'Large Profile'!L11</f>
        <v>0.81143000192935111</v>
      </c>
    </row>
    <row r="1563" spans="1:29" hidden="1">
      <c r="A1563" s="1900" t="s">
        <v>1652</v>
      </c>
      <c r="C1563" s="528">
        <f>C1569*Z1563</f>
        <v>55339.362799569572</v>
      </c>
      <c r="D1563" s="528">
        <f>ROUND(C1563/C1579*D1579,0)</f>
        <v>57635</v>
      </c>
      <c r="F1563" s="1944"/>
      <c r="G1563" s="597"/>
      <c r="H1563" s="1644"/>
      <c r="I1563" s="1644"/>
      <c r="K1563" s="1944">
        <f t="shared" ref="K1563" si="1757">K1541</f>
        <v>1.4025000000000001</v>
      </c>
      <c r="L1563" s="597"/>
      <c r="M1563" s="1944">
        <f t="shared" ref="M1563" si="1758">M1541</f>
        <v>2.8248000000000002</v>
      </c>
      <c r="N1563" s="597"/>
      <c r="O1563" s="1944">
        <f t="shared" ref="O1563" si="1759">O1541</f>
        <v>0</v>
      </c>
      <c r="P1563" s="597"/>
      <c r="Q1563" s="1944">
        <f t="shared" si="1752"/>
        <v>4.2273000000000005</v>
      </c>
      <c r="R1563" s="597"/>
      <c r="S1563" s="1644">
        <f t="shared" si="1746"/>
        <v>80833</v>
      </c>
      <c r="T1563" s="1644"/>
      <c r="U1563" s="1644">
        <f t="shared" si="1747"/>
        <v>162807</v>
      </c>
      <c r="V1563" s="1644"/>
      <c r="W1563" s="1644">
        <f t="shared" si="1748"/>
        <v>0</v>
      </c>
      <c r="X1563" s="1645"/>
      <c r="Y1563" s="1644">
        <f t="shared" si="1753"/>
        <v>243640</v>
      </c>
      <c r="Z1563" s="1878">
        <f>'Large Profile'!P11</f>
        <v>1.1359353572586484</v>
      </c>
    </row>
    <row r="1564" spans="1:29" hidden="1">
      <c r="A1564" s="1900" t="s">
        <v>1532</v>
      </c>
      <c r="C1564" s="528">
        <f>C1570*Z1564</f>
        <v>2782302.3349684644</v>
      </c>
      <c r="D1564" s="528">
        <f>ROUND(C1564/($C$1579-$C$1576)*$D$1579,0)</f>
        <v>2913115</v>
      </c>
      <c r="F1564" s="1943"/>
      <c r="G1564" s="1921"/>
      <c r="H1564" s="1644"/>
      <c r="I1564" s="1644"/>
      <c r="K1564" s="1943">
        <f t="shared" ref="K1564" si="1760">K1542</f>
        <v>0</v>
      </c>
      <c r="L1564" s="1921" t="s">
        <v>495</v>
      </c>
      <c r="M1564" s="1943">
        <f t="shared" ref="M1564" si="1761">M1542</f>
        <v>1.0927</v>
      </c>
      <c r="N1564" s="1921" t="s">
        <v>495</v>
      </c>
      <c r="O1564" s="1943">
        <f t="shared" ref="O1564" si="1762">O1542</f>
        <v>4.1108761607000002</v>
      </c>
      <c r="P1564" s="1921" t="s">
        <v>495</v>
      </c>
      <c r="Q1564" s="1943">
        <f t="shared" si="1752"/>
        <v>5.2035761607</v>
      </c>
      <c r="R1564" s="1921" t="s">
        <v>495</v>
      </c>
      <c r="S1564" s="1644">
        <f>ROUND($D1564*K1564/100,0)</f>
        <v>0</v>
      </c>
      <c r="T1564" s="1644"/>
      <c r="U1564" s="1644">
        <f>ROUND($D1564*M1564/100,0)</f>
        <v>31832</v>
      </c>
      <c r="V1564" s="1644"/>
      <c r="W1564" s="1644">
        <f>ROUND($D1564*O1564/100,0)</f>
        <v>119755</v>
      </c>
      <c r="X1564" s="1648"/>
      <c r="Y1564" s="1644">
        <f>ROUND($D1564*Q1564/100,0)</f>
        <v>151586</v>
      </c>
      <c r="Z1564" s="1878">
        <f>'Large Profile'!M11</f>
        <v>0.69164135480564293</v>
      </c>
    </row>
    <row r="1565" spans="1:29" hidden="1">
      <c r="A1565" s="1900" t="s">
        <v>1653</v>
      </c>
      <c r="C1565" s="528">
        <f>C1571*Z1565</f>
        <v>3512037.3579818872</v>
      </c>
      <c r="D1565" s="528">
        <f t="shared" ref="D1565:D1566" si="1763">ROUND(C1565/($C$1579-$C$1576)*$D$1579,0)</f>
        <v>3677159</v>
      </c>
      <c r="F1565" s="1943"/>
      <c r="G1565" s="1921"/>
      <c r="H1565" s="1644"/>
      <c r="I1565" s="1644"/>
      <c r="K1565" s="1943">
        <f t="shared" ref="K1565" si="1764">K1543</f>
        <v>0</v>
      </c>
      <c r="L1565" s="1921" t="s">
        <v>495</v>
      </c>
      <c r="M1565" s="1943">
        <f t="shared" ref="M1565" si="1765">M1543</f>
        <v>1.0927</v>
      </c>
      <c r="N1565" s="1921" t="s">
        <v>495</v>
      </c>
      <c r="O1565" s="1943">
        <f t="shared" ref="O1565" si="1766">O1543</f>
        <v>3.5122346554870001</v>
      </c>
      <c r="P1565" s="1921" t="s">
        <v>495</v>
      </c>
      <c r="Q1565" s="1943">
        <f t="shared" si="1752"/>
        <v>4.6049346554869999</v>
      </c>
      <c r="R1565" s="1921" t="s">
        <v>495</v>
      </c>
      <c r="S1565" s="1644">
        <f t="shared" ref="S1565:S1567" si="1767">ROUND($D1565*K1565/100,0)</f>
        <v>0</v>
      </c>
      <c r="T1565" s="1644"/>
      <c r="U1565" s="1644">
        <f t="shared" ref="U1565:U1567" si="1768">ROUND($D1565*M1565/100,0)</f>
        <v>40180</v>
      </c>
      <c r="V1565" s="1644"/>
      <c r="W1565" s="1644">
        <f t="shared" ref="W1565:W1567" si="1769">ROUND($D1565*O1565/100,0)</f>
        <v>129150</v>
      </c>
      <c r="X1565" s="1648"/>
      <c r="Y1565" s="1644">
        <f t="shared" ref="Y1565:Y1567" si="1770">ROUND($D1565*Q1565/100,0)</f>
        <v>169331</v>
      </c>
      <c r="Z1565" s="1878">
        <f>'Large Profile'!Q11</f>
        <v>0.49962363006591026</v>
      </c>
    </row>
    <row r="1566" spans="1:29" hidden="1">
      <c r="A1566" s="1900" t="s">
        <v>1533</v>
      </c>
      <c r="C1566" s="528">
        <f>C1572*Z1566</f>
        <v>3289467.3547564573</v>
      </c>
      <c r="D1566" s="528">
        <f t="shared" si="1763"/>
        <v>3444125</v>
      </c>
      <c r="F1566" s="1943"/>
      <c r="G1566" s="1921"/>
      <c r="H1566" s="1644"/>
      <c r="I1566" s="1644"/>
      <c r="K1566" s="1943">
        <f t="shared" ref="K1566" si="1771">K1544</f>
        <v>0</v>
      </c>
      <c r="L1566" s="1921" t="s">
        <v>495</v>
      </c>
      <c r="M1566" s="1943">
        <f t="shared" ref="M1566" si="1772">M1544</f>
        <v>1.0927</v>
      </c>
      <c r="N1566" s="1921" t="s">
        <v>495</v>
      </c>
      <c r="O1566" s="1943">
        <f t="shared" ref="O1566" si="1773">O1544</f>
        <v>1.5521862361710002</v>
      </c>
      <c r="P1566" s="1921" t="s">
        <v>495</v>
      </c>
      <c r="Q1566" s="1943">
        <f t="shared" si="1752"/>
        <v>2.6448862361710002</v>
      </c>
      <c r="R1566" s="1921" t="s">
        <v>495</v>
      </c>
      <c r="S1566" s="1644">
        <f t="shared" si="1767"/>
        <v>0</v>
      </c>
      <c r="T1566" s="1644"/>
      <c r="U1566" s="1644">
        <f t="shared" si="1768"/>
        <v>37634</v>
      </c>
      <c r="V1566" s="1644"/>
      <c r="W1566" s="1644">
        <f t="shared" si="1769"/>
        <v>53459</v>
      </c>
      <c r="X1566" s="1648"/>
      <c r="Y1566" s="1644">
        <f t="shared" si="1770"/>
        <v>91093</v>
      </c>
      <c r="Z1566" s="1878">
        <f>'Large Profile'!O11</f>
        <v>0.83672504038207063</v>
      </c>
    </row>
    <row r="1567" spans="1:29" hidden="1">
      <c r="A1567" s="1900" t="s">
        <v>2177</v>
      </c>
      <c r="C1567" s="528">
        <f>SUM(C1570:C1573)-SUM(C1564:C1566)</f>
        <v>13333883.952293191</v>
      </c>
      <c r="D1567" s="528">
        <f>D1579-SUM(D1564:D1566)</f>
        <v>13960788.423445866</v>
      </c>
      <c r="F1567" s="1943"/>
      <c r="G1567" s="1921"/>
      <c r="H1567" s="1644"/>
      <c r="I1567" s="1644"/>
      <c r="K1567" s="1943">
        <f t="shared" ref="K1567" si="1774">K1545</f>
        <v>0</v>
      </c>
      <c r="L1567" s="1921" t="s">
        <v>495</v>
      </c>
      <c r="M1567" s="1943">
        <f t="shared" ref="M1567" si="1775">M1545</f>
        <v>1.0927</v>
      </c>
      <c r="N1567" s="1921" t="s">
        <v>495</v>
      </c>
      <c r="O1567" s="1943">
        <f t="shared" ref="O1567" si="1776">O1545</f>
        <v>1.247907288647</v>
      </c>
      <c r="P1567" s="1921" t="s">
        <v>495</v>
      </c>
      <c r="Q1567" s="1943">
        <f t="shared" si="1752"/>
        <v>2.340607288647</v>
      </c>
      <c r="R1567" s="1921" t="s">
        <v>495</v>
      </c>
      <c r="S1567" s="1644">
        <f t="shared" si="1767"/>
        <v>0</v>
      </c>
      <c r="T1567" s="1644"/>
      <c r="U1567" s="1644">
        <f t="shared" si="1768"/>
        <v>152550</v>
      </c>
      <c r="V1567" s="1644"/>
      <c r="W1567" s="1644">
        <f t="shared" si="1769"/>
        <v>174218</v>
      </c>
      <c r="X1567" s="1648"/>
      <c r="Y1567" s="1644">
        <f t="shared" si="1770"/>
        <v>326767</v>
      </c>
    </row>
    <row r="1568" spans="1:29" hidden="1">
      <c r="A1568" s="1900" t="s">
        <v>2185</v>
      </c>
      <c r="C1568" s="528">
        <f>'9A'!S6</f>
        <v>23732</v>
      </c>
      <c r="D1568" s="528"/>
      <c r="F1568" s="1943"/>
      <c r="G1568" s="1921"/>
      <c r="H1568" s="1644"/>
      <c r="I1568" s="1644"/>
      <c r="K1568" s="1943"/>
      <c r="L1568" s="1921"/>
      <c r="M1568" s="1943"/>
      <c r="N1568" s="1921"/>
      <c r="O1568" s="1943"/>
      <c r="P1568" s="1921"/>
      <c r="Q1568" s="1943"/>
      <c r="R1568" s="1921"/>
      <c r="S1568" s="1648"/>
      <c r="T1568" s="1648"/>
      <c r="U1568" s="1648"/>
      <c r="V1568" s="1648"/>
      <c r="W1568" s="1648"/>
      <c r="X1568" s="1648"/>
      <c r="Y1568" s="1644"/>
    </row>
    <row r="1569" spans="1:28" hidden="1">
      <c r="A1569" s="1900" t="s">
        <v>2186</v>
      </c>
      <c r="C1569" s="528">
        <f>C1561-C1568</f>
        <v>48717</v>
      </c>
      <c r="D1569" s="528"/>
      <c r="F1569" s="1943"/>
      <c r="G1569" s="1921"/>
      <c r="H1569" s="1644"/>
      <c r="I1569" s="1644"/>
      <c r="K1569" s="1943"/>
      <c r="L1569" s="1921"/>
      <c r="M1569" s="1943"/>
      <c r="N1569" s="1921"/>
      <c r="O1569" s="1943"/>
      <c r="P1569" s="1921"/>
      <c r="Q1569" s="1943"/>
      <c r="R1569" s="1921"/>
      <c r="S1569" s="1648"/>
      <c r="T1569" s="1648"/>
      <c r="U1569" s="1648"/>
      <c r="V1569" s="1648"/>
      <c r="W1569" s="1648"/>
      <c r="X1569" s="1648"/>
      <c r="Y1569" s="1644"/>
    </row>
    <row r="1570" spans="1:28" hidden="1">
      <c r="A1570" s="1900" t="s">
        <v>2187</v>
      </c>
      <c r="C1570" s="528">
        <f>'9A'!Q6</f>
        <v>4022753</v>
      </c>
      <c r="D1570" s="528"/>
      <c r="F1570" s="1943"/>
      <c r="G1570" s="1921"/>
      <c r="H1570" s="1644"/>
      <c r="I1570" s="1644"/>
      <c r="K1570" s="1943"/>
      <c r="L1570" s="1921"/>
      <c r="M1570" s="1943"/>
      <c r="N1570" s="1921"/>
      <c r="O1570" s="1943"/>
      <c r="P1570" s="1921"/>
      <c r="Q1570" s="1943"/>
      <c r="R1570" s="1921"/>
      <c r="S1570" s="1648"/>
      <c r="T1570" s="1648"/>
      <c r="U1570" s="1648"/>
      <c r="V1570" s="1648"/>
      <c r="W1570" s="1648"/>
      <c r="X1570" s="1648"/>
      <c r="Y1570" s="1644"/>
    </row>
    <row r="1571" spans="1:28" hidden="1">
      <c r="A1571" s="1900" t="s">
        <v>2188</v>
      </c>
      <c r="C1571" s="528">
        <f>C1574-C1570</f>
        <v>7029366</v>
      </c>
      <c r="D1571" s="528"/>
      <c r="F1571" s="1943"/>
      <c r="G1571" s="1921"/>
      <c r="H1571" s="1644"/>
      <c r="I1571" s="1644"/>
      <c r="K1571" s="1943"/>
      <c r="L1571" s="1921"/>
      <c r="M1571" s="1943"/>
      <c r="N1571" s="1921"/>
      <c r="O1571" s="1943"/>
      <c r="P1571" s="1921"/>
      <c r="Q1571" s="1943"/>
      <c r="R1571" s="1921"/>
      <c r="S1571" s="1648"/>
      <c r="T1571" s="1648"/>
      <c r="U1571" s="1648"/>
      <c r="V1571" s="1648"/>
      <c r="W1571" s="1648"/>
      <c r="X1571" s="1648"/>
      <c r="Y1571" s="1644"/>
    </row>
    <row r="1572" spans="1:28" hidden="1">
      <c r="A1572" s="1900" t="s">
        <v>2189</v>
      </c>
      <c r="C1572" s="528">
        <f>'9A'!R6</f>
        <v>3931360</v>
      </c>
      <c r="D1572" s="528"/>
      <c r="F1572" s="1943"/>
      <c r="G1572" s="1921"/>
      <c r="H1572" s="1644"/>
      <c r="I1572" s="1644"/>
      <c r="K1572" s="1943"/>
      <c r="L1572" s="1921"/>
      <c r="M1572" s="1943"/>
      <c r="N1572" s="1921"/>
      <c r="O1572" s="1943"/>
      <c r="P1572" s="1921"/>
      <c r="Q1572" s="1943"/>
      <c r="R1572" s="1921"/>
      <c r="S1572" s="1648"/>
      <c r="T1572" s="1648"/>
      <c r="U1572" s="1648"/>
      <c r="V1572" s="1648"/>
      <c r="W1572" s="1648"/>
      <c r="X1572" s="1648"/>
      <c r="Y1572" s="1644"/>
    </row>
    <row r="1573" spans="1:28" hidden="1">
      <c r="A1573" s="1900" t="s">
        <v>2190</v>
      </c>
      <c r="C1573" s="528">
        <f>C1575-C1572</f>
        <v>7934212</v>
      </c>
      <c r="D1573" s="528"/>
      <c r="F1573" s="1943"/>
      <c r="G1573" s="1921"/>
      <c r="H1573" s="1644"/>
      <c r="I1573" s="1644"/>
      <c r="K1573" s="1943"/>
      <c r="L1573" s="1921"/>
      <c r="M1573" s="1943"/>
      <c r="N1573" s="1921"/>
      <c r="O1573" s="1943"/>
      <c r="P1573" s="1921"/>
      <c r="Q1573" s="1943"/>
      <c r="R1573" s="1921"/>
      <c r="S1573" s="1648"/>
      <c r="T1573" s="1648"/>
      <c r="U1573" s="1648"/>
      <c r="V1573" s="1648"/>
      <c r="W1573" s="1648"/>
      <c r="X1573" s="1648"/>
      <c r="Y1573" s="1644"/>
    </row>
    <row r="1574" spans="1:28" hidden="1">
      <c r="A1574" s="1900" t="s">
        <v>248</v>
      </c>
      <c r="C1574" s="528">
        <f>'9A'!J6</f>
        <v>11052119</v>
      </c>
      <c r="D1574" s="528">
        <f>ROUND(C1574/(C1579-C1576)*D1579,0)</f>
        <v>11571745</v>
      </c>
      <c r="F1574" s="1920">
        <v>8.6029</v>
      </c>
      <c r="G1574" s="1921" t="s">
        <v>495</v>
      </c>
      <c r="H1574" s="1644">
        <f>ROUND($F1574*C1574/100,0)</f>
        <v>950803</v>
      </c>
      <c r="I1574" s="1644">
        <f>ROUND($F1574*D1574/100,0)</f>
        <v>995506</v>
      </c>
      <c r="K1574" s="1920"/>
      <c r="L1574" s="1921"/>
      <c r="M1574" s="1920"/>
      <c r="N1574" s="1921"/>
      <c r="O1574" s="1920"/>
      <c r="P1574" s="1921"/>
      <c r="Q1574" s="1920"/>
      <c r="R1574" s="1921"/>
      <c r="S1574" s="1648"/>
      <c r="T1574" s="1648"/>
      <c r="U1574" s="1648"/>
      <c r="V1574" s="1648"/>
      <c r="W1574" s="1648"/>
      <c r="X1574" s="1648"/>
      <c r="Y1574" s="1644"/>
    </row>
    <row r="1575" spans="1:28" hidden="1">
      <c r="A1575" s="1900" t="s">
        <v>249</v>
      </c>
      <c r="C1575" s="528">
        <f>'9A'!K6</f>
        <v>11865572</v>
      </c>
      <c r="D1575" s="528">
        <f>ROUND(C1575/(C1579-C1576)*D1579,0)</f>
        <v>12423443</v>
      </c>
      <c r="F1575" s="1920">
        <v>3.6981000000000002</v>
      </c>
      <c r="G1575" s="1921" t="s">
        <v>495</v>
      </c>
      <c r="H1575" s="1644">
        <f>ROUND($F1575*C1575/100,0)</f>
        <v>438801</v>
      </c>
      <c r="I1575" s="1644">
        <f>ROUND($F1575*D1575/100,0)</f>
        <v>459431</v>
      </c>
      <c r="K1575" s="1920"/>
      <c r="L1575" s="1921"/>
      <c r="M1575" s="1920"/>
      <c r="N1575" s="1921"/>
      <c r="O1575" s="1920"/>
      <c r="P1575" s="1921"/>
      <c r="Q1575" s="1920"/>
      <c r="R1575" s="1921"/>
      <c r="S1575" s="1648"/>
      <c r="T1575" s="1648"/>
      <c r="U1575" s="1648"/>
      <c r="V1575" s="1648"/>
      <c r="W1575" s="1648"/>
      <c r="X1575" s="1648"/>
      <c r="Y1575" s="1644"/>
    </row>
    <row r="1576" spans="1:28" hidden="1">
      <c r="A1576" s="1900" t="s">
        <v>246</v>
      </c>
      <c r="C1576" s="529">
        <f>'Table 2'!J57</f>
        <v>121585</v>
      </c>
      <c r="D1576" s="529">
        <v>0</v>
      </c>
      <c r="H1576" s="1030">
        <f>'Table 3'!F57</f>
        <v>8886</v>
      </c>
      <c r="I1576" s="1030">
        <v>0</v>
      </c>
      <c r="Y1576" s="1030"/>
    </row>
    <row r="1577" spans="1:28" hidden="1">
      <c r="A1577" s="1900" t="s">
        <v>1240</v>
      </c>
      <c r="C1577" s="584"/>
      <c r="D1577" s="584"/>
      <c r="F1577" s="1930">
        <v>-3.4099999999999998E-2</v>
      </c>
      <c r="G1577" s="597"/>
      <c r="H1577" s="1644">
        <f>SUM(H1574:H1575)*$F1577</f>
        <v>-47385.496399999996</v>
      </c>
      <c r="I1577" s="1644">
        <f>SUM(I1574:I1575)*$F1577</f>
        <v>-49613.351699999999</v>
      </c>
      <c r="K1577" s="1930"/>
      <c r="L1577" s="597"/>
      <c r="M1577" s="1930"/>
      <c r="N1577" s="597"/>
      <c r="O1577" s="1931" t="str">
        <f>$O$43</f>
        <v>Tax Year 1 (7/1/2021)</v>
      </c>
      <c r="P1577" s="597"/>
      <c r="Q1577" s="1930">
        <f>$AC$1491</f>
        <v>-2.5700000000000001E-2</v>
      </c>
      <c r="R1577" s="597"/>
      <c r="S1577" s="1645"/>
      <c r="T1577" s="1645"/>
      <c r="U1577" s="1645"/>
      <c r="V1577" s="1645"/>
      <c r="W1577" s="1645"/>
      <c r="X1577" s="1645"/>
      <c r="Y1577" s="1644">
        <f>Q1577*SUM(Y1562:Y1567)</f>
        <v>-27711.1021</v>
      </c>
    </row>
    <row r="1578" spans="1:28" hidden="1">
      <c r="A1578" s="1900"/>
      <c r="C1578" s="584"/>
      <c r="D1578" s="584"/>
      <c r="F1578" s="1930"/>
      <c r="G1578" s="597"/>
      <c r="H1578" s="1644"/>
      <c r="I1578" s="1644"/>
      <c r="K1578" s="1930"/>
      <c r="L1578" s="597"/>
      <c r="M1578" s="1930"/>
      <c r="N1578" s="597"/>
      <c r="O1578" s="1931" t="str">
        <f>$O$44</f>
        <v>Tax Year 2 (1/1/2022)</v>
      </c>
      <c r="P1578" s="597"/>
      <c r="Q1578" s="1930">
        <f>$AC$1492</f>
        <v>-1.3899999999999999E-2</v>
      </c>
      <c r="R1578" s="597"/>
      <c r="S1578" s="1645"/>
      <c r="T1578" s="1645"/>
      <c r="U1578" s="1645"/>
      <c r="V1578" s="1645"/>
      <c r="W1578" s="1645"/>
      <c r="X1578" s="1645"/>
      <c r="Y1578" s="1644">
        <f>Q1578*SUM(Y1562:Y1567)</f>
        <v>-14987.716699999999</v>
      </c>
    </row>
    <row r="1579" spans="1:28" ht="16.5" hidden="1" thickBot="1">
      <c r="A1579" s="1900" t="s">
        <v>247</v>
      </c>
      <c r="C1579" s="1949">
        <f>SUM(C1574:C1576)</f>
        <v>23039276</v>
      </c>
      <c r="D1579" s="1949">
        <f>Energy!P37</f>
        <v>23995187.423445866</v>
      </c>
      <c r="F1579" s="1939"/>
      <c r="H1579" s="1647">
        <f>SUM(H1560:H1577)</f>
        <v>1518157.5035999999</v>
      </c>
      <c r="I1579" s="1647">
        <f>SUM(I1560:I1577)</f>
        <v>1579049.6483</v>
      </c>
      <c r="K1579" s="1939"/>
      <c r="M1579" s="1939"/>
      <c r="O1579" s="1939"/>
      <c r="Q1579" s="1939"/>
      <c r="S1579" s="1647">
        <f>SUM(S1560:S1567)</f>
        <v>292605</v>
      </c>
      <c r="U1579" s="1647">
        <f>SUM(U1560:U1567)</f>
        <v>489070</v>
      </c>
      <c r="W1579" s="1647">
        <f>SUM(W1560:W1567)</f>
        <v>476582</v>
      </c>
      <c r="Y1579" s="1647">
        <f>SUM(Y1560:Y1567)</f>
        <v>1258256</v>
      </c>
      <c r="AA1579" s="1104" t="s">
        <v>1743</v>
      </c>
      <c r="AB1579" s="1890">
        <f>Y1579/I1579-1</f>
        <v>-0.2031561506918832</v>
      </c>
    </row>
    <row r="1580" spans="1:28" ht="16.5" hidden="1" thickTop="1">
      <c r="C1580" s="528"/>
      <c r="D1580" s="528"/>
    </row>
    <row r="1581" spans="1:28" hidden="1">
      <c r="A1581" s="1897" t="s">
        <v>565</v>
      </c>
      <c r="C1581" s="528"/>
      <c r="D1581" s="528"/>
      <c r="F1581" s="1943"/>
      <c r="G1581" s="1957"/>
      <c r="K1581" s="1943"/>
      <c r="L1581" s="1957"/>
      <c r="M1581" s="1943"/>
      <c r="N1581" s="1957"/>
      <c r="O1581" s="1943"/>
      <c r="P1581" s="1957"/>
      <c r="Q1581" s="1943"/>
      <c r="R1581" s="1957"/>
      <c r="S1581" s="1645"/>
      <c r="T1581" s="1645"/>
      <c r="U1581" s="1645"/>
      <c r="V1581" s="1645"/>
      <c r="W1581" s="1645"/>
      <c r="X1581" s="1645"/>
    </row>
    <row r="1582" spans="1:28" hidden="1">
      <c r="A1582" s="1900" t="s">
        <v>240</v>
      </c>
      <c r="C1582" s="528">
        <f>'9A'!G7</f>
        <v>84</v>
      </c>
      <c r="D1582" s="528">
        <f>Bill!P62</f>
        <v>84</v>
      </c>
      <c r="F1582" s="1944">
        <v>259</v>
      </c>
      <c r="G1582" s="597"/>
      <c r="H1582" s="1644">
        <f>ROUND($F1582*C1582,0)</f>
        <v>21756</v>
      </c>
      <c r="I1582" s="1644">
        <f>ROUND($F1582*D1582,0)</f>
        <v>21756</v>
      </c>
      <c r="K1582" s="1944">
        <f>K1538</f>
        <v>269</v>
      </c>
      <c r="L1582" s="597"/>
      <c r="M1582" s="1944">
        <f>M1538</f>
        <v>0</v>
      </c>
      <c r="N1582" s="597"/>
      <c r="O1582" s="1944">
        <f>O1538</f>
        <v>0</v>
      </c>
      <c r="P1582" s="597"/>
      <c r="Q1582" s="1944">
        <f>Q1538</f>
        <v>269</v>
      </c>
      <c r="R1582" s="597"/>
      <c r="S1582" s="1644">
        <f t="shared" ref="S1582:S1585" si="1777">ROUND($D1582*K1582,0)</f>
        <v>22596</v>
      </c>
      <c r="T1582" s="1644"/>
      <c r="U1582" s="1644">
        <f t="shared" ref="U1582:U1585" si="1778">ROUND($D1582*M1582,0)</f>
        <v>0</v>
      </c>
      <c r="V1582" s="1644"/>
      <c r="W1582" s="1644">
        <f t="shared" ref="W1582:W1585" si="1779">ROUND($D1582*O1582,0)</f>
        <v>0</v>
      </c>
      <c r="X1582" s="1645"/>
      <c r="Y1582" s="1644">
        <f>ROUND($D1582*Q1582,0)</f>
        <v>22596</v>
      </c>
    </row>
    <row r="1583" spans="1:28" hidden="1">
      <c r="A1583" s="1900" t="s">
        <v>305</v>
      </c>
      <c r="C1583" s="528">
        <f>'9A'!H7</f>
        <v>161957</v>
      </c>
      <c r="D1583" s="528">
        <f>ROUND(C1583/C1601*D1601,0)</f>
        <v>167632</v>
      </c>
      <c r="F1583" s="1944">
        <v>2.2200000000000002</v>
      </c>
      <c r="G1583" s="597"/>
      <c r="H1583" s="1644">
        <f>ROUND($F1583*C1583,0)</f>
        <v>359545</v>
      </c>
      <c r="I1583" s="1644">
        <f>ROUND($F1583*D1583,0)</f>
        <v>372143</v>
      </c>
      <c r="K1583" s="1944">
        <f t="shared" ref="K1583" si="1780">K1539</f>
        <v>2.2999999999999998</v>
      </c>
      <c r="L1583" s="597"/>
      <c r="M1583" s="1944">
        <f t="shared" ref="M1583" si="1781">M1539</f>
        <v>0</v>
      </c>
      <c r="N1583" s="597"/>
      <c r="O1583" s="1944">
        <f t="shared" ref="O1583" si="1782">O1539</f>
        <v>0</v>
      </c>
      <c r="P1583" s="597"/>
      <c r="Q1583" s="1944">
        <f t="shared" ref="Q1583:Q1589" si="1783">Q1539</f>
        <v>2.2999999999999998</v>
      </c>
      <c r="R1583" s="597"/>
      <c r="S1583" s="1644">
        <f t="shared" si="1777"/>
        <v>385554</v>
      </c>
      <c r="T1583" s="1644"/>
      <c r="U1583" s="1644">
        <f t="shared" si="1778"/>
        <v>0</v>
      </c>
      <c r="V1583" s="1644"/>
      <c r="W1583" s="1644">
        <f t="shared" si="1779"/>
        <v>0</v>
      </c>
      <c r="X1583" s="1645"/>
      <c r="Y1583" s="1644">
        <f t="shared" ref="Y1583:Y1585" si="1784">ROUND($D1583*Q1583,0)</f>
        <v>385554</v>
      </c>
    </row>
    <row r="1584" spans="1:28" hidden="1">
      <c r="A1584" s="1900" t="s">
        <v>1651</v>
      </c>
      <c r="C1584" s="528">
        <f>C1590*Z1584</f>
        <v>54110.209678658779</v>
      </c>
      <c r="D1584" s="528">
        <f>ROUND(C1584/C1601*D1601,0)</f>
        <v>56006</v>
      </c>
      <c r="F1584" s="1944"/>
      <c r="G1584" s="597"/>
      <c r="H1584" s="1644"/>
      <c r="I1584" s="1644"/>
      <c r="K1584" s="1944">
        <f t="shared" ref="K1584" si="1785">K1540</f>
        <v>1.5840000000000001</v>
      </c>
      <c r="L1584" s="597"/>
      <c r="M1584" s="1944">
        <f t="shared" ref="M1584" si="1786">M1540</f>
        <v>3.1943999999999999</v>
      </c>
      <c r="N1584" s="597"/>
      <c r="O1584" s="1944">
        <f t="shared" ref="O1584" si="1787">O1540</f>
        <v>0</v>
      </c>
      <c r="P1584" s="597"/>
      <c r="Q1584" s="1944">
        <f t="shared" si="1783"/>
        <v>4.7784000000000004</v>
      </c>
      <c r="R1584" s="597"/>
      <c r="S1584" s="1644">
        <f t="shared" si="1777"/>
        <v>88714</v>
      </c>
      <c r="T1584" s="1644"/>
      <c r="U1584" s="1644">
        <f t="shared" si="1778"/>
        <v>178906</v>
      </c>
      <c r="V1584" s="1644"/>
      <c r="W1584" s="1644">
        <f t="shared" si="1779"/>
        <v>0</v>
      </c>
      <c r="X1584" s="1645"/>
      <c r="Y1584" s="1644">
        <f t="shared" si="1784"/>
        <v>267619</v>
      </c>
      <c r="Z1584" s="1878">
        <f>Z1562</f>
        <v>0.81143000192935111</v>
      </c>
    </row>
    <row r="1585" spans="1:26" hidden="1">
      <c r="A1585" s="1900" t="s">
        <v>1652</v>
      </c>
      <c r="C1585" s="528">
        <f>C1591*Z1585</f>
        <v>108222.83335674595</v>
      </c>
      <c r="D1585" s="528">
        <f>ROUND(C1585/C1601*D1601,0)</f>
        <v>112015</v>
      </c>
      <c r="F1585" s="1944"/>
      <c r="G1585" s="597"/>
      <c r="H1585" s="1644"/>
      <c r="I1585" s="1644"/>
      <c r="K1585" s="1944">
        <f t="shared" ref="K1585" si="1788">K1541</f>
        <v>1.4025000000000001</v>
      </c>
      <c r="L1585" s="597"/>
      <c r="M1585" s="1944">
        <f t="shared" ref="M1585" si="1789">M1541</f>
        <v>2.8248000000000002</v>
      </c>
      <c r="N1585" s="597"/>
      <c r="O1585" s="1944">
        <f t="shared" ref="O1585" si="1790">O1541</f>
        <v>0</v>
      </c>
      <c r="P1585" s="597"/>
      <c r="Q1585" s="1944">
        <f t="shared" si="1783"/>
        <v>4.2273000000000005</v>
      </c>
      <c r="R1585" s="597"/>
      <c r="S1585" s="1644">
        <f t="shared" si="1777"/>
        <v>157101</v>
      </c>
      <c r="T1585" s="1644"/>
      <c r="U1585" s="1644">
        <f t="shared" si="1778"/>
        <v>316420</v>
      </c>
      <c r="V1585" s="1644"/>
      <c r="W1585" s="1644">
        <f t="shared" si="1779"/>
        <v>0</v>
      </c>
      <c r="X1585" s="1645"/>
      <c r="Y1585" s="1644">
        <f t="shared" si="1784"/>
        <v>473521</v>
      </c>
      <c r="Z1585" s="1878">
        <f t="shared" ref="Z1585:Z1588" si="1791">Z1563</f>
        <v>1.1359353572586484</v>
      </c>
    </row>
    <row r="1586" spans="1:26" hidden="1">
      <c r="A1586" s="1900" t="s">
        <v>1532</v>
      </c>
      <c r="C1586" s="528">
        <f>C1592*Z1586</f>
        <v>3746524.389192495</v>
      </c>
      <c r="D1586" s="528">
        <f>ROUND(C1586/($C$1601-$C$1576)*$D$1601,0)</f>
        <v>3905191</v>
      </c>
      <c r="F1586" s="1943"/>
      <c r="G1586" s="1921"/>
      <c r="H1586" s="1644"/>
      <c r="I1586" s="1644"/>
      <c r="K1586" s="1943">
        <f t="shared" ref="K1586" si="1792">K1542</f>
        <v>0</v>
      </c>
      <c r="L1586" s="1921" t="s">
        <v>495</v>
      </c>
      <c r="M1586" s="1943">
        <f t="shared" ref="M1586" si="1793">M1542</f>
        <v>1.0927</v>
      </c>
      <c r="N1586" s="1921" t="s">
        <v>495</v>
      </c>
      <c r="O1586" s="1943">
        <f t="shared" ref="O1586" si="1794">O1542</f>
        <v>4.1108761607000002</v>
      </c>
      <c r="P1586" s="1921" t="s">
        <v>495</v>
      </c>
      <c r="Q1586" s="1943">
        <f t="shared" si="1783"/>
        <v>5.2035761607</v>
      </c>
      <c r="R1586" s="1921" t="s">
        <v>495</v>
      </c>
      <c r="S1586" s="1644">
        <f>ROUND($D1586*K1586/100,0)</f>
        <v>0</v>
      </c>
      <c r="T1586" s="1644"/>
      <c r="U1586" s="1644">
        <f>ROUND($D1586*M1586/100,0)</f>
        <v>42672</v>
      </c>
      <c r="V1586" s="1644"/>
      <c r="W1586" s="1644">
        <f>ROUND($D1586*O1586/100,0)</f>
        <v>160538</v>
      </c>
      <c r="X1586" s="1648"/>
      <c r="Y1586" s="1644">
        <f>ROUND($D1586*Q1586/100,0)</f>
        <v>203210</v>
      </c>
      <c r="Z1586" s="1878">
        <f t="shared" si="1791"/>
        <v>0.69164135480564293</v>
      </c>
    </row>
    <row r="1587" spans="1:26" hidden="1">
      <c r="A1587" s="1900" t="s">
        <v>1653</v>
      </c>
      <c r="C1587" s="528">
        <f>C1593*Z1587</f>
        <v>3320308.7884386145</v>
      </c>
      <c r="D1587" s="528">
        <f t="shared" ref="D1587:D1588" si="1795">ROUND(C1587/($C$1601-$C$1576)*$D$1601,0)</f>
        <v>3460925</v>
      </c>
      <c r="F1587" s="1943"/>
      <c r="G1587" s="1921"/>
      <c r="H1587" s="1644"/>
      <c r="I1587" s="1644"/>
      <c r="K1587" s="1943">
        <f t="shared" ref="K1587" si="1796">K1543</f>
        <v>0</v>
      </c>
      <c r="L1587" s="1921" t="s">
        <v>495</v>
      </c>
      <c r="M1587" s="1943">
        <f t="shared" ref="M1587" si="1797">M1543</f>
        <v>1.0927</v>
      </c>
      <c r="N1587" s="1921" t="s">
        <v>495</v>
      </c>
      <c r="O1587" s="1943">
        <f t="shared" ref="O1587" si="1798">O1543</f>
        <v>3.5122346554870001</v>
      </c>
      <c r="P1587" s="1921" t="s">
        <v>495</v>
      </c>
      <c r="Q1587" s="1943">
        <f t="shared" si="1783"/>
        <v>4.6049346554869999</v>
      </c>
      <c r="R1587" s="1921" t="s">
        <v>495</v>
      </c>
      <c r="S1587" s="1644">
        <f t="shared" ref="S1587:S1589" si="1799">ROUND($D1587*K1587/100,0)</f>
        <v>0</v>
      </c>
      <c r="T1587" s="1644"/>
      <c r="U1587" s="1644">
        <f t="shared" ref="U1587:U1589" si="1800">ROUND($D1587*M1587/100,0)</f>
        <v>37818</v>
      </c>
      <c r="V1587" s="1644"/>
      <c r="W1587" s="1644">
        <f t="shared" ref="W1587:W1589" si="1801">ROUND($D1587*O1587/100,0)</f>
        <v>121556</v>
      </c>
      <c r="X1587" s="1648"/>
      <c r="Y1587" s="1644">
        <f t="shared" ref="Y1587:Y1589" si="1802">ROUND($D1587*Q1587/100,0)</f>
        <v>159373</v>
      </c>
      <c r="Z1587" s="1878">
        <f t="shared" si="1791"/>
        <v>0.49962363006591026</v>
      </c>
    </row>
    <row r="1588" spans="1:26" hidden="1">
      <c r="A1588" s="1900" t="s">
        <v>1533</v>
      </c>
      <c r="C1588" s="528">
        <f>C1594*Z1588</f>
        <v>2172757.3813617383</v>
      </c>
      <c r="D1588" s="528">
        <f t="shared" si="1795"/>
        <v>2264775</v>
      </c>
      <c r="F1588" s="1943"/>
      <c r="G1588" s="1921"/>
      <c r="H1588" s="1644"/>
      <c r="I1588" s="1644"/>
      <c r="K1588" s="1943">
        <f t="shared" ref="K1588" si="1803">K1544</f>
        <v>0</v>
      </c>
      <c r="L1588" s="1921" t="s">
        <v>495</v>
      </c>
      <c r="M1588" s="1943">
        <f t="shared" ref="M1588" si="1804">M1544</f>
        <v>1.0927</v>
      </c>
      <c r="N1588" s="1921" t="s">
        <v>495</v>
      </c>
      <c r="O1588" s="1943">
        <f t="shared" ref="O1588" si="1805">O1544</f>
        <v>1.5521862361710002</v>
      </c>
      <c r="P1588" s="1921" t="s">
        <v>495</v>
      </c>
      <c r="Q1588" s="1943">
        <f t="shared" si="1783"/>
        <v>2.6448862361710002</v>
      </c>
      <c r="R1588" s="1921" t="s">
        <v>495</v>
      </c>
      <c r="S1588" s="1644">
        <f t="shared" si="1799"/>
        <v>0</v>
      </c>
      <c r="T1588" s="1644"/>
      <c r="U1588" s="1644">
        <f t="shared" si="1800"/>
        <v>24747</v>
      </c>
      <c r="V1588" s="1644"/>
      <c r="W1588" s="1644">
        <f t="shared" si="1801"/>
        <v>35154</v>
      </c>
      <c r="X1588" s="1648"/>
      <c r="Y1588" s="1644">
        <f t="shared" si="1802"/>
        <v>59901</v>
      </c>
      <c r="Z1588" s="1878">
        <f t="shared" si="1791"/>
        <v>0.83672504038207063</v>
      </c>
    </row>
    <row r="1589" spans="1:26" hidden="1">
      <c r="A1589" s="1900" t="s">
        <v>2177</v>
      </c>
      <c r="C1589" s="528">
        <f>SUM(C1592:C1595)-SUM(C1586:C1588)</f>
        <v>8383669.4410071522</v>
      </c>
      <c r="D1589" s="528">
        <f>D1601-SUM(D1586:D1588)</f>
        <v>8314209</v>
      </c>
      <c r="F1589" s="1943"/>
      <c r="G1589" s="1921"/>
      <c r="H1589" s="1644"/>
      <c r="I1589" s="1644"/>
      <c r="K1589" s="1943">
        <f t="shared" ref="K1589" si="1806">K1545</f>
        <v>0</v>
      </c>
      <c r="L1589" s="1921" t="s">
        <v>495</v>
      </c>
      <c r="M1589" s="1943">
        <f t="shared" ref="M1589" si="1807">M1545</f>
        <v>1.0927</v>
      </c>
      <c r="N1589" s="1921" t="s">
        <v>495</v>
      </c>
      <c r="O1589" s="1943">
        <f t="shared" ref="O1589" si="1808">O1545</f>
        <v>1.247907288647</v>
      </c>
      <c r="P1589" s="1921" t="s">
        <v>495</v>
      </c>
      <c r="Q1589" s="1943">
        <f t="shared" si="1783"/>
        <v>2.340607288647</v>
      </c>
      <c r="R1589" s="1921" t="s">
        <v>495</v>
      </c>
      <c r="S1589" s="1644">
        <f t="shared" si="1799"/>
        <v>0</v>
      </c>
      <c r="T1589" s="1644"/>
      <c r="U1589" s="1644">
        <f t="shared" si="1800"/>
        <v>90849</v>
      </c>
      <c r="V1589" s="1644"/>
      <c r="W1589" s="1644">
        <f t="shared" si="1801"/>
        <v>103754</v>
      </c>
      <c r="X1589" s="1648"/>
      <c r="Y1589" s="1644">
        <f t="shared" si="1802"/>
        <v>194603</v>
      </c>
    </row>
    <row r="1590" spans="1:26" hidden="1">
      <c r="A1590" s="1900" t="s">
        <v>2185</v>
      </c>
      <c r="C1590" s="528">
        <f>'9A'!S7</f>
        <v>66685</v>
      </c>
      <c r="D1590" s="528"/>
      <c r="F1590" s="1943"/>
      <c r="G1590" s="1921"/>
      <c r="H1590" s="1644"/>
      <c r="I1590" s="1644"/>
      <c r="K1590" s="1943"/>
      <c r="L1590" s="1921"/>
      <c r="M1590" s="1943"/>
      <c r="N1590" s="1921"/>
      <c r="O1590" s="1943"/>
      <c r="P1590" s="1921"/>
      <c r="Q1590" s="1943"/>
      <c r="R1590" s="1921"/>
      <c r="S1590" s="1648"/>
      <c r="T1590" s="1648"/>
      <c r="U1590" s="1648"/>
      <c r="V1590" s="1648"/>
      <c r="W1590" s="1648"/>
      <c r="X1590" s="1648"/>
      <c r="Y1590" s="1644"/>
    </row>
    <row r="1591" spans="1:26" hidden="1">
      <c r="A1591" s="1900" t="s">
        <v>2186</v>
      </c>
      <c r="C1591" s="528">
        <f>C1583-C1590</f>
        <v>95272</v>
      </c>
      <c r="D1591" s="528"/>
      <c r="F1591" s="1943"/>
      <c r="G1591" s="1921"/>
      <c r="H1591" s="1644"/>
      <c r="I1591" s="1644"/>
      <c r="K1591" s="1943"/>
      <c r="L1591" s="1921"/>
      <c r="M1591" s="1943"/>
      <c r="N1591" s="1921"/>
      <c r="O1591" s="1943"/>
      <c r="P1591" s="1921"/>
      <c r="Q1591" s="1943"/>
      <c r="R1591" s="1921"/>
      <c r="S1591" s="1648"/>
      <c r="T1591" s="1648"/>
      <c r="U1591" s="1648"/>
      <c r="V1591" s="1648"/>
      <c r="W1591" s="1648"/>
      <c r="X1591" s="1648"/>
      <c r="Y1591" s="1644"/>
    </row>
    <row r="1592" spans="1:26" hidden="1">
      <c r="A1592" s="1900" t="s">
        <v>2187</v>
      </c>
      <c r="C1592" s="528">
        <f>'9A'!Q7</f>
        <v>5416860</v>
      </c>
      <c r="D1592" s="528"/>
      <c r="F1592" s="1943"/>
      <c r="G1592" s="1921"/>
      <c r="H1592" s="1644"/>
      <c r="I1592" s="1644"/>
      <c r="K1592" s="1943"/>
      <c r="L1592" s="1921"/>
      <c r="M1592" s="1943"/>
      <c r="N1592" s="1921"/>
      <c r="O1592" s="1943"/>
      <c r="P1592" s="1921"/>
      <c r="Q1592" s="1943"/>
      <c r="R1592" s="1921"/>
      <c r="S1592" s="1648"/>
      <c r="T1592" s="1648"/>
      <c r="U1592" s="1648"/>
      <c r="V1592" s="1648"/>
      <c r="W1592" s="1648"/>
      <c r="X1592" s="1648"/>
      <c r="Y1592" s="1644"/>
    </row>
    <row r="1593" spans="1:26" hidden="1">
      <c r="A1593" s="1900" t="s">
        <v>2188</v>
      </c>
      <c r="C1593" s="528">
        <f>C1596-C1592</f>
        <v>6645620</v>
      </c>
      <c r="D1593" s="528"/>
      <c r="F1593" s="1943"/>
      <c r="G1593" s="1921"/>
      <c r="H1593" s="1644"/>
      <c r="I1593" s="1644"/>
      <c r="K1593" s="1943"/>
      <c r="L1593" s="1921"/>
      <c r="M1593" s="1943"/>
      <c r="N1593" s="1921"/>
      <c r="O1593" s="1943"/>
      <c r="P1593" s="1921"/>
      <c r="Q1593" s="1943"/>
      <c r="R1593" s="1921"/>
      <c r="S1593" s="1648"/>
      <c r="T1593" s="1648"/>
      <c r="U1593" s="1648"/>
      <c r="V1593" s="1648"/>
      <c r="W1593" s="1648"/>
      <c r="X1593" s="1648"/>
      <c r="Y1593" s="1644"/>
    </row>
    <row r="1594" spans="1:26" hidden="1">
      <c r="A1594" s="1900" t="s">
        <v>2189</v>
      </c>
      <c r="C1594" s="528">
        <f>'9A'!R7</f>
        <v>2596740</v>
      </c>
      <c r="D1594" s="528"/>
      <c r="F1594" s="1943"/>
      <c r="G1594" s="1921"/>
      <c r="H1594" s="1644"/>
      <c r="I1594" s="1644"/>
      <c r="K1594" s="1943"/>
      <c r="L1594" s="1921"/>
      <c r="M1594" s="1943"/>
      <c r="N1594" s="1921"/>
      <c r="O1594" s="1943"/>
      <c r="P1594" s="1921"/>
      <c r="Q1594" s="1943"/>
      <c r="R1594" s="1921"/>
      <c r="S1594" s="1648"/>
      <c r="T1594" s="1648"/>
      <c r="U1594" s="1648"/>
      <c r="V1594" s="1648"/>
      <c r="W1594" s="1648"/>
      <c r="X1594" s="1648"/>
      <c r="Y1594" s="1644"/>
    </row>
    <row r="1595" spans="1:26" hidden="1">
      <c r="A1595" s="1900" t="s">
        <v>2190</v>
      </c>
      <c r="C1595" s="528">
        <f>C1597-C1594</f>
        <v>2964040</v>
      </c>
      <c r="D1595" s="528"/>
      <c r="F1595" s="1943"/>
      <c r="G1595" s="1921"/>
      <c r="H1595" s="1644"/>
      <c r="I1595" s="1644"/>
      <c r="K1595" s="1943"/>
      <c r="L1595" s="1921"/>
      <c r="M1595" s="1943"/>
      <c r="N1595" s="1921"/>
      <c r="O1595" s="1943"/>
      <c r="P1595" s="1921"/>
      <c r="Q1595" s="1943"/>
      <c r="R1595" s="1921"/>
      <c r="S1595" s="1648"/>
      <c r="T1595" s="1648"/>
      <c r="U1595" s="1648"/>
      <c r="V1595" s="1648"/>
      <c r="W1595" s="1648"/>
      <c r="X1595" s="1648"/>
      <c r="Y1595" s="1644"/>
    </row>
    <row r="1596" spans="1:26" hidden="1">
      <c r="A1596" s="1900" t="s">
        <v>248</v>
      </c>
      <c r="C1596" s="528">
        <f>'9A'!J7</f>
        <v>12062480</v>
      </c>
      <c r="D1596" s="528">
        <f>ROUND(C1596/(C1601-C1598)*D1601,0)</f>
        <v>12282768</v>
      </c>
      <c r="F1596" s="1942">
        <v>8.6029</v>
      </c>
      <c r="G1596" s="1921" t="s">
        <v>495</v>
      </c>
      <c r="H1596" s="1644">
        <f>ROUND($F1596*C1596/100,0)</f>
        <v>1037723</v>
      </c>
      <c r="I1596" s="1644">
        <f>ROUND($F1596*D1596/100,0)</f>
        <v>1056674</v>
      </c>
      <c r="K1596" s="1920"/>
      <c r="L1596" s="1921"/>
      <c r="M1596" s="1920"/>
      <c r="N1596" s="1921"/>
      <c r="O1596" s="1920"/>
      <c r="P1596" s="1921"/>
      <c r="Q1596" s="1920"/>
      <c r="R1596" s="1921"/>
      <c r="S1596" s="1648"/>
      <c r="T1596" s="1648"/>
      <c r="U1596" s="1648"/>
      <c r="V1596" s="1648"/>
      <c r="W1596" s="1648"/>
      <c r="X1596" s="1648"/>
      <c r="Y1596" s="1644"/>
    </row>
    <row r="1597" spans="1:26" hidden="1">
      <c r="A1597" s="1900" t="s">
        <v>249</v>
      </c>
      <c r="C1597" s="528">
        <f>'9A'!K7</f>
        <v>5560780</v>
      </c>
      <c r="D1597" s="528">
        <f>ROUND(C1597/(C1601-C1598)*D1601,0)</f>
        <v>5662332</v>
      </c>
      <c r="F1597" s="1942">
        <v>3.6981000000000002</v>
      </c>
      <c r="G1597" s="1921" t="s">
        <v>495</v>
      </c>
      <c r="H1597" s="1644">
        <f>ROUND($F1597*C1597/100,0)</f>
        <v>205643</v>
      </c>
      <c r="I1597" s="1644">
        <f>ROUND($F1597*D1597/100,0)</f>
        <v>209399</v>
      </c>
      <c r="K1597" s="1920"/>
      <c r="L1597" s="1921"/>
      <c r="M1597" s="1920"/>
      <c r="N1597" s="1921"/>
      <c r="O1597" s="1920"/>
      <c r="P1597" s="1921"/>
      <c r="Q1597" s="1920"/>
      <c r="R1597" s="1921"/>
      <c r="S1597" s="1648"/>
      <c r="T1597" s="1648"/>
      <c r="U1597" s="1648"/>
      <c r="V1597" s="1648"/>
      <c r="W1597" s="1648"/>
      <c r="X1597" s="1648"/>
      <c r="Y1597" s="1644"/>
    </row>
    <row r="1598" spans="1:26" hidden="1">
      <c r="A1598" s="1900" t="s">
        <v>246</v>
      </c>
      <c r="C1598" s="529">
        <f>'Table 2'!J92</f>
        <v>-285680</v>
      </c>
      <c r="D1598" s="529">
        <v>0</v>
      </c>
      <c r="H1598" s="1030">
        <f>'Table 3'!F92</f>
        <v>-23865</v>
      </c>
      <c r="I1598" s="1030">
        <v>0</v>
      </c>
      <c r="Y1598" s="1030"/>
    </row>
    <row r="1599" spans="1:26" hidden="1">
      <c r="A1599" s="1900" t="s">
        <v>1240</v>
      </c>
      <c r="C1599" s="584"/>
      <c r="D1599" s="584"/>
      <c r="F1599" s="1930">
        <v>-3.4099999999999998E-2</v>
      </c>
      <c r="G1599" s="597"/>
      <c r="H1599" s="1644">
        <f>SUM(H1596:H1597)*$F1599</f>
        <v>-42398.780599999998</v>
      </c>
      <c r="I1599" s="1644">
        <f>SUM(I1596:I1597)*$F1599</f>
        <v>-43173.0893</v>
      </c>
      <c r="K1599" s="1930"/>
      <c r="L1599" s="597"/>
      <c r="M1599" s="1930"/>
      <c r="N1599" s="597"/>
      <c r="O1599" s="1931" t="str">
        <f>$O$43</f>
        <v>Tax Year 1 (7/1/2021)</v>
      </c>
      <c r="P1599" s="597"/>
      <c r="Q1599" s="1930">
        <f>$AC$1491</f>
        <v>-2.5700000000000001E-2</v>
      </c>
      <c r="R1599" s="597"/>
      <c r="S1599" s="1645"/>
      <c r="T1599" s="1645"/>
      <c r="U1599" s="1645"/>
      <c r="V1599" s="1645"/>
      <c r="W1599" s="1645"/>
      <c r="X1599" s="1645"/>
      <c r="Y1599" s="1644">
        <f>Q1599*SUM(Y1584:Y1589)</f>
        <v>-34906.433900000004</v>
      </c>
    </row>
    <row r="1600" spans="1:26" hidden="1">
      <c r="A1600" s="1900"/>
      <c r="C1600" s="584"/>
      <c r="D1600" s="584"/>
      <c r="F1600" s="1930"/>
      <c r="G1600" s="597"/>
      <c r="H1600" s="1644"/>
      <c r="I1600" s="1644"/>
      <c r="K1600" s="1930"/>
      <c r="L1600" s="597"/>
      <c r="M1600" s="1930"/>
      <c r="N1600" s="597"/>
      <c r="O1600" s="1931" t="str">
        <f>$O$44</f>
        <v>Tax Year 2 (1/1/2022)</v>
      </c>
      <c r="P1600" s="597"/>
      <c r="Q1600" s="1930">
        <f>$AC$1492</f>
        <v>-1.3899999999999999E-2</v>
      </c>
      <c r="R1600" s="597"/>
      <c r="S1600" s="1645"/>
      <c r="T1600" s="1645"/>
      <c r="U1600" s="1645"/>
      <c r="V1600" s="1645"/>
      <c r="W1600" s="1645"/>
      <c r="X1600" s="1645"/>
      <c r="Y1600" s="1644">
        <f>Q1600*SUM(Y1584:Y1589)</f>
        <v>-18879.355299999999</v>
      </c>
    </row>
    <row r="1601" spans="1:29" ht="16.5" hidden="1" thickBot="1">
      <c r="A1601" s="1900" t="s">
        <v>247</v>
      </c>
      <c r="C1601" s="1949">
        <f>SUM(C1596:C1598)</f>
        <v>17337580</v>
      </c>
      <c r="D1601" s="1949">
        <f>Energy!P62</f>
        <v>17945100</v>
      </c>
      <c r="F1601" s="1939"/>
      <c r="H1601" s="1647">
        <f>SUM(H1582:H1599)</f>
        <v>1558403.2194000001</v>
      </c>
      <c r="I1601" s="1647">
        <f>SUM(I1582:I1599)</f>
        <v>1616798.9106999999</v>
      </c>
      <c r="K1601" s="1939"/>
      <c r="M1601" s="1939"/>
      <c r="O1601" s="1939"/>
      <c r="Q1601" s="1939"/>
      <c r="S1601" s="1647">
        <f>SUM(S1582:S1589)</f>
        <v>653965</v>
      </c>
      <c r="U1601" s="1647">
        <f>SUM(U1582:U1589)</f>
        <v>691412</v>
      </c>
      <c r="W1601" s="1647">
        <f>SUM(W1582:W1589)</f>
        <v>421002</v>
      </c>
      <c r="Y1601" s="1647">
        <f>SUM(Y1582:Y1589)</f>
        <v>1766377</v>
      </c>
      <c r="AA1601" s="1104" t="s">
        <v>1743</v>
      </c>
      <c r="AB1601" s="1890">
        <f>Y1601/I1601-1</f>
        <v>9.2514961699992515E-2</v>
      </c>
    </row>
    <row r="1602" spans="1:29" ht="16.5" thickTop="1">
      <c r="C1602" s="528"/>
      <c r="D1602" s="528"/>
    </row>
    <row r="1603" spans="1:29">
      <c r="A1603" s="1897" t="s">
        <v>566</v>
      </c>
    </row>
    <row r="1604" spans="1:29">
      <c r="A1604" s="1900" t="s">
        <v>286</v>
      </c>
      <c r="C1604" s="528">
        <f>'10'!J17</f>
        <v>9.5836800000000011</v>
      </c>
      <c r="D1604" s="528">
        <f>ROUND(C1604/SUM($C$1604:$C$1605,$C$1642:$C$1643)*Bill!$P$80/12,0)</f>
        <v>10</v>
      </c>
      <c r="F1604" s="1944">
        <v>125</v>
      </c>
      <c r="G1604" s="597"/>
      <c r="H1604" s="1644">
        <f t="shared" ref="H1604:I1608" si="1809">ROUND($F1604*C1604,0)</f>
        <v>1198</v>
      </c>
      <c r="I1604" s="1644">
        <f t="shared" si="1809"/>
        <v>1250</v>
      </c>
      <c r="K1604" s="1944">
        <f>Q1604</f>
        <v>124</v>
      </c>
      <c r="L1604" s="597"/>
      <c r="M1604" s="1944"/>
      <c r="N1604" s="597"/>
      <c r="O1604" s="1944"/>
      <c r="P1604" s="597"/>
      <c r="Q1604" s="1944">
        <f>ROUND(F1604*(1+$AB$1609),0)</f>
        <v>124</v>
      </c>
      <c r="R1604" s="597"/>
      <c r="S1604" s="1645">
        <f>MIN($S$1619,Y1604)</f>
        <v>1240</v>
      </c>
      <c r="T1604" s="1645"/>
      <c r="U1604" s="1645"/>
      <c r="V1604" s="1645"/>
      <c r="W1604" s="1645"/>
      <c r="X1604" s="1645"/>
      <c r="Y1604" s="1644">
        <f>ROUND($D1604*Q1604,0)</f>
        <v>1240</v>
      </c>
      <c r="AA1604" s="1104" t="s">
        <v>1754</v>
      </c>
      <c r="AB1604" s="1104"/>
    </row>
    <row r="1605" spans="1:29">
      <c r="A1605" s="1900" t="s">
        <v>287</v>
      </c>
      <c r="C1605" s="528">
        <f>'10'!J18</f>
        <v>3100.0205263157914</v>
      </c>
      <c r="D1605" s="528">
        <f>ROUND(C1605/SUM($C$1604:$C$1605,$C$1642:$C$1643)*Bill!$P$80/12,0)</f>
        <v>3273</v>
      </c>
      <c r="F1605" s="1944">
        <v>38</v>
      </c>
      <c r="G1605" s="597"/>
      <c r="H1605" s="1644">
        <f t="shared" si="1809"/>
        <v>117801</v>
      </c>
      <c r="I1605" s="1644">
        <f t="shared" si="1809"/>
        <v>124374</v>
      </c>
      <c r="K1605" s="1944">
        <f t="shared" ref="K1605:K1608" si="1810">Q1605</f>
        <v>38</v>
      </c>
      <c r="L1605" s="597"/>
      <c r="M1605" s="1944"/>
      <c r="N1605" s="597"/>
      <c r="O1605" s="1944"/>
      <c r="P1605" s="597"/>
      <c r="Q1605" s="1944">
        <f>ROUND(F1605*(1+$AB$1609),0)</f>
        <v>38</v>
      </c>
      <c r="R1605" s="597"/>
      <c r="S1605" s="1645">
        <f>MIN($S$1619-$S$1604,Y1605)</f>
        <v>124374</v>
      </c>
      <c r="T1605" s="1645"/>
      <c r="U1605" s="1645"/>
      <c r="V1605" s="1645"/>
      <c r="W1605" s="1645"/>
      <c r="X1605" s="1645"/>
      <c r="Y1605" s="1644">
        <f t="shared" ref="Y1605:Y1608" si="1811">ROUND($D1605*Q1605,0)</f>
        <v>124374</v>
      </c>
      <c r="AA1605" s="1903" t="s">
        <v>1741</v>
      </c>
      <c r="AB1605" s="1904">
        <f>Y1619+Y1639+Y1657</f>
        <v>18357035</v>
      </c>
    </row>
    <row r="1606" spans="1:29">
      <c r="A1606" s="1900" t="s">
        <v>306</v>
      </c>
      <c r="C1606" s="528">
        <f>'10'!L19</f>
        <v>14065.268571428629</v>
      </c>
      <c r="D1606" s="528">
        <f>ROUND(C1606/($C$1604+$C$1605)*($D$1604+$D$1605),0)</f>
        <v>14850</v>
      </c>
      <c r="F1606" s="1944">
        <v>14</v>
      </c>
      <c r="G1606" s="597"/>
      <c r="H1606" s="1644">
        <f t="shared" si="1809"/>
        <v>196914</v>
      </c>
      <c r="I1606" s="1644">
        <f t="shared" si="1809"/>
        <v>207900</v>
      </c>
      <c r="K1606" s="1944">
        <f t="shared" si="1810"/>
        <v>14</v>
      </c>
      <c r="L1606" s="597"/>
      <c r="M1606" s="1944"/>
      <c r="N1606" s="597"/>
      <c r="O1606" s="1944"/>
      <c r="P1606" s="597"/>
      <c r="Q1606" s="1944">
        <f>ROUND(F1606*(1+$AB$1609),0)</f>
        <v>14</v>
      </c>
      <c r="R1606" s="597"/>
      <c r="S1606" s="1645">
        <f>MIN($S$1619-$S$1604-$S$1605,Y1606+Y1613)*Y1606/(Y1606+Y1613)</f>
        <v>207900</v>
      </c>
      <c r="T1606" s="1645"/>
      <c r="U1606" s="1645"/>
      <c r="V1606" s="1645"/>
      <c r="W1606" s="1645"/>
      <c r="X1606" s="1645"/>
      <c r="Y1606" s="1644">
        <f t="shared" si="1811"/>
        <v>207900</v>
      </c>
      <c r="AA1606" s="1905" t="s">
        <v>1742</v>
      </c>
      <c r="AB1606" s="1906">
        <f>RateSpread!M41*1000</f>
        <v>18357034.453499999</v>
      </c>
    </row>
    <row r="1607" spans="1:29">
      <c r="A1607" s="1900" t="s">
        <v>180</v>
      </c>
      <c r="C1607" s="528">
        <f>'10'!N19</f>
        <v>382160.32605729927</v>
      </c>
      <c r="D1607" s="528">
        <f>ROUND(C1607/$C$1611*$D$1611,0)</f>
        <v>425282</v>
      </c>
      <c r="F1607" s="1944">
        <v>7.33</v>
      </c>
      <c r="G1607" s="597"/>
      <c r="H1607" s="1644">
        <f t="shared" si="1809"/>
        <v>2801235</v>
      </c>
      <c r="I1607" s="1644">
        <f t="shared" si="1809"/>
        <v>3117317</v>
      </c>
      <c r="K1607" s="1944">
        <f t="shared" si="1810"/>
        <v>7.29</v>
      </c>
      <c r="L1607" s="597"/>
      <c r="M1607" s="1944"/>
      <c r="N1607" s="597"/>
      <c r="O1607" s="1944"/>
      <c r="P1607" s="597"/>
      <c r="Q1607" s="1944">
        <f>ROUND(F1607*(1+$AB$1609),2)</f>
        <v>7.29</v>
      </c>
      <c r="R1607" s="597"/>
      <c r="S1607" s="1645">
        <f>MIN($S$1619-$S$1604-$S$1605-$S$1606-$S$1613,Y1607+Y1608)*Y1607/(Y1607+Y1608)</f>
        <v>3100306</v>
      </c>
      <c r="T1607" s="1645"/>
      <c r="U1607" s="1645"/>
      <c r="V1607" s="1645"/>
      <c r="W1607" s="1645"/>
      <c r="X1607" s="1645"/>
      <c r="Y1607" s="1644">
        <f t="shared" si="1811"/>
        <v>3100306</v>
      </c>
      <c r="AA1607" s="1908" t="s">
        <v>87</v>
      </c>
      <c r="AB1607" s="1975">
        <f>AB1606-AB1605</f>
        <v>-0.54650000110268593</v>
      </c>
    </row>
    <row r="1608" spans="1:29">
      <c r="A1608" s="1900" t="s">
        <v>261</v>
      </c>
      <c r="C1608" s="528">
        <f>'10'!O19</f>
        <v>4222.9317073170741</v>
      </c>
      <c r="D1608" s="528">
        <f t="shared" ref="D1608:D1610" si="1812">ROUND(C1608/$C$1611*$D$1611,0)</f>
        <v>4699</v>
      </c>
      <c r="F1608" s="1944">
        <v>-2.0499999999999998</v>
      </c>
      <c r="G1608" s="597"/>
      <c r="H1608" s="1644">
        <f t="shared" si="1809"/>
        <v>-8657</v>
      </c>
      <c r="I1608" s="1644">
        <f t="shared" si="1809"/>
        <v>-9633</v>
      </c>
      <c r="K1608" s="1944">
        <f t="shared" si="1810"/>
        <v>-2.0499999999999998</v>
      </c>
      <c r="L1608" s="597"/>
      <c r="M1608" s="1944"/>
      <c r="N1608" s="597"/>
      <c r="O1608" s="1944"/>
      <c r="P1608" s="597"/>
      <c r="Q1608" s="1944">
        <f>F1608</f>
        <v>-2.0499999999999998</v>
      </c>
      <c r="R1608" s="597"/>
      <c r="S1608" s="1645">
        <f>MIN($S$1619-$S$1604-$S$1605-$S$1606-$S$1613,Y1607+Y1608)*Y1608/(Y1607+Y1608)</f>
        <v>-9633</v>
      </c>
      <c r="T1608" s="1645"/>
      <c r="U1608" s="1645"/>
      <c r="V1608" s="1645"/>
      <c r="W1608" s="1645"/>
      <c r="X1608" s="1645"/>
      <c r="Y1608" s="1644">
        <f t="shared" si="1811"/>
        <v>-9633</v>
      </c>
      <c r="AA1608" s="1903" t="s">
        <v>1743</v>
      </c>
      <c r="AB1608" s="1958">
        <f>AB1605/(I1619+I1639+I1657)-1</f>
        <v>3.7146728649431582E-2</v>
      </c>
    </row>
    <row r="1609" spans="1:29">
      <c r="A1609" s="1900" t="s">
        <v>307</v>
      </c>
      <c r="C1609" s="528">
        <f>'10'!T19+TempRev!C354-TempRev!M354</f>
        <v>81533915.261207223</v>
      </c>
      <c r="D1609" s="528">
        <f t="shared" si="1812"/>
        <v>90734008</v>
      </c>
      <c r="F1609" s="1920">
        <v>7.2971000000000004</v>
      </c>
      <c r="G1609" s="1921" t="s">
        <v>495</v>
      </c>
      <c r="H1609" s="1644">
        <f>ROUND($F1609*C1609/100,0)</f>
        <v>5949611</v>
      </c>
      <c r="I1609" s="1644">
        <f>ROUND($F1609*D1609/100,0)</f>
        <v>6620951</v>
      </c>
      <c r="K1609" s="1920">
        <f>ROUND((S1609+S1610)/($D$1609+$D$1610)*100,4)</f>
        <v>1.6061000000000001</v>
      </c>
      <c r="L1609" s="1921" t="s">
        <v>495</v>
      </c>
      <c r="M1609" s="1920">
        <f>Q1609-K1609-O1609</f>
        <v>3.5750331336169991</v>
      </c>
      <c r="N1609" s="1921" t="s">
        <v>495</v>
      </c>
      <c r="O1609" s="1920">
        <f>ROUND((W1609+W1610+W1614)/($D$1609+$D$1610+$D$1614/AC1610)*100,4)</f>
        <v>2.0764</v>
      </c>
      <c r="P1609" s="1921" t="s">
        <v>495</v>
      </c>
      <c r="Q1609" s="1920">
        <f>ROUND(F1609*(1+$AB$1609),$AB$8)</f>
        <v>7.2575331336169997</v>
      </c>
      <c r="R1609" s="1921" t="s">
        <v>495</v>
      </c>
      <c r="S1609" s="1645">
        <f>MIN($S$1619-$S$1604-$S$1605-$S$1606-$S$1613-$S$1607-$S$1608,Y1609+Y1610+Y1614)*Y1609/(Y1609+Y1610+Y1614)</f>
        <v>1616082.2207329781</v>
      </c>
      <c r="T1609" s="1648"/>
      <c r="U1609" s="1648">
        <f>MIN($U$1619,SUM($Y$1609:$Y$1610,$Y$1614,-$S$1609,-$S$1610,-$S$1614))*Y1609/($Y$1609+$Y$1610+$Y$1614)</f>
        <v>2808067.6870570006</v>
      </c>
      <c r="V1609" s="1648"/>
      <c r="W1609" s="1648">
        <f>Y1609-S1609-U1609</f>
        <v>2160901.0922100218</v>
      </c>
      <c r="X1609" s="1648"/>
      <c r="Y1609" s="1644">
        <f>ROUND($D1609*Q1609/100,0)</f>
        <v>6585051</v>
      </c>
      <c r="AA1609" s="1915" t="s">
        <v>1744</v>
      </c>
      <c r="AB1609" s="1954">
        <f>(AB1606-I1608-I1626-I1646)/SUM(I1604:I1607,I1609:I1610,I1613:I1614,I1622:I1625,I1627:I1630,I1633:I1634,I1642:I1645,I1647:I1648,I1651:I1652)-1</f>
        <v>-5.4222727361561418E-3</v>
      </c>
      <c r="AC1609" s="1954">
        <f>AB1606/(I1619+I1639+I1657)-1</f>
        <v>3.714669777294799E-2</v>
      </c>
    </row>
    <row r="1610" spans="1:29">
      <c r="A1610" s="1900" t="s">
        <v>95</v>
      </c>
      <c r="C1610" s="529">
        <f>'10'!U19+TempRev!C355-TempRev!M355</f>
        <v>49286217.0382604</v>
      </c>
      <c r="D1610" s="529">
        <f t="shared" si="1812"/>
        <v>54847557</v>
      </c>
      <c r="F1610" s="1920">
        <v>5.3936000000000002</v>
      </c>
      <c r="G1610" s="1921" t="s">
        <v>495</v>
      </c>
      <c r="H1610" s="1030">
        <f>ROUND($F1610*C1610/100,0)</f>
        <v>2658301</v>
      </c>
      <c r="I1610" s="1030">
        <f>ROUND($F1610*D1610/100,0)</f>
        <v>2958258</v>
      </c>
      <c r="K1610" s="1920">
        <f>K1609</f>
        <v>1.6061000000000001</v>
      </c>
      <c r="L1610" s="1921" t="s">
        <v>495</v>
      </c>
      <c r="M1610" s="1920">
        <f>Q1610-K1610-O1610</f>
        <v>1.6818544297699995</v>
      </c>
      <c r="N1610" s="1921" t="s">
        <v>495</v>
      </c>
      <c r="O1610" s="1920">
        <f>O1609</f>
        <v>2.0764</v>
      </c>
      <c r="P1610" s="1921" t="s">
        <v>495</v>
      </c>
      <c r="Q1610" s="1920">
        <f>ROUND(F1610*(1+$AB$1609),$AB$8)</f>
        <v>5.3643544297699997</v>
      </c>
      <c r="R1610" s="1921" t="s">
        <v>495</v>
      </c>
      <c r="S1610" s="1648">
        <f>MIN($S$1619-$S$1604-$S$1605-$S$1606-$S$1613-$S$1607-$S$1608,Y1609+Y1610+Y1614)*Y1610/(Y1609+Y1610+Y1614)</f>
        <v>722069.51521534473</v>
      </c>
      <c r="T1610" s="1648"/>
      <c r="U1610" s="1648">
        <f>MIN($U$1619,SUM($Y$1609:$Y$1610,$Y$1614,-$S$1609,-$S$1610,-$S$1614))*Y1610/($Y$1609+$Y$1610+$Y$1614)</f>
        <v>1254651.5563827504</v>
      </c>
      <c r="V1610" s="1648"/>
      <c r="W1610" s="1648">
        <f>Y1610-S1610-U1610</f>
        <v>965495.92840190488</v>
      </c>
      <c r="X1610" s="1648"/>
      <c r="Y1610" s="1644">
        <f>ROUND($D1610*Q1610/100,0)</f>
        <v>2942217</v>
      </c>
      <c r="AA1610" s="1905" t="s">
        <v>1751</v>
      </c>
      <c r="AB1610" s="1953">
        <f>(AB1606-SUM(Y1604:Y1606,Y1613,Y1622:Y1624,Y1633,Y1642:Y1644,Y1651))/SUM(I1607:I1610,I1614,I1625:I1630,I1634,I1645:I1648,I1652)-1</f>
        <v>-5.0081311426799502E-3</v>
      </c>
      <c r="AC1610" s="1869">
        <v>1.1299999999999999</v>
      </c>
    </row>
    <row r="1611" spans="1:29">
      <c r="A1611" s="1900" t="s">
        <v>308</v>
      </c>
      <c r="C1611" s="529">
        <f>C1610+C1609</f>
        <v>130820132.29946762</v>
      </c>
      <c r="D1611" s="529">
        <f>ROUND(C1611/($C$1611+$C$1615+$C$1649+$C$1653)*Energy!$P$80,0)</f>
        <v>145581565</v>
      </c>
      <c r="F1611" s="1976"/>
      <c r="H1611" s="1030">
        <f>SUM(H1604:H1610)</f>
        <v>11716403</v>
      </c>
      <c r="I1611" s="1030">
        <f>SUM(I1604:I1610)</f>
        <v>13020417</v>
      </c>
      <c r="K1611" s="1976"/>
      <c r="M1611" s="1976"/>
      <c r="O1611" s="1976"/>
      <c r="Q1611" s="1976"/>
      <c r="Y1611" s="1030">
        <f>SUM(Y1604:Y1610)</f>
        <v>12951455</v>
      </c>
      <c r="AA1611" s="1915"/>
      <c r="AB1611" s="1954"/>
    </row>
    <row r="1612" spans="1:29">
      <c r="A1612" s="1900" t="s">
        <v>34</v>
      </c>
      <c r="C1612" s="528"/>
      <c r="D1612" s="528"/>
      <c r="AA1612" s="1109" t="s">
        <v>1938</v>
      </c>
      <c r="AB1612" s="1917">
        <f>RateSpread!W41*1000</f>
        <v>-484738.72254342056</v>
      </c>
      <c r="AC1612" s="1918">
        <f>ROUND(AB1612/SUM(Y1607,Y1609:Y1610,Y1614,Y1625,Y1627:Y1630,Y1634,Y1645,Y1647:Y1648,Y1652),4)</f>
        <v>-2.7099999999999999E-2</v>
      </c>
    </row>
    <row r="1613" spans="1:29">
      <c r="A1613" s="1900" t="s">
        <v>927</v>
      </c>
      <c r="C1613" s="584">
        <f>'10'!M19</f>
        <v>6655.8378571428157</v>
      </c>
      <c r="D1613" s="528">
        <f>ROUND(C1613/($C$1604+$C$1605)*($D$1604+$D$1605),0)</f>
        <v>7027</v>
      </c>
      <c r="F1613" s="597">
        <v>14</v>
      </c>
      <c r="G1613" s="597"/>
      <c r="H1613" s="1645">
        <f>ROUND($F1613*C1613,0)</f>
        <v>93182</v>
      </c>
      <c r="I1613" s="1645">
        <f>ROUND($F1613*D1613,0)</f>
        <v>98378</v>
      </c>
      <c r="K1613" s="1944">
        <f>Q1613</f>
        <v>14</v>
      </c>
      <c r="L1613" s="597"/>
      <c r="M1613" s="1944"/>
      <c r="N1613" s="597"/>
      <c r="O1613" s="1944"/>
      <c r="P1613" s="597"/>
      <c r="Q1613" s="597">
        <f>Q1606</f>
        <v>14</v>
      </c>
      <c r="R1613" s="597"/>
      <c r="S1613" s="1645">
        <f>MIN($S$1619-$S$1604-$S$1605,Y1606+Y1613)*Y1613/(Y1606+Y1613)</f>
        <v>98378</v>
      </c>
      <c r="T1613" s="1645"/>
      <c r="U1613" s="1645"/>
      <c r="V1613" s="1645"/>
      <c r="W1613" s="1645"/>
      <c r="X1613" s="1645"/>
      <c r="Y1613" s="1644">
        <f>ROUND($D1613*Q1613,0)</f>
        <v>98378</v>
      </c>
      <c r="AA1613" s="1109" t="s">
        <v>1939</v>
      </c>
      <c r="AB1613" s="1917">
        <f>RateSpread!X41*1000</f>
        <v>-263127.37084689405</v>
      </c>
      <c r="AC1613" s="1918">
        <f>ROUND(AB1613/SUM(Y1607,Y1609:Y1610,Y1614,Y1625,Y1627:Y1630,Y1634,Y1645,Y1647:Y1648,Y1652),4)</f>
        <v>-1.47E-2</v>
      </c>
    </row>
    <row r="1614" spans="1:29">
      <c r="A1614" s="1900" t="s">
        <v>35</v>
      </c>
      <c r="C1614" s="529">
        <f>'10'!Q19+TempRev!C358-TempRev!M358</f>
        <v>46055318.353969723</v>
      </c>
      <c r="D1614" s="529">
        <f>D1615</f>
        <v>51252091</v>
      </c>
      <c r="F1614" s="1943">
        <v>4.9983000000000004</v>
      </c>
      <c r="G1614" s="1921" t="s">
        <v>495</v>
      </c>
      <c r="H1614" s="1649">
        <f>ROUND($F1614*C1614/100,0)</f>
        <v>2301983</v>
      </c>
      <c r="I1614" s="1649">
        <f>ROUND($F1614*D1614/100,0)</f>
        <v>2561733</v>
      </c>
      <c r="K1614" s="1920">
        <f>ROUND(S1614/$D1614*100,4)</f>
        <v>1.2232000000000001</v>
      </c>
      <c r="L1614" s="1921" t="s">
        <v>495</v>
      </c>
      <c r="M1614" s="1920">
        <f>Q1614-K1614-O1614</f>
        <v>1.9233657574191942</v>
      </c>
      <c r="N1614" s="1921" t="s">
        <v>495</v>
      </c>
      <c r="O1614" s="1920">
        <f>O1609/AC1610</f>
        <v>1.8375221238938055</v>
      </c>
      <c r="P1614" s="1921" t="s">
        <v>495</v>
      </c>
      <c r="Q1614" s="1920">
        <f>ROUND((AB1606-SUM(Y1611:Y1613,Y1631:Y1633,Y1649:Y1651))/(D1614+D1634+D1652)*100,$AB$8)</f>
        <v>4.9840878813130001</v>
      </c>
      <c r="R1614" s="1921" t="s">
        <v>495</v>
      </c>
      <c r="S1614" s="1648">
        <f>MIN($S$1619-$S$1604-$S$1605-$S$1606-$S$1613-$S$1607-$S$1608,Y1609+Y1610+Y1614)*Y1614/(Y1609+Y1610+Y1614)</f>
        <v>626904.72900956054</v>
      </c>
      <c r="T1614" s="1648"/>
      <c r="U1614" s="1648">
        <f>MIN($U$1619,SUM($Y$1609:$Y$1610,$Y$1614,-$S$1609,-$S$1610,-$S$1614))*Y1614/($Y$1609+$Y$1610+$Y$1614)</f>
        <v>1089295.3896841602</v>
      </c>
      <c r="V1614" s="1648"/>
      <c r="W1614" s="1648">
        <f>Y1614-S1614-U1614</f>
        <v>838248.88130627922</v>
      </c>
      <c r="X1614" s="1648"/>
      <c r="Y1614" s="1644">
        <f>ROUND($D1614*Q1614/100,0)</f>
        <v>2554449</v>
      </c>
      <c r="AA1614" s="1104" t="s">
        <v>1743</v>
      </c>
      <c r="AB1614" s="1890">
        <f>Y1619/I1619-1</f>
        <v>3.7646020589162221E-2</v>
      </c>
    </row>
    <row r="1615" spans="1:29">
      <c r="A1615" s="1900" t="s">
        <v>309</v>
      </c>
      <c r="C1615" s="529">
        <f>C1614</f>
        <v>46055318.353969723</v>
      </c>
      <c r="D1615" s="529">
        <f>ROUND(C1615/($C$1611+$C$1615+$C$1649+$C$1653)*Energy!$P$80,0)</f>
        <v>51252091</v>
      </c>
      <c r="F1615" s="1976"/>
      <c r="H1615" s="1030">
        <f>H1613+H1614</f>
        <v>2395165</v>
      </c>
      <c r="I1615" s="1030">
        <f>I1613+I1614</f>
        <v>2660111</v>
      </c>
      <c r="K1615" s="1976"/>
      <c r="M1615" s="1976"/>
      <c r="O1615" s="1976"/>
      <c r="Q1615" s="1976"/>
      <c r="Y1615" s="1030">
        <f>Y1613+Y1614</f>
        <v>2652827</v>
      </c>
    </row>
    <row r="1616" spans="1:29">
      <c r="A1616" s="1900" t="s">
        <v>246</v>
      </c>
      <c r="C1616" s="529">
        <f>'Table 2'!J118-'Blocking-Step2'!C1654</f>
        <v>335950</v>
      </c>
      <c r="D1616" s="529">
        <v>0</v>
      </c>
      <c r="H1616" s="1030">
        <f>-H1654+'Table 3'!F118</f>
        <v>20486.63</v>
      </c>
      <c r="I1616" s="1030">
        <v>0</v>
      </c>
      <c r="Y1616" s="1030">
        <v>0</v>
      </c>
    </row>
    <row r="1617" spans="1:31">
      <c r="A1617" s="1900" t="s">
        <v>1240</v>
      </c>
      <c r="C1617" s="584"/>
      <c r="D1617" s="584"/>
      <c r="F1617" s="1930">
        <v>-4.2099999999999999E-2</v>
      </c>
      <c r="G1617" s="597"/>
      <c r="H1617" s="1644">
        <f>SUM(H1607,H1609:H1610,H1614)*$F1617</f>
        <v>-577238.57299999997</v>
      </c>
      <c r="I1617" s="1644">
        <f>SUM(I1607,I1609:I1610,I1614)*$F1617</f>
        <v>-642372.70389999996</v>
      </c>
      <c r="K1617" s="1930"/>
      <c r="L1617" s="597"/>
      <c r="M1617" s="1930"/>
      <c r="N1617" s="597"/>
      <c r="O1617" s="1931" t="str">
        <f>$O$43</f>
        <v>Tax Year 1 (7/1/2021)</v>
      </c>
      <c r="P1617" s="597"/>
      <c r="Q1617" s="1930">
        <f>$AC$1612</f>
        <v>-2.7099999999999999E-2</v>
      </c>
      <c r="R1617" s="597"/>
      <c r="S1617" s="1645"/>
      <c r="T1617" s="1645"/>
      <c r="U1617" s="1645"/>
      <c r="V1617" s="1645"/>
      <c r="W1617" s="1645"/>
      <c r="X1617" s="1645"/>
      <c r="Y1617" s="1644">
        <f>Q1617*SUM(Y1607,Y1609:Y1610,Y1614)</f>
        <v>-411432.82329999999</v>
      </c>
    </row>
    <row r="1618" spans="1:31">
      <c r="A1618" s="1900"/>
      <c r="C1618" s="584"/>
      <c r="D1618" s="584"/>
      <c r="F1618" s="1930"/>
      <c r="G1618" s="597"/>
      <c r="H1618" s="1644"/>
      <c r="I1618" s="1644"/>
      <c r="K1618" s="1930"/>
      <c r="L1618" s="597"/>
      <c r="M1618" s="1930"/>
      <c r="N1618" s="597"/>
      <c r="O1618" s="1931" t="str">
        <f>$O$44</f>
        <v>Tax Year 2 (1/1/2022)</v>
      </c>
      <c r="P1618" s="597"/>
      <c r="Q1618" s="1930">
        <f>$AC$1613</f>
        <v>-1.47E-2</v>
      </c>
      <c r="R1618" s="597"/>
      <c r="S1618" s="1645"/>
      <c r="T1618" s="1645"/>
      <c r="U1618" s="1645"/>
      <c r="V1618" s="1645"/>
      <c r="W1618" s="1645"/>
      <c r="X1618" s="1645"/>
      <c r="Y1618" s="1644">
        <f>Q1618*SUM(Y1607,Y1609:Y1610,Y1614)</f>
        <v>-223175.73809999999</v>
      </c>
      <c r="AA1618" s="1933" t="s">
        <v>1660</v>
      </c>
      <c r="AB1618" s="1933" t="s">
        <v>1661</v>
      </c>
      <c r="AC1618" s="1933" t="s">
        <v>1662</v>
      </c>
      <c r="AD1618" s="1933" t="s">
        <v>93</v>
      </c>
    </row>
    <row r="1619" spans="1:31" ht="16.5" thickBot="1">
      <c r="A1619" s="1900" t="s">
        <v>310</v>
      </c>
      <c r="C1619" s="1949">
        <f>C1614+C1611+C1616</f>
        <v>177211400.65343735</v>
      </c>
      <c r="D1619" s="1949">
        <f>D1615+D1611+D1616</f>
        <v>196833656</v>
      </c>
      <c r="F1619" s="1939"/>
      <c r="H1619" s="1647">
        <f>SUM(H1611,H1615:H1617)</f>
        <v>13554816.057</v>
      </c>
      <c r="I1619" s="1647">
        <f>SUM(I1611,I1615:I1617)</f>
        <v>15038155.2961</v>
      </c>
      <c r="K1619" s="1939"/>
      <c r="M1619" s="1939"/>
      <c r="O1619" s="1939"/>
      <c r="Q1619" s="1939"/>
      <c r="S1619" s="1646">
        <f>$Y1619*AA1619/$AD1619</f>
        <v>6487621.4649578836</v>
      </c>
      <c r="T1619" s="1646"/>
      <c r="U1619" s="1646">
        <f>$Y1619*AB1619/$AD1619</f>
        <v>5152014.633123911</v>
      </c>
      <c r="V1619" s="1646"/>
      <c r="W1619" s="1646">
        <f>Y1619-S1619-U1619</f>
        <v>3964645.9019182054</v>
      </c>
      <c r="Y1619" s="1647">
        <f>SUM(Y1611,Y1615:Y1616)</f>
        <v>15604282</v>
      </c>
      <c r="AA1619" s="1937">
        <f>'Unit Cost Target'!$I$87+'Unit Cost Target'!$I$123+'Unit Cost Target'!$I$129+'Unit Cost Target'!$I$75+'Unit Cost Target'!$I$81</f>
        <v>7713599.8025939884</v>
      </c>
      <c r="AB1619" s="1937">
        <f>'Unit Cost Target'!$I$45+'Unit Cost Target'!$I$51</f>
        <v>6125600.7724371636</v>
      </c>
      <c r="AC1619" s="1937">
        <f>'Unit Cost Target'!$I$33+'Unit Cost Target'!$I$39+'Unit Cost Target'!$I$63+'Unit Cost Target'!$I$69</f>
        <v>4713852.682616381</v>
      </c>
      <c r="AD1619" s="1937">
        <f>SUM(AA1619:AC1619)</f>
        <v>18553053.257647533</v>
      </c>
      <c r="AE1619" s="1937">
        <f>AD1619-'Unit Cost Target'!$I$21</f>
        <v>0</v>
      </c>
    </row>
    <row r="1620" spans="1:31" ht="16.5" thickTop="1">
      <c r="C1620" s="528"/>
      <c r="D1620" s="528"/>
      <c r="AA1620" s="1937">
        <f>S1619-SUM(S1604:S1618)</f>
        <v>0</v>
      </c>
      <c r="AB1620" s="1937">
        <f>U1619-SUM(U1604:U1618)</f>
        <v>0</v>
      </c>
      <c r="AC1620" s="1937">
        <f>W1619-SUM(W1604:W1618)</f>
        <v>0</v>
      </c>
      <c r="AD1620" s="1937">
        <f>SUM(AA1620:AC1620)</f>
        <v>0</v>
      </c>
      <c r="AE1620" s="1937"/>
    </row>
    <row r="1621" spans="1:31">
      <c r="A1621" s="1897" t="s">
        <v>991</v>
      </c>
    </row>
    <row r="1622" spans="1:31">
      <c r="A1622" s="1900" t="s">
        <v>286</v>
      </c>
      <c r="C1622" s="528">
        <f>'10'!J23</f>
        <v>1</v>
      </c>
      <c r="D1622" s="528">
        <f>ROUND(C1622/(C1622+C1623)*Bill!P81/12,0)</f>
        <v>1</v>
      </c>
      <c r="F1622" s="1944">
        <v>125</v>
      </c>
      <c r="G1622" s="597"/>
      <c r="H1622" s="1644">
        <f t="shared" ref="H1622:I1626" si="1813">ROUND($F1622*C1622,0)</f>
        <v>125</v>
      </c>
      <c r="I1622" s="1644">
        <f t="shared" si="1813"/>
        <v>125</v>
      </c>
      <c r="K1622" s="1944">
        <f t="shared" ref="K1622:K1628" si="1814">K1604</f>
        <v>124</v>
      </c>
      <c r="L1622" s="597"/>
      <c r="M1622" s="1944">
        <f>M1604</f>
        <v>0</v>
      </c>
      <c r="N1622" s="597"/>
      <c r="O1622" s="1944">
        <f>O1604</f>
        <v>0</v>
      </c>
      <c r="P1622" s="597"/>
      <c r="Q1622" s="1944">
        <f>Q1604</f>
        <v>124</v>
      </c>
      <c r="R1622" s="597"/>
      <c r="S1622" s="1644">
        <f>ROUND($D1622*K1622,0)</f>
        <v>124</v>
      </c>
      <c r="T1622" s="1645"/>
      <c r="U1622" s="1644">
        <f>ROUND($D1622*M1622,0)</f>
        <v>0</v>
      </c>
      <c r="V1622" s="1645"/>
      <c r="W1622" s="1644">
        <f>ROUND($D1622*O1622,0)</f>
        <v>0</v>
      </c>
      <c r="X1622" s="1645"/>
      <c r="Y1622" s="1644">
        <f>ROUND($D1622*Q1622,0)</f>
        <v>124</v>
      </c>
    </row>
    <row r="1623" spans="1:31">
      <c r="A1623" s="1900" t="s">
        <v>287</v>
      </c>
      <c r="C1623" s="528">
        <f>'10'!J24</f>
        <v>60.7226315789474</v>
      </c>
      <c r="D1623" s="528">
        <f>ROUND(Bill!P81/12-'Blocking-Step2'!D1622,0)</f>
        <v>55</v>
      </c>
      <c r="F1623" s="1944">
        <v>38</v>
      </c>
      <c r="G1623" s="597"/>
      <c r="H1623" s="1644">
        <f t="shared" si="1813"/>
        <v>2307</v>
      </c>
      <c r="I1623" s="1644">
        <f t="shared" si="1813"/>
        <v>2090</v>
      </c>
      <c r="K1623" s="1944">
        <f t="shared" si="1814"/>
        <v>38</v>
      </c>
      <c r="L1623" s="597"/>
      <c r="M1623" s="1944">
        <f t="shared" ref="M1623" si="1815">M1605</f>
        <v>0</v>
      </c>
      <c r="N1623" s="597"/>
      <c r="O1623" s="1944">
        <f t="shared" ref="O1623" si="1816">O1605</f>
        <v>0</v>
      </c>
      <c r="P1623" s="597"/>
      <c r="Q1623" s="1944">
        <f t="shared" ref="Q1623:Q1626" si="1817">Q1605</f>
        <v>38</v>
      </c>
      <c r="R1623" s="597"/>
      <c r="S1623" s="1644">
        <f t="shared" ref="S1623:S1626" si="1818">ROUND($D1623*K1623,0)</f>
        <v>2090</v>
      </c>
      <c r="T1623" s="1645"/>
      <c r="U1623" s="1644">
        <f t="shared" ref="U1623:U1626" si="1819">ROUND($D1623*M1623,0)</f>
        <v>0</v>
      </c>
      <c r="V1623" s="1645"/>
      <c r="W1623" s="1644">
        <f t="shared" ref="W1623:Y1626" si="1820">ROUND($D1623*O1623,0)</f>
        <v>0</v>
      </c>
      <c r="X1623" s="1645"/>
      <c r="Y1623" s="1644">
        <f t="shared" si="1820"/>
        <v>2090</v>
      </c>
    </row>
    <row r="1624" spans="1:31">
      <c r="A1624" s="1900" t="s">
        <v>306</v>
      </c>
      <c r="C1624" s="528">
        <f>'10'!L25</f>
        <v>314.37</v>
      </c>
      <c r="D1624" s="528">
        <f>ROUND(C1624/($C$1622+$C$1623)*($D$1622+$D$1623),0)</f>
        <v>285</v>
      </c>
      <c r="F1624" s="1944">
        <v>14</v>
      </c>
      <c r="G1624" s="597"/>
      <c r="H1624" s="1644">
        <f t="shared" si="1813"/>
        <v>4401</v>
      </c>
      <c r="I1624" s="1644">
        <f t="shared" si="1813"/>
        <v>3990</v>
      </c>
      <c r="K1624" s="1944">
        <f t="shared" si="1814"/>
        <v>14</v>
      </c>
      <c r="L1624" s="597"/>
      <c r="M1624" s="1944">
        <f t="shared" ref="M1624" si="1821">M1606</f>
        <v>0</v>
      </c>
      <c r="N1624" s="597"/>
      <c r="O1624" s="1944">
        <f t="shared" ref="O1624" si="1822">O1606</f>
        <v>0</v>
      </c>
      <c r="P1624" s="597"/>
      <c r="Q1624" s="1944">
        <f t="shared" si="1817"/>
        <v>14</v>
      </c>
      <c r="R1624" s="597"/>
      <c r="S1624" s="1644">
        <f t="shared" si="1818"/>
        <v>3990</v>
      </c>
      <c r="T1624" s="1645"/>
      <c r="U1624" s="1644">
        <f t="shared" si="1819"/>
        <v>0</v>
      </c>
      <c r="V1624" s="1645"/>
      <c r="W1624" s="1644">
        <f t="shared" si="1820"/>
        <v>0</v>
      </c>
      <c r="X1624" s="1645"/>
      <c r="Y1624" s="1644">
        <f t="shared" si="1820"/>
        <v>3990</v>
      </c>
    </row>
    <row r="1625" spans="1:31">
      <c r="A1625" s="1900" t="s">
        <v>180</v>
      </c>
      <c r="C1625" s="528">
        <f>'10'!N25</f>
        <v>23200.406548431107</v>
      </c>
      <c r="D1625" s="528">
        <f>ROUND(C1625/$C$1631*$D$1631,0)</f>
        <v>26155</v>
      </c>
      <c r="F1625" s="1944">
        <v>7.33</v>
      </c>
      <c r="G1625" s="597"/>
      <c r="H1625" s="1644">
        <f t="shared" si="1813"/>
        <v>170059</v>
      </c>
      <c r="I1625" s="1644">
        <f t="shared" si="1813"/>
        <v>191716</v>
      </c>
      <c r="K1625" s="1944">
        <f t="shared" si="1814"/>
        <v>7.29</v>
      </c>
      <c r="L1625" s="597"/>
      <c r="M1625" s="1944">
        <f t="shared" ref="M1625" si="1823">M1607</f>
        <v>0</v>
      </c>
      <c r="N1625" s="597"/>
      <c r="O1625" s="1944">
        <f t="shared" ref="O1625" si="1824">O1607</f>
        <v>0</v>
      </c>
      <c r="P1625" s="597"/>
      <c r="Q1625" s="1944">
        <f t="shared" si="1817"/>
        <v>7.29</v>
      </c>
      <c r="R1625" s="597"/>
      <c r="S1625" s="1644">
        <f t="shared" si="1818"/>
        <v>190670</v>
      </c>
      <c r="T1625" s="1645"/>
      <c r="U1625" s="1644">
        <f t="shared" si="1819"/>
        <v>0</v>
      </c>
      <c r="V1625" s="1645"/>
      <c r="W1625" s="1644">
        <f t="shared" si="1820"/>
        <v>0</v>
      </c>
      <c r="X1625" s="1645"/>
      <c r="Y1625" s="1644">
        <f t="shared" si="1820"/>
        <v>190670</v>
      </c>
    </row>
    <row r="1626" spans="1:31">
      <c r="A1626" s="1900" t="s">
        <v>261</v>
      </c>
      <c r="C1626" s="528">
        <f>'10'!O25</f>
        <v>8.4536585365853707</v>
      </c>
      <c r="D1626" s="528">
        <f t="shared" ref="D1626:D1630" si="1825">ROUND(C1626/$C$1631*$D$1631,0)</f>
        <v>10</v>
      </c>
      <c r="F1626" s="1944">
        <v>-2.0499999999999998</v>
      </c>
      <c r="G1626" s="597"/>
      <c r="H1626" s="1644">
        <f t="shared" si="1813"/>
        <v>-17</v>
      </c>
      <c r="I1626" s="1644">
        <f t="shared" si="1813"/>
        <v>-21</v>
      </c>
      <c r="K1626" s="1944">
        <f t="shared" si="1814"/>
        <v>-2.0499999999999998</v>
      </c>
      <c r="L1626" s="597"/>
      <c r="M1626" s="1944">
        <f t="shared" ref="M1626" si="1826">M1608</f>
        <v>0</v>
      </c>
      <c r="N1626" s="597"/>
      <c r="O1626" s="1944">
        <f t="shared" ref="O1626" si="1827">O1608</f>
        <v>0</v>
      </c>
      <c r="P1626" s="597"/>
      <c r="Q1626" s="1944">
        <f t="shared" si="1817"/>
        <v>-2.0499999999999998</v>
      </c>
      <c r="R1626" s="597"/>
      <c r="S1626" s="1644">
        <f t="shared" si="1818"/>
        <v>-21</v>
      </c>
      <c r="T1626" s="1645"/>
      <c r="U1626" s="1644">
        <f t="shared" si="1819"/>
        <v>0</v>
      </c>
      <c r="V1626" s="1645"/>
      <c r="W1626" s="1644">
        <f t="shared" si="1820"/>
        <v>0</v>
      </c>
      <c r="X1626" s="1645"/>
      <c r="Y1626" s="1644">
        <f t="shared" si="1820"/>
        <v>-21</v>
      </c>
    </row>
    <row r="1627" spans="1:31">
      <c r="A1627" s="1900" t="s">
        <v>307</v>
      </c>
      <c r="C1627" s="528">
        <f>'10'!T25+TempRev!M354</f>
        <v>3285476.7387927799</v>
      </c>
      <c r="D1627" s="528">
        <f t="shared" si="1825"/>
        <v>3703888</v>
      </c>
      <c r="F1627" s="1920">
        <v>7.2971000000000004</v>
      </c>
      <c r="G1627" s="1921" t="s">
        <v>495</v>
      </c>
      <c r="H1627" s="1644">
        <f t="shared" ref="H1627:I1630" si="1828">ROUND($F1627*C1627/100,0)</f>
        <v>239745</v>
      </c>
      <c r="I1627" s="1644">
        <f t="shared" si="1828"/>
        <v>270276</v>
      </c>
      <c r="K1627" s="1920">
        <f t="shared" si="1814"/>
        <v>1.6061000000000001</v>
      </c>
      <c r="L1627" s="1921" t="s">
        <v>495</v>
      </c>
      <c r="M1627" s="1920">
        <f t="shared" ref="M1627" si="1829">M1609</f>
        <v>3.5750331336169991</v>
      </c>
      <c r="N1627" s="1921" t="s">
        <v>495</v>
      </c>
      <c r="O1627" s="1920">
        <f t="shared" ref="O1627" si="1830">O1609</f>
        <v>2.0764</v>
      </c>
      <c r="P1627" s="1921" t="s">
        <v>495</v>
      </c>
      <c r="Q1627" s="1920">
        <f t="shared" ref="Q1627:Q1628" si="1831">Q1609</f>
        <v>7.2575331336169997</v>
      </c>
      <c r="R1627" s="1921" t="s">
        <v>495</v>
      </c>
      <c r="S1627" s="1644">
        <f>ROUND($D1627*K1627/100,0)</f>
        <v>59488</v>
      </c>
      <c r="T1627" s="1648"/>
      <c r="U1627" s="1644">
        <f>ROUND($D1627*M1627/100,0)</f>
        <v>132415</v>
      </c>
      <c r="V1627" s="1648"/>
      <c r="W1627" s="1644">
        <f>ROUND($D1627*O1627/100,0)</f>
        <v>76908</v>
      </c>
      <c r="X1627" s="1648"/>
      <c r="Y1627" s="1644">
        <f>ROUND($D1627*Q1627/100,0)</f>
        <v>268811</v>
      </c>
    </row>
    <row r="1628" spans="1:31">
      <c r="A1628" s="1900" t="s">
        <v>95</v>
      </c>
      <c r="C1628" s="529">
        <f>'10'!U25+TempRev!M355</f>
        <v>2902041.7617576825</v>
      </c>
      <c r="D1628" s="529">
        <f t="shared" si="1825"/>
        <v>3271622</v>
      </c>
      <c r="F1628" s="1920">
        <v>5.3936000000000002</v>
      </c>
      <c r="G1628" s="1921" t="s">
        <v>495</v>
      </c>
      <c r="H1628" s="1030">
        <f t="shared" si="1828"/>
        <v>156525</v>
      </c>
      <c r="I1628" s="1030">
        <f t="shared" si="1828"/>
        <v>176458</v>
      </c>
      <c r="K1628" s="1920">
        <f t="shared" si="1814"/>
        <v>1.6061000000000001</v>
      </c>
      <c r="L1628" s="1921" t="s">
        <v>495</v>
      </c>
      <c r="M1628" s="1920">
        <f t="shared" ref="M1628" si="1832">M1610</f>
        <v>1.6818544297699995</v>
      </c>
      <c r="N1628" s="1921" t="s">
        <v>495</v>
      </c>
      <c r="O1628" s="1920">
        <f t="shared" ref="O1628" si="1833">O1610</f>
        <v>2.0764</v>
      </c>
      <c r="P1628" s="1921" t="s">
        <v>495</v>
      </c>
      <c r="Q1628" s="1920">
        <f t="shared" si="1831"/>
        <v>5.3643544297699997</v>
      </c>
      <c r="R1628" s="1921" t="s">
        <v>495</v>
      </c>
      <c r="S1628" s="1644">
        <f>ROUND($D1628*K1628/100,0)</f>
        <v>52546</v>
      </c>
      <c r="T1628" s="1648"/>
      <c r="U1628" s="1644">
        <f>ROUND($D1628*M1628/100,0)</f>
        <v>55024</v>
      </c>
      <c r="V1628" s="1648"/>
      <c r="W1628" s="1644">
        <f>ROUND($D1628*O1628/100,0)</f>
        <v>67932</v>
      </c>
      <c r="X1628" s="1648"/>
      <c r="Y1628" s="1644">
        <f>ROUND($D1628*Q1628/100,0)</f>
        <v>175501</v>
      </c>
    </row>
    <row r="1629" spans="1:31">
      <c r="A1629" s="1900" t="s">
        <v>248</v>
      </c>
      <c r="C1629" s="528">
        <f>'10'!R25</f>
        <v>117281</v>
      </c>
      <c r="D1629" s="528">
        <f t="shared" si="1825"/>
        <v>132217</v>
      </c>
      <c r="F1629" s="1920">
        <v>14.416399999999999</v>
      </c>
      <c r="G1629" s="1921" t="s">
        <v>495</v>
      </c>
      <c r="H1629" s="1644">
        <f t="shared" si="1828"/>
        <v>16908</v>
      </c>
      <c r="I1629" s="1644">
        <f t="shared" si="1828"/>
        <v>19061</v>
      </c>
      <c r="K1629" s="1920">
        <f>K1647</f>
        <v>1.4917</v>
      </c>
      <c r="L1629" s="1921" t="s">
        <v>495</v>
      </c>
      <c r="M1629" s="1920">
        <f>M1647</f>
        <v>6.0007999999999999</v>
      </c>
      <c r="N1629" s="1921" t="s">
        <v>495</v>
      </c>
      <c r="O1629" s="1920">
        <f>O1647</f>
        <v>6.8456999999999999</v>
      </c>
      <c r="P1629" s="1921" t="s">
        <v>495</v>
      </c>
      <c r="Q1629" s="1920">
        <f>Q1647</f>
        <v>14.338230347327</v>
      </c>
      <c r="R1629" s="1921" t="s">
        <v>495</v>
      </c>
      <c r="S1629" s="1644">
        <f t="shared" ref="S1629:S1630" si="1834">ROUND($D1629*K1629/100,0)</f>
        <v>1972</v>
      </c>
      <c r="T1629" s="1648"/>
      <c r="U1629" s="1644">
        <f t="shared" ref="U1629:U1630" si="1835">ROUND($D1629*M1629/100,0)</f>
        <v>7934</v>
      </c>
      <c r="V1629" s="1648"/>
      <c r="W1629" s="1644">
        <f t="shared" ref="W1629:Y1630" si="1836">ROUND($D1629*O1629/100,0)</f>
        <v>9051</v>
      </c>
      <c r="X1629" s="1648"/>
      <c r="Y1629" s="1644">
        <f t="shared" si="1836"/>
        <v>18958</v>
      </c>
    </row>
    <row r="1630" spans="1:31">
      <c r="A1630" s="1900" t="s">
        <v>249</v>
      </c>
      <c r="C1630" s="529">
        <f>'10'!S25</f>
        <v>438822</v>
      </c>
      <c r="D1630" s="529">
        <f t="shared" si="1825"/>
        <v>494707</v>
      </c>
      <c r="F1630" s="1943">
        <v>4.1542000000000003</v>
      </c>
      <c r="G1630" s="1921" t="s">
        <v>495</v>
      </c>
      <c r="H1630" s="1649">
        <f t="shared" si="1828"/>
        <v>18230</v>
      </c>
      <c r="I1630" s="1649">
        <f t="shared" si="1828"/>
        <v>20551</v>
      </c>
      <c r="K1630" s="1920">
        <f>K1648</f>
        <v>1.4917</v>
      </c>
      <c r="L1630" s="1921" t="s">
        <v>495</v>
      </c>
      <c r="M1630" s="1920">
        <f>M1648</f>
        <v>2.0007999999999999</v>
      </c>
      <c r="N1630" s="1921" t="s">
        <v>495</v>
      </c>
      <c r="O1630" s="1920">
        <f>O1648</f>
        <v>0.63919999999999999</v>
      </c>
      <c r="P1630" s="1921" t="s">
        <v>495</v>
      </c>
      <c r="Q1630" s="1920">
        <f>Q1648</f>
        <v>4.1316747945990002</v>
      </c>
      <c r="R1630" s="1921" t="s">
        <v>495</v>
      </c>
      <c r="S1630" s="1644">
        <f t="shared" si="1834"/>
        <v>7380</v>
      </c>
      <c r="T1630" s="1648"/>
      <c r="U1630" s="1644">
        <f t="shared" si="1835"/>
        <v>9898</v>
      </c>
      <c r="V1630" s="1648"/>
      <c r="W1630" s="1644">
        <f t="shared" si="1836"/>
        <v>3162</v>
      </c>
      <c r="X1630" s="1648"/>
      <c r="Y1630" s="1644">
        <f t="shared" si="1836"/>
        <v>20440</v>
      </c>
    </row>
    <row r="1631" spans="1:31">
      <c r="A1631" s="1900" t="s">
        <v>308</v>
      </c>
      <c r="C1631" s="529">
        <f>SUM(C1627:C1630)</f>
        <v>6743621.5005504619</v>
      </c>
      <c r="D1631" s="529">
        <f>ROUND(C1631/(C1631+C1635)*D1639,0)</f>
        <v>7602434</v>
      </c>
      <c r="F1631" s="1976"/>
      <c r="H1631" s="1030">
        <f>SUM(H1622:H1630)</f>
        <v>608283</v>
      </c>
      <c r="I1631" s="1030">
        <f>SUM(I1622:I1630)</f>
        <v>684246</v>
      </c>
      <c r="K1631" s="1976"/>
      <c r="M1631" s="1976"/>
      <c r="O1631" s="1976"/>
      <c r="Q1631" s="1976"/>
      <c r="S1631" s="1030">
        <f>SUM(S1622:S1630)</f>
        <v>318239</v>
      </c>
      <c r="U1631" s="1030">
        <f>SUM(U1622:U1630)</f>
        <v>205271</v>
      </c>
      <c r="W1631" s="1030">
        <f>SUM(W1622:W1630)</f>
        <v>157053</v>
      </c>
      <c r="Y1631" s="1030">
        <f>SUM(Y1622:Y1630)</f>
        <v>680563</v>
      </c>
    </row>
    <row r="1632" spans="1:31">
      <c r="A1632" s="1900" t="s">
        <v>34</v>
      </c>
      <c r="C1632" s="528"/>
      <c r="D1632" s="528"/>
      <c r="S1632" s="1638"/>
      <c r="U1632" s="1638"/>
      <c r="W1632" s="1638"/>
    </row>
    <row r="1633" spans="1:28">
      <c r="A1633" s="1900" t="s">
        <v>927</v>
      </c>
      <c r="C1633" s="584">
        <f>'10'!M25</f>
        <v>135.45857142857102</v>
      </c>
      <c r="D1633" s="528">
        <f>ROUND(C1633/($C$1622+$C$1623)*($D$1622+$D$1623),0)</f>
        <v>123</v>
      </c>
      <c r="F1633" s="597">
        <v>14</v>
      </c>
      <c r="G1633" s="597"/>
      <c r="H1633" s="1645">
        <f>ROUND($F1633*C1633,0)</f>
        <v>1896</v>
      </c>
      <c r="I1633" s="1645">
        <f>ROUND($F1633*D1633,0)</f>
        <v>1722</v>
      </c>
      <c r="K1633" s="597">
        <f>K1613</f>
        <v>14</v>
      </c>
      <c r="L1633" s="597"/>
      <c r="M1633" s="597">
        <f>M1613</f>
        <v>0</v>
      </c>
      <c r="N1633" s="597"/>
      <c r="O1633" s="597">
        <f>O1613</f>
        <v>0</v>
      </c>
      <c r="P1633" s="597"/>
      <c r="Q1633" s="597">
        <f>Q1613</f>
        <v>14</v>
      </c>
      <c r="R1633" s="597"/>
      <c r="S1633" s="1644">
        <f t="shared" ref="S1633" si="1837">ROUND($D1633*K1633/100,0)</f>
        <v>17</v>
      </c>
      <c r="T1633" s="1645"/>
      <c r="U1633" s="1644">
        <f t="shared" ref="U1633" si="1838">ROUND($D1633*M1633/100,0)</f>
        <v>0</v>
      </c>
      <c r="V1633" s="1645"/>
      <c r="W1633" s="1644">
        <f t="shared" ref="W1633:Y1633" si="1839">ROUND($D1633*O1633/100,0)</f>
        <v>0</v>
      </c>
      <c r="X1633" s="1645"/>
      <c r="Y1633" s="1644">
        <f t="shared" si="1839"/>
        <v>17</v>
      </c>
    </row>
    <row r="1634" spans="1:28">
      <c r="A1634" s="1900" t="s">
        <v>35</v>
      </c>
      <c r="C1634" s="529">
        <f>'10'!Q25+TempRev!M358</f>
        <v>1506180.9657492132</v>
      </c>
      <c r="D1634" s="529">
        <f>D1635</f>
        <v>1697995.5822001491</v>
      </c>
      <c r="F1634" s="1943">
        <v>4.9983000000000004</v>
      </c>
      <c r="G1634" s="1921" t="s">
        <v>495</v>
      </c>
      <c r="H1634" s="1649">
        <f>ROUND($F1634*C1634/100,0)</f>
        <v>75283</v>
      </c>
      <c r="I1634" s="1649">
        <f>ROUND($F1634*D1634/100,0)</f>
        <v>84871</v>
      </c>
      <c r="K1634" s="1943">
        <f>K1614</f>
        <v>1.2232000000000001</v>
      </c>
      <c r="L1634" s="1921" t="s">
        <v>495</v>
      </c>
      <c r="M1634" s="1943">
        <f>M1614</f>
        <v>1.9233657574191942</v>
      </c>
      <c r="N1634" s="1921" t="s">
        <v>495</v>
      </c>
      <c r="O1634" s="1943">
        <f>O1614</f>
        <v>1.8375221238938055</v>
      </c>
      <c r="P1634" s="1921" t="s">
        <v>495</v>
      </c>
      <c r="Q1634" s="1943">
        <f>Q1614</f>
        <v>4.9840878813130001</v>
      </c>
      <c r="R1634" s="1921" t="s">
        <v>495</v>
      </c>
      <c r="S1634" s="1644">
        <f>ROUND($D1634*K1634/100,0)</f>
        <v>20770</v>
      </c>
      <c r="T1634" s="1648"/>
      <c r="U1634" s="1644">
        <f>ROUND($D1634*M1634/100,0)</f>
        <v>32659</v>
      </c>
      <c r="V1634" s="1648"/>
      <c r="W1634" s="1644">
        <f>ROUND($D1634*O1634/100,0)</f>
        <v>31201</v>
      </c>
      <c r="X1634" s="1648"/>
      <c r="Y1634" s="1644">
        <f>ROUND($D1634*Q1634/100,0)</f>
        <v>84630</v>
      </c>
    </row>
    <row r="1635" spans="1:28">
      <c r="A1635" s="1900" t="s">
        <v>309</v>
      </c>
      <c r="C1635" s="529">
        <f>C1634</f>
        <v>1506180.9657492132</v>
      </c>
      <c r="D1635" s="529">
        <f>D1639-D1631</f>
        <v>1697995.5822001491</v>
      </c>
      <c r="F1635" s="1976"/>
      <c r="H1635" s="1030">
        <f>H1633+H1634</f>
        <v>77179</v>
      </c>
      <c r="I1635" s="1030">
        <f>I1633+I1634</f>
        <v>86593</v>
      </c>
      <c r="K1635" s="1976"/>
      <c r="M1635" s="1976"/>
      <c r="O1635" s="1976"/>
      <c r="Q1635" s="1976"/>
      <c r="S1635" s="1030">
        <f>S1633+S1634</f>
        <v>20787</v>
      </c>
      <c r="U1635" s="1030">
        <f>U1633+U1634</f>
        <v>32659</v>
      </c>
      <c r="W1635" s="1030">
        <f>W1633+W1634</f>
        <v>31201</v>
      </c>
      <c r="Y1635" s="1030">
        <f>Y1633+Y1634</f>
        <v>84647</v>
      </c>
    </row>
    <row r="1636" spans="1:28">
      <c r="A1636" s="1900" t="s">
        <v>246</v>
      </c>
      <c r="C1636" s="529">
        <f>'Table 2'!J119</f>
        <v>15646</v>
      </c>
      <c r="D1636" s="529">
        <v>0</v>
      </c>
      <c r="H1636" s="1030">
        <f>'Table 3'!F119</f>
        <v>988.36999999999898</v>
      </c>
      <c r="I1636" s="1030">
        <v>0</v>
      </c>
      <c r="Y1636" s="1030">
        <v>0</v>
      </c>
    </row>
    <row r="1637" spans="1:28">
      <c r="A1637" s="1900" t="s">
        <v>1240</v>
      </c>
      <c r="C1637" s="584"/>
      <c r="D1637" s="584"/>
      <c r="F1637" s="1930">
        <v>-4.2099999999999999E-2</v>
      </c>
      <c r="G1637" s="597"/>
      <c r="H1637" s="1644">
        <f>SUM(H1625,H1627:H1630,H1634)*$F1637</f>
        <v>-28491.174999999999</v>
      </c>
      <c r="I1637" s="1644">
        <f>SUM(I1625,I1627:I1630,I1634)*$F1637</f>
        <v>-32119.479299999999</v>
      </c>
      <c r="K1637" s="1930"/>
      <c r="L1637" s="597"/>
      <c r="M1637" s="1930"/>
      <c r="N1637" s="597"/>
      <c r="O1637" s="1931" t="str">
        <f>$O$43</f>
        <v>Tax Year 1 (7/1/2021)</v>
      </c>
      <c r="P1637" s="597"/>
      <c r="Q1637" s="1930">
        <f>$AC$1612</f>
        <v>-2.7099999999999999E-2</v>
      </c>
      <c r="R1637" s="597"/>
      <c r="S1637" s="1645"/>
      <c r="T1637" s="1645"/>
      <c r="U1637" s="1645"/>
      <c r="V1637" s="1645"/>
      <c r="W1637" s="1645"/>
      <c r="X1637" s="1645"/>
      <c r="Y1637" s="1644">
        <f>Q1637*SUM(Y1625,Y1627:Y1630,Y1634)</f>
        <v>-20569.170999999998</v>
      </c>
    </row>
    <row r="1638" spans="1:28">
      <c r="A1638" s="1900"/>
      <c r="C1638" s="584"/>
      <c r="D1638" s="584"/>
      <c r="F1638" s="1930"/>
      <c r="G1638" s="597"/>
      <c r="H1638" s="1644"/>
      <c r="I1638" s="1644"/>
      <c r="K1638" s="1930"/>
      <c r="L1638" s="597"/>
      <c r="M1638" s="1930"/>
      <c r="N1638" s="597"/>
      <c r="O1638" s="1931" t="str">
        <f>$O$44</f>
        <v>Tax Year 2 (1/1/2022)</v>
      </c>
      <c r="P1638" s="597"/>
      <c r="Q1638" s="1930">
        <f>$AC$1613</f>
        <v>-1.47E-2</v>
      </c>
      <c r="R1638" s="597"/>
      <c r="S1638" s="1645"/>
      <c r="T1638" s="1645"/>
      <c r="U1638" s="1645"/>
      <c r="V1638" s="1645"/>
      <c r="W1638" s="1645"/>
      <c r="X1638" s="1645"/>
      <c r="Y1638" s="1644">
        <f>Q1638*SUM(Y1625,Y1627:Y1630,Y1634)</f>
        <v>-11157.447</v>
      </c>
    </row>
    <row r="1639" spans="1:28" ht="16.5" thickBot="1">
      <c r="A1639" s="1900" t="s">
        <v>1364</v>
      </c>
      <c r="C1639" s="1949">
        <f>C1634+C1631+C1636</f>
        <v>8265448.4662996754</v>
      </c>
      <c r="D1639" s="1949">
        <f>Energy!P81</f>
        <v>9300429.5822001491</v>
      </c>
      <c r="F1639" s="1939"/>
      <c r="H1639" s="1647">
        <f>SUM(H1631,H1635:H1637)</f>
        <v>657959.19499999995</v>
      </c>
      <c r="I1639" s="1647">
        <f>SUM(I1631,I1635:I1637)</f>
        <v>738719.52069999999</v>
      </c>
      <c r="K1639" s="1939"/>
      <c r="M1639" s="1939"/>
      <c r="O1639" s="1939"/>
      <c r="Q1639" s="1939"/>
      <c r="S1639" s="1647">
        <f>SUM(S1631,S1635:S1636)</f>
        <v>339026</v>
      </c>
      <c r="U1639" s="1647">
        <f>SUM(U1631,U1635:U1636)</f>
        <v>237930</v>
      </c>
      <c r="W1639" s="1647">
        <f>SUM(W1631,W1635:W1636)</f>
        <v>188254</v>
      </c>
      <c r="Y1639" s="1647">
        <f>SUM(Y1631,Y1635:Y1636)</f>
        <v>765210</v>
      </c>
      <c r="AA1639" s="1104" t="s">
        <v>1743</v>
      </c>
      <c r="AB1639" s="1890">
        <f>Y1639/I1639-1</f>
        <v>3.5859996328373667E-2</v>
      </c>
    </row>
    <row r="1640" spans="1:28" ht="16.5" thickTop="1">
      <c r="C1640" s="528"/>
      <c r="D1640" s="528"/>
    </row>
    <row r="1641" spans="1:28">
      <c r="A1641" s="1897" t="s">
        <v>311</v>
      </c>
      <c r="C1641" s="528"/>
      <c r="D1641" s="528"/>
    </row>
    <row r="1642" spans="1:28">
      <c r="A1642" s="1900" t="s">
        <v>286</v>
      </c>
      <c r="C1642" s="528">
        <f>'10'!J20</f>
        <v>3</v>
      </c>
      <c r="D1642" s="528">
        <f>ROUND(C1642/SUM($C$1604:$C$1605,$C$1642:$C$1643)*Bill!$P$80/12,0)</f>
        <v>3</v>
      </c>
      <c r="F1642" s="1944">
        <v>125</v>
      </c>
      <c r="G1642" s="597"/>
      <c r="H1642" s="1644">
        <f t="shared" ref="H1642:I1646" si="1840">ROUND($F1642*C1642,0)</f>
        <v>375</v>
      </c>
      <c r="I1642" s="1644">
        <f t="shared" si="1840"/>
        <v>375</v>
      </c>
      <c r="K1642" s="1944">
        <f>K1604</f>
        <v>124</v>
      </c>
      <c r="L1642" s="597"/>
      <c r="M1642" s="1944">
        <f>M1604</f>
        <v>0</v>
      </c>
      <c r="N1642" s="597"/>
      <c r="O1642" s="1944">
        <f>O1604</f>
        <v>0</v>
      </c>
      <c r="P1642" s="597"/>
      <c r="Q1642" s="1944">
        <f>Q1604</f>
        <v>124</v>
      </c>
      <c r="R1642" s="597"/>
      <c r="S1642" s="1644">
        <f>ROUND($D1642*K1642,0)</f>
        <v>372</v>
      </c>
      <c r="T1642" s="1645"/>
      <c r="U1642" s="1644">
        <f>ROUND($D1642*M1642,0)</f>
        <v>0</v>
      </c>
      <c r="V1642" s="1645"/>
      <c r="W1642" s="1644">
        <f>ROUND($D1642*O1642,0)</f>
        <v>0</v>
      </c>
      <c r="X1642" s="1645"/>
      <c r="Y1642" s="1644">
        <f>ROUND($D1642*Q1642,0)</f>
        <v>372</v>
      </c>
    </row>
    <row r="1643" spans="1:28">
      <c r="A1643" s="1900" t="s">
        <v>287</v>
      </c>
      <c r="C1643" s="528">
        <f>'10'!J21</f>
        <v>251.37552631578899</v>
      </c>
      <c r="D1643" s="528">
        <f>ROUND(Bill!P80/12-'Blocking-Step2'!D1604-'Blocking-Step2'!D1605-'Blocking-Step2'!D1642,0)</f>
        <v>266</v>
      </c>
      <c r="F1643" s="1944">
        <v>38</v>
      </c>
      <c r="G1643" s="597"/>
      <c r="H1643" s="1644">
        <f t="shared" si="1840"/>
        <v>9552</v>
      </c>
      <c r="I1643" s="1644">
        <f t="shared" si="1840"/>
        <v>10108</v>
      </c>
      <c r="K1643" s="1944">
        <f t="shared" ref="K1643" si="1841">K1605</f>
        <v>38</v>
      </c>
      <c r="L1643" s="597"/>
      <c r="M1643" s="1944">
        <f t="shared" ref="M1643" si="1842">M1605</f>
        <v>0</v>
      </c>
      <c r="N1643" s="597"/>
      <c r="O1643" s="1944">
        <f t="shared" ref="O1643" si="1843">O1605</f>
        <v>0</v>
      </c>
      <c r="P1643" s="597"/>
      <c r="Q1643" s="1944">
        <f>Q1605</f>
        <v>38</v>
      </c>
      <c r="R1643" s="597"/>
      <c r="S1643" s="1644">
        <f t="shared" ref="S1643:S1645" si="1844">ROUND($D1643*K1643,0)</f>
        <v>10108</v>
      </c>
      <c r="T1643" s="1645"/>
      <c r="U1643" s="1644">
        <f t="shared" ref="U1643:Y1646" si="1845">ROUND($D1643*M1643,0)</f>
        <v>0</v>
      </c>
      <c r="V1643" s="1645"/>
      <c r="W1643" s="1644">
        <f t="shared" si="1845"/>
        <v>0</v>
      </c>
      <c r="X1643" s="1645"/>
      <c r="Y1643" s="1644">
        <f t="shared" si="1845"/>
        <v>10108</v>
      </c>
    </row>
    <row r="1644" spans="1:28">
      <c r="A1644" s="1900" t="s">
        <v>285</v>
      </c>
      <c r="C1644" s="528">
        <f>'10'!L22</f>
        <v>1131.199285714287</v>
      </c>
      <c r="D1644" s="528">
        <f>ROUND(C1644/($C$1642+$C$1643)*($D$1642+$D$1643),0)</f>
        <v>1196</v>
      </c>
      <c r="F1644" s="1944">
        <v>14</v>
      </c>
      <c r="G1644" s="597"/>
      <c r="H1644" s="1644">
        <f t="shared" si="1840"/>
        <v>15837</v>
      </c>
      <c r="I1644" s="1644">
        <f t="shared" si="1840"/>
        <v>16744</v>
      </c>
      <c r="K1644" s="1944">
        <f t="shared" ref="K1644" si="1846">K1606</f>
        <v>14</v>
      </c>
      <c r="L1644" s="597"/>
      <c r="M1644" s="1944">
        <f t="shared" ref="M1644" si="1847">M1606</f>
        <v>0</v>
      </c>
      <c r="N1644" s="597"/>
      <c r="O1644" s="1944">
        <f t="shared" ref="O1644" si="1848">O1606</f>
        <v>0</v>
      </c>
      <c r="P1644" s="597"/>
      <c r="Q1644" s="1944">
        <f>Q1606</f>
        <v>14</v>
      </c>
      <c r="R1644" s="597"/>
      <c r="S1644" s="1644">
        <f t="shared" si="1844"/>
        <v>16744</v>
      </c>
      <c r="T1644" s="1645"/>
      <c r="U1644" s="1644">
        <f t="shared" si="1845"/>
        <v>0</v>
      </c>
      <c r="V1644" s="1645"/>
      <c r="W1644" s="1644">
        <f t="shared" si="1845"/>
        <v>0</v>
      </c>
      <c r="X1644" s="1645"/>
      <c r="Y1644" s="1644">
        <f t="shared" si="1845"/>
        <v>16744</v>
      </c>
    </row>
    <row r="1645" spans="1:28">
      <c r="A1645" s="1900" t="s">
        <v>180</v>
      </c>
      <c r="C1645" s="528">
        <f>'10'!N22</f>
        <v>56614.135061391513</v>
      </c>
      <c r="D1645" s="528">
        <f>ROUND(C1645/$C$1649*$D$1649,0)</f>
        <v>63002</v>
      </c>
      <c r="F1645" s="1944">
        <v>7.33</v>
      </c>
      <c r="G1645" s="597"/>
      <c r="H1645" s="1644">
        <f t="shared" si="1840"/>
        <v>414982</v>
      </c>
      <c r="I1645" s="1644">
        <f t="shared" si="1840"/>
        <v>461805</v>
      </c>
      <c r="K1645" s="1944">
        <f t="shared" ref="K1645" si="1849">K1607</f>
        <v>7.29</v>
      </c>
      <c r="L1645" s="597"/>
      <c r="M1645" s="1944">
        <f t="shared" ref="M1645" si="1850">M1607</f>
        <v>0</v>
      </c>
      <c r="N1645" s="597"/>
      <c r="O1645" s="1944">
        <f t="shared" ref="O1645" si="1851">O1607</f>
        <v>0</v>
      </c>
      <c r="P1645" s="597"/>
      <c r="Q1645" s="1944">
        <f>Q1607</f>
        <v>7.29</v>
      </c>
      <c r="R1645" s="597"/>
      <c r="S1645" s="1644">
        <f t="shared" si="1844"/>
        <v>459285</v>
      </c>
      <c r="T1645" s="1645"/>
      <c r="U1645" s="1644">
        <f t="shared" si="1845"/>
        <v>0</v>
      </c>
      <c r="V1645" s="1645"/>
      <c r="W1645" s="1644">
        <f t="shared" si="1845"/>
        <v>0</v>
      </c>
      <c r="X1645" s="1645"/>
      <c r="Y1645" s="1644">
        <f t="shared" si="1845"/>
        <v>459285</v>
      </c>
    </row>
    <row r="1646" spans="1:28">
      <c r="A1646" s="1900" t="s">
        <v>284</v>
      </c>
      <c r="C1646" s="528">
        <f>'10'!O22</f>
        <v>2123.3268292682901</v>
      </c>
      <c r="D1646" s="528">
        <f t="shared" ref="D1646:D1648" si="1852">ROUND(C1646/$C$1649*$D$1649,0)</f>
        <v>2363</v>
      </c>
      <c r="F1646" s="1944">
        <v>-2.0499999999999998</v>
      </c>
      <c r="G1646" s="597"/>
      <c r="H1646" s="1644">
        <f t="shared" si="1840"/>
        <v>-4353</v>
      </c>
      <c r="I1646" s="1644">
        <f t="shared" si="1840"/>
        <v>-4844</v>
      </c>
      <c r="K1646" s="1944">
        <f>K1608</f>
        <v>-2.0499999999999998</v>
      </c>
      <c r="L1646" s="597"/>
      <c r="M1646" s="1944">
        <f>M1608</f>
        <v>0</v>
      </c>
      <c r="N1646" s="597"/>
      <c r="O1646" s="1944">
        <f>O1608</f>
        <v>0</v>
      </c>
      <c r="P1646" s="597"/>
      <c r="Q1646" s="1944">
        <f>Q1608</f>
        <v>-2.0499999999999998</v>
      </c>
      <c r="R1646" s="597"/>
      <c r="S1646" s="1644">
        <f>ROUND($D1646*K1646,0)</f>
        <v>-4844</v>
      </c>
      <c r="T1646" s="1645"/>
      <c r="U1646" s="1644">
        <f t="shared" si="1845"/>
        <v>0</v>
      </c>
      <c r="V1646" s="1645"/>
      <c r="W1646" s="1644">
        <f t="shared" si="1845"/>
        <v>0</v>
      </c>
      <c r="X1646" s="1645"/>
      <c r="Y1646" s="1644">
        <f t="shared" si="1845"/>
        <v>-4844</v>
      </c>
    </row>
    <row r="1647" spans="1:28">
      <c r="A1647" s="1900" t="s">
        <v>248</v>
      </c>
      <c r="C1647" s="528">
        <f>'10'!R22+TempRev!C356</f>
        <v>3950193</v>
      </c>
      <c r="D1647" s="528">
        <f t="shared" si="1852"/>
        <v>4395923</v>
      </c>
      <c r="F1647" s="1920">
        <v>14.416399999999999</v>
      </c>
      <c r="G1647" s="1921" t="s">
        <v>495</v>
      </c>
      <c r="H1647" s="1644">
        <f>ROUND($F1647*C1647/100,0)</f>
        <v>569476</v>
      </c>
      <c r="I1647" s="1644">
        <f>ROUND($F1647*D1647/100,0)</f>
        <v>633734</v>
      </c>
      <c r="K1647" s="1920">
        <f>ROUND((S1647+S1648)/($D$1647+$D$1648)*100,4)</f>
        <v>1.4917</v>
      </c>
      <c r="L1647" s="1921" t="s">
        <v>495</v>
      </c>
      <c r="M1647" s="1920">
        <f>ROUND((U1647+U1648+0.04*D1648)/($D$1647+$D$1648)*100,4)</f>
        <v>6.0007999999999999</v>
      </c>
      <c r="N1647" s="1921" t="s">
        <v>495</v>
      </c>
      <c r="O1647" s="1920">
        <f>ROUND(Q1647-K1647-M1647,4)</f>
        <v>6.8456999999999999</v>
      </c>
      <c r="P1647" s="1921" t="s">
        <v>495</v>
      </c>
      <c r="Q1647" s="1920">
        <f>ROUND(F1647*(1+$AB$1609),$AB$8)</f>
        <v>14.338230347327</v>
      </c>
      <c r="R1647" s="1921" t="s">
        <v>495</v>
      </c>
      <c r="S1647" s="1644">
        <f>MIN($S$1657-SUM($S$1642:$S$1646,$S$1653),SUM($Y$1647:$Y$1648))*Y1647/($Y$1647+$Y$1648)</f>
        <v>141411.47681774176</v>
      </c>
      <c r="T1647" s="1648"/>
      <c r="U1647" s="1644">
        <f>MIN($U$1657-SUM($U$1642:$U$1646,$U$1653),SUM($Y$1647:$Y$1648,-$S$1647,-$S$1648))*Y1647/($Y$1647+$Y$1648)</f>
        <v>283191.82534638041</v>
      </c>
      <c r="V1647" s="1648"/>
      <c r="W1647" s="1648">
        <f>Y1647-S1647-U1647</f>
        <v>205694.69783587783</v>
      </c>
      <c r="X1647" s="1648"/>
      <c r="Y1647" s="1644">
        <f>ROUND($D1647*Q1647/100,0)</f>
        <v>630298</v>
      </c>
    </row>
    <row r="1648" spans="1:28">
      <c r="A1648" s="1900" t="s">
        <v>249</v>
      </c>
      <c r="C1648" s="529">
        <f>'10'!S22+TempRev!C357</f>
        <v>12067058.279081918</v>
      </c>
      <c r="D1648" s="529">
        <f t="shared" si="1852"/>
        <v>13428677</v>
      </c>
      <c r="F1648" s="1943">
        <v>4.1542000000000003</v>
      </c>
      <c r="G1648" s="1921" t="s">
        <v>495</v>
      </c>
      <c r="H1648" s="1649">
        <f>ROUND($F1648*C1648/100,0)</f>
        <v>501290</v>
      </c>
      <c r="I1648" s="1649">
        <f>ROUND($F1648*D1648/100,0)</f>
        <v>557854</v>
      </c>
      <c r="K1648" s="1920">
        <f>K1647</f>
        <v>1.4917</v>
      </c>
      <c r="L1648" s="1921" t="s">
        <v>495</v>
      </c>
      <c r="M1648" s="1920">
        <f>M1647-4</f>
        <v>2.0007999999999999</v>
      </c>
      <c r="N1648" s="1921" t="s">
        <v>495</v>
      </c>
      <c r="O1648" s="1920">
        <f>ROUND(Q1648-K1648-M1648,4)</f>
        <v>0.63919999999999999</v>
      </c>
      <c r="P1648" s="1921" t="s">
        <v>495</v>
      </c>
      <c r="Q1648" s="1920">
        <f>ROUND(F1648*(1+$AB$1609),$AB$8)</f>
        <v>4.1316747945990002</v>
      </c>
      <c r="R1648" s="1921" t="s">
        <v>495</v>
      </c>
      <c r="S1648" s="1644">
        <f>MIN($S$1657-SUM($S$1642:$S$1646,$S$1653),SUM($Y$1647:$Y$1648))*Y1648/($Y$1647+$Y$1648)</f>
        <v>124479.51329579159</v>
      </c>
      <c r="T1648" s="1648"/>
      <c r="U1648" s="1644">
        <f>MIN($U$1657-SUM($U$1642:$U$1646,$U$1653),SUM($Y$1647:$Y$1648,-$S$1647,-$S$1648))*Y1648/($Y$1647+$Y$1648)</f>
        <v>249283.73129076549</v>
      </c>
      <c r="V1648" s="1648"/>
      <c r="W1648" s="1648">
        <f>Y1648-S1648-U1648</f>
        <v>181065.75541344294</v>
      </c>
      <c r="X1648" s="1648"/>
      <c r="Y1648" s="1644">
        <f>ROUND($D1648*Q1648/100,0)</f>
        <v>554829</v>
      </c>
    </row>
    <row r="1649" spans="1:31">
      <c r="A1649" s="1900" t="s">
        <v>308</v>
      </c>
      <c r="C1649" s="529">
        <f>C1648+C1647</f>
        <v>16017251.279081918</v>
      </c>
      <c r="D1649" s="529">
        <f>ROUND(C1649/($C$1611+$C$1615+$C$1649+$C$1653)*Energy!$P$80,0)</f>
        <v>17824600</v>
      </c>
      <c r="F1649" s="1976"/>
      <c r="H1649" s="1030">
        <f>SUM(H1642:H1648)</f>
        <v>1507159</v>
      </c>
      <c r="I1649" s="1030">
        <f>SUM(I1642:I1648)</f>
        <v>1675776</v>
      </c>
      <c r="K1649" s="1976"/>
      <c r="M1649" s="1976"/>
      <c r="O1649" s="1976"/>
      <c r="Q1649" s="1976"/>
      <c r="Y1649" s="1030">
        <f>SUM(Y1642:Y1648)</f>
        <v>1666792</v>
      </c>
    </row>
    <row r="1650" spans="1:31">
      <c r="A1650" s="1900" t="s">
        <v>34</v>
      </c>
      <c r="C1650" s="528"/>
      <c r="D1650" s="528"/>
    </row>
    <row r="1651" spans="1:31">
      <c r="A1651" s="1900" t="s">
        <v>927</v>
      </c>
      <c r="C1651" s="584">
        <f>'10'!M22</f>
        <v>572.07357142857097</v>
      </c>
      <c r="D1651" s="528">
        <f>ROUND(C1651/($C$1642+$C$1643)*($D$1642+$D$1643),0)</f>
        <v>605</v>
      </c>
      <c r="F1651" s="597">
        <v>14</v>
      </c>
      <c r="G1651" s="597"/>
      <c r="H1651" s="1645">
        <f>ROUND($F1651*C1651,0)</f>
        <v>8009</v>
      </c>
      <c r="I1651" s="1645">
        <f>ROUND($F1651*D1651,0)</f>
        <v>8470</v>
      </c>
      <c r="K1651" s="597">
        <f>K1613</f>
        <v>14</v>
      </c>
      <c r="L1651" s="597"/>
      <c r="M1651" s="597">
        <f>M1613</f>
        <v>0</v>
      </c>
      <c r="N1651" s="597"/>
      <c r="O1651" s="597">
        <f>O1613</f>
        <v>0</v>
      </c>
      <c r="P1651" s="597"/>
      <c r="Q1651" s="597">
        <f>Q1613</f>
        <v>14</v>
      </c>
      <c r="R1651" s="597"/>
      <c r="S1651" s="1644">
        <f t="shared" ref="S1651" si="1853">ROUND($D1651*K1651/100,0)</f>
        <v>85</v>
      </c>
      <c r="T1651" s="1645"/>
      <c r="U1651" s="1644">
        <f t="shared" ref="U1651:Y1651" si="1854">ROUND($D1651*M1651/100,0)</f>
        <v>0</v>
      </c>
      <c r="V1651" s="1645"/>
      <c r="W1651" s="1644">
        <f t="shared" si="1854"/>
        <v>0</v>
      </c>
      <c r="X1651" s="1645"/>
      <c r="Y1651" s="1644">
        <f t="shared" si="1854"/>
        <v>85</v>
      </c>
    </row>
    <row r="1652" spans="1:31">
      <c r="A1652" s="1900" t="s">
        <v>35</v>
      </c>
      <c r="C1652" s="529">
        <f>'10'!Q22+TempRev!C359</f>
        <v>5781425.1723810686</v>
      </c>
      <c r="D1652" s="529">
        <f>D1653</f>
        <v>6433787.1371411681</v>
      </c>
      <c r="F1652" s="1943">
        <v>4.9983000000000004</v>
      </c>
      <c r="G1652" s="1921" t="s">
        <v>495</v>
      </c>
      <c r="H1652" s="1649">
        <f>ROUND($F1652*C1652/100,0)</f>
        <v>288973</v>
      </c>
      <c r="I1652" s="1649">
        <f>ROUND($F1652*D1652/100,0)</f>
        <v>321580</v>
      </c>
      <c r="K1652" s="1943">
        <f>K1614</f>
        <v>1.2232000000000001</v>
      </c>
      <c r="L1652" s="1921" t="s">
        <v>495</v>
      </c>
      <c r="M1652" s="1943">
        <f>M1614</f>
        <v>1.9233657574191942</v>
      </c>
      <c r="N1652" s="1921" t="s">
        <v>495</v>
      </c>
      <c r="O1652" s="1943">
        <f>O1614</f>
        <v>1.8375221238938055</v>
      </c>
      <c r="P1652" s="1921" t="s">
        <v>495</v>
      </c>
      <c r="Q1652" s="1943">
        <f>Q1614</f>
        <v>4.9840878813130001</v>
      </c>
      <c r="R1652" s="1921" t="s">
        <v>495</v>
      </c>
      <c r="S1652" s="1644">
        <f>ROUND($D1652*K1652/100,0)</f>
        <v>78698</v>
      </c>
      <c r="T1652" s="1648"/>
      <c r="U1652" s="1644">
        <f>ROUND($D1652*M1652/100,0)</f>
        <v>123745</v>
      </c>
      <c r="V1652" s="1648"/>
      <c r="W1652" s="1644">
        <f>ROUND($D1652*O1652/100,0)</f>
        <v>118222</v>
      </c>
      <c r="X1652" s="1648"/>
      <c r="Y1652" s="1644">
        <f>ROUND($D1652*Q1652/100,0)</f>
        <v>320666</v>
      </c>
    </row>
    <row r="1653" spans="1:31">
      <c r="A1653" s="1900" t="s">
        <v>309</v>
      </c>
      <c r="C1653" s="529">
        <f>C1652</f>
        <v>5781425.1723810686</v>
      </c>
      <c r="D1653" s="529">
        <f>Energy!P80-'Blocking-Step2'!D1611-'Blocking-Step2'!D1615-'Blocking-Step2'!D1649</f>
        <v>6433787.1371411681</v>
      </c>
      <c r="F1653" s="1976"/>
      <c r="H1653" s="1030">
        <f>H1651+H1652</f>
        <v>296982</v>
      </c>
      <c r="I1653" s="1030">
        <f>I1651+I1652</f>
        <v>330050</v>
      </c>
      <c r="K1653" s="1976"/>
      <c r="M1653" s="1976"/>
      <c r="O1653" s="1976"/>
      <c r="Q1653" s="1976"/>
      <c r="S1653" s="1030">
        <f>S1651+S1652</f>
        <v>78783</v>
      </c>
      <c r="U1653" s="1030">
        <f>U1651+U1652</f>
        <v>123745</v>
      </c>
      <c r="W1653" s="1030">
        <f>W1651+W1652</f>
        <v>118222</v>
      </c>
      <c r="Y1653" s="1030">
        <f>Y1651+Y1652</f>
        <v>320751</v>
      </c>
      <c r="AA1653" s="1104" t="s">
        <v>1743</v>
      </c>
      <c r="AB1653" s="1890">
        <f>Y1657/I1657-1</f>
        <v>3.3735918382808983E-2</v>
      </c>
    </row>
    <row r="1654" spans="1:31">
      <c r="A1654" s="1900" t="s">
        <v>246</v>
      </c>
      <c r="C1654" s="529">
        <f>ROUND((C1649+C1653)/(C1649+C1653+C1611+C1615)*'Table 2'!J118,0)</f>
        <v>41404</v>
      </c>
      <c r="D1654" s="529">
        <v>0</v>
      </c>
      <c r="H1654" s="1030">
        <f>ROUND(C1654/'Table 2'!J118*'Table 3'!F118,0)</f>
        <v>2525</v>
      </c>
      <c r="I1654" s="1030">
        <v>0</v>
      </c>
      <c r="Y1654" s="1030">
        <v>0</v>
      </c>
    </row>
    <row r="1655" spans="1:31">
      <c r="A1655" s="1900" t="s">
        <v>1240</v>
      </c>
      <c r="C1655" s="584"/>
      <c r="D1655" s="584"/>
      <c r="F1655" s="1930">
        <v>-4.2099999999999999E-2</v>
      </c>
      <c r="G1655" s="597"/>
      <c r="H1655" s="1644">
        <f>SUM(H1645,H1647:H1648,H1652)*$F1655</f>
        <v>-74715.754099999991</v>
      </c>
      <c r="I1655" s="1644">
        <f>SUM(I1645,I1647:I1648,I1652)*$F1655</f>
        <v>-83146.363299999997</v>
      </c>
      <c r="K1655" s="1930"/>
      <c r="L1655" s="597"/>
      <c r="M1655" s="1930"/>
      <c r="N1655" s="597"/>
      <c r="O1655" s="1931" t="str">
        <f>$O$43</f>
        <v>Tax Year 1 (7/1/2021)</v>
      </c>
      <c r="P1655" s="597"/>
      <c r="Q1655" s="1930">
        <f>$AC$1612</f>
        <v>-2.7099999999999999E-2</v>
      </c>
      <c r="R1655" s="597"/>
      <c r="S1655" s="1645"/>
      <c r="T1655" s="1645"/>
      <c r="U1655" s="1645"/>
      <c r="V1655" s="1645"/>
      <c r="W1655" s="1645"/>
      <c r="X1655" s="1645"/>
      <c r="Y1655" s="1644">
        <f>Q1655*SUM(Y1645,Y1647:Y1648,Y1652)</f>
        <v>-53253.613799999999</v>
      </c>
    </row>
    <row r="1656" spans="1:31">
      <c r="A1656" s="1900"/>
      <c r="C1656" s="584"/>
      <c r="D1656" s="584"/>
      <c r="F1656" s="1930"/>
      <c r="G1656" s="597"/>
      <c r="H1656" s="1644"/>
      <c r="I1656" s="1644"/>
      <c r="K1656" s="1930"/>
      <c r="L1656" s="597"/>
      <c r="M1656" s="1930"/>
      <c r="N1656" s="597"/>
      <c r="O1656" s="1931" t="str">
        <f>$O$44</f>
        <v>Tax Year 2 (1/1/2022)</v>
      </c>
      <c r="P1656" s="597"/>
      <c r="Q1656" s="1930">
        <f>$AC$1613</f>
        <v>-1.47E-2</v>
      </c>
      <c r="R1656" s="597"/>
      <c r="S1656" s="1645"/>
      <c r="T1656" s="1645"/>
      <c r="U1656" s="1645"/>
      <c r="V1656" s="1645"/>
      <c r="W1656" s="1645"/>
      <c r="X1656" s="1645"/>
      <c r="Y1656" s="1644">
        <f>Q1656*SUM(Y1645,Y1647:Y1648,Y1652)</f>
        <v>-28886.6466</v>
      </c>
      <c r="AA1656" s="1933" t="s">
        <v>1660</v>
      </c>
      <c r="AB1656" s="1933" t="s">
        <v>1661</v>
      </c>
      <c r="AC1656" s="1933" t="s">
        <v>1662</v>
      </c>
      <c r="AD1656" s="1933" t="s">
        <v>93</v>
      </c>
    </row>
    <row r="1657" spans="1:31" ht="16.5" thickBot="1">
      <c r="A1657" s="1900" t="s">
        <v>319</v>
      </c>
      <c r="C1657" s="1949">
        <f>C1652+C1649+C1654</f>
        <v>21840080.451462988</v>
      </c>
      <c r="D1657" s="1949">
        <f>D1653+D1649+D1654</f>
        <v>24258387.137141168</v>
      </c>
      <c r="F1657" s="1939"/>
      <c r="H1657" s="1647">
        <f>SUM(H1649,H1653:H1655)</f>
        <v>1731950.2459</v>
      </c>
      <c r="I1657" s="1647">
        <f>SUM(I1649,I1653:I1655)</f>
        <v>1922679.6366999999</v>
      </c>
      <c r="K1657" s="1939"/>
      <c r="M1657" s="1939"/>
      <c r="O1657" s="1939"/>
      <c r="Q1657" s="1939"/>
      <c r="S1657" s="1646">
        <f>$Y1657*AA1657/$AD1657</f>
        <v>826338.99011353333</v>
      </c>
      <c r="T1657" s="1646"/>
      <c r="U1657" s="1646">
        <f>$Y1657*AB1657/$AD1657</f>
        <v>656220.55663714593</v>
      </c>
      <c r="V1657" s="1646"/>
      <c r="W1657" s="1646">
        <f>Y1657-S1657-U1657</f>
        <v>504983.45324932074</v>
      </c>
      <c r="Y1657" s="1647">
        <f>SUM(Y1649,Y1653:Y1654)</f>
        <v>1987543</v>
      </c>
      <c r="AA1657" s="1937">
        <f>'Unit Cost Target'!$I$87+'Unit Cost Target'!$I$123+'Unit Cost Target'!$I$129+'Unit Cost Target'!$I$75+'Unit Cost Target'!$I$81</f>
        <v>7713599.8025939884</v>
      </c>
      <c r="AB1657" s="1937">
        <f>'Unit Cost Target'!$I$45+'Unit Cost Target'!$I$51</f>
        <v>6125600.7724371636</v>
      </c>
      <c r="AC1657" s="1937">
        <f>'Unit Cost Target'!$I$33+'Unit Cost Target'!$I$39+'Unit Cost Target'!$I$63+'Unit Cost Target'!$I$69</f>
        <v>4713852.682616381</v>
      </c>
      <c r="AD1657" s="1937">
        <f>SUM(AA1657:AC1657)</f>
        <v>18553053.257647533</v>
      </c>
      <c r="AE1657" s="1937">
        <f>AD1657-'Unit Cost Target'!$I$21</f>
        <v>0</v>
      </c>
    </row>
    <row r="1658" spans="1:31" ht="16.5" thickTop="1">
      <c r="C1658" s="528" t="s">
        <v>118</v>
      </c>
      <c r="D1658" s="528" t="s">
        <v>118</v>
      </c>
      <c r="AA1658" s="1937">
        <f>S1657+S1653-SUM(S1642:S1656)</f>
        <v>0</v>
      </c>
      <c r="AB1658" s="1937">
        <f>U1657+U1653-SUM(U1642:U1656)</f>
        <v>0</v>
      </c>
      <c r="AC1658" s="1937">
        <f>W1657+W1653-SUM(W1642:W1656)</f>
        <v>1</v>
      </c>
      <c r="AD1658" s="1937">
        <f>SUM(AA1658:AC1658)</f>
        <v>1</v>
      </c>
      <c r="AE1658" s="1937"/>
    </row>
    <row r="1659" spans="1:31">
      <c r="A1659" s="1897" t="s">
        <v>567</v>
      </c>
      <c r="C1659" s="528"/>
      <c r="D1659" s="528"/>
    </row>
    <row r="1660" spans="1:31">
      <c r="A1660" s="1977" t="s">
        <v>1049</v>
      </c>
      <c r="C1660" s="584"/>
      <c r="D1660" s="584"/>
      <c r="F1660" s="1902"/>
      <c r="G1660" s="1902"/>
      <c r="H1660" s="1645"/>
      <c r="I1660" s="1645"/>
      <c r="K1660" s="1902"/>
      <c r="L1660" s="1902"/>
      <c r="M1660" s="1902"/>
      <c r="N1660" s="1902"/>
      <c r="O1660" s="1902"/>
      <c r="P1660" s="1902"/>
      <c r="Q1660" s="1902"/>
      <c r="R1660" s="1902"/>
      <c r="S1660" s="1643"/>
      <c r="T1660" s="1643"/>
      <c r="U1660" s="1643"/>
      <c r="V1660" s="1643"/>
      <c r="W1660" s="1643"/>
      <c r="X1660" s="1643"/>
      <c r="Y1660" s="1645"/>
      <c r="AA1660" s="1109"/>
      <c r="AB1660" s="1114"/>
    </row>
    <row r="1661" spans="1:31">
      <c r="A1661" s="1116" t="s">
        <v>1050</v>
      </c>
      <c r="C1661" s="528">
        <f>SUMIF('11'!$B$2:$B$31,83,'11'!$L$2:$L$31)</f>
        <v>2738.8798586572402</v>
      </c>
      <c r="D1661" s="528">
        <f>ROUND(C1661/$C$1711*$D$1711,0)</f>
        <v>2745</v>
      </c>
      <c r="F1661" s="1907">
        <v>11.32</v>
      </c>
      <c r="G1661" s="1902"/>
      <c r="H1661" s="1644">
        <f t="shared" ref="H1661:I1664" si="1855">ROUND(C1661*$F1661,0)</f>
        <v>31004</v>
      </c>
      <c r="I1661" s="1644">
        <f t="shared" si="1855"/>
        <v>31073</v>
      </c>
      <c r="K1661" s="1907"/>
      <c r="L1661" s="1902"/>
      <c r="M1661" s="1907"/>
      <c r="N1661" s="1902"/>
      <c r="O1661" s="1907"/>
      <c r="P1661" s="1902"/>
      <c r="Q1661" s="1907"/>
      <c r="R1661" s="1902"/>
      <c r="S1661" s="1643"/>
      <c r="T1661" s="1643"/>
      <c r="U1661" s="1643"/>
      <c r="V1661" s="1643"/>
      <c r="W1661" s="1643"/>
      <c r="X1661" s="1643"/>
      <c r="Y1661" s="1645"/>
      <c r="AA1661" s="1109"/>
      <c r="AB1661" s="1114"/>
    </row>
    <row r="1662" spans="1:31">
      <c r="A1662" s="1116" t="s">
        <v>1051</v>
      </c>
      <c r="C1662" s="528">
        <f>SUMIF('11'!$B$2:$B$31,84,'11'!$L$2:$L$31)</f>
        <v>1171.24449035813</v>
      </c>
      <c r="D1662" s="528">
        <f t="shared" ref="D1662:D1664" si="1856">ROUND(C1662/$C$1711*$D$1711,0)</f>
        <v>1174</v>
      </c>
      <c r="F1662" s="1907">
        <v>14.52</v>
      </c>
      <c r="G1662" s="1902"/>
      <c r="H1662" s="1644">
        <f t="shared" si="1855"/>
        <v>17006</v>
      </c>
      <c r="I1662" s="1644">
        <f t="shared" si="1855"/>
        <v>17046</v>
      </c>
      <c r="K1662" s="1907"/>
      <c r="L1662" s="1902"/>
      <c r="M1662" s="1907"/>
      <c r="N1662" s="1902"/>
      <c r="O1662" s="1907"/>
      <c r="P1662" s="1902"/>
      <c r="Q1662" s="1907"/>
      <c r="R1662" s="1902"/>
      <c r="S1662" s="1643"/>
      <c r="T1662" s="1643"/>
      <c r="U1662" s="1643"/>
      <c r="V1662" s="1643"/>
      <c r="W1662" s="1643"/>
      <c r="X1662" s="1643"/>
      <c r="Y1662" s="1645"/>
      <c r="AA1662" s="1945"/>
      <c r="AB1662" s="1114"/>
    </row>
    <row r="1663" spans="1:31">
      <c r="A1663" s="1116" t="s">
        <v>1052</v>
      </c>
      <c r="C1663" s="528">
        <f>SUMIF('11'!$B$2:$B$31,81,'11'!$L$2:$L$31)</f>
        <v>62.466666666666697</v>
      </c>
      <c r="D1663" s="528">
        <f t="shared" si="1856"/>
        <v>63</v>
      </c>
      <c r="F1663" s="1907">
        <v>19.8</v>
      </c>
      <c r="G1663" s="1902"/>
      <c r="H1663" s="1644">
        <f t="shared" si="1855"/>
        <v>1237</v>
      </c>
      <c r="I1663" s="1644">
        <f t="shared" si="1855"/>
        <v>1247</v>
      </c>
      <c r="K1663" s="1907"/>
      <c r="L1663" s="1902"/>
      <c r="M1663" s="1907"/>
      <c r="N1663" s="1902"/>
      <c r="O1663" s="1907"/>
      <c r="P1663" s="1902"/>
      <c r="Q1663" s="1907"/>
      <c r="R1663" s="1902"/>
      <c r="S1663" s="1643"/>
      <c r="T1663" s="1643"/>
      <c r="U1663" s="1643"/>
      <c r="V1663" s="1643"/>
      <c r="W1663" s="1643"/>
      <c r="X1663" s="1643"/>
      <c r="Y1663" s="1645"/>
      <c r="AA1663" s="1109"/>
      <c r="AB1663" s="1946"/>
    </row>
    <row r="1664" spans="1:31">
      <c r="A1664" s="1116" t="s">
        <v>1053</v>
      </c>
      <c r="C1664" s="528">
        <f>SUMIF('11'!$B$2:$B$31,85,'11'!$L$2:$L$31)</f>
        <v>114.133333333333</v>
      </c>
      <c r="D1664" s="528">
        <f t="shared" si="1856"/>
        <v>114</v>
      </c>
      <c r="F1664" s="1907">
        <v>22.95</v>
      </c>
      <c r="G1664" s="1902"/>
      <c r="H1664" s="1644">
        <f t="shared" si="1855"/>
        <v>2619</v>
      </c>
      <c r="I1664" s="1644">
        <f t="shared" si="1855"/>
        <v>2616</v>
      </c>
      <c r="K1664" s="1907"/>
      <c r="L1664" s="1902"/>
      <c r="M1664" s="1907"/>
      <c r="N1664" s="1902"/>
      <c r="O1664" s="1907"/>
      <c r="P1664" s="1902"/>
      <c r="Q1664" s="1907"/>
      <c r="R1664" s="1902"/>
      <c r="S1664" s="1643"/>
      <c r="T1664" s="1643"/>
      <c r="U1664" s="1643"/>
      <c r="V1664" s="1643"/>
      <c r="W1664" s="1643"/>
      <c r="X1664" s="1643"/>
      <c r="Y1664" s="1645"/>
      <c r="AA1664" s="1109"/>
      <c r="AB1664" s="1946"/>
    </row>
    <row r="1665" spans="1:29">
      <c r="A1665" s="1960" t="s">
        <v>769</v>
      </c>
      <c r="C1665" s="584"/>
      <c r="D1665" s="584"/>
      <c r="F1665" s="1902"/>
      <c r="G1665" s="1902"/>
      <c r="H1665" s="1645"/>
      <c r="I1665" s="1645"/>
      <c r="K1665" s="1902"/>
      <c r="L1665" s="1902"/>
      <c r="M1665" s="1902"/>
      <c r="N1665" s="1902"/>
      <c r="O1665" s="1902"/>
      <c r="P1665" s="1902"/>
      <c r="Q1665" s="1902"/>
      <c r="R1665" s="1902"/>
      <c r="S1665" s="1643"/>
      <c r="T1665" s="1643"/>
      <c r="U1665" s="1643"/>
      <c r="V1665" s="1643"/>
      <c r="W1665" s="1643"/>
      <c r="X1665" s="1643"/>
      <c r="Y1665" s="1645"/>
      <c r="AA1665" s="1109"/>
      <c r="AB1665" s="1946"/>
    </row>
    <row r="1666" spans="1:29">
      <c r="A1666" s="1900" t="s">
        <v>387</v>
      </c>
      <c r="C1666" s="528">
        <f>SUMIF('11'!$B$2:$B$31,42,'11'!$L$2:$L$31)</f>
        <v>28619.111016949199</v>
      </c>
      <c r="D1666" s="528">
        <f t="shared" ref="D1666:D1680" si="1857">ROUND(C1666/$C$1711*$D$1711,0)</f>
        <v>28679</v>
      </c>
      <c r="F1666" s="1901">
        <v>11.8</v>
      </c>
      <c r="G1666" s="1902"/>
      <c r="H1666" s="1644">
        <f t="shared" ref="H1666:H1680" si="1858">ROUND(C1666*$F1666,0)</f>
        <v>337706</v>
      </c>
      <c r="I1666" s="1644">
        <f t="shared" ref="I1666:I1680" si="1859">ROUND(D1666*$F1666,0)</f>
        <v>338412</v>
      </c>
      <c r="K1666" s="1901"/>
      <c r="L1666" s="1902"/>
      <c r="M1666" s="1901"/>
      <c r="N1666" s="1902"/>
      <c r="O1666" s="1901"/>
      <c r="P1666" s="1902"/>
      <c r="Q1666" s="1901"/>
      <c r="R1666" s="1902"/>
      <c r="S1666" s="1643"/>
      <c r="T1666" s="1643"/>
      <c r="U1666" s="1643"/>
      <c r="V1666" s="1643"/>
      <c r="W1666" s="1643"/>
      <c r="X1666" s="1643"/>
      <c r="Y1666" s="1645"/>
      <c r="AA1666" s="1109"/>
      <c r="AB1666" s="1917"/>
      <c r="AC1666" s="1918"/>
    </row>
    <row r="1667" spans="1:29">
      <c r="A1667" s="1900" t="s">
        <v>361</v>
      </c>
      <c r="C1667" s="528">
        <f>SUMIF('11'!$B$2:$B$31,43,'11'!$L$2:$L$31)</f>
        <v>194114.982785603</v>
      </c>
      <c r="D1667" s="528">
        <f t="shared" si="1857"/>
        <v>194524</v>
      </c>
      <c r="F1667" s="1901">
        <v>12.78</v>
      </c>
      <c r="G1667" s="1902"/>
      <c r="H1667" s="1644">
        <f t="shared" si="1858"/>
        <v>2480789</v>
      </c>
      <c r="I1667" s="1644">
        <f t="shared" si="1859"/>
        <v>2486017</v>
      </c>
      <c r="K1667" s="1901"/>
      <c r="L1667" s="1902"/>
      <c r="M1667" s="1901"/>
      <c r="N1667" s="1902"/>
      <c r="O1667" s="1901"/>
      <c r="P1667" s="1902"/>
      <c r="Q1667" s="1901"/>
      <c r="R1667" s="1902"/>
      <c r="S1667" s="1643"/>
      <c r="T1667" s="1643"/>
      <c r="U1667" s="1643"/>
      <c r="V1667" s="1643"/>
      <c r="W1667" s="1643"/>
      <c r="X1667" s="1643"/>
      <c r="Y1667" s="1645"/>
      <c r="AA1667" s="1109"/>
      <c r="AB1667" s="1917"/>
      <c r="AC1667" s="1918"/>
    </row>
    <row r="1668" spans="1:29">
      <c r="A1668" s="1900" t="s">
        <v>362</v>
      </c>
      <c r="C1668" s="528">
        <f>SUMIF('11'!$B$2:$B$31,44,'11'!$L$2:$L$31)</f>
        <v>144</v>
      </c>
      <c r="D1668" s="528">
        <f t="shared" si="1857"/>
        <v>144</v>
      </c>
      <c r="F1668" s="1901">
        <v>11.5</v>
      </c>
      <c r="G1668" s="1902"/>
      <c r="H1668" s="1644">
        <f t="shared" si="1858"/>
        <v>1656</v>
      </c>
      <c r="I1668" s="1644">
        <f t="shared" si="1859"/>
        <v>1656</v>
      </c>
      <c r="K1668" s="1901"/>
      <c r="L1668" s="1902"/>
      <c r="M1668" s="1901"/>
      <c r="N1668" s="1902"/>
      <c r="O1668" s="1901"/>
      <c r="P1668" s="1902"/>
      <c r="Q1668" s="1901"/>
      <c r="R1668" s="1902"/>
      <c r="S1668" s="1643"/>
      <c r="T1668" s="1643"/>
      <c r="U1668" s="1643"/>
      <c r="V1668" s="1643"/>
      <c r="W1668" s="1643"/>
      <c r="X1668" s="1643"/>
      <c r="Y1668" s="1645"/>
    </row>
    <row r="1669" spans="1:29">
      <c r="A1669" s="1900" t="s">
        <v>363</v>
      </c>
      <c r="C1669" s="528">
        <f>SUMIF('11'!$B$2:$B$31,51,'11'!$L$2:$L$31)</f>
        <v>432</v>
      </c>
      <c r="D1669" s="528">
        <f t="shared" si="1857"/>
        <v>433</v>
      </c>
      <c r="F1669" s="1901">
        <v>46.54</v>
      </c>
      <c r="G1669" s="1902"/>
      <c r="H1669" s="1644">
        <f t="shared" si="1858"/>
        <v>20105</v>
      </c>
      <c r="I1669" s="1644">
        <f t="shared" si="1859"/>
        <v>20152</v>
      </c>
      <c r="K1669" s="1901"/>
      <c r="L1669" s="1902"/>
      <c r="M1669" s="1901"/>
      <c r="N1669" s="1902"/>
      <c r="O1669" s="1901"/>
      <c r="P1669" s="1902"/>
      <c r="Q1669" s="1901"/>
      <c r="R1669" s="1902"/>
      <c r="S1669" s="1643"/>
      <c r="T1669" s="1643"/>
      <c r="U1669" s="1643"/>
      <c r="V1669" s="1643"/>
      <c r="W1669" s="1643"/>
      <c r="X1669" s="1643"/>
      <c r="Y1669" s="1645"/>
    </row>
    <row r="1670" spans="1:29">
      <c r="A1670" s="1900" t="s">
        <v>364</v>
      </c>
      <c r="C1670" s="528">
        <f>SUMIF('11'!$B$2:$B$31,54,'11'!$L$2:$L$31)</f>
        <v>49.735348226018402</v>
      </c>
      <c r="D1670" s="528">
        <f t="shared" si="1857"/>
        <v>50</v>
      </c>
      <c r="F1670" s="1901">
        <v>38.049999999999997</v>
      </c>
      <c r="G1670" s="1902"/>
      <c r="H1670" s="1644">
        <f t="shared" si="1858"/>
        <v>1892</v>
      </c>
      <c r="I1670" s="1644">
        <f t="shared" si="1859"/>
        <v>1903</v>
      </c>
      <c r="K1670" s="1901"/>
      <c r="L1670" s="1902"/>
      <c r="M1670" s="1901"/>
      <c r="N1670" s="1902"/>
      <c r="O1670" s="1901"/>
      <c r="P1670" s="1902"/>
      <c r="Q1670" s="1901"/>
      <c r="R1670" s="1902"/>
      <c r="S1670" s="1643"/>
      <c r="T1670" s="1643"/>
      <c r="U1670" s="1643"/>
      <c r="V1670" s="1643"/>
      <c r="W1670" s="1643"/>
      <c r="X1670" s="1643"/>
      <c r="Y1670" s="1645"/>
    </row>
    <row r="1671" spans="1:29">
      <c r="A1671" s="1900" t="s">
        <v>365</v>
      </c>
      <c r="C1671" s="528">
        <f>SUMIF('11'!$B$2:$B$31,45,'11'!$L$2:$L$31)</f>
        <v>19332.8754427391</v>
      </c>
      <c r="D1671" s="528">
        <f t="shared" si="1857"/>
        <v>19374</v>
      </c>
      <c r="F1671" s="1901">
        <v>16.940000000000001</v>
      </c>
      <c r="G1671" s="1902"/>
      <c r="H1671" s="1644">
        <f t="shared" si="1858"/>
        <v>327499</v>
      </c>
      <c r="I1671" s="1644">
        <f t="shared" si="1859"/>
        <v>328196</v>
      </c>
      <c r="K1671" s="1901"/>
      <c r="L1671" s="1902"/>
      <c r="M1671" s="1901"/>
      <c r="N1671" s="1902"/>
      <c r="O1671" s="1901"/>
      <c r="P1671" s="1902"/>
      <c r="Q1671" s="1901"/>
      <c r="R1671" s="1902"/>
      <c r="S1671" s="1643"/>
      <c r="T1671" s="1643"/>
      <c r="U1671" s="1643"/>
      <c r="V1671" s="1643"/>
      <c r="W1671" s="1643"/>
      <c r="X1671" s="1643"/>
      <c r="Y1671" s="1645"/>
    </row>
    <row r="1672" spans="1:29">
      <c r="A1672" s="1900" t="s">
        <v>366</v>
      </c>
      <c r="C1672" s="528">
        <f>SUMIF('11'!$B$2:$B$31,46,'11'!$L$2:$L$31)</f>
        <v>48</v>
      </c>
      <c r="D1672" s="528">
        <f t="shared" si="1857"/>
        <v>48</v>
      </c>
      <c r="F1672" s="1901">
        <v>15.25</v>
      </c>
      <c r="G1672" s="1902"/>
      <c r="H1672" s="1644">
        <f t="shared" si="1858"/>
        <v>732</v>
      </c>
      <c r="I1672" s="1644">
        <f t="shared" si="1859"/>
        <v>732</v>
      </c>
      <c r="K1672" s="1901"/>
      <c r="L1672" s="1902"/>
      <c r="M1672" s="1901"/>
      <c r="N1672" s="1902"/>
      <c r="O1672" s="1901"/>
      <c r="P1672" s="1902"/>
      <c r="Q1672" s="1901"/>
      <c r="R1672" s="1902"/>
      <c r="S1672" s="1643"/>
      <c r="T1672" s="1643"/>
      <c r="U1672" s="1643"/>
      <c r="V1672" s="1643"/>
      <c r="W1672" s="1643"/>
      <c r="X1672" s="1643"/>
      <c r="Y1672" s="1645"/>
    </row>
    <row r="1673" spans="1:29">
      <c r="A1673" s="1900" t="s">
        <v>367</v>
      </c>
      <c r="C1673" s="528">
        <f>SUMIF('11'!$B$2:$B$31,52,'11'!$L$2:$L$31)</f>
        <v>2376</v>
      </c>
      <c r="D1673" s="528">
        <f t="shared" si="1857"/>
        <v>2381</v>
      </c>
      <c r="F1673" s="1901">
        <v>47.83</v>
      </c>
      <c r="G1673" s="1902"/>
      <c r="H1673" s="1644">
        <f t="shared" si="1858"/>
        <v>113644</v>
      </c>
      <c r="I1673" s="1644">
        <f t="shared" si="1859"/>
        <v>113883</v>
      </c>
      <c r="K1673" s="1901"/>
      <c r="L1673" s="1902"/>
      <c r="M1673" s="1901"/>
      <c r="N1673" s="1902"/>
      <c r="O1673" s="1901"/>
      <c r="P1673" s="1902"/>
      <c r="Q1673" s="1901"/>
      <c r="R1673" s="1902"/>
      <c r="S1673" s="1643"/>
      <c r="T1673" s="1643"/>
      <c r="U1673" s="1643"/>
      <c r="V1673" s="1643"/>
      <c r="W1673" s="1643"/>
      <c r="X1673" s="1643"/>
      <c r="Y1673" s="1645"/>
    </row>
    <row r="1674" spans="1:29">
      <c r="A1674" s="1900" t="s">
        <v>368</v>
      </c>
      <c r="C1674" s="528">
        <f>SUMIF('11'!$B$2:$B$31,55,'11'!$L$2:$L$31)</f>
        <v>396</v>
      </c>
      <c r="D1674" s="528">
        <f t="shared" si="1857"/>
        <v>397</v>
      </c>
      <c r="F1674" s="1901">
        <v>39.340000000000003</v>
      </c>
      <c r="G1674" s="1902"/>
      <c r="H1674" s="1644">
        <f t="shared" si="1858"/>
        <v>15579</v>
      </c>
      <c r="I1674" s="1644">
        <f t="shared" si="1859"/>
        <v>15618</v>
      </c>
      <c r="K1674" s="1901"/>
      <c r="L1674" s="1902"/>
      <c r="M1674" s="1901"/>
      <c r="N1674" s="1902"/>
      <c r="O1674" s="1901"/>
      <c r="P1674" s="1902"/>
      <c r="Q1674" s="1901"/>
      <c r="R1674" s="1902"/>
      <c r="S1674" s="1643"/>
      <c r="T1674" s="1643"/>
      <c r="U1674" s="1643"/>
      <c r="V1674" s="1643"/>
      <c r="W1674" s="1643"/>
      <c r="X1674" s="1643"/>
      <c r="Y1674" s="1645"/>
    </row>
    <row r="1675" spans="1:29">
      <c r="A1675" s="1900" t="s">
        <v>369</v>
      </c>
      <c r="C1675" s="528">
        <f>SUMIF('11'!$B$2:$B$31,47,'11'!$L$2:$L$31)</f>
        <v>22425.718543046401</v>
      </c>
      <c r="D1675" s="528">
        <f t="shared" si="1857"/>
        <v>22473</v>
      </c>
      <c r="F1675" s="1901">
        <v>21.14</v>
      </c>
      <c r="G1675" s="1902"/>
      <c r="H1675" s="1644">
        <f t="shared" si="1858"/>
        <v>474080</v>
      </c>
      <c r="I1675" s="1644">
        <f t="shared" si="1859"/>
        <v>475079</v>
      </c>
      <c r="K1675" s="1901"/>
      <c r="L1675" s="1902"/>
      <c r="M1675" s="1901"/>
      <c r="N1675" s="1902"/>
      <c r="O1675" s="1901"/>
      <c r="P1675" s="1902"/>
      <c r="Q1675" s="1901"/>
      <c r="R1675" s="1902"/>
      <c r="S1675" s="1643"/>
      <c r="T1675" s="1643"/>
      <c r="U1675" s="1643"/>
      <c r="V1675" s="1643"/>
      <c r="W1675" s="1643"/>
      <c r="X1675" s="1643"/>
      <c r="Y1675" s="1645"/>
    </row>
    <row r="1676" spans="1:29">
      <c r="A1676" s="1900" t="s">
        <v>370</v>
      </c>
      <c r="C1676" s="528">
        <f>SUMIF('11'!$B$2:$B$31,48,'11'!$L$2:$L$31)</f>
        <v>12</v>
      </c>
      <c r="D1676" s="528">
        <f t="shared" si="1857"/>
        <v>12</v>
      </c>
      <c r="F1676" s="1901">
        <v>19.03</v>
      </c>
      <c r="G1676" s="1902"/>
      <c r="H1676" s="1644">
        <f t="shared" si="1858"/>
        <v>228</v>
      </c>
      <c r="I1676" s="1644">
        <f t="shared" si="1859"/>
        <v>228</v>
      </c>
      <c r="K1676" s="1901"/>
      <c r="L1676" s="1902"/>
      <c r="M1676" s="1901"/>
      <c r="N1676" s="1902"/>
      <c r="O1676" s="1901"/>
      <c r="P1676" s="1902"/>
      <c r="Q1676" s="1901"/>
      <c r="R1676" s="1902"/>
      <c r="S1676" s="1643"/>
      <c r="T1676" s="1643"/>
      <c r="U1676" s="1643"/>
      <c r="V1676" s="1643"/>
      <c r="W1676" s="1643"/>
      <c r="X1676" s="1643"/>
      <c r="Y1676" s="1645"/>
    </row>
    <row r="1677" spans="1:29">
      <c r="A1677" s="1900" t="s">
        <v>372</v>
      </c>
      <c r="C1677" s="528">
        <f>SUMIF('11'!$B$2:$B$31,53,'11'!$L$2:$L$31)</f>
        <v>1248</v>
      </c>
      <c r="D1677" s="528">
        <f t="shared" si="1857"/>
        <v>1251</v>
      </c>
      <c r="F1677" s="1901">
        <v>51.48</v>
      </c>
      <c r="G1677" s="1902"/>
      <c r="H1677" s="1644">
        <f t="shared" si="1858"/>
        <v>64247</v>
      </c>
      <c r="I1677" s="1644">
        <f t="shared" si="1859"/>
        <v>64401</v>
      </c>
      <c r="K1677" s="1901"/>
      <c r="L1677" s="1902"/>
      <c r="M1677" s="1901"/>
      <c r="N1677" s="1902"/>
      <c r="O1677" s="1901"/>
      <c r="P1677" s="1902"/>
      <c r="Q1677" s="1901"/>
      <c r="R1677" s="1902"/>
      <c r="S1677" s="1643"/>
      <c r="T1677" s="1643"/>
      <c r="U1677" s="1643"/>
      <c r="V1677" s="1643"/>
      <c r="W1677" s="1643"/>
      <c r="X1677" s="1643"/>
      <c r="Y1677" s="1645"/>
    </row>
    <row r="1678" spans="1:29">
      <c r="A1678" s="1900" t="s">
        <v>373</v>
      </c>
      <c r="C1678" s="528">
        <f>SUMIF('11'!$B$2:$B$31,56,'11'!$L$2:$L$31)</f>
        <v>0</v>
      </c>
      <c r="D1678" s="528">
        <f t="shared" si="1857"/>
        <v>0</v>
      </c>
      <c r="F1678" s="1901">
        <v>43.01</v>
      </c>
      <c r="G1678" s="1902"/>
      <c r="H1678" s="1644">
        <f t="shared" si="1858"/>
        <v>0</v>
      </c>
      <c r="I1678" s="1644">
        <f t="shared" si="1859"/>
        <v>0</v>
      </c>
      <c r="K1678" s="1901"/>
      <c r="L1678" s="1902"/>
      <c r="M1678" s="1901"/>
      <c r="N1678" s="1902"/>
      <c r="O1678" s="1901"/>
      <c r="P1678" s="1902"/>
      <c r="Q1678" s="1901"/>
      <c r="R1678" s="1902"/>
      <c r="S1678" s="1643"/>
      <c r="T1678" s="1643"/>
      <c r="U1678" s="1643"/>
      <c r="V1678" s="1643"/>
      <c r="W1678" s="1643"/>
      <c r="X1678" s="1643"/>
      <c r="Y1678" s="1645"/>
    </row>
    <row r="1679" spans="1:29">
      <c r="A1679" s="1900" t="s">
        <v>374</v>
      </c>
      <c r="C1679" s="528">
        <f>SUMIF('11'!$B$2:$B$31,49,'11'!$L$2:$L$31)</f>
        <v>7669.15680245965</v>
      </c>
      <c r="D1679" s="528">
        <f t="shared" si="1857"/>
        <v>7685</v>
      </c>
      <c r="F1679" s="1901">
        <v>26.02</v>
      </c>
      <c r="G1679" s="1902"/>
      <c r="H1679" s="1644">
        <f t="shared" si="1858"/>
        <v>199551</v>
      </c>
      <c r="I1679" s="1644">
        <f t="shared" si="1859"/>
        <v>199964</v>
      </c>
      <c r="K1679" s="1901"/>
      <c r="L1679" s="1902"/>
      <c r="M1679" s="1901"/>
      <c r="N1679" s="1902"/>
      <c r="O1679" s="1901"/>
      <c r="P1679" s="1902"/>
      <c r="Q1679" s="1901"/>
      <c r="R1679" s="1902"/>
      <c r="S1679" s="1643"/>
      <c r="T1679" s="1643"/>
      <c r="U1679" s="1643"/>
      <c r="V1679" s="1643"/>
      <c r="W1679" s="1643"/>
      <c r="X1679" s="1643"/>
      <c r="Y1679" s="1645"/>
    </row>
    <row r="1680" spans="1:29">
      <c r="A1680" s="1900" t="s">
        <v>338</v>
      </c>
      <c r="C1680" s="528">
        <v>0</v>
      </c>
      <c r="D1680" s="528">
        <f t="shared" si="1857"/>
        <v>0</v>
      </c>
      <c r="F1680" s="1901">
        <v>51.54</v>
      </c>
      <c r="G1680" s="1902"/>
      <c r="H1680" s="1644">
        <f t="shared" si="1858"/>
        <v>0</v>
      </c>
      <c r="I1680" s="1644">
        <f t="shared" si="1859"/>
        <v>0</v>
      </c>
      <c r="K1680" s="1901"/>
      <c r="L1680" s="1902"/>
      <c r="M1680" s="1901"/>
      <c r="N1680" s="1902"/>
      <c r="O1680" s="1901"/>
      <c r="P1680" s="1902"/>
      <c r="Q1680" s="1901"/>
      <c r="R1680" s="1902"/>
      <c r="S1680" s="1643"/>
      <c r="T1680" s="1643"/>
      <c r="U1680" s="1643"/>
      <c r="V1680" s="1643"/>
      <c r="W1680" s="1643"/>
      <c r="X1680" s="1643"/>
      <c r="Y1680" s="1645"/>
    </row>
    <row r="1681" spans="1:25">
      <c r="A1681" s="1960" t="s">
        <v>770</v>
      </c>
      <c r="C1681" s="528"/>
      <c r="D1681" s="528"/>
      <c r="F1681" s="1944"/>
      <c r="G1681" s="597"/>
      <c r="H1681" s="1644"/>
      <c r="I1681" s="1644"/>
      <c r="K1681" s="1944"/>
      <c r="L1681" s="597"/>
      <c r="M1681" s="1944"/>
      <c r="N1681" s="597"/>
      <c r="O1681" s="1944"/>
      <c r="P1681" s="597"/>
      <c r="Q1681" s="1944"/>
      <c r="R1681" s="597"/>
      <c r="S1681" s="1645"/>
      <c r="T1681" s="1645"/>
      <c r="U1681" s="1645"/>
      <c r="V1681" s="1645"/>
      <c r="W1681" s="1645"/>
      <c r="X1681" s="1645"/>
      <c r="Y1681" s="1645"/>
    </row>
    <row r="1682" spans="1:25">
      <c r="A1682" s="1900" t="s">
        <v>376</v>
      </c>
      <c r="C1682" s="528">
        <f>SUMIF('11'!$B$2:$B$31,59,'11'!$L$2:$L$31)</f>
        <v>27.862125564218299</v>
      </c>
      <c r="D1682" s="528">
        <f t="shared" ref="D1682:D1692" si="1860">ROUND(C1682/$C$1711*$D$1711,0)</f>
        <v>28</v>
      </c>
      <c r="F1682" s="1901">
        <v>48.74</v>
      </c>
      <c r="G1682" s="1902"/>
      <c r="H1682" s="1644">
        <f t="shared" ref="H1682:H1692" si="1861">ROUND(C1682*$F1682,0)</f>
        <v>1358</v>
      </c>
      <c r="I1682" s="1644">
        <f t="shared" ref="I1682:I1692" si="1862">ROUND(D1682*$F1682,0)</f>
        <v>1365</v>
      </c>
      <c r="K1682" s="1901"/>
      <c r="L1682" s="1902"/>
      <c r="M1682" s="1901"/>
      <c r="N1682" s="1902"/>
      <c r="O1682" s="1901"/>
      <c r="P1682" s="1902"/>
      <c r="Q1682" s="1901"/>
      <c r="R1682" s="1902"/>
      <c r="S1682" s="1643"/>
      <c r="T1682" s="1643"/>
      <c r="U1682" s="1643"/>
      <c r="V1682" s="1643"/>
      <c r="W1682" s="1643"/>
      <c r="X1682" s="1643"/>
      <c r="Y1682" s="1645"/>
    </row>
    <row r="1683" spans="1:25">
      <c r="A1683" s="1900" t="s">
        <v>382</v>
      </c>
      <c r="C1683" s="528">
        <f>SUMIF('11'!$B$2:$B$31,63,'11'!$L$2:$L$31)</f>
        <v>36</v>
      </c>
      <c r="D1683" s="528">
        <f t="shared" si="1860"/>
        <v>36</v>
      </c>
      <c r="F1683" s="1901">
        <v>40.270000000000003</v>
      </c>
      <c r="G1683" s="1902"/>
      <c r="H1683" s="1644">
        <f t="shared" si="1861"/>
        <v>1450</v>
      </c>
      <c r="I1683" s="1644">
        <f t="shared" si="1862"/>
        <v>1450</v>
      </c>
      <c r="K1683" s="1901"/>
      <c r="L1683" s="1902"/>
      <c r="M1683" s="1901"/>
      <c r="N1683" s="1902"/>
      <c r="O1683" s="1901"/>
      <c r="P1683" s="1902"/>
      <c r="Q1683" s="1901"/>
      <c r="R1683" s="1902"/>
      <c r="S1683" s="1643"/>
      <c r="T1683" s="1643"/>
      <c r="U1683" s="1643"/>
      <c r="V1683" s="1643"/>
      <c r="W1683" s="1643"/>
      <c r="X1683" s="1643"/>
      <c r="Y1683" s="1645"/>
    </row>
    <row r="1684" spans="1:25">
      <c r="A1684" s="1900" t="s">
        <v>381</v>
      </c>
      <c r="C1684" s="528">
        <f>SUMIF('11'!$B$2:$B$31,57,'11'!$L$2:$L$31)</f>
        <v>48.0998509687034</v>
      </c>
      <c r="D1684" s="528">
        <f t="shared" si="1860"/>
        <v>48</v>
      </c>
      <c r="F1684" s="1901">
        <v>20.13</v>
      </c>
      <c r="G1684" s="1902"/>
      <c r="H1684" s="1644">
        <f t="shared" si="1861"/>
        <v>968</v>
      </c>
      <c r="I1684" s="1644">
        <f t="shared" si="1862"/>
        <v>966</v>
      </c>
      <c r="K1684" s="1901"/>
      <c r="L1684" s="1902"/>
      <c r="M1684" s="1901"/>
      <c r="N1684" s="1902"/>
      <c r="O1684" s="1901"/>
      <c r="P1684" s="1902"/>
      <c r="Q1684" s="1901"/>
      <c r="R1684" s="1902"/>
      <c r="S1684" s="1643"/>
      <c r="T1684" s="1643"/>
      <c r="U1684" s="1643"/>
      <c r="V1684" s="1643"/>
      <c r="W1684" s="1643"/>
      <c r="X1684" s="1643"/>
      <c r="Y1684" s="1645"/>
    </row>
    <row r="1685" spans="1:25">
      <c r="A1685" s="1900" t="s">
        <v>378</v>
      </c>
      <c r="C1685" s="528">
        <f>SUMIF('11'!$B$2:$B$31,60,'11'!$L$2:$L$31)</f>
        <v>0</v>
      </c>
      <c r="D1685" s="528">
        <f t="shared" si="1860"/>
        <v>0</v>
      </c>
      <c r="F1685" s="1901">
        <v>50.65</v>
      </c>
      <c r="G1685" s="1902"/>
      <c r="H1685" s="1644">
        <f t="shared" si="1861"/>
        <v>0</v>
      </c>
      <c r="I1685" s="1644">
        <f t="shared" si="1862"/>
        <v>0</v>
      </c>
      <c r="K1685" s="1901"/>
      <c r="L1685" s="1902"/>
      <c r="M1685" s="1901"/>
      <c r="N1685" s="1902"/>
      <c r="O1685" s="1901"/>
      <c r="P1685" s="1902"/>
      <c r="Q1685" s="1901"/>
      <c r="R1685" s="1902"/>
      <c r="S1685" s="1643"/>
      <c r="T1685" s="1643"/>
      <c r="U1685" s="1643"/>
      <c r="V1685" s="1643"/>
      <c r="W1685" s="1643"/>
      <c r="X1685" s="1643"/>
      <c r="Y1685" s="1645"/>
    </row>
    <row r="1686" spans="1:25">
      <c r="A1686" s="1900" t="s">
        <v>377</v>
      </c>
      <c r="C1686" s="528">
        <f>SUMIF('11'!$B$2:$B$31,64,'11'!$L$2:$L$31)</f>
        <v>12</v>
      </c>
      <c r="D1686" s="528">
        <f t="shared" si="1860"/>
        <v>12</v>
      </c>
      <c r="F1686" s="1901">
        <v>42.17</v>
      </c>
      <c r="G1686" s="1902"/>
      <c r="H1686" s="1644">
        <f t="shared" si="1861"/>
        <v>506</v>
      </c>
      <c r="I1686" s="1644">
        <f t="shared" si="1862"/>
        <v>506</v>
      </c>
      <c r="K1686" s="1901"/>
      <c r="L1686" s="1902"/>
      <c r="M1686" s="1901"/>
      <c r="N1686" s="1902"/>
      <c r="O1686" s="1901"/>
      <c r="P1686" s="1902"/>
      <c r="Q1686" s="1901"/>
      <c r="R1686" s="1902"/>
      <c r="S1686" s="1643"/>
      <c r="T1686" s="1643"/>
      <c r="U1686" s="1643"/>
      <c r="V1686" s="1643"/>
      <c r="W1686" s="1643"/>
      <c r="X1686" s="1643"/>
      <c r="Y1686" s="1645"/>
    </row>
    <row r="1687" spans="1:25">
      <c r="A1687" s="1900" t="s">
        <v>383</v>
      </c>
      <c r="C1687" s="528">
        <f>SUMIF('11'!$B$2:$B$31,58,'11'!$L$2:$L$31)</f>
        <v>312</v>
      </c>
      <c r="D1687" s="528">
        <f t="shared" si="1860"/>
        <v>313</v>
      </c>
      <c r="F1687" s="1901">
        <v>22.13</v>
      </c>
      <c r="G1687" s="1902"/>
      <c r="H1687" s="1644">
        <f t="shared" si="1861"/>
        <v>6905</v>
      </c>
      <c r="I1687" s="1644">
        <f t="shared" si="1862"/>
        <v>6927</v>
      </c>
      <c r="K1687" s="1901"/>
      <c r="L1687" s="1902"/>
      <c r="M1687" s="1901"/>
      <c r="N1687" s="1902"/>
      <c r="O1687" s="1901"/>
      <c r="P1687" s="1902"/>
      <c r="Q1687" s="1901"/>
      <c r="R1687" s="1902"/>
      <c r="S1687" s="1643"/>
      <c r="T1687" s="1643"/>
      <c r="U1687" s="1643"/>
      <c r="V1687" s="1643"/>
      <c r="W1687" s="1643"/>
      <c r="X1687" s="1643"/>
      <c r="Y1687" s="1645"/>
    </row>
    <row r="1688" spans="1:25">
      <c r="A1688" s="1900" t="s">
        <v>379</v>
      </c>
      <c r="C1688" s="528">
        <f>SUMIF('11'!$B$2:$B$31,61,'11'!$L$2:$L$31)</f>
        <v>0</v>
      </c>
      <c r="D1688" s="528">
        <f t="shared" si="1860"/>
        <v>0</v>
      </c>
      <c r="F1688" s="1901">
        <v>53.69</v>
      </c>
      <c r="G1688" s="1902"/>
      <c r="H1688" s="1644">
        <f t="shared" si="1861"/>
        <v>0</v>
      </c>
      <c r="I1688" s="1644">
        <f t="shared" si="1862"/>
        <v>0</v>
      </c>
      <c r="K1688" s="1901"/>
      <c r="L1688" s="1902"/>
      <c r="M1688" s="1901"/>
      <c r="N1688" s="1902"/>
      <c r="O1688" s="1901"/>
      <c r="P1688" s="1902"/>
      <c r="Q1688" s="1901"/>
      <c r="R1688" s="1902"/>
      <c r="S1688" s="1643"/>
      <c r="T1688" s="1643"/>
      <c r="U1688" s="1643"/>
      <c r="V1688" s="1643"/>
      <c r="W1688" s="1643"/>
      <c r="X1688" s="1643"/>
      <c r="Y1688" s="1645"/>
    </row>
    <row r="1689" spans="1:25">
      <c r="A1689" s="1900" t="s">
        <v>384</v>
      </c>
      <c r="C1689" s="528">
        <f>SUMIF('11'!$B$2:$B$31,65,'11'!$L$2:$L$31)</f>
        <v>516</v>
      </c>
      <c r="D1689" s="528">
        <f t="shared" si="1860"/>
        <v>517</v>
      </c>
      <c r="F1689" s="1901">
        <v>45.2</v>
      </c>
      <c r="G1689" s="1902"/>
      <c r="H1689" s="1644">
        <f t="shared" si="1861"/>
        <v>23323</v>
      </c>
      <c r="I1689" s="1644">
        <f t="shared" si="1862"/>
        <v>23368</v>
      </c>
      <c r="K1689" s="1901"/>
      <c r="L1689" s="1902"/>
      <c r="M1689" s="1901"/>
      <c r="N1689" s="1902"/>
      <c r="O1689" s="1901"/>
      <c r="P1689" s="1902"/>
      <c r="Q1689" s="1901"/>
      <c r="R1689" s="1902"/>
      <c r="S1689" s="1643"/>
      <c r="T1689" s="1643"/>
      <c r="U1689" s="1643"/>
      <c r="V1689" s="1643"/>
      <c r="W1689" s="1643"/>
      <c r="X1689" s="1643"/>
      <c r="Y1689" s="1645"/>
    </row>
    <row r="1690" spans="1:25">
      <c r="A1690" s="1900" t="s">
        <v>385</v>
      </c>
      <c r="C1690" s="528">
        <f>SUMIF('11'!$B$2:$B$31,77,'11'!$L$2:$L$31)</f>
        <v>0</v>
      </c>
      <c r="D1690" s="528">
        <f t="shared" si="1860"/>
        <v>0</v>
      </c>
      <c r="F1690" s="1902">
        <v>25.78</v>
      </c>
      <c r="G1690" s="1902"/>
      <c r="H1690" s="1644">
        <f t="shared" si="1861"/>
        <v>0</v>
      </c>
      <c r="I1690" s="1644">
        <f t="shared" si="1862"/>
        <v>0</v>
      </c>
      <c r="K1690" s="1902"/>
      <c r="L1690" s="1902"/>
      <c r="M1690" s="1902"/>
      <c r="N1690" s="1902"/>
      <c r="O1690" s="1902"/>
      <c r="P1690" s="1902"/>
      <c r="Q1690" s="1902"/>
      <c r="R1690" s="1902"/>
      <c r="S1690" s="1643"/>
      <c r="T1690" s="1643"/>
      <c r="U1690" s="1643"/>
      <c r="V1690" s="1643"/>
      <c r="W1690" s="1643"/>
      <c r="X1690" s="1643"/>
      <c r="Y1690" s="1645"/>
    </row>
    <row r="1691" spans="1:25">
      <c r="A1691" s="1900" t="s">
        <v>380</v>
      </c>
      <c r="C1691" s="528">
        <f>SUMIF('11'!$B$2:$B$31,62,'11'!$L$2:$L$31)</f>
        <v>0</v>
      </c>
      <c r="D1691" s="528">
        <f t="shared" si="1860"/>
        <v>0</v>
      </c>
      <c r="F1691" s="1902">
        <v>55.33</v>
      </c>
      <c r="G1691" s="1902"/>
      <c r="H1691" s="1644">
        <f t="shared" si="1861"/>
        <v>0</v>
      </c>
      <c r="I1691" s="1644">
        <f t="shared" si="1862"/>
        <v>0</v>
      </c>
      <c r="K1691" s="1902"/>
      <c r="L1691" s="1902"/>
      <c r="M1691" s="1902"/>
      <c r="N1691" s="1902"/>
      <c r="O1691" s="1902"/>
      <c r="P1691" s="1902"/>
      <c r="Q1691" s="1902"/>
      <c r="R1691" s="1902"/>
      <c r="S1691" s="1643"/>
      <c r="T1691" s="1643"/>
      <c r="U1691" s="1643"/>
      <c r="V1691" s="1643"/>
      <c r="W1691" s="1643"/>
      <c r="X1691" s="1643"/>
      <c r="Y1691" s="1645"/>
    </row>
    <row r="1692" spans="1:25">
      <c r="A1692" s="1900" t="s">
        <v>386</v>
      </c>
      <c r="C1692" s="528">
        <f>SUMIF('11'!$B$2:$B$31,78,'11'!$L$2:$L$31)</f>
        <v>0</v>
      </c>
      <c r="D1692" s="528">
        <f t="shared" si="1860"/>
        <v>0</v>
      </c>
      <c r="F1692" s="1902">
        <v>46.86</v>
      </c>
      <c r="G1692" s="1902"/>
      <c r="H1692" s="1644">
        <f t="shared" si="1861"/>
        <v>0</v>
      </c>
      <c r="I1692" s="1644">
        <f t="shared" si="1862"/>
        <v>0</v>
      </c>
      <c r="K1692" s="1902"/>
      <c r="L1692" s="1902"/>
      <c r="M1692" s="1902"/>
      <c r="N1692" s="1902"/>
      <c r="O1692" s="1902"/>
      <c r="P1692" s="1902"/>
      <c r="Q1692" s="1902"/>
      <c r="R1692" s="1902"/>
      <c r="S1692" s="1643"/>
      <c r="T1692" s="1643"/>
      <c r="U1692" s="1643"/>
      <c r="V1692" s="1643"/>
      <c r="W1692" s="1643"/>
      <c r="X1692" s="1643"/>
      <c r="Y1692" s="1645"/>
    </row>
    <row r="1693" spans="1:25">
      <c r="A1693" s="1960" t="s">
        <v>771</v>
      </c>
      <c r="C1693" s="584"/>
      <c r="D1693" s="584"/>
      <c r="F1693" s="1902"/>
      <c r="G1693" s="1902"/>
      <c r="H1693" s="1645"/>
      <c r="I1693" s="1645"/>
      <c r="K1693" s="1902"/>
      <c r="L1693" s="1902"/>
      <c r="M1693" s="1902"/>
      <c r="N1693" s="1902"/>
      <c r="O1693" s="1902"/>
      <c r="P1693" s="1902"/>
      <c r="Q1693" s="1902"/>
      <c r="R1693" s="1902"/>
      <c r="S1693" s="1643"/>
      <c r="T1693" s="1643"/>
      <c r="U1693" s="1643"/>
      <c r="V1693" s="1643"/>
      <c r="W1693" s="1643"/>
      <c r="X1693" s="1643"/>
      <c r="Y1693" s="1645"/>
    </row>
    <row r="1694" spans="1:25">
      <c r="A1694" s="1900" t="s">
        <v>325</v>
      </c>
      <c r="C1694" s="528">
        <f>SUMIF('11'!$B$2:$B$31,66,'11'!$L$2:$L$31)</f>
        <v>276</v>
      </c>
      <c r="D1694" s="528">
        <f t="shared" ref="D1694:D1698" si="1863">ROUND(C1694/$C$1711*$D$1711,0)</f>
        <v>277</v>
      </c>
      <c r="F1694" s="1901">
        <v>11.09</v>
      </c>
      <c r="G1694" s="1902"/>
      <c r="H1694" s="1644">
        <f t="shared" ref="H1694:I1698" si="1864">ROUND(C1694*$F1694,0)</f>
        <v>3061</v>
      </c>
      <c r="I1694" s="1644">
        <f t="shared" si="1864"/>
        <v>3072</v>
      </c>
      <c r="K1694" s="1901"/>
      <c r="L1694" s="1902"/>
      <c r="M1694" s="1901"/>
      <c r="N1694" s="1902"/>
      <c r="O1694" s="1901"/>
      <c r="P1694" s="1902"/>
      <c r="Q1694" s="1901"/>
      <c r="R1694" s="1902"/>
      <c r="S1694" s="1643"/>
      <c r="T1694" s="1643"/>
      <c r="U1694" s="1643"/>
      <c r="V1694" s="1643"/>
      <c r="W1694" s="1643"/>
      <c r="X1694" s="1643"/>
      <c r="Y1694" s="1645"/>
    </row>
    <row r="1695" spans="1:25">
      <c r="A1695" s="1900" t="s">
        <v>266</v>
      </c>
      <c r="C1695" s="528">
        <f>SUMIF('11'!$B$2:$B$31,67,'11'!$L$2:$L$31)</f>
        <v>2900.0853217642798</v>
      </c>
      <c r="D1695" s="528">
        <f t="shared" si="1863"/>
        <v>2906</v>
      </c>
      <c r="F1695" s="1901">
        <v>13.83</v>
      </c>
      <c r="G1695" s="1902"/>
      <c r="H1695" s="1644">
        <f t="shared" si="1864"/>
        <v>40108</v>
      </c>
      <c r="I1695" s="1644">
        <f t="shared" si="1864"/>
        <v>40190</v>
      </c>
      <c r="K1695" s="1901"/>
      <c r="L1695" s="1902"/>
      <c r="M1695" s="1901"/>
      <c r="N1695" s="1902"/>
      <c r="O1695" s="1901"/>
      <c r="P1695" s="1902"/>
      <c r="Q1695" s="1901"/>
      <c r="R1695" s="1902"/>
      <c r="S1695" s="1643"/>
      <c r="T1695" s="1643"/>
      <c r="U1695" s="1643"/>
      <c r="V1695" s="1643"/>
      <c r="W1695" s="1643"/>
      <c r="X1695" s="1643"/>
      <c r="Y1695" s="1645"/>
    </row>
    <row r="1696" spans="1:25">
      <c r="A1696" s="1900" t="s">
        <v>327</v>
      </c>
      <c r="C1696" s="528">
        <f>SUMIF('11'!$B$2:$B$31,68,'11'!$L$2:$L$31)</f>
        <v>96</v>
      </c>
      <c r="D1696" s="528">
        <f t="shared" si="1863"/>
        <v>96</v>
      </c>
      <c r="F1696" s="1901">
        <v>19.399999999999999</v>
      </c>
      <c r="G1696" s="1902"/>
      <c r="H1696" s="1644">
        <f t="shared" si="1864"/>
        <v>1862</v>
      </c>
      <c r="I1696" s="1644">
        <f t="shared" si="1864"/>
        <v>1862</v>
      </c>
      <c r="K1696" s="1901"/>
      <c r="L1696" s="1902"/>
      <c r="M1696" s="1901"/>
      <c r="N1696" s="1902"/>
      <c r="O1696" s="1901"/>
      <c r="P1696" s="1902"/>
      <c r="Q1696" s="1901"/>
      <c r="R1696" s="1902"/>
      <c r="S1696" s="1643"/>
      <c r="T1696" s="1643"/>
      <c r="U1696" s="1643"/>
      <c r="V1696" s="1643"/>
      <c r="W1696" s="1643"/>
      <c r="X1696" s="1643"/>
      <c r="Y1696" s="1645"/>
    </row>
    <row r="1697" spans="1:25">
      <c r="A1697" s="1900" t="s">
        <v>328</v>
      </c>
      <c r="C1697" s="528">
        <v>0</v>
      </c>
      <c r="D1697" s="528">
        <f t="shared" si="1863"/>
        <v>0</v>
      </c>
      <c r="F1697" s="1901">
        <v>17.46</v>
      </c>
      <c r="G1697" s="1902"/>
      <c r="H1697" s="1644">
        <f t="shared" si="1864"/>
        <v>0</v>
      </c>
      <c r="I1697" s="1644">
        <f t="shared" si="1864"/>
        <v>0</v>
      </c>
      <c r="K1697" s="1901"/>
      <c r="L1697" s="1902"/>
      <c r="M1697" s="1901"/>
      <c r="N1697" s="1902"/>
      <c r="O1697" s="1901"/>
      <c r="P1697" s="1902"/>
      <c r="Q1697" s="1901"/>
      <c r="R1697" s="1902"/>
      <c r="S1697" s="1643"/>
      <c r="T1697" s="1643"/>
      <c r="U1697" s="1643"/>
      <c r="V1697" s="1643"/>
      <c r="W1697" s="1643"/>
      <c r="X1697" s="1643"/>
      <c r="Y1697" s="1645"/>
    </row>
    <row r="1698" spans="1:25">
      <c r="A1698" s="1900" t="s">
        <v>268</v>
      </c>
      <c r="C1698" s="528">
        <f>SUMIF('11'!$B$2:$B$31,69,'11'!$L$2:$L$31)</f>
        <v>245.900122799836</v>
      </c>
      <c r="D1698" s="528">
        <f t="shared" si="1863"/>
        <v>246</v>
      </c>
      <c r="F1698" s="1901">
        <v>24.43</v>
      </c>
      <c r="G1698" s="1902"/>
      <c r="H1698" s="1644">
        <f t="shared" si="1864"/>
        <v>6007</v>
      </c>
      <c r="I1698" s="1644">
        <f t="shared" si="1864"/>
        <v>6010</v>
      </c>
      <c r="K1698" s="1901"/>
      <c r="L1698" s="1902"/>
      <c r="M1698" s="1901"/>
      <c r="N1698" s="1902"/>
      <c r="O1698" s="1901"/>
      <c r="P1698" s="1902"/>
      <c r="Q1698" s="1901"/>
      <c r="R1698" s="1902"/>
      <c r="S1698" s="1643"/>
      <c r="T1698" s="1643"/>
      <c r="U1698" s="1643"/>
      <c r="V1698" s="1643"/>
      <c r="W1698" s="1643"/>
      <c r="X1698" s="1643"/>
      <c r="Y1698" s="1645"/>
    </row>
    <row r="1699" spans="1:25">
      <c r="A1699" s="1960" t="s">
        <v>772</v>
      </c>
      <c r="C1699" s="528"/>
      <c r="D1699" s="528"/>
      <c r="H1699" s="1644"/>
      <c r="I1699" s="1644"/>
      <c r="Y1699" s="1645"/>
    </row>
    <row r="1700" spans="1:25">
      <c r="A1700" s="1900" t="s">
        <v>321</v>
      </c>
      <c r="C1700" s="528">
        <f>SUMIF('11'!$B$2:$B$31,70,'11'!$L$2:$L$31)</f>
        <v>0</v>
      </c>
      <c r="D1700" s="528">
        <f t="shared" ref="D1700:D1705" si="1865">ROUND(C1700/$C$1711*$D$1711,0)</f>
        <v>0</v>
      </c>
      <c r="F1700" s="1901">
        <v>11.99</v>
      </c>
      <c r="G1700" s="1902"/>
      <c r="H1700" s="1644">
        <f t="shared" ref="H1700:I1705" si="1866">ROUND(C1700*$F1700,0)</f>
        <v>0</v>
      </c>
      <c r="I1700" s="1644">
        <f t="shared" si="1866"/>
        <v>0</v>
      </c>
      <c r="K1700" s="1901"/>
      <c r="L1700" s="1902"/>
      <c r="M1700" s="1901"/>
      <c r="N1700" s="1902"/>
      <c r="O1700" s="1901"/>
      <c r="P1700" s="1902"/>
      <c r="Q1700" s="1901"/>
      <c r="R1700" s="1902"/>
      <c r="S1700" s="1643"/>
      <c r="T1700" s="1643"/>
      <c r="U1700" s="1643"/>
      <c r="V1700" s="1643"/>
      <c r="W1700" s="1643"/>
      <c r="X1700" s="1643"/>
      <c r="Y1700" s="1645"/>
    </row>
    <row r="1701" spans="1:25">
      <c r="A1701" s="1900" t="s">
        <v>322</v>
      </c>
      <c r="C1701" s="528">
        <f>SUMIF('11'!$B$2:$B$31,71,'11'!$L$2:$L$31)</f>
        <v>144</v>
      </c>
      <c r="D1701" s="528">
        <f t="shared" si="1865"/>
        <v>144</v>
      </c>
      <c r="F1701" s="1901">
        <v>4.24</v>
      </c>
      <c r="G1701" s="1902"/>
      <c r="H1701" s="1644">
        <f t="shared" si="1866"/>
        <v>611</v>
      </c>
      <c r="I1701" s="1644">
        <f t="shared" si="1866"/>
        <v>611</v>
      </c>
      <c r="K1701" s="1901"/>
      <c r="L1701" s="1902"/>
      <c r="M1701" s="1901"/>
      <c r="N1701" s="1902"/>
      <c r="O1701" s="1901"/>
      <c r="P1701" s="1902"/>
      <c r="Q1701" s="1901"/>
      <c r="R1701" s="1902"/>
      <c r="S1701" s="1643"/>
      <c r="T1701" s="1643"/>
      <c r="U1701" s="1643"/>
      <c r="V1701" s="1643"/>
      <c r="W1701" s="1643"/>
      <c r="X1701" s="1643"/>
      <c r="Y1701" s="1645"/>
    </row>
    <row r="1702" spans="1:25">
      <c r="A1702" s="1900" t="s">
        <v>324</v>
      </c>
      <c r="C1702" s="528">
        <f>SUMIF('11'!$B$2:$B$31,72,'11'!$L$2:$L$31)</f>
        <v>0</v>
      </c>
      <c r="D1702" s="528">
        <f t="shared" si="1865"/>
        <v>0</v>
      </c>
      <c r="F1702" s="1901">
        <v>17.11</v>
      </c>
      <c r="G1702" s="1902"/>
      <c r="H1702" s="1644">
        <f t="shared" si="1866"/>
        <v>0</v>
      </c>
      <c r="I1702" s="1644">
        <f t="shared" si="1866"/>
        <v>0</v>
      </c>
      <c r="K1702" s="1901"/>
      <c r="L1702" s="1902"/>
      <c r="M1702" s="1901"/>
      <c r="N1702" s="1902"/>
      <c r="O1702" s="1901"/>
      <c r="P1702" s="1902"/>
      <c r="Q1702" s="1901"/>
      <c r="R1702" s="1902"/>
      <c r="S1702" s="1643"/>
      <c r="T1702" s="1643"/>
      <c r="U1702" s="1643"/>
      <c r="V1702" s="1643"/>
      <c r="W1702" s="1643"/>
      <c r="X1702" s="1643"/>
      <c r="Y1702" s="1645"/>
    </row>
    <row r="1703" spans="1:25">
      <c r="A1703" s="1900" t="s">
        <v>325</v>
      </c>
      <c r="C1703" s="528">
        <f>SUMIF('11'!$B$2:$B$31,73,'11'!$L$2:$L$31)</f>
        <v>53.645129711209002</v>
      </c>
      <c r="D1703" s="528">
        <f t="shared" si="1865"/>
        <v>54</v>
      </c>
      <c r="F1703" s="1901">
        <v>20.43</v>
      </c>
      <c r="G1703" s="1902"/>
      <c r="H1703" s="1644">
        <f t="shared" si="1866"/>
        <v>1096</v>
      </c>
      <c r="I1703" s="1644">
        <f t="shared" si="1866"/>
        <v>1103</v>
      </c>
      <c r="K1703" s="1901"/>
      <c r="L1703" s="1902"/>
      <c r="M1703" s="1901"/>
      <c r="N1703" s="1902"/>
      <c r="O1703" s="1901"/>
      <c r="P1703" s="1902"/>
      <c r="Q1703" s="1901"/>
      <c r="R1703" s="1902"/>
      <c r="S1703" s="1643"/>
      <c r="T1703" s="1643"/>
      <c r="U1703" s="1643"/>
      <c r="V1703" s="1643"/>
      <c r="W1703" s="1643"/>
      <c r="X1703" s="1643"/>
      <c r="Y1703" s="1645"/>
    </row>
    <row r="1704" spans="1:25">
      <c r="A1704" s="1900" t="s">
        <v>326</v>
      </c>
      <c r="C1704" s="528">
        <f>SUMIF('11'!$B$2:$B$31,74,'11'!$L$2:$L$31)</f>
        <v>0</v>
      </c>
      <c r="D1704" s="528">
        <f t="shared" si="1865"/>
        <v>0</v>
      </c>
      <c r="F1704" s="1901">
        <v>23.82</v>
      </c>
      <c r="G1704" s="1902"/>
      <c r="H1704" s="1644">
        <f t="shared" si="1866"/>
        <v>0</v>
      </c>
      <c r="I1704" s="1644">
        <f t="shared" si="1866"/>
        <v>0</v>
      </c>
      <c r="K1704" s="1901"/>
      <c r="L1704" s="1902"/>
      <c r="M1704" s="1901"/>
      <c r="N1704" s="1902"/>
      <c r="O1704" s="1901"/>
      <c r="P1704" s="1902"/>
      <c r="Q1704" s="1901"/>
      <c r="R1704" s="1902"/>
      <c r="S1704" s="1643"/>
      <c r="T1704" s="1643"/>
      <c r="U1704" s="1643"/>
      <c r="V1704" s="1643"/>
      <c r="W1704" s="1643"/>
      <c r="X1704" s="1643"/>
      <c r="Y1704" s="1645"/>
    </row>
    <row r="1705" spans="1:25">
      <c r="A1705" s="1900" t="s">
        <v>327</v>
      </c>
      <c r="C1705" s="528">
        <f>SUMIF('11'!$B$2:$B$31,75,'11'!$L$2:$L$31)</f>
        <v>0</v>
      </c>
      <c r="D1705" s="528">
        <f t="shared" si="1865"/>
        <v>0</v>
      </c>
      <c r="F1705" s="1901">
        <v>31.47</v>
      </c>
      <c r="G1705" s="1902"/>
      <c r="H1705" s="1644">
        <f t="shared" si="1866"/>
        <v>0</v>
      </c>
      <c r="I1705" s="1644">
        <f t="shared" si="1866"/>
        <v>0</v>
      </c>
      <c r="K1705" s="1901"/>
      <c r="L1705" s="1902"/>
      <c r="M1705" s="1901"/>
      <c r="N1705" s="1902"/>
      <c r="O1705" s="1901"/>
      <c r="P1705" s="1902"/>
      <c r="Q1705" s="1901"/>
      <c r="R1705" s="1902"/>
      <c r="S1705" s="1643"/>
      <c r="T1705" s="1643"/>
      <c r="U1705" s="1643"/>
      <c r="V1705" s="1643"/>
      <c r="W1705" s="1643"/>
      <c r="X1705" s="1643"/>
      <c r="Y1705" s="1645"/>
    </row>
    <row r="1706" spans="1:25">
      <c r="A1706" s="1960" t="s">
        <v>773</v>
      </c>
      <c r="C1706" s="584"/>
      <c r="D1706" s="584"/>
      <c r="F1706" s="1902"/>
      <c r="G1706" s="1902"/>
      <c r="H1706" s="1645"/>
      <c r="I1706" s="1645"/>
      <c r="K1706" s="1902"/>
      <c r="L1706" s="1902"/>
      <c r="M1706" s="1902"/>
      <c r="N1706" s="1902"/>
      <c r="O1706" s="1902"/>
      <c r="P1706" s="1902"/>
      <c r="Q1706" s="1902"/>
      <c r="R1706" s="1902"/>
      <c r="S1706" s="1643"/>
      <c r="T1706" s="1643"/>
      <c r="U1706" s="1643"/>
      <c r="V1706" s="1643"/>
      <c r="W1706" s="1643"/>
      <c r="X1706" s="1643"/>
      <c r="Y1706" s="1645"/>
    </row>
    <row r="1707" spans="1:25">
      <c r="A1707" s="1900" t="s">
        <v>340</v>
      </c>
      <c r="C1707" s="528">
        <f>SUMIF('11'!$B$2:$B$31,76,'11'!$L$2:$L$31)</f>
        <v>15</v>
      </c>
      <c r="D1707" s="528">
        <f>ROUND(C1707/$C$1711*$D$1711,0)</f>
        <v>15</v>
      </c>
      <c r="F1707" s="1901">
        <v>27.85</v>
      </c>
      <c r="G1707" s="1902"/>
      <c r="H1707" s="1644">
        <f>ROUND(C1707*$F1707,0)</f>
        <v>418</v>
      </c>
      <c r="I1707" s="1644">
        <f>ROUND(D1707*$F1707,0)</f>
        <v>418</v>
      </c>
      <c r="K1707" s="1901"/>
      <c r="L1707" s="1902"/>
      <c r="M1707" s="1901"/>
      <c r="N1707" s="1902"/>
      <c r="O1707" s="1901"/>
      <c r="P1707" s="1902"/>
      <c r="Q1707" s="1901"/>
      <c r="R1707" s="1902"/>
      <c r="S1707" s="1643"/>
      <c r="T1707" s="1643"/>
      <c r="U1707" s="1643"/>
      <c r="V1707" s="1643"/>
      <c r="W1707" s="1643"/>
      <c r="X1707" s="1643"/>
      <c r="Y1707" s="1645"/>
    </row>
    <row r="1708" spans="1:25">
      <c r="A1708" s="1960" t="s">
        <v>375</v>
      </c>
      <c r="C1708" s="528"/>
      <c r="D1708" s="528"/>
      <c r="F1708" s="1901"/>
      <c r="G1708" s="1902"/>
      <c r="H1708" s="1644"/>
      <c r="I1708" s="1644"/>
      <c r="K1708" s="1901"/>
      <c r="L1708" s="1902"/>
      <c r="M1708" s="1901"/>
      <c r="N1708" s="1902"/>
      <c r="O1708" s="1901"/>
      <c r="P1708" s="1902"/>
      <c r="Q1708" s="1901"/>
      <c r="R1708" s="1902"/>
      <c r="S1708" s="1643"/>
      <c r="T1708" s="1643"/>
      <c r="U1708" s="1643"/>
      <c r="V1708" s="1643"/>
      <c r="W1708" s="1643"/>
      <c r="X1708" s="1643"/>
      <c r="Y1708" s="1645"/>
    </row>
    <row r="1709" spans="1:25">
      <c r="A1709" s="1900" t="s">
        <v>337</v>
      </c>
      <c r="C1709" s="528">
        <f>SUMIF('11'!$B$2:$B$31,50,'11'!$L$2:$L$31)</f>
        <v>0</v>
      </c>
      <c r="D1709" s="528">
        <f>ROUND(C1709/$C$1711*$D$1711,0)</f>
        <v>0</v>
      </c>
      <c r="F1709" s="1901">
        <v>39.04</v>
      </c>
      <c r="G1709" s="1902"/>
      <c r="H1709" s="1644">
        <f>ROUND(C1709*$F1709,0)</f>
        <v>0</v>
      </c>
      <c r="I1709" s="1644">
        <f>ROUND(D1709*$F1709,0)</f>
        <v>0</v>
      </c>
      <c r="K1709" s="1901"/>
      <c r="L1709" s="1902"/>
      <c r="M1709" s="1901"/>
      <c r="N1709" s="1902"/>
      <c r="O1709" s="1901"/>
      <c r="P1709" s="1902"/>
      <c r="Q1709" s="1901"/>
      <c r="R1709" s="1902"/>
      <c r="S1709" s="1643"/>
      <c r="T1709" s="1643"/>
      <c r="U1709" s="1643"/>
      <c r="V1709" s="1643"/>
      <c r="W1709" s="1643"/>
      <c r="X1709" s="1643"/>
      <c r="Y1709" s="1645"/>
    </row>
    <row r="1710" spans="1:25">
      <c r="A1710" s="1900" t="s">
        <v>154</v>
      </c>
      <c r="C1710" s="529">
        <f>SUM(C1661:C1709)</f>
        <v>285636.89683884697</v>
      </c>
      <c r="D1710" s="529">
        <f>SUM(D1661:D1709)</f>
        <v>286239</v>
      </c>
      <c r="F1710" s="1976"/>
      <c r="H1710" s="1030">
        <f>SUM(H1661:H1709)</f>
        <v>4177247</v>
      </c>
      <c r="I1710" s="1030">
        <f>SUM(I1661:I1709)</f>
        <v>4186071</v>
      </c>
      <c r="K1710" s="1976"/>
      <c r="M1710" s="1976"/>
      <c r="O1710" s="1976"/>
      <c r="Q1710" s="1976"/>
      <c r="Y1710" s="1645"/>
    </row>
    <row r="1711" spans="1:25" ht="16.5" thickBot="1">
      <c r="A1711" s="1900" t="s">
        <v>36</v>
      </c>
      <c r="C1711" s="1026">
        <f>'11'!M33</f>
        <v>13543958.85338369</v>
      </c>
      <c r="D1711" s="1026">
        <f>Energy!P86</f>
        <v>13572508.23362934</v>
      </c>
      <c r="F1711" s="1939"/>
      <c r="H1711" s="1978"/>
      <c r="I1711" s="1978"/>
      <c r="K1711" s="1939"/>
      <c r="M1711" s="1939"/>
      <c r="O1711" s="1939"/>
      <c r="Q1711" s="1939"/>
      <c r="Y1711" s="1637"/>
    </row>
    <row r="1712" spans="1:25" ht="16.5" thickTop="1">
      <c r="A1712" s="1900" t="s">
        <v>141</v>
      </c>
      <c r="C1712" s="1027">
        <f>'Table 2'!F137</f>
        <v>717.16666666666697</v>
      </c>
      <c r="D1712" s="1027">
        <f>ROUND(Bill!P86/12,0)</f>
        <v>715</v>
      </c>
      <c r="Y1712" s="1637"/>
    </row>
    <row r="1713" spans="1:29">
      <c r="A1713" s="1900" t="s">
        <v>136</v>
      </c>
      <c r="C1713" s="585">
        <f>'Table 2'!J137</f>
        <v>-501829</v>
      </c>
      <c r="D1713" s="585">
        <v>0</v>
      </c>
      <c r="F1713" s="1976"/>
      <c r="H1713" s="1030">
        <f>'Table 3'!F137</f>
        <v>-143813</v>
      </c>
      <c r="I1713" s="1030">
        <v>0</v>
      </c>
      <c r="K1713" s="1976"/>
      <c r="M1713" s="1976"/>
      <c r="O1713" s="1976"/>
      <c r="Q1713" s="1976"/>
      <c r="Y1713" s="1645"/>
    </row>
    <row r="1714" spans="1:29">
      <c r="A1714" s="1900" t="s">
        <v>1240</v>
      </c>
      <c r="C1714" s="584"/>
      <c r="D1714" s="584"/>
      <c r="F1714" s="1930">
        <v>-1.9800000000000002E-2</v>
      </c>
      <c r="G1714" s="597"/>
      <c r="H1714" s="1644">
        <f>H1710*$F1714</f>
        <v>-82709.490600000005</v>
      </c>
      <c r="I1714" s="1644">
        <f>I1710*$F1714</f>
        <v>-82884.205800000011</v>
      </c>
      <c r="K1714" s="1930"/>
      <c r="L1714" s="597"/>
      <c r="M1714" s="1930"/>
      <c r="N1714" s="597"/>
      <c r="O1714" s="1931" t="str">
        <f>$O$43</f>
        <v>Tax Year 1 (7/1/2021)</v>
      </c>
      <c r="P1714" s="597"/>
      <c r="Q1714" s="1930">
        <f>AC1714</f>
        <v>-1.8700000000000001E-2</v>
      </c>
      <c r="R1714" s="597"/>
      <c r="S1714" s="1645"/>
      <c r="T1714" s="1645"/>
      <c r="U1714" s="1645"/>
      <c r="V1714" s="1645"/>
      <c r="W1714" s="1645"/>
      <c r="X1714" s="1645"/>
      <c r="Y1714" s="1644">
        <f>Q1714*Y1716</f>
        <v>-70300.87106711838</v>
      </c>
      <c r="AA1714" s="1109" t="s">
        <v>1938</v>
      </c>
      <c r="AB1714" s="1917">
        <f>RateSpread!W57*1000</f>
        <v>-70299.171068524389</v>
      </c>
      <c r="AC1714" s="1918">
        <f>ROUND(AB1714/Y1716,4)</f>
        <v>-1.8700000000000001E-2</v>
      </c>
    </row>
    <row r="1715" spans="1:29">
      <c r="A1715" s="1900"/>
      <c r="C1715" s="584"/>
      <c r="D1715" s="584"/>
      <c r="F1715" s="1930"/>
      <c r="G1715" s="597"/>
      <c r="H1715" s="1644"/>
      <c r="I1715" s="1644"/>
      <c r="K1715" s="1930"/>
      <c r="L1715" s="597"/>
      <c r="M1715" s="1930"/>
      <c r="N1715" s="597"/>
      <c r="O1715" s="1931" t="str">
        <f>$O$44</f>
        <v>Tax Year 2 (1/1/2022)</v>
      </c>
      <c r="P1715" s="597"/>
      <c r="Q1715" s="1930">
        <f>AC1715</f>
        <v>-1.0200000000000001E-2</v>
      </c>
      <c r="R1715" s="597"/>
      <c r="S1715" s="1645"/>
      <c r="T1715" s="1645"/>
      <c r="U1715" s="1645"/>
      <c r="V1715" s="1645"/>
      <c r="W1715" s="1645"/>
      <c r="X1715" s="1645"/>
      <c r="Y1715" s="1644">
        <f>Q1715*Y1716</f>
        <v>-38345.92967297366</v>
      </c>
      <c r="AA1715" s="1109" t="s">
        <v>1939</v>
      </c>
      <c r="AB1715" s="1917">
        <f>RateSpread!X57*1000</f>
        <v>-38160.013210663048</v>
      </c>
      <c r="AC1715" s="1918">
        <f>ROUND(AB1715/Y1716,4)</f>
        <v>-1.0200000000000001E-2</v>
      </c>
    </row>
    <row r="1716" spans="1:29" ht="16.5" thickBot="1">
      <c r="A1716" s="1900" t="s">
        <v>93</v>
      </c>
      <c r="C1716" s="1026">
        <f>C1713+C1711</f>
        <v>13042129.85338369</v>
      </c>
      <c r="D1716" s="1026">
        <f>D1713+D1711</f>
        <v>13572508.23362934</v>
      </c>
      <c r="F1716" s="1979"/>
      <c r="G1716" s="1980"/>
      <c r="H1716" s="1651">
        <f>H1713+H1710+H1714</f>
        <v>3950724.5093999999</v>
      </c>
      <c r="I1716" s="1651">
        <f>I1713+I1710+I1714</f>
        <v>4103186.7941999999</v>
      </c>
      <c r="K1716" s="1979"/>
      <c r="L1716" s="1980"/>
      <c r="M1716" s="1979"/>
      <c r="N1716" s="1980"/>
      <c r="O1716" s="1979"/>
      <c r="P1716" s="1980"/>
      <c r="Q1716" s="1979"/>
      <c r="R1716" s="1980"/>
      <c r="S1716" s="1651">
        <f>$Y1716*AA$1797/$AD$1797</f>
        <v>2758346.1238982072</v>
      </c>
      <c r="U1716" s="1651">
        <f>$Y1716*AB$1797/$AD$1797</f>
        <v>408021.91839792294</v>
      </c>
      <c r="W1716" s="1651">
        <f>Y1716-S1716-U1716</f>
        <v>593036.82760324795</v>
      </c>
      <c r="X1716" s="1650"/>
      <c r="Y1716" s="1651">
        <f>RateSpread!M57*1000</f>
        <v>3759404.8698993782</v>
      </c>
      <c r="AA1716" s="1104" t="s">
        <v>1743</v>
      </c>
      <c r="AB1716" s="1890">
        <f>Y1716/I1716-1</f>
        <v>-8.3784127202439218E-2</v>
      </c>
    </row>
    <row r="1717" spans="1:29" ht="16.5" thickTop="1">
      <c r="C1717" s="528"/>
      <c r="D1717" s="528"/>
    </row>
    <row r="1718" spans="1:29">
      <c r="A1718" s="1897" t="s">
        <v>389</v>
      </c>
      <c r="C1718" s="528"/>
      <c r="D1718" s="528"/>
    </row>
    <row r="1719" spans="1:29">
      <c r="A1719" s="1981" t="s">
        <v>388</v>
      </c>
      <c r="C1719" s="528"/>
      <c r="D1719" s="528"/>
      <c r="H1719" s="1644"/>
      <c r="I1719" s="1644"/>
      <c r="Y1719" s="1644"/>
    </row>
    <row r="1720" spans="1:29">
      <c r="A1720" s="1960" t="s">
        <v>206</v>
      </c>
      <c r="C1720" s="528"/>
      <c r="D1720" s="528"/>
      <c r="H1720" s="1644"/>
      <c r="I1720" s="1644"/>
      <c r="Y1720" s="1644"/>
      <c r="AA1720" s="1109"/>
      <c r="AB1720" s="1114"/>
      <c r="AC1720" s="596"/>
    </row>
    <row r="1721" spans="1:29">
      <c r="A1721" s="1900" t="s">
        <v>332</v>
      </c>
      <c r="C1721" s="528">
        <f>SUMIF('12E'!$C$2:$C$94,26,'12E'!$M$2:$M$94)</f>
        <v>88517.224043715803</v>
      </c>
      <c r="D1721" s="528">
        <f>ROUND(C1721/$C$1732*$D$1732,0)</f>
        <v>51176</v>
      </c>
      <c r="F1721" s="1901">
        <v>1.83</v>
      </c>
      <c r="G1721" s="1902"/>
      <c r="H1721" s="1644">
        <f t="shared" ref="H1721:I1725" si="1867">ROUND(C1721*$F1721,0)</f>
        <v>161987</v>
      </c>
      <c r="I1721" s="1644">
        <f t="shared" si="1867"/>
        <v>93652</v>
      </c>
      <c r="K1721" s="1901"/>
      <c r="L1721" s="1902"/>
      <c r="M1721" s="1901"/>
      <c r="N1721" s="1902"/>
      <c r="O1721" s="1901"/>
      <c r="P1721" s="1902"/>
      <c r="Q1721" s="1901"/>
      <c r="R1721" s="1902"/>
      <c r="S1721" s="1643"/>
      <c r="T1721" s="1643"/>
      <c r="U1721" s="1643"/>
      <c r="V1721" s="1643"/>
      <c r="W1721" s="1643"/>
      <c r="X1721" s="1643"/>
      <c r="Y1721" s="1644"/>
      <c r="AA1721" s="1109"/>
      <c r="AB1721" s="1114"/>
      <c r="AC1721" s="596"/>
    </row>
    <row r="1722" spans="1:29">
      <c r="A1722" s="1900" t="s">
        <v>333</v>
      </c>
      <c r="C1722" s="528">
        <f>SUMIF('12E'!$C$2:$C$94,27,'12E'!$M$2:$M$94)</f>
        <v>139165.98000000001</v>
      </c>
      <c r="D1722" s="528">
        <f t="shared" ref="D1722:D1725" si="1868">ROUND(C1722/$C$1732*$D$1732,0)</f>
        <v>80459</v>
      </c>
      <c r="F1722" s="1901">
        <v>2.5</v>
      </c>
      <c r="G1722" s="1902"/>
      <c r="H1722" s="1644">
        <f t="shared" si="1867"/>
        <v>347915</v>
      </c>
      <c r="I1722" s="1644">
        <f t="shared" si="1867"/>
        <v>201148</v>
      </c>
      <c r="K1722" s="1901"/>
      <c r="L1722" s="1902"/>
      <c r="M1722" s="1901"/>
      <c r="N1722" s="1902"/>
      <c r="O1722" s="1901"/>
      <c r="P1722" s="1902"/>
      <c r="Q1722" s="1901"/>
      <c r="R1722" s="1902"/>
      <c r="S1722" s="1643"/>
      <c r="T1722" s="1643"/>
      <c r="U1722" s="1643"/>
      <c r="V1722" s="1643"/>
      <c r="W1722" s="1643"/>
      <c r="X1722" s="1643"/>
      <c r="Y1722" s="1644"/>
      <c r="AA1722" s="1945"/>
      <c r="AB1722" s="1114"/>
      <c r="AC1722" s="596"/>
    </row>
    <row r="1723" spans="1:29">
      <c r="A1723" s="1900" t="s">
        <v>334</v>
      </c>
      <c r="C1723" s="528">
        <f>SUMIF('12E'!$C$2:$C$94,28,'12E'!$M$2:$M$94)</f>
        <v>116720.612021858</v>
      </c>
      <c r="D1723" s="528">
        <f t="shared" si="1868"/>
        <v>67482</v>
      </c>
      <c r="F1723" s="1901">
        <v>3.66</v>
      </c>
      <c r="G1723" s="1902"/>
      <c r="H1723" s="1644">
        <f t="shared" si="1867"/>
        <v>427197</v>
      </c>
      <c r="I1723" s="1644">
        <f t="shared" si="1867"/>
        <v>246984</v>
      </c>
      <c r="K1723" s="1901"/>
      <c r="L1723" s="1902"/>
      <c r="M1723" s="1901"/>
      <c r="N1723" s="1902"/>
      <c r="O1723" s="1901"/>
      <c r="P1723" s="1902"/>
      <c r="Q1723" s="1901"/>
      <c r="R1723" s="1902"/>
      <c r="S1723" s="1643"/>
      <c r="T1723" s="1643"/>
      <c r="U1723" s="1643"/>
      <c r="V1723" s="1643"/>
      <c r="W1723" s="1643"/>
      <c r="X1723" s="1643"/>
      <c r="Y1723" s="1644"/>
      <c r="AA1723" s="1109"/>
      <c r="AB1723" s="1946"/>
      <c r="AC1723" s="596"/>
    </row>
    <row r="1724" spans="1:29">
      <c r="A1724" s="1900" t="s">
        <v>335</v>
      </c>
      <c r="C1724" s="528">
        <f>SUMIF('12E'!$C$2:$C$94,29,'12E'!$M$2:$M$94)</f>
        <v>29670.9739263804</v>
      </c>
      <c r="D1724" s="528">
        <f t="shared" si="1868"/>
        <v>17154</v>
      </c>
      <c r="F1724" s="1901">
        <v>6.52</v>
      </c>
      <c r="G1724" s="1902"/>
      <c r="H1724" s="1644">
        <f t="shared" si="1867"/>
        <v>193455</v>
      </c>
      <c r="I1724" s="1644">
        <f t="shared" si="1867"/>
        <v>111844</v>
      </c>
      <c r="K1724" s="1901"/>
      <c r="L1724" s="1902"/>
      <c r="M1724" s="1901"/>
      <c r="N1724" s="1902"/>
      <c r="O1724" s="1901"/>
      <c r="P1724" s="1902"/>
      <c r="Q1724" s="1901"/>
      <c r="R1724" s="1902"/>
      <c r="S1724" s="1643"/>
      <c r="T1724" s="1643"/>
      <c r="U1724" s="1643"/>
      <c r="V1724" s="1643"/>
      <c r="W1724" s="1643"/>
      <c r="X1724" s="1643"/>
      <c r="Y1724" s="1644"/>
      <c r="AA1724" s="1109"/>
      <c r="AB1724" s="1946"/>
      <c r="AC1724" s="596"/>
    </row>
    <row r="1725" spans="1:29">
      <c r="A1725" s="1900" t="s">
        <v>336</v>
      </c>
      <c r="C1725" s="528">
        <f>SUMIF('12E'!$C$2:$C$94,30,'12E'!$M$2:$M$94)</f>
        <v>17455.575848303401</v>
      </c>
      <c r="D1725" s="528">
        <f t="shared" si="1868"/>
        <v>10092</v>
      </c>
      <c r="F1725" s="1901">
        <v>10.02</v>
      </c>
      <c r="G1725" s="1902"/>
      <c r="H1725" s="1644">
        <f t="shared" si="1867"/>
        <v>174905</v>
      </c>
      <c r="I1725" s="1644">
        <f t="shared" si="1867"/>
        <v>101122</v>
      </c>
      <c r="K1725" s="1901"/>
      <c r="L1725" s="1902"/>
      <c r="M1725" s="1901"/>
      <c r="N1725" s="1902"/>
      <c r="O1725" s="1901"/>
      <c r="P1725" s="1902"/>
      <c r="Q1725" s="1901"/>
      <c r="R1725" s="1902"/>
      <c r="S1725" s="1643"/>
      <c r="T1725" s="1643"/>
      <c r="U1725" s="1643"/>
      <c r="V1725" s="1643"/>
      <c r="W1725" s="1643"/>
      <c r="X1725" s="1643"/>
      <c r="Y1725" s="1644"/>
      <c r="AA1725" s="1109"/>
      <c r="AB1725" s="1947"/>
      <c r="AC1725" s="596"/>
    </row>
    <row r="1726" spans="1:29">
      <c r="A1726" s="1960" t="s">
        <v>348</v>
      </c>
      <c r="C1726" s="528"/>
      <c r="D1726" s="528"/>
      <c r="F1726" s="1944"/>
      <c r="G1726" s="597"/>
      <c r="H1726" s="1644"/>
      <c r="I1726" s="1644"/>
      <c r="K1726" s="1944"/>
      <c r="L1726" s="597"/>
      <c r="M1726" s="1944"/>
      <c r="N1726" s="597"/>
      <c r="O1726" s="1944"/>
      <c r="P1726" s="597"/>
      <c r="Q1726" s="1944"/>
      <c r="R1726" s="597"/>
      <c r="S1726" s="1645"/>
      <c r="T1726" s="1645"/>
      <c r="U1726" s="1645"/>
      <c r="V1726" s="1645"/>
      <c r="W1726" s="1643"/>
      <c r="X1726" s="1645"/>
      <c r="Y1726" s="1644"/>
      <c r="AA1726" s="596"/>
      <c r="AB1726" s="596"/>
      <c r="AC1726" s="596"/>
    </row>
    <row r="1727" spans="1:29">
      <c r="A1727" s="1900" t="s">
        <v>394</v>
      </c>
      <c r="C1727" s="528">
        <f>SUMIF('12E'!$C$2:$C$94,34,'12E'!$M$2:$M$94)</f>
        <v>7556.2588235294097</v>
      </c>
      <c r="D1727" s="528">
        <f t="shared" ref="D1727:D1731" si="1869">ROUND(C1727/$C$1732*$D$1732,0)</f>
        <v>4369</v>
      </c>
      <c r="F1727" s="1901">
        <v>2.5499999999999998</v>
      </c>
      <c r="G1727" s="1902"/>
      <c r="H1727" s="1644">
        <f t="shared" ref="H1727:I1730" si="1870">ROUND(C1727*$F1727,0)</f>
        <v>19268</v>
      </c>
      <c r="I1727" s="1644">
        <f t="shared" si="1870"/>
        <v>11141</v>
      </c>
      <c r="K1727" s="1901"/>
      <c r="L1727" s="1902"/>
      <c r="M1727" s="1901"/>
      <c r="N1727" s="1902"/>
      <c r="O1727" s="1901"/>
      <c r="P1727" s="1902"/>
      <c r="Q1727" s="1901"/>
      <c r="R1727" s="1902"/>
      <c r="S1727" s="1643"/>
      <c r="T1727" s="1643"/>
      <c r="U1727" s="1643"/>
      <c r="V1727" s="1643"/>
      <c r="W1727" s="1643"/>
      <c r="X1727" s="1643"/>
      <c r="Y1727" s="1644"/>
      <c r="AA1727" s="1109"/>
      <c r="AB1727" s="1917"/>
      <c r="AC1727" s="1974"/>
    </row>
    <row r="1728" spans="1:29">
      <c r="A1728" s="1900" t="s">
        <v>349</v>
      </c>
      <c r="C1728" s="528">
        <f>SUMIF('12E'!$C$2:$C$94,36,'12E'!$M$2:$M$94)</f>
        <v>16145.838565022401</v>
      </c>
      <c r="D1728" s="528">
        <f t="shared" si="1869"/>
        <v>9335</v>
      </c>
      <c r="F1728" s="1901">
        <v>4.46</v>
      </c>
      <c r="G1728" s="1902"/>
      <c r="H1728" s="1644">
        <f t="shared" si="1870"/>
        <v>72010</v>
      </c>
      <c r="I1728" s="1644">
        <f t="shared" si="1870"/>
        <v>41634</v>
      </c>
      <c r="K1728" s="1901"/>
      <c r="L1728" s="1902"/>
      <c r="M1728" s="1901"/>
      <c r="N1728" s="1902"/>
      <c r="O1728" s="1901"/>
      <c r="P1728" s="1902"/>
      <c r="Q1728" s="1901"/>
      <c r="R1728" s="1902"/>
      <c r="S1728" s="1643"/>
      <c r="T1728" s="1643"/>
      <c r="U1728" s="1643"/>
      <c r="V1728" s="1643"/>
      <c r="W1728" s="1643"/>
      <c r="X1728" s="1643"/>
      <c r="Y1728" s="1644"/>
      <c r="AA1728" s="1109"/>
      <c r="AB1728" s="1917"/>
      <c r="AC1728" s="1974"/>
    </row>
    <row r="1729" spans="1:25">
      <c r="A1729" s="1900" t="s">
        <v>350</v>
      </c>
      <c r="C1729" s="528">
        <f>SUMIF('12E'!$C$2:$C$94,37,'12E'!$M$2:$M$94)</f>
        <v>17533.513776337099</v>
      </c>
      <c r="D1729" s="528">
        <f t="shared" si="1869"/>
        <v>10137</v>
      </c>
      <c r="F1729" s="1901">
        <v>6.17</v>
      </c>
      <c r="G1729" s="1902"/>
      <c r="H1729" s="1644">
        <f t="shared" si="1870"/>
        <v>108182</v>
      </c>
      <c r="I1729" s="1644">
        <f t="shared" si="1870"/>
        <v>62545</v>
      </c>
      <c r="K1729" s="1901"/>
      <c r="L1729" s="1902"/>
      <c r="M1729" s="1901"/>
      <c r="N1729" s="1902"/>
      <c r="O1729" s="1901"/>
      <c r="P1729" s="1902"/>
      <c r="Q1729" s="1901"/>
      <c r="R1729" s="1902"/>
      <c r="S1729" s="1643"/>
      <c r="T1729" s="1643"/>
      <c r="U1729" s="1643"/>
      <c r="V1729" s="1643"/>
      <c r="W1729" s="1643"/>
      <c r="X1729" s="1643"/>
      <c r="Y1729" s="1644"/>
    </row>
    <row r="1730" spans="1:25">
      <c r="A1730" s="1900" t="s">
        <v>351</v>
      </c>
      <c r="C1730" s="528">
        <f>SUMIF('12E'!$C$2:$C$94,38,'12E'!$M$2:$M$94)</f>
        <v>10677.115660184199</v>
      </c>
      <c r="D1730" s="528">
        <f t="shared" si="1869"/>
        <v>6173</v>
      </c>
      <c r="F1730" s="1902">
        <v>9.77</v>
      </c>
      <c r="G1730" s="1902"/>
      <c r="H1730" s="1644">
        <f t="shared" si="1870"/>
        <v>104315</v>
      </c>
      <c r="I1730" s="1644">
        <f t="shared" si="1870"/>
        <v>60310</v>
      </c>
      <c r="K1730" s="1901"/>
      <c r="L1730" s="1902"/>
      <c r="M1730" s="1901"/>
      <c r="N1730" s="1902"/>
      <c r="O1730" s="1901"/>
      <c r="P1730" s="1902"/>
      <c r="Q1730" s="1902"/>
      <c r="R1730" s="1902"/>
      <c r="S1730" s="1643"/>
      <c r="T1730" s="1643"/>
      <c r="U1730" s="1643"/>
      <c r="V1730" s="1643"/>
      <c r="W1730" s="1643"/>
      <c r="X1730" s="1643"/>
      <c r="Y1730" s="1644"/>
    </row>
    <row r="1731" spans="1:25">
      <c r="A1731" s="1960" t="s">
        <v>344</v>
      </c>
      <c r="C1731" s="528">
        <f>'12E'!N97</f>
        <v>16618873.277816664</v>
      </c>
      <c r="D1731" s="528">
        <f t="shared" si="1869"/>
        <v>9608182</v>
      </c>
      <c r="F1731" s="1982">
        <v>6.5278999999999998</v>
      </c>
      <c r="G1731" s="1921" t="s">
        <v>495</v>
      </c>
      <c r="H1731" s="1644">
        <f>ROUND(C1731*$F1731/100,0)</f>
        <v>1084863</v>
      </c>
      <c r="I1731" s="1644">
        <f>ROUND(D1731*$F1731/100,0)</f>
        <v>627213</v>
      </c>
      <c r="K1731" s="1982"/>
      <c r="L1731" s="1921"/>
      <c r="M1731" s="1982"/>
      <c r="N1731" s="1921"/>
      <c r="O1731" s="1982"/>
      <c r="P1731" s="1921"/>
      <c r="Q1731" s="1982"/>
      <c r="R1731" s="1921"/>
      <c r="S1731" s="1643"/>
      <c r="T1731" s="1643"/>
      <c r="U1731" s="1643"/>
      <c r="V1731" s="1643"/>
      <c r="W1731" s="1643"/>
      <c r="X1731" s="1648"/>
      <c r="Y1731" s="1644"/>
    </row>
    <row r="1732" spans="1:25">
      <c r="A1732" s="1960" t="s">
        <v>506</v>
      </c>
      <c r="C1732" s="529">
        <f>'12E'!N96</f>
        <v>41430739.109842025</v>
      </c>
      <c r="D1732" s="529">
        <f>Energy!P87</f>
        <v>23953132.664302297</v>
      </c>
      <c r="F1732" s="1976"/>
      <c r="H1732" s="1030">
        <f>SUM(H1721:H1731)</f>
        <v>2694097</v>
      </c>
      <c r="I1732" s="1030">
        <f>SUM(I1721:I1731)</f>
        <v>1557593</v>
      </c>
      <c r="K1732" s="1976"/>
      <c r="M1732" s="1976"/>
      <c r="O1732" s="1976"/>
      <c r="Q1732" s="1976"/>
      <c r="S1732" s="1030"/>
      <c r="U1732" s="1030"/>
      <c r="W1732" s="1030"/>
      <c r="Y1732" s="1030"/>
    </row>
    <row r="1733" spans="1:25">
      <c r="A1733" s="1960" t="s">
        <v>136</v>
      </c>
      <c r="C1733" s="584">
        <f>'Table 2'!J138</f>
        <v>-1535086</v>
      </c>
      <c r="D1733" s="584">
        <v>0</v>
      </c>
      <c r="F1733" s="1982"/>
      <c r="G1733" s="1921"/>
      <c r="H1733" s="1645">
        <f>'Table 3'!F138</f>
        <v>-92739</v>
      </c>
      <c r="I1733" s="1030">
        <v>0</v>
      </c>
      <c r="K1733" s="1982"/>
      <c r="L1733" s="1921"/>
      <c r="M1733" s="1982"/>
      <c r="N1733" s="1921"/>
      <c r="O1733" s="1982"/>
      <c r="P1733" s="1921"/>
      <c r="Q1733" s="1982"/>
      <c r="R1733" s="1921"/>
      <c r="S1733" s="1030"/>
      <c r="T1733" s="1648"/>
      <c r="U1733" s="1030"/>
      <c r="V1733" s="1648"/>
      <c r="W1733" s="1030"/>
      <c r="X1733" s="1648"/>
      <c r="Y1733" s="1030"/>
    </row>
    <row r="1734" spans="1:25">
      <c r="A1734" s="1900" t="s">
        <v>1240</v>
      </c>
      <c r="C1734" s="584"/>
      <c r="D1734" s="584"/>
      <c r="F1734" s="1930">
        <v>-1.9800000000000002E-2</v>
      </c>
      <c r="G1734" s="597"/>
      <c r="H1734" s="1644">
        <f>H1732*$F1734</f>
        <v>-53343.120600000002</v>
      </c>
      <c r="I1734" s="1644">
        <f>I1732*$F1734</f>
        <v>-30840.341400000001</v>
      </c>
      <c r="K1734" s="1930"/>
      <c r="L1734" s="597"/>
      <c r="M1734" s="1930"/>
      <c r="N1734" s="597"/>
      <c r="O1734" s="1930"/>
      <c r="P1734" s="597"/>
      <c r="Q1734" s="1930"/>
      <c r="R1734" s="597"/>
      <c r="S1734" s="1644"/>
      <c r="T1734" s="1645"/>
      <c r="U1734" s="1644"/>
      <c r="V1734" s="1645"/>
      <c r="W1734" s="1644"/>
      <c r="X1734" s="1645"/>
      <c r="Y1734" s="1644"/>
    </row>
    <row r="1735" spans="1:25">
      <c r="A1735" s="1900"/>
      <c r="C1735" s="584"/>
      <c r="D1735" s="584"/>
      <c r="F1735" s="1930"/>
      <c r="G1735" s="597"/>
      <c r="H1735" s="1644"/>
      <c r="I1735" s="1644"/>
      <c r="K1735" s="1930"/>
      <c r="L1735" s="597"/>
      <c r="M1735" s="1930"/>
      <c r="N1735" s="597"/>
      <c r="O1735" s="1930"/>
      <c r="P1735" s="597"/>
      <c r="Q1735" s="1930"/>
      <c r="R1735" s="597"/>
      <c r="S1735" s="1644"/>
      <c r="T1735" s="1645"/>
      <c r="U1735" s="1644"/>
      <c r="V1735" s="1645"/>
      <c r="W1735" s="1644"/>
      <c r="X1735" s="1645"/>
      <c r="Y1735" s="1644"/>
    </row>
    <row r="1736" spans="1:25">
      <c r="A1736" s="1960" t="s">
        <v>93</v>
      </c>
      <c r="C1736" s="584">
        <f>SUM(C1732:C1733)</f>
        <v>39895653.109842025</v>
      </c>
      <c r="D1736" s="584">
        <f>SUM(D1732:D1733)</f>
        <v>23953132.664302297</v>
      </c>
      <c r="F1736" s="1982"/>
      <c r="G1736" s="1921"/>
      <c r="H1736" s="1645">
        <f>SUM(H1732:H1734)</f>
        <v>2548014.8794</v>
      </c>
      <c r="I1736" s="1645">
        <f>SUM(I1732:I1734)</f>
        <v>1526752.6586</v>
      </c>
      <c r="K1736" s="1982"/>
      <c r="L1736" s="1921"/>
      <c r="M1736" s="1982"/>
      <c r="N1736" s="1921"/>
      <c r="O1736" s="1982"/>
      <c r="P1736" s="1921"/>
      <c r="Q1736" s="1982"/>
      <c r="R1736" s="1921"/>
      <c r="S1736" s="1645"/>
      <c r="T1736" s="1648"/>
      <c r="U1736" s="1645"/>
      <c r="V1736" s="1648"/>
      <c r="W1736" s="1645"/>
      <c r="X1736" s="1648"/>
      <c r="Y1736" s="1645"/>
    </row>
    <row r="1737" spans="1:25">
      <c r="A1737" s="1960" t="s">
        <v>778</v>
      </c>
      <c r="C1737" s="529">
        <f>'Table 2'!F138</f>
        <v>1005.41666666667</v>
      </c>
      <c r="D1737" s="529">
        <f>ROUND(Bill!P87/12,0)</f>
        <v>990</v>
      </c>
      <c r="F1737" s="1976"/>
      <c r="H1737" s="1030"/>
      <c r="I1737" s="1030"/>
      <c r="K1737" s="1976"/>
      <c r="M1737" s="1976"/>
      <c r="O1737" s="1976"/>
      <c r="Q1737" s="1976"/>
      <c r="S1737" s="1030"/>
      <c r="U1737" s="1030"/>
      <c r="W1737" s="1030"/>
      <c r="Y1737" s="1030"/>
    </row>
    <row r="1738" spans="1:25">
      <c r="A1738" s="1983" t="s">
        <v>207</v>
      </c>
      <c r="C1738" s="528"/>
      <c r="D1738" s="528"/>
      <c r="W1738" s="1643"/>
    </row>
    <row r="1739" spans="1:25">
      <c r="A1739" s="1960" t="s">
        <v>320</v>
      </c>
      <c r="C1739" s="528"/>
      <c r="D1739" s="528"/>
      <c r="H1739" s="1644"/>
      <c r="I1739" s="1644"/>
      <c r="W1739" s="1643"/>
      <c r="Y1739" s="1644"/>
    </row>
    <row r="1740" spans="1:25">
      <c r="A1740" s="1900" t="s">
        <v>342</v>
      </c>
      <c r="C1740" s="528">
        <f>SUMIF('12P'!$B$2:$B$22,1,'12P'!$L$2:$L$22)</f>
        <v>72</v>
      </c>
      <c r="D1740" s="528">
        <f>ROUND(C1740/$C$1769*$D$1769,0)</f>
        <v>46</v>
      </c>
      <c r="F1740" s="1901">
        <v>8.9600000000000009</v>
      </c>
      <c r="G1740" s="1902"/>
      <c r="H1740" s="1644">
        <f>ROUND(C1740*$F1740,0)</f>
        <v>645</v>
      </c>
      <c r="I1740" s="1644">
        <f>ROUND(D1740*$F1740,0)</f>
        <v>412</v>
      </c>
      <c r="K1740" s="1901"/>
      <c r="L1740" s="1902"/>
      <c r="M1740" s="1901"/>
      <c r="N1740" s="1902"/>
      <c r="O1740" s="1901"/>
      <c r="P1740" s="1902"/>
      <c r="Q1740" s="1901"/>
      <c r="R1740" s="1902"/>
      <c r="S1740" s="1643"/>
      <c r="T1740" s="1643"/>
      <c r="U1740" s="1643"/>
      <c r="V1740" s="1643"/>
      <c r="W1740" s="1643"/>
      <c r="X1740" s="1643"/>
      <c r="Y1740" s="1644"/>
    </row>
    <row r="1741" spans="1:25">
      <c r="A1741" s="1900" t="s">
        <v>325</v>
      </c>
      <c r="C1741" s="528">
        <f>SUMIF('12P'!$B$2:$B$22,3,'12P'!$L$2:$L$22)</f>
        <v>36</v>
      </c>
      <c r="D1741" s="528">
        <f>ROUND(C1741/$C$1769*$D$1769,0)</f>
        <v>23</v>
      </c>
      <c r="F1741" s="1901">
        <v>12.19</v>
      </c>
      <c r="G1741" s="1902"/>
      <c r="H1741" s="1644">
        <f>ROUND(C1741*$F1741,0)</f>
        <v>439</v>
      </c>
      <c r="I1741" s="1644">
        <f>ROUND(D1741*$F1741,0)</f>
        <v>280</v>
      </c>
      <c r="K1741" s="1901"/>
      <c r="L1741" s="1902"/>
      <c r="M1741" s="1901"/>
      <c r="N1741" s="1902"/>
      <c r="O1741" s="1901"/>
      <c r="P1741" s="1902"/>
      <c r="Q1741" s="1901"/>
      <c r="R1741" s="1902"/>
      <c r="S1741" s="1643"/>
      <c r="T1741" s="1643"/>
      <c r="U1741" s="1643"/>
      <c r="V1741" s="1643"/>
      <c r="W1741" s="1643"/>
      <c r="X1741" s="1643"/>
      <c r="Y1741" s="1644"/>
    </row>
    <row r="1742" spans="1:25">
      <c r="A1742" s="1960" t="s">
        <v>329</v>
      </c>
      <c r="C1742" s="528"/>
      <c r="D1742" s="528"/>
      <c r="F1742" s="1901"/>
      <c r="G1742" s="1902"/>
      <c r="K1742" s="1901"/>
      <c r="L1742" s="1902"/>
      <c r="M1742" s="1901"/>
      <c r="N1742" s="1902"/>
      <c r="O1742" s="1901"/>
      <c r="P1742" s="1902"/>
      <c r="Q1742" s="1901"/>
      <c r="R1742" s="1902"/>
      <c r="S1742" s="1643"/>
      <c r="T1742" s="1643"/>
      <c r="U1742" s="1643"/>
      <c r="V1742" s="1643"/>
      <c r="W1742" s="1643"/>
      <c r="X1742" s="1643"/>
    </row>
    <row r="1743" spans="1:25">
      <c r="A1743" s="1900" t="s">
        <v>325</v>
      </c>
      <c r="C1743" s="528">
        <f>SUMIF('12P'!$B$2:$B$22,9,'12P'!$L$2:$L$22)</f>
        <v>0</v>
      </c>
      <c r="D1743" s="528">
        <f t="shared" ref="D1743:D1746" si="1871">ROUND(C1743/$C$1769*$D$1769,0)</f>
        <v>0</v>
      </c>
      <c r="F1743" s="1901">
        <v>4.6399999999999997</v>
      </c>
      <c r="G1743" s="1902"/>
      <c r="H1743" s="1644">
        <f t="shared" ref="H1743:I1746" si="1872">ROUND(C1743*$F1743,0)</f>
        <v>0</v>
      </c>
      <c r="I1743" s="1644">
        <f t="shared" si="1872"/>
        <v>0</v>
      </c>
      <c r="K1743" s="1901"/>
      <c r="L1743" s="1902"/>
      <c r="M1743" s="1901"/>
      <c r="N1743" s="1902"/>
      <c r="O1743" s="1901"/>
      <c r="P1743" s="1902"/>
      <c r="Q1743" s="1901"/>
      <c r="R1743" s="1902"/>
      <c r="S1743" s="1643"/>
      <c r="T1743" s="1643"/>
      <c r="U1743" s="1643"/>
      <c r="V1743" s="1643"/>
      <c r="W1743" s="1643"/>
      <c r="X1743" s="1643"/>
      <c r="Y1743" s="1644"/>
    </row>
    <row r="1744" spans="1:25">
      <c r="A1744" s="1900" t="s">
        <v>266</v>
      </c>
      <c r="C1744" s="528">
        <f>SUMIF('12P'!$B$2:$B$22,11,'12P'!$L$2:$L$22)</f>
        <v>636</v>
      </c>
      <c r="D1744" s="528">
        <f t="shared" si="1871"/>
        <v>404</v>
      </c>
      <c r="F1744" s="1901">
        <v>7</v>
      </c>
      <c r="H1744" s="1644">
        <f t="shared" si="1872"/>
        <v>4452</v>
      </c>
      <c r="I1744" s="1644">
        <f t="shared" si="1872"/>
        <v>2828</v>
      </c>
      <c r="K1744" s="1901"/>
      <c r="L1744" s="1902"/>
      <c r="M1744" s="1901"/>
      <c r="N1744" s="1902"/>
      <c r="O1744" s="1901"/>
      <c r="Q1744" s="1901"/>
      <c r="S1744" s="1643"/>
      <c r="T1744" s="1643"/>
      <c r="U1744" s="1643"/>
      <c r="V1744" s="1643"/>
      <c r="W1744" s="1643"/>
      <c r="Y1744" s="1644"/>
    </row>
    <row r="1745" spans="1:25">
      <c r="A1745" s="1900" t="s">
        <v>268</v>
      </c>
      <c r="C1745" s="528">
        <f>SUMIF('12P'!$B$2:$B$22,15,'12P'!$L$2:$L$22)</f>
        <v>84</v>
      </c>
      <c r="D1745" s="528">
        <f t="shared" si="1871"/>
        <v>53</v>
      </c>
      <c r="F1745" s="1901">
        <v>13.33</v>
      </c>
      <c r="G1745" s="1902"/>
      <c r="H1745" s="1644">
        <f t="shared" si="1872"/>
        <v>1120</v>
      </c>
      <c r="I1745" s="1644">
        <f t="shared" si="1872"/>
        <v>706</v>
      </c>
      <c r="K1745" s="1901"/>
      <c r="L1745" s="1902"/>
      <c r="M1745" s="1901"/>
      <c r="N1745" s="1902"/>
      <c r="O1745" s="1901"/>
      <c r="P1745" s="1902"/>
      <c r="Q1745" s="1901"/>
      <c r="R1745" s="1902"/>
      <c r="S1745" s="1643"/>
      <c r="T1745" s="1643"/>
      <c r="U1745" s="1643"/>
      <c r="V1745" s="1643"/>
      <c r="W1745" s="1643"/>
      <c r="X1745" s="1643"/>
      <c r="Y1745" s="1644"/>
    </row>
    <row r="1746" spans="1:25">
      <c r="A1746" s="1900" t="s">
        <v>343</v>
      </c>
      <c r="C1746" s="528">
        <f>SUMIF('12P'!$B$2:$B$22,19,'12P'!$L$2:$L$22)</f>
        <v>0</v>
      </c>
      <c r="D1746" s="528">
        <f t="shared" si="1871"/>
        <v>0</v>
      </c>
      <c r="F1746" s="1901">
        <v>28.38</v>
      </c>
      <c r="G1746" s="1902"/>
      <c r="H1746" s="1644">
        <f t="shared" si="1872"/>
        <v>0</v>
      </c>
      <c r="I1746" s="1644">
        <f t="shared" si="1872"/>
        <v>0</v>
      </c>
      <c r="K1746" s="1901"/>
      <c r="L1746" s="1902"/>
      <c r="M1746" s="1901"/>
      <c r="N1746" s="1902"/>
      <c r="O1746" s="1901"/>
      <c r="P1746" s="1902"/>
      <c r="Q1746" s="1901"/>
      <c r="R1746" s="1902"/>
      <c r="S1746" s="1643"/>
      <c r="T1746" s="1643"/>
      <c r="U1746" s="1643"/>
      <c r="V1746" s="1643"/>
      <c r="W1746" s="1643"/>
      <c r="X1746" s="1643"/>
      <c r="Y1746" s="1644"/>
    </row>
    <row r="1747" spans="1:25">
      <c r="A1747" s="1960" t="s">
        <v>527</v>
      </c>
      <c r="C1747" s="528"/>
      <c r="D1747" s="528"/>
      <c r="F1747" s="1901"/>
      <c r="G1747" s="1902"/>
      <c r="H1747" s="1644"/>
      <c r="I1747" s="1644"/>
      <c r="K1747" s="1901"/>
      <c r="L1747" s="1902"/>
      <c r="M1747" s="1901"/>
      <c r="N1747" s="1902"/>
      <c r="O1747" s="1901"/>
      <c r="P1747" s="1902"/>
      <c r="Q1747" s="1901"/>
      <c r="R1747" s="1902"/>
      <c r="S1747" s="1643"/>
      <c r="T1747" s="1643"/>
      <c r="U1747" s="1643"/>
      <c r="V1747" s="1643"/>
      <c r="W1747" s="1643"/>
      <c r="X1747" s="1643"/>
      <c r="Y1747" s="1644"/>
    </row>
    <row r="1748" spans="1:25">
      <c r="A1748" s="1900" t="s">
        <v>332</v>
      </c>
      <c r="C1748" s="528">
        <f>SUMIF('12P'!$B$2:$B$22,22,'12P'!$L$2:$L$22)</f>
        <v>2228.4779411764698</v>
      </c>
      <c r="D1748" s="528">
        <f t="shared" ref="D1748:D1757" si="1873">ROUND(C1748/$C$1769*$D$1769,0)</f>
        <v>1416</v>
      </c>
      <c r="F1748" s="1901">
        <v>4.08</v>
      </c>
      <c r="G1748" s="1902"/>
      <c r="H1748" s="1644">
        <f t="shared" ref="H1748:H1757" si="1874">ROUND(C1748*$F1748,0)</f>
        <v>9092</v>
      </c>
      <c r="I1748" s="1644">
        <f t="shared" ref="I1748:I1757" si="1875">ROUND(D1748*$F1748,0)</f>
        <v>5777</v>
      </c>
      <c r="K1748" s="1901"/>
      <c r="L1748" s="1902"/>
      <c r="M1748" s="1901"/>
      <c r="N1748" s="1902"/>
      <c r="O1748" s="1901"/>
      <c r="P1748" s="1902"/>
      <c r="Q1748" s="1901"/>
      <c r="R1748" s="1902"/>
      <c r="S1748" s="1643"/>
      <c r="T1748" s="1643"/>
      <c r="U1748" s="1643"/>
      <c r="V1748" s="1643"/>
      <c r="W1748" s="1643"/>
      <c r="X1748" s="1643"/>
      <c r="Y1748" s="1644"/>
    </row>
    <row r="1749" spans="1:25">
      <c r="A1749" s="1900" t="s">
        <v>333</v>
      </c>
      <c r="C1749" s="528">
        <f>SUMIF('12P'!$B$2:$B$22,25,'12P'!$L$2:$L$22)</f>
        <v>10538.737430167601</v>
      </c>
      <c r="D1749" s="528">
        <f t="shared" si="1873"/>
        <v>6699</v>
      </c>
      <c r="F1749" s="1901">
        <v>5.37</v>
      </c>
      <c r="G1749" s="1902"/>
      <c r="H1749" s="1644">
        <f t="shared" si="1874"/>
        <v>56593</v>
      </c>
      <c r="I1749" s="1644">
        <f t="shared" si="1875"/>
        <v>35974</v>
      </c>
      <c r="K1749" s="1901"/>
      <c r="L1749" s="1902"/>
      <c r="M1749" s="1901"/>
      <c r="N1749" s="1902"/>
      <c r="O1749" s="1901"/>
      <c r="P1749" s="1902"/>
      <c r="Q1749" s="1901"/>
      <c r="R1749" s="1902"/>
      <c r="S1749" s="1643"/>
      <c r="T1749" s="1643"/>
      <c r="U1749" s="1643"/>
      <c r="V1749" s="1643"/>
      <c r="W1749" s="1643"/>
      <c r="X1749" s="1643"/>
      <c r="Y1749" s="1644"/>
    </row>
    <row r="1750" spans="1:25">
      <c r="A1750" s="1900" t="s">
        <v>209</v>
      </c>
      <c r="C1750" s="528">
        <f>SUMIF('12P'!$B$2:$B$22,65,'12P'!$L$2:$L$22)</f>
        <v>6086.2600574712596</v>
      </c>
      <c r="D1750" s="528">
        <f t="shared" si="1873"/>
        <v>3869</v>
      </c>
      <c r="F1750" s="1901">
        <v>6.96</v>
      </c>
      <c r="G1750" s="1902"/>
      <c r="H1750" s="1644">
        <f t="shared" si="1874"/>
        <v>42360</v>
      </c>
      <c r="I1750" s="1644">
        <f t="shared" si="1875"/>
        <v>26928</v>
      </c>
      <c r="K1750" s="1901"/>
      <c r="L1750" s="1902"/>
      <c r="M1750" s="1901"/>
      <c r="N1750" s="1902"/>
      <c r="O1750" s="1901"/>
      <c r="P1750" s="1902"/>
      <c r="Q1750" s="1901"/>
      <c r="R1750" s="1902"/>
      <c r="S1750" s="1643"/>
      <c r="T1750" s="1643"/>
      <c r="U1750" s="1643"/>
      <c r="V1750" s="1643"/>
      <c r="W1750" s="1643"/>
      <c r="X1750" s="1643"/>
      <c r="Y1750" s="1644"/>
    </row>
    <row r="1751" spans="1:25">
      <c r="A1751" s="1900" t="s">
        <v>334</v>
      </c>
      <c r="C1751" s="528">
        <f>SUMIF('12P'!$B$2:$B$22,27,'12P'!$L$2:$L$22)</f>
        <v>921.29294478527595</v>
      </c>
      <c r="D1751" s="528">
        <f t="shared" si="1873"/>
        <v>586</v>
      </c>
      <c r="F1751" s="1901">
        <v>6.52</v>
      </c>
      <c r="G1751" s="1902"/>
      <c r="H1751" s="1644">
        <f t="shared" si="1874"/>
        <v>6007</v>
      </c>
      <c r="I1751" s="1644">
        <f t="shared" si="1875"/>
        <v>3821</v>
      </c>
      <c r="K1751" s="1901"/>
      <c r="L1751" s="1902"/>
      <c r="M1751" s="1901"/>
      <c r="N1751" s="1902"/>
      <c r="O1751" s="1901"/>
      <c r="P1751" s="1902"/>
      <c r="Q1751" s="1901"/>
      <c r="R1751" s="1902"/>
      <c r="S1751" s="1643"/>
      <c r="T1751" s="1643"/>
      <c r="U1751" s="1643"/>
      <c r="V1751" s="1643"/>
      <c r="W1751" s="1643"/>
      <c r="X1751" s="1643"/>
      <c r="Y1751" s="1644"/>
    </row>
    <row r="1752" spans="1:25">
      <c r="A1752" s="1900" t="s">
        <v>483</v>
      </c>
      <c r="C1752" s="528">
        <f>SUMIF('12P'!$B$2:$B$22,66,'12P'!$L$2:$L$22)</f>
        <v>422.75937122128198</v>
      </c>
      <c r="D1752" s="528">
        <f t="shared" si="1873"/>
        <v>269</v>
      </c>
      <c r="F1752" s="1901">
        <v>8.27</v>
      </c>
      <c r="G1752" s="1902"/>
      <c r="H1752" s="1644">
        <f t="shared" si="1874"/>
        <v>3496</v>
      </c>
      <c r="I1752" s="1644">
        <f t="shared" si="1875"/>
        <v>2225</v>
      </c>
      <c r="K1752" s="1901"/>
      <c r="L1752" s="1902"/>
      <c r="M1752" s="1901"/>
      <c r="N1752" s="1902"/>
      <c r="O1752" s="1901"/>
      <c r="P1752" s="1902"/>
      <c r="Q1752" s="1901"/>
      <c r="R1752" s="1902"/>
      <c r="S1752" s="1643"/>
      <c r="T1752" s="1643"/>
      <c r="U1752" s="1643"/>
      <c r="V1752" s="1643"/>
      <c r="W1752" s="1643"/>
      <c r="X1752" s="1643"/>
      <c r="Y1752" s="1644"/>
    </row>
    <row r="1753" spans="1:25">
      <c r="A1753" s="1900" t="s">
        <v>345</v>
      </c>
      <c r="C1753" s="528">
        <f>SUMIF('12P'!$B$2:$B$22,29,'12P'!$L$2:$L$22)</f>
        <v>0</v>
      </c>
      <c r="D1753" s="528">
        <f t="shared" si="1873"/>
        <v>0</v>
      </c>
      <c r="F1753" s="1901">
        <v>8.26</v>
      </c>
      <c r="G1753" s="1902"/>
      <c r="H1753" s="1644">
        <f t="shared" si="1874"/>
        <v>0</v>
      </c>
      <c r="I1753" s="1644">
        <f t="shared" si="1875"/>
        <v>0</v>
      </c>
      <c r="K1753" s="1901"/>
      <c r="L1753" s="1902"/>
      <c r="M1753" s="1901"/>
      <c r="N1753" s="1902"/>
      <c r="O1753" s="1901"/>
      <c r="P1753" s="1902"/>
      <c r="Q1753" s="1901"/>
      <c r="R1753" s="1902"/>
      <c r="S1753" s="1643"/>
      <c r="T1753" s="1643"/>
      <c r="U1753" s="1643"/>
      <c r="V1753" s="1643"/>
      <c r="W1753" s="1643"/>
      <c r="X1753" s="1643"/>
      <c r="Y1753" s="1644"/>
    </row>
    <row r="1754" spans="1:25">
      <c r="A1754" s="1900" t="s">
        <v>335</v>
      </c>
      <c r="C1754" s="528">
        <f>SUMIF('12P'!$B$2:$B$22,31,'12P'!$L$2:$L$22)</f>
        <v>2737.1355578727798</v>
      </c>
      <c r="D1754" s="528">
        <f t="shared" si="1873"/>
        <v>1740</v>
      </c>
      <c r="F1754" s="1901">
        <v>9.59</v>
      </c>
      <c r="G1754" s="1902"/>
      <c r="H1754" s="1644">
        <f t="shared" si="1874"/>
        <v>26249</v>
      </c>
      <c r="I1754" s="1644">
        <f t="shared" si="1875"/>
        <v>16687</v>
      </c>
      <c r="K1754" s="1901"/>
      <c r="L1754" s="1902"/>
      <c r="M1754" s="1901"/>
      <c r="N1754" s="1902"/>
      <c r="O1754" s="1901"/>
      <c r="P1754" s="1902"/>
      <c r="Q1754" s="1901"/>
      <c r="R1754" s="1902"/>
      <c r="S1754" s="1643"/>
      <c r="T1754" s="1643"/>
      <c r="U1754" s="1643"/>
      <c r="V1754" s="1643"/>
      <c r="W1754" s="1643"/>
      <c r="X1754" s="1643"/>
      <c r="Y1754" s="1644"/>
    </row>
    <row r="1755" spans="1:25">
      <c r="A1755" s="1900" t="s">
        <v>484</v>
      </c>
      <c r="C1755" s="528">
        <f>SUMIF('12P'!$B$2:$B$22,67,'12P'!$L$2:$L$22)</f>
        <v>120.699916177703</v>
      </c>
      <c r="D1755" s="528">
        <f t="shared" si="1873"/>
        <v>77</v>
      </c>
      <c r="F1755" s="1901">
        <v>11.93</v>
      </c>
      <c r="G1755" s="1902"/>
      <c r="H1755" s="1644">
        <f t="shared" si="1874"/>
        <v>1440</v>
      </c>
      <c r="I1755" s="1644">
        <f t="shared" si="1875"/>
        <v>919</v>
      </c>
      <c r="K1755" s="1901"/>
      <c r="L1755" s="1902"/>
      <c r="M1755" s="1901"/>
      <c r="N1755" s="1902"/>
      <c r="O1755" s="1901"/>
      <c r="P1755" s="1902"/>
      <c r="Q1755" s="1901"/>
      <c r="R1755" s="1902"/>
      <c r="S1755" s="1643"/>
      <c r="T1755" s="1643"/>
      <c r="U1755" s="1643"/>
      <c r="V1755" s="1643"/>
      <c r="W1755" s="1643"/>
      <c r="X1755" s="1643"/>
      <c r="Y1755" s="1644"/>
    </row>
    <row r="1756" spans="1:25">
      <c r="A1756" s="1900" t="s">
        <v>336</v>
      </c>
      <c r="C1756" s="528">
        <f>SUMIF('12P'!$B$2:$B$22,33,'12P'!$L$2:$L$22)</f>
        <v>7177.3864285714299</v>
      </c>
      <c r="D1756" s="528">
        <f t="shared" si="1873"/>
        <v>4562</v>
      </c>
      <c r="F1756" s="1901">
        <v>14</v>
      </c>
      <c r="G1756" s="1902"/>
      <c r="H1756" s="1644">
        <f t="shared" si="1874"/>
        <v>100483</v>
      </c>
      <c r="I1756" s="1644">
        <f t="shared" si="1875"/>
        <v>63868</v>
      </c>
      <c r="K1756" s="1901"/>
      <c r="L1756" s="1902"/>
      <c r="M1756" s="1901"/>
      <c r="N1756" s="1902"/>
      <c r="O1756" s="1901"/>
      <c r="P1756" s="1902"/>
      <c r="Q1756" s="1901"/>
      <c r="R1756" s="1902"/>
      <c r="S1756" s="1643"/>
      <c r="T1756" s="1643"/>
      <c r="U1756" s="1643"/>
      <c r="V1756" s="1643"/>
      <c r="W1756" s="1643"/>
      <c r="X1756" s="1643"/>
      <c r="Y1756" s="1644"/>
    </row>
    <row r="1757" spans="1:25">
      <c r="A1757" s="1900" t="s">
        <v>210</v>
      </c>
      <c r="C1757" s="528">
        <f>SUMIF('12P'!$B$2:$B$22,68,'12P'!$L$2:$L$22)</f>
        <v>120</v>
      </c>
      <c r="D1757" s="528">
        <f t="shared" si="1873"/>
        <v>76</v>
      </c>
      <c r="F1757" s="1901">
        <v>15.56</v>
      </c>
      <c r="G1757" s="1902"/>
      <c r="H1757" s="1644">
        <f t="shared" si="1874"/>
        <v>1867</v>
      </c>
      <c r="I1757" s="1644">
        <f t="shared" si="1875"/>
        <v>1183</v>
      </c>
      <c r="K1757" s="1901"/>
      <c r="L1757" s="1902"/>
      <c r="M1757" s="1901"/>
      <c r="N1757" s="1902"/>
      <c r="O1757" s="1901"/>
      <c r="P1757" s="1902"/>
      <c r="Q1757" s="1901"/>
      <c r="R1757" s="1902"/>
      <c r="S1757" s="1643"/>
      <c r="T1757" s="1643"/>
      <c r="U1757" s="1643"/>
      <c r="V1757" s="1643"/>
      <c r="W1757" s="1643"/>
      <c r="X1757" s="1643"/>
      <c r="Y1757" s="1644"/>
    </row>
    <row r="1758" spans="1:25">
      <c r="A1758" s="1960" t="s">
        <v>348</v>
      </c>
      <c r="C1758" s="528"/>
      <c r="D1758" s="528"/>
      <c r="F1758" s="1901"/>
      <c r="G1758" s="1902"/>
      <c r="K1758" s="1901"/>
      <c r="L1758" s="1902"/>
      <c r="M1758" s="1901"/>
      <c r="N1758" s="1902"/>
      <c r="O1758" s="1901"/>
      <c r="P1758" s="1902"/>
      <c r="Q1758" s="1901"/>
      <c r="R1758" s="1902"/>
      <c r="S1758" s="1643"/>
      <c r="T1758" s="1643"/>
      <c r="U1758" s="1643"/>
      <c r="V1758" s="1643"/>
      <c r="W1758" s="1643"/>
      <c r="X1758" s="1643"/>
    </row>
    <row r="1759" spans="1:25">
      <c r="A1759" s="1900" t="s">
        <v>211</v>
      </c>
      <c r="C1759" s="528">
        <f>SUMIF('12P'!$B$2:$B$22,69,'12P'!$L$2:$L$22)</f>
        <v>924.09031556039201</v>
      </c>
      <c r="D1759" s="528">
        <f t="shared" ref="D1759:D1765" si="1876">ROUND(C1759/$C$1769*$D$1769,0)</f>
        <v>587</v>
      </c>
      <c r="F1759" s="1901">
        <v>9.19</v>
      </c>
      <c r="G1759" s="1902"/>
      <c r="H1759" s="1644">
        <f t="shared" ref="H1759:I1765" si="1877">ROUND(C1759*$F1759,0)</f>
        <v>8492</v>
      </c>
      <c r="I1759" s="1644">
        <f t="shared" si="1877"/>
        <v>5395</v>
      </c>
      <c r="K1759" s="1901"/>
      <c r="L1759" s="1902"/>
      <c r="M1759" s="1901"/>
      <c r="N1759" s="1902"/>
      <c r="O1759" s="1901"/>
      <c r="P1759" s="1902"/>
      <c r="Q1759" s="1901"/>
      <c r="R1759" s="1902"/>
      <c r="S1759" s="1643"/>
      <c r="T1759" s="1643"/>
      <c r="U1759" s="1643"/>
      <c r="V1759" s="1643"/>
      <c r="W1759" s="1643"/>
      <c r="X1759" s="1643"/>
      <c r="Y1759" s="1644"/>
    </row>
    <row r="1760" spans="1:25">
      <c r="A1760" s="1900" t="s">
        <v>349</v>
      </c>
      <c r="C1760" s="528">
        <f>SUMIF('12P'!$B$2:$B$22,37,'12P'!$L$2:$L$22)</f>
        <v>1332</v>
      </c>
      <c r="D1760" s="528">
        <f t="shared" si="1876"/>
        <v>847</v>
      </c>
      <c r="F1760" s="1901">
        <v>13.57</v>
      </c>
      <c r="G1760" s="1902"/>
      <c r="H1760" s="1644">
        <f t="shared" si="1877"/>
        <v>18075</v>
      </c>
      <c r="I1760" s="1644">
        <f t="shared" si="1877"/>
        <v>11494</v>
      </c>
      <c r="K1760" s="1901"/>
      <c r="L1760" s="1902"/>
      <c r="M1760" s="1901"/>
      <c r="N1760" s="1902"/>
      <c r="O1760" s="1901"/>
      <c r="P1760" s="1902"/>
      <c r="Q1760" s="1901"/>
      <c r="R1760" s="1902"/>
      <c r="S1760" s="1643"/>
      <c r="T1760" s="1643"/>
      <c r="U1760" s="1643"/>
      <c r="V1760" s="1643"/>
      <c r="W1760" s="1643"/>
      <c r="X1760" s="1643"/>
      <c r="Y1760" s="1644"/>
    </row>
    <row r="1761" spans="1:25">
      <c r="A1761" s="1900" t="s">
        <v>212</v>
      </c>
      <c r="C1761" s="528">
        <f>SUMIF('12P'!$B$2:$B$22,70,'12P'!$L$2:$L$22)</f>
        <v>204</v>
      </c>
      <c r="D1761" s="528">
        <f t="shared" si="1876"/>
        <v>130</v>
      </c>
      <c r="F1761" s="1901">
        <v>11.09</v>
      </c>
      <c r="G1761" s="1902"/>
      <c r="H1761" s="1644">
        <f t="shared" si="1877"/>
        <v>2262</v>
      </c>
      <c r="I1761" s="1644">
        <f t="shared" si="1877"/>
        <v>1442</v>
      </c>
      <c r="K1761" s="1901"/>
      <c r="L1761" s="1902"/>
      <c r="M1761" s="1901"/>
      <c r="N1761" s="1902"/>
      <c r="O1761" s="1901"/>
      <c r="P1761" s="1902"/>
      <c r="Q1761" s="1901"/>
      <c r="R1761" s="1902"/>
      <c r="S1761" s="1643"/>
      <c r="T1761" s="1643"/>
      <c r="U1761" s="1643"/>
      <c r="V1761" s="1643"/>
      <c r="W1761" s="1643"/>
      <c r="X1761" s="1643"/>
      <c r="Y1761" s="1644"/>
    </row>
    <row r="1762" spans="1:25">
      <c r="A1762" s="1900" t="s">
        <v>350</v>
      </c>
      <c r="C1762" s="528">
        <f>SUMIF('12P'!$B$2:$B$22,39,'12P'!$L$2:$L$22)</f>
        <v>384</v>
      </c>
      <c r="D1762" s="528">
        <f t="shared" si="1876"/>
        <v>244</v>
      </c>
      <c r="F1762" s="1901">
        <v>13.71</v>
      </c>
      <c r="G1762" s="1902"/>
      <c r="H1762" s="1644">
        <f t="shared" si="1877"/>
        <v>5265</v>
      </c>
      <c r="I1762" s="1644">
        <f t="shared" si="1877"/>
        <v>3345</v>
      </c>
      <c r="K1762" s="1901"/>
      <c r="L1762" s="1902"/>
      <c r="M1762" s="1901"/>
      <c r="N1762" s="1902"/>
      <c r="O1762" s="1901"/>
      <c r="P1762" s="1902"/>
      <c r="Q1762" s="1901"/>
      <c r="R1762" s="1902"/>
      <c r="S1762" s="1643"/>
      <c r="T1762" s="1643"/>
      <c r="U1762" s="1643"/>
      <c r="V1762" s="1643"/>
      <c r="W1762" s="1643"/>
      <c r="X1762" s="1643"/>
      <c r="Y1762" s="1644"/>
    </row>
    <row r="1763" spans="1:25">
      <c r="A1763" s="1900" t="s">
        <v>213</v>
      </c>
      <c r="C1763" s="528">
        <f>SUMIF('12P'!$B$2:$B$22,71,'12P'!$L$2:$L$22)</f>
        <v>5784</v>
      </c>
      <c r="D1763" s="528">
        <f t="shared" si="1876"/>
        <v>3676</v>
      </c>
      <c r="F1763" s="1901">
        <v>14.13</v>
      </c>
      <c r="G1763" s="1902"/>
      <c r="H1763" s="1644">
        <f t="shared" si="1877"/>
        <v>81728</v>
      </c>
      <c r="I1763" s="1644">
        <f t="shared" si="1877"/>
        <v>51942</v>
      </c>
      <c r="K1763" s="1901"/>
      <c r="L1763" s="1902"/>
      <c r="M1763" s="1901"/>
      <c r="N1763" s="1902"/>
      <c r="O1763" s="1901"/>
      <c r="P1763" s="1902"/>
      <c r="Q1763" s="1901"/>
      <c r="R1763" s="1902"/>
      <c r="S1763" s="1643"/>
      <c r="T1763" s="1643"/>
      <c r="U1763" s="1643"/>
      <c r="V1763" s="1643"/>
      <c r="W1763" s="1643"/>
      <c r="X1763" s="1643"/>
      <c r="Y1763" s="1644"/>
    </row>
    <row r="1764" spans="1:25">
      <c r="A1764" s="1900" t="s">
        <v>351</v>
      </c>
      <c r="C1764" s="528">
        <f>SUMIF('12P'!$B$2:$B$22,41,'12P'!$L$2:$L$22)</f>
        <v>192</v>
      </c>
      <c r="D1764" s="528">
        <f t="shared" si="1876"/>
        <v>122</v>
      </c>
      <c r="F1764" s="1901">
        <v>14.58</v>
      </c>
      <c r="G1764" s="1902"/>
      <c r="H1764" s="1644">
        <f t="shared" si="1877"/>
        <v>2799</v>
      </c>
      <c r="I1764" s="1644">
        <f t="shared" si="1877"/>
        <v>1779</v>
      </c>
      <c r="K1764" s="1901"/>
      <c r="L1764" s="1902"/>
      <c r="M1764" s="1901"/>
      <c r="N1764" s="1902"/>
      <c r="O1764" s="1901"/>
      <c r="P1764" s="1902"/>
      <c r="Q1764" s="1901"/>
      <c r="R1764" s="1902"/>
      <c r="S1764" s="1643"/>
      <c r="T1764" s="1643"/>
      <c r="U1764" s="1643"/>
      <c r="V1764" s="1643"/>
      <c r="W1764" s="1643"/>
      <c r="X1764" s="1643"/>
      <c r="Y1764" s="1644"/>
    </row>
    <row r="1765" spans="1:25">
      <c r="A1765" s="1900" t="s">
        <v>214</v>
      </c>
      <c r="C1765" s="528">
        <f>SUMIF('12P'!$B$2:$B$22,72,'12P'!$L$2:$L$22)</f>
        <v>553.65484483850503</v>
      </c>
      <c r="D1765" s="528">
        <f t="shared" si="1876"/>
        <v>352</v>
      </c>
      <c r="F1765" s="1902">
        <v>15.79</v>
      </c>
      <c r="G1765" s="1902"/>
      <c r="H1765" s="1644">
        <f t="shared" si="1877"/>
        <v>8742</v>
      </c>
      <c r="I1765" s="1644">
        <f t="shared" si="1877"/>
        <v>5558</v>
      </c>
      <c r="K1765" s="1901"/>
      <c r="L1765" s="1902"/>
      <c r="M1765" s="1901"/>
      <c r="N1765" s="1902"/>
      <c r="O1765" s="1901"/>
      <c r="P1765" s="1902"/>
      <c r="Q1765" s="1902"/>
      <c r="R1765" s="1902"/>
      <c r="S1765" s="1643"/>
      <c r="T1765" s="1643"/>
      <c r="U1765" s="1643"/>
      <c r="V1765" s="1643"/>
      <c r="W1765" s="1643"/>
      <c r="X1765" s="1643"/>
      <c r="Y1765" s="1644"/>
    </row>
    <row r="1766" spans="1:25">
      <c r="A1766" s="1960" t="s">
        <v>339</v>
      </c>
      <c r="C1766" s="528"/>
      <c r="D1766" s="528"/>
      <c r="F1766" s="1901"/>
      <c r="G1766" s="1902"/>
      <c r="H1766" s="1644"/>
      <c r="I1766" s="1644"/>
      <c r="K1766" s="1901"/>
      <c r="L1766" s="1902"/>
      <c r="M1766" s="1901"/>
      <c r="N1766" s="1902"/>
      <c r="O1766" s="1901"/>
      <c r="P1766" s="1902"/>
      <c r="Q1766" s="1901"/>
      <c r="R1766" s="1902"/>
      <c r="S1766" s="1643"/>
      <c r="T1766" s="1643"/>
      <c r="U1766" s="1643"/>
      <c r="V1766" s="1643"/>
      <c r="W1766" s="1643"/>
      <c r="X1766" s="1643"/>
      <c r="Y1766" s="1644"/>
    </row>
    <row r="1767" spans="1:25">
      <c r="A1767" s="1900" t="s">
        <v>323</v>
      </c>
      <c r="C1767" s="528">
        <f>SUMIF('12P'!$B$2:$B$22,51,'12P'!$L$2:$L$22)</f>
        <v>0</v>
      </c>
      <c r="D1767" s="528">
        <f t="shared" ref="D1767:D1768" si="1878">ROUND(C1767/$C$1769*$D$1769,0)</f>
        <v>0</v>
      </c>
      <c r="F1767" s="1901">
        <v>3.75</v>
      </c>
      <c r="G1767" s="1902"/>
      <c r="H1767" s="1644">
        <f>ROUND(C1767*$F1767,0)</f>
        <v>0</v>
      </c>
      <c r="I1767" s="1644">
        <f>ROUND(D1767*$F1767,0)</f>
        <v>0</v>
      </c>
      <c r="K1767" s="1901"/>
      <c r="L1767" s="1902"/>
      <c r="M1767" s="1901"/>
      <c r="N1767" s="1902"/>
      <c r="O1767" s="1901"/>
      <c r="P1767" s="1902"/>
      <c r="Q1767" s="1901"/>
      <c r="R1767" s="1902"/>
      <c r="S1767" s="1643"/>
      <c r="T1767" s="1643"/>
      <c r="U1767" s="1643"/>
      <c r="V1767" s="1643"/>
      <c r="W1767" s="1643"/>
      <c r="X1767" s="1643"/>
      <c r="Y1767" s="1644"/>
    </row>
    <row r="1768" spans="1:25">
      <c r="A1768" s="1900" t="s">
        <v>341</v>
      </c>
      <c r="C1768" s="528">
        <f>SUMIF('12P'!$B$2:$B$22,47,'12P'!$L$2:$L$22)</f>
        <v>84</v>
      </c>
      <c r="D1768" s="528">
        <f t="shared" si="1878"/>
        <v>53</v>
      </c>
      <c r="F1768" s="1901">
        <v>13.92</v>
      </c>
      <c r="G1768" s="1902"/>
      <c r="H1768" s="1644">
        <f>ROUND(C1768*$F1768,0)</f>
        <v>1169</v>
      </c>
      <c r="I1768" s="1644">
        <f>ROUND(D1768*$F1768,0)</f>
        <v>738</v>
      </c>
      <c r="K1768" s="1901"/>
      <c r="L1768" s="1902"/>
      <c r="M1768" s="1901"/>
      <c r="N1768" s="1902"/>
      <c r="O1768" s="1901"/>
      <c r="P1768" s="1902"/>
      <c r="Q1768" s="1901"/>
      <c r="R1768" s="1902"/>
      <c r="S1768" s="1643"/>
      <c r="T1768" s="1643"/>
      <c r="U1768" s="1643"/>
      <c r="V1768" s="1643"/>
      <c r="W1768" s="1643"/>
      <c r="X1768" s="1643"/>
      <c r="Y1768" s="1644"/>
    </row>
    <row r="1769" spans="1:25">
      <c r="A1769" s="1960" t="s">
        <v>506</v>
      </c>
      <c r="C1769" s="529">
        <f>'12P'!M24</f>
        <v>3043780.2427610983</v>
      </c>
      <c r="D1769" s="529">
        <f>Energy!P89</f>
        <v>1934664</v>
      </c>
      <c r="F1769" s="1976"/>
      <c r="H1769" s="1030">
        <f>SUM(H1740:H1768)</f>
        <v>382775</v>
      </c>
      <c r="I1769" s="1030">
        <f>SUM(I1740:I1768)</f>
        <v>243301</v>
      </c>
      <c r="K1769" s="1976"/>
      <c r="M1769" s="1976"/>
      <c r="O1769" s="1976"/>
      <c r="Q1769" s="1976"/>
      <c r="S1769" s="1030"/>
      <c r="U1769" s="1030"/>
      <c r="W1769" s="1030"/>
      <c r="Y1769" s="1030"/>
    </row>
    <row r="1770" spans="1:25">
      <c r="A1770" s="1960" t="s">
        <v>136</v>
      </c>
      <c r="C1770" s="584">
        <f>'Table 2'!J140</f>
        <v>-112778</v>
      </c>
      <c r="D1770" s="584">
        <v>0</v>
      </c>
      <c r="F1770" s="1901"/>
      <c r="G1770" s="1921"/>
      <c r="H1770" s="1645">
        <f>'Table 3'!F140</f>
        <v>-13175</v>
      </c>
      <c r="I1770" s="1030">
        <v>0</v>
      </c>
      <c r="K1770" s="1901"/>
      <c r="L1770" s="1921"/>
      <c r="M1770" s="1901"/>
      <c r="N1770" s="1921"/>
      <c r="O1770" s="1901"/>
      <c r="P1770" s="1921"/>
      <c r="Q1770" s="1901"/>
      <c r="R1770" s="1921"/>
      <c r="S1770" s="1030"/>
      <c r="T1770" s="1648"/>
      <c r="U1770" s="1030"/>
      <c r="V1770" s="1648"/>
      <c r="W1770" s="1030"/>
      <c r="X1770" s="1648"/>
      <c r="Y1770" s="1030"/>
    </row>
    <row r="1771" spans="1:25">
      <c r="A1771" s="1900" t="s">
        <v>1240</v>
      </c>
      <c r="C1771" s="584"/>
      <c r="D1771" s="584"/>
      <c r="F1771" s="1930">
        <v>-1.9800000000000002E-2</v>
      </c>
      <c r="G1771" s="597"/>
      <c r="H1771" s="1644">
        <f>H1769*$F1771</f>
        <v>-7578.9450000000006</v>
      </c>
      <c r="I1771" s="1644">
        <f>I1769*$F1771</f>
        <v>-4817.3598000000002</v>
      </c>
      <c r="K1771" s="1930"/>
      <c r="L1771" s="597"/>
      <c r="M1771" s="1930"/>
      <c r="N1771" s="597"/>
      <c r="O1771" s="1930"/>
      <c r="P1771" s="597"/>
      <c r="Q1771" s="1930"/>
      <c r="R1771" s="597"/>
      <c r="S1771" s="1644"/>
      <c r="T1771" s="1645"/>
      <c r="U1771" s="1644"/>
      <c r="V1771" s="1645"/>
      <c r="W1771" s="1644"/>
      <c r="X1771" s="1645"/>
      <c r="Y1771" s="1644"/>
    </row>
    <row r="1772" spans="1:25">
      <c r="A1772" s="1900"/>
      <c r="C1772" s="584"/>
      <c r="D1772" s="584"/>
      <c r="F1772" s="1930"/>
      <c r="G1772" s="597"/>
      <c r="H1772" s="1644"/>
      <c r="I1772" s="1644"/>
      <c r="K1772" s="1930"/>
      <c r="L1772" s="597"/>
      <c r="M1772" s="1930"/>
      <c r="N1772" s="597"/>
      <c r="O1772" s="1930"/>
      <c r="P1772" s="597"/>
      <c r="Q1772" s="1930"/>
      <c r="R1772" s="597"/>
      <c r="S1772" s="1644"/>
      <c r="T1772" s="1645"/>
      <c r="U1772" s="1644"/>
      <c r="V1772" s="1645"/>
      <c r="W1772" s="1644"/>
      <c r="X1772" s="1645"/>
      <c r="Y1772" s="1644"/>
    </row>
    <row r="1773" spans="1:25">
      <c r="A1773" s="1960" t="s">
        <v>93</v>
      </c>
      <c r="C1773" s="584">
        <f>SUM(C1769:C1770)</f>
        <v>2931002.2427610983</v>
      </c>
      <c r="D1773" s="584">
        <f>SUM(D1769:D1770)</f>
        <v>1934664</v>
      </c>
      <c r="F1773" s="1901"/>
      <c r="G1773" s="1921"/>
      <c r="H1773" s="1645">
        <f>SUM(H1769:H1771)</f>
        <v>362021.05499999999</v>
      </c>
      <c r="I1773" s="1645">
        <f>SUM(I1769:I1771)</f>
        <v>238483.64019999999</v>
      </c>
      <c r="K1773" s="1901"/>
      <c r="L1773" s="1921"/>
      <c r="M1773" s="1901"/>
      <c r="N1773" s="1921"/>
      <c r="O1773" s="1901"/>
      <c r="P1773" s="1921"/>
      <c r="Q1773" s="1901"/>
      <c r="R1773" s="1921"/>
      <c r="S1773" s="1645"/>
      <c r="T1773" s="1648"/>
      <c r="U1773" s="1645"/>
      <c r="V1773" s="1648"/>
      <c r="W1773" s="1645"/>
      <c r="X1773" s="1648"/>
      <c r="Y1773" s="1645"/>
    </row>
    <row r="1774" spans="1:25">
      <c r="A1774" s="1960" t="s">
        <v>778</v>
      </c>
      <c r="C1774" s="529">
        <f>'Table 2'!F140</f>
        <v>169.5</v>
      </c>
      <c r="D1774" s="529">
        <f>ROUND(Bill!P89/12,0)</f>
        <v>170</v>
      </c>
      <c r="F1774" s="1976"/>
      <c r="H1774" s="1030"/>
      <c r="I1774" s="1030"/>
      <c r="K1774" s="1976"/>
      <c r="M1774" s="1976"/>
      <c r="O1774" s="1976"/>
      <c r="Q1774" s="1976"/>
      <c r="S1774" s="1030"/>
      <c r="U1774" s="1030"/>
      <c r="W1774" s="1030"/>
      <c r="Y1774" s="1030"/>
    </row>
    <row r="1775" spans="1:25">
      <c r="A1775" s="1983" t="s">
        <v>208</v>
      </c>
      <c r="C1775" s="528"/>
      <c r="D1775" s="528"/>
      <c r="F1775" s="1901"/>
      <c r="G1775" s="1902"/>
      <c r="K1775" s="1901"/>
      <c r="L1775" s="1902"/>
      <c r="M1775" s="1901"/>
      <c r="N1775" s="1902"/>
      <c r="O1775" s="1901"/>
      <c r="P1775" s="1902"/>
      <c r="Q1775" s="1901"/>
      <c r="R1775" s="1902"/>
      <c r="S1775" s="1643"/>
      <c r="T1775" s="1643"/>
      <c r="U1775" s="1643"/>
      <c r="V1775" s="1643"/>
      <c r="W1775" s="1643"/>
      <c r="X1775" s="1643"/>
    </row>
    <row r="1776" spans="1:25">
      <c r="A1776" s="1960" t="s">
        <v>320</v>
      </c>
      <c r="C1776" s="528"/>
      <c r="D1776" s="528"/>
      <c r="F1776" s="1901"/>
      <c r="G1776" s="1902"/>
      <c r="H1776" s="1644"/>
      <c r="I1776" s="1644"/>
      <c r="K1776" s="1901"/>
      <c r="L1776" s="1902"/>
      <c r="M1776" s="1901"/>
      <c r="N1776" s="1902"/>
      <c r="O1776" s="1901"/>
      <c r="P1776" s="1902"/>
      <c r="Q1776" s="1901"/>
      <c r="R1776" s="1902"/>
      <c r="S1776" s="1643"/>
      <c r="T1776" s="1643"/>
      <c r="U1776" s="1643"/>
      <c r="V1776" s="1643"/>
      <c r="W1776" s="1643"/>
      <c r="X1776" s="1643"/>
      <c r="Y1776" s="1644"/>
    </row>
    <row r="1777" spans="1:25">
      <c r="A1777" s="1900" t="s">
        <v>326</v>
      </c>
      <c r="C1777" s="528">
        <f>SUMIF('12F'!$B$2:$B$12,5,'12F'!$L$2:$L$12)</f>
        <v>36</v>
      </c>
      <c r="D1777" s="528">
        <f>ROUND(C1777/$C$1795*$D$1795,0)</f>
        <v>37</v>
      </c>
      <c r="F1777" s="1901">
        <v>17.73</v>
      </c>
      <c r="G1777" s="1902"/>
      <c r="H1777" s="1644">
        <f>ROUND(C1777*$F1777,0)</f>
        <v>638</v>
      </c>
      <c r="I1777" s="1644">
        <f>ROUND(D1777*$F1777,0)</f>
        <v>656</v>
      </c>
      <c r="K1777" s="1901"/>
      <c r="L1777" s="1902"/>
      <c r="M1777" s="1901"/>
      <c r="N1777" s="1902"/>
      <c r="O1777" s="1901"/>
      <c r="P1777" s="1902"/>
      <c r="Q1777" s="1901"/>
      <c r="R1777" s="1902"/>
      <c r="S1777" s="1643"/>
      <c r="T1777" s="1643"/>
      <c r="U1777" s="1643"/>
      <c r="V1777" s="1643"/>
      <c r="W1777" s="1643"/>
      <c r="X1777" s="1643"/>
      <c r="Y1777" s="1644"/>
    </row>
    <row r="1778" spans="1:25">
      <c r="A1778" s="1900" t="s">
        <v>327</v>
      </c>
      <c r="C1778" s="528">
        <f>SUMIF('12F'!$B$2:$B$12,7,'12F'!$L$2:$L$12)</f>
        <v>12</v>
      </c>
      <c r="D1778" s="528">
        <f>ROUND(C1778/$C$1795*$D$1795,0)</f>
        <v>12</v>
      </c>
      <c r="F1778" s="1901">
        <v>23.4</v>
      </c>
      <c r="G1778" s="1902"/>
      <c r="H1778" s="1644">
        <f>ROUND(C1778*$F1778,0)</f>
        <v>281</v>
      </c>
      <c r="I1778" s="1644">
        <f>ROUND(D1778*$F1778,0)</f>
        <v>281</v>
      </c>
      <c r="K1778" s="1901"/>
      <c r="L1778" s="1902"/>
      <c r="M1778" s="1901"/>
      <c r="N1778" s="1902"/>
      <c r="O1778" s="1901"/>
      <c r="P1778" s="1902"/>
      <c r="Q1778" s="1901"/>
      <c r="R1778" s="1902"/>
      <c r="S1778" s="1643"/>
      <c r="T1778" s="1643"/>
      <c r="U1778" s="1643"/>
      <c r="V1778" s="1643"/>
      <c r="W1778" s="1643"/>
      <c r="X1778" s="1643"/>
      <c r="Y1778" s="1644"/>
    </row>
    <row r="1779" spans="1:25">
      <c r="A1779" s="1960" t="s">
        <v>329</v>
      </c>
      <c r="C1779" s="528"/>
      <c r="D1779" s="528"/>
      <c r="W1779" s="1643"/>
    </row>
    <row r="1780" spans="1:25">
      <c r="A1780" s="1900" t="s">
        <v>266</v>
      </c>
      <c r="C1780" s="528">
        <f>SUMIF('12F'!$B$2:$B$12,11,'12F'!$L$2:$L$12)</f>
        <v>24</v>
      </c>
      <c r="D1780" s="528">
        <f t="shared" ref="D1780:D1782" si="1879">ROUND(C1780/$C$1795*$D$1795,0)</f>
        <v>25</v>
      </c>
      <c r="F1780" s="1901">
        <v>8.0299999999999994</v>
      </c>
      <c r="G1780" s="1902"/>
      <c r="H1780" s="1644">
        <f t="shared" ref="H1780:I1782" si="1880">ROUND(C1780*$F1780,0)</f>
        <v>193</v>
      </c>
      <c r="I1780" s="1644">
        <f t="shared" si="1880"/>
        <v>201</v>
      </c>
      <c r="K1780" s="1901"/>
      <c r="L1780" s="1902"/>
      <c r="M1780" s="1901"/>
      <c r="N1780" s="1902"/>
      <c r="O1780" s="1901"/>
      <c r="P1780" s="1902"/>
      <c r="Q1780" s="1901"/>
      <c r="R1780" s="1902"/>
      <c r="S1780" s="1643"/>
      <c r="T1780" s="1643"/>
      <c r="U1780" s="1643"/>
      <c r="V1780" s="1643"/>
      <c r="W1780" s="1643"/>
      <c r="X1780" s="1643"/>
      <c r="Y1780" s="1644"/>
    </row>
    <row r="1781" spans="1:25">
      <c r="A1781" s="1900" t="s">
        <v>268</v>
      </c>
      <c r="C1781" s="528">
        <f>SUMIF('12F'!$B$2:$B$12,15,'12F'!$L$2:$L$12)</f>
        <v>0</v>
      </c>
      <c r="D1781" s="528">
        <f t="shared" si="1879"/>
        <v>0</v>
      </c>
      <c r="F1781" s="1901">
        <v>15.3</v>
      </c>
      <c r="G1781" s="1902"/>
      <c r="H1781" s="1644">
        <f t="shared" si="1880"/>
        <v>0</v>
      </c>
      <c r="I1781" s="1644">
        <f t="shared" si="1880"/>
        <v>0</v>
      </c>
      <c r="K1781" s="1901"/>
      <c r="L1781" s="1902"/>
      <c r="M1781" s="1901"/>
      <c r="N1781" s="1902"/>
      <c r="O1781" s="1901"/>
      <c r="P1781" s="1902"/>
      <c r="Q1781" s="1901"/>
      <c r="R1781" s="1902"/>
      <c r="S1781" s="1643"/>
      <c r="T1781" s="1643"/>
      <c r="U1781" s="1643"/>
      <c r="V1781" s="1643"/>
      <c r="W1781" s="1643"/>
      <c r="X1781" s="1643"/>
      <c r="Y1781" s="1644"/>
    </row>
    <row r="1782" spans="1:25">
      <c r="A1782" s="1900" t="s">
        <v>343</v>
      </c>
      <c r="C1782" s="584">
        <f>SUMIF('12F'!$B$2:$B$12,19,'12F'!$L$2:$L$12)</f>
        <v>0</v>
      </c>
      <c r="D1782" s="528">
        <f t="shared" si="1879"/>
        <v>0</v>
      </c>
      <c r="F1782" s="1902">
        <v>32.479999999999997</v>
      </c>
      <c r="G1782" s="1902"/>
      <c r="H1782" s="1644">
        <f t="shared" si="1880"/>
        <v>0</v>
      </c>
      <c r="I1782" s="1644">
        <f t="shared" si="1880"/>
        <v>0</v>
      </c>
      <c r="K1782" s="1901"/>
      <c r="L1782" s="1902"/>
      <c r="M1782" s="1901"/>
      <c r="N1782" s="1902"/>
      <c r="O1782" s="1901"/>
      <c r="P1782" s="1902"/>
      <c r="Q1782" s="1902"/>
      <c r="R1782" s="1902"/>
      <c r="S1782" s="1643"/>
      <c r="T1782" s="1643"/>
      <c r="U1782" s="1643"/>
      <c r="V1782" s="1643"/>
      <c r="W1782" s="1643"/>
      <c r="X1782" s="1643"/>
      <c r="Y1782" s="1644"/>
    </row>
    <row r="1783" spans="1:25" ht="14.25" customHeight="1">
      <c r="A1783" s="1960" t="s">
        <v>330</v>
      </c>
      <c r="C1783" s="528"/>
      <c r="D1783" s="528"/>
      <c r="F1783" s="1944"/>
      <c r="G1783" s="597"/>
      <c r="H1783" s="1644"/>
      <c r="I1783" s="1644"/>
      <c r="K1783" s="1944"/>
      <c r="L1783" s="597"/>
      <c r="M1783" s="1944"/>
      <c r="N1783" s="597"/>
      <c r="O1783" s="1944"/>
      <c r="P1783" s="597"/>
      <c r="Q1783" s="1944"/>
      <c r="R1783" s="597"/>
      <c r="S1783" s="1645"/>
      <c r="T1783" s="1645"/>
      <c r="U1783" s="1645"/>
      <c r="V1783" s="1645"/>
      <c r="W1783" s="1643"/>
      <c r="X1783" s="1645"/>
      <c r="Y1783" s="1644"/>
    </row>
    <row r="1784" spans="1:25">
      <c r="A1784" s="1900" t="s">
        <v>332</v>
      </c>
      <c r="C1784" s="528">
        <f>SUMIF('12F'!$B$2:$B$12,21,'12F'!$L$2:$L$12)</f>
        <v>4038.05982905983</v>
      </c>
      <c r="D1784" s="528">
        <f t="shared" ref="D1784:D1789" si="1881">ROUND(C1784/$C$1795*$D$1795,0)</f>
        <v>4183</v>
      </c>
      <c r="F1784" s="1901">
        <v>4.68</v>
      </c>
      <c r="G1784" s="1902"/>
      <c r="H1784" s="1644">
        <f t="shared" ref="H1784:I1789" si="1882">ROUND(C1784*$F1784,0)</f>
        <v>18898</v>
      </c>
      <c r="I1784" s="1644">
        <f t="shared" si="1882"/>
        <v>19576</v>
      </c>
      <c r="K1784" s="1901"/>
      <c r="L1784" s="1902"/>
      <c r="M1784" s="1901"/>
      <c r="N1784" s="1902"/>
      <c r="O1784" s="1901"/>
      <c r="P1784" s="1902"/>
      <c r="Q1784" s="1901"/>
      <c r="R1784" s="1902"/>
      <c r="S1784" s="1643"/>
      <c r="T1784" s="1643"/>
      <c r="U1784" s="1643"/>
      <c r="V1784" s="1643"/>
      <c r="W1784" s="1643"/>
      <c r="X1784" s="1643"/>
      <c r="Y1784" s="1644"/>
    </row>
    <row r="1785" spans="1:25">
      <c r="A1785" s="1900" t="s">
        <v>333</v>
      </c>
      <c r="C1785" s="528">
        <f>SUMIF('12F'!$B$2:$B$12,23,'12F'!$L$2:$L$12)</f>
        <v>6914.6444805194797</v>
      </c>
      <c r="D1785" s="528">
        <f t="shared" si="1881"/>
        <v>7164</v>
      </c>
      <c r="F1785" s="1901">
        <v>6.16</v>
      </c>
      <c r="G1785" s="1902"/>
      <c r="H1785" s="1644">
        <f t="shared" si="1882"/>
        <v>42594</v>
      </c>
      <c r="I1785" s="1644">
        <f t="shared" si="1882"/>
        <v>44130</v>
      </c>
      <c r="K1785" s="1901"/>
      <c r="L1785" s="1902"/>
      <c r="M1785" s="1901"/>
      <c r="N1785" s="1902"/>
      <c r="O1785" s="1901"/>
      <c r="P1785" s="1902"/>
      <c r="Q1785" s="1901"/>
      <c r="R1785" s="1902"/>
      <c r="S1785" s="1643"/>
      <c r="T1785" s="1643"/>
      <c r="U1785" s="1643"/>
      <c r="V1785" s="1643"/>
      <c r="W1785" s="1643"/>
      <c r="X1785" s="1643"/>
      <c r="Y1785" s="1644"/>
    </row>
    <row r="1786" spans="1:25">
      <c r="A1786" s="1900" t="s">
        <v>334</v>
      </c>
      <c r="C1786" s="528">
        <f>SUMIF('12F'!$B$2:$B$12,25,'12F'!$L$2:$L$12)</f>
        <v>576</v>
      </c>
      <c r="D1786" s="528">
        <f t="shared" si="1881"/>
        <v>597</v>
      </c>
      <c r="F1786" s="1901">
        <v>7.47</v>
      </c>
      <c r="G1786" s="1902"/>
      <c r="H1786" s="1644">
        <f t="shared" si="1882"/>
        <v>4303</v>
      </c>
      <c r="I1786" s="1644">
        <f t="shared" si="1882"/>
        <v>4460</v>
      </c>
      <c r="K1786" s="1901"/>
      <c r="L1786" s="1902"/>
      <c r="M1786" s="1901"/>
      <c r="N1786" s="1902"/>
      <c r="O1786" s="1901"/>
      <c r="P1786" s="1902"/>
      <c r="Q1786" s="1901"/>
      <c r="R1786" s="1902"/>
      <c r="S1786" s="1643"/>
      <c r="T1786" s="1643"/>
      <c r="U1786" s="1643"/>
      <c r="V1786" s="1643"/>
      <c r="W1786" s="1643"/>
      <c r="X1786" s="1643"/>
      <c r="Y1786" s="1644"/>
    </row>
    <row r="1787" spans="1:25">
      <c r="A1787" s="1900" t="s">
        <v>276</v>
      </c>
      <c r="C1787" s="528">
        <f>SUMIF('12F'!$B$2:$B$12,45,'12F'!$L$2:$L$12)</f>
        <v>0</v>
      </c>
      <c r="D1787" s="528">
        <f t="shared" si="1881"/>
        <v>0</v>
      </c>
      <c r="F1787" s="1901">
        <v>9.44</v>
      </c>
      <c r="G1787" s="1902"/>
      <c r="H1787" s="1644">
        <f t="shared" si="1882"/>
        <v>0</v>
      </c>
      <c r="I1787" s="1644">
        <f t="shared" si="1882"/>
        <v>0</v>
      </c>
      <c r="K1787" s="1901"/>
      <c r="L1787" s="1902"/>
      <c r="M1787" s="1901"/>
      <c r="N1787" s="1902"/>
      <c r="O1787" s="1901"/>
      <c r="P1787" s="1902"/>
      <c r="Q1787" s="1901"/>
      <c r="R1787" s="1902"/>
      <c r="S1787" s="1643"/>
      <c r="T1787" s="1643"/>
      <c r="U1787" s="1643"/>
      <c r="V1787" s="1643"/>
      <c r="W1787" s="1643"/>
      <c r="X1787" s="1643"/>
      <c r="Y1787" s="1644"/>
    </row>
    <row r="1788" spans="1:25">
      <c r="A1788" s="1900" t="s">
        <v>335</v>
      </c>
      <c r="C1788" s="528">
        <f>SUMIF('12F'!$B$2:$B$12,27,'12F'!$L$2:$L$12)</f>
        <v>1223.2984531392201</v>
      </c>
      <c r="D1788" s="528">
        <f t="shared" si="1881"/>
        <v>1267</v>
      </c>
      <c r="F1788" s="1901">
        <v>10.99</v>
      </c>
      <c r="G1788" s="1902"/>
      <c r="H1788" s="1644">
        <f t="shared" si="1882"/>
        <v>13444</v>
      </c>
      <c r="I1788" s="1644">
        <f t="shared" si="1882"/>
        <v>13924</v>
      </c>
      <c r="K1788" s="1901"/>
      <c r="L1788" s="1902"/>
      <c r="M1788" s="1901"/>
      <c r="N1788" s="1902"/>
      <c r="O1788" s="1901"/>
      <c r="P1788" s="1902"/>
      <c r="Q1788" s="1901"/>
      <c r="R1788" s="1902"/>
      <c r="S1788" s="1643"/>
      <c r="T1788" s="1643"/>
      <c r="U1788" s="1643"/>
      <c r="V1788" s="1643"/>
      <c r="W1788" s="1643"/>
      <c r="X1788" s="1643"/>
      <c r="Y1788" s="1644"/>
    </row>
    <row r="1789" spans="1:25">
      <c r="A1789" s="1900" t="s">
        <v>336</v>
      </c>
      <c r="C1789" s="528">
        <f>SUMIF('12F'!$B$2:$B$12,29,'12F'!$L$2:$L$12)</f>
        <v>1599.822721598</v>
      </c>
      <c r="D1789" s="528">
        <f t="shared" si="1881"/>
        <v>1657</v>
      </c>
      <c r="F1789" s="1901">
        <v>16.02</v>
      </c>
      <c r="G1789" s="1902"/>
      <c r="H1789" s="1644">
        <f t="shared" si="1882"/>
        <v>25629</v>
      </c>
      <c r="I1789" s="1644">
        <f t="shared" si="1882"/>
        <v>26545</v>
      </c>
      <c r="K1789" s="1901"/>
      <c r="L1789" s="1902"/>
      <c r="M1789" s="1901"/>
      <c r="N1789" s="1902"/>
      <c r="O1789" s="1901"/>
      <c r="P1789" s="1902"/>
      <c r="Q1789" s="1901"/>
      <c r="R1789" s="1902"/>
      <c r="S1789" s="1643"/>
      <c r="T1789" s="1643"/>
      <c r="U1789" s="1643"/>
      <c r="V1789" s="1643"/>
      <c r="W1789" s="1643"/>
      <c r="X1789" s="1643"/>
      <c r="Y1789" s="1644"/>
    </row>
    <row r="1790" spans="1:25">
      <c r="A1790" s="1960" t="s">
        <v>348</v>
      </c>
      <c r="C1790" s="528"/>
      <c r="D1790" s="528"/>
      <c r="W1790" s="1643"/>
    </row>
    <row r="1791" spans="1:25">
      <c r="A1791" s="1900" t="s">
        <v>349</v>
      </c>
      <c r="C1791" s="528">
        <f>SUMIF('12F'!$B$2:$B$12,31,'12F'!$L$2:$L$12)</f>
        <v>33.533376123234902</v>
      </c>
      <c r="D1791" s="528">
        <f t="shared" ref="D1791:D1794" si="1883">ROUND(C1791/$C$1795*$D$1795,0)</f>
        <v>35</v>
      </c>
      <c r="F1791" s="1901">
        <v>15.58</v>
      </c>
      <c r="G1791" s="1902"/>
      <c r="H1791" s="1644">
        <f t="shared" ref="H1791:I1794" si="1884">ROUND(C1791*$F1791,0)</f>
        <v>522</v>
      </c>
      <c r="I1791" s="1644">
        <f t="shared" si="1884"/>
        <v>545</v>
      </c>
      <c r="K1791" s="1901"/>
      <c r="L1791" s="1902"/>
      <c r="M1791" s="1901"/>
      <c r="N1791" s="1902"/>
      <c r="O1791" s="1901"/>
      <c r="P1791" s="1902"/>
      <c r="Q1791" s="1901"/>
      <c r="R1791" s="1902"/>
      <c r="S1791" s="1643"/>
      <c r="T1791" s="1643"/>
      <c r="U1791" s="1643"/>
      <c r="V1791" s="1643"/>
      <c r="W1791" s="1643"/>
      <c r="X1791" s="1643"/>
      <c r="Y1791" s="1644"/>
    </row>
    <row r="1792" spans="1:25">
      <c r="A1792" s="1900" t="s">
        <v>350</v>
      </c>
      <c r="C1792" s="528">
        <f>SUMIF('12F'!$B$2:$B$12,33,'12F'!$L$2:$L$12)</f>
        <v>722.34392879847405</v>
      </c>
      <c r="D1792" s="528">
        <f t="shared" si="1883"/>
        <v>748</v>
      </c>
      <c r="F1792" s="1901">
        <v>15.73</v>
      </c>
      <c r="G1792" s="1902"/>
      <c r="H1792" s="1644">
        <f t="shared" si="1884"/>
        <v>11362</v>
      </c>
      <c r="I1792" s="1644">
        <f t="shared" si="1884"/>
        <v>11766</v>
      </c>
      <c r="K1792" s="1901"/>
      <c r="L1792" s="1902"/>
      <c r="M1792" s="1901"/>
      <c r="N1792" s="1902"/>
      <c r="O1792" s="1901"/>
      <c r="P1792" s="1902"/>
      <c r="Q1792" s="1901"/>
      <c r="R1792" s="1902"/>
      <c r="S1792" s="1643"/>
      <c r="T1792" s="1643"/>
      <c r="U1792" s="1643"/>
      <c r="V1792" s="1643"/>
      <c r="W1792" s="1643"/>
      <c r="X1792" s="1643"/>
      <c r="Y1792" s="1644"/>
    </row>
    <row r="1793" spans="1:31">
      <c r="A1793" s="1900" t="s">
        <v>351</v>
      </c>
      <c r="C1793" s="528">
        <f>SUMIF('12F'!$B$2:$B$12,35,'12F'!$L$2:$L$12)</f>
        <v>672.36662679425797</v>
      </c>
      <c r="D1793" s="528">
        <f t="shared" si="1883"/>
        <v>697</v>
      </c>
      <c r="F1793" s="1901">
        <v>16.72</v>
      </c>
      <c r="G1793" s="1902"/>
      <c r="H1793" s="1644">
        <f t="shared" si="1884"/>
        <v>11242</v>
      </c>
      <c r="I1793" s="1644">
        <f t="shared" si="1884"/>
        <v>11654</v>
      </c>
      <c r="K1793" s="1901"/>
      <c r="L1793" s="1902"/>
      <c r="M1793" s="1901"/>
      <c r="N1793" s="1902"/>
      <c r="O1793" s="1901"/>
      <c r="P1793" s="1902"/>
      <c r="Q1793" s="1901"/>
      <c r="R1793" s="1902"/>
      <c r="S1793" s="1643"/>
      <c r="T1793" s="1643"/>
      <c r="U1793" s="1643"/>
      <c r="V1793" s="1643"/>
      <c r="W1793" s="1643"/>
      <c r="X1793" s="1643"/>
      <c r="Y1793" s="1644"/>
    </row>
    <row r="1794" spans="1:31">
      <c r="A1794" s="1900" t="s">
        <v>352</v>
      </c>
      <c r="C1794" s="528">
        <f>SUMIF('12F'!$B$2:$B$12,37,'12F'!$L$2:$L$12)</f>
        <v>0</v>
      </c>
      <c r="D1794" s="528">
        <f t="shared" si="1883"/>
        <v>0</v>
      </c>
      <c r="F1794" s="1901">
        <v>33.049999999999997</v>
      </c>
      <c r="G1794" s="1902"/>
      <c r="H1794" s="1644">
        <f t="shared" si="1884"/>
        <v>0</v>
      </c>
      <c r="I1794" s="1644">
        <f t="shared" si="1884"/>
        <v>0</v>
      </c>
      <c r="K1794" s="1901"/>
      <c r="L1794" s="1902"/>
      <c r="M1794" s="1901"/>
      <c r="N1794" s="1902"/>
      <c r="O1794" s="1901"/>
      <c r="P1794" s="1902"/>
      <c r="Q1794" s="1901"/>
      <c r="R1794" s="1902"/>
      <c r="S1794" s="1643"/>
      <c r="T1794" s="1643"/>
      <c r="U1794" s="1643"/>
      <c r="V1794" s="1643"/>
      <c r="W1794" s="1643"/>
      <c r="X1794" s="1643"/>
      <c r="Y1794" s="1644"/>
    </row>
    <row r="1795" spans="1:31">
      <c r="A1795" s="1960" t="s">
        <v>506</v>
      </c>
      <c r="C1795" s="529">
        <f>'12F'!M14</f>
        <v>946976.17346773273</v>
      </c>
      <c r="D1795" s="529">
        <f>Energy!P88</f>
        <v>981077.54006849322</v>
      </c>
      <c r="F1795" s="1976"/>
      <c r="H1795" s="1030">
        <f>SUM(H1777:H1794)</f>
        <v>129106</v>
      </c>
      <c r="I1795" s="1030">
        <f>SUM(I1777:I1794)</f>
        <v>133738</v>
      </c>
      <c r="K1795" s="1976"/>
      <c r="M1795" s="1976"/>
      <c r="O1795" s="1976"/>
      <c r="Q1795" s="1976"/>
      <c r="S1795" s="1030"/>
      <c r="U1795" s="1030"/>
      <c r="W1795" s="1030"/>
      <c r="Y1795" s="1030"/>
      <c r="AA1795" s="1932" t="s">
        <v>1940</v>
      </c>
      <c r="AB1795" s="1932"/>
      <c r="AC1795" s="1932"/>
      <c r="AD1795" s="1932"/>
    </row>
    <row r="1796" spans="1:31">
      <c r="A1796" s="1960" t="s">
        <v>136</v>
      </c>
      <c r="C1796" s="584">
        <f>'Table 2'!J139</f>
        <v>-35087</v>
      </c>
      <c r="D1796" s="584">
        <v>0</v>
      </c>
      <c r="F1796" s="1902"/>
      <c r="G1796" s="1921"/>
      <c r="H1796" s="1645">
        <f>'Table 3'!F139</f>
        <v>-4439</v>
      </c>
      <c r="I1796" s="1030">
        <v>0</v>
      </c>
      <c r="K1796" s="1902"/>
      <c r="L1796" s="1921"/>
      <c r="M1796" s="1902"/>
      <c r="N1796" s="1921"/>
      <c r="O1796" s="1902"/>
      <c r="P1796" s="1921"/>
      <c r="Q1796" s="1902"/>
      <c r="R1796" s="1921"/>
      <c r="S1796" s="1030"/>
      <c r="T1796" s="1648"/>
      <c r="U1796" s="1030"/>
      <c r="V1796" s="1648"/>
      <c r="W1796" s="1030"/>
      <c r="X1796" s="1648"/>
      <c r="Y1796" s="1030"/>
      <c r="AA1796" s="1933" t="s">
        <v>1660</v>
      </c>
      <c r="AB1796" s="1933" t="s">
        <v>1661</v>
      </c>
      <c r="AC1796" s="1933" t="s">
        <v>1662</v>
      </c>
      <c r="AD1796" s="1933" t="s">
        <v>93</v>
      </c>
    </row>
    <row r="1797" spans="1:31">
      <c r="A1797" s="1900" t="s">
        <v>1240</v>
      </c>
      <c r="C1797" s="584"/>
      <c r="D1797" s="584"/>
      <c r="F1797" s="1930">
        <v>-1.9800000000000002E-2</v>
      </c>
      <c r="G1797" s="597"/>
      <c r="H1797" s="1644">
        <f>H1795*$F1797</f>
        <v>-2556.2988</v>
      </c>
      <c r="I1797" s="1644">
        <f>I1795*$F1797</f>
        <v>-2648.0124000000001</v>
      </c>
      <c r="K1797" s="1930"/>
      <c r="L1797" s="597"/>
      <c r="M1797" s="1930"/>
      <c r="N1797" s="597"/>
      <c r="O1797" s="1931"/>
      <c r="P1797" s="597"/>
      <c r="Q1797" s="1930"/>
      <c r="R1797" s="597"/>
      <c r="S1797" s="1644"/>
      <c r="T1797" s="1645"/>
      <c r="U1797" s="1644"/>
      <c r="V1797" s="1645"/>
      <c r="W1797" s="1644"/>
      <c r="X1797" s="1645"/>
      <c r="Y1797" s="1644"/>
      <c r="AA1797" s="1937">
        <f>'Unit Cost Target'!$G$87+'Unit Cost Target'!$G$123+'Unit Cost Target'!$G$129+'Unit Cost Target'!$G$75+'Unit Cost Target'!$G$81</f>
        <v>4802703.942679856</v>
      </c>
      <c r="AB1797" s="1937">
        <f>'Unit Cost Target'!$G$45+'Unit Cost Target'!$G$51</f>
        <v>710428.78165706934</v>
      </c>
      <c r="AC1797" s="1937">
        <f>'Unit Cost Target'!$G$33+'Unit Cost Target'!$G$39+'Unit Cost Target'!$G$63+'Unit Cost Target'!$G$69</f>
        <v>1032568.1340017286</v>
      </c>
      <c r="AD1797" s="1937">
        <f>SUM(AA1797:AC1797)</f>
        <v>6545700.858338654</v>
      </c>
      <c r="AE1797" s="1937">
        <f>AD1797-'Unit Cost Target'!$G$21</f>
        <v>0</v>
      </c>
    </row>
    <row r="1798" spans="1:31">
      <c r="A1798" s="1900"/>
      <c r="C1798" s="584"/>
      <c r="D1798" s="584"/>
      <c r="F1798" s="1930"/>
      <c r="G1798" s="597"/>
      <c r="H1798" s="1644"/>
      <c r="I1798" s="1644"/>
      <c r="K1798" s="1930"/>
      <c r="L1798" s="597"/>
      <c r="M1798" s="1930"/>
      <c r="N1798" s="597"/>
      <c r="O1798" s="1931"/>
      <c r="P1798" s="597"/>
      <c r="Q1798" s="1930"/>
      <c r="R1798" s="597"/>
      <c r="S1798" s="1644"/>
      <c r="T1798" s="1645"/>
      <c r="U1798" s="1644"/>
      <c r="V1798" s="1645"/>
      <c r="W1798" s="1644"/>
      <c r="X1798" s="1645"/>
      <c r="Y1798" s="1644"/>
      <c r="AA1798" s="1937">
        <f>S1807-SUM(S1721:S1806)</f>
        <v>1029310.8587477091</v>
      </c>
      <c r="AB1798" s="1937">
        <f>U1807-SUM(U1721:U1806)</f>
        <v>152258.40860773448</v>
      </c>
      <c r="AC1798" s="1937">
        <f>W1807-SUM(W1721:W1806)</f>
        <v>221299.00268884574</v>
      </c>
      <c r="AD1798" s="1937">
        <f>SUM(AA1798:AC1798)</f>
        <v>1402868.2700442891</v>
      </c>
      <c r="AE1798" s="1937"/>
    </row>
    <row r="1799" spans="1:31">
      <c r="A1799" s="1960" t="s">
        <v>93</v>
      </c>
      <c r="C1799" s="584">
        <f>SUM(C1795:C1796)</f>
        <v>911889.17346773273</v>
      </c>
      <c r="D1799" s="584">
        <f>SUM(D1795:D1796)</f>
        <v>981077.54006849322</v>
      </c>
      <c r="F1799" s="1902"/>
      <c r="G1799" s="1921"/>
      <c r="H1799" s="1645">
        <f>SUM(H1795:H1797)</f>
        <v>122110.7012</v>
      </c>
      <c r="I1799" s="1645">
        <f>SUM(I1795:I1797)</f>
        <v>131089.98759999999</v>
      </c>
      <c r="K1799" s="1902"/>
      <c r="L1799" s="1921"/>
      <c r="M1799" s="1902"/>
      <c r="N1799" s="1921"/>
      <c r="O1799" s="1902"/>
      <c r="P1799" s="1921"/>
      <c r="Q1799" s="1902"/>
      <c r="R1799" s="1921"/>
      <c r="S1799" s="1645"/>
      <c r="T1799" s="1648"/>
      <c r="U1799" s="1645"/>
      <c r="V1799" s="1648"/>
      <c r="W1799" s="1645"/>
      <c r="X1799" s="1648"/>
      <c r="Y1799" s="1645"/>
    </row>
    <row r="1800" spans="1:31">
      <c r="A1800" s="1960" t="s">
        <v>778</v>
      </c>
      <c r="C1800" s="529">
        <f>'Table 2'!F139</f>
        <v>67</v>
      </c>
      <c r="D1800" s="529">
        <f>ROUND(Bill!P88/12,0)</f>
        <v>69</v>
      </c>
      <c r="F1800" s="1976"/>
      <c r="H1800" s="1030"/>
      <c r="I1800" s="1030"/>
      <c r="K1800" s="1976"/>
      <c r="M1800" s="1976"/>
      <c r="O1800" s="1976"/>
      <c r="Q1800" s="1976"/>
      <c r="S1800" s="1030"/>
      <c r="U1800" s="1030"/>
      <c r="W1800" s="1030"/>
      <c r="Y1800" s="1030"/>
    </row>
    <row r="1801" spans="1:31">
      <c r="A1801" s="1900"/>
      <c r="C1801" s="584"/>
      <c r="D1801" s="584"/>
      <c r="F1801" s="1902"/>
      <c r="G1801" s="1902"/>
      <c r="H1801" s="1645"/>
      <c r="I1801" s="1645"/>
      <c r="K1801" s="1902"/>
      <c r="L1801" s="1902"/>
      <c r="M1801" s="1902"/>
      <c r="N1801" s="1902"/>
      <c r="O1801" s="1902"/>
      <c r="P1801" s="1902"/>
      <c r="Q1801" s="1902"/>
      <c r="R1801" s="1902"/>
      <c r="S1801" s="1645"/>
      <c r="T1801" s="1643"/>
      <c r="U1801" s="1645"/>
      <c r="V1801" s="1643"/>
      <c r="W1801" s="1645"/>
      <c r="X1801" s="1643"/>
      <c r="Y1801" s="1645"/>
    </row>
    <row r="1802" spans="1:31">
      <c r="A1802" s="1900" t="s">
        <v>37</v>
      </c>
      <c r="C1802" s="585">
        <f>C1732+C1769+C1795</f>
        <v>45421495.526070856</v>
      </c>
      <c r="D1802" s="585">
        <f>D1732+D1769+D1795</f>
        <v>26868874.204370789</v>
      </c>
      <c r="F1802" s="1976"/>
      <c r="H1802" s="1030">
        <f>H1732+H1769+H1795</f>
        <v>3205978</v>
      </c>
      <c r="I1802" s="1030">
        <f>I1732+I1769+I1795</f>
        <v>1934632</v>
      </c>
      <c r="K1802" s="1976"/>
      <c r="M1802" s="1976"/>
      <c r="O1802" s="1976"/>
      <c r="Q1802" s="1976"/>
      <c r="S1802" s="1030"/>
      <c r="U1802" s="1030"/>
      <c r="W1802" s="1030"/>
      <c r="Y1802" s="1030"/>
      <c r="AA1802" s="1104"/>
      <c r="AB1802" s="1890"/>
    </row>
    <row r="1803" spans="1:31">
      <c r="A1803" s="1900" t="s">
        <v>141</v>
      </c>
      <c r="C1803" s="1027">
        <f>C1737+C1774+C1800</f>
        <v>1241.9166666666702</v>
      </c>
      <c r="D1803" s="1027">
        <f>D1737+D1774+D1800</f>
        <v>1229</v>
      </c>
    </row>
    <row r="1804" spans="1:31">
      <c r="A1804" s="1900" t="s">
        <v>136</v>
      </c>
      <c r="C1804" s="585">
        <f>C1733+C1770+C1796</f>
        <v>-1682951</v>
      </c>
      <c r="D1804" s="585">
        <f>D1733+D1770+D1796</f>
        <v>0</v>
      </c>
      <c r="F1804" s="1976"/>
      <c r="H1804" s="1030">
        <f>H1733+H1770+H1796</f>
        <v>-110353</v>
      </c>
      <c r="I1804" s="1030">
        <f>I1733+I1770+I1796</f>
        <v>0</v>
      </c>
      <c r="K1804" s="1976"/>
      <c r="M1804" s="1976"/>
      <c r="O1804" s="1976"/>
      <c r="Q1804" s="1976"/>
      <c r="Y1804" s="1030"/>
    </row>
    <row r="1805" spans="1:31">
      <c r="A1805" s="1900" t="s">
        <v>1240</v>
      </c>
      <c r="C1805" s="584"/>
      <c r="D1805" s="584"/>
      <c r="F1805" s="1930"/>
      <c r="G1805" s="597"/>
      <c r="H1805" s="1644">
        <f>H1734+H1771+H1797</f>
        <v>-63478.364399999999</v>
      </c>
      <c r="I1805" s="1644">
        <f>I1734+I1771+I1797</f>
        <v>-38305.713600000003</v>
      </c>
      <c r="K1805" s="1930"/>
      <c r="L1805" s="597"/>
      <c r="M1805" s="1930"/>
      <c r="N1805" s="597"/>
      <c r="O1805" s="1931" t="str">
        <f>$O$43</f>
        <v>Tax Year 1 (7/1/2021)</v>
      </c>
      <c r="P1805" s="597"/>
      <c r="Q1805" s="1930">
        <f>AC1805</f>
        <v>-1.8700000000000001E-2</v>
      </c>
      <c r="R1805" s="597"/>
      <c r="S1805" s="1645"/>
      <c r="T1805" s="1645"/>
      <c r="U1805" s="1645"/>
      <c r="V1805" s="1645"/>
      <c r="W1805" s="1645"/>
      <c r="X1805" s="1645"/>
      <c r="Y1805" s="1644">
        <f>Q1805*Y1807</f>
        <v>-26233.636649828211</v>
      </c>
      <c r="AA1805" s="1109" t="s">
        <v>1938</v>
      </c>
      <c r="AB1805" s="1917">
        <f>RateSpread!W58*1000</f>
        <v>-26233.002274396684</v>
      </c>
      <c r="AC1805" s="1918">
        <f>ROUND(AB1805/Y1807,4)</f>
        <v>-1.8700000000000001E-2</v>
      </c>
    </row>
    <row r="1806" spans="1:31">
      <c r="A1806" s="1900"/>
      <c r="C1806" s="584"/>
      <c r="D1806" s="584"/>
      <c r="F1806" s="1930"/>
      <c r="G1806" s="597"/>
      <c r="H1806" s="1644"/>
      <c r="I1806" s="1644"/>
      <c r="K1806" s="1930"/>
      <c r="L1806" s="597"/>
      <c r="M1806" s="1930"/>
      <c r="N1806" s="597"/>
      <c r="O1806" s="1931" t="str">
        <f>$O$44</f>
        <v>Tax Year 2 (1/1/2022)</v>
      </c>
      <c r="P1806" s="597"/>
      <c r="Q1806" s="1930">
        <f>AC1806</f>
        <v>-1.0200000000000001E-2</v>
      </c>
      <c r="R1806" s="597"/>
      <c r="S1806" s="1645"/>
      <c r="T1806" s="1645"/>
      <c r="U1806" s="1645"/>
      <c r="V1806" s="1645"/>
      <c r="W1806" s="1645"/>
      <c r="X1806" s="1645"/>
      <c r="Y1806" s="1644">
        <f>Q1806*Y1807</f>
        <v>-14309.256354451752</v>
      </c>
      <c r="AA1806" s="1109" t="s">
        <v>1939</v>
      </c>
      <c r="AB1806" s="1917">
        <f>RateSpread!X58*1000</f>
        <v>-14239.879334715801</v>
      </c>
      <c r="AC1806" s="1918">
        <f>ROUND(AB1806/Y1807,4)</f>
        <v>-1.0200000000000001E-2</v>
      </c>
    </row>
    <row r="1807" spans="1:31" ht="16.5" thickBot="1">
      <c r="A1807" s="1900" t="s">
        <v>93</v>
      </c>
      <c r="C1807" s="1026">
        <f>C1804+C1802</f>
        <v>43738544.526070856</v>
      </c>
      <c r="D1807" s="1026">
        <f>D1804+D1802</f>
        <v>26868874.204370789</v>
      </c>
      <c r="F1807" s="1979"/>
      <c r="G1807" s="1980"/>
      <c r="H1807" s="1651">
        <f>H1804+H1802+H1805</f>
        <v>3032146.6356000002</v>
      </c>
      <c r="I1807" s="1651">
        <f>I1804+I1802+I1805</f>
        <v>1896326.2864000001</v>
      </c>
      <c r="K1807" s="1979"/>
      <c r="L1807" s="1980"/>
      <c r="M1807" s="1979"/>
      <c r="N1807" s="1980"/>
      <c r="O1807" s="1979"/>
      <c r="P1807" s="1980"/>
      <c r="Q1807" s="1979"/>
      <c r="R1807" s="1980"/>
      <c r="S1807" s="1651">
        <f>$Y1807*AA$1797/$AD$1797</f>
        <v>1029310.8587477091</v>
      </c>
      <c r="U1807" s="1651">
        <f>$Y1807*AB$1797/$AD$1797</f>
        <v>152258.40860773448</v>
      </c>
      <c r="W1807" s="1651">
        <f>Y1807-S1807-U1807</f>
        <v>221299.00268884574</v>
      </c>
      <c r="X1807" s="1650"/>
      <c r="Y1807" s="1868">
        <f>RateSpread!M58*1000</f>
        <v>1402868.2700442893</v>
      </c>
      <c r="AA1807" s="1104" t="s">
        <v>1743</v>
      </c>
      <c r="AB1807" s="1890">
        <f>Y1807/I1807-1</f>
        <v>-0.26021788544232816</v>
      </c>
    </row>
    <row r="1808" spans="1:31" ht="16.5" thickTop="1">
      <c r="A1808" s="1900"/>
      <c r="C1808" s="1025"/>
      <c r="D1808" s="1025"/>
      <c r="F1808" s="596"/>
      <c r="H1808" s="1645"/>
      <c r="I1808" s="1645"/>
      <c r="K1808" s="596"/>
      <c r="M1808" s="596"/>
      <c r="O1808" s="596"/>
      <c r="Q1808" s="596"/>
      <c r="Y1808" s="1645"/>
    </row>
    <row r="1809" spans="1:31">
      <c r="A1809" s="1983" t="s">
        <v>917</v>
      </c>
      <c r="C1809" s="528"/>
      <c r="D1809" s="528"/>
    </row>
    <row r="1810" spans="1:31">
      <c r="A1810" s="1900" t="s">
        <v>391</v>
      </c>
      <c r="C1810" s="528">
        <f t="shared" ref="C1810:D1815" si="1885">C1821+C1832+C1843</f>
        <v>20676.121453473177</v>
      </c>
      <c r="D1810" s="528">
        <f t="shared" si="1885"/>
        <v>21139</v>
      </c>
      <c r="F1810" s="1901">
        <v>11</v>
      </c>
      <c r="G1810" s="1902"/>
      <c r="H1810" s="1644">
        <f t="shared" ref="H1810:I1813" si="1886">ROUND(C1810*$F1810,0)</f>
        <v>227437</v>
      </c>
      <c r="I1810" s="1644">
        <f t="shared" si="1886"/>
        <v>232529</v>
      </c>
      <c r="K1810" s="1944">
        <f t="shared" ref="K1810:K1811" si="1887">ROUND(S1810/$D1810,2)</f>
        <v>7.25</v>
      </c>
      <c r="L1810" s="597"/>
      <c r="M1810" s="1944">
        <f t="shared" ref="M1810:M1811" si="1888">ROUND(U1810/$D1810,2)</f>
        <v>0.75</v>
      </c>
      <c r="N1810" s="597"/>
      <c r="O1810" s="1944">
        <f t="shared" ref="O1810:O1812" si="1889">ROUND(Q1810-K1810-M1810,2)</f>
        <v>0</v>
      </c>
      <c r="P1810" s="1902"/>
      <c r="Q1810" s="1901">
        <f>ROUND(F1810*(1+$AB$1825),0)</f>
        <v>8</v>
      </c>
      <c r="R1810" s="1902"/>
      <c r="S1810" s="1643">
        <f>$S$1818*Y1810/SUM($Y$1810:$Y$1813)</f>
        <v>153341.68500677118</v>
      </c>
      <c r="T1810" s="1643"/>
      <c r="U1810" s="1643">
        <f>Y1810-S1810-W1810</f>
        <v>15770.314993228822</v>
      </c>
      <c r="V1810" s="1643"/>
      <c r="W1810" s="1643">
        <v>0</v>
      </c>
      <c r="X1810" s="1643"/>
      <c r="Y1810" s="1644">
        <f>ROUND($D1810*Q1810,0)</f>
        <v>169112</v>
      </c>
    </row>
    <row r="1811" spans="1:31">
      <c r="A1811" s="1900" t="s">
        <v>392</v>
      </c>
      <c r="C1811" s="528">
        <f t="shared" si="1885"/>
        <v>637.03274499027054</v>
      </c>
      <c r="D1811" s="528">
        <f t="shared" si="1885"/>
        <v>638</v>
      </c>
      <c r="F1811" s="1901">
        <v>72.5</v>
      </c>
      <c r="G1811" s="1902"/>
      <c r="H1811" s="1644">
        <f t="shared" si="1886"/>
        <v>46185</v>
      </c>
      <c r="I1811" s="1644">
        <f t="shared" si="1886"/>
        <v>46255</v>
      </c>
      <c r="K1811" s="1944">
        <f t="shared" si="1887"/>
        <v>45.36</v>
      </c>
      <c r="L1811" s="597"/>
      <c r="M1811" s="1944">
        <f t="shared" si="1888"/>
        <v>4.66</v>
      </c>
      <c r="N1811" s="597"/>
      <c r="O1811" s="1944">
        <f t="shared" si="1889"/>
        <v>0</v>
      </c>
      <c r="P1811" s="1902"/>
      <c r="Q1811" s="1901">
        <f>ROUND(F1811*(1+$AB$1825),2)</f>
        <v>50.02</v>
      </c>
      <c r="R1811" s="1902"/>
      <c r="S1811" s="1643">
        <f t="shared" ref="S1811:S1813" si="1890">$S$1818*Y1811/SUM($Y$1810:$Y$1813)</f>
        <v>28936.995562828706</v>
      </c>
      <c r="T1811" s="1643"/>
      <c r="U1811" s="1643">
        <f t="shared" ref="U1811:U1813" si="1891">Y1811-S1811-W1811</f>
        <v>2976.0044371712938</v>
      </c>
      <c r="V1811" s="1643"/>
      <c r="W1811" s="1643">
        <v>0</v>
      </c>
      <c r="X1811" s="1643"/>
      <c r="Y1811" s="1644">
        <f t="shared" ref="Y1811:Y1813" si="1892">ROUND($D1811*Q1811,0)</f>
        <v>31913</v>
      </c>
    </row>
    <row r="1812" spans="1:31">
      <c r="A1812" s="1900" t="s">
        <v>390</v>
      </c>
      <c r="C1812" s="528">
        <f t="shared" si="1885"/>
        <v>0</v>
      </c>
      <c r="D1812" s="528">
        <f t="shared" si="1885"/>
        <v>0</v>
      </c>
      <c r="F1812" s="1901">
        <v>127.5</v>
      </c>
      <c r="G1812" s="1902"/>
      <c r="H1812" s="1644">
        <f t="shared" si="1886"/>
        <v>0</v>
      </c>
      <c r="I1812" s="1644">
        <f t="shared" si="1886"/>
        <v>0</v>
      </c>
      <c r="K1812" s="1901">
        <f>K1810*5+K1811</f>
        <v>81.61</v>
      </c>
      <c r="L1812" s="597"/>
      <c r="M1812" s="1901">
        <f>M1810*5+M1811</f>
        <v>8.41</v>
      </c>
      <c r="N1812" s="597"/>
      <c r="O1812" s="1944">
        <f t="shared" si="1889"/>
        <v>0</v>
      </c>
      <c r="P1812" s="1902"/>
      <c r="Q1812" s="1901">
        <f>Q1810*5+Q1811</f>
        <v>90.02000000000001</v>
      </c>
      <c r="R1812" s="1902"/>
      <c r="S1812" s="1643">
        <f t="shared" si="1890"/>
        <v>0</v>
      </c>
      <c r="T1812" s="1643"/>
      <c r="U1812" s="1643">
        <f t="shared" si="1891"/>
        <v>0</v>
      </c>
      <c r="V1812" s="1643"/>
      <c r="W1812" s="1643">
        <v>0</v>
      </c>
      <c r="X1812" s="1643"/>
      <c r="Y1812" s="1644">
        <f t="shared" si="1892"/>
        <v>0</v>
      </c>
    </row>
    <row r="1813" spans="1:31">
      <c r="A1813" s="1900" t="s">
        <v>393</v>
      </c>
      <c r="C1813" s="528">
        <f t="shared" si="1885"/>
        <v>7631.8661290322598</v>
      </c>
      <c r="D1813" s="528">
        <f t="shared" si="1885"/>
        <v>7644</v>
      </c>
      <c r="F1813" s="1901">
        <v>6.2</v>
      </c>
      <c r="G1813" s="1902"/>
      <c r="H1813" s="1644">
        <f t="shared" si="1886"/>
        <v>47318</v>
      </c>
      <c r="I1813" s="1644">
        <f t="shared" si="1886"/>
        <v>47393</v>
      </c>
      <c r="K1813" s="1944">
        <f>ROUND(S1813/$D1813,2)</f>
        <v>3.88</v>
      </c>
      <c r="L1813" s="597"/>
      <c r="M1813" s="1944">
        <f>ROUND(U1813/$D1813,2)</f>
        <v>0.4</v>
      </c>
      <c r="N1813" s="597"/>
      <c r="O1813" s="1944">
        <f>ROUND(Q1813-K1813-M1813,2)</f>
        <v>0</v>
      </c>
      <c r="P1813" s="597"/>
      <c r="Q1813" s="1901">
        <f>ROUND(F1813*(1+$AB$1825),2)</f>
        <v>4.28</v>
      </c>
      <c r="R1813" s="1902"/>
      <c r="S1813" s="1643">
        <f t="shared" si="1890"/>
        <v>29665.112864146398</v>
      </c>
      <c r="T1813" s="1643"/>
      <c r="U1813" s="1643">
        <f t="shared" si="1891"/>
        <v>3050.8871358536016</v>
      </c>
      <c r="V1813" s="1643"/>
      <c r="W1813" s="1643">
        <v>0</v>
      </c>
      <c r="X1813" s="1643"/>
      <c r="Y1813" s="1644">
        <f t="shared" si="1892"/>
        <v>32716</v>
      </c>
    </row>
    <row r="1814" spans="1:31">
      <c r="A1814" s="1900" t="s">
        <v>360</v>
      </c>
      <c r="C1814" s="528">
        <f t="shared" si="1885"/>
        <v>15565767</v>
      </c>
      <c r="D1814" s="528">
        <f t="shared" si="1885"/>
        <v>15963151.062719233</v>
      </c>
      <c r="F1814" s="1970">
        <v>5.3437000000000001</v>
      </c>
      <c r="G1814" s="1921" t="s">
        <v>495</v>
      </c>
      <c r="H1814" s="1644">
        <f>ROUND(C1814*$F1814/100,0)</f>
        <v>831788</v>
      </c>
      <c r="I1814" s="1644">
        <f>ROUND(D1814*$F1814/100,0)</f>
        <v>853023</v>
      </c>
      <c r="K1814" s="1920"/>
      <c r="L1814" s="1921" t="s">
        <v>495</v>
      </c>
      <c r="M1814" s="1920">
        <f>ROUND(U1814/$D1814*100,4)</f>
        <v>1.4997</v>
      </c>
      <c r="N1814" s="1921" t="s">
        <v>495</v>
      </c>
      <c r="O1814" s="1920">
        <f>Q1814-M1814</f>
        <v>2.0289413928359998</v>
      </c>
      <c r="P1814" s="1921" t="s">
        <v>495</v>
      </c>
      <c r="Q1814" s="1972">
        <f>ROUND((AB1822-SUM(Y1810:Y1813))/D1814*100,$AB$8)</f>
        <v>3.5286413928360001</v>
      </c>
      <c r="R1814" s="1921" t="s">
        <v>495</v>
      </c>
      <c r="S1814" s="1648"/>
      <c r="T1814" s="1648"/>
      <c r="U1814" s="1643">
        <f>MIN($U$1818-$U$1810-$U$1811-$U$1812-$U$1813,Y1814)</f>
        <v>239404.18074392367</v>
      </c>
      <c r="V1814" s="1648"/>
      <c r="W1814" s="1643">
        <f>Y1814-S1814-U1814</f>
        <v>323877.81925607636</v>
      </c>
      <c r="X1814" s="1648"/>
      <c r="Y1814" s="1644">
        <f>ROUND($D1814*Q1814/100,0)</f>
        <v>563282</v>
      </c>
    </row>
    <row r="1815" spans="1:31">
      <c r="A1815" s="1900" t="s">
        <v>288</v>
      </c>
      <c r="C1815" s="529">
        <f t="shared" si="1885"/>
        <v>45517</v>
      </c>
      <c r="D1815" s="529">
        <f t="shared" si="1885"/>
        <v>0</v>
      </c>
      <c r="H1815" s="1030">
        <f>H1826+H1837+H1848</f>
        <v>3753</v>
      </c>
      <c r="I1815" s="1030">
        <f t="shared" ref="I1815" si="1893">I1826+I1837+I1848</f>
        <v>0</v>
      </c>
      <c r="Y1815" s="1030"/>
    </row>
    <row r="1816" spans="1:31">
      <c r="A1816" s="1900" t="s">
        <v>1240</v>
      </c>
      <c r="C1816" s="584"/>
      <c r="D1816" s="584"/>
      <c r="F1816" s="1930">
        <v>-2.8000000000000001E-2</v>
      </c>
      <c r="G1816" s="597"/>
      <c r="H1816" s="1644">
        <f>SUM(H1814)*$F1816</f>
        <v>-23290.064000000002</v>
      </c>
      <c r="I1816" s="1644">
        <f>SUM(I1814)*$F1816</f>
        <v>-23884.644</v>
      </c>
      <c r="K1816" s="1930">
        <v>-2.8000000000000001E-2</v>
      </c>
      <c r="L1816" s="597"/>
      <c r="M1816" s="1930">
        <v>-2.8000000000000001E-2</v>
      </c>
      <c r="N1816" s="597"/>
      <c r="O1816" s="1931" t="str">
        <f>$O$43</f>
        <v>Tax Year 1 (7/1/2021)</v>
      </c>
      <c r="P1816" s="597"/>
      <c r="Q1816" s="1930">
        <f>$AC$1827</f>
        <v>-2.7300000000000001E-2</v>
      </c>
      <c r="R1816" s="597"/>
      <c r="S1816" s="1645"/>
      <c r="T1816" s="1645"/>
      <c r="U1816" s="1645"/>
      <c r="V1816" s="1645"/>
      <c r="W1816" s="1645"/>
      <c r="X1816" s="1645"/>
      <c r="Y1816" s="1644">
        <f>Q1816*Y1814</f>
        <v>-15377.598600000001</v>
      </c>
      <c r="AA1816" s="1932" t="s">
        <v>1940</v>
      </c>
      <c r="AB1816" s="1932"/>
      <c r="AC1816" s="1932"/>
      <c r="AD1816" s="1932"/>
    </row>
    <row r="1817" spans="1:31">
      <c r="A1817" s="1900"/>
      <c r="C1817" s="584"/>
      <c r="D1817" s="584"/>
      <c r="F1817" s="1930"/>
      <c r="G1817" s="597"/>
      <c r="H1817" s="1644"/>
      <c r="I1817" s="1644"/>
      <c r="K1817" s="1930"/>
      <c r="L1817" s="597"/>
      <c r="M1817" s="1930"/>
      <c r="N1817" s="597"/>
      <c r="O1817" s="1931" t="str">
        <f>$O$44</f>
        <v>Tax Year 2 (1/1/2022)</v>
      </c>
      <c r="P1817" s="597"/>
      <c r="Q1817" s="1930">
        <f>$AC$1828</f>
        <v>-1.4800000000000001E-2</v>
      </c>
      <c r="R1817" s="597"/>
      <c r="S1817" s="1645"/>
      <c r="T1817" s="1645"/>
      <c r="U1817" s="1645"/>
      <c r="V1817" s="1645"/>
      <c r="W1817" s="1645"/>
      <c r="X1817" s="1645"/>
      <c r="Y1817" s="1644">
        <f>Q1817*Y1814</f>
        <v>-8336.5735999999997</v>
      </c>
      <c r="AA1817" s="1933" t="s">
        <v>1660</v>
      </c>
      <c r="AB1817" s="1933" t="s">
        <v>1661</v>
      </c>
      <c r="AC1817" s="1933" t="s">
        <v>1662</v>
      </c>
      <c r="AD1817" s="1933" t="s">
        <v>93</v>
      </c>
    </row>
    <row r="1818" spans="1:31" ht="16.5" thickBot="1">
      <c r="A1818" s="1869" t="s">
        <v>93</v>
      </c>
      <c r="C1818" s="1949">
        <f>C1814+C1815</f>
        <v>15611284</v>
      </c>
      <c r="D1818" s="1949">
        <f>D1814+D1815</f>
        <v>15963151.062719233</v>
      </c>
      <c r="F1818" s="1939"/>
      <c r="H1818" s="1647">
        <f>SUM(H1810:H1816)</f>
        <v>1133190.936</v>
      </c>
      <c r="I1818" s="1647">
        <f>SUM(I1810:I1816)</f>
        <v>1155315.3559999999</v>
      </c>
      <c r="K1818" s="1939"/>
      <c r="M1818" s="1939"/>
      <c r="O1818" s="1939"/>
      <c r="Q1818" s="1939"/>
      <c r="S1818" s="1646">
        <f>$Y1818*AA1818/$AD1818</f>
        <v>211943.79343374626</v>
      </c>
      <c r="T1818" s="1646"/>
      <c r="U1818" s="1646">
        <f>$Y1818*AB1818/$AD1818</f>
        <v>261201.38731017741</v>
      </c>
      <c r="V1818" s="1646"/>
      <c r="W1818" s="1646">
        <f>Y1818-S1818-U1818</f>
        <v>323877.81925607624</v>
      </c>
      <c r="Y1818" s="1647">
        <f>SUM(Y1810:Y1815)</f>
        <v>797023</v>
      </c>
      <c r="AA1818" s="1937">
        <f>'Unit Cost Target'!$K$87+'Unit Cost Target'!$K$123+'Unit Cost Target'!$K$129+'Unit Cost Target'!$K$75+'Unit Cost Target'!$K$81</f>
        <v>211943.84388227694</v>
      </c>
      <c r="AB1818" s="1937">
        <f>'Unit Cost Target'!$K$45+'Unit Cost Target'!$K$51</f>
        <v>261201.44948338848</v>
      </c>
      <c r="AC1818" s="1937">
        <f>'Unit Cost Target'!$K$33+'Unit Cost Target'!$K$39+'Unit Cost Target'!$K$63+'Unit Cost Target'!$K$69</f>
        <v>323877.89634802524</v>
      </c>
      <c r="AD1818" s="1937">
        <f>SUM(AA1818:AC1818)</f>
        <v>797023.18971369066</v>
      </c>
      <c r="AE1818" s="1937">
        <f>AD1818-'Unit Cost Target'!$K$21</f>
        <v>0</v>
      </c>
    </row>
    <row r="1819" spans="1:31" ht="16.5" hidden="1" thickTop="1">
      <c r="A1819" s="1900"/>
      <c r="C1819" s="1025"/>
      <c r="D1819" s="1025"/>
      <c r="F1819" s="596"/>
      <c r="H1819" s="1645"/>
      <c r="I1819" s="1645"/>
      <c r="K1819" s="596"/>
      <c r="M1819" s="596"/>
      <c r="O1819" s="596"/>
      <c r="Q1819" s="596"/>
      <c r="Y1819" s="1645"/>
      <c r="AA1819" s="1937">
        <f>S1818-SUM(S1810:S1817)</f>
        <v>0</v>
      </c>
      <c r="AB1819" s="1937">
        <f>U1818-SUM(U1810:U1817)</f>
        <v>0</v>
      </c>
      <c r="AC1819" s="1937">
        <f>W1818-SUM(W1810:W1817)</f>
        <v>0</v>
      </c>
      <c r="AD1819" s="1937">
        <f>SUM(AA1819:AC1819)</f>
        <v>0</v>
      </c>
      <c r="AE1819" s="1937"/>
    </row>
    <row r="1820" spans="1:31" hidden="1">
      <c r="A1820" s="1983" t="s">
        <v>918</v>
      </c>
      <c r="C1820" s="528"/>
      <c r="D1820" s="528"/>
    </row>
    <row r="1821" spans="1:31" hidden="1">
      <c r="A1821" s="1900" t="s">
        <v>391</v>
      </c>
      <c r="C1821" s="528">
        <f>'15M'!J2</f>
        <v>19597.669688767299</v>
      </c>
      <c r="D1821" s="528">
        <f>ROUND(C1821/C1829*D1829,0)</f>
        <v>19971</v>
      </c>
      <c r="F1821" s="1901">
        <v>11</v>
      </c>
      <c r="G1821" s="1902"/>
      <c r="H1821" s="1644">
        <f t="shared" ref="H1821:I1824" si="1894">ROUND(C1821*$F1821,0)</f>
        <v>215574</v>
      </c>
      <c r="I1821" s="1644">
        <f t="shared" si="1894"/>
        <v>219681</v>
      </c>
      <c r="K1821" s="1901">
        <f>K1810</f>
        <v>7.25</v>
      </c>
      <c r="L1821" s="1902"/>
      <c r="M1821" s="1901">
        <f>M1810</f>
        <v>0.75</v>
      </c>
      <c r="N1821" s="1902"/>
      <c r="O1821" s="1901">
        <f>O1810</f>
        <v>0</v>
      </c>
      <c r="P1821" s="1902"/>
      <c r="Q1821" s="1901">
        <f>Q1810</f>
        <v>8</v>
      </c>
      <c r="R1821" s="1902"/>
      <c r="S1821" s="1644">
        <f t="shared" ref="S1821:S1823" si="1895">ROUND($D1821*K1821,0)</f>
        <v>144790</v>
      </c>
      <c r="T1821" s="1645"/>
      <c r="U1821" s="1644">
        <f t="shared" ref="U1821:U1823" si="1896">ROUND($D1821*M1821,0)</f>
        <v>14978</v>
      </c>
      <c r="V1821" s="1645"/>
      <c r="W1821" s="1644">
        <f t="shared" ref="W1821:W1823" si="1897">ROUND($D1821*O1821,0)</f>
        <v>0</v>
      </c>
      <c r="X1821" s="1643"/>
      <c r="Y1821" s="1644">
        <f>ROUND($D1821*Q1821,0)</f>
        <v>159768</v>
      </c>
      <c r="AA1821" s="1903" t="s">
        <v>1741</v>
      </c>
      <c r="AB1821" s="1904">
        <f>Y1818</f>
        <v>797023</v>
      </c>
    </row>
    <row r="1822" spans="1:31" hidden="1">
      <c r="A1822" s="1900" t="s">
        <v>392</v>
      </c>
      <c r="C1822" s="528">
        <f>'15M'!G2</f>
        <v>537.54239204909402</v>
      </c>
      <c r="D1822" s="528">
        <f>ROUND(C1822/C1824*D1824,0)</f>
        <v>538</v>
      </c>
      <c r="F1822" s="1901">
        <v>72.5</v>
      </c>
      <c r="G1822" s="1902"/>
      <c r="H1822" s="1644">
        <f t="shared" si="1894"/>
        <v>38972</v>
      </c>
      <c r="I1822" s="1644">
        <f t="shared" si="1894"/>
        <v>39005</v>
      </c>
      <c r="K1822" s="1901">
        <f t="shared" ref="K1822" si="1898">K1811</f>
        <v>45.36</v>
      </c>
      <c r="L1822" s="1902"/>
      <c r="M1822" s="1901">
        <f t="shared" ref="M1822" si="1899">M1811</f>
        <v>4.66</v>
      </c>
      <c r="N1822" s="1902"/>
      <c r="O1822" s="1901">
        <f t="shared" ref="O1822" si="1900">O1811</f>
        <v>0</v>
      </c>
      <c r="P1822" s="1902"/>
      <c r="Q1822" s="1901">
        <f>Q1811</f>
        <v>50.02</v>
      </c>
      <c r="R1822" s="1902"/>
      <c r="S1822" s="1644">
        <f t="shared" si="1895"/>
        <v>24404</v>
      </c>
      <c r="T1822" s="1645"/>
      <c r="U1822" s="1644">
        <f t="shared" si="1896"/>
        <v>2507</v>
      </c>
      <c r="V1822" s="1645"/>
      <c r="W1822" s="1644">
        <f t="shared" si="1897"/>
        <v>0</v>
      </c>
      <c r="X1822" s="1643"/>
      <c r="Y1822" s="1644">
        <f t="shared" ref="Y1822:Y1824" si="1901">ROUND($D1822*Q1822,0)</f>
        <v>26911</v>
      </c>
      <c r="AA1822" s="1905" t="s">
        <v>1742</v>
      </c>
      <c r="AB1822" s="1984">
        <f>RateSpread!M59*1000</f>
        <v>797023.35599999991</v>
      </c>
    </row>
    <row r="1823" spans="1:31" hidden="1">
      <c r="A1823" s="1900" t="s">
        <v>390</v>
      </c>
      <c r="C1823" s="528">
        <f>'15M'!H2</f>
        <v>0</v>
      </c>
      <c r="D1823" s="528">
        <f>ROUND(C1823/C1824*D1824,0)</f>
        <v>0</v>
      </c>
      <c r="F1823" s="1901">
        <v>127.5</v>
      </c>
      <c r="G1823" s="1902"/>
      <c r="H1823" s="1644">
        <f t="shared" si="1894"/>
        <v>0</v>
      </c>
      <c r="I1823" s="1644">
        <f t="shared" si="1894"/>
        <v>0</v>
      </c>
      <c r="K1823" s="1901">
        <f t="shared" ref="K1823" si="1902">K1812</f>
        <v>81.61</v>
      </c>
      <c r="L1823" s="1902"/>
      <c r="M1823" s="1901">
        <f t="shared" ref="M1823" si="1903">M1812</f>
        <v>8.41</v>
      </c>
      <c r="N1823" s="1902"/>
      <c r="O1823" s="1901">
        <f t="shared" ref="O1823" si="1904">O1812</f>
        <v>0</v>
      </c>
      <c r="P1823" s="1902"/>
      <c r="Q1823" s="1901">
        <f>Q1812</f>
        <v>90.02000000000001</v>
      </c>
      <c r="R1823" s="1902"/>
      <c r="S1823" s="1644">
        <f t="shared" si="1895"/>
        <v>0</v>
      </c>
      <c r="T1823" s="1645"/>
      <c r="U1823" s="1644">
        <f t="shared" si="1896"/>
        <v>0</v>
      </c>
      <c r="V1823" s="1645"/>
      <c r="W1823" s="1644">
        <f t="shared" si="1897"/>
        <v>0</v>
      </c>
      <c r="X1823" s="1643"/>
      <c r="Y1823" s="1644">
        <f t="shared" si="1901"/>
        <v>0</v>
      </c>
      <c r="AA1823" s="1908" t="s">
        <v>87</v>
      </c>
      <c r="AB1823" s="1909">
        <f>AB1822-AB1821</f>
        <v>0.35599999991245568</v>
      </c>
    </row>
    <row r="1824" spans="1:31" hidden="1">
      <c r="A1824" s="1900" t="s">
        <v>393</v>
      </c>
      <c r="C1824" s="528">
        <f>'15M'!I2</f>
        <v>6440.3306451612898</v>
      </c>
      <c r="D1824" s="528">
        <f>Bill!P39</f>
        <v>6444</v>
      </c>
      <c r="F1824" s="1901">
        <v>6.2</v>
      </c>
      <c r="G1824" s="1902"/>
      <c r="H1824" s="1644">
        <f t="shared" si="1894"/>
        <v>39930</v>
      </c>
      <c r="I1824" s="1644">
        <f t="shared" si="1894"/>
        <v>39953</v>
      </c>
      <c r="K1824" s="1901">
        <f t="shared" ref="K1824" si="1905">K1813</f>
        <v>3.88</v>
      </c>
      <c r="L1824" s="1902"/>
      <c r="M1824" s="1901">
        <f t="shared" ref="M1824" si="1906">M1813</f>
        <v>0.4</v>
      </c>
      <c r="N1824" s="1902"/>
      <c r="O1824" s="1901">
        <f t="shared" ref="O1824" si="1907">O1813</f>
        <v>0</v>
      </c>
      <c r="P1824" s="1902"/>
      <c r="Q1824" s="1901">
        <f>Q1813</f>
        <v>4.28</v>
      </c>
      <c r="R1824" s="1902"/>
      <c r="S1824" s="1644">
        <f t="shared" ref="S1824" si="1908">ROUND($D1824*K1824,0)</f>
        <v>25003</v>
      </c>
      <c r="T1824" s="1645"/>
      <c r="U1824" s="1644">
        <f t="shared" ref="U1824" si="1909">ROUND($D1824*M1824,0)</f>
        <v>2578</v>
      </c>
      <c r="V1824" s="1645"/>
      <c r="W1824" s="1644">
        <f t="shared" ref="W1824" si="1910">ROUND($D1824*O1824,0)</f>
        <v>0</v>
      </c>
      <c r="X1824" s="1643"/>
      <c r="Y1824" s="1644">
        <f t="shared" si="1901"/>
        <v>27580</v>
      </c>
      <c r="AA1824" s="1903" t="s">
        <v>1743</v>
      </c>
      <c r="AB1824" s="1958">
        <f>AB1821/(I1818)-1</f>
        <v>-0.31012515685803799</v>
      </c>
    </row>
    <row r="1825" spans="1:29" hidden="1">
      <c r="A1825" s="1900" t="s">
        <v>360</v>
      </c>
      <c r="C1825" s="528">
        <f>'15M'!K2</f>
        <v>14684579</v>
      </c>
      <c r="D1825" s="528">
        <f>D1829-D1826</f>
        <v>15043463.667792927</v>
      </c>
      <c r="F1825" s="1970">
        <v>5.3437000000000001</v>
      </c>
      <c r="G1825" s="1921" t="s">
        <v>495</v>
      </c>
      <c r="H1825" s="1644">
        <f>ROUND(C1825*$F1825/100,0)</f>
        <v>784700</v>
      </c>
      <c r="I1825" s="1644">
        <f>ROUND(D1825*$F1825/100,0)</f>
        <v>803878</v>
      </c>
      <c r="K1825" s="1970">
        <f t="shared" ref="K1825" si="1911">K1814</f>
        <v>0</v>
      </c>
      <c r="L1825" s="1921" t="s">
        <v>495</v>
      </c>
      <c r="M1825" s="1970">
        <f t="shared" ref="M1825" si="1912">M1814</f>
        <v>1.4997</v>
      </c>
      <c r="N1825" s="1921" t="s">
        <v>495</v>
      </c>
      <c r="O1825" s="1972">
        <f t="shared" ref="O1825" si="1913">O1814</f>
        <v>2.0289413928359998</v>
      </c>
      <c r="P1825" s="2020" t="s">
        <v>495</v>
      </c>
      <c r="Q1825" s="1972">
        <f>Q1814</f>
        <v>3.5286413928360001</v>
      </c>
      <c r="R1825" s="1921" t="s">
        <v>495</v>
      </c>
      <c r="S1825" s="1644">
        <f>ROUND($D1825*K1825/100,0)</f>
        <v>0</v>
      </c>
      <c r="T1825" s="1648"/>
      <c r="U1825" s="1644">
        <f>ROUND($D1825*M1825/100,0)</f>
        <v>225607</v>
      </c>
      <c r="V1825" s="1648"/>
      <c r="W1825" s="1644">
        <f>ROUND($D1825*O1825/100,0)</f>
        <v>305223</v>
      </c>
      <c r="X1825" s="1648"/>
      <c r="Y1825" s="1644">
        <f>ROUND($D1825*Q1825/100,0)</f>
        <v>530830</v>
      </c>
      <c r="AA1825" s="1915" t="s">
        <v>1744</v>
      </c>
      <c r="AB1825" s="1954">
        <f>AB1822/(I1818)-1</f>
        <v>-0.31012484871706325</v>
      </c>
    </row>
    <row r="1826" spans="1:29" hidden="1">
      <c r="A1826" s="1900" t="s">
        <v>288</v>
      </c>
      <c r="C1826" s="529">
        <f>'Table 2'!J58</f>
        <v>77906</v>
      </c>
      <c r="D1826" s="529">
        <v>0</v>
      </c>
      <c r="H1826" s="1030">
        <f>'Table 3'!F58</f>
        <v>6244</v>
      </c>
      <c r="I1826" s="1030">
        <v>0</v>
      </c>
      <c r="Y1826" s="1030"/>
      <c r="AA1826" s="1898"/>
      <c r="AB1826" s="1955"/>
    </row>
    <row r="1827" spans="1:29" hidden="1">
      <c r="A1827" s="1900" t="s">
        <v>1240</v>
      </c>
      <c r="C1827" s="584"/>
      <c r="D1827" s="584"/>
      <c r="F1827" s="1930">
        <v>-2.8000000000000001E-2</v>
      </c>
      <c r="G1827" s="597"/>
      <c r="H1827" s="1644">
        <f>SUM(H1825)*$F1827</f>
        <v>-21971.600000000002</v>
      </c>
      <c r="I1827" s="1644">
        <f>SUM(I1825)*$F1827</f>
        <v>-22508.583999999999</v>
      </c>
      <c r="K1827" s="1930"/>
      <c r="L1827" s="597"/>
      <c r="M1827" s="1930"/>
      <c r="N1827" s="597"/>
      <c r="O1827" s="1931" t="str">
        <f>$O$43</f>
        <v>Tax Year 1 (7/1/2021)</v>
      </c>
      <c r="P1827" s="597"/>
      <c r="Q1827" s="1930">
        <f>$AC$1827</f>
        <v>-2.7300000000000001E-2</v>
      </c>
      <c r="R1827" s="597"/>
      <c r="S1827" s="1645"/>
      <c r="T1827" s="1645"/>
      <c r="U1827" s="1645"/>
      <c r="V1827" s="1645"/>
      <c r="W1827" s="1645"/>
      <c r="X1827" s="1645"/>
      <c r="Y1827" s="1644">
        <f>Q1827*Y1825</f>
        <v>-14491.659000000001</v>
      </c>
      <c r="AA1827" s="1109" t="s">
        <v>1938</v>
      </c>
      <c r="AB1827" s="1917">
        <f>RateSpread!W59*1000</f>
        <v>-15378.747437631917</v>
      </c>
      <c r="AC1827" s="1918">
        <f>ROUND(AB1827/Y1814,4)</f>
        <v>-2.7300000000000001E-2</v>
      </c>
    </row>
    <row r="1828" spans="1:29" hidden="1">
      <c r="A1828" s="1900"/>
      <c r="C1828" s="584"/>
      <c r="D1828" s="584"/>
      <c r="F1828" s="1930"/>
      <c r="G1828" s="597"/>
      <c r="H1828" s="1644"/>
      <c r="I1828" s="1644"/>
      <c r="K1828" s="1930"/>
      <c r="L1828" s="597"/>
      <c r="M1828" s="1930"/>
      <c r="N1828" s="597"/>
      <c r="O1828" s="1931" t="str">
        <f>$O$44</f>
        <v>Tax Year 2 (1/1/2022)</v>
      </c>
      <c r="P1828" s="597"/>
      <c r="Q1828" s="1930">
        <f>$AC$1828</f>
        <v>-1.4800000000000001E-2</v>
      </c>
      <c r="R1828" s="597"/>
      <c r="S1828" s="1645"/>
      <c r="T1828" s="1645"/>
      <c r="U1828" s="1645"/>
      <c r="V1828" s="1645"/>
      <c r="W1828" s="1645"/>
      <c r="X1828" s="1645"/>
      <c r="Y1828" s="1644">
        <f>Q1828*Y1825</f>
        <v>-7856.2840000000006</v>
      </c>
      <c r="AA1828" s="1109" t="s">
        <v>1939</v>
      </c>
      <c r="AB1828" s="1917">
        <f>RateSpread!X59*1000</f>
        <v>-8347.9391927885899</v>
      </c>
      <c r="AC1828" s="1918">
        <f>ROUND(AB1828/Y1814,4)</f>
        <v>-1.4800000000000001E-2</v>
      </c>
    </row>
    <row r="1829" spans="1:29" ht="16.5" hidden="1" thickBot="1">
      <c r="A1829" s="1869" t="s">
        <v>93</v>
      </c>
      <c r="C1829" s="1949">
        <f>C1825+C1826</f>
        <v>14762485</v>
      </c>
      <c r="D1829" s="1949">
        <f>Energy!P39</f>
        <v>15043463.667792927</v>
      </c>
      <c r="F1829" s="1939"/>
      <c r="H1829" s="1647">
        <f>SUM(H1821:H1827)</f>
        <v>1063448.3999999999</v>
      </c>
      <c r="I1829" s="1647">
        <f>SUM(I1821:I1827)</f>
        <v>1080008.416</v>
      </c>
      <c r="K1829" s="1939"/>
      <c r="M1829" s="1939"/>
      <c r="O1829" s="1939"/>
      <c r="Q1829" s="1939"/>
      <c r="S1829" s="1647">
        <f>SUM(S1821:S1826)</f>
        <v>194197</v>
      </c>
      <c r="U1829" s="1647">
        <f>SUM(U1821:U1826)</f>
        <v>245670</v>
      </c>
      <c r="W1829" s="1647">
        <f>SUM(W1821:W1826)</f>
        <v>305223</v>
      </c>
      <c r="Y1829" s="1647">
        <f>SUM(Y1821:Y1826)</f>
        <v>745089</v>
      </c>
      <c r="AA1829" s="1104" t="s">
        <v>1743</v>
      </c>
      <c r="AB1829" s="1890">
        <f>Y1818/I1818-1</f>
        <v>-0.31012515685803799</v>
      </c>
    </row>
    <row r="1830" spans="1:29" ht="16.5" hidden="1" thickTop="1">
      <c r="A1830" s="1900"/>
      <c r="C1830" s="1025"/>
      <c r="D1830" s="1025"/>
      <c r="F1830" s="596"/>
      <c r="H1830" s="1645"/>
      <c r="I1830" s="1645"/>
      <c r="K1830" s="596"/>
      <c r="M1830" s="596"/>
      <c r="O1830" s="596"/>
      <c r="Q1830" s="596"/>
      <c r="Y1830" s="1645"/>
    </row>
    <row r="1831" spans="1:29" hidden="1">
      <c r="A1831" s="1983" t="s">
        <v>919</v>
      </c>
      <c r="C1831" s="528"/>
      <c r="D1831" s="528"/>
    </row>
    <row r="1832" spans="1:29" hidden="1">
      <c r="A1832" s="1900" t="s">
        <v>391</v>
      </c>
      <c r="C1832" s="528">
        <f>'15M'!J3</f>
        <v>70</v>
      </c>
      <c r="D1832" s="528">
        <f>ROUND(C1832/C1840*D1840,0)</f>
        <v>75</v>
      </c>
      <c r="F1832" s="1901">
        <v>11</v>
      </c>
      <c r="G1832" s="1902"/>
      <c r="H1832" s="1644">
        <f t="shared" ref="H1832:I1835" si="1914">ROUND(C1832*$F1832,0)</f>
        <v>770</v>
      </c>
      <c r="I1832" s="1644">
        <f t="shared" si="1914"/>
        <v>825</v>
      </c>
      <c r="K1832" s="1901">
        <f>K1810</f>
        <v>7.25</v>
      </c>
      <c r="L1832" s="1902"/>
      <c r="M1832" s="1901">
        <f>M1810</f>
        <v>0.75</v>
      </c>
      <c r="N1832" s="1902"/>
      <c r="O1832" s="1901">
        <f>O1810</f>
        <v>0</v>
      </c>
      <c r="P1832" s="1902"/>
      <c r="Q1832" s="1901">
        <f>Q1810</f>
        <v>8</v>
      </c>
      <c r="R1832" s="1902"/>
      <c r="S1832" s="1644">
        <f t="shared" ref="S1832:S1835" si="1915">ROUND($D1832*K1832,0)</f>
        <v>544</v>
      </c>
      <c r="T1832" s="1645"/>
      <c r="U1832" s="1644">
        <f t="shared" ref="U1832:U1835" si="1916">ROUND($D1832*M1832,0)</f>
        <v>56</v>
      </c>
      <c r="V1832" s="1645"/>
      <c r="W1832" s="1644">
        <f t="shared" ref="W1832:W1835" si="1917">ROUND($D1832*O1832,0)</f>
        <v>0</v>
      </c>
      <c r="X1832" s="1643"/>
      <c r="Y1832" s="1644">
        <f>ROUND($D1832*Q1832,0)</f>
        <v>600</v>
      </c>
    </row>
    <row r="1833" spans="1:29" hidden="1">
      <c r="A1833" s="1900" t="s">
        <v>392</v>
      </c>
      <c r="C1833" s="528">
        <f>'15M'!G3</f>
        <v>6</v>
      </c>
      <c r="D1833" s="528">
        <f>ROUND(C1833/C1835*D1835,0)</f>
        <v>6</v>
      </c>
      <c r="F1833" s="1901">
        <v>72.5</v>
      </c>
      <c r="G1833" s="1902"/>
      <c r="H1833" s="1644">
        <f t="shared" si="1914"/>
        <v>435</v>
      </c>
      <c r="I1833" s="1644">
        <f t="shared" si="1914"/>
        <v>435</v>
      </c>
      <c r="K1833" s="1901">
        <f>K1811</f>
        <v>45.36</v>
      </c>
      <c r="L1833" s="1902"/>
      <c r="M1833" s="1901">
        <f t="shared" ref="M1833" si="1918">M1811</f>
        <v>4.66</v>
      </c>
      <c r="N1833" s="1902"/>
      <c r="O1833" s="1901">
        <f t="shared" ref="O1833" si="1919">O1811</f>
        <v>0</v>
      </c>
      <c r="P1833" s="1902"/>
      <c r="Q1833" s="1901">
        <f>Q1811</f>
        <v>50.02</v>
      </c>
      <c r="R1833" s="1902"/>
      <c r="S1833" s="1644">
        <f t="shared" si="1915"/>
        <v>272</v>
      </c>
      <c r="T1833" s="1645"/>
      <c r="U1833" s="1644">
        <f t="shared" si="1916"/>
        <v>28</v>
      </c>
      <c r="V1833" s="1645"/>
      <c r="W1833" s="1644">
        <f t="shared" si="1917"/>
        <v>0</v>
      </c>
      <c r="X1833" s="1643"/>
      <c r="Y1833" s="1644">
        <f t="shared" ref="Y1833:Y1835" si="1920">ROUND($D1833*Q1833,0)</f>
        <v>300</v>
      </c>
    </row>
    <row r="1834" spans="1:29" hidden="1">
      <c r="A1834" s="1900" t="s">
        <v>390</v>
      </c>
      <c r="C1834" s="528">
        <f>'15M'!H3</f>
        <v>0</v>
      </c>
      <c r="D1834" s="528">
        <f>ROUND(C1834/C1835*D1835,0)</f>
        <v>0</v>
      </c>
      <c r="F1834" s="1901">
        <v>127.5</v>
      </c>
      <c r="G1834" s="1902"/>
      <c r="H1834" s="1644">
        <f t="shared" si="1914"/>
        <v>0</v>
      </c>
      <c r="I1834" s="1644">
        <f t="shared" si="1914"/>
        <v>0</v>
      </c>
      <c r="K1834" s="1901">
        <f>K1812</f>
        <v>81.61</v>
      </c>
      <c r="L1834" s="1902"/>
      <c r="M1834" s="1901">
        <f t="shared" ref="M1834" si="1921">M1812</f>
        <v>8.41</v>
      </c>
      <c r="N1834" s="1902"/>
      <c r="O1834" s="1901">
        <f t="shared" ref="O1834" si="1922">O1812</f>
        <v>0</v>
      </c>
      <c r="P1834" s="1902"/>
      <c r="Q1834" s="1901">
        <f>Q1812</f>
        <v>90.02000000000001</v>
      </c>
      <c r="R1834" s="1902"/>
      <c r="S1834" s="1644">
        <f t="shared" si="1915"/>
        <v>0</v>
      </c>
      <c r="T1834" s="1645"/>
      <c r="U1834" s="1644">
        <f t="shared" si="1916"/>
        <v>0</v>
      </c>
      <c r="V1834" s="1645"/>
      <c r="W1834" s="1644">
        <f t="shared" si="1917"/>
        <v>0</v>
      </c>
      <c r="X1834" s="1643"/>
      <c r="Y1834" s="1644">
        <f t="shared" si="1920"/>
        <v>0</v>
      </c>
    </row>
    <row r="1835" spans="1:29" hidden="1">
      <c r="A1835" s="1900" t="s">
        <v>393</v>
      </c>
      <c r="C1835" s="528">
        <f>'15M'!I3</f>
        <v>72</v>
      </c>
      <c r="D1835" s="528">
        <f>Bill!P63</f>
        <v>72</v>
      </c>
      <c r="F1835" s="1901">
        <v>6.2</v>
      </c>
      <c r="G1835" s="1902"/>
      <c r="H1835" s="1644">
        <f t="shared" si="1914"/>
        <v>446</v>
      </c>
      <c r="I1835" s="1644">
        <f t="shared" si="1914"/>
        <v>446</v>
      </c>
      <c r="K1835" s="1901">
        <f>K1813</f>
        <v>3.88</v>
      </c>
      <c r="L1835" s="1902"/>
      <c r="M1835" s="1901">
        <f t="shared" ref="M1835" si="1923">M1813</f>
        <v>0.4</v>
      </c>
      <c r="N1835" s="1902"/>
      <c r="O1835" s="1901">
        <f t="shared" ref="O1835" si="1924">O1813</f>
        <v>0</v>
      </c>
      <c r="P1835" s="1902"/>
      <c r="Q1835" s="1901">
        <f>Q1813</f>
        <v>4.28</v>
      </c>
      <c r="R1835" s="1902"/>
      <c r="S1835" s="1644">
        <f t="shared" si="1915"/>
        <v>279</v>
      </c>
      <c r="T1835" s="1645"/>
      <c r="U1835" s="1644">
        <f t="shared" si="1916"/>
        <v>29</v>
      </c>
      <c r="V1835" s="1645"/>
      <c r="W1835" s="1644">
        <f t="shared" si="1917"/>
        <v>0</v>
      </c>
      <c r="X1835" s="1643"/>
      <c r="Y1835" s="1644">
        <f t="shared" si="1920"/>
        <v>308</v>
      </c>
    </row>
    <row r="1836" spans="1:29" hidden="1">
      <c r="A1836" s="1900" t="s">
        <v>360</v>
      </c>
      <c r="C1836" s="528">
        <f>'15M'!K3</f>
        <v>12527</v>
      </c>
      <c r="D1836" s="528">
        <f>D1840-D1837</f>
        <v>13122</v>
      </c>
      <c r="F1836" s="1970">
        <v>5.3437000000000001</v>
      </c>
      <c r="G1836" s="1921" t="s">
        <v>495</v>
      </c>
      <c r="H1836" s="1644">
        <f>ROUND(C1836*$F1836/100,0)</f>
        <v>669</v>
      </c>
      <c r="I1836" s="1644">
        <f>ROUND(D1836*$F1836/100,0)</f>
        <v>701</v>
      </c>
      <c r="K1836" s="1970">
        <f>K1814</f>
        <v>0</v>
      </c>
      <c r="L1836" s="1921" t="s">
        <v>495</v>
      </c>
      <c r="M1836" s="1970">
        <f t="shared" ref="M1836" si="1925">M1814</f>
        <v>1.4997</v>
      </c>
      <c r="N1836" s="1921" t="s">
        <v>495</v>
      </c>
      <c r="O1836" s="1972">
        <f t="shared" ref="O1836" si="1926">O1814</f>
        <v>2.0289413928359998</v>
      </c>
      <c r="P1836" s="2020" t="s">
        <v>495</v>
      </c>
      <c r="Q1836" s="1972">
        <f>Q1814</f>
        <v>3.5286413928360001</v>
      </c>
      <c r="R1836" s="1921" t="s">
        <v>495</v>
      </c>
      <c r="S1836" s="1644">
        <f>ROUND($D1836*K1836/100,0)</f>
        <v>0</v>
      </c>
      <c r="T1836" s="1648"/>
      <c r="U1836" s="1644">
        <f>ROUND($D1836*M1836/100,0)</f>
        <v>197</v>
      </c>
      <c r="V1836" s="1648"/>
      <c r="W1836" s="1644">
        <f>ROUND($D1836*O1836/100,0)</f>
        <v>266</v>
      </c>
      <c r="X1836" s="1648"/>
      <c r="Y1836" s="1644">
        <f>ROUND($D1836*Q1836/100,0)</f>
        <v>463</v>
      </c>
    </row>
    <row r="1837" spans="1:29" hidden="1">
      <c r="A1837" s="1900" t="s">
        <v>288</v>
      </c>
      <c r="C1837" s="529">
        <f>'Table 2'!J93</f>
        <v>-203</v>
      </c>
      <c r="D1837" s="529">
        <v>0</v>
      </c>
      <c r="H1837" s="1030">
        <f>'Table 3'!F93</f>
        <v>-35</v>
      </c>
      <c r="I1837" s="1030">
        <v>0</v>
      </c>
      <c r="Y1837" s="1030"/>
    </row>
    <row r="1838" spans="1:29" hidden="1">
      <c r="A1838" s="1900" t="s">
        <v>1240</v>
      </c>
      <c r="C1838" s="584"/>
      <c r="D1838" s="584"/>
      <c r="F1838" s="1930">
        <v>-2.8000000000000001E-2</v>
      </c>
      <c r="G1838" s="597"/>
      <c r="H1838" s="1644">
        <f>SUM(H1836)*$F1838</f>
        <v>-18.731999999999999</v>
      </c>
      <c r="I1838" s="1644">
        <f>SUM(I1836)*$F1838</f>
        <v>-19.628</v>
      </c>
      <c r="K1838" s="1930"/>
      <c r="L1838" s="597"/>
      <c r="M1838" s="1930"/>
      <c r="N1838" s="597"/>
      <c r="O1838" s="1931" t="str">
        <f>$O$43</f>
        <v>Tax Year 1 (7/1/2021)</v>
      </c>
      <c r="P1838" s="597"/>
      <c r="Q1838" s="1930">
        <f>$AC$1827</f>
        <v>-2.7300000000000001E-2</v>
      </c>
      <c r="R1838" s="597"/>
      <c r="S1838" s="1645"/>
      <c r="T1838" s="1645"/>
      <c r="U1838" s="1645"/>
      <c r="V1838" s="1645"/>
      <c r="W1838" s="1645"/>
      <c r="X1838" s="1645"/>
      <c r="Y1838" s="1644">
        <f>Q1838*Y1836</f>
        <v>-12.639900000000001</v>
      </c>
    </row>
    <row r="1839" spans="1:29" hidden="1">
      <c r="A1839" s="1900"/>
      <c r="C1839" s="584"/>
      <c r="D1839" s="584"/>
      <c r="F1839" s="1930"/>
      <c r="G1839" s="597"/>
      <c r="H1839" s="1644"/>
      <c r="I1839" s="1644"/>
      <c r="K1839" s="1930"/>
      <c r="L1839" s="597"/>
      <c r="M1839" s="1930"/>
      <c r="N1839" s="597"/>
      <c r="O1839" s="1931" t="str">
        <f>$O$44</f>
        <v>Tax Year 2 (1/1/2022)</v>
      </c>
      <c r="P1839" s="597"/>
      <c r="Q1839" s="1930">
        <f>$AC$1828</f>
        <v>-1.4800000000000001E-2</v>
      </c>
      <c r="R1839" s="597"/>
      <c r="S1839" s="1645"/>
      <c r="T1839" s="1645"/>
      <c r="U1839" s="1645"/>
      <c r="V1839" s="1645"/>
      <c r="W1839" s="1645"/>
      <c r="X1839" s="1645"/>
      <c r="Y1839" s="1644">
        <f>Q1839*Y1836</f>
        <v>-6.8524000000000003</v>
      </c>
    </row>
    <row r="1840" spans="1:29" ht="16.5" hidden="1" thickBot="1">
      <c r="A1840" s="1869" t="s">
        <v>93</v>
      </c>
      <c r="C1840" s="1949">
        <f>C1836+C1837</f>
        <v>12324</v>
      </c>
      <c r="D1840" s="1949">
        <f>Energy!P63</f>
        <v>13122</v>
      </c>
      <c r="F1840" s="1939"/>
      <c r="H1840" s="1647">
        <f>SUM(H1832:H1838)</f>
        <v>2266.268</v>
      </c>
      <c r="I1840" s="1647">
        <f>SUM(I1832:I1838)</f>
        <v>2387.3719999999998</v>
      </c>
      <c r="K1840" s="1939"/>
      <c r="M1840" s="1939"/>
      <c r="O1840" s="1939"/>
      <c r="Q1840" s="1939"/>
      <c r="S1840" s="1647">
        <f>SUM(S1832:S1837)</f>
        <v>1095</v>
      </c>
      <c r="U1840" s="1647">
        <f>SUM(U1832:U1837)</f>
        <v>310</v>
      </c>
      <c r="W1840" s="1647">
        <f>SUM(W1832:W1837)</f>
        <v>266</v>
      </c>
      <c r="Y1840" s="1647">
        <f>SUM(Y1832:Y1837)</f>
        <v>1671</v>
      </c>
      <c r="AA1840" s="1104" t="s">
        <v>1743</v>
      </c>
      <c r="AB1840" s="1890">
        <f>Y1840/I1840-1</f>
        <v>-0.30006718684813249</v>
      </c>
    </row>
    <row r="1841" spans="1:28" ht="16.5" hidden="1" thickTop="1">
      <c r="A1841" s="1900"/>
      <c r="C1841" s="1025"/>
      <c r="D1841" s="1025"/>
      <c r="F1841" s="596"/>
      <c r="H1841" s="1645"/>
      <c r="I1841" s="1645"/>
      <c r="K1841" s="596"/>
      <c r="M1841" s="596"/>
      <c r="O1841" s="596"/>
      <c r="Q1841" s="596"/>
      <c r="Y1841" s="1645"/>
    </row>
    <row r="1842" spans="1:28" hidden="1">
      <c r="A1842" s="1983" t="s">
        <v>920</v>
      </c>
      <c r="C1842" s="528"/>
      <c r="D1842" s="528"/>
    </row>
    <row r="1843" spans="1:28" hidden="1">
      <c r="A1843" s="1900" t="s">
        <v>391</v>
      </c>
      <c r="C1843" s="528">
        <f>'15M'!J4</f>
        <v>1008.45176470588</v>
      </c>
      <c r="D1843" s="528">
        <f>ROUND(C1843/C1851*D1851,0)</f>
        <v>1093</v>
      </c>
      <c r="F1843" s="1901">
        <v>11</v>
      </c>
      <c r="G1843" s="1902"/>
      <c r="H1843" s="1644">
        <f t="shared" ref="H1843:I1846" si="1927">ROUND(C1843*$F1843,0)</f>
        <v>11093</v>
      </c>
      <c r="I1843" s="1644">
        <f t="shared" si="1927"/>
        <v>12023</v>
      </c>
      <c r="K1843" s="1901">
        <f>K1810</f>
        <v>7.25</v>
      </c>
      <c r="L1843" s="1902"/>
      <c r="M1843" s="1901">
        <f>M1810</f>
        <v>0.75</v>
      </c>
      <c r="N1843" s="1902"/>
      <c r="O1843" s="1901">
        <f>O1810</f>
        <v>0</v>
      </c>
      <c r="P1843" s="1902"/>
      <c r="Q1843" s="1901">
        <f>Q1810</f>
        <v>8</v>
      </c>
      <c r="R1843" s="1902"/>
      <c r="S1843" s="1644">
        <f t="shared" ref="S1843:S1846" si="1928">ROUND($D1843*K1843,0)</f>
        <v>7924</v>
      </c>
      <c r="T1843" s="1645"/>
      <c r="U1843" s="1644">
        <f t="shared" ref="U1843:U1846" si="1929">ROUND($D1843*M1843,0)</f>
        <v>820</v>
      </c>
      <c r="V1843" s="1645"/>
      <c r="W1843" s="1644">
        <f t="shared" ref="W1843:W1846" si="1930">ROUND($D1843*O1843,0)</f>
        <v>0</v>
      </c>
      <c r="X1843" s="1643"/>
      <c r="Y1843" s="1644">
        <f>ROUND($D1843*Q1843,0)</f>
        <v>8744</v>
      </c>
    </row>
    <row r="1844" spans="1:28" hidden="1">
      <c r="A1844" s="1900" t="s">
        <v>392</v>
      </c>
      <c r="C1844" s="528">
        <f>'15M'!G4</f>
        <v>93.490352941176496</v>
      </c>
      <c r="D1844" s="528">
        <f>ROUND(C1844/C1846*D1846,0)</f>
        <v>94</v>
      </c>
      <c r="F1844" s="1901">
        <v>72.5</v>
      </c>
      <c r="G1844" s="1902"/>
      <c r="H1844" s="1644">
        <f t="shared" si="1927"/>
        <v>6778</v>
      </c>
      <c r="I1844" s="1644">
        <f t="shared" si="1927"/>
        <v>6815</v>
      </c>
      <c r="K1844" s="1901">
        <f t="shared" ref="K1844" si="1931">K1811</f>
        <v>45.36</v>
      </c>
      <c r="L1844" s="1902"/>
      <c r="M1844" s="1901">
        <f t="shared" ref="M1844" si="1932">M1811</f>
        <v>4.66</v>
      </c>
      <c r="N1844" s="1902"/>
      <c r="O1844" s="1901">
        <f t="shared" ref="O1844" si="1933">O1811</f>
        <v>0</v>
      </c>
      <c r="P1844" s="1902"/>
      <c r="Q1844" s="1901">
        <f>Q1811</f>
        <v>50.02</v>
      </c>
      <c r="R1844" s="1902"/>
      <c r="S1844" s="1644">
        <f t="shared" si="1928"/>
        <v>4264</v>
      </c>
      <c r="T1844" s="1645"/>
      <c r="U1844" s="1644">
        <f t="shared" si="1929"/>
        <v>438</v>
      </c>
      <c r="V1844" s="1645"/>
      <c r="W1844" s="1644">
        <f t="shared" si="1930"/>
        <v>0</v>
      </c>
      <c r="X1844" s="1643"/>
      <c r="Y1844" s="1644">
        <f t="shared" ref="Y1844:Y1846" si="1934">ROUND($D1844*Q1844,0)</f>
        <v>4702</v>
      </c>
    </row>
    <row r="1845" spans="1:28" hidden="1">
      <c r="A1845" s="1900" t="s">
        <v>390</v>
      </c>
      <c r="C1845" s="528">
        <f>'15M'!H4</f>
        <v>0</v>
      </c>
      <c r="D1845" s="528">
        <f>ROUND(C1845/C1846*D1846,0)</f>
        <v>0</v>
      </c>
      <c r="F1845" s="1901">
        <v>127.5</v>
      </c>
      <c r="G1845" s="1902"/>
      <c r="H1845" s="1644">
        <f t="shared" si="1927"/>
        <v>0</v>
      </c>
      <c r="I1845" s="1644">
        <f t="shared" si="1927"/>
        <v>0</v>
      </c>
      <c r="K1845" s="1901">
        <f t="shared" ref="K1845" si="1935">K1812</f>
        <v>81.61</v>
      </c>
      <c r="L1845" s="1902"/>
      <c r="M1845" s="1901">
        <f t="shared" ref="M1845" si="1936">M1812</f>
        <v>8.41</v>
      </c>
      <c r="N1845" s="1902"/>
      <c r="O1845" s="1901">
        <f t="shared" ref="O1845" si="1937">O1812</f>
        <v>0</v>
      </c>
      <c r="P1845" s="1902"/>
      <c r="Q1845" s="1901">
        <f>Q1812</f>
        <v>90.02000000000001</v>
      </c>
      <c r="R1845" s="1902"/>
      <c r="S1845" s="1644">
        <f t="shared" si="1928"/>
        <v>0</v>
      </c>
      <c r="T1845" s="1645"/>
      <c r="U1845" s="1644">
        <f t="shared" si="1929"/>
        <v>0</v>
      </c>
      <c r="V1845" s="1645"/>
      <c r="W1845" s="1644">
        <f t="shared" si="1930"/>
        <v>0</v>
      </c>
      <c r="X1845" s="1643"/>
      <c r="Y1845" s="1644">
        <f t="shared" si="1934"/>
        <v>0</v>
      </c>
    </row>
    <row r="1846" spans="1:28" hidden="1">
      <c r="A1846" s="1900" t="s">
        <v>393</v>
      </c>
      <c r="C1846" s="528">
        <f>'15M'!I4</f>
        <v>1119.53548387097</v>
      </c>
      <c r="D1846" s="528">
        <f>Bill!P92</f>
        <v>1128</v>
      </c>
      <c r="F1846" s="1901">
        <v>6.2</v>
      </c>
      <c r="G1846" s="1902"/>
      <c r="H1846" s="1644">
        <f t="shared" si="1927"/>
        <v>6941</v>
      </c>
      <c r="I1846" s="1644">
        <f t="shared" si="1927"/>
        <v>6994</v>
      </c>
      <c r="K1846" s="1901">
        <f t="shared" ref="K1846" si="1938">K1813</f>
        <v>3.88</v>
      </c>
      <c r="L1846" s="1902"/>
      <c r="M1846" s="1901">
        <f t="shared" ref="M1846" si="1939">M1813</f>
        <v>0.4</v>
      </c>
      <c r="N1846" s="1902"/>
      <c r="O1846" s="1901">
        <f t="shared" ref="O1846" si="1940">O1813</f>
        <v>0</v>
      </c>
      <c r="P1846" s="1902"/>
      <c r="Q1846" s="1901">
        <f>Q1813</f>
        <v>4.28</v>
      </c>
      <c r="R1846" s="1902"/>
      <c r="S1846" s="1644">
        <f t="shared" si="1928"/>
        <v>4377</v>
      </c>
      <c r="T1846" s="1645"/>
      <c r="U1846" s="1644">
        <f t="shared" si="1929"/>
        <v>451</v>
      </c>
      <c r="V1846" s="1645"/>
      <c r="W1846" s="1644">
        <f t="shared" si="1930"/>
        <v>0</v>
      </c>
      <c r="X1846" s="1643"/>
      <c r="Y1846" s="1644">
        <f t="shared" si="1934"/>
        <v>4828</v>
      </c>
    </row>
    <row r="1847" spans="1:28" hidden="1">
      <c r="A1847" s="1900" t="s">
        <v>360</v>
      </c>
      <c r="C1847" s="528">
        <f>'15M'!K4</f>
        <v>868661</v>
      </c>
      <c r="D1847" s="528">
        <f>D1851-D1848</f>
        <v>906565.39492630609</v>
      </c>
      <c r="F1847" s="1970">
        <v>5.3437000000000001</v>
      </c>
      <c r="G1847" s="1921" t="s">
        <v>495</v>
      </c>
      <c r="H1847" s="1644">
        <f>ROUND(C1847*$F1847/100,0)</f>
        <v>46419</v>
      </c>
      <c r="I1847" s="1644">
        <f>ROUND(D1847*$F1847/100,0)</f>
        <v>48444</v>
      </c>
      <c r="K1847" s="1970">
        <f t="shared" ref="K1847" si="1941">K1814</f>
        <v>0</v>
      </c>
      <c r="L1847" s="1921" t="s">
        <v>495</v>
      </c>
      <c r="M1847" s="1970">
        <f t="shared" ref="M1847" si="1942">M1814</f>
        <v>1.4997</v>
      </c>
      <c r="N1847" s="1921" t="s">
        <v>495</v>
      </c>
      <c r="O1847" s="1972">
        <f t="shared" ref="O1847" si="1943">O1814</f>
        <v>2.0289413928359998</v>
      </c>
      <c r="P1847" s="2020" t="s">
        <v>495</v>
      </c>
      <c r="Q1847" s="1972">
        <f>Q1814</f>
        <v>3.5286413928360001</v>
      </c>
      <c r="R1847" s="1921" t="s">
        <v>495</v>
      </c>
      <c r="S1847" s="1644">
        <f>ROUND($D1847*K1847/100,0)</f>
        <v>0</v>
      </c>
      <c r="T1847" s="1648"/>
      <c r="U1847" s="1644">
        <f>ROUND($D1847*M1847/100,0)</f>
        <v>13596</v>
      </c>
      <c r="V1847" s="1648"/>
      <c r="W1847" s="1644">
        <f>ROUND($D1847*O1847/100,0)</f>
        <v>18394</v>
      </c>
      <c r="X1847" s="1648"/>
      <c r="Y1847" s="1644">
        <f>ROUND($D1847*Q1847/100,0)</f>
        <v>31989</v>
      </c>
    </row>
    <row r="1848" spans="1:28" hidden="1">
      <c r="A1848" s="1900" t="s">
        <v>288</v>
      </c>
      <c r="C1848" s="529">
        <f>'Table 2'!J141</f>
        <v>-32186</v>
      </c>
      <c r="D1848" s="529">
        <v>0</v>
      </c>
      <c r="H1848" s="1030">
        <f>'Table 3'!F141</f>
        <v>-2456</v>
      </c>
      <c r="I1848" s="1030">
        <v>0</v>
      </c>
      <c r="Y1848" s="1030"/>
    </row>
    <row r="1849" spans="1:28" hidden="1">
      <c r="A1849" s="1900" t="s">
        <v>1240</v>
      </c>
      <c r="C1849" s="584"/>
      <c r="D1849" s="584"/>
      <c r="F1849" s="1930">
        <v>-2.8000000000000001E-2</v>
      </c>
      <c r="G1849" s="597"/>
      <c r="H1849" s="1644">
        <f>SUM(H1847)*$F1849</f>
        <v>-1299.732</v>
      </c>
      <c r="I1849" s="1644">
        <f>SUM(I1847)*$F1849</f>
        <v>-1356.432</v>
      </c>
      <c r="K1849" s="1930"/>
      <c r="L1849" s="597"/>
      <c r="M1849" s="1930"/>
      <c r="N1849" s="597"/>
      <c r="O1849" s="1931" t="str">
        <f>$O$43</f>
        <v>Tax Year 1 (7/1/2021)</v>
      </c>
      <c r="P1849" s="597"/>
      <c r="Q1849" s="1930">
        <f>$AC$1827</f>
        <v>-2.7300000000000001E-2</v>
      </c>
      <c r="R1849" s="597"/>
      <c r="S1849" s="1645"/>
      <c r="T1849" s="1645"/>
      <c r="U1849" s="1645"/>
      <c r="V1849" s="1645"/>
      <c r="W1849" s="1645"/>
      <c r="X1849" s="1645"/>
      <c r="Y1849" s="1644">
        <f>Q1849*Y1847</f>
        <v>-873.29970000000003</v>
      </c>
    </row>
    <row r="1850" spans="1:28" hidden="1">
      <c r="A1850" s="1900"/>
      <c r="C1850" s="584"/>
      <c r="D1850" s="584"/>
      <c r="F1850" s="1930"/>
      <c r="G1850" s="597"/>
      <c r="H1850" s="1644"/>
      <c r="I1850" s="1644"/>
      <c r="K1850" s="1930"/>
      <c r="L1850" s="597"/>
      <c r="M1850" s="1930"/>
      <c r="N1850" s="597"/>
      <c r="O1850" s="1931" t="str">
        <f>$O$44</f>
        <v>Tax Year 2 (1/1/2022)</v>
      </c>
      <c r="P1850" s="597"/>
      <c r="Q1850" s="1930">
        <f>$AC$1828</f>
        <v>-1.4800000000000001E-2</v>
      </c>
      <c r="R1850" s="597"/>
      <c r="S1850" s="1645"/>
      <c r="T1850" s="1645"/>
      <c r="U1850" s="1645"/>
      <c r="V1850" s="1645"/>
      <c r="W1850" s="1645"/>
      <c r="X1850" s="1645"/>
      <c r="Y1850" s="1644">
        <f>Q1850*Y1847</f>
        <v>-473.43720000000002</v>
      </c>
    </row>
    <row r="1851" spans="1:28" ht="16.5" hidden="1" thickBot="1">
      <c r="A1851" s="1869" t="s">
        <v>93</v>
      </c>
      <c r="C1851" s="1949">
        <f>C1847+C1848</f>
        <v>836475</v>
      </c>
      <c r="D1851" s="1949">
        <f>Energy!P92</f>
        <v>906565.39492630609</v>
      </c>
      <c r="F1851" s="1939"/>
      <c r="H1851" s="1647">
        <f>SUM(H1843:H1849)</f>
        <v>67475.267999999996</v>
      </c>
      <c r="I1851" s="1647">
        <f>SUM(I1843:I1849)</f>
        <v>72919.567999999999</v>
      </c>
      <c r="K1851" s="1939"/>
      <c r="M1851" s="1939"/>
      <c r="O1851" s="1939"/>
      <c r="Q1851" s="1939"/>
      <c r="S1851" s="1647">
        <f>SUM(S1843:S1848)</f>
        <v>16565</v>
      </c>
      <c r="U1851" s="1647">
        <f>SUM(U1843:U1848)</f>
        <v>15305</v>
      </c>
      <c r="W1851" s="1647">
        <f>SUM(W1843:W1848)</f>
        <v>18394</v>
      </c>
      <c r="Y1851" s="1647">
        <f>SUM(Y1843:Y1848)</f>
        <v>50263</v>
      </c>
      <c r="AA1851" s="1104" t="s">
        <v>1743</v>
      </c>
      <c r="AB1851" s="1890">
        <f>Y1851/I1851-1</f>
        <v>-0.31070628394287803</v>
      </c>
    </row>
    <row r="1852" spans="1:28" ht="16.5" thickTop="1">
      <c r="C1852" s="528"/>
      <c r="D1852" s="528"/>
    </row>
    <row r="1853" spans="1:28">
      <c r="A1853" s="1983" t="s">
        <v>921</v>
      </c>
      <c r="C1853" s="528"/>
      <c r="D1853" s="528"/>
      <c r="F1853" s="596"/>
      <c r="H1853" s="1645"/>
      <c r="I1853" s="1645"/>
      <c r="K1853" s="596"/>
      <c r="M1853" s="596"/>
      <c r="O1853" s="596"/>
      <c r="Q1853" s="596"/>
      <c r="Y1853" s="1645"/>
    </row>
    <row r="1854" spans="1:28">
      <c r="A1854" s="1900" t="s">
        <v>359</v>
      </c>
      <c r="C1854" s="528">
        <f t="shared" ref="C1854:D1856" si="1944">C1862+C1870+C1878</f>
        <v>32427.756363636341</v>
      </c>
      <c r="D1854" s="528">
        <f t="shared" si="1944"/>
        <v>32811</v>
      </c>
      <c r="F1854" s="1901">
        <v>5.5</v>
      </c>
      <c r="G1854" s="1902"/>
      <c r="H1854" s="1644">
        <f>ROUND(C1854*$F1854,0)</f>
        <v>178353</v>
      </c>
      <c r="I1854" s="1644">
        <f>ROUND(D1854*$F1854,0)</f>
        <v>180461</v>
      </c>
      <c r="K1854" s="1944">
        <f>ROUND(S1854/$D1854,2)</f>
        <v>5.5</v>
      </c>
      <c r="L1854" s="597"/>
      <c r="M1854" s="1944">
        <f>ROUND(U1854/$D1854,2)</f>
        <v>0</v>
      </c>
      <c r="N1854" s="597"/>
      <c r="O1854" s="1944">
        <f>ROUND(Q1854-K1854-M1854,2)</f>
        <v>0</v>
      </c>
      <c r="P1854" s="1902"/>
      <c r="Q1854" s="1901">
        <f>ROUND(F1854*(1+$AB$1866),2)</f>
        <v>5.5</v>
      </c>
      <c r="R1854" s="1902"/>
      <c r="S1854" s="1643">
        <f>MIN(S1859,Y1854)</f>
        <v>180461</v>
      </c>
      <c r="T1854" s="1643"/>
      <c r="U1854" s="1643"/>
      <c r="V1854" s="1643"/>
      <c r="W1854" s="1643"/>
      <c r="X1854" s="1643"/>
      <c r="Y1854" s="1644">
        <f>ROUND($D1854*Q1854,0)</f>
        <v>180461</v>
      </c>
    </row>
    <row r="1855" spans="1:28">
      <c r="A1855" s="1900" t="s">
        <v>360</v>
      </c>
      <c r="C1855" s="528">
        <f t="shared" si="1944"/>
        <v>7727417</v>
      </c>
      <c r="D1855" s="528">
        <f t="shared" si="1944"/>
        <v>7776370.4443165418</v>
      </c>
      <c r="F1855" s="1972">
        <v>8.4048999999999996</v>
      </c>
      <c r="G1855" s="1921" t="s">
        <v>495</v>
      </c>
      <c r="H1855" s="1644">
        <f>ROUND(C1855*$F1855/100,0)</f>
        <v>649482</v>
      </c>
      <c r="I1855" s="1644">
        <f>ROUND(D1855*$F1855/100,0)</f>
        <v>653596</v>
      </c>
      <c r="K1855" s="1920">
        <f>ROUND(S1855/$D1855*100,4)</f>
        <v>3.0043000000000002</v>
      </c>
      <c r="L1855" s="1921" t="s">
        <v>495</v>
      </c>
      <c r="M1855" s="1920">
        <f>ROUND(U1855/$D1855*100,4)</f>
        <v>2.8132999999999999</v>
      </c>
      <c r="N1855" s="1921" t="s">
        <v>495</v>
      </c>
      <c r="O1855" s="1920">
        <f>Q1855-K1855-M1855</f>
        <v>2.1834341013880003</v>
      </c>
      <c r="P1855" s="1921" t="s">
        <v>495</v>
      </c>
      <c r="Q1855" s="1972">
        <f>ROUND((AB1863-Y1854)/D1855*100,$AB$8)</f>
        <v>8.0010341013880009</v>
      </c>
      <c r="R1855" s="1921" t="s">
        <v>495</v>
      </c>
      <c r="S1855" s="1648">
        <f>MIN(S1859-S1854,Y1855)</f>
        <v>233622.14527350175</v>
      </c>
      <c r="T1855" s="1648"/>
      <c r="U1855" s="1648">
        <f>MIN(U1859,Y1855-S1855)</f>
        <v>218772.40416268131</v>
      </c>
      <c r="V1855" s="1648"/>
      <c r="W1855" s="1648">
        <f>Y1855-S1855-U1855</f>
        <v>169795.45056381694</v>
      </c>
      <c r="X1855" s="1648"/>
      <c r="Y1855" s="1644">
        <f>ROUND($D1855*Q1855/100,0)</f>
        <v>622190</v>
      </c>
    </row>
    <row r="1856" spans="1:28">
      <c r="A1856" s="1900" t="s">
        <v>288</v>
      </c>
      <c r="C1856" s="586">
        <f t="shared" si="1944"/>
        <v>-144801</v>
      </c>
      <c r="D1856" s="586">
        <f t="shared" si="1944"/>
        <v>0</v>
      </c>
      <c r="H1856" s="1030">
        <f>H1864+H1872+H1880</f>
        <v>-14152</v>
      </c>
      <c r="I1856" s="1030">
        <f t="shared" ref="I1856" si="1945">I1864+I1872+I1880</f>
        <v>0</v>
      </c>
      <c r="Y1856" s="1030"/>
    </row>
    <row r="1857" spans="1:31">
      <c r="A1857" s="1900" t="s">
        <v>1240</v>
      </c>
      <c r="C1857" s="584"/>
      <c r="D1857" s="584"/>
      <c r="F1857" s="1930">
        <v>-3.7699999999999997E-2</v>
      </c>
      <c r="G1857" s="597"/>
      <c r="H1857" s="1644">
        <f>SUM(H1854:H1855)*$F1857</f>
        <v>-31209.379499999999</v>
      </c>
      <c r="I1857" s="1644">
        <f>SUM(I1854:I1855)*$F1857</f>
        <v>-31443.948899999999</v>
      </c>
      <c r="K1857" s="1930"/>
      <c r="L1857" s="597"/>
      <c r="M1857" s="1930"/>
      <c r="N1857" s="597"/>
      <c r="O1857" s="1931" t="str">
        <f>$O$43</f>
        <v>Tax Year 1 (7/1/2021)</v>
      </c>
      <c r="P1857" s="597"/>
      <c r="Q1857" s="1930">
        <f>$AC$1867</f>
        <v>-2.64E-2</v>
      </c>
      <c r="R1857" s="597"/>
      <c r="S1857" s="1645"/>
      <c r="T1857" s="1645"/>
      <c r="U1857" s="1645"/>
      <c r="V1857" s="1645"/>
      <c r="W1857" s="1645"/>
      <c r="X1857" s="1645"/>
      <c r="Y1857" s="1644">
        <f>Q1857*Y1855</f>
        <v>-16425.815999999999</v>
      </c>
      <c r="AA1857" s="1932" t="s">
        <v>1940</v>
      </c>
      <c r="AB1857" s="1932"/>
      <c r="AC1857" s="1932"/>
      <c r="AD1857" s="1932"/>
    </row>
    <row r="1858" spans="1:31">
      <c r="A1858" s="1900"/>
      <c r="C1858" s="584"/>
      <c r="D1858" s="584"/>
      <c r="F1858" s="1930"/>
      <c r="G1858" s="597"/>
      <c r="H1858" s="1644"/>
      <c r="I1858" s="1644"/>
      <c r="K1858" s="1930"/>
      <c r="L1858" s="597"/>
      <c r="M1858" s="1930"/>
      <c r="N1858" s="597"/>
      <c r="O1858" s="1931" t="str">
        <f>$O$44</f>
        <v>Tax Year 2 (1/1/2022)</v>
      </c>
      <c r="P1858" s="597"/>
      <c r="Q1858" s="1930">
        <f>$AC$1868</f>
        <v>-1.43E-2</v>
      </c>
      <c r="R1858" s="597"/>
      <c r="S1858" s="1645"/>
      <c r="T1858" s="1645"/>
      <c r="U1858" s="1645"/>
      <c r="V1858" s="1645"/>
      <c r="W1858" s="1645"/>
      <c r="X1858" s="1645"/>
      <c r="Y1858" s="1644">
        <f>Q1858*Y1855</f>
        <v>-8897.3170000000009</v>
      </c>
      <c r="AA1858" s="1933" t="s">
        <v>1660</v>
      </c>
      <c r="AB1858" s="1933" t="s">
        <v>1661</v>
      </c>
      <c r="AC1858" s="1933" t="s">
        <v>1662</v>
      </c>
      <c r="AD1858" s="1933" t="s">
        <v>93</v>
      </c>
    </row>
    <row r="1859" spans="1:31" ht="16.5" thickBot="1">
      <c r="A1859" s="1869" t="s">
        <v>93</v>
      </c>
      <c r="C1859" s="1949">
        <f>C1855+C1856</f>
        <v>7582616</v>
      </c>
      <c r="D1859" s="1949">
        <f>D1855+D1856</f>
        <v>7776370.4443165418</v>
      </c>
      <c r="F1859" s="1939"/>
      <c r="H1859" s="1647">
        <f>SUM(H1854:H1857)</f>
        <v>782473.62049999996</v>
      </c>
      <c r="I1859" s="1647">
        <f>SUM(I1854:I1857)</f>
        <v>802613.05110000004</v>
      </c>
      <c r="K1859" s="1939"/>
      <c r="M1859" s="1939"/>
      <c r="O1859" s="1939"/>
      <c r="Q1859" s="1939"/>
      <c r="S1859" s="1646">
        <f>$Y1859*AA1859/$AD1859</f>
        <v>414083.14527350175</v>
      </c>
      <c r="T1859" s="1646"/>
      <c r="U1859" s="1646">
        <f>$Y1859*AB1859/$AD1859</f>
        <v>218772.40416268131</v>
      </c>
      <c r="V1859" s="1646"/>
      <c r="W1859" s="1646">
        <f>Y1859-S1859-U1859</f>
        <v>169795.45056381694</v>
      </c>
      <c r="Y1859" s="1647">
        <f>SUM(Y1854:Y1856)</f>
        <v>802651</v>
      </c>
      <c r="AA1859" s="1937">
        <f>'Unit Cost Target'!$J$87+'Unit Cost Target'!$J$123+'Unit Cost Target'!$J$129+'Unit Cost Target'!$J$75+'Unit Cost Target'!$J$81</f>
        <v>387977.94889676501</v>
      </c>
      <c r="AB1859" s="1937">
        <f>'Unit Cost Target'!$J$45+'Unit Cost Target'!$J$51</f>
        <v>204980.25483792328</v>
      </c>
      <c r="AC1859" s="1937">
        <f>'Unit Cost Target'!$J$33+'Unit Cost Target'!$J$39+'Unit Cost Target'!$J$63+'Unit Cost Target'!$J$69</f>
        <v>159090.97337985126</v>
      </c>
      <c r="AD1859" s="1937">
        <f>SUM(AA1859:AC1859)</f>
        <v>752049.17711453955</v>
      </c>
      <c r="AE1859" s="1937">
        <f>AD1859-'Unit Cost Target'!$J$21</f>
        <v>0</v>
      </c>
    </row>
    <row r="1860" spans="1:31" ht="16.5" hidden="1" thickTop="1">
      <c r="C1860" s="528"/>
      <c r="D1860" s="528"/>
      <c r="AA1860" s="1937">
        <f>S1859-SUM(S1851:S1858)</f>
        <v>-16565</v>
      </c>
      <c r="AB1860" s="1937">
        <f>U1859-SUM(U1851:U1858)</f>
        <v>-15305</v>
      </c>
      <c r="AC1860" s="1937">
        <f>W1859-SUM(W1851:W1858)</f>
        <v>-18394</v>
      </c>
      <c r="AD1860" s="1937">
        <f>SUM(AA1860:AC1860)</f>
        <v>-50264</v>
      </c>
      <c r="AE1860" s="1937"/>
    </row>
    <row r="1861" spans="1:31" hidden="1">
      <c r="A1861" s="1983" t="s">
        <v>922</v>
      </c>
      <c r="C1861" s="528"/>
      <c r="D1861" s="528"/>
      <c r="F1861" s="596"/>
      <c r="H1861" s="1645"/>
      <c r="I1861" s="1645"/>
      <c r="K1861" s="596"/>
      <c r="M1861" s="596"/>
      <c r="O1861" s="596"/>
      <c r="Q1861" s="596"/>
      <c r="Y1861" s="1645"/>
    </row>
    <row r="1862" spans="1:31" hidden="1">
      <c r="A1862" s="1900" t="s">
        <v>359</v>
      </c>
      <c r="C1862" s="528">
        <f>'15T'!G13</f>
        <v>13053.365454545499</v>
      </c>
      <c r="D1862" s="528">
        <f>Bill!P38+Bill!P40</f>
        <v>13335</v>
      </c>
      <c r="F1862" s="1901">
        <v>5.5</v>
      </c>
      <c r="G1862" s="1902"/>
      <c r="H1862" s="1644">
        <f>ROUND(C1862*$F1862,0)</f>
        <v>71794</v>
      </c>
      <c r="I1862" s="1644">
        <f>ROUND(D1862*$F1862,0)</f>
        <v>73343</v>
      </c>
      <c r="K1862" s="1901">
        <f>K1854</f>
        <v>5.5</v>
      </c>
      <c r="L1862" s="1902"/>
      <c r="M1862" s="1901">
        <f>M1854</f>
        <v>0</v>
      </c>
      <c r="N1862" s="1902"/>
      <c r="O1862" s="1901">
        <f>O1854</f>
        <v>0</v>
      </c>
      <c r="P1862" s="1902"/>
      <c r="Q1862" s="1901">
        <f>Q1854</f>
        <v>5.5</v>
      </c>
      <c r="R1862" s="1902"/>
      <c r="S1862" s="1644">
        <f t="shared" ref="S1862" si="1946">ROUND($D1862*K1862,0)</f>
        <v>73343</v>
      </c>
      <c r="T1862" s="1645"/>
      <c r="U1862" s="1644">
        <f t="shared" ref="U1862" si="1947">ROUND($D1862*M1862,0)</f>
        <v>0</v>
      </c>
      <c r="V1862" s="1645"/>
      <c r="W1862" s="1644">
        <f t="shared" ref="W1862" si="1948">ROUND($D1862*O1862,0)</f>
        <v>0</v>
      </c>
      <c r="X1862" s="1643"/>
      <c r="Y1862" s="1644">
        <f>ROUND($D1862*Q1862,0)</f>
        <v>73343</v>
      </c>
      <c r="AA1862" s="1903" t="s">
        <v>1741</v>
      </c>
      <c r="AB1862" s="1904">
        <f>Y1859</f>
        <v>802651</v>
      </c>
    </row>
    <row r="1863" spans="1:31" hidden="1">
      <c r="A1863" s="1900" t="s">
        <v>360</v>
      </c>
      <c r="C1863" s="528">
        <f>'15T'!H13</f>
        <v>3317549</v>
      </c>
      <c r="D1863" s="528">
        <f>D1867-D1864</f>
        <v>3410044.1853684746</v>
      </c>
      <c r="F1863" s="1972">
        <v>8.4048999999999996</v>
      </c>
      <c r="G1863" s="1921" t="s">
        <v>495</v>
      </c>
      <c r="H1863" s="1644">
        <f>ROUND(C1863*$F1863/100,0)</f>
        <v>278837</v>
      </c>
      <c r="I1863" s="1644">
        <f>ROUND(D1863*$F1863/100,0)</f>
        <v>286611</v>
      </c>
      <c r="K1863" s="1972">
        <f>K1855</f>
        <v>3.0043000000000002</v>
      </c>
      <c r="L1863" s="1921" t="s">
        <v>495</v>
      </c>
      <c r="M1863" s="1972">
        <f>M1855</f>
        <v>2.8132999999999999</v>
      </c>
      <c r="N1863" s="1921" t="s">
        <v>495</v>
      </c>
      <c r="O1863" s="1972">
        <f>O1855</f>
        <v>2.1834341013880003</v>
      </c>
      <c r="P1863" s="1921" t="s">
        <v>495</v>
      </c>
      <c r="Q1863" s="1972">
        <f>Q1855</f>
        <v>8.0010341013880009</v>
      </c>
      <c r="R1863" s="1921" t="s">
        <v>495</v>
      </c>
      <c r="S1863" s="1644">
        <f>ROUND($D1863*K1863/100,0)</f>
        <v>102448</v>
      </c>
      <c r="T1863" s="1648"/>
      <c r="U1863" s="1644">
        <f>ROUND($D1863*M1863/100,0)</f>
        <v>95935</v>
      </c>
      <c r="V1863" s="1648"/>
      <c r="W1863" s="1644">
        <f>ROUND($D1863*O1863/100,0)</f>
        <v>74456</v>
      </c>
      <c r="X1863" s="1648"/>
      <c r="Y1863" s="1644">
        <f>ROUND($D1863*Q1863/100,0)</f>
        <v>272839</v>
      </c>
      <c r="AA1863" s="1905" t="s">
        <v>1742</v>
      </c>
      <c r="AB1863" s="1906">
        <f>RateSpread!M60*1000</f>
        <v>802651.05110000004</v>
      </c>
    </row>
    <row r="1864" spans="1:31" hidden="1">
      <c r="A1864" s="1900" t="s">
        <v>288</v>
      </c>
      <c r="C1864" s="586">
        <f>'Table 2'!J59</f>
        <v>17601</v>
      </c>
      <c r="D1864" s="586">
        <v>0</v>
      </c>
      <c r="H1864" s="1030">
        <f>'Table 3'!F59</f>
        <v>2008</v>
      </c>
      <c r="I1864" s="1030">
        <v>0</v>
      </c>
      <c r="Y1864" s="1030"/>
      <c r="AA1864" s="1908" t="s">
        <v>87</v>
      </c>
      <c r="AB1864" s="1909">
        <f>AB1863-AB1862</f>
        <v>5.1100000040605664E-2</v>
      </c>
    </row>
    <row r="1865" spans="1:31" hidden="1">
      <c r="A1865" s="1900" t="s">
        <v>1240</v>
      </c>
      <c r="C1865" s="584"/>
      <c r="D1865" s="584"/>
      <c r="F1865" s="1930">
        <v>-3.7699999999999997E-2</v>
      </c>
      <c r="G1865" s="597"/>
      <c r="H1865" s="1644">
        <f>SUM(H1862:H1863)*$F1865</f>
        <v>-13218.788699999999</v>
      </c>
      <c r="I1865" s="1644">
        <f>SUM(I1862:I1863)*$F1865</f>
        <v>-13570.265799999999</v>
      </c>
      <c r="K1865" s="1930"/>
      <c r="L1865" s="597"/>
      <c r="M1865" s="1930"/>
      <c r="N1865" s="597"/>
      <c r="O1865" s="1931" t="str">
        <f>$O$43</f>
        <v>Tax Year 1 (7/1/2021)</v>
      </c>
      <c r="P1865" s="597"/>
      <c r="Q1865" s="1930">
        <f>$AC$1867</f>
        <v>-2.64E-2</v>
      </c>
      <c r="R1865" s="597"/>
      <c r="S1865" s="1645"/>
      <c r="T1865" s="1645"/>
      <c r="U1865" s="1645"/>
      <c r="V1865" s="1645"/>
      <c r="W1865" s="1645"/>
      <c r="X1865" s="1645"/>
      <c r="Y1865" s="1644">
        <f>Q1865*Y1863</f>
        <v>-7202.9495999999999</v>
      </c>
      <c r="AA1865" s="1903" t="s">
        <v>1743</v>
      </c>
      <c r="AB1865" s="1958">
        <f>AB1862/I1859-1</f>
        <v>4.7281688165812241E-5</v>
      </c>
    </row>
    <row r="1866" spans="1:31" hidden="1">
      <c r="A1866" s="1900"/>
      <c r="C1866" s="584"/>
      <c r="D1866" s="584"/>
      <c r="F1866" s="1930"/>
      <c r="G1866" s="597"/>
      <c r="H1866" s="1644"/>
      <c r="I1866" s="1644"/>
      <c r="K1866" s="1930"/>
      <c r="L1866" s="597"/>
      <c r="M1866" s="1930"/>
      <c r="N1866" s="597"/>
      <c r="O1866" s="1931" t="str">
        <f>$O$44</f>
        <v>Tax Year 2 (1/1/2022)</v>
      </c>
      <c r="P1866" s="597"/>
      <c r="Q1866" s="1930">
        <f>$AC$1868</f>
        <v>-1.43E-2</v>
      </c>
      <c r="R1866" s="597"/>
      <c r="S1866" s="1645"/>
      <c r="T1866" s="1645"/>
      <c r="U1866" s="1645"/>
      <c r="V1866" s="1645"/>
      <c r="W1866" s="1645"/>
      <c r="X1866" s="1645"/>
      <c r="Y1866" s="1644">
        <f>Q1866*Y1863</f>
        <v>-3901.5977000000003</v>
      </c>
      <c r="AA1866" s="1915" t="s">
        <v>1744</v>
      </c>
      <c r="AB1866" s="1954">
        <f>AB1863/I1859-1</f>
        <v>4.734535520944938E-5</v>
      </c>
    </row>
    <row r="1867" spans="1:31" ht="16.5" hidden="1" thickBot="1">
      <c r="A1867" s="1869" t="s">
        <v>93</v>
      </c>
      <c r="C1867" s="1949">
        <f>C1863+C1864</f>
        <v>3335150</v>
      </c>
      <c r="D1867" s="1949">
        <f>Energy!P38+Energy!P40</f>
        <v>3410044.1853684746</v>
      </c>
      <c r="F1867" s="1939"/>
      <c r="H1867" s="1647">
        <f>SUM(H1862:H1865)</f>
        <v>339420.21130000002</v>
      </c>
      <c r="I1867" s="1647">
        <f>SUM(I1862:I1865)</f>
        <v>346383.73420000001</v>
      </c>
      <c r="K1867" s="1939"/>
      <c r="M1867" s="1939"/>
      <c r="O1867" s="1939"/>
      <c r="Q1867" s="1939"/>
      <c r="S1867" s="1647">
        <f>SUM(S1862:S1864)</f>
        <v>175791</v>
      </c>
      <c r="U1867" s="1647">
        <f>SUM(U1862:U1864)</f>
        <v>95935</v>
      </c>
      <c r="W1867" s="1647">
        <f>SUM(W1862:W1864)</f>
        <v>74456</v>
      </c>
      <c r="Y1867" s="1647">
        <f>SUM(Y1862:Y1864)</f>
        <v>346182</v>
      </c>
      <c r="AA1867" s="1109" t="s">
        <v>1938</v>
      </c>
      <c r="AB1867" s="1917">
        <f>RateSpread!W60*1000</f>
        <v>-16412.706314992909</v>
      </c>
      <c r="AC1867" s="1918">
        <f>ROUND(AB1867/Y1855,4)</f>
        <v>-2.64E-2</v>
      </c>
    </row>
    <row r="1868" spans="1:31" ht="16.5" hidden="1" thickTop="1">
      <c r="C1868" s="528"/>
      <c r="D1868" s="528"/>
      <c r="AA1868" s="1109" t="s">
        <v>1939</v>
      </c>
      <c r="AB1868" s="1917">
        <f>RateSpread!X60*1000</f>
        <v>-8909.1959447482695</v>
      </c>
      <c r="AC1868" s="1918">
        <f>ROUND(AB1868/Y1855,4)</f>
        <v>-1.43E-2</v>
      </c>
    </row>
    <row r="1869" spans="1:31" hidden="1">
      <c r="A1869" s="1983" t="s">
        <v>923</v>
      </c>
      <c r="C1869" s="528"/>
      <c r="D1869" s="528"/>
      <c r="F1869" s="596"/>
      <c r="H1869" s="1645"/>
      <c r="I1869" s="1645"/>
      <c r="K1869" s="596"/>
      <c r="M1869" s="596"/>
      <c r="O1869" s="596"/>
      <c r="Q1869" s="596"/>
      <c r="Y1869" s="1645"/>
    </row>
    <row r="1870" spans="1:31" hidden="1">
      <c r="A1870" s="1900" t="s">
        <v>359</v>
      </c>
      <c r="C1870" s="528">
        <f>'15T'!G14</f>
        <v>144.23454545454501</v>
      </c>
      <c r="D1870" s="528">
        <f>Bill!P64</f>
        <v>144</v>
      </c>
      <c r="F1870" s="1901">
        <v>5.5</v>
      </c>
      <c r="G1870" s="1902"/>
      <c r="H1870" s="1644">
        <f>ROUND(C1870*$F1870,0)</f>
        <v>793</v>
      </c>
      <c r="I1870" s="1644">
        <f>ROUND(D1870*$F1870,0)</f>
        <v>792</v>
      </c>
      <c r="K1870" s="1901">
        <f>K1854</f>
        <v>5.5</v>
      </c>
      <c r="L1870" s="1902"/>
      <c r="M1870" s="1901">
        <f>M1854</f>
        <v>0</v>
      </c>
      <c r="N1870" s="1902"/>
      <c r="O1870" s="1901">
        <f>O1854</f>
        <v>0</v>
      </c>
      <c r="P1870" s="1902"/>
      <c r="Q1870" s="1901">
        <f>Q1854</f>
        <v>5.5</v>
      </c>
      <c r="R1870" s="1902"/>
      <c r="S1870" s="1644">
        <f t="shared" ref="S1870" si="1949">ROUND($D1870*K1870,0)</f>
        <v>792</v>
      </c>
      <c r="T1870" s="1645"/>
      <c r="U1870" s="1644">
        <f t="shared" ref="U1870" si="1950">ROUND($D1870*M1870,0)</f>
        <v>0</v>
      </c>
      <c r="V1870" s="1645"/>
      <c r="W1870" s="1644">
        <f t="shared" ref="W1870" si="1951">ROUND($D1870*O1870,0)</f>
        <v>0</v>
      </c>
      <c r="X1870" s="1643"/>
      <c r="Y1870" s="1644">
        <f>ROUND($D1870*Q1870,0)</f>
        <v>792</v>
      </c>
    </row>
    <row r="1871" spans="1:31" hidden="1">
      <c r="A1871" s="1900" t="s">
        <v>360</v>
      </c>
      <c r="C1871" s="528">
        <f>'15T'!H14</f>
        <v>47617</v>
      </c>
      <c r="D1871" s="528">
        <f>D1875-D1872</f>
        <v>27840</v>
      </c>
      <c r="F1871" s="1972">
        <v>8.4048999999999996</v>
      </c>
      <c r="G1871" s="1921" t="s">
        <v>495</v>
      </c>
      <c r="H1871" s="1644">
        <f>ROUND(C1871*$F1871/100,0)</f>
        <v>4002</v>
      </c>
      <c r="I1871" s="1644">
        <f>ROUND(D1871*$F1871/100,0)</f>
        <v>2340</v>
      </c>
      <c r="K1871" s="1972">
        <f>K1855</f>
        <v>3.0043000000000002</v>
      </c>
      <c r="L1871" s="1921" t="s">
        <v>495</v>
      </c>
      <c r="M1871" s="1972">
        <f>M1855</f>
        <v>2.8132999999999999</v>
      </c>
      <c r="N1871" s="1921" t="s">
        <v>495</v>
      </c>
      <c r="O1871" s="1972">
        <f>O1855</f>
        <v>2.1834341013880003</v>
      </c>
      <c r="P1871" s="1921" t="s">
        <v>495</v>
      </c>
      <c r="Q1871" s="1972">
        <f>Q1855</f>
        <v>8.0010341013880009</v>
      </c>
      <c r="R1871" s="1921" t="s">
        <v>495</v>
      </c>
      <c r="S1871" s="1644">
        <f>ROUND($D1871*K1871/100,0)</f>
        <v>836</v>
      </c>
      <c r="T1871" s="1648"/>
      <c r="U1871" s="1644">
        <f>ROUND($D1871*M1871/100,0)</f>
        <v>783</v>
      </c>
      <c r="V1871" s="1648"/>
      <c r="W1871" s="1644">
        <f>ROUND($D1871*O1871/100,0)</f>
        <v>608</v>
      </c>
      <c r="X1871" s="1648"/>
      <c r="Y1871" s="1644">
        <f>ROUND($D1871*Q1871/100,0)</f>
        <v>2227</v>
      </c>
    </row>
    <row r="1872" spans="1:31" hidden="1">
      <c r="A1872" s="1900" t="s">
        <v>288</v>
      </c>
      <c r="C1872" s="586">
        <f>'Table 2'!J94</f>
        <v>-772</v>
      </c>
      <c r="D1872" s="586">
        <v>0</v>
      </c>
      <c r="H1872" s="1030">
        <f>'Table 3'!F94</f>
        <v>-71</v>
      </c>
      <c r="I1872" s="1030">
        <v>0</v>
      </c>
      <c r="Y1872" s="1030"/>
    </row>
    <row r="1873" spans="1:28" hidden="1">
      <c r="A1873" s="1900" t="s">
        <v>1240</v>
      </c>
      <c r="C1873" s="584"/>
      <c r="D1873" s="584"/>
      <c r="F1873" s="1930">
        <v>-3.7699999999999997E-2</v>
      </c>
      <c r="G1873" s="597"/>
      <c r="H1873" s="1644">
        <f>SUM(H1870:H1871)*$F1873</f>
        <v>-180.77149999999997</v>
      </c>
      <c r="I1873" s="1644">
        <f>SUM(I1870:I1871)*$F1873</f>
        <v>-118.07639999999999</v>
      </c>
      <c r="K1873" s="1930"/>
      <c r="L1873" s="597"/>
      <c r="M1873" s="1930"/>
      <c r="N1873" s="597"/>
      <c r="O1873" s="1931" t="str">
        <f>$O$43</f>
        <v>Tax Year 1 (7/1/2021)</v>
      </c>
      <c r="P1873" s="597"/>
      <c r="Q1873" s="1930">
        <f>$AC$1867</f>
        <v>-2.64E-2</v>
      </c>
      <c r="R1873" s="597"/>
      <c r="S1873" s="1645"/>
      <c r="T1873" s="1645"/>
      <c r="U1873" s="1645"/>
      <c r="V1873" s="1645"/>
      <c r="W1873" s="1645"/>
      <c r="X1873" s="1645"/>
      <c r="Y1873" s="1644">
        <f>Q1873*Y1871</f>
        <v>-58.7928</v>
      </c>
    </row>
    <row r="1874" spans="1:28" hidden="1">
      <c r="A1874" s="1900"/>
      <c r="C1874" s="584"/>
      <c r="D1874" s="584"/>
      <c r="F1874" s="1930"/>
      <c r="G1874" s="597"/>
      <c r="H1874" s="1644"/>
      <c r="I1874" s="1644"/>
      <c r="K1874" s="1930"/>
      <c r="L1874" s="597"/>
      <c r="M1874" s="1930"/>
      <c r="N1874" s="597"/>
      <c r="O1874" s="1931" t="str">
        <f>$O$44</f>
        <v>Tax Year 2 (1/1/2022)</v>
      </c>
      <c r="P1874" s="597"/>
      <c r="Q1874" s="1930">
        <f>$AC$1868</f>
        <v>-1.43E-2</v>
      </c>
      <c r="R1874" s="597"/>
      <c r="S1874" s="1645"/>
      <c r="T1874" s="1645"/>
      <c r="U1874" s="1645"/>
      <c r="V1874" s="1645"/>
      <c r="W1874" s="1645"/>
      <c r="X1874" s="1645"/>
      <c r="Y1874" s="1644">
        <f>Q1874*Y1871</f>
        <v>-31.8461</v>
      </c>
    </row>
    <row r="1875" spans="1:28" ht="16.5" hidden="1" thickBot="1">
      <c r="A1875" s="1869" t="s">
        <v>93</v>
      </c>
      <c r="C1875" s="1949">
        <f>C1871+C1872</f>
        <v>46845</v>
      </c>
      <c r="D1875" s="1949">
        <f>Energy!P64</f>
        <v>27840</v>
      </c>
      <c r="F1875" s="1939"/>
      <c r="H1875" s="1647">
        <f>SUM(H1870:H1873)</f>
        <v>4543.2285000000002</v>
      </c>
      <c r="I1875" s="1647">
        <f>SUM(I1870:I1873)</f>
        <v>3013.9236000000001</v>
      </c>
      <c r="K1875" s="1939"/>
      <c r="M1875" s="1939"/>
      <c r="O1875" s="1939"/>
      <c r="Q1875" s="1939"/>
      <c r="S1875" s="1647">
        <f>SUM(S1870:S1872)</f>
        <v>1628</v>
      </c>
      <c r="U1875" s="1647">
        <f>SUM(U1870:U1872)</f>
        <v>783</v>
      </c>
      <c r="W1875" s="1647">
        <f>SUM(W1870:W1872)</f>
        <v>608</v>
      </c>
      <c r="Y1875" s="1647">
        <f>SUM(Y1870:Y1872)</f>
        <v>3019</v>
      </c>
      <c r="AA1875" s="1104" t="s">
        <v>1743</v>
      </c>
      <c r="AB1875" s="1890">
        <f>Y1875/I1875-1</f>
        <v>1.6843160855171124E-3</v>
      </c>
    </row>
    <row r="1876" spans="1:28" ht="16.5" hidden="1" thickTop="1">
      <c r="C1876" s="528"/>
      <c r="D1876" s="528"/>
    </row>
    <row r="1877" spans="1:28" hidden="1">
      <c r="A1877" s="1983" t="s">
        <v>924</v>
      </c>
      <c r="C1877" s="528"/>
      <c r="D1877" s="528"/>
      <c r="F1877" s="596"/>
      <c r="H1877" s="1645"/>
      <c r="I1877" s="1645"/>
      <c r="K1877" s="596"/>
      <c r="M1877" s="596"/>
      <c r="O1877" s="596"/>
      <c r="Q1877" s="596"/>
      <c r="Y1877" s="1645"/>
    </row>
    <row r="1878" spans="1:28" hidden="1">
      <c r="A1878" s="1900" t="s">
        <v>359</v>
      </c>
      <c r="C1878" s="528">
        <f>'15T'!G15</f>
        <v>19230.156363636299</v>
      </c>
      <c r="D1878" s="528">
        <f>Bill!P90+Bill!P91</f>
        <v>19332</v>
      </c>
      <c r="F1878" s="1901">
        <v>5.5</v>
      </c>
      <c r="G1878" s="1902"/>
      <c r="H1878" s="1644">
        <f>ROUND(C1878*$F1878,0)</f>
        <v>105766</v>
      </c>
      <c r="I1878" s="1644">
        <f>ROUND(D1878*$F1878,0)</f>
        <v>106326</v>
      </c>
      <c r="K1878" s="1901">
        <f>K1854</f>
        <v>5.5</v>
      </c>
      <c r="L1878" s="1902"/>
      <c r="M1878" s="1901">
        <f>M1854</f>
        <v>0</v>
      </c>
      <c r="N1878" s="1902"/>
      <c r="O1878" s="1901">
        <f>O1854</f>
        <v>0</v>
      </c>
      <c r="P1878" s="1902"/>
      <c r="Q1878" s="1901">
        <f>Q1854</f>
        <v>5.5</v>
      </c>
      <c r="R1878" s="1902"/>
      <c r="S1878" s="1644">
        <f t="shared" ref="S1878" si="1952">ROUND($D1878*K1878,0)</f>
        <v>106326</v>
      </c>
      <c r="T1878" s="1645"/>
      <c r="U1878" s="1644">
        <f t="shared" ref="U1878" si="1953">ROUND($D1878*M1878,0)</f>
        <v>0</v>
      </c>
      <c r="V1878" s="1645"/>
      <c r="W1878" s="1644">
        <f t="shared" ref="W1878" si="1954">ROUND($D1878*O1878,0)</f>
        <v>0</v>
      </c>
      <c r="X1878" s="1643"/>
      <c r="Y1878" s="1644">
        <f>ROUND($D1878*Q1878,0)</f>
        <v>106326</v>
      </c>
    </row>
    <row r="1879" spans="1:28" hidden="1">
      <c r="A1879" s="1900" t="s">
        <v>360</v>
      </c>
      <c r="C1879" s="528">
        <f>'15T'!H15</f>
        <v>4362251</v>
      </c>
      <c r="D1879" s="528">
        <f>D1883-D1880</f>
        <v>4338486.2589480672</v>
      </c>
      <c r="F1879" s="1972">
        <v>8.4048999999999996</v>
      </c>
      <c r="G1879" s="1921" t="s">
        <v>495</v>
      </c>
      <c r="H1879" s="1644">
        <f>ROUND(C1879*$F1879/100,0)</f>
        <v>366643</v>
      </c>
      <c r="I1879" s="1644">
        <f>ROUND(D1879*$F1879/100,0)</f>
        <v>364645</v>
      </c>
      <c r="K1879" s="1972">
        <f>K1855</f>
        <v>3.0043000000000002</v>
      </c>
      <c r="L1879" s="1921" t="s">
        <v>495</v>
      </c>
      <c r="M1879" s="1972">
        <f>M1855</f>
        <v>2.8132999999999999</v>
      </c>
      <c r="N1879" s="1921" t="s">
        <v>495</v>
      </c>
      <c r="O1879" s="1972">
        <f>O1855</f>
        <v>2.1834341013880003</v>
      </c>
      <c r="P1879" s="1921" t="s">
        <v>495</v>
      </c>
      <c r="Q1879" s="1972">
        <f>Q1855</f>
        <v>8.0010341013880009</v>
      </c>
      <c r="R1879" s="1921" t="s">
        <v>495</v>
      </c>
      <c r="S1879" s="1644">
        <f>ROUND($D1879*K1879/100,0)</f>
        <v>130341</v>
      </c>
      <c r="T1879" s="1648"/>
      <c r="U1879" s="1644">
        <f>ROUND($D1879*M1879/100,0)</f>
        <v>122055</v>
      </c>
      <c r="V1879" s="1648"/>
      <c r="W1879" s="1644">
        <f>ROUND($D1879*O1879/100,0)</f>
        <v>94728</v>
      </c>
      <c r="X1879" s="1648"/>
      <c r="Y1879" s="1644">
        <f>ROUND($D1879*Q1879/100,0)</f>
        <v>347124</v>
      </c>
    </row>
    <row r="1880" spans="1:28" hidden="1">
      <c r="A1880" s="1900" t="s">
        <v>288</v>
      </c>
      <c r="C1880" s="586">
        <f>'Table 2'!J142</f>
        <v>-161630</v>
      </c>
      <c r="D1880" s="586">
        <v>0</v>
      </c>
      <c r="H1880" s="1030">
        <f>'Table 3'!F142</f>
        <v>-16089</v>
      </c>
      <c r="I1880" s="1030">
        <v>0</v>
      </c>
      <c r="Y1880" s="1030"/>
    </row>
    <row r="1881" spans="1:28" hidden="1">
      <c r="A1881" s="1900" t="s">
        <v>1240</v>
      </c>
      <c r="C1881" s="584"/>
      <c r="D1881" s="584"/>
      <c r="F1881" s="1930">
        <v>-3.7699999999999997E-2</v>
      </c>
      <c r="G1881" s="597"/>
      <c r="H1881" s="1644">
        <f>SUM(H1878:H1879)*$F1881</f>
        <v>-17809.819299999999</v>
      </c>
      <c r="I1881" s="1644">
        <f>SUM(I1878:I1879)*$F1881</f>
        <v>-17755.6067</v>
      </c>
      <c r="K1881" s="1930"/>
      <c r="L1881" s="597"/>
      <c r="M1881" s="1930"/>
      <c r="N1881" s="597"/>
      <c r="O1881" s="1931" t="str">
        <f>$O$43</f>
        <v>Tax Year 1 (7/1/2021)</v>
      </c>
      <c r="P1881" s="597"/>
      <c r="Q1881" s="1930">
        <f>$AC$1867</f>
        <v>-2.64E-2</v>
      </c>
      <c r="R1881" s="597"/>
      <c r="S1881" s="1645"/>
      <c r="T1881" s="1645"/>
      <c r="U1881" s="1645"/>
      <c r="V1881" s="1645"/>
      <c r="W1881" s="1645"/>
      <c r="X1881" s="1645"/>
      <c r="Y1881" s="1644">
        <f>Q1881*Y1879</f>
        <v>-9164.0735999999997</v>
      </c>
    </row>
    <row r="1882" spans="1:28" hidden="1">
      <c r="A1882" s="1900"/>
      <c r="C1882" s="584"/>
      <c r="D1882" s="584"/>
      <c r="F1882" s="1930"/>
      <c r="G1882" s="597"/>
      <c r="H1882" s="1644"/>
      <c r="I1882" s="1644"/>
      <c r="K1882" s="1930"/>
      <c r="L1882" s="597"/>
      <c r="M1882" s="1930"/>
      <c r="N1882" s="597"/>
      <c r="O1882" s="1931" t="str">
        <f>$O$44</f>
        <v>Tax Year 2 (1/1/2022)</v>
      </c>
      <c r="P1882" s="597"/>
      <c r="Q1882" s="1930">
        <f>$AC$1868</f>
        <v>-1.43E-2</v>
      </c>
      <c r="R1882" s="597"/>
      <c r="S1882" s="1645"/>
      <c r="T1882" s="1645"/>
      <c r="U1882" s="1645"/>
      <c r="V1882" s="1645"/>
      <c r="W1882" s="1645"/>
      <c r="X1882" s="1645"/>
      <c r="Y1882" s="1644">
        <f>Q1882*Y1879</f>
        <v>-4963.8732</v>
      </c>
    </row>
    <row r="1883" spans="1:28" ht="16.5" hidden="1" thickBot="1">
      <c r="A1883" s="1869" t="s">
        <v>93</v>
      </c>
      <c r="C1883" s="1949">
        <f>C1879+C1880</f>
        <v>4200621</v>
      </c>
      <c r="D1883" s="1949">
        <f>Energy!P90+Energy!P91</f>
        <v>4338486.2589480672</v>
      </c>
      <c r="F1883" s="1939"/>
      <c r="H1883" s="1647">
        <f>SUM(H1878:H1881)</f>
        <v>438510.18070000003</v>
      </c>
      <c r="I1883" s="1647">
        <f>SUM(I1878:I1881)</f>
        <v>453215.3933</v>
      </c>
      <c r="K1883" s="1939"/>
      <c r="M1883" s="1939"/>
      <c r="O1883" s="1939"/>
      <c r="Q1883" s="1939"/>
      <c r="S1883" s="1647">
        <f>SUM(S1878:S1880)</f>
        <v>236667</v>
      </c>
      <c r="U1883" s="1647">
        <f>SUM(U1878:U1880)</f>
        <v>122055</v>
      </c>
      <c r="W1883" s="1647">
        <f>SUM(W1878:W1880)</f>
        <v>94728</v>
      </c>
      <c r="Y1883" s="1647">
        <f>SUM(Y1878:Y1880)</f>
        <v>453450</v>
      </c>
      <c r="AA1883" s="1104" t="s">
        <v>1743</v>
      </c>
      <c r="AB1883" s="1890">
        <f>Y1883/I1883-1</f>
        <v>5.1764945204468837E-4</v>
      </c>
    </row>
    <row r="1884" spans="1:28" ht="16.5" thickTop="1">
      <c r="A1884" s="1900"/>
      <c r="C1884" s="528"/>
      <c r="D1884" s="528"/>
      <c r="F1884" s="1985"/>
      <c r="G1884" s="1986"/>
      <c r="H1884" s="1645"/>
      <c r="I1884" s="1645"/>
      <c r="K1884" s="1985"/>
      <c r="L1884" s="1986"/>
      <c r="M1884" s="1985"/>
      <c r="N1884" s="1986"/>
      <c r="O1884" s="1985"/>
      <c r="P1884" s="1986"/>
      <c r="Q1884" s="1985"/>
      <c r="R1884" s="1986"/>
      <c r="S1884" s="1652"/>
      <c r="T1884" s="1652"/>
      <c r="U1884" s="1652"/>
      <c r="V1884" s="1652"/>
      <c r="W1884" s="1652"/>
      <c r="X1884" s="1652"/>
      <c r="Y1884" s="1645"/>
    </row>
    <row r="1885" spans="1:28">
      <c r="A1885" s="1897" t="s">
        <v>485</v>
      </c>
      <c r="C1885" s="528"/>
      <c r="D1885" s="528"/>
    </row>
    <row r="1886" spans="1:28">
      <c r="A1886" s="1897" t="s">
        <v>453</v>
      </c>
      <c r="C1886" s="528"/>
      <c r="D1886" s="528"/>
      <c r="AA1886" s="1109"/>
      <c r="AB1886" s="1114"/>
    </row>
    <row r="1887" spans="1:28">
      <c r="A1887" s="1900" t="s">
        <v>240</v>
      </c>
      <c r="C1887" s="528">
        <f>'Bill-21'!E14</f>
        <v>12</v>
      </c>
      <c r="D1887" s="528">
        <f>C1887*D1919/C1919</f>
        <v>15</v>
      </c>
      <c r="F1887" s="1901"/>
      <c r="G1887" s="1902"/>
      <c r="H1887" s="1644"/>
      <c r="I1887" s="1644"/>
      <c r="K1887" s="1901">
        <f>K969</f>
        <v>54</v>
      </c>
      <c r="L1887" s="1902"/>
      <c r="M1887" s="1901">
        <f>M969</f>
        <v>0</v>
      </c>
      <c r="N1887" s="1902"/>
      <c r="O1887" s="1901">
        <f>O969</f>
        <v>0</v>
      </c>
      <c r="P1887" s="1902"/>
      <c r="Q1887" s="1901">
        <f>Q969</f>
        <v>54</v>
      </c>
      <c r="R1887" s="1902"/>
      <c r="S1887" s="1643">
        <f t="shared" ref="S1887:S1888" si="1955">ROUND($D1887*K1887,0)</f>
        <v>810</v>
      </c>
      <c r="T1887" s="1643"/>
      <c r="U1887" s="1643">
        <f t="shared" ref="U1887:U1888" si="1956">ROUND($D1887*M1887,0)</f>
        <v>0</v>
      </c>
      <c r="V1887" s="1643"/>
      <c r="W1887" s="1643">
        <f t="shared" ref="W1887:W1888" si="1957">ROUND($D1887*O1887,0)</f>
        <v>0</v>
      </c>
      <c r="X1887" s="1643"/>
      <c r="Y1887" s="1643">
        <f t="shared" ref="Y1887:Y1888" si="1958">ROUND($D1887*Q1887,0)</f>
        <v>810</v>
      </c>
      <c r="AA1887" s="1109"/>
      <c r="AB1887" s="1114"/>
    </row>
    <row r="1888" spans="1:28">
      <c r="A1888" s="1900" t="s">
        <v>261</v>
      </c>
      <c r="C1888" s="528">
        <v>0</v>
      </c>
      <c r="D1888" s="528">
        <f>C1888*D1920/C1920</f>
        <v>0</v>
      </c>
      <c r="F1888" s="1901"/>
      <c r="G1888" s="1902"/>
      <c r="H1888" s="1644"/>
      <c r="I1888" s="1644"/>
      <c r="K1888" s="1901">
        <f>K972</f>
        <v>-0.61</v>
      </c>
      <c r="L1888" s="1902"/>
      <c r="M1888" s="1901">
        <f>M972</f>
        <v>0</v>
      </c>
      <c r="N1888" s="1902"/>
      <c r="O1888" s="1901">
        <f>O972</f>
        <v>0</v>
      </c>
      <c r="P1888" s="1902"/>
      <c r="Q1888" s="1901">
        <f>Q972</f>
        <v>-0.61</v>
      </c>
      <c r="R1888" s="1902"/>
      <c r="S1888" s="1643">
        <f t="shared" si="1955"/>
        <v>0</v>
      </c>
      <c r="T1888" s="1643"/>
      <c r="U1888" s="1643">
        <f t="shared" si="1956"/>
        <v>0</v>
      </c>
      <c r="V1888" s="1643"/>
      <c r="W1888" s="1643">
        <f t="shared" si="1957"/>
        <v>0</v>
      </c>
      <c r="X1888" s="1643"/>
      <c r="Y1888" s="1643">
        <f t="shared" si="1958"/>
        <v>0</v>
      </c>
      <c r="AA1888" s="1109"/>
      <c r="AB1888" s="1946"/>
    </row>
    <row r="1889" spans="1:29">
      <c r="A1889" s="1900" t="s">
        <v>1910</v>
      </c>
      <c r="C1889" s="528">
        <f>'Bill-21'!N14</f>
        <v>55256</v>
      </c>
      <c r="D1889" s="528">
        <f>C1889*$D$1925/$C$1925</f>
        <v>82147.641464615925</v>
      </c>
      <c r="E1889" s="597"/>
      <c r="F1889" s="1942"/>
      <c r="G1889" s="1921"/>
      <c r="H1889" s="1644"/>
      <c r="I1889" s="1644"/>
      <c r="J1889" s="597"/>
      <c r="K1889" s="1942">
        <f>K961</f>
        <v>3.9525000000000001</v>
      </c>
      <c r="L1889" s="1921" t="s">
        <v>495</v>
      </c>
      <c r="M1889" s="1942">
        <f>M961</f>
        <v>17.075028114911813</v>
      </c>
      <c r="N1889" s="1921" t="s">
        <v>495</v>
      </c>
      <c r="O1889" s="1942">
        <f>O961</f>
        <v>1.3496999999999999</v>
      </c>
      <c r="P1889" s="1921" t="s">
        <v>495</v>
      </c>
      <c r="Q1889" s="1942">
        <f t="shared" ref="Q1889:Q1896" si="1959">Q961</f>
        <v>22.377228114911812</v>
      </c>
      <c r="R1889" s="1921" t="s">
        <v>495</v>
      </c>
      <c r="S1889" s="1644">
        <f>ROUND($D1889*K1889/100,0)</f>
        <v>3247</v>
      </c>
      <c r="T1889" s="1648"/>
      <c r="U1889" s="1644">
        <f>ROUND($D1889*M1889/100,0)</f>
        <v>14027</v>
      </c>
      <c r="V1889" s="1648"/>
      <c r="W1889" s="1644">
        <f>ROUND($D1889*O1889/100,0)</f>
        <v>1109</v>
      </c>
      <c r="X1889" s="1648"/>
      <c r="Y1889" s="1644">
        <f>ROUND($D1889*Q1889/100,0)</f>
        <v>18382</v>
      </c>
    </row>
    <row r="1890" spans="1:29">
      <c r="A1890" s="1900" t="s">
        <v>1911</v>
      </c>
      <c r="C1890" s="528">
        <f>'Bill-21'!O14</f>
        <v>0</v>
      </c>
      <c r="D1890" s="528">
        <f t="shared" ref="D1890:D1896" si="1960">C1890*$D$1925/$C$1925</f>
        <v>0</v>
      </c>
      <c r="E1890" s="597"/>
      <c r="F1890" s="1942"/>
      <c r="G1890" s="1921"/>
      <c r="H1890" s="1644"/>
      <c r="I1890" s="1644"/>
      <c r="J1890" s="597"/>
      <c r="K1890" s="1942">
        <f t="shared" ref="K1890" si="1961">K962</f>
        <v>3.9525000000000001</v>
      </c>
      <c r="L1890" s="1921" t="s">
        <v>495</v>
      </c>
      <c r="M1890" s="1942">
        <f t="shared" ref="M1890" si="1962">M962</f>
        <v>-0.91518271744099966</v>
      </c>
      <c r="N1890" s="1921" t="s">
        <v>495</v>
      </c>
      <c r="O1890" s="1942">
        <f t="shared" ref="O1890" si="1963">O962</f>
        <v>1.3496999999999999</v>
      </c>
      <c r="P1890" s="1921" t="s">
        <v>495</v>
      </c>
      <c r="Q1890" s="1942">
        <f t="shared" si="1959"/>
        <v>4.3870172825590004</v>
      </c>
      <c r="R1890" s="1921" t="s">
        <v>495</v>
      </c>
      <c r="S1890" s="1644">
        <f t="shared" ref="S1890:S1896" si="1964">ROUND($D1890*K1890/100,0)</f>
        <v>0</v>
      </c>
      <c r="T1890" s="1648"/>
      <c r="U1890" s="1644">
        <f t="shared" ref="U1890:U1896" si="1965">ROUND($D1890*M1890/100,0)</f>
        <v>0</v>
      </c>
      <c r="V1890" s="1648"/>
      <c r="W1890" s="1644">
        <f t="shared" ref="W1890:W1896" si="1966">ROUND($D1890*O1890/100,0)</f>
        <v>0</v>
      </c>
      <c r="X1890" s="1648"/>
      <c r="Y1890" s="1644">
        <f t="shared" ref="Y1890:Y1896" si="1967">ROUND($D1890*Q1890/100,0)</f>
        <v>0</v>
      </c>
    </row>
    <row r="1891" spans="1:29">
      <c r="A1891" s="1900" t="s">
        <v>1912</v>
      </c>
      <c r="C1891" s="528">
        <f>'Bill-21'!R14</f>
        <v>105141</v>
      </c>
      <c r="D1891" s="528">
        <f t="shared" si="1960"/>
        <v>156310.35853538409</v>
      </c>
      <c r="E1891" s="597"/>
      <c r="F1891" s="1942"/>
      <c r="G1891" s="1921"/>
      <c r="H1891" s="1644"/>
      <c r="I1891" s="1644"/>
      <c r="J1891" s="597"/>
      <c r="K1891" s="1942">
        <f t="shared" ref="K1891" si="1968">K963</f>
        <v>3.9525000000000001</v>
      </c>
      <c r="L1891" s="1921" t="s">
        <v>495</v>
      </c>
      <c r="M1891" s="1942">
        <f t="shared" ref="M1891" si="1969">M963</f>
        <v>14.656000000000001</v>
      </c>
      <c r="N1891" s="1921" t="s">
        <v>495</v>
      </c>
      <c r="O1891" s="1942">
        <f t="shared" ref="O1891" si="1970">O963</f>
        <v>1.1943999999999999</v>
      </c>
      <c r="P1891" s="1921" t="s">
        <v>495</v>
      </c>
      <c r="Q1891" s="1942">
        <f t="shared" si="1959"/>
        <v>19.802900000000001</v>
      </c>
      <c r="R1891" s="1921" t="s">
        <v>495</v>
      </c>
      <c r="S1891" s="1644">
        <f t="shared" si="1964"/>
        <v>6178</v>
      </c>
      <c r="T1891" s="1648"/>
      <c r="U1891" s="1644">
        <f t="shared" si="1965"/>
        <v>22909</v>
      </c>
      <c r="V1891" s="1648"/>
      <c r="W1891" s="1644">
        <f t="shared" si="1966"/>
        <v>1867</v>
      </c>
      <c r="X1891" s="1648"/>
      <c r="Y1891" s="1644">
        <f t="shared" si="1967"/>
        <v>30954</v>
      </c>
    </row>
    <row r="1892" spans="1:29">
      <c r="A1892" s="1900" t="s">
        <v>1913</v>
      </c>
      <c r="C1892" s="528">
        <f>'Bill-21'!S14</f>
        <v>0</v>
      </c>
      <c r="D1892" s="528">
        <f t="shared" si="1960"/>
        <v>0</v>
      </c>
      <c r="E1892" s="597"/>
      <c r="F1892" s="1942"/>
      <c r="G1892" s="1921"/>
      <c r="H1892" s="1644"/>
      <c r="I1892" s="1644"/>
      <c r="J1892" s="597"/>
      <c r="K1892" s="1942">
        <f t="shared" ref="K1892" si="1971">K964</f>
        <v>3.9525000000000001</v>
      </c>
      <c r="L1892" s="1921" t="s">
        <v>495</v>
      </c>
      <c r="M1892" s="1942">
        <f t="shared" ref="M1892" si="1972">M964</f>
        <v>-1.2646000000000002</v>
      </c>
      <c r="N1892" s="1921" t="s">
        <v>495</v>
      </c>
      <c r="O1892" s="1942">
        <f t="shared" ref="O1892" si="1973">O964</f>
        <v>1.1943999999999999</v>
      </c>
      <c r="P1892" s="1921" t="s">
        <v>495</v>
      </c>
      <c r="Q1892" s="1942">
        <f t="shared" si="1959"/>
        <v>3.8822999999999999</v>
      </c>
      <c r="R1892" s="1921" t="s">
        <v>495</v>
      </c>
      <c r="S1892" s="1644">
        <f t="shared" si="1964"/>
        <v>0</v>
      </c>
      <c r="T1892" s="1648"/>
      <c r="U1892" s="1644">
        <f t="shared" si="1965"/>
        <v>0</v>
      </c>
      <c r="V1892" s="1648"/>
      <c r="W1892" s="1644">
        <f t="shared" si="1966"/>
        <v>0</v>
      </c>
      <c r="X1892" s="1648"/>
      <c r="Y1892" s="1644">
        <f t="shared" si="1967"/>
        <v>0</v>
      </c>
    </row>
    <row r="1893" spans="1:29">
      <c r="A1893" s="1900" t="s">
        <v>1906</v>
      </c>
      <c r="C1893" s="528">
        <f>'Bill-21'!P14</f>
        <v>30686.447437025206</v>
      </c>
      <c r="D1893" s="528">
        <f t="shared" si="1960"/>
        <v>45620.73407194746</v>
      </c>
      <c r="E1893" s="597"/>
      <c r="F1893" s="1942"/>
      <c r="G1893" s="1921"/>
      <c r="H1893" s="1644"/>
      <c r="I1893" s="1644"/>
      <c r="J1893" s="597"/>
      <c r="K1893" s="1942">
        <f t="shared" ref="K1893" si="1974">K965</f>
        <v>0</v>
      </c>
      <c r="L1893" s="1921" t="s">
        <v>495</v>
      </c>
      <c r="M1893" s="1942">
        <f t="shared" ref="M1893" si="1975">M965</f>
        <v>0</v>
      </c>
      <c r="N1893" s="1921" t="s">
        <v>495</v>
      </c>
      <c r="O1893" s="1942">
        <f t="shared" ref="O1893" si="1976">O965</f>
        <v>6</v>
      </c>
      <c r="P1893" s="1921" t="s">
        <v>495</v>
      </c>
      <c r="Q1893" s="1942">
        <f t="shared" si="1959"/>
        <v>6</v>
      </c>
      <c r="R1893" s="1921" t="s">
        <v>495</v>
      </c>
      <c r="S1893" s="1644">
        <f t="shared" si="1964"/>
        <v>0</v>
      </c>
      <c r="T1893" s="1648"/>
      <c r="U1893" s="1644">
        <f t="shared" si="1965"/>
        <v>0</v>
      </c>
      <c r="V1893" s="1648"/>
      <c r="W1893" s="1644">
        <f t="shared" si="1966"/>
        <v>2737</v>
      </c>
      <c r="X1893" s="1648"/>
      <c r="Y1893" s="1644">
        <f t="shared" si="1967"/>
        <v>2737</v>
      </c>
    </row>
    <row r="1894" spans="1:29">
      <c r="A1894" s="1900" t="s">
        <v>1907</v>
      </c>
      <c r="C1894" s="528">
        <f>'Bill-21'!Q14</f>
        <v>24569.55256297479</v>
      </c>
      <c r="D1894" s="528">
        <f t="shared" si="1960"/>
        <v>36526.907392668458</v>
      </c>
      <c r="E1894" s="597"/>
      <c r="F1894" s="1942"/>
      <c r="G1894" s="1921"/>
      <c r="H1894" s="1644"/>
      <c r="I1894" s="1644"/>
      <c r="J1894" s="597"/>
      <c r="K1894" s="1942">
        <f t="shared" ref="K1894" si="1977">K966</f>
        <v>0</v>
      </c>
      <c r="L1894" s="1921" t="s">
        <v>495</v>
      </c>
      <c r="M1894" s="1942">
        <f t="shared" ref="M1894" si="1978">M966</f>
        <v>0</v>
      </c>
      <c r="N1894" s="1921" t="s">
        <v>495</v>
      </c>
      <c r="O1894" s="1942">
        <f t="shared" ref="O1894" si="1979">O966</f>
        <v>-2.3358000000000008</v>
      </c>
      <c r="P1894" s="1921" t="s">
        <v>495</v>
      </c>
      <c r="Q1894" s="1942">
        <f t="shared" si="1959"/>
        <v>-2.3358000000000008</v>
      </c>
      <c r="R1894" s="1921" t="s">
        <v>495</v>
      </c>
      <c r="S1894" s="1644">
        <f t="shared" si="1964"/>
        <v>0</v>
      </c>
      <c r="T1894" s="1648"/>
      <c r="U1894" s="1644">
        <f t="shared" si="1965"/>
        <v>0</v>
      </c>
      <c r="V1894" s="1648"/>
      <c r="W1894" s="1644">
        <f t="shared" si="1966"/>
        <v>-853</v>
      </c>
      <c r="X1894" s="1648"/>
      <c r="Y1894" s="1644">
        <f t="shared" si="1967"/>
        <v>-853</v>
      </c>
    </row>
    <row r="1895" spans="1:29">
      <c r="A1895" s="1900" t="s">
        <v>1908</v>
      </c>
      <c r="C1895" s="528">
        <f>'Bill-21'!T14</f>
        <v>58390.107318232724</v>
      </c>
      <c r="D1895" s="528">
        <f t="shared" si="1960"/>
        <v>86807.036359103586</v>
      </c>
      <c r="E1895" s="597"/>
      <c r="F1895" s="1942"/>
      <c r="G1895" s="1921"/>
      <c r="H1895" s="1644"/>
      <c r="I1895" s="1644"/>
      <c r="J1895" s="597"/>
      <c r="K1895" s="1942">
        <f t="shared" ref="K1895" si="1980">K967</f>
        <v>0</v>
      </c>
      <c r="L1895" s="1921" t="s">
        <v>495</v>
      </c>
      <c r="M1895" s="1942">
        <f t="shared" ref="M1895" si="1981">M967</f>
        <v>0</v>
      </c>
      <c r="N1895" s="1921" t="s">
        <v>495</v>
      </c>
      <c r="O1895" s="1942">
        <f t="shared" ref="O1895" si="1982">O967</f>
        <v>5.3097000000000003</v>
      </c>
      <c r="P1895" s="1921" t="s">
        <v>495</v>
      </c>
      <c r="Q1895" s="1942">
        <f t="shared" si="1959"/>
        <v>5.3097000000000003</v>
      </c>
      <c r="R1895" s="1921" t="s">
        <v>495</v>
      </c>
      <c r="S1895" s="1644">
        <f t="shared" si="1964"/>
        <v>0</v>
      </c>
      <c r="T1895" s="1648"/>
      <c r="U1895" s="1644">
        <f t="shared" si="1965"/>
        <v>0</v>
      </c>
      <c r="V1895" s="1648"/>
      <c r="W1895" s="1644">
        <f t="shared" si="1966"/>
        <v>4609</v>
      </c>
      <c r="X1895" s="1648"/>
      <c r="Y1895" s="1644">
        <f t="shared" si="1967"/>
        <v>4609</v>
      </c>
    </row>
    <row r="1896" spans="1:29">
      <c r="A1896" s="1900" t="s">
        <v>1909</v>
      </c>
      <c r="C1896" s="528">
        <f>'Bill-21'!U14</f>
        <v>46750.892681767269</v>
      </c>
      <c r="D1896" s="528">
        <f t="shared" si="1960"/>
        <v>69503.322176280475</v>
      </c>
      <c r="E1896" s="597"/>
      <c r="F1896" s="1942"/>
      <c r="G1896" s="1921"/>
      <c r="H1896" s="1644"/>
      <c r="I1896" s="1644"/>
      <c r="J1896" s="597"/>
      <c r="K1896" s="1942">
        <f t="shared" ref="K1896" si="1983">K968</f>
        <v>0</v>
      </c>
      <c r="L1896" s="1921" t="s">
        <v>495</v>
      </c>
      <c r="M1896" s="1942">
        <f t="shared" ref="M1896" si="1984">M968</f>
        <v>0</v>
      </c>
      <c r="N1896" s="1921" t="s">
        <v>495</v>
      </c>
      <c r="O1896" s="1942">
        <f t="shared" ref="O1896" si="1985">O968</f>
        <v>-2.0670999999999999</v>
      </c>
      <c r="P1896" s="1921" t="s">
        <v>495</v>
      </c>
      <c r="Q1896" s="1942">
        <f t="shared" si="1959"/>
        <v>-2.0670999999999999</v>
      </c>
      <c r="R1896" s="1921" t="s">
        <v>495</v>
      </c>
      <c r="S1896" s="1644">
        <f t="shared" si="1964"/>
        <v>0</v>
      </c>
      <c r="T1896" s="1648"/>
      <c r="U1896" s="1644">
        <f t="shared" si="1965"/>
        <v>0</v>
      </c>
      <c r="V1896" s="1648"/>
      <c r="W1896" s="1644">
        <f t="shared" si="1966"/>
        <v>-1437</v>
      </c>
      <c r="X1896" s="1648"/>
      <c r="Y1896" s="1644">
        <f t="shared" si="1967"/>
        <v>-1437</v>
      </c>
    </row>
    <row r="1897" spans="1:29">
      <c r="A1897" s="1900" t="s">
        <v>1240</v>
      </c>
      <c r="C1897" s="584"/>
      <c r="D1897" s="584"/>
      <c r="F1897" s="1930"/>
      <c r="G1897" s="597"/>
      <c r="H1897" s="1644"/>
      <c r="I1897" s="1644"/>
      <c r="K1897" s="1930"/>
      <c r="L1897" s="597"/>
      <c r="M1897" s="1930"/>
      <c r="N1897" s="597"/>
      <c r="O1897" s="1931" t="str">
        <f>$O$43</f>
        <v>Tax Year 1 (7/1/2021)</v>
      </c>
      <c r="P1897" s="597"/>
      <c r="Q1897" s="1930">
        <f>$Q$979</f>
        <v>-3.0599999999999999E-2</v>
      </c>
      <c r="R1897" s="597"/>
      <c r="S1897" s="1645"/>
      <c r="T1897" s="1645"/>
      <c r="U1897" s="1645"/>
      <c r="V1897" s="1645"/>
      <c r="W1897" s="1645"/>
      <c r="X1897" s="1645"/>
      <c r="Y1897" s="1644">
        <f>Q1897*SUM(Y1889:Y1892)</f>
        <v>-1509.6815999999999</v>
      </c>
    </row>
    <row r="1898" spans="1:29">
      <c r="A1898" s="1900"/>
      <c r="C1898" s="584"/>
      <c r="D1898" s="584"/>
      <c r="F1898" s="1930"/>
      <c r="G1898" s="597"/>
      <c r="H1898" s="1644"/>
      <c r="I1898" s="1644"/>
      <c r="K1898" s="1930"/>
      <c r="L1898" s="597"/>
      <c r="M1898" s="1930"/>
      <c r="N1898" s="597"/>
      <c r="O1898" s="1931" t="str">
        <f>$O$44</f>
        <v>Tax Year 2 (1/1/2022)</v>
      </c>
      <c r="P1898" s="597"/>
      <c r="Q1898" s="1930">
        <f>$Q$980</f>
        <v>-1.66E-2</v>
      </c>
      <c r="R1898" s="597"/>
      <c r="S1898" s="1645"/>
      <c r="T1898" s="1645"/>
      <c r="U1898" s="1645"/>
      <c r="V1898" s="1645"/>
      <c r="W1898" s="1645"/>
      <c r="X1898" s="1645"/>
      <c r="Y1898" s="1644">
        <f>Q1898*SUM(Y1889:Y1892)</f>
        <v>-818.97760000000005</v>
      </c>
    </row>
    <row r="1899" spans="1:29">
      <c r="A1899" s="1900"/>
      <c r="C1899" s="584"/>
      <c r="D1899" s="584"/>
      <c r="F1899" s="1930"/>
      <c r="G1899" s="597"/>
      <c r="H1899" s="1644"/>
      <c r="I1899" s="1644"/>
      <c r="K1899" s="1930"/>
      <c r="L1899" s="597"/>
      <c r="M1899" s="1930"/>
      <c r="N1899" s="597"/>
      <c r="O1899" s="1930"/>
      <c r="P1899" s="597"/>
      <c r="Q1899" s="1930"/>
      <c r="R1899" s="597"/>
      <c r="S1899" s="1644">
        <f>SUM(S1887:S1896)</f>
        <v>10235</v>
      </c>
      <c r="T1899" s="1645"/>
      <c r="U1899" s="1644">
        <f>SUM(U1887:U1896)</f>
        <v>36936</v>
      </c>
      <c r="V1899" s="1645"/>
      <c r="W1899" s="1644">
        <f>SUM(W1887:W1896)</f>
        <v>8032</v>
      </c>
      <c r="X1899" s="1645"/>
      <c r="Y1899" s="1644">
        <f>SUM(Y1887:Y1896)</f>
        <v>55202</v>
      </c>
      <c r="AA1899" s="1104" t="s">
        <v>1743</v>
      </c>
      <c r="AB1899" s="1890">
        <f>Y1899/I1925-1</f>
        <v>0.14107302288562296</v>
      </c>
    </row>
    <row r="1900" spans="1:29">
      <c r="A1900" s="1897" t="s">
        <v>412</v>
      </c>
      <c r="C1900" s="528"/>
      <c r="D1900" s="528"/>
      <c r="AA1900" s="1109"/>
      <c r="AB1900" s="1917"/>
      <c r="AC1900" s="1918"/>
    </row>
    <row r="1901" spans="1:29">
      <c r="A1901" s="1900" t="s">
        <v>240</v>
      </c>
      <c r="C1901" s="528">
        <f>'21'!E20</f>
        <v>16.599921259842521</v>
      </c>
      <c r="D1901" s="528">
        <f>C1901*D1927/C1927</f>
        <v>21</v>
      </c>
      <c r="F1901" s="1901"/>
      <c r="G1901" s="1902"/>
      <c r="H1901" s="1644"/>
      <c r="I1901" s="1644"/>
      <c r="K1901" s="1901">
        <f>K1479</f>
        <v>269</v>
      </c>
      <c r="L1901" s="1902"/>
      <c r="M1901" s="1901">
        <f>M1479</f>
        <v>0</v>
      </c>
      <c r="N1901" s="1902"/>
      <c r="O1901" s="1901">
        <f>O1479</f>
        <v>0</v>
      </c>
      <c r="P1901" s="1902"/>
      <c r="Q1901" s="1901">
        <f t="shared" ref="Q1901:Q1908" si="1986">Q1479</f>
        <v>269</v>
      </c>
      <c r="R1901" s="1902"/>
      <c r="S1901" s="1643">
        <f t="shared" ref="S1901" si="1987">ROUND($D1901*K1901,0)</f>
        <v>5649</v>
      </c>
      <c r="T1901" s="1643"/>
      <c r="U1901" s="1643">
        <f t="shared" ref="U1901" si="1988">ROUND($D1901*M1901,0)</f>
        <v>0</v>
      </c>
      <c r="V1901" s="1643"/>
      <c r="W1901" s="1643">
        <f t="shared" ref="W1901" si="1989">ROUND($D1901*O1901,0)</f>
        <v>0</v>
      </c>
      <c r="X1901" s="1643"/>
      <c r="Y1901" s="1643">
        <f t="shared" ref="Y1901:Y1904" si="1990">ROUND($D1901*Q1901,0)</f>
        <v>5649</v>
      </c>
    </row>
    <row r="1902" spans="1:29">
      <c r="A1902" s="1900" t="s">
        <v>168</v>
      </c>
      <c r="C1902" s="528">
        <f>'21'!G20</f>
        <v>17216.667441860463</v>
      </c>
      <c r="D1902" s="528">
        <f>C1902*$D$1933/$C$1933</f>
        <v>25595.559913253968</v>
      </c>
      <c r="F1902" s="1901"/>
      <c r="G1902" s="1902"/>
      <c r="H1902" s="1644"/>
      <c r="I1902" s="1644"/>
      <c r="K1902" s="1901">
        <f t="shared" ref="K1902" si="1991">K1480</f>
        <v>2.2999999999999998</v>
      </c>
      <c r="L1902" s="1902"/>
      <c r="M1902" s="1901">
        <f t="shared" ref="M1902" si="1992">M1480</f>
        <v>0</v>
      </c>
      <c r="N1902" s="1902"/>
      <c r="O1902" s="1901">
        <f t="shared" ref="O1902" si="1993">O1480</f>
        <v>0</v>
      </c>
      <c r="P1902" s="1902"/>
      <c r="Q1902" s="1901">
        <f t="shared" si="1986"/>
        <v>2.2999999999999998</v>
      </c>
      <c r="R1902" s="1902"/>
      <c r="S1902" s="1643">
        <f t="shared" ref="S1902:S1904" si="1994">ROUND($D1902*K1902,0)</f>
        <v>58870</v>
      </c>
      <c r="T1902" s="1643"/>
      <c r="U1902" s="1643">
        <f t="shared" ref="U1902:U1904" si="1995">ROUND($D1902*M1902,0)</f>
        <v>0</v>
      </c>
      <c r="V1902" s="1643"/>
      <c r="W1902" s="1643">
        <f t="shared" ref="W1902:W1904" si="1996">ROUND($D1902*O1902,0)</f>
        <v>0</v>
      </c>
      <c r="X1902" s="1643"/>
      <c r="Y1902" s="1643">
        <f t="shared" si="1990"/>
        <v>58870</v>
      </c>
      <c r="Z1902" s="1878" t="s">
        <v>251</v>
      </c>
    </row>
    <row r="1903" spans="1:29">
      <c r="A1903" s="1900" t="s">
        <v>1651</v>
      </c>
      <c r="C1903" s="528">
        <f>C1909*Z1903</f>
        <v>5830.26278514365</v>
      </c>
      <c r="D1903" s="528">
        <f>C1903*$D$1933/$C$1933</f>
        <v>8667.6960527404663</v>
      </c>
      <c r="F1903" s="1944"/>
      <c r="G1903" s="597"/>
      <c r="H1903" s="1644"/>
      <c r="I1903" s="1644"/>
      <c r="K1903" s="1944">
        <f t="shared" ref="K1903" si="1997">K1481</f>
        <v>4.8</v>
      </c>
      <c r="L1903" s="597"/>
      <c r="M1903" s="1944">
        <f t="shared" ref="M1903" si="1998">M1481</f>
        <v>9.68</v>
      </c>
      <c r="N1903" s="597"/>
      <c r="O1903" s="1944">
        <f t="shared" ref="O1903" si="1999">O1481</f>
        <v>0</v>
      </c>
      <c r="P1903" s="597"/>
      <c r="Q1903" s="1944">
        <f t="shared" si="1986"/>
        <v>14.48</v>
      </c>
      <c r="R1903" s="597"/>
      <c r="S1903" s="1643">
        <f t="shared" si="1994"/>
        <v>41605</v>
      </c>
      <c r="T1903" s="1643"/>
      <c r="U1903" s="1643">
        <f t="shared" si="1995"/>
        <v>83903</v>
      </c>
      <c r="V1903" s="1643"/>
      <c r="W1903" s="1643">
        <f t="shared" si="1996"/>
        <v>0</v>
      </c>
      <c r="X1903" s="1645"/>
      <c r="Y1903" s="1643">
        <f t="shared" si="1990"/>
        <v>125508</v>
      </c>
      <c r="Z1903" s="1878">
        <f>'Large Profile'!L11</f>
        <v>0.81143000192935111</v>
      </c>
    </row>
    <row r="1904" spans="1:29">
      <c r="A1904" s="1900" t="s">
        <v>1652</v>
      </c>
      <c r="C1904" s="528">
        <f>C1910*Z1904</f>
        <v>11395.132241028516</v>
      </c>
      <c r="D1904" s="528">
        <f>C1904*$D$1933/$C$1933</f>
        <v>16940.838927140219</v>
      </c>
      <c r="F1904" s="1944"/>
      <c r="G1904" s="597"/>
      <c r="H1904" s="1644"/>
      <c r="I1904" s="1644"/>
      <c r="K1904" s="1944">
        <f t="shared" ref="K1904" si="2000">K1482</f>
        <v>4.25</v>
      </c>
      <c r="L1904" s="597"/>
      <c r="M1904" s="1944">
        <f t="shared" ref="M1904" si="2001">M1482</f>
        <v>8.56</v>
      </c>
      <c r="N1904" s="597"/>
      <c r="O1904" s="1944">
        <f t="shared" ref="O1904" si="2002">O1482</f>
        <v>0</v>
      </c>
      <c r="P1904" s="597"/>
      <c r="Q1904" s="1944">
        <f t="shared" si="1986"/>
        <v>12.81</v>
      </c>
      <c r="R1904" s="597"/>
      <c r="S1904" s="1643">
        <f t="shared" si="1994"/>
        <v>71999</v>
      </c>
      <c r="T1904" s="1643"/>
      <c r="U1904" s="1643">
        <f t="shared" si="1995"/>
        <v>145014</v>
      </c>
      <c r="V1904" s="1643"/>
      <c r="W1904" s="1643">
        <f t="shared" si="1996"/>
        <v>0</v>
      </c>
      <c r="X1904" s="1645"/>
      <c r="Y1904" s="1643">
        <f t="shared" si="1990"/>
        <v>217012</v>
      </c>
      <c r="Z1904" s="1878">
        <f>'Large Profile'!P11</f>
        <v>1.1359353572586484</v>
      </c>
    </row>
    <row r="1905" spans="1:28">
      <c r="A1905" s="1900" t="s">
        <v>1532</v>
      </c>
      <c r="C1905" s="528">
        <f>C1911*Z1905</f>
        <v>62825.972110416842</v>
      </c>
      <c r="D1905" s="528">
        <f>C1905*$D$1933/($C$1933-$C$1931)</f>
        <v>91665.936485583297</v>
      </c>
      <c r="F1905" s="1943"/>
      <c r="G1905" s="1921"/>
      <c r="H1905" s="1644"/>
      <c r="I1905" s="1644"/>
      <c r="K1905" s="1943">
        <f t="shared" ref="K1905" si="2003">K1483</f>
        <v>0</v>
      </c>
      <c r="L1905" s="1921" t="s">
        <v>495</v>
      </c>
      <c r="M1905" s="1943">
        <f t="shared" ref="M1905" si="2004">M1483</f>
        <v>1.0927</v>
      </c>
      <c r="N1905" s="1921" t="s">
        <v>495</v>
      </c>
      <c r="O1905" s="1943">
        <f t="shared" ref="O1905" si="2005">O1483</f>
        <v>4.1108761607000002</v>
      </c>
      <c r="P1905" s="1921" t="s">
        <v>495</v>
      </c>
      <c r="Q1905" s="1943">
        <f t="shared" si="1986"/>
        <v>5.2035761607</v>
      </c>
      <c r="R1905" s="1921" t="s">
        <v>495</v>
      </c>
      <c r="S1905" s="1644">
        <f t="shared" ref="S1905" si="2006">ROUND($D1905*K1905/100,0)</f>
        <v>0</v>
      </c>
      <c r="T1905" s="1648"/>
      <c r="U1905" s="1644">
        <f t="shared" ref="U1905" si="2007">ROUND($D1905*M1905/100,0)</f>
        <v>1002</v>
      </c>
      <c r="V1905" s="1648"/>
      <c r="W1905" s="1644">
        <f t="shared" ref="W1905" si="2008">ROUND($D1905*O1905/100,0)</f>
        <v>3768</v>
      </c>
      <c r="X1905" s="1648"/>
      <c r="Y1905" s="1644">
        <f t="shared" ref="Y1905:Y1908" si="2009">ROUND($D1905*Q1905/100,0)</f>
        <v>4770</v>
      </c>
      <c r="Z1905" s="1878">
        <f>'Large Profile'!M11</f>
        <v>0.69164135480564293</v>
      </c>
    </row>
    <row r="1906" spans="1:28">
      <c r="A1906" s="1900" t="s">
        <v>1653</v>
      </c>
      <c r="C1906" s="528">
        <f>C1912*Z1906</f>
        <v>167429.75213258711</v>
      </c>
      <c r="D1906" s="528">
        <f>C1906*$D$1933/($C$1933-$C$1931)</f>
        <v>244287.58536054517</v>
      </c>
      <c r="F1906" s="1943"/>
      <c r="G1906" s="1921"/>
      <c r="H1906" s="1644"/>
      <c r="I1906" s="1644"/>
      <c r="K1906" s="1943">
        <f t="shared" ref="K1906" si="2010">K1484</f>
        <v>0</v>
      </c>
      <c r="L1906" s="1921" t="s">
        <v>495</v>
      </c>
      <c r="M1906" s="1943">
        <f t="shared" ref="M1906" si="2011">M1484</f>
        <v>1.0927</v>
      </c>
      <c r="N1906" s="1921" t="s">
        <v>495</v>
      </c>
      <c r="O1906" s="1943">
        <f t="shared" ref="O1906" si="2012">O1484</f>
        <v>3.5122346554870001</v>
      </c>
      <c r="P1906" s="1921" t="s">
        <v>495</v>
      </c>
      <c r="Q1906" s="1943">
        <f t="shared" si="1986"/>
        <v>4.6049346554869999</v>
      </c>
      <c r="R1906" s="1921" t="s">
        <v>495</v>
      </c>
      <c r="S1906" s="1644">
        <f t="shared" ref="S1906:S1908" si="2013">ROUND($D1906*K1906/100,0)</f>
        <v>0</v>
      </c>
      <c r="T1906" s="1648"/>
      <c r="U1906" s="1644">
        <f t="shared" ref="U1906:U1908" si="2014">ROUND($D1906*M1906/100,0)</f>
        <v>2669</v>
      </c>
      <c r="V1906" s="1648"/>
      <c r="W1906" s="1644">
        <f t="shared" ref="W1906:W1908" si="2015">ROUND($D1906*O1906/100,0)</f>
        <v>8580</v>
      </c>
      <c r="X1906" s="1648"/>
      <c r="Y1906" s="1644">
        <f t="shared" si="2009"/>
        <v>11249</v>
      </c>
      <c r="Z1906" s="1878">
        <f>'Large Profile'!Q11</f>
        <v>0.49962363006591026</v>
      </c>
    </row>
    <row r="1907" spans="1:28">
      <c r="A1907" s="1900" t="s">
        <v>1533</v>
      </c>
      <c r="C1907" s="528">
        <f>C1913*Z1907</f>
        <v>248522.35206664595</v>
      </c>
      <c r="D1907" s="528">
        <f>C1907*$D$1933/($C$1933-$C$1931)</f>
        <v>362605.35849331866</v>
      </c>
      <c r="F1907" s="1943"/>
      <c r="G1907" s="1921"/>
      <c r="H1907" s="1644"/>
      <c r="I1907" s="1644"/>
      <c r="K1907" s="1943">
        <f t="shared" ref="K1907" si="2016">K1485</f>
        <v>0</v>
      </c>
      <c r="L1907" s="1921" t="s">
        <v>495</v>
      </c>
      <c r="M1907" s="1943">
        <f t="shared" ref="M1907" si="2017">M1485</f>
        <v>1.0927</v>
      </c>
      <c r="N1907" s="1921" t="s">
        <v>495</v>
      </c>
      <c r="O1907" s="1943">
        <f t="shared" ref="O1907" si="2018">O1485</f>
        <v>1.5521862361710002</v>
      </c>
      <c r="P1907" s="1921" t="s">
        <v>495</v>
      </c>
      <c r="Q1907" s="1943">
        <f t="shared" si="1986"/>
        <v>2.6448862361710002</v>
      </c>
      <c r="R1907" s="1921" t="s">
        <v>495</v>
      </c>
      <c r="S1907" s="1644">
        <f t="shared" si="2013"/>
        <v>0</v>
      </c>
      <c r="T1907" s="1648"/>
      <c r="U1907" s="1644">
        <f t="shared" si="2014"/>
        <v>3962</v>
      </c>
      <c r="V1907" s="1648"/>
      <c r="W1907" s="1644">
        <f t="shared" si="2015"/>
        <v>5628</v>
      </c>
      <c r="X1907" s="1648"/>
      <c r="Y1907" s="1644">
        <f t="shared" si="2009"/>
        <v>9590</v>
      </c>
      <c r="Z1907" s="1878">
        <f>'Large Profile'!O11</f>
        <v>0.83672504038207063</v>
      </c>
    </row>
    <row r="1908" spans="1:28">
      <c r="A1908" s="1900" t="s">
        <v>2177</v>
      </c>
      <c r="C1908" s="528">
        <f>SUM(C1911:C1914)-SUM(C1905:C1907)</f>
        <v>616906.92369035014</v>
      </c>
      <c r="D1908" s="528">
        <f>C1908*$D$1933/($C$1933-$C$1931)</f>
        <v>900095.11966055306</v>
      </c>
      <c r="F1908" s="1943"/>
      <c r="G1908" s="1921"/>
      <c r="H1908" s="1644"/>
      <c r="I1908" s="1644"/>
      <c r="K1908" s="1943">
        <f t="shared" ref="K1908" si="2019">K1486</f>
        <v>0</v>
      </c>
      <c r="L1908" s="1921" t="s">
        <v>495</v>
      </c>
      <c r="M1908" s="1943">
        <f t="shared" ref="M1908" si="2020">M1486</f>
        <v>1.0927</v>
      </c>
      <c r="N1908" s="1921" t="s">
        <v>495</v>
      </c>
      <c r="O1908" s="1943">
        <f t="shared" ref="O1908" si="2021">O1486</f>
        <v>1.247907288647</v>
      </c>
      <c r="P1908" s="1921" t="s">
        <v>495</v>
      </c>
      <c r="Q1908" s="1943">
        <f t="shared" si="1986"/>
        <v>2.340607288647</v>
      </c>
      <c r="R1908" s="1921" t="s">
        <v>495</v>
      </c>
      <c r="S1908" s="1644">
        <f t="shared" si="2013"/>
        <v>0</v>
      </c>
      <c r="T1908" s="1648"/>
      <c r="U1908" s="1644">
        <f t="shared" si="2014"/>
        <v>9835</v>
      </c>
      <c r="V1908" s="1648"/>
      <c r="W1908" s="1644">
        <f t="shared" si="2015"/>
        <v>11232</v>
      </c>
      <c r="X1908" s="1648"/>
      <c r="Y1908" s="1644">
        <f t="shared" si="2009"/>
        <v>21068</v>
      </c>
      <c r="Z1908" s="1878">
        <f>'Large Profile'!S11</f>
        <v>1.7261375747426841</v>
      </c>
    </row>
    <row r="1909" spans="1:28">
      <c r="A1909" s="1900" t="s">
        <v>2185</v>
      </c>
      <c r="C1909" s="528">
        <f>$C$1902*Z1909</f>
        <v>7185.1703428280116</v>
      </c>
      <c r="D1909" s="528"/>
      <c r="F1909" s="1943"/>
      <c r="G1909" s="1921"/>
      <c r="H1909" s="1644"/>
      <c r="I1909" s="1644"/>
      <c r="K1909" s="1943"/>
      <c r="L1909" s="1921"/>
      <c r="M1909" s="1943"/>
      <c r="N1909" s="1921"/>
      <c r="O1909" s="1943"/>
      <c r="P1909" s="1921"/>
      <c r="Q1909" s="1943"/>
      <c r="R1909" s="1921"/>
      <c r="S1909" s="1648"/>
      <c r="T1909" s="1648"/>
      <c r="U1909" s="1648"/>
      <c r="V1909" s="1648"/>
      <c r="W1909" s="1648"/>
      <c r="X1909" s="1648"/>
      <c r="Y1909" s="1644"/>
      <c r="Z1909" s="1878">
        <f>'Large Profile'!D7/'Large Profile'!B7</f>
        <v>0.41733804565208987</v>
      </c>
    </row>
    <row r="1910" spans="1:28">
      <c r="A1910" s="1900" t="s">
        <v>2186</v>
      </c>
      <c r="C1910" s="528">
        <f>$C$1902*Z1910</f>
        <v>10031.497099032445</v>
      </c>
      <c r="D1910" s="528"/>
      <c r="F1910" s="1943"/>
      <c r="G1910" s="1921"/>
      <c r="H1910" s="1644"/>
      <c r="I1910" s="1644"/>
      <c r="K1910" s="1943"/>
      <c r="L1910" s="1921"/>
      <c r="M1910" s="1943"/>
      <c r="N1910" s="1921"/>
      <c r="O1910" s="1943"/>
      <c r="P1910" s="1921"/>
      <c r="Q1910" s="1943"/>
      <c r="R1910" s="1921"/>
      <c r="S1910" s="1648"/>
      <c r="T1910" s="1648"/>
      <c r="U1910" s="1648"/>
      <c r="V1910" s="1648"/>
      <c r="W1910" s="1648"/>
      <c r="X1910" s="1648"/>
      <c r="Y1910" s="1644"/>
      <c r="Z1910" s="1878">
        <f>'Large Profile'!H7/'Large Profile'!B7</f>
        <v>0.58266195434790979</v>
      </c>
    </row>
    <row r="1911" spans="1:28">
      <c r="A1911" s="1900" t="s">
        <v>2187</v>
      </c>
      <c r="C1911" s="528">
        <f>Z1911*'21'!L20</f>
        <v>90836.054949420242</v>
      </c>
      <c r="D1911" s="528"/>
      <c r="F1911" s="1943"/>
      <c r="G1911" s="1921"/>
      <c r="H1911" s="1644"/>
      <c r="I1911" s="1644"/>
      <c r="K1911" s="1943"/>
      <c r="L1911" s="1921"/>
      <c r="M1911" s="1943"/>
      <c r="N1911" s="1921"/>
      <c r="O1911" s="1943"/>
      <c r="P1911" s="1921"/>
      <c r="Q1911" s="1943"/>
      <c r="R1911" s="1921"/>
      <c r="S1911" s="1648"/>
      <c r="T1911" s="1648"/>
      <c r="U1911" s="1648"/>
      <c r="V1911" s="1648"/>
      <c r="W1911" s="1648"/>
      <c r="X1911" s="1648"/>
      <c r="Y1911" s="1644"/>
      <c r="Z1911" s="1878">
        <f>'Large Profile'!E7/('Large Profile'!E7+'Large Profile'!G7)</f>
        <v>0.23420167111701889</v>
      </c>
    </row>
    <row r="1912" spans="1:28">
      <c r="A1912" s="1900" t="s">
        <v>2188</v>
      </c>
      <c r="C1912" s="528">
        <f>Z1912*('21'!J20-'21'!L20)</f>
        <v>335111.75624439499</v>
      </c>
      <c r="D1912" s="528"/>
      <c r="F1912" s="1943"/>
      <c r="G1912" s="1921"/>
      <c r="H1912" s="1644"/>
      <c r="I1912" s="1644"/>
      <c r="K1912" s="1943"/>
      <c r="L1912" s="1921"/>
      <c r="M1912" s="1943"/>
      <c r="N1912" s="1921"/>
      <c r="O1912" s="1943"/>
      <c r="P1912" s="1921"/>
      <c r="Q1912" s="1943"/>
      <c r="R1912" s="1921"/>
      <c r="S1912" s="1648"/>
      <c r="T1912" s="1648"/>
      <c r="U1912" s="1648"/>
      <c r="V1912" s="1648"/>
      <c r="W1912" s="1648"/>
      <c r="X1912" s="1648"/>
      <c r="Y1912" s="1644"/>
      <c r="Z1912" s="1878">
        <f>'Large Profile'!I7/('Large Profile'!I7+'Large Profile'!K7)</f>
        <v>0.47343469874079402</v>
      </c>
    </row>
    <row r="1913" spans="1:28">
      <c r="A1913" s="1900" t="s">
        <v>2189</v>
      </c>
      <c r="C1913" s="528">
        <f>Z1913*('21'!L20)</f>
        <v>297017.94505057973</v>
      </c>
      <c r="D1913" s="528"/>
      <c r="F1913" s="1943"/>
      <c r="G1913" s="1921"/>
      <c r="H1913" s="1644"/>
      <c r="I1913" s="1644"/>
      <c r="K1913" s="1943"/>
      <c r="L1913" s="1921"/>
      <c r="M1913" s="1943"/>
      <c r="N1913" s="1921"/>
      <c r="O1913" s="1943"/>
      <c r="P1913" s="1921"/>
      <c r="Q1913" s="1943"/>
      <c r="R1913" s="1921"/>
      <c r="S1913" s="1648"/>
      <c r="T1913" s="1648"/>
      <c r="U1913" s="1648"/>
      <c r="V1913" s="1648"/>
      <c r="W1913" s="1648"/>
      <c r="X1913" s="1648"/>
      <c r="Y1913" s="1644"/>
      <c r="Z1913" s="1878">
        <f>1-Z1911</f>
        <v>0.76579832888298105</v>
      </c>
    </row>
    <row r="1914" spans="1:28">
      <c r="A1914" s="1900" t="s">
        <v>2190</v>
      </c>
      <c r="C1914" s="528">
        <f>C1929+C1930-SUM(C1911:C1913)</f>
        <v>372719.24375560507</v>
      </c>
      <c r="D1914" s="528"/>
      <c r="F1914" s="1943"/>
      <c r="G1914" s="1921"/>
      <c r="H1914" s="1644"/>
      <c r="I1914" s="1644"/>
      <c r="K1914" s="1943"/>
      <c r="L1914" s="1921"/>
      <c r="M1914" s="1943"/>
      <c r="N1914" s="1921"/>
      <c r="O1914" s="1943"/>
      <c r="P1914" s="1921"/>
      <c r="Q1914" s="1943"/>
      <c r="R1914" s="1921"/>
      <c r="S1914" s="1648"/>
      <c r="T1914" s="1648"/>
      <c r="U1914" s="1648"/>
      <c r="V1914" s="1648"/>
      <c r="W1914" s="1648"/>
      <c r="X1914" s="1648"/>
      <c r="Y1914" s="1644"/>
      <c r="Z1914" s="1878">
        <f>1-Z1912</f>
        <v>0.52656530125920598</v>
      </c>
    </row>
    <row r="1915" spans="1:28">
      <c r="A1915" s="1900" t="s">
        <v>1240</v>
      </c>
      <c r="C1915" s="584"/>
      <c r="D1915" s="584"/>
      <c r="F1915" s="1930">
        <v>-6.2E-2</v>
      </c>
      <c r="G1915" s="597"/>
      <c r="H1915" s="1644">
        <f>SUM(H1903:H1905,H1910:H1912)*$F1915</f>
        <v>0</v>
      </c>
      <c r="I1915" s="1644">
        <f>SUM(I1903:I1905,I1910:I1912)*$F1915</f>
        <v>0</v>
      </c>
      <c r="K1915" s="1930"/>
      <c r="L1915" s="597"/>
      <c r="M1915" s="1930"/>
      <c r="N1915" s="597"/>
      <c r="O1915" s="1931" t="str">
        <f>$O$43</f>
        <v>Tax Year 1 (7/1/2021)</v>
      </c>
      <c r="P1915" s="597"/>
      <c r="Q1915" s="1930">
        <f>Q1493</f>
        <v>-2.5700000000000001E-2</v>
      </c>
      <c r="R1915" s="597"/>
      <c r="S1915" s="1645"/>
      <c r="T1915" s="1645"/>
      <c r="U1915" s="1645"/>
      <c r="V1915" s="1645"/>
      <c r="W1915" s="1645"/>
      <c r="X1915" s="1645"/>
      <c r="Y1915" s="1644">
        <f>Q1915*SUM(Y1903:Y1908)</f>
        <v>-10002.3629</v>
      </c>
    </row>
    <row r="1916" spans="1:28">
      <c r="A1916" s="1900"/>
      <c r="C1916" s="584"/>
      <c r="D1916" s="584"/>
      <c r="F1916" s="1930"/>
      <c r="G1916" s="597"/>
      <c r="H1916" s="1644"/>
      <c r="I1916" s="1644"/>
      <c r="K1916" s="1930"/>
      <c r="L1916" s="597"/>
      <c r="M1916" s="1930"/>
      <c r="N1916" s="597"/>
      <c r="O1916" s="1931" t="str">
        <f>$O$44</f>
        <v>Tax Year 2 (1/1/2022)</v>
      </c>
      <c r="P1916" s="597"/>
      <c r="Q1916" s="1930">
        <f>Q1494</f>
        <v>-1.3899999999999999E-2</v>
      </c>
      <c r="R1916" s="597"/>
      <c r="S1916" s="1645"/>
      <c r="T1916" s="1645"/>
      <c r="U1916" s="1645"/>
      <c r="V1916" s="1645"/>
      <c r="W1916" s="1645"/>
      <c r="X1916" s="1645"/>
      <c r="Y1916" s="1644">
        <f>Q1916*SUM(Y1903:Y1908)</f>
        <v>-5409.8382999999994</v>
      </c>
    </row>
    <row r="1917" spans="1:28">
      <c r="A1917" s="1900"/>
      <c r="C1917" s="584"/>
      <c r="D1917" s="584"/>
      <c r="F1917" s="1930"/>
      <c r="G1917" s="597"/>
      <c r="H1917" s="1644"/>
      <c r="I1917" s="1644"/>
      <c r="K1917" s="1930"/>
      <c r="L1917" s="597"/>
      <c r="M1917" s="1930"/>
      <c r="N1917" s="597"/>
      <c r="O1917" s="1930"/>
      <c r="P1917" s="597"/>
      <c r="Q1917" s="1930"/>
      <c r="R1917" s="597"/>
      <c r="S1917" s="1644">
        <f>SUM(S1901:S1908)</f>
        <v>178123</v>
      </c>
      <c r="T1917" s="1645"/>
      <c r="U1917" s="1644">
        <f>SUM(U1901:U1908)</f>
        <v>246385</v>
      </c>
      <c r="V1917" s="1645"/>
      <c r="W1917" s="1644">
        <f>SUM(W1901:W1908)</f>
        <v>29208</v>
      </c>
      <c r="X1917" s="1645"/>
      <c r="Y1917" s="1644">
        <f>SUM(Y1901:Y1908)</f>
        <v>453716</v>
      </c>
      <c r="AA1917" s="1104" t="s">
        <v>1743</v>
      </c>
      <c r="AB1917" s="1890">
        <f>Y1917/I1933-1</f>
        <v>1.4560039221059031</v>
      </c>
    </row>
    <row r="1918" spans="1:28">
      <c r="A1918" s="1987" t="s">
        <v>395</v>
      </c>
      <c r="C1918" s="528"/>
      <c r="D1918" s="528"/>
    </row>
    <row r="1919" spans="1:28">
      <c r="A1919" s="1900" t="s">
        <v>240</v>
      </c>
      <c r="C1919" s="528">
        <f>'21'!H7</f>
        <v>12</v>
      </c>
      <c r="D1919" s="528">
        <f>ROUND(C1919/($C$1919+$C$1927)*Bill!$P$65,0)</f>
        <v>15</v>
      </c>
      <c r="F1919" s="1901">
        <v>127</v>
      </c>
      <c r="G1919" s="1902"/>
      <c r="H1919" s="1644">
        <f>ROUND($F1919*C1919,0)</f>
        <v>1524</v>
      </c>
      <c r="I1919" s="1644">
        <f>ROUND($F1919*D1919,0)</f>
        <v>1905</v>
      </c>
      <c r="K1919" s="1901"/>
      <c r="L1919" s="1902"/>
      <c r="M1919" s="1901"/>
      <c r="N1919" s="1902"/>
      <c r="O1919" s="1901"/>
      <c r="P1919" s="1902"/>
      <c r="Q1919" s="1901"/>
      <c r="R1919" s="1902"/>
      <c r="S1919" s="1643"/>
      <c r="T1919" s="1643"/>
      <c r="U1919" s="1643"/>
      <c r="V1919" s="1643"/>
      <c r="W1919" s="1643"/>
      <c r="X1919" s="1643"/>
      <c r="Y1919" s="1644"/>
    </row>
    <row r="1920" spans="1:28">
      <c r="A1920" s="1900" t="s">
        <v>1250</v>
      </c>
      <c r="C1920" s="528">
        <f>'21'!I7</f>
        <v>5197</v>
      </c>
      <c r="D1920" s="528">
        <f>ROUND(C1920/($C$1925-$C$1923)*$D$1925,0)</f>
        <v>7726</v>
      </c>
      <c r="F1920" s="1901">
        <v>4.3</v>
      </c>
      <c r="G1920" s="1902"/>
      <c r="H1920" s="1644">
        <f>ROUND($F1920*C1920,0)</f>
        <v>22347</v>
      </c>
      <c r="I1920" s="1644">
        <f>ROUND($F1920*D1920,0)</f>
        <v>33222</v>
      </c>
      <c r="K1920" s="1901"/>
      <c r="L1920" s="1902"/>
      <c r="M1920" s="1901"/>
      <c r="N1920" s="1902"/>
      <c r="O1920" s="1901"/>
      <c r="P1920" s="1902"/>
      <c r="Q1920" s="1901"/>
      <c r="R1920" s="1902"/>
      <c r="S1920" s="1643"/>
      <c r="T1920" s="1643"/>
      <c r="U1920" s="1643"/>
      <c r="V1920" s="1643"/>
      <c r="W1920" s="1643"/>
      <c r="X1920" s="1643"/>
      <c r="Y1920" s="1644"/>
    </row>
    <row r="1921" spans="1:28">
      <c r="A1921" s="1900" t="s">
        <v>396</v>
      </c>
      <c r="C1921" s="528">
        <f>'21'!K7</f>
        <v>160397</v>
      </c>
      <c r="D1921" s="528">
        <f>ROUND(C1921/($C$1925-$C$1923)*$D$1925,0)</f>
        <v>238458</v>
      </c>
      <c r="F1921" s="1988">
        <v>6.8446999999999996</v>
      </c>
      <c r="G1921" s="1921" t="s">
        <v>495</v>
      </c>
      <c r="H1921" s="1644">
        <f>ROUND($F1921*C1921/100,0)</f>
        <v>10979</v>
      </c>
      <c r="I1921" s="1644">
        <f>ROUND($F1921*D1921/100,0)</f>
        <v>16322</v>
      </c>
      <c r="K1921" s="1988"/>
      <c r="L1921" s="1921"/>
      <c r="M1921" s="1988"/>
      <c r="N1921" s="1921"/>
      <c r="O1921" s="1988"/>
      <c r="P1921" s="1921"/>
      <c r="Q1921" s="1988"/>
      <c r="R1921" s="1921"/>
      <c r="S1921" s="1648"/>
      <c r="T1921" s="1648"/>
      <c r="U1921" s="1648"/>
      <c r="V1921" s="1648"/>
      <c r="W1921" s="1648"/>
      <c r="X1921" s="1648"/>
      <c r="Y1921" s="1644"/>
    </row>
    <row r="1922" spans="1:28">
      <c r="A1922" s="1900" t="s">
        <v>95</v>
      </c>
      <c r="C1922" s="528">
        <f>'21'!L7</f>
        <v>0</v>
      </c>
      <c r="D1922" s="528">
        <f t="shared" ref="D1922" si="2022">ROUND(C1922/($C$1925-$C$1923)*$D$1925,0)</f>
        <v>0</v>
      </c>
      <c r="F1922" s="1988">
        <v>5.7472000000000003</v>
      </c>
      <c r="G1922" s="1921" t="s">
        <v>495</v>
      </c>
      <c r="H1922" s="1644">
        <f>ROUND($F1922*C1922/100,0)</f>
        <v>0</v>
      </c>
      <c r="I1922" s="1644">
        <f>ROUND($F1922*D1922/100,0)</f>
        <v>0</v>
      </c>
      <c r="K1922" s="1988"/>
      <c r="L1922" s="1921"/>
      <c r="M1922" s="1988"/>
      <c r="N1922" s="1921"/>
      <c r="O1922" s="1988"/>
      <c r="P1922" s="1921"/>
      <c r="Q1922" s="1988"/>
      <c r="R1922" s="1921"/>
      <c r="S1922" s="1648"/>
      <c r="T1922" s="1648"/>
      <c r="U1922" s="1648"/>
      <c r="V1922" s="1648"/>
      <c r="W1922" s="1648"/>
      <c r="X1922" s="1648"/>
      <c r="Y1922" s="1644"/>
    </row>
    <row r="1923" spans="1:28">
      <c r="A1923" s="1900" t="s">
        <v>246</v>
      </c>
      <c r="C1923" s="529">
        <v>0</v>
      </c>
      <c r="D1923" s="529">
        <v>0</v>
      </c>
      <c r="F1923" s="1988"/>
      <c r="G1923" s="1982"/>
      <c r="H1923" s="1030">
        <v>0</v>
      </c>
      <c r="I1923" s="1030">
        <v>0</v>
      </c>
      <c r="K1923" s="1988"/>
      <c r="L1923" s="1982"/>
      <c r="M1923" s="1988"/>
      <c r="N1923" s="1982"/>
      <c r="O1923" s="1988"/>
      <c r="P1923" s="1982"/>
      <c r="Q1923" s="1988"/>
      <c r="R1923" s="1982"/>
      <c r="S1923" s="1653"/>
      <c r="T1923" s="1653"/>
      <c r="U1923" s="1653"/>
      <c r="V1923" s="1653"/>
      <c r="W1923" s="1653"/>
      <c r="X1923" s="1653"/>
      <c r="Y1923" s="1030"/>
    </row>
    <row r="1924" spans="1:28">
      <c r="A1924" s="1900" t="s">
        <v>1240</v>
      </c>
      <c r="C1924" s="584"/>
      <c r="D1924" s="584"/>
      <c r="F1924" s="1930">
        <v>-6.2E-2</v>
      </c>
      <c r="G1924" s="597"/>
      <c r="H1924" s="1644">
        <f>SUM(H1920:H1922)*$F1924</f>
        <v>-2066.212</v>
      </c>
      <c r="I1924" s="1644">
        <f>SUM(I1920:I1922)*$F1924</f>
        <v>-3071.7280000000001</v>
      </c>
      <c r="K1924" s="1988"/>
      <c r="L1924" s="1982"/>
      <c r="M1924" s="1988"/>
      <c r="N1924" s="1982"/>
      <c r="O1924" s="1988"/>
      <c r="P1924" s="1982"/>
      <c r="Q1924" s="1988"/>
      <c r="R1924" s="1982"/>
      <c r="S1924" s="1653"/>
      <c r="T1924" s="1653"/>
      <c r="U1924" s="1653"/>
      <c r="V1924" s="1653"/>
      <c r="W1924" s="1653"/>
      <c r="X1924" s="1653"/>
      <c r="Y1924" s="1645"/>
    </row>
    <row r="1925" spans="1:28">
      <c r="A1925" s="1900" t="s">
        <v>397</v>
      </c>
      <c r="C1925" s="528">
        <f>C1922+C1921+C1923</f>
        <v>160397</v>
      </c>
      <c r="D1925" s="528">
        <f>ROUND(C1925/C1935*D1935,0)</f>
        <v>238458</v>
      </c>
      <c r="F1925" s="1943"/>
      <c r="G1925" s="1957"/>
      <c r="H1925" s="1644">
        <f>SUM(H1919:H1924)</f>
        <v>32783.788</v>
      </c>
      <c r="I1925" s="1644">
        <f>SUM(I1919:I1924)</f>
        <v>48377.271999999997</v>
      </c>
      <c r="K1925" s="1943"/>
      <c r="L1925" s="1957"/>
      <c r="M1925" s="1943"/>
      <c r="N1925" s="1957"/>
      <c r="O1925" s="1943"/>
      <c r="P1925" s="1957"/>
      <c r="Q1925" s="1943"/>
      <c r="R1925" s="1957"/>
      <c r="S1925" s="1645"/>
      <c r="T1925" s="1645"/>
      <c r="U1925" s="1645"/>
      <c r="V1925" s="1645"/>
      <c r="W1925" s="1645"/>
      <c r="X1925" s="1645"/>
      <c r="Y1925" s="1644"/>
    </row>
    <row r="1926" spans="1:28">
      <c r="A1926" s="1987" t="s">
        <v>398</v>
      </c>
      <c r="C1926" s="528"/>
      <c r="D1926" s="528"/>
      <c r="F1926" s="1943"/>
      <c r="G1926" s="1957"/>
      <c r="K1926" s="1943"/>
      <c r="L1926" s="1957"/>
      <c r="M1926" s="1943"/>
      <c r="N1926" s="1957"/>
      <c r="O1926" s="1943"/>
      <c r="P1926" s="1957"/>
      <c r="Q1926" s="1943"/>
      <c r="R1926" s="1957"/>
      <c r="S1926" s="1645"/>
      <c r="T1926" s="1645"/>
      <c r="U1926" s="1645"/>
      <c r="V1926" s="1645"/>
      <c r="W1926" s="1645"/>
      <c r="X1926" s="1645"/>
    </row>
    <row r="1927" spans="1:28">
      <c r="A1927" s="1900" t="s">
        <v>240</v>
      </c>
      <c r="C1927" s="528">
        <f>'21'!H8</f>
        <v>16.599921259842521</v>
      </c>
      <c r="D1927" s="528">
        <f>Bill!P65-'Blocking-Step2'!D1919</f>
        <v>21</v>
      </c>
      <c r="F1927" s="1901">
        <v>127</v>
      </c>
      <c r="G1927" s="1902"/>
      <c r="H1927" s="1644">
        <f>ROUND($F1927*C1927,0)</f>
        <v>2108</v>
      </c>
      <c r="I1927" s="1644">
        <f>ROUND($F1927*D1927,0)</f>
        <v>2667</v>
      </c>
      <c r="K1927" s="1901"/>
      <c r="L1927" s="1902"/>
      <c r="M1927" s="1901"/>
      <c r="N1927" s="1902"/>
      <c r="O1927" s="1901"/>
      <c r="P1927" s="1902"/>
      <c r="Q1927" s="1901"/>
      <c r="R1927" s="1902"/>
      <c r="S1927" s="1643"/>
      <c r="T1927" s="1643"/>
      <c r="U1927" s="1643"/>
      <c r="V1927" s="1643"/>
      <c r="W1927" s="1643"/>
      <c r="X1927" s="1643"/>
      <c r="Y1927" s="1644"/>
    </row>
    <row r="1928" spans="1:28">
      <c r="A1928" s="1900" t="s">
        <v>1250</v>
      </c>
      <c r="C1928" s="528">
        <f>'21'!I8</f>
        <v>17216.667441860471</v>
      </c>
      <c r="D1928" s="528">
        <f>ROUND(C1928/($C$1933-$C$1931)*$D$1933,0)</f>
        <v>25120</v>
      </c>
      <c r="F1928" s="1901">
        <v>4.3</v>
      </c>
      <c r="G1928" s="1902"/>
      <c r="H1928" s="1644">
        <f>ROUND($F1928*C1928,0)</f>
        <v>74032</v>
      </c>
      <c r="I1928" s="1644">
        <f>ROUND($F1928*D1928,0)</f>
        <v>108016</v>
      </c>
      <c r="K1928" s="1901"/>
      <c r="L1928" s="1902"/>
      <c r="M1928" s="1901"/>
      <c r="N1928" s="1902"/>
      <c r="O1928" s="1901"/>
      <c r="P1928" s="1902"/>
      <c r="Q1928" s="1901"/>
      <c r="R1928" s="1902"/>
      <c r="S1928" s="1643"/>
      <c r="T1928" s="1643"/>
      <c r="U1928" s="1643"/>
      <c r="V1928" s="1643"/>
      <c r="W1928" s="1643"/>
      <c r="X1928" s="1643"/>
      <c r="Y1928" s="1644"/>
    </row>
    <row r="1929" spans="1:28">
      <c r="A1929" s="1900" t="s">
        <v>396</v>
      </c>
      <c r="C1929" s="528">
        <f>'21'!M8</f>
        <v>1095685</v>
      </c>
      <c r="D1929" s="528">
        <f>ROUND(C1929/($C$1933-$C$1931)*$D$1933,0)</f>
        <v>1598654</v>
      </c>
      <c r="F1929" s="1988">
        <v>5.3851000000000004</v>
      </c>
      <c r="G1929" s="1921" t="s">
        <v>495</v>
      </c>
      <c r="H1929" s="1644">
        <f>ROUND($F1929*C1929/100,0)</f>
        <v>59004</v>
      </c>
      <c r="I1929" s="1644">
        <f>ROUND($F1929*D1929/100,0)</f>
        <v>86089</v>
      </c>
      <c r="K1929" s="1988"/>
      <c r="L1929" s="1921"/>
      <c r="M1929" s="1988"/>
      <c r="N1929" s="1921"/>
      <c r="O1929" s="1988"/>
      <c r="P1929" s="1921"/>
      <c r="Q1929" s="1988"/>
      <c r="R1929" s="1921"/>
      <c r="S1929" s="1648"/>
      <c r="T1929" s="1648"/>
      <c r="U1929" s="1648"/>
      <c r="V1929" s="1648"/>
      <c r="W1929" s="1648"/>
      <c r="X1929" s="1648"/>
      <c r="Y1929" s="1644"/>
    </row>
    <row r="1930" spans="1:28">
      <c r="A1930" s="1900" t="s">
        <v>95</v>
      </c>
      <c r="C1930" s="528">
        <f>'21'!N8</f>
        <v>0</v>
      </c>
      <c r="D1930" s="528">
        <f>ROUND(C1930/($C$1933-$C$1931)*$D$1933,0)</f>
        <v>0</v>
      </c>
      <c r="F1930" s="1988">
        <v>4.7168999999999999</v>
      </c>
      <c r="G1930" s="1921" t="s">
        <v>495</v>
      </c>
      <c r="H1930" s="1644">
        <f>ROUND($F1930*C1930/100,0)</f>
        <v>0</v>
      </c>
      <c r="I1930" s="1644">
        <f>ROUND($F1930*D1930/100,0)</f>
        <v>0</v>
      </c>
      <c r="K1930" s="1988"/>
      <c r="L1930" s="1921"/>
      <c r="M1930" s="1988"/>
      <c r="N1930" s="1921"/>
      <c r="O1930" s="1988"/>
      <c r="P1930" s="1921"/>
      <c r="Q1930" s="1988"/>
      <c r="R1930" s="1921"/>
      <c r="S1930" s="1648"/>
      <c r="T1930" s="1648"/>
      <c r="U1930" s="1648"/>
      <c r="V1930" s="1648"/>
      <c r="W1930" s="1648"/>
      <c r="X1930" s="1648"/>
      <c r="Y1930" s="1644"/>
    </row>
    <row r="1931" spans="1:28">
      <c r="A1931" s="1900" t="s">
        <v>246</v>
      </c>
      <c r="C1931" s="529">
        <f>'Table 2'!J95</f>
        <v>-20362</v>
      </c>
      <c r="D1931" s="529">
        <v>0</v>
      </c>
      <c r="F1931" s="1988"/>
      <c r="G1931" s="1982"/>
      <c r="H1931" s="1030">
        <f>'Table 3'!F95</f>
        <v>-2422</v>
      </c>
      <c r="I1931" s="1030">
        <v>0</v>
      </c>
      <c r="K1931" s="1988"/>
      <c r="L1931" s="1982"/>
      <c r="M1931" s="1988"/>
      <c r="N1931" s="1982"/>
      <c r="O1931" s="1988"/>
      <c r="P1931" s="1982"/>
      <c r="Q1931" s="1988"/>
      <c r="R1931" s="1982"/>
      <c r="S1931" s="1653"/>
      <c r="T1931" s="1653"/>
      <c r="U1931" s="1653"/>
      <c r="V1931" s="1653"/>
      <c r="W1931" s="1653"/>
      <c r="X1931" s="1653"/>
      <c r="Y1931" s="1030"/>
    </row>
    <row r="1932" spans="1:28">
      <c r="A1932" s="1900" t="s">
        <v>1240</v>
      </c>
      <c r="C1932" s="584"/>
      <c r="D1932" s="584"/>
      <c r="F1932" s="1930">
        <v>-6.2E-2</v>
      </c>
      <c r="G1932" s="597"/>
      <c r="H1932" s="1644">
        <f>SUM(H1928:H1930)*$F1932</f>
        <v>-8248.232</v>
      </c>
      <c r="I1932" s="1644">
        <f>SUM(I1928:I1930)*$F1932</f>
        <v>-12034.51</v>
      </c>
      <c r="K1932" s="1988"/>
      <c r="L1932" s="1982"/>
      <c r="M1932" s="1988"/>
      <c r="N1932" s="1982"/>
      <c r="O1932" s="1988"/>
      <c r="P1932" s="1982"/>
      <c r="Q1932" s="1988"/>
      <c r="R1932" s="1982"/>
      <c r="S1932" s="1653"/>
      <c r="T1932" s="1653"/>
      <c r="U1932" s="1653"/>
      <c r="V1932" s="1653"/>
      <c r="W1932" s="1653"/>
      <c r="X1932" s="1653"/>
      <c r="Y1932" s="1645"/>
    </row>
    <row r="1933" spans="1:28">
      <c r="A1933" s="1900" t="s">
        <v>397</v>
      </c>
      <c r="C1933" s="528">
        <f>C1930+C1929+C1931</f>
        <v>1075323</v>
      </c>
      <c r="D1933" s="528">
        <f>D1935-D1925</f>
        <v>1598654</v>
      </c>
      <c r="F1933" s="1943"/>
      <c r="G1933" s="1957"/>
      <c r="H1933" s="1644">
        <f>SUM(H1927:H1932)</f>
        <v>124473.768</v>
      </c>
      <c r="I1933" s="1644">
        <f>SUM(I1927:I1932)</f>
        <v>184737.49</v>
      </c>
      <c r="K1933" s="1943"/>
      <c r="L1933" s="1957"/>
      <c r="M1933" s="1943"/>
      <c r="N1933" s="1957"/>
      <c r="O1933" s="1943"/>
      <c r="P1933" s="1957"/>
      <c r="Q1933" s="1943"/>
      <c r="R1933" s="1957"/>
      <c r="S1933" s="1645"/>
      <c r="T1933" s="1645"/>
      <c r="U1933" s="1645"/>
      <c r="V1933" s="1645"/>
      <c r="W1933" s="1645"/>
      <c r="X1933" s="1645"/>
      <c r="Y1933" s="1644"/>
    </row>
    <row r="1934" spans="1:28">
      <c r="A1934" s="1900" t="s">
        <v>1240</v>
      </c>
      <c r="C1934" s="584"/>
      <c r="D1934" s="584"/>
      <c r="F1934" s="1930"/>
      <c r="G1934" s="597"/>
      <c r="H1934" s="1644"/>
      <c r="I1934" s="1644"/>
      <c r="K1934" s="1930"/>
      <c r="L1934" s="597"/>
      <c r="M1934" s="1930"/>
      <c r="N1934" s="597"/>
      <c r="O1934" s="1930"/>
      <c r="P1934" s="597"/>
      <c r="Q1934" s="1930"/>
      <c r="R1934" s="597"/>
      <c r="S1934" s="1645"/>
      <c r="T1934" s="1645"/>
      <c r="U1934" s="1645"/>
      <c r="V1934" s="1645"/>
      <c r="W1934" s="1645"/>
      <c r="X1934" s="1645"/>
      <c r="Y1934" s="1644"/>
    </row>
    <row r="1935" spans="1:28" ht="16.5" thickBot="1">
      <c r="A1935" s="1900" t="s">
        <v>247</v>
      </c>
      <c r="C1935" s="1949">
        <f>C1933+C1925</f>
        <v>1235720</v>
      </c>
      <c r="D1935" s="1949">
        <f>Energy!P65</f>
        <v>1837112</v>
      </c>
      <c r="F1935" s="1939"/>
      <c r="H1935" s="1647">
        <f>H1933+H1925</f>
        <v>157257.55599999998</v>
      </c>
      <c r="I1935" s="1647">
        <f>I1933+I1925</f>
        <v>233114.76199999999</v>
      </c>
      <c r="K1935" s="1939"/>
      <c r="M1935" s="1939"/>
      <c r="O1935" s="1939"/>
      <c r="Q1935" s="1939"/>
      <c r="S1935" s="1647">
        <f>S1899+S1917</f>
        <v>188358</v>
      </c>
      <c r="U1935" s="1647">
        <f>U1899+U1917</f>
        <v>283321</v>
      </c>
      <c r="W1935" s="1647">
        <f>W1899+W1917</f>
        <v>37240</v>
      </c>
      <c r="Y1935" s="1647">
        <f>Y1899+Y1917</f>
        <v>508918</v>
      </c>
      <c r="AA1935" s="1104" t="s">
        <v>1743</v>
      </c>
      <c r="AB1935" s="1890">
        <f>Y1935/I1935-1</f>
        <v>1.1831221482232861</v>
      </c>
    </row>
    <row r="1936" spans="1:28" ht="16.5" thickTop="1">
      <c r="A1936" s="1900"/>
      <c r="C1936" s="584"/>
      <c r="D1936" s="584"/>
      <c r="F1936" s="596"/>
      <c r="H1936" s="1645"/>
      <c r="I1936" s="1645"/>
      <c r="K1936" s="596"/>
      <c r="M1936" s="596"/>
      <c r="O1936" s="596"/>
      <c r="Q1936" s="596"/>
      <c r="S1936" s="1645"/>
      <c r="U1936" s="1645"/>
      <c r="W1936" s="1645"/>
      <c r="Y1936" s="1645"/>
      <c r="AA1936" s="1104"/>
      <c r="AB1936" s="1890"/>
    </row>
    <row r="1937" spans="1:32">
      <c r="A1937" s="1897" t="s">
        <v>2295</v>
      </c>
      <c r="C1937" s="528"/>
      <c r="D1937" s="528"/>
      <c r="F1937" s="1943"/>
      <c r="G1937" s="1957"/>
      <c r="K1937" s="1943"/>
      <c r="L1937" s="1957"/>
      <c r="M1937" s="1943"/>
      <c r="N1937" s="1957"/>
      <c r="O1937" s="1943"/>
      <c r="P1937" s="1957"/>
      <c r="Q1937" s="1943"/>
      <c r="R1937" s="1957"/>
      <c r="S1937" s="1645"/>
      <c r="T1937" s="1645"/>
      <c r="U1937" s="1645"/>
      <c r="V1937" s="1645"/>
      <c r="W1937" s="1645"/>
      <c r="X1937" s="1645"/>
    </row>
    <row r="1938" spans="1:32">
      <c r="A1938" s="1900" t="s">
        <v>2297</v>
      </c>
      <c r="B1938" s="1900"/>
      <c r="C1938" s="584"/>
      <c r="D1938" s="584"/>
      <c r="F1938" s="1989"/>
      <c r="G1938" s="1902"/>
      <c r="H1938" s="1645"/>
      <c r="I1938" s="1645"/>
      <c r="K1938" s="1989"/>
      <c r="L1938" s="1902"/>
      <c r="M1938" s="1989"/>
      <c r="N1938" s="1902"/>
      <c r="O1938" s="1989"/>
      <c r="P1938" s="1902"/>
      <c r="Q1938" s="1989"/>
      <c r="R1938" s="1902"/>
      <c r="S1938" s="1645"/>
      <c r="T1938" s="1643"/>
      <c r="U1938" s="1645"/>
      <c r="V1938" s="1643"/>
      <c r="W1938" s="1645"/>
      <c r="X1938" s="1643"/>
      <c r="Y1938" s="1645"/>
      <c r="Z1938" s="1936"/>
      <c r="AA1938" s="1109"/>
      <c r="AB1938" s="1114"/>
      <c r="AC1938" s="596"/>
      <c r="AD1938" s="596"/>
      <c r="AE1938" s="596"/>
      <c r="AF1938" s="596"/>
    </row>
    <row r="1939" spans="1:32">
      <c r="A1939" s="1900" t="s">
        <v>2298</v>
      </c>
      <c r="B1939" s="1900"/>
      <c r="C1939" s="584"/>
      <c r="D1939" s="584"/>
      <c r="F1939" s="1989">
        <v>70</v>
      </c>
      <c r="G1939" s="1902"/>
      <c r="H1939" s="1645"/>
      <c r="I1939" s="1645"/>
      <c r="K1939" s="1989">
        <f>Q1939</f>
        <v>73</v>
      </c>
      <c r="L1939" s="1902"/>
      <c r="M1939" s="1989"/>
      <c r="N1939" s="1902"/>
      <c r="O1939" s="1989"/>
      <c r="P1939" s="1902"/>
      <c r="Q1939" s="1989">
        <f>ROUND(F1939*(1+$AB$1483),0)</f>
        <v>73</v>
      </c>
      <c r="R1939" s="1902"/>
      <c r="S1939" s="1645"/>
      <c r="T1939" s="1643"/>
      <c r="U1939" s="1645"/>
      <c r="V1939" s="1643"/>
      <c r="W1939" s="1645"/>
      <c r="X1939" s="1643"/>
      <c r="Y1939" s="1645"/>
      <c r="Z1939" s="1936"/>
      <c r="AA1939" s="1109"/>
      <c r="AB1939" s="1114"/>
      <c r="AC1939" s="596"/>
      <c r="AD1939" s="596"/>
      <c r="AE1939" s="596"/>
      <c r="AF1939" s="596"/>
    </row>
    <row r="1940" spans="1:32">
      <c r="A1940" s="1900" t="s">
        <v>2299</v>
      </c>
      <c r="C1940" s="584"/>
      <c r="D1940" s="584"/>
      <c r="F1940" s="1989">
        <v>70</v>
      </c>
      <c r="G1940" s="1902"/>
      <c r="H1940" s="1645"/>
      <c r="I1940" s="1645"/>
      <c r="K1940" s="1989">
        <f>Q1940</f>
        <v>73</v>
      </c>
      <c r="L1940" s="1902"/>
      <c r="M1940" s="1989"/>
      <c r="N1940" s="1902"/>
      <c r="O1940" s="1989"/>
      <c r="P1940" s="1902"/>
      <c r="Q1940" s="1989">
        <f t="shared" ref="Q1940:Q1941" si="2023">ROUND(F1940*(1+$AB$1483),0)</f>
        <v>73</v>
      </c>
      <c r="R1940" s="1902"/>
      <c r="S1940" s="1645"/>
      <c r="T1940" s="1643"/>
      <c r="U1940" s="1645"/>
      <c r="V1940" s="1643"/>
      <c r="W1940" s="1645"/>
      <c r="X1940" s="1643"/>
      <c r="Y1940" s="1645"/>
      <c r="Z1940" s="1936"/>
      <c r="AA1940" s="596"/>
      <c r="AB1940" s="596"/>
      <c r="AC1940" s="596"/>
      <c r="AD1940" s="596"/>
      <c r="AE1940" s="596"/>
      <c r="AF1940" s="596"/>
    </row>
    <row r="1941" spans="1:32">
      <c r="A1941" s="1900" t="s">
        <v>2300</v>
      </c>
      <c r="C1941" s="584"/>
      <c r="D1941" s="584"/>
      <c r="F1941" s="1990">
        <v>259</v>
      </c>
      <c r="G1941" s="597"/>
      <c r="H1941" s="1645"/>
      <c r="I1941" s="1645"/>
      <c r="K1941" s="1989">
        <f>Q1941</f>
        <v>269</v>
      </c>
      <c r="L1941" s="597"/>
      <c r="M1941" s="1990"/>
      <c r="N1941" s="597"/>
      <c r="O1941" s="1990"/>
      <c r="P1941" s="597"/>
      <c r="Q1941" s="1989">
        <f t="shared" si="2023"/>
        <v>269</v>
      </c>
      <c r="R1941" s="597"/>
      <c r="S1941" s="1645"/>
      <c r="T1941" s="1645"/>
      <c r="U1941" s="1645"/>
      <c r="V1941" s="1645"/>
      <c r="W1941" s="1645"/>
      <c r="X1941" s="1645"/>
      <c r="Y1941" s="1645"/>
      <c r="Z1941" s="1936"/>
      <c r="AA1941" s="596"/>
      <c r="AB1941" s="596"/>
      <c r="AC1941" s="596"/>
      <c r="AD1941" s="596"/>
      <c r="AE1941" s="596"/>
      <c r="AF1941" s="596"/>
    </row>
    <row r="1942" spans="1:32">
      <c r="A1942" s="1900" t="s">
        <v>2308</v>
      </c>
      <c r="C1942" s="584"/>
      <c r="D1942" s="584"/>
      <c r="F1942" s="1989"/>
      <c r="G1942" s="1991"/>
      <c r="H1942" s="1645"/>
      <c r="I1942" s="1645"/>
      <c r="K1942" s="1989"/>
      <c r="L1942" s="1991"/>
      <c r="M1942" s="1989"/>
      <c r="N1942" s="1991"/>
      <c r="O1942" s="1989"/>
      <c r="P1942" s="1991"/>
      <c r="Q1942" s="1989"/>
      <c r="R1942" s="1991"/>
      <c r="S1942" s="1645"/>
      <c r="T1942" s="1643"/>
      <c r="U1942" s="1645"/>
      <c r="V1942" s="1643"/>
      <c r="W1942" s="1645"/>
      <c r="X1942" s="1643"/>
      <c r="Y1942" s="1645"/>
      <c r="Z1942" s="1936"/>
      <c r="AA1942" s="596"/>
      <c r="AB1942" s="596"/>
      <c r="AC1942" s="596"/>
      <c r="AD1942" s="596"/>
      <c r="AE1942" s="596"/>
      <c r="AF1942" s="596"/>
    </row>
    <row r="1943" spans="1:32">
      <c r="A1943" s="1900" t="s">
        <v>2298</v>
      </c>
      <c r="C1943" s="584"/>
      <c r="D1943" s="584"/>
      <c r="F1943" s="1989">
        <v>1.37</v>
      </c>
      <c r="G1943" s="1991"/>
      <c r="H1943" s="1645"/>
      <c r="I1943" s="1645"/>
      <c r="K1943" s="1989">
        <f t="shared" ref="K1943:K1945" si="2024">Q1943</f>
        <v>1.42</v>
      </c>
      <c r="L1943" s="1991"/>
      <c r="M1943" s="1989"/>
      <c r="N1943" s="1991"/>
      <c r="O1943" s="1989"/>
      <c r="P1943" s="1991"/>
      <c r="Q1943" s="1989">
        <f>ROUND(F1943*(1+$AB$1483),2)</f>
        <v>1.42</v>
      </c>
      <c r="R1943" s="1991"/>
      <c r="S1943" s="1645"/>
      <c r="T1943" s="1643"/>
      <c r="U1943" s="1645"/>
      <c r="V1943" s="1643"/>
      <c r="W1943" s="1645"/>
      <c r="X1943" s="1643"/>
      <c r="Y1943" s="1645"/>
      <c r="Z1943" s="1936"/>
      <c r="AA1943" s="596"/>
      <c r="AB1943" s="596"/>
      <c r="AC1943" s="596"/>
      <c r="AD1943" s="596"/>
      <c r="AE1943" s="596"/>
      <c r="AF1943" s="596"/>
    </row>
    <row r="1944" spans="1:32">
      <c r="A1944" s="1900" t="s">
        <v>2299</v>
      </c>
      <c r="C1944" s="584"/>
      <c r="D1944" s="584"/>
      <c r="F1944" s="1989">
        <v>1.37</v>
      </c>
      <c r="G1944" s="1991"/>
      <c r="H1944" s="1645"/>
      <c r="I1944" s="1645"/>
      <c r="K1944" s="1989">
        <f t="shared" si="2024"/>
        <v>1.42</v>
      </c>
      <c r="L1944" s="1991"/>
      <c r="M1944" s="1989"/>
      <c r="N1944" s="1991"/>
      <c r="O1944" s="1989"/>
      <c r="P1944" s="1991"/>
      <c r="Q1944" s="1989">
        <f>ROUND(F1944*(1+$AB$1483),2)</f>
        <v>1.42</v>
      </c>
      <c r="R1944" s="1991"/>
      <c r="S1944" s="1645"/>
      <c r="T1944" s="1643"/>
      <c r="U1944" s="1645"/>
      <c r="V1944" s="1643"/>
      <c r="W1944" s="1645"/>
      <c r="X1944" s="1643"/>
      <c r="Y1944" s="1645"/>
      <c r="Z1944" s="1936"/>
      <c r="AA1944" s="596"/>
      <c r="AB1944" s="596"/>
      <c r="AC1944" s="596"/>
      <c r="AD1944" s="596"/>
      <c r="AE1944" s="596"/>
      <c r="AF1944" s="596"/>
    </row>
    <row r="1945" spans="1:32">
      <c r="A1945" s="1900" t="s">
        <v>2300</v>
      </c>
      <c r="C1945" s="584"/>
      <c r="D1945" s="584"/>
      <c r="F1945" s="1990">
        <v>1.37</v>
      </c>
      <c r="G1945" s="1992"/>
      <c r="H1945" s="1645"/>
      <c r="I1945" s="1645"/>
      <c r="K1945" s="1989">
        <f t="shared" si="2024"/>
        <v>1.42</v>
      </c>
      <c r="L1945" s="1992"/>
      <c r="M1945" s="1990"/>
      <c r="N1945" s="1992"/>
      <c r="O1945" s="1990"/>
      <c r="P1945" s="1992"/>
      <c r="Q1945" s="1989">
        <f>ROUND(F1945*(1+$AB$1483),2)</f>
        <v>1.42</v>
      </c>
      <c r="R1945" s="1992"/>
      <c r="S1945" s="1645"/>
      <c r="T1945" s="1645"/>
      <c r="U1945" s="1645"/>
      <c r="V1945" s="1645"/>
      <c r="W1945" s="1645"/>
      <c r="X1945" s="1645"/>
      <c r="Y1945" s="1645"/>
      <c r="Z1945" s="1936"/>
      <c r="AA1945" s="596"/>
      <c r="AB1945" s="596"/>
      <c r="AC1945" s="596"/>
      <c r="AD1945" s="596"/>
      <c r="AE1945" s="596"/>
      <c r="AF1945" s="596"/>
    </row>
    <row r="1946" spans="1:32">
      <c r="A1946" s="1900" t="s">
        <v>2296</v>
      </c>
      <c r="C1946" s="584"/>
      <c r="D1946" s="584"/>
      <c r="F1946" s="1990"/>
      <c r="G1946" s="1992"/>
      <c r="H1946" s="1645"/>
      <c r="I1946" s="1645"/>
      <c r="K1946" s="1990"/>
      <c r="L1946" s="1992"/>
      <c r="M1946" s="1989"/>
      <c r="N1946" s="1991"/>
      <c r="O1946" s="1989"/>
      <c r="P1946" s="1992"/>
      <c r="Q1946" s="1989"/>
      <c r="R1946" s="1992"/>
      <c r="S1946" s="1645"/>
      <c r="T1946" s="1645"/>
      <c r="U1946" s="1645"/>
      <c r="V1946" s="1645"/>
      <c r="W1946" s="1645"/>
      <c r="X1946" s="1645"/>
      <c r="Y1946" s="1645"/>
      <c r="Z1946" s="1936"/>
      <c r="AA1946" s="596"/>
      <c r="AB1946" s="596"/>
      <c r="AC1946" s="596"/>
      <c r="AD1946" s="596"/>
      <c r="AE1946" s="596"/>
      <c r="AF1946" s="596"/>
    </row>
    <row r="1947" spans="1:32">
      <c r="A1947" s="1900" t="s">
        <v>2298</v>
      </c>
      <c r="C1947" s="584"/>
      <c r="D1947" s="584"/>
      <c r="F1947" s="1990"/>
      <c r="G1947" s="1992"/>
      <c r="H1947" s="1645"/>
      <c r="I1947" s="1645"/>
      <c r="K1947" s="1990"/>
      <c r="L1947" s="1992"/>
      <c r="M1947" s="1989"/>
      <c r="N1947" s="1991"/>
      <c r="O1947" s="1989"/>
      <c r="P1947" s="1992"/>
      <c r="Q1947" s="1989"/>
      <c r="R1947" s="1992"/>
      <c r="S1947" s="1645"/>
      <c r="T1947" s="1645"/>
      <c r="U1947" s="1645"/>
      <c r="V1947" s="1645"/>
      <c r="W1947" s="1645"/>
      <c r="X1947" s="1645"/>
      <c r="Y1947" s="1645"/>
      <c r="Z1947" s="1936"/>
      <c r="AA1947" s="596"/>
      <c r="AB1947" s="596"/>
      <c r="AC1947" s="596"/>
      <c r="AD1947" s="596"/>
      <c r="AE1947" s="596"/>
      <c r="AF1947" s="596"/>
    </row>
    <row r="1948" spans="1:32">
      <c r="A1948" s="1900" t="s">
        <v>2301</v>
      </c>
      <c r="B1948" s="1900"/>
      <c r="C1948" s="1993"/>
      <c r="D1948" s="584"/>
      <c r="E1948" s="1993"/>
      <c r="F1948" s="1989">
        <v>8.16</v>
      </c>
      <c r="G1948" s="1993"/>
      <c r="H1948" s="1993"/>
      <c r="I1948" s="1993"/>
      <c r="J1948" s="1993"/>
      <c r="K1948" s="1989">
        <f>ROUND($Q1948*K1379/$Q1379,2)</f>
        <v>3.86</v>
      </c>
      <c r="L1948" s="1993"/>
      <c r="M1948" s="1989">
        <f>ROUND($Q1948*M1379/$Q1379,2)</f>
        <v>4.5999999999999996</v>
      </c>
      <c r="N1948" s="1989"/>
      <c r="O1948" s="1989">
        <f>Q1948-K1948-M1948</f>
        <v>0</v>
      </c>
      <c r="P1948" s="1993"/>
      <c r="Q1948" s="1989">
        <f>ROUND(F1948*(1+$AB$1483),2)</f>
        <v>8.4600000000000009</v>
      </c>
      <c r="R1948" s="1993"/>
      <c r="S1948" s="1645"/>
      <c r="T1948" s="1643"/>
      <c r="U1948" s="1645"/>
      <c r="V1948" s="1643"/>
      <c r="W1948" s="1645"/>
      <c r="X1948" s="1643"/>
      <c r="Y1948" s="1645"/>
      <c r="Z1948" s="1936"/>
      <c r="AA1948" s="596"/>
      <c r="AB1948" s="596"/>
      <c r="AC1948" s="596"/>
      <c r="AD1948" s="596"/>
      <c r="AE1948" s="596"/>
      <c r="AF1948" s="596"/>
    </row>
    <row r="1949" spans="1:32">
      <c r="A1949" s="1900" t="s">
        <v>2302</v>
      </c>
      <c r="C1949" s="584"/>
      <c r="D1949" s="584"/>
      <c r="F1949" s="1989">
        <v>5.86</v>
      </c>
      <c r="G1949" s="1902"/>
      <c r="H1949" s="1645"/>
      <c r="I1949" s="1645"/>
      <c r="K1949" s="1989">
        <f>ROUND($Q1949*K1380/$Q1380,2)</f>
        <v>2.78</v>
      </c>
      <c r="L1949" s="1992"/>
      <c r="M1949" s="1989">
        <f>ROUND($Q1949*M1380/$Q1380,2)</f>
        <v>3.3</v>
      </c>
      <c r="N1949" s="1989"/>
      <c r="O1949" s="1989">
        <f>Q1949-K1949-M1949</f>
        <v>0</v>
      </c>
      <c r="P1949" s="1902"/>
      <c r="Q1949" s="1989">
        <f>ROUND(F1949*(1+$AB$1483),2)</f>
        <v>6.08</v>
      </c>
      <c r="R1949" s="1902"/>
      <c r="S1949" s="1645"/>
      <c r="T1949" s="1643"/>
      <c r="U1949" s="1645"/>
      <c r="V1949" s="1643"/>
      <c r="W1949" s="1645"/>
      <c r="X1949" s="1643"/>
      <c r="Y1949" s="1645"/>
      <c r="Z1949" s="1936"/>
      <c r="AA1949" s="596"/>
      <c r="AB1949" s="596"/>
      <c r="AC1949" s="596"/>
      <c r="AD1949" s="596"/>
      <c r="AE1949" s="596"/>
      <c r="AF1949" s="596"/>
    </row>
    <row r="1950" spans="1:32">
      <c r="A1950" s="1900" t="s">
        <v>2299</v>
      </c>
      <c r="C1950" s="584"/>
      <c r="D1950" s="584"/>
      <c r="F1950" s="1989"/>
      <c r="G1950" s="1902"/>
      <c r="H1950" s="1645"/>
      <c r="I1950" s="1645"/>
      <c r="K1950" s="1989"/>
      <c r="L1950" s="1992"/>
      <c r="M1950" s="1989"/>
      <c r="N1950" s="1989"/>
      <c r="O1950" s="1989"/>
      <c r="P1950" s="1902"/>
      <c r="Q1950" s="1989"/>
      <c r="R1950" s="1902"/>
      <c r="S1950" s="1645"/>
      <c r="T1950" s="1643"/>
      <c r="U1950" s="1645"/>
      <c r="V1950" s="1643"/>
      <c r="W1950" s="1645"/>
      <c r="X1950" s="1643"/>
      <c r="Y1950" s="1645"/>
      <c r="Z1950" s="1936"/>
      <c r="AA1950" s="596"/>
      <c r="AB1950" s="596"/>
      <c r="AC1950" s="596"/>
      <c r="AD1950" s="596"/>
      <c r="AE1950" s="596"/>
      <c r="AF1950" s="596"/>
    </row>
    <row r="1951" spans="1:32">
      <c r="A1951" s="1900" t="s">
        <v>2301</v>
      </c>
      <c r="C1951" s="584"/>
      <c r="D1951" s="584"/>
      <c r="F1951" s="1989">
        <v>8.0500000000000007</v>
      </c>
      <c r="G1951" s="1991"/>
      <c r="H1951" s="1645"/>
      <c r="I1951" s="1645"/>
      <c r="K1951" s="1989">
        <f>ROUND($Q1951*K1948/$Q1948,2)</f>
        <v>3.81</v>
      </c>
      <c r="L1951" s="1991"/>
      <c r="M1951" s="1989">
        <f>ROUND($Q1951*M1948/$Q1948,2)</f>
        <v>4.54</v>
      </c>
      <c r="N1951" s="1989"/>
      <c r="O1951" s="1989">
        <f>Q1951-K1951-M1951</f>
        <v>0</v>
      </c>
      <c r="P1951" s="1991"/>
      <c r="Q1951" s="1989">
        <f>ROUND(F1951*(1+$AB$1483),2)</f>
        <v>8.35</v>
      </c>
      <c r="R1951" s="1991"/>
      <c r="S1951" s="1645"/>
      <c r="T1951" s="1643"/>
      <c r="U1951" s="1645"/>
      <c r="V1951" s="1643"/>
      <c r="W1951" s="1645"/>
      <c r="X1951" s="1643"/>
      <c r="Y1951" s="1645"/>
      <c r="Z1951" s="1936"/>
      <c r="AA1951" s="596"/>
      <c r="AB1951" s="596"/>
      <c r="AC1951" s="596"/>
      <c r="AD1951" s="596"/>
      <c r="AE1951" s="596"/>
      <c r="AF1951" s="596"/>
    </row>
    <row r="1952" spans="1:32">
      <c r="A1952" s="1900" t="s">
        <v>2302</v>
      </c>
      <c r="C1952" s="584"/>
      <c r="D1952" s="584"/>
      <c r="F1952" s="1989">
        <v>5.61</v>
      </c>
      <c r="G1952" s="1991"/>
      <c r="H1952" s="1645"/>
      <c r="I1952" s="1645"/>
      <c r="K1952" s="1989">
        <f>ROUND($Q1952*K1949/$Q1949,2)</f>
        <v>2.66</v>
      </c>
      <c r="L1952" s="1991"/>
      <c r="M1952" s="1989">
        <f>ROUND($Q1952*M1949/$Q1949,2)</f>
        <v>3.16</v>
      </c>
      <c r="N1952" s="1989"/>
      <c r="O1952" s="1989">
        <f>Q1952-K1952-M1952</f>
        <v>0</v>
      </c>
      <c r="P1952" s="1991"/>
      <c r="Q1952" s="1989">
        <f>ROUND(F1952*(1+$AB$1483),2)</f>
        <v>5.82</v>
      </c>
      <c r="R1952" s="1991"/>
      <c r="S1952" s="1645"/>
      <c r="T1952" s="1643"/>
      <c r="U1952" s="1645"/>
      <c r="V1952" s="1643"/>
      <c r="W1952" s="1645"/>
      <c r="X1952" s="1643"/>
      <c r="Y1952" s="1645"/>
      <c r="Z1952" s="1936"/>
      <c r="AA1952" s="596"/>
      <c r="AB1952" s="596"/>
      <c r="AC1952" s="596"/>
      <c r="AD1952" s="596"/>
      <c r="AE1952" s="596"/>
      <c r="AF1952" s="596"/>
    </row>
    <row r="1953" spans="1:32">
      <c r="A1953" s="1900" t="s">
        <v>2303</v>
      </c>
      <c r="C1953" s="584"/>
      <c r="D1953" s="584"/>
      <c r="F1953" s="1989"/>
      <c r="G1953" s="1991"/>
      <c r="H1953" s="1645"/>
      <c r="I1953" s="1645"/>
      <c r="K1953" s="1989"/>
      <c r="L1953" s="1991"/>
      <c r="M1953" s="1989"/>
      <c r="N1953" s="1989"/>
      <c r="O1953" s="1989"/>
      <c r="P1953" s="1991"/>
      <c r="Q1953" s="1989"/>
      <c r="R1953" s="1991"/>
      <c r="S1953" s="1645"/>
      <c r="T1953" s="1643"/>
      <c r="U1953" s="1645"/>
      <c r="V1953" s="1643"/>
      <c r="W1953" s="1645"/>
      <c r="X1953" s="1643"/>
      <c r="Y1953" s="1645"/>
      <c r="Z1953" s="1936"/>
      <c r="AA1953" s="596"/>
      <c r="AB1953" s="596"/>
      <c r="AC1953" s="596"/>
      <c r="AD1953" s="596"/>
      <c r="AE1953" s="596"/>
      <c r="AF1953" s="596"/>
    </row>
    <row r="1954" spans="1:32">
      <c r="A1954" s="1900" t="s">
        <v>2301</v>
      </c>
      <c r="C1954" s="584"/>
      <c r="D1954" s="584"/>
      <c r="F1954" s="1990">
        <v>7.83</v>
      </c>
      <c r="G1954" s="1992"/>
      <c r="H1954" s="1645"/>
      <c r="I1954" s="1645"/>
      <c r="K1954" s="1989">
        <f>ROUND($Q1954*K1481/$Q1481,2)</f>
        <v>2.69</v>
      </c>
      <c r="L1954" s="1992"/>
      <c r="M1954" s="1989">
        <f>ROUND($Q1954*M1481/$Q1481,2)</f>
        <v>5.43</v>
      </c>
      <c r="N1954" s="1989"/>
      <c r="O1954" s="1989">
        <f>Q1954-K1954-M1954</f>
        <v>0</v>
      </c>
      <c r="P1954" s="1992"/>
      <c r="Q1954" s="1989">
        <f>ROUND(F1954*(1+$AB$1483),2)</f>
        <v>8.1199999999999992</v>
      </c>
      <c r="R1954" s="1992"/>
      <c r="S1954" s="1645"/>
      <c r="T1954" s="1645"/>
      <c r="U1954" s="1645"/>
      <c r="V1954" s="1645"/>
      <c r="W1954" s="1645"/>
      <c r="X1954" s="1645"/>
      <c r="Y1954" s="1645"/>
      <c r="Z1954" s="1936"/>
      <c r="AA1954" s="596"/>
      <c r="AB1954" s="596"/>
      <c r="AC1954" s="596"/>
      <c r="AD1954" s="596"/>
      <c r="AE1954" s="596"/>
      <c r="AF1954" s="596"/>
    </row>
    <row r="1955" spans="1:32">
      <c r="A1955" s="1900" t="s">
        <v>2302</v>
      </c>
      <c r="C1955" s="584"/>
      <c r="D1955" s="584"/>
      <c r="F1955" s="1990">
        <v>5.31</v>
      </c>
      <c r="G1955" s="1992"/>
      <c r="H1955" s="1645"/>
      <c r="I1955" s="1645"/>
      <c r="K1955" s="1989">
        <f>ROUND($Q1955*K1482/$Q1482,2)</f>
        <v>1.83</v>
      </c>
      <c r="L1955" s="1992"/>
      <c r="M1955" s="1989">
        <f>ROUND($Q1955*M1482/$Q1482,2)</f>
        <v>3.68</v>
      </c>
      <c r="N1955" s="1989"/>
      <c r="O1955" s="1989">
        <f>Q1955-K1955-M1955</f>
        <v>0</v>
      </c>
      <c r="P1955" s="1992"/>
      <c r="Q1955" s="1989">
        <f>ROUND(F1955*(1+$AB$1483),2)</f>
        <v>5.51</v>
      </c>
      <c r="R1955" s="1992"/>
      <c r="S1955" s="1645"/>
      <c r="T1955" s="1645"/>
      <c r="U1955" s="1645"/>
      <c r="V1955" s="1645"/>
      <c r="W1955" s="1645"/>
      <c r="X1955" s="1645"/>
      <c r="Y1955" s="1645"/>
      <c r="Z1955" s="1936"/>
      <c r="AA1955" s="596"/>
      <c r="AB1955" s="596"/>
      <c r="AC1955" s="596"/>
      <c r="AD1955" s="596"/>
      <c r="AE1955" s="596"/>
      <c r="AF1955" s="596"/>
    </row>
    <row r="1956" spans="1:32">
      <c r="A1956" s="1900" t="s">
        <v>1141</v>
      </c>
      <c r="C1956" s="584"/>
      <c r="D1956" s="584"/>
      <c r="F1956" s="1990"/>
      <c r="G1956" s="1992"/>
      <c r="H1956" s="1645"/>
      <c r="I1956" s="1645"/>
      <c r="K1956" s="1990"/>
      <c r="L1956" s="1992"/>
      <c r="M1956" s="1990"/>
      <c r="N1956" s="1992"/>
      <c r="O1956" s="1990"/>
      <c r="P1956" s="1992"/>
      <c r="Q1956" s="1990"/>
      <c r="R1956" s="1992"/>
      <c r="S1956" s="1645"/>
      <c r="T1956" s="1645"/>
      <c r="U1956" s="1645"/>
      <c r="V1956" s="1645"/>
      <c r="W1956" s="1645"/>
      <c r="X1956" s="1645"/>
      <c r="Y1956" s="1645"/>
      <c r="Z1956" s="1936"/>
      <c r="AA1956" s="596"/>
      <c r="AB1956" s="596"/>
      <c r="AC1956" s="596"/>
      <c r="AD1956" s="596"/>
      <c r="AE1956" s="596"/>
      <c r="AF1956" s="596"/>
    </row>
    <row r="1957" spans="1:32">
      <c r="A1957" s="1900" t="s">
        <v>2298</v>
      </c>
      <c r="C1957" s="584"/>
      <c r="D1957" s="584"/>
      <c r="F1957" s="1989"/>
      <c r="G1957" s="1902"/>
      <c r="H1957" s="1645"/>
      <c r="I1957" s="1645"/>
      <c r="K1957" s="1989"/>
      <c r="L1957" s="1902"/>
      <c r="M1957" s="1989"/>
      <c r="N1957" s="1902"/>
      <c r="O1957" s="1989"/>
      <c r="P1957" s="1902"/>
      <c r="Q1957" s="1989"/>
      <c r="R1957" s="1902"/>
      <c r="S1957" s="1645"/>
      <c r="T1957" s="1643"/>
      <c r="U1957" s="1645"/>
      <c r="V1957" s="1643"/>
      <c r="W1957" s="1645"/>
      <c r="X1957" s="1643"/>
      <c r="Y1957" s="1645"/>
      <c r="Z1957" s="1936"/>
      <c r="AA1957" s="596"/>
      <c r="AB1957" s="596"/>
      <c r="AC1957" s="596"/>
      <c r="AD1957" s="596"/>
      <c r="AE1957" s="596"/>
      <c r="AF1957" s="596"/>
    </row>
    <row r="1958" spans="1:32">
      <c r="A1958" s="1900" t="s">
        <v>2304</v>
      </c>
      <c r="C1958" s="584"/>
      <c r="D1958" s="1872"/>
      <c r="F1958" s="1994">
        <v>9.2314000000000007</v>
      </c>
      <c r="G1958" s="1921" t="s">
        <v>495</v>
      </c>
      <c r="H1958" s="1645"/>
      <c r="I1958" s="1645"/>
      <c r="K1958" s="1989"/>
      <c r="L1958" s="1902"/>
      <c r="M1958" s="1994">
        <f>ROUND($Q1958*M1381/$Q1381,2)</f>
        <v>2.31</v>
      </c>
      <c r="N1958" s="1921" t="s">
        <v>495</v>
      </c>
      <c r="O1958" s="1994">
        <f>Q1958-K1958-M1958</f>
        <v>7.2642999999999986</v>
      </c>
      <c r="P1958" s="1921" t="s">
        <v>495</v>
      </c>
      <c r="Q1958" s="1994">
        <f>ROUND(F1958*(1+$AB$1483),4)</f>
        <v>9.5742999999999991</v>
      </c>
      <c r="R1958" s="1921" t="s">
        <v>495</v>
      </c>
      <c r="S1958" s="1645"/>
      <c r="T1958" s="1643"/>
      <c r="U1958" s="1645"/>
      <c r="V1958" s="1643"/>
      <c r="W1958" s="1645"/>
      <c r="X1958" s="1643"/>
      <c r="Y1958" s="1645"/>
      <c r="Z1958" s="1936"/>
      <c r="AA1958" s="596"/>
      <c r="AB1958" s="596"/>
      <c r="AC1958" s="596"/>
      <c r="AD1958" s="596"/>
      <c r="AE1958" s="596"/>
      <c r="AF1958" s="596"/>
    </row>
    <row r="1959" spans="1:32">
      <c r="A1959" s="1900" t="s">
        <v>2305</v>
      </c>
      <c r="C1959" s="584"/>
      <c r="D1959" s="1872"/>
      <c r="F1959" s="1994">
        <v>5.077</v>
      </c>
      <c r="G1959" s="1921" t="s">
        <v>495</v>
      </c>
      <c r="H1959" s="1645"/>
      <c r="I1959" s="1645"/>
      <c r="K1959" s="1989"/>
      <c r="L1959" s="1902"/>
      <c r="M1959" s="1994">
        <f>M1958</f>
        <v>2.31</v>
      </c>
      <c r="N1959" s="1921" t="s">
        <v>495</v>
      </c>
      <c r="O1959" s="1994">
        <f t="shared" ref="O1959:O1966" si="2025">Q1959-K1959-M1959</f>
        <v>2.9556</v>
      </c>
      <c r="P1959" s="1921" t="s">
        <v>495</v>
      </c>
      <c r="Q1959" s="1994">
        <f>ROUND(F1959*(1+$AB$1483),4)</f>
        <v>5.2656000000000001</v>
      </c>
      <c r="R1959" s="1921" t="s">
        <v>495</v>
      </c>
      <c r="S1959" s="1645"/>
      <c r="T1959" s="1643"/>
      <c r="U1959" s="1645"/>
      <c r="V1959" s="1643"/>
      <c r="W1959" s="1645"/>
      <c r="X1959" s="1643"/>
      <c r="Y1959" s="1645"/>
      <c r="Z1959" s="1936"/>
      <c r="AA1959" s="596"/>
      <c r="AB1959" s="596"/>
      <c r="AC1959" s="596"/>
      <c r="AD1959" s="596"/>
      <c r="AE1959" s="596"/>
      <c r="AF1959" s="596"/>
    </row>
    <row r="1960" spans="1:32">
      <c r="A1960" s="1900" t="s">
        <v>2307</v>
      </c>
      <c r="C1960" s="1025"/>
      <c r="D1960" s="1872"/>
      <c r="F1960" s="1995">
        <v>4.1108000000000002</v>
      </c>
      <c r="G1960" s="1921" t="s">
        <v>495</v>
      </c>
      <c r="H1960" s="1645"/>
      <c r="I1960" s="1645"/>
      <c r="K1960" s="1957"/>
      <c r="L1960" s="1957"/>
      <c r="M1960" s="1994">
        <f>M1958</f>
        <v>2.31</v>
      </c>
      <c r="N1960" s="1921" t="s">
        <v>495</v>
      </c>
      <c r="O1960" s="1994">
        <f t="shared" si="2025"/>
        <v>1.9534999999999996</v>
      </c>
      <c r="P1960" s="1921" t="s">
        <v>495</v>
      </c>
      <c r="Q1960" s="1994">
        <f>ROUND(F1960*(1+$AB$1483),4)</f>
        <v>4.2634999999999996</v>
      </c>
      <c r="R1960" s="1921" t="s">
        <v>495</v>
      </c>
      <c r="S1960" s="1645"/>
      <c r="T1960" s="1645"/>
      <c r="U1960" s="1645"/>
      <c r="V1960" s="1645"/>
      <c r="W1960" s="1645"/>
      <c r="X1960" s="1645"/>
      <c r="Y1960" s="1645"/>
      <c r="Z1960" s="1936"/>
      <c r="AA1960" s="596"/>
      <c r="AB1960" s="596"/>
      <c r="AC1960" s="596"/>
      <c r="AD1960" s="596"/>
      <c r="AE1960" s="596"/>
      <c r="AF1960" s="596"/>
    </row>
    <row r="1961" spans="1:32">
      <c r="A1961" s="1900" t="s">
        <v>2306</v>
      </c>
      <c r="C1961" s="1873"/>
      <c r="D1961" s="1872"/>
      <c r="F1961" s="1996">
        <v>3.4356</v>
      </c>
      <c r="G1961" s="1921" t="s">
        <v>495</v>
      </c>
      <c r="H1961" s="1637"/>
      <c r="I1961" s="1637"/>
      <c r="K1961" s="596"/>
      <c r="M1961" s="1994">
        <f>M1958</f>
        <v>2.31</v>
      </c>
      <c r="N1961" s="1921" t="s">
        <v>495</v>
      </c>
      <c r="O1961" s="1994">
        <f t="shared" si="2025"/>
        <v>1.2532000000000001</v>
      </c>
      <c r="P1961" s="1921" t="s">
        <v>495</v>
      </c>
      <c r="Q1961" s="1994">
        <f>ROUND(F1961*(1+$AB$1483),4)</f>
        <v>3.5632000000000001</v>
      </c>
      <c r="R1961" s="1921" t="s">
        <v>495</v>
      </c>
      <c r="Y1961" s="1637"/>
      <c r="Z1961" s="1936"/>
      <c r="AA1961" s="596"/>
      <c r="AB1961" s="596"/>
      <c r="AC1961" s="596"/>
      <c r="AD1961" s="596"/>
      <c r="AE1961" s="596"/>
      <c r="AF1961" s="596"/>
    </row>
    <row r="1962" spans="1:32">
      <c r="A1962" s="1900" t="s">
        <v>2299</v>
      </c>
      <c r="C1962" s="584"/>
      <c r="D1962" s="1872"/>
      <c r="F1962" s="1995"/>
      <c r="G1962" s="597"/>
      <c r="H1962" s="1645"/>
      <c r="I1962" s="1645"/>
      <c r="K1962" s="597"/>
      <c r="L1962" s="597"/>
      <c r="M1962" s="1994"/>
      <c r="N1962" s="597"/>
      <c r="O1962" s="1994"/>
      <c r="P1962" s="597"/>
      <c r="Q1962" s="1994"/>
      <c r="R1962" s="597"/>
      <c r="S1962" s="1645"/>
      <c r="T1962" s="1645"/>
      <c r="U1962" s="1645"/>
      <c r="V1962" s="1645"/>
      <c r="W1962" s="1645"/>
      <c r="X1962" s="1645"/>
      <c r="Y1962" s="1645"/>
      <c r="Z1962" s="1936"/>
      <c r="AA1962" s="596"/>
      <c r="AB1962" s="596"/>
      <c r="AC1962" s="596"/>
      <c r="AD1962" s="596"/>
      <c r="AE1962" s="596"/>
      <c r="AF1962" s="596"/>
    </row>
    <row r="1963" spans="1:32">
      <c r="A1963" s="1900" t="s">
        <v>2304</v>
      </c>
      <c r="C1963" s="584"/>
      <c r="D1963" s="1872"/>
      <c r="F1963" s="1995">
        <v>8.8607999999999993</v>
      </c>
      <c r="G1963" s="1921" t="s">
        <v>495</v>
      </c>
      <c r="H1963" s="1645"/>
      <c r="I1963" s="1645"/>
      <c r="K1963" s="597"/>
      <c r="L1963" s="597"/>
      <c r="M1963" s="1994">
        <f>M1958</f>
        <v>2.31</v>
      </c>
      <c r="N1963" s="1921" t="s">
        <v>495</v>
      </c>
      <c r="O1963" s="1994">
        <f t="shared" si="2025"/>
        <v>6.8798999999999992</v>
      </c>
      <c r="P1963" s="1921" t="s">
        <v>495</v>
      </c>
      <c r="Q1963" s="1994">
        <f>ROUND(F1963*(1+$AB$1483),4)</f>
        <v>9.1898999999999997</v>
      </c>
      <c r="R1963" s="1921" t="s">
        <v>495</v>
      </c>
      <c r="S1963" s="1645"/>
      <c r="T1963" s="1645"/>
      <c r="U1963" s="1645"/>
      <c r="V1963" s="1645"/>
      <c r="W1963" s="1645"/>
      <c r="X1963" s="1645"/>
      <c r="Y1963" s="1645"/>
      <c r="Z1963" s="1936"/>
      <c r="AA1963" s="596"/>
      <c r="AB1963" s="596"/>
      <c r="AC1963" s="596"/>
      <c r="AD1963" s="596"/>
      <c r="AE1963" s="596"/>
      <c r="AF1963" s="596"/>
    </row>
    <row r="1964" spans="1:32">
      <c r="A1964" s="1900" t="s">
        <v>2305</v>
      </c>
      <c r="C1964" s="584"/>
      <c r="D1964" s="1872"/>
      <c r="F1964" s="1995">
        <v>4.7064000000000004</v>
      </c>
      <c r="G1964" s="1921" t="s">
        <v>495</v>
      </c>
      <c r="H1964" s="1645"/>
      <c r="I1964" s="1645"/>
      <c r="K1964" s="597"/>
      <c r="L1964" s="597"/>
      <c r="M1964" s="1994">
        <f>M1958</f>
        <v>2.31</v>
      </c>
      <c r="N1964" s="1921" t="s">
        <v>495</v>
      </c>
      <c r="O1964" s="1994">
        <f t="shared" si="2025"/>
        <v>2.5711999999999997</v>
      </c>
      <c r="P1964" s="1921" t="s">
        <v>495</v>
      </c>
      <c r="Q1964" s="1994">
        <f>ROUND(F1964*(1+$AB$1483),4)</f>
        <v>4.8811999999999998</v>
      </c>
      <c r="R1964" s="1921" t="s">
        <v>495</v>
      </c>
      <c r="S1964" s="1645"/>
      <c r="T1964" s="1645"/>
      <c r="U1964" s="1645"/>
      <c r="V1964" s="1645"/>
      <c r="W1964" s="1645"/>
      <c r="X1964" s="1645"/>
      <c r="Y1964" s="1645"/>
      <c r="Z1964" s="1936"/>
      <c r="AA1964" s="596"/>
      <c r="AB1964" s="596"/>
      <c r="AC1964" s="596"/>
      <c r="AD1964" s="596"/>
      <c r="AE1964" s="596"/>
      <c r="AF1964" s="596"/>
    </row>
    <row r="1965" spans="1:32">
      <c r="A1965" s="1900" t="s">
        <v>2307</v>
      </c>
      <c r="C1965" s="584"/>
      <c r="D1965" s="1872"/>
      <c r="F1965" s="1995">
        <v>3.7402000000000002</v>
      </c>
      <c r="G1965" s="1921" t="s">
        <v>495</v>
      </c>
      <c r="H1965" s="1645"/>
      <c r="I1965" s="1645"/>
      <c r="K1965" s="597"/>
      <c r="L1965" s="597"/>
      <c r="M1965" s="1994">
        <f>M1958</f>
        <v>2.31</v>
      </c>
      <c r="N1965" s="1921" t="s">
        <v>495</v>
      </c>
      <c r="O1965" s="1994">
        <f t="shared" si="2025"/>
        <v>1.5691000000000002</v>
      </c>
      <c r="P1965" s="1921" t="s">
        <v>495</v>
      </c>
      <c r="Q1965" s="1994">
        <f>ROUND(F1965*(1+$AB$1483),4)</f>
        <v>3.8791000000000002</v>
      </c>
      <c r="R1965" s="1921" t="s">
        <v>495</v>
      </c>
      <c r="S1965" s="1645"/>
      <c r="T1965" s="1645"/>
      <c r="U1965" s="1645"/>
      <c r="V1965" s="1645"/>
      <c r="W1965" s="1645"/>
      <c r="X1965" s="1645"/>
      <c r="Y1965" s="1645"/>
      <c r="Z1965" s="1936"/>
      <c r="AA1965" s="596"/>
      <c r="AB1965" s="596"/>
      <c r="AC1965" s="596"/>
      <c r="AD1965" s="596"/>
      <c r="AE1965" s="596"/>
      <c r="AF1965" s="596"/>
    </row>
    <row r="1966" spans="1:32">
      <c r="A1966" s="1900" t="s">
        <v>2306</v>
      </c>
      <c r="C1966" s="584"/>
      <c r="D1966" s="1872"/>
      <c r="F1966" s="1995">
        <v>3.0649999999999999</v>
      </c>
      <c r="G1966" s="1921" t="s">
        <v>495</v>
      </c>
      <c r="H1966" s="1645"/>
      <c r="I1966" s="1645"/>
      <c r="K1966" s="1957"/>
      <c r="L1966" s="1921"/>
      <c r="M1966" s="1994">
        <f>M1958</f>
        <v>2.31</v>
      </c>
      <c r="N1966" s="1921" t="s">
        <v>495</v>
      </c>
      <c r="O1966" s="1994">
        <f t="shared" si="2025"/>
        <v>0.86890000000000001</v>
      </c>
      <c r="P1966" s="1921" t="s">
        <v>495</v>
      </c>
      <c r="Q1966" s="1994">
        <f>ROUND(F1966*(1+$AB$1483),4)</f>
        <v>3.1789000000000001</v>
      </c>
      <c r="R1966" s="1921" t="s">
        <v>495</v>
      </c>
      <c r="S1966" s="1645"/>
      <c r="T1966" s="1648"/>
      <c r="U1966" s="1645"/>
      <c r="V1966" s="1648"/>
      <c r="W1966" s="1645"/>
      <c r="X1966" s="1648"/>
      <c r="Y1966" s="1645"/>
      <c r="Z1966" s="1936"/>
      <c r="AA1966" s="596"/>
      <c r="AB1966" s="596"/>
      <c r="AC1966" s="596"/>
      <c r="AD1966" s="596"/>
      <c r="AE1966" s="596"/>
      <c r="AF1966" s="596"/>
    </row>
    <row r="1967" spans="1:32">
      <c r="A1967" s="1900" t="s">
        <v>2300</v>
      </c>
      <c r="C1967" s="584"/>
      <c r="D1967" s="1872"/>
      <c r="F1967" s="1995"/>
      <c r="G1967" s="1921"/>
      <c r="H1967" s="1645"/>
      <c r="I1967" s="1645"/>
      <c r="K1967" s="1957"/>
      <c r="L1967" s="1921"/>
      <c r="M1967" s="1994"/>
      <c r="N1967" s="1921"/>
      <c r="O1967" s="1994"/>
      <c r="P1967" s="1921"/>
      <c r="Q1967" s="1994"/>
      <c r="R1967" s="1921"/>
      <c r="S1967" s="1645"/>
      <c r="T1967" s="1648"/>
      <c r="U1967" s="1645"/>
      <c r="V1967" s="1648"/>
      <c r="W1967" s="1645"/>
      <c r="X1967" s="1648"/>
      <c r="Y1967" s="1645"/>
      <c r="Z1967" s="1936"/>
      <c r="AA1967" s="596"/>
      <c r="AB1967" s="596"/>
      <c r="AC1967" s="596"/>
      <c r="AD1967" s="596"/>
      <c r="AE1967" s="596"/>
      <c r="AF1967" s="596"/>
    </row>
    <row r="1968" spans="1:32">
      <c r="A1968" s="1900" t="s">
        <v>2304</v>
      </c>
      <c r="C1968" s="584"/>
      <c r="D1968" s="1872"/>
      <c r="F1968" s="1995">
        <v>8.6678999999999995</v>
      </c>
      <c r="G1968" s="1921" t="s">
        <v>495</v>
      </c>
      <c r="H1968" s="1645"/>
      <c r="I1968" s="1645"/>
      <c r="K1968" s="1957"/>
      <c r="L1968" s="1921"/>
      <c r="M1968" s="1994">
        <f>ROUND($Q1968*M1483/$Q1483,2)</f>
        <v>1.89</v>
      </c>
      <c r="N1968" s="1921" t="s">
        <v>495</v>
      </c>
      <c r="O1968" s="1994">
        <f t="shared" ref="O1968:O1971" si="2026">Q1968-K1968-M1968</f>
        <v>7.0999000000000008</v>
      </c>
      <c r="P1968" s="1921" t="s">
        <v>495</v>
      </c>
      <c r="Q1968" s="1994">
        <f>ROUND(F1968*(1+$AB$1483),4)</f>
        <v>8.9899000000000004</v>
      </c>
      <c r="R1968" s="1921" t="s">
        <v>495</v>
      </c>
      <c r="S1968" s="1645"/>
      <c r="T1968" s="1648"/>
      <c r="U1968" s="1645"/>
      <c r="V1968" s="1648"/>
      <c r="W1968" s="1645"/>
      <c r="X1968" s="1648"/>
      <c r="Y1968" s="1645"/>
      <c r="Z1968" s="1936"/>
      <c r="AA1968" s="596"/>
      <c r="AB1968" s="596"/>
      <c r="AC1968" s="596"/>
      <c r="AD1968" s="596"/>
      <c r="AE1968" s="596"/>
      <c r="AF1968" s="596"/>
    </row>
    <row r="1969" spans="1:32">
      <c r="A1969" s="1900" t="s">
        <v>2305</v>
      </c>
      <c r="C1969" s="584"/>
      <c r="D1969" s="1872"/>
      <c r="F1969" s="1995">
        <v>4.5133999999999999</v>
      </c>
      <c r="G1969" s="1921" t="s">
        <v>495</v>
      </c>
      <c r="H1969" s="1645"/>
      <c r="I1969" s="1645"/>
      <c r="K1969" s="1957"/>
      <c r="L1969" s="1921"/>
      <c r="M1969" s="1994">
        <f>M1968</f>
        <v>1.89</v>
      </c>
      <c r="N1969" s="1921" t="s">
        <v>495</v>
      </c>
      <c r="O1969" s="1994">
        <f t="shared" si="2026"/>
        <v>2.7911000000000001</v>
      </c>
      <c r="P1969" s="1921" t="s">
        <v>495</v>
      </c>
      <c r="Q1969" s="1994">
        <f>ROUND(F1969*(1+$AB$1483),4)</f>
        <v>4.6810999999999998</v>
      </c>
      <c r="R1969" s="1921" t="s">
        <v>495</v>
      </c>
      <c r="S1969" s="1645"/>
      <c r="T1969" s="1648"/>
      <c r="U1969" s="1645"/>
      <c r="V1969" s="1648"/>
      <c r="W1969" s="1645"/>
      <c r="X1969" s="1648"/>
      <c r="Y1969" s="1645"/>
      <c r="Z1969" s="1936"/>
      <c r="AA1969" s="596"/>
      <c r="AB1969" s="596"/>
      <c r="AC1969" s="596"/>
      <c r="AD1969" s="596"/>
      <c r="AE1969" s="596"/>
      <c r="AF1969" s="596"/>
    </row>
    <row r="1970" spans="1:32">
      <c r="A1970" s="1900" t="s">
        <v>2307</v>
      </c>
      <c r="C1970" s="584"/>
      <c r="D1970" s="1872"/>
      <c r="F1970" s="1995">
        <v>3.5472999999999999</v>
      </c>
      <c r="G1970" s="1921" t="s">
        <v>495</v>
      </c>
      <c r="H1970" s="1645"/>
      <c r="I1970" s="1645"/>
      <c r="K1970" s="597"/>
      <c r="L1970" s="597"/>
      <c r="M1970" s="1994">
        <f>M1968</f>
        <v>1.89</v>
      </c>
      <c r="N1970" s="1921" t="s">
        <v>495</v>
      </c>
      <c r="O1970" s="1994">
        <f t="shared" si="2026"/>
        <v>1.7891000000000001</v>
      </c>
      <c r="P1970" s="1921" t="s">
        <v>495</v>
      </c>
      <c r="Q1970" s="1994">
        <f>ROUND(F1970*(1+$AB$1483),4)</f>
        <v>3.6791</v>
      </c>
      <c r="R1970" s="1921" t="s">
        <v>495</v>
      </c>
      <c r="S1970" s="1645"/>
      <c r="T1970" s="1645"/>
      <c r="U1970" s="1645"/>
      <c r="V1970" s="1645"/>
      <c r="W1970" s="1645"/>
      <c r="X1970" s="1645"/>
      <c r="Y1970" s="1645"/>
      <c r="Z1970" s="1936"/>
      <c r="AA1970" s="596"/>
      <c r="AB1970" s="596"/>
      <c r="AC1970" s="596"/>
      <c r="AD1970" s="596"/>
      <c r="AE1970" s="596"/>
      <c r="AF1970" s="596"/>
    </row>
    <row r="1971" spans="1:32">
      <c r="A1971" s="1900" t="s">
        <v>2306</v>
      </c>
      <c r="C1971" s="584"/>
      <c r="D1971" s="1872"/>
      <c r="F1971" s="1995">
        <v>2.8721000000000001</v>
      </c>
      <c r="G1971" s="1921" t="s">
        <v>495</v>
      </c>
      <c r="H1971" s="1645"/>
      <c r="I1971" s="1645"/>
      <c r="K1971" s="597"/>
      <c r="L1971" s="597"/>
      <c r="M1971" s="1994">
        <f>M1968</f>
        <v>1.89</v>
      </c>
      <c r="N1971" s="1921" t="s">
        <v>495</v>
      </c>
      <c r="O1971" s="1994">
        <f t="shared" si="2026"/>
        <v>1.0888000000000002</v>
      </c>
      <c r="P1971" s="1921" t="s">
        <v>495</v>
      </c>
      <c r="Q1971" s="1994">
        <f>ROUND(F1971*(1+$AB$1483),4)</f>
        <v>2.9788000000000001</v>
      </c>
      <c r="R1971" s="1921" t="s">
        <v>495</v>
      </c>
      <c r="S1971" s="1645"/>
      <c r="T1971" s="1645"/>
      <c r="U1971" s="1645"/>
      <c r="V1971" s="1645"/>
      <c r="W1971" s="1645"/>
      <c r="X1971" s="1645"/>
      <c r="Y1971" s="1645"/>
      <c r="Z1971" s="1936"/>
      <c r="AA1971" s="596"/>
      <c r="AB1971" s="596"/>
      <c r="AC1971" s="596"/>
      <c r="AD1971" s="596"/>
      <c r="AE1971" s="596"/>
      <c r="AF1971" s="596"/>
    </row>
    <row r="1972" spans="1:32">
      <c r="A1972" s="1900" t="s">
        <v>1240</v>
      </c>
      <c r="C1972" s="584"/>
      <c r="D1972" s="584"/>
      <c r="F1972" s="1930">
        <v>-3.0700000000000002E-2</v>
      </c>
      <c r="G1972" s="597"/>
      <c r="H1972" s="1645"/>
      <c r="I1972" s="1645"/>
      <c r="K1972" s="1997"/>
      <c r="L1972" s="597"/>
      <c r="M1972" s="1997"/>
      <c r="N1972" s="597"/>
      <c r="O1972" s="1931" t="str">
        <f>$O$43</f>
        <v>Tax Year 1 (7/1/2021)</v>
      </c>
      <c r="P1972" s="597"/>
      <c r="Q1972" s="1930">
        <f>$AC$1491</f>
        <v>-2.5700000000000001E-2</v>
      </c>
      <c r="R1972" s="597"/>
      <c r="S1972" s="1645"/>
      <c r="T1972" s="1645"/>
      <c r="U1972" s="1645"/>
      <c r="V1972" s="1645"/>
      <c r="W1972" s="1645"/>
      <c r="X1972" s="1645"/>
      <c r="Y1972" s="1645"/>
      <c r="Z1972" s="1936"/>
      <c r="AA1972" s="596"/>
      <c r="AB1972" s="596"/>
      <c r="AC1972" s="596"/>
      <c r="AD1972" s="596"/>
      <c r="AE1972" s="596"/>
      <c r="AF1972" s="596"/>
    </row>
    <row r="1973" spans="1:32">
      <c r="A1973" s="1900"/>
      <c r="C1973" s="584"/>
      <c r="D1973" s="584"/>
      <c r="F1973" s="1997"/>
      <c r="G1973" s="597"/>
      <c r="H1973" s="1645"/>
      <c r="I1973" s="1645"/>
      <c r="K1973" s="1997"/>
      <c r="L1973" s="597"/>
      <c r="M1973" s="1997"/>
      <c r="N1973" s="597"/>
      <c r="O1973" s="1931" t="str">
        <f>$O$44</f>
        <v>Tax Year 2 (1/1/2022)</v>
      </c>
      <c r="P1973" s="597"/>
      <c r="Q1973" s="1930">
        <f>$AC$1492</f>
        <v>-1.3899999999999999E-2</v>
      </c>
      <c r="R1973" s="597"/>
      <c r="S1973" s="1645"/>
      <c r="T1973" s="1645"/>
      <c r="U1973" s="1645"/>
      <c r="V1973" s="1645"/>
      <c r="W1973" s="1645"/>
      <c r="X1973" s="1645"/>
      <c r="Y1973" s="1645"/>
      <c r="Z1973" s="1936"/>
      <c r="AA1973" s="596"/>
      <c r="AB1973" s="596"/>
      <c r="AC1973" s="596"/>
      <c r="AD1973" s="596"/>
      <c r="AE1973" s="596"/>
      <c r="AF1973" s="596"/>
    </row>
    <row r="1974" spans="1:32">
      <c r="A1974" s="1900" t="s">
        <v>247</v>
      </c>
      <c r="C1974" s="584"/>
      <c r="D1974" s="584"/>
      <c r="F1974" s="596"/>
      <c r="H1974" s="1645"/>
      <c r="I1974" s="1645"/>
      <c r="K1974" s="596"/>
      <c r="M1974" s="596"/>
      <c r="O1974" s="596"/>
      <c r="Q1974" s="596"/>
      <c r="S1974" s="1645">
        <f>SUM(S1939:S1971)</f>
        <v>0</v>
      </c>
      <c r="T1974" s="1645"/>
      <c r="U1974" s="1645">
        <f>SUM(U1939:U1971)</f>
        <v>0</v>
      </c>
      <c r="V1974" s="1645"/>
      <c r="W1974" s="1645">
        <f>SUM(W1939:W1971)</f>
        <v>0</v>
      </c>
      <c r="Y1974" s="1645">
        <f>SUM(Y1939:Y1971)</f>
        <v>0</v>
      </c>
      <c r="Z1974" s="1936"/>
      <c r="AA1974" s="1937"/>
      <c r="AB1974" s="1937"/>
      <c r="AC1974" s="1937"/>
      <c r="AD1974" s="1937"/>
      <c r="AE1974" s="1937"/>
      <c r="AF1974" s="596"/>
    </row>
    <row r="1975" spans="1:32">
      <c r="C1975" s="528"/>
      <c r="D1975" s="528"/>
    </row>
    <row r="1976" spans="1:32">
      <c r="A1976" s="1897" t="s">
        <v>933</v>
      </c>
      <c r="C1976" s="528"/>
      <c r="D1976" s="528"/>
    </row>
    <row r="1977" spans="1:32">
      <c r="A1977" s="1900" t="s">
        <v>240</v>
      </c>
      <c r="C1977" s="528">
        <f t="shared" ref="C1977:D1979" si="2027">C2001+C2025+C2049</f>
        <v>1094043.5929998949</v>
      </c>
      <c r="D1977" s="528">
        <f t="shared" si="2027"/>
        <v>1134470.3348968814</v>
      </c>
      <c r="F1977" s="1901">
        <v>10</v>
      </c>
      <c r="G1977" s="1902"/>
      <c r="H1977" s="1644">
        <f t="shared" ref="H1977:I1988" si="2028">ROUND($F1977*C1977,0)</f>
        <v>10940436</v>
      </c>
      <c r="I1977" s="1644">
        <f t="shared" si="2028"/>
        <v>11344703</v>
      </c>
      <c r="K1977" s="1901">
        <f t="shared" ref="K1977:K1980" si="2029">ROUND(S1977/$D1977,2)</f>
        <v>10</v>
      </c>
      <c r="L1977" s="1902"/>
      <c r="M1977" s="1901">
        <f t="shared" ref="M1977:M1980" si="2030">ROUND(U1977/$D1977,2)</f>
        <v>0</v>
      </c>
      <c r="N1977" s="1902"/>
      <c r="O1977" s="1901">
        <f t="shared" ref="O1977:O1980" si="2031">ROUND(Q1977-K1977-M1977,2)</f>
        <v>0</v>
      </c>
      <c r="P1977" s="1902"/>
      <c r="Q1977" s="1901">
        <f>ROUND(F1977*(1+$AB$1981),0)</f>
        <v>10</v>
      </c>
      <c r="R1977" s="1902"/>
      <c r="S1977" s="1643">
        <f>MIN($S$1998-$S$1988,Y1977)</f>
        <v>11344703</v>
      </c>
      <c r="T1977" s="1643"/>
      <c r="U1977" s="1643"/>
      <c r="V1977" s="1643"/>
      <c r="W1977" s="1643"/>
      <c r="X1977" s="1643"/>
      <c r="Y1977" s="1644">
        <f>ROUND($D1977*Q1977,0)</f>
        <v>11344703</v>
      </c>
      <c r="AA1977" s="1903" t="s">
        <v>1741</v>
      </c>
      <c r="AB1977" s="1904">
        <f>Y1998+Y2092+Y2181</f>
        <v>138048752</v>
      </c>
    </row>
    <row r="1978" spans="1:32">
      <c r="A1978" s="1900" t="s">
        <v>262</v>
      </c>
      <c r="C1978" s="528">
        <f t="shared" si="2027"/>
        <v>0</v>
      </c>
      <c r="D1978" s="528">
        <f t="shared" si="2027"/>
        <v>0</v>
      </c>
      <c r="F1978" s="1901">
        <v>120</v>
      </c>
      <c r="G1978" s="1902"/>
      <c r="H1978" s="1644">
        <f t="shared" si="2028"/>
        <v>0</v>
      </c>
      <c r="I1978" s="1644">
        <f t="shared" si="2028"/>
        <v>0</v>
      </c>
      <c r="K1978" s="1901">
        <f>$Q$1978/$Q$1977*K1977</f>
        <v>117</v>
      </c>
      <c r="L1978" s="1902"/>
      <c r="M1978" s="1901">
        <f>$Q$1978/$Q$1977*M1977</f>
        <v>0</v>
      </c>
      <c r="N1978" s="1902"/>
      <c r="O1978" s="1901">
        <f t="shared" si="2031"/>
        <v>0</v>
      </c>
      <c r="P1978" s="1902"/>
      <c r="Q1978" s="1901">
        <f t="shared" ref="Q1978:Q1979" si="2032">ROUND(F1978*(1+$AB$1981),0)</f>
        <v>117</v>
      </c>
      <c r="R1978" s="1902"/>
      <c r="S1978" s="1643">
        <f>MIN($S$1998-$S$1988-$S$1977,Y1978)</f>
        <v>0</v>
      </c>
      <c r="T1978" s="1643"/>
      <c r="U1978" s="1643"/>
      <c r="V1978" s="1643"/>
      <c r="W1978" s="1643"/>
      <c r="X1978" s="1643"/>
      <c r="Y1978" s="1644">
        <f t="shared" ref="Y1978:Y1981" si="2033">ROUND($D1978*Q1978,0)</f>
        <v>0</v>
      </c>
      <c r="AA1978" s="1905" t="s">
        <v>1742</v>
      </c>
      <c r="AB1978" s="1906">
        <f>RateSpread!M46*1000</f>
        <v>138048574.50230002</v>
      </c>
    </row>
    <row r="1979" spans="1:32">
      <c r="A1979" s="1900" t="s">
        <v>1298</v>
      </c>
      <c r="C1979" s="528">
        <f t="shared" si="2027"/>
        <v>98.399000000000001</v>
      </c>
      <c r="D1979" s="528">
        <f t="shared" si="2027"/>
        <v>102</v>
      </c>
      <c r="F1979" s="1944">
        <v>10</v>
      </c>
      <c r="G1979" s="597"/>
      <c r="H1979" s="1644">
        <f t="shared" si="2028"/>
        <v>984</v>
      </c>
      <c r="I1979" s="1644">
        <f t="shared" si="2028"/>
        <v>1020</v>
      </c>
      <c r="K1979" s="1944">
        <f t="shared" si="2029"/>
        <v>10</v>
      </c>
      <c r="L1979" s="597"/>
      <c r="M1979" s="1944">
        <f t="shared" si="2030"/>
        <v>0</v>
      </c>
      <c r="N1979" s="597"/>
      <c r="O1979" s="1944">
        <f t="shared" si="2031"/>
        <v>0</v>
      </c>
      <c r="P1979" s="597"/>
      <c r="Q1979" s="1901">
        <f t="shared" si="2032"/>
        <v>10</v>
      </c>
      <c r="R1979" s="597"/>
      <c r="S1979" s="1643">
        <f>MIN($S$1998-$S$1988-$S$1977-$S$1978,Y1979)</f>
        <v>1020</v>
      </c>
      <c r="T1979" s="1645"/>
      <c r="U1979" s="1645"/>
      <c r="V1979" s="1645"/>
      <c r="W1979" s="1645"/>
      <c r="X1979" s="1645"/>
      <c r="Y1979" s="1644">
        <f t="shared" si="2033"/>
        <v>1020</v>
      </c>
      <c r="AA1979" s="1908" t="s">
        <v>87</v>
      </c>
      <c r="AB1979" s="1909">
        <f>AB1978-AB1977</f>
        <v>-177.49769997596741</v>
      </c>
    </row>
    <row r="1980" spans="1:32">
      <c r="A1980" s="1900" t="s">
        <v>1654</v>
      </c>
      <c r="C1980" s="528">
        <f t="shared" ref="C1980:D1980" si="2034">C2004+C2028+C2052</f>
        <v>307129.99190138647</v>
      </c>
      <c r="D1980" s="528">
        <f t="shared" si="2034"/>
        <v>303570</v>
      </c>
      <c r="F1980" s="1944"/>
      <c r="G1980" s="597"/>
      <c r="H1980" s="1644"/>
      <c r="I1980" s="1644"/>
      <c r="K1980" s="1944">
        <f t="shared" si="2029"/>
        <v>8.89</v>
      </c>
      <c r="L1980" s="597"/>
      <c r="M1980" s="1944">
        <f t="shared" si="2030"/>
        <v>0</v>
      </c>
      <c r="N1980" s="597"/>
      <c r="O1980" s="1944">
        <f t="shared" si="2031"/>
        <v>0</v>
      </c>
      <c r="P1980" s="597"/>
      <c r="Q1980" s="1944">
        <f>ROUND(SUM(I1986:I1987,I2082:I2083,I2171:I2172)*(1+AB1981)/(SUM(D1986,D2082,D2171)+SUM(D1987,D2083,D2172)/AB1984),2)</f>
        <v>8.89</v>
      </c>
      <c r="R1980" s="597"/>
      <c r="S1980" s="1645">
        <f>MIN($S$1998-$S$1977-$S$1978-$S$1979-$S$1988,SUM($Y$1980:$Y$1981))*Y1980/SUM($Y$1980:$Y$1981)</f>
        <v>2698737</v>
      </c>
      <c r="T1980" s="1645"/>
      <c r="U1980" s="1645"/>
      <c r="V1980" s="1645"/>
      <c r="W1980" s="1645"/>
      <c r="X1980" s="1645"/>
      <c r="Y1980" s="1644">
        <f t="shared" si="2033"/>
        <v>2698737</v>
      </c>
      <c r="AA1980" s="1903" t="s">
        <v>1743</v>
      </c>
      <c r="AB1980" s="1953">
        <f>AB1977/(I1998+I2092+I2181)-1</f>
        <v>4.8017934901611881E-5</v>
      </c>
    </row>
    <row r="1981" spans="1:32">
      <c r="A1981" s="1900" t="s">
        <v>1655</v>
      </c>
      <c r="C1981" s="528">
        <f t="shared" ref="C1981:D1981" si="2035">C2005+C2029+C2053</f>
        <v>357703.21417129517</v>
      </c>
      <c r="D1981" s="528">
        <f t="shared" si="2035"/>
        <v>353344</v>
      </c>
      <c r="F1981" s="1944"/>
      <c r="G1981" s="597"/>
      <c r="H1981" s="1644"/>
      <c r="I1981" s="1644"/>
      <c r="K1981" s="1944">
        <f>ROUND(S1981/$D1981,2)</f>
        <v>7.87</v>
      </c>
      <c r="L1981" s="597"/>
      <c r="M1981" s="1944">
        <f>ROUND(U1981/$D1981,2)</f>
        <v>0</v>
      </c>
      <c r="N1981" s="597"/>
      <c r="O1981" s="1944">
        <f>ROUND(Q1981-K1981-M1981,2)</f>
        <v>0</v>
      </c>
      <c r="P1981" s="597"/>
      <c r="Q1981" s="1944">
        <f>ROUND(Q1980/$AB$1984,2)</f>
        <v>7.87</v>
      </c>
      <c r="R1981" s="597"/>
      <c r="S1981" s="1645">
        <f>MIN($S$1998-$S$1977-$S$1978-$S$1979-$S$1988,SUM($Y$1980:$Y$1981))*Y1981/SUM($Y$1980:$Y$1981)</f>
        <v>2780817</v>
      </c>
      <c r="T1981" s="1645"/>
      <c r="U1981" s="1645"/>
      <c r="V1981" s="1645"/>
      <c r="W1981" s="1645"/>
      <c r="X1981" s="1645"/>
      <c r="Y1981" s="1644">
        <f t="shared" si="2033"/>
        <v>2780817</v>
      </c>
      <c r="AA1981" s="1905" t="s">
        <v>1744</v>
      </c>
      <c r="AB1981" s="1953">
        <f>(AB1978-I1988-I2017-I2084-I2173)/SUM(I1977:I1987,I1989:I1992,I2073:I2083,I2085:I2088,I2161:I2172,I2174:I2177)-1</f>
        <v>-2.8970084203678526E-2</v>
      </c>
      <c r="AC1981" s="1953">
        <f>AB1978/(I1998+I2092+I2181)-1</f>
        <v>4.6732112172431783E-5</v>
      </c>
    </row>
    <row r="1982" spans="1:32">
      <c r="A1982" s="1900" t="s">
        <v>1656</v>
      </c>
      <c r="C1982" s="528">
        <f t="shared" ref="C1982:D1982" si="2036">C2006+C2030+C2054</f>
        <v>246513686.00034341</v>
      </c>
      <c r="D1982" s="528">
        <f t="shared" si="2036"/>
        <v>245732054.41468564</v>
      </c>
      <c r="F1982" s="1943"/>
      <c r="G1982" s="1921"/>
      <c r="H1982" s="1644"/>
      <c r="I1982" s="1644"/>
      <c r="K1982" s="1943">
        <f>ROUND(SUM($S$1982:$S$1985,$S$1993)/SUM($D$1982:$D$1985,$D$1993)*100,4)</f>
        <v>2.9403000000000001</v>
      </c>
      <c r="L1982" s="1921" t="s">
        <v>495</v>
      </c>
      <c r="M1982" s="1943">
        <f>Q1982-K1982-O1982</f>
        <v>6.4656468966360006</v>
      </c>
      <c r="N1982" s="1921" t="s">
        <v>495</v>
      </c>
      <c r="O1982" s="1943">
        <f>ROUND(SUM(W1982:W1983)/SUM($D1982:$D1983)*100,4)</f>
        <v>2.3066</v>
      </c>
      <c r="P1982" s="1921" t="s">
        <v>495</v>
      </c>
      <c r="Q1982" s="1943">
        <f>ROUND((AB1978-SUM(Y1977:Y1981,Y1988,Y1993,Y2073:Y2077,Y2084,Y2161:Y2166,Y2173)-AB1985/100*(D1983+D2079+D2168+1/AB1984*(D1985+D2081+D2170)))/(D1982+D1983+D2078+D2079+D2167+D2168+1/AB1984*(D1984+D1985+D2080+D2081+D2169+D2170))*100,AB8)</f>
        <v>11.712546896636001</v>
      </c>
      <c r="R1982" s="1921" t="s">
        <v>495</v>
      </c>
      <c r="S1982" s="597">
        <f>MIN($S$1998-$S$1977-$S$1978-$S$1979-$S$1980-$S$1981-$S$1988-$S$1993,SUM($Y$1982:$Y$1985))*Y1982/SUM($Y$1982:$Y$1985)</f>
        <v>9834519.9475719742</v>
      </c>
      <c r="T1982" s="1648"/>
      <c r="U1982" s="2037">
        <f>MIN($U$1998-$U$1993,SUM($Y$1982:$Y$1985)-SUM($S$1982:$S$1985))*($Y1982-$S1982)/(SUM($Y$1982:$Y$1985)-SUM($S$1982:$S$1985))</f>
        <v>11641107.941427238</v>
      </c>
      <c r="V1982" s="1648"/>
      <c r="W1982" s="1648">
        <f>Y1982-S1982-U1982</f>
        <v>7305854.1110007875</v>
      </c>
      <c r="X1982" s="1648"/>
      <c r="Y1982" s="1644">
        <f>ROUND($D1982*Q1982/100,0)</f>
        <v>28781482</v>
      </c>
      <c r="AA1982" s="1905" t="s">
        <v>1751</v>
      </c>
      <c r="AB1982" s="1953"/>
    </row>
    <row r="1983" spans="1:32">
      <c r="A1983" s="1900" t="s">
        <v>1657</v>
      </c>
      <c r="C1983" s="528">
        <f t="shared" ref="C1983:D1983" si="2037">C2007+C2031+C2055</f>
        <v>255582783.39106882</v>
      </c>
      <c r="D1983" s="528">
        <f t="shared" si="2037"/>
        <v>255089575</v>
      </c>
      <c r="F1983" s="1943"/>
      <c r="G1983" s="1921"/>
      <c r="H1983" s="1644"/>
      <c r="I1983" s="1644"/>
      <c r="K1983" s="1943">
        <f>$K$1982</f>
        <v>2.9403000000000001</v>
      </c>
      <c r="L1983" s="1921" t="s">
        <v>495</v>
      </c>
      <c r="M1983" s="1943">
        <f>Q1983-K1983-O1983</f>
        <v>1.310346896636001</v>
      </c>
      <c r="N1983" s="1921" t="s">
        <v>495</v>
      </c>
      <c r="O1983" s="1943">
        <f>O1982</f>
        <v>2.3066</v>
      </c>
      <c r="P1983" s="1921" t="s">
        <v>495</v>
      </c>
      <c r="Q1983" s="1943">
        <f>Q1982+AB1985</f>
        <v>6.5572468966360011</v>
      </c>
      <c r="R1983" s="1921" t="s">
        <v>495</v>
      </c>
      <c r="S1983" s="1645">
        <f t="shared" ref="S1983:S1985" si="2038">MIN($S$1998-$S$1977-$S$1978-$S$1979-$S$1980-$S$1981-$S$1988-$S$1993,SUM($Y$1982:$Y$1985))*Y1983/SUM($Y$1982:$Y$1985)</f>
        <v>5715500.3167871665</v>
      </c>
      <c r="T1983" s="1648"/>
      <c r="U1983" s="1648">
        <f t="shared" ref="U1983:U1985" si="2039">MIN($U$1998-$U$1993,SUM($Y$1982:$Y$1985)-SUM($S$1982:$S$1985))*($Y1983-$S1983)/(SUM($Y$1982:$Y$1985)-SUM($S$1982:$S$1985))</f>
        <v>6765429.9835354555</v>
      </c>
      <c r="V1983" s="1648"/>
      <c r="W1983" s="1648">
        <f t="shared" ref="W1983:W1985" si="2040">Y1983-S1983-U1983</f>
        <v>4245922.6996773779</v>
      </c>
      <c r="X1983" s="1648"/>
      <c r="Y1983" s="1644">
        <f t="shared" ref="Y1983:Y1985" si="2041">ROUND($D1983*Q1983/100,0)</f>
        <v>16726853</v>
      </c>
      <c r="AA1983" s="1915" t="s">
        <v>1678</v>
      </c>
      <c r="AB1983" s="1954"/>
    </row>
    <row r="1984" spans="1:32">
      <c r="A1984" s="1900" t="s">
        <v>1658</v>
      </c>
      <c r="C1984" s="528">
        <f t="shared" ref="C1984:D1984" si="2042">C2008+C2032+C2056</f>
        <v>497637266.10561931</v>
      </c>
      <c r="D1984" s="528">
        <f t="shared" si="2042"/>
        <v>491138812</v>
      </c>
      <c r="F1984" s="1943"/>
      <c r="G1984" s="1921"/>
      <c r="H1984" s="1644"/>
      <c r="I1984" s="1644"/>
      <c r="K1984" s="1943">
        <f t="shared" ref="K1984:K1985" si="2043">$K$1982</f>
        <v>2.9403000000000001</v>
      </c>
      <c r="L1984" s="1921" t="s">
        <v>495</v>
      </c>
      <c r="M1984" s="1943">
        <f>Q1984-K1984-O1984</f>
        <v>5.3096999999999994</v>
      </c>
      <c r="N1984" s="1921" t="s">
        <v>495</v>
      </c>
      <c r="O1984" s="1943">
        <f>ROUND(SUM(W1984:W1985)/SUM($D1984:$D1985)*100,4)</f>
        <v>2.1151</v>
      </c>
      <c r="P1984" s="1921" t="s">
        <v>495</v>
      </c>
      <c r="Q1984" s="1943">
        <f>ROUND(Q1982/$AB$1984,4)</f>
        <v>10.3651</v>
      </c>
      <c r="R1984" s="1921" t="s">
        <v>495</v>
      </c>
      <c r="S1984" s="1645">
        <f t="shared" si="2038"/>
        <v>17394732.910978142</v>
      </c>
      <c r="T1984" s="1648"/>
      <c r="U1984" s="1648">
        <f t="shared" si="2039"/>
        <v>20590121.786166769</v>
      </c>
      <c r="V1984" s="1648"/>
      <c r="W1984" s="1648">
        <f t="shared" si="2040"/>
        <v>12922174.302855089</v>
      </c>
      <c r="X1984" s="1648"/>
      <c r="Y1984" s="1644">
        <f t="shared" si="2041"/>
        <v>50907029</v>
      </c>
      <c r="AA1984" s="1898" t="s">
        <v>2180</v>
      </c>
      <c r="AB1984" s="1899">
        <v>1.1299999999999999</v>
      </c>
    </row>
    <row r="1985" spans="1:31">
      <c r="A1985" s="1900" t="s">
        <v>1659</v>
      </c>
      <c r="C1985" s="528">
        <f t="shared" ref="C1985:D1985" si="2044">C2009+C2033+C2057</f>
        <v>399727710.95724291</v>
      </c>
      <c r="D1985" s="528">
        <f t="shared" si="2044"/>
        <v>394638630</v>
      </c>
      <c r="F1985" s="1943"/>
      <c r="G1985" s="1921"/>
      <c r="H1985" s="1644"/>
      <c r="I1985" s="1644"/>
      <c r="K1985" s="1943">
        <f t="shared" si="2043"/>
        <v>2.9403000000000001</v>
      </c>
      <c r="L1985" s="1921" t="s">
        <v>495</v>
      </c>
      <c r="M1985" s="1943">
        <f>Q1985-K1985-O1985</f>
        <v>0.74750000000000005</v>
      </c>
      <c r="N1985" s="1921" t="s">
        <v>495</v>
      </c>
      <c r="O1985" s="1943">
        <f>O1984</f>
        <v>2.1151</v>
      </c>
      <c r="P1985" s="1921" t="s">
        <v>495</v>
      </c>
      <c r="Q1985" s="1943">
        <f>ROUND(Q1983/$AB$1984,4)</f>
        <v>5.8029000000000002</v>
      </c>
      <c r="R1985" s="1921" t="s">
        <v>495</v>
      </c>
      <c r="S1985" s="1645">
        <f t="shared" si="2038"/>
        <v>7825006.2502539931</v>
      </c>
      <c r="T1985" s="1648"/>
      <c r="U1985" s="1648">
        <f t="shared" si="2039"/>
        <v>9262449.2997280452</v>
      </c>
      <c r="V1985" s="1648"/>
      <c r="W1985" s="1648">
        <f t="shared" si="2040"/>
        <v>5813029.4500179607</v>
      </c>
      <c r="X1985" s="1648"/>
      <c r="Y1985" s="1644">
        <f t="shared" si="2041"/>
        <v>22900485</v>
      </c>
      <c r="AA1985" s="1898" t="s">
        <v>2208</v>
      </c>
      <c r="AB1985" s="1899">
        <f>F1990-F1989</f>
        <v>-5.1552999999999995</v>
      </c>
    </row>
    <row r="1986" spans="1:31">
      <c r="A1986" s="1900" t="s">
        <v>282</v>
      </c>
      <c r="C1986" s="528">
        <f t="shared" ref="C1986:D1994" si="2045">C2010+C2034+C2058</f>
        <v>359490.05664739525</v>
      </c>
      <c r="D1986" s="528">
        <f t="shared" si="2045"/>
        <v>355316</v>
      </c>
      <c r="F1986" s="1901">
        <v>8.65</v>
      </c>
      <c r="G1986" s="1902"/>
      <c r="H1986" s="1644">
        <f t="shared" si="2028"/>
        <v>3109589</v>
      </c>
      <c r="I1986" s="1644">
        <f t="shared" si="2028"/>
        <v>3073483</v>
      </c>
      <c r="K1986" s="1901"/>
      <c r="L1986" s="1902"/>
      <c r="M1986" s="1901"/>
      <c r="N1986" s="1902"/>
      <c r="O1986" s="1901"/>
      <c r="P1986" s="1902"/>
      <c r="Q1986" s="1901"/>
      <c r="R1986" s="1902"/>
      <c r="S1986" s="1643"/>
      <c r="T1986" s="1643"/>
      <c r="U1986" s="1643"/>
      <c r="V1986" s="1643"/>
      <c r="W1986" s="1643"/>
      <c r="X1986" s="1643"/>
      <c r="Y1986" s="1644"/>
      <c r="AA1986" s="1903"/>
      <c r="AB1986" s="1998"/>
    </row>
    <row r="1987" spans="1:31">
      <c r="A1987" s="1900" t="s">
        <v>283</v>
      </c>
      <c r="C1987" s="528">
        <f t="shared" si="2045"/>
        <v>305343.14942528633</v>
      </c>
      <c r="D1987" s="528">
        <f t="shared" si="2045"/>
        <v>301598</v>
      </c>
      <c r="F1987" s="1901">
        <v>8.7000000000000011</v>
      </c>
      <c r="G1987" s="1902"/>
      <c r="H1987" s="1644">
        <f t="shared" si="2028"/>
        <v>2656485</v>
      </c>
      <c r="I1987" s="1644">
        <f t="shared" si="2028"/>
        <v>2623903</v>
      </c>
      <c r="K1987" s="1901"/>
      <c r="L1987" s="1902"/>
      <c r="M1987" s="1901"/>
      <c r="N1987" s="1902"/>
      <c r="O1987" s="1901"/>
      <c r="P1987" s="1902"/>
      <c r="Q1987" s="1901"/>
      <c r="R1987" s="1902"/>
      <c r="S1987" s="1643"/>
      <c r="T1987" s="1643"/>
      <c r="U1987" s="1643"/>
      <c r="V1987" s="1643"/>
      <c r="W1987" s="1643"/>
      <c r="X1987" s="1643"/>
      <c r="Y1987" s="1644"/>
      <c r="AA1987" s="1905"/>
      <c r="AB1987" s="1999"/>
    </row>
    <row r="1988" spans="1:31">
      <c r="A1988" s="1900" t="s">
        <v>261</v>
      </c>
      <c r="C1988" s="528">
        <f t="shared" si="2045"/>
        <v>12132.72916666667</v>
      </c>
      <c r="D1988" s="528">
        <f t="shared" si="2045"/>
        <v>11994</v>
      </c>
      <c r="F1988" s="1901">
        <v>-0.48</v>
      </c>
      <c r="G1988" s="1902"/>
      <c r="H1988" s="1644">
        <f t="shared" si="2028"/>
        <v>-5824</v>
      </c>
      <c r="I1988" s="1644">
        <f t="shared" si="2028"/>
        <v>-5757</v>
      </c>
      <c r="K1988" s="1944">
        <f t="shared" ref="K1988" si="2046">ROUND(S1988/$D1988,2)</f>
        <v>-0.48</v>
      </c>
      <c r="L1988" s="597"/>
      <c r="M1988" s="1944">
        <f t="shared" ref="M1988" si="2047">ROUND(U1988/$D1988,2)</f>
        <v>0</v>
      </c>
      <c r="N1988" s="597"/>
      <c r="O1988" s="1944">
        <f t="shared" ref="O1988" si="2048">ROUND(Q1988-K1988-M1988,2)</f>
        <v>0</v>
      </c>
      <c r="P1988" s="1902"/>
      <c r="Q1988" s="1901">
        <f>F1988</f>
        <v>-0.48</v>
      </c>
      <c r="R1988" s="1902"/>
      <c r="S1988" s="1643">
        <f>Y1988</f>
        <v>-5757</v>
      </c>
      <c r="T1988" s="1643"/>
      <c r="U1988" s="1643"/>
      <c r="V1988" s="1643"/>
      <c r="W1988" s="1643"/>
      <c r="X1988" s="1643"/>
      <c r="Y1988" s="1644">
        <f t="shared" ref="Y1988" si="2049">ROUND($D1988*Q1988,0)</f>
        <v>-5757</v>
      </c>
      <c r="AA1988" s="1109" t="s">
        <v>1938</v>
      </c>
      <c r="AB1988" s="1917">
        <f>RateSpread!W46*1000</f>
        <v>-3233345.6704317662</v>
      </c>
      <c r="AC1988" s="1918">
        <f>ROUND(AB1988/SUM(Y1980:Y1985,Y1993,Y2076:Y2081,Y2165:Y2170),4)</f>
        <v>-2.5600000000000001E-2</v>
      </c>
    </row>
    <row r="1989" spans="1:31">
      <c r="A1989" s="1900" t="s">
        <v>194</v>
      </c>
      <c r="C1989" s="528">
        <f t="shared" si="2045"/>
        <v>306932669.66192746</v>
      </c>
      <c r="D1989" s="528">
        <f t="shared" si="2045"/>
        <v>308060156.41468561</v>
      </c>
      <c r="F1989" s="1926">
        <v>11.733599999999999</v>
      </c>
      <c r="G1989" s="1921" t="s">
        <v>495</v>
      </c>
      <c r="H1989" s="1644">
        <f t="shared" ref="H1989:I1993" si="2050">ROUND($F1989*C1989/100,0)</f>
        <v>36014252</v>
      </c>
      <c r="I1989" s="1644">
        <f t="shared" si="2050"/>
        <v>36146547</v>
      </c>
      <c r="K1989" s="1926"/>
      <c r="L1989" s="1921"/>
      <c r="M1989" s="1926"/>
      <c r="N1989" s="1921"/>
      <c r="O1989" s="1926"/>
      <c r="P1989" s="1921"/>
      <c r="Q1989" s="1926"/>
      <c r="R1989" s="1921"/>
      <c r="S1989" s="1648"/>
      <c r="T1989" s="1648"/>
      <c r="U1989" s="1648"/>
      <c r="V1989" s="1648"/>
      <c r="W1989" s="1648"/>
      <c r="X1989" s="1648"/>
      <c r="Y1989" s="1644"/>
      <c r="AA1989" s="1109" t="s">
        <v>1939</v>
      </c>
      <c r="AB1989" s="1917">
        <f>RateSpread!X46*1000</f>
        <v>-1755134.6854153778</v>
      </c>
      <c r="AC1989" s="1918">
        <f>ROUND(AB1989/SUM(Y1980:Y1985,Y1993,Y2076:Y2081,Y2165:Y2170),4)</f>
        <v>-1.3899999999999999E-2</v>
      </c>
    </row>
    <row r="1990" spans="1:31">
      <c r="A1990" s="1900" t="s">
        <v>195</v>
      </c>
      <c r="C1990" s="528">
        <f t="shared" si="2045"/>
        <v>299805428.240731</v>
      </c>
      <c r="D1990" s="528">
        <f t="shared" si="2045"/>
        <v>301253476</v>
      </c>
      <c r="F1990" s="1926">
        <v>6.5782999999999996</v>
      </c>
      <c r="G1990" s="1921" t="s">
        <v>495</v>
      </c>
      <c r="H1990" s="1644">
        <f t="shared" si="2050"/>
        <v>19722100</v>
      </c>
      <c r="I1990" s="1644">
        <f t="shared" si="2050"/>
        <v>19817357</v>
      </c>
      <c r="K1990" s="1926"/>
      <c r="L1990" s="1921"/>
      <c r="M1990" s="1926"/>
      <c r="N1990" s="1921"/>
      <c r="O1990" s="1926"/>
      <c r="P1990" s="1921"/>
      <c r="Q1990" s="1926"/>
      <c r="R1990" s="1921"/>
      <c r="S1990" s="1648"/>
      <c r="T1990" s="1648"/>
      <c r="U1990" s="1648"/>
      <c r="V1990" s="1648"/>
      <c r="W1990" s="1648"/>
      <c r="X1990" s="1648"/>
      <c r="Y1990" s="1644"/>
    </row>
    <row r="1991" spans="1:31">
      <c r="A1991" s="1900" t="s">
        <v>160</v>
      </c>
      <c r="C1991" s="528">
        <f t="shared" si="2045"/>
        <v>437218282.44403523</v>
      </c>
      <c r="D1991" s="528">
        <f t="shared" si="2045"/>
        <v>428643673</v>
      </c>
      <c r="F1991" s="1926">
        <v>10.8</v>
      </c>
      <c r="G1991" s="1921" t="s">
        <v>495</v>
      </c>
      <c r="H1991" s="1644">
        <f t="shared" si="2050"/>
        <v>47219575</v>
      </c>
      <c r="I1991" s="1644">
        <f t="shared" si="2050"/>
        <v>46293517</v>
      </c>
      <c r="K1991" s="1926"/>
      <c r="L1991" s="1921"/>
      <c r="M1991" s="1926"/>
      <c r="N1991" s="1921"/>
      <c r="O1991" s="1926"/>
      <c r="P1991" s="1921"/>
      <c r="Q1991" s="1926"/>
      <c r="R1991" s="1921"/>
      <c r="S1991" s="1648"/>
      <c r="T1991" s="1648"/>
      <c r="U1991" s="1648"/>
      <c r="V1991" s="1648"/>
      <c r="W1991" s="1648"/>
      <c r="X1991" s="1648"/>
      <c r="Y1991" s="1644"/>
      <c r="AA1991" s="1104" t="s">
        <v>1743</v>
      </c>
      <c r="AB1991" s="1890">
        <f>Y1998/I1998-1</f>
        <v>6.3467655586624261E-5</v>
      </c>
    </row>
    <row r="1992" spans="1:31">
      <c r="A1992" s="1900" t="s">
        <v>159</v>
      </c>
      <c r="C1992" s="528">
        <f t="shared" si="2045"/>
        <v>355505066.10758072</v>
      </c>
      <c r="D1992" s="528">
        <f t="shared" si="2045"/>
        <v>348641766</v>
      </c>
      <c r="F1992" s="1926">
        <v>6.0567000000000002</v>
      </c>
      <c r="G1992" s="1921" t="s">
        <v>495</v>
      </c>
      <c r="H1992" s="1644">
        <f t="shared" si="2050"/>
        <v>21531875</v>
      </c>
      <c r="I1992" s="1644">
        <f t="shared" si="2050"/>
        <v>21116186</v>
      </c>
      <c r="K1992" s="1926"/>
      <c r="L1992" s="1921"/>
      <c r="M1992" s="1926"/>
      <c r="N1992" s="1921"/>
      <c r="O1992" s="1926"/>
      <c r="P1992" s="1921"/>
      <c r="Q1992" s="1926"/>
      <c r="R1992" s="1921"/>
      <c r="S1992" s="1648"/>
      <c r="T1992" s="1648"/>
      <c r="U1992" s="1648"/>
      <c r="V1992" s="1648"/>
      <c r="W1992" s="1648"/>
      <c r="X1992" s="1648"/>
      <c r="Y1992" s="1644"/>
    </row>
    <row r="1993" spans="1:31">
      <c r="A1993" s="1116" t="s">
        <v>1158</v>
      </c>
      <c r="B1993" s="1928"/>
      <c r="C1993" s="528">
        <f t="shared" si="2045"/>
        <v>2093618</v>
      </c>
      <c r="D1993" s="528">
        <f t="shared" si="2045"/>
        <v>2069676</v>
      </c>
      <c r="E1993" s="804"/>
      <c r="F1993" s="1927">
        <v>10.120799999999999</v>
      </c>
      <c r="G1993" s="1929" t="s">
        <v>495</v>
      </c>
      <c r="H1993" s="1146">
        <f t="shared" si="2050"/>
        <v>211891</v>
      </c>
      <c r="I1993" s="1146">
        <f t="shared" si="2050"/>
        <v>209468</v>
      </c>
      <c r="J1993" s="804"/>
      <c r="K1993" s="1927">
        <f>K1982</f>
        <v>2.9403000000000001</v>
      </c>
      <c r="L1993" s="1929" t="s">
        <v>495</v>
      </c>
      <c r="M1993" s="1927">
        <v>7.4249999999999998</v>
      </c>
      <c r="N1993" s="1929" t="s">
        <v>495</v>
      </c>
      <c r="O1993" s="1927">
        <f t="shared" ref="O1993" si="2051">ROUND(Q1993-K1993-M1993,4)</f>
        <v>0</v>
      </c>
      <c r="P1993" s="1929" t="s">
        <v>495</v>
      </c>
      <c r="Q1993" s="1927">
        <f>F1993+AA1994</f>
        <v>10.3653</v>
      </c>
      <c r="R1993" s="1929" t="s">
        <v>495</v>
      </c>
      <c r="S1993" s="1656">
        <f>ROUND($D1993*AB1994/100,0)</f>
        <v>60855</v>
      </c>
      <c r="T1993" s="1656"/>
      <c r="U1993" s="1656">
        <f>ROUND($D1993*M1993/100,0)</f>
        <v>153673</v>
      </c>
      <c r="V1993" s="1656"/>
      <c r="W1993" s="1656"/>
      <c r="X1993" s="1656"/>
      <c r="Y1993" s="1146">
        <f>ROUND($D1993*Q1993/100,0)</f>
        <v>214528</v>
      </c>
      <c r="AA1993" s="2036">
        <v>2.6958000000000002</v>
      </c>
      <c r="AB1993" s="2036">
        <v>7.4249999999999998</v>
      </c>
      <c r="AC1993" s="2036">
        <v>10.120799999999999</v>
      </c>
    </row>
    <row r="1994" spans="1:31">
      <c r="A1994" s="1900" t="s">
        <v>246</v>
      </c>
      <c r="C1994" s="529">
        <f t="shared" si="2045"/>
        <v>6316242</v>
      </c>
      <c r="D1994" s="529">
        <f t="shared" si="2045"/>
        <v>0</v>
      </c>
      <c r="H1994" s="1030">
        <f>H2018+H2042+H2066</f>
        <v>702376</v>
      </c>
      <c r="I1994" s="1030">
        <f t="shared" ref="I1994" si="2052">I2018+I2042+I2066</f>
        <v>0</v>
      </c>
      <c r="Y1994" s="1030"/>
      <c r="AA1994" s="2036">
        <f>-1.2287+1.4732</f>
        <v>0.24450000000000016</v>
      </c>
      <c r="AB1994" s="2036">
        <v>2.9403000000000001</v>
      </c>
      <c r="AC1994" s="2036">
        <f>Q1993-K1993-M1993</f>
        <v>0</v>
      </c>
    </row>
    <row r="1995" spans="1:31">
      <c r="A1995" s="1900" t="s">
        <v>1240</v>
      </c>
      <c r="C1995" s="584"/>
      <c r="D1995" s="584"/>
      <c r="F1995" s="1930">
        <v>-3.3099999999999997E-2</v>
      </c>
      <c r="G1995" s="597"/>
      <c r="H1995" s="1644">
        <f>SUM(H1986:H1987,H1989:H1993)*$F1995</f>
        <v>-4318416.8876999998</v>
      </c>
      <c r="I1995" s="1644">
        <f>SUM(I1986:I1987,I1989:I1993)*$F1995</f>
        <v>-4279183.2590999994</v>
      </c>
      <c r="K1995" s="1930"/>
      <c r="L1995" s="597"/>
      <c r="M1995" s="1930"/>
      <c r="N1995" s="597"/>
      <c r="O1995" s="1931" t="str">
        <f>$O$43</f>
        <v>Tax Year 1 (7/1/2021)</v>
      </c>
      <c r="P1995" s="597"/>
      <c r="Q1995" s="1930">
        <f>$AC$1988</f>
        <v>-2.5600000000000001E-2</v>
      </c>
      <c r="R1995" s="597"/>
      <c r="S1995" s="1645"/>
      <c r="T1995" s="1645"/>
      <c r="U1995" s="1645"/>
      <c r="V1995" s="1645"/>
      <c r="W1995" s="1645"/>
      <c r="X1995" s="1645"/>
      <c r="Y1995" s="1644">
        <f>Q1995*SUM(Y1980:Y1985,Y1993)</f>
        <v>-3200254.2336000004</v>
      </c>
    </row>
    <row r="1996" spans="1:31">
      <c r="A1996" s="1900"/>
      <c r="C1996" s="584"/>
      <c r="D1996" s="584"/>
      <c r="F1996" s="1930"/>
      <c r="G1996" s="597"/>
      <c r="H1996" s="1644"/>
      <c r="I1996" s="1644"/>
      <c r="K1996" s="1930"/>
      <c r="L1996" s="597"/>
      <c r="M1996" s="1930"/>
      <c r="N1996" s="597"/>
      <c r="O1996" s="1931" t="str">
        <f>$O$44</f>
        <v>Tax Year 2 (1/1/2022)</v>
      </c>
      <c r="P1996" s="597"/>
      <c r="Q1996" s="1930">
        <f>$AC$1989</f>
        <v>-1.3899999999999999E-2</v>
      </c>
      <c r="R1996" s="597"/>
      <c r="S1996" s="1645"/>
      <c r="T1996" s="1645"/>
      <c r="U1996" s="1645"/>
      <c r="V1996" s="1645"/>
      <c r="W1996" s="1645"/>
      <c r="X1996" s="1645"/>
      <c r="Y1996" s="1644">
        <f>Q1996*SUM(Y1980:Y1985,Y1993)</f>
        <v>-1737638.0408999999</v>
      </c>
      <c r="AA1996" s="1932" t="s">
        <v>1940</v>
      </c>
      <c r="AB1996" s="1932"/>
      <c r="AC1996" s="1932"/>
      <c r="AD1996" s="1932"/>
    </row>
    <row r="1997" spans="1:31">
      <c r="A1997" s="1116" t="s">
        <v>1317</v>
      </c>
      <c r="C1997" s="528">
        <f>C2021+C2045+C2069</f>
        <v>-151735</v>
      </c>
      <c r="D1997" s="528">
        <f t="shared" ref="D1997" si="2053">D2021+D2045+D2069</f>
        <v>-150134</v>
      </c>
      <c r="F1997" s="1930"/>
      <c r="G1997" s="597"/>
      <c r="H1997" s="1644"/>
      <c r="I1997" s="1644"/>
      <c r="K1997" s="1930"/>
      <c r="L1997" s="597"/>
      <c r="M1997" s="1930"/>
      <c r="N1997" s="597"/>
      <c r="O1997" s="1930"/>
      <c r="P1997" s="597"/>
      <c r="Q1997" s="1930"/>
      <c r="R1997" s="597"/>
      <c r="S1997" s="1645"/>
      <c r="T1997" s="1645"/>
      <c r="U1997" s="1645"/>
      <c r="V1997" s="1645"/>
      <c r="W1997" s="1645"/>
      <c r="X1997" s="1645"/>
      <c r="Y1997" s="1644"/>
      <c r="AA1997" s="1933" t="s">
        <v>1660</v>
      </c>
      <c r="AB1997" s="1933" t="s">
        <v>1661</v>
      </c>
      <c r="AC1997" s="1933" t="s">
        <v>1662</v>
      </c>
      <c r="AD1997" s="1933" t="s">
        <v>93</v>
      </c>
    </row>
    <row r="1998" spans="1:31" ht="16.5" thickBot="1">
      <c r="A1998" s="1900" t="s">
        <v>247</v>
      </c>
      <c r="C1998" s="1949">
        <f>SUM(C1989:C1997)</f>
        <v>1407719571.4542744</v>
      </c>
      <c r="D1998" s="1949">
        <f>SUM(D1989:D1997)</f>
        <v>1388518613.4146857</v>
      </c>
      <c r="F1998" s="1939"/>
      <c r="H1998" s="1647">
        <f>SUM(H1977:H1995)</f>
        <v>137785322.11230001</v>
      </c>
      <c r="I1998" s="1647">
        <f>SUM(I1977:I1995)</f>
        <v>136341243.74090001</v>
      </c>
      <c r="K1998" s="1939"/>
      <c r="M1998" s="1939"/>
      <c r="O1998" s="1939"/>
      <c r="Q1998" s="1939"/>
      <c r="S1998" s="1646">
        <f>$Y1998*AA1998/$AD1998</f>
        <v>57650134.425591275</v>
      </c>
      <c r="T1998" s="1646"/>
      <c r="U1998" s="1646">
        <f>$Y1998*AB1998/$AD1998</f>
        <v>48412782.010857508</v>
      </c>
      <c r="V1998" s="1646"/>
      <c r="W1998" s="1646">
        <f>Y1998-S1998-U1998</f>
        <v>30286980.563551217</v>
      </c>
      <c r="Y1998" s="1647">
        <f>SUM(Y1977:Y1994)</f>
        <v>136349897</v>
      </c>
      <c r="AA1998" s="1937">
        <f>'Unit Cost Target'!$L$87+'Unit Cost Target'!$L$123+'Unit Cost Target'!$L$129+'Unit Cost Target'!$L$75+'Unit Cost Target'!$L$81</f>
        <v>54981409.305803031</v>
      </c>
      <c r="AB1998" s="1937">
        <f>'Unit Cost Target'!$L$45+'Unit Cost Target'!$L$51</f>
        <v>46171670.021119371</v>
      </c>
      <c r="AC1998" s="1937">
        <f>'Unit Cost Target'!$L$33+'Unit Cost Target'!$L$39+'Unit Cost Target'!$L$63+'Unit Cost Target'!$L$69</f>
        <v>28884943.488740727</v>
      </c>
      <c r="AD1998" s="1937">
        <f>SUM(AA1998:AC1998)</f>
        <v>130038022.81566313</v>
      </c>
      <c r="AE1998" s="1937">
        <f>AD1998-'Unit Cost Target'!$L$21</f>
        <v>0</v>
      </c>
    </row>
    <row r="1999" spans="1:31" ht="16.5" hidden="1" thickTop="1">
      <c r="C1999" s="528"/>
      <c r="D1999" s="528"/>
      <c r="AA1999" s="1937">
        <f>S1998-SUM(S1977:S1997)</f>
        <v>0</v>
      </c>
      <c r="AB1999" s="1937">
        <f>U1998-SUM(U1977:U1997)</f>
        <v>0</v>
      </c>
      <c r="AC1999" s="1937">
        <f>W1998-SUM(W1977:W1997)</f>
        <v>0</v>
      </c>
      <c r="AD1999" s="1937">
        <f>SUM(AA1999:AC1999)</f>
        <v>0</v>
      </c>
      <c r="AE1999" s="1937"/>
    </row>
    <row r="2000" spans="1:31" hidden="1">
      <c r="A2000" s="1897" t="s">
        <v>936</v>
      </c>
      <c r="C2000" s="528"/>
      <c r="D2000" s="528"/>
    </row>
    <row r="2001" spans="1:25" hidden="1">
      <c r="A2001" s="1900" t="s">
        <v>240</v>
      </c>
      <c r="C2001" s="528">
        <f>'23'!G26</f>
        <v>166153.66500000798</v>
      </c>
      <c r="D2001" s="528">
        <f>Bill!P14</f>
        <v>173250</v>
      </c>
      <c r="F2001" s="1944">
        <v>10</v>
      </c>
      <c r="G2001" s="597"/>
      <c r="H2001" s="1644">
        <f t="shared" ref="H2001:I2012" si="2054">ROUND($F2001*C2001,0)</f>
        <v>1661537</v>
      </c>
      <c r="I2001" s="1644">
        <f t="shared" si="2054"/>
        <v>1732500</v>
      </c>
      <c r="K2001" s="1944">
        <f>K1977</f>
        <v>10</v>
      </c>
      <c r="L2001" s="597"/>
      <c r="M2001" s="1944">
        <f>M1977</f>
        <v>0</v>
      </c>
      <c r="N2001" s="597"/>
      <c r="O2001" s="1944">
        <f>O1977</f>
        <v>0</v>
      </c>
      <c r="P2001" s="597"/>
      <c r="Q2001" s="1944">
        <f t="shared" ref="Q2001:Q2009" si="2055">Q1977</f>
        <v>10</v>
      </c>
      <c r="R2001" s="597"/>
      <c r="S2001" s="1644">
        <f t="shared" ref="S2001:S2004" si="2056">ROUND($D2001*K2001,0)</f>
        <v>1732500</v>
      </c>
      <c r="T2001" s="1645"/>
      <c r="U2001" s="1644">
        <f t="shared" ref="U2001:U2004" si="2057">ROUND($D2001*M2001,0)</f>
        <v>0</v>
      </c>
      <c r="V2001" s="1645"/>
      <c r="W2001" s="1644">
        <f t="shared" ref="W2001:W2004" si="2058">ROUND($D2001*O2001,0)</f>
        <v>0</v>
      </c>
      <c r="X2001" s="1645"/>
      <c r="Y2001" s="1644">
        <f>ROUND($D2001*Q2001,0)</f>
        <v>1732500</v>
      </c>
    </row>
    <row r="2002" spans="1:25" hidden="1">
      <c r="A2002" s="1900" t="s">
        <v>262</v>
      </c>
      <c r="C2002" s="528">
        <v>0</v>
      </c>
      <c r="D2002" s="528">
        <f>ROUND(C2002/C2001*D2001,0)</f>
        <v>0</v>
      </c>
      <c r="F2002" s="1944">
        <v>120</v>
      </c>
      <c r="G2002" s="597"/>
      <c r="H2002" s="1644">
        <f t="shared" si="2054"/>
        <v>0</v>
      </c>
      <c r="I2002" s="1644">
        <f t="shared" si="2054"/>
        <v>0</v>
      </c>
      <c r="K2002" s="1944">
        <f t="shared" ref="K2002" si="2059">K1978</f>
        <v>117</v>
      </c>
      <c r="L2002" s="597"/>
      <c r="M2002" s="1944">
        <f t="shared" ref="M2002" si="2060">M1978</f>
        <v>0</v>
      </c>
      <c r="N2002" s="597"/>
      <c r="O2002" s="1944">
        <f t="shared" ref="O2002" si="2061">O1978</f>
        <v>0</v>
      </c>
      <c r="P2002" s="597"/>
      <c r="Q2002" s="1944">
        <f t="shared" si="2055"/>
        <v>117</v>
      </c>
      <c r="R2002" s="597"/>
      <c r="S2002" s="1644">
        <f t="shared" si="2056"/>
        <v>0</v>
      </c>
      <c r="T2002" s="1645"/>
      <c r="U2002" s="1644">
        <f t="shared" si="2057"/>
        <v>0</v>
      </c>
      <c r="V2002" s="1645"/>
      <c r="W2002" s="1644">
        <f t="shared" si="2058"/>
        <v>0</v>
      </c>
      <c r="X2002" s="1645"/>
      <c r="Y2002" s="1644">
        <f t="shared" ref="Y2002:Y2005" si="2062">ROUND($D2002*Q2002,0)</f>
        <v>0</v>
      </c>
    </row>
    <row r="2003" spans="1:25" hidden="1">
      <c r="A2003" s="1900" t="s">
        <v>1298</v>
      </c>
      <c r="C2003" s="528">
        <f>'23'!AH26</f>
        <v>6.6669999999999998</v>
      </c>
      <c r="D2003" s="528">
        <f>ROUND(C2003/C2001*D2001,0)</f>
        <v>7</v>
      </c>
      <c r="F2003" s="1944">
        <v>10</v>
      </c>
      <c r="G2003" s="597"/>
      <c r="H2003" s="1644">
        <f t="shared" si="2054"/>
        <v>67</v>
      </c>
      <c r="I2003" s="1644">
        <f t="shared" si="2054"/>
        <v>70</v>
      </c>
      <c r="K2003" s="1944">
        <f t="shared" ref="K2003" si="2063">K1979</f>
        <v>10</v>
      </c>
      <c r="L2003" s="597"/>
      <c r="M2003" s="1944">
        <f t="shared" ref="M2003" si="2064">M1979</f>
        <v>0</v>
      </c>
      <c r="N2003" s="597"/>
      <c r="O2003" s="1944">
        <f t="shared" ref="O2003" si="2065">O1979</f>
        <v>0</v>
      </c>
      <c r="P2003" s="597"/>
      <c r="Q2003" s="1944">
        <f t="shared" si="2055"/>
        <v>10</v>
      </c>
      <c r="R2003" s="597"/>
      <c r="S2003" s="1644">
        <f t="shared" si="2056"/>
        <v>70</v>
      </c>
      <c r="T2003" s="1645"/>
      <c r="U2003" s="1644">
        <f t="shared" si="2057"/>
        <v>0</v>
      </c>
      <c r="V2003" s="1645"/>
      <c r="W2003" s="1644">
        <f t="shared" si="2058"/>
        <v>0</v>
      </c>
      <c r="X2003" s="1645"/>
      <c r="Y2003" s="1644">
        <f t="shared" si="2062"/>
        <v>70</v>
      </c>
    </row>
    <row r="2004" spans="1:25" hidden="1">
      <c r="A2004" s="1900" t="s">
        <v>1654</v>
      </c>
      <c r="C2004" s="528">
        <f>'23'!I26+'23-may'!I26</f>
        <v>8259.9962634652038</v>
      </c>
      <c r="D2004" s="528">
        <f>ROUND(C2004/C2022*D2022,0)</f>
        <v>7796</v>
      </c>
      <c r="F2004" s="1944"/>
      <c r="G2004" s="597"/>
      <c r="H2004" s="1644"/>
      <c r="I2004" s="1644"/>
      <c r="K2004" s="1944">
        <f t="shared" ref="K2004" si="2066">K1980</f>
        <v>8.89</v>
      </c>
      <c r="L2004" s="597"/>
      <c r="M2004" s="1944">
        <f t="shared" ref="M2004" si="2067">M1980</f>
        <v>0</v>
      </c>
      <c r="N2004" s="597"/>
      <c r="O2004" s="1944">
        <f t="shared" ref="O2004" si="2068">O1980</f>
        <v>0</v>
      </c>
      <c r="P2004" s="597"/>
      <c r="Q2004" s="1944">
        <f t="shared" si="2055"/>
        <v>8.89</v>
      </c>
      <c r="R2004" s="597"/>
      <c r="S2004" s="1644">
        <f t="shared" si="2056"/>
        <v>69306</v>
      </c>
      <c r="T2004" s="1645"/>
      <c r="U2004" s="1644">
        <f t="shared" si="2057"/>
        <v>0</v>
      </c>
      <c r="V2004" s="1645"/>
      <c r="W2004" s="1644">
        <f t="shared" si="2058"/>
        <v>0</v>
      </c>
      <c r="X2004" s="1645"/>
      <c r="Y2004" s="1644">
        <f t="shared" si="2062"/>
        <v>69306</v>
      </c>
    </row>
    <row r="2005" spans="1:25" hidden="1">
      <c r="A2005" s="1900" t="s">
        <v>1655</v>
      </c>
      <c r="C2005" s="528">
        <f>'23'!J26+'23-may'!J26</f>
        <v>13257.216008144667</v>
      </c>
      <c r="D2005" s="528">
        <f>ROUND(C2005/C2022*D2022,0)</f>
        <v>12513</v>
      </c>
      <c r="F2005" s="1944"/>
      <c r="G2005" s="597"/>
      <c r="H2005" s="1644"/>
      <c r="I2005" s="1644"/>
      <c r="K2005" s="1944">
        <f t="shared" ref="K2005" si="2069">K1981</f>
        <v>7.87</v>
      </c>
      <c r="L2005" s="597"/>
      <c r="M2005" s="1944">
        <f t="shared" ref="M2005" si="2070">M1981</f>
        <v>0</v>
      </c>
      <c r="N2005" s="597"/>
      <c r="O2005" s="1944">
        <f t="shared" ref="O2005" si="2071">O1981</f>
        <v>0</v>
      </c>
      <c r="P2005" s="597"/>
      <c r="Q2005" s="1944">
        <f t="shared" si="2055"/>
        <v>7.87</v>
      </c>
      <c r="R2005" s="597"/>
      <c r="S2005" s="1644">
        <f t="shared" ref="S2005" si="2072">ROUND($D2005*K2005,0)</f>
        <v>98477</v>
      </c>
      <c r="T2005" s="1645"/>
      <c r="U2005" s="1644">
        <f t="shared" ref="U2005" si="2073">ROUND($D2005*M2005,0)</f>
        <v>0</v>
      </c>
      <c r="V2005" s="1645"/>
      <c r="W2005" s="1644">
        <f t="shared" ref="W2005" si="2074">ROUND($D2005*O2005,0)</f>
        <v>0</v>
      </c>
      <c r="X2005" s="1645"/>
      <c r="Y2005" s="1644">
        <f t="shared" si="2062"/>
        <v>98477</v>
      </c>
    </row>
    <row r="2006" spans="1:25" hidden="1">
      <c r="A2006" s="1900" t="s">
        <v>1656</v>
      </c>
      <c r="C2006" s="528">
        <f>'23'!N26+'23'!AB26+TempRevMay!C327-TempRevMay!M327-TempRevMay!W327+'23-may'!N26+'23-may'!AB26</f>
        <v>18088988.484417532</v>
      </c>
      <c r="D2006" s="528">
        <f>D2022-SUM(D2007:D2009,D2017,D2021)</f>
        <v>17111827.531002313</v>
      </c>
      <c r="F2006" s="1943"/>
      <c r="G2006" s="1921"/>
      <c r="H2006" s="1644"/>
      <c r="I2006" s="1644"/>
      <c r="K2006" s="1943">
        <f t="shared" ref="K2006" si="2075">K1982</f>
        <v>2.9403000000000001</v>
      </c>
      <c r="L2006" s="1921" t="s">
        <v>495</v>
      </c>
      <c r="M2006" s="1943">
        <f t="shared" ref="M2006" si="2076">M1982</f>
        <v>6.4656468966360006</v>
      </c>
      <c r="N2006" s="1921" t="s">
        <v>495</v>
      </c>
      <c r="O2006" s="1943">
        <f t="shared" ref="O2006" si="2077">O1982</f>
        <v>2.3066</v>
      </c>
      <c r="P2006" s="1921" t="s">
        <v>495</v>
      </c>
      <c r="Q2006" s="1943">
        <f t="shared" si="2055"/>
        <v>11.712546896636001</v>
      </c>
      <c r="R2006" s="1921" t="s">
        <v>495</v>
      </c>
      <c r="S2006" s="1644">
        <f>ROUND($D2006*K2006/100,0)</f>
        <v>503139</v>
      </c>
      <c r="T2006" s="1648"/>
      <c r="U2006" s="1644">
        <f>ROUND($D2006*M2006/100,0)</f>
        <v>1106390</v>
      </c>
      <c r="V2006" s="1648"/>
      <c r="W2006" s="1644">
        <f>ROUND($D2006*O2006/100,0)</f>
        <v>394701</v>
      </c>
      <c r="X2006" s="1648"/>
      <c r="Y2006" s="1644">
        <f>ROUND($D2006*Q2006/100,0)</f>
        <v>2004231</v>
      </c>
    </row>
    <row r="2007" spans="1:25" hidden="1">
      <c r="A2007" s="1900" t="s">
        <v>1657</v>
      </c>
      <c r="C2007" s="528">
        <f>'23'!O26+'23'!AC26+TempRevMay!C328-TempRevMay!M328-TempRevMay!W328+'23-may'!O26+'23-may'!AC26</f>
        <v>12955361.531566361</v>
      </c>
      <c r="D2007" s="528">
        <f>ROUND(C2007/(C2007+C2006)*Energy!S14*(1-1/Energy!P14*('Blocking-Step2'!D2017+'Blocking-Step2'!D2021)),0)</f>
        <v>12255517</v>
      </c>
      <c r="F2007" s="1943"/>
      <c r="G2007" s="1921"/>
      <c r="H2007" s="1644"/>
      <c r="I2007" s="1644"/>
      <c r="K2007" s="1943">
        <f t="shared" ref="K2007" si="2078">K1983</f>
        <v>2.9403000000000001</v>
      </c>
      <c r="L2007" s="1921" t="s">
        <v>495</v>
      </c>
      <c r="M2007" s="1943">
        <f t="shared" ref="M2007" si="2079">M1983</f>
        <v>1.310346896636001</v>
      </c>
      <c r="N2007" s="1921" t="s">
        <v>495</v>
      </c>
      <c r="O2007" s="1943">
        <f t="shared" ref="O2007" si="2080">O1983</f>
        <v>2.3066</v>
      </c>
      <c r="P2007" s="1921" t="s">
        <v>495</v>
      </c>
      <c r="Q2007" s="1943">
        <f t="shared" si="2055"/>
        <v>6.5572468966360011</v>
      </c>
      <c r="R2007" s="1921" t="s">
        <v>495</v>
      </c>
      <c r="S2007" s="1644">
        <f t="shared" ref="S2007:S2009" si="2081">ROUND($D2007*K2007/100,0)</f>
        <v>360349</v>
      </c>
      <c r="T2007" s="1648"/>
      <c r="U2007" s="1644">
        <f t="shared" ref="U2007:U2009" si="2082">ROUND($D2007*M2007/100,0)</f>
        <v>160590</v>
      </c>
      <c r="V2007" s="1648"/>
      <c r="W2007" s="1644">
        <f t="shared" ref="W2007:W2009" si="2083">ROUND($D2007*O2007/100,0)</f>
        <v>282686</v>
      </c>
      <c r="X2007" s="1648"/>
      <c r="Y2007" s="1644">
        <f t="shared" ref="Y2007:Y2009" si="2084">ROUND($D2007*Q2007/100,0)</f>
        <v>803625</v>
      </c>
    </row>
    <row r="2008" spans="1:25" hidden="1">
      <c r="A2008" s="1900" t="s">
        <v>1658</v>
      </c>
      <c r="C2008" s="528">
        <f>'23'!Q26+'23'!AD26+TempRevMay!C329-TempRevMay!M329-TempRevMay!W329+'23-may'!Q26+'23-may'!AD26</f>
        <v>42519070.480579935</v>
      </c>
      <c r="D2008" s="528">
        <f>ROUND(C2008/(C2009+C2008)*Energy!T14*(1-1/Energy!P14*('Blocking-Step2'!D2017+'Blocking-Step2'!D2021)),0)</f>
        <v>40420347</v>
      </c>
      <c r="F2008" s="1943"/>
      <c r="G2008" s="1921"/>
      <c r="H2008" s="1644"/>
      <c r="I2008" s="1644"/>
      <c r="K2008" s="1943">
        <f t="shared" ref="K2008" si="2085">K1984</f>
        <v>2.9403000000000001</v>
      </c>
      <c r="L2008" s="1921" t="s">
        <v>495</v>
      </c>
      <c r="M2008" s="1943">
        <f t="shared" ref="M2008" si="2086">M1984</f>
        <v>5.3096999999999994</v>
      </c>
      <c r="N2008" s="1921" t="s">
        <v>495</v>
      </c>
      <c r="O2008" s="1943">
        <f t="shared" ref="O2008" si="2087">O1984</f>
        <v>2.1151</v>
      </c>
      <c r="P2008" s="1921" t="s">
        <v>495</v>
      </c>
      <c r="Q2008" s="1943">
        <f t="shared" si="2055"/>
        <v>10.3651</v>
      </c>
      <c r="R2008" s="1921" t="s">
        <v>495</v>
      </c>
      <c r="S2008" s="1644">
        <f t="shared" si="2081"/>
        <v>1188479</v>
      </c>
      <c r="T2008" s="1648"/>
      <c r="U2008" s="1644">
        <f t="shared" si="2082"/>
        <v>2146199</v>
      </c>
      <c r="V2008" s="1648"/>
      <c r="W2008" s="1644">
        <f t="shared" si="2083"/>
        <v>854931</v>
      </c>
      <c r="X2008" s="1648"/>
      <c r="Y2008" s="1644">
        <f t="shared" si="2084"/>
        <v>4189609</v>
      </c>
    </row>
    <row r="2009" spans="1:25" hidden="1">
      <c r="A2009" s="1900" t="s">
        <v>1659</v>
      </c>
      <c r="C2009" s="528">
        <f>'23'!R26+'23'!AE26+TempRevMay!C330-TempRevMay!M330-TempRevMay!W330+'23-may'!R26+'23-may'!AE26</f>
        <v>28070742.378563926</v>
      </c>
      <c r="D2009" s="528">
        <f>ROUND(C2009/(C2008+C2009)*Energy!T14*(1-1/Energy!P14*('Blocking-Step2'!D2017+'Blocking-Step2'!D2021)),0)</f>
        <v>26685182</v>
      </c>
      <c r="F2009" s="1943"/>
      <c r="G2009" s="1921"/>
      <c r="H2009" s="1644"/>
      <c r="I2009" s="1644"/>
      <c r="K2009" s="1943">
        <f t="shared" ref="K2009" si="2088">K1985</f>
        <v>2.9403000000000001</v>
      </c>
      <c r="L2009" s="1921" t="s">
        <v>495</v>
      </c>
      <c r="M2009" s="1943">
        <f t="shared" ref="M2009" si="2089">M1985</f>
        <v>0.74750000000000005</v>
      </c>
      <c r="N2009" s="1921" t="s">
        <v>495</v>
      </c>
      <c r="O2009" s="1943">
        <f t="shared" ref="O2009" si="2090">O1985</f>
        <v>2.1151</v>
      </c>
      <c r="P2009" s="1921" t="s">
        <v>495</v>
      </c>
      <c r="Q2009" s="1943">
        <f t="shared" si="2055"/>
        <v>5.8029000000000002</v>
      </c>
      <c r="R2009" s="1921" t="s">
        <v>495</v>
      </c>
      <c r="S2009" s="1644">
        <f t="shared" si="2081"/>
        <v>784624</v>
      </c>
      <c r="T2009" s="1648"/>
      <c r="U2009" s="1644">
        <f t="shared" si="2082"/>
        <v>199472</v>
      </c>
      <c r="V2009" s="1648"/>
      <c r="W2009" s="1644">
        <f t="shared" si="2083"/>
        <v>564418</v>
      </c>
      <c r="X2009" s="1648"/>
      <c r="Y2009" s="1644">
        <f t="shared" si="2084"/>
        <v>1548514</v>
      </c>
    </row>
    <row r="2010" spans="1:25" hidden="1">
      <c r="A2010" s="1900" t="s">
        <v>282</v>
      </c>
      <c r="C2010" s="528">
        <f>'23'!I26</f>
        <v>9763.3352601156057</v>
      </c>
      <c r="D2010" s="528">
        <f>ROUND(C2010/C2022*D2022,0)</f>
        <v>9215</v>
      </c>
      <c r="F2010" s="1944">
        <v>8.65</v>
      </c>
      <c r="G2010" s="597"/>
      <c r="H2010" s="1644">
        <f t="shared" si="2054"/>
        <v>84453</v>
      </c>
      <c r="I2010" s="1644">
        <f t="shared" si="2054"/>
        <v>79710</v>
      </c>
      <c r="K2010" s="1944"/>
      <c r="L2010" s="597"/>
      <c r="M2010" s="1944"/>
      <c r="N2010" s="597"/>
      <c r="O2010" s="1944"/>
      <c r="P2010" s="597"/>
      <c r="Q2010" s="1944"/>
      <c r="R2010" s="597"/>
      <c r="S2010" s="1645"/>
      <c r="T2010" s="1645"/>
      <c r="U2010" s="1645"/>
      <c r="V2010" s="1645"/>
      <c r="W2010" s="1645"/>
      <c r="X2010" s="1645"/>
      <c r="Y2010" s="1644"/>
    </row>
    <row r="2011" spans="1:25" hidden="1">
      <c r="A2011" s="1900" t="s">
        <v>283</v>
      </c>
      <c r="C2011" s="528">
        <f>'23'!J26</f>
        <v>11753.877011494265</v>
      </c>
      <c r="D2011" s="528">
        <f>ROUND(C2011/C2022*D2022,0)</f>
        <v>11094</v>
      </c>
      <c r="F2011" s="1944">
        <v>8.7000000000000011</v>
      </c>
      <c r="G2011" s="597"/>
      <c r="H2011" s="1644">
        <f t="shared" si="2054"/>
        <v>102259</v>
      </c>
      <c r="I2011" s="1644">
        <f t="shared" si="2054"/>
        <v>96518</v>
      </c>
      <c r="K2011" s="1944"/>
      <c r="L2011" s="597"/>
      <c r="M2011" s="1944"/>
      <c r="N2011" s="597"/>
      <c r="O2011" s="1944"/>
      <c r="P2011" s="597"/>
      <c r="Q2011" s="1944"/>
      <c r="R2011" s="597"/>
      <c r="S2011" s="1645"/>
      <c r="T2011" s="1645"/>
      <c r="U2011" s="1645"/>
      <c r="V2011" s="1645"/>
      <c r="W2011" s="1645"/>
      <c r="X2011" s="1645"/>
      <c r="Y2011" s="1644"/>
    </row>
    <row r="2012" spans="1:25" hidden="1">
      <c r="A2012" s="1900" t="s">
        <v>261</v>
      </c>
      <c r="C2012" s="528">
        <f>'23'!K26</f>
        <v>0</v>
      </c>
      <c r="D2012" s="528">
        <f>ROUND(C2012/C2022*D2022,0)</f>
        <v>0</v>
      </c>
      <c r="F2012" s="1944">
        <v>-0.48</v>
      </c>
      <c r="G2012" s="597"/>
      <c r="H2012" s="1644">
        <f t="shared" si="2054"/>
        <v>0</v>
      </c>
      <c r="I2012" s="1644">
        <f t="shared" si="2054"/>
        <v>0</v>
      </c>
      <c r="K2012" s="1944">
        <f>K1988</f>
        <v>-0.48</v>
      </c>
      <c r="L2012" s="597"/>
      <c r="M2012" s="1944">
        <f>M1988</f>
        <v>0</v>
      </c>
      <c r="N2012" s="597"/>
      <c r="O2012" s="1944">
        <f>O1988</f>
        <v>0</v>
      </c>
      <c r="P2012" s="597"/>
      <c r="Q2012" s="1944">
        <f>Q1988</f>
        <v>-0.48</v>
      </c>
      <c r="R2012" s="597"/>
      <c r="S2012" s="1644">
        <f t="shared" ref="S2012" si="2091">ROUND($D2012*K2012,0)</f>
        <v>0</v>
      </c>
      <c r="T2012" s="1645"/>
      <c r="U2012" s="1644">
        <f t="shared" ref="U2012" si="2092">ROUND($D2012*M2012,0)</f>
        <v>0</v>
      </c>
      <c r="V2012" s="1645"/>
      <c r="W2012" s="1644">
        <f t="shared" ref="W2012" si="2093">ROUND($D2012*O2012,0)</f>
        <v>0</v>
      </c>
      <c r="X2012" s="1645"/>
      <c r="Y2012" s="1644">
        <f t="shared" ref="Y2012" si="2094">ROUND($D2012*Q2012,0)</f>
        <v>0</v>
      </c>
    </row>
    <row r="2013" spans="1:25" hidden="1">
      <c r="A2013" s="1900" t="s">
        <v>194</v>
      </c>
      <c r="C2013" s="528">
        <f>'23'!N26+'23'!AB26+TempRev!C327-TempRev!M327-TempRev!W327</f>
        <v>22942009.529970665</v>
      </c>
      <c r="D2013" s="528">
        <f>D2022-SUM(D2014:D2021)</f>
        <v>21926420.531002313</v>
      </c>
      <c r="F2013" s="1943">
        <v>11.733599999999999</v>
      </c>
      <c r="G2013" s="1921" t="s">
        <v>495</v>
      </c>
      <c r="H2013" s="1644">
        <f t="shared" ref="H2013:I2017" si="2095">ROUND($F2013*C2013/100,0)</f>
        <v>2691924</v>
      </c>
      <c r="I2013" s="1644">
        <f t="shared" si="2095"/>
        <v>2572758</v>
      </c>
      <c r="K2013" s="1943"/>
      <c r="L2013" s="1921"/>
      <c r="M2013" s="1943"/>
      <c r="N2013" s="1921"/>
      <c r="O2013" s="1943"/>
      <c r="P2013" s="1921"/>
      <c r="Q2013" s="1943"/>
      <c r="R2013" s="1921"/>
      <c r="S2013" s="1648"/>
      <c r="T2013" s="1648"/>
      <c r="U2013" s="1648"/>
      <c r="V2013" s="1648"/>
      <c r="W2013" s="1648"/>
      <c r="X2013" s="1648"/>
      <c r="Y2013" s="1644"/>
    </row>
    <row r="2014" spans="1:25" hidden="1">
      <c r="A2014" s="1900" t="s">
        <v>195</v>
      </c>
      <c r="C2014" s="528">
        <f>'23'!O26+'23'!AC26+TempRev!C328-TempRev!M328-TempRev!W328</f>
        <v>15487485.447321979</v>
      </c>
      <c r="D2014" s="528">
        <f>ROUND(C2014/(C2014+C2013)*Energy!Q14*(1-1/Energy!P14*('Blocking-Step2'!D2017+'Blocking-Step2'!D2021)),0)</f>
        <v>14801891</v>
      </c>
      <c r="F2014" s="1943">
        <v>6.5782999999999996</v>
      </c>
      <c r="G2014" s="1921" t="s">
        <v>495</v>
      </c>
      <c r="H2014" s="1644">
        <f t="shared" si="2095"/>
        <v>1018813</v>
      </c>
      <c r="I2014" s="1644">
        <f t="shared" si="2095"/>
        <v>973713</v>
      </c>
      <c r="K2014" s="1943"/>
      <c r="L2014" s="1921"/>
      <c r="M2014" s="1943"/>
      <c r="N2014" s="1921"/>
      <c r="O2014" s="1943"/>
      <c r="P2014" s="1921"/>
      <c r="Q2014" s="1943"/>
      <c r="R2014" s="1921"/>
      <c r="S2014" s="1648"/>
      <c r="T2014" s="1648"/>
      <c r="U2014" s="1648"/>
      <c r="V2014" s="1648"/>
      <c r="W2014" s="1648"/>
      <c r="X2014" s="1648"/>
      <c r="Y2014" s="1644"/>
    </row>
    <row r="2015" spans="1:25" hidden="1">
      <c r="A2015" s="1900" t="s">
        <v>160</v>
      </c>
      <c r="C2015" s="528">
        <f>'23'!Q26+'23'!AD26+TempRev!C329-TempRev!M329-TempRev!W329</f>
        <v>37666049.435026802</v>
      </c>
      <c r="D2015" s="528">
        <f>ROUND(C2015/(C2015+C2016)*Energy!R14*(1-1/Energy!P14*('Blocking-Step2'!D2017+'Blocking-Step2'!D2021)),0)</f>
        <v>35604042</v>
      </c>
      <c r="F2015" s="1943">
        <v>10.8</v>
      </c>
      <c r="G2015" s="1921" t="s">
        <v>495</v>
      </c>
      <c r="H2015" s="1644">
        <f t="shared" si="2095"/>
        <v>4067933</v>
      </c>
      <c r="I2015" s="1644">
        <f t="shared" si="2095"/>
        <v>3845237</v>
      </c>
      <c r="K2015" s="1943"/>
      <c r="L2015" s="1921"/>
      <c r="M2015" s="1943"/>
      <c r="N2015" s="1921"/>
      <c r="O2015" s="1943"/>
      <c r="P2015" s="1921"/>
      <c r="Q2015" s="1943"/>
      <c r="R2015" s="1921"/>
      <c r="S2015" s="1648"/>
      <c r="T2015" s="1648"/>
      <c r="U2015" s="1648"/>
      <c r="V2015" s="1648"/>
      <c r="W2015" s="1648"/>
      <c r="X2015" s="1648"/>
      <c r="Y2015" s="1644"/>
    </row>
    <row r="2016" spans="1:25" hidden="1">
      <c r="A2016" s="1900" t="s">
        <v>159</v>
      </c>
      <c r="C2016" s="528">
        <f>'23'!R26+'23'!AE26+TempRev!C330-TempRev!M330-TempRev!W330</f>
        <v>25538618.462808311</v>
      </c>
      <c r="D2016" s="528">
        <f>ROUND(C2016/(C2015+C2016)*Energy!R14*(1-1/Energy!P14*('Blocking-Step2'!D2017+'Blocking-Step2'!D2021)),0)</f>
        <v>24140520</v>
      </c>
      <c r="F2016" s="1943">
        <v>6.0567000000000002</v>
      </c>
      <c r="G2016" s="1921" t="s">
        <v>495</v>
      </c>
      <c r="H2016" s="1644">
        <f t="shared" si="2095"/>
        <v>1546798</v>
      </c>
      <c r="I2016" s="1644">
        <f t="shared" si="2095"/>
        <v>1462119</v>
      </c>
      <c r="K2016" s="1943"/>
      <c r="L2016" s="1921"/>
      <c r="M2016" s="1943"/>
      <c r="N2016" s="1921"/>
      <c r="O2016" s="1943"/>
      <c r="P2016" s="1921"/>
      <c r="Q2016" s="1943"/>
      <c r="R2016" s="1921"/>
      <c r="S2016" s="1648"/>
      <c r="T2016" s="1648"/>
      <c r="U2016" s="1648"/>
      <c r="V2016" s="1648"/>
      <c r="W2016" s="1648"/>
      <c r="X2016" s="1648"/>
      <c r="Y2016" s="1644"/>
    </row>
    <row r="2017" spans="1:28" hidden="1">
      <c r="A2017" s="1116" t="s">
        <v>1158</v>
      </c>
      <c r="B2017" s="1928"/>
      <c r="C2017" s="1024">
        <f>'23'!V26</f>
        <v>43200</v>
      </c>
      <c r="D2017" s="1024">
        <f>ROUND(C2017/(C2022-C2021)*D2022,0)</f>
        <v>40775</v>
      </c>
      <c r="E2017" s="804"/>
      <c r="F2017" s="1927">
        <v>10.120799999999999</v>
      </c>
      <c r="G2017" s="1929" t="s">
        <v>495</v>
      </c>
      <c r="H2017" s="1146">
        <f t="shared" si="2095"/>
        <v>4372</v>
      </c>
      <c r="I2017" s="1146">
        <f t="shared" si="2095"/>
        <v>4127</v>
      </c>
      <c r="J2017" s="804"/>
      <c r="K2017" s="1927">
        <f>K1993</f>
        <v>2.9403000000000001</v>
      </c>
      <c r="L2017" s="1929" t="s">
        <v>495</v>
      </c>
      <c r="M2017" s="1927">
        <f>M1993</f>
        <v>7.4249999999999998</v>
      </c>
      <c r="N2017" s="1929" t="s">
        <v>495</v>
      </c>
      <c r="O2017" s="1927">
        <f>O1993</f>
        <v>0</v>
      </c>
      <c r="P2017" s="1929" t="s">
        <v>495</v>
      </c>
      <c r="Q2017" s="1927">
        <f>Q1993</f>
        <v>10.3653</v>
      </c>
      <c r="R2017" s="1929" t="s">
        <v>495</v>
      </c>
      <c r="S2017" s="1644">
        <f t="shared" ref="S2017" si="2096">ROUND($D2017*K2017/100,0)</f>
        <v>1199</v>
      </c>
      <c r="T2017" s="1648"/>
      <c r="U2017" s="1644">
        <f t="shared" ref="U2017" si="2097">ROUND($D2017*M2017/100,0)</f>
        <v>3028</v>
      </c>
      <c r="V2017" s="1648"/>
      <c r="W2017" s="1644">
        <f t="shared" ref="W2017" si="2098">ROUND($D2017*O2017/100,0)</f>
        <v>0</v>
      </c>
      <c r="X2017" s="1656"/>
      <c r="Y2017" s="1146">
        <f t="shared" ref="Y2017" si="2099">ROUND($D2017*Q2017/100,0)</f>
        <v>4226</v>
      </c>
    </row>
    <row r="2018" spans="1:28" hidden="1">
      <c r="A2018" s="1900" t="s">
        <v>246</v>
      </c>
      <c r="C2018" s="529">
        <f>'Table 2'!J25</f>
        <v>576384</v>
      </c>
      <c r="D2018" s="529">
        <v>0</v>
      </c>
      <c r="H2018" s="1030">
        <f>'Table 3'!F25</f>
        <v>66918</v>
      </c>
      <c r="I2018" s="1030">
        <v>0</v>
      </c>
      <c r="Y2018" s="1030"/>
    </row>
    <row r="2019" spans="1:28" hidden="1">
      <c r="A2019" s="1900" t="s">
        <v>1240</v>
      </c>
      <c r="C2019" s="584"/>
      <c r="D2019" s="584"/>
      <c r="F2019" s="1930">
        <v>-3.3099999999999997E-2</v>
      </c>
      <c r="G2019" s="597"/>
      <c r="H2019" s="1644">
        <f>SUM(H2010:H2011,H2013:H2017)*$F2019</f>
        <v>-314997.87119999999</v>
      </c>
      <c r="I2019" s="1644">
        <f>SUM(I2010:I2011,I2013:I2017)*$F2019</f>
        <v>-299031.42419999995</v>
      </c>
      <c r="K2019" s="1930"/>
      <c r="L2019" s="597"/>
      <c r="M2019" s="1930"/>
      <c r="N2019" s="597"/>
      <c r="O2019" s="1931" t="str">
        <f>$O$43</f>
        <v>Tax Year 1 (7/1/2021)</v>
      </c>
      <c r="P2019" s="597"/>
      <c r="Q2019" s="1930">
        <f>$AC$1988</f>
        <v>-2.5600000000000001E-2</v>
      </c>
      <c r="R2019" s="597"/>
      <c r="S2019" s="1645"/>
      <c r="T2019" s="1645"/>
      <c r="U2019" s="1645"/>
      <c r="V2019" s="1645"/>
      <c r="W2019" s="1645"/>
      <c r="X2019" s="1645"/>
      <c r="Y2019" s="1644">
        <f>Q2019*SUM(Y2004:Y2009,Y2017)</f>
        <v>-223180.49280000001</v>
      </c>
    </row>
    <row r="2020" spans="1:28" hidden="1">
      <c r="A2020" s="1900"/>
      <c r="C2020" s="584"/>
      <c r="D2020" s="584"/>
      <c r="F2020" s="1930"/>
      <c r="G2020" s="597"/>
      <c r="H2020" s="1644"/>
      <c r="I2020" s="1644"/>
      <c r="K2020" s="1930"/>
      <c r="L2020" s="597"/>
      <c r="M2020" s="1930"/>
      <c r="N2020" s="597"/>
      <c r="O2020" s="1931" t="str">
        <f>$O$44</f>
        <v>Tax Year 2 (1/1/2022)</v>
      </c>
      <c r="P2020" s="597"/>
      <c r="Q2020" s="1930">
        <f>$AC$1989</f>
        <v>-1.3899999999999999E-2</v>
      </c>
      <c r="R2020" s="597"/>
      <c r="S2020" s="1645"/>
      <c r="T2020" s="1645"/>
      <c r="U2020" s="1645"/>
      <c r="V2020" s="1645"/>
      <c r="W2020" s="1645"/>
      <c r="X2020" s="1645"/>
      <c r="Y2020" s="1644">
        <f>Q2020*SUM(Y2004:Y2009,Y2017)</f>
        <v>-121180.03319999999</v>
      </c>
    </row>
    <row r="2021" spans="1:28" hidden="1">
      <c r="A2021" s="1116" t="s">
        <v>1317</v>
      </c>
      <c r="C2021" s="584">
        <f>'23'!AL26</f>
        <v>-682</v>
      </c>
      <c r="D2021" s="1024">
        <f>ROUND(C2021/(C2022-C2021)*D2022,0)</f>
        <v>-644</v>
      </c>
      <c r="F2021" s="1930"/>
      <c r="G2021" s="597"/>
      <c r="H2021" s="1644"/>
      <c r="I2021" s="1644"/>
      <c r="K2021" s="1930"/>
      <c r="L2021" s="597"/>
      <c r="M2021" s="1930"/>
      <c r="N2021" s="597"/>
      <c r="O2021" s="1930"/>
      <c r="P2021" s="597"/>
      <c r="Q2021" s="1930"/>
      <c r="R2021" s="597"/>
      <c r="S2021" s="1645"/>
      <c r="T2021" s="1645"/>
      <c r="U2021" s="1645"/>
      <c r="V2021" s="1645"/>
      <c r="W2021" s="1645"/>
      <c r="X2021" s="1645"/>
      <c r="Y2021" s="1644"/>
    </row>
    <row r="2022" spans="1:28" ht="16.5" hidden="1" thickBot="1">
      <c r="A2022" s="1900" t="s">
        <v>247</v>
      </c>
      <c r="C2022" s="1949">
        <f>SUM(C2013:C2017,C2018:C2021)</f>
        <v>102253064.87512776</v>
      </c>
      <c r="D2022" s="1949">
        <f>Energy!P14</f>
        <v>96513004.531002313</v>
      </c>
      <c r="F2022" s="1939"/>
      <c r="H2022" s="1647">
        <f>SUM(H2001:H2019)</f>
        <v>10930076.128799999</v>
      </c>
      <c r="I2022" s="1647">
        <f>SUM(I2001:I2019)</f>
        <v>10467720.5758</v>
      </c>
      <c r="K2022" s="1939"/>
      <c r="M2022" s="1939"/>
      <c r="O2022" s="1939"/>
      <c r="Q2022" s="1939"/>
      <c r="S2022" s="1647">
        <f>SUM(S2001:S2018)</f>
        <v>4738143</v>
      </c>
      <c r="U2022" s="1647">
        <f>SUM(U2001:U2018)</f>
        <v>3615679</v>
      </c>
      <c r="W2022" s="1647">
        <f>SUM(W2001:W2018)</f>
        <v>2096736</v>
      </c>
      <c r="Y2022" s="1647">
        <f>SUM(Y2001:Y2018)</f>
        <v>10450558</v>
      </c>
      <c r="AA2022" s="1104" t="s">
        <v>1743</v>
      </c>
      <c r="AB2022" s="1890">
        <f>Y2022/I2022-1</f>
        <v>-1.6395714497459135E-3</v>
      </c>
    </row>
    <row r="2023" spans="1:28" ht="16.5" hidden="1" thickTop="1"/>
    <row r="2024" spans="1:28" hidden="1">
      <c r="A2024" s="1897" t="s">
        <v>934</v>
      </c>
      <c r="C2024" s="528"/>
      <c r="D2024" s="528"/>
    </row>
    <row r="2025" spans="1:28" hidden="1">
      <c r="A2025" s="1900" t="s">
        <v>240</v>
      </c>
      <c r="C2025" s="528">
        <f>'23'!G24</f>
        <v>889735.82099988707</v>
      </c>
      <c r="D2025" s="528">
        <f>Bill!P41</f>
        <v>923789.33489688137</v>
      </c>
      <c r="F2025" s="1944">
        <v>10</v>
      </c>
      <c r="G2025" s="597"/>
      <c r="H2025" s="1644">
        <f t="shared" ref="H2025:I2036" si="2100">ROUND($F2025*C2025,0)</f>
        <v>8897358</v>
      </c>
      <c r="I2025" s="1644">
        <f t="shared" si="2100"/>
        <v>9237893</v>
      </c>
      <c r="K2025" s="1944">
        <f>K1977</f>
        <v>10</v>
      </c>
      <c r="L2025" s="597"/>
      <c r="M2025" s="1944">
        <f>M1977</f>
        <v>0</v>
      </c>
      <c r="N2025" s="597"/>
      <c r="O2025" s="1944">
        <f>O1977</f>
        <v>0</v>
      </c>
      <c r="P2025" s="597"/>
      <c r="Q2025" s="1944">
        <f t="shared" ref="Q2025:Q2033" si="2101">Q1977</f>
        <v>10</v>
      </c>
      <c r="R2025" s="597"/>
      <c r="S2025" s="1644">
        <f t="shared" ref="S2025:S2029" si="2102">ROUND($D2025*K2025,0)</f>
        <v>9237893</v>
      </c>
      <c r="T2025" s="1645"/>
      <c r="U2025" s="1644">
        <f t="shared" ref="U2025:U2029" si="2103">ROUND($D2025*M2025,0)</f>
        <v>0</v>
      </c>
      <c r="V2025" s="1645"/>
      <c r="W2025" s="1644">
        <f t="shared" ref="W2025:W2029" si="2104">ROUND($D2025*O2025,0)</f>
        <v>0</v>
      </c>
      <c r="X2025" s="1645"/>
      <c r="Y2025" s="1644">
        <f>ROUND($D2025*Q2025,0)</f>
        <v>9237893</v>
      </c>
    </row>
    <row r="2026" spans="1:28" hidden="1">
      <c r="A2026" s="1900" t="s">
        <v>262</v>
      </c>
      <c r="C2026" s="528">
        <v>0</v>
      </c>
      <c r="D2026" s="528">
        <f>ROUND(C2026/C2025*D2025,0)</f>
        <v>0</v>
      </c>
      <c r="F2026" s="1944">
        <v>120</v>
      </c>
      <c r="G2026" s="597"/>
      <c r="H2026" s="1644">
        <f t="shared" si="2100"/>
        <v>0</v>
      </c>
      <c r="I2026" s="1644">
        <f t="shared" si="2100"/>
        <v>0</v>
      </c>
      <c r="K2026" s="1944">
        <f t="shared" ref="K2026" si="2105">K1978</f>
        <v>117</v>
      </c>
      <c r="L2026" s="597"/>
      <c r="M2026" s="1944">
        <f t="shared" ref="M2026" si="2106">M1978</f>
        <v>0</v>
      </c>
      <c r="N2026" s="597"/>
      <c r="O2026" s="1944">
        <f t="shared" ref="O2026" si="2107">O1978</f>
        <v>0</v>
      </c>
      <c r="P2026" s="597"/>
      <c r="Q2026" s="1944">
        <f t="shared" si="2101"/>
        <v>117</v>
      </c>
      <c r="R2026" s="597"/>
      <c r="S2026" s="1644">
        <f t="shared" si="2102"/>
        <v>0</v>
      </c>
      <c r="T2026" s="1645"/>
      <c r="U2026" s="1644">
        <f t="shared" si="2103"/>
        <v>0</v>
      </c>
      <c r="V2026" s="1645"/>
      <c r="W2026" s="1644">
        <f t="shared" si="2104"/>
        <v>0</v>
      </c>
      <c r="X2026" s="1645"/>
      <c r="Y2026" s="1644">
        <f t="shared" ref="Y2026:Y2029" si="2108">ROUND($D2026*Q2026,0)</f>
        <v>0</v>
      </c>
    </row>
    <row r="2027" spans="1:28" hidden="1">
      <c r="A2027" s="1900" t="s">
        <v>1298</v>
      </c>
      <c r="C2027" s="528">
        <f>'23'!AH24</f>
        <v>78.731999999999999</v>
      </c>
      <c r="D2027" s="528">
        <f>ROUND(C2027/C2025*D2025,0)</f>
        <v>82</v>
      </c>
      <c r="F2027" s="1944">
        <v>10</v>
      </c>
      <c r="G2027" s="597"/>
      <c r="H2027" s="1644">
        <f t="shared" si="2100"/>
        <v>787</v>
      </c>
      <c r="I2027" s="1644">
        <f t="shared" si="2100"/>
        <v>820</v>
      </c>
      <c r="K2027" s="1944">
        <f t="shared" ref="K2027" si="2109">K1979</f>
        <v>10</v>
      </c>
      <c r="L2027" s="597"/>
      <c r="M2027" s="1944">
        <f t="shared" ref="M2027" si="2110">M1979</f>
        <v>0</v>
      </c>
      <c r="N2027" s="597"/>
      <c r="O2027" s="1944">
        <f t="shared" ref="O2027" si="2111">O1979</f>
        <v>0</v>
      </c>
      <c r="P2027" s="597"/>
      <c r="Q2027" s="1944">
        <f t="shared" si="2101"/>
        <v>10</v>
      </c>
      <c r="R2027" s="597"/>
      <c r="S2027" s="1644">
        <f t="shared" si="2102"/>
        <v>820</v>
      </c>
      <c r="T2027" s="1645"/>
      <c r="U2027" s="1644">
        <f t="shared" si="2103"/>
        <v>0</v>
      </c>
      <c r="V2027" s="1645"/>
      <c r="W2027" s="1644">
        <f t="shared" si="2104"/>
        <v>0</v>
      </c>
      <c r="X2027" s="1645"/>
      <c r="Y2027" s="1644">
        <f t="shared" si="2108"/>
        <v>820</v>
      </c>
    </row>
    <row r="2028" spans="1:28" hidden="1">
      <c r="A2028" s="1900" t="s">
        <v>1654</v>
      </c>
      <c r="C2028" s="528">
        <f>'23'!I24+'23-may'!I24</f>
        <v>284935.59326518374</v>
      </c>
      <c r="D2028" s="528">
        <f>ROUND(C2028/C2046*D2046,0)</f>
        <v>282084</v>
      </c>
      <c r="F2028" s="1944"/>
      <c r="G2028" s="597"/>
      <c r="H2028" s="1644"/>
      <c r="I2028" s="1644"/>
      <c r="K2028" s="1944">
        <f t="shared" ref="K2028" si="2112">K1980</f>
        <v>8.89</v>
      </c>
      <c r="L2028" s="597"/>
      <c r="M2028" s="1944">
        <f t="shared" ref="M2028" si="2113">M1980</f>
        <v>0</v>
      </c>
      <c r="N2028" s="597"/>
      <c r="O2028" s="1944">
        <f t="shared" ref="O2028" si="2114">O1980</f>
        <v>0</v>
      </c>
      <c r="P2028" s="597"/>
      <c r="Q2028" s="1944">
        <f t="shared" si="2101"/>
        <v>8.89</v>
      </c>
      <c r="R2028" s="597"/>
      <c r="S2028" s="1644">
        <f t="shared" si="2102"/>
        <v>2507727</v>
      </c>
      <c r="T2028" s="1645"/>
      <c r="U2028" s="1644">
        <f t="shared" si="2103"/>
        <v>0</v>
      </c>
      <c r="V2028" s="1645"/>
      <c r="W2028" s="1644">
        <f t="shared" si="2104"/>
        <v>0</v>
      </c>
      <c r="X2028" s="1645"/>
      <c r="Y2028" s="1644">
        <f t="shared" si="2108"/>
        <v>2507727</v>
      </c>
    </row>
    <row r="2029" spans="1:28" hidden="1">
      <c r="A2029" s="1900" t="s">
        <v>1655</v>
      </c>
      <c r="C2029" s="528">
        <f>'23'!J24+'23-may'!J24</f>
        <v>322137.13125145499</v>
      </c>
      <c r="D2029" s="528">
        <f>ROUND(C2029/C2046*D2046,0)</f>
        <v>318913</v>
      </c>
      <c r="F2029" s="1944"/>
      <c r="G2029" s="597"/>
      <c r="H2029" s="1644"/>
      <c r="I2029" s="1644"/>
      <c r="K2029" s="1944">
        <f t="shared" ref="K2029" si="2115">K1981</f>
        <v>7.87</v>
      </c>
      <c r="L2029" s="597"/>
      <c r="M2029" s="1944">
        <f t="shared" ref="M2029" si="2116">M1981</f>
        <v>0</v>
      </c>
      <c r="N2029" s="597"/>
      <c r="O2029" s="1944">
        <f t="shared" ref="O2029" si="2117">O1981</f>
        <v>0</v>
      </c>
      <c r="P2029" s="597"/>
      <c r="Q2029" s="1944">
        <f t="shared" si="2101"/>
        <v>7.87</v>
      </c>
      <c r="R2029" s="597"/>
      <c r="S2029" s="1644">
        <f t="shared" si="2102"/>
        <v>2509845</v>
      </c>
      <c r="T2029" s="1645"/>
      <c r="U2029" s="1644">
        <f t="shared" si="2103"/>
        <v>0</v>
      </c>
      <c r="V2029" s="1645"/>
      <c r="W2029" s="1644">
        <f t="shared" si="2104"/>
        <v>0</v>
      </c>
      <c r="X2029" s="1645"/>
      <c r="Y2029" s="1644">
        <f t="shared" si="2108"/>
        <v>2509845</v>
      </c>
    </row>
    <row r="2030" spans="1:28" hidden="1">
      <c r="A2030" s="1900" t="s">
        <v>1656</v>
      </c>
      <c r="C2030" s="528">
        <f>'23'!N24+'23'!AB24+TempRevMay!C348-TempRevMay!M348-TempRevMay!W348+'23-may'!N24+'23-may'!AB24</f>
        <v>219820357.44385663</v>
      </c>
      <c r="D2030" s="528">
        <f>D2046-SUM(D2031:D2033,D2041,D2045)</f>
        <v>220026206.11234498</v>
      </c>
      <c r="F2030" s="1943"/>
      <c r="G2030" s="1921"/>
      <c r="H2030" s="1644"/>
      <c r="I2030" s="1644"/>
      <c r="K2030" s="1943">
        <f t="shared" ref="K2030" si="2118">K1982</f>
        <v>2.9403000000000001</v>
      </c>
      <c r="L2030" s="1921" t="s">
        <v>495</v>
      </c>
      <c r="M2030" s="1943">
        <f t="shared" ref="M2030" si="2119">M1982</f>
        <v>6.4656468966360006</v>
      </c>
      <c r="N2030" s="1921" t="s">
        <v>495</v>
      </c>
      <c r="O2030" s="1943">
        <f t="shared" ref="O2030" si="2120">O1982</f>
        <v>2.3066</v>
      </c>
      <c r="P2030" s="1921" t="s">
        <v>495</v>
      </c>
      <c r="Q2030" s="1943">
        <f t="shared" si="2101"/>
        <v>11.712546896636001</v>
      </c>
      <c r="R2030" s="1921" t="s">
        <v>495</v>
      </c>
      <c r="S2030" s="1644">
        <f>ROUND($D2030*K2030/100,0)</f>
        <v>6469431</v>
      </c>
      <c r="T2030" s="1648"/>
      <c r="U2030" s="1644">
        <f>ROUND($D2030*M2030/100,0)</f>
        <v>14226118</v>
      </c>
      <c r="V2030" s="1648"/>
      <c r="W2030" s="1644">
        <f>ROUND($D2030*O2030/100,0)</f>
        <v>5075124</v>
      </c>
      <c r="X2030" s="1648"/>
      <c r="Y2030" s="1644">
        <f>ROUND($D2030*Q2030/100,0)</f>
        <v>25770673</v>
      </c>
    </row>
    <row r="2031" spans="1:28" hidden="1">
      <c r="A2031" s="1900" t="s">
        <v>1657</v>
      </c>
      <c r="C2031" s="528">
        <f>'23'!O24+'23'!AC24+TempRevMay!C349-TempRevMay!M349-TempRevMay!W349+'23-may'!O24+'23-may'!AC24</f>
        <v>232996273.96449897</v>
      </c>
      <c r="D2031" s="528">
        <f>ROUND(C2031/(C2031+C2030)*Energy!S41*(1-1/Energy!P41*('Blocking-Step2'!D2041+'Blocking-Step2'!D2045)),0)</f>
        <v>233214461</v>
      </c>
      <c r="F2031" s="1943"/>
      <c r="G2031" s="1921"/>
      <c r="H2031" s="1644"/>
      <c r="I2031" s="1644"/>
      <c r="K2031" s="1943">
        <f t="shared" ref="K2031" si="2121">K1983</f>
        <v>2.9403000000000001</v>
      </c>
      <c r="L2031" s="1921" t="s">
        <v>495</v>
      </c>
      <c r="M2031" s="1943">
        <f t="shared" ref="M2031" si="2122">M1983</f>
        <v>1.310346896636001</v>
      </c>
      <c r="N2031" s="1921" t="s">
        <v>495</v>
      </c>
      <c r="O2031" s="1943">
        <f t="shared" ref="O2031" si="2123">O1983</f>
        <v>2.3066</v>
      </c>
      <c r="P2031" s="1921" t="s">
        <v>495</v>
      </c>
      <c r="Q2031" s="1943">
        <f t="shared" si="2101"/>
        <v>6.5572468966360011</v>
      </c>
      <c r="R2031" s="1921" t="s">
        <v>495</v>
      </c>
      <c r="S2031" s="1644">
        <f t="shared" ref="S2031:S2033" si="2124">ROUND($D2031*K2031/100,0)</f>
        <v>6857205</v>
      </c>
      <c r="T2031" s="1648"/>
      <c r="U2031" s="1644">
        <f t="shared" ref="U2031:U2033" si="2125">ROUND($D2031*M2031/100,0)</f>
        <v>3055918</v>
      </c>
      <c r="V2031" s="1648"/>
      <c r="W2031" s="1644">
        <f t="shared" ref="W2031:W2033" si="2126">ROUND($D2031*O2031/100,0)</f>
        <v>5379325</v>
      </c>
      <c r="X2031" s="1648"/>
      <c r="Y2031" s="1644">
        <f t="shared" ref="Y2031:Y2033" si="2127">ROUND($D2031*Q2031/100,0)</f>
        <v>15292448</v>
      </c>
    </row>
    <row r="2032" spans="1:28" hidden="1">
      <c r="A2032" s="1900" t="s">
        <v>1658</v>
      </c>
      <c r="C2032" s="528">
        <f>'23'!Q24+'23'!AD24+TempRevMay!C350-TempRevMay!M350-TempRevMay!W350+'23-may'!Q24+'23-may'!AD24</f>
        <v>437183175.69710863</v>
      </c>
      <c r="D2032" s="528">
        <f>ROUND(C2032/(C2033+C2032)*Energy!T41*(1-1/Energy!P41*('Blocking-Step2'!D2041+'Blocking-Step2'!D2045)),0)</f>
        <v>433683507</v>
      </c>
      <c r="F2032" s="1943"/>
      <c r="G2032" s="1921"/>
      <c r="H2032" s="1644"/>
      <c r="I2032" s="1644"/>
      <c r="K2032" s="1943">
        <f t="shared" ref="K2032" si="2128">K1984</f>
        <v>2.9403000000000001</v>
      </c>
      <c r="L2032" s="1921" t="s">
        <v>495</v>
      </c>
      <c r="M2032" s="1943">
        <f t="shared" ref="M2032" si="2129">M1984</f>
        <v>5.3096999999999994</v>
      </c>
      <c r="N2032" s="1921" t="s">
        <v>495</v>
      </c>
      <c r="O2032" s="1943">
        <f t="shared" ref="O2032" si="2130">O1984</f>
        <v>2.1151</v>
      </c>
      <c r="P2032" s="1921" t="s">
        <v>495</v>
      </c>
      <c r="Q2032" s="1943">
        <f t="shared" si="2101"/>
        <v>10.3651</v>
      </c>
      <c r="R2032" s="1921" t="s">
        <v>495</v>
      </c>
      <c r="S2032" s="1644">
        <f t="shared" si="2124"/>
        <v>12751596</v>
      </c>
      <c r="T2032" s="1648"/>
      <c r="U2032" s="1644">
        <f t="shared" si="2125"/>
        <v>23027293</v>
      </c>
      <c r="V2032" s="1648"/>
      <c r="W2032" s="1644">
        <f t="shared" si="2126"/>
        <v>9172840</v>
      </c>
      <c r="X2032" s="1648"/>
      <c r="Y2032" s="1644">
        <f t="shared" si="2127"/>
        <v>44951729</v>
      </c>
    </row>
    <row r="2033" spans="1:28" hidden="1">
      <c r="A2033" s="1900" t="s">
        <v>1659</v>
      </c>
      <c r="C2033" s="528">
        <f>'23'!R24+'23'!AE24+TempRevMay!C351-TempRevMay!M351-TempRevMay!W351+'23-may'!R24+'23-may'!AE24</f>
        <v>354388139.47368246</v>
      </c>
      <c r="D2033" s="528">
        <f>ROUND(C2033/(C2032+C2033)*Energy!T41*(1-1/Energy!P41*('Blocking-Step2'!D2041+'Blocking-Step2'!D2045)),0)</f>
        <v>351551248</v>
      </c>
      <c r="F2033" s="1943"/>
      <c r="G2033" s="1921"/>
      <c r="H2033" s="1644"/>
      <c r="I2033" s="1644"/>
      <c r="K2033" s="1943">
        <f t="shared" ref="K2033" si="2131">K1985</f>
        <v>2.9403000000000001</v>
      </c>
      <c r="L2033" s="1921" t="s">
        <v>495</v>
      </c>
      <c r="M2033" s="1943">
        <f t="shared" ref="M2033" si="2132">M1985</f>
        <v>0.74750000000000005</v>
      </c>
      <c r="N2033" s="1921" t="s">
        <v>495</v>
      </c>
      <c r="O2033" s="1943">
        <f t="shared" ref="O2033" si="2133">O1985</f>
        <v>2.1151</v>
      </c>
      <c r="P2033" s="1921" t="s">
        <v>495</v>
      </c>
      <c r="Q2033" s="1943">
        <f t="shared" si="2101"/>
        <v>5.8029000000000002</v>
      </c>
      <c r="R2033" s="1921" t="s">
        <v>495</v>
      </c>
      <c r="S2033" s="1644">
        <f t="shared" si="2124"/>
        <v>10336661</v>
      </c>
      <c r="T2033" s="1648"/>
      <c r="U2033" s="1644">
        <f t="shared" si="2125"/>
        <v>2627846</v>
      </c>
      <c r="V2033" s="1648"/>
      <c r="W2033" s="1644">
        <f t="shared" si="2126"/>
        <v>7435660</v>
      </c>
      <c r="X2033" s="1648"/>
      <c r="Y2033" s="1644">
        <f t="shared" si="2127"/>
        <v>20400167</v>
      </c>
    </row>
    <row r="2034" spans="1:28" hidden="1">
      <c r="A2034" s="1900" t="s">
        <v>282</v>
      </c>
      <c r="C2034" s="528">
        <f>'23'!I24</f>
        <v>333040.26589595014</v>
      </c>
      <c r="D2034" s="528">
        <f>ROUND(C2034/C2046*D2046,0)</f>
        <v>329707</v>
      </c>
      <c r="F2034" s="1944">
        <v>8.65</v>
      </c>
      <c r="G2034" s="597"/>
      <c r="H2034" s="1644">
        <f t="shared" si="2100"/>
        <v>2880798</v>
      </c>
      <c r="I2034" s="1644">
        <f t="shared" si="2100"/>
        <v>2851966</v>
      </c>
      <c r="K2034" s="1944"/>
      <c r="L2034" s="597"/>
      <c r="M2034" s="1944"/>
      <c r="N2034" s="597"/>
      <c r="O2034" s="1944"/>
      <c r="P2034" s="597"/>
      <c r="Q2034" s="1944"/>
      <c r="R2034" s="597"/>
      <c r="S2034" s="1645"/>
      <c r="T2034" s="1645"/>
      <c r="U2034" s="1645"/>
      <c r="V2034" s="1645"/>
      <c r="W2034" s="1645"/>
      <c r="X2034" s="1645"/>
      <c r="Y2034" s="1644"/>
    </row>
    <row r="2035" spans="1:28" hidden="1">
      <c r="A2035" s="1900" t="s">
        <v>283</v>
      </c>
      <c r="C2035" s="528">
        <f>'23'!J24</f>
        <v>274032.45862068859</v>
      </c>
      <c r="D2035" s="528">
        <f>ROUND(C2035/C2046*D2046,0)</f>
        <v>271290</v>
      </c>
      <c r="F2035" s="1944">
        <v>8.7000000000000011</v>
      </c>
      <c r="G2035" s="597"/>
      <c r="H2035" s="1644">
        <f t="shared" si="2100"/>
        <v>2384082</v>
      </c>
      <c r="I2035" s="1644">
        <f t="shared" si="2100"/>
        <v>2360223</v>
      </c>
      <c r="K2035" s="1944"/>
      <c r="L2035" s="597"/>
      <c r="M2035" s="1944"/>
      <c r="N2035" s="597"/>
      <c r="O2035" s="1944"/>
      <c r="P2035" s="597"/>
      <c r="Q2035" s="1944"/>
      <c r="R2035" s="597"/>
      <c r="S2035" s="1645"/>
      <c r="T2035" s="1645"/>
      <c r="U2035" s="1645"/>
      <c r="V2035" s="1645"/>
      <c r="W2035" s="1645"/>
      <c r="X2035" s="1645"/>
      <c r="Y2035" s="1644"/>
    </row>
    <row r="2036" spans="1:28" hidden="1">
      <c r="A2036" s="1900" t="s">
        <v>261</v>
      </c>
      <c r="C2036" s="528">
        <f>'23'!K24</f>
        <v>9699.6041666666697</v>
      </c>
      <c r="D2036" s="528">
        <f>ROUND(C2036/C2046*D2046,0)</f>
        <v>9603</v>
      </c>
      <c r="F2036" s="1944">
        <v>-0.48</v>
      </c>
      <c r="G2036" s="597"/>
      <c r="H2036" s="1644">
        <f t="shared" si="2100"/>
        <v>-4656</v>
      </c>
      <c r="I2036" s="1644">
        <f t="shared" si="2100"/>
        <v>-4609</v>
      </c>
      <c r="K2036" s="1944">
        <f>K1988</f>
        <v>-0.48</v>
      </c>
      <c r="L2036" s="597"/>
      <c r="M2036" s="1944">
        <f>M1988</f>
        <v>0</v>
      </c>
      <c r="N2036" s="597"/>
      <c r="O2036" s="1944">
        <f>O1988</f>
        <v>0</v>
      </c>
      <c r="P2036" s="597"/>
      <c r="Q2036" s="1944">
        <f>Q1988</f>
        <v>-0.48</v>
      </c>
      <c r="R2036" s="597"/>
      <c r="S2036" s="1644">
        <f t="shared" ref="S2036" si="2134">ROUND($D2036*K2036,0)</f>
        <v>-4609</v>
      </c>
      <c r="T2036" s="1645"/>
      <c r="U2036" s="1644">
        <f t="shared" ref="U2036" si="2135">ROUND($D2036*M2036,0)</f>
        <v>0</v>
      </c>
      <c r="V2036" s="1645"/>
      <c r="W2036" s="1644">
        <f t="shared" ref="W2036" si="2136">ROUND($D2036*O2036,0)</f>
        <v>0</v>
      </c>
      <c r="X2036" s="1645"/>
      <c r="Y2036" s="1644">
        <f t="shared" ref="Y2036" si="2137">ROUND($D2036*Q2036,0)</f>
        <v>-4609</v>
      </c>
    </row>
    <row r="2037" spans="1:28" hidden="1">
      <c r="A2037" s="1900" t="s">
        <v>194</v>
      </c>
      <c r="C2037" s="528">
        <f>'23'!N24+'23'!AB24+TempRev!C348-TempRev!M348-TempRev!W348</f>
        <v>273349988.13195682</v>
      </c>
      <c r="D2037" s="528">
        <f>D2046-SUM(D2038:D2045)</f>
        <v>275564739.11234498</v>
      </c>
      <c r="F2037" s="1943">
        <v>11.733599999999999</v>
      </c>
      <c r="G2037" s="1921" t="s">
        <v>495</v>
      </c>
      <c r="H2037" s="1644">
        <f t="shared" ref="H2037:I2041" si="2138">ROUND($F2037*C2037/100,0)</f>
        <v>32073794</v>
      </c>
      <c r="I2037" s="1644">
        <f t="shared" si="2138"/>
        <v>32333664</v>
      </c>
      <c r="K2037" s="1943"/>
      <c r="L2037" s="1921"/>
      <c r="M2037" s="1943"/>
      <c r="N2037" s="1921"/>
      <c r="O2037" s="1943"/>
      <c r="P2037" s="1921"/>
      <c r="Q2037" s="1943"/>
      <c r="R2037" s="1921"/>
      <c r="S2037" s="1648"/>
      <c r="T2037" s="1648"/>
      <c r="U2037" s="1648"/>
      <c r="V2037" s="1648"/>
      <c r="W2037" s="1648"/>
      <c r="X2037" s="1648"/>
      <c r="Y2037" s="1644"/>
    </row>
    <row r="2038" spans="1:28" hidden="1">
      <c r="A2038" s="1900" t="s">
        <v>195</v>
      </c>
      <c r="C2038" s="528">
        <f>'23'!O24+'23'!AC24+TempRev!C349-TempRev!M349-TempRev!W349</f>
        <v>272862764.79340905</v>
      </c>
      <c r="D2038" s="528">
        <f>ROUND(C2038/(C2038+C2037)*Energy!Q41*(1-1/Energy!P41*('Blocking-Step2'!D2041+'Blocking-Step2'!D2045)),0)</f>
        <v>275073568</v>
      </c>
      <c r="F2038" s="1943">
        <v>6.5782999999999996</v>
      </c>
      <c r="G2038" s="1921" t="s">
        <v>495</v>
      </c>
      <c r="H2038" s="1644">
        <f t="shared" si="2138"/>
        <v>17949731</v>
      </c>
      <c r="I2038" s="1644">
        <f t="shared" si="2138"/>
        <v>18095165</v>
      </c>
      <c r="K2038" s="1943"/>
      <c r="L2038" s="1921"/>
      <c r="M2038" s="1943"/>
      <c r="N2038" s="1921"/>
      <c r="O2038" s="1943"/>
      <c r="P2038" s="1921"/>
      <c r="Q2038" s="1943"/>
      <c r="R2038" s="1921"/>
      <c r="S2038" s="1648"/>
      <c r="T2038" s="1648"/>
      <c r="U2038" s="1648"/>
      <c r="V2038" s="1648"/>
      <c r="W2038" s="1648"/>
      <c r="X2038" s="1648"/>
      <c r="Y2038" s="1644"/>
    </row>
    <row r="2039" spans="1:28" hidden="1">
      <c r="A2039" s="1900" t="s">
        <v>160</v>
      </c>
      <c r="C2039" s="528">
        <f>'23'!Q24+'23'!AD24+TempRev!C350-TempRev!M350-TempRev!W350</f>
        <v>383653545.00900841</v>
      </c>
      <c r="D2039" s="528">
        <f>ROUND(C2039/(C2039+C2040)*Energy!R41*(1-1/Energy!P41*('Blocking-Step2'!D2041+'Blocking-Step2'!D2045)),0)</f>
        <v>377972678</v>
      </c>
      <c r="F2039" s="1943">
        <v>10.8</v>
      </c>
      <c r="G2039" s="1921" t="s">
        <v>495</v>
      </c>
      <c r="H2039" s="1644">
        <f t="shared" si="2138"/>
        <v>41434583</v>
      </c>
      <c r="I2039" s="1644">
        <f t="shared" si="2138"/>
        <v>40821049</v>
      </c>
      <c r="K2039" s="1943"/>
      <c r="L2039" s="1921"/>
      <c r="M2039" s="1943"/>
      <c r="N2039" s="1921"/>
      <c r="O2039" s="1943"/>
      <c r="P2039" s="1921"/>
      <c r="Q2039" s="1943"/>
      <c r="R2039" s="1921"/>
      <c r="S2039" s="1648"/>
      <c r="T2039" s="1648"/>
      <c r="U2039" s="1648"/>
      <c r="V2039" s="1648"/>
      <c r="W2039" s="1648"/>
      <c r="X2039" s="1648"/>
      <c r="Y2039" s="1644"/>
    </row>
    <row r="2040" spans="1:28" hidden="1">
      <c r="A2040" s="1900" t="s">
        <v>159</v>
      </c>
      <c r="C2040" s="528">
        <f>'23'!R24+'23'!AE24+TempRev!C351-TempRev!M351-TempRev!W351</f>
        <v>314521648.64477241</v>
      </c>
      <c r="D2040" s="528">
        <f>ROUND(C2040/(C2039+C2040)*Energy!R41*(1-1/Energy!P41*('Blocking-Step2'!D2041+'Blocking-Step2'!D2045)),0)</f>
        <v>309864437</v>
      </c>
      <c r="F2040" s="1943">
        <v>6.0567000000000002</v>
      </c>
      <c r="G2040" s="1921" t="s">
        <v>495</v>
      </c>
      <c r="H2040" s="1644">
        <f t="shared" si="2138"/>
        <v>19049633</v>
      </c>
      <c r="I2040" s="1644">
        <f t="shared" si="2138"/>
        <v>18767559</v>
      </c>
      <c r="K2040" s="1943"/>
      <c r="L2040" s="1921"/>
      <c r="M2040" s="1943"/>
      <c r="N2040" s="1921"/>
      <c r="O2040" s="1943"/>
      <c r="P2040" s="1921"/>
      <c r="Q2040" s="1943"/>
      <c r="R2040" s="1921"/>
      <c r="S2040" s="1648"/>
      <c r="T2040" s="1648"/>
      <c r="U2040" s="1648"/>
      <c r="V2040" s="1648"/>
      <c r="W2040" s="1648"/>
      <c r="X2040" s="1648"/>
      <c r="Y2040" s="1644"/>
    </row>
    <row r="2041" spans="1:28" hidden="1">
      <c r="A2041" s="1116" t="s">
        <v>1158</v>
      </c>
      <c r="B2041" s="1928"/>
      <c r="C2041" s="1024">
        <f>'23'!V24</f>
        <v>1948912</v>
      </c>
      <c r="D2041" s="1024">
        <f>ROUND(C2041/(C2046-C2045)*D2046,0)</f>
        <v>1929181</v>
      </c>
      <c r="E2041" s="804"/>
      <c r="F2041" s="1927">
        <v>10.120799999999999</v>
      </c>
      <c r="G2041" s="1929" t="s">
        <v>495</v>
      </c>
      <c r="H2041" s="1146">
        <f t="shared" si="2138"/>
        <v>197245</v>
      </c>
      <c r="I2041" s="1146">
        <f t="shared" si="2138"/>
        <v>195249</v>
      </c>
      <c r="J2041" s="804"/>
      <c r="K2041" s="1927">
        <f>K1993</f>
        <v>2.9403000000000001</v>
      </c>
      <c r="L2041" s="1929" t="s">
        <v>495</v>
      </c>
      <c r="M2041" s="1927">
        <f>M1993</f>
        <v>7.4249999999999998</v>
      </c>
      <c r="N2041" s="1929" t="s">
        <v>495</v>
      </c>
      <c r="O2041" s="1927">
        <f>O1993</f>
        <v>0</v>
      </c>
      <c r="P2041" s="1929" t="s">
        <v>495</v>
      </c>
      <c r="Q2041" s="1927">
        <f>Q1993</f>
        <v>10.3653</v>
      </c>
      <c r="R2041" s="1929" t="s">
        <v>495</v>
      </c>
      <c r="S2041" s="1644">
        <f t="shared" ref="S2041" si="2139">ROUND($D2041*K2041/100,0)</f>
        <v>56724</v>
      </c>
      <c r="T2041" s="1648"/>
      <c r="U2041" s="1644">
        <f t="shared" ref="U2041" si="2140">ROUND($D2041*M2041/100,0)</f>
        <v>143242</v>
      </c>
      <c r="V2041" s="1648"/>
      <c r="W2041" s="1644">
        <f t="shared" ref="W2041" si="2141">ROUND($D2041*O2041/100,0)</f>
        <v>0</v>
      </c>
      <c r="X2041" s="1656"/>
      <c r="Y2041" s="1146">
        <f t="shared" ref="Y2041" si="2142">ROUND($D2041*Q2041/100,0)</f>
        <v>199965</v>
      </c>
    </row>
    <row r="2042" spans="1:28" hidden="1">
      <c r="A2042" s="1900" t="s">
        <v>246</v>
      </c>
      <c r="C2042" s="529">
        <f>'Table 2'!J60</f>
        <v>6607774</v>
      </c>
      <c r="D2042" s="529">
        <v>0</v>
      </c>
      <c r="H2042" s="1030">
        <f>'Table 3'!F60</f>
        <v>714411</v>
      </c>
      <c r="I2042" s="1030">
        <v>0</v>
      </c>
      <c r="Y2042" s="1030"/>
    </row>
    <row r="2043" spans="1:28" hidden="1">
      <c r="A2043" s="1900" t="s">
        <v>1240</v>
      </c>
      <c r="C2043" s="584"/>
      <c r="D2043" s="584"/>
      <c r="F2043" s="1930">
        <v>-3.3099999999999997E-2</v>
      </c>
      <c r="G2043" s="597"/>
      <c r="H2043" s="1644">
        <f>SUM(H2034:H2035,H2037:H2041)*$F2043</f>
        <v>-3838602.5645999997</v>
      </c>
      <c r="I2043" s="1644">
        <f>SUM(I2034:I2035,I2037:I2041)*$F2043</f>
        <v>-3820563.3624999998</v>
      </c>
      <c r="K2043" s="1930"/>
      <c r="L2043" s="597"/>
      <c r="M2043" s="1930"/>
      <c r="N2043" s="597"/>
      <c r="O2043" s="1931" t="str">
        <f>$O$43</f>
        <v>Tax Year 1 (7/1/2021)</v>
      </c>
      <c r="P2043" s="597"/>
      <c r="Q2043" s="1930">
        <f>$AC$1988</f>
        <v>-2.5600000000000001E-2</v>
      </c>
      <c r="R2043" s="597"/>
      <c r="S2043" s="1645"/>
      <c r="T2043" s="1645"/>
      <c r="U2043" s="1645"/>
      <c r="V2043" s="1645"/>
      <c r="W2043" s="1645"/>
      <c r="X2043" s="1645"/>
      <c r="Y2043" s="1644">
        <f>Q2043*SUM(Y2028:Y2033,Y2041)</f>
        <v>-2857793.3824</v>
      </c>
    </row>
    <row r="2044" spans="1:28" hidden="1">
      <c r="A2044" s="1900"/>
      <c r="C2044" s="584"/>
      <c r="D2044" s="584"/>
      <c r="F2044" s="1930"/>
      <c r="G2044" s="597"/>
      <c r="H2044" s="1644"/>
      <c r="I2044" s="1644"/>
      <c r="K2044" s="1930"/>
      <c r="L2044" s="597"/>
      <c r="M2044" s="1930"/>
      <c r="N2044" s="597"/>
      <c r="O2044" s="1931" t="str">
        <f>$O$44</f>
        <v>Tax Year 2 (1/1/2022)</v>
      </c>
      <c r="P2044" s="597"/>
      <c r="Q2044" s="1930">
        <f>$AC$1989</f>
        <v>-1.3899999999999999E-2</v>
      </c>
      <c r="R2044" s="597"/>
      <c r="S2044" s="1645"/>
      <c r="T2044" s="1645"/>
      <c r="U2044" s="1645"/>
      <c r="V2044" s="1645"/>
      <c r="W2044" s="1645"/>
      <c r="X2044" s="1645"/>
      <c r="Y2044" s="1644">
        <f>Q2044*SUM(Y2028:Y2033,Y2041)</f>
        <v>-1551692.5005999999</v>
      </c>
    </row>
    <row r="2045" spans="1:28" hidden="1">
      <c r="A2045" s="1116" t="s">
        <v>1317</v>
      </c>
      <c r="C2045" s="584">
        <f>'23'!AL24</f>
        <v>-146563</v>
      </c>
      <c r="D2045" s="1024">
        <f>ROUND(C2045/(C2046-C2045)*D2046,0)</f>
        <v>-145079</v>
      </c>
      <c r="F2045" s="1930"/>
      <c r="G2045" s="597"/>
      <c r="H2045" s="1644"/>
      <c r="I2045" s="1644"/>
      <c r="K2045" s="1930"/>
      <c r="L2045" s="597"/>
      <c r="M2045" s="1930"/>
      <c r="N2045" s="597"/>
      <c r="O2045" s="1930"/>
      <c r="P2045" s="597"/>
      <c r="Q2045" s="1930"/>
      <c r="R2045" s="597"/>
      <c r="S2045" s="1645"/>
      <c r="T2045" s="1645"/>
      <c r="U2045" s="1645"/>
      <c r="V2045" s="1645"/>
      <c r="W2045" s="1645"/>
      <c r="X2045" s="1645"/>
      <c r="Y2045" s="1644"/>
    </row>
    <row r="2046" spans="1:28" ht="16.5" hidden="1" thickBot="1">
      <c r="A2046" s="1900" t="s">
        <v>247</v>
      </c>
      <c r="C2046" s="1949">
        <f>SUM(C2037:C2041,C2042:C2045)</f>
        <v>1252798069.5791469</v>
      </c>
      <c r="D2046" s="1949">
        <f>Energy!P41</f>
        <v>1240259524.112345</v>
      </c>
      <c r="F2046" s="1939"/>
      <c r="H2046" s="1647">
        <f>SUM(H2025:H2043)</f>
        <v>121739163.43539999</v>
      </c>
      <c r="I2046" s="1647">
        <f>SUM(I2025:I2043)</f>
        <v>120838415.6375</v>
      </c>
      <c r="K2046" s="1939"/>
      <c r="M2046" s="1939"/>
      <c r="O2046" s="1939"/>
      <c r="Q2046" s="1939"/>
      <c r="S2046" s="1647">
        <f>SUM(S2025:S2042)</f>
        <v>50723293</v>
      </c>
      <c r="U2046" s="1647">
        <f>SUM(U2025:U2042)</f>
        <v>43080417</v>
      </c>
      <c r="W2046" s="1647">
        <f>SUM(W2025:W2042)</f>
        <v>27062949</v>
      </c>
      <c r="Y2046" s="1647">
        <f>SUM(Y2025:Y2042)</f>
        <v>120866658</v>
      </c>
      <c r="AA2046" s="1104" t="s">
        <v>1743</v>
      </c>
      <c r="AB2046" s="1890">
        <f>Y2046/I2046-1</f>
        <v>2.3372006618105345E-4</v>
      </c>
    </row>
    <row r="2047" spans="1:28" ht="16.5" hidden="1" thickTop="1">
      <c r="C2047" s="528"/>
      <c r="D2047" s="528"/>
    </row>
    <row r="2048" spans="1:28" hidden="1">
      <c r="A2048" s="1897" t="s">
        <v>935</v>
      </c>
      <c r="C2048" s="528"/>
      <c r="D2048" s="528"/>
    </row>
    <row r="2049" spans="1:25" hidden="1">
      <c r="A2049" s="1900" t="s">
        <v>240</v>
      </c>
      <c r="C2049" s="528">
        <f>'23'!G25</f>
        <v>38154.106999999902</v>
      </c>
      <c r="D2049" s="528">
        <f>Bill!P66</f>
        <v>37431.000000000007</v>
      </c>
      <c r="F2049" s="1944">
        <v>10</v>
      </c>
      <c r="G2049" s="597"/>
      <c r="H2049" s="1644">
        <f t="shared" ref="H2049:I2060" si="2143">ROUND($F2049*C2049,0)</f>
        <v>381541</v>
      </c>
      <c r="I2049" s="1644">
        <f t="shared" si="2143"/>
        <v>374310</v>
      </c>
      <c r="K2049" s="1944">
        <f>K1977</f>
        <v>10</v>
      </c>
      <c r="L2049" s="597"/>
      <c r="M2049" s="1944">
        <f>M1977</f>
        <v>0</v>
      </c>
      <c r="N2049" s="597"/>
      <c r="O2049" s="1944">
        <f>O1977</f>
        <v>0</v>
      </c>
      <c r="P2049" s="597"/>
      <c r="Q2049" s="1944">
        <f t="shared" ref="Q2049:Q2057" si="2144">Q1977</f>
        <v>10</v>
      </c>
      <c r="R2049" s="597"/>
      <c r="S2049" s="1644">
        <f t="shared" ref="S2049:S2053" si="2145">ROUND($D2049*K2049,0)</f>
        <v>374310</v>
      </c>
      <c r="T2049" s="1645"/>
      <c r="U2049" s="1644">
        <f t="shared" ref="U2049:U2053" si="2146">ROUND($D2049*M2049,0)</f>
        <v>0</v>
      </c>
      <c r="V2049" s="1645"/>
      <c r="W2049" s="1644">
        <f t="shared" ref="W2049:W2053" si="2147">ROUND($D2049*O2049,0)</f>
        <v>0</v>
      </c>
      <c r="X2049" s="1645"/>
      <c r="Y2049" s="1644">
        <f>ROUND($D2049*Q2049,0)</f>
        <v>374310</v>
      </c>
    </row>
    <row r="2050" spans="1:25" hidden="1">
      <c r="A2050" s="1900" t="s">
        <v>262</v>
      </c>
      <c r="C2050" s="528">
        <v>0</v>
      </c>
      <c r="D2050" s="528">
        <f>ROUND(C2050/C2049*D2049,0)</f>
        <v>0</v>
      </c>
      <c r="F2050" s="1944">
        <v>120</v>
      </c>
      <c r="G2050" s="597"/>
      <c r="H2050" s="1644">
        <f t="shared" si="2143"/>
        <v>0</v>
      </c>
      <c r="I2050" s="1644">
        <f t="shared" si="2143"/>
        <v>0</v>
      </c>
      <c r="K2050" s="1944">
        <f t="shared" ref="K2050" si="2148">K1978</f>
        <v>117</v>
      </c>
      <c r="L2050" s="597"/>
      <c r="M2050" s="1944">
        <f t="shared" ref="M2050" si="2149">M1978</f>
        <v>0</v>
      </c>
      <c r="N2050" s="597"/>
      <c r="O2050" s="1944">
        <f t="shared" ref="O2050" si="2150">O1978</f>
        <v>0</v>
      </c>
      <c r="P2050" s="597"/>
      <c r="Q2050" s="1944">
        <f t="shared" si="2144"/>
        <v>117</v>
      </c>
      <c r="R2050" s="597"/>
      <c r="S2050" s="1644">
        <f t="shared" si="2145"/>
        <v>0</v>
      </c>
      <c r="T2050" s="1645"/>
      <c r="U2050" s="1644">
        <f t="shared" si="2146"/>
        <v>0</v>
      </c>
      <c r="V2050" s="1645"/>
      <c r="W2050" s="1644">
        <f t="shared" si="2147"/>
        <v>0</v>
      </c>
      <c r="X2050" s="1645"/>
      <c r="Y2050" s="1644">
        <f t="shared" ref="Y2050:Y2053" si="2151">ROUND($D2050*Q2050,0)</f>
        <v>0</v>
      </c>
    </row>
    <row r="2051" spans="1:25" hidden="1">
      <c r="A2051" s="1900" t="s">
        <v>1298</v>
      </c>
      <c r="C2051" s="528">
        <f>'23'!AH25</f>
        <v>13</v>
      </c>
      <c r="D2051" s="528">
        <f>ROUND(C2051/C2049*D2049,0)</f>
        <v>13</v>
      </c>
      <c r="F2051" s="1944">
        <v>10</v>
      </c>
      <c r="G2051" s="597"/>
      <c r="H2051" s="1644">
        <f t="shared" si="2143"/>
        <v>130</v>
      </c>
      <c r="I2051" s="1644">
        <f t="shared" si="2143"/>
        <v>130</v>
      </c>
      <c r="K2051" s="1944">
        <f t="shared" ref="K2051" si="2152">K1979</f>
        <v>10</v>
      </c>
      <c r="L2051" s="597"/>
      <c r="M2051" s="1944">
        <f t="shared" ref="M2051" si="2153">M1979</f>
        <v>0</v>
      </c>
      <c r="N2051" s="597"/>
      <c r="O2051" s="1944">
        <f t="shared" ref="O2051" si="2154">O1979</f>
        <v>0</v>
      </c>
      <c r="P2051" s="597"/>
      <c r="Q2051" s="1944">
        <f t="shared" si="2144"/>
        <v>10</v>
      </c>
      <c r="R2051" s="597"/>
      <c r="S2051" s="1644">
        <f t="shared" si="2145"/>
        <v>130</v>
      </c>
      <c r="T2051" s="1645"/>
      <c r="U2051" s="1644">
        <f t="shared" si="2146"/>
        <v>0</v>
      </c>
      <c r="V2051" s="1645"/>
      <c r="W2051" s="1644">
        <f t="shared" si="2147"/>
        <v>0</v>
      </c>
      <c r="X2051" s="1645"/>
      <c r="Y2051" s="1644">
        <f t="shared" si="2151"/>
        <v>130</v>
      </c>
    </row>
    <row r="2052" spans="1:25" hidden="1">
      <c r="A2052" s="1900" t="s">
        <v>1654</v>
      </c>
      <c r="C2052" s="528">
        <f>'23'!I25+'23-may'!I25</f>
        <v>13934.402372737517</v>
      </c>
      <c r="D2052" s="528">
        <f>ROUND(C2052/C2070*D2070,0)</f>
        <v>13690</v>
      </c>
      <c r="F2052" s="1944"/>
      <c r="G2052" s="597"/>
      <c r="H2052" s="1644"/>
      <c r="I2052" s="1644"/>
      <c r="K2052" s="1944">
        <f t="shared" ref="K2052" si="2155">K1980</f>
        <v>8.89</v>
      </c>
      <c r="L2052" s="597"/>
      <c r="M2052" s="1944">
        <f t="shared" ref="M2052" si="2156">M1980</f>
        <v>0</v>
      </c>
      <c r="N2052" s="597"/>
      <c r="O2052" s="1944">
        <f t="shared" ref="O2052" si="2157">O1980</f>
        <v>0</v>
      </c>
      <c r="P2052" s="597"/>
      <c r="Q2052" s="1944">
        <f t="shared" si="2144"/>
        <v>8.89</v>
      </c>
      <c r="R2052" s="597"/>
      <c r="S2052" s="1644">
        <f t="shared" si="2145"/>
        <v>121704</v>
      </c>
      <c r="T2052" s="1645"/>
      <c r="U2052" s="1644">
        <f t="shared" si="2146"/>
        <v>0</v>
      </c>
      <c r="V2052" s="1645"/>
      <c r="W2052" s="1644">
        <f t="shared" si="2147"/>
        <v>0</v>
      </c>
      <c r="X2052" s="1645"/>
      <c r="Y2052" s="1644">
        <f t="shared" si="2151"/>
        <v>121704</v>
      </c>
    </row>
    <row r="2053" spans="1:25" hidden="1">
      <c r="A2053" s="1900" t="s">
        <v>1655</v>
      </c>
      <c r="C2053" s="528">
        <f>'23'!J25+'23-may'!J25</f>
        <v>22308.866911695484</v>
      </c>
      <c r="D2053" s="528">
        <f>ROUND(C2053/C2070*D2070,0)</f>
        <v>21918</v>
      </c>
      <c r="F2053" s="1944"/>
      <c r="G2053" s="597"/>
      <c r="H2053" s="1644"/>
      <c r="I2053" s="1644"/>
      <c r="K2053" s="1944">
        <f t="shared" ref="K2053" si="2158">K1981</f>
        <v>7.87</v>
      </c>
      <c r="L2053" s="597"/>
      <c r="M2053" s="1944">
        <f t="shared" ref="M2053" si="2159">M1981</f>
        <v>0</v>
      </c>
      <c r="N2053" s="597"/>
      <c r="O2053" s="1944">
        <f t="shared" ref="O2053" si="2160">O1981</f>
        <v>0</v>
      </c>
      <c r="P2053" s="597"/>
      <c r="Q2053" s="1944">
        <f t="shared" si="2144"/>
        <v>7.87</v>
      </c>
      <c r="R2053" s="597"/>
      <c r="S2053" s="1644">
        <f t="shared" si="2145"/>
        <v>172495</v>
      </c>
      <c r="T2053" s="1645"/>
      <c r="U2053" s="1644">
        <f t="shared" si="2146"/>
        <v>0</v>
      </c>
      <c r="V2053" s="1645"/>
      <c r="W2053" s="1644">
        <f t="shared" si="2147"/>
        <v>0</v>
      </c>
      <c r="X2053" s="1645"/>
      <c r="Y2053" s="1644">
        <f t="shared" si="2151"/>
        <v>172495</v>
      </c>
    </row>
    <row r="2054" spans="1:25" hidden="1">
      <c r="A2054" s="1900" t="s">
        <v>1656</v>
      </c>
      <c r="C2054" s="528">
        <f>'23'!N25+'23'!AB25+'23-may'!N25+'23-may'!AB25</f>
        <v>8604340.0720692445</v>
      </c>
      <c r="D2054" s="528">
        <f>D2070-SUM(D2055:D2057,D2065,D2069)</f>
        <v>8594020.7713383362</v>
      </c>
      <c r="F2054" s="1943"/>
      <c r="G2054" s="1921"/>
      <c r="H2054" s="1644"/>
      <c r="I2054" s="1644"/>
      <c r="K2054" s="1943">
        <f t="shared" ref="K2054" si="2161">K1982</f>
        <v>2.9403000000000001</v>
      </c>
      <c r="L2054" s="1921" t="s">
        <v>495</v>
      </c>
      <c r="M2054" s="1943">
        <f t="shared" ref="M2054" si="2162">M1982</f>
        <v>6.4656468966360006</v>
      </c>
      <c r="N2054" s="1921" t="s">
        <v>495</v>
      </c>
      <c r="O2054" s="1943">
        <f t="shared" ref="O2054" si="2163">O1982</f>
        <v>2.3066</v>
      </c>
      <c r="P2054" s="1921" t="s">
        <v>495</v>
      </c>
      <c r="Q2054" s="1943">
        <f t="shared" si="2144"/>
        <v>11.712546896636001</v>
      </c>
      <c r="R2054" s="1921" t="s">
        <v>495</v>
      </c>
      <c r="S2054" s="1644">
        <f>ROUND($D2054*K2054/100,0)</f>
        <v>252690</v>
      </c>
      <c r="T2054" s="1648"/>
      <c r="U2054" s="1644">
        <f>ROUND($D2054*M2054/100,0)</f>
        <v>555659</v>
      </c>
      <c r="V2054" s="1648"/>
      <c r="W2054" s="1644">
        <f>ROUND($D2054*O2054/100,0)</f>
        <v>198230</v>
      </c>
      <c r="X2054" s="1648"/>
      <c r="Y2054" s="1644">
        <f>ROUND($D2054*Q2054/100,0)</f>
        <v>1006579</v>
      </c>
    </row>
    <row r="2055" spans="1:25" hidden="1">
      <c r="A2055" s="1900" t="s">
        <v>1657</v>
      </c>
      <c r="C2055" s="528">
        <f>'23'!O25+'23'!AC25+'23-may'!O25+'23-may'!AC25</f>
        <v>9631147.8950034827</v>
      </c>
      <c r="D2055" s="528">
        <f>ROUND(C2055/(C2055+C2054)*Energy!S66*(1-1/Energy!P66*('Blocking-Step2'!D2065+'Blocking-Step2'!D2069)),0)</f>
        <v>9619597</v>
      </c>
      <c r="F2055" s="1943"/>
      <c r="G2055" s="1921"/>
      <c r="H2055" s="1644"/>
      <c r="I2055" s="1644"/>
      <c r="K2055" s="1943">
        <f t="shared" ref="K2055" si="2164">K1983</f>
        <v>2.9403000000000001</v>
      </c>
      <c r="L2055" s="1921" t="s">
        <v>495</v>
      </c>
      <c r="M2055" s="1943">
        <f t="shared" ref="M2055" si="2165">M1983</f>
        <v>1.310346896636001</v>
      </c>
      <c r="N2055" s="1921" t="s">
        <v>495</v>
      </c>
      <c r="O2055" s="1943">
        <f t="shared" ref="O2055" si="2166">O1983</f>
        <v>2.3066</v>
      </c>
      <c r="P2055" s="1921" t="s">
        <v>495</v>
      </c>
      <c r="Q2055" s="1943">
        <f t="shared" si="2144"/>
        <v>6.5572468966360011</v>
      </c>
      <c r="R2055" s="1921" t="s">
        <v>495</v>
      </c>
      <c r="S2055" s="1644">
        <f t="shared" ref="S2055:S2057" si="2167">ROUND($D2055*K2055/100,0)</f>
        <v>282845</v>
      </c>
      <c r="T2055" s="1648"/>
      <c r="U2055" s="1644">
        <f t="shared" ref="U2055:U2057" si="2168">ROUND($D2055*M2055/100,0)</f>
        <v>126050</v>
      </c>
      <c r="V2055" s="1648"/>
      <c r="W2055" s="1644">
        <f t="shared" ref="W2055:W2057" si="2169">ROUND($D2055*O2055/100,0)</f>
        <v>221886</v>
      </c>
      <c r="X2055" s="1648"/>
      <c r="Y2055" s="1644">
        <f t="shared" ref="Y2055:Y2057" si="2170">ROUND($D2055*Q2055/100,0)</f>
        <v>630781</v>
      </c>
    </row>
    <row r="2056" spans="1:25" hidden="1">
      <c r="A2056" s="1900" t="s">
        <v>1658</v>
      </c>
      <c r="C2056" s="528">
        <f>'23'!Q25+'23'!AD25+'23-may'!Q25+'23-may'!AD25</f>
        <v>17935019.927930754</v>
      </c>
      <c r="D2056" s="528">
        <f>ROUND(C2056/(C2057+C2056)*Energy!T66*(1-1/Energy!P66*('Blocking-Step2'!D2065+'Blocking-Step2'!D2069)),0)</f>
        <v>17034958</v>
      </c>
      <c r="F2056" s="1943"/>
      <c r="G2056" s="1921"/>
      <c r="H2056" s="1644"/>
      <c r="I2056" s="1644"/>
      <c r="K2056" s="1943">
        <f t="shared" ref="K2056" si="2171">K1984</f>
        <v>2.9403000000000001</v>
      </c>
      <c r="L2056" s="1921" t="s">
        <v>495</v>
      </c>
      <c r="M2056" s="1943">
        <f t="shared" ref="M2056" si="2172">M1984</f>
        <v>5.3096999999999994</v>
      </c>
      <c r="N2056" s="1921" t="s">
        <v>495</v>
      </c>
      <c r="O2056" s="1943">
        <f t="shared" ref="O2056" si="2173">O1984</f>
        <v>2.1151</v>
      </c>
      <c r="P2056" s="1921" t="s">
        <v>495</v>
      </c>
      <c r="Q2056" s="1943">
        <f t="shared" si="2144"/>
        <v>10.3651</v>
      </c>
      <c r="R2056" s="1921" t="s">
        <v>495</v>
      </c>
      <c r="S2056" s="1644">
        <f t="shared" si="2167"/>
        <v>500879</v>
      </c>
      <c r="T2056" s="1648"/>
      <c r="U2056" s="1644">
        <f t="shared" si="2168"/>
        <v>904505</v>
      </c>
      <c r="V2056" s="1648"/>
      <c r="W2056" s="1644">
        <f t="shared" si="2169"/>
        <v>360306</v>
      </c>
      <c r="X2056" s="1648"/>
      <c r="Y2056" s="1644">
        <f t="shared" si="2170"/>
        <v>1765690</v>
      </c>
    </row>
    <row r="2057" spans="1:25" hidden="1">
      <c r="A2057" s="1900" t="s">
        <v>1659</v>
      </c>
      <c r="C2057" s="528">
        <f>'23'!R25+'23'!AE25+'23-may'!R25+'23-may'!AE25</f>
        <v>17268829.104996517</v>
      </c>
      <c r="D2057" s="528">
        <f>ROUND(C2057/(C2056+C2057)*Energy!T66*(1-1/Energy!P66*('Blocking-Step2'!D2065+'Blocking-Step2'!D2069)),0)</f>
        <v>16402200</v>
      </c>
      <c r="F2057" s="1943"/>
      <c r="G2057" s="1921"/>
      <c r="H2057" s="1644"/>
      <c r="I2057" s="1644"/>
      <c r="K2057" s="1943">
        <f t="shared" ref="K2057" si="2174">K1985</f>
        <v>2.9403000000000001</v>
      </c>
      <c r="L2057" s="1921" t="s">
        <v>495</v>
      </c>
      <c r="M2057" s="1943">
        <f t="shared" ref="M2057" si="2175">M1985</f>
        <v>0.74750000000000005</v>
      </c>
      <c r="N2057" s="1921" t="s">
        <v>495</v>
      </c>
      <c r="O2057" s="1943">
        <f t="shared" ref="O2057" si="2176">O1985</f>
        <v>2.1151</v>
      </c>
      <c r="P2057" s="1921" t="s">
        <v>495</v>
      </c>
      <c r="Q2057" s="1943">
        <f t="shared" si="2144"/>
        <v>5.8029000000000002</v>
      </c>
      <c r="R2057" s="1921" t="s">
        <v>495</v>
      </c>
      <c r="S2057" s="1644">
        <f t="shared" si="2167"/>
        <v>482274</v>
      </c>
      <c r="T2057" s="1648"/>
      <c r="U2057" s="1644">
        <f t="shared" si="2168"/>
        <v>122606</v>
      </c>
      <c r="V2057" s="1648"/>
      <c r="W2057" s="1644">
        <f t="shared" si="2169"/>
        <v>346923</v>
      </c>
      <c r="X2057" s="1648"/>
      <c r="Y2057" s="1644">
        <f t="shared" si="2170"/>
        <v>951803</v>
      </c>
    </row>
    <row r="2058" spans="1:25" hidden="1">
      <c r="A2058" s="1900" t="s">
        <v>282</v>
      </c>
      <c r="C2058" s="528">
        <f>'23'!I25</f>
        <v>16686.4554913295</v>
      </c>
      <c r="D2058" s="528">
        <f>ROUND(C2058/C2070*D2070,0)</f>
        <v>16394</v>
      </c>
      <c r="F2058" s="1944">
        <v>8.65</v>
      </c>
      <c r="G2058" s="597"/>
      <c r="H2058" s="1644">
        <f t="shared" si="2143"/>
        <v>144338</v>
      </c>
      <c r="I2058" s="1644">
        <f t="shared" si="2143"/>
        <v>141808</v>
      </c>
      <c r="K2058" s="1944"/>
      <c r="L2058" s="597"/>
      <c r="M2058" s="1944"/>
      <c r="N2058" s="597"/>
      <c r="O2058" s="1944"/>
      <c r="P2058" s="597"/>
      <c r="Q2058" s="1944"/>
      <c r="R2058" s="597"/>
      <c r="S2058" s="1645"/>
      <c r="T2058" s="1645"/>
      <c r="U2058" s="1645"/>
      <c r="V2058" s="1645"/>
      <c r="W2058" s="1645"/>
      <c r="X2058" s="1645"/>
      <c r="Y2058" s="1644"/>
    </row>
    <row r="2059" spans="1:25" hidden="1">
      <c r="A2059" s="1900" t="s">
        <v>283</v>
      </c>
      <c r="C2059" s="528">
        <f>'23'!J25</f>
        <v>19556.813793103502</v>
      </c>
      <c r="D2059" s="528">
        <f>ROUND(C2059/C2070*D2070,0)</f>
        <v>19214</v>
      </c>
      <c r="F2059" s="1944">
        <v>8.7000000000000011</v>
      </c>
      <c r="G2059" s="597"/>
      <c r="H2059" s="1644">
        <f t="shared" si="2143"/>
        <v>170144</v>
      </c>
      <c r="I2059" s="1644">
        <f t="shared" si="2143"/>
        <v>167162</v>
      </c>
      <c r="K2059" s="1944"/>
      <c r="L2059" s="597"/>
      <c r="M2059" s="1944"/>
      <c r="N2059" s="597"/>
      <c r="O2059" s="1944"/>
      <c r="P2059" s="597"/>
      <c r="Q2059" s="1944"/>
      <c r="R2059" s="597"/>
      <c r="S2059" s="1645"/>
      <c r="T2059" s="1645"/>
      <c r="U2059" s="1645"/>
      <c r="V2059" s="1645"/>
      <c r="W2059" s="1645"/>
      <c r="X2059" s="1645"/>
      <c r="Y2059" s="1644"/>
    </row>
    <row r="2060" spans="1:25" hidden="1">
      <c r="A2060" s="1900" t="s">
        <v>261</v>
      </c>
      <c r="C2060" s="528">
        <f>'23'!K25</f>
        <v>2433.125</v>
      </c>
      <c r="D2060" s="528">
        <f>ROUND(C2060/C2070*D2070,0)</f>
        <v>2391</v>
      </c>
      <c r="F2060" s="1944">
        <v>-0.48</v>
      </c>
      <c r="G2060" s="597"/>
      <c r="H2060" s="1644">
        <f t="shared" si="2143"/>
        <v>-1168</v>
      </c>
      <c r="I2060" s="1644">
        <f t="shared" si="2143"/>
        <v>-1148</v>
      </c>
      <c r="K2060" s="1944">
        <f>K1988</f>
        <v>-0.48</v>
      </c>
      <c r="L2060" s="597"/>
      <c r="M2060" s="1944">
        <f>M1988</f>
        <v>0</v>
      </c>
      <c r="N2060" s="597"/>
      <c r="O2060" s="1944">
        <f>O1988</f>
        <v>0</v>
      </c>
      <c r="P2060" s="597"/>
      <c r="Q2060" s="1944">
        <f>Q1988</f>
        <v>-0.48</v>
      </c>
      <c r="R2060" s="597"/>
      <c r="S2060" s="1644">
        <f t="shared" ref="S2060" si="2177">ROUND($D2060*K2060,0)</f>
        <v>-1148</v>
      </c>
      <c r="T2060" s="1645"/>
      <c r="U2060" s="1644">
        <f t="shared" ref="U2060" si="2178">ROUND($D2060*M2060,0)</f>
        <v>0</v>
      </c>
      <c r="V2060" s="1645"/>
      <c r="W2060" s="1644">
        <f t="shared" ref="W2060" si="2179">ROUND($D2060*O2060,0)</f>
        <v>0</v>
      </c>
      <c r="X2060" s="1645"/>
      <c r="Y2060" s="1644">
        <f t="shared" ref="Y2060" si="2180">ROUND($D2060*Q2060,0)</f>
        <v>-1148</v>
      </c>
    </row>
    <row r="2061" spans="1:25" hidden="1">
      <c r="A2061" s="1900" t="s">
        <v>194</v>
      </c>
      <c r="C2061" s="528">
        <f>'23'!N25+'23'!AB25</f>
        <v>10640672</v>
      </c>
      <c r="D2061" s="528">
        <f>D2070-SUM(D2062:D2069)</f>
        <v>10568996.771338336</v>
      </c>
      <c r="F2061" s="1942">
        <v>11.733599999999999</v>
      </c>
      <c r="G2061" s="1921" t="s">
        <v>495</v>
      </c>
      <c r="H2061" s="1644">
        <f t="shared" ref="H2061:I2065" si="2181">ROUND($F2061*C2061/100,0)</f>
        <v>1248534</v>
      </c>
      <c r="I2061" s="1644">
        <f t="shared" si="2181"/>
        <v>1240124</v>
      </c>
      <c r="K2061" s="1942"/>
      <c r="L2061" s="1921"/>
      <c r="M2061" s="1942"/>
      <c r="N2061" s="1921"/>
      <c r="O2061" s="1942"/>
      <c r="P2061" s="1921"/>
      <c r="Q2061" s="1942"/>
      <c r="R2061" s="1921"/>
      <c r="S2061" s="1648"/>
      <c r="T2061" s="1648"/>
      <c r="U2061" s="1648"/>
      <c r="V2061" s="1648"/>
      <c r="W2061" s="1648"/>
      <c r="X2061" s="1648"/>
      <c r="Y2061" s="1644"/>
    </row>
    <row r="2062" spans="1:25" hidden="1">
      <c r="A2062" s="1900" t="s">
        <v>195</v>
      </c>
      <c r="C2062" s="528">
        <f>'23'!O25+'23'!AC25</f>
        <v>11455178</v>
      </c>
      <c r="D2062" s="528">
        <f>ROUND(C2062/(C2062+C2061)*Energy!Q66*(1-1/Energy!P66*('Blocking-Step2'!D2065+'Blocking-Step2'!D2069)),0)</f>
        <v>11378017</v>
      </c>
      <c r="F2062" s="1942">
        <v>6.5782999999999996</v>
      </c>
      <c r="G2062" s="1921" t="s">
        <v>495</v>
      </c>
      <c r="H2062" s="1644">
        <f t="shared" si="2181"/>
        <v>753556</v>
      </c>
      <c r="I2062" s="1644">
        <f t="shared" si="2181"/>
        <v>748480</v>
      </c>
      <c r="K2062" s="1942"/>
      <c r="L2062" s="1921"/>
      <c r="M2062" s="1942"/>
      <c r="N2062" s="1921"/>
      <c r="O2062" s="1942"/>
      <c r="P2062" s="1921"/>
      <c r="Q2062" s="1942"/>
      <c r="R2062" s="1921"/>
      <c r="S2062" s="1648"/>
      <c r="T2062" s="1648"/>
      <c r="U2062" s="1648"/>
      <c r="V2062" s="1648"/>
      <c r="W2062" s="1648"/>
      <c r="X2062" s="1648"/>
      <c r="Y2062" s="1644"/>
    </row>
    <row r="2063" spans="1:25" hidden="1">
      <c r="A2063" s="1900" t="s">
        <v>160</v>
      </c>
      <c r="C2063" s="528">
        <f>'23'!Q25+'23'!AD25</f>
        <v>15898688</v>
      </c>
      <c r="D2063" s="528">
        <f>ROUND(C2063/(C2063+C2064)*Energy!R66*(1-1/Energy!P66*('Blocking-Step2'!D2065+'Blocking-Step2'!D2069)),0)</f>
        <v>15066953</v>
      </c>
      <c r="F2063" s="1942">
        <v>10.8</v>
      </c>
      <c r="G2063" s="1921" t="s">
        <v>495</v>
      </c>
      <c r="H2063" s="1644">
        <f t="shared" si="2181"/>
        <v>1717058</v>
      </c>
      <c r="I2063" s="1644">
        <f t="shared" si="2181"/>
        <v>1627231</v>
      </c>
      <c r="K2063" s="1942"/>
      <c r="L2063" s="1921"/>
      <c r="M2063" s="1942"/>
      <c r="N2063" s="1921"/>
      <c r="O2063" s="1942"/>
      <c r="P2063" s="1921"/>
      <c r="Q2063" s="1942"/>
      <c r="R2063" s="1921"/>
      <c r="S2063" s="1648"/>
      <c r="T2063" s="1648"/>
      <c r="U2063" s="1648"/>
      <c r="V2063" s="1648"/>
      <c r="W2063" s="1648"/>
      <c r="X2063" s="1648"/>
      <c r="Y2063" s="1644"/>
    </row>
    <row r="2064" spans="1:25" hidden="1">
      <c r="A2064" s="1900" t="s">
        <v>159</v>
      </c>
      <c r="C2064" s="528">
        <f>'23'!R25+'23'!AE25</f>
        <v>15444799</v>
      </c>
      <c r="D2064" s="528">
        <f>ROUND(C2064/(C2063+C2064)*Energy!R66*(1-1/Energy!P66*('Blocking-Step2'!D2065+'Blocking-Step2'!D2069)),0)</f>
        <v>14636809</v>
      </c>
      <c r="F2064" s="1942">
        <v>6.0567000000000002</v>
      </c>
      <c r="G2064" s="1921" t="s">
        <v>495</v>
      </c>
      <c r="H2064" s="1644">
        <f t="shared" si="2181"/>
        <v>935445</v>
      </c>
      <c r="I2064" s="1644">
        <f t="shared" si="2181"/>
        <v>886508</v>
      </c>
      <c r="K2064" s="1942"/>
      <c r="L2064" s="1921"/>
      <c r="M2064" s="1942"/>
      <c r="N2064" s="1921"/>
      <c r="O2064" s="1942"/>
      <c r="P2064" s="1921"/>
      <c r="Q2064" s="1942"/>
      <c r="R2064" s="1921"/>
      <c r="S2064" s="1648"/>
      <c r="T2064" s="1648"/>
      <c r="U2064" s="1648"/>
      <c r="V2064" s="1648"/>
      <c r="W2064" s="1648"/>
      <c r="X2064" s="1648"/>
      <c r="Y2064" s="1644"/>
    </row>
    <row r="2065" spans="1:28" hidden="1">
      <c r="A2065" s="1116" t="s">
        <v>1158</v>
      </c>
      <c r="B2065" s="1928"/>
      <c r="C2065" s="1024">
        <f>'23'!V25</f>
        <v>101506</v>
      </c>
      <c r="D2065" s="1024">
        <f>ROUND(C2065/(C2070-C2069)*D2070,0)</f>
        <v>99720</v>
      </c>
      <c r="E2065" s="804"/>
      <c r="F2065" s="1927">
        <v>10.120799999999999</v>
      </c>
      <c r="G2065" s="1929" t="s">
        <v>495</v>
      </c>
      <c r="H2065" s="1146">
        <f t="shared" si="2181"/>
        <v>10273</v>
      </c>
      <c r="I2065" s="1146">
        <f t="shared" si="2181"/>
        <v>10092</v>
      </c>
      <c r="J2065" s="804"/>
      <c r="K2065" s="1927">
        <f>K1993</f>
        <v>2.9403000000000001</v>
      </c>
      <c r="L2065" s="1929" t="s">
        <v>495</v>
      </c>
      <c r="M2065" s="1927">
        <f>M1993</f>
        <v>7.4249999999999998</v>
      </c>
      <c r="N2065" s="1929" t="s">
        <v>495</v>
      </c>
      <c r="O2065" s="1927">
        <f>O1993</f>
        <v>0</v>
      </c>
      <c r="P2065" s="1929" t="s">
        <v>495</v>
      </c>
      <c r="Q2065" s="1927">
        <f>Q1993</f>
        <v>10.3653</v>
      </c>
      <c r="R2065" s="1929" t="s">
        <v>495</v>
      </c>
      <c r="S2065" s="1644">
        <f t="shared" ref="S2065" si="2182">ROUND($D2065*K2065/100,0)</f>
        <v>2932</v>
      </c>
      <c r="T2065" s="1648"/>
      <c r="U2065" s="1644">
        <f t="shared" ref="U2065" si="2183">ROUND($D2065*M2065/100,0)</f>
        <v>7404</v>
      </c>
      <c r="V2065" s="1648"/>
      <c r="W2065" s="1644">
        <f t="shared" ref="W2065" si="2184">ROUND($D2065*O2065/100,0)</f>
        <v>0</v>
      </c>
      <c r="X2065" s="1656"/>
      <c r="Y2065" s="1146">
        <f t="shared" ref="Y2065" si="2185">ROUND($D2065*Q2065/100,0)</f>
        <v>10336</v>
      </c>
    </row>
    <row r="2066" spans="1:28" hidden="1">
      <c r="A2066" s="1900" t="s">
        <v>246</v>
      </c>
      <c r="C2066" s="529">
        <f>'Table 2'!J96</f>
        <v>-867916</v>
      </c>
      <c r="D2066" s="529">
        <v>0</v>
      </c>
      <c r="H2066" s="1030">
        <f>'Table 3'!F96</f>
        <v>-78953</v>
      </c>
      <c r="I2066" s="1030">
        <v>0</v>
      </c>
      <c r="Y2066" s="1030"/>
    </row>
    <row r="2067" spans="1:28" hidden="1">
      <c r="A2067" s="1900" t="s">
        <v>1240</v>
      </c>
      <c r="C2067" s="584"/>
      <c r="D2067" s="584"/>
      <c r="F2067" s="1930">
        <v>-3.3099999999999997E-2</v>
      </c>
      <c r="G2067" s="597"/>
      <c r="H2067" s="1644">
        <f>SUM(H2058:H2059,H2061:H2065)*$F2067</f>
        <v>-164816.41879999998</v>
      </c>
      <c r="I2067" s="1644">
        <f>SUM(I2058:I2059,I2061:I2065)*$F2067</f>
        <v>-159588.5055</v>
      </c>
      <c r="K2067" s="1930"/>
      <c r="L2067" s="597"/>
      <c r="M2067" s="1930"/>
      <c r="N2067" s="597"/>
      <c r="O2067" s="1931" t="str">
        <f>$O$43</f>
        <v>Tax Year 1 (7/1/2021)</v>
      </c>
      <c r="P2067" s="597"/>
      <c r="Q2067" s="1930">
        <f>$AC$1988</f>
        <v>-2.5600000000000001E-2</v>
      </c>
      <c r="R2067" s="597"/>
      <c r="S2067" s="1645"/>
      <c r="T2067" s="1645"/>
      <c r="U2067" s="1645"/>
      <c r="V2067" s="1645"/>
      <c r="W2067" s="1645"/>
      <c r="X2067" s="1645"/>
      <c r="Y2067" s="1644">
        <f>Q2067*SUM(Y2052:Y2057,Y2065)</f>
        <v>-119280.3328</v>
      </c>
    </row>
    <row r="2068" spans="1:28" hidden="1">
      <c r="A2068" s="1900"/>
      <c r="C2068" s="584"/>
      <c r="D2068" s="584"/>
      <c r="F2068" s="1930"/>
      <c r="G2068" s="597"/>
      <c r="H2068" s="1644"/>
      <c r="I2068" s="1644"/>
      <c r="K2068" s="1930"/>
      <c r="L2068" s="597"/>
      <c r="M2068" s="1930"/>
      <c r="N2068" s="597"/>
      <c r="O2068" s="1931" t="str">
        <f>$O$44</f>
        <v>Tax Year 2 (1/1/2022)</v>
      </c>
      <c r="P2068" s="597"/>
      <c r="Q2068" s="1930">
        <f>$AC$1989</f>
        <v>-1.3899999999999999E-2</v>
      </c>
      <c r="R2068" s="597"/>
      <c r="S2068" s="1645"/>
      <c r="T2068" s="1645"/>
      <c r="U2068" s="1645"/>
      <c r="V2068" s="1645"/>
      <c r="W2068" s="1645"/>
      <c r="X2068" s="1645"/>
      <c r="Y2068" s="1644">
        <f>Q2068*SUM(Y2052:Y2057,Y2065)</f>
        <v>-64765.493199999997</v>
      </c>
    </row>
    <row r="2069" spans="1:28" hidden="1">
      <c r="A2069" s="1116" t="s">
        <v>1317</v>
      </c>
      <c r="C2069" s="584">
        <f>'23'!AL25</f>
        <v>-4490</v>
      </c>
      <c r="D2069" s="1024">
        <f>ROUND(C2069/(C2070-C2069)*D2070,0)</f>
        <v>-4411</v>
      </c>
      <c r="F2069" s="1930"/>
      <c r="G2069" s="597"/>
      <c r="H2069" s="1644"/>
      <c r="I2069" s="1644"/>
      <c r="K2069" s="1930"/>
      <c r="L2069" s="597"/>
      <c r="M2069" s="1930"/>
      <c r="N2069" s="597"/>
      <c r="O2069" s="1930"/>
      <c r="P2069" s="597"/>
      <c r="Q2069" s="1930"/>
      <c r="R2069" s="597"/>
      <c r="S2069" s="1645"/>
      <c r="T2069" s="1645"/>
      <c r="U2069" s="1645"/>
      <c r="V2069" s="1645"/>
      <c r="W2069" s="1645"/>
      <c r="X2069" s="1645"/>
      <c r="Y2069" s="1644"/>
    </row>
    <row r="2070" spans="1:28" ht="16.5" hidden="1" thickBot="1">
      <c r="A2070" s="1900" t="s">
        <v>247</v>
      </c>
      <c r="C2070" s="1949">
        <f>SUM(C2061:C2065,C2066:C2069)</f>
        <v>52668437</v>
      </c>
      <c r="D2070" s="1949">
        <f>Energy!P66</f>
        <v>51746084.771338336</v>
      </c>
      <c r="F2070" s="1939"/>
      <c r="H2070" s="1647">
        <f>SUM(H2049:H2067)</f>
        <v>5116081.5811999999</v>
      </c>
      <c r="I2070" s="1647">
        <f>SUM(I2049:I2067)</f>
        <v>5035108.4945</v>
      </c>
      <c r="K2070" s="1939"/>
      <c r="M2070" s="1939"/>
      <c r="O2070" s="1939"/>
      <c r="Q2070" s="1939"/>
      <c r="S2070" s="1647">
        <f>SUM(S2049:S2066)</f>
        <v>2189111</v>
      </c>
      <c r="U2070" s="1647">
        <f>SUM(U2049:U2066)</f>
        <v>1716224</v>
      </c>
      <c r="W2070" s="1647">
        <f>SUM(W2049:W2066)</f>
        <v>1127345</v>
      </c>
      <c r="Y2070" s="1647">
        <f>SUM(Y2049:Y2066)</f>
        <v>5032680</v>
      </c>
      <c r="AA2070" s="1104" t="s">
        <v>1743</v>
      </c>
      <c r="AB2070" s="1890">
        <f>Y2070/I2070-1</f>
        <v>-4.8231224861450261E-4</v>
      </c>
    </row>
    <row r="2071" spans="1:28" ht="16.5" thickTop="1">
      <c r="C2071" s="528"/>
      <c r="D2071" s="528"/>
    </row>
    <row r="2072" spans="1:28">
      <c r="A2072" s="1897" t="s">
        <v>1012</v>
      </c>
      <c r="C2072" s="528"/>
      <c r="D2072" s="528"/>
    </row>
    <row r="2073" spans="1:28">
      <c r="A2073" s="1900" t="s">
        <v>240</v>
      </c>
      <c r="C2073" s="528">
        <f>C2095+C2117+C2139</f>
        <v>15290.919999999989</v>
      </c>
      <c r="D2073" s="528">
        <f>D2095+D2117+D2139</f>
        <v>18738</v>
      </c>
      <c r="F2073" s="1901">
        <v>10</v>
      </c>
      <c r="G2073" s="1902"/>
      <c r="H2073" s="1644">
        <f t="shared" ref="H2073:I2084" si="2186">ROUND($F2073*C2073,0)</f>
        <v>152909</v>
      </c>
      <c r="I2073" s="1644">
        <f t="shared" si="2186"/>
        <v>187380</v>
      </c>
      <c r="K2073" s="1901">
        <f>K1977</f>
        <v>10</v>
      </c>
      <c r="L2073" s="1902"/>
      <c r="M2073" s="1901">
        <f>M1977</f>
        <v>0</v>
      </c>
      <c r="N2073" s="1902"/>
      <c r="O2073" s="1901">
        <f>O1977</f>
        <v>0</v>
      </c>
      <c r="P2073" s="1902"/>
      <c r="Q2073" s="1901">
        <f t="shared" ref="Q2073:Q2081" si="2187">Q1977</f>
        <v>10</v>
      </c>
      <c r="R2073" s="1902"/>
      <c r="S2073" s="1644">
        <f t="shared" ref="S2073:S2077" si="2188">ROUND($D2073*K2073,0)</f>
        <v>187380</v>
      </c>
      <c r="T2073" s="1645"/>
      <c r="U2073" s="1644">
        <f t="shared" ref="U2073:U2077" si="2189">ROUND($D2073*M2073,0)</f>
        <v>0</v>
      </c>
      <c r="V2073" s="1645"/>
      <c r="W2073" s="1644">
        <f t="shared" ref="W2073:W2077" si="2190">ROUND($D2073*O2073,0)</f>
        <v>0</v>
      </c>
      <c r="X2073" s="1643"/>
      <c r="Y2073" s="1644">
        <f>ROUND($D2073*Q2073,0)</f>
        <v>187380</v>
      </c>
    </row>
    <row r="2074" spans="1:28">
      <c r="A2074" s="1900" t="s">
        <v>262</v>
      </c>
      <c r="C2074" s="528">
        <f t="shared" ref="C2074" si="2191">C2096+C2118+C2140</f>
        <v>0</v>
      </c>
      <c r="D2074" s="528">
        <f>D2096+D2118+D2140</f>
        <v>0</v>
      </c>
      <c r="F2074" s="1901">
        <v>120</v>
      </c>
      <c r="G2074" s="1902"/>
      <c r="H2074" s="1644">
        <f t="shared" si="2186"/>
        <v>0</v>
      </c>
      <c r="I2074" s="1644">
        <f t="shared" si="2186"/>
        <v>0</v>
      </c>
      <c r="K2074" s="1901">
        <f t="shared" ref="K2074" si="2192">K1978</f>
        <v>117</v>
      </c>
      <c r="L2074" s="1902"/>
      <c r="M2074" s="1901">
        <f t="shared" ref="M2074" si="2193">M1978</f>
        <v>0</v>
      </c>
      <c r="N2074" s="1902"/>
      <c r="O2074" s="1901">
        <f t="shared" ref="O2074" si="2194">O1978</f>
        <v>0</v>
      </c>
      <c r="P2074" s="1902"/>
      <c r="Q2074" s="1901">
        <f t="shared" si="2187"/>
        <v>117</v>
      </c>
      <c r="R2074" s="1902"/>
      <c r="S2074" s="1644">
        <f t="shared" si="2188"/>
        <v>0</v>
      </c>
      <c r="T2074" s="1645"/>
      <c r="U2074" s="1644">
        <f t="shared" si="2189"/>
        <v>0</v>
      </c>
      <c r="V2074" s="1645"/>
      <c r="W2074" s="1644">
        <f t="shared" si="2190"/>
        <v>0</v>
      </c>
      <c r="X2074" s="1643"/>
      <c r="Y2074" s="1644">
        <f t="shared" ref="Y2074:Y2077" si="2195">ROUND($D2074*Q2074,0)</f>
        <v>0</v>
      </c>
    </row>
    <row r="2075" spans="1:28">
      <c r="A2075" s="1900" t="s">
        <v>1298</v>
      </c>
      <c r="C2075" s="528">
        <f t="shared" ref="C2075" si="2196">C2097+C2119+C2141</f>
        <v>8.2669999999999995</v>
      </c>
      <c r="D2075" s="528">
        <f>D2097+D2119+D2141</f>
        <v>10</v>
      </c>
      <c r="F2075" s="1944">
        <v>10</v>
      </c>
      <c r="G2075" s="597"/>
      <c r="H2075" s="1644">
        <f t="shared" si="2186"/>
        <v>83</v>
      </c>
      <c r="I2075" s="1644">
        <f t="shared" si="2186"/>
        <v>100</v>
      </c>
      <c r="K2075" s="1944">
        <f t="shared" ref="K2075" si="2197">K1979</f>
        <v>10</v>
      </c>
      <c r="L2075" s="597"/>
      <c r="M2075" s="1944">
        <f t="shared" ref="M2075" si="2198">M1979</f>
        <v>0</v>
      </c>
      <c r="N2075" s="597"/>
      <c r="O2075" s="1944">
        <f t="shared" ref="O2075" si="2199">O1979</f>
        <v>0</v>
      </c>
      <c r="P2075" s="597"/>
      <c r="Q2075" s="1944">
        <f t="shared" si="2187"/>
        <v>10</v>
      </c>
      <c r="R2075" s="597"/>
      <c r="S2075" s="1644">
        <f t="shared" si="2188"/>
        <v>100</v>
      </c>
      <c r="T2075" s="1645"/>
      <c r="U2075" s="1644">
        <f t="shared" si="2189"/>
        <v>0</v>
      </c>
      <c r="V2075" s="1645"/>
      <c r="W2075" s="1644">
        <f t="shared" si="2190"/>
        <v>0</v>
      </c>
      <c r="X2075" s="1645"/>
      <c r="Y2075" s="1644">
        <f t="shared" si="2195"/>
        <v>100</v>
      </c>
    </row>
    <row r="2076" spans="1:28">
      <c r="A2076" s="1900" t="s">
        <v>1654</v>
      </c>
      <c r="C2076" s="528">
        <f t="shared" ref="C2076:D2076" si="2200">C2098+C2120+C2142</f>
        <v>5242.5390358493651</v>
      </c>
      <c r="D2076" s="528">
        <f t="shared" si="2200"/>
        <v>6794</v>
      </c>
      <c r="F2076" s="1944"/>
      <c r="G2076" s="597"/>
      <c r="H2076" s="1644"/>
      <c r="I2076" s="1644"/>
      <c r="K2076" s="1944">
        <f t="shared" ref="K2076" si="2201">K1980</f>
        <v>8.89</v>
      </c>
      <c r="L2076" s="597"/>
      <c r="M2076" s="1944">
        <f t="shared" ref="M2076" si="2202">M1980</f>
        <v>0</v>
      </c>
      <c r="N2076" s="597"/>
      <c r="O2076" s="1944">
        <f t="shared" ref="O2076" si="2203">O1980</f>
        <v>0</v>
      </c>
      <c r="P2076" s="597"/>
      <c r="Q2076" s="1944">
        <f t="shared" si="2187"/>
        <v>8.89</v>
      </c>
      <c r="R2076" s="597"/>
      <c r="S2076" s="1644">
        <f t="shared" si="2188"/>
        <v>60399</v>
      </c>
      <c r="T2076" s="1645"/>
      <c r="U2076" s="1644">
        <f t="shared" si="2189"/>
        <v>0</v>
      </c>
      <c r="V2076" s="1645"/>
      <c r="W2076" s="1644">
        <f t="shared" si="2190"/>
        <v>0</v>
      </c>
      <c r="X2076" s="1645"/>
      <c r="Y2076" s="1644">
        <f t="shared" si="2195"/>
        <v>60399</v>
      </c>
    </row>
    <row r="2077" spans="1:28">
      <c r="A2077" s="1900" t="s">
        <v>1655</v>
      </c>
      <c r="C2077" s="528">
        <f t="shared" ref="C2077:D2077" si="2204">C2099+C2121+C2143</f>
        <v>7485.8636749339703</v>
      </c>
      <c r="D2077" s="528">
        <f t="shared" si="2204"/>
        <v>9813</v>
      </c>
      <c r="F2077" s="1944"/>
      <c r="G2077" s="597"/>
      <c r="H2077" s="1644"/>
      <c r="I2077" s="1644"/>
      <c r="K2077" s="1944">
        <f t="shared" ref="K2077" si="2205">K1981</f>
        <v>7.87</v>
      </c>
      <c r="L2077" s="597"/>
      <c r="M2077" s="1944">
        <f t="shared" ref="M2077" si="2206">M1981</f>
        <v>0</v>
      </c>
      <c r="N2077" s="597"/>
      <c r="O2077" s="1944">
        <f t="shared" ref="O2077" si="2207">O1981</f>
        <v>0</v>
      </c>
      <c r="P2077" s="597"/>
      <c r="Q2077" s="1944">
        <f t="shared" si="2187"/>
        <v>7.87</v>
      </c>
      <c r="R2077" s="597"/>
      <c r="S2077" s="1644">
        <f t="shared" si="2188"/>
        <v>77228</v>
      </c>
      <c r="T2077" s="1645"/>
      <c r="U2077" s="1644">
        <f t="shared" si="2189"/>
        <v>0</v>
      </c>
      <c r="V2077" s="1645"/>
      <c r="W2077" s="1644">
        <f t="shared" si="2190"/>
        <v>0</v>
      </c>
      <c r="X2077" s="1645"/>
      <c r="Y2077" s="1644">
        <f t="shared" si="2195"/>
        <v>77228</v>
      </c>
    </row>
    <row r="2078" spans="1:28">
      <c r="A2078" s="1900" t="s">
        <v>1656</v>
      </c>
      <c r="C2078" s="528">
        <f t="shared" ref="C2078:D2078" si="2208">C2100+C2122+C2144</f>
        <v>1451255.3257046135</v>
      </c>
      <c r="D2078" s="528">
        <f t="shared" si="2208"/>
        <v>2193839.9420763389</v>
      </c>
      <c r="F2078" s="1943"/>
      <c r="G2078" s="1921"/>
      <c r="H2078" s="1644"/>
      <c r="I2078" s="1644"/>
      <c r="K2078" s="1943">
        <f t="shared" ref="K2078" si="2209">K1982</f>
        <v>2.9403000000000001</v>
      </c>
      <c r="L2078" s="1921" t="s">
        <v>495</v>
      </c>
      <c r="M2078" s="1943">
        <f t="shared" ref="M2078" si="2210">M1982</f>
        <v>6.4656468966360006</v>
      </c>
      <c r="N2078" s="1921" t="s">
        <v>495</v>
      </c>
      <c r="O2078" s="1943">
        <f t="shared" ref="O2078" si="2211">O1982</f>
        <v>2.3066</v>
      </c>
      <c r="P2078" s="1921" t="s">
        <v>495</v>
      </c>
      <c r="Q2078" s="1943">
        <f t="shared" si="2187"/>
        <v>11.712546896636001</v>
      </c>
      <c r="R2078" s="1921" t="s">
        <v>495</v>
      </c>
      <c r="S2078" s="1644">
        <f>ROUND($D2078*K2078/100,0)</f>
        <v>64505</v>
      </c>
      <c r="T2078" s="1648"/>
      <c r="U2078" s="1644">
        <f>ROUND($D2078*M2078/100,0)</f>
        <v>141846</v>
      </c>
      <c r="V2078" s="1648"/>
      <c r="W2078" s="1644">
        <f>ROUND($D2078*O2078/100,0)</f>
        <v>50603</v>
      </c>
      <c r="X2078" s="1648"/>
      <c r="Y2078" s="1644">
        <f>ROUND($D2078*Q2078/100,0)</f>
        <v>256955</v>
      </c>
    </row>
    <row r="2079" spans="1:28">
      <c r="A2079" s="1900" t="s">
        <v>1657</v>
      </c>
      <c r="C2079" s="528">
        <f t="shared" ref="C2079:D2079" si="2212">C2101+C2123+C2145</f>
        <v>1460637.2809257735</v>
      </c>
      <c r="D2079" s="528">
        <f t="shared" si="2212"/>
        <v>2240351</v>
      </c>
      <c r="F2079" s="1943"/>
      <c r="G2079" s="1921"/>
      <c r="H2079" s="1644"/>
      <c r="I2079" s="1644"/>
      <c r="K2079" s="1943">
        <f t="shared" ref="K2079" si="2213">K1983</f>
        <v>2.9403000000000001</v>
      </c>
      <c r="L2079" s="1921" t="s">
        <v>495</v>
      </c>
      <c r="M2079" s="1943">
        <f t="shared" ref="M2079" si="2214">M1983</f>
        <v>1.310346896636001</v>
      </c>
      <c r="N2079" s="1921" t="s">
        <v>495</v>
      </c>
      <c r="O2079" s="1943">
        <f t="shared" ref="O2079" si="2215">O1983</f>
        <v>2.3066</v>
      </c>
      <c r="P2079" s="1921" t="s">
        <v>495</v>
      </c>
      <c r="Q2079" s="1943">
        <f t="shared" si="2187"/>
        <v>6.5572468966360011</v>
      </c>
      <c r="R2079" s="1921" t="s">
        <v>495</v>
      </c>
      <c r="S2079" s="1644">
        <f t="shared" ref="S2079:S2081" si="2216">ROUND($D2079*K2079/100,0)</f>
        <v>65873</v>
      </c>
      <c r="T2079" s="1648"/>
      <c r="U2079" s="1644">
        <f t="shared" ref="U2079:U2081" si="2217">ROUND($D2079*M2079/100,0)</f>
        <v>29356</v>
      </c>
      <c r="V2079" s="1648"/>
      <c r="W2079" s="1644">
        <f t="shared" ref="W2079:W2081" si="2218">ROUND($D2079*O2079/100,0)</f>
        <v>51676</v>
      </c>
      <c r="X2079" s="1648"/>
      <c r="Y2079" s="1644">
        <f t="shared" ref="Y2079:Y2081" si="2219">ROUND($D2079*Q2079/100,0)</f>
        <v>146905</v>
      </c>
    </row>
    <row r="2080" spans="1:28">
      <c r="A2080" s="1900" t="s">
        <v>1658</v>
      </c>
      <c r="C2080" s="528">
        <f t="shared" ref="C2080:D2080" si="2220">C2102+C2124+C2146</f>
        <v>4372182.9192844722</v>
      </c>
      <c r="D2080" s="528">
        <f t="shared" si="2220"/>
        <v>5247056</v>
      </c>
      <c r="F2080" s="1943"/>
      <c r="G2080" s="1921"/>
      <c r="H2080" s="1644"/>
      <c r="I2080" s="1644"/>
      <c r="K2080" s="1943">
        <f t="shared" ref="K2080" si="2221">K1984</f>
        <v>2.9403000000000001</v>
      </c>
      <c r="L2080" s="1921" t="s">
        <v>495</v>
      </c>
      <c r="M2080" s="1943">
        <f t="shared" ref="M2080" si="2222">M1984</f>
        <v>5.3096999999999994</v>
      </c>
      <c r="N2080" s="1921" t="s">
        <v>495</v>
      </c>
      <c r="O2080" s="1943">
        <f t="shared" ref="O2080" si="2223">O1984</f>
        <v>2.1151</v>
      </c>
      <c r="P2080" s="1921" t="s">
        <v>495</v>
      </c>
      <c r="Q2080" s="1943">
        <f t="shared" si="2187"/>
        <v>10.3651</v>
      </c>
      <c r="R2080" s="1921" t="s">
        <v>495</v>
      </c>
      <c r="S2080" s="1644">
        <f t="shared" si="2216"/>
        <v>154279</v>
      </c>
      <c r="T2080" s="1648"/>
      <c r="U2080" s="1644">
        <f t="shared" si="2217"/>
        <v>278603</v>
      </c>
      <c r="V2080" s="1648"/>
      <c r="W2080" s="1644">
        <f t="shared" si="2218"/>
        <v>110980</v>
      </c>
      <c r="X2080" s="1648"/>
      <c r="Y2080" s="1644">
        <f t="shared" si="2219"/>
        <v>543863</v>
      </c>
    </row>
    <row r="2081" spans="1:28">
      <c r="A2081" s="1900" t="s">
        <v>1659</v>
      </c>
      <c r="C2081" s="528">
        <f t="shared" ref="C2081:D2081" si="2224">C2103+C2125+C2147</f>
        <v>3899689.2540909215</v>
      </c>
      <c r="D2081" s="528">
        <f t="shared" si="2224"/>
        <v>4722287</v>
      </c>
      <c r="F2081" s="1943"/>
      <c r="G2081" s="1921"/>
      <c r="H2081" s="1644"/>
      <c r="I2081" s="1644"/>
      <c r="K2081" s="1943">
        <f t="shared" ref="K2081" si="2225">K1985</f>
        <v>2.9403000000000001</v>
      </c>
      <c r="L2081" s="1921" t="s">
        <v>495</v>
      </c>
      <c r="M2081" s="1943">
        <f t="shared" ref="M2081" si="2226">M1985</f>
        <v>0.74750000000000005</v>
      </c>
      <c r="N2081" s="1921" t="s">
        <v>495</v>
      </c>
      <c r="O2081" s="1943">
        <f t="shared" ref="O2081" si="2227">O1985</f>
        <v>2.1151</v>
      </c>
      <c r="P2081" s="1921" t="s">
        <v>495</v>
      </c>
      <c r="Q2081" s="1943">
        <f t="shared" si="2187"/>
        <v>5.8029000000000002</v>
      </c>
      <c r="R2081" s="1921" t="s">
        <v>495</v>
      </c>
      <c r="S2081" s="1644">
        <f t="shared" si="2216"/>
        <v>138849</v>
      </c>
      <c r="T2081" s="1648"/>
      <c r="U2081" s="1644">
        <f t="shared" si="2217"/>
        <v>35299</v>
      </c>
      <c r="V2081" s="1648"/>
      <c r="W2081" s="1644">
        <f t="shared" si="2218"/>
        <v>99881</v>
      </c>
      <c r="X2081" s="1648"/>
      <c r="Y2081" s="1644">
        <f t="shared" si="2219"/>
        <v>274030</v>
      </c>
    </row>
    <row r="2082" spans="1:28">
      <c r="A2082" s="1900" t="s">
        <v>282</v>
      </c>
      <c r="C2082" s="528">
        <f t="shared" ref="C2082" si="2228">C2104+C2126+C2148</f>
        <v>6046.6716763005797</v>
      </c>
      <c r="D2082" s="528">
        <f t="shared" ref="D2082:D2089" si="2229">D2104+D2126+D2148</f>
        <v>7841</v>
      </c>
      <c r="F2082" s="1901">
        <v>8.65</v>
      </c>
      <c r="G2082" s="1902"/>
      <c r="H2082" s="1644">
        <f t="shared" si="2186"/>
        <v>52304</v>
      </c>
      <c r="I2082" s="1644">
        <f t="shared" si="2186"/>
        <v>67825</v>
      </c>
      <c r="K2082" s="1901"/>
      <c r="L2082" s="1902"/>
      <c r="M2082" s="1901"/>
      <c r="N2082" s="1902"/>
      <c r="O2082" s="1901"/>
      <c r="P2082" s="1902"/>
      <c r="Q2082" s="1901"/>
      <c r="R2082" s="1902"/>
      <c r="S2082" s="1645"/>
      <c r="T2082" s="1645"/>
      <c r="U2082" s="1645"/>
      <c r="V2082" s="1645"/>
      <c r="W2082" s="1645"/>
      <c r="X2082" s="1643"/>
      <c r="Y2082" s="1644"/>
    </row>
    <row r="2083" spans="1:28">
      <c r="A2083" s="1900" t="s">
        <v>283</v>
      </c>
      <c r="C2083" s="528">
        <f t="shared" ref="C2083" si="2230">C2105+C2127+C2149</f>
        <v>6681.7310344827556</v>
      </c>
      <c r="D2083" s="528">
        <f t="shared" si="2229"/>
        <v>8766</v>
      </c>
      <c r="F2083" s="1901">
        <v>8.7000000000000011</v>
      </c>
      <c r="G2083" s="1902"/>
      <c r="H2083" s="1644">
        <f t="shared" si="2186"/>
        <v>58131</v>
      </c>
      <c r="I2083" s="1644">
        <f t="shared" si="2186"/>
        <v>76264</v>
      </c>
      <c r="K2083" s="1901"/>
      <c r="L2083" s="1902"/>
      <c r="M2083" s="1901"/>
      <c r="N2083" s="1902"/>
      <c r="O2083" s="1901"/>
      <c r="P2083" s="1902"/>
      <c r="Q2083" s="1901"/>
      <c r="R2083" s="1902"/>
      <c r="S2083" s="1645"/>
      <c r="T2083" s="1645"/>
      <c r="U2083" s="1645"/>
      <c r="V2083" s="1645"/>
      <c r="W2083" s="1645"/>
      <c r="X2083" s="1643"/>
      <c r="Y2083" s="1644"/>
    </row>
    <row r="2084" spans="1:28">
      <c r="A2084" s="1900" t="s">
        <v>261</v>
      </c>
      <c r="C2084" s="528">
        <f t="shared" ref="C2084" si="2231">C2106+C2128+C2150</f>
        <v>0</v>
      </c>
      <c r="D2084" s="528">
        <f t="shared" si="2229"/>
        <v>0</v>
      </c>
      <c r="F2084" s="1901">
        <v>-0.48</v>
      </c>
      <c r="G2084" s="1902"/>
      <c r="H2084" s="1644">
        <f t="shared" si="2186"/>
        <v>0</v>
      </c>
      <c r="I2084" s="1644">
        <f t="shared" si="2186"/>
        <v>0</v>
      </c>
      <c r="K2084" s="1901">
        <f>K1988</f>
        <v>-0.48</v>
      </c>
      <c r="L2084" s="1902"/>
      <c r="M2084" s="1901">
        <f>M1988</f>
        <v>0</v>
      </c>
      <c r="N2084" s="1902"/>
      <c r="O2084" s="1901">
        <f>O1988</f>
        <v>0</v>
      </c>
      <c r="P2084" s="1902"/>
      <c r="Q2084" s="1901">
        <f>Q1988</f>
        <v>-0.48</v>
      </c>
      <c r="R2084" s="1902"/>
      <c r="S2084" s="1644">
        <f t="shared" ref="S2084" si="2232">ROUND($D2084*K2084,0)</f>
        <v>0</v>
      </c>
      <c r="T2084" s="1645"/>
      <c r="U2084" s="1644">
        <f t="shared" ref="U2084" si="2233">ROUND($D2084*M2084,0)</f>
        <v>0</v>
      </c>
      <c r="V2084" s="1645"/>
      <c r="W2084" s="1644">
        <f t="shared" ref="W2084" si="2234">ROUND($D2084*O2084,0)</f>
        <v>0</v>
      </c>
      <c r="X2084" s="1643"/>
      <c r="Y2084" s="1644">
        <f t="shared" ref="Y2084" si="2235">ROUND($D2084*Q2084,0)</f>
        <v>0</v>
      </c>
    </row>
    <row r="2085" spans="1:28">
      <c r="A2085" s="1900" t="s">
        <v>194</v>
      </c>
      <c r="C2085" s="528">
        <f t="shared" ref="C2085" si="2236">C2107+C2129+C2151</f>
        <v>1744090.8515496962</v>
      </c>
      <c r="D2085" s="528">
        <f t="shared" si="2229"/>
        <v>2609824.9420763389</v>
      </c>
      <c r="F2085" s="1926">
        <v>11.733599999999999</v>
      </c>
      <c r="G2085" s="1921" t="s">
        <v>495</v>
      </c>
      <c r="H2085" s="1644">
        <f t="shared" ref="H2085:I2088" si="2237">ROUND($F2085*C2085/100,0)</f>
        <v>204645</v>
      </c>
      <c r="I2085" s="1644">
        <f t="shared" si="2237"/>
        <v>306226</v>
      </c>
      <c r="K2085" s="1926"/>
      <c r="L2085" s="1921"/>
      <c r="M2085" s="1926"/>
      <c r="N2085" s="1921"/>
      <c r="O2085" s="1926"/>
      <c r="P2085" s="1921"/>
      <c r="Q2085" s="1926"/>
      <c r="R2085" s="1921"/>
      <c r="S2085" s="1648"/>
      <c r="T2085" s="1648"/>
      <c r="U2085" s="1648"/>
      <c r="V2085" s="1648"/>
      <c r="W2085" s="1648"/>
      <c r="X2085" s="1648"/>
      <c r="Y2085" s="1644"/>
    </row>
    <row r="2086" spans="1:28">
      <c r="A2086" s="1900" t="s">
        <v>195</v>
      </c>
      <c r="C2086" s="528">
        <f t="shared" ref="C2086" si="2238">C2108+C2130+C2152</f>
        <v>1663397.9178585962</v>
      </c>
      <c r="D2086" s="528">
        <f t="shared" si="2229"/>
        <v>2499478</v>
      </c>
      <c r="F2086" s="1926">
        <v>6.5782999999999996</v>
      </c>
      <c r="G2086" s="1921" t="s">
        <v>495</v>
      </c>
      <c r="H2086" s="1644">
        <f t="shared" si="2237"/>
        <v>109423</v>
      </c>
      <c r="I2086" s="1644">
        <f t="shared" si="2237"/>
        <v>164423</v>
      </c>
      <c r="K2086" s="1926"/>
      <c r="L2086" s="1921"/>
      <c r="M2086" s="1926"/>
      <c r="N2086" s="1921"/>
      <c r="O2086" s="1926"/>
      <c r="P2086" s="1921"/>
      <c r="Q2086" s="1926"/>
      <c r="R2086" s="1921"/>
      <c r="S2086" s="1648"/>
      <c r="T2086" s="1648"/>
      <c r="U2086" s="1648"/>
      <c r="V2086" s="1648"/>
      <c r="W2086" s="1648"/>
      <c r="X2086" s="1648"/>
      <c r="Y2086" s="1644"/>
    </row>
    <row r="2087" spans="1:28">
      <c r="A2087" s="1900" t="s">
        <v>160</v>
      </c>
      <c r="C2087" s="528">
        <f t="shared" ref="C2087" si="2239">C2109+C2131+C2153</f>
        <v>4079347.3934393898</v>
      </c>
      <c r="D2087" s="528">
        <f t="shared" si="2229"/>
        <v>4852798</v>
      </c>
      <c r="F2087" s="1926">
        <v>10.8</v>
      </c>
      <c r="G2087" s="1921" t="s">
        <v>495</v>
      </c>
      <c r="H2087" s="1644">
        <f t="shared" si="2237"/>
        <v>440570</v>
      </c>
      <c r="I2087" s="1644">
        <f t="shared" si="2237"/>
        <v>524102</v>
      </c>
      <c r="K2087" s="1926"/>
      <c r="L2087" s="1921"/>
      <c r="M2087" s="1926"/>
      <c r="N2087" s="1921"/>
      <c r="O2087" s="1926"/>
      <c r="P2087" s="1921"/>
      <c r="Q2087" s="1926"/>
      <c r="R2087" s="1921"/>
      <c r="S2087" s="1648"/>
      <c r="T2087" s="1648"/>
      <c r="U2087" s="1648"/>
      <c r="V2087" s="1648"/>
      <c r="W2087" s="1648"/>
      <c r="X2087" s="1648"/>
      <c r="Y2087" s="1644"/>
    </row>
    <row r="2088" spans="1:28">
      <c r="A2088" s="1900" t="s">
        <v>159</v>
      </c>
      <c r="C2088" s="528">
        <f t="shared" ref="C2088" si="2240">C2110+C2132+C2154</f>
        <v>3696928.6171580991</v>
      </c>
      <c r="D2088" s="528">
        <f t="shared" si="2229"/>
        <v>4441433</v>
      </c>
      <c r="F2088" s="1926">
        <v>6.0567000000000002</v>
      </c>
      <c r="G2088" s="1921" t="s">
        <v>495</v>
      </c>
      <c r="H2088" s="1644">
        <f t="shared" si="2237"/>
        <v>223912</v>
      </c>
      <c r="I2088" s="1644">
        <f t="shared" si="2237"/>
        <v>269004</v>
      </c>
      <c r="K2088" s="1926"/>
      <c r="L2088" s="1921"/>
      <c r="M2088" s="1926"/>
      <c r="N2088" s="1921"/>
      <c r="O2088" s="1926"/>
      <c r="P2088" s="1921"/>
      <c r="Q2088" s="1926"/>
      <c r="R2088" s="1921"/>
      <c r="S2088" s="1648"/>
      <c r="T2088" s="1648"/>
      <c r="U2088" s="1648"/>
      <c r="V2088" s="1648"/>
      <c r="W2088" s="1648"/>
      <c r="X2088" s="1648"/>
      <c r="Y2088" s="1644"/>
    </row>
    <row r="2089" spans="1:28">
      <c r="A2089" s="1900" t="s">
        <v>246</v>
      </c>
      <c r="C2089" s="529">
        <f t="shared" ref="C2089" si="2241">C2111+C2133+C2155</f>
        <v>55962</v>
      </c>
      <c r="D2089" s="529">
        <f t="shared" si="2229"/>
        <v>0</v>
      </c>
      <c r="H2089" s="1030">
        <f>H2111+H2133+H2155</f>
        <v>6730</v>
      </c>
      <c r="I2089" s="1030">
        <f t="shared" ref="I2089" si="2242">I2111+I2133+I2155</f>
        <v>0</v>
      </c>
      <c r="Y2089" s="1030">
        <f t="shared" ref="Y2089" si="2243">Y2111+Y2133+Y2155</f>
        <v>0</v>
      </c>
    </row>
    <row r="2090" spans="1:28">
      <c r="A2090" s="1900" t="s">
        <v>1240</v>
      </c>
      <c r="C2090" s="584"/>
      <c r="D2090" s="584"/>
      <c r="F2090" s="1930">
        <v>-3.3099999999999997E-2</v>
      </c>
      <c r="G2090" s="597"/>
      <c r="H2090" s="1644">
        <f>SUM(H2082:H2083,H2085:H2088)*$F2090</f>
        <v>-36045.4035</v>
      </c>
      <c r="I2090" s="1644">
        <f>SUM(I2082:I2083,I2085:I2088)*$F2090</f>
        <v>-46599.636399999996</v>
      </c>
      <c r="K2090" s="1930"/>
      <c r="L2090" s="597"/>
      <c r="M2090" s="1930"/>
      <c r="N2090" s="597"/>
      <c r="O2090" s="1931" t="str">
        <f>$O$43</f>
        <v>Tax Year 1 (7/1/2021)</v>
      </c>
      <c r="P2090" s="597"/>
      <c r="Q2090" s="1930">
        <f>$AC$1988</f>
        <v>-2.5600000000000001E-2</v>
      </c>
      <c r="R2090" s="597"/>
      <c r="S2090" s="1645"/>
      <c r="T2090" s="1645"/>
      <c r="U2090" s="1645"/>
      <c r="V2090" s="1645"/>
      <c r="W2090" s="1645"/>
      <c r="X2090" s="1645"/>
      <c r="Y2090" s="1644">
        <f>Q2090*SUM(Y2076:Y2081)</f>
        <v>-34800.128000000004</v>
      </c>
    </row>
    <row r="2091" spans="1:28">
      <c r="A2091" s="1900"/>
      <c r="C2091" s="584"/>
      <c r="D2091" s="584"/>
      <c r="F2091" s="1930"/>
      <c r="G2091" s="597"/>
      <c r="H2091" s="1644"/>
      <c r="I2091" s="1644"/>
      <c r="K2091" s="1930"/>
      <c r="L2091" s="597"/>
      <c r="M2091" s="1930"/>
      <c r="N2091" s="597"/>
      <c r="O2091" s="1931" t="str">
        <f>$O$44</f>
        <v>Tax Year 2 (1/1/2022)</v>
      </c>
      <c r="P2091" s="597"/>
      <c r="Q2091" s="1930">
        <f>$AC$1989</f>
        <v>-1.3899999999999999E-2</v>
      </c>
      <c r="R2091" s="597"/>
      <c r="S2091" s="1645"/>
      <c r="T2091" s="1645"/>
      <c r="U2091" s="1645"/>
      <c r="V2091" s="1645"/>
      <c r="W2091" s="1645"/>
      <c r="X2091" s="1645"/>
      <c r="Y2091" s="1644">
        <f>Q2091*SUM(Y2076:Y2081)</f>
        <v>-18895.381999999998</v>
      </c>
    </row>
    <row r="2092" spans="1:28" ht="16.5" thickBot="1">
      <c r="A2092" s="1900" t="s">
        <v>247</v>
      </c>
      <c r="C2092" s="1949">
        <f>SUM(C2085:C2089)</f>
        <v>11239726.780005781</v>
      </c>
      <c r="D2092" s="1949">
        <f>SUM(D2085:D2089)</f>
        <v>14403533.942076338</v>
      </c>
      <c r="F2092" s="1939"/>
      <c r="H2092" s="1647">
        <f>SUM(H2073:H2090)</f>
        <v>1212661.5965</v>
      </c>
      <c r="I2092" s="1647">
        <f>SUM(I2073:I2090)</f>
        <v>1548724.3636</v>
      </c>
      <c r="K2092" s="1939"/>
      <c r="M2092" s="1939"/>
      <c r="O2092" s="1939"/>
      <c r="P2092" s="597"/>
      <c r="Q2092" s="1939"/>
      <c r="R2092" s="597"/>
      <c r="S2092" s="1646">
        <f>SUM(S2073:S2089)</f>
        <v>748613</v>
      </c>
      <c r="T2092" s="1645"/>
      <c r="U2092" s="1646">
        <f>SUM(U2073:U2089)</f>
        <v>485104</v>
      </c>
      <c r="V2092" s="1645"/>
      <c r="W2092" s="1646">
        <f>SUM(W2073:W2089)</f>
        <v>313140</v>
      </c>
      <c r="X2092" s="1645"/>
      <c r="Y2092" s="1646">
        <f>SUM(Y2073:Y2089)</f>
        <v>1546860</v>
      </c>
      <c r="AA2092" s="1104" t="s">
        <v>1743</v>
      </c>
      <c r="AB2092" s="1890">
        <f>Y2092/I2092-1</f>
        <v>-1.2038059475388829E-3</v>
      </c>
    </row>
    <row r="2093" spans="1:28" ht="16.5" hidden="1" thickTop="1">
      <c r="C2093" s="528"/>
      <c r="D2093" s="528"/>
      <c r="O2093" s="596"/>
      <c r="Q2093" s="596"/>
      <c r="Y2093" s="1645"/>
    </row>
    <row r="2094" spans="1:28" hidden="1">
      <c r="A2094" s="1897" t="s">
        <v>1015</v>
      </c>
      <c r="C2094" s="528"/>
      <c r="D2094" s="528"/>
    </row>
    <row r="2095" spans="1:28" hidden="1">
      <c r="A2095" s="1900" t="s">
        <v>240</v>
      </c>
      <c r="C2095" s="528">
        <f>'23'!G30</f>
        <v>5239.5230000000001</v>
      </c>
      <c r="D2095" s="528">
        <f>Bill!P22</f>
        <v>5916</v>
      </c>
      <c r="F2095" s="1944">
        <v>10</v>
      </c>
      <c r="G2095" s="597"/>
      <c r="H2095" s="1644">
        <f t="shared" ref="H2095:I2106" si="2244">ROUND($F2095*C2095,0)</f>
        <v>52395</v>
      </c>
      <c r="I2095" s="1644">
        <f t="shared" si="2244"/>
        <v>59160</v>
      </c>
      <c r="K2095" s="1944">
        <f>K2073</f>
        <v>10</v>
      </c>
      <c r="L2095" s="597"/>
      <c r="M2095" s="1944">
        <f>M2073</f>
        <v>0</v>
      </c>
      <c r="N2095" s="597"/>
      <c r="O2095" s="1944">
        <f>O2073</f>
        <v>0</v>
      </c>
      <c r="P2095" s="597"/>
      <c r="Q2095" s="1944">
        <f t="shared" ref="Q2095:Q2103" si="2245">Q2073</f>
        <v>10</v>
      </c>
      <c r="R2095" s="597"/>
      <c r="S2095" s="1644">
        <f t="shared" ref="S2095:S2099" si="2246">ROUND($D2095*K2095,0)</f>
        <v>59160</v>
      </c>
      <c r="T2095" s="1645"/>
      <c r="U2095" s="1644">
        <f t="shared" ref="U2095:U2099" si="2247">ROUND($D2095*M2095,0)</f>
        <v>0</v>
      </c>
      <c r="V2095" s="1645"/>
      <c r="W2095" s="1644">
        <f t="shared" ref="W2095:W2099" si="2248">ROUND($D2095*O2095,0)</f>
        <v>0</v>
      </c>
      <c r="X2095" s="1645"/>
      <c r="Y2095" s="1644">
        <f>ROUND($D2095*Q2095,0)</f>
        <v>59160</v>
      </c>
    </row>
    <row r="2096" spans="1:28" hidden="1">
      <c r="A2096" s="1900" t="s">
        <v>262</v>
      </c>
      <c r="C2096" s="528">
        <v>0</v>
      </c>
      <c r="D2096" s="528">
        <f>ROUND(C2096/C2095*D2095,0)</f>
        <v>0</v>
      </c>
      <c r="F2096" s="1944">
        <v>120</v>
      </c>
      <c r="G2096" s="597"/>
      <c r="H2096" s="1644">
        <f t="shared" si="2244"/>
        <v>0</v>
      </c>
      <c r="I2096" s="1644">
        <f t="shared" si="2244"/>
        <v>0</v>
      </c>
      <c r="K2096" s="1944">
        <f t="shared" ref="K2096" si="2249">K2074</f>
        <v>117</v>
      </c>
      <c r="L2096" s="597"/>
      <c r="M2096" s="1944">
        <f t="shared" ref="M2096" si="2250">M2074</f>
        <v>0</v>
      </c>
      <c r="N2096" s="597"/>
      <c r="O2096" s="1944">
        <f t="shared" ref="O2096" si="2251">O2074</f>
        <v>0</v>
      </c>
      <c r="P2096" s="597"/>
      <c r="Q2096" s="1944">
        <f t="shared" si="2245"/>
        <v>117</v>
      </c>
      <c r="R2096" s="597"/>
      <c r="S2096" s="1644">
        <f t="shared" si="2246"/>
        <v>0</v>
      </c>
      <c r="T2096" s="1645"/>
      <c r="U2096" s="1644">
        <f t="shared" si="2247"/>
        <v>0</v>
      </c>
      <c r="V2096" s="1645"/>
      <c r="W2096" s="1644">
        <f t="shared" si="2248"/>
        <v>0</v>
      </c>
      <c r="X2096" s="1645"/>
      <c r="Y2096" s="1644">
        <f t="shared" ref="Y2096:Y2099" si="2252">ROUND($D2096*Q2096,0)</f>
        <v>0</v>
      </c>
    </row>
    <row r="2097" spans="1:25" hidden="1">
      <c r="A2097" s="1900" t="s">
        <v>1298</v>
      </c>
      <c r="C2097" s="528">
        <f>'23'!AH30</f>
        <v>0</v>
      </c>
      <c r="D2097" s="528">
        <f>ROUND(C2097/C2095*D2095,0)</f>
        <v>0</v>
      </c>
      <c r="F2097" s="1944">
        <v>10</v>
      </c>
      <c r="G2097" s="597"/>
      <c r="H2097" s="1644">
        <f t="shared" si="2244"/>
        <v>0</v>
      </c>
      <c r="I2097" s="1644">
        <f t="shared" si="2244"/>
        <v>0</v>
      </c>
      <c r="K2097" s="1944">
        <f t="shared" ref="K2097" si="2253">K2075</f>
        <v>10</v>
      </c>
      <c r="L2097" s="597"/>
      <c r="M2097" s="1944">
        <f t="shared" ref="M2097" si="2254">M2075</f>
        <v>0</v>
      </c>
      <c r="N2097" s="597"/>
      <c r="O2097" s="1944">
        <f t="shared" ref="O2097" si="2255">O2075</f>
        <v>0</v>
      </c>
      <c r="P2097" s="597"/>
      <c r="Q2097" s="1944">
        <f t="shared" si="2245"/>
        <v>10</v>
      </c>
      <c r="R2097" s="597"/>
      <c r="S2097" s="1644">
        <f t="shared" si="2246"/>
        <v>0</v>
      </c>
      <c r="T2097" s="1645"/>
      <c r="U2097" s="1644">
        <f t="shared" si="2247"/>
        <v>0</v>
      </c>
      <c r="V2097" s="1645"/>
      <c r="W2097" s="1644">
        <f t="shared" si="2248"/>
        <v>0</v>
      </c>
      <c r="X2097" s="1645"/>
      <c r="Y2097" s="1644">
        <f t="shared" si="2252"/>
        <v>0</v>
      </c>
    </row>
    <row r="2098" spans="1:25" hidden="1">
      <c r="A2098" s="1900" t="s">
        <v>1654</v>
      </c>
      <c r="C2098" s="528">
        <f>'23'!I30+'23-may'!I30</f>
        <v>222.12270686046583</v>
      </c>
      <c r="D2098" s="528">
        <f>ROUND(C2098/C2114*D2114,0)</f>
        <v>270</v>
      </c>
      <c r="F2098" s="1944"/>
      <c r="G2098" s="597"/>
      <c r="H2098" s="1644"/>
      <c r="I2098" s="1644"/>
      <c r="K2098" s="1944">
        <f t="shared" ref="K2098" si="2256">K2076</f>
        <v>8.89</v>
      </c>
      <c r="L2098" s="597"/>
      <c r="M2098" s="1944">
        <f t="shared" ref="M2098" si="2257">M2076</f>
        <v>0</v>
      </c>
      <c r="N2098" s="597"/>
      <c r="O2098" s="1944">
        <f t="shared" ref="O2098" si="2258">O2076</f>
        <v>0</v>
      </c>
      <c r="P2098" s="597"/>
      <c r="Q2098" s="1944">
        <f t="shared" si="2245"/>
        <v>8.89</v>
      </c>
      <c r="R2098" s="597"/>
      <c r="S2098" s="1644">
        <f t="shared" si="2246"/>
        <v>2400</v>
      </c>
      <c r="T2098" s="1645"/>
      <c r="U2098" s="1644">
        <f t="shared" si="2247"/>
        <v>0</v>
      </c>
      <c r="V2098" s="1645"/>
      <c r="W2098" s="1644">
        <f t="shared" si="2248"/>
        <v>0</v>
      </c>
      <c r="X2098" s="1645"/>
      <c r="Y2098" s="1644">
        <f t="shared" si="2252"/>
        <v>2400</v>
      </c>
    </row>
    <row r="2099" spans="1:25" hidden="1">
      <c r="A2099" s="1900" t="s">
        <v>1655</v>
      </c>
      <c r="C2099" s="528">
        <f>'23'!J30+'23-may'!J30</f>
        <v>133.7447637394952</v>
      </c>
      <c r="D2099" s="528">
        <f>ROUND(C2099/C2114*D2114,0)</f>
        <v>162</v>
      </c>
      <c r="F2099" s="1944"/>
      <c r="G2099" s="597"/>
      <c r="H2099" s="1644"/>
      <c r="I2099" s="1644"/>
      <c r="K2099" s="1944">
        <f t="shared" ref="K2099" si="2259">K2077</f>
        <v>7.87</v>
      </c>
      <c r="L2099" s="597"/>
      <c r="M2099" s="1944">
        <f t="shared" ref="M2099" si="2260">M2077</f>
        <v>0</v>
      </c>
      <c r="N2099" s="597"/>
      <c r="O2099" s="1944">
        <f t="shared" ref="O2099" si="2261">O2077</f>
        <v>0</v>
      </c>
      <c r="P2099" s="597"/>
      <c r="Q2099" s="1944">
        <f t="shared" si="2245"/>
        <v>7.87</v>
      </c>
      <c r="R2099" s="597"/>
      <c r="S2099" s="1644">
        <f t="shared" si="2246"/>
        <v>1275</v>
      </c>
      <c r="T2099" s="1645"/>
      <c r="U2099" s="1644">
        <f t="shared" si="2247"/>
        <v>0</v>
      </c>
      <c r="V2099" s="1645"/>
      <c r="W2099" s="1644">
        <f t="shared" si="2248"/>
        <v>0</v>
      </c>
      <c r="X2099" s="1645"/>
      <c r="Y2099" s="1644">
        <f t="shared" si="2252"/>
        <v>1275</v>
      </c>
    </row>
    <row r="2100" spans="1:25" hidden="1">
      <c r="A2100" s="1900" t="s">
        <v>1656</v>
      </c>
      <c r="C2100" s="528">
        <f>'23'!N30+TempRevMay!M327+'23-may'!N30</f>
        <v>95962.379692517949</v>
      </c>
      <c r="D2100" s="528">
        <f>D2114-SUM(D2101:E2103)</f>
        <v>307704.4796706466</v>
      </c>
      <c r="F2100" s="1943"/>
      <c r="G2100" s="1921"/>
      <c r="H2100" s="1644"/>
      <c r="I2100" s="1644"/>
      <c r="K2100" s="1943">
        <f t="shared" ref="K2100" si="2262">K2078</f>
        <v>2.9403000000000001</v>
      </c>
      <c r="L2100" s="1921" t="s">
        <v>495</v>
      </c>
      <c r="M2100" s="1943">
        <f t="shared" ref="M2100" si="2263">M2078</f>
        <v>6.4656468966360006</v>
      </c>
      <c r="N2100" s="1921" t="s">
        <v>495</v>
      </c>
      <c r="O2100" s="1943">
        <f t="shared" ref="O2100" si="2264">O2078</f>
        <v>2.3066</v>
      </c>
      <c r="P2100" s="1921" t="s">
        <v>495</v>
      </c>
      <c r="Q2100" s="1943">
        <f t="shared" si="2245"/>
        <v>11.712546896636001</v>
      </c>
      <c r="R2100" s="1921" t="s">
        <v>495</v>
      </c>
      <c r="S2100" s="1644">
        <f>ROUND($D2100*K2100/100,0)</f>
        <v>9047</v>
      </c>
      <c r="T2100" s="1648"/>
      <c r="U2100" s="1644">
        <f>ROUND($D2100*M2100/100,0)</f>
        <v>19895</v>
      </c>
      <c r="V2100" s="1648"/>
      <c r="W2100" s="1644">
        <f>ROUND($D2100*O2100/100,0)</f>
        <v>7098</v>
      </c>
      <c r="X2100" s="1648"/>
      <c r="Y2100" s="1644">
        <f>ROUND($D2100*Q2100/100,0)</f>
        <v>36040</v>
      </c>
    </row>
    <row r="2101" spans="1:25" hidden="1">
      <c r="A2101" s="1900" t="s">
        <v>1657</v>
      </c>
      <c r="C2101" s="528">
        <f>'23'!O30+TempRevMay!M328+'23-may'!O30</f>
        <v>119917.48926069601</v>
      </c>
      <c r="D2101" s="528">
        <f>ROUND(C2101/(C2100+C2101)*Energy!S22,0)</f>
        <v>384516</v>
      </c>
      <c r="F2101" s="1943"/>
      <c r="G2101" s="1921"/>
      <c r="H2101" s="1644"/>
      <c r="I2101" s="1644"/>
      <c r="K2101" s="1943">
        <f t="shared" ref="K2101" si="2265">K2079</f>
        <v>2.9403000000000001</v>
      </c>
      <c r="L2101" s="1921" t="s">
        <v>495</v>
      </c>
      <c r="M2101" s="1943">
        <f t="shared" ref="M2101" si="2266">M2079</f>
        <v>1.310346896636001</v>
      </c>
      <c r="N2101" s="1921" t="s">
        <v>495</v>
      </c>
      <c r="O2101" s="1943">
        <f t="shared" ref="O2101" si="2267">O2079</f>
        <v>2.3066</v>
      </c>
      <c r="P2101" s="1921" t="s">
        <v>495</v>
      </c>
      <c r="Q2101" s="1943">
        <f t="shared" si="2245"/>
        <v>6.5572468966360011</v>
      </c>
      <c r="R2101" s="1921" t="s">
        <v>495</v>
      </c>
      <c r="S2101" s="1644">
        <f t="shared" ref="S2101:S2103" si="2268">ROUND($D2101*K2101/100,0)</f>
        <v>11306</v>
      </c>
      <c r="T2101" s="1648"/>
      <c r="U2101" s="1644">
        <f t="shared" ref="U2101:U2103" si="2269">ROUND($D2101*M2101/100,0)</f>
        <v>5038</v>
      </c>
      <c r="V2101" s="1648"/>
      <c r="W2101" s="1644">
        <f t="shared" ref="W2101:W2103" si="2270">ROUND($D2101*O2101/100,0)</f>
        <v>8869</v>
      </c>
      <c r="X2101" s="1648"/>
      <c r="Y2101" s="1644">
        <f t="shared" ref="Y2101:Y2103" si="2271">ROUND($D2101*Q2101/100,0)</f>
        <v>25214</v>
      </c>
    </row>
    <row r="2102" spans="1:25" hidden="1">
      <c r="A2102" s="1900" t="s">
        <v>1658</v>
      </c>
      <c r="C2102" s="528">
        <f>'23'!Q30+TempRevMay!M329+'23-may'!Q30</f>
        <v>617433.80018048012</v>
      </c>
      <c r="D2102" s="528">
        <f>ROUND(C2102/(C2102+C2103)*Energy!T22,0)</f>
        <v>504602</v>
      </c>
      <c r="F2102" s="1943"/>
      <c r="G2102" s="1921"/>
      <c r="H2102" s="1644"/>
      <c r="I2102" s="1644"/>
      <c r="K2102" s="1943">
        <f t="shared" ref="K2102" si="2272">K2080</f>
        <v>2.9403000000000001</v>
      </c>
      <c r="L2102" s="1921" t="s">
        <v>495</v>
      </c>
      <c r="M2102" s="1943">
        <f t="shared" ref="M2102" si="2273">M2080</f>
        <v>5.3096999999999994</v>
      </c>
      <c r="N2102" s="1921" t="s">
        <v>495</v>
      </c>
      <c r="O2102" s="1943">
        <f t="shared" ref="O2102" si="2274">O2080</f>
        <v>2.1151</v>
      </c>
      <c r="P2102" s="1921" t="s">
        <v>495</v>
      </c>
      <c r="Q2102" s="1943">
        <f t="shared" si="2245"/>
        <v>10.3651</v>
      </c>
      <c r="R2102" s="1921" t="s">
        <v>495</v>
      </c>
      <c r="S2102" s="1644">
        <f t="shared" si="2268"/>
        <v>14837</v>
      </c>
      <c r="T2102" s="1648"/>
      <c r="U2102" s="1644">
        <f t="shared" si="2269"/>
        <v>26793</v>
      </c>
      <c r="V2102" s="1648"/>
      <c r="W2102" s="1644">
        <f t="shared" si="2270"/>
        <v>10673</v>
      </c>
      <c r="X2102" s="1648"/>
      <c r="Y2102" s="1644">
        <f t="shared" si="2271"/>
        <v>52303</v>
      </c>
    </row>
    <row r="2103" spans="1:25" hidden="1">
      <c r="A2103" s="1900" t="s">
        <v>1659</v>
      </c>
      <c r="C2103" s="528">
        <f>'23'!R30+TempRevMay!M330+'23-may'!R30</f>
        <v>443581.35034659156</v>
      </c>
      <c r="D2103" s="528">
        <f>ROUND(C2103/(C2102+C2103)*Energy!T22,0)</f>
        <v>362520</v>
      </c>
      <c r="F2103" s="1943"/>
      <c r="G2103" s="1921"/>
      <c r="H2103" s="1644"/>
      <c r="I2103" s="1644"/>
      <c r="K2103" s="1943">
        <f t="shared" ref="K2103" si="2275">K2081</f>
        <v>2.9403000000000001</v>
      </c>
      <c r="L2103" s="1921" t="s">
        <v>495</v>
      </c>
      <c r="M2103" s="1943">
        <f t="shared" ref="M2103" si="2276">M2081</f>
        <v>0.74750000000000005</v>
      </c>
      <c r="N2103" s="1921" t="s">
        <v>495</v>
      </c>
      <c r="O2103" s="1943">
        <f t="shared" ref="O2103" si="2277">O2081</f>
        <v>2.1151</v>
      </c>
      <c r="P2103" s="1921" t="s">
        <v>495</v>
      </c>
      <c r="Q2103" s="1943">
        <f t="shared" si="2245"/>
        <v>5.8029000000000002</v>
      </c>
      <c r="R2103" s="1921" t="s">
        <v>495</v>
      </c>
      <c r="S2103" s="1644">
        <f t="shared" si="2268"/>
        <v>10659</v>
      </c>
      <c r="T2103" s="1648"/>
      <c r="U2103" s="1644">
        <f t="shared" si="2269"/>
        <v>2710</v>
      </c>
      <c r="V2103" s="1648"/>
      <c r="W2103" s="1644">
        <f t="shared" si="2270"/>
        <v>7668</v>
      </c>
      <c r="X2103" s="1648"/>
      <c r="Y2103" s="1644">
        <f t="shared" si="2271"/>
        <v>21037</v>
      </c>
    </row>
    <row r="2104" spans="1:25" hidden="1">
      <c r="A2104" s="1900" t="s">
        <v>282</v>
      </c>
      <c r="C2104" s="528">
        <f>'23'!I30</f>
        <v>254.33988439306401</v>
      </c>
      <c r="D2104" s="528">
        <f>ROUND(C2104/C2114*D2114,0)</f>
        <v>309</v>
      </c>
      <c r="F2104" s="1944">
        <v>8.65</v>
      </c>
      <c r="G2104" s="597"/>
      <c r="H2104" s="1644">
        <f t="shared" si="2244"/>
        <v>2200</v>
      </c>
      <c r="I2104" s="1644">
        <f t="shared" si="2244"/>
        <v>2673</v>
      </c>
      <c r="K2104" s="1944"/>
      <c r="L2104" s="597"/>
      <c r="M2104" s="1944"/>
      <c r="N2104" s="597"/>
      <c r="O2104" s="1944"/>
      <c r="P2104" s="597"/>
      <c r="Q2104" s="1944"/>
      <c r="R2104" s="597"/>
      <c r="S2104" s="1645"/>
      <c r="T2104" s="1645"/>
      <c r="U2104" s="1645"/>
      <c r="V2104" s="1645"/>
      <c r="W2104" s="1645"/>
      <c r="X2104" s="1645"/>
      <c r="Y2104" s="1644"/>
    </row>
    <row r="2105" spans="1:25" hidden="1">
      <c r="A2105" s="1900" t="s">
        <v>283</v>
      </c>
      <c r="C2105" s="528">
        <f>'23'!J30</f>
        <v>101.527586206897</v>
      </c>
      <c r="D2105" s="528">
        <f>ROUND(C2105/C2114*D2114,0)</f>
        <v>123</v>
      </c>
      <c r="F2105" s="1944">
        <v>8.7000000000000011</v>
      </c>
      <c r="G2105" s="597"/>
      <c r="H2105" s="1644">
        <f t="shared" si="2244"/>
        <v>883</v>
      </c>
      <c r="I2105" s="1644">
        <f t="shared" si="2244"/>
        <v>1070</v>
      </c>
      <c r="K2105" s="1944"/>
      <c r="L2105" s="597"/>
      <c r="M2105" s="1944"/>
      <c r="N2105" s="597"/>
      <c r="O2105" s="1944"/>
      <c r="P2105" s="597"/>
      <c r="Q2105" s="1944"/>
      <c r="R2105" s="597"/>
      <c r="S2105" s="1645"/>
      <c r="T2105" s="1645"/>
      <c r="U2105" s="1645"/>
      <c r="V2105" s="1645"/>
      <c r="W2105" s="1645"/>
      <c r="X2105" s="1645"/>
      <c r="Y2105" s="1644"/>
    </row>
    <row r="2106" spans="1:25" hidden="1">
      <c r="A2106" s="1900" t="s">
        <v>261</v>
      </c>
      <c r="C2106" s="528">
        <f>'23'!K30</f>
        <v>0</v>
      </c>
      <c r="D2106" s="528">
        <f>ROUND(C2106/C2114*D2114,0)</f>
        <v>0</v>
      </c>
      <c r="F2106" s="1944">
        <v>-0.48</v>
      </c>
      <c r="G2106" s="597"/>
      <c r="H2106" s="1644">
        <f t="shared" si="2244"/>
        <v>0</v>
      </c>
      <c r="I2106" s="1644">
        <f t="shared" si="2244"/>
        <v>0</v>
      </c>
      <c r="K2106" s="1944">
        <f>K2084</f>
        <v>-0.48</v>
      </c>
      <c r="L2106" s="597"/>
      <c r="M2106" s="1944">
        <f>M2084</f>
        <v>0</v>
      </c>
      <c r="N2106" s="597"/>
      <c r="O2106" s="1944">
        <f>O2084</f>
        <v>0</v>
      </c>
      <c r="P2106" s="597"/>
      <c r="Q2106" s="1944">
        <f>Q2084</f>
        <v>-0.48</v>
      </c>
      <c r="R2106" s="597"/>
      <c r="S2106" s="1644">
        <f t="shared" ref="S2106" si="2278">ROUND($D2106*K2106,0)</f>
        <v>0</v>
      </c>
      <c r="T2106" s="1645"/>
      <c r="U2106" s="1644">
        <f t="shared" ref="U2106" si="2279">ROUND($D2106*M2106,0)</f>
        <v>0</v>
      </c>
      <c r="V2106" s="1645"/>
      <c r="W2106" s="1644">
        <f t="shared" ref="W2106" si="2280">ROUND($D2106*O2106,0)</f>
        <v>0</v>
      </c>
      <c r="X2106" s="1645"/>
      <c r="Y2106" s="1644">
        <f t="shared" ref="Y2106" si="2281">ROUND($D2106*Q2106,0)</f>
        <v>0</v>
      </c>
    </row>
    <row r="2107" spans="1:25" hidden="1">
      <c r="A2107" s="1900" t="s">
        <v>194</v>
      </c>
      <c r="C2107" s="528">
        <f>'23'!N30+TempRev!M327</f>
        <v>125921.47732123558</v>
      </c>
      <c r="D2107" s="528">
        <f>D2114-SUM(D2108:D2111)</f>
        <v>347753.4796706466</v>
      </c>
      <c r="F2107" s="1943">
        <v>11.733599999999999</v>
      </c>
      <c r="G2107" s="1921" t="s">
        <v>495</v>
      </c>
      <c r="H2107" s="1644">
        <f t="shared" ref="H2107:I2110" si="2282">ROUND($F2107*C2107/100,0)</f>
        <v>14775</v>
      </c>
      <c r="I2107" s="1644">
        <f t="shared" si="2282"/>
        <v>40804</v>
      </c>
      <c r="K2107" s="1943"/>
      <c r="L2107" s="1921"/>
      <c r="M2107" s="1943"/>
      <c r="N2107" s="1921"/>
      <c r="O2107" s="1943"/>
      <c r="P2107" s="1921"/>
      <c r="Q2107" s="1943"/>
      <c r="R2107" s="1921"/>
      <c r="S2107" s="1648"/>
      <c r="T2107" s="1648"/>
      <c r="U2107" s="1648"/>
      <c r="V2107" s="1648"/>
      <c r="W2107" s="1648"/>
      <c r="X2107" s="1648"/>
      <c r="Y2107" s="1644"/>
    </row>
    <row r="2108" spans="1:25" hidden="1">
      <c r="A2108" s="1900" t="s">
        <v>195</v>
      </c>
      <c r="C2108" s="528">
        <f>'23'!O30+TempRev!M328</f>
        <v>139631.38660678506</v>
      </c>
      <c r="D2108" s="528">
        <f>ROUND(C2108/(C2107+C2108)*Energy!Q22,0)</f>
        <v>385615</v>
      </c>
      <c r="F2108" s="1943">
        <v>6.5782999999999996</v>
      </c>
      <c r="G2108" s="1921" t="s">
        <v>495</v>
      </c>
      <c r="H2108" s="1644">
        <f t="shared" si="2282"/>
        <v>9185</v>
      </c>
      <c r="I2108" s="1644">
        <f t="shared" si="2282"/>
        <v>25367</v>
      </c>
      <c r="K2108" s="1943"/>
      <c r="L2108" s="1921"/>
      <c r="M2108" s="1943"/>
      <c r="N2108" s="1921"/>
      <c r="O2108" s="1943"/>
      <c r="P2108" s="1921"/>
      <c r="Q2108" s="1943"/>
      <c r="R2108" s="1921"/>
      <c r="S2108" s="1648"/>
      <c r="T2108" s="1648"/>
      <c r="U2108" s="1648"/>
      <c r="V2108" s="1648"/>
      <c r="W2108" s="1648"/>
      <c r="X2108" s="1648"/>
      <c r="Y2108" s="1644"/>
    </row>
    <row r="2109" spans="1:25" hidden="1">
      <c r="A2109" s="1900" t="s">
        <v>160</v>
      </c>
      <c r="C2109" s="528">
        <f>'23'!Q30+TempRev!M329</f>
        <v>587474.70255176246</v>
      </c>
      <c r="D2109" s="528">
        <f>ROUND(C2109/(C2109+C2110)*Energy!R22,0)</f>
        <v>479797</v>
      </c>
      <c r="F2109" s="1943">
        <v>10.8</v>
      </c>
      <c r="G2109" s="1921" t="s">
        <v>495</v>
      </c>
      <c r="H2109" s="1644">
        <f t="shared" si="2282"/>
        <v>63447</v>
      </c>
      <c r="I2109" s="1644">
        <f t="shared" si="2282"/>
        <v>51818</v>
      </c>
      <c r="K2109" s="1943"/>
      <c r="L2109" s="1921"/>
      <c r="M2109" s="1943"/>
      <c r="N2109" s="1921"/>
      <c r="O2109" s="1943"/>
      <c r="P2109" s="1921"/>
      <c r="Q2109" s="1943"/>
      <c r="R2109" s="1921"/>
      <c r="S2109" s="1648"/>
      <c r="T2109" s="1648"/>
      <c r="U2109" s="1648"/>
      <c r="V2109" s="1648"/>
      <c r="W2109" s="1648"/>
      <c r="X2109" s="1648"/>
      <c r="Y2109" s="1644"/>
    </row>
    <row r="2110" spans="1:25" hidden="1">
      <c r="A2110" s="1900" t="s">
        <v>159</v>
      </c>
      <c r="C2110" s="528">
        <f>'23'!R30+TempRev!M330</f>
        <v>423867.45300050249</v>
      </c>
      <c r="D2110" s="528">
        <f>ROUND(C2110/(C2109+C2110)*Energy!R22,0)</f>
        <v>346177</v>
      </c>
      <c r="F2110" s="1943">
        <v>6.0567000000000002</v>
      </c>
      <c r="G2110" s="1921" t="s">
        <v>495</v>
      </c>
      <c r="H2110" s="1644">
        <f t="shared" si="2282"/>
        <v>25672</v>
      </c>
      <c r="I2110" s="1644">
        <f t="shared" si="2282"/>
        <v>20967</v>
      </c>
      <c r="K2110" s="1943"/>
      <c r="L2110" s="1921"/>
      <c r="M2110" s="1943"/>
      <c r="N2110" s="1921"/>
      <c r="O2110" s="1943"/>
      <c r="P2110" s="1921"/>
      <c r="Q2110" s="1943"/>
      <c r="R2110" s="1921"/>
      <c r="S2110" s="1648"/>
      <c r="T2110" s="1648"/>
      <c r="U2110" s="1648"/>
      <c r="V2110" s="1648"/>
      <c r="W2110" s="1648"/>
      <c r="X2110" s="1648"/>
      <c r="Y2110" s="1644"/>
    </row>
    <row r="2111" spans="1:25" hidden="1">
      <c r="A2111" s="1900" t="s">
        <v>246</v>
      </c>
      <c r="C2111" s="529">
        <f>'Table 2'!J26</f>
        <v>7239</v>
      </c>
      <c r="D2111" s="529">
        <v>0</v>
      </c>
      <c r="H2111" s="1030">
        <f>'Table 3'!F26</f>
        <v>1014</v>
      </c>
      <c r="I2111" s="1030">
        <v>0</v>
      </c>
      <c r="Y2111" s="1030">
        <v>0</v>
      </c>
    </row>
    <row r="2112" spans="1:25" hidden="1">
      <c r="A2112" s="1900" t="s">
        <v>1240</v>
      </c>
      <c r="C2112" s="584"/>
      <c r="D2112" s="584"/>
      <c r="F2112" s="1930">
        <v>-3.3099999999999997E-2</v>
      </c>
      <c r="G2112" s="597"/>
      <c r="H2112" s="1644">
        <f>SUM(H2104:H2105,H2107:H2110)*$F2112</f>
        <v>-3844.9621999999995</v>
      </c>
      <c r="I2112" s="1644">
        <f>SUM(I2104:I2105,I2107:I2110)*$F2112</f>
        <v>-4723.3368999999993</v>
      </c>
      <c r="K2112" s="1930"/>
      <c r="L2112" s="597"/>
      <c r="M2112" s="1930"/>
      <c r="N2112" s="597"/>
      <c r="O2112" s="1931" t="str">
        <f>$O$43</f>
        <v>Tax Year 1 (7/1/2021)</v>
      </c>
      <c r="P2112" s="597"/>
      <c r="Q2112" s="1930">
        <f>$AC$1988</f>
        <v>-2.5600000000000001E-2</v>
      </c>
      <c r="R2112" s="597"/>
      <c r="S2112" s="1645"/>
      <c r="T2112" s="1645"/>
      <c r="U2112" s="1645"/>
      <c r="V2112" s="1645"/>
      <c r="W2112" s="1645"/>
      <c r="X2112" s="1645"/>
      <c r="Y2112" s="1644">
        <f>Q2112*SUM(Y2098:Y2103)</f>
        <v>-3539.6864</v>
      </c>
    </row>
    <row r="2113" spans="1:28" hidden="1">
      <c r="A2113" s="1900"/>
      <c r="C2113" s="584"/>
      <c r="D2113" s="584"/>
      <c r="F2113" s="1930"/>
      <c r="G2113" s="597"/>
      <c r="H2113" s="1644"/>
      <c r="I2113" s="1644"/>
      <c r="K2113" s="1930"/>
      <c r="L2113" s="597"/>
      <c r="M2113" s="1930"/>
      <c r="N2113" s="597"/>
      <c r="O2113" s="1931" t="str">
        <f>$O$44</f>
        <v>Tax Year 2 (1/1/2022)</v>
      </c>
      <c r="P2113" s="597"/>
      <c r="Q2113" s="1930">
        <f>$AC$1989</f>
        <v>-1.3899999999999999E-2</v>
      </c>
      <c r="R2113" s="597"/>
      <c r="S2113" s="1645"/>
      <c r="T2113" s="1645"/>
      <c r="U2113" s="1645"/>
      <c r="V2113" s="1645"/>
      <c r="W2113" s="1645"/>
      <c r="X2113" s="1645"/>
      <c r="Y2113" s="1644">
        <f>Q2113*SUM(Y2098:Y2103)</f>
        <v>-1921.9390999999998</v>
      </c>
    </row>
    <row r="2114" spans="1:28" ht="16.5" hidden="1" thickBot="1">
      <c r="A2114" s="1900" t="s">
        <v>247</v>
      </c>
      <c r="C2114" s="1949">
        <f>SUM(C2107:C2110,C2111)</f>
        <v>1284134.0194802855</v>
      </c>
      <c r="D2114" s="1949">
        <f>Energy!P22</f>
        <v>1559342.4796706466</v>
      </c>
      <c r="F2114" s="1939"/>
      <c r="H2114" s="1647">
        <f>SUM(H2095:H2112)</f>
        <v>165726.03779999999</v>
      </c>
      <c r="I2114" s="1647">
        <f>SUM(I2095:I2112)</f>
        <v>197135.66310000001</v>
      </c>
      <c r="K2114" s="1939"/>
      <c r="M2114" s="1939"/>
      <c r="O2114" s="1939"/>
      <c r="P2114" s="597"/>
      <c r="Q2114" s="1939"/>
      <c r="R2114" s="597"/>
      <c r="S2114" s="1646">
        <f>SUM(S2095:S2111)</f>
        <v>108684</v>
      </c>
      <c r="T2114" s="1645"/>
      <c r="U2114" s="1646">
        <f>SUM(U2095:U2111)</f>
        <v>54436</v>
      </c>
      <c r="V2114" s="1645"/>
      <c r="W2114" s="1646">
        <f>SUM(W2095:W2111)</f>
        <v>34308</v>
      </c>
      <c r="X2114" s="1645"/>
      <c r="Y2114" s="1646">
        <f>SUM(Y2095:Y2111)</f>
        <v>197429</v>
      </c>
      <c r="AA2114" s="1104" t="s">
        <v>1743</v>
      </c>
      <c r="AB2114" s="1890">
        <f>Y2114/I2114-1</f>
        <v>1.4879950963069266E-3</v>
      </c>
    </row>
    <row r="2115" spans="1:28" ht="16.5" hidden="1" thickTop="1">
      <c r="O2115" s="596"/>
      <c r="Q2115" s="596"/>
      <c r="Y2115" s="1645"/>
    </row>
    <row r="2116" spans="1:28" hidden="1">
      <c r="A2116" s="1897" t="s">
        <v>1013</v>
      </c>
      <c r="C2116" s="528"/>
      <c r="D2116" s="528"/>
    </row>
    <row r="2117" spans="1:28" hidden="1">
      <c r="A2117" s="1900" t="s">
        <v>240</v>
      </c>
      <c r="C2117" s="528">
        <f>'23'!G28</f>
        <v>9847.2289999999903</v>
      </c>
      <c r="D2117" s="528">
        <f>Bill!P49</f>
        <v>12360</v>
      </c>
      <c r="F2117" s="1944">
        <v>10</v>
      </c>
      <c r="G2117" s="597"/>
      <c r="H2117" s="1644">
        <f t="shared" ref="H2117:I2128" si="2283">ROUND($F2117*C2117,0)</f>
        <v>98472</v>
      </c>
      <c r="I2117" s="1644">
        <f t="shared" si="2283"/>
        <v>123600</v>
      </c>
      <c r="K2117" s="1944">
        <f>K2073</f>
        <v>10</v>
      </c>
      <c r="L2117" s="597"/>
      <c r="M2117" s="1944">
        <f>M2073</f>
        <v>0</v>
      </c>
      <c r="N2117" s="597"/>
      <c r="O2117" s="1944">
        <f>O2073</f>
        <v>0</v>
      </c>
      <c r="P2117" s="597"/>
      <c r="Q2117" s="1944">
        <f t="shared" ref="Q2117:Q2125" si="2284">Q2073</f>
        <v>10</v>
      </c>
      <c r="R2117" s="597"/>
      <c r="S2117" s="1644">
        <f t="shared" ref="S2117:S2121" si="2285">ROUND($D2117*K2117,0)</f>
        <v>123600</v>
      </c>
      <c r="T2117" s="1645"/>
      <c r="U2117" s="1644">
        <f t="shared" ref="U2117:U2121" si="2286">ROUND($D2117*M2117,0)</f>
        <v>0</v>
      </c>
      <c r="V2117" s="1645"/>
      <c r="W2117" s="1644">
        <f t="shared" ref="W2117:W2121" si="2287">ROUND($D2117*O2117,0)</f>
        <v>0</v>
      </c>
      <c r="X2117" s="1645"/>
      <c r="Y2117" s="1644">
        <f>ROUND($D2117*Q2117,0)</f>
        <v>123600</v>
      </c>
    </row>
    <row r="2118" spans="1:28" hidden="1">
      <c r="A2118" s="1900" t="s">
        <v>262</v>
      </c>
      <c r="C2118" s="528">
        <v>0</v>
      </c>
      <c r="D2118" s="528">
        <f>ROUND(C2118/C2117*D2117,0)</f>
        <v>0</v>
      </c>
      <c r="F2118" s="1944">
        <v>120</v>
      </c>
      <c r="G2118" s="597"/>
      <c r="H2118" s="1644">
        <f t="shared" si="2283"/>
        <v>0</v>
      </c>
      <c r="I2118" s="1644">
        <f t="shared" si="2283"/>
        <v>0</v>
      </c>
      <c r="K2118" s="1944">
        <f t="shared" ref="K2118" si="2288">K2074</f>
        <v>117</v>
      </c>
      <c r="L2118" s="597"/>
      <c r="M2118" s="1944">
        <f t="shared" ref="M2118" si="2289">M2074</f>
        <v>0</v>
      </c>
      <c r="N2118" s="597"/>
      <c r="O2118" s="1944">
        <f t="shared" ref="O2118" si="2290">O2074</f>
        <v>0</v>
      </c>
      <c r="P2118" s="597"/>
      <c r="Q2118" s="1944">
        <f t="shared" si="2284"/>
        <v>117</v>
      </c>
      <c r="R2118" s="597"/>
      <c r="S2118" s="1644">
        <f t="shared" si="2285"/>
        <v>0</v>
      </c>
      <c r="T2118" s="1645"/>
      <c r="U2118" s="1644">
        <f t="shared" si="2286"/>
        <v>0</v>
      </c>
      <c r="V2118" s="1645"/>
      <c r="W2118" s="1644">
        <f t="shared" si="2287"/>
        <v>0</v>
      </c>
      <c r="X2118" s="1645"/>
      <c r="Y2118" s="1644">
        <f t="shared" ref="Y2118:Y2121" si="2291">ROUND($D2118*Q2118,0)</f>
        <v>0</v>
      </c>
    </row>
    <row r="2119" spans="1:28" hidden="1">
      <c r="A2119" s="1900" t="s">
        <v>1298</v>
      </c>
      <c r="C2119" s="528">
        <f>'23'!AH28</f>
        <v>8.2669999999999995</v>
      </c>
      <c r="D2119" s="528">
        <f>ROUND(C2119/C2117*D2117,0)</f>
        <v>10</v>
      </c>
      <c r="F2119" s="1944">
        <v>10</v>
      </c>
      <c r="G2119" s="597"/>
      <c r="H2119" s="1644">
        <f t="shared" si="2283"/>
        <v>83</v>
      </c>
      <c r="I2119" s="1644">
        <f t="shared" si="2283"/>
        <v>100</v>
      </c>
      <c r="K2119" s="1944">
        <f t="shared" ref="K2119" si="2292">K2075</f>
        <v>10</v>
      </c>
      <c r="L2119" s="597"/>
      <c r="M2119" s="1944">
        <f t="shared" ref="M2119" si="2293">M2075</f>
        <v>0</v>
      </c>
      <c r="N2119" s="597"/>
      <c r="O2119" s="1944">
        <f t="shared" ref="O2119" si="2294">O2075</f>
        <v>0</v>
      </c>
      <c r="P2119" s="597"/>
      <c r="Q2119" s="1944">
        <f t="shared" si="2284"/>
        <v>10</v>
      </c>
      <c r="R2119" s="597"/>
      <c r="S2119" s="1644">
        <f t="shared" si="2285"/>
        <v>100</v>
      </c>
      <c r="T2119" s="1645"/>
      <c r="U2119" s="1644">
        <f t="shared" si="2286"/>
        <v>0</v>
      </c>
      <c r="V2119" s="1645"/>
      <c r="W2119" s="1644">
        <f t="shared" si="2287"/>
        <v>0</v>
      </c>
      <c r="X2119" s="1645"/>
      <c r="Y2119" s="1644">
        <f t="shared" si="2291"/>
        <v>100</v>
      </c>
    </row>
    <row r="2120" spans="1:28" hidden="1">
      <c r="A2120" s="1900" t="s">
        <v>1654</v>
      </c>
      <c r="C2120" s="528">
        <f>'23'!I28+'23-may'!I28</f>
        <v>4896.6213224299172</v>
      </c>
      <c r="D2120" s="528">
        <f>ROUND(C2120/C2136*D2136,0)</f>
        <v>6207</v>
      </c>
      <c r="F2120" s="1944"/>
      <c r="G2120" s="597"/>
      <c r="H2120" s="1644"/>
      <c r="I2120" s="1644"/>
      <c r="K2120" s="1944">
        <f t="shared" ref="K2120" si="2295">K2076</f>
        <v>8.89</v>
      </c>
      <c r="L2120" s="597"/>
      <c r="M2120" s="1944">
        <f t="shared" ref="M2120" si="2296">M2076</f>
        <v>0</v>
      </c>
      <c r="N2120" s="597"/>
      <c r="O2120" s="1944">
        <f t="shared" ref="O2120" si="2297">O2076</f>
        <v>0</v>
      </c>
      <c r="P2120" s="597"/>
      <c r="Q2120" s="1944">
        <f t="shared" si="2284"/>
        <v>8.89</v>
      </c>
      <c r="R2120" s="597"/>
      <c r="S2120" s="1644">
        <f t="shared" si="2285"/>
        <v>55180</v>
      </c>
      <c r="T2120" s="1645"/>
      <c r="U2120" s="1644">
        <f t="shared" si="2286"/>
        <v>0</v>
      </c>
      <c r="V2120" s="1645"/>
      <c r="W2120" s="1644">
        <f t="shared" si="2287"/>
        <v>0</v>
      </c>
      <c r="X2120" s="1645"/>
      <c r="Y2120" s="1644">
        <f t="shared" si="2291"/>
        <v>55180</v>
      </c>
    </row>
    <row r="2121" spans="1:28" hidden="1">
      <c r="A2121" s="1900" t="s">
        <v>1655</v>
      </c>
      <c r="C2121" s="528">
        <f>'23'!J28+'23-may'!J28</f>
        <v>7094.8798402835228</v>
      </c>
      <c r="D2121" s="528">
        <f>ROUND(C2121/C2136*D2136,0)</f>
        <v>8993</v>
      </c>
      <c r="F2121" s="1944"/>
      <c r="G2121" s="597"/>
      <c r="H2121" s="1644"/>
      <c r="I2121" s="1644"/>
      <c r="K2121" s="1944">
        <f t="shared" ref="K2121" si="2298">K2077</f>
        <v>7.87</v>
      </c>
      <c r="L2121" s="597"/>
      <c r="M2121" s="1944">
        <f t="shared" ref="M2121" si="2299">M2077</f>
        <v>0</v>
      </c>
      <c r="N2121" s="597"/>
      <c r="O2121" s="1944">
        <f t="shared" ref="O2121" si="2300">O2077</f>
        <v>0</v>
      </c>
      <c r="P2121" s="597"/>
      <c r="Q2121" s="1944">
        <f t="shared" si="2284"/>
        <v>7.87</v>
      </c>
      <c r="R2121" s="597"/>
      <c r="S2121" s="1644">
        <f t="shared" si="2285"/>
        <v>70775</v>
      </c>
      <c r="T2121" s="1645"/>
      <c r="U2121" s="1644">
        <f t="shared" si="2286"/>
        <v>0</v>
      </c>
      <c r="V2121" s="1645"/>
      <c r="W2121" s="1644">
        <f t="shared" si="2287"/>
        <v>0</v>
      </c>
      <c r="X2121" s="1645"/>
      <c r="Y2121" s="1644">
        <f t="shared" si="2291"/>
        <v>70775</v>
      </c>
    </row>
    <row r="2122" spans="1:28" hidden="1">
      <c r="A2122" s="1900" t="s">
        <v>1656</v>
      </c>
      <c r="C2122" s="528">
        <f>'23'!N28+TempRevMay!M348+'23-may'!N28</f>
        <v>1336520.0424274232</v>
      </c>
      <c r="D2122" s="528">
        <f>D2136-SUM(D2123:E2125)</f>
        <v>1826490.0645065326</v>
      </c>
      <c r="F2122" s="1943"/>
      <c r="G2122" s="1921"/>
      <c r="H2122" s="1644"/>
      <c r="I2122" s="1644"/>
      <c r="K2122" s="1943">
        <f t="shared" ref="K2122" si="2301">K2078</f>
        <v>2.9403000000000001</v>
      </c>
      <c r="L2122" s="1921" t="s">
        <v>495</v>
      </c>
      <c r="M2122" s="1943">
        <f t="shared" ref="M2122" si="2302">M2078</f>
        <v>6.4656468966360006</v>
      </c>
      <c r="N2122" s="1921" t="s">
        <v>495</v>
      </c>
      <c r="O2122" s="1943">
        <f t="shared" ref="O2122" si="2303">O2078</f>
        <v>2.3066</v>
      </c>
      <c r="P2122" s="1921" t="s">
        <v>495</v>
      </c>
      <c r="Q2122" s="1943">
        <f t="shared" si="2284"/>
        <v>11.712546896636001</v>
      </c>
      <c r="R2122" s="1921" t="s">
        <v>495</v>
      </c>
      <c r="S2122" s="1644">
        <f>ROUND($D2122*K2122/100,0)</f>
        <v>53704</v>
      </c>
      <c r="T2122" s="1648"/>
      <c r="U2122" s="1644">
        <f>ROUND($D2122*M2122/100,0)</f>
        <v>118094</v>
      </c>
      <c r="V2122" s="1648"/>
      <c r="W2122" s="1644">
        <f>ROUND($D2122*O2122/100,0)</f>
        <v>42130</v>
      </c>
      <c r="X2122" s="1648"/>
      <c r="Y2122" s="1644">
        <f>ROUND($D2122*Q2122/100,0)</f>
        <v>213929</v>
      </c>
    </row>
    <row r="2123" spans="1:28" hidden="1">
      <c r="A2123" s="1900" t="s">
        <v>1657</v>
      </c>
      <c r="C2123" s="528">
        <f>'23'!O28+TempRevMay!M349+'23-may'!O28</f>
        <v>1327682.1209296016</v>
      </c>
      <c r="D2123" s="528">
        <f>ROUND(C2123/(C2122+C2123)*Energy!S49,0)</f>
        <v>1814411</v>
      </c>
      <c r="F2123" s="1943"/>
      <c r="G2123" s="1921"/>
      <c r="H2123" s="1644"/>
      <c r="I2123" s="1644"/>
      <c r="K2123" s="1943">
        <f t="shared" ref="K2123" si="2304">K2079</f>
        <v>2.9403000000000001</v>
      </c>
      <c r="L2123" s="1921" t="s">
        <v>495</v>
      </c>
      <c r="M2123" s="1943">
        <f t="shared" ref="M2123" si="2305">M2079</f>
        <v>1.310346896636001</v>
      </c>
      <c r="N2123" s="1921" t="s">
        <v>495</v>
      </c>
      <c r="O2123" s="1943">
        <f t="shared" ref="O2123" si="2306">O2079</f>
        <v>2.3066</v>
      </c>
      <c r="P2123" s="1921" t="s">
        <v>495</v>
      </c>
      <c r="Q2123" s="1943">
        <f t="shared" si="2284"/>
        <v>6.5572468966360011</v>
      </c>
      <c r="R2123" s="1921" t="s">
        <v>495</v>
      </c>
      <c r="S2123" s="1644">
        <f t="shared" ref="S2123:S2125" si="2307">ROUND($D2123*K2123/100,0)</f>
        <v>53349</v>
      </c>
      <c r="T2123" s="1648"/>
      <c r="U2123" s="1644">
        <f t="shared" ref="U2123:U2125" si="2308">ROUND($D2123*M2123/100,0)</f>
        <v>23775</v>
      </c>
      <c r="V2123" s="1648"/>
      <c r="W2123" s="1644">
        <f t="shared" ref="W2123:W2125" si="2309">ROUND($D2123*O2123/100,0)</f>
        <v>41851</v>
      </c>
      <c r="X2123" s="1648"/>
      <c r="Y2123" s="1644">
        <f t="shared" ref="Y2123:Y2125" si="2310">ROUND($D2123*Q2123/100,0)</f>
        <v>118975</v>
      </c>
    </row>
    <row r="2124" spans="1:28" hidden="1">
      <c r="A2124" s="1900" t="s">
        <v>1658</v>
      </c>
      <c r="C2124" s="528">
        <f>'23'!Q28+TempRevMay!M350+'23-may'!Q28</f>
        <v>3676633.0226886645</v>
      </c>
      <c r="D2124" s="528">
        <f>ROUND(C2124/(C2124+C2125)*Energy!T49,0)</f>
        <v>4557220</v>
      </c>
      <c r="F2124" s="1943"/>
      <c r="G2124" s="1921"/>
      <c r="H2124" s="1644"/>
      <c r="I2124" s="1644"/>
      <c r="K2124" s="1943">
        <f t="shared" ref="K2124" si="2311">K2080</f>
        <v>2.9403000000000001</v>
      </c>
      <c r="L2124" s="1921" t="s">
        <v>495</v>
      </c>
      <c r="M2124" s="1943">
        <f t="shared" ref="M2124" si="2312">M2080</f>
        <v>5.3096999999999994</v>
      </c>
      <c r="N2124" s="1921" t="s">
        <v>495</v>
      </c>
      <c r="O2124" s="1943">
        <f t="shared" ref="O2124" si="2313">O2080</f>
        <v>2.1151</v>
      </c>
      <c r="P2124" s="1921" t="s">
        <v>495</v>
      </c>
      <c r="Q2124" s="1943">
        <f t="shared" si="2284"/>
        <v>10.3651</v>
      </c>
      <c r="R2124" s="1921" t="s">
        <v>495</v>
      </c>
      <c r="S2124" s="1644">
        <f t="shared" si="2307"/>
        <v>133996</v>
      </c>
      <c r="T2124" s="1648"/>
      <c r="U2124" s="1644">
        <f t="shared" si="2308"/>
        <v>241975</v>
      </c>
      <c r="V2124" s="1648"/>
      <c r="W2124" s="1644">
        <f t="shared" si="2309"/>
        <v>96390</v>
      </c>
      <c r="X2124" s="1648"/>
      <c r="Y2124" s="1644">
        <f t="shared" si="2310"/>
        <v>472360</v>
      </c>
    </row>
    <row r="2125" spans="1:28" hidden="1">
      <c r="A2125" s="1900" t="s">
        <v>1659</v>
      </c>
      <c r="C2125" s="528">
        <f>'23'!R28+TempRevMay!M351+'23-may'!R28</f>
        <v>3389052.5744798062</v>
      </c>
      <c r="D2125" s="528">
        <f>ROUND(C2125/(C2124+C2125)*Energy!T49,0)</f>
        <v>4200761</v>
      </c>
      <c r="F2125" s="1943"/>
      <c r="G2125" s="1921"/>
      <c r="H2125" s="1644"/>
      <c r="I2125" s="1644"/>
      <c r="K2125" s="1943">
        <f t="shared" ref="K2125" si="2314">K2081</f>
        <v>2.9403000000000001</v>
      </c>
      <c r="L2125" s="1921" t="s">
        <v>495</v>
      </c>
      <c r="M2125" s="1943">
        <f t="shared" ref="M2125" si="2315">M2081</f>
        <v>0.74750000000000005</v>
      </c>
      <c r="N2125" s="1921" t="s">
        <v>495</v>
      </c>
      <c r="O2125" s="1943">
        <f t="shared" ref="O2125" si="2316">O2081</f>
        <v>2.1151</v>
      </c>
      <c r="P2125" s="1921" t="s">
        <v>495</v>
      </c>
      <c r="Q2125" s="1943">
        <f t="shared" si="2284"/>
        <v>5.8029000000000002</v>
      </c>
      <c r="R2125" s="1921" t="s">
        <v>495</v>
      </c>
      <c r="S2125" s="1644">
        <f t="shared" si="2307"/>
        <v>123515</v>
      </c>
      <c r="T2125" s="1648"/>
      <c r="U2125" s="1644">
        <f t="shared" si="2308"/>
        <v>31401</v>
      </c>
      <c r="V2125" s="1648"/>
      <c r="W2125" s="1644">
        <f t="shared" si="2309"/>
        <v>88850</v>
      </c>
      <c r="X2125" s="1648"/>
      <c r="Y2125" s="1644">
        <f t="shared" si="2310"/>
        <v>243766</v>
      </c>
    </row>
    <row r="2126" spans="1:28" hidden="1">
      <c r="A2126" s="1900" t="s">
        <v>282</v>
      </c>
      <c r="C2126" s="528">
        <f>'23'!I28</f>
        <v>5645.4023121387299</v>
      </c>
      <c r="D2126" s="528">
        <f>ROUND(C2126/C2136*D2136,0)</f>
        <v>7156</v>
      </c>
      <c r="F2126" s="1944">
        <v>8.65</v>
      </c>
      <c r="G2126" s="597"/>
      <c r="H2126" s="1644">
        <f t="shared" si="2283"/>
        <v>48833</v>
      </c>
      <c r="I2126" s="1644">
        <f t="shared" si="2283"/>
        <v>61899</v>
      </c>
      <c r="K2126" s="1944"/>
      <c r="L2126" s="597"/>
      <c r="M2126" s="1944"/>
      <c r="N2126" s="597"/>
      <c r="O2126" s="1944"/>
      <c r="P2126" s="597"/>
      <c r="Q2126" s="1944"/>
      <c r="R2126" s="597"/>
      <c r="S2126" s="1645"/>
      <c r="T2126" s="1645"/>
      <c r="U2126" s="1645"/>
      <c r="V2126" s="1645"/>
      <c r="W2126" s="1645"/>
      <c r="X2126" s="1645"/>
      <c r="Y2126" s="1644"/>
    </row>
    <row r="2127" spans="1:28" hidden="1">
      <c r="A2127" s="1900" t="s">
        <v>283</v>
      </c>
      <c r="C2127" s="528">
        <f>'23'!J28</f>
        <v>6346.09885057471</v>
      </c>
      <c r="D2127" s="528">
        <f>ROUND(C2127/C2136*D2136,0)</f>
        <v>8044</v>
      </c>
      <c r="F2127" s="1944">
        <v>8.7000000000000011</v>
      </c>
      <c r="G2127" s="597"/>
      <c r="H2127" s="1644">
        <f t="shared" si="2283"/>
        <v>55211</v>
      </c>
      <c r="I2127" s="1644">
        <f t="shared" si="2283"/>
        <v>69983</v>
      </c>
      <c r="K2127" s="1944"/>
      <c r="L2127" s="597"/>
      <c r="M2127" s="1944"/>
      <c r="N2127" s="597"/>
      <c r="O2127" s="1944"/>
      <c r="P2127" s="597"/>
      <c r="Q2127" s="1944"/>
      <c r="R2127" s="597"/>
      <c r="S2127" s="1645"/>
      <c r="T2127" s="1645"/>
      <c r="U2127" s="1645"/>
      <c r="V2127" s="1645"/>
      <c r="W2127" s="1645"/>
      <c r="X2127" s="1645"/>
      <c r="Y2127" s="1644"/>
    </row>
    <row r="2128" spans="1:28" hidden="1">
      <c r="A2128" s="1900" t="s">
        <v>261</v>
      </c>
      <c r="C2128" s="528">
        <f>'23'!K28</f>
        <v>0</v>
      </c>
      <c r="D2128" s="528">
        <f>ROUND(C2128/C2136*D2136,0)</f>
        <v>0</v>
      </c>
      <c r="F2128" s="1944">
        <v>-0.48</v>
      </c>
      <c r="G2128" s="597"/>
      <c r="H2128" s="1644">
        <f t="shared" si="2283"/>
        <v>0</v>
      </c>
      <c r="I2128" s="1644">
        <f t="shared" si="2283"/>
        <v>0</v>
      </c>
      <c r="K2128" s="1944">
        <f>K2084</f>
        <v>-0.48</v>
      </c>
      <c r="L2128" s="597"/>
      <c r="M2128" s="1944">
        <f>M2084</f>
        <v>0</v>
      </c>
      <c r="N2128" s="597"/>
      <c r="O2128" s="1944">
        <f>O2084</f>
        <v>0</v>
      </c>
      <c r="P2128" s="597"/>
      <c r="Q2128" s="1944">
        <f>Q2084</f>
        <v>-0.48</v>
      </c>
      <c r="R2128" s="597"/>
      <c r="S2128" s="1644">
        <f t="shared" ref="S2128" si="2317">ROUND($D2128*K2128,0)</f>
        <v>0</v>
      </c>
      <c r="T2128" s="1645"/>
      <c r="U2128" s="1644">
        <f t="shared" ref="U2128" si="2318">ROUND($D2128*M2128,0)</f>
        <v>0</v>
      </c>
      <c r="V2128" s="1645"/>
      <c r="W2128" s="1644">
        <f t="shared" ref="W2128" si="2319">ROUND($D2128*O2128,0)</f>
        <v>0</v>
      </c>
      <c r="X2128" s="1645"/>
      <c r="Y2128" s="1644">
        <f t="shared" ref="Y2128" si="2320">ROUND($D2128*Q2128,0)</f>
        <v>0</v>
      </c>
    </row>
    <row r="2129" spans="1:28" hidden="1">
      <c r="A2129" s="1900" t="s">
        <v>194</v>
      </c>
      <c r="C2129" s="528">
        <f>'23'!N28+TempRev!M348</f>
        <v>1594921.3742284607</v>
      </c>
      <c r="D2129" s="528">
        <f>D2136-SUM(D2130:D2133)</f>
        <v>2175911.0645065326</v>
      </c>
      <c r="F2129" s="1943">
        <v>11.733599999999999</v>
      </c>
      <c r="G2129" s="1921" t="s">
        <v>495</v>
      </c>
      <c r="H2129" s="1644">
        <f t="shared" ref="H2129:I2132" si="2321">ROUND($F2129*C2129/100,0)</f>
        <v>187142</v>
      </c>
      <c r="I2129" s="1644">
        <f t="shared" si="2321"/>
        <v>255313</v>
      </c>
      <c r="K2129" s="1943"/>
      <c r="L2129" s="1921"/>
      <c r="M2129" s="1943"/>
      <c r="N2129" s="1921"/>
      <c r="O2129" s="1943"/>
      <c r="P2129" s="1921"/>
      <c r="Q2129" s="1943"/>
      <c r="R2129" s="1921"/>
      <c r="S2129" s="1648"/>
      <c r="T2129" s="1648"/>
      <c r="U2129" s="1648"/>
      <c r="V2129" s="1648"/>
      <c r="W2129" s="1648"/>
      <c r="X2129" s="1648"/>
      <c r="Y2129" s="1644"/>
    </row>
    <row r="2130" spans="1:28" hidden="1">
      <c r="A2130" s="1900" t="s">
        <v>195</v>
      </c>
      <c r="C2130" s="528">
        <f>'23'!O28+TempRev!M349</f>
        <v>1508810.5312518112</v>
      </c>
      <c r="D2130" s="528">
        <f>ROUND(C2130/(C2129+C2130)*Energy!Q49,0)</f>
        <v>2058433</v>
      </c>
      <c r="F2130" s="1943">
        <v>6.5782999999999996</v>
      </c>
      <c r="G2130" s="1921" t="s">
        <v>495</v>
      </c>
      <c r="H2130" s="1644">
        <f t="shared" si="2321"/>
        <v>99254</v>
      </c>
      <c r="I2130" s="1644">
        <f t="shared" si="2321"/>
        <v>135410</v>
      </c>
      <c r="K2130" s="1943"/>
      <c r="L2130" s="1921"/>
      <c r="M2130" s="1943"/>
      <c r="N2130" s="1921"/>
      <c r="O2130" s="1943"/>
      <c r="P2130" s="1921"/>
      <c r="Q2130" s="1943"/>
      <c r="R2130" s="1921"/>
      <c r="S2130" s="1648"/>
      <c r="T2130" s="1648"/>
      <c r="U2130" s="1648"/>
      <c r="V2130" s="1648"/>
      <c r="W2130" s="1648"/>
      <c r="X2130" s="1648"/>
      <c r="Y2130" s="1644"/>
    </row>
    <row r="2131" spans="1:28" hidden="1">
      <c r="A2131" s="1900" t="s">
        <v>160</v>
      </c>
      <c r="C2131" s="528">
        <f>'23'!Q28+TempRev!M350</f>
        <v>3418231.6908876272</v>
      </c>
      <c r="D2131" s="528">
        <f>ROUND(C2131/(C2131+C2132)*Energy!R49,0)</f>
        <v>4211836</v>
      </c>
      <c r="F2131" s="1943">
        <v>10.8</v>
      </c>
      <c r="G2131" s="1921" t="s">
        <v>495</v>
      </c>
      <c r="H2131" s="1644">
        <f t="shared" si="2321"/>
        <v>369169</v>
      </c>
      <c r="I2131" s="1644">
        <f t="shared" si="2321"/>
        <v>454878</v>
      </c>
      <c r="K2131" s="1943"/>
      <c r="L2131" s="1921"/>
      <c r="M2131" s="1943"/>
      <c r="N2131" s="1921"/>
      <c r="O2131" s="1943"/>
      <c r="P2131" s="1921"/>
      <c r="Q2131" s="1943"/>
      <c r="R2131" s="1921"/>
      <c r="S2131" s="1648"/>
      <c r="T2131" s="1648"/>
      <c r="U2131" s="1648"/>
      <c r="V2131" s="1648"/>
      <c r="W2131" s="1648"/>
      <c r="X2131" s="1648"/>
      <c r="Y2131" s="1644"/>
    </row>
    <row r="2132" spans="1:28" hidden="1">
      <c r="A2132" s="1900" t="s">
        <v>159</v>
      </c>
      <c r="C2132" s="528">
        <f>'23'!R28+TempRev!M351</f>
        <v>3207924.1641575964</v>
      </c>
      <c r="D2132" s="528">
        <f>ROUND(C2132/(C2131+C2132)*Energy!R49,0)</f>
        <v>3952702</v>
      </c>
      <c r="F2132" s="1943">
        <v>6.0567000000000002</v>
      </c>
      <c r="G2132" s="1921" t="s">
        <v>495</v>
      </c>
      <c r="H2132" s="1644">
        <f t="shared" si="2321"/>
        <v>194294</v>
      </c>
      <c r="I2132" s="1644">
        <f t="shared" si="2321"/>
        <v>239403</v>
      </c>
      <c r="K2132" s="1943"/>
      <c r="L2132" s="1921"/>
      <c r="M2132" s="1943"/>
      <c r="N2132" s="1921"/>
      <c r="O2132" s="1943"/>
      <c r="P2132" s="1921"/>
      <c r="Q2132" s="1943"/>
      <c r="R2132" s="1921"/>
      <c r="S2132" s="1648"/>
      <c r="T2132" s="1648"/>
      <c r="U2132" s="1648"/>
      <c r="V2132" s="1648"/>
      <c r="W2132" s="1648"/>
      <c r="X2132" s="1648"/>
      <c r="Y2132" s="1644"/>
    </row>
    <row r="2133" spans="1:28" hidden="1">
      <c r="A2133" s="1900" t="s">
        <v>246</v>
      </c>
      <c r="C2133" s="529">
        <f>'Table 2'!J61</f>
        <v>51592</v>
      </c>
      <c r="D2133" s="529">
        <v>0</v>
      </c>
      <c r="H2133" s="1030">
        <f>'Table 3'!F61</f>
        <v>6025</v>
      </c>
      <c r="I2133" s="1030">
        <v>0</v>
      </c>
      <c r="Y2133" s="1030">
        <v>0</v>
      </c>
    </row>
    <row r="2134" spans="1:28" hidden="1">
      <c r="A2134" s="1900" t="s">
        <v>1240</v>
      </c>
      <c r="C2134" s="584"/>
      <c r="D2134" s="584"/>
      <c r="F2134" s="1930">
        <v>-3.3099999999999997E-2</v>
      </c>
      <c r="G2134" s="597"/>
      <c r="H2134" s="1644">
        <f>SUM(H2126:H2127,H2129:H2132)*$F2134</f>
        <v>-31574.189299999998</v>
      </c>
      <c r="I2134" s="1644">
        <f>SUM(I2126:I2127,I2129:I2132)*$F2134</f>
        <v>-40278.926599999999</v>
      </c>
      <c r="K2134" s="1930"/>
      <c r="L2134" s="597"/>
      <c r="M2134" s="1930"/>
      <c r="N2134" s="597"/>
      <c r="O2134" s="1931" t="str">
        <f>$O$43</f>
        <v>Tax Year 1 (7/1/2021)</v>
      </c>
      <c r="P2134" s="597"/>
      <c r="Q2134" s="1930">
        <f>$AC$1988</f>
        <v>-2.5600000000000001E-2</v>
      </c>
      <c r="R2134" s="597"/>
      <c r="S2134" s="1645"/>
      <c r="T2134" s="1645"/>
      <c r="U2134" s="1645"/>
      <c r="V2134" s="1645"/>
      <c r="W2134" s="1645"/>
      <c r="X2134" s="1645"/>
      <c r="Y2134" s="1644">
        <f>Q2134*SUM(Y2120:Y2125)</f>
        <v>-30079.616000000002</v>
      </c>
    </row>
    <row r="2135" spans="1:28" hidden="1">
      <c r="A2135" s="1900"/>
      <c r="C2135" s="584"/>
      <c r="D2135" s="584"/>
      <c r="F2135" s="1930"/>
      <c r="G2135" s="597"/>
      <c r="H2135" s="1644"/>
      <c r="I2135" s="1644"/>
      <c r="K2135" s="1930"/>
      <c r="L2135" s="597"/>
      <c r="M2135" s="1930"/>
      <c r="N2135" s="597"/>
      <c r="O2135" s="1931" t="str">
        <f>$O$44</f>
        <v>Tax Year 2 (1/1/2022)</v>
      </c>
      <c r="P2135" s="597"/>
      <c r="Q2135" s="1930">
        <f>$AC$1989</f>
        <v>-1.3899999999999999E-2</v>
      </c>
      <c r="R2135" s="597"/>
      <c r="S2135" s="1645"/>
      <c r="T2135" s="1645"/>
      <c r="U2135" s="1645"/>
      <c r="V2135" s="1645"/>
      <c r="W2135" s="1645"/>
      <c r="X2135" s="1645"/>
      <c r="Y2135" s="1644">
        <f>Q2135*SUM(Y2120:Y2125)</f>
        <v>-16332.291499999999</v>
      </c>
    </row>
    <row r="2136" spans="1:28" ht="16.5" hidden="1" thickBot="1">
      <c r="A2136" s="1900" t="s">
        <v>247</v>
      </c>
      <c r="C2136" s="1949">
        <f>SUM(C2129:C2132,C2133)</f>
        <v>9781479.7605254948</v>
      </c>
      <c r="D2136" s="1949">
        <f>Energy!P49</f>
        <v>12398882.064506533</v>
      </c>
      <c r="F2136" s="1939"/>
      <c r="H2136" s="1647">
        <f>SUM(H2117:H2134)</f>
        <v>1026908.8107</v>
      </c>
      <c r="I2136" s="1647">
        <f>SUM(I2117:I2134)</f>
        <v>1300307.0734000001</v>
      </c>
      <c r="K2136" s="1939"/>
      <c r="M2136" s="1939"/>
      <c r="O2136" s="1939"/>
      <c r="P2136" s="597"/>
      <c r="Q2136" s="1939"/>
      <c r="R2136" s="597"/>
      <c r="S2136" s="1646">
        <f>SUM(S2117:S2133)</f>
        <v>614219</v>
      </c>
      <c r="T2136" s="1645"/>
      <c r="U2136" s="1646">
        <f>SUM(U2117:U2133)</f>
        <v>415245</v>
      </c>
      <c r="V2136" s="1645"/>
      <c r="W2136" s="1646">
        <f>SUM(W2117:W2133)</f>
        <v>269221</v>
      </c>
      <c r="X2136" s="1645"/>
      <c r="Y2136" s="1646">
        <f>SUM(Y2117:Y2133)</f>
        <v>1298685</v>
      </c>
      <c r="AA2136" s="1104" t="s">
        <v>1743</v>
      </c>
      <c r="AB2136" s="1890">
        <f>Y2136/I2136-1</f>
        <v>-1.2474541077122092E-3</v>
      </c>
    </row>
    <row r="2137" spans="1:28" ht="16.5" hidden="1" thickTop="1">
      <c r="C2137" s="528"/>
      <c r="D2137" s="528"/>
      <c r="O2137" s="596"/>
      <c r="Q2137" s="596"/>
      <c r="Y2137" s="1645"/>
    </row>
    <row r="2138" spans="1:28" hidden="1">
      <c r="A2138" s="1897" t="s">
        <v>1014</v>
      </c>
      <c r="C2138" s="528"/>
      <c r="D2138" s="528"/>
    </row>
    <row r="2139" spans="1:28" hidden="1">
      <c r="A2139" s="1900" t="s">
        <v>240</v>
      </c>
      <c r="C2139" s="528">
        <f>'23'!G29</f>
        <v>204.16800000000001</v>
      </c>
      <c r="D2139" s="528">
        <f>Bill!P74</f>
        <v>462</v>
      </c>
      <c r="F2139" s="1944">
        <v>10</v>
      </c>
      <c r="G2139" s="597"/>
      <c r="H2139" s="1644">
        <f t="shared" ref="H2139:I2150" si="2322">ROUND($F2139*C2139,0)</f>
        <v>2042</v>
      </c>
      <c r="I2139" s="1644">
        <f t="shared" si="2322"/>
        <v>4620</v>
      </c>
      <c r="K2139" s="1944">
        <f>K2073</f>
        <v>10</v>
      </c>
      <c r="L2139" s="597"/>
      <c r="M2139" s="1944">
        <f>M2073</f>
        <v>0</v>
      </c>
      <c r="N2139" s="597"/>
      <c r="O2139" s="1944">
        <f>O2073</f>
        <v>0</v>
      </c>
      <c r="P2139" s="597"/>
      <c r="Q2139" s="1944">
        <f t="shared" ref="Q2139:Q2147" si="2323">Q2073</f>
        <v>10</v>
      </c>
      <c r="R2139" s="597"/>
      <c r="S2139" s="1644">
        <f t="shared" ref="S2139:S2143" si="2324">ROUND($D2139*K2139,0)</f>
        <v>4620</v>
      </c>
      <c r="T2139" s="1645"/>
      <c r="U2139" s="1644">
        <f t="shared" ref="U2139:U2143" si="2325">ROUND($D2139*M2139,0)</f>
        <v>0</v>
      </c>
      <c r="V2139" s="1645"/>
      <c r="W2139" s="1644">
        <f t="shared" ref="W2139:W2143" si="2326">ROUND($D2139*O2139,0)</f>
        <v>0</v>
      </c>
      <c r="X2139" s="1645"/>
      <c r="Y2139" s="1644">
        <f>ROUND($D2139*Q2139,0)</f>
        <v>4620</v>
      </c>
    </row>
    <row r="2140" spans="1:28" hidden="1">
      <c r="A2140" s="1900" t="s">
        <v>262</v>
      </c>
      <c r="C2140" s="528">
        <v>0</v>
      </c>
      <c r="D2140" s="528">
        <f>ROUND(C2140/C2139*D2139,0)</f>
        <v>0</v>
      </c>
      <c r="F2140" s="1944">
        <v>120</v>
      </c>
      <c r="G2140" s="597"/>
      <c r="H2140" s="1644">
        <f t="shared" si="2322"/>
        <v>0</v>
      </c>
      <c r="I2140" s="1644">
        <f t="shared" si="2322"/>
        <v>0</v>
      </c>
      <c r="K2140" s="1944">
        <f t="shared" ref="K2140" si="2327">K2074</f>
        <v>117</v>
      </c>
      <c r="L2140" s="597"/>
      <c r="M2140" s="1944">
        <f t="shared" ref="M2140" si="2328">M2074</f>
        <v>0</v>
      </c>
      <c r="N2140" s="597"/>
      <c r="O2140" s="1944">
        <f t="shared" ref="O2140" si="2329">O2074</f>
        <v>0</v>
      </c>
      <c r="P2140" s="597"/>
      <c r="Q2140" s="1944">
        <f t="shared" si="2323"/>
        <v>117</v>
      </c>
      <c r="R2140" s="597"/>
      <c r="S2140" s="1644">
        <f t="shared" si="2324"/>
        <v>0</v>
      </c>
      <c r="T2140" s="1645"/>
      <c r="U2140" s="1644">
        <f t="shared" si="2325"/>
        <v>0</v>
      </c>
      <c r="V2140" s="1645"/>
      <c r="W2140" s="1644">
        <f t="shared" si="2326"/>
        <v>0</v>
      </c>
      <c r="X2140" s="1645"/>
      <c r="Y2140" s="1644">
        <f t="shared" ref="Y2140:Y2143" si="2330">ROUND($D2140*Q2140,0)</f>
        <v>0</v>
      </c>
    </row>
    <row r="2141" spans="1:28" hidden="1">
      <c r="A2141" s="1900" t="s">
        <v>1298</v>
      </c>
      <c r="C2141" s="528">
        <f>'23'!AH29</f>
        <v>0</v>
      </c>
      <c r="D2141" s="528">
        <f>ROUND(C2141/C2139*D2139,0)</f>
        <v>0</v>
      </c>
      <c r="F2141" s="1944">
        <v>10</v>
      </c>
      <c r="G2141" s="597"/>
      <c r="H2141" s="1644">
        <f t="shared" si="2322"/>
        <v>0</v>
      </c>
      <c r="I2141" s="1644">
        <f t="shared" si="2322"/>
        <v>0</v>
      </c>
      <c r="K2141" s="1944">
        <f t="shared" ref="K2141" si="2331">K2075</f>
        <v>10</v>
      </c>
      <c r="L2141" s="597"/>
      <c r="M2141" s="1944">
        <f t="shared" ref="M2141" si="2332">M2075</f>
        <v>0</v>
      </c>
      <c r="N2141" s="597"/>
      <c r="O2141" s="1944">
        <f t="shared" ref="O2141" si="2333">O2075</f>
        <v>0</v>
      </c>
      <c r="P2141" s="597"/>
      <c r="Q2141" s="1944">
        <f t="shared" si="2323"/>
        <v>10</v>
      </c>
      <c r="R2141" s="597"/>
      <c r="S2141" s="1644">
        <f t="shared" si="2324"/>
        <v>0</v>
      </c>
      <c r="T2141" s="1645"/>
      <c r="U2141" s="1644">
        <f t="shared" si="2325"/>
        <v>0</v>
      </c>
      <c r="V2141" s="1645"/>
      <c r="W2141" s="1644">
        <f t="shared" si="2326"/>
        <v>0</v>
      </c>
      <c r="X2141" s="1645"/>
      <c r="Y2141" s="1644">
        <f t="shared" si="2330"/>
        <v>0</v>
      </c>
    </row>
    <row r="2142" spans="1:28" hidden="1">
      <c r="A2142" s="1900" t="s">
        <v>1654</v>
      </c>
      <c r="C2142" s="528">
        <f>'23'!I29+'23-may'!I29</f>
        <v>123.79500655898235</v>
      </c>
      <c r="D2142" s="528">
        <f>ROUND(C2142/C2158*D2158,0)</f>
        <v>317</v>
      </c>
      <c r="F2142" s="1944"/>
      <c r="G2142" s="597"/>
      <c r="H2142" s="1644"/>
      <c r="I2142" s="1644"/>
      <c r="K2142" s="1944">
        <f t="shared" ref="K2142" si="2334">K2076</f>
        <v>8.89</v>
      </c>
      <c r="L2142" s="597"/>
      <c r="M2142" s="1944">
        <f t="shared" ref="M2142" si="2335">M2076</f>
        <v>0</v>
      </c>
      <c r="N2142" s="597"/>
      <c r="O2142" s="1944">
        <f t="shared" ref="O2142" si="2336">O2076</f>
        <v>0</v>
      </c>
      <c r="P2142" s="597"/>
      <c r="Q2142" s="1944">
        <f t="shared" si="2323"/>
        <v>8.89</v>
      </c>
      <c r="R2142" s="597"/>
      <c r="S2142" s="1644">
        <f t="shared" si="2324"/>
        <v>2818</v>
      </c>
      <c r="T2142" s="1645"/>
      <c r="U2142" s="1644">
        <f t="shared" si="2325"/>
        <v>0</v>
      </c>
      <c r="V2142" s="1645"/>
      <c r="W2142" s="1644">
        <f t="shared" si="2326"/>
        <v>0</v>
      </c>
      <c r="X2142" s="1645"/>
      <c r="Y2142" s="1644">
        <f t="shared" si="2330"/>
        <v>2818</v>
      </c>
    </row>
    <row r="2143" spans="1:28" hidden="1">
      <c r="A2143" s="1900" t="s">
        <v>1655</v>
      </c>
      <c r="C2143" s="528">
        <f>'23'!J29+'23-may'!J29</f>
        <v>257.23907091095265</v>
      </c>
      <c r="D2143" s="528">
        <f>ROUND(C2143/C2158*D2158,0)</f>
        <v>658</v>
      </c>
      <c r="F2143" s="1944"/>
      <c r="G2143" s="597"/>
      <c r="H2143" s="1644"/>
      <c r="I2143" s="1644"/>
      <c r="K2143" s="1944">
        <f t="shared" ref="K2143" si="2337">K2077</f>
        <v>7.87</v>
      </c>
      <c r="L2143" s="597"/>
      <c r="M2143" s="1944">
        <f t="shared" ref="M2143" si="2338">M2077</f>
        <v>0</v>
      </c>
      <c r="N2143" s="597"/>
      <c r="O2143" s="1944">
        <f t="shared" ref="O2143" si="2339">O2077</f>
        <v>0</v>
      </c>
      <c r="P2143" s="597"/>
      <c r="Q2143" s="1944">
        <f t="shared" si="2323"/>
        <v>7.87</v>
      </c>
      <c r="R2143" s="597"/>
      <c r="S2143" s="1644">
        <f t="shared" si="2324"/>
        <v>5178</v>
      </c>
      <c r="T2143" s="1645"/>
      <c r="U2143" s="1644">
        <f t="shared" si="2325"/>
        <v>0</v>
      </c>
      <c r="V2143" s="1645"/>
      <c r="W2143" s="1644">
        <f t="shared" si="2326"/>
        <v>0</v>
      </c>
      <c r="X2143" s="1645"/>
      <c r="Y2143" s="1644">
        <f t="shared" si="2330"/>
        <v>5178</v>
      </c>
    </row>
    <row r="2144" spans="1:28" hidden="1">
      <c r="A2144" s="1900" t="s">
        <v>1656</v>
      </c>
      <c r="C2144" s="528">
        <f>'23'!N29+'23-may'!N29</f>
        <v>18772.903584672436</v>
      </c>
      <c r="D2144" s="528">
        <f>D2158-SUM(D2145:E2147)</f>
        <v>59645.397899159638</v>
      </c>
      <c r="F2144" s="1943"/>
      <c r="G2144" s="1921"/>
      <c r="H2144" s="1644"/>
      <c r="I2144" s="1644"/>
      <c r="K2144" s="1943">
        <f t="shared" ref="K2144" si="2340">K2078</f>
        <v>2.9403000000000001</v>
      </c>
      <c r="L2144" s="1921" t="s">
        <v>495</v>
      </c>
      <c r="M2144" s="1943">
        <f t="shared" ref="M2144" si="2341">M2078</f>
        <v>6.4656468966360006</v>
      </c>
      <c r="N2144" s="1921" t="s">
        <v>495</v>
      </c>
      <c r="O2144" s="1943">
        <f t="shared" ref="O2144" si="2342">O2078</f>
        <v>2.3066</v>
      </c>
      <c r="P2144" s="1921" t="s">
        <v>495</v>
      </c>
      <c r="Q2144" s="1943">
        <f t="shared" si="2323"/>
        <v>11.712546896636001</v>
      </c>
      <c r="R2144" s="1921" t="s">
        <v>495</v>
      </c>
      <c r="S2144" s="1644">
        <f>ROUND($D2144*K2144/100,0)</f>
        <v>1754</v>
      </c>
      <c r="T2144" s="1648"/>
      <c r="U2144" s="1644">
        <f>ROUND($D2144*M2144/100,0)</f>
        <v>3856</v>
      </c>
      <c r="V2144" s="1648"/>
      <c r="W2144" s="1644">
        <f>ROUND($D2144*O2144/100,0)</f>
        <v>1376</v>
      </c>
      <c r="X2144" s="1648"/>
      <c r="Y2144" s="1644">
        <f>ROUND($D2144*Q2144/100,0)</f>
        <v>6986</v>
      </c>
    </row>
    <row r="2145" spans="1:28" hidden="1">
      <c r="A2145" s="1900" t="s">
        <v>1657</v>
      </c>
      <c r="C2145" s="528">
        <f>'23'!O29+'23-may'!O29</f>
        <v>13037.670735475896</v>
      </c>
      <c r="D2145" s="528">
        <f>ROUND(C2145/(C2144+C2145)*Energy!S74,0)</f>
        <v>41424</v>
      </c>
      <c r="F2145" s="1943"/>
      <c r="G2145" s="1921"/>
      <c r="H2145" s="1644"/>
      <c r="I2145" s="1644"/>
      <c r="K2145" s="1943">
        <f t="shared" ref="K2145" si="2343">K2079</f>
        <v>2.9403000000000001</v>
      </c>
      <c r="L2145" s="1921" t="s">
        <v>495</v>
      </c>
      <c r="M2145" s="1943">
        <f t="shared" ref="M2145" si="2344">M2079</f>
        <v>1.310346896636001</v>
      </c>
      <c r="N2145" s="1921" t="s">
        <v>495</v>
      </c>
      <c r="O2145" s="1943">
        <f t="shared" ref="O2145" si="2345">O2079</f>
        <v>2.3066</v>
      </c>
      <c r="P2145" s="1921" t="s">
        <v>495</v>
      </c>
      <c r="Q2145" s="1943">
        <f t="shared" si="2323"/>
        <v>6.5572468966360011</v>
      </c>
      <c r="R2145" s="1921" t="s">
        <v>495</v>
      </c>
      <c r="S2145" s="1644">
        <f t="shared" ref="S2145:S2147" si="2346">ROUND($D2145*K2145/100,0)</f>
        <v>1218</v>
      </c>
      <c r="T2145" s="1648"/>
      <c r="U2145" s="1644">
        <f t="shared" ref="U2145:U2147" si="2347">ROUND($D2145*M2145/100,0)</f>
        <v>543</v>
      </c>
      <c r="V2145" s="1648"/>
      <c r="W2145" s="1644">
        <f t="shared" ref="W2145:W2147" si="2348">ROUND($D2145*O2145/100,0)</f>
        <v>955</v>
      </c>
      <c r="X2145" s="1648"/>
      <c r="Y2145" s="1644">
        <f t="shared" ref="Y2145:Y2147" si="2349">ROUND($D2145*Q2145/100,0)</f>
        <v>2716</v>
      </c>
    </row>
    <row r="2146" spans="1:28" hidden="1">
      <c r="A2146" s="1900" t="s">
        <v>1658</v>
      </c>
      <c r="C2146" s="528">
        <f>'23'!Q29+'23-may'!Q29</f>
        <v>78116.096415327571</v>
      </c>
      <c r="D2146" s="528">
        <f>ROUND(C2146/(C2146+C2147)*Energy!T74,0)</f>
        <v>185234</v>
      </c>
      <c r="F2146" s="1943"/>
      <c r="G2146" s="1921"/>
      <c r="H2146" s="1644"/>
      <c r="I2146" s="1644"/>
      <c r="K2146" s="1943">
        <f t="shared" ref="K2146" si="2350">K2080</f>
        <v>2.9403000000000001</v>
      </c>
      <c r="L2146" s="1921" t="s">
        <v>495</v>
      </c>
      <c r="M2146" s="1943">
        <f t="shared" ref="M2146" si="2351">M2080</f>
        <v>5.3096999999999994</v>
      </c>
      <c r="N2146" s="1921" t="s">
        <v>495</v>
      </c>
      <c r="O2146" s="1943">
        <f t="shared" ref="O2146" si="2352">O2080</f>
        <v>2.1151</v>
      </c>
      <c r="P2146" s="1921" t="s">
        <v>495</v>
      </c>
      <c r="Q2146" s="1943">
        <f t="shared" si="2323"/>
        <v>10.3651</v>
      </c>
      <c r="R2146" s="1921" t="s">
        <v>495</v>
      </c>
      <c r="S2146" s="1644">
        <f t="shared" si="2346"/>
        <v>5446</v>
      </c>
      <c r="T2146" s="1648"/>
      <c r="U2146" s="1644">
        <f t="shared" si="2347"/>
        <v>9835</v>
      </c>
      <c r="V2146" s="1648"/>
      <c r="W2146" s="1644">
        <f t="shared" si="2348"/>
        <v>3918</v>
      </c>
      <c r="X2146" s="1648"/>
      <c r="Y2146" s="1644">
        <f t="shared" si="2349"/>
        <v>19200</v>
      </c>
    </row>
    <row r="2147" spans="1:28" hidden="1">
      <c r="A2147" s="1900" t="s">
        <v>1659</v>
      </c>
      <c r="C2147" s="528">
        <f>'23'!R29+'23-may'!R29</f>
        <v>67055.329264524102</v>
      </c>
      <c r="D2147" s="528">
        <f>ROUND(C2147/(C2146+C2147)*Energy!T74,0)</f>
        <v>159006</v>
      </c>
      <c r="F2147" s="1943"/>
      <c r="G2147" s="1921"/>
      <c r="H2147" s="1644"/>
      <c r="I2147" s="1644"/>
      <c r="K2147" s="1943">
        <f t="shared" ref="K2147" si="2353">K2081</f>
        <v>2.9403000000000001</v>
      </c>
      <c r="L2147" s="1921" t="s">
        <v>495</v>
      </c>
      <c r="M2147" s="1943">
        <f t="shared" ref="M2147" si="2354">M2081</f>
        <v>0.74750000000000005</v>
      </c>
      <c r="N2147" s="1921" t="s">
        <v>495</v>
      </c>
      <c r="O2147" s="1943">
        <f t="shared" ref="O2147" si="2355">O2081</f>
        <v>2.1151</v>
      </c>
      <c r="P2147" s="1921" t="s">
        <v>495</v>
      </c>
      <c r="Q2147" s="1943">
        <f t="shared" si="2323"/>
        <v>5.8029000000000002</v>
      </c>
      <c r="R2147" s="1921" t="s">
        <v>495</v>
      </c>
      <c r="S2147" s="1644">
        <f t="shared" si="2346"/>
        <v>4675</v>
      </c>
      <c r="T2147" s="1648"/>
      <c r="U2147" s="1644">
        <f t="shared" si="2347"/>
        <v>1189</v>
      </c>
      <c r="V2147" s="1648"/>
      <c r="W2147" s="1644">
        <f t="shared" si="2348"/>
        <v>3363</v>
      </c>
      <c r="X2147" s="1648"/>
      <c r="Y2147" s="1644">
        <f t="shared" si="2349"/>
        <v>9227</v>
      </c>
    </row>
    <row r="2148" spans="1:28" hidden="1">
      <c r="A2148" s="1900" t="s">
        <v>282</v>
      </c>
      <c r="C2148" s="528">
        <f>'23'!I29</f>
        <v>146.929479768786</v>
      </c>
      <c r="D2148" s="528">
        <f>ROUND(C2148/C2158*D2158,0)</f>
        <v>376</v>
      </c>
      <c r="F2148" s="1944">
        <v>8.65</v>
      </c>
      <c r="G2148" s="597"/>
      <c r="H2148" s="1644">
        <f t="shared" si="2322"/>
        <v>1271</v>
      </c>
      <c r="I2148" s="1644">
        <f t="shared" si="2322"/>
        <v>3252</v>
      </c>
      <c r="K2148" s="1944"/>
      <c r="L2148" s="597"/>
      <c r="M2148" s="1944"/>
      <c r="N2148" s="597"/>
      <c r="O2148" s="1944"/>
      <c r="P2148" s="597"/>
      <c r="Q2148" s="1944"/>
      <c r="R2148" s="597"/>
      <c r="S2148" s="1645"/>
      <c r="T2148" s="1645"/>
      <c r="U2148" s="1645"/>
      <c r="V2148" s="1645"/>
      <c r="W2148" s="1645"/>
      <c r="X2148" s="1645"/>
      <c r="Y2148" s="1644"/>
    </row>
    <row r="2149" spans="1:28" hidden="1">
      <c r="A2149" s="1900" t="s">
        <v>283</v>
      </c>
      <c r="C2149" s="528">
        <f>'23'!J29</f>
        <v>234.104597701149</v>
      </c>
      <c r="D2149" s="528">
        <f>ROUND(C2149/C2158*D2158,0)</f>
        <v>599</v>
      </c>
      <c r="F2149" s="1944">
        <v>8.7000000000000011</v>
      </c>
      <c r="G2149" s="597"/>
      <c r="H2149" s="1644">
        <f t="shared" si="2322"/>
        <v>2037</v>
      </c>
      <c r="I2149" s="1644">
        <f t="shared" si="2322"/>
        <v>5211</v>
      </c>
      <c r="K2149" s="1944"/>
      <c r="L2149" s="597"/>
      <c r="M2149" s="1944"/>
      <c r="N2149" s="597"/>
      <c r="O2149" s="1944"/>
      <c r="P2149" s="597"/>
      <c r="Q2149" s="1944"/>
      <c r="R2149" s="597"/>
      <c r="S2149" s="1645"/>
      <c r="T2149" s="1645"/>
      <c r="U2149" s="1645"/>
      <c r="V2149" s="1645"/>
      <c r="W2149" s="1645"/>
      <c r="X2149" s="1645"/>
      <c r="Y2149" s="1644"/>
    </row>
    <row r="2150" spans="1:28" hidden="1">
      <c r="A2150" s="1900" t="s">
        <v>261</v>
      </c>
      <c r="C2150" s="528">
        <f>'23'!K29</f>
        <v>0</v>
      </c>
      <c r="D2150" s="528">
        <f>ROUND(C2150/C2158*D2158,0)</f>
        <v>0</v>
      </c>
      <c r="F2150" s="1944">
        <v>-0.48</v>
      </c>
      <c r="G2150" s="597"/>
      <c r="H2150" s="1644">
        <f t="shared" si="2322"/>
        <v>0</v>
      </c>
      <c r="I2150" s="1644">
        <f t="shared" si="2322"/>
        <v>0</v>
      </c>
      <c r="K2150" s="1944">
        <f>K2084</f>
        <v>-0.48</v>
      </c>
      <c r="L2150" s="597"/>
      <c r="M2150" s="1944">
        <f>M2084</f>
        <v>0</v>
      </c>
      <c r="N2150" s="597"/>
      <c r="O2150" s="1944">
        <f>O2084</f>
        <v>0</v>
      </c>
      <c r="P2150" s="597"/>
      <c r="Q2150" s="1944">
        <f>Q2084</f>
        <v>-0.48</v>
      </c>
      <c r="R2150" s="597"/>
      <c r="S2150" s="1644">
        <f t="shared" ref="S2150" si="2356">ROUND($D2150*K2150,0)</f>
        <v>0</v>
      </c>
      <c r="T2150" s="1645"/>
      <c r="U2150" s="1644">
        <f t="shared" ref="U2150" si="2357">ROUND($D2150*M2150,0)</f>
        <v>0</v>
      </c>
      <c r="V2150" s="1645"/>
      <c r="W2150" s="1644">
        <f t="shared" ref="W2150" si="2358">ROUND($D2150*O2150,0)</f>
        <v>0</v>
      </c>
      <c r="X2150" s="1645"/>
      <c r="Y2150" s="1644">
        <f t="shared" ref="Y2150" si="2359">ROUND($D2150*Q2150,0)</f>
        <v>0</v>
      </c>
    </row>
    <row r="2151" spans="1:28" hidden="1">
      <c r="A2151" s="1900" t="s">
        <v>194</v>
      </c>
      <c r="C2151" s="528">
        <f>'23'!N29</f>
        <v>23248</v>
      </c>
      <c r="D2151" s="528">
        <f>D2158-SUM(D2152:D2155)</f>
        <v>86160.397899159638</v>
      </c>
      <c r="F2151" s="1942">
        <v>11.733599999999999</v>
      </c>
      <c r="G2151" s="1921" t="s">
        <v>495</v>
      </c>
      <c r="H2151" s="1644">
        <f t="shared" ref="H2151:I2154" si="2360">ROUND($F2151*C2151/100,0)</f>
        <v>2728</v>
      </c>
      <c r="I2151" s="1644">
        <f t="shared" si="2360"/>
        <v>10110</v>
      </c>
      <c r="K2151" s="1942"/>
      <c r="L2151" s="1921"/>
      <c r="M2151" s="1942"/>
      <c r="N2151" s="1921"/>
      <c r="O2151" s="1942"/>
      <c r="P2151" s="1921"/>
      <c r="Q2151" s="1942"/>
      <c r="R2151" s="1921"/>
      <c r="S2151" s="1648"/>
      <c r="T2151" s="1648"/>
      <c r="U2151" s="1648"/>
      <c r="V2151" s="1648"/>
      <c r="W2151" s="1648"/>
      <c r="X2151" s="1648"/>
      <c r="Y2151" s="1644"/>
    </row>
    <row r="2152" spans="1:28" hidden="1">
      <c r="A2152" s="1900" t="s">
        <v>195</v>
      </c>
      <c r="C2152" s="528">
        <f>'23'!O29</f>
        <v>14956</v>
      </c>
      <c r="D2152" s="528">
        <f>ROUND(C2152/(C2151+C2152)*Energy!Q74,0)</f>
        <v>55430</v>
      </c>
      <c r="F2152" s="1942">
        <v>6.5782999999999996</v>
      </c>
      <c r="G2152" s="1921" t="s">
        <v>495</v>
      </c>
      <c r="H2152" s="1644">
        <f t="shared" si="2360"/>
        <v>984</v>
      </c>
      <c r="I2152" s="1644">
        <f t="shared" si="2360"/>
        <v>3646</v>
      </c>
      <c r="K2152" s="1942"/>
      <c r="L2152" s="1921"/>
      <c r="M2152" s="1942"/>
      <c r="N2152" s="1921"/>
      <c r="O2152" s="1942"/>
      <c r="P2152" s="1921"/>
      <c r="Q2152" s="1942"/>
      <c r="R2152" s="1921"/>
      <c r="S2152" s="1648"/>
      <c r="T2152" s="1648"/>
      <c r="U2152" s="1648"/>
      <c r="V2152" s="1648"/>
      <c r="W2152" s="1648"/>
      <c r="X2152" s="1648"/>
      <c r="Y2152" s="1644"/>
    </row>
    <row r="2153" spans="1:28" hidden="1">
      <c r="A2153" s="1900" t="s">
        <v>160</v>
      </c>
      <c r="C2153" s="528">
        <f>'23'!Q29</f>
        <v>73641</v>
      </c>
      <c r="D2153" s="528">
        <f>ROUND(C2153/(C2153+C2154)*Energy!R74,0)</f>
        <v>161165</v>
      </c>
      <c r="F2153" s="1942">
        <v>10.8</v>
      </c>
      <c r="G2153" s="1921" t="s">
        <v>495</v>
      </c>
      <c r="H2153" s="1644">
        <f t="shared" si="2360"/>
        <v>7953</v>
      </c>
      <c r="I2153" s="1644">
        <f t="shared" si="2360"/>
        <v>17406</v>
      </c>
      <c r="K2153" s="1942"/>
      <c r="L2153" s="1921"/>
      <c r="M2153" s="1942"/>
      <c r="N2153" s="1921"/>
      <c r="O2153" s="1942"/>
      <c r="P2153" s="1921"/>
      <c r="Q2153" s="1942"/>
      <c r="R2153" s="1921"/>
      <c r="S2153" s="1648"/>
      <c r="T2153" s="1648"/>
      <c r="U2153" s="1648"/>
      <c r="V2153" s="1648"/>
      <c r="W2153" s="1648"/>
      <c r="X2153" s="1648"/>
      <c r="Y2153" s="1644"/>
    </row>
    <row r="2154" spans="1:28" hidden="1">
      <c r="A2154" s="1900" t="s">
        <v>159</v>
      </c>
      <c r="C2154" s="528">
        <f>'23'!R29</f>
        <v>65137</v>
      </c>
      <c r="D2154" s="528">
        <f>ROUND(C2154/(C2153+C2154)*Energy!R74,0)</f>
        <v>142554</v>
      </c>
      <c r="F2154" s="1942">
        <v>6.0567000000000002</v>
      </c>
      <c r="G2154" s="1921" t="s">
        <v>495</v>
      </c>
      <c r="H2154" s="1644">
        <f t="shared" si="2360"/>
        <v>3945</v>
      </c>
      <c r="I2154" s="1644">
        <f t="shared" si="2360"/>
        <v>8634</v>
      </c>
      <c r="K2154" s="1942"/>
      <c r="L2154" s="1921"/>
      <c r="M2154" s="1942"/>
      <c r="N2154" s="1921"/>
      <c r="O2154" s="1942"/>
      <c r="P2154" s="1921"/>
      <c r="Q2154" s="1942"/>
      <c r="R2154" s="1921"/>
      <c r="S2154" s="1648"/>
      <c r="T2154" s="1648"/>
      <c r="U2154" s="1648"/>
      <c r="V2154" s="1648"/>
      <c r="W2154" s="1648"/>
      <c r="X2154" s="1648"/>
      <c r="Y2154" s="1644"/>
    </row>
    <row r="2155" spans="1:28" hidden="1">
      <c r="A2155" s="1900" t="s">
        <v>246</v>
      </c>
      <c r="C2155" s="529">
        <f>'Table 2'!J97</f>
        <v>-2869</v>
      </c>
      <c r="D2155" s="529">
        <v>0</v>
      </c>
      <c r="H2155" s="1030">
        <f>'Table 3'!F97</f>
        <v>-309</v>
      </c>
      <c r="I2155" s="1030">
        <v>0</v>
      </c>
      <c r="Y2155" s="1030">
        <v>0</v>
      </c>
    </row>
    <row r="2156" spans="1:28" hidden="1">
      <c r="A2156" s="1900" t="s">
        <v>1240</v>
      </c>
      <c r="C2156" s="584"/>
      <c r="D2156" s="584"/>
      <c r="F2156" s="1930">
        <v>-3.3099999999999997E-2</v>
      </c>
      <c r="G2156" s="597"/>
      <c r="H2156" s="1644">
        <f>SUM(H2148:H2149,H2151:H2154)*$F2156</f>
        <v>-626.18579999999997</v>
      </c>
      <c r="I2156" s="1644">
        <f>SUM(I2148:I2149,I2151:I2154)*$F2156</f>
        <v>-1597.3728999999998</v>
      </c>
      <c r="K2156" s="1930"/>
      <c r="L2156" s="597"/>
      <c r="M2156" s="1930"/>
      <c r="N2156" s="597"/>
      <c r="O2156" s="1931" t="str">
        <f>$O$43</f>
        <v>Tax Year 1 (7/1/2021)</v>
      </c>
      <c r="P2156" s="597"/>
      <c r="Q2156" s="1930">
        <f>$AC$1988</f>
        <v>-2.5600000000000001E-2</v>
      </c>
      <c r="R2156" s="597"/>
      <c r="S2156" s="1645"/>
      <c r="T2156" s="1645"/>
      <c r="U2156" s="1645"/>
      <c r="V2156" s="1645"/>
      <c r="W2156" s="1645"/>
      <c r="X2156" s="1645"/>
      <c r="Y2156" s="1644">
        <f>Q2156*SUM(Y2142:Y2147)</f>
        <v>-1180.8</v>
      </c>
    </row>
    <row r="2157" spans="1:28" hidden="1">
      <c r="A2157" s="1900"/>
      <c r="C2157" s="584"/>
      <c r="D2157" s="584"/>
      <c r="F2157" s="1930"/>
      <c r="G2157" s="597"/>
      <c r="H2157" s="1644"/>
      <c r="I2157" s="1644"/>
      <c r="K2157" s="1930"/>
      <c r="L2157" s="597"/>
      <c r="M2157" s="1930"/>
      <c r="N2157" s="597"/>
      <c r="O2157" s="1931" t="str">
        <f>$O$44</f>
        <v>Tax Year 2 (1/1/2022)</v>
      </c>
      <c r="P2157" s="597"/>
      <c r="Q2157" s="1930">
        <f>$AC$1989</f>
        <v>-1.3899999999999999E-2</v>
      </c>
      <c r="R2157" s="597"/>
      <c r="S2157" s="1645"/>
      <c r="T2157" s="1645"/>
      <c r="U2157" s="1645"/>
      <c r="V2157" s="1645"/>
      <c r="W2157" s="1645"/>
      <c r="X2157" s="1645"/>
      <c r="Y2157" s="1644">
        <f>Q2157*SUM(Y2142:Y2147)</f>
        <v>-641.13749999999993</v>
      </c>
    </row>
    <row r="2158" spans="1:28" ht="16.5" hidden="1" thickBot="1">
      <c r="A2158" s="1900" t="s">
        <v>247</v>
      </c>
      <c r="C2158" s="1949">
        <f>SUM(C2151:C2154,C2155)</f>
        <v>174113</v>
      </c>
      <c r="D2158" s="1949">
        <f>Energy!P74</f>
        <v>445309.39789915964</v>
      </c>
      <c r="F2158" s="1939"/>
      <c r="H2158" s="1647">
        <f>SUM(H2139:H2156)</f>
        <v>20024.814200000001</v>
      </c>
      <c r="I2158" s="1647">
        <f>SUM(I2139:I2156)</f>
        <v>51281.627099999998</v>
      </c>
      <c r="K2158" s="1939"/>
      <c r="M2158" s="1939"/>
      <c r="O2158" s="1939"/>
      <c r="P2158" s="597"/>
      <c r="Q2158" s="1939"/>
      <c r="R2158" s="597"/>
      <c r="S2158" s="1646">
        <f>SUM(S2139:S2155)</f>
        <v>25709</v>
      </c>
      <c r="T2158" s="1645"/>
      <c r="U2158" s="1646">
        <f>SUM(U2139:U2155)</f>
        <v>15423</v>
      </c>
      <c r="V2158" s="1645"/>
      <c r="W2158" s="1646">
        <f>SUM(W2139:W2155)</f>
        <v>9612</v>
      </c>
      <c r="X2158" s="1645"/>
      <c r="Y2158" s="1646">
        <f>SUM(Y2139:Y2155)</f>
        <v>50745</v>
      </c>
      <c r="AA2158" s="1104" t="s">
        <v>1743</v>
      </c>
      <c r="AB2158" s="1890">
        <f>Y2158/I2158-1</f>
        <v>-1.0464315006104785E-2</v>
      </c>
    </row>
    <row r="2159" spans="1:28" ht="16.5" thickTop="1">
      <c r="C2159" s="528"/>
      <c r="D2159" s="528"/>
      <c r="O2159" s="596"/>
      <c r="Q2159" s="596"/>
      <c r="Y2159" s="1645"/>
    </row>
    <row r="2160" spans="1:28">
      <c r="A2160" s="1897" t="s">
        <v>1291</v>
      </c>
      <c r="C2160" s="528"/>
      <c r="D2160" s="528"/>
    </row>
    <row r="2161" spans="1:25">
      <c r="A2161" s="1900" t="s">
        <v>240</v>
      </c>
      <c r="C2161" s="528">
        <f>C2184+C2207</f>
        <v>578.03800000000001</v>
      </c>
      <c r="D2161" s="528">
        <f>D2184+D2207</f>
        <v>1546</v>
      </c>
      <c r="F2161" s="1901">
        <v>10</v>
      </c>
      <c r="G2161" s="1902"/>
      <c r="H2161" s="1644">
        <f t="shared" ref="H2161:I2173" si="2361">ROUND($F2161*C2161,0)</f>
        <v>5780</v>
      </c>
      <c r="I2161" s="1644">
        <f t="shared" si="2361"/>
        <v>15460</v>
      </c>
      <c r="K2161" s="1944">
        <f>K2095</f>
        <v>10</v>
      </c>
      <c r="L2161" s="1902"/>
      <c r="M2161" s="1944">
        <f>M2095</f>
        <v>0</v>
      </c>
      <c r="N2161" s="1902"/>
      <c r="O2161" s="1944">
        <f>O2095</f>
        <v>0</v>
      </c>
      <c r="P2161" s="1902"/>
      <c r="Q2161" s="1944">
        <f>Q2095</f>
        <v>10</v>
      </c>
      <c r="R2161" s="1902"/>
      <c r="S2161" s="1644">
        <f t="shared" ref="S2161:S2163" si="2362">ROUND($D2161*K2161,0)</f>
        <v>15460</v>
      </c>
      <c r="T2161" s="1645"/>
      <c r="U2161" s="1644">
        <f t="shared" ref="U2161:U2163" si="2363">ROUND($D2161*M2161,0)</f>
        <v>0</v>
      </c>
      <c r="V2161" s="1645"/>
      <c r="W2161" s="1644">
        <f t="shared" ref="W2161:W2163" si="2364">ROUND($D2161*O2161,0)</f>
        <v>0</v>
      </c>
      <c r="X2161" s="1643"/>
      <c r="Y2161" s="1644">
        <f t="shared" ref="Y2161:Y2166" si="2365">ROUND($D2161*Q2161,0)</f>
        <v>15460</v>
      </c>
    </row>
    <row r="2162" spans="1:25">
      <c r="A2162" s="1900" t="s">
        <v>262</v>
      </c>
      <c r="C2162" s="528">
        <f t="shared" ref="C2162" si="2366">C2185+C2208</f>
        <v>0</v>
      </c>
      <c r="D2162" s="528">
        <f>D2185+D2208</f>
        <v>0</v>
      </c>
      <c r="F2162" s="1901">
        <v>120</v>
      </c>
      <c r="G2162" s="1902"/>
      <c r="H2162" s="1644">
        <f t="shared" si="2361"/>
        <v>0</v>
      </c>
      <c r="I2162" s="1644">
        <f t="shared" si="2361"/>
        <v>0</v>
      </c>
      <c r="K2162" s="1944">
        <f t="shared" ref="K2162" si="2367">K2096</f>
        <v>117</v>
      </c>
      <c r="L2162" s="1902"/>
      <c r="M2162" s="1944">
        <f t="shared" ref="M2162" si="2368">M2096</f>
        <v>0</v>
      </c>
      <c r="N2162" s="1902"/>
      <c r="O2162" s="1944">
        <f t="shared" ref="O2162" si="2369">O2096</f>
        <v>0</v>
      </c>
      <c r="P2162" s="1902"/>
      <c r="Q2162" s="1944">
        <f t="shared" ref="Q2162" si="2370">Q2096</f>
        <v>117</v>
      </c>
      <c r="R2162" s="1902"/>
      <c r="S2162" s="1644">
        <f t="shared" si="2362"/>
        <v>0</v>
      </c>
      <c r="T2162" s="1645"/>
      <c r="U2162" s="1644">
        <f t="shared" si="2363"/>
        <v>0</v>
      </c>
      <c r="V2162" s="1645"/>
      <c r="W2162" s="1644">
        <f t="shared" si="2364"/>
        <v>0</v>
      </c>
      <c r="X2162" s="1643"/>
      <c r="Y2162" s="1644">
        <f t="shared" si="2365"/>
        <v>0</v>
      </c>
    </row>
    <row r="2163" spans="1:25">
      <c r="A2163" s="1900" t="s">
        <v>1236</v>
      </c>
      <c r="C2163" s="528">
        <f t="shared" ref="C2163" si="2371">C2186+C2209</f>
        <v>139</v>
      </c>
      <c r="D2163" s="528">
        <f>D2186+D2209</f>
        <v>393</v>
      </c>
      <c r="F2163" s="1944">
        <v>2</v>
      </c>
      <c r="G2163" s="597"/>
      <c r="H2163" s="1644">
        <f t="shared" si="2361"/>
        <v>278</v>
      </c>
      <c r="I2163" s="1644">
        <f t="shared" si="2361"/>
        <v>786</v>
      </c>
      <c r="K2163" s="1944">
        <f>Q2163</f>
        <v>2</v>
      </c>
      <c r="L2163" s="597"/>
      <c r="M2163" s="1944">
        <v>0</v>
      </c>
      <c r="N2163" s="597"/>
      <c r="O2163" s="1944">
        <v>0</v>
      </c>
      <c r="P2163" s="597"/>
      <c r="Q2163" s="1944">
        <f>F2163</f>
        <v>2</v>
      </c>
      <c r="R2163" s="597"/>
      <c r="S2163" s="1644">
        <f t="shared" si="2362"/>
        <v>786</v>
      </c>
      <c r="T2163" s="1645"/>
      <c r="U2163" s="1644">
        <f t="shared" si="2363"/>
        <v>0</v>
      </c>
      <c r="V2163" s="1645"/>
      <c r="W2163" s="1644">
        <f t="shared" si="2364"/>
        <v>0</v>
      </c>
      <c r="X2163" s="1645"/>
      <c r="Y2163" s="1644">
        <f t="shared" si="2365"/>
        <v>786</v>
      </c>
    </row>
    <row r="2164" spans="1:25">
      <c r="A2164" s="1900" t="s">
        <v>1298</v>
      </c>
      <c r="C2164" s="528">
        <f t="shared" ref="C2164" si="2372">C2187+C2210</f>
        <v>0</v>
      </c>
      <c r="D2164" s="528">
        <f>D2187+D2210</f>
        <v>0</v>
      </c>
      <c r="F2164" s="1901">
        <v>10</v>
      </c>
      <c r="G2164" s="1902"/>
      <c r="H2164" s="1644">
        <f t="shared" si="2361"/>
        <v>0</v>
      </c>
      <c r="I2164" s="1644">
        <f t="shared" si="2361"/>
        <v>0</v>
      </c>
      <c r="K2164" s="1944">
        <f>K2097</f>
        <v>10</v>
      </c>
      <c r="L2164" s="1902"/>
      <c r="M2164" s="1944">
        <f>M2097</f>
        <v>0</v>
      </c>
      <c r="N2164" s="1902"/>
      <c r="O2164" s="1944">
        <f>O2097</f>
        <v>0</v>
      </c>
      <c r="P2164" s="1902"/>
      <c r="Q2164" s="1944">
        <f t="shared" ref="Q2164:Q2170" si="2373">Q2097</f>
        <v>10</v>
      </c>
      <c r="R2164" s="1902"/>
      <c r="S2164" s="1644">
        <f t="shared" ref="S2164:S2166" si="2374">ROUND($D2164*K2164,0)</f>
        <v>0</v>
      </c>
      <c r="T2164" s="1645"/>
      <c r="U2164" s="1644">
        <f t="shared" ref="U2164:U2166" si="2375">ROUND($D2164*M2164,0)</f>
        <v>0</v>
      </c>
      <c r="V2164" s="1645"/>
      <c r="W2164" s="1644">
        <f t="shared" ref="W2164:W2166" si="2376">ROUND($D2164*O2164,0)</f>
        <v>0</v>
      </c>
      <c r="X2164" s="1643"/>
      <c r="Y2164" s="1644">
        <f t="shared" si="2365"/>
        <v>0</v>
      </c>
    </row>
    <row r="2165" spans="1:25">
      <c r="A2165" s="1900" t="s">
        <v>1654</v>
      </c>
      <c r="C2165" s="528">
        <f t="shared" ref="C2165:D2165" si="2377">C2188+C2211</f>
        <v>495.28811594685055</v>
      </c>
      <c r="D2165" s="528">
        <f t="shared" si="2377"/>
        <v>552</v>
      </c>
      <c r="F2165" s="1944"/>
      <c r="G2165" s="597"/>
      <c r="H2165" s="1644"/>
      <c r="I2165" s="1644"/>
      <c r="K2165" s="1944">
        <f t="shared" ref="K2165" si="2378">K2098</f>
        <v>8.89</v>
      </c>
      <c r="L2165" s="597"/>
      <c r="M2165" s="1944">
        <f t="shared" ref="M2165" si="2379">M2098</f>
        <v>0</v>
      </c>
      <c r="N2165" s="597"/>
      <c r="O2165" s="1944">
        <f t="shared" ref="O2165" si="2380">O2098</f>
        <v>0</v>
      </c>
      <c r="P2165" s="597"/>
      <c r="Q2165" s="1944">
        <f t="shared" si="2373"/>
        <v>8.89</v>
      </c>
      <c r="R2165" s="597"/>
      <c r="S2165" s="1644">
        <f t="shared" si="2374"/>
        <v>4907</v>
      </c>
      <c r="T2165" s="1645"/>
      <c r="U2165" s="1644">
        <f t="shared" si="2375"/>
        <v>0</v>
      </c>
      <c r="V2165" s="1645"/>
      <c r="W2165" s="1644">
        <f t="shared" si="2376"/>
        <v>0</v>
      </c>
      <c r="X2165" s="1645"/>
      <c r="Y2165" s="1644">
        <f t="shared" si="2365"/>
        <v>4907</v>
      </c>
    </row>
    <row r="2166" spans="1:25">
      <c r="A2166" s="1900" t="s">
        <v>1655</v>
      </c>
      <c r="C2166" s="528">
        <f t="shared" ref="C2166:D2166" si="2381">C2189+C2212</f>
        <v>881.54837332296552</v>
      </c>
      <c r="D2166" s="528">
        <f t="shared" si="2381"/>
        <v>982</v>
      </c>
      <c r="F2166" s="1944"/>
      <c r="G2166" s="597"/>
      <c r="H2166" s="1644"/>
      <c r="I2166" s="1644"/>
      <c r="K2166" s="1943">
        <f t="shared" ref="K2166" si="2382">K2099</f>
        <v>7.87</v>
      </c>
      <c r="L2166" s="597"/>
      <c r="M2166" s="1943">
        <f t="shared" ref="M2166" si="2383">M2099</f>
        <v>0</v>
      </c>
      <c r="N2166" s="597"/>
      <c r="O2166" s="1943">
        <f t="shared" ref="O2166" si="2384">O2099</f>
        <v>0</v>
      </c>
      <c r="P2166" s="597"/>
      <c r="Q2166" s="1943">
        <f t="shared" si="2373"/>
        <v>7.87</v>
      </c>
      <c r="R2166" s="597"/>
      <c r="S2166" s="1644">
        <f t="shared" si="2374"/>
        <v>7728</v>
      </c>
      <c r="T2166" s="1645"/>
      <c r="U2166" s="1644">
        <f t="shared" si="2375"/>
        <v>0</v>
      </c>
      <c r="V2166" s="1645"/>
      <c r="W2166" s="1644">
        <f t="shared" si="2376"/>
        <v>0</v>
      </c>
      <c r="X2166" s="1645"/>
      <c r="Y2166" s="1644">
        <f t="shared" si="2365"/>
        <v>7728</v>
      </c>
    </row>
    <row r="2167" spans="1:25">
      <c r="A2167" s="1900" t="s">
        <v>1656</v>
      </c>
      <c r="C2167" s="528">
        <f t="shared" ref="C2167:D2167" si="2385">C2190+C2213</f>
        <v>222037.79750537846</v>
      </c>
      <c r="D2167" s="528">
        <f t="shared" si="2385"/>
        <v>228752.11425782187</v>
      </c>
      <c r="F2167" s="1943"/>
      <c r="G2167" s="1921"/>
      <c r="H2167" s="1644"/>
      <c r="I2167" s="1644"/>
      <c r="K2167" s="1943">
        <f t="shared" ref="K2167" si="2386">K2100</f>
        <v>2.9403000000000001</v>
      </c>
      <c r="L2167" s="1921" t="s">
        <v>495</v>
      </c>
      <c r="M2167" s="1943">
        <f t="shared" ref="M2167" si="2387">M2100</f>
        <v>6.4656468966360006</v>
      </c>
      <c r="N2167" s="1921" t="s">
        <v>495</v>
      </c>
      <c r="O2167" s="1943">
        <f t="shared" ref="O2167" si="2388">O2100</f>
        <v>2.3066</v>
      </c>
      <c r="P2167" s="1921" t="s">
        <v>495</v>
      </c>
      <c r="Q2167" s="1943">
        <f t="shared" si="2373"/>
        <v>11.712546896636001</v>
      </c>
      <c r="R2167" s="1921" t="s">
        <v>495</v>
      </c>
      <c r="S2167" s="1644">
        <f>ROUND($D2167*K2167/100,0)</f>
        <v>6726</v>
      </c>
      <c r="T2167" s="1648"/>
      <c r="U2167" s="1644">
        <f>ROUND($D2167*M2167/100,0)</f>
        <v>14790</v>
      </c>
      <c r="V2167" s="1648"/>
      <c r="W2167" s="1644">
        <f>ROUND($D2167*O2167/100,0)</f>
        <v>5276</v>
      </c>
      <c r="X2167" s="1648"/>
      <c r="Y2167" s="1644">
        <f>ROUND($D2167*Q2167/100,0)</f>
        <v>26793</v>
      </c>
    </row>
    <row r="2168" spans="1:25">
      <c r="A2168" s="1900" t="s">
        <v>1657</v>
      </c>
      <c r="C2168" s="528">
        <f t="shared" ref="C2168:D2168" si="2389">C2191+C2214</f>
        <v>215087.16967548401</v>
      </c>
      <c r="D2168" s="528">
        <f t="shared" si="2389"/>
        <v>234472</v>
      </c>
      <c r="F2168" s="1943"/>
      <c r="G2168" s="1921"/>
      <c r="H2168" s="1644"/>
      <c r="I2168" s="1644"/>
      <c r="K2168" s="1943">
        <f t="shared" ref="K2168" si="2390">K2101</f>
        <v>2.9403000000000001</v>
      </c>
      <c r="L2168" s="1921" t="s">
        <v>495</v>
      </c>
      <c r="M2168" s="1943">
        <f t="shared" ref="M2168" si="2391">M2101</f>
        <v>1.310346896636001</v>
      </c>
      <c r="N2168" s="1921" t="s">
        <v>495</v>
      </c>
      <c r="O2168" s="1943">
        <f t="shared" ref="O2168" si="2392">O2101</f>
        <v>2.3066</v>
      </c>
      <c r="P2168" s="1921" t="s">
        <v>495</v>
      </c>
      <c r="Q2168" s="1943">
        <f t="shared" si="2373"/>
        <v>6.5572468966360011</v>
      </c>
      <c r="R2168" s="1921" t="s">
        <v>495</v>
      </c>
      <c r="S2168" s="1644">
        <f t="shared" ref="S2168:S2170" si="2393">ROUND($D2168*K2168/100,0)</f>
        <v>6894</v>
      </c>
      <c r="T2168" s="1648"/>
      <c r="U2168" s="1644">
        <f t="shared" ref="U2168:U2170" si="2394">ROUND($D2168*M2168/100,0)</f>
        <v>3072</v>
      </c>
      <c r="V2168" s="1648"/>
      <c r="W2168" s="1644">
        <f t="shared" ref="W2168:W2170" si="2395">ROUND($D2168*O2168/100,0)</f>
        <v>5408</v>
      </c>
      <c r="X2168" s="1648"/>
      <c r="Y2168" s="1644">
        <f t="shared" ref="Y2168:Y2170" si="2396">ROUND($D2168*Q2168/100,0)</f>
        <v>15375</v>
      </c>
    </row>
    <row r="2169" spans="1:25">
      <c r="A2169" s="1900" t="s">
        <v>1658</v>
      </c>
      <c r="C2169" s="528">
        <f t="shared" ref="C2169:D2169" si="2397">C2192+C2215</f>
        <v>330553.85154286353</v>
      </c>
      <c r="D2169" s="528">
        <f t="shared" si="2397"/>
        <v>417772</v>
      </c>
      <c r="F2169" s="1943"/>
      <c r="G2169" s="1921"/>
      <c r="H2169" s="1644"/>
      <c r="I2169" s="1644"/>
      <c r="K2169" s="1943">
        <f t="shared" ref="K2169" si="2398">K2102</f>
        <v>2.9403000000000001</v>
      </c>
      <c r="L2169" s="1921" t="s">
        <v>495</v>
      </c>
      <c r="M2169" s="1943">
        <f t="shared" ref="M2169" si="2399">M2102</f>
        <v>5.3096999999999994</v>
      </c>
      <c r="N2169" s="1921" t="s">
        <v>495</v>
      </c>
      <c r="O2169" s="1943">
        <f t="shared" ref="O2169" si="2400">O2102</f>
        <v>2.1151</v>
      </c>
      <c r="P2169" s="1921" t="s">
        <v>495</v>
      </c>
      <c r="Q2169" s="1943">
        <f t="shared" si="2373"/>
        <v>10.3651</v>
      </c>
      <c r="R2169" s="1921" t="s">
        <v>495</v>
      </c>
      <c r="S2169" s="1644">
        <f t="shared" si="2393"/>
        <v>12284</v>
      </c>
      <c r="T2169" s="1648"/>
      <c r="U2169" s="1644">
        <f t="shared" si="2394"/>
        <v>22182</v>
      </c>
      <c r="V2169" s="1648"/>
      <c r="W2169" s="1644">
        <f t="shared" si="2395"/>
        <v>8836</v>
      </c>
      <c r="X2169" s="1648"/>
      <c r="Y2169" s="1644">
        <f t="shared" si="2396"/>
        <v>43302</v>
      </c>
    </row>
    <row r="2170" spans="1:25">
      <c r="A2170" s="1900" t="s">
        <v>1659</v>
      </c>
      <c r="C2170" s="528">
        <f t="shared" ref="C2170:D2170" si="2401">C2193+C2216</f>
        <v>526375.08441298595</v>
      </c>
      <c r="D2170" s="528">
        <f t="shared" si="2401"/>
        <v>648715</v>
      </c>
      <c r="F2170" s="1943"/>
      <c r="G2170" s="1921"/>
      <c r="H2170" s="1644"/>
      <c r="I2170" s="1644"/>
      <c r="K2170" s="1943">
        <f t="shared" ref="K2170" si="2402">K2103</f>
        <v>2.9403000000000001</v>
      </c>
      <c r="L2170" s="1921" t="s">
        <v>495</v>
      </c>
      <c r="M2170" s="1943">
        <f t="shared" ref="M2170" si="2403">M2103</f>
        <v>0.74750000000000005</v>
      </c>
      <c r="N2170" s="1921" t="s">
        <v>495</v>
      </c>
      <c r="O2170" s="1943">
        <f t="shared" ref="O2170" si="2404">O2103</f>
        <v>2.1151</v>
      </c>
      <c r="P2170" s="1921" t="s">
        <v>495</v>
      </c>
      <c r="Q2170" s="1943">
        <f t="shared" si="2373"/>
        <v>5.8029000000000002</v>
      </c>
      <c r="R2170" s="1921" t="s">
        <v>495</v>
      </c>
      <c r="S2170" s="1644">
        <f t="shared" si="2393"/>
        <v>19074</v>
      </c>
      <c r="T2170" s="1648"/>
      <c r="U2170" s="1644">
        <f t="shared" si="2394"/>
        <v>4849</v>
      </c>
      <c r="V2170" s="1648"/>
      <c r="W2170" s="1644">
        <f t="shared" si="2395"/>
        <v>13721</v>
      </c>
      <c r="X2170" s="1648"/>
      <c r="Y2170" s="1644">
        <f t="shared" si="2396"/>
        <v>37644</v>
      </c>
    </row>
    <row r="2171" spans="1:25">
      <c r="A2171" s="1900" t="s">
        <v>282</v>
      </c>
      <c r="C2171" s="528">
        <f t="shared" ref="C2171" si="2405">C2194+C2217</f>
        <v>685.14913294797702</v>
      </c>
      <c r="D2171" s="528">
        <f t="shared" ref="D2171:D2178" si="2406">D2194+D2217</f>
        <v>761</v>
      </c>
      <c r="F2171" s="1901">
        <v>8.65</v>
      </c>
      <c r="G2171" s="1902"/>
      <c r="H2171" s="1644">
        <f t="shared" si="2361"/>
        <v>5927</v>
      </c>
      <c r="I2171" s="1644">
        <f t="shared" si="2361"/>
        <v>6583</v>
      </c>
      <c r="K2171" s="1944"/>
      <c r="L2171" s="1902"/>
      <c r="M2171" s="1944"/>
      <c r="N2171" s="1902"/>
      <c r="O2171" s="1944"/>
      <c r="P2171" s="1902"/>
      <c r="Q2171" s="1944"/>
      <c r="R2171" s="1902"/>
      <c r="S2171" s="1645"/>
      <c r="T2171" s="1645"/>
      <c r="U2171" s="1645"/>
      <c r="V2171" s="1645"/>
      <c r="W2171" s="1645"/>
      <c r="X2171" s="1643"/>
      <c r="Y2171" s="1644"/>
    </row>
    <row r="2172" spans="1:25">
      <c r="A2172" s="1900" t="s">
        <v>283</v>
      </c>
      <c r="C2172" s="528">
        <f t="shared" ref="C2172" si="2407">C2195+C2218</f>
        <v>691.68735632183905</v>
      </c>
      <c r="D2172" s="528">
        <f t="shared" si="2406"/>
        <v>773</v>
      </c>
      <c r="F2172" s="1901">
        <v>8.7000000000000011</v>
      </c>
      <c r="G2172" s="1902"/>
      <c r="H2172" s="1644">
        <f t="shared" si="2361"/>
        <v>6018</v>
      </c>
      <c r="I2172" s="1644">
        <f t="shared" si="2361"/>
        <v>6725</v>
      </c>
      <c r="K2172" s="1944"/>
      <c r="L2172" s="1902"/>
      <c r="M2172" s="1944"/>
      <c r="N2172" s="1902"/>
      <c r="O2172" s="1944"/>
      <c r="P2172" s="1902"/>
      <c r="Q2172" s="1944"/>
      <c r="R2172" s="1902"/>
      <c r="S2172" s="1645"/>
      <c r="T2172" s="1645"/>
      <c r="U2172" s="1645"/>
      <c r="V2172" s="1645"/>
      <c r="W2172" s="1645"/>
      <c r="X2172" s="1643"/>
      <c r="Y2172" s="1644"/>
    </row>
    <row r="2173" spans="1:25">
      <c r="A2173" s="1900" t="s">
        <v>261</v>
      </c>
      <c r="C2173" s="528">
        <f t="shared" ref="C2173" si="2408">C2196+C2219</f>
        <v>0</v>
      </c>
      <c r="D2173" s="528">
        <f t="shared" si="2406"/>
        <v>0</v>
      </c>
      <c r="F2173" s="1901">
        <v>-0.48</v>
      </c>
      <c r="G2173" s="1902"/>
      <c r="H2173" s="1644">
        <f t="shared" si="2361"/>
        <v>0</v>
      </c>
      <c r="I2173" s="1644">
        <f t="shared" si="2361"/>
        <v>0</v>
      </c>
      <c r="K2173" s="1901">
        <f t="shared" ref="K2173" si="2409">K2106</f>
        <v>-0.48</v>
      </c>
      <c r="L2173" s="1902"/>
      <c r="M2173" s="1901">
        <f t="shared" ref="M2173" si="2410">M2106</f>
        <v>0</v>
      </c>
      <c r="N2173" s="1902"/>
      <c r="O2173" s="1901">
        <f t="shared" ref="O2173" si="2411">O2106</f>
        <v>0</v>
      </c>
      <c r="P2173" s="1902"/>
      <c r="Q2173" s="1901">
        <f t="shared" ref="Q2173" si="2412">Q2106</f>
        <v>-0.48</v>
      </c>
      <c r="R2173" s="1902"/>
      <c r="S2173" s="1644">
        <f t="shared" ref="S2173" si="2413">ROUND($D2173*K2173,0)</f>
        <v>0</v>
      </c>
      <c r="T2173" s="1645"/>
      <c r="U2173" s="1644">
        <f t="shared" ref="U2173" si="2414">ROUND($D2173*M2173,0)</f>
        <v>0</v>
      </c>
      <c r="V2173" s="1645"/>
      <c r="W2173" s="1644">
        <f t="shared" ref="W2173" si="2415">ROUND($D2173*O2173,0)</f>
        <v>0</v>
      </c>
      <c r="X2173" s="1643"/>
      <c r="Y2173" s="1644">
        <f t="shared" ref="Y2173" si="2416">ROUND($D2173*Q2173,0)</f>
        <v>0</v>
      </c>
    </row>
    <row r="2174" spans="1:25">
      <c r="A2174" s="1900" t="s">
        <v>194</v>
      </c>
      <c r="C2174" s="528">
        <f t="shared" ref="C2174" si="2417">C2197+C2220</f>
        <v>250152.48652283178</v>
      </c>
      <c r="D2174" s="528">
        <f t="shared" si="2406"/>
        <v>239106.11425782187</v>
      </c>
      <c r="F2174" s="1926">
        <v>11.733599999999999</v>
      </c>
      <c r="G2174" s="1921" t="s">
        <v>495</v>
      </c>
      <c r="H2174" s="1644">
        <f t="shared" ref="H2174:I2177" si="2418">ROUND($F2174*C2174/100,0)</f>
        <v>29352</v>
      </c>
      <c r="I2174" s="1644">
        <f t="shared" si="2418"/>
        <v>28056</v>
      </c>
      <c r="K2174" s="1926"/>
      <c r="L2174" s="1921"/>
      <c r="M2174" s="1926"/>
      <c r="N2174" s="1921"/>
      <c r="O2174" s="1926"/>
      <c r="P2174" s="1921"/>
      <c r="Q2174" s="1926"/>
      <c r="R2174" s="1921"/>
      <c r="S2174" s="1648"/>
      <c r="T2174" s="1648"/>
      <c r="U2174" s="1648"/>
      <c r="V2174" s="1648"/>
      <c r="W2174" s="1648"/>
      <c r="X2174" s="1648"/>
      <c r="Y2174" s="1644"/>
    </row>
    <row r="2175" spans="1:25">
      <c r="A2175" s="1900" t="s">
        <v>195</v>
      </c>
      <c r="C2175" s="528">
        <f t="shared" ref="C2175" si="2419">C2198+C2221</f>
        <v>311137.78789295233</v>
      </c>
      <c r="D2175" s="528">
        <f t="shared" si="2406"/>
        <v>308302</v>
      </c>
      <c r="F2175" s="1926">
        <v>6.5782999999999996</v>
      </c>
      <c r="G2175" s="1921" t="s">
        <v>495</v>
      </c>
      <c r="H2175" s="1644">
        <f t="shared" si="2418"/>
        <v>20468</v>
      </c>
      <c r="I2175" s="1644">
        <f t="shared" si="2418"/>
        <v>20281</v>
      </c>
      <c r="K2175" s="1926"/>
      <c r="L2175" s="1921"/>
      <c r="M2175" s="1926"/>
      <c r="N2175" s="1921"/>
      <c r="O2175" s="1926"/>
      <c r="P2175" s="1921"/>
      <c r="Q2175" s="1926"/>
      <c r="R2175" s="1921"/>
      <c r="S2175" s="1648"/>
      <c r="T2175" s="1648"/>
      <c r="U2175" s="1648"/>
      <c r="V2175" s="1648"/>
      <c r="W2175" s="1648"/>
      <c r="X2175" s="1648"/>
      <c r="Y2175" s="1644"/>
    </row>
    <row r="2176" spans="1:25">
      <c r="A2176" s="1900" t="s">
        <v>160</v>
      </c>
      <c r="C2176" s="528">
        <f t="shared" ref="C2176" si="2420">C2199+C2222</f>
        <v>302439.1625254103</v>
      </c>
      <c r="D2176" s="528">
        <f t="shared" si="2406"/>
        <v>409460</v>
      </c>
      <c r="F2176" s="1926">
        <v>10.8</v>
      </c>
      <c r="G2176" s="1921" t="s">
        <v>495</v>
      </c>
      <c r="H2176" s="1644">
        <f t="shared" si="2418"/>
        <v>32663</v>
      </c>
      <c r="I2176" s="1644">
        <f t="shared" si="2418"/>
        <v>44222</v>
      </c>
      <c r="K2176" s="1926"/>
      <c r="L2176" s="1921"/>
      <c r="M2176" s="1926"/>
      <c r="N2176" s="1921"/>
      <c r="O2176" s="1926"/>
      <c r="P2176" s="1921"/>
      <c r="Q2176" s="1926"/>
      <c r="R2176" s="1921"/>
      <c r="S2176" s="1648"/>
      <c r="T2176" s="1648"/>
      <c r="U2176" s="1648"/>
      <c r="V2176" s="1648"/>
      <c r="W2176" s="1648"/>
      <c r="X2176" s="1648"/>
      <c r="Y2176" s="1644"/>
    </row>
    <row r="2177" spans="1:28">
      <c r="A2177" s="1900" t="s">
        <v>159</v>
      </c>
      <c r="C2177" s="528">
        <f t="shared" ref="C2177" si="2421">C2200+C2223</f>
        <v>430324.46619551769</v>
      </c>
      <c r="D2177" s="528">
        <f t="shared" si="2406"/>
        <v>572843</v>
      </c>
      <c r="F2177" s="1926">
        <v>6.0567000000000002</v>
      </c>
      <c r="G2177" s="1921" t="s">
        <v>495</v>
      </c>
      <c r="H2177" s="1644">
        <f t="shared" si="2418"/>
        <v>26063</v>
      </c>
      <c r="I2177" s="1644">
        <f t="shared" si="2418"/>
        <v>34695</v>
      </c>
      <c r="K2177" s="1926"/>
      <c r="L2177" s="1921"/>
      <c r="M2177" s="1926"/>
      <c r="N2177" s="1921"/>
      <c r="O2177" s="1926"/>
      <c r="P2177" s="1921"/>
      <c r="Q2177" s="1926"/>
      <c r="R2177" s="1921"/>
      <c r="S2177" s="1648"/>
      <c r="T2177" s="1648"/>
      <c r="U2177" s="1648"/>
      <c r="V2177" s="1648"/>
      <c r="W2177" s="1648"/>
      <c r="X2177" s="1648"/>
      <c r="Y2177" s="1644"/>
    </row>
    <row r="2178" spans="1:28">
      <c r="A2178" s="1900" t="s">
        <v>246</v>
      </c>
      <c r="C2178" s="529">
        <f t="shared" ref="C2178" si="2422">C2201+C2224</f>
        <v>6915</v>
      </c>
      <c r="D2178" s="529">
        <f t="shared" si="2406"/>
        <v>0</v>
      </c>
      <c r="H2178" s="1654">
        <f>H2201+H2224</f>
        <v>727</v>
      </c>
      <c r="I2178" s="1654">
        <f t="shared" ref="I2178" si="2423">I2201+I2224</f>
        <v>0</v>
      </c>
      <c r="Y2178" s="1654">
        <f t="shared" ref="Y2178" si="2424">Y2201+Y2224</f>
        <v>0</v>
      </c>
    </row>
    <row r="2179" spans="1:28">
      <c r="A2179" s="1900" t="s">
        <v>1240</v>
      </c>
      <c r="C2179" s="584"/>
      <c r="D2179" s="584"/>
      <c r="F2179" s="1930">
        <v>-3.3099999999999997E-2</v>
      </c>
      <c r="G2179" s="597"/>
      <c r="H2179" s="1644">
        <f>SUM(H2171:H2172,H2174:H2177)*$F2179</f>
        <v>-3988.2520999999997</v>
      </c>
      <c r="I2179" s="1644">
        <f>SUM(I2171:I2172,I2174:I2177)*$F2179</f>
        <v>-4652.6021999999994</v>
      </c>
      <c r="K2179" s="1930"/>
      <c r="L2179" s="597"/>
      <c r="M2179" s="1930"/>
      <c r="N2179" s="597"/>
      <c r="O2179" s="1931" t="str">
        <f>$O$43</f>
        <v>Tax Year 1 (7/1/2021)</v>
      </c>
      <c r="P2179" s="597"/>
      <c r="Q2179" s="1930">
        <f>$AC$1988</f>
        <v>-2.5600000000000001E-2</v>
      </c>
      <c r="R2179" s="597"/>
      <c r="S2179" s="1645"/>
      <c r="T2179" s="1645"/>
      <c r="U2179" s="1645"/>
      <c r="V2179" s="1645"/>
      <c r="W2179" s="1645"/>
      <c r="X2179" s="1645"/>
      <c r="Y2179" s="1644">
        <f>Q2179*SUM(Y2165:Y2170)</f>
        <v>-3475.1744000000003</v>
      </c>
    </row>
    <row r="2180" spans="1:28">
      <c r="A2180" s="1900"/>
      <c r="C2180" s="584"/>
      <c r="D2180" s="584"/>
      <c r="F2180" s="1930"/>
      <c r="G2180" s="597"/>
      <c r="H2180" s="1644"/>
      <c r="I2180" s="1644"/>
      <c r="K2180" s="1930"/>
      <c r="L2180" s="597"/>
      <c r="M2180" s="1930"/>
      <c r="N2180" s="597"/>
      <c r="O2180" s="1931" t="str">
        <f>$O$44</f>
        <v>Tax Year 2 (1/1/2022)</v>
      </c>
      <c r="P2180" s="597"/>
      <c r="Q2180" s="1930">
        <f>$AC$1989</f>
        <v>-1.3899999999999999E-2</v>
      </c>
      <c r="R2180" s="597"/>
      <c r="S2180" s="1645"/>
      <c r="T2180" s="1645"/>
      <c r="U2180" s="1645"/>
      <c r="V2180" s="1645"/>
      <c r="W2180" s="1645"/>
      <c r="X2180" s="1645"/>
      <c r="Y2180" s="1644">
        <f>Q2180*SUM(Y2165:Y2170)</f>
        <v>-1886.9110999999998</v>
      </c>
    </row>
    <row r="2181" spans="1:28" ht="16.5" thickBot="1">
      <c r="A2181" s="1900" t="s">
        <v>247</v>
      </c>
      <c r="C2181" s="1949">
        <f>SUM(C2174:C2178)</f>
        <v>1300968.903136712</v>
      </c>
      <c r="D2181" s="1949">
        <f>SUM(D2174:D2178)</f>
        <v>1529711.1142578218</v>
      </c>
      <c r="F2181" s="1939"/>
      <c r="H2181" s="1647">
        <f>SUM(H2161:H2179)</f>
        <v>123287.7479</v>
      </c>
      <c r="I2181" s="1647">
        <f>SUM(I2161:I2179)</f>
        <v>152155.39780000001</v>
      </c>
      <c r="K2181" s="1939"/>
      <c r="M2181" s="1939"/>
      <c r="O2181" s="1939"/>
      <c r="P2181" s="597"/>
      <c r="Q2181" s="1939"/>
      <c r="R2181" s="597"/>
      <c r="S2181" s="1646">
        <f>SUM(S2161:S2178)</f>
        <v>73859</v>
      </c>
      <c r="T2181" s="1645"/>
      <c r="U2181" s="1646">
        <f>SUM(U2161:U2178)</f>
        <v>44893</v>
      </c>
      <c r="V2181" s="1645"/>
      <c r="W2181" s="1646">
        <f>SUM(W2161:W2178)</f>
        <v>33241</v>
      </c>
      <c r="X2181" s="1645"/>
      <c r="Y2181" s="1646">
        <f>SUM(Y2161:Y2178)</f>
        <v>151995</v>
      </c>
      <c r="AA2181" s="1104" t="s">
        <v>1743</v>
      </c>
      <c r="AB2181" s="1890">
        <f>Y2181/I2181-1</f>
        <v>-1.0541709483803396E-3</v>
      </c>
    </row>
    <row r="2182" spans="1:28" ht="16.5" hidden="1" thickTop="1">
      <c r="C2182" s="528"/>
      <c r="D2182" s="528"/>
      <c r="O2182" s="596"/>
      <c r="Q2182" s="596"/>
      <c r="Y2182" s="1645"/>
    </row>
    <row r="2183" spans="1:28" hidden="1">
      <c r="A2183" s="1897" t="s">
        <v>1293</v>
      </c>
      <c r="C2183" s="528"/>
      <c r="D2183" s="528"/>
    </row>
    <row r="2184" spans="1:28" hidden="1">
      <c r="A2184" s="1900" t="s">
        <v>240</v>
      </c>
      <c r="C2184" s="528">
        <f>'23'!G34</f>
        <v>80.8</v>
      </c>
      <c r="D2184" s="528">
        <f>Bill!P26</f>
        <v>322</v>
      </c>
      <c r="F2184" s="1944">
        <v>10</v>
      </c>
      <c r="G2184" s="597"/>
      <c r="H2184" s="1644">
        <f t="shared" ref="H2184:I2196" si="2425">ROUND($F2184*C2184,0)</f>
        <v>808</v>
      </c>
      <c r="I2184" s="1644">
        <f t="shared" si="2425"/>
        <v>3220</v>
      </c>
      <c r="K2184" s="1944">
        <f>K2161</f>
        <v>10</v>
      </c>
      <c r="L2184" s="597"/>
      <c r="M2184" s="1944">
        <f>M2161</f>
        <v>0</v>
      </c>
      <c r="N2184" s="597"/>
      <c r="O2184" s="1944">
        <f>O2161</f>
        <v>0</v>
      </c>
      <c r="P2184" s="597"/>
      <c r="Q2184" s="1944">
        <f t="shared" ref="Q2184:Q2193" si="2426">Q2161</f>
        <v>10</v>
      </c>
      <c r="R2184" s="597"/>
      <c r="S2184" s="1644">
        <f t="shared" ref="S2184:S2189" si="2427">ROUND($D2184*K2184,0)</f>
        <v>3220</v>
      </c>
      <c r="T2184" s="1645"/>
      <c r="U2184" s="1644">
        <f t="shared" ref="U2184:U2189" si="2428">ROUND($D2184*M2184,0)</f>
        <v>0</v>
      </c>
      <c r="V2184" s="1645"/>
      <c r="W2184" s="1644">
        <f t="shared" ref="W2184:W2189" si="2429">ROUND($D2184*O2184,0)</f>
        <v>0</v>
      </c>
      <c r="X2184" s="1645"/>
      <c r="Y2184" s="1644">
        <f t="shared" ref="Y2184:Y2189" si="2430">ROUND($D2184*Q2184,0)</f>
        <v>3220</v>
      </c>
    </row>
    <row r="2185" spans="1:28" hidden="1">
      <c r="A2185" s="1900" t="s">
        <v>262</v>
      </c>
      <c r="C2185" s="528">
        <v>0</v>
      </c>
      <c r="D2185" s="528">
        <f>ROUND(C2185/C2184*D2184,0)</f>
        <v>0</v>
      </c>
      <c r="F2185" s="1944">
        <v>120</v>
      </c>
      <c r="G2185" s="597"/>
      <c r="H2185" s="1644">
        <f t="shared" si="2425"/>
        <v>0</v>
      </c>
      <c r="I2185" s="1644">
        <f t="shared" si="2425"/>
        <v>0</v>
      </c>
      <c r="K2185" s="1944">
        <f t="shared" ref="K2185" si="2431">K2162</f>
        <v>117</v>
      </c>
      <c r="L2185" s="597"/>
      <c r="M2185" s="1944">
        <f t="shared" ref="M2185" si="2432">M2162</f>
        <v>0</v>
      </c>
      <c r="N2185" s="597"/>
      <c r="O2185" s="1944">
        <f t="shared" ref="O2185" si="2433">O2162</f>
        <v>0</v>
      </c>
      <c r="P2185" s="597"/>
      <c r="Q2185" s="1944">
        <f t="shared" si="2426"/>
        <v>117</v>
      </c>
      <c r="R2185" s="597"/>
      <c r="S2185" s="1644">
        <f t="shared" si="2427"/>
        <v>0</v>
      </c>
      <c r="T2185" s="1645"/>
      <c r="U2185" s="1644">
        <f t="shared" si="2428"/>
        <v>0</v>
      </c>
      <c r="V2185" s="1645"/>
      <c r="W2185" s="1644">
        <f t="shared" si="2429"/>
        <v>0</v>
      </c>
      <c r="X2185" s="1645"/>
      <c r="Y2185" s="1644">
        <f t="shared" si="2430"/>
        <v>0</v>
      </c>
    </row>
    <row r="2186" spans="1:28" hidden="1">
      <c r="A2186" s="1900" t="s">
        <v>1236</v>
      </c>
      <c r="C2186" s="528">
        <f>'23'!W34</f>
        <v>34</v>
      </c>
      <c r="D2186" s="528">
        <f>ROUND(C2186/C2184*D2184,0)</f>
        <v>135</v>
      </c>
      <c r="F2186" s="1944">
        <v>2</v>
      </c>
      <c r="G2186" s="597"/>
      <c r="H2186" s="1644">
        <f t="shared" si="2425"/>
        <v>68</v>
      </c>
      <c r="I2186" s="1644">
        <f t="shared" si="2425"/>
        <v>270</v>
      </c>
      <c r="K2186" s="1944">
        <f t="shared" ref="K2186" si="2434">K2163</f>
        <v>2</v>
      </c>
      <c r="L2186" s="597"/>
      <c r="M2186" s="1944">
        <f t="shared" ref="M2186" si="2435">M2163</f>
        <v>0</v>
      </c>
      <c r="N2186" s="597"/>
      <c r="O2186" s="1944">
        <f t="shared" ref="O2186" si="2436">O2163</f>
        <v>0</v>
      </c>
      <c r="P2186" s="597"/>
      <c r="Q2186" s="1944">
        <f t="shared" si="2426"/>
        <v>2</v>
      </c>
      <c r="R2186" s="597"/>
      <c r="S2186" s="1644">
        <f t="shared" si="2427"/>
        <v>270</v>
      </c>
      <c r="T2186" s="1645"/>
      <c r="U2186" s="1644">
        <f t="shared" si="2428"/>
        <v>0</v>
      </c>
      <c r="V2186" s="1645"/>
      <c r="W2186" s="1644">
        <f t="shared" si="2429"/>
        <v>0</v>
      </c>
      <c r="X2186" s="1645"/>
      <c r="Y2186" s="1644">
        <f t="shared" si="2430"/>
        <v>270</v>
      </c>
    </row>
    <row r="2187" spans="1:28" hidden="1">
      <c r="A2187" s="1900" t="s">
        <v>1298</v>
      </c>
      <c r="C2187" s="528">
        <f>'23'!AH34</f>
        <v>0</v>
      </c>
      <c r="D2187" s="528">
        <f>ROUND(C2187/C2184*D2184,0)</f>
        <v>0</v>
      </c>
      <c r="F2187" s="1944">
        <v>10</v>
      </c>
      <c r="G2187" s="597"/>
      <c r="H2187" s="1644">
        <f t="shared" si="2425"/>
        <v>0</v>
      </c>
      <c r="I2187" s="1644">
        <f t="shared" si="2425"/>
        <v>0</v>
      </c>
      <c r="K2187" s="1944">
        <f t="shared" ref="K2187" si="2437">K2164</f>
        <v>10</v>
      </c>
      <c r="L2187" s="597"/>
      <c r="M2187" s="1944">
        <f t="shared" ref="M2187" si="2438">M2164</f>
        <v>0</v>
      </c>
      <c r="N2187" s="597"/>
      <c r="O2187" s="1944">
        <f t="shared" ref="O2187" si="2439">O2164</f>
        <v>0</v>
      </c>
      <c r="P2187" s="597"/>
      <c r="Q2187" s="1944">
        <f t="shared" si="2426"/>
        <v>10</v>
      </c>
      <c r="R2187" s="597"/>
      <c r="S2187" s="1644">
        <f t="shared" si="2427"/>
        <v>0</v>
      </c>
      <c r="T2187" s="1645"/>
      <c r="U2187" s="1644">
        <f t="shared" si="2428"/>
        <v>0</v>
      </c>
      <c r="V2187" s="1645"/>
      <c r="W2187" s="1644">
        <f t="shared" si="2429"/>
        <v>0</v>
      </c>
      <c r="X2187" s="1645"/>
      <c r="Y2187" s="1644">
        <f t="shared" si="2430"/>
        <v>0</v>
      </c>
    </row>
    <row r="2188" spans="1:28" hidden="1">
      <c r="A2188" s="1900" t="s">
        <v>1654</v>
      </c>
      <c r="C2188" s="528">
        <f>'23'!I34+'23-may'!I34</f>
        <v>26</v>
      </c>
      <c r="D2188" s="528">
        <f>ROUND(C2188/C2204*D2204,0)</f>
        <v>54</v>
      </c>
      <c r="F2188" s="1944"/>
      <c r="G2188" s="597"/>
      <c r="H2188" s="1644"/>
      <c r="I2188" s="1644"/>
      <c r="K2188" s="1944">
        <f t="shared" ref="K2188" si="2440">K2165</f>
        <v>8.89</v>
      </c>
      <c r="L2188" s="597"/>
      <c r="M2188" s="1944">
        <f t="shared" ref="M2188" si="2441">M2165</f>
        <v>0</v>
      </c>
      <c r="N2188" s="597"/>
      <c r="O2188" s="1944">
        <f t="shared" ref="O2188" si="2442">O2165</f>
        <v>0</v>
      </c>
      <c r="P2188" s="597"/>
      <c r="Q2188" s="1944">
        <f t="shared" si="2426"/>
        <v>8.89</v>
      </c>
      <c r="R2188" s="597"/>
      <c r="S2188" s="1644">
        <f t="shared" si="2427"/>
        <v>480</v>
      </c>
      <c r="T2188" s="1645"/>
      <c r="U2188" s="1644">
        <f t="shared" si="2428"/>
        <v>0</v>
      </c>
      <c r="V2188" s="1645"/>
      <c r="W2188" s="1644">
        <f t="shared" si="2429"/>
        <v>0</v>
      </c>
      <c r="X2188" s="1645"/>
      <c r="Y2188" s="1644">
        <f t="shared" si="2430"/>
        <v>480</v>
      </c>
    </row>
    <row r="2189" spans="1:28" hidden="1">
      <c r="A2189" s="1900" t="s">
        <v>1655</v>
      </c>
      <c r="C2189" s="528">
        <f>'23'!J34+'23-may'!J34</f>
        <v>45</v>
      </c>
      <c r="D2189" s="528">
        <f>ROUND(C2189/C2204*D2204,0)</f>
        <v>94</v>
      </c>
      <c r="F2189" s="1944"/>
      <c r="G2189" s="597"/>
      <c r="H2189" s="1644"/>
      <c r="I2189" s="1644"/>
      <c r="K2189" s="1944">
        <f t="shared" ref="K2189" si="2443">K2166</f>
        <v>7.87</v>
      </c>
      <c r="L2189" s="597"/>
      <c r="M2189" s="1944">
        <f t="shared" ref="M2189" si="2444">M2166</f>
        <v>0</v>
      </c>
      <c r="N2189" s="597"/>
      <c r="O2189" s="1944">
        <f t="shared" ref="O2189" si="2445">O2166</f>
        <v>0</v>
      </c>
      <c r="P2189" s="597"/>
      <c r="Q2189" s="1944">
        <f t="shared" si="2426"/>
        <v>7.87</v>
      </c>
      <c r="R2189" s="597"/>
      <c r="S2189" s="1644">
        <f t="shared" si="2427"/>
        <v>740</v>
      </c>
      <c r="T2189" s="1645"/>
      <c r="U2189" s="1644">
        <f t="shared" si="2428"/>
        <v>0</v>
      </c>
      <c r="V2189" s="1645"/>
      <c r="W2189" s="1644">
        <f t="shared" si="2429"/>
        <v>0</v>
      </c>
      <c r="X2189" s="1645"/>
      <c r="Y2189" s="1644">
        <f t="shared" si="2430"/>
        <v>740</v>
      </c>
    </row>
    <row r="2190" spans="1:28" hidden="1">
      <c r="A2190" s="1900" t="s">
        <v>1656</v>
      </c>
      <c r="C2190" s="528">
        <f>'23'!N34+TempRevMay!W327+'23-may'!N34</f>
        <v>20901.987155416205</v>
      </c>
      <c r="D2190" s="528">
        <f>D2204-SUM(D2191:E2193)</f>
        <v>37926.333333333314</v>
      </c>
      <c r="F2190" s="1943"/>
      <c r="G2190" s="1921"/>
      <c r="H2190" s="1644"/>
      <c r="I2190" s="1644"/>
      <c r="K2190" s="1943">
        <f t="shared" ref="K2190" si="2446">K2167</f>
        <v>2.9403000000000001</v>
      </c>
      <c r="L2190" s="1921" t="s">
        <v>495</v>
      </c>
      <c r="M2190" s="1943">
        <f t="shared" ref="M2190" si="2447">M2167</f>
        <v>6.4656468966360006</v>
      </c>
      <c r="N2190" s="1921" t="s">
        <v>495</v>
      </c>
      <c r="O2190" s="1943">
        <f t="shared" ref="O2190" si="2448">O2167</f>
        <v>2.3066</v>
      </c>
      <c r="P2190" s="1921" t="s">
        <v>495</v>
      </c>
      <c r="Q2190" s="1943">
        <f t="shared" si="2426"/>
        <v>11.712546896636001</v>
      </c>
      <c r="R2190" s="1921" t="s">
        <v>495</v>
      </c>
      <c r="S2190" s="1644">
        <f>ROUND($D2190*K2190/100,0)</f>
        <v>1115</v>
      </c>
      <c r="T2190" s="1648"/>
      <c r="U2190" s="1644">
        <f>ROUND($D2190*M2190/100,0)</f>
        <v>2452</v>
      </c>
      <c r="V2190" s="1648"/>
      <c r="W2190" s="1644">
        <f>ROUND($D2190*O2190/100,0)</f>
        <v>875</v>
      </c>
      <c r="X2190" s="1648"/>
      <c r="Y2190" s="1644">
        <f>ROUND($D2190*Q2190/100,0)</f>
        <v>4442</v>
      </c>
    </row>
    <row r="2191" spans="1:28" hidden="1">
      <c r="A2191" s="1900" t="s">
        <v>1657</v>
      </c>
      <c r="C2191" s="528">
        <f>'23'!O34+TempRevMay!W328+'23-may'!O34</f>
        <v>35127.494916347903</v>
      </c>
      <c r="D2191" s="528">
        <f>ROUND(C2191/(C2190+C2191)*Energy!S26,0)</f>
        <v>63738</v>
      </c>
      <c r="F2191" s="1943"/>
      <c r="G2191" s="1921"/>
      <c r="H2191" s="1644"/>
      <c r="I2191" s="1644"/>
      <c r="K2191" s="1943">
        <f t="shared" ref="K2191" si="2449">K2168</f>
        <v>2.9403000000000001</v>
      </c>
      <c r="L2191" s="1921" t="s">
        <v>495</v>
      </c>
      <c r="M2191" s="1943">
        <f t="shared" ref="M2191" si="2450">M2168</f>
        <v>1.310346896636001</v>
      </c>
      <c r="N2191" s="1921" t="s">
        <v>495</v>
      </c>
      <c r="O2191" s="1943">
        <f t="shared" ref="O2191" si="2451">O2168</f>
        <v>2.3066</v>
      </c>
      <c r="P2191" s="1921" t="s">
        <v>495</v>
      </c>
      <c r="Q2191" s="1943">
        <f t="shared" si="2426"/>
        <v>6.5572468966360011</v>
      </c>
      <c r="R2191" s="1921" t="s">
        <v>495</v>
      </c>
      <c r="S2191" s="1644">
        <f t="shared" ref="S2191:S2193" si="2452">ROUND($D2191*K2191/100,0)</f>
        <v>1874</v>
      </c>
      <c r="T2191" s="1648"/>
      <c r="U2191" s="1644">
        <f t="shared" ref="U2191:U2193" si="2453">ROUND($D2191*M2191/100,0)</f>
        <v>835</v>
      </c>
      <c r="V2191" s="1648"/>
      <c r="W2191" s="1644">
        <f t="shared" ref="W2191:W2193" si="2454">ROUND($D2191*O2191/100,0)</f>
        <v>1470</v>
      </c>
      <c r="X2191" s="1648"/>
      <c r="Y2191" s="1644">
        <f t="shared" ref="Y2191:Y2193" si="2455">ROUND($D2191*Q2191/100,0)</f>
        <v>4179</v>
      </c>
    </row>
    <row r="2192" spans="1:28" hidden="1">
      <c r="A2192" s="1900" t="s">
        <v>1658</v>
      </c>
      <c r="C2192" s="528">
        <f>'23'!Q34+TempRevMay!W329+'23-may'!Q34</f>
        <v>39524.867974118919</v>
      </c>
      <c r="D2192" s="528">
        <f>ROUND(C2192/(C2192+C2193)*Energy!T26,0)</f>
        <v>90285</v>
      </c>
      <c r="F2192" s="1943"/>
      <c r="G2192" s="1921"/>
      <c r="H2192" s="1644"/>
      <c r="I2192" s="1644"/>
      <c r="K2192" s="1943">
        <f t="shared" ref="K2192" si="2456">K2169</f>
        <v>2.9403000000000001</v>
      </c>
      <c r="L2192" s="1921" t="s">
        <v>495</v>
      </c>
      <c r="M2192" s="1943">
        <f t="shared" ref="M2192" si="2457">M2169</f>
        <v>5.3096999999999994</v>
      </c>
      <c r="N2192" s="1921" t="s">
        <v>495</v>
      </c>
      <c r="O2192" s="1943">
        <f t="shared" ref="O2192" si="2458">O2169</f>
        <v>2.1151</v>
      </c>
      <c r="P2192" s="1921" t="s">
        <v>495</v>
      </c>
      <c r="Q2192" s="1943">
        <f t="shared" si="2426"/>
        <v>10.3651</v>
      </c>
      <c r="R2192" s="1921" t="s">
        <v>495</v>
      </c>
      <c r="S2192" s="1644">
        <f t="shared" si="2452"/>
        <v>2655</v>
      </c>
      <c r="T2192" s="1648"/>
      <c r="U2192" s="1644">
        <f t="shared" si="2453"/>
        <v>4794</v>
      </c>
      <c r="V2192" s="1648"/>
      <c r="W2192" s="1644">
        <f t="shared" si="2454"/>
        <v>1910</v>
      </c>
      <c r="X2192" s="1648"/>
      <c r="Y2192" s="1644">
        <f t="shared" si="2455"/>
        <v>9358</v>
      </c>
    </row>
    <row r="2193" spans="1:28" hidden="1">
      <c r="A2193" s="1900" t="s">
        <v>1659</v>
      </c>
      <c r="C2193" s="528">
        <f>'23'!R34+TempRevMay!W330+'23-may'!R34</f>
        <v>48663.65053124704</v>
      </c>
      <c r="D2193" s="528">
        <f>ROUND(C2193/(C2192+C2193)*Energy!T26,0)</f>
        <v>111160</v>
      </c>
      <c r="F2193" s="1943"/>
      <c r="G2193" s="1921"/>
      <c r="H2193" s="1644"/>
      <c r="I2193" s="1644"/>
      <c r="K2193" s="1943">
        <f t="shared" ref="K2193" si="2459">K2170</f>
        <v>2.9403000000000001</v>
      </c>
      <c r="L2193" s="1921" t="s">
        <v>495</v>
      </c>
      <c r="M2193" s="1943">
        <f t="shared" ref="M2193" si="2460">M2170</f>
        <v>0.74750000000000005</v>
      </c>
      <c r="N2193" s="1921" t="s">
        <v>495</v>
      </c>
      <c r="O2193" s="1943">
        <f t="shared" ref="O2193" si="2461">O2170</f>
        <v>2.1151</v>
      </c>
      <c r="P2193" s="1921" t="s">
        <v>495</v>
      </c>
      <c r="Q2193" s="1943">
        <f t="shared" si="2426"/>
        <v>5.8029000000000002</v>
      </c>
      <c r="R2193" s="1921" t="s">
        <v>495</v>
      </c>
      <c r="S2193" s="1644">
        <f t="shared" si="2452"/>
        <v>3268</v>
      </c>
      <c r="T2193" s="1648"/>
      <c r="U2193" s="1644">
        <f t="shared" si="2453"/>
        <v>831</v>
      </c>
      <c r="V2193" s="1648"/>
      <c r="W2193" s="1644">
        <f t="shared" si="2454"/>
        <v>2351</v>
      </c>
      <c r="X2193" s="1648"/>
      <c r="Y2193" s="1644">
        <f t="shared" si="2455"/>
        <v>6451</v>
      </c>
    </row>
    <row r="2194" spans="1:28" hidden="1">
      <c r="A2194" s="1900" t="s">
        <v>282</v>
      </c>
      <c r="C2194" s="528">
        <f>'23'!I34</f>
        <v>33</v>
      </c>
      <c r="D2194" s="528">
        <f>ROUND(C2194/C2204*D2204,0)</f>
        <v>69</v>
      </c>
      <c r="F2194" s="1944">
        <v>8.65</v>
      </c>
      <c r="G2194" s="597"/>
      <c r="H2194" s="1644">
        <f t="shared" si="2425"/>
        <v>285</v>
      </c>
      <c r="I2194" s="1644">
        <f t="shared" si="2425"/>
        <v>597</v>
      </c>
      <c r="K2194" s="1944"/>
      <c r="L2194" s="597"/>
      <c r="M2194" s="1944"/>
      <c r="N2194" s="597"/>
      <c r="O2194" s="1944"/>
      <c r="P2194" s="597"/>
      <c r="Q2194" s="1944"/>
      <c r="R2194" s="597"/>
      <c r="S2194" s="1645"/>
      <c r="T2194" s="1645"/>
      <c r="U2194" s="1645"/>
      <c r="V2194" s="1645"/>
      <c r="W2194" s="1645"/>
      <c r="X2194" s="1645"/>
      <c r="Y2194" s="1644"/>
    </row>
    <row r="2195" spans="1:28" hidden="1">
      <c r="A2195" s="1900" t="s">
        <v>283</v>
      </c>
      <c r="C2195" s="528">
        <f>'23'!J34</f>
        <v>38</v>
      </c>
      <c r="D2195" s="528">
        <f>ROUND(C2195/C2204*D2204,0)</f>
        <v>79</v>
      </c>
      <c r="F2195" s="1944">
        <v>8.7000000000000011</v>
      </c>
      <c r="G2195" s="597"/>
      <c r="H2195" s="1644">
        <f t="shared" si="2425"/>
        <v>331</v>
      </c>
      <c r="I2195" s="1644">
        <f t="shared" si="2425"/>
        <v>687</v>
      </c>
      <c r="K2195" s="1944"/>
      <c r="L2195" s="597"/>
      <c r="M2195" s="1944"/>
      <c r="N2195" s="597"/>
      <c r="O2195" s="1944"/>
      <c r="P2195" s="597"/>
      <c r="Q2195" s="1944"/>
      <c r="R2195" s="597"/>
      <c r="S2195" s="1645"/>
      <c r="T2195" s="1645"/>
      <c r="U2195" s="1645"/>
      <c r="V2195" s="1645"/>
      <c r="W2195" s="1645"/>
      <c r="X2195" s="1645"/>
      <c r="Y2195" s="1644"/>
    </row>
    <row r="2196" spans="1:28" hidden="1">
      <c r="A2196" s="1900" t="s">
        <v>261</v>
      </c>
      <c r="C2196" s="528">
        <f>'23'!K34</f>
        <v>0</v>
      </c>
      <c r="D2196" s="528">
        <f>ROUND(C2196/C2204*D2204,0)</f>
        <v>0</v>
      </c>
      <c r="F2196" s="1944">
        <v>-0.48</v>
      </c>
      <c r="G2196" s="597"/>
      <c r="H2196" s="1644">
        <f t="shared" si="2425"/>
        <v>0</v>
      </c>
      <c r="I2196" s="1644">
        <f t="shared" si="2425"/>
        <v>0</v>
      </c>
      <c r="K2196" s="1944">
        <f>K2173</f>
        <v>-0.48</v>
      </c>
      <c r="L2196" s="597"/>
      <c r="M2196" s="1944">
        <f>M2173</f>
        <v>0</v>
      </c>
      <c r="N2196" s="597"/>
      <c r="O2196" s="1944">
        <f>O2173</f>
        <v>0</v>
      </c>
      <c r="P2196" s="597"/>
      <c r="Q2196" s="1944">
        <f>Q2173</f>
        <v>-0.48</v>
      </c>
      <c r="R2196" s="597"/>
      <c r="S2196" s="1644">
        <f t="shared" ref="S2196" si="2462">ROUND($D2196*K2196,0)</f>
        <v>0</v>
      </c>
      <c r="T2196" s="1645"/>
      <c r="U2196" s="1644">
        <f t="shared" ref="U2196" si="2463">ROUND($D2196*M2196,0)</f>
        <v>0</v>
      </c>
      <c r="V2196" s="1645"/>
      <c r="W2196" s="1644">
        <f t="shared" ref="W2196" si="2464">ROUND($D2196*O2196,0)</f>
        <v>0</v>
      </c>
      <c r="X2196" s="1645"/>
      <c r="Y2196" s="1644">
        <f t="shared" ref="Y2196" si="2465">ROUND($D2196*Q2196,0)</f>
        <v>0</v>
      </c>
    </row>
    <row r="2197" spans="1:28" hidden="1">
      <c r="A2197" s="1900" t="s">
        <v>194</v>
      </c>
      <c r="C2197" s="528">
        <f>'23'!N34+TempRev!W327</f>
        <v>25924.992708098362</v>
      </c>
      <c r="D2197" s="528">
        <f>D2204-SUM(D2198:D2201)</f>
        <v>47537.333333333314</v>
      </c>
      <c r="F2197" s="1943">
        <v>11.733599999999999</v>
      </c>
      <c r="G2197" s="1921" t="s">
        <v>495</v>
      </c>
      <c r="H2197" s="1644">
        <f t="shared" ref="H2197:I2200" si="2466">ROUND($F2197*C2197/100,0)</f>
        <v>3042</v>
      </c>
      <c r="I2197" s="1644">
        <f t="shared" si="2466"/>
        <v>5578</v>
      </c>
      <c r="K2197" s="1943"/>
      <c r="L2197" s="1921"/>
      <c r="M2197" s="1943"/>
      <c r="N2197" s="1921"/>
      <c r="O2197" s="1943"/>
      <c r="P2197" s="1921"/>
      <c r="Q2197" s="1943"/>
      <c r="R2197" s="1921"/>
      <c r="S2197" s="1648"/>
      <c r="T2197" s="1648"/>
      <c r="U2197" s="1648"/>
      <c r="V2197" s="1648"/>
      <c r="W2197" s="1648"/>
      <c r="X2197" s="1648"/>
      <c r="Y2197" s="1644"/>
    </row>
    <row r="2198" spans="1:28" hidden="1">
      <c r="A2198" s="1900" t="s">
        <v>195</v>
      </c>
      <c r="C2198" s="528">
        <f>'23'!O34+TempRev!W328</f>
        <v>43379.4482922647</v>
      </c>
      <c r="D2198" s="528">
        <f>ROUND(C2198/(C2197+C2198)*Energy!Q26,0)</f>
        <v>79543</v>
      </c>
      <c r="F2198" s="1943">
        <v>6.5782999999999996</v>
      </c>
      <c r="G2198" s="1921" t="s">
        <v>495</v>
      </c>
      <c r="H2198" s="1644">
        <f t="shared" si="2466"/>
        <v>2854</v>
      </c>
      <c r="I2198" s="1644">
        <f t="shared" si="2466"/>
        <v>5233</v>
      </c>
      <c r="K2198" s="1943"/>
      <c r="L2198" s="1921"/>
      <c r="M2198" s="1943"/>
      <c r="N2198" s="1921"/>
      <c r="O2198" s="1943"/>
      <c r="P2198" s="1921"/>
      <c r="Q2198" s="1943"/>
      <c r="R2198" s="1921"/>
      <c r="S2198" s="1648"/>
      <c r="T2198" s="1648"/>
      <c r="U2198" s="1648"/>
      <c r="V2198" s="1648"/>
      <c r="W2198" s="1648"/>
      <c r="X2198" s="1648"/>
      <c r="Y2198" s="1644"/>
    </row>
    <row r="2199" spans="1:28" hidden="1">
      <c r="A2199" s="1900" t="s">
        <v>160</v>
      </c>
      <c r="C2199" s="528">
        <f>'23'!Q34+TempRev!W329</f>
        <v>34501.862421436766</v>
      </c>
      <c r="D2199" s="528">
        <f>ROUND(C2199/(C2199+C2200)*Energy!R26,0)</f>
        <v>81071</v>
      </c>
      <c r="F2199" s="1943">
        <v>10.8</v>
      </c>
      <c r="G2199" s="1921" t="s">
        <v>495</v>
      </c>
      <c r="H2199" s="1644">
        <f t="shared" si="2466"/>
        <v>3726</v>
      </c>
      <c r="I2199" s="1644">
        <f t="shared" si="2466"/>
        <v>8756</v>
      </c>
      <c r="K2199" s="1943"/>
      <c r="L2199" s="1921"/>
      <c r="M2199" s="1943"/>
      <c r="N2199" s="1921"/>
      <c r="O2199" s="1943"/>
      <c r="P2199" s="1921"/>
      <c r="Q2199" s="1943"/>
      <c r="R2199" s="1921"/>
      <c r="S2199" s="1648"/>
      <c r="T2199" s="1648"/>
      <c r="U2199" s="1648"/>
      <c r="V2199" s="1648"/>
      <c r="W2199" s="1648"/>
      <c r="X2199" s="1648"/>
      <c r="Y2199" s="1644"/>
    </row>
    <row r="2200" spans="1:28" hidden="1">
      <c r="A2200" s="1900" t="s">
        <v>159</v>
      </c>
      <c r="C2200" s="528">
        <f>'23'!R34+TempRev!W330</f>
        <v>40411.697155330243</v>
      </c>
      <c r="D2200" s="528">
        <f>ROUND(C2200/(C2199+C2200)*Energy!R26,0)</f>
        <v>94958</v>
      </c>
      <c r="F2200" s="1943">
        <v>6.0567000000000002</v>
      </c>
      <c r="G2200" s="1921" t="s">
        <v>495</v>
      </c>
      <c r="H2200" s="1644">
        <f t="shared" si="2466"/>
        <v>2448</v>
      </c>
      <c r="I2200" s="1644">
        <f t="shared" si="2466"/>
        <v>5751</v>
      </c>
      <c r="K2200" s="1943"/>
      <c r="L2200" s="1921"/>
      <c r="M2200" s="1943"/>
      <c r="N2200" s="1921"/>
      <c r="O2200" s="1943"/>
      <c r="P2200" s="1921"/>
      <c r="Q2200" s="1943"/>
      <c r="R2200" s="1921"/>
      <c r="S2200" s="1648"/>
      <c r="T2200" s="1648"/>
      <c r="U2200" s="1648"/>
      <c r="V2200" s="1648"/>
      <c r="W2200" s="1648"/>
      <c r="X2200" s="1648"/>
      <c r="Y2200" s="1644"/>
    </row>
    <row r="2201" spans="1:28" hidden="1">
      <c r="A2201" s="1900" t="s">
        <v>246</v>
      </c>
      <c r="C2201" s="529">
        <f>'Table 2'!J27</f>
        <v>818</v>
      </c>
      <c r="D2201" s="529">
        <v>0</v>
      </c>
      <c r="H2201" s="1030">
        <f>'Table 3'!F27</f>
        <v>81</v>
      </c>
      <c r="I2201" s="1030">
        <v>0</v>
      </c>
      <c r="Y2201" s="1030">
        <v>0</v>
      </c>
    </row>
    <row r="2202" spans="1:28" hidden="1">
      <c r="A2202" s="1900" t="s">
        <v>1240</v>
      </c>
      <c r="C2202" s="584"/>
      <c r="D2202" s="584"/>
      <c r="F2202" s="1930">
        <v>-3.3099999999999997E-2</v>
      </c>
      <c r="G2202" s="597"/>
      <c r="H2202" s="1644">
        <f>SUM(H2194:H2195,H2197:H2200)*$F2202</f>
        <v>-419.90659999999997</v>
      </c>
      <c r="I2202" s="1644">
        <f>SUM(I2194:I2195,I2197:I2200)*$F2202</f>
        <v>-880.5261999999999</v>
      </c>
      <c r="K2202" s="1930"/>
      <c r="L2202" s="597"/>
      <c r="M2202" s="1930"/>
      <c r="N2202" s="597"/>
      <c r="O2202" s="1931" t="str">
        <f>$O$43</f>
        <v>Tax Year 1 (7/1/2021)</v>
      </c>
      <c r="P2202" s="597"/>
      <c r="Q2202" s="1930">
        <f>$AC$1988</f>
        <v>-2.5600000000000001E-2</v>
      </c>
      <c r="R2202" s="597"/>
      <c r="S2202" s="1645"/>
      <c r="T2202" s="1645"/>
      <c r="U2202" s="1645"/>
      <c r="V2202" s="1645"/>
      <c r="W2202" s="1645"/>
      <c r="X2202" s="1645"/>
      <c r="Y2202" s="1644">
        <f>Q2202*SUM(Y2188:Y2193)</f>
        <v>-656.64</v>
      </c>
    </row>
    <row r="2203" spans="1:28" hidden="1">
      <c r="A2203" s="1900"/>
      <c r="C2203" s="584"/>
      <c r="D2203" s="584"/>
      <c r="F2203" s="1930"/>
      <c r="G2203" s="597"/>
      <c r="H2203" s="1644"/>
      <c r="I2203" s="1644"/>
      <c r="K2203" s="1930"/>
      <c r="L2203" s="597"/>
      <c r="M2203" s="1930"/>
      <c r="N2203" s="597"/>
      <c r="O2203" s="1931" t="str">
        <f>$O$44</f>
        <v>Tax Year 2 (1/1/2022)</v>
      </c>
      <c r="P2203" s="597"/>
      <c r="Q2203" s="1930">
        <f>$AC$1989</f>
        <v>-1.3899999999999999E-2</v>
      </c>
      <c r="R2203" s="597"/>
      <c r="S2203" s="1645"/>
      <c r="T2203" s="1645"/>
      <c r="U2203" s="1645"/>
      <c r="V2203" s="1645"/>
      <c r="W2203" s="1645"/>
      <c r="X2203" s="1645"/>
      <c r="Y2203" s="1644">
        <f>Q2203*SUM(Y2188:Y2193)</f>
        <v>-356.53499999999997</v>
      </c>
    </row>
    <row r="2204" spans="1:28" ht="16.5" hidden="1" thickBot="1">
      <c r="A2204" s="1900" t="s">
        <v>247</v>
      </c>
      <c r="C2204" s="1949">
        <f>SUM(C2197:C2200,C2201)</f>
        <v>145036.00057713006</v>
      </c>
      <c r="D2204" s="1949">
        <f>Energy!P26</f>
        <v>303109.33333333331</v>
      </c>
      <c r="F2204" s="1939"/>
      <c r="H2204" s="1647">
        <f>SUM(H2184:H2202)</f>
        <v>13223.0934</v>
      </c>
      <c r="I2204" s="1647">
        <f>SUM(I2184:I2202)</f>
        <v>29211.4738</v>
      </c>
      <c r="K2204" s="1939"/>
      <c r="M2204" s="1939"/>
      <c r="O2204" s="1939"/>
      <c r="P2204" s="597"/>
      <c r="Q2204" s="1939"/>
      <c r="R2204" s="597"/>
      <c r="S2204" s="1646">
        <f>SUM(S2184:S2201)</f>
        <v>13622</v>
      </c>
      <c r="T2204" s="1645"/>
      <c r="U2204" s="1646">
        <f>SUM(U2184:U2201)</f>
        <v>8912</v>
      </c>
      <c r="V2204" s="1645"/>
      <c r="W2204" s="1646">
        <f>SUM(W2184:W2201)</f>
        <v>6606</v>
      </c>
      <c r="X2204" s="1645"/>
      <c r="Y2204" s="1646">
        <f>SUM(Y2184:Y2201)</f>
        <v>29140</v>
      </c>
      <c r="AA2204" s="1104" t="s">
        <v>1743</v>
      </c>
      <c r="AB2204" s="1890">
        <f>Y2204/I2204-1</f>
        <v>-2.4467714463622947E-3</v>
      </c>
    </row>
    <row r="2205" spans="1:28" ht="16.5" hidden="1" thickTop="1">
      <c r="O2205" s="596"/>
      <c r="Q2205" s="596"/>
      <c r="Y2205" s="1645"/>
    </row>
    <row r="2206" spans="1:28" hidden="1">
      <c r="A2206" s="1897" t="s">
        <v>1292</v>
      </c>
      <c r="C2206" s="528"/>
      <c r="D2206" s="528"/>
    </row>
    <row r="2207" spans="1:28" hidden="1">
      <c r="A2207" s="1900" t="s">
        <v>240</v>
      </c>
      <c r="C2207" s="528">
        <f>'23'!G32</f>
        <v>497.238</v>
      </c>
      <c r="D2207" s="528">
        <f>Bill!P51</f>
        <v>1224</v>
      </c>
      <c r="F2207" s="1944">
        <v>10</v>
      </c>
      <c r="G2207" s="597"/>
      <c r="H2207" s="1644">
        <f t="shared" ref="H2207:I2219" si="2467">ROUND($F2207*C2207,0)</f>
        <v>4972</v>
      </c>
      <c r="I2207" s="1644">
        <f t="shared" si="2467"/>
        <v>12240</v>
      </c>
      <c r="K2207" s="1944">
        <f>K2161</f>
        <v>10</v>
      </c>
      <c r="L2207" s="597"/>
      <c r="M2207" s="1944">
        <f>M2161</f>
        <v>0</v>
      </c>
      <c r="N2207" s="597"/>
      <c r="O2207" s="1944">
        <f>O2161</f>
        <v>0</v>
      </c>
      <c r="P2207" s="597"/>
      <c r="Q2207" s="1944">
        <f t="shared" ref="Q2207:Q2216" si="2468">Q2161</f>
        <v>10</v>
      </c>
      <c r="R2207" s="597"/>
      <c r="S2207" s="1644">
        <f t="shared" ref="S2207:S2212" si="2469">ROUND($D2207*K2207,0)</f>
        <v>12240</v>
      </c>
      <c r="T2207" s="1645"/>
      <c r="U2207" s="1644">
        <f t="shared" ref="U2207:U2212" si="2470">ROUND($D2207*M2207,0)</f>
        <v>0</v>
      </c>
      <c r="V2207" s="1645"/>
      <c r="W2207" s="1644">
        <f t="shared" ref="W2207:W2212" si="2471">ROUND($D2207*O2207,0)</f>
        <v>0</v>
      </c>
      <c r="X2207" s="1645"/>
      <c r="Y2207" s="1644">
        <f t="shared" ref="Y2207:Y2212" si="2472">ROUND($D2207*Q2207,0)</f>
        <v>12240</v>
      </c>
    </row>
    <row r="2208" spans="1:28" hidden="1">
      <c r="A2208" s="1900" t="s">
        <v>262</v>
      </c>
      <c r="C2208" s="528">
        <v>0</v>
      </c>
      <c r="D2208" s="528">
        <f>ROUND(C2208/C2207*D2207,0)</f>
        <v>0</v>
      </c>
      <c r="F2208" s="1944">
        <v>120</v>
      </c>
      <c r="G2208" s="597"/>
      <c r="H2208" s="1644">
        <f t="shared" si="2467"/>
        <v>0</v>
      </c>
      <c r="I2208" s="1644">
        <f t="shared" si="2467"/>
        <v>0</v>
      </c>
      <c r="K2208" s="1944">
        <f t="shared" ref="K2208" si="2473">K2162</f>
        <v>117</v>
      </c>
      <c r="L2208" s="597"/>
      <c r="M2208" s="1944">
        <f t="shared" ref="M2208" si="2474">M2162</f>
        <v>0</v>
      </c>
      <c r="N2208" s="597"/>
      <c r="O2208" s="1944">
        <f t="shared" ref="O2208" si="2475">O2162</f>
        <v>0</v>
      </c>
      <c r="P2208" s="597"/>
      <c r="Q2208" s="1944">
        <f t="shared" si="2468"/>
        <v>117</v>
      </c>
      <c r="R2208" s="597"/>
      <c r="S2208" s="1644">
        <f t="shared" si="2469"/>
        <v>0</v>
      </c>
      <c r="T2208" s="1645"/>
      <c r="U2208" s="1644">
        <f t="shared" si="2470"/>
        <v>0</v>
      </c>
      <c r="V2208" s="1645"/>
      <c r="W2208" s="1644">
        <f t="shared" si="2471"/>
        <v>0</v>
      </c>
      <c r="X2208" s="1645"/>
      <c r="Y2208" s="1644">
        <f t="shared" si="2472"/>
        <v>0</v>
      </c>
    </row>
    <row r="2209" spans="1:25" hidden="1">
      <c r="A2209" s="1900" t="s">
        <v>1236</v>
      </c>
      <c r="C2209" s="528">
        <f>'23'!W32</f>
        <v>105</v>
      </c>
      <c r="D2209" s="528">
        <f>ROUND(C2209/C2207*D2207,0)</f>
        <v>258</v>
      </c>
      <c r="F2209" s="1944">
        <v>2</v>
      </c>
      <c r="G2209" s="597"/>
      <c r="H2209" s="1644">
        <f t="shared" si="2467"/>
        <v>210</v>
      </c>
      <c r="I2209" s="1644">
        <f t="shared" si="2467"/>
        <v>516</v>
      </c>
      <c r="K2209" s="1944">
        <f t="shared" ref="K2209" si="2476">K2163</f>
        <v>2</v>
      </c>
      <c r="L2209" s="597"/>
      <c r="M2209" s="1944">
        <f t="shared" ref="M2209" si="2477">M2163</f>
        <v>0</v>
      </c>
      <c r="N2209" s="597"/>
      <c r="O2209" s="1944">
        <f t="shared" ref="O2209" si="2478">O2163</f>
        <v>0</v>
      </c>
      <c r="P2209" s="597"/>
      <c r="Q2209" s="1944">
        <f t="shared" si="2468"/>
        <v>2</v>
      </c>
      <c r="R2209" s="597"/>
      <c r="S2209" s="1644">
        <f t="shared" si="2469"/>
        <v>516</v>
      </c>
      <c r="T2209" s="1645"/>
      <c r="U2209" s="1644">
        <f t="shared" si="2470"/>
        <v>0</v>
      </c>
      <c r="V2209" s="1645"/>
      <c r="W2209" s="1644">
        <f t="shared" si="2471"/>
        <v>0</v>
      </c>
      <c r="X2209" s="1645"/>
      <c r="Y2209" s="1644">
        <f t="shared" si="2472"/>
        <v>516</v>
      </c>
    </row>
    <row r="2210" spans="1:25" hidden="1">
      <c r="A2210" s="1900" t="s">
        <v>1298</v>
      </c>
      <c r="C2210" s="528">
        <f>'23'!AH32</f>
        <v>0</v>
      </c>
      <c r="D2210" s="528">
        <f>ROUND(C2210/C2207*D2207,0)</f>
        <v>0</v>
      </c>
      <c r="F2210" s="1944">
        <v>10</v>
      </c>
      <c r="G2210" s="597"/>
      <c r="H2210" s="1644">
        <f t="shared" si="2467"/>
        <v>0</v>
      </c>
      <c r="I2210" s="1644">
        <f t="shared" si="2467"/>
        <v>0</v>
      </c>
      <c r="K2210" s="1944">
        <f t="shared" ref="K2210" si="2479">K2164</f>
        <v>10</v>
      </c>
      <c r="L2210" s="597"/>
      <c r="M2210" s="1944">
        <f t="shared" ref="M2210" si="2480">M2164</f>
        <v>0</v>
      </c>
      <c r="N2210" s="597"/>
      <c r="O2210" s="1944">
        <f t="shared" ref="O2210" si="2481">O2164</f>
        <v>0</v>
      </c>
      <c r="P2210" s="597"/>
      <c r="Q2210" s="1944">
        <f t="shared" si="2468"/>
        <v>10</v>
      </c>
      <c r="R2210" s="597"/>
      <c r="S2210" s="1644">
        <f t="shared" si="2469"/>
        <v>0</v>
      </c>
      <c r="T2210" s="1645"/>
      <c r="U2210" s="1644">
        <f t="shared" si="2470"/>
        <v>0</v>
      </c>
      <c r="V2210" s="1645"/>
      <c r="W2210" s="1644">
        <f t="shared" si="2471"/>
        <v>0</v>
      </c>
      <c r="X2210" s="1645"/>
      <c r="Y2210" s="1644">
        <f t="shared" si="2472"/>
        <v>0</v>
      </c>
    </row>
    <row r="2211" spans="1:25" hidden="1">
      <c r="A2211" s="1900" t="s">
        <v>1654</v>
      </c>
      <c r="C2211" s="528">
        <f>'23'!I32+'23-may'!I32</f>
        <v>469.28811594685055</v>
      </c>
      <c r="D2211" s="528">
        <f>ROUND(C2211/C2227*D2227,0)</f>
        <v>498</v>
      </c>
      <c r="F2211" s="1944"/>
      <c r="G2211" s="597"/>
      <c r="H2211" s="1644"/>
      <c r="I2211" s="1644"/>
      <c r="K2211" s="1944">
        <f t="shared" ref="K2211" si="2482">K2165</f>
        <v>8.89</v>
      </c>
      <c r="L2211" s="597"/>
      <c r="M2211" s="1944">
        <f t="shared" ref="M2211" si="2483">M2165</f>
        <v>0</v>
      </c>
      <c r="N2211" s="597"/>
      <c r="O2211" s="1944">
        <f t="shared" ref="O2211" si="2484">O2165</f>
        <v>0</v>
      </c>
      <c r="P2211" s="597"/>
      <c r="Q2211" s="1944">
        <f t="shared" si="2468"/>
        <v>8.89</v>
      </c>
      <c r="R2211" s="597"/>
      <c r="S2211" s="1644">
        <f t="shared" si="2469"/>
        <v>4427</v>
      </c>
      <c r="T2211" s="1645"/>
      <c r="U2211" s="1644">
        <f t="shared" si="2470"/>
        <v>0</v>
      </c>
      <c r="V2211" s="1645"/>
      <c r="W2211" s="1644">
        <f t="shared" si="2471"/>
        <v>0</v>
      </c>
      <c r="X2211" s="1645"/>
      <c r="Y2211" s="1644">
        <f t="shared" si="2472"/>
        <v>4427</v>
      </c>
    </row>
    <row r="2212" spans="1:25" hidden="1">
      <c r="A2212" s="1900" t="s">
        <v>1655</v>
      </c>
      <c r="C2212" s="528">
        <f>'23'!J32+'23-may'!J32</f>
        <v>836.54837332296552</v>
      </c>
      <c r="D2212" s="528">
        <f>ROUND(C2212/C2227*D2227,0)</f>
        <v>888</v>
      </c>
      <c r="F2212" s="1944"/>
      <c r="G2212" s="597"/>
      <c r="H2212" s="1644"/>
      <c r="I2212" s="1644"/>
      <c r="K2212" s="1944">
        <f t="shared" ref="K2212" si="2485">K2166</f>
        <v>7.87</v>
      </c>
      <c r="L2212" s="597"/>
      <c r="M2212" s="1944">
        <f t="shared" ref="M2212" si="2486">M2166</f>
        <v>0</v>
      </c>
      <c r="N2212" s="597"/>
      <c r="O2212" s="1944">
        <f t="shared" ref="O2212" si="2487">O2166</f>
        <v>0</v>
      </c>
      <c r="P2212" s="597"/>
      <c r="Q2212" s="1944">
        <f t="shared" si="2468"/>
        <v>7.87</v>
      </c>
      <c r="R2212" s="597"/>
      <c r="S2212" s="1644">
        <f t="shared" si="2469"/>
        <v>6989</v>
      </c>
      <c r="T2212" s="1645"/>
      <c r="U2212" s="1644">
        <f t="shared" si="2470"/>
        <v>0</v>
      </c>
      <c r="V2212" s="1645"/>
      <c r="W2212" s="1644">
        <f t="shared" si="2471"/>
        <v>0</v>
      </c>
      <c r="X2212" s="1645"/>
      <c r="Y2212" s="1644">
        <f t="shared" si="2472"/>
        <v>6989</v>
      </c>
    </row>
    <row r="2213" spans="1:25" hidden="1">
      <c r="A2213" s="1900" t="s">
        <v>1656</v>
      </c>
      <c r="C2213" s="528">
        <f>'23'!N32+TempRevMay!W348+'23-may'!N32</f>
        <v>201135.81034996227</v>
      </c>
      <c r="D2213" s="528">
        <f>D2227-SUM(D2214:E2216)</f>
        <v>190825.78092448856</v>
      </c>
      <c r="F2213" s="1943"/>
      <c r="G2213" s="1921"/>
      <c r="H2213" s="1644"/>
      <c r="I2213" s="1644"/>
      <c r="K2213" s="1943">
        <f t="shared" ref="K2213" si="2488">K2167</f>
        <v>2.9403000000000001</v>
      </c>
      <c r="L2213" s="1921" t="s">
        <v>495</v>
      </c>
      <c r="M2213" s="1943">
        <f t="shared" ref="M2213" si="2489">M2167</f>
        <v>6.4656468966360006</v>
      </c>
      <c r="N2213" s="1921" t="s">
        <v>495</v>
      </c>
      <c r="O2213" s="1943">
        <f t="shared" ref="O2213" si="2490">O2167</f>
        <v>2.3066</v>
      </c>
      <c r="P2213" s="1921" t="s">
        <v>495</v>
      </c>
      <c r="Q2213" s="1943">
        <f t="shared" si="2468"/>
        <v>11.712546896636001</v>
      </c>
      <c r="R2213" s="1921" t="s">
        <v>495</v>
      </c>
      <c r="S2213" s="1644">
        <f>ROUND($D2213*K2213/100,0)</f>
        <v>5611</v>
      </c>
      <c r="T2213" s="1648"/>
      <c r="U2213" s="1644">
        <f>ROUND($D2213*M2213/100,0)</f>
        <v>12338</v>
      </c>
      <c r="V2213" s="1648"/>
      <c r="W2213" s="1644">
        <f>ROUND($D2213*O2213/100,0)</f>
        <v>4402</v>
      </c>
      <c r="X2213" s="1648"/>
      <c r="Y2213" s="1644">
        <f>ROUND($D2213*Q2213/100,0)</f>
        <v>22351</v>
      </c>
    </row>
    <row r="2214" spans="1:25" hidden="1">
      <c r="A2214" s="1900" t="s">
        <v>1657</v>
      </c>
      <c r="C2214" s="528">
        <f>'23'!O32+TempRevMay!W349+'23-may'!O32</f>
        <v>179959.67475913611</v>
      </c>
      <c r="D2214" s="528">
        <f>ROUND(C2214/(C2213+C2214)*Energy!S51,0)</f>
        <v>170734</v>
      </c>
      <c r="F2214" s="1943"/>
      <c r="G2214" s="1921"/>
      <c r="H2214" s="1644"/>
      <c r="I2214" s="1644"/>
      <c r="K2214" s="1943">
        <f t="shared" ref="K2214" si="2491">K2168</f>
        <v>2.9403000000000001</v>
      </c>
      <c r="L2214" s="1921" t="s">
        <v>495</v>
      </c>
      <c r="M2214" s="1943">
        <f t="shared" ref="M2214" si="2492">M2168</f>
        <v>1.310346896636001</v>
      </c>
      <c r="N2214" s="1921" t="s">
        <v>495</v>
      </c>
      <c r="O2214" s="1943">
        <f t="shared" ref="O2214" si="2493">O2168</f>
        <v>2.3066</v>
      </c>
      <c r="P2214" s="1921" t="s">
        <v>495</v>
      </c>
      <c r="Q2214" s="1943">
        <f t="shared" si="2468"/>
        <v>6.5572468966360011</v>
      </c>
      <c r="R2214" s="1921" t="s">
        <v>495</v>
      </c>
      <c r="S2214" s="1644">
        <f t="shared" ref="S2214:S2216" si="2494">ROUND($D2214*K2214/100,0)</f>
        <v>5020</v>
      </c>
      <c r="T2214" s="1648"/>
      <c r="U2214" s="1644">
        <f t="shared" ref="U2214:U2216" si="2495">ROUND($D2214*M2214/100,0)</f>
        <v>2237</v>
      </c>
      <c r="V2214" s="1648"/>
      <c r="W2214" s="1644">
        <f t="shared" ref="W2214:W2216" si="2496">ROUND($D2214*O2214/100,0)</f>
        <v>3938</v>
      </c>
      <c r="X2214" s="1648"/>
      <c r="Y2214" s="1644">
        <f t="shared" ref="Y2214:Y2216" si="2497">ROUND($D2214*Q2214/100,0)</f>
        <v>11195</v>
      </c>
    </row>
    <row r="2215" spans="1:25" hidden="1">
      <c r="A2215" s="1900" t="s">
        <v>1658</v>
      </c>
      <c r="C2215" s="528">
        <f>'23'!Q32+TempRevMay!W350+'23-may'!Q32</f>
        <v>291028.98356874462</v>
      </c>
      <c r="D2215" s="528">
        <f>ROUND(C2215/(C2215+C2216)*Energy!T51,0)</f>
        <v>327487</v>
      </c>
      <c r="F2215" s="1943"/>
      <c r="G2215" s="1921"/>
      <c r="H2215" s="1644"/>
      <c r="I2215" s="1644"/>
      <c r="K2215" s="1943">
        <f t="shared" ref="K2215" si="2498">K2169</f>
        <v>2.9403000000000001</v>
      </c>
      <c r="L2215" s="1921" t="s">
        <v>495</v>
      </c>
      <c r="M2215" s="1943">
        <f t="shared" ref="M2215" si="2499">M2169</f>
        <v>5.3096999999999994</v>
      </c>
      <c r="N2215" s="1921" t="s">
        <v>495</v>
      </c>
      <c r="O2215" s="1943">
        <f t="shared" ref="O2215" si="2500">O2169</f>
        <v>2.1151</v>
      </c>
      <c r="P2215" s="1921" t="s">
        <v>495</v>
      </c>
      <c r="Q2215" s="1943">
        <f t="shared" si="2468"/>
        <v>10.3651</v>
      </c>
      <c r="R2215" s="1921" t="s">
        <v>495</v>
      </c>
      <c r="S2215" s="1644">
        <f t="shared" si="2494"/>
        <v>9629</v>
      </c>
      <c r="T2215" s="1648"/>
      <c r="U2215" s="1644">
        <f t="shared" si="2495"/>
        <v>17389</v>
      </c>
      <c r="V2215" s="1648"/>
      <c r="W2215" s="1644">
        <f t="shared" si="2496"/>
        <v>6927</v>
      </c>
      <c r="X2215" s="1648"/>
      <c r="Y2215" s="1644">
        <f t="shared" si="2497"/>
        <v>33944</v>
      </c>
    </row>
    <row r="2216" spans="1:25" hidden="1">
      <c r="A2216" s="1900" t="s">
        <v>1659</v>
      </c>
      <c r="C2216" s="528">
        <f>'23'!R32+TempRevMay!W351+'23-may'!R32</f>
        <v>477711.43388173886</v>
      </c>
      <c r="D2216" s="528">
        <f>ROUND(C2216/(C2215+C2216)*Energy!T51,0)</f>
        <v>537555</v>
      </c>
      <c r="F2216" s="1943"/>
      <c r="G2216" s="1921"/>
      <c r="H2216" s="1644"/>
      <c r="I2216" s="1644"/>
      <c r="K2216" s="1943">
        <f t="shared" ref="K2216" si="2501">K2170</f>
        <v>2.9403000000000001</v>
      </c>
      <c r="L2216" s="1921" t="s">
        <v>495</v>
      </c>
      <c r="M2216" s="1943">
        <f t="shared" ref="M2216" si="2502">M2170</f>
        <v>0.74750000000000005</v>
      </c>
      <c r="N2216" s="1921" t="s">
        <v>495</v>
      </c>
      <c r="O2216" s="1943">
        <f t="shared" ref="O2216" si="2503">O2170</f>
        <v>2.1151</v>
      </c>
      <c r="P2216" s="1921" t="s">
        <v>495</v>
      </c>
      <c r="Q2216" s="1943">
        <f t="shared" si="2468"/>
        <v>5.8029000000000002</v>
      </c>
      <c r="R2216" s="1921" t="s">
        <v>495</v>
      </c>
      <c r="S2216" s="1644">
        <f t="shared" si="2494"/>
        <v>15806</v>
      </c>
      <c r="T2216" s="1648"/>
      <c r="U2216" s="1644">
        <f t="shared" si="2495"/>
        <v>4018</v>
      </c>
      <c r="V2216" s="1648"/>
      <c r="W2216" s="1644">
        <f t="shared" si="2496"/>
        <v>11370</v>
      </c>
      <c r="X2216" s="1648"/>
      <c r="Y2216" s="1644">
        <f t="shared" si="2497"/>
        <v>31194</v>
      </c>
    </row>
    <row r="2217" spans="1:25" hidden="1">
      <c r="A2217" s="1900" t="s">
        <v>282</v>
      </c>
      <c r="C2217" s="528">
        <f>'23'!I32</f>
        <v>652.14913294797702</v>
      </c>
      <c r="D2217" s="528">
        <f>ROUND(C2217/C2227*D2227,0)</f>
        <v>692</v>
      </c>
      <c r="F2217" s="1944">
        <v>8.65</v>
      </c>
      <c r="G2217" s="597"/>
      <c r="H2217" s="1644">
        <f t="shared" si="2467"/>
        <v>5641</v>
      </c>
      <c r="I2217" s="1644">
        <f t="shared" si="2467"/>
        <v>5986</v>
      </c>
      <c r="K2217" s="1944"/>
      <c r="L2217" s="597"/>
      <c r="M2217" s="1944"/>
      <c r="N2217" s="597"/>
      <c r="O2217" s="1944"/>
      <c r="P2217" s="597"/>
      <c r="Q2217" s="1944"/>
      <c r="R2217" s="597"/>
      <c r="S2217" s="1645"/>
      <c r="T2217" s="1645"/>
      <c r="U2217" s="1645"/>
      <c r="V2217" s="1645"/>
      <c r="W2217" s="1645"/>
      <c r="X2217" s="1645"/>
      <c r="Y2217" s="1644"/>
    </row>
    <row r="2218" spans="1:25" hidden="1">
      <c r="A2218" s="1900" t="s">
        <v>283</v>
      </c>
      <c r="C2218" s="528">
        <f>'23'!J32</f>
        <v>653.68735632183905</v>
      </c>
      <c r="D2218" s="528">
        <f>ROUND(C2218/C2227*D2227,0)</f>
        <v>694</v>
      </c>
      <c r="F2218" s="1944">
        <v>8.7000000000000011</v>
      </c>
      <c r="G2218" s="597"/>
      <c r="H2218" s="1644">
        <f t="shared" si="2467"/>
        <v>5687</v>
      </c>
      <c r="I2218" s="1644">
        <f t="shared" si="2467"/>
        <v>6038</v>
      </c>
      <c r="K2218" s="1944"/>
      <c r="L2218" s="597"/>
      <c r="M2218" s="1944"/>
      <c r="N2218" s="597"/>
      <c r="O2218" s="1944"/>
      <c r="P2218" s="597"/>
      <c r="Q2218" s="1944"/>
      <c r="R2218" s="597"/>
      <c r="S2218" s="1645"/>
      <c r="T2218" s="1645"/>
      <c r="U2218" s="1645"/>
      <c r="V2218" s="1645"/>
      <c r="W2218" s="1645"/>
      <c r="X2218" s="1645"/>
      <c r="Y2218" s="1644"/>
    </row>
    <row r="2219" spans="1:25" hidden="1">
      <c r="A2219" s="1900" t="s">
        <v>261</v>
      </c>
      <c r="C2219" s="528">
        <f>'23'!K32</f>
        <v>0</v>
      </c>
      <c r="D2219" s="528">
        <f>ROUND(C2219/C2227*D2227,0)</f>
        <v>0</v>
      </c>
      <c r="F2219" s="1944">
        <v>-0.48</v>
      </c>
      <c r="G2219" s="597"/>
      <c r="H2219" s="1644">
        <f t="shared" si="2467"/>
        <v>0</v>
      </c>
      <c r="I2219" s="1644">
        <f t="shared" si="2467"/>
        <v>0</v>
      </c>
      <c r="K2219" s="1944">
        <f>K2173</f>
        <v>-0.48</v>
      </c>
      <c r="L2219" s="597"/>
      <c r="M2219" s="1944">
        <f>M2173</f>
        <v>0</v>
      </c>
      <c r="N2219" s="597"/>
      <c r="O2219" s="1944">
        <f>O2173</f>
        <v>0</v>
      </c>
      <c r="P2219" s="597"/>
      <c r="Q2219" s="1944">
        <f>Q2173</f>
        <v>-0.48</v>
      </c>
      <c r="R2219" s="597"/>
      <c r="S2219" s="1644">
        <f t="shared" ref="S2219" si="2504">ROUND($D2219*K2219,0)</f>
        <v>0</v>
      </c>
      <c r="T2219" s="1645"/>
      <c r="U2219" s="1644">
        <f t="shared" ref="U2219" si="2505">ROUND($D2219*M2219,0)</f>
        <v>0</v>
      </c>
      <c r="V2219" s="1645"/>
      <c r="W2219" s="1644">
        <f t="shared" ref="W2219" si="2506">ROUND($D2219*O2219,0)</f>
        <v>0</v>
      </c>
      <c r="X2219" s="1645"/>
      <c r="Y2219" s="1644">
        <f t="shared" ref="Y2219" si="2507">ROUND($D2219*Q2219,0)</f>
        <v>0</v>
      </c>
    </row>
    <row r="2220" spans="1:25" hidden="1">
      <c r="A2220" s="1900" t="s">
        <v>194</v>
      </c>
      <c r="C2220" s="528">
        <f>'23'!N32+TempRev!W348</f>
        <v>224227.4938147334</v>
      </c>
      <c r="D2220" s="528">
        <f>D2227-SUM(D2221:D2224)</f>
        <v>191568.78092448856</v>
      </c>
      <c r="F2220" s="1943">
        <v>11.733599999999999</v>
      </c>
      <c r="G2220" s="1921" t="s">
        <v>495</v>
      </c>
      <c r="H2220" s="1644">
        <f t="shared" ref="H2220:I2223" si="2508">ROUND($F2220*C2220/100,0)</f>
        <v>26310</v>
      </c>
      <c r="I2220" s="1644">
        <f t="shared" si="2508"/>
        <v>22478</v>
      </c>
      <c r="K2220" s="1943"/>
      <c r="L2220" s="1921"/>
      <c r="M2220" s="1943"/>
      <c r="N2220" s="1921"/>
      <c r="O2220" s="1943"/>
      <c r="P2220" s="1921"/>
      <c r="Q2220" s="1943"/>
      <c r="R2220" s="1921"/>
      <c r="S2220" s="1648"/>
      <c r="T2220" s="1648"/>
      <c r="U2220" s="1648"/>
      <c r="V2220" s="1648"/>
      <c r="W2220" s="1648"/>
      <c r="X2220" s="1648"/>
      <c r="Y2220" s="1644"/>
    </row>
    <row r="2221" spans="1:25" hidden="1">
      <c r="A2221" s="1900" t="s">
        <v>195</v>
      </c>
      <c r="C2221" s="528">
        <f>'23'!O32+TempRev!W349</f>
        <v>267758.33960068761</v>
      </c>
      <c r="D2221" s="528">
        <f>ROUND(C2221/(C2220+C2221)*Energy!Q51,0)</f>
        <v>228759</v>
      </c>
      <c r="F2221" s="1943">
        <v>6.5782999999999996</v>
      </c>
      <c r="G2221" s="1921" t="s">
        <v>495</v>
      </c>
      <c r="H2221" s="1644">
        <f t="shared" si="2508"/>
        <v>17614</v>
      </c>
      <c r="I2221" s="1644">
        <f t="shared" si="2508"/>
        <v>15048</v>
      </c>
      <c r="K2221" s="1943"/>
      <c r="L2221" s="1921"/>
      <c r="M2221" s="1943"/>
      <c r="N2221" s="1921"/>
      <c r="O2221" s="1943"/>
      <c r="P2221" s="1921"/>
      <c r="Q2221" s="1943"/>
      <c r="R2221" s="1921"/>
      <c r="S2221" s="1648"/>
      <c r="T2221" s="1648"/>
      <c r="U2221" s="1648"/>
      <c r="V2221" s="1648"/>
      <c r="W2221" s="1648"/>
      <c r="X2221" s="1648"/>
      <c r="Y2221" s="1644"/>
    </row>
    <row r="2222" spans="1:25" hidden="1">
      <c r="A2222" s="1900" t="s">
        <v>160</v>
      </c>
      <c r="C2222" s="528">
        <f>'23'!Q32+TempRev!W350</f>
        <v>267937.30010397354</v>
      </c>
      <c r="D2222" s="528">
        <f>ROUND(C2222/(C2222+C2223)*Energy!R51,0)</f>
        <v>328389</v>
      </c>
      <c r="F2222" s="1943">
        <v>10.8</v>
      </c>
      <c r="G2222" s="1921" t="s">
        <v>495</v>
      </c>
      <c r="H2222" s="1644">
        <f t="shared" si="2508"/>
        <v>28937</v>
      </c>
      <c r="I2222" s="1644">
        <f t="shared" si="2508"/>
        <v>35466</v>
      </c>
      <c r="K2222" s="1943"/>
      <c r="L2222" s="1921"/>
      <c r="M2222" s="1943"/>
      <c r="N2222" s="1921"/>
      <c r="O2222" s="1943"/>
      <c r="P2222" s="1921"/>
      <c r="Q2222" s="1943"/>
      <c r="R2222" s="1921"/>
      <c r="S2222" s="1648"/>
      <c r="T2222" s="1648"/>
      <c r="U2222" s="1648"/>
      <c r="V2222" s="1648"/>
      <c r="W2222" s="1648"/>
      <c r="X2222" s="1648"/>
      <c r="Y2222" s="1644"/>
    </row>
    <row r="2223" spans="1:25" hidden="1">
      <c r="A2223" s="1900" t="s">
        <v>159</v>
      </c>
      <c r="C2223" s="528">
        <f>'23'!R32+TempRev!W351</f>
        <v>389912.76904018741</v>
      </c>
      <c r="D2223" s="528">
        <f>ROUND(C2223/(C2222+C2223)*Energy!R51,0)</f>
        <v>477885</v>
      </c>
      <c r="F2223" s="1943">
        <v>6.0567000000000002</v>
      </c>
      <c r="G2223" s="1921" t="s">
        <v>495</v>
      </c>
      <c r="H2223" s="1644">
        <f t="shared" si="2508"/>
        <v>23616</v>
      </c>
      <c r="I2223" s="1644">
        <f t="shared" si="2508"/>
        <v>28944</v>
      </c>
      <c r="K2223" s="1943"/>
      <c r="L2223" s="1921"/>
      <c r="M2223" s="1943"/>
      <c r="N2223" s="1921"/>
      <c r="O2223" s="1943"/>
      <c r="P2223" s="1921"/>
      <c r="Q2223" s="1943"/>
      <c r="R2223" s="1921"/>
      <c r="S2223" s="1648"/>
      <c r="T2223" s="1648"/>
      <c r="U2223" s="1648"/>
      <c r="V2223" s="1648"/>
      <c r="W2223" s="1648"/>
      <c r="X2223" s="1648"/>
      <c r="Y2223" s="1644"/>
    </row>
    <row r="2224" spans="1:25" hidden="1">
      <c r="A2224" s="1900" t="s">
        <v>246</v>
      </c>
      <c r="C2224" s="529">
        <f>'Table 2'!J62</f>
        <v>6097</v>
      </c>
      <c r="D2224" s="529">
        <v>0</v>
      </c>
      <c r="H2224" s="1030">
        <f>'Table 3'!F62</f>
        <v>646</v>
      </c>
      <c r="I2224" s="1030">
        <v>0</v>
      </c>
      <c r="Y2224" s="1030">
        <v>0</v>
      </c>
    </row>
    <row r="2225" spans="1:28" hidden="1">
      <c r="A2225" s="1900" t="s">
        <v>1240</v>
      </c>
      <c r="C2225" s="584"/>
      <c r="D2225" s="584"/>
      <c r="F2225" s="1930">
        <v>-3.3099999999999997E-2</v>
      </c>
      <c r="G2225" s="597"/>
      <c r="H2225" s="1644">
        <f>SUM(H2217:H2218,H2220:H2223)*$F2225</f>
        <v>-3568.3454999999999</v>
      </c>
      <c r="I2225" s="1644">
        <f>SUM(I2217:I2218,I2220:I2223)*$F2225</f>
        <v>-3772.0759999999996</v>
      </c>
      <c r="K2225" s="1930"/>
      <c r="L2225" s="597"/>
      <c r="M2225" s="1930"/>
      <c r="N2225" s="597"/>
      <c r="O2225" s="1931" t="str">
        <f>$O$43</f>
        <v>Tax Year 1 (7/1/2021)</v>
      </c>
      <c r="P2225" s="597"/>
      <c r="Q2225" s="1930">
        <f>$AC$1988</f>
        <v>-2.5600000000000001E-2</v>
      </c>
      <c r="R2225" s="597"/>
      <c r="S2225" s="1645"/>
      <c r="T2225" s="1645"/>
      <c r="U2225" s="1645"/>
      <c r="V2225" s="1645"/>
      <c r="W2225" s="1645"/>
      <c r="X2225" s="1645"/>
      <c r="Y2225" s="1644">
        <f>Q2225*SUM(Y2211:Y2216)</f>
        <v>-2818.56</v>
      </c>
    </row>
    <row r="2226" spans="1:28" hidden="1">
      <c r="A2226" s="1900"/>
      <c r="C2226" s="584"/>
      <c r="D2226" s="584"/>
      <c r="F2226" s="1930"/>
      <c r="G2226" s="597"/>
      <c r="H2226" s="1644"/>
      <c r="I2226" s="1644"/>
      <c r="K2226" s="1930"/>
      <c r="L2226" s="597"/>
      <c r="M2226" s="1930"/>
      <c r="N2226" s="597"/>
      <c r="O2226" s="1931" t="str">
        <f>$O$44</f>
        <v>Tax Year 2 (1/1/2022)</v>
      </c>
      <c r="P2226" s="597"/>
      <c r="Q2226" s="1930">
        <f>$AC$1989</f>
        <v>-1.3899999999999999E-2</v>
      </c>
      <c r="R2226" s="597"/>
      <c r="S2226" s="1645"/>
      <c r="T2226" s="1645"/>
      <c r="U2226" s="1645"/>
      <c r="V2226" s="1645"/>
      <c r="W2226" s="1645"/>
      <c r="X2226" s="1645"/>
      <c r="Y2226" s="1644">
        <f>Q2226*SUM(Y2211:Y2216)</f>
        <v>-1530.3899999999999</v>
      </c>
    </row>
    <row r="2227" spans="1:28" ht="16.5" hidden="1" thickBot="1">
      <c r="A2227" s="1900" t="s">
        <v>247</v>
      </c>
      <c r="C2227" s="1949">
        <f>SUM(C2220:C2223,C2224)</f>
        <v>1155932.9025595819</v>
      </c>
      <c r="D2227" s="1949">
        <f>Energy!P51</f>
        <v>1226601.7809244886</v>
      </c>
      <c r="F2227" s="1939"/>
      <c r="H2227" s="1647">
        <f>SUM(H2207:H2225)</f>
        <v>110064.6545</v>
      </c>
      <c r="I2227" s="1647">
        <f>SUM(I2207:I2225)</f>
        <v>122943.924</v>
      </c>
      <c r="K2227" s="1939"/>
      <c r="M2227" s="1939"/>
      <c r="O2227" s="1939"/>
      <c r="P2227" s="597"/>
      <c r="Q2227" s="1939"/>
      <c r="R2227" s="597"/>
      <c r="S2227" s="1646">
        <f>SUM(S2207:S2224)</f>
        <v>60238</v>
      </c>
      <c r="T2227" s="1645"/>
      <c r="U2227" s="1646">
        <f>SUM(U2207:U2224)</f>
        <v>35982</v>
      </c>
      <c r="V2227" s="1645"/>
      <c r="W2227" s="1646">
        <f>SUM(W2207:W2224)</f>
        <v>26637</v>
      </c>
      <c r="X2227" s="1645"/>
      <c r="Y2227" s="1646">
        <f>SUM(Y2207:Y2224)</f>
        <v>122856</v>
      </c>
      <c r="AA2227" s="1104" t="s">
        <v>1743</v>
      </c>
      <c r="AB2227" s="1890">
        <f>Y2227/I2227-1</f>
        <v>-7.1515530934251892E-4</v>
      </c>
    </row>
    <row r="2228" spans="1:28" ht="16.5" thickTop="1">
      <c r="C2228" s="528"/>
      <c r="D2228" s="528"/>
      <c r="O2228" s="596"/>
      <c r="Q2228" s="596"/>
      <c r="Y2228" s="1645"/>
    </row>
    <row r="2229" spans="1:28">
      <c r="A2229" s="1897" t="s">
        <v>937</v>
      </c>
      <c r="C2229" s="528"/>
      <c r="D2229" s="528"/>
      <c r="F2229" s="1943"/>
      <c r="G2229" s="1957"/>
      <c r="K2229" s="1943"/>
      <c r="L2229" s="1957"/>
      <c r="M2229" s="1943"/>
      <c r="N2229" s="1957"/>
      <c r="O2229" s="1943"/>
      <c r="P2229" s="1957"/>
      <c r="Q2229" s="1943"/>
      <c r="R2229" s="1957"/>
      <c r="S2229" s="1645"/>
      <c r="T2229" s="1645"/>
      <c r="U2229" s="1645"/>
      <c r="V2229" s="1645"/>
      <c r="W2229" s="1645"/>
      <c r="X2229" s="1645"/>
    </row>
    <row r="2230" spans="1:28">
      <c r="A2230" s="1987" t="s">
        <v>181</v>
      </c>
      <c r="C2230" s="528"/>
      <c r="D2230" s="528"/>
      <c r="AA2230" s="1104" t="s">
        <v>1755</v>
      </c>
      <c r="AB2230" s="1024"/>
    </row>
    <row r="2231" spans="1:28">
      <c r="A2231" s="1900" t="s">
        <v>312</v>
      </c>
      <c r="B2231" s="1900"/>
      <c r="C2231" s="528">
        <f>C2335+C2439</f>
        <v>0</v>
      </c>
      <c r="D2231" s="528">
        <f>D2335+D2439</f>
        <v>0</v>
      </c>
      <c r="F2231" s="2000">
        <v>133</v>
      </c>
      <c r="G2231" s="1902"/>
      <c r="H2231" s="1644">
        <f>ROUND($F2231*C2231,0)</f>
        <v>0</v>
      </c>
      <c r="I2231" s="1644">
        <f>ROUND($F2231*D2231,0)</f>
        <v>0</v>
      </c>
      <c r="K2231" s="2000">
        <f>ROUND($Q2231*K1377/$Q1377,2)</f>
        <v>138</v>
      </c>
      <c r="L2231" s="1902"/>
      <c r="M2231" s="2000">
        <f>ROUND($Q2231*M1377/$Q1377,2)</f>
        <v>0</v>
      </c>
      <c r="N2231" s="1902"/>
      <c r="O2231" s="2000">
        <f>Q2231-K2231-M2231</f>
        <v>0</v>
      </c>
      <c r="P2231" s="1902"/>
      <c r="Q2231" s="2000">
        <f>ROUND(F2231*(1+$AB$1483),0)</f>
        <v>138</v>
      </c>
      <c r="R2231" s="1902"/>
      <c r="S2231" s="1644">
        <f>ROUND($D2231*K2231,0)</f>
        <v>0</v>
      </c>
      <c r="T2231" s="1643"/>
      <c r="U2231" s="1644">
        <f>ROUND($D2231*M2231,0)</f>
        <v>0</v>
      </c>
      <c r="V2231" s="1643"/>
      <c r="W2231" s="1644">
        <f>ROUND($D2231*O2231,0)</f>
        <v>0</v>
      </c>
      <c r="X2231" s="1643"/>
      <c r="Y2231" s="1644">
        <f>ROUND($D2231*Q2231,0)</f>
        <v>0</v>
      </c>
      <c r="AA2231" s="1903" t="s">
        <v>1741</v>
      </c>
      <c r="AB2231" s="1904">
        <f>Y2331</f>
        <v>12721454</v>
      </c>
    </row>
    <row r="2232" spans="1:28">
      <c r="A2232" s="1900" t="s">
        <v>313</v>
      </c>
      <c r="B2232" s="1900"/>
      <c r="C2232" s="528">
        <f>C2336+C2440</f>
        <v>0</v>
      </c>
      <c r="D2232" s="528">
        <f>D2336+D2440</f>
        <v>0</v>
      </c>
      <c r="F2232" s="2000">
        <v>5.6</v>
      </c>
      <c r="G2232" s="1902"/>
      <c r="H2232" s="1644">
        <f>ROUND($F2232*C2232,0)</f>
        <v>0</v>
      </c>
      <c r="I2232" s="1644">
        <f>ROUND($F2232*D2232,0)</f>
        <v>0</v>
      </c>
      <c r="K2232" s="2000">
        <f>ROUND($Q2232*K1378/$Q1378,2)</f>
        <v>5.81</v>
      </c>
      <c r="L2232" s="1902"/>
      <c r="M2232" s="2000">
        <f>ROUND($Q2232*M1378/$Q1378,2)</f>
        <v>0</v>
      </c>
      <c r="N2232" s="1902"/>
      <c r="O2232" s="2000">
        <f>Q2232-K2232-M2232</f>
        <v>0</v>
      </c>
      <c r="P2232" s="1902"/>
      <c r="Q2232" s="2000">
        <f>ROUND(F2232*(1+$AB$1483),2)</f>
        <v>5.81</v>
      </c>
      <c r="R2232" s="1902"/>
      <c r="S2232" s="1644">
        <f>ROUND($D2232*K2232,0)</f>
        <v>0</v>
      </c>
      <c r="T2232" s="1643"/>
      <c r="U2232" s="1644">
        <f>ROUND($D2232*M2232,0)</f>
        <v>0</v>
      </c>
      <c r="V2232" s="1643"/>
      <c r="W2232" s="1644">
        <f>ROUND($D2232*O2232,0)</f>
        <v>0</v>
      </c>
      <c r="X2232" s="1643"/>
      <c r="Y2232" s="1644">
        <f>ROUND($D2232*Q2232,0)</f>
        <v>0</v>
      </c>
      <c r="AA2232" s="1905" t="s">
        <v>1742</v>
      </c>
      <c r="AB2232" s="1906">
        <f>RateSpread!M47*1000</f>
        <v>12834928.672499999</v>
      </c>
    </row>
    <row r="2233" spans="1:28">
      <c r="A2233" s="1900" t="s">
        <v>314</v>
      </c>
      <c r="B2233" s="1900"/>
      <c r="C2233" s="528"/>
      <c r="D2233" s="528"/>
      <c r="F2233" s="2001"/>
      <c r="G2233" s="597"/>
      <c r="H2233" s="1644"/>
      <c r="I2233" s="1644"/>
      <c r="K2233" s="2001"/>
      <c r="L2233" s="597"/>
      <c r="M2233" s="2001"/>
      <c r="N2233" s="597"/>
      <c r="O2233" s="2001"/>
      <c r="P2233" s="597"/>
      <c r="Q2233" s="2001"/>
      <c r="R2233" s="597"/>
      <c r="S2233" s="1644"/>
      <c r="T2233" s="1645"/>
      <c r="U2233" s="1644"/>
      <c r="V2233" s="1645"/>
      <c r="W2233" s="1644"/>
      <c r="X2233" s="1645"/>
      <c r="Y2233" s="1644"/>
      <c r="AA2233" s="1908" t="s">
        <v>87</v>
      </c>
      <c r="AB2233" s="1909">
        <f>AB2232-AB2231</f>
        <v>113474.6724999994</v>
      </c>
    </row>
    <row r="2234" spans="1:28">
      <c r="A2234" s="1900" t="s">
        <v>315</v>
      </c>
      <c r="B2234" s="1900"/>
      <c r="C2234" s="528"/>
      <c r="D2234" s="528"/>
      <c r="F2234" s="2000"/>
      <c r="G2234" s="1991"/>
      <c r="H2234" s="1644"/>
      <c r="I2234" s="1644"/>
      <c r="K2234" s="2000"/>
      <c r="L2234" s="1991"/>
      <c r="M2234" s="2000"/>
      <c r="N2234" s="1991"/>
      <c r="O2234" s="2000"/>
      <c r="P2234" s="1991"/>
      <c r="Q2234" s="2000"/>
      <c r="R2234" s="1991"/>
      <c r="S2234" s="1644"/>
      <c r="T2234" s="1643"/>
      <c r="U2234" s="1644"/>
      <c r="V2234" s="1643"/>
      <c r="W2234" s="1644"/>
      <c r="X2234" s="1643"/>
      <c r="Y2234" s="1644"/>
      <c r="AA2234" s="1903" t="s">
        <v>1743</v>
      </c>
      <c r="AB2234" s="1958">
        <f>AB2231/I2331-1</f>
        <v>2.7977204194389538E-2</v>
      </c>
    </row>
    <row r="2235" spans="1:28">
      <c r="A2235" s="1900" t="s">
        <v>1668</v>
      </c>
      <c r="B2235" s="1900"/>
      <c r="C2235" s="528">
        <f t="shared" ref="C2235:D2235" si="2509">C2339+C2443</f>
        <v>0</v>
      </c>
      <c r="D2235" s="528">
        <f t="shared" si="2509"/>
        <v>0</v>
      </c>
      <c r="F2235" s="2000"/>
      <c r="G2235" s="1991"/>
      <c r="H2235" s="1644"/>
      <c r="I2235" s="1644"/>
      <c r="K2235" s="2000">
        <f>ROUND($Q2235*K1379/$Q1379,2)</f>
        <v>0.42</v>
      </c>
      <c r="L2235" s="1991"/>
      <c r="M2235" s="2000">
        <f>Q2235-K2235-O2235</f>
        <v>0.49000000000000005</v>
      </c>
      <c r="N2235" s="1991"/>
      <c r="O2235" s="2000">
        <v>0</v>
      </c>
      <c r="P2235" s="1991"/>
      <c r="Q2235" s="2000">
        <f>ROUND(F2244*(1+$AB$1483),2)</f>
        <v>0.91</v>
      </c>
      <c r="R2235" s="1991"/>
      <c r="S2235" s="1644">
        <f t="shared" ref="S2235:Y2236" si="2510">ROUND($D2235*K2235,0)</f>
        <v>0</v>
      </c>
      <c r="T2235" s="1643"/>
      <c r="U2235" s="1644">
        <f t="shared" si="2510"/>
        <v>0</v>
      </c>
      <c r="V2235" s="1643"/>
      <c r="W2235" s="1644">
        <f t="shared" si="2510"/>
        <v>0</v>
      </c>
      <c r="X2235" s="1643"/>
      <c r="Y2235" s="1644">
        <f t="shared" si="2510"/>
        <v>0</v>
      </c>
      <c r="AA2235" s="1905" t="s">
        <v>1744</v>
      </c>
      <c r="AB2235" s="1953">
        <f>AB2232/I2331-1</f>
        <v>3.7146704519071205E-2</v>
      </c>
    </row>
    <row r="2236" spans="1:28">
      <c r="A2236" s="1900" t="s">
        <v>1669</v>
      </c>
      <c r="B2236" s="1900"/>
      <c r="C2236" s="528">
        <f t="shared" ref="C2236:D2236" si="2511">C2340+C2444</f>
        <v>0</v>
      </c>
      <c r="D2236" s="528">
        <f t="shared" si="2511"/>
        <v>0</v>
      </c>
      <c r="F2236" s="2000"/>
      <c r="G2236" s="1991"/>
      <c r="H2236" s="1644"/>
      <c r="I2236" s="1644"/>
      <c r="K2236" s="2000">
        <f>ROUND($Q2236*K1380/$Q1380,2)</f>
        <v>0.37</v>
      </c>
      <c r="L2236" s="1991"/>
      <c r="M2236" s="2000">
        <f>Q2236-K2236-O2236</f>
        <v>0.44000000000000006</v>
      </c>
      <c r="N2236" s="1991"/>
      <c r="O2236" s="2000">
        <v>0</v>
      </c>
      <c r="P2236" s="1991"/>
      <c r="Q2236" s="2000">
        <f>ROUND(Q2235/$AB$1489,2)</f>
        <v>0.81</v>
      </c>
      <c r="R2236" s="1991"/>
      <c r="S2236" s="1644">
        <f t="shared" si="2510"/>
        <v>0</v>
      </c>
      <c r="T2236" s="1643"/>
      <c r="U2236" s="1644">
        <f t="shared" si="2510"/>
        <v>0</v>
      </c>
      <c r="V2236" s="1643"/>
      <c r="W2236" s="1644">
        <f t="shared" si="2510"/>
        <v>0</v>
      </c>
      <c r="X2236" s="1643"/>
      <c r="Y2236" s="1644">
        <f t="shared" si="2510"/>
        <v>0</v>
      </c>
      <c r="AA2236" s="1915"/>
      <c r="AB2236" s="1954"/>
    </row>
    <row r="2237" spans="1:28">
      <c r="A2237" s="1900" t="s">
        <v>316</v>
      </c>
      <c r="B2237" s="1900"/>
      <c r="C2237" s="528"/>
      <c r="D2237" s="528"/>
      <c r="F2237" s="2001"/>
      <c r="G2237" s="1992"/>
      <c r="H2237" s="1644"/>
      <c r="I2237" s="1644"/>
      <c r="K2237" s="2001"/>
      <c r="L2237" s="1992"/>
      <c r="M2237" s="2001"/>
      <c r="N2237" s="1992"/>
      <c r="O2237" s="2001"/>
      <c r="P2237" s="1992"/>
      <c r="Q2237" s="2001"/>
      <c r="R2237" s="1992"/>
      <c r="S2237" s="1644"/>
      <c r="T2237" s="1645"/>
      <c r="U2237" s="1644"/>
      <c r="V2237" s="1645"/>
      <c r="W2237" s="1644"/>
      <c r="X2237" s="1645"/>
      <c r="Y2237" s="1644"/>
    </row>
    <row r="2238" spans="1:28">
      <c r="A2238" s="1900" t="s">
        <v>1668</v>
      </c>
      <c r="B2238" s="1900"/>
      <c r="C2238" s="528">
        <f t="shared" ref="C2238:D2238" si="2512">C2342+C2446</f>
        <v>0</v>
      </c>
      <c r="D2238" s="528">
        <f t="shared" si="2512"/>
        <v>0</v>
      </c>
      <c r="F2238" s="2001"/>
      <c r="G2238" s="1992"/>
      <c r="H2238" s="1644"/>
      <c r="I2238" s="1644"/>
      <c r="K2238" s="2001">
        <f>ROUND($Q2238*K2235/$Q2235,2)</f>
        <v>0.21</v>
      </c>
      <c r="L2238" s="1992"/>
      <c r="M2238" s="2000">
        <f t="shared" ref="M2238:M2239" si="2513">Q2238-K2238-O2238</f>
        <v>0.25</v>
      </c>
      <c r="N2238" s="1991"/>
      <c r="O2238" s="2000">
        <v>0</v>
      </c>
      <c r="P2238" s="1992"/>
      <c r="Q2238" s="2000">
        <f>ROUND(F2247*(1+$AB$1483),2)</f>
        <v>0.46</v>
      </c>
      <c r="R2238" s="1992"/>
      <c r="S2238" s="1644">
        <f t="shared" ref="S2238:Y2239" si="2514">ROUND($D2238*K2238,0)</f>
        <v>0</v>
      </c>
      <c r="T2238" s="1645"/>
      <c r="U2238" s="1644">
        <f t="shared" si="2514"/>
        <v>0</v>
      </c>
      <c r="V2238" s="1645"/>
      <c r="W2238" s="1644">
        <f t="shared" si="2514"/>
        <v>0</v>
      </c>
      <c r="X2238" s="1645"/>
      <c r="Y2238" s="1644">
        <f t="shared" si="2514"/>
        <v>0</v>
      </c>
    </row>
    <row r="2239" spans="1:28">
      <c r="A2239" s="1900" t="s">
        <v>1669</v>
      </c>
      <c r="B2239" s="1900"/>
      <c r="C2239" s="528">
        <f t="shared" ref="C2239:D2239" si="2515">C2343+C2447</f>
        <v>0</v>
      </c>
      <c r="D2239" s="528">
        <f t="shared" si="2515"/>
        <v>0</v>
      </c>
      <c r="F2239" s="2001"/>
      <c r="G2239" s="1992"/>
      <c r="H2239" s="1644"/>
      <c r="I2239" s="1644"/>
      <c r="K2239" s="2001">
        <f>ROUND($Q2239*K2236/$Q2236,2)</f>
        <v>0.19</v>
      </c>
      <c r="L2239" s="1992"/>
      <c r="M2239" s="2000">
        <f t="shared" si="2513"/>
        <v>0.21999999999999997</v>
      </c>
      <c r="N2239" s="1991"/>
      <c r="O2239" s="2000">
        <v>0</v>
      </c>
      <c r="P2239" s="1992"/>
      <c r="Q2239" s="2000">
        <f>ROUND(Q2238/$AB$1489,2)</f>
        <v>0.41</v>
      </c>
      <c r="R2239" s="1992"/>
      <c r="S2239" s="1644">
        <f t="shared" si="2514"/>
        <v>0</v>
      </c>
      <c r="T2239" s="1645"/>
      <c r="U2239" s="1644">
        <f t="shared" si="2514"/>
        <v>0</v>
      </c>
      <c r="V2239" s="1645"/>
      <c r="W2239" s="1644">
        <f t="shared" si="2514"/>
        <v>0</v>
      </c>
      <c r="X2239" s="1645"/>
      <c r="Y2239" s="1644">
        <f t="shared" si="2514"/>
        <v>0</v>
      </c>
    </row>
    <row r="2240" spans="1:28">
      <c r="A2240" s="1900" t="s">
        <v>317</v>
      </c>
      <c r="B2240" s="1900"/>
      <c r="C2240" s="528"/>
      <c r="D2240" s="528"/>
      <c r="F2240" s="2000"/>
      <c r="G2240" s="1902"/>
      <c r="H2240" s="1644"/>
      <c r="I2240" s="1644"/>
      <c r="K2240" s="2000"/>
      <c r="L2240" s="1902"/>
      <c r="M2240" s="2000"/>
      <c r="N2240" s="1902"/>
      <c r="O2240" s="2000"/>
      <c r="P2240" s="1902"/>
      <c r="Q2240" s="2000"/>
      <c r="R2240" s="1902"/>
      <c r="S2240" s="1644"/>
      <c r="T2240" s="1643"/>
      <c r="U2240" s="1644"/>
      <c r="V2240" s="1643"/>
      <c r="W2240" s="1644"/>
      <c r="X2240" s="1643"/>
      <c r="Y2240" s="1644"/>
    </row>
    <row r="2241" spans="1:25">
      <c r="A2241" s="1900" t="s">
        <v>1668</v>
      </c>
      <c r="B2241" s="1900"/>
      <c r="C2241" s="528">
        <f t="shared" ref="C2241:D2241" si="2516">C2345+C2449</f>
        <v>0</v>
      </c>
      <c r="D2241" s="528">
        <f t="shared" si="2516"/>
        <v>0</v>
      </c>
      <c r="F2241" s="2000"/>
      <c r="G2241" s="1902"/>
      <c r="H2241" s="1644"/>
      <c r="I2241" s="1644"/>
      <c r="K2241" s="2001">
        <f>ROUND($Q2241*K2235/$Q2235,2)</f>
        <v>19.54</v>
      </c>
      <c r="L2241" s="1992"/>
      <c r="M2241" s="2000">
        <f t="shared" ref="M2241:M2242" si="2517">Q2241-K2241-O2241</f>
        <v>22.79</v>
      </c>
      <c r="N2241" s="1991"/>
      <c r="O2241" s="2000">
        <v>0</v>
      </c>
      <c r="P2241" s="1902"/>
      <c r="Q2241" s="2000">
        <f>ROUND(F2250*(1+$AB$1483),2)</f>
        <v>42.33</v>
      </c>
      <c r="R2241" s="1902"/>
      <c r="S2241" s="1644">
        <f t="shared" ref="S2241:Y2242" si="2518">ROUND($D2241*K2241,0)</f>
        <v>0</v>
      </c>
      <c r="T2241" s="1643"/>
      <c r="U2241" s="1644">
        <f t="shared" si="2518"/>
        <v>0</v>
      </c>
      <c r="V2241" s="1643"/>
      <c r="W2241" s="1644">
        <f t="shared" si="2518"/>
        <v>0</v>
      </c>
      <c r="X2241" s="1643"/>
      <c r="Y2241" s="1644">
        <f t="shared" si="2518"/>
        <v>0</v>
      </c>
    </row>
    <row r="2242" spans="1:25">
      <c r="A2242" s="1900" t="s">
        <v>1669</v>
      </c>
      <c r="B2242" s="1900"/>
      <c r="C2242" s="528">
        <f t="shared" ref="C2242:D2242" si="2519">C2346+C2450</f>
        <v>0</v>
      </c>
      <c r="D2242" s="528">
        <f t="shared" si="2519"/>
        <v>0</v>
      </c>
      <c r="F2242" s="2000"/>
      <c r="G2242" s="1902"/>
      <c r="H2242" s="1644"/>
      <c r="I2242" s="1644"/>
      <c r="K2242" s="2001">
        <f>ROUND($Q2242*K2236/$Q2236,2)</f>
        <v>17.11</v>
      </c>
      <c r="L2242" s="1992"/>
      <c r="M2242" s="2000">
        <f t="shared" si="2517"/>
        <v>20.350000000000001</v>
      </c>
      <c r="N2242" s="1991"/>
      <c r="O2242" s="2000">
        <v>0</v>
      </c>
      <c r="P2242" s="1902"/>
      <c r="Q2242" s="2000">
        <f>ROUND(Q2241/$AB$1489,2)</f>
        <v>37.46</v>
      </c>
      <c r="R2242" s="1902"/>
      <c r="S2242" s="1644">
        <f t="shared" si="2518"/>
        <v>0</v>
      </c>
      <c r="T2242" s="1643"/>
      <c r="U2242" s="1644">
        <f t="shared" si="2518"/>
        <v>0</v>
      </c>
      <c r="V2242" s="1643"/>
      <c r="W2242" s="1644">
        <f t="shared" si="2518"/>
        <v>0</v>
      </c>
      <c r="X2242" s="1643"/>
      <c r="Y2242" s="1644">
        <f t="shared" si="2518"/>
        <v>0</v>
      </c>
    </row>
    <row r="2243" spans="1:25">
      <c r="A2243" s="1900" t="s">
        <v>315</v>
      </c>
      <c r="B2243" s="1900"/>
      <c r="C2243" s="528"/>
      <c r="D2243" s="528"/>
      <c r="F2243" s="2000"/>
      <c r="G2243" s="1991"/>
      <c r="H2243" s="1644"/>
      <c r="I2243" s="1644"/>
      <c r="K2243" s="2000"/>
      <c r="L2243" s="1991"/>
      <c r="M2243" s="2000"/>
      <c r="N2243" s="1991"/>
      <c r="O2243" s="2000"/>
      <c r="P2243" s="1991"/>
      <c r="Q2243" s="2000"/>
      <c r="R2243" s="1991"/>
      <c r="S2243" s="1644"/>
      <c r="T2243" s="1643"/>
      <c r="U2243" s="1644"/>
      <c r="V2243" s="1643"/>
      <c r="W2243" s="1644"/>
      <c r="X2243" s="1643"/>
      <c r="Y2243" s="1644"/>
    </row>
    <row r="2244" spans="1:25">
      <c r="A2244" s="1900" t="s">
        <v>944</v>
      </c>
      <c r="B2244" s="1900"/>
      <c r="C2244" s="528">
        <f>C2348+C2452</f>
        <v>0</v>
      </c>
      <c r="D2244" s="528">
        <f>D2348+D2452</f>
        <v>0</v>
      </c>
      <c r="F2244" s="2000">
        <v>0.88</v>
      </c>
      <c r="G2244" s="1991"/>
      <c r="H2244" s="1644">
        <f>ROUND($F2244*C2244,0)</f>
        <v>0</v>
      </c>
      <c r="I2244" s="1644">
        <f>ROUND($F2244*D2244,0)</f>
        <v>0</v>
      </c>
      <c r="K2244" s="2000"/>
      <c r="L2244" s="1991"/>
      <c r="M2244" s="2000"/>
      <c r="N2244" s="1991"/>
      <c r="O2244" s="2000"/>
      <c r="P2244" s="1991"/>
      <c r="Q2244" s="2000"/>
      <c r="R2244" s="1991"/>
      <c r="S2244" s="1644"/>
      <c r="T2244" s="1643"/>
      <c r="U2244" s="1644"/>
      <c r="V2244" s="1643"/>
      <c r="W2244" s="1644"/>
      <c r="X2244" s="1643"/>
      <c r="Y2244" s="1644"/>
    </row>
    <row r="2245" spans="1:25">
      <c r="A2245" s="1900" t="s">
        <v>945</v>
      </c>
      <c r="B2245" s="1900"/>
      <c r="C2245" s="528">
        <f>C2349+C2453</f>
        <v>0</v>
      </c>
      <c r="D2245" s="528">
        <f>D2349+D2453</f>
        <v>0</v>
      </c>
      <c r="F2245" s="2000">
        <v>0.62</v>
      </c>
      <c r="G2245" s="1991"/>
      <c r="H2245" s="1644">
        <f>ROUND($F2245*C2245,0)</f>
        <v>0</v>
      </c>
      <c r="I2245" s="1644">
        <f>ROUND($F2245*D2245,0)</f>
        <v>0</v>
      </c>
      <c r="K2245" s="2000"/>
      <c r="L2245" s="1991"/>
      <c r="M2245" s="2000"/>
      <c r="N2245" s="1991"/>
      <c r="O2245" s="2000"/>
      <c r="P2245" s="1991"/>
      <c r="Q2245" s="2000"/>
      <c r="R2245" s="1991"/>
      <c r="S2245" s="1644"/>
      <c r="T2245" s="1643"/>
      <c r="U2245" s="1644"/>
      <c r="V2245" s="1643"/>
      <c r="W2245" s="1644"/>
      <c r="X2245" s="1643"/>
      <c r="Y2245" s="1644"/>
    </row>
    <row r="2246" spans="1:25">
      <c r="A2246" s="1900" t="s">
        <v>316</v>
      </c>
      <c r="B2246" s="1900"/>
      <c r="C2246" s="528"/>
      <c r="D2246" s="528"/>
      <c r="F2246" s="2001"/>
      <c r="G2246" s="1992"/>
      <c r="H2246" s="1644"/>
      <c r="I2246" s="1644"/>
      <c r="K2246" s="2001"/>
      <c r="L2246" s="1992"/>
      <c r="M2246" s="2001"/>
      <c r="N2246" s="1992"/>
      <c r="O2246" s="2001"/>
      <c r="P2246" s="1992"/>
      <c r="Q2246" s="2001"/>
      <c r="R2246" s="1992"/>
      <c r="S2246" s="1644"/>
      <c r="T2246" s="1645"/>
      <c r="U2246" s="1644"/>
      <c r="V2246" s="1645"/>
      <c r="W2246" s="1644"/>
      <c r="X2246" s="1645"/>
      <c r="Y2246" s="1644"/>
    </row>
    <row r="2247" spans="1:25">
      <c r="A2247" s="1900" t="s">
        <v>944</v>
      </c>
      <c r="B2247" s="1900"/>
      <c r="C2247" s="528">
        <f>C2351+C2455</f>
        <v>0</v>
      </c>
      <c r="D2247" s="528">
        <f>D2351+D2455</f>
        <v>0</v>
      </c>
      <c r="F2247" s="2001">
        <v>0.44</v>
      </c>
      <c r="G2247" s="1992"/>
      <c r="H2247" s="1644">
        <f>ROUND($F2247*C2247,0)</f>
        <v>0</v>
      </c>
      <c r="I2247" s="1644">
        <f>ROUND($F2247*D2247,0)</f>
        <v>0</v>
      </c>
      <c r="K2247" s="2001"/>
      <c r="L2247" s="1992"/>
      <c r="M2247" s="2001"/>
      <c r="N2247" s="1992"/>
      <c r="O2247" s="2001"/>
      <c r="P2247" s="1992"/>
      <c r="Q2247" s="2001"/>
      <c r="R2247" s="1992"/>
      <c r="S2247" s="1644"/>
      <c r="T2247" s="1645"/>
      <c r="U2247" s="1644"/>
      <c r="V2247" s="1645"/>
      <c r="W2247" s="1644"/>
      <c r="X2247" s="1645"/>
      <c r="Y2247" s="1644"/>
    </row>
    <row r="2248" spans="1:25">
      <c r="A2248" s="1900" t="s">
        <v>945</v>
      </c>
      <c r="B2248" s="1900"/>
      <c r="C2248" s="528">
        <f>C2352+C2456</f>
        <v>0</v>
      </c>
      <c r="D2248" s="528">
        <f>D2352+D2456</f>
        <v>0</v>
      </c>
      <c r="F2248" s="2001">
        <v>0.31</v>
      </c>
      <c r="G2248" s="1992"/>
      <c r="H2248" s="1644">
        <f>ROUND($F2248*C2248,0)</f>
        <v>0</v>
      </c>
      <c r="I2248" s="1644">
        <f>ROUND($F2248*D2248,0)</f>
        <v>0</v>
      </c>
      <c r="K2248" s="2001"/>
      <c r="L2248" s="1992"/>
      <c r="M2248" s="2001"/>
      <c r="N2248" s="1992"/>
      <c r="O2248" s="2001"/>
      <c r="P2248" s="1992"/>
      <c r="Q2248" s="2001"/>
      <c r="R2248" s="1992"/>
      <c r="S2248" s="1644"/>
      <c r="T2248" s="1645"/>
      <c r="U2248" s="1644"/>
      <c r="V2248" s="1645"/>
      <c r="W2248" s="1644"/>
      <c r="X2248" s="1645"/>
      <c r="Y2248" s="1644"/>
    </row>
    <row r="2249" spans="1:25">
      <c r="A2249" s="1900" t="s">
        <v>317</v>
      </c>
      <c r="B2249" s="1900"/>
      <c r="C2249" s="528"/>
      <c r="D2249" s="528"/>
      <c r="F2249" s="2000"/>
      <c r="G2249" s="1902"/>
      <c r="H2249" s="1644"/>
      <c r="I2249" s="1644"/>
      <c r="K2249" s="2000"/>
      <c r="L2249" s="1902"/>
      <c r="M2249" s="2000"/>
      <c r="N2249" s="1902"/>
      <c r="O2249" s="2000"/>
      <c r="P2249" s="1902"/>
      <c r="Q2249" s="2000"/>
      <c r="R2249" s="1902"/>
      <c r="S2249" s="1644"/>
      <c r="T2249" s="1643"/>
      <c r="U2249" s="1644"/>
      <c r="V2249" s="1643"/>
      <c r="W2249" s="1644"/>
      <c r="X2249" s="1643"/>
      <c r="Y2249" s="1644"/>
    </row>
    <row r="2250" spans="1:25">
      <c r="A2250" s="1900" t="s">
        <v>944</v>
      </c>
      <c r="B2250" s="1900"/>
      <c r="C2250" s="528">
        <f>C2354+C2458</f>
        <v>0</v>
      </c>
      <c r="D2250" s="528">
        <f>D2354+D2458</f>
        <v>0</v>
      </c>
      <c r="F2250" s="2000">
        <v>40.81</v>
      </c>
      <c r="G2250" s="1902"/>
      <c r="H2250" s="1644">
        <f>ROUND($F2250*C2250,0)</f>
        <v>0</v>
      </c>
      <c r="I2250" s="1644">
        <f>ROUND($F2250*D2250,0)</f>
        <v>0</v>
      </c>
      <c r="K2250" s="2000"/>
      <c r="L2250" s="1902"/>
      <c r="M2250" s="2000"/>
      <c r="N2250" s="1902"/>
      <c r="O2250" s="2000"/>
      <c r="P2250" s="1902"/>
      <c r="Q2250" s="2000"/>
      <c r="R2250" s="1902"/>
      <c r="S2250" s="1644"/>
      <c r="T2250" s="1643"/>
      <c r="U2250" s="1644"/>
      <c r="V2250" s="1643"/>
      <c r="W2250" s="1644"/>
      <c r="X2250" s="1643"/>
      <c r="Y2250" s="1644"/>
    </row>
    <row r="2251" spans="1:25">
      <c r="A2251" s="1900" t="s">
        <v>945</v>
      </c>
      <c r="B2251" s="1900"/>
      <c r="C2251" s="528">
        <f>C2355+C2459</f>
        <v>0</v>
      </c>
      <c r="D2251" s="528">
        <f>D2355+D2459</f>
        <v>0</v>
      </c>
      <c r="F2251" s="2000">
        <v>32.04</v>
      </c>
      <c r="G2251" s="1902"/>
      <c r="H2251" s="1644">
        <f>ROUND($F2251*C2251,0)</f>
        <v>0</v>
      </c>
      <c r="I2251" s="1644">
        <f>ROUND($F2251*D2251,0)</f>
        <v>0</v>
      </c>
      <c r="K2251" s="2000"/>
      <c r="L2251" s="1902"/>
      <c r="M2251" s="2000"/>
      <c r="N2251" s="1902"/>
      <c r="O2251" s="2000"/>
      <c r="P2251" s="1902"/>
      <c r="Q2251" s="2000"/>
      <c r="R2251" s="1902"/>
      <c r="S2251" s="1644"/>
      <c r="T2251" s="1643"/>
      <c r="U2251" s="1644"/>
      <c r="V2251" s="1643"/>
      <c r="W2251" s="1644"/>
      <c r="X2251" s="1643"/>
      <c r="Y2251" s="1644"/>
    </row>
    <row r="2252" spans="1:25">
      <c r="A2252" s="1987" t="s">
        <v>183</v>
      </c>
      <c r="C2252" s="528"/>
      <c r="D2252" s="528"/>
      <c r="F2252" s="2002"/>
      <c r="K2252" s="2002"/>
      <c r="M2252" s="2002"/>
      <c r="O2252" s="2002"/>
      <c r="Q2252" s="2002"/>
      <c r="S2252" s="1638"/>
      <c r="U2252" s="1638"/>
      <c r="W2252" s="1638"/>
    </row>
    <row r="2253" spans="1:25">
      <c r="A2253" s="1900" t="s">
        <v>312</v>
      </c>
      <c r="C2253" s="528">
        <f>C2357+C2461</f>
        <v>24</v>
      </c>
      <c r="D2253" s="528">
        <f>D2357+D2461</f>
        <v>25</v>
      </c>
      <c r="F2253" s="2000">
        <v>605</v>
      </c>
      <c r="G2253" s="1902"/>
      <c r="H2253" s="1644">
        <f>ROUND($F2253*C2253,0)</f>
        <v>14520</v>
      </c>
      <c r="I2253" s="1644">
        <f>ROUND($F2253*D2253,0)</f>
        <v>15125</v>
      </c>
      <c r="K2253" s="2000">
        <f>ROUND($Q2253*K2231/$Q2231,2)</f>
        <v>627</v>
      </c>
      <c r="L2253" s="1902"/>
      <c r="M2253" s="2000">
        <f>ROUND($Q2253*M2231/$Q2231,2)</f>
        <v>0</v>
      </c>
      <c r="N2253" s="1902"/>
      <c r="O2253" s="2000">
        <f>Q2253-K2253-M2253</f>
        <v>0</v>
      </c>
      <c r="P2253" s="1902"/>
      <c r="Q2253" s="2000">
        <f>ROUND(F2253*(1+$AB$1483),0)</f>
        <v>627</v>
      </c>
      <c r="R2253" s="1902"/>
      <c r="S2253" s="1644">
        <f>ROUND($D2253*K2253,0)</f>
        <v>15675</v>
      </c>
      <c r="T2253" s="1643"/>
      <c r="U2253" s="1644">
        <f>ROUND($D2253*M2253,0)</f>
        <v>0</v>
      </c>
      <c r="V2253" s="1643"/>
      <c r="W2253" s="1644">
        <f>ROUND($D2253*O2253,0)</f>
        <v>0</v>
      </c>
      <c r="X2253" s="1643"/>
      <c r="Y2253" s="1644">
        <f>ROUND($D2253*Q2253,0)</f>
        <v>15675</v>
      </c>
    </row>
    <row r="2254" spans="1:25">
      <c r="A2254" s="1900" t="s">
        <v>313</v>
      </c>
      <c r="C2254" s="528">
        <f>C2358+C2462</f>
        <v>36600</v>
      </c>
      <c r="D2254" s="528">
        <f>D2358+D2462</f>
        <v>34929</v>
      </c>
      <c r="F2254" s="2000">
        <v>4.46</v>
      </c>
      <c r="G2254" s="1902"/>
      <c r="H2254" s="1644">
        <f>ROUND($F2254*C2254,0)</f>
        <v>163236</v>
      </c>
      <c r="I2254" s="1644">
        <f>ROUND($F2254*D2254,0)</f>
        <v>155783</v>
      </c>
      <c r="K2254" s="2000">
        <f>ROUND($Q2254*K2232/$Q2232,2)</f>
        <v>4.63</v>
      </c>
      <c r="L2254" s="1902"/>
      <c r="M2254" s="2000">
        <f>ROUND($Q2254*M2232/$Q2232,2)</f>
        <v>0</v>
      </c>
      <c r="N2254" s="1902"/>
      <c r="O2254" s="2000">
        <f>Q2254-K2254-M2254</f>
        <v>0</v>
      </c>
      <c r="P2254" s="1902"/>
      <c r="Q2254" s="2000">
        <f>ROUND(F2254*(1+$AB$1483),2)</f>
        <v>4.63</v>
      </c>
      <c r="R2254" s="1902"/>
      <c r="S2254" s="1644">
        <f>ROUND($D2254*K2254,0)</f>
        <v>161721</v>
      </c>
      <c r="T2254" s="1643"/>
      <c r="U2254" s="1644">
        <f>ROUND($D2254*M2254,0)</f>
        <v>0</v>
      </c>
      <c r="V2254" s="1643"/>
      <c r="W2254" s="1644">
        <f>ROUND($D2254*O2254,0)</f>
        <v>0</v>
      </c>
      <c r="X2254" s="1643"/>
      <c r="Y2254" s="1644">
        <f>ROUND($D2254*Q2254,0)</f>
        <v>161721</v>
      </c>
    </row>
    <row r="2255" spans="1:25">
      <c r="A2255" s="1900" t="s">
        <v>314</v>
      </c>
      <c r="C2255" s="528"/>
      <c r="D2255" s="528"/>
      <c r="F2255" s="2000"/>
      <c r="G2255" s="1902"/>
      <c r="H2255" s="1644"/>
      <c r="I2255" s="1644"/>
      <c r="K2255" s="2001"/>
      <c r="L2255" s="597"/>
      <c r="M2255" s="2001"/>
      <c r="N2255" s="597"/>
      <c r="O2255" s="2001"/>
      <c r="P2255" s="1902"/>
      <c r="Q2255" s="2001"/>
      <c r="R2255" s="1902"/>
      <c r="S2255" s="1644"/>
      <c r="T2255" s="1643"/>
      <c r="U2255" s="1644"/>
      <c r="V2255" s="1643"/>
      <c r="W2255" s="1644"/>
      <c r="X2255" s="1643"/>
      <c r="Y2255" s="1644"/>
    </row>
    <row r="2256" spans="1:25">
      <c r="A2256" s="1900" t="s">
        <v>315</v>
      </c>
      <c r="C2256" s="528"/>
      <c r="D2256" s="528"/>
      <c r="F2256" s="2000"/>
      <c r="G2256" s="1991"/>
      <c r="H2256" s="1644"/>
      <c r="I2256" s="1644"/>
      <c r="K2256" s="2000"/>
      <c r="L2256" s="1991"/>
      <c r="M2256" s="2000"/>
      <c r="N2256" s="1991"/>
      <c r="O2256" s="2000"/>
      <c r="P2256" s="1991"/>
      <c r="Q2256" s="2000"/>
      <c r="R2256" s="1991"/>
      <c r="S2256" s="1644"/>
      <c r="T2256" s="1643"/>
      <c r="U2256" s="1644"/>
      <c r="V2256" s="1643"/>
      <c r="W2256" s="1644"/>
      <c r="X2256" s="1643"/>
      <c r="Y2256" s="1644"/>
    </row>
    <row r="2257" spans="1:25">
      <c r="A2257" s="1900" t="s">
        <v>1668</v>
      </c>
      <c r="C2257" s="528">
        <f t="shared" ref="C2257:D2257" si="2520">C2361+C2465</f>
        <v>70696.650348096649</v>
      </c>
      <c r="D2257" s="528">
        <f t="shared" si="2520"/>
        <v>67470</v>
      </c>
      <c r="F2257" s="2000"/>
      <c r="G2257" s="1991"/>
      <c r="H2257" s="1644"/>
      <c r="I2257" s="1644"/>
      <c r="K2257" s="2000">
        <f>ROUND($Q2257*K2235/$Q2235,2)</f>
        <v>0.41</v>
      </c>
      <c r="L2257" s="1991"/>
      <c r="M2257" s="2000">
        <f t="shared" ref="M2257:M2258" si="2521">Q2257-K2257-O2257</f>
        <v>0.48000000000000004</v>
      </c>
      <c r="N2257" s="1991"/>
      <c r="O2257" s="2000">
        <v>0</v>
      </c>
      <c r="P2257" s="1991"/>
      <c r="Q2257" s="2000">
        <f>ROUND(F2266*(1+$AB$1483),2)</f>
        <v>0.89</v>
      </c>
      <c r="R2257" s="1991"/>
      <c r="S2257" s="1644">
        <f t="shared" ref="S2257:Y2258" si="2522">ROUND($D2257*K2257,0)</f>
        <v>27663</v>
      </c>
      <c r="T2257" s="1643"/>
      <c r="U2257" s="1644">
        <f t="shared" si="2522"/>
        <v>32386</v>
      </c>
      <c r="V2257" s="1643"/>
      <c r="W2257" s="1644">
        <f t="shared" si="2522"/>
        <v>0</v>
      </c>
      <c r="X2257" s="1643"/>
      <c r="Y2257" s="1644">
        <f t="shared" si="2522"/>
        <v>60048</v>
      </c>
    </row>
    <row r="2258" spans="1:25">
      <c r="A2258" s="1900" t="s">
        <v>1669</v>
      </c>
      <c r="C2258" s="528">
        <f t="shared" ref="C2258:D2258" si="2523">C2362+C2466</f>
        <v>49579.034602910964</v>
      </c>
      <c r="D2258" s="528">
        <f t="shared" si="2523"/>
        <v>47316</v>
      </c>
      <c r="F2258" s="2000"/>
      <c r="G2258" s="1991"/>
      <c r="H2258" s="1644"/>
      <c r="I2258" s="1644"/>
      <c r="K2258" s="2000">
        <f>ROUND($Q2258*K2236/$Q2236,2)</f>
        <v>0.36</v>
      </c>
      <c r="L2258" s="1991"/>
      <c r="M2258" s="2000">
        <f t="shared" si="2521"/>
        <v>0.43000000000000005</v>
      </c>
      <c r="N2258" s="1991"/>
      <c r="O2258" s="2000">
        <v>0</v>
      </c>
      <c r="P2258" s="1991"/>
      <c r="Q2258" s="2000">
        <f>ROUND(Q2257/$AB$1489,2)</f>
        <v>0.79</v>
      </c>
      <c r="R2258" s="1991"/>
      <c r="S2258" s="1644">
        <f t="shared" si="2522"/>
        <v>17034</v>
      </c>
      <c r="T2258" s="1643"/>
      <c r="U2258" s="1644">
        <f t="shared" si="2522"/>
        <v>20346</v>
      </c>
      <c r="V2258" s="1643"/>
      <c r="W2258" s="1644">
        <f t="shared" si="2522"/>
        <v>0</v>
      </c>
      <c r="X2258" s="1643"/>
      <c r="Y2258" s="1644">
        <f t="shared" si="2522"/>
        <v>37380</v>
      </c>
    </row>
    <row r="2259" spans="1:25">
      <c r="A2259" s="1900" t="s">
        <v>316</v>
      </c>
      <c r="C2259" s="528"/>
      <c r="D2259" s="528"/>
      <c r="F2259" s="2001"/>
      <c r="G2259" s="1992"/>
      <c r="H2259" s="1644"/>
      <c r="I2259" s="1644"/>
      <c r="K2259" s="2001"/>
      <c r="L2259" s="1992"/>
      <c r="M2259" s="2001"/>
      <c r="N2259" s="1992"/>
      <c r="O2259" s="2001"/>
      <c r="P2259" s="1992"/>
      <c r="Q2259" s="2001"/>
      <c r="R2259" s="1992"/>
      <c r="S2259" s="1644"/>
      <c r="T2259" s="1645"/>
      <c r="U2259" s="1644"/>
      <c r="V2259" s="1645"/>
      <c r="W2259" s="1644"/>
      <c r="X2259" s="1645"/>
      <c r="Y2259" s="1644"/>
    </row>
    <row r="2260" spans="1:25">
      <c r="A2260" s="1900" t="s">
        <v>1668</v>
      </c>
      <c r="C2260" s="528">
        <f t="shared" ref="C2260:D2260" si="2524">C2364+C2468</f>
        <v>1582.2885037622348</v>
      </c>
      <c r="D2260" s="528">
        <f t="shared" si="2524"/>
        <v>1510</v>
      </c>
      <c r="F2260" s="2001"/>
      <c r="G2260" s="1992"/>
      <c r="H2260" s="1644"/>
      <c r="I2260" s="1644"/>
      <c r="K2260" s="2001">
        <f>ROUND($Q2260*K2257/$Q2257,2)</f>
        <v>0.21</v>
      </c>
      <c r="L2260" s="1992"/>
      <c r="M2260" s="2000">
        <f t="shared" ref="M2260:M2261" si="2525">Q2260-K2260-O2260</f>
        <v>0.24000000000000002</v>
      </c>
      <c r="N2260" s="1991"/>
      <c r="O2260" s="2000">
        <v>0</v>
      </c>
      <c r="P2260" s="1992"/>
      <c r="Q2260" s="2000">
        <f>ROUND(F2269*(1+$AB$1483),2)</f>
        <v>0.45</v>
      </c>
      <c r="R2260" s="1992"/>
      <c r="S2260" s="1644">
        <f t="shared" ref="S2260:Y2261" si="2526">ROUND($D2260*K2260,0)</f>
        <v>317</v>
      </c>
      <c r="T2260" s="1645"/>
      <c r="U2260" s="1644">
        <f t="shared" si="2526"/>
        <v>362</v>
      </c>
      <c r="V2260" s="1645"/>
      <c r="W2260" s="1644">
        <f t="shared" si="2526"/>
        <v>0</v>
      </c>
      <c r="X2260" s="1645"/>
      <c r="Y2260" s="1644">
        <f t="shared" si="2526"/>
        <v>680</v>
      </c>
    </row>
    <row r="2261" spans="1:25">
      <c r="A2261" s="1900" t="s">
        <v>1669</v>
      </c>
      <c r="C2261" s="528">
        <f t="shared" ref="C2261:D2261" si="2527">C2365+C2469</f>
        <v>0</v>
      </c>
      <c r="D2261" s="528">
        <f t="shared" si="2527"/>
        <v>0</v>
      </c>
      <c r="F2261" s="2001"/>
      <c r="G2261" s="1992"/>
      <c r="H2261" s="1644"/>
      <c r="I2261" s="1644"/>
      <c r="K2261" s="2001">
        <f>ROUND($Q2261*K2258/$Q2258,2)</f>
        <v>0.18</v>
      </c>
      <c r="L2261" s="1992"/>
      <c r="M2261" s="2000">
        <f t="shared" si="2525"/>
        <v>0.22000000000000003</v>
      </c>
      <c r="N2261" s="1991"/>
      <c r="O2261" s="2000">
        <v>0</v>
      </c>
      <c r="P2261" s="1992"/>
      <c r="Q2261" s="2000">
        <f>ROUND(Q2260/$AB$1489,2)</f>
        <v>0.4</v>
      </c>
      <c r="R2261" s="1992"/>
      <c r="S2261" s="1644">
        <f t="shared" si="2526"/>
        <v>0</v>
      </c>
      <c r="T2261" s="1645"/>
      <c r="U2261" s="1644">
        <f t="shared" si="2526"/>
        <v>0</v>
      </c>
      <c r="V2261" s="1645"/>
      <c r="W2261" s="1644">
        <f t="shared" si="2526"/>
        <v>0</v>
      </c>
      <c r="X2261" s="1645"/>
      <c r="Y2261" s="1644">
        <f t="shared" si="2526"/>
        <v>0</v>
      </c>
    </row>
    <row r="2262" spans="1:25">
      <c r="A2262" s="1900" t="s">
        <v>317</v>
      </c>
      <c r="C2262" s="528"/>
      <c r="D2262" s="528"/>
      <c r="F2262" s="2000"/>
      <c r="G2262" s="1902"/>
      <c r="H2262" s="1644"/>
      <c r="I2262" s="1644"/>
      <c r="K2262" s="2000"/>
      <c r="L2262" s="1902"/>
      <c r="M2262" s="2000"/>
      <c r="N2262" s="1902"/>
      <c r="O2262" s="2000"/>
      <c r="P2262" s="1902"/>
      <c r="Q2262" s="2000"/>
      <c r="R2262" s="1902"/>
      <c r="S2262" s="1644"/>
      <c r="T2262" s="1643"/>
      <c r="U2262" s="1644"/>
      <c r="V2262" s="1643"/>
      <c r="W2262" s="1644"/>
      <c r="X2262" s="1643"/>
      <c r="Y2262" s="1644"/>
    </row>
    <row r="2263" spans="1:25">
      <c r="A2263" s="1900" t="s">
        <v>1668</v>
      </c>
      <c r="C2263" s="528">
        <f t="shared" ref="C2263:D2263" si="2528">C2367+C2471</f>
        <v>148.49169035307125</v>
      </c>
      <c r="D2263" s="528">
        <f t="shared" si="2528"/>
        <v>142</v>
      </c>
      <c r="F2263" s="2000"/>
      <c r="G2263" s="1902"/>
      <c r="H2263" s="1644"/>
      <c r="I2263" s="1644"/>
      <c r="K2263" s="2001">
        <f>ROUND($Q2263*K2257/$Q2257,2)</f>
        <v>18.41</v>
      </c>
      <c r="L2263" s="1992"/>
      <c r="M2263" s="2000">
        <f>Q2263-K2263-O2263</f>
        <v>21.56</v>
      </c>
      <c r="N2263" s="1991"/>
      <c r="O2263" s="2000">
        <v>0</v>
      </c>
      <c r="P2263" s="1902"/>
      <c r="Q2263" s="2000">
        <f>ROUND(F2272*(1+$AB$1483),2)</f>
        <v>39.97</v>
      </c>
      <c r="R2263" s="1902"/>
      <c r="S2263" s="1644">
        <f t="shared" ref="S2263:Y2264" si="2529">ROUND($D2263*K2263,0)</f>
        <v>2614</v>
      </c>
      <c r="T2263" s="1643"/>
      <c r="U2263" s="1644">
        <f t="shared" si="2529"/>
        <v>3062</v>
      </c>
      <c r="V2263" s="1643"/>
      <c r="W2263" s="1644">
        <f t="shared" si="2529"/>
        <v>0</v>
      </c>
      <c r="X2263" s="1643"/>
      <c r="Y2263" s="1644">
        <f t="shared" si="2529"/>
        <v>5676</v>
      </c>
    </row>
    <row r="2264" spans="1:25">
      <c r="A2264" s="1900" t="s">
        <v>1669</v>
      </c>
      <c r="C2264" s="528">
        <f t="shared" ref="C2264:D2264" si="2530">C2368+C2472</f>
        <v>686.10495578422365</v>
      </c>
      <c r="D2264" s="528">
        <f t="shared" si="2530"/>
        <v>655</v>
      </c>
      <c r="F2264" s="2000"/>
      <c r="G2264" s="1902"/>
      <c r="H2264" s="1644"/>
      <c r="I2264" s="1644"/>
      <c r="K2264" s="2001">
        <f>ROUND($Q2264*K2258/$Q2258,2)</f>
        <v>16.12</v>
      </c>
      <c r="L2264" s="1992"/>
      <c r="M2264" s="2000">
        <f>Q2264-K2264-O2264</f>
        <v>19.249999999999996</v>
      </c>
      <c r="N2264" s="1991"/>
      <c r="O2264" s="2000">
        <v>0</v>
      </c>
      <c r="P2264" s="1902"/>
      <c r="Q2264" s="2000">
        <f>ROUND(Q2263/$AB$1489,2)</f>
        <v>35.369999999999997</v>
      </c>
      <c r="R2264" s="1902"/>
      <c r="S2264" s="1644">
        <f t="shared" si="2529"/>
        <v>10559</v>
      </c>
      <c r="T2264" s="1643"/>
      <c r="U2264" s="1644">
        <f t="shared" si="2529"/>
        <v>12609</v>
      </c>
      <c r="V2264" s="1643"/>
      <c r="W2264" s="1644">
        <f t="shared" si="2529"/>
        <v>0</v>
      </c>
      <c r="X2264" s="1643"/>
      <c r="Y2264" s="1644">
        <f t="shared" si="2529"/>
        <v>23167</v>
      </c>
    </row>
    <row r="2265" spans="1:25">
      <c r="A2265" s="1900" t="s">
        <v>315</v>
      </c>
      <c r="C2265" s="528"/>
      <c r="D2265" s="528"/>
      <c r="F2265" s="2000"/>
      <c r="G2265" s="1991"/>
      <c r="H2265" s="1644"/>
      <c r="I2265" s="1644"/>
      <c r="K2265" s="2000"/>
      <c r="L2265" s="1991"/>
      <c r="M2265" s="2000"/>
      <c r="N2265" s="1991"/>
      <c r="O2265" s="2000"/>
      <c r="P2265" s="1991"/>
      <c r="Q2265" s="2000"/>
      <c r="R2265" s="1991"/>
      <c r="S2265" s="1644"/>
      <c r="T2265" s="1643"/>
      <c r="U2265" s="1644"/>
      <c r="V2265" s="1643"/>
      <c r="W2265" s="1644"/>
      <c r="X2265" s="1643"/>
      <c r="Y2265" s="1644"/>
    </row>
    <row r="2266" spans="1:25">
      <c r="A2266" s="1900" t="s">
        <v>944</v>
      </c>
      <c r="C2266" s="528">
        <f>C2370+C2474</f>
        <v>87126</v>
      </c>
      <c r="D2266" s="528">
        <f>D2370+D2474</f>
        <v>83149</v>
      </c>
      <c r="F2266" s="2000">
        <v>0.86</v>
      </c>
      <c r="G2266" s="1991"/>
      <c r="H2266" s="1644">
        <f>ROUND($F2266*C2266,0)</f>
        <v>74928</v>
      </c>
      <c r="I2266" s="1644">
        <f>ROUND($F2266*D2266,0)</f>
        <v>71508</v>
      </c>
      <c r="K2266" s="2000"/>
      <c r="L2266" s="1991"/>
      <c r="M2266" s="2000"/>
      <c r="N2266" s="1991"/>
      <c r="O2266" s="2000"/>
      <c r="P2266" s="1991"/>
      <c r="Q2266" s="2000"/>
      <c r="R2266" s="1991"/>
      <c r="S2266" s="1644"/>
      <c r="T2266" s="1643"/>
      <c r="U2266" s="1644"/>
      <c r="V2266" s="1643"/>
      <c r="W2266" s="1644"/>
      <c r="X2266" s="1643"/>
      <c r="Y2266" s="1644"/>
    </row>
    <row r="2267" spans="1:25">
      <c r="A2267" s="1900" t="s">
        <v>945</v>
      </c>
      <c r="C2267" s="528">
        <f>C2371+C2475</f>
        <v>43646</v>
      </c>
      <c r="D2267" s="528">
        <f>D2371+D2475</f>
        <v>41654</v>
      </c>
      <c r="F2267" s="2000">
        <v>0.6</v>
      </c>
      <c r="G2267" s="1991"/>
      <c r="H2267" s="1644">
        <f>ROUND($F2267*C2267,0)</f>
        <v>26188</v>
      </c>
      <c r="I2267" s="1644">
        <f>ROUND($F2267*D2267,0)</f>
        <v>24992</v>
      </c>
      <c r="K2267" s="2000"/>
      <c r="L2267" s="1991"/>
      <c r="M2267" s="2000"/>
      <c r="N2267" s="1991"/>
      <c r="O2267" s="2000"/>
      <c r="P2267" s="1991"/>
      <c r="Q2267" s="2000"/>
      <c r="R2267" s="1991"/>
      <c r="S2267" s="1644"/>
      <c r="T2267" s="1643"/>
      <c r="U2267" s="1644"/>
      <c r="V2267" s="1643"/>
      <c r="W2267" s="1644"/>
      <c r="X2267" s="1643"/>
      <c r="Y2267" s="1644"/>
    </row>
    <row r="2268" spans="1:25">
      <c r="A2268" s="1900" t="s">
        <v>316</v>
      </c>
      <c r="C2268" s="528"/>
      <c r="D2268" s="528"/>
      <c r="F2268" s="2001"/>
      <c r="G2268" s="1992"/>
      <c r="H2268" s="1644"/>
      <c r="I2268" s="1644"/>
      <c r="K2268" s="2001"/>
      <c r="L2268" s="1992"/>
      <c r="M2268" s="2001"/>
      <c r="N2268" s="1992"/>
      <c r="O2268" s="2001"/>
      <c r="P2268" s="1992"/>
      <c r="Q2268" s="2001"/>
      <c r="R2268" s="1992"/>
      <c r="S2268" s="1644"/>
      <c r="T2268" s="1645"/>
      <c r="U2268" s="1644"/>
      <c r="V2268" s="1645"/>
      <c r="W2268" s="1644"/>
      <c r="X2268" s="1645"/>
      <c r="Y2268" s="1644"/>
    </row>
    <row r="2269" spans="1:25">
      <c r="A2269" s="1900" t="s">
        <v>944</v>
      </c>
      <c r="C2269" s="528">
        <f>C2373+C2477</f>
        <v>1950</v>
      </c>
      <c r="D2269" s="528">
        <f>D2373+D2477</f>
        <v>1861</v>
      </c>
      <c r="F2269" s="2001">
        <v>0.43</v>
      </c>
      <c r="G2269" s="1992"/>
      <c r="H2269" s="1644">
        <f>ROUND($F2269*C2269,0)</f>
        <v>839</v>
      </c>
      <c r="I2269" s="1644">
        <f>ROUND($F2269*D2269,0)</f>
        <v>800</v>
      </c>
      <c r="K2269" s="2001"/>
      <c r="L2269" s="1992"/>
      <c r="M2269" s="2001"/>
      <c r="N2269" s="1992"/>
      <c r="O2269" s="2001"/>
      <c r="P2269" s="1992"/>
      <c r="Q2269" s="2001"/>
      <c r="R2269" s="1992"/>
      <c r="S2269" s="1644"/>
      <c r="T2269" s="1645"/>
      <c r="U2269" s="1644"/>
      <c r="V2269" s="1645"/>
      <c r="W2269" s="1644"/>
      <c r="X2269" s="1645"/>
      <c r="Y2269" s="1644"/>
    </row>
    <row r="2270" spans="1:25">
      <c r="A2270" s="1900" t="s">
        <v>945</v>
      </c>
      <c r="C2270" s="528">
        <f>C2374+C2478</f>
        <v>0</v>
      </c>
      <c r="D2270" s="528">
        <f>D2374+D2478</f>
        <v>0</v>
      </c>
      <c r="F2270" s="2001">
        <v>0.3</v>
      </c>
      <c r="G2270" s="1992"/>
      <c r="H2270" s="1644">
        <f>ROUND($F2270*C2270,0)</f>
        <v>0</v>
      </c>
      <c r="I2270" s="1644">
        <f>ROUND($F2270*D2270,0)</f>
        <v>0</v>
      </c>
      <c r="K2270" s="2001"/>
      <c r="L2270" s="1992"/>
      <c r="M2270" s="2001"/>
      <c r="N2270" s="1992"/>
      <c r="O2270" s="2001"/>
      <c r="P2270" s="1992"/>
      <c r="Q2270" s="2001"/>
      <c r="R2270" s="1992"/>
      <c r="S2270" s="1644"/>
      <c r="T2270" s="1645"/>
      <c r="U2270" s="1644"/>
      <c r="V2270" s="1645"/>
      <c r="W2270" s="1644"/>
      <c r="X2270" s="1645"/>
      <c r="Y2270" s="1644"/>
    </row>
    <row r="2271" spans="1:25">
      <c r="A2271" s="1900" t="s">
        <v>317</v>
      </c>
      <c r="C2271" s="528"/>
      <c r="D2271" s="528"/>
      <c r="F2271" s="2000"/>
      <c r="G2271" s="1902"/>
      <c r="H2271" s="1644"/>
      <c r="I2271" s="1644"/>
      <c r="K2271" s="2000"/>
      <c r="L2271" s="1902"/>
      <c r="M2271" s="2000"/>
      <c r="N2271" s="1902"/>
      <c r="O2271" s="2000"/>
      <c r="P2271" s="1902"/>
      <c r="Q2271" s="2000"/>
      <c r="R2271" s="1902"/>
      <c r="S2271" s="1644"/>
      <c r="T2271" s="1643"/>
      <c r="U2271" s="1644"/>
      <c r="V2271" s="1643"/>
      <c r="W2271" s="1644"/>
      <c r="X2271" s="1643"/>
      <c r="Y2271" s="1644"/>
    </row>
    <row r="2272" spans="1:25">
      <c r="A2272" s="1900" t="s">
        <v>944</v>
      </c>
      <c r="C2272" s="528">
        <f>C2376+C2480</f>
        <v>183</v>
      </c>
      <c r="D2272" s="528">
        <f>D2376+D2480</f>
        <v>175</v>
      </c>
      <c r="F2272" s="2000">
        <v>38.54</v>
      </c>
      <c r="G2272" s="1902"/>
      <c r="H2272" s="1644">
        <f>ROUND($F2272*C2272,0)</f>
        <v>7053</v>
      </c>
      <c r="I2272" s="1644">
        <f>ROUND($F2272*D2272,0)</f>
        <v>6745</v>
      </c>
      <c r="K2272" s="2000"/>
      <c r="L2272" s="1902"/>
      <c r="M2272" s="2000"/>
      <c r="N2272" s="1902"/>
      <c r="O2272" s="2000"/>
      <c r="P2272" s="1902"/>
      <c r="Q2272" s="2000"/>
      <c r="R2272" s="1902"/>
      <c r="S2272" s="1644"/>
      <c r="T2272" s="1643"/>
      <c r="U2272" s="1644"/>
      <c r="V2272" s="1643"/>
      <c r="W2272" s="1644"/>
      <c r="X2272" s="1643"/>
      <c r="Y2272" s="1644"/>
    </row>
    <row r="2273" spans="1:25">
      <c r="A2273" s="1900" t="s">
        <v>945</v>
      </c>
      <c r="C2273" s="528">
        <f>C2377+C2481</f>
        <v>604</v>
      </c>
      <c r="D2273" s="528">
        <f>D2377+D2481</f>
        <v>576</v>
      </c>
      <c r="F2273" s="2000">
        <v>29.77</v>
      </c>
      <c r="G2273" s="1902"/>
      <c r="H2273" s="1644">
        <f>ROUND($F2273*C2273,0)</f>
        <v>17981</v>
      </c>
      <c r="I2273" s="1644">
        <f>ROUND($F2273*D2273,0)</f>
        <v>17148</v>
      </c>
      <c r="K2273" s="2000"/>
      <c r="L2273" s="1902"/>
      <c r="M2273" s="2000"/>
      <c r="N2273" s="1902"/>
      <c r="O2273" s="2000"/>
      <c r="P2273" s="1902"/>
      <c r="Q2273" s="2000"/>
      <c r="R2273" s="1902"/>
      <c r="S2273" s="1644"/>
      <c r="T2273" s="1643"/>
      <c r="U2273" s="1644"/>
      <c r="V2273" s="1643"/>
      <c r="W2273" s="1644"/>
      <c r="X2273" s="1643"/>
      <c r="Y2273" s="1644"/>
    </row>
    <row r="2274" spans="1:25">
      <c r="A2274" s="1987" t="s">
        <v>182</v>
      </c>
      <c r="C2274" s="528"/>
      <c r="D2274" s="528"/>
      <c r="F2274" s="2002"/>
      <c r="K2274" s="2002"/>
      <c r="M2274" s="2002"/>
      <c r="O2274" s="2002"/>
      <c r="Q2274" s="2002"/>
      <c r="S2274" s="1638"/>
      <c r="U2274" s="1638"/>
      <c r="W2274" s="1638"/>
    </row>
    <row r="2275" spans="1:25">
      <c r="A2275" s="1900" t="s">
        <v>312</v>
      </c>
      <c r="C2275" s="528">
        <f>C2379+C2483</f>
        <v>59</v>
      </c>
      <c r="D2275" s="528">
        <f>D2379+D2483</f>
        <v>59</v>
      </c>
      <c r="F2275" s="2000">
        <v>678</v>
      </c>
      <c r="G2275" s="1902"/>
      <c r="H2275" s="1644">
        <f>ROUND($F2275*C2275,0)</f>
        <v>40002</v>
      </c>
      <c r="I2275" s="1644">
        <f>ROUND($F2275*D2275,0)</f>
        <v>40002</v>
      </c>
      <c r="K2275" s="2000">
        <f>ROUND($Q2275*K1479/$Q1479,2)</f>
        <v>703</v>
      </c>
      <c r="L2275" s="1902"/>
      <c r="M2275" s="2000">
        <f>ROUND($Q2275*M1479/$Q1479,2)</f>
        <v>0</v>
      </c>
      <c r="N2275" s="1902"/>
      <c r="O2275" s="2000">
        <f>Q2275-K2275-M2275</f>
        <v>0</v>
      </c>
      <c r="P2275" s="1902"/>
      <c r="Q2275" s="2000">
        <f>ROUND(F2275*(1+$AB$1483),0)</f>
        <v>703</v>
      </c>
      <c r="R2275" s="1902"/>
      <c r="S2275" s="1644">
        <f>ROUND($D2275*K2275,0)</f>
        <v>41477</v>
      </c>
      <c r="T2275" s="1643"/>
      <c r="U2275" s="1644">
        <f>ROUND($D2275*M2275,0)</f>
        <v>0</v>
      </c>
      <c r="V2275" s="1643"/>
      <c r="W2275" s="1644">
        <f>ROUND($D2275*O2275,0)</f>
        <v>0</v>
      </c>
      <c r="X2275" s="1643"/>
      <c r="Y2275" s="1644">
        <f>ROUND($D2275*Q2275,0)</f>
        <v>41477</v>
      </c>
    </row>
    <row r="2276" spans="1:25">
      <c r="A2276" s="1900" t="s">
        <v>313</v>
      </c>
      <c r="C2276" s="528">
        <f>C2380+C2484</f>
        <v>255139</v>
      </c>
      <c r="D2276" s="528">
        <f>D2380+D2484</f>
        <v>291905</v>
      </c>
      <c r="F2276" s="2000">
        <v>2.63</v>
      </c>
      <c r="G2276" s="1902"/>
      <c r="H2276" s="1644">
        <f>ROUND($F2276*C2276,0)</f>
        <v>671016</v>
      </c>
      <c r="I2276" s="1644">
        <f>ROUND($F2276*D2276,0)</f>
        <v>767710</v>
      </c>
      <c r="K2276" s="2000">
        <f>ROUND($Q2276*K1480/$Q1480,2)</f>
        <v>2.73</v>
      </c>
      <c r="L2276" s="1902"/>
      <c r="M2276" s="2000">
        <f>ROUND($Q2276*M1480/$Q1480,2)</f>
        <v>0</v>
      </c>
      <c r="N2276" s="1902"/>
      <c r="O2276" s="2000">
        <f>Q2276-K2276-M2276</f>
        <v>0</v>
      </c>
      <c r="P2276" s="1902"/>
      <c r="Q2276" s="2000">
        <f>ROUND(F2276*(1+$AB$1483),2)</f>
        <v>2.73</v>
      </c>
      <c r="R2276" s="1902"/>
      <c r="S2276" s="1644">
        <f>ROUND($D2276*K2276,0)</f>
        <v>796901</v>
      </c>
      <c r="T2276" s="1643"/>
      <c r="U2276" s="1644">
        <f>ROUND($D2276*M2276,0)</f>
        <v>0</v>
      </c>
      <c r="V2276" s="1643"/>
      <c r="W2276" s="1644">
        <f>ROUND($D2276*O2276,0)</f>
        <v>0</v>
      </c>
      <c r="X2276" s="1643"/>
      <c r="Y2276" s="1644">
        <f>ROUND($D2276*Q2276,0)</f>
        <v>796901</v>
      </c>
    </row>
    <row r="2277" spans="1:25">
      <c r="A2277" s="1900" t="s">
        <v>314</v>
      </c>
      <c r="C2277" s="528"/>
      <c r="D2277" s="528"/>
      <c r="F2277" s="2001"/>
      <c r="G2277" s="597"/>
      <c r="H2277" s="1644"/>
      <c r="I2277" s="1644"/>
      <c r="K2277" s="2001"/>
      <c r="L2277" s="597"/>
      <c r="M2277" s="2001"/>
      <c r="N2277" s="597"/>
      <c r="O2277" s="2001"/>
      <c r="P2277" s="597"/>
      <c r="Q2277" s="2001"/>
      <c r="R2277" s="597"/>
      <c r="S2277" s="1644"/>
      <c r="T2277" s="1645"/>
      <c r="U2277" s="1644"/>
      <c r="V2277" s="1645"/>
      <c r="W2277" s="1644"/>
      <c r="X2277" s="1645"/>
      <c r="Y2277" s="1644"/>
    </row>
    <row r="2278" spans="1:25">
      <c r="A2278" s="1900" t="s">
        <v>315</v>
      </c>
      <c r="C2278" s="528"/>
      <c r="D2278" s="528"/>
      <c r="F2278" s="2000"/>
      <c r="G2278" s="1991"/>
      <c r="H2278" s="1644"/>
      <c r="I2278" s="1644"/>
      <c r="K2278" s="2000"/>
      <c r="L2278" s="1991"/>
      <c r="M2278" s="2000"/>
      <c r="N2278" s="1991"/>
      <c r="O2278" s="2000"/>
      <c r="P2278" s="1991"/>
      <c r="Q2278" s="2000"/>
      <c r="R2278" s="1991"/>
      <c r="S2278" s="1644"/>
      <c r="T2278" s="1643"/>
      <c r="U2278" s="1644"/>
      <c r="V2278" s="1643"/>
      <c r="W2278" s="1644"/>
      <c r="X2278" s="1643"/>
      <c r="Y2278" s="1644"/>
    </row>
    <row r="2279" spans="1:25">
      <c r="A2279" s="1900" t="s">
        <v>1668</v>
      </c>
      <c r="C2279" s="528">
        <f t="shared" ref="C2279:D2279" si="2531">C2383+C2487</f>
        <v>600848.49925864791</v>
      </c>
      <c r="D2279" s="528">
        <f t="shared" si="2531"/>
        <v>657860</v>
      </c>
      <c r="F2279" s="2000"/>
      <c r="G2279" s="1991"/>
      <c r="H2279" s="1644"/>
      <c r="I2279" s="1644"/>
      <c r="K2279" s="2000">
        <f>ROUND($Q2279*K1481/$Q1481,2)</f>
        <v>0.26</v>
      </c>
      <c r="L2279" s="1991"/>
      <c r="M2279" s="2000">
        <f t="shared" ref="M2279:M2280" si="2532">Q2279-K2279-O2279</f>
        <v>0.53</v>
      </c>
      <c r="N2279" s="1991"/>
      <c r="O2279" s="2000">
        <v>0</v>
      </c>
      <c r="P2279" s="1991"/>
      <c r="Q2279" s="2000">
        <f>ROUND(F2288*(1+$AB$1483),2)</f>
        <v>0.79</v>
      </c>
      <c r="R2279" s="1991"/>
      <c r="S2279" s="1644">
        <f t="shared" ref="S2279:Y2280" si="2533">ROUND($D2279*K2279,0)</f>
        <v>171044</v>
      </c>
      <c r="T2279" s="1643"/>
      <c r="U2279" s="1644">
        <f t="shared" si="2533"/>
        <v>348666</v>
      </c>
      <c r="V2279" s="1643"/>
      <c r="W2279" s="1644">
        <f t="shared" si="2533"/>
        <v>0</v>
      </c>
      <c r="X2279" s="1643"/>
      <c r="Y2279" s="1644">
        <f t="shared" si="2533"/>
        <v>519709</v>
      </c>
    </row>
    <row r="2280" spans="1:25">
      <c r="A2280" s="1900" t="s">
        <v>1669</v>
      </c>
      <c r="C2280" s="528">
        <f t="shared" ref="C2280:D2280" si="2534">C2384+C2488</f>
        <v>277598.74667151121</v>
      </c>
      <c r="D2280" s="528">
        <f t="shared" si="2534"/>
        <v>307104</v>
      </c>
      <c r="F2280" s="2000"/>
      <c r="G2280" s="1991"/>
      <c r="H2280" s="1644"/>
      <c r="I2280" s="1644"/>
      <c r="K2280" s="2000">
        <f>ROUND($Q2280*K1482/$Q1482,2)</f>
        <v>0.23</v>
      </c>
      <c r="L2280" s="1991"/>
      <c r="M2280" s="2000">
        <f t="shared" si="2532"/>
        <v>0.47</v>
      </c>
      <c r="N2280" s="1991"/>
      <c r="O2280" s="2000">
        <v>0</v>
      </c>
      <c r="P2280" s="1991"/>
      <c r="Q2280" s="2000">
        <f>ROUND(Q2279/$AB$1489,2)</f>
        <v>0.7</v>
      </c>
      <c r="R2280" s="1991"/>
      <c r="S2280" s="1644">
        <f t="shared" si="2533"/>
        <v>70634</v>
      </c>
      <c r="T2280" s="1643"/>
      <c r="U2280" s="1644">
        <f t="shared" si="2533"/>
        <v>144339</v>
      </c>
      <c r="V2280" s="1643"/>
      <c r="W2280" s="1644">
        <f t="shared" si="2533"/>
        <v>0</v>
      </c>
      <c r="X2280" s="1643"/>
      <c r="Y2280" s="1644">
        <f t="shared" si="2533"/>
        <v>214973</v>
      </c>
    </row>
    <row r="2281" spans="1:25">
      <c r="A2281" s="1900" t="s">
        <v>316</v>
      </c>
      <c r="C2281" s="528"/>
      <c r="D2281" s="528"/>
      <c r="F2281" s="2001"/>
      <c r="G2281" s="1992"/>
      <c r="H2281" s="1644"/>
      <c r="I2281" s="1644"/>
      <c r="K2281" s="2001"/>
      <c r="L2281" s="1992"/>
      <c r="M2281" s="2001"/>
      <c r="N2281" s="1992"/>
      <c r="O2281" s="2001"/>
      <c r="P2281" s="1992"/>
      <c r="Q2281" s="2001"/>
      <c r="R2281" s="1992"/>
      <c r="S2281" s="1644"/>
      <c r="T2281" s="1645"/>
      <c r="U2281" s="1644"/>
      <c r="V2281" s="1645"/>
      <c r="W2281" s="1644"/>
      <c r="X2281" s="1645"/>
      <c r="Y2281" s="1644"/>
    </row>
    <row r="2282" spans="1:25">
      <c r="A2282" s="1900" t="s">
        <v>1668</v>
      </c>
      <c r="C2282" s="528">
        <f t="shared" ref="C2282:D2282" si="2535">C2386+C2490</f>
        <v>0</v>
      </c>
      <c r="D2282" s="528">
        <f t="shared" si="2535"/>
        <v>0</v>
      </c>
      <c r="F2282" s="2001"/>
      <c r="G2282" s="1992"/>
      <c r="H2282" s="1644"/>
      <c r="I2282" s="1644"/>
      <c r="K2282" s="2001">
        <f>ROUND($Q2282*K2279/$Q2279,2)</f>
        <v>0.13</v>
      </c>
      <c r="L2282" s="1992"/>
      <c r="M2282" s="2000">
        <f t="shared" ref="M2282:M2283" si="2536">Q2282-K2282-O2282</f>
        <v>0.26</v>
      </c>
      <c r="N2282" s="1991"/>
      <c r="O2282" s="2000">
        <v>0</v>
      </c>
      <c r="P2282" s="1992"/>
      <c r="Q2282" s="2000">
        <f>ROUND(F2291*(1+$AB$1483),2)</f>
        <v>0.39</v>
      </c>
      <c r="R2282" s="1992"/>
      <c r="S2282" s="1644">
        <f t="shared" ref="S2282:Y2283" si="2537">ROUND($D2282*K2282,0)</f>
        <v>0</v>
      </c>
      <c r="T2282" s="1645"/>
      <c r="U2282" s="1644">
        <f t="shared" si="2537"/>
        <v>0</v>
      </c>
      <c r="V2282" s="1645"/>
      <c r="W2282" s="1644">
        <f t="shared" si="2537"/>
        <v>0</v>
      </c>
      <c r="X2282" s="1645"/>
      <c r="Y2282" s="1644">
        <f t="shared" si="2537"/>
        <v>0</v>
      </c>
    </row>
    <row r="2283" spans="1:25">
      <c r="A2283" s="1900" t="s">
        <v>1669</v>
      </c>
      <c r="C2283" s="528">
        <f t="shared" ref="C2283:D2283" si="2538">C2387+C2491</f>
        <v>124384.92161982199</v>
      </c>
      <c r="D2283" s="528">
        <f t="shared" si="2538"/>
        <v>150561</v>
      </c>
      <c r="F2283" s="2001"/>
      <c r="G2283" s="1992"/>
      <c r="H2283" s="1644"/>
      <c r="I2283" s="1644"/>
      <c r="K2283" s="2001">
        <f>ROUND($Q2283*K2280/$Q2280,2)</f>
        <v>0.12</v>
      </c>
      <c r="L2283" s="1992"/>
      <c r="M2283" s="2000">
        <f t="shared" si="2536"/>
        <v>0.22999999999999998</v>
      </c>
      <c r="N2283" s="1991"/>
      <c r="O2283" s="2000">
        <v>0</v>
      </c>
      <c r="P2283" s="1992"/>
      <c r="Q2283" s="2000">
        <f>ROUND(Q2282/$AB$1489,2)</f>
        <v>0.35</v>
      </c>
      <c r="R2283" s="1992"/>
      <c r="S2283" s="1644">
        <f t="shared" si="2537"/>
        <v>18067</v>
      </c>
      <c r="T2283" s="1645"/>
      <c r="U2283" s="1644">
        <f t="shared" si="2537"/>
        <v>34629</v>
      </c>
      <c r="V2283" s="1645"/>
      <c r="W2283" s="1644">
        <f t="shared" si="2537"/>
        <v>0</v>
      </c>
      <c r="X2283" s="1645"/>
      <c r="Y2283" s="1644">
        <f t="shared" si="2537"/>
        <v>52696</v>
      </c>
    </row>
    <row r="2284" spans="1:25">
      <c r="A2284" s="1900" t="s">
        <v>317</v>
      </c>
      <c r="C2284" s="528"/>
      <c r="D2284" s="528"/>
      <c r="F2284" s="2000"/>
      <c r="G2284" s="1902"/>
      <c r="H2284" s="1644"/>
      <c r="I2284" s="1644"/>
      <c r="K2284" s="2000"/>
      <c r="L2284" s="1902"/>
      <c r="M2284" s="2000"/>
      <c r="N2284" s="1902"/>
      <c r="O2284" s="2000"/>
      <c r="P2284" s="1902"/>
      <c r="Q2284" s="2000"/>
      <c r="R2284" s="1902"/>
      <c r="S2284" s="1644"/>
      <c r="T2284" s="1643"/>
      <c r="U2284" s="1644"/>
      <c r="V2284" s="1643"/>
      <c r="W2284" s="1644"/>
      <c r="X2284" s="1643"/>
      <c r="Y2284" s="1644"/>
    </row>
    <row r="2285" spans="1:25">
      <c r="A2285" s="1900" t="s">
        <v>1668</v>
      </c>
      <c r="C2285" s="528">
        <f t="shared" ref="C2285:D2285" si="2539">C2389+C2493</f>
        <v>7090.2753568586704</v>
      </c>
      <c r="D2285" s="528">
        <f t="shared" si="2539"/>
        <v>6767</v>
      </c>
      <c r="F2285" s="2000"/>
      <c r="G2285" s="1902"/>
      <c r="H2285" s="1644"/>
      <c r="I2285" s="1644"/>
      <c r="K2285" s="2001">
        <f>ROUND($Q2285*K2279/$Q2279,2)</f>
        <v>11.04</v>
      </c>
      <c r="L2285" s="1992"/>
      <c r="M2285" s="2000">
        <f t="shared" ref="M2285:M2286" si="2540">Q2285-K2285-O2285</f>
        <v>22.509999999999998</v>
      </c>
      <c r="N2285" s="1991"/>
      <c r="O2285" s="2000">
        <v>0</v>
      </c>
      <c r="P2285" s="1902"/>
      <c r="Q2285" s="2000">
        <f>ROUND(F2294*(1+$AB$1483),2)</f>
        <v>33.549999999999997</v>
      </c>
      <c r="R2285" s="1902"/>
      <c r="S2285" s="1644">
        <f t="shared" ref="S2285:Y2286" si="2541">ROUND($D2285*K2285,0)</f>
        <v>74708</v>
      </c>
      <c r="T2285" s="1643"/>
      <c r="U2285" s="1644">
        <f t="shared" si="2541"/>
        <v>152325</v>
      </c>
      <c r="V2285" s="1643"/>
      <c r="W2285" s="1644">
        <f t="shared" si="2541"/>
        <v>0</v>
      </c>
      <c r="X2285" s="1643"/>
      <c r="Y2285" s="1644">
        <f t="shared" si="2541"/>
        <v>227033</v>
      </c>
    </row>
    <row r="2286" spans="1:25">
      <c r="A2286" s="1900" t="s">
        <v>1669</v>
      </c>
      <c r="C2286" s="528">
        <f t="shared" ref="C2286:D2286" si="2542">C2390+C2494</f>
        <v>1117.76039154251</v>
      </c>
      <c r="D2286" s="528">
        <f t="shared" si="2542"/>
        <v>1067</v>
      </c>
      <c r="F2286" s="2000"/>
      <c r="G2286" s="1902"/>
      <c r="H2286" s="1644"/>
      <c r="I2286" s="1644"/>
      <c r="K2286" s="2001">
        <f>ROUND($Q2286*K2280/$Q2280,2)</f>
        <v>9.76</v>
      </c>
      <c r="L2286" s="1992"/>
      <c r="M2286" s="2000">
        <f t="shared" si="2540"/>
        <v>19.93</v>
      </c>
      <c r="N2286" s="1991"/>
      <c r="O2286" s="2000">
        <v>0</v>
      </c>
      <c r="P2286" s="1902"/>
      <c r="Q2286" s="2000">
        <f>ROUND(Q2285/$AB$1489,2)</f>
        <v>29.69</v>
      </c>
      <c r="R2286" s="1902"/>
      <c r="S2286" s="1644">
        <f t="shared" si="2541"/>
        <v>10414</v>
      </c>
      <c r="T2286" s="1643"/>
      <c r="U2286" s="1644">
        <f t="shared" si="2541"/>
        <v>21265</v>
      </c>
      <c r="V2286" s="1643"/>
      <c r="W2286" s="1644">
        <f t="shared" si="2541"/>
        <v>0</v>
      </c>
      <c r="X2286" s="1643"/>
      <c r="Y2286" s="1644">
        <f t="shared" si="2541"/>
        <v>31679</v>
      </c>
    </row>
    <row r="2287" spans="1:25">
      <c r="A2287" s="1900" t="s">
        <v>315</v>
      </c>
      <c r="C2287" s="528"/>
      <c r="D2287" s="528"/>
      <c r="F2287" s="2000"/>
      <c r="G2287" s="1991"/>
      <c r="H2287" s="1644"/>
      <c r="I2287" s="1644"/>
      <c r="K2287" s="2000"/>
      <c r="L2287" s="1991"/>
      <c r="M2287" s="2000"/>
      <c r="N2287" s="1991"/>
      <c r="O2287" s="2000"/>
      <c r="P2287" s="1991"/>
      <c r="Q2287" s="2000"/>
      <c r="R2287" s="1991"/>
      <c r="S2287" s="1644"/>
      <c r="T2287" s="1643"/>
      <c r="U2287" s="1644"/>
      <c r="V2287" s="1643"/>
      <c r="W2287" s="1644"/>
      <c r="X2287" s="1643"/>
      <c r="Y2287" s="1644"/>
    </row>
    <row r="2288" spans="1:25">
      <c r="A2288" s="1900" t="s">
        <v>944</v>
      </c>
      <c r="C2288" s="528">
        <f>C2392+C2496</f>
        <v>740481</v>
      </c>
      <c r="D2288" s="528">
        <f>D2392+D2496</f>
        <v>810741</v>
      </c>
      <c r="F2288" s="2000">
        <v>0.76</v>
      </c>
      <c r="G2288" s="1991"/>
      <c r="H2288" s="1644">
        <f>ROUND($F2288*C2288,0)</f>
        <v>562766</v>
      </c>
      <c r="I2288" s="1644">
        <f>ROUND($F2288*D2288,0)</f>
        <v>616163</v>
      </c>
      <c r="K2288" s="2000"/>
      <c r="L2288" s="1991"/>
      <c r="M2288" s="2000"/>
      <c r="N2288" s="1991"/>
      <c r="O2288" s="2000"/>
      <c r="P2288" s="1991"/>
      <c r="Q2288" s="2000"/>
      <c r="R2288" s="1991"/>
      <c r="S2288" s="1644"/>
      <c r="T2288" s="1643"/>
      <c r="U2288" s="1644"/>
      <c r="V2288" s="1643"/>
      <c r="W2288" s="1644"/>
      <c r="X2288" s="1643"/>
      <c r="Y2288" s="1644"/>
    </row>
    <row r="2289" spans="1:25">
      <c r="A2289" s="1900" t="s">
        <v>945</v>
      </c>
      <c r="C2289" s="528">
        <f>C2393+C2497</f>
        <v>244379</v>
      </c>
      <c r="D2289" s="528">
        <f>D2393+D2497</f>
        <v>270354</v>
      </c>
      <c r="F2289" s="2000">
        <v>0.51</v>
      </c>
      <c r="G2289" s="1991"/>
      <c r="H2289" s="1644">
        <f>ROUND($F2289*C2289,0)</f>
        <v>124633</v>
      </c>
      <c r="I2289" s="1644">
        <f>ROUND($F2289*D2289,0)</f>
        <v>137881</v>
      </c>
      <c r="K2289" s="2000"/>
      <c r="L2289" s="1991"/>
      <c r="M2289" s="2000"/>
      <c r="N2289" s="1991"/>
      <c r="O2289" s="2000"/>
      <c r="P2289" s="1991"/>
      <c r="Q2289" s="2000"/>
      <c r="R2289" s="1991"/>
      <c r="S2289" s="1644"/>
      <c r="T2289" s="1643"/>
      <c r="U2289" s="1644"/>
      <c r="V2289" s="1643"/>
      <c r="W2289" s="1644"/>
      <c r="X2289" s="1643"/>
      <c r="Y2289" s="1644"/>
    </row>
    <row r="2290" spans="1:25">
      <c r="A2290" s="1900" t="s">
        <v>316</v>
      </c>
      <c r="C2290" s="528"/>
      <c r="D2290" s="528"/>
      <c r="F2290" s="2001"/>
      <c r="G2290" s="1992"/>
      <c r="H2290" s="1644"/>
      <c r="I2290" s="1644"/>
      <c r="K2290" s="2001"/>
      <c r="L2290" s="1992"/>
      <c r="M2290" s="2001"/>
      <c r="N2290" s="1992"/>
      <c r="O2290" s="2001"/>
      <c r="P2290" s="1992"/>
      <c r="Q2290" s="2001"/>
      <c r="R2290" s="1992"/>
      <c r="S2290" s="1644"/>
      <c r="T2290" s="1645"/>
      <c r="U2290" s="1644"/>
      <c r="V2290" s="1645"/>
      <c r="W2290" s="1644"/>
      <c r="X2290" s="1645"/>
      <c r="Y2290" s="1644"/>
    </row>
    <row r="2291" spans="1:25">
      <c r="A2291" s="1900" t="s">
        <v>944</v>
      </c>
      <c r="C2291" s="528">
        <f>C2395+C2499</f>
        <v>0</v>
      </c>
      <c r="D2291" s="528">
        <f>D2395+D2499</f>
        <v>0</v>
      </c>
      <c r="F2291" s="2001">
        <v>0.38</v>
      </c>
      <c r="G2291" s="1992"/>
      <c r="H2291" s="1644">
        <f>ROUND($F2291*C2291,0)</f>
        <v>0</v>
      </c>
      <c r="I2291" s="1644">
        <f>ROUND($F2291*D2291,0)</f>
        <v>0</v>
      </c>
      <c r="K2291" s="2001"/>
      <c r="L2291" s="1992"/>
      <c r="M2291" s="2001"/>
      <c r="N2291" s="1992"/>
      <c r="O2291" s="2001"/>
      <c r="P2291" s="1992"/>
      <c r="Q2291" s="2001"/>
      <c r="R2291" s="1992"/>
      <c r="S2291" s="1644"/>
      <c r="T2291" s="1645"/>
      <c r="U2291" s="1644"/>
      <c r="V2291" s="1645"/>
      <c r="W2291" s="1644"/>
      <c r="X2291" s="1645"/>
      <c r="Y2291" s="1644"/>
    </row>
    <row r="2292" spans="1:25">
      <c r="A2292" s="1900" t="s">
        <v>945</v>
      </c>
      <c r="C2292" s="528">
        <f>C2396+C2500</f>
        <v>109500</v>
      </c>
      <c r="D2292" s="528">
        <f>D2396+D2500</f>
        <v>132544</v>
      </c>
      <c r="F2292" s="2001">
        <v>0.255</v>
      </c>
      <c r="G2292" s="1992"/>
      <c r="H2292" s="1644">
        <f>ROUND($F2292*C2292,0)</f>
        <v>27923</v>
      </c>
      <c r="I2292" s="1644">
        <f>ROUND($F2292*D2292,0)</f>
        <v>33799</v>
      </c>
      <c r="K2292" s="2001"/>
      <c r="L2292" s="1992"/>
      <c r="M2292" s="2001"/>
      <c r="N2292" s="1992"/>
      <c r="O2292" s="2001"/>
      <c r="P2292" s="1992"/>
      <c r="Q2292" s="2001"/>
      <c r="R2292" s="1992"/>
      <c r="S2292" s="1644"/>
      <c r="T2292" s="1645"/>
      <c r="U2292" s="1644"/>
      <c r="V2292" s="1645"/>
      <c r="W2292" s="1644"/>
      <c r="X2292" s="1645"/>
      <c r="Y2292" s="1644"/>
    </row>
    <row r="2293" spans="1:25">
      <c r="A2293" s="1900" t="s">
        <v>317</v>
      </c>
      <c r="C2293" s="528"/>
      <c r="D2293" s="528"/>
      <c r="F2293" s="2000"/>
      <c r="G2293" s="1902"/>
      <c r="H2293" s="1644"/>
      <c r="I2293" s="1644"/>
      <c r="K2293" s="2000"/>
      <c r="L2293" s="1902"/>
      <c r="M2293" s="2000"/>
      <c r="N2293" s="1902"/>
      <c r="O2293" s="2000"/>
      <c r="P2293" s="1902"/>
      <c r="Q2293" s="2000"/>
      <c r="R2293" s="1902"/>
      <c r="S2293" s="1644"/>
      <c r="T2293" s="1643"/>
      <c r="U2293" s="1644"/>
      <c r="V2293" s="1643"/>
      <c r="W2293" s="1644"/>
      <c r="X2293" s="1643"/>
      <c r="Y2293" s="1644"/>
    </row>
    <row r="2294" spans="1:25">
      <c r="A2294" s="1900" t="s">
        <v>944</v>
      </c>
      <c r="C2294" s="528">
        <f>C2398+C2502</f>
        <v>8738</v>
      </c>
      <c r="D2294" s="528">
        <f>D2398+D2502</f>
        <v>8339</v>
      </c>
      <c r="F2294" s="2000">
        <v>32.35</v>
      </c>
      <c r="G2294" s="1902"/>
      <c r="H2294" s="1644">
        <f>ROUND($F2294*C2294,0)</f>
        <v>282674</v>
      </c>
      <c r="I2294" s="1644">
        <f>ROUND($F2294*D2294,0)</f>
        <v>269767</v>
      </c>
      <c r="K2294" s="2000"/>
      <c r="L2294" s="1902"/>
      <c r="M2294" s="2000"/>
      <c r="N2294" s="1902"/>
      <c r="O2294" s="2000"/>
      <c r="P2294" s="1902"/>
      <c r="Q2294" s="2000"/>
      <c r="R2294" s="1902"/>
      <c r="S2294" s="1644"/>
      <c r="T2294" s="1643"/>
      <c r="U2294" s="1644"/>
      <c r="V2294" s="1643"/>
      <c r="W2294" s="1644"/>
      <c r="X2294" s="1643"/>
      <c r="Y2294" s="1644"/>
    </row>
    <row r="2295" spans="1:25">
      <c r="A2295" s="1900" t="s">
        <v>945</v>
      </c>
      <c r="C2295" s="528">
        <f>C2399+C2503</f>
        <v>984</v>
      </c>
      <c r="D2295" s="528">
        <f>D2399+D2503</f>
        <v>939</v>
      </c>
      <c r="F2295" s="2000">
        <v>23.36</v>
      </c>
      <c r="G2295" s="1902"/>
      <c r="H2295" s="1644">
        <f>ROUND($F2295*C2295,0)</f>
        <v>22986</v>
      </c>
      <c r="I2295" s="1644">
        <f>ROUND($F2295*D2295,0)</f>
        <v>21935</v>
      </c>
      <c r="K2295" s="2000"/>
      <c r="L2295" s="1902"/>
      <c r="M2295" s="2000"/>
      <c r="N2295" s="1902"/>
      <c r="O2295" s="2000"/>
      <c r="P2295" s="1902"/>
      <c r="Q2295" s="2000"/>
      <c r="R2295" s="1902"/>
      <c r="S2295" s="1644"/>
      <c r="T2295" s="1643"/>
      <c r="U2295" s="1644"/>
      <c r="V2295" s="1643"/>
      <c r="W2295" s="1644"/>
      <c r="X2295" s="1643"/>
      <c r="Y2295" s="1644"/>
    </row>
    <row r="2296" spans="1:25">
      <c r="A2296" s="1900" t="s">
        <v>397</v>
      </c>
      <c r="C2296" s="585"/>
      <c r="D2296" s="585"/>
      <c r="F2296" s="1943"/>
      <c r="G2296" s="1957"/>
      <c r="H2296" s="1030">
        <f>SUM(H2231:H2295)</f>
        <v>2036745</v>
      </c>
      <c r="I2296" s="1030">
        <f>SUM(I2231:I2295)</f>
        <v>2179358</v>
      </c>
      <c r="K2296" s="1943"/>
      <c r="L2296" s="1957"/>
      <c r="M2296" s="1943"/>
      <c r="N2296" s="1957"/>
      <c r="O2296" s="1943"/>
      <c r="P2296" s="1957"/>
      <c r="Q2296" s="1943"/>
      <c r="R2296" s="1957"/>
      <c r="S2296" s="1030">
        <f>SUM(S2231:S2295)</f>
        <v>1418828</v>
      </c>
      <c r="T2296" s="1645"/>
      <c r="U2296" s="1030">
        <f>SUM(U2231:U2295)</f>
        <v>769989</v>
      </c>
      <c r="V2296" s="1645"/>
      <c r="W2296" s="1030">
        <f>SUM(W2231:W2295)</f>
        <v>0</v>
      </c>
      <c r="X2296" s="1645"/>
      <c r="Y2296" s="1030">
        <f>SUM(Y2231:Y2295)</f>
        <v>2188815</v>
      </c>
    </row>
    <row r="2297" spans="1:25">
      <c r="A2297" s="1987" t="s">
        <v>442</v>
      </c>
      <c r="S2297" s="1638"/>
      <c r="U2297" s="1638"/>
      <c r="W2297" s="1638"/>
    </row>
    <row r="2298" spans="1:25">
      <c r="A2298" s="1897" t="s">
        <v>443</v>
      </c>
      <c r="C2298" s="528"/>
      <c r="D2298" s="528"/>
      <c r="F2298" s="1944"/>
      <c r="G2298" s="597"/>
      <c r="H2298" s="1644"/>
      <c r="I2298" s="1644"/>
      <c r="K2298" s="1944"/>
      <c r="L2298" s="597"/>
      <c r="M2298" s="1944"/>
      <c r="N2298" s="597"/>
      <c r="O2298" s="1944"/>
      <c r="P2298" s="597"/>
      <c r="Q2298" s="1944"/>
      <c r="R2298" s="597"/>
      <c r="S2298" s="1644"/>
      <c r="T2298" s="1645"/>
      <c r="U2298" s="1644"/>
      <c r="V2298" s="1645"/>
      <c r="W2298" s="1644"/>
      <c r="X2298" s="1645"/>
      <c r="Y2298" s="1644"/>
    </row>
    <row r="2299" spans="1:25">
      <c r="A2299" s="1900" t="s">
        <v>168</v>
      </c>
      <c r="C2299" s="528">
        <f>C2403+C2507</f>
        <v>29129</v>
      </c>
      <c r="D2299" s="528">
        <f>D2403+D2507</f>
        <v>27799</v>
      </c>
      <c r="F2299" s="1944">
        <v>4.76</v>
      </c>
      <c r="G2299" s="597"/>
      <c r="H2299" s="1644">
        <f t="shared" ref="H2299:I2308" si="2543">ROUND($F2299*C2299,0)</f>
        <v>138654</v>
      </c>
      <c r="I2299" s="1644">
        <f t="shared" si="2543"/>
        <v>132323</v>
      </c>
      <c r="K2299" s="1944">
        <f t="shared" ref="K2299:K2305" si="2544">K1378</f>
        <v>4.84</v>
      </c>
      <c r="L2299" s="597"/>
      <c r="M2299" s="1944">
        <f t="shared" ref="M2299:M2305" si="2545">M1378</f>
        <v>0</v>
      </c>
      <c r="N2299" s="597"/>
      <c r="O2299" s="1944">
        <f t="shared" ref="O2299:O2305" si="2546">O1378</f>
        <v>0</v>
      </c>
      <c r="P2299" s="597"/>
      <c r="Q2299" s="1944">
        <f t="shared" ref="Q2299:Q2305" si="2547">Q1378</f>
        <v>4.84</v>
      </c>
      <c r="R2299" s="597"/>
      <c r="S2299" s="1644">
        <f t="shared" ref="S2299:Y2301" si="2548">ROUND($D2299*K2299,0)</f>
        <v>134547</v>
      </c>
      <c r="T2299" s="1645"/>
      <c r="U2299" s="1644">
        <f t="shared" si="2548"/>
        <v>0</v>
      </c>
      <c r="V2299" s="1645"/>
      <c r="W2299" s="1644">
        <f t="shared" si="2548"/>
        <v>0</v>
      </c>
      <c r="X2299" s="1645"/>
      <c r="Y2299" s="1644">
        <f t="shared" si="2548"/>
        <v>134547</v>
      </c>
    </row>
    <row r="2300" spans="1:25">
      <c r="A2300" s="1900" t="s">
        <v>1651</v>
      </c>
      <c r="C2300" s="528">
        <f t="shared" ref="C2300:D2300" si="2549">C2404+C2508</f>
        <v>2828.2164038624519</v>
      </c>
      <c r="D2300" s="528">
        <f t="shared" si="2549"/>
        <v>2699</v>
      </c>
      <c r="F2300" s="1944"/>
      <c r="G2300" s="597"/>
      <c r="H2300" s="1644"/>
      <c r="I2300" s="1644"/>
      <c r="K2300" s="1944">
        <f t="shared" si="2544"/>
        <v>7.23</v>
      </c>
      <c r="L2300" s="597"/>
      <c r="M2300" s="1944">
        <f t="shared" si="2545"/>
        <v>8.6</v>
      </c>
      <c r="N2300" s="597"/>
      <c r="O2300" s="1944">
        <f t="shared" si="2546"/>
        <v>0</v>
      </c>
      <c r="P2300" s="597"/>
      <c r="Q2300" s="1944">
        <f t="shared" si="2547"/>
        <v>15.83</v>
      </c>
      <c r="R2300" s="597"/>
      <c r="S2300" s="1644">
        <f t="shared" si="2548"/>
        <v>19514</v>
      </c>
      <c r="T2300" s="1645"/>
      <c r="U2300" s="1644">
        <f t="shared" si="2548"/>
        <v>23211</v>
      </c>
      <c r="V2300" s="1645"/>
      <c r="W2300" s="1644">
        <f t="shared" si="2548"/>
        <v>0</v>
      </c>
      <c r="X2300" s="1645"/>
      <c r="Y2300" s="1644">
        <f t="shared" si="2548"/>
        <v>42725</v>
      </c>
    </row>
    <row r="2301" spans="1:25">
      <c r="A2301" s="1900" t="s">
        <v>1652</v>
      </c>
      <c r="C2301" s="528">
        <f t="shared" ref="C2301:D2301" si="2550">C2405+C2509</f>
        <v>28169.780665940372</v>
      </c>
      <c r="D2301" s="528">
        <f t="shared" si="2550"/>
        <v>26884</v>
      </c>
      <c r="F2301" s="1944"/>
      <c r="G2301" s="597"/>
      <c r="H2301" s="1644"/>
      <c r="I2301" s="1644"/>
      <c r="K2301" s="1944">
        <f t="shared" si="2544"/>
        <v>6.4</v>
      </c>
      <c r="L2301" s="597"/>
      <c r="M2301" s="1944">
        <f t="shared" si="2545"/>
        <v>7.6099999999999994</v>
      </c>
      <c r="N2301" s="597"/>
      <c r="O2301" s="1944">
        <f t="shared" si="2546"/>
        <v>0</v>
      </c>
      <c r="P2301" s="597"/>
      <c r="Q2301" s="1944">
        <f t="shared" si="2547"/>
        <v>14.01</v>
      </c>
      <c r="R2301" s="597"/>
      <c r="S2301" s="1644">
        <f t="shared" si="2548"/>
        <v>172058</v>
      </c>
      <c r="T2301" s="1645"/>
      <c r="U2301" s="1644">
        <f t="shared" si="2548"/>
        <v>204587</v>
      </c>
      <c r="V2301" s="1645"/>
      <c r="W2301" s="1644">
        <f t="shared" si="2548"/>
        <v>0</v>
      </c>
      <c r="X2301" s="1645"/>
      <c r="Y2301" s="1644">
        <f t="shared" si="2548"/>
        <v>376645</v>
      </c>
    </row>
    <row r="2302" spans="1:25">
      <c r="A2302" s="1900" t="s">
        <v>1532</v>
      </c>
      <c r="C2302" s="528">
        <f t="shared" ref="C2302:D2302" si="2551">C2406+C2510</f>
        <v>943370.68349318916</v>
      </c>
      <c r="D2302" s="528">
        <f t="shared" si="2551"/>
        <v>905085</v>
      </c>
      <c r="F2302" s="1943"/>
      <c r="G2302" s="1921"/>
      <c r="H2302" s="1644"/>
      <c r="I2302" s="1644"/>
      <c r="K2302" s="1943">
        <f t="shared" si="2544"/>
        <v>0</v>
      </c>
      <c r="L2302" s="1921" t="s">
        <v>495</v>
      </c>
      <c r="M2302" s="1943">
        <f t="shared" si="2545"/>
        <v>1.4166000000000001</v>
      </c>
      <c r="N2302" s="1921" t="s">
        <v>495</v>
      </c>
      <c r="O2302" s="1943">
        <f t="shared" si="2546"/>
        <v>4.4476704152740005</v>
      </c>
      <c r="P2302" s="1921" t="s">
        <v>495</v>
      </c>
      <c r="Q2302" s="1943">
        <f t="shared" si="2547"/>
        <v>5.8642704152740004</v>
      </c>
      <c r="R2302" s="1921" t="s">
        <v>495</v>
      </c>
      <c r="S2302" s="1644">
        <f>ROUND($D2302*K2302/100,0)</f>
        <v>0</v>
      </c>
      <c r="T2302" s="1648"/>
      <c r="U2302" s="1644">
        <f>ROUND($D2302*M2302/100,0)</f>
        <v>12821</v>
      </c>
      <c r="V2302" s="1648"/>
      <c r="W2302" s="1644">
        <f>ROUND($D2302*O2302/100,0)</f>
        <v>40255</v>
      </c>
      <c r="X2302" s="1648"/>
      <c r="Y2302" s="1644">
        <f>ROUND($D2302*Q2302/100,0)</f>
        <v>53077</v>
      </c>
    </row>
    <row r="2303" spans="1:25">
      <c r="A2303" s="1900" t="s">
        <v>1653</v>
      </c>
      <c r="C2303" s="528">
        <f t="shared" ref="C2303:D2303" si="2552">C2407+C2511</f>
        <v>2666759.3334862269</v>
      </c>
      <c r="D2303" s="528">
        <f t="shared" si="2552"/>
        <v>2558532</v>
      </c>
      <c r="F2303" s="1943"/>
      <c r="G2303" s="1921"/>
      <c r="H2303" s="1644"/>
      <c r="I2303" s="1644"/>
      <c r="K2303" s="1943">
        <f t="shared" si="2544"/>
        <v>0</v>
      </c>
      <c r="L2303" s="1921" t="s">
        <v>495</v>
      </c>
      <c r="M2303" s="1943">
        <f t="shared" si="2545"/>
        <v>1.4166000000000001</v>
      </c>
      <c r="N2303" s="1921" t="s">
        <v>495</v>
      </c>
      <c r="O2303" s="1943">
        <f t="shared" si="2546"/>
        <v>3.7730198365260001</v>
      </c>
      <c r="P2303" s="1921" t="s">
        <v>495</v>
      </c>
      <c r="Q2303" s="1943">
        <f t="shared" si="2547"/>
        <v>5.189619836526</v>
      </c>
      <c r="R2303" s="1921" t="s">
        <v>495</v>
      </c>
      <c r="S2303" s="1644">
        <f t="shared" ref="S2303:Y2305" si="2553">ROUND($D2303*K2303/100,0)</f>
        <v>0</v>
      </c>
      <c r="T2303" s="1648"/>
      <c r="U2303" s="1644">
        <f t="shared" si="2553"/>
        <v>36244</v>
      </c>
      <c r="V2303" s="1648"/>
      <c r="W2303" s="1644">
        <f t="shared" si="2553"/>
        <v>96534</v>
      </c>
      <c r="X2303" s="1648"/>
      <c r="Y2303" s="1644">
        <f t="shared" si="2553"/>
        <v>132778</v>
      </c>
    </row>
    <row r="2304" spans="1:25">
      <c r="A2304" s="1900" t="s">
        <v>1533</v>
      </c>
      <c r="C2304" s="528">
        <f t="shared" ref="C2304:D2304" si="2554">C2408+C2512</f>
        <v>4194488.0053539481</v>
      </c>
      <c r="D2304" s="528">
        <f t="shared" si="2554"/>
        <v>4024260</v>
      </c>
      <c r="F2304" s="1943"/>
      <c r="G2304" s="1921"/>
      <c r="H2304" s="1644"/>
      <c r="I2304" s="1644"/>
      <c r="K2304" s="1943">
        <f t="shared" si="2544"/>
        <v>0</v>
      </c>
      <c r="L2304" s="1921" t="s">
        <v>495</v>
      </c>
      <c r="M2304" s="1943">
        <f t="shared" si="2545"/>
        <v>1.4166000000000001</v>
      </c>
      <c r="N2304" s="1921" t="s">
        <v>495</v>
      </c>
      <c r="O2304" s="1943">
        <f t="shared" si="2546"/>
        <v>1.5641055047420001</v>
      </c>
      <c r="P2304" s="1921" t="s">
        <v>495</v>
      </c>
      <c r="Q2304" s="1943">
        <f t="shared" si="2547"/>
        <v>2.9807055047420001</v>
      </c>
      <c r="R2304" s="1921" t="s">
        <v>495</v>
      </c>
      <c r="S2304" s="1644">
        <f t="shared" si="2553"/>
        <v>0</v>
      </c>
      <c r="T2304" s="1648"/>
      <c r="U2304" s="1644">
        <f t="shared" si="2553"/>
        <v>57008</v>
      </c>
      <c r="V2304" s="1648"/>
      <c r="W2304" s="1644">
        <f t="shared" si="2553"/>
        <v>62944</v>
      </c>
      <c r="X2304" s="1648"/>
      <c r="Y2304" s="1644">
        <f t="shared" si="2553"/>
        <v>119951</v>
      </c>
    </row>
    <row r="2305" spans="1:25">
      <c r="A2305" s="1900" t="s">
        <v>2177</v>
      </c>
      <c r="C2305" s="528">
        <f t="shared" ref="C2305:D2305" si="2555">C2409+C2513</f>
        <v>7840981.977666636</v>
      </c>
      <c r="D2305" s="528">
        <f t="shared" si="2555"/>
        <v>7522766</v>
      </c>
      <c r="F2305" s="1943"/>
      <c r="G2305" s="1921"/>
      <c r="H2305" s="1644"/>
      <c r="I2305" s="1644"/>
      <c r="K2305" s="1943">
        <f t="shared" si="2544"/>
        <v>0</v>
      </c>
      <c r="L2305" s="1921" t="s">
        <v>495</v>
      </c>
      <c r="M2305" s="1943">
        <f t="shared" si="2545"/>
        <v>1.4166000000000001</v>
      </c>
      <c r="N2305" s="1921" t="s">
        <v>495</v>
      </c>
      <c r="O2305" s="1943">
        <f t="shared" si="2546"/>
        <v>1.2211924820729998</v>
      </c>
      <c r="P2305" s="1921" t="s">
        <v>495</v>
      </c>
      <c r="Q2305" s="1943">
        <f t="shared" si="2547"/>
        <v>2.6377924820729999</v>
      </c>
      <c r="R2305" s="1921" t="s">
        <v>495</v>
      </c>
      <c r="S2305" s="1644">
        <f t="shared" si="2553"/>
        <v>0</v>
      </c>
      <c r="T2305" s="1648"/>
      <c r="U2305" s="1644">
        <f t="shared" si="2553"/>
        <v>106568</v>
      </c>
      <c r="V2305" s="1648"/>
      <c r="W2305" s="1644">
        <f t="shared" si="2553"/>
        <v>91867</v>
      </c>
      <c r="X2305" s="1648"/>
      <c r="Y2305" s="1644">
        <f t="shared" si="2553"/>
        <v>198435</v>
      </c>
    </row>
    <row r="2306" spans="1:25">
      <c r="A2306" s="1900" t="s">
        <v>18</v>
      </c>
      <c r="C2306" s="528">
        <f t="shared" ref="C2306:D2311" si="2556">C2410+C2514</f>
        <v>3500</v>
      </c>
      <c r="D2306" s="528">
        <f t="shared" si="2556"/>
        <v>3340</v>
      </c>
      <c r="F2306" s="1944">
        <v>15.56</v>
      </c>
      <c r="G2306" s="597"/>
      <c r="H2306" s="1644">
        <f t="shared" si="2543"/>
        <v>54460</v>
      </c>
      <c r="I2306" s="1644">
        <f t="shared" si="2543"/>
        <v>51970</v>
      </c>
      <c r="K2306" s="1944"/>
      <c r="L2306" s="597"/>
      <c r="M2306" s="1944"/>
      <c r="N2306" s="597"/>
      <c r="O2306" s="1944"/>
      <c r="P2306" s="597"/>
      <c r="Q2306" s="1944"/>
      <c r="R2306" s="597"/>
      <c r="S2306" s="1644"/>
      <c r="T2306" s="1645"/>
      <c r="U2306" s="1644"/>
      <c r="V2306" s="1645"/>
      <c r="W2306" s="1644"/>
      <c r="X2306" s="1645"/>
      <c r="Y2306" s="1644"/>
    </row>
    <row r="2307" spans="1:25">
      <c r="A2307" s="1900" t="s">
        <v>166</v>
      </c>
      <c r="C2307" s="528">
        <f t="shared" si="2556"/>
        <v>25538</v>
      </c>
      <c r="D2307" s="528">
        <f t="shared" si="2556"/>
        <v>24372</v>
      </c>
      <c r="F2307" s="1944">
        <v>11.19</v>
      </c>
      <c r="G2307" s="597"/>
      <c r="H2307" s="1644">
        <f t="shared" si="2543"/>
        <v>285770</v>
      </c>
      <c r="I2307" s="1644">
        <f t="shared" si="2543"/>
        <v>272723</v>
      </c>
      <c r="K2307" s="1944"/>
      <c r="L2307" s="597"/>
      <c r="M2307" s="1944"/>
      <c r="N2307" s="597"/>
      <c r="O2307" s="1944"/>
      <c r="P2307" s="597"/>
      <c r="Q2307" s="1944"/>
      <c r="R2307" s="597"/>
      <c r="S2307" s="1644"/>
      <c r="T2307" s="1645"/>
      <c r="U2307" s="1644"/>
      <c r="V2307" s="1645"/>
      <c r="W2307" s="1644"/>
      <c r="X2307" s="1645"/>
      <c r="Y2307" s="1644"/>
    </row>
    <row r="2308" spans="1:25">
      <c r="A2308" s="1900" t="s">
        <v>261</v>
      </c>
      <c r="C2308" s="528">
        <f t="shared" si="2556"/>
        <v>29038</v>
      </c>
      <c r="D2308" s="528">
        <f t="shared" si="2556"/>
        <v>27713</v>
      </c>
      <c r="F2308" s="1944">
        <v>-1.1299999999999999</v>
      </c>
      <c r="G2308" s="597"/>
      <c r="H2308" s="1644">
        <f t="shared" si="2543"/>
        <v>-32813</v>
      </c>
      <c r="I2308" s="1644">
        <f t="shared" si="2543"/>
        <v>-31316</v>
      </c>
      <c r="K2308" s="1944">
        <f>K1387</f>
        <v>-1.1299999999999999</v>
      </c>
      <c r="L2308" s="597"/>
      <c r="M2308" s="1944">
        <f>M1387</f>
        <v>0</v>
      </c>
      <c r="N2308" s="597"/>
      <c r="O2308" s="1944">
        <f>O1387</f>
        <v>0</v>
      </c>
      <c r="P2308" s="597"/>
      <c r="Q2308" s="1944">
        <f>Q1387</f>
        <v>-1.1299999999999999</v>
      </c>
      <c r="R2308" s="597"/>
      <c r="S2308" s="1644">
        <f t="shared" ref="S2308:Y2308" si="2557">ROUND($D2308*K2308,0)</f>
        <v>-31316</v>
      </c>
      <c r="T2308" s="1645"/>
      <c r="U2308" s="1644">
        <f t="shared" si="2557"/>
        <v>0</v>
      </c>
      <c r="V2308" s="1645"/>
      <c r="W2308" s="1644">
        <f t="shared" si="2557"/>
        <v>0</v>
      </c>
      <c r="X2308" s="1645"/>
      <c r="Y2308" s="1644">
        <f t="shared" si="2557"/>
        <v>-31316</v>
      </c>
    </row>
    <row r="2309" spans="1:25">
      <c r="A2309" s="1900" t="s">
        <v>188</v>
      </c>
      <c r="C2309" s="528">
        <f t="shared" si="2556"/>
        <v>1183200</v>
      </c>
      <c r="D2309" s="528">
        <f t="shared" si="2556"/>
        <v>1135181.6666666567</v>
      </c>
      <c r="F2309" s="1943">
        <v>5.0473999999999997</v>
      </c>
      <c r="G2309" s="1921" t="s">
        <v>495</v>
      </c>
      <c r="H2309" s="1644">
        <f t="shared" ref="H2309:I2311" si="2558">ROUND($F2309*C2309/100,0)</f>
        <v>59721</v>
      </c>
      <c r="I2309" s="1644">
        <f t="shared" si="2558"/>
        <v>57297</v>
      </c>
      <c r="K2309" s="1943"/>
      <c r="L2309" s="1921"/>
      <c r="M2309" s="1943"/>
      <c r="N2309" s="1921"/>
      <c r="O2309" s="1943"/>
      <c r="P2309" s="1921"/>
      <c r="Q2309" s="1943"/>
      <c r="R2309" s="1921"/>
      <c r="S2309" s="1644"/>
      <c r="T2309" s="1648"/>
      <c r="U2309" s="1644"/>
      <c r="V2309" s="1648"/>
      <c r="W2309" s="1644"/>
      <c r="X2309" s="1648"/>
      <c r="Y2309" s="1644"/>
    </row>
    <row r="2310" spans="1:25">
      <c r="A2310" s="1900" t="s">
        <v>163</v>
      </c>
      <c r="C2310" s="528">
        <f t="shared" si="2556"/>
        <v>5407200</v>
      </c>
      <c r="D2310" s="528">
        <f t="shared" si="2556"/>
        <v>5187756</v>
      </c>
      <c r="F2310" s="1943">
        <v>3.9510999999999998</v>
      </c>
      <c r="G2310" s="1921" t="s">
        <v>495</v>
      </c>
      <c r="H2310" s="1644">
        <f t="shared" si="2558"/>
        <v>213644</v>
      </c>
      <c r="I2310" s="1644">
        <f t="shared" si="2558"/>
        <v>204973</v>
      </c>
      <c r="K2310" s="1943"/>
      <c r="L2310" s="1921"/>
      <c r="M2310" s="1943"/>
      <c r="N2310" s="1921"/>
      <c r="O2310" s="1943"/>
      <c r="P2310" s="1921"/>
      <c r="Q2310" s="1943"/>
      <c r="R2310" s="1921"/>
      <c r="S2310" s="1644"/>
      <c r="T2310" s="1648"/>
      <c r="U2310" s="1644"/>
      <c r="V2310" s="1648"/>
      <c r="W2310" s="1644"/>
      <c r="X2310" s="1648"/>
      <c r="Y2310" s="1644"/>
    </row>
    <row r="2311" spans="1:25">
      <c r="A2311" s="1900" t="s">
        <v>249</v>
      </c>
      <c r="C2311" s="856">
        <f t="shared" si="2556"/>
        <v>9055200</v>
      </c>
      <c r="D2311" s="856">
        <f t="shared" si="2556"/>
        <v>8687706</v>
      </c>
      <c r="F2311" s="2003">
        <v>3.4001999999999999</v>
      </c>
      <c r="G2311" s="1921" t="s">
        <v>495</v>
      </c>
      <c r="H2311" s="1654">
        <f t="shared" si="2558"/>
        <v>307895</v>
      </c>
      <c r="I2311" s="1654">
        <f t="shared" si="2558"/>
        <v>295399</v>
      </c>
      <c r="K2311" s="2003"/>
      <c r="L2311" s="1921"/>
      <c r="M2311" s="2003"/>
      <c r="N2311" s="1921"/>
      <c r="O2311" s="2003"/>
      <c r="P2311" s="1921"/>
      <c r="Q2311" s="2003"/>
      <c r="R2311" s="1921"/>
      <c r="S2311" s="1654"/>
      <c r="T2311" s="1648"/>
      <c r="U2311" s="1654"/>
      <c r="V2311" s="1648"/>
      <c r="W2311" s="1654"/>
      <c r="X2311" s="1648"/>
      <c r="Y2311" s="1654"/>
    </row>
    <row r="2312" spans="1:25">
      <c r="A2312" s="1900" t="s">
        <v>1240</v>
      </c>
      <c r="C2312" s="584"/>
      <c r="D2312" s="584"/>
      <c r="F2312" s="1930">
        <v>-3.1800000000000002E-2</v>
      </c>
      <c r="G2312" s="597"/>
      <c r="H2312" s="1644">
        <f>SUM(H2306:H2307,H2309:H2311)*$F2312</f>
        <v>-29303.382000000001</v>
      </c>
      <c r="I2312" s="1644">
        <f>SUM(I2306:I2307,I2309:I2311)*$F2312</f>
        <v>-28059.1116</v>
      </c>
      <c r="K2312" s="1930"/>
      <c r="L2312" s="597"/>
      <c r="M2312" s="1930"/>
      <c r="N2312" s="597"/>
      <c r="O2312" s="1931" t="str">
        <f>$O$43</f>
        <v>Tax Year 1 (7/1/2021)</v>
      </c>
      <c r="P2312" s="597"/>
      <c r="Q2312" s="1930">
        <f>Q1392</f>
        <v>-2.6499999999999999E-2</v>
      </c>
      <c r="R2312" s="597"/>
      <c r="S2312" s="1644"/>
      <c r="T2312" s="1645"/>
      <c r="U2312" s="1644"/>
      <c r="V2312" s="1645"/>
      <c r="W2312" s="1644"/>
      <c r="X2312" s="1645"/>
      <c r="Y2312" s="1644">
        <f>Q2312*SUM(Y2300:Y2305)</f>
        <v>-24475.691500000001</v>
      </c>
    </row>
    <row r="2313" spans="1:25">
      <c r="A2313" s="1900"/>
      <c r="C2313" s="584"/>
      <c r="D2313" s="584"/>
      <c r="F2313" s="1930"/>
      <c r="G2313" s="597"/>
      <c r="H2313" s="1644"/>
      <c r="I2313" s="1644"/>
      <c r="K2313" s="1930"/>
      <c r="L2313" s="597"/>
      <c r="M2313" s="1930"/>
      <c r="N2313" s="597"/>
      <c r="O2313" s="1931" t="str">
        <f>$O$44</f>
        <v>Tax Year 2 (1/1/2022)</v>
      </c>
      <c r="P2313" s="597"/>
      <c r="Q2313" s="1930">
        <f>Q1393</f>
        <v>-1.44E-2</v>
      </c>
      <c r="R2313" s="597"/>
      <c r="S2313" s="1644"/>
      <c r="T2313" s="1645"/>
      <c r="U2313" s="1644"/>
      <c r="V2313" s="1645"/>
      <c r="W2313" s="1644"/>
      <c r="X2313" s="1645"/>
      <c r="Y2313" s="1644">
        <f>Q2313*SUM(Y2300:Y2305)</f>
        <v>-13299.9984</v>
      </c>
    </row>
    <row r="2314" spans="1:25">
      <c r="A2314" s="1897" t="s">
        <v>444</v>
      </c>
      <c r="C2314" s="528"/>
      <c r="D2314" s="528"/>
      <c r="F2314" s="1944"/>
      <c r="G2314" s="597"/>
      <c r="H2314" s="1644"/>
      <c r="I2314" s="1644"/>
      <c r="K2314" s="1944"/>
      <c r="L2314" s="597"/>
      <c r="M2314" s="1944"/>
      <c r="N2314" s="597"/>
      <c r="O2314" s="1944"/>
      <c r="P2314" s="597"/>
      <c r="Q2314" s="1944"/>
      <c r="R2314" s="597"/>
      <c r="S2314" s="1644"/>
      <c r="T2314" s="1645"/>
      <c r="U2314" s="1644"/>
      <c r="V2314" s="1645"/>
      <c r="W2314" s="1644"/>
      <c r="X2314" s="1645"/>
      <c r="Y2314" s="1644"/>
    </row>
    <row r="2315" spans="1:25">
      <c r="A2315" s="1900" t="s">
        <v>168</v>
      </c>
      <c r="C2315" s="528">
        <f>C2419+C2523</f>
        <v>272193</v>
      </c>
      <c r="D2315" s="528">
        <f>D2419+D2523</f>
        <v>283278</v>
      </c>
      <c r="F2315" s="1944">
        <v>2.2200000000000002</v>
      </c>
      <c r="G2315" s="597"/>
      <c r="H2315" s="1644">
        <f t="shared" ref="H2315:I2323" si="2559">ROUND($F2315*C2315,0)</f>
        <v>604268</v>
      </c>
      <c r="I2315" s="1644">
        <f t="shared" si="2559"/>
        <v>628877</v>
      </c>
      <c r="K2315" s="1944">
        <f t="shared" ref="K2315:K2321" si="2560">K1480</f>
        <v>2.2999999999999998</v>
      </c>
      <c r="L2315" s="597"/>
      <c r="M2315" s="1944">
        <f t="shared" ref="M2315:M2321" si="2561">M1480</f>
        <v>0</v>
      </c>
      <c r="N2315" s="597"/>
      <c r="O2315" s="1944">
        <f t="shared" ref="O2315:O2321" si="2562">O1480</f>
        <v>0</v>
      </c>
      <c r="P2315" s="597"/>
      <c r="Q2315" s="1944">
        <f t="shared" ref="Q2315:Q2321" si="2563">Q1480</f>
        <v>2.2999999999999998</v>
      </c>
      <c r="R2315" s="597"/>
      <c r="S2315" s="1644">
        <f t="shared" ref="S2315:Y2317" si="2564">ROUND($D2315*K2315,0)</f>
        <v>651539</v>
      </c>
      <c r="T2315" s="1645"/>
      <c r="U2315" s="1644">
        <f t="shared" si="2564"/>
        <v>0</v>
      </c>
      <c r="V2315" s="1645"/>
      <c r="W2315" s="1644">
        <f t="shared" si="2564"/>
        <v>0</v>
      </c>
      <c r="X2315" s="1645"/>
      <c r="Y2315" s="1644">
        <f t="shared" si="2564"/>
        <v>651539</v>
      </c>
    </row>
    <row r="2316" spans="1:25">
      <c r="A2316" s="1900" t="s">
        <v>1651</v>
      </c>
      <c r="C2316" s="528">
        <f t="shared" ref="C2316:D2316" si="2565">C2420+C2524</f>
        <v>94439.903634551389</v>
      </c>
      <c r="D2316" s="528">
        <f t="shared" si="2565"/>
        <v>96907</v>
      </c>
      <c r="F2316" s="1944"/>
      <c r="G2316" s="597"/>
      <c r="H2316" s="1644"/>
      <c r="I2316" s="1644"/>
      <c r="K2316" s="1944">
        <f t="shared" si="2560"/>
        <v>4.8</v>
      </c>
      <c r="L2316" s="597"/>
      <c r="M2316" s="1944">
        <f t="shared" si="2561"/>
        <v>9.68</v>
      </c>
      <c r="N2316" s="597"/>
      <c r="O2316" s="1944">
        <f t="shared" si="2562"/>
        <v>0</v>
      </c>
      <c r="P2316" s="597"/>
      <c r="Q2316" s="1944">
        <f t="shared" si="2563"/>
        <v>14.48</v>
      </c>
      <c r="R2316" s="597"/>
      <c r="S2316" s="1644">
        <f t="shared" si="2564"/>
        <v>465154</v>
      </c>
      <c r="T2316" s="1645"/>
      <c r="U2316" s="1644">
        <f t="shared" si="2564"/>
        <v>938060</v>
      </c>
      <c r="V2316" s="1645"/>
      <c r="W2316" s="1644">
        <f t="shared" si="2564"/>
        <v>0</v>
      </c>
      <c r="X2316" s="1645"/>
      <c r="Y2316" s="1644">
        <f t="shared" si="2564"/>
        <v>1403213</v>
      </c>
    </row>
    <row r="2317" spans="1:25">
      <c r="A2317" s="1900" t="s">
        <v>1652</v>
      </c>
      <c r="C2317" s="528">
        <f t="shared" ref="C2317:D2317" si="2566">C2421+C2525</f>
        <v>171966.98186467227</v>
      </c>
      <c r="D2317" s="528">
        <f t="shared" si="2566"/>
        <v>180946</v>
      </c>
      <c r="F2317" s="1944"/>
      <c r="G2317" s="597"/>
      <c r="H2317" s="1644"/>
      <c r="I2317" s="1644"/>
      <c r="K2317" s="1944">
        <f t="shared" si="2560"/>
        <v>4.25</v>
      </c>
      <c r="L2317" s="597"/>
      <c r="M2317" s="1944">
        <f t="shared" si="2561"/>
        <v>8.56</v>
      </c>
      <c r="N2317" s="597"/>
      <c r="O2317" s="1944">
        <f t="shared" si="2562"/>
        <v>0</v>
      </c>
      <c r="P2317" s="597"/>
      <c r="Q2317" s="1944">
        <f t="shared" si="2563"/>
        <v>12.81</v>
      </c>
      <c r="R2317" s="597"/>
      <c r="S2317" s="1644">
        <f t="shared" si="2564"/>
        <v>769021</v>
      </c>
      <c r="T2317" s="1645"/>
      <c r="U2317" s="1644">
        <f t="shared" si="2564"/>
        <v>1548898</v>
      </c>
      <c r="V2317" s="1645"/>
      <c r="W2317" s="1644">
        <f t="shared" si="2564"/>
        <v>0</v>
      </c>
      <c r="X2317" s="1645"/>
      <c r="Y2317" s="1644">
        <f t="shared" si="2564"/>
        <v>2317918</v>
      </c>
    </row>
    <row r="2318" spans="1:25">
      <c r="A2318" s="1900" t="s">
        <v>1532</v>
      </c>
      <c r="C2318" s="528">
        <f t="shared" ref="C2318:D2318" si="2567">C2422+C2526</f>
        <v>14297570.662985027</v>
      </c>
      <c r="D2318" s="528">
        <f t="shared" si="2567"/>
        <v>14609917</v>
      </c>
      <c r="F2318" s="1942"/>
      <c r="G2318" s="1921"/>
      <c r="H2318" s="1644"/>
      <c r="I2318" s="1644"/>
      <c r="K2318" s="1942">
        <f t="shared" si="2560"/>
        <v>0</v>
      </c>
      <c r="L2318" s="1921" t="s">
        <v>495</v>
      </c>
      <c r="M2318" s="1942">
        <f t="shared" si="2561"/>
        <v>1.0927</v>
      </c>
      <c r="N2318" s="1921" t="s">
        <v>495</v>
      </c>
      <c r="O2318" s="1942">
        <f t="shared" si="2562"/>
        <v>4.1108761607000002</v>
      </c>
      <c r="P2318" s="1921" t="s">
        <v>495</v>
      </c>
      <c r="Q2318" s="1942">
        <f t="shared" si="2563"/>
        <v>5.2035761607</v>
      </c>
      <c r="R2318" s="1921" t="s">
        <v>495</v>
      </c>
      <c r="S2318" s="1644">
        <f>ROUND($D2318*K2318/100,0)</f>
        <v>0</v>
      </c>
      <c r="T2318" s="1648"/>
      <c r="U2318" s="1644">
        <f>ROUND($D2318*M2318/100,0)</f>
        <v>159643</v>
      </c>
      <c r="V2318" s="1648"/>
      <c r="W2318" s="1644">
        <f>ROUND($D2318*O2318/100,0)</f>
        <v>600596</v>
      </c>
      <c r="X2318" s="1648"/>
      <c r="Y2318" s="1644">
        <f>ROUND($D2318*Q2318/100,0)</f>
        <v>760238</v>
      </c>
    </row>
    <row r="2319" spans="1:25">
      <c r="A2319" s="1900" t="s">
        <v>1653</v>
      </c>
      <c r="C2319" s="528">
        <f t="shared" ref="C2319:D2319" si="2568">C2423+C2527</f>
        <v>20978455.284624182</v>
      </c>
      <c r="D2319" s="528">
        <f t="shared" si="2568"/>
        <v>21736230</v>
      </c>
      <c r="F2319" s="1942"/>
      <c r="G2319" s="1921"/>
      <c r="H2319" s="1644"/>
      <c r="I2319" s="1644"/>
      <c r="K2319" s="1942">
        <f t="shared" si="2560"/>
        <v>0</v>
      </c>
      <c r="L2319" s="1921" t="s">
        <v>495</v>
      </c>
      <c r="M2319" s="1942">
        <f t="shared" si="2561"/>
        <v>1.0927</v>
      </c>
      <c r="N2319" s="1921" t="s">
        <v>495</v>
      </c>
      <c r="O2319" s="1942">
        <f t="shared" si="2562"/>
        <v>3.5122346554870001</v>
      </c>
      <c r="P2319" s="1921" t="s">
        <v>495</v>
      </c>
      <c r="Q2319" s="1942">
        <f t="shared" si="2563"/>
        <v>4.6049346554869999</v>
      </c>
      <c r="R2319" s="1921" t="s">
        <v>495</v>
      </c>
      <c r="S2319" s="1644">
        <f t="shared" ref="S2319:Y2321" si="2569">ROUND($D2319*K2319/100,0)</f>
        <v>0</v>
      </c>
      <c r="T2319" s="1648"/>
      <c r="U2319" s="1644">
        <f t="shared" si="2569"/>
        <v>237512</v>
      </c>
      <c r="V2319" s="1648"/>
      <c r="W2319" s="1644">
        <f t="shared" si="2569"/>
        <v>763427</v>
      </c>
      <c r="X2319" s="1648"/>
      <c r="Y2319" s="1644">
        <f t="shared" si="2569"/>
        <v>1000939</v>
      </c>
    </row>
    <row r="2320" spans="1:25">
      <c r="A2320" s="1900" t="s">
        <v>1533</v>
      </c>
      <c r="C2320" s="528">
        <f t="shared" ref="C2320:D2320" si="2570">C2424+C2528</f>
        <v>46087699.508693144</v>
      </c>
      <c r="D2320" s="528">
        <f t="shared" si="2570"/>
        <v>47389695</v>
      </c>
      <c r="F2320" s="1942"/>
      <c r="G2320" s="1921"/>
      <c r="H2320" s="1644"/>
      <c r="I2320" s="1644"/>
      <c r="K2320" s="1942">
        <f t="shared" si="2560"/>
        <v>0</v>
      </c>
      <c r="L2320" s="1921" t="s">
        <v>495</v>
      </c>
      <c r="M2320" s="1942">
        <f t="shared" si="2561"/>
        <v>1.0927</v>
      </c>
      <c r="N2320" s="1921" t="s">
        <v>495</v>
      </c>
      <c r="O2320" s="1942">
        <f t="shared" si="2562"/>
        <v>1.5521862361710002</v>
      </c>
      <c r="P2320" s="1921" t="s">
        <v>495</v>
      </c>
      <c r="Q2320" s="1942">
        <f t="shared" si="2563"/>
        <v>2.6448862361710002</v>
      </c>
      <c r="R2320" s="1921" t="s">
        <v>495</v>
      </c>
      <c r="S2320" s="1644">
        <f t="shared" si="2569"/>
        <v>0</v>
      </c>
      <c r="T2320" s="1648"/>
      <c r="U2320" s="1644">
        <f t="shared" si="2569"/>
        <v>517827</v>
      </c>
      <c r="V2320" s="1648"/>
      <c r="W2320" s="1644">
        <f t="shared" si="2569"/>
        <v>735576</v>
      </c>
      <c r="X2320" s="1648"/>
      <c r="Y2320" s="1644">
        <f t="shared" si="2569"/>
        <v>1253404</v>
      </c>
    </row>
    <row r="2321" spans="1:31">
      <c r="A2321" s="1900" t="s">
        <v>2177</v>
      </c>
      <c r="C2321" s="586">
        <f t="shared" ref="C2321:D2321" si="2571">C2425+C2529</f>
        <v>88097430.543697655</v>
      </c>
      <c r="D2321" s="586">
        <f t="shared" si="2571"/>
        <v>90512657.666666657</v>
      </c>
      <c r="F2321" s="2004"/>
      <c r="G2321" s="1921"/>
      <c r="H2321" s="1649"/>
      <c r="I2321" s="1649"/>
      <c r="K2321" s="2004">
        <f t="shared" si="2560"/>
        <v>0</v>
      </c>
      <c r="L2321" s="1921" t="s">
        <v>495</v>
      </c>
      <c r="M2321" s="2004">
        <f t="shared" si="2561"/>
        <v>1.0927</v>
      </c>
      <c r="N2321" s="1921" t="s">
        <v>495</v>
      </c>
      <c r="O2321" s="2004">
        <f t="shared" si="2562"/>
        <v>1.247907288647</v>
      </c>
      <c r="P2321" s="1921" t="s">
        <v>495</v>
      </c>
      <c r="Q2321" s="2004">
        <f t="shared" si="2563"/>
        <v>2.340607288647</v>
      </c>
      <c r="R2321" s="1921" t="s">
        <v>495</v>
      </c>
      <c r="S2321" s="1644">
        <f t="shared" si="2569"/>
        <v>0</v>
      </c>
      <c r="T2321" s="1648"/>
      <c r="U2321" s="1644">
        <f t="shared" si="2569"/>
        <v>989032</v>
      </c>
      <c r="V2321" s="1648"/>
      <c r="W2321" s="1644">
        <f t="shared" si="2569"/>
        <v>1129514</v>
      </c>
      <c r="X2321" s="1648"/>
      <c r="Y2321" s="1644">
        <f t="shared" si="2569"/>
        <v>2118546</v>
      </c>
    </row>
    <row r="2322" spans="1:31">
      <c r="A2322" s="1900" t="s">
        <v>18</v>
      </c>
      <c r="C2322" s="528">
        <f t="shared" ref="C2322:D2326" si="2572">C2426+C2530</f>
        <v>116387</v>
      </c>
      <c r="D2322" s="528">
        <f t="shared" si="2572"/>
        <v>119427</v>
      </c>
      <c r="F2322" s="1944">
        <v>13.96</v>
      </c>
      <c r="G2322" s="597"/>
      <c r="H2322" s="1644">
        <f t="shared" si="2559"/>
        <v>1624763</v>
      </c>
      <c r="I2322" s="1644">
        <f t="shared" si="2559"/>
        <v>1667201</v>
      </c>
      <c r="K2322" s="1944"/>
      <c r="L2322" s="597"/>
      <c r="M2322" s="1944"/>
      <c r="N2322" s="597"/>
      <c r="O2322" s="1944"/>
      <c r="P2322" s="597"/>
      <c r="Q2322" s="1944"/>
      <c r="R2322" s="597"/>
      <c r="S2322" s="1644"/>
      <c r="T2322" s="1645"/>
      <c r="U2322" s="1644"/>
      <c r="V2322" s="1645"/>
      <c r="W2322" s="1644"/>
      <c r="X2322" s="1645"/>
      <c r="Y2322" s="1644"/>
    </row>
    <row r="2323" spans="1:31">
      <c r="A2323" s="1900" t="s">
        <v>166</v>
      </c>
      <c r="C2323" s="528">
        <f t="shared" si="2572"/>
        <v>151388</v>
      </c>
      <c r="D2323" s="528">
        <f t="shared" si="2572"/>
        <v>159292</v>
      </c>
      <c r="F2323" s="1944">
        <v>9.4700000000000006</v>
      </c>
      <c r="G2323" s="597"/>
      <c r="H2323" s="1644">
        <f t="shared" si="2559"/>
        <v>1433644</v>
      </c>
      <c r="I2323" s="1644">
        <f t="shared" si="2559"/>
        <v>1508495</v>
      </c>
      <c r="K2323" s="1944"/>
      <c r="L2323" s="597"/>
      <c r="M2323" s="1944"/>
      <c r="N2323" s="597"/>
      <c r="O2323" s="1944"/>
      <c r="P2323" s="597"/>
      <c r="Q2323" s="1944"/>
      <c r="R2323" s="597"/>
      <c r="S2323" s="1644"/>
      <c r="T2323" s="1645"/>
      <c r="U2323" s="1644"/>
      <c r="V2323" s="1645"/>
      <c r="W2323" s="1644"/>
      <c r="X2323" s="1645"/>
      <c r="Y2323" s="1644"/>
    </row>
    <row r="2324" spans="1:31">
      <c r="A2324" s="1900" t="s">
        <v>19</v>
      </c>
      <c r="C2324" s="528">
        <f t="shared" si="2572"/>
        <v>20671943</v>
      </c>
      <c r="D2324" s="528">
        <f t="shared" si="2572"/>
        <v>21123545</v>
      </c>
      <c r="F2324" s="1942">
        <v>4.6531000000000002</v>
      </c>
      <c r="G2324" s="1921" t="s">
        <v>495</v>
      </c>
      <c r="H2324" s="1644">
        <f t="shared" ref="H2324:I2326" si="2573">ROUND($F2324*C2324/100,0)</f>
        <v>961886</v>
      </c>
      <c r="I2324" s="1644">
        <f t="shared" si="2573"/>
        <v>982900</v>
      </c>
      <c r="K2324" s="1942"/>
      <c r="L2324" s="1921"/>
      <c r="M2324" s="1942"/>
      <c r="N2324" s="1921"/>
      <c r="O2324" s="1942"/>
      <c r="P2324" s="1921"/>
      <c r="Q2324" s="1942"/>
      <c r="R2324" s="1921"/>
      <c r="S2324" s="1644"/>
      <c r="T2324" s="1648"/>
      <c r="U2324" s="1644"/>
      <c r="V2324" s="1648"/>
      <c r="W2324" s="1644"/>
      <c r="X2324" s="1648"/>
      <c r="Y2324" s="1644"/>
    </row>
    <row r="2325" spans="1:31">
      <c r="A2325" s="1900" t="s">
        <v>257</v>
      </c>
      <c r="C2325" s="528">
        <f t="shared" si="2572"/>
        <v>41988517</v>
      </c>
      <c r="D2325" s="528">
        <f t="shared" si="2572"/>
        <v>43505207</v>
      </c>
      <c r="F2325" s="1942">
        <v>3.4988999999999999</v>
      </c>
      <c r="G2325" s="1921" t="s">
        <v>495</v>
      </c>
      <c r="H2325" s="1644">
        <f t="shared" si="2573"/>
        <v>1469136</v>
      </c>
      <c r="I2325" s="1644">
        <f t="shared" si="2573"/>
        <v>1522204</v>
      </c>
      <c r="K2325" s="1942"/>
      <c r="L2325" s="1921"/>
      <c r="M2325" s="1942"/>
      <c r="N2325" s="1921"/>
      <c r="O2325" s="1942"/>
      <c r="P2325" s="1921"/>
      <c r="Q2325" s="1942"/>
      <c r="R2325" s="1921"/>
      <c r="S2325" s="1644"/>
      <c r="T2325" s="1648"/>
      <c r="U2325" s="1644"/>
      <c r="V2325" s="1648"/>
      <c r="W2325" s="1644"/>
      <c r="X2325" s="1648"/>
      <c r="Y2325" s="1644"/>
      <c r="AA2325" s="1104" t="s">
        <v>1743</v>
      </c>
      <c r="AB2325" s="1890">
        <f>Y2331/I2331-1</f>
        <v>2.7977204194389538E-2</v>
      </c>
    </row>
    <row r="2326" spans="1:31">
      <c r="A2326" s="1900" t="s">
        <v>249</v>
      </c>
      <c r="C2326" s="586">
        <f t="shared" si="2572"/>
        <v>106800696</v>
      </c>
      <c r="D2326" s="586">
        <f t="shared" si="2572"/>
        <v>109619747</v>
      </c>
      <c r="F2326" s="2004">
        <v>2.9224999999999999</v>
      </c>
      <c r="G2326" s="1921" t="s">
        <v>495</v>
      </c>
      <c r="H2326" s="1649">
        <f t="shared" si="2573"/>
        <v>3121250</v>
      </c>
      <c r="I2326" s="1649">
        <f t="shared" si="2573"/>
        <v>3203637</v>
      </c>
      <c r="K2326" s="2004"/>
      <c r="L2326" s="1921"/>
      <c r="M2326" s="2004"/>
      <c r="N2326" s="1921"/>
      <c r="O2326" s="2004"/>
      <c r="P2326" s="1921"/>
      <c r="Q2326" s="2004"/>
      <c r="R2326" s="1921"/>
      <c r="S2326" s="1649"/>
      <c r="T2326" s="1648"/>
      <c r="U2326" s="1649"/>
      <c r="V2326" s="1648"/>
      <c r="W2326" s="1649"/>
      <c r="X2326" s="1648"/>
      <c r="Y2326" s="1649"/>
    </row>
    <row r="2327" spans="1:31">
      <c r="A2327" s="1900" t="s">
        <v>1240</v>
      </c>
      <c r="C2327" s="584"/>
      <c r="D2327" s="584"/>
      <c r="F2327" s="2005">
        <v>-3.0700000000000002E-2</v>
      </c>
      <c r="G2327" s="597"/>
      <c r="H2327" s="2006">
        <f>SUM(H2322:H2326)*$F2327</f>
        <v>-264347.84529999999</v>
      </c>
      <c r="I2327" s="2006">
        <f>SUM(I2322:I2326)*$F2327</f>
        <v>-272752.21590000001</v>
      </c>
      <c r="K2327" s="2005"/>
      <c r="L2327" s="597"/>
      <c r="M2327" s="2005"/>
      <c r="N2327" s="597"/>
      <c r="O2327" s="1931" t="str">
        <f>$O$43</f>
        <v>Tax Year 1 (7/1/2021)</v>
      </c>
      <c r="P2327" s="597"/>
      <c r="Q2327" s="1930">
        <f>Q1493</f>
        <v>-2.5700000000000001E-2</v>
      </c>
      <c r="R2327" s="597"/>
      <c r="S2327" s="1644"/>
      <c r="T2327" s="1645"/>
      <c r="U2327" s="1644"/>
      <c r="V2327" s="1645"/>
      <c r="W2327" s="1644"/>
      <c r="X2327" s="1645"/>
      <c r="Y2327" s="1644">
        <f>Q2327*SUM(Y2316:Y2321)</f>
        <v>-227554.43059999999</v>
      </c>
    </row>
    <row r="2328" spans="1:31">
      <c r="A2328" s="1900"/>
      <c r="C2328" s="584"/>
      <c r="D2328" s="584"/>
      <c r="F2328" s="1997"/>
      <c r="G2328" s="597"/>
      <c r="H2328" s="1645"/>
      <c r="I2328" s="1645"/>
      <c r="K2328" s="1997"/>
      <c r="L2328" s="597"/>
      <c r="M2328" s="1997"/>
      <c r="N2328" s="597"/>
      <c r="O2328" s="1931" t="str">
        <f>$O$44</f>
        <v>Tax Year 2 (1/1/2022)</v>
      </c>
      <c r="P2328" s="597"/>
      <c r="Q2328" s="1930">
        <f>Q1494</f>
        <v>-1.3899999999999999E-2</v>
      </c>
      <c r="R2328" s="597"/>
      <c r="S2328" s="1644"/>
      <c r="T2328" s="1645"/>
      <c r="U2328" s="1644"/>
      <c r="V2328" s="1645"/>
      <c r="W2328" s="1644"/>
      <c r="X2328" s="1645"/>
      <c r="Y2328" s="1644">
        <f>Q2328*SUM(Y2316:Y2321)</f>
        <v>-123074.1862</v>
      </c>
    </row>
    <row r="2329" spans="1:31">
      <c r="A2329" s="1900" t="s">
        <v>397</v>
      </c>
      <c r="C2329" s="584"/>
      <c r="D2329" s="584"/>
      <c r="F2329" s="1872"/>
      <c r="G2329" s="1921"/>
      <c r="H2329" s="1645">
        <f>SUM(H2299:H2327)</f>
        <v>9948626.7727000006</v>
      </c>
      <c r="I2329" s="1645">
        <f>SUM(I2299:I2327)</f>
        <v>10195871.672499999</v>
      </c>
      <c r="K2329" s="1872"/>
      <c r="L2329" s="1921"/>
      <c r="M2329" s="1872"/>
      <c r="N2329" s="1921"/>
      <c r="O2329" s="1872"/>
      <c r="P2329" s="1921"/>
      <c r="Q2329" s="1872"/>
      <c r="R2329" s="1921"/>
      <c r="S2329" s="1645">
        <f>SUM(S2299:S2311,S2315:S2326)</f>
        <v>2180517</v>
      </c>
      <c r="T2329" s="1648"/>
      <c r="U2329" s="1645">
        <f>SUM(U2299:U2311,U2315:U2326)</f>
        <v>4831411</v>
      </c>
      <c r="V2329" s="1648"/>
      <c r="W2329" s="1645">
        <f>SUM(W2299:W2311,W2315:W2326)</f>
        <v>3520713</v>
      </c>
      <c r="X2329" s="1648"/>
      <c r="Y2329" s="1645">
        <f>SUM(Y2299:Y2311,Y2315:Y2326)</f>
        <v>10532639</v>
      </c>
      <c r="AA2329" s="1932" t="s">
        <v>1940</v>
      </c>
      <c r="AB2329" s="1932"/>
      <c r="AC2329" s="1932"/>
      <c r="AD2329" s="1932"/>
    </row>
    <row r="2330" spans="1:31">
      <c r="A2330" s="1869" t="s">
        <v>136</v>
      </c>
      <c r="C2330" s="585">
        <f>C2434+C2538</f>
        <v>-102498</v>
      </c>
      <c r="D2330" s="585">
        <f>D2434+D2538</f>
        <v>0</v>
      </c>
      <c r="F2330" s="1943"/>
      <c r="G2330" s="1957"/>
      <c r="H2330" s="1030">
        <f>H2434+H2538</f>
        <v>-7456</v>
      </c>
      <c r="I2330" s="1030">
        <f>I2434+I2538</f>
        <v>0</v>
      </c>
      <c r="K2330" s="1943"/>
      <c r="L2330" s="1957"/>
      <c r="M2330" s="1943"/>
      <c r="N2330" s="1957"/>
      <c r="O2330" s="1943"/>
      <c r="P2330" s="1957"/>
      <c r="Q2330" s="1943"/>
      <c r="R2330" s="1957"/>
      <c r="S2330" s="1030"/>
      <c r="T2330" s="1645"/>
      <c r="U2330" s="1030"/>
      <c r="V2330" s="1645"/>
      <c r="W2330" s="1030"/>
      <c r="X2330" s="1645"/>
      <c r="Y2330" s="1030"/>
      <c r="AA2330" s="1933" t="s">
        <v>1660</v>
      </c>
      <c r="AB2330" s="1933" t="s">
        <v>1661</v>
      </c>
      <c r="AC2330" s="1933" t="s">
        <v>1662</v>
      </c>
      <c r="AD2330" s="1933" t="s">
        <v>93</v>
      </c>
    </row>
    <row r="2331" spans="1:31" ht="16.5" thickBot="1">
      <c r="A2331" s="1900" t="s">
        <v>173</v>
      </c>
      <c r="C2331" s="1949">
        <f>SUM(C2309:C2311,C2324:C2326,C2330)</f>
        <v>185004258</v>
      </c>
      <c r="D2331" s="1949">
        <f>SUM(D2309:D2311,D2324:D2326,D2330)</f>
        <v>189259142.66666666</v>
      </c>
      <c r="F2331" s="1939"/>
      <c r="H2331" s="1647">
        <f>H2296+H2329+H2330</f>
        <v>11977915.772700001</v>
      </c>
      <c r="I2331" s="1647">
        <f>I2296+I2329+I2330</f>
        <v>12375229.672499999</v>
      </c>
      <c r="K2331" s="1939"/>
      <c r="M2331" s="1939"/>
      <c r="O2331" s="1939"/>
      <c r="Q2331" s="1939"/>
      <c r="S2331" s="1647">
        <f>S2296+S2329</f>
        <v>3599345</v>
      </c>
      <c r="T2331" s="1646"/>
      <c r="U2331" s="1647">
        <f>U2296+U2329</f>
        <v>5601400</v>
      </c>
      <c r="V2331" s="1646"/>
      <c r="W2331" s="1647">
        <f>W2296+W2329</f>
        <v>3520713</v>
      </c>
      <c r="Y2331" s="1647">
        <f>Y2296+Y2329</f>
        <v>12721454</v>
      </c>
      <c r="AA2331" s="1937">
        <f>'Unit Cost Target'!$H$87+'Unit Cost Target'!$H$123+'Unit Cost Target'!$H$129+'Unit Cost Target'!$H$75+'Unit Cost Target'!$H$81</f>
        <v>59241729.768442243</v>
      </c>
      <c r="AB2331" s="1937">
        <f>'Unit Cost Target'!$H$45+'Unit Cost Target'!$H$51</f>
        <v>130872894.84307647</v>
      </c>
      <c r="AC2331" s="1937">
        <f>'Unit Cost Target'!$H$33+'Unit Cost Target'!$H$39+'Unit Cost Target'!$H$63+'Unit Cost Target'!$H$69</f>
        <v>97407843.091679543</v>
      </c>
      <c r="AD2331" s="1937">
        <f>SUM(AA2331:AC2331)</f>
        <v>287522467.70319825</v>
      </c>
      <c r="AE2331" s="1937">
        <f>AD2331-'Unit Cost Target'!$H$21</f>
        <v>0</v>
      </c>
    </row>
    <row r="2332" spans="1:31" ht="16.5" hidden="1" thickTop="1">
      <c r="AA2332" s="1937">
        <f>SUM(S2296,S2329)-S2331</f>
        <v>0</v>
      </c>
      <c r="AB2332" s="1937">
        <f>SUM(U2296,U2329)-U2331</f>
        <v>0</v>
      </c>
      <c r="AC2332" s="1937">
        <f>SUM(W2296,W2329)-W2331</f>
        <v>0</v>
      </c>
      <c r="AD2332" s="1937">
        <f>SUM(AA2332:AC2332)</f>
        <v>0</v>
      </c>
      <c r="AE2332" s="1937"/>
    </row>
    <row r="2333" spans="1:31" hidden="1">
      <c r="A2333" s="1897" t="s">
        <v>938</v>
      </c>
      <c r="C2333" s="528"/>
      <c r="D2333" s="528"/>
      <c r="F2333" s="1943"/>
      <c r="G2333" s="1957"/>
      <c r="K2333" s="1943"/>
      <c r="L2333" s="1957"/>
      <c r="M2333" s="1943"/>
      <c r="N2333" s="1957"/>
      <c r="O2333" s="1943"/>
      <c r="P2333" s="1957"/>
      <c r="Q2333" s="1943"/>
      <c r="R2333" s="1957"/>
      <c r="S2333" s="1645"/>
      <c r="T2333" s="1645"/>
      <c r="U2333" s="1645"/>
      <c r="V2333" s="1645"/>
      <c r="W2333" s="1645"/>
      <c r="X2333" s="1645"/>
    </row>
    <row r="2334" spans="1:31" hidden="1">
      <c r="A2334" s="1987" t="s">
        <v>181</v>
      </c>
      <c r="C2334" s="528"/>
      <c r="D2334" s="528"/>
    </row>
    <row r="2335" spans="1:31" hidden="1">
      <c r="A2335" s="1900" t="s">
        <v>312</v>
      </c>
      <c r="B2335" s="1900"/>
      <c r="C2335" s="528"/>
      <c r="D2335" s="528"/>
      <c r="F2335" s="2000">
        <v>133</v>
      </c>
      <c r="G2335" s="1902"/>
      <c r="H2335" s="1644">
        <f>ROUND($F2335*C2335,0)</f>
        <v>0</v>
      </c>
      <c r="I2335" s="1644">
        <f>ROUND($F2335*D2335,0)</f>
        <v>0</v>
      </c>
      <c r="K2335" s="2000">
        <f>K2231</f>
        <v>138</v>
      </c>
      <c r="L2335" s="1902"/>
      <c r="M2335" s="2000">
        <f>M2231</f>
        <v>0</v>
      </c>
      <c r="N2335" s="1902"/>
      <c r="O2335" s="2000">
        <f>O2231</f>
        <v>0</v>
      </c>
      <c r="P2335" s="1902"/>
      <c r="Q2335" s="2000">
        <f>Q2231</f>
        <v>138</v>
      </c>
      <c r="R2335" s="1902"/>
      <c r="S2335" s="1644">
        <f>ROUND($D2335*K2335,0)</f>
        <v>0</v>
      </c>
      <c r="T2335" s="1643"/>
      <c r="U2335" s="1644">
        <f>ROUND($D2335*M2335,0)</f>
        <v>0</v>
      </c>
      <c r="V2335" s="1643"/>
      <c r="W2335" s="1644">
        <f>ROUND($D2335*O2335,0)</f>
        <v>0</v>
      </c>
      <c r="X2335" s="1643"/>
      <c r="Y2335" s="1644">
        <f>ROUND($D2335*Q2335,0)</f>
        <v>0</v>
      </c>
    </row>
    <row r="2336" spans="1:31" hidden="1">
      <c r="A2336" s="1900" t="s">
        <v>313</v>
      </c>
      <c r="B2336" s="1900"/>
      <c r="C2336" s="528"/>
      <c r="D2336" s="528"/>
      <c r="F2336" s="2000">
        <v>5.6</v>
      </c>
      <c r="G2336" s="1902"/>
      <c r="H2336" s="1644">
        <f>ROUND($F2336*C2336,0)</f>
        <v>0</v>
      </c>
      <c r="I2336" s="1644">
        <f>ROUND($F2336*D2336,0)</f>
        <v>0</v>
      </c>
      <c r="K2336" s="2000">
        <f>K2232</f>
        <v>5.81</v>
      </c>
      <c r="L2336" s="1902"/>
      <c r="M2336" s="2000">
        <f>M2232</f>
        <v>0</v>
      </c>
      <c r="N2336" s="1902"/>
      <c r="O2336" s="2000">
        <f>O2232</f>
        <v>0</v>
      </c>
      <c r="P2336" s="1902"/>
      <c r="Q2336" s="2000">
        <f>Q2232</f>
        <v>5.81</v>
      </c>
      <c r="R2336" s="1902"/>
      <c r="S2336" s="1644">
        <f>ROUND($D2336*K2336,0)</f>
        <v>0</v>
      </c>
      <c r="T2336" s="1643"/>
      <c r="U2336" s="1644">
        <f>ROUND($D2336*M2336,0)</f>
        <v>0</v>
      </c>
      <c r="V2336" s="1643"/>
      <c r="W2336" s="1644">
        <f>ROUND($D2336*O2336,0)</f>
        <v>0</v>
      </c>
      <c r="X2336" s="1643"/>
      <c r="Y2336" s="1644">
        <f>ROUND($D2336*Q2336,0)</f>
        <v>0</v>
      </c>
    </row>
    <row r="2337" spans="1:26" hidden="1">
      <c r="A2337" s="1900" t="s">
        <v>314</v>
      </c>
      <c r="B2337" s="1900"/>
      <c r="C2337" s="528"/>
      <c r="D2337" s="528"/>
      <c r="F2337" s="2001"/>
      <c r="G2337" s="597"/>
      <c r="H2337" s="1644"/>
      <c r="I2337" s="1644"/>
      <c r="K2337" s="2001"/>
      <c r="L2337" s="597"/>
      <c r="M2337" s="2001"/>
      <c r="N2337" s="597"/>
      <c r="O2337" s="2001"/>
      <c r="P2337" s="597"/>
      <c r="Q2337" s="2001"/>
      <c r="R2337" s="597"/>
      <c r="S2337" s="1644"/>
      <c r="T2337" s="1645"/>
      <c r="U2337" s="1644"/>
      <c r="V2337" s="1645"/>
      <c r="W2337" s="1644"/>
      <c r="X2337" s="1645"/>
      <c r="Y2337" s="1644"/>
    </row>
    <row r="2338" spans="1:26" hidden="1">
      <c r="A2338" s="1900" t="s">
        <v>315</v>
      </c>
      <c r="B2338" s="1900"/>
      <c r="C2338" s="528"/>
      <c r="D2338" s="528"/>
      <c r="F2338" s="2000"/>
      <c r="G2338" s="1991"/>
      <c r="H2338" s="1644"/>
      <c r="I2338" s="1644"/>
      <c r="K2338" s="2000"/>
      <c r="L2338" s="1991"/>
      <c r="M2338" s="2000"/>
      <c r="N2338" s="1991"/>
      <c r="O2338" s="2000"/>
      <c r="P2338" s="1991"/>
      <c r="Q2338" s="2000"/>
      <c r="R2338" s="1991"/>
      <c r="S2338" s="1644"/>
      <c r="T2338" s="1643"/>
      <c r="U2338" s="1644"/>
      <c r="V2338" s="1643"/>
      <c r="W2338" s="1644"/>
      <c r="X2338" s="1643"/>
      <c r="Y2338" s="1644"/>
      <c r="Z2338" s="1878" t="s">
        <v>251</v>
      </c>
    </row>
    <row r="2339" spans="1:26" hidden="1">
      <c r="A2339" s="1900" t="s">
        <v>1668</v>
      </c>
      <c r="B2339" s="1900"/>
      <c r="C2339" s="528"/>
      <c r="D2339" s="528"/>
      <c r="F2339" s="2000"/>
      <c r="G2339" s="1991"/>
      <c r="H2339" s="1644"/>
      <c r="I2339" s="1644"/>
      <c r="K2339" s="2000">
        <f t="shared" ref="K2339" si="2574">K2235</f>
        <v>0.42</v>
      </c>
      <c r="L2339" s="1991"/>
      <c r="M2339" s="2000">
        <f t="shared" ref="M2339" si="2575">M2235</f>
        <v>0.49000000000000005</v>
      </c>
      <c r="N2339" s="1991"/>
      <c r="O2339" s="2000">
        <f t="shared" ref="O2339" si="2576">O2235</f>
        <v>0</v>
      </c>
      <c r="P2339" s="1991"/>
      <c r="Q2339" s="2000">
        <f t="shared" ref="Q2339:Q2340" si="2577">Q2235</f>
        <v>0.91</v>
      </c>
      <c r="R2339" s="1991"/>
      <c r="S2339" s="1644">
        <f t="shared" ref="S2339:S2340" si="2578">ROUND($D2339*K2339,0)</f>
        <v>0</v>
      </c>
      <c r="T2339" s="1643"/>
      <c r="U2339" s="1644">
        <f t="shared" ref="U2339:Y2340" si="2579">ROUND($D2339*M2339,0)</f>
        <v>0</v>
      </c>
      <c r="V2339" s="1643"/>
      <c r="W2339" s="1644">
        <f t="shared" si="2579"/>
        <v>0</v>
      </c>
      <c r="X2339" s="1643"/>
      <c r="Y2339" s="1644">
        <f t="shared" si="2579"/>
        <v>0</v>
      </c>
      <c r="Z2339" s="1878">
        <f>'Large Profile'!L10</f>
        <v>0.81143000192935111</v>
      </c>
    </row>
    <row r="2340" spans="1:26" hidden="1">
      <c r="A2340" s="1900" t="s">
        <v>1669</v>
      </c>
      <c r="B2340" s="1900"/>
      <c r="C2340" s="528"/>
      <c r="D2340" s="528"/>
      <c r="F2340" s="2000"/>
      <c r="G2340" s="1991"/>
      <c r="H2340" s="1644"/>
      <c r="I2340" s="1644"/>
      <c r="K2340" s="2000">
        <f t="shared" ref="K2340" si="2580">K2236</f>
        <v>0.37</v>
      </c>
      <c r="L2340" s="1991"/>
      <c r="M2340" s="2000">
        <f t="shared" ref="M2340" si="2581">M2236</f>
        <v>0.44000000000000006</v>
      </c>
      <c r="N2340" s="1991"/>
      <c r="O2340" s="2000">
        <f t="shared" ref="O2340" si="2582">O2236</f>
        <v>0</v>
      </c>
      <c r="P2340" s="1991"/>
      <c r="Q2340" s="2000">
        <f t="shared" si="2577"/>
        <v>0.81</v>
      </c>
      <c r="R2340" s="1991"/>
      <c r="S2340" s="1644">
        <f t="shared" si="2578"/>
        <v>0</v>
      </c>
      <c r="T2340" s="1643"/>
      <c r="U2340" s="1644">
        <f t="shared" si="2579"/>
        <v>0</v>
      </c>
      <c r="V2340" s="1643"/>
      <c r="W2340" s="1644">
        <f t="shared" si="2579"/>
        <v>0</v>
      </c>
      <c r="X2340" s="1643"/>
      <c r="Y2340" s="1644">
        <f t="shared" si="2579"/>
        <v>0</v>
      </c>
      <c r="Z2340" s="1878">
        <f>'Large Profile'!P10</f>
        <v>1.1359353572586484</v>
      </c>
    </row>
    <row r="2341" spans="1:26" hidden="1">
      <c r="A2341" s="1900" t="s">
        <v>316</v>
      </c>
      <c r="B2341" s="1900"/>
      <c r="C2341" s="528"/>
      <c r="D2341" s="528"/>
      <c r="F2341" s="2001"/>
      <c r="G2341" s="1992"/>
      <c r="H2341" s="1644"/>
      <c r="I2341" s="1644"/>
      <c r="K2341" s="2001"/>
      <c r="L2341" s="1992"/>
      <c r="M2341" s="2001"/>
      <c r="N2341" s="1992"/>
      <c r="O2341" s="2001"/>
      <c r="P2341" s="1992"/>
      <c r="Q2341" s="2001"/>
      <c r="R2341" s="1992"/>
      <c r="S2341" s="1644"/>
      <c r="T2341" s="1645"/>
      <c r="U2341" s="1644"/>
      <c r="V2341" s="1645"/>
      <c r="W2341" s="1644"/>
      <c r="X2341" s="1645"/>
      <c r="Y2341" s="1644"/>
    </row>
    <row r="2342" spans="1:26" hidden="1">
      <c r="A2342" s="1900" t="s">
        <v>1668</v>
      </c>
      <c r="B2342" s="1900"/>
      <c r="C2342" s="528"/>
      <c r="D2342" s="528"/>
      <c r="F2342" s="2001"/>
      <c r="G2342" s="1992"/>
      <c r="H2342" s="1644"/>
      <c r="I2342" s="1644"/>
      <c r="K2342" s="2001">
        <f t="shared" ref="K2342" si="2583">K2238</f>
        <v>0.21</v>
      </c>
      <c r="L2342" s="1992"/>
      <c r="M2342" s="2001">
        <f t="shared" ref="M2342" si="2584">M2238</f>
        <v>0.25</v>
      </c>
      <c r="N2342" s="1992"/>
      <c r="O2342" s="2001">
        <f t="shared" ref="O2342" si="2585">O2238</f>
        <v>0</v>
      </c>
      <c r="P2342" s="1992"/>
      <c r="Q2342" s="2001">
        <f t="shared" ref="Q2342:Q2343" si="2586">Q2238</f>
        <v>0.46</v>
      </c>
      <c r="R2342" s="1992"/>
      <c r="S2342" s="1644">
        <f t="shared" ref="S2342:S2343" si="2587">ROUND($D2342*K2342,0)</f>
        <v>0</v>
      </c>
      <c r="T2342" s="1645"/>
      <c r="U2342" s="1644">
        <f t="shared" ref="U2342:Y2343" si="2588">ROUND($D2342*M2342,0)</f>
        <v>0</v>
      </c>
      <c r="V2342" s="1645"/>
      <c r="W2342" s="1644">
        <f t="shared" si="2588"/>
        <v>0</v>
      </c>
      <c r="X2342" s="1645"/>
      <c r="Y2342" s="1644">
        <f t="shared" si="2588"/>
        <v>0</v>
      </c>
      <c r="Z2342" s="1878">
        <f>Z2339</f>
        <v>0.81143000192935111</v>
      </c>
    </row>
    <row r="2343" spans="1:26" hidden="1">
      <c r="A2343" s="1900" t="s">
        <v>1669</v>
      </c>
      <c r="B2343" s="1900"/>
      <c r="C2343" s="528"/>
      <c r="D2343" s="528"/>
      <c r="F2343" s="2001"/>
      <c r="G2343" s="1992"/>
      <c r="H2343" s="1644"/>
      <c r="I2343" s="1644"/>
      <c r="K2343" s="2001">
        <f t="shared" ref="K2343" si="2589">K2239</f>
        <v>0.19</v>
      </c>
      <c r="L2343" s="1992"/>
      <c r="M2343" s="2001">
        <f t="shared" ref="M2343" si="2590">M2239</f>
        <v>0.21999999999999997</v>
      </c>
      <c r="N2343" s="1992"/>
      <c r="O2343" s="2001">
        <f t="shared" ref="O2343" si="2591">O2239</f>
        <v>0</v>
      </c>
      <c r="P2343" s="1992"/>
      <c r="Q2343" s="2001">
        <f t="shared" si="2586"/>
        <v>0.41</v>
      </c>
      <c r="R2343" s="1992"/>
      <c r="S2343" s="1644">
        <f t="shared" si="2587"/>
        <v>0</v>
      </c>
      <c r="T2343" s="1645"/>
      <c r="U2343" s="1644">
        <f t="shared" si="2588"/>
        <v>0</v>
      </c>
      <c r="V2343" s="1645"/>
      <c r="W2343" s="1644">
        <f t="shared" si="2588"/>
        <v>0</v>
      </c>
      <c r="X2343" s="1645"/>
      <c r="Y2343" s="1644">
        <f t="shared" si="2588"/>
        <v>0</v>
      </c>
      <c r="Z2343" s="1878">
        <f>Z2340</f>
        <v>1.1359353572586484</v>
      </c>
    </row>
    <row r="2344" spans="1:26" hidden="1">
      <c r="A2344" s="1900" t="s">
        <v>317</v>
      </c>
      <c r="B2344" s="1900"/>
      <c r="C2344" s="528"/>
      <c r="D2344" s="528"/>
      <c r="F2344" s="2000"/>
      <c r="G2344" s="1902"/>
      <c r="H2344" s="1644"/>
      <c r="I2344" s="1644"/>
      <c r="K2344" s="2000"/>
      <c r="L2344" s="1902"/>
      <c r="M2344" s="2000"/>
      <c r="N2344" s="1902"/>
      <c r="O2344" s="2000"/>
      <c r="P2344" s="1902"/>
      <c r="Q2344" s="2000"/>
      <c r="R2344" s="1902"/>
      <c r="S2344" s="1644"/>
      <c r="T2344" s="1643"/>
      <c r="U2344" s="1644"/>
      <c r="V2344" s="1643"/>
      <c r="W2344" s="1644"/>
      <c r="X2344" s="1643"/>
      <c r="Y2344" s="1644"/>
    </row>
    <row r="2345" spans="1:26" hidden="1">
      <c r="A2345" s="1900" t="s">
        <v>1668</v>
      </c>
      <c r="B2345" s="1900"/>
      <c r="C2345" s="528"/>
      <c r="D2345" s="528"/>
      <c r="F2345" s="2000"/>
      <c r="G2345" s="1902"/>
      <c r="H2345" s="1644"/>
      <c r="I2345" s="1644"/>
      <c r="K2345" s="2000">
        <f t="shared" ref="K2345" si="2592">K2241</f>
        <v>19.54</v>
      </c>
      <c r="L2345" s="1902"/>
      <c r="M2345" s="2000">
        <f t="shared" ref="M2345" si="2593">M2241</f>
        <v>22.79</v>
      </c>
      <c r="N2345" s="1902"/>
      <c r="O2345" s="2000">
        <f t="shared" ref="O2345" si="2594">O2241</f>
        <v>0</v>
      </c>
      <c r="P2345" s="1902"/>
      <c r="Q2345" s="2000">
        <f t="shared" ref="Q2345:Q2346" si="2595">Q2241</f>
        <v>42.33</v>
      </c>
      <c r="R2345" s="1902"/>
      <c r="S2345" s="1644">
        <f t="shared" ref="S2345:S2346" si="2596">ROUND($D2345*K2345,0)</f>
        <v>0</v>
      </c>
      <c r="T2345" s="1643"/>
      <c r="U2345" s="1644">
        <f t="shared" ref="U2345:Y2346" si="2597">ROUND($D2345*M2345,0)</f>
        <v>0</v>
      </c>
      <c r="V2345" s="1643"/>
      <c r="W2345" s="1644">
        <f t="shared" si="2597"/>
        <v>0</v>
      </c>
      <c r="X2345" s="1643"/>
      <c r="Y2345" s="1644">
        <f t="shared" si="2597"/>
        <v>0</v>
      </c>
      <c r="Z2345" s="1878">
        <f>Z2339</f>
        <v>0.81143000192935111</v>
      </c>
    </row>
    <row r="2346" spans="1:26" hidden="1">
      <c r="A2346" s="1900" t="s">
        <v>1669</v>
      </c>
      <c r="B2346" s="1900"/>
      <c r="C2346" s="528"/>
      <c r="D2346" s="528"/>
      <c r="F2346" s="2000"/>
      <c r="G2346" s="1902"/>
      <c r="H2346" s="1644"/>
      <c r="I2346" s="1644"/>
      <c r="K2346" s="2000">
        <f t="shared" ref="K2346" si="2598">K2242</f>
        <v>17.11</v>
      </c>
      <c r="L2346" s="1902"/>
      <c r="M2346" s="2000">
        <f t="shared" ref="M2346" si="2599">M2242</f>
        <v>20.350000000000001</v>
      </c>
      <c r="N2346" s="1902"/>
      <c r="O2346" s="2000">
        <f t="shared" ref="O2346" si="2600">O2242</f>
        <v>0</v>
      </c>
      <c r="P2346" s="1902"/>
      <c r="Q2346" s="2000">
        <f t="shared" si="2595"/>
        <v>37.46</v>
      </c>
      <c r="R2346" s="1902"/>
      <c r="S2346" s="1644">
        <f t="shared" si="2596"/>
        <v>0</v>
      </c>
      <c r="T2346" s="1643"/>
      <c r="U2346" s="1644">
        <f t="shared" si="2597"/>
        <v>0</v>
      </c>
      <c r="V2346" s="1643"/>
      <c r="W2346" s="1644">
        <f t="shared" si="2597"/>
        <v>0</v>
      </c>
      <c r="X2346" s="1643"/>
      <c r="Y2346" s="1644">
        <f t="shared" si="2597"/>
        <v>0</v>
      </c>
      <c r="Z2346" s="1878">
        <f>Z2340</f>
        <v>1.1359353572586484</v>
      </c>
    </row>
    <row r="2347" spans="1:26" hidden="1">
      <c r="A2347" s="1900" t="s">
        <v>315</v>
      </c>
      <c r="B2347" s="1900"/>
      <c r="C2347" s="528"/>
      <c r="D2347" s="528"/>
      <c r="F2347" s="2000"/>
      <c r="G2347" s="1991"/>
      <c r="H2347" s="1644"/>
      <c r="I2347" s="1644"/>
      <c r="K2347" s="2000"/>
      <c r="L2347" s="1991"/>
      <c r="M2347" s="2000"/>
      <c r="N2347" s="1991"/>
      <c r="O2347" s="2000"/>
      <c r="P2347" s="1991"/>
      <c r="Q2347" s="2000"/>
      <c r="R2347" s="1991"/>
      <c r="S2347" s="1644"/>
      <c r="T2347" s="1643"/>
      <c r="U2347" s="1644"/>
      <c r="V2347" s="1643"/>
      <c r="W2347" s="1644"/>
      <c r="X2347" s="1643"/>
      <c r="Y2347" s="1644"/>
    </row>
    <row r="2348" spans="1:26" hidden="1">
      <c r="A2348" s="1900" t="s">
        <v>944</v>
      </c>
      <c r="B2348" s="1900"/>
      <c r="C2348" s="528"/>
      <c r="D2348" s="528"/>
      <c r="F2348" s="2000">
        <v>0.88</v>
      </c>
      <c r="G2348" s="1991"/>
      <c r="H2348" s="1644">
        <f>ROUND($F2348*C2348,0)</f>
        <v>0</v>
      </c>
      <c r="I2348" s="1644">
        <f>ROUND($F2348*D2348,0)</f>
        <v>0</v>
      </c>
      <c r="K2348" s="2000"/>
      <c r="L2348" s="1991"/>
      <c r="M2348" s="2000"/>
      <c r="N2348" s="1991"/>
      <c r="O2348" s="2000"/>
      <c r="P2348" s="1991"/>
      <c r="Q2348" s="2000"/>
      <c r="R2348" s="1991"/>
      <c r="S2348" s="1644"/>
      <c r="T2348" s="1643"/>
      <c r="U2348" s="1644"/>
      <c r="V2348" s="1643"/>
      <c r="W2348" s="1644"/>
      <c r="X2348" s="1643"/>
      <c r="Y2348" s="1644"/>
    </row>
    <row r="2349" spans="1:26" hidden="1">
      <c r="A2349" s="1900" t="s">
        <v>945</v>
      </c>
      <c r="B2349" s="1900"/>
      <c r="C2349" s="528"/>
      <c r="D2349" s="528"/>
      <c r="F2349" s="2000">
        <v>0.62</v>
      </c>
      <c r="G2349" s="1991"/>
      <c r="H2349" s="1644">
        <f>ROUND($F2349*C2349,0)</f>
        <v>0</v>
      </c>
      <c r="I2349" s="1644">
        <f>ROUND($F2349*D2349,0)</f>
        <v>0</v>
      </c>
      <c r="K2349" s="2000"/>
      <c r="L2349" s="1991"/>
      <c r="M2349" s="2000"/>
      <c r="N2349" s="1991"/>
      <c r="O2349" s="2000"/>
      <c r="P2349" s="1991"/>
      <c r="Q2349" s="2000"/>
      <c r="R2349" s="1991"/>
      <c r="S2349" s="1644"/>
      <c r="T2349" s="1643"/>
      <c r="U2349" s="1644"/>
      <c r="V2349" s="1643"/>
      <c r="W2349" s="1644"/>
      <c r="X2349" s="1643"/>
      <c r="Y2349" s="1644"/>
    </row>
    <row r="2350" spans="1:26" hidden="1">
      <c r="A2350" s="1900" t="s">
        <v>316</v>
      </c>
      <c r="B2350" s="1900"/>
      <c r="C2350" s="528"/>
      <c r="D2350" s="528"/>
      <c r="F2350" s="2001"/>
      <c r="G2350" s="1992"/>
      <c r="H2350" s="1644"/>
      <c r="I2350" s="1644"/>
      <c r="K2350" s="2001"/>
      <c r="L2350" s="1992"/>
      <c r="M2350" s="2001"/>
      <c r="N2350" s="1992"/>
      <c r="O2350" s="2001"/>
      <c r="P2350" s="1992"/>
      <c r="Q2350" s="2001"/>
      <c r="R2350" s="1992"/>
      <c r="S2350" s="1644"/>
      <c r="T2350" s="1645"/>
      <c r="U2350" s="1644"/>
      <c r="V2350" s="1645"/>
      <c r="W2350" s="1644"/>
      <c r="X2350" s="1645"/>
      <c r="Y2350" s="1644"/>
    </row>
    <row r="2351" spans="1:26" hidden="1">
      <c r="A2351" s="1900" t="s">
        <v>944</v>
      </c>
      <c r="B2351" s="1900"/>
      <c r="C2351" s="528"/>
      <c r="D2351" s="528"/>
      <c r="F2351" s="2001">
        <v>0.44</v>
      </c>
      <c r="G2351" s="1992"/>
      <c r="H2351" s="1644">
        <f>ROUND($F2351*C2351,0)</f>
        <v>0</v>
      </c>
      <c r="I2351" s="1644">
        <f>ROUND($F2351*D2351,0)</f>
        <v>0</v>
      </c>
      <c r="K2351" s="2001"/>
      <c r="L2351" s="1992"/>
      <c r="M2351" s="2001"/>
      <c r="N2351" s="1992"/>
      <c r="O2351" s="2001"/>
      <c r="P2351" s="1992"/>
      <c r="Q2351" s="2001"/>
      <c r="R2351" s="1992"/>
      <c r="S2351" s="1644"/>
      <c r="T2351" s="1645"/>
      <c r="U2351" s="1644"/>
      <c r="V2351" s="1645"/>
      <c r="W2351" s="1644"/>
      <c r="X2351" s="1645"/>
      <c r="Y2351" s="1644"/>
    </row>
    <row r="2352" spans="1:26" hidden="1">
      <c r="A2352" s="1900" t="s">
        <v>945</v>
      </c>
      <c r="B2352" s="1900"/>
      <c r="C2352" s="528"/>
      <c r="D2352" s="528"/>
      <c r="F2352" s="2001">
        <v>0.31</v>
      </c>
      <c r="G2352" s="1992"/>
      <c r="H2352" s="1644">
        <f>ROUND($F2352*C2352,0)</f>
        <v>0</v>
      </c>
      <c r="I2352" s="1644">
        <f>ROUND($F2352*D2352,0)</f>
        <v>0</v>
      </c>
      <c r="K2352" s="2001"/>
      <c r="L2352" s="1992"/>
      <c r="M2352" s="2001"/>
      <c r="N2352" s="1992"/>
      <c r="O2352" s="2001"/>
      <c r="P2352" s="1992"/>
      <c r="Q2352" s="2001"/>
      <c r="R2352" s="1992"/>
      <c r="S2352" s="1644"/>
      <c r="T2352" s="1645"/>
      <c r="U2352" s="1644"/>
      <c r="V2352" s="1645"/>
      <c r="W2352" s="1644"/>
      <c r="X2352" s="1645"/>
      <c r="Y2352" s="1644"/>
    </row>
    <row r="2353" spans="1:26" hidden="1">
      <c r="A2353" s="1900" t="s">
        <v>317</v>
      </c>
      <c r="B2353" s="1900"/>
      <c r="C2353" s="528"/>
      <c r="D2353" s="528"/>
      <c r="F2353" s="2000"/>
      <c r="G2353" s="1902"/>
      <c r="H2353" s="1644"/>
      <c r="I2353" s="1644"/>
      <c r="K2353" s="2000"/>
      <c r="L2353" s="1902"/>
      <c r="M2353" s="2000"/>
      <c r="N2353" s="1902"/>
      <c r="O2353" s="2000"/>
      <c r="P2353" s="1902"/>
      <c r="Q2353" s="2000"/>
      <c r="R2353" s="1902"/>
      <c r="S2353" s="1644"/>
      <c r="T2353" s="1643"/>
      <c r="U2353" s="1644"/>
      <c r="V2353" s="1643"/>
      <c r="W2353" s="1644"/>
      <c r="X2353" s="1643"/>
      <c r="Y2353" s="1644"/>
    </row>
    <row r="2354" spans="1:26" hidden="1">
      <c r="A2354" s="1900" t="s">
        <v>944</v>
      </c>
      <c r="B2354" s="1900"/>
      <c r="C2354" s="528"/>
      <c r="D2354" s="528"/>
      <c r="F2354" s="2000">
        <v>40.81</v>
      </c>
      <c r="G2354" s="1902"/>
      <c r="H2354" s="1644">
        <f>ROUND($F2354*C2354,0)</f>
        <v>0</v>
      </c>
      <c r="I2354" s="1644">
        <f>ROUND($F2354*D2354,0)</f>
        <v>0</v>
      </c>
      <c r="K2354" s="2000"/>
      <c r="L2354" s="1902"/>
      <c r="M2354" s="2000"/>
      <c r="N2354" s="1902"/>
      <c r="O2354" s="2000"/>
      <c r="P2354" s="1902"/>
      <c r="Q2354" s="2000"/>
      <c r="R2354" s="1902"/>
      <c r="S2354" s="1644"/>
      <c r="T2354" s="1643"/>
      <c r="U2354" s="1644"/>
      <c r="V2354" s="1643"/>
      <c r="W2354" s="1644"/>
      <c r="X2354" s="1643"/>
      <c r="Y2354" s="1644"/>
    </row>
    <row r="2355" spans="1:26" hidden="1">
      <c r="A2355" s="1900" t="s">
        <v>945</v>
      </c>
      <c r="B2355" s="1900"/>
      <c r="C2355" s="528"/>
      <c r="D2355" s="528"/>
      <c r="F2355" s="2000">
        <v>32.04</v>
      </c>
      <c r="G2355" s="1902"/>
      <c r="H2355" s="1644">
        <f>ROUND($F2355*C2355,0)</f>
        <v>0</v>
      </c>
      <c r="I2355" s="1644">
        <f>ROUND($F2355*D2355,0)</f>
        <v>0</v>
      </c>
      <c r="K2355" s="2000"/>
      <c r="L2355" s="1902"/>
      <c r="M2355" s="2000"/>
      <c r="N2355" s="1902"/>
      <c r="O2355" s="2000"/>
      <c r="P2355" s="1902"/>
      <c r="Q2355" s="2000"/>
      <c r="R2355" s="1902"/>
      <c r="S2355" s="1644"/>
      <c r="T2355" s="1643"/>
      <c r="U2355" s="1644"/>
      <c r="V2355" s="1643"/>
      <c r="W2355" s="1644"/>
      <c r="X2355" s="1643"/>
      <c r="Y2355" s="1644"/>
    </row>
    <row r="2356" spans="1:26" hidden="1">
      <c r="A2356" s="1987" t="s">
        <v>183</v>
      </c>
      <c r="C2356" s="528"/>
      <c r="D2356" s="528"/>
      <c r="F2356" s="2002"/>
      <c r="K2356" s="2002"/>
      <c r="M2356" s="2002"/>
      <c r="O2356" s="2002"/>
      <c r="Q2356" s="2002"/>
      <c r="S2356" s="1638"/>
      <c r="U2356" s="1638"/>
      <c r="W2356" s="1638"/>
    </row>
    <row r="2357" spans="1:26" hidden="1">
      <c r="A2357" s="1900" t="s">
        <v>312</v>
      </c>
      <c r="C2357" s="528">
        <f>'31'!I2</f>
        <v>24</v>
      </c>
      <c r="D2357" s="528">
        <f>ROUND(C2357/(C2357+C2379)*Bill!P42,0)</f>
        <v>25</v>
      </c>
      <c r="F2357" s="2000">
        <v>605</v>
      </c>
      <c r="G2357" s="1902"/>
      <c r="H2357" s="1644">
        <f>ROUND($F2357*C2357,0)</f>
        <v>14520</v>
      </c>
      <c r="I2357" s="1644">
        <f>ROUND($F2357*D2357,0)</f>
        <v>15125</v>
      </c>
      <c r="K2357" s="2000">
        <f t="shared" ref="K2357" si="2601">K2253</f>
        <v>627</v>
      </c>
      <c r="L2357" s="1902"/>
      <c r="M2357" s="2000">
        <f t="shared" ref="M2357" si="2602">M2253</f>
        <v>0</v>
      </c>
      <c r="N2357" s="1902"/>
      <c r="O2357" s="2000">
        <f t="shared" ref="O2357" si="2603">O2253</f>
        <v>0</v>
      </c>
      <c r="P2357" s="1902"/>
      <c r="Q2357" s="2000">
        <f t="shared" ref="Q2357:Q2358" si="2604">Q2253</f>
        <v>627</v>
      </c>
      <c r="R2357" s="1902"/>
      <c r="S2357" s="1644">
        <f>ROUND($D2357*K2357,0)</f>
        <v>15675</v>
      </c>
      <c r="T2357" s="1643"/>
      <c r="U2357" s="1644">
        <f>ROUND($D2357*M2357,0)</f>
        <v>0</v>
      </c>
      <c r="V2357" s="1643"/>
      <c r="W2357" s="1644">
        <f>ROUND($D2357*O2357,0)</f>
        <v>0</v>
      </c>
      <c r="X2357" s="1643"/>
      <c r="Y2357" s="1644">
        <f>ROUND($D2357*Q2357,0)</f>
        <v>15675</v>
      </c>
    </row>
    <row r="2358" spans="1:26" hidden="1">
      <c r="A2358" s="1900" t="s">
        <v>313</v>
      </c>
      <c r="C2358" s="528">
        <f>'31'!J2</f>
        <v>36600</v>
      </c>
      <c r="D2358" s="528">
        <f>ROUND(C2358/$C$2435*$D$2435,0)</f>
        <v>34929</v>
      </c>
      <c r="F2358" s="2000">
        <v>4.46</v>
      </c>
      <c r="G2358" s="1902"/>
      <c r="H2358" s="1644">
        <f>ROUND($F2358*C2358,0)</f>
        <v>163236</v>
      </c>
      <c r="I2358" s="1644">
        <f>ROUND($F2358*D2358,0)</f>
        <v>155783</v>
      </c>
      <c r="K2358" s="2000">
        <f t="shared" ref="K2358" si="2605">K2254</f>
        <v>4.63</v>
      </c>
      <c r="L2358" s="1902"/>
      <c r="M2358" s="2000">
        <f t="shared" ref="M2358" si="2606">M2254</f>
        <v>0</v>
      </c>
      <c r="N2358" s="1902"/>
      <c r="O2358" s="2000">
        <f t="shared" ref="O2358" si="2607">O2254</f>
        <v>0</v>
      </c>
      <c r="P2358" s="1902"/>
      <c r="Q2358" s="2000">
        <f t="shared" si="2604"/>
        <v>4.63</v>
      </c>
      <c r="R2358" s="1902"/>
      <c r="S2358" s="1644">
        <f>ROUND($D2358*K2358,0)</f>
        <v>161721</v>
      </c>
      <c r="T2358" s="1643"/>
      <c r="U2358" s="1644">
        <f>ROUND($D2358*M2358,0)</f>
        <v>0</v>
      </c>
      <c r="V2358" s="1643"/>
      <c r="W2358" s="1644">
        <f>ROUND($D2358*O2358,0)</f>
        <v>0</v>
      </c>
      <c r="X2358" s="1643"/>
      <c r="Y2358" s="1644">
        <f>ROUND($D2358*Q2358,0)</f>
        <v>161721</v>
      </c>
    </row>
    <row r="2359" spans="1:26" hidden="1">
      <c r="A2359" s="1900" t="s">
        <v>314</v>
      </c>
      <c r="C2359" s="528"/>
      <c r="D2359" s="528"/>
      <c r="F2359" s="2000"/>
      <c r="G2359" s="1902"/>
      <c r="H2359" s="1644"/>
      <c r="I2359" s="1644"/>
      <c r="K2359" s="2000"/>
      <c r="L2359" s="1902"/>
      <c r="M2359" s="2000"/>
      <c r="N2359" s="1902"/>
      <c r="O2359" s="2000"/>
      <c r="P2359" s="1902"/>
      <c r="Q2359" s="2000"/>
      <c r="R2359" s="1902"/>
      <c r="S2359" s="1644"/>
      <c r="T2359" s="1643"/>
      <c r="U2359" s="1644"/>
      <c r="V2359" s="1643"/>
      <c r="W2359" s="1644"/>
      <c r="X2359" s="1643"/>
      <c r="Y2359" s="1644"/>
    </row>
    <row r="2360" spans="1:26" hidden="1">
      <c r="A2360" s="1900" t="s">
        <v>315</v>
      </c>
      <c r="C2360" s="528"/>
      <c r="D2360" s="528"/>
      <c r="F2360" s="2000"/>
      <c r="G2360" s="1991"/>
      <c r="H2360" s="1644"/>
      <c r="I2360" s="1644"/>
      <c r="K2360" s="2000"/>
      <c r="L2360" s="1991"/>
      <c r="M2360" s="2000"/>
      <c r="N2360" s="1991"/>
      <c r="O2360" s="2000"/>
      <c r="P2360" s="1991"/>
      <c r="Q2360" s="2000"/>
      <c r="R2360" s="1991"/>
      <c r="S2360" s="1644"/>
      <c r="T2360" s="1643"/>
      <c r="U2360" s="1644"/>
      <c r="V2360" s="1643"/>
      <c r="W2360" s="1644"/>
      <c r="X2360" s="1643"/>
      <c r="Y2360" s="1644"/>
      <c r="Z2360" s="1878" t="s">
        <v>251</v>
      </c>
    </row>
    <row r="2361" spans="1:26" hidden="1">
      <c r="A2361" s="1900" t="s">
        <v>1668</v>
      </c>
      <c r="C2361" s="528">
        <f>C2370*Z2361</f>
        <v>70696.650348096649</v>
      </c>
      <c r="D2361" s="528">
        <f>ROUND(C2361/$C$2435*$D$2435,0)</f>
        <v>67470</v>
      </c>
      <c r="F2361" s="2000"/>
      <c r="G2361" s="1991"/>
      <c r="H2361" s="1644"/>
      <c r="I2361" s="1644"/>
      <c r="K2361" s="2000">
        <f t="shared" ref="K2361" si="2608">K2257</f>
        <v>0.41</v>
      </c>
      <c r="L2361" s="1991"/>
      <c r="M2361" s="2000">
        <f t="shared" ref="M2361" si="2609">M2257</f>
        <v>0.48000000000000004</v>
      </c>
      <c r="N2361" s="1991"/>
      <c r="O2361" s="2000">
        <f t="shared" ref="O2361" si="2610">O2257</f>
        <v>0</v>
      </c>
      <c r="P2361" s="1991"/>
      <c r="Q2361" s="2000">
        <f t="shared" ref="Q2361:Q2362" si="2611">Q2257</f>
        <v>0.89</v>
      </c>
      <c r="R2361" s="1991"/>
      <c r="S2361" s="1644">
        <f t="shared" ref="S2361:S2362" si="2612">ROUND($D2361*K2361,0)</f>
        <v>27663</v>
      </c>
      <c r="T2361" s="1643"/>
      <c r="U2361" s="1644">
        <f t="shared" ref="U2361:Y2362" si="2613">ROUND($D2361*M2361,0)</f>
        <v>32386</v>
      </c>
      <c r="V2361" s="1643"/>
      <c r="W2361" s="1644">
        <f t="shared" si="2613"/>
        <v>0</v>
      </c>
      <c r="X2361" s="1643"/>
      <c r="Y2361" s="1644">
        <f t="shared" si="2613"/>
        <v>60048</v>
      </c>
      <c r="Z2361" s="1878">
        <f>Z2339</f>
        <v>0.81143000192935111</v>
      </c>
    </row>
    <row r="2362" spans="1:26" hidden="1">
      <c r="A2362" s="1900" t="s">
        <v>1669</v>
      </c>
      <c r="C2362" s="528">
        <f>C2371*Z2362</f>
        <v>49579.034602910964</v>
      </c>
      <c r="D2362" s="528">
        <f>ROUND(C2362/$C$2435*$D$2435,0)</f>
        <v>47316</v>
      </c>
      <c r="F2362" s="2000"/>
      <c r="G2362" s="1991"/>
      <c r="H2362" s="1644"/>
      <c r="I2362" s="1644"/>
      <c r="K2362" s="2000">
        <f t="shared" ref="K2362" si="2614">K2258</f>
        <v>0.36</v>
      </c>
      <c r="L2362" s="1991"/>
      <c r="M2362" s="2000">
        <f t="shared" ref="M2362" si="2615">M2258</f>
        <v>0.43000000000000005</v>
      </c>
      <c r="N2362" s="1991"/>
      <c r="O2362" s="2000">
        <f t="shared" ref="O2362" si="2616">O2258</f>
        <v>0</v>
      </c>
      <c r="P2362" s="1991"/>
      <c r="Q2362" s="2000">
        <f t="shared" si="2611"/>
        <v>0.79</v>
      </c>
      <c r="R2362" s="1991"/>
      <c r="S2362" s="1644">
        <f t="shared" si="2612"/>
        <v>17034</v>
      </c>
      <c r="T2362" s="1643"/>
      <c r="U2362" s="1644">
        <f t="shared" si="2613"/>
        <v>20346</v>
      </c>
      <c r="V2362" s="1643"/>
      <c r="W2362" s="1644">
        <f t="shared" si="2613"/>
        <v>0</v>
      </c>
      <c r="X2362" s="1643"/>
      <c r="Y2362" s="1644">
        <f t="shared" si="2613"/>
        <v>37380</v>
      </c>
      <c r="Z2362" s="1878">
        <f>Z2340</f>
        <v>1.1359353572586484</v>
      </c>
    </row>
    <row r="2363" spans="1:26" hidden="1">
      <c r="A2363" s="1900" t="s">
        <v>316</v>
      </c>
      <c r="C2363" s="528"/>
      <c r="D2363" s="528"/>
      <c r="F2363" s="2001"/>
      <c r="G2363" s="1992"/>
      <c r="H2363" s="1644"/>
      <c r="I2363" s="1644"/>
      <c r="K2363" s="2001"/>
      <c r="L2363" s="1992"/>
      <c r="M2363" s="2001"/>
      <c r="N2363" s="1992"/>
      <c r="O2363" s="2001"/>
      <c r="P2363" s="1992"/>
      <c r="Q2363" s="2001"/>
      <c r="R2363" s="1992"/>
      <c r="S2363" s="1644"/>
      <c r="T2363" s="1645"/>
      <c r="U2363" s="1644"/>
      <c r="V2363" s="1645"/>
      <c r="W2363" s="1644"/>
      <c r="X2363" s="1645"/>
      <c r="Y2363" s="1644"/>
    </row>
    <row r="2364" spans="1:26" hidden="1">
      <c r="A2364" s="1900" t="s">
        <v>1668</v>
      </c>
      <c r="C2364" s="528">
        <f>C2373*Z2364</f>
        <v>1582.2885037622348</v>
      </c>
      <c r="D2364" s="528">
        <f>ROUND(C2364/$C$2435*$D$2435,0)</f>
        <v>1510</v>
      </c>
      <c r="F2364" s="2001"/>
      <c r="G2364" s="1992"/>
      <c r="H2364" s="1644"/>
      <c r="I2364" s="1644"/>
      <c r="K2364" s="2001">
        <f t="shared" ref="K2364" si="2617">K2260</f>
        <v>0.21</v>
      </c>
      <c r="L2364" s="1992"/>
      <c r="M2364" s="2001">
        <f t="shared" ref="M2364" si="2618">M2260</f>
        <v>0.24000000000000002</v>
      </c>
      <c r="N2364" s="1992"/>
      <c r="O2364" s="2001">
        <f t="shared" ref="O2364" si="2619">O2260</f>
        <v>0</v>
      </c>
      <c r="P2364" s="1992"/>
      <c r="Q2364" s="2001">
        <f t="shared" ref="Q2364:Q2365" si="2620">Q2260</f>
        <v>0.45</v>
      </c>
      <c r="R2364" s="1992"/>
      <c r="S2364" s="1644">
        <f t="shared" ref="S2364:S2365" si="2621">ROUND($D2364*K2364,0)</f>
        <v>317</v>
      </c>
      <c r="T2364" s="1645"/>
      <c r="U2364" s="1644">
        <f t="shared" ref="U2364:Y2365" si="2622">ROUND($D2364*M2364,0)</f>
        <v>362</v>
      </c>
      <c r="V2364" s="1645"/>
      <c r="W2364" s="1644">
        <f t="shared" si="2622"/>
        <v>0</v>
      </c>
      <c r="X2364" s="1645"/>
      <c r="Y2364" s="1644">
        <f t="shared" si="2622"/>
        <v>680</v>
      </c>
      <c r="Z2364" s="1878">
        <f t="shared" ref="Z2364:Z2365" si="2623">Z2342</f>
        <v>0.81143000192935111</v>
      </c>
    </row>
    <row r="2365" spans="1:26" hidden="1">
      <c r="A2365" s="1900" t="s">
        <v>1669</v>
      </c>
      <c r="C2365" s="528">
        <f>C2374*Z2365</f>
        <v>0</v>
      </c>
      <c r="D2365" s="528">
        <f>ROUND(C2365/$C$2435*$D$2435,0)</f>
        <v>0</v>
      </c>
      <c r="F2365" s="2001"/>
      <c r="G2365" s="1992"/>
      <c r="H2365" s="1644"/>
      <c r="I2365" s="1644"/>
      <c r="K2365" s="2001">
        <f t="shared" ref="K2365" si="2624">K2261</f>
        <v>0.18</v>
      </c>
      <c r="L2365" s="1992"/>
      <c r="M2365" s="2001">
        <f t="shared" ref="M2365" si="2625">M2261</f>
        <v>0.22000000000000003</v>
      </c>
      <c r="N2365" s="1992"/>
      <c r="O2365" s="2001">
        <f t="shared" ref="O2365" si="2626">O2261</f>
        <v>0</v>
      </c>
      <c r="P2365" s="1992"/>
      <c r="Q2365" s="2001">
        <f t="shared" si="2620"/>
        <v>0.4</v>
      </c>
      <c r="R2365" s="1992"/>
      <c r="S2365" s="1644">
        <f t="shared" si="2621"/>
        <v>0</v>
      </c>
      <c r="T2365" s="1645"/>
      <c r="U2365" s="1644">
        <f t="shared" si="2622"/>
        <v>0</v>
      </c>
      <c r="V2365" s="1645"/>
      <c r="W2365" s="1644">
        <f t="shared" si="2622"/>
        <v>0</v>
      </c>
      <c r="X2365" s="1645"/>
      <c r="Y2365" s="1644">
        <f t="shared" si="2622"/>
        <v>0</v>
      </c>
      <c r="Z2365" s="1878">
        <f t="shared" si="2623"/>
        <v>1.1359353572586484</v>
      </c>
    </row>
    <row r="2366" spans="1:26" hidden="1">
      <c r="A2366" s="1900" t="s">
        <v>317</v>
      </c>
      <c r="C2366" s="528"/>
      <c r="D2366" s="528"/>
      <c r="F2366" s="2000"/>
      <c r="G2366" s="1902"/>
      <c r="H2366" s="1644"/>
      <c r="I2366" s="1644"/>
      <c r="K2366" s="2000"/>
      <c r="L2366" s="1902"/>
      <c r="M2366" s="2000"/>
      <c r="N2366" s="1902"/>
      <c r="O2366" s="2000"/>
      <c r="P2366" s="1902"/>
      <c r="Q2366" s="2000"/>
      <c r="R2366" s="1902"/>
      <c r="S2366" s="1644"/>
      <c r="T2366" s="1643"/>
      <c r="U2366" s="1644"/>
      <c r="V2366" s="1643"/>
      <c r="W2366" s="1644"/>
      <c r="X2366" s="1643"/>
      <c r="Y2366" s="1644"/>
    </row>
    <row r="2367" spans="1:26" hidden="1">
      <c r="A2367" s="1900" t="s">
        <v>1668</v>
      </c>
      <c r="C2367" s="528">
        <f>C2376*Z2367</f>
        <v>148.49169035307125</v>
      </c>
      <c r="D2367" s="528">
        <f>ROUND(C2367/$C$2435*$D$2435,0)</f>
        <v>142</v>
      </c>
      <c r="F2367" s="2000"/>
      <c r="G2367" s="1902"/>
      <c r="H2367" s="1644"/>
      <c r="I2367" s="1644"/>
      <c r="K2367" s="2000">
        <f t="shared" ref="K2367" si="2627">K2263</f>
        <v>18.41</v>
      </c>
      <c r="L2367" s="1902"/>
      <c r="M2367" s="2000">
        <f t="shared" ref="M2367" si="2628">M2263</f>
        <v>21.56</v>
      </c>
      <c r="N2367" s="1902"/>
      <c r="O2367" s="2000">
        <f t="shared" ref="O2367" si="2629">O2263</f>
        <v>0</v>
      </c>
      <c r="P2367" s="1902"/>
      <c r="Q2367" s="2000">
        <f t="shared" ref="Q2367:Q2368" si="2630">Q2263</f>
        <v>39.97</v>
      </c>
      <c r="R2367" s="1902"/>
      <c r="S2367" s="1644">
        <f t="shared" ref="S2367:S2368" si="2631">ROUND($D2367*K2367,0)</f>
        <v>2614</v>
      </c>
      <c r="T2367" s="1643"/>
      <c r="U2367" s="1644">
        <f t="shared" ref="U2367:Y2368" si="2632">ROUND($D2367*M2367,0)</f>
        <v>3062</v>
      </c>
      <c r="V2367" s="1643"/>
      <c r="W2367" s="1644">
        <f t="shared" si="2632"/>
        <v>0</v>
      </c>
      <c r="X2367" s="1643"/>
      <c r="Y2367" s="1644">
        <f t="shared" si="2632"/>
        <v>5676</v>
      </c>
      <c r="Z2367" s="1878">
        <f t="shared" ref="Z2367:Z2368" si="2633">Z2345</f>
        <v>0.81143000192935111</v>
      </c>
    </row>
    <row r="2368" spans="1:26" hidden="1">
      <c r="A2368" s="1900" t="s">
        <v>1669</v>
      </c>
      <c r="C2368" s="528">
        <f>C2377*Z2368</f>
        <v>686.10495578422365</v>
      </c>
      <c r="D2368" s="528">
        <f>ROUND(C2368/$C$2435*$D$2435,0)</f>
        <v>655</v>
      </c>
      <c r="F2368" s="2000"/>
      <c r="G2368" s="1902"/>
      <c r="H2368" s="1644"/>
      <c r="I2368" s="1644"/>
      <c r="K2368" s="2000">
        <f t="shared" ref="K2368" si="2634">K2264</f>
        <v>16.12</v>
      </c>
      <c r="L2368" s="1902"/>
      <c r="M2368" s="2000">
        <f t="shared" ref="M2368" si="2635">M2264</f>
        <v>19.249999999999996</v>
      </c>
      <c r="N2368" s="1902"/>
      <c r="O2368" s="2000">
        <f t="shared" ref="O2368" si="2636">O2264</f>
        <v>0</v>
      </c>
      <c r="P2368" s="1902"/>
      <c r="Q2368" s="2000">
        <f t="shared" si="2630"/>
        <v>35.369999999999997</v>
      </c>
      <c r="R2368" s="1902"/>
      <c r="S2368" s="1644">
        <f t="shared" si="2631"/>
        <v>10559</v>
      </c>
      <c r="T2368" s="1643"/>
      <c r="U2368" s="1644">
        <f t="shared" si="2632"/>
        <v>12609</v>
      </c>
      <c r="V2368" s="1643"/>
      <c r="W2368" s="1644">
        <f t="shared" si="2632"/>
        <v>0</v>
      </c>
      <c r="X2368" s="1643"/>
      <c r="Y2368" s="1644">
        <f t="shared" si="2632"/>
        <v>23167</v>
      </c>
      <c r="Z2368" s="1878">
        <f t="shared" si="2633"/>
        <v>1.1359353572586484</v>
      </c>
    </row>
    <row r="2369" spans="1:26" hidden="1">
      <c r="A2369" s="1900" t="s">
        <v>315</v>
      </c>
      <c r="C2369" s="528"/>
      <c r="D2369" s="528"/>
      <c r="F2369" s="2000"/>
      <c r="G2369" s="1991"/>
      <c r="H2369" s="1644"/>
      <c r="I2369" s="1644"/>
      <c r="K2369" s="2000"/>
      <c r="L2369" s="1991"/>
      <c r="M2369" s="2000"/>
      <c r="N2369" s="1991"/>
      <c r="O2369" s="2000"/>
      <c r="P2369" s="1991"/>
      <c r="Q2369" s="2000"/>
      <c r="R2369" s="1991"/>
      <c r="S2369" s="1644"/>
      <c r="T2369" s="1643"/>
      <c r="U2369" s="1644"/>
      <c r="V2369" s="1643"/>
      <c r="W2369" s="1644"/>
      <c r="X2369" s="1643"/>
      <c r="Y2369" s="1644"/>
    </row>
    <row r="2370" spans="1:26" hidden="1">
      <c r="A2370" s="1900" t="s">
        <v>944</v>
      </c>
      <c r="C2370" s="528">
        <f>'31'!N2</f>
        <v>87126</v>
      </c>
      <c r="D2370" s="528">
        <f>ROUND(C2370/$C$2435*$D$2435,0)</f>
        <v>83149</v>
      </c>
      <c r="F2370" s="2000">
        <v>0.86</v>
      </c>
      <c r="G2370" s="1991"/>
      <c r="H2370" s="1644">
        <f>ROUND($F2370*C2370,0)</f>
        <v>74928</v>
      </c>
      <c r="I2370" s="1644">
        <f>ROUND($F2370*D2370,0)</f>
        <v>71508</v>
      </c>
      <c r="K2370" s="2000"/>
      <c r="L2370" s="1991"/>
      <c r="M2370" s="2000"/>
      <c r="N2370" s="1991"/>
      <c r="O2370" s="2000"/>
      <c r="P2370" s="1991"/>
      <c r="Q2370" s="2000"/>
      <c r="R2370" s="1991"/>
      <c r="S2370" s="1644"/>
      <c r="T2370" s="1643"/>
      <c r="U2370" s="1644"/>
      <c r="V2370" s="1643"/>
      <c r="W2370" s="1644"/>
      <c r="X2370" s="1643"/>
      <c r="Y2370" s="1644"/>
    </row>
    <row r="2371" spans="1:26" hidden="1">
      <c r="A2371" s="1900" t="s">
        <v>945</v>
      </c>
      <c r="C2371" s="528">
        <f>'31'!O2</f>
        <v>43646</v>
      </c>
      <c r="D2371" s="528">
        <f>ROUND(C2371/$C$2435*$D$2435,0)</f>
        <v>41654</v>
      </c>
      <c r="F2371" s="2000">
        <v>0.6</v>
      </c>
      <c r="G2371" s="1991"/>
      <c r="H2371" s="1644">
        <f>ROUND($F2371*C2371,0)</f>
        <v>26188</v>
      </c>
      <c r="I2371" s="1644">
        <f>ROUND($F2371*D2371,0)</f>
        <v>24992</v>
      </c>
      <c r="K2371" s="2000"/>
      <c r="L2371" s="1991"/>
      <c r="M2371" s="2000"/>
      <c r="N2371" s="1991"/>
      <c r="O2371" s="2000"/>
      <c r="P2371" s="1991"/>
      <c r="Q2371" s="2000"/>
      <c r="R2371" s="1991"/>
      <c r="S2371" s="1644"/>
      <c r="T2371" s="1643"/>
      <c r="U2371" s="1644"/>
      <c r="V2371" s="1643"/>
      <c r="W2371" s="1644"/>
      <c r="X2371" s="1643"/>
      <c r="Y2371" s="1644"/>
    </row>
    <row r="2372" spans="1:26" hidden="1">
      <c r="A2372" s="1900" t="s">
        <v>316</v>
      </c>
      <c r="C2372" s="528"/>
      <c r="D2372" s="528"/>
      <c r="F2372" s="2001"/>
      <c r="G2372" s="1992"/>
      <c r="H2372" s="1644"/>
      <c r="I2372" s="1644"/>
      <c r="K2372" s="2001"/>
      <c r="L2372" s="1992"/>
      <c r="M2372" s="2001"/>
      <c r="N2372" s="1992"/>
      <c r="O2372" s="2001"/>
      <c r="P2372" s="1992"/>
      <c r="Q2372" s="2001"/>
      <c r="R2372" s="1992"/>
      <c r="S2372" s="1644"/>
      <c r="T2372" s="1645"/>
      <c r="U2372" s="1644"/>
      <c r="V2372" s="1645"/>
      <c r="W2372" s="1644"/>
      <c r="X2372" s="1645"/>
      <c r="Y2372" s="1644"/>
    </row>
    <row r="2373" spans="1:26" hidden="1">
      <c r="A2373" s="1900" t="s">
        <v>944</v>
      </c>
      <c r="C2373" s="528">
        <f>'31'!Q2</f>
        <v>1950</v>
      </c>
      <c r="D2373" s="528">
        <f>ROUND(C2373/$C$2435*$D$2435,0)</f>
        <v>1861</v>
      </c>
      <c r="F2373" s="2001">
        <v>0.43</v>
      </c>
      <c r="G2373" s="1992"/>
      <c r="H2373" s="1644">
        <f>ROUND($F2373*C2373,0)</f>
        <v>839</v>
      </c>
      <c r="I2373" s="1644">
        <f>ROUND($F2373*D2373,0)</f>
        <v>800</v>
      </c>
      <c r="K2373" s="2001"/>
      <c r="L2373" s="1992"/>
      <c r="M2373" s="2001"/>
      <c r="N2373" s="1992"/>
      <c r="O2373" s="2001"/>
      <c r="P2373" s="1992"/>
      <c r="Q2373" s="2001"/>
      <c r="R2373" s="1992"/>
      <c r="S2373" s="1644"/>
      <c r="T2373" s="1645"/>
      <c r="U2373" s="1644"/>
      <c r="V2373" s="1645"/>
      <c r="W2373" s="1644"/>
      <c r="X2373" s="1645"/>
      <c r="Y2373" s="1644"/>
    </row>
    <row r="2374" spans="1:26" hidden="1">
      <c r="A2374" s="1900" t="s">
        <v>945</v>
      </c>
      <c r="C2374" s="528">
        <f>'31'!R2</f>
        <v>0</v>
      </c>
      <c r="D2374" s="528">
        <f>ROUND(C2374/$C$2435*$D$2435,0)</f>
        <v>0</v>
      </c>
      <c r="F2374" s="2001">
        <v>0.3</v>
      </c>
      <c r="G2374" s="1992"/>
      <c r="H2374" s="1644">
        <f>ROUND($F2374*C2374,0)</f>
        <v>0</v>
      </c>
      <c r="I2374" s="1644">
        <f>ROUND($F2374*D2374,0)</f>
        <v>0</v>
      </c>
      <c r="K2374" s="2001"/>
      <c r="L2374" s="1992"/>
      <c r="M2374" s="2001"/>
      <c r="N2374" s="1992"/>
      <c r="O2374" s="2001"/>
      <c r="P2374" s="1992"/>
      <c r="Q2374" s="2001"/>
      <c r="R2374" s="1992"/>
      <c r="S2374" s="1644"/>
      <c r="T2374" s="1645"/>
      <c r="U2374" s="1644"/>
      <c r="V2374" s="1645"/>
      <c r="W2374" s="1644"/>
      <c r="X2374" s="1645"/>
      <c r="Y2374" s="1644"/>
    </row>
    <row r="2375" spans="1:26" hidden="1">
      <c r="A2375" s="1900" t="s">
        <v>317</v>
      </c>
      <c r="C2375" s="528"/>
      <c r="D2375" s="528"/>
      <c r="F2375" s="2000"/>
      <c r="G2375" s="1902"/>
      <c r="H2375" s="1644"/>
      <c r="I2375" s="1644"/>
      <c r="K2375" s="2000"/>
      <c r="L2375" s="1902"/>
      <c r="M2375" s="2000"/>
      <c r="N2375" s="1902"/>
      <c r="O2375" s="2000"/>
      <c r="P2375" s="1902"/>
      <c r="Q2375" s="2000"/>
      <c r="R2375" s="1902"/>
      <c r="S2375" s="1644"/>
      <c r="T2375" s="1643"/>
      <c r="U2375" s="1644"/>
      <c r="V2375" s="1643"/>
      <c r="W2375" s="1644"/>
      <c r="X2375" s="1643"/>
      <c r="Y2375" s="1644"/>
    </row>
    <row r="2376" spans="1:26" hidden="1">
      <c r="A2376" s="1900" t="s">
        <v>944</v>
      </c>
      <c r="C2376" s="528">
        <f>'31'!T2</f>
        <v>183</v>
      </c>
      <c r="D2376" s="528">
        <f>ROUND(C2376/$C$2435*$D$2435,0)</f>
        <v>175</v>
      </c>
      <c r="F2376" s="2000">
        <v>38.54</v>
      </c>
      <c r="G2376" s="1902"/>
      <c r="H2376" s="1644">
        <f>ROUND($F2376*C2376,0)</f>
        <v>7053</v>
      </c>
      <c r="I2376" s="1644">
        <f>ROUND($F2376*D2376,0)</f>
        <v>6745</v>
      </c>
      <c r="K2376" s="2000"/>
      <c r="L2376" s="1902"/>
      <c r="M2376" s="2000"/>
      <c r="N2376" s="1902"/>
      <c r="O2376" s="2000"/>
      <c r="P2376" s="1902"/>
      <c r="Q2376" s="2000"/>
      <c r="R2376" s="1902"/>
      <c r="S2376" s="1644"/>
      <c r="T2376" s="1643"/>
      <c r="U2376" s="1644"/>
      <c r="V2376" s="1643"/>
      <c r="W2376" s="1644"/>
      <c r="X2376" s="1643"/>
      <c r="Y2376" s="1644"/>
    </row>
    <row r="2377" spans="1:26" hidden="1">
      <c r="A2377" s="1900" t="s">
        <v>945</v>
      </c>
      <c r="C2377" s="528">
        <f>'31'!U2</f>
        <v>604</v>
      </c>
      <c r="D2377" s="528">
        <f>ROUND(C2377/$C$2435*$D$2435,0)</f>
        <v>576</v>
      </c>
      <c r="F2377" s="2000">
        <v>29.77</v>
      </c>
      <c r="G2377" s="1902"/>
      <c r="H2377" s="1644">
        <f>ROUND($F2377*C2377,0)</f>
        <v>17981</v>
      </c>
      <c r="I2377" s="1644">
        <f>ROUND($F2377*D2377,0)</f>
        <v>17148</v>
      </c>
      <c r="K2377" s="2000"/>
      <c r="L2377" s="1902"/>
      <c r="M2377" s="2000"/>
      <c r="N2377" s="1902"/>
      <c r="O2377" s="2000"/>
      <c r="P2377" s="1902"/>
      <c r="Q2377" s="2000"/>
      <c r="R2377" s="1902"/>
      <c r="S2377" s="1644"/>
      <c r="T2377" s="1643"/>
      <c r="U2377" s="1644"/>
      <c r="V2377" s="1643"/>
      <c r="W2377" s="1644"/>
      <c r="X2377" s="1643"/>
      <c r="Y2377" s="1644"/>
    </row>
    <row r="2378" spans="1:26" hidden="1">
      <c r="A2378" s="1987" t="s">
        <v>182</v>
      </c>
      <c r="C2378" s="528"/>
      <c r="D2378" s="528"/>
      <c r="F2378" s="2002"/>
      <c r="K2378" s="2002"/>
      <c r="M2378" s="2002"/>
      <c r="O2378" s="2002"/>
      <c r="Q2378" s="2002"/>
      <c r="S2378" s="1638"/>
      <c r="U2378" s="1638"/>
      <c r="W2378" s="1638"/>
    </row>
    <row r="2379" spans="1:26" hidden="1">
      <c r="A2379" s="1900" t="s">
        <v>312</v>
      </c>
      <c r="C2379" s="528">
        <f>'31'!I3</f>
        <v>23</v>
      </c>
      <c r="D2379" s="528">
        <f>Bill!P42-'Blocking-Step2'!D2357</f>
        <v>23</v>
      </c>
      <c r="F2379" s="2000">
        <v>678</v>
      </c>
      <c r="G2379" s="1902"/>
      <c r="H2379" s="1644">
        <f>ROUND($F2379*C2379,0)</f>
        <v>15594</v>
      </c>
      <c r="I2379" s="1644">
        <f>ROUND($F2379*D2379,0)</f>
        <v>15594</v>
      </c>
      <c r="K2379" s="2000">
        <f t="shared" ref="K2379" si="2637">K2275</f>
        <v>703</v>
      </c>
      <c r="L2379" s="1902"/>
      <c r="M2379" s="2000">
        <f t="shared" ref="M2379" si="2638">M2275</f>
        <v>0</v>
      </c>
      <c r="N2379" s="1902"/>
      <c r="O2379" s="2000">
        <f t="shared" ref="O2379" si="2639">O2275</f>
        <v>0</v>
      </c>
      <c r="P2379" s="1902"/>
      <c r="Q2379" s="2000">
        <f t="shared" ref="Q2379:Q2380" si="2640">Q2275</f>
        <v>703</v>
      </c>
      <c r="R2379" s="1902"/>
      <c r="S2379" s="1644">
        <f>ROUND($D2379*K2379,0)</f>
        <v>16169</v>
      </c>
      <c r="T2379" s="1643"/>
      <c r="U2379" s="1644">
        <f>ROUND($D2379*M2379,0)</f>
        <v>0</v>
      </c>
      <c r="V2379" s="1643"/>
      <c r="W2379" s="1644">
        <f>ROUND($D2379*O2379,0)</f>
        <v>0</v>
      </c>
      <c r="X2379" s="1643"/>
      <c r="Y2379" s="1644">
        <f>ROUND($D2379*Q2379,0)</f>
        <v>16169</v>
      </c>
    </row>
    <row r="2380" spans="1:26" hidden="1">
      <c r="A2380" s="1900" t="s">
        <v>313</v>
      </c>
      <c r="C2380" s="528">
        <f>'31'!J3</f>
        <v>66100</v>
      </c>
      <c r="D2380" s="528">
        <f>ROUND(C2380/$C$2435*$D$2435,0)</f>
        <v>63083</v>
      </c>
      <c r="F2380" s="2000">
        <v>2.63</v>
      </c>
      <c r="G2380" s="1902"/>
      <c r="H2380" s="1644">
        <f>ROUND($F2380*C2380,0)</f>
        <v>173843</v>
      </c>
      <c r="I2380" s="1644">
        <f>ROUND($F2380*D2380,0)</f>
        <v>165908</v>
      </c>
      <c r="K2380" s="2000">
        <f t="shared" ref="K2380" si="2641">K2276</f>
        <v>2.73</v>
      </c>
      <c r="L2380" s="1902"/>
      <c r="M2380" s="2000">
        <f t="shared" ref="M2380" si="2642">M2276</f>
        <v>0</v>
      </c>
      <c r="N2380" s="1902"/>
      <c r="O2380" s="2000">
        <f t="shared" ref="O2380" si="2643">O2276</f>
        <v>0</v>
      </c>
      <c r="P2380" s="1902"/>
      <c r="Q2380" s="2000">
        <f t="shared" si="2640"/>
        <v>2.73</v>
      </c>
      <c r="R2380" s="1902"/>
      <c r="S2380" s="1644">
        <f>ROUND($D2380*K2380,0)</f>
        <v>172217</v>
      </c>
      <c r="T2380" s="1643"/>
      <c r="U2380" s="1644">
        <f>ROUND($D2380*M2380,0)</f>
        <v>0</v>
      </c>
      <c r="V2380" s="1643"/>
      <c r="W2380" s="1644">
        <f>ROUND($D2380*O2380,0)</f>
        <v>0</v>
      </c>
      <c r="X2380" s="1643"/>
      <c r="Y2380" s="1644">
        <f>ROUND($D2380*Q2380,0)</f>
        <v>172217</v>
      </c>
    </row>
    <row r="2381" spans="1:26" hidden="1">
      <c r="A2381" s="1900" t="s">
        <v>314</v>
      </c>
      <c r="C2381" s="528"/>
      <c r="D2381" s="528"/>
      <c r="F2381" s="2001"/>
      <c r="G2381" s="597"/>
      <c r="H2381" s="1644"/>
      <c r="I2381" s="1644"/>
      <c r="K2381" s="2001"/>
      <c r="L2381" s="597"/>
      <c r="M2381" s="2001"/>
      <c r="N2381" s="597"/>
      <c r="O2381" s="2001"/>
      <c r="P2381" s="597"/>
      <c r="Q2381" s="2001"/>
      <c r="R2381" s="597"/>
      <c r="S2381" s="1644"/>
      <c r="T2381" s="1645"/>
      <c r="U2381" s="1644"/>
      <c r="V2381" s="1645"/>
      <c r="W2381" s="1644"/>
      <c r="X2381" s="1645"/>
      <c r="Y2381" s="1644"/>
    </row>
    <row r="2382" spans="1:26" hidden="1">
      <c r="A2382" s="1900" t="s">
        <v>315</v>
      </c>
      <c r="C2382" s="528"/>
      <c r="D2382" s="528"/>
      <c r="F2382" s="2000"/>
      <c r="G2382" s="1991"/>
      <c r="H2382" s="1644"/>
      <c r="I2382" s="1644"/>
      <c r="K2382" s="2000"/>
      <c r="L2382" s="1991"/>
      <c r="M2382" s="2000"/>
      <c r="N2382" s="1991"/>
      <c r="O2382" s="2000"/>
      <c r="P2382" s="1991"/>
      <c r="Q2382" s="2000"/>
      <c r="R2382" s="1991"/>
      <c r="S2382" s="1644"/>
      <c r="T2382" s="1643"/>
      <c r="U2382" s="1644"/>
      <c r="V2382" s="1643"/>
      <c r="W2382" s="1644"/>
      <c r="X2382" s="1643"/>
      <c r="Y2382" s="1644"/>
      <c r="Z2382" s="1878" t="s">
        <v>251</v>
      </c>
    </row>
    <row r="2383" spans="1:26" hidden="1">
      <c r="A2383" s="1900" t="s">
        <v>1668</v>
      </c>
      <c r="C2383" s="528">
        <f>C2392*Z2383</f>
        <v>271132.84370467725</v>
      </c>
      <c r="D2383" s="528">
        <f>ROUND(C2383/$C$2435*$D$2435,0)</f>
        <v>258756</v>
      </c>
      <c r="F2383" s="2000"/>
      <c r="G2383" s="1991"/>
      <c r="H2383" s="1644"/>
      <c r="I2383" s="1644"/>
      <c r="K2383" s="2000">
        <f t="shared" ref="K2383" si="2644">K2279</f>
        <v>0.26</v>
      </c>
      <c r="L2383" s="1991"/>
      <c r="M2383" s="2000">
        <f t="shared" ref="M2383" si="2645">M2279</f>
        <v>0.53</v>
      </c>
      <c r="N2383" s="1991"/>
      <c r="O2383" s="2000">
        <f t="shared" ref="O2383" si="2646">O2279</f>
        <v>0</v>
      </c>
      <c r="P2383" s="1991"/>
      <c r="Q2383" s="2000">
        <f t="shared" ref="Q2383:Q2384" si="2647">Q2279</f>
        <v>0.79</v>
      </c>
      <c r="R2383" s="1991"/>
      <c r="S2383" s="1644">
        <f t="shared" ref="S2383:S2384" si="2648">ROUND($D2383*K2383,0)</f>
        <v>67277</v>
      </c>
      <c r="T2383" s="1643"/>
      <c r="U2383" s="1644">
        <f t="shared" ref="U2383:Y2384" si="2649">ROUND($D2383*M2383,0)</f>
        <v>137141</v>
      </c>
      <c r="V2383" s="1643"/>
      <c r="W2383" s="1644">
        <f t="shared" si="2649"/>
        <v>0</v>
      </c>
      <c r="X2383" s="1643"/>
      <c r="Y2383" s="1644">
        <f t="shared" si="2649"/>
        <v>204417</v>
      </c>
      <c r="Z2383" s="1878">
        <f>Z2339</f>
        <v>0.81143000192935111</v>
      </c>
    </row>
    <row r="2384" spans="1:26" hidden="1">
      <c r="A2384" s="1900" t="s">
        <v>1669</v>
      </c>
      <c r="C2384" s="528">
        <f>C2393*Z2384</f>
        <v>112904.02296400884</v>
      </c>
      <c r="D2384" s="528">
        <f>ROUND(C2384/$C$2435*$D$2435,0)</f>
        <v>107750</v>
      </c>
      <c r="F2384" s="2000"/>
      <c r="G2384" s="1991"/>
      <c r="H2384" s="1644"/>
      <c r="I2384" s="1644"/>
      <c r="K2384" s="2000">
        <f t="shared" ref="K2384" si="2650">K2280</f>
        <v>0.23</v>
      </c>
      <c r="L2384" s="1991"/>
      <c r="M2384" s="2000">
        <f t="shared" ref="M2384" si="2651">M2280</f>
        <v>0.47</v>
      </c>
      <c r="N2384" s="1991"/>
      <c r="O2384" s="2000">
        <f t="shared" ref="O2384" si="2652">O2280</f>
        <v>0</v>
      </c>
      <c r="P2384" s="1991"/>
      <c r="Q2384" s="2000">
        <f t="shared" si="2647"/>
        <v>0.7</v>
      </c>
      <c r="R2384" s="1991"/>
      <c r="S2384" s="1644">
        <f t="shared" si="2648"/>
        <v>24783</v>
      </c>
      <c r="T2384" s="1643"/>
      <c r="U2384" s="1644">
        <f t="shared" si="2649"/>
        <v>50643</v>
      </c>
      <c r="V2384" s="1643"/>
      <c r="W2384" s="1644">
        <f t="shared" si="2649"/>
        <v>0</v>
      </c>
      <c r="X2384" s="1643"/>
      <c r="Y2384" s="1644">
        <f t="shared" si="2649"/>
        <v>75425</v>
      </c>
      <c r="Z2384" s="1878">
        <f>Z2340</f>
        <v>1.1359353572586484</v>
      </c>
    </row>
    <row r="2385" spans="1:26" hidden="1">
      <c r="A2385" s="1900" t="s">
        <v>316</v>
      </c>
      <c r="C2385" s="528"/>
      <c r="D2385" s="528"/>
      <c r="F2385" s="2001"/>
      <c r="G2385" s="1992"/>
      <c r="H2385" s="1644"/>
      <c r="I2385" s="1644"/>
      <c r="K2385" s="2001"/>
      <c r="L2385" s="1992"/>
      <c r="M2385" s="2001"/>
      <c r="N2385" s="1992"/>
      <c r="O2385" s="2001"/>
      <c r="P2385" s="1992"/>
      <c r="Q2385" s="2001"/>
      <c r="R2385" s="1992"/>
      <c r="S2385" s="1644"/>
      <c r="T2385" s="1645"/>
      <c r="U2385" s="1644"/>
      <c r="V2385" s="1645"/>
      <c r="W2385" s="1644"/>
      <c r="X2385" s="1645"/>
      <c r="Y2385" s="1644"/>
    </row>
    <row r="2386" spans="1:26" hidden="1">
      <c r="A2386" s="1900" t="s">
        <v>1668</v>
      </c>
      <c r="C2386" s="528">
        <f>C2395*Z2386</f>
        <v>0</v>
      </c>
      <c r="D2386" s="528">
        <f>ROUND(C2386/$C$2435*$D$2435,0)</f>
        <v>0</v>
      </c>
      <c r="F2386" s="2001"/>
      <c r="G2386" s="1992"/>
      <c r="H2386" s="1644"/>
      <c r="I2386" s="1644"/>
      <c r="K2386" s="2001">
        <f t="shared" ref="K2386" si="2653">K2282</f>
        <v>0.13</v>
      </c>
      <c r="L2386" s="1992"/>
      <c r="M2386" s="2001">
        <f t="shared" ref="M2386" si="2654">M2282</f>
        <v>0.26</v>
      </c>
      <c r="N2386" s="1992"/>
      <c r="O2386" s="2001">
        <f t="shared" ref="O2386" si="2655">O2282</f>
        <v>0</v>
      </c>
      <c r="P2386" s="1992"/>
      <c r="Q2386" s="2001">
        <f t="shared" ref="Q2386:Q2387" si="2656">Q2282</f>
        <v>0.39</v>
      </c>
      <c r="R2386" s="1992"/>
      <c r="S2386" s="1644">
        <f t="shared" ref="S2386:S2387" si="2657">ROUND($D2386*K2386,0)</f>
        <v>0</v>
      </c>
      <c r="T2386" s="1645"/>
      <c r="U2386" s="1644">
        <f t="shared" ref="U2386:Y2387" si="2658">ROUND($D2386*M2386,0)</f>
        <v>0</v>
      </c>
      <c r="V2386" s="1645"/>
      <c r="W2386" s="1644">
        <f t="shared" si="2658"/>
        <v>0</v>
      </c>
      <c r="X2386" s="1645"/>
      <c r="Y2386" s="1644">
        <f t="shared" si="2658"/>
        <v>0</v>
      </c>
      <c r="Z2386" s="1878">
        <f t="shared" ref="Z2386:Z2387" si="2659">Z2342</f>
        <v>0.81143000192935111</v>
      </c>
    </row>
    <row r="2387" spans="1:26" hidden="1">
      <c r="A2387" s="1900" t="s">
        <v>1669</v>
      </c>
      <c r="C2387" s="528">
        <f>C2396*Z2387</f>
        <v>0</v>
      </c>
      <c r="D2387" s="528">
        <f>ROUND(C2387/$C$2435*$D$2435,0)</f>
        <v>0</v>
      </c>
      <c r="F2387" s="2001"/>
      <c r="G2387" s="1992"/>
      <c r="H2387" s="1644"/>
      <c r="I2387" s="1644"/>
      <c r="K2387" s="2001">
        <f t="shared" ref="K2387" si="2660">K2283</f>
        <v>0.12</v>
      </c>
      <c r="L2387" s="1992"/>
      <c r="M2387" s="2001">
        <f t="shared" ref="M2387" si="2661">M2283</f>
        <v>0.22999999999999998</v>
      </c>
      <c r="N2387" s="1992"/>
      <c r="O2387" s="2001">
        <f t="shared" ref="O2387" si="2662">O2283</f>
        <v>0</v>
      </c>
      <c r="P2387" s="1992"/>
      <c r="Q2387" s="2001">
        <f t="shared" si="2656"/>
        <v>0.35</v>
      </c>
      <c r="R2387" s="1992"/>
      <c r="S2387" s="1644">
        <f t="shared" si="2657"/>
        <v>0</v>
      </c>
      <c r="T2387" s="1645"/>
      <c r="U2387" s="1644">
        <f t="shared" si="2658"/>
        <v>0</v>
      </c>
      <c r="V2387" s="1645"/>
      <c r="W2387" s="1644">
        <f t="shared" si="2658"/>
        <v>0</v>
      </c>
      <c r="X2387" s="1645"/>
      <c r="Y2387" s="1644">
        <f t="shared" si="2658"/>
        <v>0</v>
      </c>
      <c r="Z2387" s="1878">
        <f t="shared" si="2659"/>
        <v>1.1359353572586484</v>
      </c>
    </row>
    <row r="2388" spans="1:26" hidden="1">
      <c r="A2388" s="1900" t="s">
        <v>317</v>
      </c>
      <c r="C2388" s="528"/>
      <c r="D2388" s="528"/>
      <c r="F2388" s="2000"/>
      <c r="G2388" s="1902"/>
      <c r="H2388" s="1644"/>
      <c r="I2388" s="1644"/>
      <c r="K2388" s="2000"/>
      <c r="L2388" s="1902"/>
      <c r="M2388" s="2000"/>
      <c r="N2388" s="1902"/>
      <c r="O2388" s="2000"/>
      <c r="P2388" s="1902"/>
      <c r="Q2388" s="2000"/>
      <c r="R2388" s="1902"/>
      <c r="S2388" s="1644"/>
      <c r="T2388" s="1643"/>
      <c r="U2388" s="1644"/>
      <c r="V2388" s="1643"/>
      <c r="W2388" s="1644"/>
      <c r="X2388" s="1643"/>
      <c r="Y2388" s="1644"/>
    </row>
    <row r="2389" spans="1:26" hidden="1">
      <c r="A2389" s="1900" t="s">
        <v>1668</v>
      </c>
      <c r="C2389" s="528">
        <f>C2398*Z2389</f>
        <v>7090.2753568586704</v>
      </c>
      <c r="D2389" s="528">
        <f>ROUND(C2389/$C$2435*$D$2435,0)</f>
        <v>6767</v>
      </c>
      <c r="F2389" s="2000"/>
      <c r="G2389" s="1902"/>
      <c r="H2389" s="1644"/>
      <c r="I2389" s="1644"/>
      <c r="K2389" s="2000">
        <f t="shared" ref="K2389" si="2663">K2285</f>
        <v>11.04</v>
      </c>
      <c r="L2389" s="1902"/>
      <c r="M2389" s="2000">
        <f t="shared" ref="M2389" si="2664">M2285</f>
        <v>22.509999999999998</v>
      </c>
      <c r="N2389" s="1902"/>
      <c r="O2389" s="2000">
        <f t="shared" ref="O2389" si="2665">O2285</f>
        <v>0</v>
      </c>
      <c r="P2389" s="1902"/>
      <c r="Q2389" s="2000">
        <f t="shared" ref="Q2389:Q2390" si="2666">Q2285</f>
        <v>33.549999999999997</v>
      </c>
      <c r="R2389" s="1902"/>
      <c r="S2389" s="1644">
        <f t="shared" ref="S2389:S2390" si="2667">ROUND($D2389*K2389,0)</f>
        <v>74708</v>
      </c>
      <c r="T2389" s="1643"/>
      <c r="U2389" s="1644">
        <f t="shared" ref="U2389:Y2390" si="2668">ROUND($D2389*M2389,0)</f>
        <v>152325</v>
      </c>
      <c r="V2389" s="1643"/>
      <c r="W2389" s="1644">
        <f t="shared" si="2668"/>
        <v>0</v>
      </c>
      <c r="X2389" s="1643"/>
      <c r="Y2389" s="1644">
        <f t="shared" si="2668"/>
        <v>227033</v>
      </c>
      <c r="Z2389" s="1878">
        <f t="shared" ref="Z2389:Z2390" si="2669">Z2345</f>
        <v>0.81143000192935111</v>
      </c>
    </row>
    <row r="2390" spans="1:26" hidden="1">
      <c r="A2390" s="1900" t="s">
        <v>1669</v>
      </c>
      <c r="C2390" s="528">
        <f>C2399*Z2390</f>
        <v>1117.76039154251</v>
      </c>
      <c r="D2390" s="528">
        <f>ROUND(C2390/$C$2435*$D$2435,0)</f>
        <v>1067</v>
      </c>
      <c r="F2390" s="2000"/>
      <c r="G2390" s="1902"/>
      <c r="H2390" s="1644"/>
      <c r="I2390" s="1644"/>
      <c r="K2390" s="2000">
        <f t="shared" ref="K2390" si="2670">K2286</f>
        <v>9.76</v>
      </c>
      <c r="L2390" s="1902"/>
      <c r="M2390" s="2000">
        <f t="shared" ref="M2390" si="2671">M2286</f>
        <v>19.93</v>
      </c>
      <c r="N2390" s="1902"/>
      <c r="O2390" s="2000">
        <f t="shared" ref="O2390" si="2672">O2286</f>
        <v>0</v>
      </c>
      <c r="P2390" s="1902"/>
      <c r="Q2390" s="2000">
        <f t="shared" si="2666"/>
        <v>29.69</v>
      </c>
      <c r="R2390" s="1902"/>
      <c r="S2390" s="1644">
        <f t="shared" si="2667"/>
        <v>10414</v>
      </c>
      <c r="T2390" s="1643"/>
      <c r="U2390" s="1644">
        <f t="shared" si="2668"/>
        <v>21265</v>
      </c>
      <c r="V2390" s="1643"/>
      <c r="W2390" s="1644">
        <f t="shared" si="2668"/>
        <v>0</v>
      </c>
      <c r="X2390" s="1643"/>
      <c r="Y2390" s="1644">
        <f t="shared" si="2668"/>
        <v>31679</v>
      </c>
      <c r="Z2390" s="1878">
        <f t="shared" si="2669"/>
        <v>1.1359353572586484</v>
      </c>
    </row>
    <row r="2391" spans="1:26" hidden="1">
      <c r="A2391" s="1900" t="s">
        <v>315</v>
      </c>
      <c r="C2391" s="528"/>
      <c r="D2391" s="528"/>
      <c r="F2391" s="2000"/>
      <c r="G2391" s="1991"/>
      <c r="H2391" s="1644"/>
      <c r="I2391" s="1644"/>
      <c r="K2391" s="2000"/>
      <c r="L2391" s="1991"/>
      <c r="M2391" s="2000"/>
      <c r="N2391" s="1991"/>
      <c r="O2391" s="2000"/>
      <c r="P2391" s="1991"/>
      <c r="Q2391" s="2000"/>
      <c r="R2391" s="1991"/>
      <c r="S2391" s="1644"/>
      <c r="T2391" s="1643"/>
      <c r="U2391" s="1644"/>
      <c r="V2391" s="1643"/>
      <c r="W2391" s="1644"/>
      <c r="X2391" s="1643"/>
      <c r="Y2391" s="1644"/>
    </row>
    <row r="2392" spans="1:26" hidden="1">
      <c r="A2392" s="1900" t="s">
        <v>944</v>
      </c>
      <c r="C2392" s="528">
        <f>'31'!N3</f>
        <v>334142</v>
      </c>
      <c r="D2392" s="528">
        <f>ROUND(C2392/$C$2435*$D$2435,0)</f>
        <v>318889</v>
      </c>
      <c r="F2392" s="2000">
        <v>0.76</v>
      </c>
      <c r="G2392" s="1991"/>
      <c r="H2392" s="1644">
        <f>ROUND($F2392*C2392,0)</f>
        <v>253948</v>
      </c>
      <c r="I2392" s="1644">
        <f>ROUND($F2392*D2392,0)</f>
        <v>242356</v>
      </c>
      <c r="K2392" s="2000"/>
      <c r="L2392" s="1991"/>
      <c r="M2392" s="2000"/>
      <c r="N2392" s="1991"/>
      <c r="O2392" s="2000"/>
      <c r="P2392" s="1991"/>
      <c r="Q2392" s="2000"/>
      <c r="R2392" s="1991"/>
      <c r="S2392" s="1644"/>
      <c r="T2392" s="1643"/>
      <c r="U2392" s="1644"/>
      <c r="V2392" s="1643"/>
      <c r="W2392" s="1644"/>
      <c r="X2392" s="1643"/>
      <c r="Y2392" s="1644"/>
    </row>
    <row r="2393" spans="1:26" hidden="1">
      <c r="A2393" s="1900" t="s">
        <v>945</v>
      </c>
      <c r="C2393" s="528">
        <f>'31'!O3</f>
        <v>99393</v>
      </c>
      <c r="D2393" s="528">
        <f>ROUND(C2393/$C$2435*$D$2435,0)</f>
        <v>94856</v>
      </c>
      <c r="F2393" s="2000">
        <v>0.51</v>
      </c>
      <c r="G2393" s="1991"/>
      <c r="H2393" s="1644">
        <f>ROUND($F2393*C2393,0)</f>
        <v>50690</v>
      </c>
      <c r="I2393" s="1644">
        <f>ROUND($F2393*D2393,0)</f>
        <v>48377</v>
      </c>
      <c r="K2393" s="2000"/>
      <c r="L2393" s="1991"/>
      <c r="M2393" s="2000"/>
      <c r="N2393" s="1991"/>
      <c r="O2393" s="2000"/>
      <c r="P2393" s="1991"/>
      <c r="Q2393" s="2000"/>
      <c r="R2393" s="1991"/>
      <c r="S2393" s="1644"/>
      <c r="T2393" s="1643"/>
      <c r="U2393" s="1644"/>
      <c r="V2393" s="1643"/>
      <c r="W2393" s="1644"/>
      <c r="X2393" s="1643"/>
      <c r="Y2393" s="1644"/>
    </row>
    <row r="2394" spans="1:26" hidden="1">
      <c r="A2394" s="1900" t="s">
        <v>316</v>
      </c>
      <c r="C2394" s="528"/>
      <c r="D2394" s="528"/>
      <c r="F2394" s="2001"/>
      <c r="G2394" s="1992"/>
      <c r="H2394" s="1644"/>
      <c r="I2394" s="1644"/>
      <c r="K2394" s="2001"/>
      <c r="L2394" s="1992"/>
      <c r="M2394" s="2001"/>
      <c r="N2394" s="1992"/>
      <c r="O2394" s="2001"/>
      <c r="P2394" s="1992"/>
      <c r="Q2394" s="2001"/>
      <c r="R2394" s="1992"/>
      <c r="S2394" s="1644"/>
      <c r="T2394" s="1645"/>
      <c r="U2394" s="1644"/>
      <c r="V2394" s="1645"/>
      <c r="W2394" s="1644"/>
      <c r="X2394" s="1645"/>
      <c r="Y2394" s="1644"/>
    </row>
    <row r="2395" spans="1:26" hidden="1">
      <c r="A2395" s="1900" t="s">
        <v>944</v>
      </c>
      <c r="C2395" s="528">
        <f>'31'!Q3</f>
        <v>0</v>
      </c>
      <c r="D2395" s="528">
        <f>ROUND(C2395/$C$2435*$D$2435,0)</f>
        <v>0</v>
      </c>
      <c r="F2395" s="2001">
        <v>0.38</v>
      </c>
      <c r="G2395" s="1992"/>
      <c r="H2395" s="1644">
        <f>ROUND($F2395*C2395,0)</f>
        <v>0</v>
      </c>
      <c r="I2395" s="1644">
        <f>ROUND($F2395*D2395,0)</f>
        <v>0</v>
      </c>
      <c r="K2395" s="2001"/>
      <c r="L2395" s="1992"/>
      <c r="M2395" s="2001"/>
      <c r="N2395" s="1992"/>
      <c r="O2395" s="2001"/>
      <c r="P2395" s="1992"/>
      <c r="Q2395" s="2001"/>
      <c r="R2395" s="1992"/>
      <c r="S2395" s="1644"/>
      <c r="T2395" s="1645"/>
      <c r="U2395" s="1644"/>
      <c r="V2395" s="1645"/>
      <c r="W2395" s="1644"/>
      <c r="X2395" s="1645"/>
      <c r="Y2395" s="1644"/>
    </row>
    <row r="2396" spans="1:26" hidden="1">
      <c r="A2396" s="1900" t="s">
        <v>945</v>
      </c>
      <c r="C2396" s="528">
        <f>'31'!R3</f>
        <v>0</v>
      </c>
      <c r="D2396" s="528">
        <f>ROUND(C2396/$C$2435*$D$2435,0)</f>
        <v>0</v>
      </c>
      <c r="F2396" s="2001">
        <v>0.255</v>
      </c>
      <c r="G2396" s="1992"/>
      <c r="H2396" s="1644">
        <f>ROUND($F2396*C2396,0)</f>
        <v>0</v>
      </c>
      <c r="I2396" s="1644">
        <f>ROUND($F2396*D2396,0)</f>
        <v>0</v>
      </c>
      <c r="K2396" s="2001"/>
      <c r="L2396" s="1992"/>
      <c r="M2396" s="2001"/>
      <c r="N2396" s="1992"/>
      <c r="O2396" s="2001"/>
      <c r="P2396" s="1992"/>
      <c r="Q2396" s="2001"/>
      <c r="R2396" s="1992"/>
      <c r="S2396" s="1644"/>
      <c r="T2396" s="1645"/>
      <c r="U2396" s="1644"/>
      <c r="V2396" s="1645"/>
      <c r="W2396" s="1644"/>
      <c r="X2396" s="1645"/>
      <c r="Y2396" s="1644"/>
    </row>
    <row r="2397" spans="1:26" hidden="1">
      <c r="A2397" s="1900" t="s">
        <v>317</v>
      </c>
      <c r="C2397" s="528"/>
      <c r="D2397" s="528"/>
      <c r="F2397" s="2000"/>
      <c r="G2397" s="1902"/>
      <c r="H2397" s="1644"/>
      <c r="I2397" s="1644"/>
      <c r="K2397" s="2000"/>
      <c r="L2397" s="1902"/>
      <c r="M2397" s="2000"/>
      <c r="N2397" s="1902"/>
      <c r="O2397" s="2000"/>
      <c r="P2397" s="1902"/>
      <c r="Q2397" s="2000"/>
      <c r="R2397" s="1902"/>
      <c r="S2397" s="1644"/>
      <c r="T2397" s="1643"/>
      <c r="U2397" s="1644"/>
      <c r="V2397" s="1643"/>
      <c r="W2397" s="1644"/>
      <c r="X2397" s="1643"/>
      <c r="Y2397" s="1644"/>
    </row>
    <row r="2398" spans="1:26" hidden="1">
      <c r="A2398" s="1900" t="s">
        <v>944</v>
      </c>
      <c r="C2398" s="528">
        <f>'31'!T3</f>
        <v>8738</v>
      </c>
      <c r="D2398" s="528">
        <f>ROUND(C2398/$C$2435*$D$2435,0)</f>
        <v>8339</v>
      </c>
      <c r="F2398" s="2000">
        <v>32.35</v>
      </c>
      <c r="G2398" s="1902"/>
      <c r="H2398" s="1644">
        <f>ROUND($F2398*C2398,0)</f>
        <v>282674</v>
      </c>
      <c r="I2398" s="1644">
        <f>ROUND($F2398*D2398,0)</f>
        <v>269767</v>
      </c>
      <c r="K2398" s="2000"/>
      <c r="L2398" s="1902"/>
      <c r="M2398" s="2000"/>
      <c r="N2398" s="1902"/>
      <c r="O2398" s="2000"/>
      <c r="P2398" s="1902"/>
      <c r="Q2398" s="2000"/>
      <c r="R2398" s="1902"/>
      <c r="S2398" s="1644"/>
      <c r="T2398" s="1643"/>
      <c r="U2398" s="1644"/>
      <c r="V2398" s="1643"/>
      <c r="W2398" s="1644"/>
      <c r="X2398" s="1643"/>
      <c r="Y2398" s="1644"/>
    </row>
    <row r="2399" spans="1:26" hidden="1">
      <c r="A2399" s="1900" t="s">
        <v>945</v>
      </c>
      <c r="C2399" s="528">
        <f>'31'!U3</f>
        <v>984</v>
      </c>
      <c r="D2399" s="528">
        <f>ROUND(C2399/$C$2435*$D$2435,0)</f>
        <v>939</v>
      </c>
      <c r="F2399" s="2000">
        <v>23.36</v>
      </c>
      <c r="G2399" s="1902"/>
      <c r="H2399" s="1644">
        <f>ROUND($F2399*C2399,0)</f>
        <v>22986</v>
      </c>
      <c r="I2399" s="1644">
        <f>ROUND($F2399*D2399,0)</f>
        <v>21935</v>
      </c>
      <c r="K2399" s="2000"/>
      <c r="L2399" s="1902"/>
      <c r="M2399" s="2000"/>
      <c r="N2399" s="1902"/>
      <c r="O2399" s="2000"/>
      <c r="P2399" s="1902"/>
      <c r="Q2399" s="2000"/>
      <c r="R2399" s="1902"/>
      <c r="S2399" s="1644"/>
      <c r="T2399" s="1643"/>
      <c r="U2399" s="1644"/>
      <c r="V2399" s="1643"/>
      <c r="W2399" s="1644"/>
      <c r="X2399" s="1643"/>
      <c r="Y2399" s="1644"/>
    </row>
    <row r="2400" spans="1:26" hidden="1">
      <c r="A2400" s="1900" t="s">
        <v>397</v>
      </c>
      <c r="C2400" s="585"/>
      <c r="D2400" s="585"/>
      <c r="F2400" s="1943"/>
      <c r="G2400" s="1957"/>
      <c r="H2400" s="1030">
        <f>SUM(H2335:H2399)</f>
        <v>1104480</v>
      </c>
      <c r="I2400" s="1030">
        <f>SUM(I2335:I2399)</f>
        <v>1056038</v>
      </c>
      <c r="K2400" s="1943"/>
      <c r="L2400" s="1957"/>
      <c r="M2400" s="1943"/>
      <c r="N2400" s="1957"/>
      <c r="O2400" s="1943"/>
      <c r="P2400" s="1957"/>
      <c r="Q2400" s="1943"/>
      <c r="R2400" s="1957"/>
      <c r="S2400" s="1030">
        <f>SUM(S2335:S2399)</f>
        <v>601151</v>
      </c>
      <c r="T2400" s="1645"/>
      <c r="U2400" s="1030">
        <f>SUM(U2335:U2399)</f>
        <v>430139</v>
      </c>
      <c r="V2400" s="1645"/>
      <c r="W2400" s="1030">
        <f>SUM(W2335:W2399)</f>
        <v>0</v>
      </c>
      <c r="X2400" s="1645"/>
      <c r="Y2400" s="1030">
        <f>SUM(Y2335:Y2399)</f>
        <v>1031287</v>
      </c>
    </row>
    <row r="2401" spans="1:26" hidden="1">
      <c r="A2401" s="1987" t="s">
        <v>442</v>
      </c>
      <c r="S2401" s="1638"/>
      <c r="U2401" s="1638"/>
      <c r="W2401" s="1638"/>
    </row>
    <row r="2402" spans="1:26" hidden="1">
      <c r="A2402" s="1897" t="s">
        <v>443</v>
      </c>
      <c r="C2402" s="528"/>
      <c r="D2402" s="528"/>
      <c r="F2402" s="1944"/>
      <c r="G2402" s="597"/>
      <c r="H2402" s="1644"/>
      <c r="I2402" s="1644"/>
      <c r="K2402" s="1944"/>
      <c r="L2402" s="597"/>
      <c r="M2402" s="1944"/>
      <c r="N2402" s="597"/>
      <c r="O2402" s="1944"/>
      <c r="P2402" s="597"/>
      <c r="Q2402" s="1944"/>
      <c r="R2402" s="597"/>
      <c r="S2402" s="1644"/>
      <c r="T2402" s="1645"/>
      <c r="U2402" s="1644"/>
      <c r="V2402" s="1645"/>
      <c r="W2402" s="1644"/>
      <c r="X2402" s="1645"/>
      <c r="Y2402" s="1644"/>
    </row>
    <row r="2403" spans="1:26" hidden="1">
      <c r="A2403" s="1900" t="s">
        <v>168</v>
      </c>
      <c r="C2403" s="528">
        <f>'31'!K2</f>
        <v>29129</v>
      </c>
      <c r="D2403" s="528">
        <f>ROUND(C2403/$C$2435*$D$2435,0)</f>
        <v>27799</v>
      </c>
      <c r="F2403" s="1944">
        <v>4.76</v>
      </c>
      <c r="G2403" s="597"/>
      <c r="H2403" s="1644">
        <f t="shared" ref="H2403:I2412" si="2673">ROUND($F2403*C2403,0)</f>
        <v>138654</v>
      </c>
      <c r="I2403" s="1644">
        <f t="shared" si="2673"/>
        <v>132323</v>
      </c>
      <c r="K2403" s="1944">
        <f t="shared" ref="K2403" si="2674">K2299</f>
        <v>4.84</v>
      </c>
      <c r="L2403" s="597"/>
      <c r="M2403" s="1944">
        <f t="shared" ref="M2403" si="2675">M2299</f>
        <v>0</v>
      </c>
      <c r="N2403" s="597"/>
      <c r="O2403" s="1944">
        <f t="shared" ref="O2403" si="2676">O2299</f>
        <v>0</v>
      </c>
      <c r="P2403" s="597"/>
      <c r="Q2403" s="1944">
        <f t="shared" ref="Q2403:Q2409" si="2677">Q2299</f>
        <v>4.84</v>
      </c>
      <c r="R2403" s="597"/>
      <c r="S2403" s="1644">
        <f t="shared" ref="S2403:Y2405" si="2678">ROUND($D2403*K2403,0)</f>
        <v>134547</v>
      </c>
      <c r="T2403" s="1645"/>
      <c r="U2403" s="1644">
        <f t="shared" si="2678"/>
        <v>0</v>
      </c>
      <c r="V2403" s="1645"/>
      <c r="W2403" s="1644">
        <f t="shared" si="2678"/>
        <v>0</v>
      </c>
      <c r="X2403" s="1645"/>
      <c r="Y2403" s="1644">
        <f t="shared" si="2678"/>
        <v>134547</v>
      </c>
      <c r="Z2403" s="1878" t="s">
        <v>251</v>
      </c>
    </row>
    <row r="2404" spans="1:26" hidden="1">
      <c r="A2404" s="1900" t="s">
        <v>1651</v>
      </c>
      <c r="C2404" s="528">
        <f>C2410*Z2404</f>
        <v>2828.2164038624519</v>
      </c>
      <c r="D2404" s="528">
        <f>ROUND(C2404/$C$2435*$D$2435,0)</f>
        <v>2699</v>
      </c>
      <c r="F2404" s="1944"/>
      <c r="G2404" s="597"/>
      <c r="H2404" s="1644"/>
      <c r="I2404" s="1644"/>
      <c r="K2404" s="1944">
        <f t="shared" ref="K2404" si="2679">K2300</f>
        <v>7.23</v>
      </c>
      <c r="L2404" s="597"/>
      <c r="M2404" s="1944">
        <f t="shared" ref="M2404" si="2680">M2300</f>
        <v>8.6</v>
      </c>
      <c r="N2404" s="597"/>
      <c r="O2404" s="1944">
        <f t="shared" ref="O2404" si="2681">O2300</f>
        <v>0</v>
      </c>
      <c r="P2404" s="597"/>
      <c r="Q2404" s="1944">
        <f t="shared" si="2677"/>
        <v>15.83</v>
      </c>
      <c r="R2404" s="597"/>
      <c r="S2404" s="1644">
        <f t="shared" si="2678"/>
        <v>19514</v>
      </c>
      <c r="T2404" s="1645"/>
      <c r="U2404" s="1644">
        <f t="shared" si="2678"/>
        <v>23211</v>
      </c>
      <c r="V2404" s="1645"/>
      <c r="W2404" s="1644">
        <f t="shared" si="2678"/>
        <v>0</v>
      </c>
      <c r="X2404" s="1645"/>
      <c r="Y2404" s="1644">
        <f t="shared" si="2678"/>
        <v>42725</v>
      </c>
      <c r="Z2404" s="1878">
        <f>Z1401</f>
        <v>0.8080618296749863</v>
      </c>
    </row>
    <row r="2405" spans="1:26" hidden="1">
      <c r="A2405" s="1900" t="s">
        <v>1652</v>
      </c>
      <c r="C2405" s="528">
        <f>C2411*Z2405</f>
        <v>28169.780665940372</v>
      </c>
      <c r="D2405" s="528">
        <f>ROUND(C2405/$C$2435*$D$2435,0)</f>
        <v>26884</v>
      </c>
      <c r="F2405" s="1944"/>
      <c r="G2405" s="597"/>
      <c r="H2405" s="1644"/>
      <c r="I2405" s="1644"/>
      <c r="K2405" s="1944">
        <f t="shared" ref="K2405" si="2682">K2301</f>
        <v>6.4</v>
      </c>
      <c r="L2405" s="597"/>
      <c r="M2405" s="1944">
        <f t="shared" ref="M2405" si="2683">M2301</f>
        <v>7.6099999999999994</v>
      </c>
      <c r="N2405" s="597"/>
      <c r="O2405" s="1944">
        <f t="shared" ref="O2405" si="2684">O2301</f>
        <v>0</v>
      </c>
      <c r="P2405" s="597"/>
      <c r="Q2405" s="1944">
        <f t="shared" si="2677"/>
        <v>14.01</v>
      </c>
      <c r="R2405" s="597"/>
      <c r="S2405" s="1644">
        <f t="shared" si="2678"/>
        <v>172058</v>
      </c>
      <c r="T2405" s="1645"/>
      <c r="U2405" s="1644">
        <f t="shared" si="2678"/>
        <v>204587</v>
      </c>
      <c r="V2405" s="1645"/>
      <c r="W2405" s="1644">
        <f t="shared" si="2678"/>
        <v>0</v>
      </c>
      <c r="X2405" s="1645"/>
      <c r="Y2405" s="1644">
        <f t="shared" si="2678"/>
        <v>376645</v>
      </c>
      <c r="Z2405" s="1878">
        <f>Z1402</f>
        <v>1.1030535149949241</v>
      </c>
    </row>
    <row r="2406" spans="1:26" hidden="1">
      <c r="A2406" s="1900" t="s">
        <v>1532</v>
      </c>
      <c r="C2406" s="528">
        <f>C2413*Z2406</f>
        <v>943370.68349318916</v>
      </c>
      <c r="D2406" s="528">
        <f>ROUND(C2406/($C$2435-$C$2434)*$D$2435,0)</f>
        <v>905085</v>
      </c>
      <c r="F2406" s="1943"/>
      <c r="G2406" s="1921"/>
      <c r="H2406" s="1644"/>
      <c r="I2406" s="1644"/>
      <c r="K2406" s="1943">
        <f t="shared" ref="K2406" si="2685">K2302</f>
        <v>0</v>
      </c>
      <c r="L2406" s="1921" t="s">
        <v>495</v>
      </c>
      <c r="M2406" s="1943">
        <f t="shared" ref="M2406" si="2686">M2302</f>
        <v>1.4166000000000001</v>
      </c>
      <c r="N2406" s="1921" t="s">
        <v>495</v>
      </c>
      <c r="O2406" s="1943">
        <f t="shared" ref="O2406" si="2687">O2302</f>
        <v>4.4476704152740005</v>
      </c>
      <c r="P2406" s="1921" t="s">
        <v>495</v>
      </c>
      <c r="Q2406" s="1943">
        <f t="shared" si="2677"/>
        <v>5.8642704152740004</v>
      </c>
      <c r="R2406" s="1921" t="s">
        <v>495</v>
      </c>
      <c r="S2406" s="1644">
        <f>ROUND($D2406*K2406/100,0)</f>
        <v>0</v>
      </c>
      <c r="T2406" s="1648"/>
      <c r="U2406" s="1644">
        <f>ROUND($D2406*M2406/100,0)</f>
        <v>12821</v>
      </c>
      <c r="V2406" s="1648"/>
      <c r="W2406" s="1644">
        <f>ROUND($D2406*O2406/100,0)</f>
        <v>40255</v>
      </c>
      <c r="X2406" s="1648"/>
      <c r="Y2406" s="1644">
        <f>ROUND($D2406*Q2406/100,0)</f>
        <v>53077</v>
      </c>
      <c r="Z2406" s="1878">
        <f>Z1403</f>
        <v>0.79730449923359459</v>
      </c>
    </row>
    <row r="2407" spans="1:26" hidden="1">
      <c r="A2407" s="1900" t="s">
        <v>1653</v>
      </c>
      <c r="C2407" s="528">
        <f>C2414*Z2407</f>
        <v>2666759.3334862269</v>
      </c>
      <c r="D2407" s="528">
        <f t="shared" ref="D2407:D2408" si="2688">ROUND(C2407/($C$2435-$C$2434)*$D$2435,0)</f>
        <v>2558532</v>
      </c>
      <c r="F2407" s="1943"/>
      <c r="G2407" s="1921"/>
      <c r="H2407" s="1644"/>
      <c r="I2407" s="1644"/>
      <c r="K2407" s="1943">
        <f t="shared" ref="K2407" si="2689">K2303</f>
        <v>0</v>
      </c>
      <c r="L2407" s="1921" t="s">
        <v>495</v>
      </c>
      <c r="M2407" s="1943">
        <f t="shared" ref="M2407" si="2690">M2303</f>
        <v>1.4166000000000001</v>
      </c>
      <c r="N2407" s="1921" t="s">
        <v>495</v>
      </c>
      <c r="O2407" s="1943">
        <f t="shared" ref="O2407" si="2691">O2303</f>
        <v>3.7730198365260001</v>
      </c>
      <c r="P2407" s="1921" t="s">
        <v>495</v>
      </c>
      <c r="Q2407" s="1943">
        <f t="shared" si="2677"/>
        <v>5.189619836526</v>
      </c>
      <c r="R2407" s="1921" t="s">
        <v>495</v>
      </c>
      <c r="S2407" s="1644">
        <f t="shared" ref="S2407:Y2409" si="2692">ROUND($D2407*K2407/100,0)</f>
        <v>0</v>
      </c>
      <c r="T2407" s="1648"/>
      <c r="U2407" s="1644">
        <f t="shared" si="2692"/>
        <v>36244</v>
      </c>
      <c r="V2407" s="1648"/>
      <c r="W2407" s="1644">
        <f t="shared" si="2692"/>
        <v>96534</v>
      </c>
      <c r="X2407" s="1648"/>
      <c r="Y2407" s="1644">
        <f t="shared" si="2692"/>
        <v>132778</v>
      </c>
      <c r="Z2407" s="1878">
        <f>Z1404</f>
        <v>0.49318673869770435</v>
      </c>
    </row>
    <row r="2408" spans="1:26" hidden="1">
      <c r="A2408" s="1900" t="s">
        <v>1533</v>
      </c>
      <c r="C2408" s="528">
        <f>SUM(C2413:C2415)*Z2408</f>
        <v>4194488.0053539481</v>
      </c>
      <c r="D2408" s="528">
        <f t="shared" si="2688"/>
        <v>4024260</v>
      </c>
      <c r="F2408" s="1943"/>
      <c r="G2408" s="1921"/>
      <c r="H2408" s="1644"/>
      <c r="I2408" s="1644"/>
      <c r="K2408" s="1943">
        <f t="shared" ref="K2408" si="2693">K2304</f>
        <v>0</v>
      </c>
      <c r="L2408" s="1921" t="s">
        <v>495</v>
      </c>
      <c r="M2408" s="1943">
        <f t="shared" ref="M2408" si="2694">M2304</f>
        <v>1.4166000000000001</v>
      </c>
      <c r="N2408" s="1921" t="s">
        <v>495</v>
      </c>
      <c r="O2408" s="1943">
        <f t="shared" ref="O2408" si="2695">O2304</f>
        <v>1.5641055047420001</v>
      </c>
      <c r="P2408" s="1921" t="s">
        <v>495</v>
      </c>
      <c r="Q2408" s="1943">
        <f t="shared" si="2677"/>
        <v>2.9807055047420001</v>
      </c>
      <c r="R2408" s="1921" t="s">
        <v>495</v>
      </c>
      <c r="S2408" s="1644">
        <f t="shared" si="2692"/>
        <v>0</v>
      </c>
      <c r="T2408" s="1648"/>
      <c r="U2408" s="1644">
        <f t="shared" si="2692"/>
        <v>57008</v>
      </c>
      <c r="V2408" s="1648"/>
      <c r="W2408" s="1644">
        <f t="shared" si="2692"/>
        <v>62944</v>
      </c>
      <c r="X2408" s="1648"/>
      <c r="Y2408" s="1644">
        <f t="shared" si="2692"/>
        <v>119951</v>
      </c>
      <c r="Z2408" s="1878">
        <f>Z1405</f>
        <v>0.26809377750638824</v>
      </c>
    </row>
    <row r="2409" spans="1:26" hidden="1">
      <c r="A2409" s="1900" t="s">
        <v>2177</v>
      </c>
      <c r="C2409" s="528">
        <f>SUM(C2413:C2415)-SUM(C2406:C2408)</f>
        <v>7840981.977666636</v>
      </c>
      <c r="D2409" s="528">
        <f>ROUND(C2409/($C$2435-$C$2434)*$D$2435,0)</f>
        <v>7522766</v>
      </c>
      <c r="F2409" s="1943"/>
      <c r="G2409" s="1921"/>
      <c r="H2409" s="1644"/>
      <c r="I2409" s="1644"/>
      <c r="K2409" s="1943">
        <f t="shared" ref="K2409" si="2696">K2305</f>
        <v>0</v>
      </c>
      <c r="L2409" s="1921" t="s">
        <v>495</v>
      </c>
      <c r="M2409" s="1943">
        <f t="shared" ref="M2409" si="2697">M2305</f>
        <v>1.4166000000000001</v>
      </c>
      <c r="N2409" s="1921" t="s">
        <v>495</v>
      </c>
      <c r="O2409" s="1943">
        <f t="shared" ref="O2409" si="2698">O2305</f>
        <v>1.2211924820729998</v>
      </c>
      <c r="P2409" s="1921" t="s">
        <v>495</v>
      </c>
      <c r="Q2409" s="1943">
        <f t="shared" si="2677"/>
        <v>2.6377924820729999</v>
      </c>
      <c r="R2409" s="1921" t="s">
        <v>495</v>
      </c>
      <c r="S2409" s="1644">
        <f t="shared" si="2692"/>
        <v>0</v>
      </c>
      <c r="T2409" s="1648"/>
      <c r="U2409" s="1644">
        <f t="shared" si="2692"/>
        <v>106568</v>
      </c>
      <c r="V2409" s="1648"/>
      <c r="W2409" s="1644">
        <f t="shared" si="2692"/>
        <v>91867</v>
      </c>
      <c r="X2409" s="1648"/>
      <c r="Y2409" s="1644">
        <f t="shared" si="2692"/>
        <v>198435</v>
      </c>
    </row>
    <row r="2410" spans="1:26" hidden="1">
      <c r="A2410" s="1900" t="s">
        <v>18</v>
      </c>
      <c r="C2410" s="528">
        <f>'31'!W2</f>
        <v>3500</v>
      </c>
      <c r="D2410" s="528">
        <f>ROUND(C2410/$C$2435*$D$2435,0)</f>
        <v>3340</v>
      </c>
      <c r="F2410" s="1944">
        <v>15.56</v>
      </c>
      <c r="G2410" s="597"/>
      <c r="H2410" s="1644">
        <f t="shared" si="2673"/>
        <v>54460</v>
      </c>
      <c r="I2410" s="1644">
        <f t="shared" si="2673"/>
        <v>51970</v>
      </c>
      <c r="K2410" s="1944"/>
      <c r="L2410" s="597"/>
      <c r="M2410" s="1944"/>
      <c r="N2410" s="597"/>
      <c r="O2410" s="1944"/>
      <c r="P2410" s="597"/>
      <c r="Q2410" s="1944"/>
      <c r="R2410" s="597"/>
      <c r="S2410" s="1644"/>
      <c r="T2410" s="1645"/>
      <c r="U2410" s="1644"/>
      <c r="V2410" s="1645"/>
      <c r="W2410" s="1644"/>
      <c r="X2410" s="1645"/>
      <c r="Y2410" s="1644"/>
    </row>
    <row r="2411" spans="1:26" hidden="1">
      <c r="A2411" s="1900" t="s">
        <v>166</v>
      </c>
      <c r="C2411" s="528">
        <f>'31'!X2</f>
        <v>25538</v>
      </c>
      <c r="D2411" s="528">
        <f>ROUND(C2411/$C$2435*$D$2435,0)</f>
        <v>24372</v>
      </c>
      <c r="F2411" s="1944">
        <v>11.19</v>
      </c>
      <c r="G2411" s="597"/>
      <c r="H2411" s="1644">
        <f t="shared" si="2673"/>
        <v>285770</v>
      </c>
      <c r="I2411" s="1644">
        <f t="shared" si="2673"/>
        <v>272723</v>
      </c>
      <c r="K2411" s="1944"/>
      <c r="L2411" s="597"/>
      <c r="M2411" s="1944"/>
      <c r="N2411" s="597"/>
      <c r="O2411" s="1944"/>
      <c r="P2411" s="597"/>
      <c r="Q2411" s="1944"/>
      <c r="R2411" s="597"/>
      <c r="S2411" s="1644"/>
      <c r="T2411" s="1645"/>
      <c r="U2411" s="1644"/>
      <c r="V2411" s="1645"/>
      <c r="W2411" s="1644"/>
      <c r="X2411" s="1645"/>
      <c r="Y2411" s="1644"/>
    </row>
    <row r="2412" spans="1:26" hidden="1">
      <c r="A2412" s="1900" t="s">
        <v>261</v>
      </c>
      <c r="C2412" s="528">
        <f>'31'!Y2</f>
        <v>29038</v>
      </c>
      <c r="D2412" s="528">
        <f>ROUND(C2412/$C$2435*$D$2435,0)</f>
        <v>27713</v>
      </c>
      <c r="F2412" s="1944">
        <v>-1.1299999999999999</v>
      </c>
      <c r="G2412" s="597"/>
      <c r="H2412" s="1644">
        <f t="shared" si="2673"/>
        <v>-32813</v>
      </c>
      <c r="I2412" s="1644">
        <f t="shared" si="2673"/>
        <v>-31316</v>
      </c>
      <c r="K2412" s="1944">
        <f>K2308</f>
        <v>-1.1299999999999999</v>
      </c>
      <c r="L2412" s="597"/>
      <c r="M2412" s="1944">
        <f>M2308</f>
        <v>0</v>
      </c>
      <c r="N2412" s="597"/>
      <c r="O2412" s="1944">
        <f>O2308</f>
        <v>0</v>
      </c>
      <c r="P2412" s="597"/>
      <c r="Q2412" s="1944">
        <f>Q2308</f>
        <v>-1.1299999999999999</v>
      </c>
      <c r="R2412" s="597"/>
      <c r="S2412" s="1644">
        <f t="shared" ref="S2412:Y2412" si="2699">ROUND($D2412*K2412,0)</f>
        <v>-31316</v>
      </c>
      <c r="T2412" s="1645"/>
      <c r="U2412" s="1644">
        <f t="shared" si="2699"/>
        <v>0</v>
      </c>
      <c r="V2412" s="1645"/>
      <c r="W2412" s="1644">
        <f t="shared" si="2699"/>
        <v>0</v>
      </c>
      <c r="X2412" s="1645"/>
      <c r="Y2412" s="1644">
        <f t="shared" si="2699"/>
        <v>-31316</v>
      </c>
    </row>
    <row r="2413" spans="1:26" hidden="1">
      <c r="A2413" s="1900" t="s">
        <v>188</v>
      </c>
      <c r="C2413" s="528">
        <f>'31'!AA2</f>
        <v>1183200</v>
      </c>
      <c r="D2413" s="528">
        <f>D2435-SUM(D2414:D2415,D2428:D2430)</f>
        <v>1135181.6666666567</v>
      </c>
      <c r="F2413" s="1943">
        <v>5.0473999999999997</v>
      </c>
      <c r="G2413" s="1921" t="s">
        <v>495</v>
      </c>
      <c r="H2413" s="1644">
        <f t="shared" ref="H2413:I2415" si="2700">ROUND($F2413*C2413/100,0)</f>
        <v>59721</v>
      </c>
      <c r="I2413" s="1644">
        <f t="shared" si="2700"/>
        <v>57297</v>
      </c>
      <c r="K2413" s="1943"/>
      <c r="L2413" s="1921"/>
      <c r="M2413" s="1943"/>
      <c r="N2413" s="1921"/>
      <c r="O2413" s="1943"/>
      <c r="P2413" s="1921"/>
      <c r="Q2413" s="1943"/>
      <c r="R2413" s="1921"/>
      <c r="S2413" s="1644"/>
      <c r="T2413" s="1648"/>
      <c r="U2413" s="1644"/>
      <c r="V2413" s="1648"/>
      <c r="W2413" s="1644"/>
      <c r="X2413" s="1648"/>
      <c r="Y2413" s="1644"/>
    </row>
    <row r="2414" spans="1:26" hidden="1">
      <c r="A2414" s="1900" t="s">
        <v>163</v>
      </c>
      <c r="C2414" s="528">
        <f>'31'!AB2</f>
        <v>5407200</v>
      </c>
      <c r="D2414" s="528">
        <f>ROUND(C2414/($C$2435-$C$2434)*$D$2435,0)</f>
        <v>5187756</v>
      </c>
      <c r="F2414" s="1943">
        <v>3.9510999999999998</v>
      </c>
      <c r="G2414" s="1921" t="s">
        <v>495</v>
      </c>
      <c r="H2414" s="1644">
        <f t="shared" si="2700"/>
        <v>213644</v>
      </c>
      <c r="I2414" s="1644">
        <f t="shared" si="2700"/>
        <v>204973</v>
      </c>
      <c r="K2414" s="1943"/>
      <c r="L2414" s="1921"/>
      <c r="M2414" s="1943"/>
      <c r="N2414" s="1921"/>
      <c r="O2414" s="1943"/>
      <c r="P2414" s="1921"/>
      <c r="Q2414" s="1943"/>
      <c r="R2414" s="1921"/>
      <c r="S2414" s="1644"/>
      <c r="T2414" s="1648"/>
      <c r="U2414" s="1644"/>
      <c r="V2414" s="1648"/>
      <c r="W2414" s="1644"/>
      <c r="X2414" s="1648"/>
      <c r="Y2414" s="1644"/>
    </row>
    <row r="2415" spans="1:26" hidden="1">
      <c r="A2415" s="1900" t="s">
        <v>249</v>
      </c>
      <c r="C2415" s="856">
        <f>'31'!AC2</f>
        <v>9055200</v>
      </c>
      <c r="D2415" s="856">
        <f>ROUND(C2415/($C$2435-$C$2434)*$D$2435,0)</f>
        <v>8687706</v>
      </c>
      <c r="F2415" s="2003">
        <v>3.4001999999999999</v>
      </c>
      <c r="G2415" s="1921" t="s">
        <v>495</v>
      </c>
      <c r="H2415" s="1654">
        <f t="shared" si="2700"/>
        <v>307895</v>
      </c>
      <c r="I2415" s="1654">
        <f t="shared" si="2700"/>
        <v>295399</v>
      </c>
      <c r="K2415" s="2003"/>
      <c r="L2415" s="1921"/>
      <c r="M2415" s="2003"/>
      <c r="N2415" s="1921"/>
      <c r="O2415" s="2003"/>
      <c r="P2415" s="1921"/>
      <c r="Q2415" s="2003"/>
      <c r="R2415" s="1921"/>
      <c r="S2415" s="1654"/>
      <c r="T2415" s="1648"/>
      <c r="U2415" s="1654"/>
      <c r="V2415" s="1648"/>
      <c r="W2415" s="1654"/>
      <c r="X2415" s="1648"/>
      <c r="Y2415" s="1654"/>
    </row>
    <row r="2416" spans="1:26" hidden="1">
      <c r="A2416" s="1900" t="s">
        <v>1240</v>
      </c>
      <c r="C2416" s="584"/>
      <c r="D2416" s="584"/>
      <c r="F2416" s="1930">
        <v>-3.1800000000000002E-2</v>
      </c>
      <c r="G2416" s="597"/>
      <c r="H2416" s="1644">
        <f>SUM(H2410:H2411,H2413:H2415)*$F2416</f>
        <v>-29303.382000000001</v>
      </c>
      <c r="I2416" s="1644">
        <f>SUM(I2410:I2411,I2413:I2415)*$F2416</f>
        <v>-28059.1116</v>
      </c>
      <c r="K2416" s="1930"/>
      <c r="L2416" s="597"/>
      <c r="M2416" s="1930"/>
      <c r="N2416" s="597"/>
      <c r="O2416" s="1931" t="str">
        <f>$O$43</f>
        <v>Tax Year 1 (7/1/2021)</v>
      </c>
      <c r="P2416" s="597"/>
      <c r="Q2416" s="1930">
        <f t="shared" ref="Q2416:Q2417" si="2701">Q2312</f>
        <v>-2.6499999999999999E-2</v>
      </c>
      <c r="R2416" s="597"/>
      <c r="S2416" s="1644"/>
      <c r="T2416" s="1645"/>
      <c r="U2416" s="1644"/>
      <c r="V2416" s="1645"/>
      <c r="W2416" s="1644"/>
      <c r="X2416" s="1645"/>
      <c r="Y2416" s="1644">
        <f>Q2416*SUM(Y2404:Y2409)</f>
        <v>-24475.691500000001</v>
      </c>
    </row>
    <row r="2417" spans="1:26" hidden="1">
      <c r="A2417" s="1900"/>
      <c r="C2417" s="584"/>
      <c r="D2417" s="584"/>
      <c r="F2417" s="1930"/>
      <c r="G2417" s="597"/>
      <c r="H2417" s="1644"/>
      <c r="I2417" s="1644"/>
      <c r="K2417" s="1930"/>
      <c r="L2417" s="597"/>
      <c r="M2417" s="1930"/>
      <c r="N2417" s="597"/>
      <c r="O2417" s="1931" t="str">
        <f>$O$44</f>
        <v>Tax Year 2 (1/1/2022)</v>
      </c>
      <c r="P2417" s="597"/>
      <c r="Q2417" s="1930">
        <f t="shared" si="2701"/>
        <v>-1.44E-2</v>
      </c>
      <c r="R2417" s="597"/>
      <c r="S2417" s="1644"/>
      <c r="T2417" s="1645"/>
      <c r="U2417" s="1644"/>
      <c r="V2417" s="1645"/>
      <c r="W2417" s="1644"/>
      <c r="X2417" s="1645"/>
      <c r="Y2417" s="1644">
        <f>Q2417*SUM(Y2404:Y2409)</f>
        <v>-13299.9984</v>
      </c>
    </row>
    <row r="2418" spans="1:26" hidden="1">
      <c r="A2418" s="1897" t="s">
        <v>444</v>
      </c>
      <c r="C2418" s="528"/>
      <c r="D2418" s="528"/>
      <c r="F2418" s="1944"/>
      <c r="G2418" s="597"/>
      <c r="H2418" s="1644"/>
      <c r="I2418" s="1644"/>
      <c r="K2418" s="1944"/>
      <c r="L2418" s="597"/>
      <c r="M2418" s="1944"/>
      <c r="N2418" s="597"/>
      <c r="O2418" s="1944"/>
      <c r="P2418" s="597"/>
      <c r="Q2418" s="1944"/>
      <c r="R2418" s="597"/>
      <c r="S2418" s="1644"/>
      <c r="T2418" s="1645"/>
      <c r="U2418" s="1644"/>
      <c r="V2418" s="1645"/>
      <c r="W2418" s="1644"/>
      <c r="X2418" s="1645"/>
      <c r="Y2418" s="1644"/>
    </row>
    <row r="2419" spans="1:26" hidden="1">
      <c r="A2419" s="1900" t="s">
        <v>168</v>
      </c>
      <c r="C2419" s="528">
        <f>'31'!K3</f>
        <v>180394</v>
      </c>
      <c r="D2419" s="528">
        <f>ROUND(C2419/$C$2435*$D$2435,0)</f>
        <v>172160</v>
      </c>
      <c r="F2419" s="1944">
        <v>2.2200000000000002</v>
      </c>
      <c r="G2419" s="597"/>
      <c r="H2419" s="1644">
        <f t="shared" ref="H2419:I2427" si="2702">ROUND($F2419*C2419,0)</f>
        <v>400475</v>
      </c>
      <c r="I2419" s="1644">
        <f t="shared" si="2702"/>
        <v>382195</v>
      </c>
      <c r="K2419" s="1944">
        <f t="shared" ref="K2419" si="2703">K2315</f>
        <v>2.2999999999999998</v>
      </c>
      <c r="L2419" s="597"/>
      <c r="M2419" s="1944">
        <f t="shared" ref="M2419" si="2704">M2315</f>
        <v>0</v>
      </c>
      <c r="N2419" s="597"/>
      <c r="O2419" s="1944">
        <f t="shared" ref="O2419" si="2705">O2315</f>
        <v>0</v>
      </c>
      <c r="P2419" s="597"/>
      <c r="Q2419" s="1944">
        <f t="shared" ref="Q2419:Q2425" si="2706">Q2315</f>
        <v>2.2999999999999998</v>
      </c>
      <c r="R2419" s="597"/>
      <c r="S2419" s="1644">
        <f t="shared" ref="S2419:Y2421" si="2707">ROUND($D2419*K2419,0)</f>
        <v>395968</v>
      </c>
      <c r="T2419" s="1645"/>
      <c r="U2419" s="1644">
        <f t="shared" si="2707"/>
        <v>0</v>
      </c>
      <c r="V2419" s="1645"/>
      <c r="W2419" s="1644">
        <f t="shared" si="2707"/>
        <v>0</v>
      </c>
      <c r="X2419" s="1645"/>
      <c r="Y2419" s="1644">
        <f t="shared" si="2707"/>
        <v>395968</v>
      </c>
      <c r="Z2419" s="1878" t="s">
        <v>251</v>
      </c>
    </row>
    <row r="2420" spans="1:26" hidden="1">
      <c r="A2420" s="1900" t="s">
        <v>1651</v>
      </c>
      <c r="C2420" s="528">
        <f>C2426*Z2420</f>
        <v>67973.491261621748</v>
      </c>
      <c r="D2420" s="528">
        <f>ROUND(C2420/$C$2435*$D$2435,0)</f>
        <v>64871</v>
      </c>
      <c r="F2420" s="1944"/>
      <c r="G2420" s="597"/>
      <c r="H2420" s="1644"/>
      <c r="I2420" s="1644"/>
      <c r="K2420" s="1944">
        <f t="shared" ref="K2420" si="2708">K2316</f>
        <v>4.8</v>
      </c>
      <c r="L2420" s="597"/>
      <c r="M2420" s="1944">
        <f t="shared" ref="M2420" si="2709">M2316</f>
        <v>9.68</v>
      </c>
      <c r="N2420" s="597"/>
      <c r="O2420" s="1944">
        <f t="shared" ref="O2420" si="2710">O2316</f>
        <v>0</v>
      </c>
      <c r="P2420" s="597"/>
      <c r="Q2420" s="1944">
        <f t="shared" si="2706"/>
        <v>14.48</v>
      </c>
      <c r="R2420" s="597"/>
      <c r="S2420" s="1644">
        <f t="shared" si="2707"/>
        <v>311381</v>
      </c>
      <c r="T2420" s="1645"/>
      <c r="U2420" s="1644">
        <f t="shared" si="2707"/>
        <v>627951</v>
      </c>
      <c r="V2420" s="1645"/>
      <c r="W2420" s="1644">
        <f t="shared" si="2707"/>
        <v>0</v>
      </c>
      <c r="X2420" s="1645"/>
      <c r="Y2420" s="1644">
        <f t="shared" si="2707"/>
        <v>939332</v>
      </c>
      <c r="Z2420" s="1878">
        <f>Z1502</f>
        <v>0.81143000192935111</v>
      </c>
    </row>
    <row r="2421" spans="1:26" hidden="1">
      <c r="A2421" s="1900" t="s">
        <v>1652</v>
      </c>
      <c r="C2421" s="528">
        <f>C2427*Z2421</f>
        <v>106254.25738261671</v>
      </c>
      <c r="D2421" s="528">
        <f>ROUND(C2421/$C$2435*$D$2435,0)</f>
        <v>101404</v>
      </c>
      <c r="F2421" s="1944"/>
      <c r="G2421" s="597"/>
      <c r="H2421" s="1644"/>
      <c r="I2421" s="1644"/>
      <c r="K2421" s="1944">
        <f t="shared" ref="K2421" si="2711">K2317</f>
        <v>4.25</v>
      </c>
      <c r="L2421" s="597"/>
      <c r="M2421" s="1944">
        <f t="shared" ref="M2421" si="2712">M2317</f>
        <v>8.56</v>
      </c>
      <c r="N2421" s="597"/>
      <c r="O2421" s="1944">
        <f t="shared" ref="O2421" si="2713">O2317</f>
        <v>0</v>
      </c>
      <c r="P2421" s="597"/>
      <c r="Q2421" s="1944">
        <f t="shared" si="2706"/>
        <v>12.81</v>
      </c>
      <c r="R2421" s="597"/>
      <c r="S2421" s="1644">
        <f t="shared" si="2707"/>
        <v>430967</v>
      </c>
      <c r="T2421" s="1645"/>
      <c r="U2421" s="1644">
        <f t="shared" si="2707"/>
        <v>868018</v>
      </c>
      <c r="V2421" s="1645"/>
      <c r="W2421" s="1644">
        <f t="shared" si="2707"/>
        <v>0</v>
      </c>
      <c r="X2421" s="1645"/>
      <c r="Y2421" s="1644">
        <f t="shared" si="2707"/>
        <v>1298985</v>
      </c>
      <c r="Z2421" s="1878">
        <f>Z1503</f>
        <v>1.1359353572586484</v>
      </c>
    </row>
    <row r="2422" spans="1:26" hidden="1">
      <c r="A2422" s="1900" t="s">
        <v>1532</v>
      </c>
      <c r="C2422" s="528">
        <f>C2428*Z2422</f>
        <v>10440367.057631113</v>
      </c>
      <c r="D2422" s="528">
        <f>ROUND(C2422/($C$2435-$C$2434)*$D$2435,0)</f>
        <v>10016658</v>
      </c>
      <c r="F2422" s="1942"/>
      <c r="G2422" s="1921"/>
      <c r="H2422" s="1644"/>
      <c r="I2422" s="1644"/>
      <c r="K2422" s="1942">
        <f t="shared" ref="K2422" si="2714">K2318</f>
        <v>0</v>
      </c>
      <c r="L2422" s="1921" t="s">
        <v>495</v>
      </c>
      <c r="M2422" s="1942">
        <f t="shared" ref="M2422" si="2715">M2318</f>
        <v>1.0927</v>
      </c>
      <c r="N2422" s="1921" t="s">
        <v>495</v>
      </c>
      <c r="O2422" s="1942">
        <f t="shared" ref="O2422" si="2716">O2318</f>
        <v>4.1108761607000002</v>
      </c>
      <c r="P2422" s="1921" t="s">
        <v>495</v>
      </c>
      <c r="Q2422" s="1942">
        <f t="shared" si="2706"/>
        <v>5.2035761607</v>
      </c>
      <c r="R2422" s="1921" t="s">
        <v>495</v>
      </c>
      <c r="S2422" s="1644">
        <f>ROUND($D2422*K2422/100,0)</f>
        <v>0</v>
      </c>
      <c r="T2422" s="1648"/>
      <c r="U2422" s="1644">
        <f>ROUND($D2422*M2422/100,0)</f>
        <v>109452</v>
      </c>
      <c r="V2422" s="1648"/>
      <c r="W2422" s="1644">
        <f>ROUND($D2422*O2422/100,0)</f>
        <v>411772</v>
      </c>
      <c r="X2422" s="1648"/>
      <c r="Y2422" s="1644">
        <f>ROUND($D2422*Q2422/100,0)</f>
        <v>521224</v>
      </c>
      <c r="Z2422" s="1878">
        <f>Z1504</f>
        <v>0.69164135480564293</v>
      </c>
    </row>
    <row r="2423" spans="1:26" hidden="1">
      <c r="A2423" s="1900" t="s">
        <v>1653</v>
      </c>
      <c r="C2423" s="528">
        <f>C2429*Z2423</f>
        <v>14024745.062600741</v>
      </c>
      <c r="D2423" s="528">
        <f t="shared" ref="D2423" si="2717">ROUND(C2423/($C$2435-$C$2434)*$D$2435,0)</f>
        <v>13455569</v>
      </c>
      <c r="F2423" s="1942"/>
      <c r="G2423" s="1921"/>
      <c r="H2423" s="1644"/>
      <c r="I2423" s="1644"/>
      <c r="K2423" s="1942">
        <f t="shared" ref="K2423" si="2718">K2319</f>
        <v>0</v>
      </c>
      <c r="L2423" s="1921" t="s">
        <v>495</v>
      </c>
      <c r="M2423" s="1942">
        <f t="shared" ref="M2423" si="2719">M2319</f>
        <v>1.0927</v>
      </c>
      <c r="N2423" s="1921" t="s">
        <v>495</v>
      </c>
      <c r="O2423" s="1942">
        <f t="shared" ref="O2423" si="2720">O2319</f>
        <v>3.5122346554870001</v>
      </c>
      <c r="P2423" s="1921" t="s">
        <v>495</v>
      </c>
      <c r="Q2423" s="1942">
        <f t="shared" si="2706"/>
        <v>4.6049346554869999</v>
      </c>
      <c r="R2423" s="1921" t="s">
        <v>495</v>
      </c>
      <c r="S2423" s="1644">
        <f t="shared" ref="S2423:Y2425" si="2721">ROUND($D2423*K2423/100,0)</f>
        <v>0</v>
      </c>
      <c r="T2423" s="1648"/>
      <c r="U2423" s="1644">
        <f t="shared" si="2721"/>
        <v>147029</v>
      </c>
      <c r="V2423" s="1648"/>
      <c r="W2423" s="1644">
        <f t="shared" si="2721"/>
        <v>472591</v>
      </c>
      <c r="X2423" s="1648"/>
      <c r="Y2423" s="1644">
        <f t="shared" si="2721"/>
        <v>619620</v>
      </c>
      <c r="Z2423" s="1878">
        <f>Z1505</f>
        <v>0.49962363006591026</v>
      </c>
    </row>
    <row r="2424" spans="1:26" hidden="1">
      <c r="A2424" s="1900" t="s">
        <v>1533</v>
      </c>
      <c r="C2424" s="528">
        <f>SUM(C2428:C2430)*Z2424</f>
        <v>32378671.743687563</v>
      </c>
      <c r="D2424" s="528">
        <f t="shared" ref="D2424" si="2722">ROUND(C2424/($C$2435-$C$2434)*$D$2435,0)</f>
        <v>31064625</v>
      </c>
      <c r="F2424" s="1942"/>
      <c r="G2424" s="1921"/>
      <c r="H2424" s="1644"/>
      <c r="I2424" s="1644"/>
      <c r="K2424" s="1942">
        <f t="shared" ref="K2424" si="2723">K2320</f>
        <v>0</v>
      </c>
      <c r="L2424" s="1921" t="s">
        <v>495</v>
      </c>
      <c r="M2424" s="1942">
        <f t="shared" ref="M2424" si="2724">M2320</f>
        <v>1.0927</v>
      </c>
      <c r="N2424" s="1921" t="s">
        <v>495</v>
      </c>
      <c r="O2424" s="1942">
        <f t="shared" ref="O2424" si="2725">O2320</f>
        <v>1.5521862361710002</v>
      </c>
      <c r="P2424" s="1921" t="s">
        <v>495</v>
      </c>
      <c r="Q2424" s="1942">
        <f t="shared" si="2706"/>
        <v>2.6448862361710002</v>
      </c>
      <c r="R2424" s="1921" t="s">
        <v>495</v>
      </c>
      <c r="S2424" s="1644">
        <f t="shared" si="2721"/>
        <v>0</v>
      </c>
      <c r="T2424" s="1648"/>
      <c r="U2424" s="1644">
        <f t="shared" si="2721"/>
        <v>339443</v>
      </c>
      <c r="V2424" s="1648"/>
      <c r="W2424" s="1644">
        <f t="shared" si="2721"/>
        <v>482181</v>
      </c>
      <c r="X2424" s="1648"/>
      <c r="Y2424" s="1644">
        <f t="shared" si="2721"/>
        <v>821624</v>
      </c>
      <c r="Z2424" s="1878">
        <f>Z1506</f>
        <v>0.27196615788867357</v>
      </c>
    </row>
    <row r="2425" spans="1:26" hidden="1">
      <c r="A2425" s="1900" t="s">
        <v>2177</v>
      </c>
      <c r="C2425" s="528">
        <f>SUM(C2428:C2430)-SUM(C2422:C2424)</f>
        <v>62210263.136080585</v>
      </c>
      <c r="D2425" s="528">
        <f>D2435-SUM(D2406:D2409,D2422:D2424)</f>
        <v>59685538.666666657</v>
      </c>
      <c r="F2425" s="2004"/>
      <c r="G2425" s="1921"/>
      <c r="H2425" s="1649"/>
      <c r="I2425" s="1649"/>
      <c r="K2425" s="2004">
        <f t="shared" ref="K2425" si="2726">K2321</f>
        <v>0</v>
      </c>
      <c r="L2425" s="1921" t="s">
        <v>495</v>
      </c>
      <c r="M2425" s="2004">
        <f t="shared" ref="M2425" si="2727">M2321</f>
        <v>1.0927</v>
      </c>
      <c r="N2425" s="1921" t="s">
        <v>495</v>
      </c>
      <c r="O2425" s="2004">
        <f t="shared" ref="O2425" si="2728">O2321</f>
        <v>1.247907288647</v>
      </c>
      <c r="P2425" s="1921" t="s">
        <v>495</v>
      </c>
      <c r="Q2425" s="2004">
        <f t="shared" si="2706"/>
        <v>2.340607288647</v>
      </c>
      <c r="R2425" s="1921" t="s">
        <v>495</v>
      </c>
      <c r="S2425" s="1644">
        <f t="shared" si="2721"/>
        <v>0</v>
      </c>
      <c r="T2425" s="1648"/>
      <c r="U2425" s="1644">
        <f t="shared" si="2721"/>
        <v>652184</v>
      </c>
      <c r="V2425" s="1648"/>
      <c r="W2425" s="1644">
        <f t="shared" si="2721"/>
        <v>744820</v>
      </c>
      <c r="X2425" s="1648"/>
      <c r="Y2425" s="1644">
        <f t="shared" si="2721"/>
        <v>1397004</v>
      </c>
    </row>
    <row r="2426" spans="1:26" hidden="1">
      <c r="A2426" s="1900" t="s">
        <v>18</v>
      </c>
      <c r="C2426" s="528">
        <f>'31'!W3</f>
        <v>83770</v>
      </c>
      <c r="D2426" s="528">
        <f>ROUND(C2426/$C$2435*$D$2435,0)</f>
        <v>79946</v>
      </c>
      <c r="F2426" s="1944">
        <v>13.96</v>
      </c>
      <c r="G2426" s="597"/>
      <c r="H2426" s="1644">
        <f t="shared" si="2702"/>
        <v>1169429</v>
      </c>
      <c r="I2426" s="1644">
        <f t="shared" si="2702"/>
        <v>1116046</v>
      </c>
      <c r="K2426" s="1944"/>
      <c r="L2426" s="597"/>
      <c r="M2426" s="1944"/>
      <c r="N2426" s="597"/>
      <c r="O2426" s="1944"/>
      <c r="P2426" s="597"/>
      <c r="Q2426" s="1944"/>
      <c r="R2426" s="597"/>
      <c r="S2426" s="1644"/>
      <c r="T2426" s="1645"/>
      <c r="U2426" s="1644"/>
      <c r="V2426" s="1645"/>
      <c r="W2426" s="1644"/>
      <c r="X2426" s="1645"/>
      <c r="Y2426" s="1644"/>
    </row>
    <row r="2427" spans="1:26" hidden="1">
      <c r="A2427" s="1900" t="s">
        <v>166</v>
      </c>
      <c r="C2427" s="528">
        <f>'31'!X3</f>
        <v>93539</v>
      </c>
      <c r="D2427" s="528">
        <f>ROUND(C2427/$C$2435*$D$2435,0)</f>
        <v>89269</v>
      </c>
      <c r="F2427" s="1944">
        <v>9.4700000000000006</v>
      </c>
      <c r="G2427" s="597"/>
      <c r="H2427" s="1644">
        <f t="shared" si="2702"/>
        <v>885814</v>
      </c>
      <c r="I2427" s="1644">
        <f t="shared" si="2702"/>
        <v>845377</v>
      </c>
      <c r="K2427" s="1944"/>
      <c r="L2427" s="597"/>
      <c r="M2427" s="1944"/>
      <c r="N2427" s="597"/>
      <c r="O2427" s="1944"/>
      <c r="P2427" s="597"/>
      <c r="Q2427" s="1944"/>
      <c r="R2427" s="597"/>
      <c r="S2427" s="1644"/>
      <c r="T2427" s="1645"/>
      <c r="U2427" s="1644"/>
      <c r="V2427" s="1645"/>
      <c r="W2427" s="1644"/>
      <c r="X2427" s="1645"/>
      <c r="Y2427" s="1644"/>
    </row>
    <row r="2428" spans="1:26" hidden="1">
      <c r="A2428" s="1900" t="s">
        <v>19</v>
      </c>
      <c r="C2428" s="528">
        <f>'31'!AA3</f>
        <v>15095059</v>
      </c>
      <c r="D2428" s="528">
        <f>ROUND(C2428/($C$2435-$C$2434)*$D$2435,0)</f>
        <v>14482445</v>
      </c>
      <c r="F2428" s="1942">
        <v>4.6531000000000002</v>
      </c>
      <c r="G2428" s="1921" t="s">
        <v>495</v>
      </c>
      <c r="H2428" s="1644">
        <f t="shared" ref="H2428:I2430" si="2729">ROUND($F2428*C2428/100,0)</f>
        <v>702388</v>
      </c>
      <c r="I2428" s="1644">
        <f t="shared" si="2729"/>
        <v>673883</v>
      </c>
      <c r="K2428" s="1942"/>
      <c r="L2428" s="1921"/>
      <c r="M2428" s="1942"/>
      <c r="N2428" s="1921"/>
      <c r="O2428" s="1942"/>
      <c r="P2428" s="1921"/>
      <c r="Q2428" s="1942"/>
      <c r="R2428" s="1921"/>
      <c r="S2428" s="1644"/>
      <c r="T2428" s="1648"/>
      <c r="U2428" s="1644"/>
      <c r="V2428" s="1648"/>
      <c r="W2428" s="1644"/>
      <c r="X2428" s="1648"/>
      <c r="Y2428" s="1644"/>
    </row>
    <row r="2429" spans="1:26" hidden="1">
      <c r="A2429" s="1900" t="s">
        <v>257</v>
      </c>
      <c r="C2429" s="528">
        <f>'31'!AB3</f>
        <v>28070620</v>
      </c>
      <c r="D2429" s="528">
        <f>ROUND(C2429/($C$2435-$C$2434)*$D$2435,0)</f>
        <v>26931410</v>
      </c>
      <c r="F2429" s="1942">
        <v>3.4988999999999999</v>
      </c>
      <c r="G2429" s="1921" t="s">
        <v>495</v>
      </c>
      <c r="H2429" s="1644">
        <f t="shared" si="2729"/>
        <v>982163</v>
      </c>
      <c r="I2429" s="1644">
        <f t="shared" si="2729"/>
        <v>942303</v>
      </c>
      <c r="K2429" s="1942"/>
      <c r="L2429" s="1921"/>
      <c r="M2429" s="1942"/>
      <c r="N2429" s="1921"/>
      <c r="O2429" s="1942"/>
      <c r="P2429" s="1921"/>
      <c r="Q2429" s="1942"/>
      <c r="R2429" s="1921"/>
      <c r="S2429" s="1644"/>
      <c r="T2429" s="1648"/>
      <c r="U2429" s="1644"/>
      <c r="V2429" s="1648"/>
      <c r="W2429" s="1644"/>
      <c r="X2429" s="1648"/>
      <c r="Y2429" s="1644"/>
    </row>
    <row r="2430" spans="1:26" hidden="1">
      <c r="A2430" s="1900" t="s">
        <v>249</v>
      </c>
      <c r="C2430" s="586">
        <f>'31'!AC3</f>
        <v>75888368</v>
      </c>
      <c r="D2430" s="586">
        <f>ROUND(C2430/($C$2435-$C$2434)*$D$2435,0)</f>
        <v>72808535</v>
      </c>
      <c r="F2430" s="2004">
        <v>2.9224999999999999</v>
      </c>
      <c r="G2430" s="1921" t="s">
        <v>495</v>
      </c>
      <c r="H2430" s="1649">
        <f t="shared" si="2729"/>
        <v>2217838</v>
      </c>
      <c r="I2430" s="1649">
        <f t="shared" si="2729"/>
        <v>2127829</v>
      </c>
      <c r="K2430" s="2004"/>
      <c r="L2430" s="1921"/>
      <c r="M2430" s="2004"/>
      <c r="N2430" s="1921"/>
      <c r="O2430" s="2004"/>
      <c r="P2430" s="1921"/>
      <c r="Q2430" s="2004"/>
      <c r="R2430" s="1921"/>
      <c r="S2430" s="1649"/>
      <c r="T2430" s="1648"/>
      <c r="U2430" s="1649"/>
      <c r="V2430" s="1648"/>
      <c r="W2430" s="1649"/>
      <c r="X2430" s="1648"/>
      <c r="Y2430" s="1649"/>
    </row>
    <row r="2431" spans="1:26" hidden="1">
      <c r="A2431" s="1900" t="s">
        <v>1240</v>
      </c>
      <c r="C2431" s="584"/>
      <c r="D2431" s="584"/>
      <c r="F2431" s="2005">
        <v>-3.0700000000000002E-2</v>
      </c>
      <c r="G2431" s="597"/>
      <c r="H2431" s="2006">
        <f>SUM(H2426:H2430)*$F2431</f>
        <v>-182899.30240000002</v>
      </c>
      <c r="I2431" s="2006">
        <f>SUM(I2426:I2430)*$F2431</f>
        <v>-175156.9466</v>
      </c>
      <c r="K2431" s="2005"/>
      <c r="L2431" s="597"/>
      <c r="M2431" s="2005"/>
      <c r="N2431" s="597"/>
      <c r="O2431" s="1931" t="str">
        <f>$O$43</f>
        <v>Tax Year 1 (7/1/2021)</v>
      </c>
      <c r="P2431" s="597"/>
      <c r="Q2431" s="1930">
        <f t="shared" ref="Q2431:Q2432" si="2730">Q2327</f>
        <v>-2.5700000000000001E-2</v>
      </c>
      <c r="R2431" s="597"/>
      <c r="S2431" s="1644"/>
      <c r="T2431" s="1645"/>
      <c r="U2431" s="1644"/>
      <c r="V2431" s="1645"/>
      <c r="W2431" s="1644"/>
      <c r="X2431" s="1645"/>
      <c r="Y2431" s="1644">
        <f>Q2431*SUM(Y2420:Y2425)</f>
        <v>-143863.17730000001</v>
      </c>
    </row>
    <row r="2432" spans="1:26" hidden="1">
      <c r="A2432" s="1900"/>
      <c r="C2432" s="584"/>
      <c r="D2432" s="584"/>
      <c r="F2432" s="1997"/>
      <c r="G2432" s="597"/>
      <c r="H2432" s="1645"/>
      <c r="I2432" s="1645"/>
      <c r="K2432" s="1997"/>
      <c r="L2432" s="597"/>
      <c r="M2432" s="1997"/>
      <c r="N2432" s="597"/>
      <c r="O2432" s="1931" t="str">
        <f>$O$44</f>
        <v>Tax Year 2 (1/1/2022)</v>
      </c>
      <c r="P2432" s="597"/>
      <c r="Q2432" s="1930">
        <f t="shared" si="2730"/>
        <v>-1.3899999999999999E-2</v>
      </c>
      <c r="R2432" s="597"/>
      <c r="S2432" s="1644"/>
      <c r="T2432" s="1645"/>
      <c r="U2432" s="1644"/>
      <c r="V2432" s="1645"/>
      <c r="W2432" s="1644"/>
      <c r="X2432" s="1645"/>
      <c r="Y2432" s="1644">
        <f>Q2432*SUM(Y2420:Y2425)</f>
        <v>-77809.267099999997</v>
      </c>
    </row>
    <row r="2433" spans="1:28" hidden="1">
      <c r="A2433" s="1900" t="s">
        <v>397</v>
      </c>
      <c r="C2433" s="584"/>
      <c r="D2433" s="584"/>
      <c r="F2433" s="1872"/>
      <c r="G2433" s="1921"/>
      <c r="H2433" s="1645">
        <f>SUM(H2403:H2431)</f>
        <v>7173235.3155999994</v>
      </c>
      <c r="I2433" s="1645">
        <f>SUM(I2403:I2431)</f>
        <v>6867785.9417999992</v>
      </c>
      <c r="K2433" s="1872"/>
      <c r="L2433" s="1921"/>
      <c r="M2433" s="1872"/>
      <c r="N2433" s="1921"/>
      <c r="O2433" s="1872"/>
      <c r="P2433" s="1921"/>
      <c r="Q2433" s="1872"/>
      <c r="R2433" s="1921"/>
      <c r="S2433" s="1645">
        <f>SUM(S2403:S2415,S2419:S2430)</f>
        <v>1433119</v>
      </c>
      <c r="T2433" s="1648"/>
      <c r="U2433" s="1645">
        <f>SUM(U2403:U2415,U2419:U2430)</f>
        <v>3184516</v>
      </c>
      <c r="V2433" s="1648"/>
      <c r="W2433" s="1645">
        <f>SUM(W2403:W2415,W2419:W2430)</f>
        <v>2402964</v>
      </c>
      <c r="X2433" s="1648"/>
      <c r="Y2433" s="1645">
        <f>SUM(Y2403:Y2415,Y2419:Y2430)</f>
        <v>7020599</v>
      </c>
    </row>
    <row r="2434" spans="1:28" hidden="1">
      <c r="A2434" s="1869" t="s">
        <v>136</v>
      </c>
      <c r="C2434" s="585">
        <f>'Table 2'!J63</f>
        <v>714620</v>
      </c>
      <c r="D2434" s="585">
        <v>0</v>
      </c>
      <c r="F2434" s="1943"/>
      <c r="G2434" s="1957"/>
      <c r="H2434" s="1030">
        <f>'Table 3'!F63</f>
        <v>48878</v>
      </c>
      <c r="I2434" s="1030">
        <v>0</v>
      </c>
      <c r="K2434" s="1943"/>
      <c r="L2434" s="1957"/>
      <c r="M2434" s="1943"/>
      <c r="N2434" s="1957"/>
      <c r="O2434" s="1943"/>
      <c r="P2434" s="1957"/>
      <c r="Q2434" s="1943"/>
      <c r="R2434" s="1957"/>
      <c r="S2434" s="1030"/>
      <c r="T2434" s="1645"/>
      <c r="U2434" s="1030"/>
      <c r="V2434" s="1645"/>
      <c r="W2434" s="1030"/>
      <c r="X2434" s="1645"/>
      <c r="Y2434" s="1030"/>
    </row>
    <row r="2435" spans="1:28" ht="16.5" hidden="1" thickBot="1">
      <c r="A2435" s="1900" t="s">
        <v>173</v>
      </c>
      <c r="C2435" s="1949">
        <f>SUM(C2413:C2415,C2428:C2430,C2434)</f>
        <v>135414267</v>
      </c>
      <c r="D2435" s="1949">
        <f>Energy!P42</f>
        <v>129233033.66666666</v>
      </c>
      <c r="F2435" s="1939"/>
      <c r="H2435" s="1647">
        <f>H2400+H2433+H2434</f>
        <v>8326593.3155999994</v>
      </c>
      <c r="I2435" s="1647">
        <f>I2400+I2433+I2434</f>
        <v>7923823.9417999992</v>
      </c>
      <c r="K2435" s="1939"/>
      <c r="M2435" s="1939"/>
      <c r="O2435" s="1939"/>
      <c r="Q2435" s="1939"/>
      <c r="S2435" s="1647">
        <f>S2400+S2433</f>
        <v>2034270</v>
      </c>
      <c r="U2435" s="1647">
        <f>U2400+U2433</f>
        <v>3614655</v>
      </c>
      <c r="W2435" s="1647">
        <f>W2400+W2433</f>
        <v>2402964</v>
      </c>
      <c r="Y2435" s="1647">
        <f>Y2400+Y2433</f>
        <v>8051886</v>
      </c>
      <c r="AA2435" s="1104" t="s">
        <v>1743</v>
      </c>
      <c r="AB2435" s="1890">
        <f>Y2435/I2435-1</f>
        <v>1.6161648610646617E-2</v>
      </c>
    </row>
    <row r="2436" spans="1:28" ht="16.5" hidden="1" thickTop="1"/>
    <row r="2437" spans="1:28" hidden="1">
      <c r="A2437" s="1897" t="s">
        <v>939</v>
      </c>
      <c r="C2437" s="528"/>
      <c r="D2437" s="528"/>
      <c r="F2437" s="1943"/>
      <c r="G2437" s="1957"/>
      <c r="K2437" s="1943"/>
      <c r="L2437" s="1957"/>
      <c r="M2437" s="1943"/>
      <c r="N2437" s="1957"/>
      <c r="O2437" s="1943"/>
      <c r="P2437" s="1957"/>
      <c r="Q2437" s="1943"/>
      <c r="R2437" s="1957"/>
      <c r="S2437" s="1645"/>
      <c r="T2437" s="1645"/>
      <c r="U2437" s="1645"/>
      <c r="V2437" s="1645"/>
      <c r="W2437" s="1645"/>
      <c r="X2437" s="1645"/>
    </row>
    <row r="2438" spans="1:28" hidden="1">
      <c r="A2438" s="1987" t="s">
        <v>181</v>
      </c>
      <c r="C2438" s="528"/>
      <c r="D2438" s="528"/>
    </row>
    <row r="2439" spans="1:28" hidden="1">
      <c r="A2439" s="1900" t="s">
        <v>312</v>
      </c>
      <c r="C2439" s="528"/>
      <c r="D2439" s="528"/>
      <c r="F2439" s="2000">
        <v>133</v>
      </c>
      <c r="G2439" s="1902"/>
      <c r="H2439" s="1644">
        <f>ROUND($F2439*C2439,0)</f>
        <v>0</v>
      </c>
      <c r="I2439" s="1644">
        <f>ROUND($F2439*D2439,0)</f>
        <v>0</v>
      </c>
      <c r="K2439" s="2000">
        <f>K2231</f>
        <v>138</v>
      </c>
      <c r="L2439" s="1902"/>
      <c r="M2439" s="2000">
        <f>M2231</f>
        <v>0</v>
      </c>
      <c r="N2439" s="1902"/>
      <c r="O2439" s="2000">
        <f>O2231</f>
        <v>0</v>
      </c>
      <c r="P2439" s="1902"/>
      <c r="Q2439" s="2000">
        <f>Q2231</f>
        <v>138</v>
      </c>
      <c r="R2439" s="1902"/>
      <c r="S2439" s="1644">
        <f>ROUND($D2439*K2439,0)</f>
        <v>0</v>
      </c>
      <c r="T2439" s="1643"/>
      <c r="U2439" s="1644">
        <f>ROUND($D2439*M2439,0)</f>
        <v>0</v>
      </c>
      <c r="V2439" s="1643"/>
      <c r="W2439" s="1644">
        <f>ROUND($D2439*O2439,0)</f>
        <v>0</v>
      </c>
      <c r="X2439" s="1643"/>
      <c r="Y2439" s="1644">
        <f>ROUND($D2439*Q2439,0)</f>
        <v>0</v>
      </c>
    </row>
    <row r="2440" spans="1:28" hidden="1">
      <c r="A2440" s="1900" t="s">
        <v>313</v>
      </c>
      <c r="C2440" s="528"/>
      <c r="D2440" s="528"/>
      <c r="F2440" s="2000">
        <v>5.6</v>
      </c>
      <c r="G2440" s="1902"/>
      <c r="H2440" s="1644">
        <f>ROUND($F2440*C2440,0)</f>
        <v>0</v>
      </c>
      <c r="I2440" s="1644">
        <f>ROUND($F2440*D2440,0)</f>
        <v>0</v>
      </c>
      <c r="K2440" s="2000">
        <f>K2232</f>
        <v>5.81</v>
      </c>
      <c r="L2440" s="1902"/>
      <c r="M2440" s="2000">
        <f>M2232</f>
        <v>0</v>
      </c>
      <c r="N2440" s="1902"/>
      <c r="O2440" s="2000">
        <f>O2232</f>
        <v>0</v>
      </c>
      <c r="P2440" s="1902"/>
      <c r="Q2440" s="2000">
        <f>Q2232</f>
        <v>5.81</v>
      </c>
      <c r="R2440" s="1902"/>
      <c r="S2440" s="1644">
        <f>ROUND($D2440*K2440,0)</f>
        <v>0</v>
      </c>
      <c r="T2440" s="1643"/>
      <c r="U2440" s="1644">
        <f>ROUND($D2440*M2440,0)</f>
        <v>0</v>
      </c>
      <c r="V2440" s="1643"/>
      <c r="W2440" s="1644">
        <f>ROUND($D2440*O2440,0)</f>
        <v>0</v>
      </c>
      <c r="X2440" s="1643"/>
      <c r="Y2440" s="1644">
        <f>ROUND($D2440*Q2440,0)</f>
        <v>0</v>
      </c>
    </row>
    <row r="2441" spans="1:28" hidden="1">
      <c r="A2441" s="1900" t="s">
        <v>314</v>
      </c>
      <c r="C2441" s="528"/>
      <c r="D2441" s="528"/>
      <c r="F2441" s="2001"/>
      <c r="G2441" s="597"/>
      <c r="H2441" s="1644"/>
      <c r="I2441" s="1644"/>
      <c r="K2441" s="2001"/>
      <c r="L2441" s="597"/>
      <c r="M2441" s="2001"/>
      <c r="N2441" s="597"/>
      <c r="O2441" s="2001"/>
      <c r="P2441" s="597"/>
      <c r="Q2441" s="2001"/>
      <c r="R2441" s="597"/>
      <c r="S2441" s="1644"/>
      <c r="T2441" s="1645"/>
      <c r="U2441" s="1644"/>
      <c r="V2441" s="1645"/>
      <c r="W2441" s="1644"/>
      <c r="X2441" s="1645"/>
      <c r="Y2441" s="1644"/>
    </row>
    <row r="2442" spans="1:28" hidden="1">
      <c r="A2442" s="1900" t="s">
        <v>315</v>
      </c>
      <c r="C2442" s="528"/>
      <c r="D2442" s="528"/>
      <c r="F2442" s="2000"/>
      <c r="G2442" s="1991"/>
      <c r="H2442" s="1644"/>
      <c r="I2442" s="1644"/>
      <c r="K2442" s="2000"/>
      <c r="L2442" s="1991"/>
      <c r="M2442" s="2000"/>
      <c r="N2442" s="1991"/>
      <c r="O2442" s="2000"/>
      <c r="P2442" s="1991"/>
      <c r="Q2442" s="2000"/>
      <c r="R2442" s="1991"/>
      <c r="S2442" s="1644"/>
      <c r="T2442" s="1643"/>
      <c r="U2442" s="1644"/>
      <c r="V2442" s="1643"/>
      <c r="W2442" s="1644"/>
      <c r="X2442" s="1643"/>
      <c r="Y2442" s="1644"/>
      <c r="Z2442" s="1878" t="s">
        <v>251</v>
      </c>
    </row>
    <row r="2443" spans="1:28" hidden="1">
      <c r="A2443" s="1900" t="s">
        <v>1668</v>
      </c>
      <c r="C2443" s="528"/>
      <c r="D2443" s="528"/>
      <c r="F2443" s="2000"/>
      <c r="G2443" s="1991"/>
      <c r="H2443" s="1644"/>
      <c r="I2443" s="1644"/>
      <c r="K2443" s="2000">
        <f t="shared" ref="K2443" si="2731">K2235</f>
        <v>0.42</v>
      </c>
      <c r="L2443" s="1991"/>
      <c r="M2443" s="2000">
        <f t="shared" ref="M2443" si="2732">M2235</f>
        <v>0.49000000000000005</v>
      </c>
      <c r="N2443" s="1991"/>
      <c r="O2443" s="2000">
        <f t="shared" ref="O2443" si="2733">O2235</f>
        <v>0</v>
      </c>
      <c r="P2443" s="1991"/>
      <c r="Q2443" s="2000">
        <f t="shared" ref="Q2443:Q2444" si="2734">Q2235</f>
        <v>0.91</v>
      </c>
      <c r="R2443" s="1991"/>
      <c r="S2443" s="1644">
        <f t="shared" ref="S2443:S2444" si="2735">ROUND($D2443*K2443,0)</f>
        <v>0</v>
      </c>
      <c r="T2443" s="1643"/>
      <c r="U2443" s="1644">
        <f t="shared" ref="U2443:Y2444" si="2736">ROUND($D2443*M2443,0)</f>
        <v>0</v>
      </c>
      <c r="V2443" s="1643"/>
      <c r="W2443" s="1644">
        <f t="shared" si="2736"/>
        <v>0</v>
      </c>
      <c r="X2443" s="1643"/>
      <c r="Y2443" s="1644">
        <f t="shared" si="2736"/>
        <v>0</v>
      </c>
      <c r="Z2443" s="1878">
        <f>Z2339</f>
        <v>0.81143000192935111</v>
      </c>
    </row>
    <row r="2444" spans="1:28" hidden="1">
      <c r="A2444" s="1900" t="s">
        <v>1669</v>
      </c>
      <c r="C2444" s="528"/>
      <c r="D2444" s="528"/>
      <c r="F2444" s="2000"/>
      <c r="G2444" s="1991"/>
      <c r="H2444" s="1644"/>
      <c r="I2444" s="1644"/>
      <c r="K2444" s="2000">
        <f t="shared" ref="K2444" si="2737">K2236</f>
        <v>0.37</v>
      </c>
      <c r="L2444" s="1991"/>
      <c r="M2444" s="2000">
        <f t="shared" ref="M2444" si="2738">M2236</f>
        <v>0.44000000000000006</v>
      </c>
      <c r="N2444" s="1991"/>
      <c r="O2444" s="2000">
        <f t="shared" ref="O2444" si="2739">O2236</f>
        <v>0</v>
      </c>
      <c r="P2444" s="1991"/>
      <c r="Q2444" s="2000">
        <f t="shared" si="2734"/>
        <v>0.81</v>
      </c>
      <c r="R2444" s="1991"/>
      <c r="S2444" s="1644">
        <f t="shared" si="2735"/>
        <v>0</v>
      </c>
      <c r="T2444" s="1643"/>
      <c r="U2444" s="1644">
        <f t="shared" si="2736"/>
        <v>0</v>
      </c>
      <c r="V2444" s="1643"/>
      <c r="W2444" s="1644">
        <f t="shared" si="2736"/>
        <v>0</v>
      </c>
      <c r="X2444" s="1643"/>
      <c r="Y2444" s="1644">
        <f t="shared" si="2736"/>
        <v>0</v>
      </c>
      <c r="Z2444" s="1878">
        <f>Z2340</f>
        <v>1.1359353572586484</v>
      </c>
    </row>
    <row r="2445" spans="1:28" hidden="1">
      <c r="A2445" s="1900" t="s">
        <v>316</v>
      </c>
      <c r="C2445" s="528"/>
      <c r="D2445" s="528"/>
      <c r="F2445" s="2001"/>
      <c r="G2445" s="1992"/>
      <c r="H2445" s="1644"/>
      <c r="I2445" s="1644"/>
      <c r="K2445" s="2001"/>
      <c r="L2445" s="1992"/>
      <c r="M2445" s="2001"/>
      <c r="N2445" s="1992"/>
      <c r="O2445" s="2001"/>
      <c r="P2445" s="1992"/>
      <c r="Q2445" s="2001"/>
      <c r="R2445" s="1992"/>
      <c r="S2445" s="1644"/>
      <c r="T2445" s="1645"/>
      <c r="U2445" s="1644"/>
      <c r="V2445" s="1645"/>
      <c r="W2445" s="1644"/>
      <c r="X2445" s="1645"/>
      <c r="Y2445" s="1644"/>
    </row>
    <row r="2446" spans="1:28" hidden="1">
      <c r="A2446" s="1900" t="s">
        <v>1668</v>
      </c>
      <c r="C2446" s="528"/>
      <c r="D2446" s="528"/>
      <c r="F2446" s="2001"/>
      <c r="G2446" s="1992"/>
      <c r="H2446" s="1644"/>
      <c r="I2446" s="1644"/>
      <c r="K2446" s="2001">
        <f t="shared" ref="K2446" si="2740">K2238</f>
        <v>0.21</v>
      </c>
      <c r="L2446" s="1992"/>
      <c r="M2446" s="2001">
        <f t="shared" ref="M2446" si="2741">M2238</f>
        <v>0.25</v>
      </c>
      <c r="N2446" s="1992"/>
      <c r="O2446" s="2001">
        <f t="shared" ref="O2446" si="2742">O2238</f>
        <v>0</v>
      </c>
      <c r="P2446" s="1992"/>
      <c r="Q2446" s="2001">
        <f t="shared" ref="Q2446:Q2447" si="2743">Q2238</f>
        <v>0.46</v>
      </c>
      <c r="R2446" s="1992"/>
      <c r="S2446" s="1644">
        <f t="shared" ref="S2446:S2447" si="2744">ROUND($D2446*K2446,0)</f>
        <v>0</v>
      </c>
      <c r="T2446" s="1645"/>
      <c r="U2446" s="1644">
        <f t="shared" ref="U2446:Y2447" si="2745">ROUND($D2446*M2446,0)</f>
        <v>0</v>
      </c>
      <c r="V2446" s="1645"/>
      <c r="W2446" s="1644">
        <f t="shared" si="2745"/>
        <v>0</v>
      </c>
      <c r="X2446" s="1645"/>
      <c r="Y2446" s="1644">
        <f t="shared" si="2745"/>
        <v>0</v>
      </c>
      <c r="Z2446" s="1878">
        <f t="shared" ref="Z2446:Z2447" si="2746">Z2342</f>
        <v>0.81143000192935111</v>
      </c>
    </row>
    <row r="2447" spans="1:28" hidden="1">
      <c r="A2447" s="1900" t="s">
        <v>1669</v>
      </c>
      <c r="C2447" s="528"/>
      <c r="D2447" s="528"/>
      <c r="F2447" s="2001"/>
      <c r="G2447" s="1992"/>
      <c r="H2447" s="1644"/>
      <c r="I2447" s="1644"/>
      <c r="K2447" s="2001">
        <f t="shared" ref="K2447" si="2747">K2239</f>
        <v>0.19</v>
      </c>
      <c r="L2447" s="1992"/>
      <c r="M2447" s="2001">
        <f t="shared" ref="M2447" si="2748">M2239</f>
        <v>0.21999999999999997</v>
      </c>
      <c r="N2447" s="1992"/>
      <c r="O2447" s="2001">
        <f t="shared" ref="O2447" si="2749">O2239</f>
        <v>0</v>
      </c>
      <c r="P2447" s="1992"/>
      <c r="Q2447" s="2001">
        <f t="shared" si="2743"/>
        <v>0.41</v>
      </c>
      <c r="R2447" s="1992"/>
      <c r="S2447" s="1644">
        <f t="shared" si="2744"/>
        <v>0</v>
      </c>
      <c r="T2447" s="1645"/>
      <c r="U2447" s="1644">
        <f t="shared" si="2745"/>
        <v>0</v>
      </c>
      <c r="V2447" s="1645"/>
      <c r="W2447" s="1644">
        <f t="shared" si="2745"/>
        <v>0</v>
      </c>
      <c r="X2447" s="1645"/>
      <c r="Y2447" s="1644">
        <f t="shared" si="2745"/>
        <v>0</v>
      </c>
      <c r="Z2447" s="1878">
        <f t="shared" si="2746"/>
        <v>1.1359353572586484</v>
      </c>
    </row>
    <row r="2448" spans="1:28" hidden="1">
      <c r="A2448" s="1900" t="s">
        <v>317</v>
      </c>
      <c r="C2448" s="528"/>
      <c r="D2448" s="528"/>
      <c r="F2448" s="2000"/>
      <c r="G2448" s="1902"/>
      <c r="H2448" s="1644"/>
      <c r="I2448" s="1644"/>
      <c r="K2448" s="2000"/>
      <c r="L2448" s="1902"/>
      <c r="M2448" s="2000"/>
      <c r="N2448" s="1902"/>
      <c r="O2448" s="2000"/>
      <c r="P2448" s="1902"/>
      <c r="Q2448" s="2000"/>
      <c r="R2448" s="1902"/>
      <c r="S2448" s="1644"/>
      <c r="T2448" s="1643"/>
      <c r="U2448" s="1644"/>
      <c r="V2448" s="1643"/>
      <c r="W2448" s="1644"/>
      <c r="X2448" s="1643"/>
      <c r="Y2448" s="1644"/>
    </row>
    <row r="2449" spans="1:26" hidden="1">
      <c r="A2449" s="1900" t="s">
        <v>1668</v>
      </c>
      <c r="C2449" s="528"/>
      <c r="D2449" s="528"/>
      <c r="F2449" s="2000"/>
      <c r="G2449" s="1902"/>
      <c r="H2449" s="1644"/>
      <c r="I2449" s="1644"/>
      <c r="K2449" s="2000">
        <f t="shared" ref="K2449" si="2750">K2241</f>
        <v>19.54</v>
      </c>
      <c r="L2449" s="1902"/>
      <c r="M2449" s="2000">
        <f t="shared" ref="M2449" si="2751">M2241</f>
        <v>22.79</v>
      </c>
      <c r="N2449" s="1902"/>
      <c r="O2449" s="2000">
        <f t="shared" ref="O2449" si="2752">O2241</f>
        <v>0</v>
      </c>
      <c r="P2449" s="1902"/>
      <c r="Q2449" s="2000">
        <f t="shared" ref="Q2449:Q2450" si="2753">Q2241</f>
        <v>42.33</v>
      </c>
      <c r="R2449" s="1902"/>
      <c r="S2449" s="1644">
        <f t="shared" ref="S2449:S2450" si="2754">ROUND($D2449*K2449,0)</f>
        <v>0</v>
      </c>
      <c r="T2449" s="1643"/>
      <c r="U2449" s="1644">
        <f t="shared" ref="U2449:Y2450" si="2755">ROUND($D2449*M2449,0)</f>
        <v>0</v>
      </c>
      <c r="V2449" s="1643"/>
      <c r="W2449" s="1644">
        <f t="shared" si="2755"/>
        <v>0</v>
      </c>
      <c r="X2449" s="1643"/>
      <c r="Y2449" s="1644">
        <f t="shared" si="2755"/>
        <v>0</v>
      </c>
      <c r="Z2449" s="1878">
        <f t="shared" ref="Z2449:Z2450" si="2756">Z2345</f>
        <v>0.81143000192935111</v>
      </c>
    </row>
    <row r="2450" spans="1:26" hidden="1">
      <c r="A2450" s="1900" t="s">
        <v>1669</v>
      </c>
      <c r="C2450" s="528"/>
      <c r="D2450" s="528"/>
      <c r="F2450" s="2000"/>
      <c r="G2450" s="1902"/>
      <c r="H2450" s="1644"/>
      <c r="I2450" s="1644"/>
      <c r="K2450" s="2000">
        <f t="shared" ref="K2450" si="2757">K2242</f>
        <v>17.11</v>
      </c>
      <c r="L2450" s="1902"/>
      <c r="M2450" s="2000">
        <f t="shared" ref="M2450" si="2758">M2242</f>
        <v>20.350000000000001</v>
      </c>
      <c r="N2450" s="1902"/>
      <c r="O2450" s="2000">
        <f t="shared" ref="O2450" si="2759">O2242</f>
        <v>0</v>
      </c>
      <c r="P2450" s="1902"/>
      <c r="Q2450" s="2000">
        <f t="shared" si="2753"/>
        <v>37.46</v>
      </c>
      <c r="R2450" s="1902"/>
      <c r="S2450" s="1644">
        <f t="shared" si="2754"/>
        <v>0</v>
      </c>
      <c r="T2450" s="1643"/>
      <c r="U2450" s="1644">
        <f t="shared" si="2755"/>
        <v>0</v>
      </c>
      <c r="V2450" s="1643"/>
      <c r="W2450" s="1644">
        <f t="shared" si="2755"/>
        <v>0</v>
      </c>
      <c r="X2450" s="1643"/>
      <c r="Y2450" s="1644">
        <f t="shared" si="2755"/>
        <v>0</v>
      </c>
      <c r="Z2450" s="1878">
        <f t="shared" si="2756"/>
        <v>1.1359353572586484</v>
      </c>
    </row>
    <row r="2451" spans="1:26" hidden="1">
      <c r="A2451" s="1900" t="s">
        <v>315</v>
      </c>
      <c r="C2451" s="528"/>
      <c r="D2451" s="528"/>
      <c r="F2451" s="2000"/>
      <c r="G2451" s="1991"/>
      <c r="H2451" s="1644"/>
      <c r="I2451" s="1644"/>
      <c r="K2451" s="2000"/>
      <c r="L2451" s="1991"/>
      <c r="M2451" s="2000"/>
      <c r="N2451" s="1991"/>
      <c r="O2451" s="2000"/>
      <c r="P2451" s="1991"/>
      <c r="Q2451" s="2000"/>
      <c r="R2451" s="1991"/>
      <c r="S2451" s="1644"/>
      <c r="T2451" s="1643"/>
      <c r="U2451" s="1644"/>
      <c r="V2451" s="1643"/>
      <c r="W2451" s="1644"/>
      <c r="X2451" s="1643"/>
      <c r="Y2451" s="1644"/>
    </row>
    <row r="2452" spans="1:26" hidden="1">
      <c r="A2452" s="1900" t="s">
        <v>944</v>
      </c>
      <c r="C2452" s="528"/>
      <c r="D2452" s="528"/>
      <c r="F2452" s="2000">
        <v>0.88</v>
      </c>
      <c r="G2452" s="1991"/>
      <c r="H2452" s="1644">
        <f>ROUND($F2452*C2452,0)</f>
        <v>0</v>
      </c>
      <c r="I2452" s="1644">
        <f>ROUND($F2452*D2452,0)</f>
        <v>0</v>
      </c>
      <c r="K2452" s="2000"/>
      <c r="L2452" s="1991"/>
      <c r="M2452" s="2000"/>
      <c r="N2452" s="1991"/>
      <c r="O2452" s="2000"/>
      <c r="P2452" s="1991"/>
      <c r="Q2452" s="2000"/>
      <c r="R2452" s="1991"/>
      <c r="S2452" s="1644"/>
      <c r="T2452" s="1643"/>
      <c r="U2452" s="1644"/>
      <c r="V2452" s="1643"/>
      <c r="W2452" s="1644"/>
      <c r="X2452" s="1643"/>
      <c r="Y2452" s="1644"/>
    </row>
    <row r="2453" spans="1:26" hidden="1">
      <c r="A2453" s="1900" t="s">
        <v>945</v>
      </c>
      <c r="C2453" s="528"/>
      <c r="D2453" s="528"/>
      <c r="F2453" s="2000">
        <v>0.62</v>
      </c>
      <c r="G2453" s="1991"/>
      <c r="H2453" s="1644">
        <f>ROUND($F2453*C2453,0)</f>
        <v>0</v>
      </c>
      <c r="I2453" s="1644">
        <f>ROUND($F2453*D2453,0)</f>
        <v>0</v>
      </c>
      <c r="K2453" s="2000"/>
      <c r="L2453" s="1991"/>
      <c r="M2453" s="2000"/>
      <c r="N2453" s="1991"/>
      <c r="O2453" s="2000"/>
      <c r="P2453" s="1991"/>
      <c r="Q2453" s="2000"/>
      <c r="R2453" s="1991"/>
      <c r="S2453" s="1644"/>
      <c r="T2453" s="1643"/>
      <c r="U2453" s="1644"/>
      <c r="V2453" s="1643"/>
      <c r="W2453" s="1644"/>
      <c r="X2453" s="1643"/>
      <c r="Y2453" s="1644"/>
    </row>
    <row r="2454" spans="1:26" hidden="1">
      <c r="A2454" s="1900" t="s">
        <v>316</v>
      </c>
      <c r="C2454" s="528"/>
      <c r="D2454" s="528"/>
      <c r="F2454" s="2001"/>
      <c r="G2454" s="1992"/>
      <c r="H2454" s="1644"/>
      <c r="I2454" s="1644"/>
      <c r="K2454" s="2001"/>
      <c r="L2454" s="1992"/>
      <c r="M2454" s="2001"/>
      <c r="N2454" s="1992"/>
      <c r="O2454" s="2001"/>
      <c r="P2454" s="1992"/>
      <c r="Q2454" s="2001"/>
      <c r="R2454" s="1992"/>
      <c r="S2454" s="1644"/>
      <c r="T2454" s="1645"/>
      <c r="U2454" s="1644"/>
      <c r="V2454" s="1645"/>
      <c r="W2454" s="1644"/>
      <c r="X2454" s="1645"/>
      <c r="Y2454" s="1644"/>
    </row>
    <row r="2455" spans="1:26" hidden="1">
      <c r="A2455" s="1900" t="s">
        <v>944</v>
      </c>
      <c r="C2455" s="528"/>
      <c r="D2455" s="528"/>
      <c r="F2455" s="2001">
        <v>0.44</v>
      </c>
      <c r="G2455" s="1992"/>
      <c r="H2455" s="1644">
        <f>ROUND($F2455*C2455,0)</f>
        <v>0</v>
      </c>
      <c r="I2455" s="1644">
        <f>ROUND($F2455*D2455,0)</f>
        <v>0</v>
      </c>
      <c r="K2455" s="2001"/>
      <c r="L2455" s="1992"/>
      <c r="M2455" s="2001"/>
      <c r="N2455" s="1992"/>
      <c r="O2455" s="2001"/>
      <c r="P2455" s="1992"/>
      <c r="Q2455" s="2001"/>
      <c r="R2455" s="1992"/>
      <c r="S2455" s="1644"/>
      <c r="T2455" s="1645"/>
      <c r="U2455" s="1644"/>
      <c r="V2455" s="1645"/>
      <c r="W2455" s="1644"/>
      <c r="X2455" s="1645"/>
      <c r="Y2455" s="1644"/>
    </row>
    <row r="2456" spans="1:26" hidden="1">
      <c r="A2456" s="1900" t="s">
        <v>945</v>
      </c>
      <c r="C2456" s="528"/>
      <c r="D2456" s="528"/>
      <c r="F2456" s="2001">
        <v>0.31</v>
      </c>
      <c r="G2456" s="1992"/>
      <c r="H2456" s="1644">
        <f>ROUND($F2456*C2456,0)</f>
        <v>0</v>
      </c>
      <c r="I2456" s="1644">
        <f>ROUND($F2456*D2456,0)</f>
        <v>0</v>
      </c>
      <c r="K2456" s="2001"/>
      <c r="L2456" s="1992"/>
      <c r="M2456" s="2001"/>
      <c r="N2456" s="1992"/>
      <c r="O2456" s="2001"/>
      <c r="P2456" s="1992"/>
      <c r="Q2456" s="2001"/>
      <c r="R2456" s="1992"/>
      <c r="S2456" s="1644"/>
      <c r="T2456" s="1645"/>
      <c r="U2456" s="1644"/>
      <c r="V2456" s="1645"/>
      <c r="W2456" s="1644"/>
      <c r="X2456" s="1645"/>
      <c r="Y2456" s="1644"/>
    </row>
    <row r="2457" spans="1:26" hidden="1">
      <c r="A2457" s="1900" t="s">
        <v>317</v>
      </c>
      <c r="C2457" s="528"/>
      <c r="D2457" s="528"/>
      <c r="F2457" s="2000"/>
      <c r="G2457" s="1902"/>
      <c r="H2457" s="1644"/>
      <c r="I2457" s="1644"/>
      <c r="K2457" s="2000"/>
      <c r="L2457" s="1902"/>
      <c r="M2457" s="2000"/>
      <c r="N2457" s="1902"/>
      <c r="O2457" s="2000"/>
      <c r="P2457" s="1902"/>
      <c r="Q2457" s="2000"/>
      <c r="R2457" s="1902"/>
      <c r="S2457" s="1644"/>
      <c r="T2457" s="1643"/>
      <c r="U2457" s="1644"/>
      <c r="V2457" s="1643"/>
      <c r="W2457" s="1644"/>
      <c r="X2457" s="1643"/>
      <c r="Y2457" s="1644"/>
    </row>
    <row r="2458" spans="1:26" hidden="1">
      <c r="A2458" s="1900" t="s">
        <v>944</v>
      </c>
      <c r="C2458" s="528"/>
      <c r="D2458" s="528"/>
      <c r="F2458" s="2000">
        <v>40.81</v>
      </c>
      <c r="G2458" s="1902"/>
      <c r="H2458" s="1644">
        <f>ROUND($F2458*C2458,0)</f>
        <v>0</v>
      </c>
      <c r="I2458" s="1644">
        <f>ROUND($F2458*D2458,0)</f>
        <v>0</v>
      </c>
      <c r="K2458" s="2000"/>
      <c r="L2458" s="1902"/>
      <c r="M2458" s="2000"/>
      <c r="N2458" s="1902"/>
      <c r="O2458" s="2000"/>
      <c r="P2458" s="1902"/>
      <c r="Q2458" s="2000"/>
      <c r="R2458" s="1902"/>
      <c r="S2458" s="1644"/>
      <c r="T2458" s="1643"/>
      <c r="U2458" s="1644"/>
      <c r="V2458" s="1643"/>
      <c r="W2458" s="1644"/>
      <c r="X2458" s="1643"/>
      <c r="Y2458" s="1644"/>
    </row>
    <row r="2459" spans="1:26" hidden="1">
      <c r="A2459" s="1900" t="s">
        <v>945</v>
      </c>
      <c r="C2459" s="528"/>
      <c r="D2459" s="528"/>
      <c r="F2459" s="2000">
        <v>32.04</v>
      </c>
      <c r="G2459" s="1902"/>
      <c r="H2459" s="1644">
        <f>ROUND($F2459*C2459,0)</f>
        <v>0</v>
      </c>
      <c r="I2459" s="1644">
        <f>ROUND($F2459*D2459,0)</f>
        <v>0</v>
      </c>
      <c r="K2459" s="2000"/>
      <c r="L2459" s="1902"/>
      <c r="M2459" s="2000"/>
      <c r="N2459" s="1902"/>
      <c r="O2459" s="2000"/>
      <c r="P2459" s="1902"/>
      <c r="Q2459" s="2000"/>
      <c r="R2459" s="1902"/>
      <c r="S2459" s="1644"/>
      <c r="T2459" s="1643"/>
      <c r="U2459" s="1644"/>
      <c r="V2459" s="1643"/>
      <c r="W2459" s="1644"/>
      <c r="X2459" s="1643"/>
      <c r="Y2459" s="1644"/>
    </row>
    <row r="2460" spans="1:26" hidden="1">
      <c r="A2460" s="1987" t="s">
        <v>183</v>
      </c>
      <c r="C2460" s="528"/>
      <c r="D2460" s="528"/>
      <c r="F2460" s="2002"/>
      <c r="K2460" s="2002"/>
      <c r="M2460" s="2002"/>
      <c r="O2460" s="2002"/>
      <c r="Q2460" s="2002"/>
      <c r="S2460" s="1638"/>
      <c r="U2460" s="1638"/>
      <c r="W2460" s="1638"/>
    </row>
    <row r="2461" spans="1:26" hidden="1">
      <c r="A2461" s="1900" t="s">
        <v>312</v>
      </c>
      <c r="C2461" s="528"/>
      <c r="D2461" s="528"/>
      <c r="F2461" s="2000">
        <v>605</v>
      </c>
      <c r="G2461" s="1902"/>
      <c r="H2461" s="1644">
        <f>ROUND($F2461*C2461,0)</f>
        <v>0</v>
      </c>
      <c r="I2461" s="1644">
        <f>ROUND($F2461*D2461,0)</f>
        <v>0</v>
      </c>
      <c r="K2461" s="2000">
        <f t="shared" ref="K2461" si="2760">K2253</f>
        <v>627</v>
      </c>
      <c r="L2461" s="1902"/>
      <c r="M2461" s="2000">
        <f t="shared" ref="M2461" si="2761">M2253</f>
        <v>0</v>
      </c>
      <c r="N2461" s="1902"/>
      <c r="O2461" s="2000">
        <f t="shared" ref="O2461" si="2762">O2253</f>
        <v>0</v>
      </c>
      <c r="P2461" s="1902"/>
      <c r="Q2461" s="2000">
        <f t="shared" ref="Q2461:Q2462" si="2763">Q2253</f>
        <v>627</v>
      </c>
      <c r="R2461" s="1902"/>
      <c r="S2461" s="1644">
        <f>ROUND($D2461*K2461,0)</f>
        <v>0</v>
      </c>
      <c r="T2461" s="1643"/>
      <c r="U2461" s="1644">
        <f>ROUND($D2461*M2461,0)</f>
        <v>0</v>
      </c>
      <c r="V2461" s="1643"/>
      <c r="W2461" s="1644">
        <f>ROUND($D2461*O2461,0)</f>
        <v>0</v>
      </c>
      <c r="X2461" s="1643"/>
      <c r="Y2461" s="1644">
        <f>ROUND($D2461*Q2461,0)</f>
        <v>0</v>
      </c>
    </row>
    <row r="2462" spans="1:26" hidden="1">
      <c r="A2462" s="1900" t="s">
        <v>313</v>
      </c>
      <c r="C2462" s="528"/>
      <c r="D2462" s="528"/>
      <c r="F2462" s="2000">
        <v>4.46</v>
      </c>
      <c r="G2462" s="1902"/>
      <c r="H2462" s="1644">
        <f>ROUND($F2462*C2462,0)</f>
        <v>0</v>
      </c>
      <c r="I2462" s="1644">
        <f>ROUND($F2462*D2462,0)</f>
        <v>0</v>
      </c>
      <c r="K2462" s="2000">
        <f t="shared" ref="K2462" si="2764">K2254</f>
        <v>4.63</v>
      </c>
      <c r="L2462" s="1902"/>
      <c r="M2462" s="2000">
        <f t="shared" ref="M2462" si="2765">M2254</f>
        <v>0</v>
      </c>
      <c r="N2462" s="1902"/>
      <c r="O2462" s="2000">
        <f t="shared" ref="O2462" si="2766">O2254</f>
        <v>0</v>
      </c>
      <c r="P2462" s="1902"/>
      <c r="Q2462" s="2000">
        <f t="shared" si="2763"/>
        <v>4.63</v>
      </c>
      <c r="R2462" s="1902"/>
      <c r="S2462" s="1644">
        <f>ROUND($D2462*K2462,0)</f>
        <v>0</v>
      </c>
      <c r="T2462" s="1643"/>
      <c r="U2462" s="1644">
        <f>ROUND($D2462*M2462,0)</f>
        <v>0</v>
      </c>
      <c r="V2462" s="1643"/>
      <c r="W2462" s="1644">
        <f>ROUND($D2462*O2462,0)</f>
        <v>0</v>
      </c>
      <c r="X2462" s="1643"/>
      <c r="Y2462" s="1644">
        <f>ROUND($D2462*Q2462,0)</f>
        <v>0</v>
      </c>
    </row>
    <row r="2463" spans="1:26" hidden="1">
      <c r="A2463" s="1900" t="s">
        <v>314</v>
      </c>
      <c r="C2463" s="528"/>
      <c r="D2463" s="528"/>
      <c r="F2463" s="2000"/>
      <c r="G2463" s="1902"/>
      <c r="H2463" s="1644"/>
      <c r="I2463" s="1644"/>
      <c r="K2463" s="2000"/>
      <c r="L2463" s="1902"/>
      <c r="M2463" s="2000"/>
      <c r="N2463" s="1902"/>
      <c r="O2463" s="2000"/>
      <c r="P2463" s="1902"/>
      <c r="Q2463" s="2000"/>
      <c r="R2463" s="1902"/>
      <c r="S2463" s="1644"/>
      <c r="T2463" s="1643"/>
      <c r="U2463" s="1644"/>
      <c r="V2463" s="1643"/>
      <c r="W2463" s="1644"/>
      <c r="X2463" s="1643"/>
      <c r="Y2463" s="1644"/>
    </row>
    <row r="2464" spans="1:26" hidden="1">
      <c r="A2464" s="1900" t="s">
        <v>315</v>
      </c>
      <c r="C2464" s="528"/>
      <c r="D2464" s="528"/>
      <c r="F2464" s="2000"/>
      <c r="G2464" s="1991"/>
      <c r="H2464" s="1644"/>
      <c r="I2464" s="1644"/>
      <c r="K2464" s="2000"/>
      <c r="L2464" s="1991"/>
      <c r="M2464" s="2000"/>
      <c r="N2464" s="1991"/>
      <c r="O2464" s="2000"/>
      <c r="P2464" s="1991"/>
      <c r="Q2464" s="2000"/>
      <c r="R2464" s="1991"/>
      <c r="S2464" s="1644"/>
      <c r="T2464" s="1643"/>
      <c r="U2464" s="1644"/>
      <c r="V2464" s="1643"/>
      <c r="W2464" s="1644"/>
      <c r="X2464" s="1643"/>
      <c r="Y2464" s="1644"/>
      <c r="Z2464" s="1878" t="s">
        <v>251</v>
      </c>
    </row>
    <row r="2465" spans="1:26" hidden="1">
      <c r="A2465" s="1900" t="s">
        <v>1668</v>
      </c>
      <c r="C2465" s="528"/>
      <c r="D2465" s="528"/>
      <c r="F2465" s="2000"/>
      <c r="G2465" s="1991"/>
      <c r="H2465" s="1644"/>
      <c r="I2465" s="1644"/>
      <c r="K2465" s="2000">
        <f t="shared" ref="K2465" si="2767">K2257</f>
        <v>0.41</v>
      </c>
      <c r="L2465" s="1991"/>
      <c r="M2465" s="2000">
        <f t="shared" ref="M2465" si="2768">M2257</f>
        <v>0.48000000000000004</v>
      </c>
      <c r="N2465" s="1991"/>
      <c r="O2465" s="2000">
        <f t="shared" ref="O2465" si="2769">O2257</f>
        <v>0</v>
      </c>
      <c r="P2465" s="1991"/>
      <c r="Q2465" s="2000">
        <f t="shared" ref="Q2465:Q2466" si="2770">Q2257</f>
        <v>0.89</v>
      </c>
      <c r="R2465" s="1991"/>
      <c r="S2465" s="1644">
        <f t="shared" ref="S2465:S2466" si="2771">ROUND($D2465*K2465,0)</f>
        <v>0</v>
      </c>
      <c r="T2465" s="1643"/>
      <c r="U2465" s="1644">
        <f t="shared" ref="U2465:Y2466" si="2772">ROUND($D2465*M2465,0)</f>
        <v>0</v>
      </c>
      <c r="V2465" s="1643"/>
      <c r="W2465" s="1644">
        <f t="shared" si="2772"/>
        <v>0</v>
      </c>
      <c r="X2465" s="1643"/>
      <c r="Y2465" s="1644">
        <f t="shared" si="2772"/>
        <v>0</v>
      </c>
      <c r="Z2465" s="1878">
        <f t="shared" ref="Z2465:Z2466" si="2773">Z2361</f>
        <v>0.81143000192935111</v>
      </c>
    </row>
    <row r="2466" spans="1:26" hidden="1">
      <c r="A2466" s="1900" t="s">
        <v>1669</v>
      </c>
      <c r="C2466" s="528"/>
      <c r="D2466" s="528"/>
      <c r="F2466" s="2000"/>
      <c r="G2466" s="1991"/>
      <c r="H2466" s="1644"/>
      <c r="I2466" s="1644"/>
      <c r="K2466" s="2000">
        <f t="shared" ref="K2466" si="2774">K2258</f>
        <v>0.36</v>
      </c>
      <c r="L2466" s="1991"/>
      <c r="M2466" s="2000">
        <f t="shared" ref="M2466" si="2775">M2258</f>
        <v>0.43000000000000005</v>
      </c>
      <c r="N2466" s="1991"/>
      <c r="O2466" s="2000">
        <f t="shared" ref="O2466" si="2776">O2258</f>
        <v>0</v>
      </c>
      <c r="P2466" s="1991"/>
      <c r="Q2466" s="2000">
        <f t="shared" si="2770"/>
        <v>0.79</v>
      </c>
      <c r="R2466" s="1991"/>
      <c r="S2466" s="1644">
        <f t="shared" si="2771"/>
        <v>0</v>
      </c>
      <c r="T2466" s="1643"/>
      <c r="U2466" s="1644">
        <f t="shared" si="2772"/>
        <v>0</v>
      </c>
      <c r="V2466" s="1643"/>
      <c r="W2466" s="1644">
        <f t="shared" si="2772"/>
        <v>0</v>
      </c>
      <c r="X2466" s="1643"/>
      <c r="Y2466" s="1644">
        <f t="shared" si="2772"/>
        <v>0</v>
      </c>
      <c r="Z2466" s="1878">
        <f t="shared" si="2773"/>
        <v>1.1359353572586484</v>
      </c>
    </row>
    <row r="2467" spans="1:26" hidden="1">
      <c r="A2467" s="1900" t="s">
        <v>316</v>
      </c>
      <c r="C2467" s="528"/>
      <c r="D2467" s="528"/>
      <c r="F2467" s="2001"/>
      <c r="G2467" s="1992"/>
      <c r="H2467" s="1644"/>
      <c r="I2467" s="1644"/>
      <c r="K2467" s="2001"/>
      <c r="L2467" s="1992"/>
      <c r="M2467" s="2001"/>
      <c r="N2467" s="1992"/>
      <c r="O2467" s="2001"/>
      <c r="P2467" s="1992"/>
      <c r="Q2467" s="2001"/>
      <c r="R2467" s="1992"/>
      <c r="S2467" s="1644"/>
      <c r="T2467" s="1645"/>
      <c r="U2467" s="1644"/>
      <c r="V2467" s="1645"/>
      <c r="W2467" s="1644"/>
      <c r="X2467" s="1645"/>
      <c r="Y2467" s="1644"/>
    </row>
    <row r="2468" spans="1:26" hidden="1">
      <c r="A2468" s="1900" t="s">
        <v>1668</v>
      </c>
      <c r="C2468" s="528"/>
      <c r="D2468" s="528"/>
      <c r="F2468" s="2001"/>
      <c r="G2468" s="1992"/>
      <c r="H2468" s="1644"/>
      <c r="I2468" s="1644"/>
      <c r="K2468" s="2001">
        <f t="shared" ref="K2468" si="2777">K2260</f>
        <v>0.21</v>
      </c>
      <c r="L2468" s="1992"/>
      <c r="M2468" s="2001">
        <f t="shared" ref="M2468" si="2778">M2260</f>
        <v>0.24000000000000002</v>
      </c>
      <c r="N2468" s="1992"/>
      <c r="O2468" s="2001">
        <f t="shared" ref="O2468" si="2779">O2260</f>
        <v>0</v>
      </c>
      <c r="P2468" s="1992"/>
      <c r="Q2468" s="2001">
        <f t="shared" ref="Q2468:Q2469" si="2780">Q2260</f>
        <v>0.45</v>
      </c>
      <c r="R2468" s="1992"/>
      <c r="S2468" s="1644">
        <f t="shared" ref="S2468:S2469" si="2781">ROUND($D2468*K2468,0)</f>
        <v>0</v>
      </c>
      <c r="T2468" s="1645"/>
      <c r="U2468" s="1644">
        <f t="shared" ref="U2468:Y2469" si="2782">ROUND($D2468*M2468,0)</f>
        <v>0</v>
      </c>
      <c r="V2468" s="1645"/>
      <c r="W2468" s="1644">
        <f t="shared" si="2782"/>
        <v>0</v>
      </c>
      <c r="X2468" s="1645"/>
      <c r="Y2468" s="1644">
        <f t="shared" si="2782"/>
        <v>0</v>
      </c>
      <c r="Z2468" s="1878">
        <f t="shared" ref="Z2468:Z2469" si="2783">Z2364</f>
        <v>0.81143000192935111</v>
      </c>
    </row>
    <row r="2469" spans="1:26" hidden="1">
      <c r="A2469" s="1900" t="s">
        <v>1669</v>
      </c>
      <c r="C2469" s="528"/>
      <c r="D2469" s="528"/>
      <c r="F2469" s="2001"/>
      <c r="G2469" s="1992"/>
      <c r="H2469" s="1644"/>
      <c r="I2469" s="1644"/>
      <c r="K2469" s="2001">
        <f t="shared" ref="K2469" si="2784">K2261</f>
        <v>0.18</v>
      </c>
      <c r="L2469" s="1992"/>
      <c r="M2469" s="2001">
        <f t="shared" ref="M2469" si="2785">M2261</f>
        <v>0.22000000000000003</v>
      </c>
      <c r="N2469" s="1992"/>
      <c r="O2469" s="2001">
        <f t="shared" ref="O2469" si="2786">O2261</f>
        <v>0</v>
      </c>
      <c r="P2469" s="1992"/>
      <c r="Q2469" s="2001">
        <f t="shared" si="2780"/>
        <v>0.4</v>
      </c>
      <c r="R2469" s="1992"/>
      <c r="S2469" s="1644">
        <f t="shared" si="2781"/>
        <v>0</v>
      </c>
      <c r="T2469" s="1645"/>
      <c r="U2469" s="1644">
        <f t="shared" si="2782"/>
        <v>0</v>
      </c>
      <c r="V2469" s="1645"/>
      <c r="W2469" s="1644">
        <f t="shared" si="2782"/>
        <v>0</v>
      </c>
      <c r="X2469" s="1645"/>
      <c r="Y2469" s="1644">
        <f t="shared" si="2782"/>
        <v>0</v>
      </c>
      <c r="Z2469" s="1878">
        <f t="shared" si="2783"/>
        <v>1.1359353572586484</v>
      </c>
    </row>
    <row r="2470" spans="1:26" hidden="1">
      <c r="A2470" s="1900" t="s">
        <v>317</v>
      </c>
      <c r="C2470" s="528"/>
      <c r="D2470" s="528"/>
      <c r="F2470" s="2000"/>
      <c r="G2470" s="1902"/>
      <c r="H2470" s="1644"/>
      <c r="I2470" s="1644"/>
      <c r="K2470" s="2000"/>
      <c r="L2470" s="1902"/>
      <c r="M2470" s="2000"/>
      <c r="N2470" s="1902"/>
      <c r="O2470" s="2000"/>
      <c r="P2470" s="1902"/>
      <c r="Q2470" s="2000"/>
      <c r="R2470" s="1902"/>
      <c r="S2470" s="1644"/>
      <c r="T2470" s="1643"/>
      <c r="U2470" s="1644"/>
      <c r="V2470" s="1643"/>
      <c r="W2470" s="1644"/>
      <c r="X2470" s="1643"/>
      <c r="Y2470" s="1644"/>
    </row>
    <row r="2471" spans="1:26" hidden="1">
      <c r="A2471" s="1900" t="s">
        <v>1668</v>
      </c>
      <c r="C2471" s="528"/>
      <c r="D2471" s="528"/>
      <c r="F2471" s="2000"/>
      <c r="G2471" s="1902"/>
      <c r="H2471" s="1644"/>
      <c r="I2471" s="1644"/>
      <c r="K2471" s="2000">
        <f t="shared" ref="K2471" si="2787">K2263</f>
        <v>18.41</v>
      </c>
      <c r="L2471" s="1902"/>
      <c r="M2471" s="2000">
        <f t="shared" ref="M2471" si="2788">M2263</f>
        <v>21.56</v>
      </c>
      <c r="N2471" s="1902"/>
      <c r="O2471" s="2000">
        <f t="shared" ref="O2471" si="2789">O2263</f>
        <v>0</v>
      </c>
      <c r="P2471" s="1902"/>
      <c r="Q2471" s="2000">
        <f t="shared" ref="Q2471:Q2472" si="2790">Q2263</f>
        <v>39.97</v>
      </c>
      <c r="R2471" s="1902"/>
      <c r="S2471" s="1644">
        <f t="shared" ref="S2471:S2472" si="2791">ROUND($D2471*K2471,0)</f>
        <v>0</v>
      </c>
      <c r="T2471" s="1643"/>
      <c r="U2471" s="1644">
        <f t="shared" ref="U2471:Y2472" si="2792">ROUND($D2471*M2471,0)</f>
        <v>0</v>
      </c>
      <c r="V2471" s="1643"/>
      <c r="W2471" s="1644">
        <f t="shared" si="2792"/>
        <v>0</v>
      </c>
      <c r="X2471" s="1643"/>
      <c r="Y2471" s="1644">
        <f t="shared" si="2792"/>
        <v>0</v>
      </c>
      <c r="Z2471" s="1878">
        <f t="shared" ref="Z2471:Z2472" si="2793">Z2367</f>
        <v>0.81143000192935111</v>
      </c>
    </row>
    <row r="2472" spans="1:26" hidden="1">
      <c r="A2472" s="1900" t="s">
        <v>1669</v>
      </c>
      <c r="C2472" s="528"/>
      <c r="D2472" s="528"/>
      <c r="F2472" s="2000"/>
      <c r="G2472" s="1902"/>
      <c r="H2472" s="1644"/>
      <c r="I2472" s="1644"/>
      <c r="K2472" s="2000">
        <f t="shared" ref="K2472" si="2794">K2264</f>
        <v>16.12</v>
      </c>
      <c r="L2472" s="1902"/>
      <c r="M2472" s="2000">
        <f t="shared" ref="M2472" si="2795">M2264</f>
        <v>19.249999999999996</v>
      </c>
      <c r="N2472" s="1902"/>
      <c r="O2472" s="2000">
        <f t="shared" ref="O2472" si="2796">O2264</f>
        <v>0</v>
      </c>
      <c r="P2472" s="1902"/>
      <c r="Q2472" s="2000">
        <f t="shared" si="2790"/>
        <v>35.369999999999997</v>
      </c>
      <c r="R2472" s="1902"/>
      <c r="S2472" s="1644">
        <f t="shared" si="2791"/>
        <v>0</v>
      </c>
      <c r="T2472" s="1643"/>
      <c r="U2472" s="1644">
        <f t="shared" si="2792"/>
        <v>0</v>
      </c>
      <c r="V2472" s="1643"/>
      <c r="W2472" s="1644">
        <f t="shared" si="2792"/>
        <v>0</v>
      </c>
      <c r="X2472" s="1643"/>
      <c r="Y2472" s="1644">
        <f t="shared" si="2792"/>
        <v>0</v>
      </c>
      <c r="Z2472" s="1878">
        <f t="shared" si="2793"/>
        <v>1.1359353572586484</v>
      </c>
    </row>
    <row r="2473" spans="1:26" hidden="1">
      <c r="A2473" s="1900" t="s">
        <v>315</v>
      </c>
      <c r="C2473" s="528"/>
      <c r="D2473" s="528"/>
      <c r="F2473" s="2000"/>
      <c r="G2473" s="1991"/>
      <c r="H2473" s="1644"/>
      <c r="I2473" s="1644"/>
      <c r="K2473" s="2000"/>
      <c r="L2473" s="1991"/>
      <c r="M2473" s="2000"/>
      <c r="N2473" s="1991"/>
      <c r="O2473" s="2000"/>
      <c r="P2473" s="1991"/>
      <c r="Q2473" s="2000"/>
      <c r="R2473" s="1991"/>
      <c r="S2473" s="1644"/>
      <c r="T2473" s="1643"/>
      <c r="U2473" s="1644"/>
      <c r="V2473" s="1643"/>
      <c r="W2473" s="1644"/>
      <c r="X2473" s="1643"/>
      <c r="Y2473" s="1644"/>
    </row>
    <row r="2474" spans="1:26" hidden="1">
      <c r="A2474" s="1900" t="s">
        <v>944</v>
      </c>
      <c r="C2474" s="528"/>
      <c r="D2474" s="528"/>
      <c r="F2474" s="2000">
        <v>0.86</v>
      </c>
      <c r="G2474" s="1991"/>
      <c r="H2474" s="1644">
        <f>ROUND($F2474*C2474,0)</f>
        <v>0</v>
      </c>
      <c r="I2474" s="1644">
        <f>ROUND($F2474*D2474,0)</f>
        <v>0</v>
      </c>
      <c r="K2474" s="2000"/>
      <c r="L2474" s="1991"/>
      <c r="M2474" s="2000"/>
      <c r="N2474" s="1991"/>
      <c r="O2474" s="2000"/>
      <c r="P2474" s="1991"/>
      <c r="Q2474" s="2000"/>
      <c r="R2474" s="1991"/>
      <c r="S2474" s="1644"/>
      <c r="T2474" s="1643"/>
      <c r="U2474" s="1644"/>
      <c r="V2474" s="1643"/>
      <c r="W2474" s="1644"/>
      <c r="X2474" s="1643"/>
      <c r="Y2474" s="1644"/>
    </row>
    <row r="2475" spans="1:26" hidden="1">
      <c r="A2475" s="1900" t="s">
        <v>945</v>
      </c>
      <c r="C2475" s="528"/>
      <c r="D2475" s="528"/>
      <c r="F2475" s="2000">
        <v>0.6</v>
      </c>
      <c r="G2475" s="1991"/>
      <c r="H2475" s="1644">
        <f>ROUND($F2475*C2475,0)</f>
        <v>0</v>
      </c>
      <c r="I2475" s="1644">
        <f>ROUND($F2475*D2475,0)</f>
        <v>0</v>
      </c>
      <c r="K2475" s="2000"/>
      <c r="L2475" s="1991"/>
      <c r="M2475" s="2000"/>
      <c r="N2475" s="1991"/>
      <c r="O2475" s="2000"/>
      <c r="P2475" s="1991"/>
      <c r="Q2475" s="2000"/>
      <c r="R2475" s="1991"/>
      <c r="S2475" s="1644"/>
      <c r="T2475" s="1643"/>
      <c r="U2475" s="1644"/>
      <c r="V2475" s="1643"/>
      <c r="W2475" s="1644"/>
      <c r="X2475" s="1643"/>
      <c r="Y2475" s="1644"/>
    </row>
    <row r="2476" spans="1:26" hidden="1">
      <c r="A2476" s="1900" t="s">
        <v>316</v>
      </c>
      <c r="C2476" s="528"/>
      <c r="D2476" s="528"/>
      <c r="F2476" s="2001"/>
      <c r="G2476" s="1992"/>
      <c r="H2476" s="1644"/>
      <c r="I2476" s="1644"/>
      <c r="K2476" s="2001"/>
      <c r="L2476" s="1992"/>
      <c r="M2476" s="2001"/>
      <c r="N2476" s="1992"/>
      <c r="O2476" s="2001"/>
      <c r="P2476" s="1992"/>
      <c r="Q2476" s="2001"/>
      <c r="R2476" s="1992"/>
      <c r="S2476" s="1644"/>
      <c r="T2476" s="1645"/>
      <c r="U2476" s="1644"/>
      <c r="V2476" s="1645"/>
      <c r="W2476" s="1644"/>
      <c r="X2476" s="1645"/>
      <c r="Y2476" s="1644"/>
    </row>
    <row r="2477" spans="1:26" hidden="1">
      <c r="A2477" s="1900" t="s">
        <v>944</v>
      </c>
      <c r="C2477" s="528"/>
      <c r="D2477" s="528"/>
      <c r="F2477" s="2001">
        <v>0.43</v>
      </c>
      <c r="G2477" s="1992"/>
      <c r="H2477" s="1644">
        <f>ROUND($F2477*C2477,0)</f>
        <v>0</v>
      </c>
      <c r="I2477" s="1644">
        <f>ROUND($F2477*D2477,0)</f>
        <v>0</v>
      </c>
      <c r="K2477" s="2001"/>
      <c r="L2477" s="1992"/>
      <c r="M2477" s="2001"/>
      <c r="N2477" s="1992"/>
      <c r="O2477" s="2001"/>
      <c r="P2477" s="1992"/>
      <c r="Q2477" s="2001"/>
      <c r="R2477" s="1992"/>
      <c r="S2477" s="1644"/>
      <c r="T2477" s="1645"/>
      <c r="U2477" s="1644"/>
      <c r="V2477" s="1645"/>
      <c r="W2477" s="1644"/>
      <c r="X2477" s="1645"/>
      <c r="Y2477" s="1644"/>
    </row>
    <row r="2478" spans="1:26" hidden="1">
      <c r="A2478" s="1900" t="s">
        <v>945</v>
      </c>
      <c r="C2478" s="528"/>
      <c r="D2478" s="528"/>
      <c r="F2478" s="2001">
        <v>0.3</v>
      </c>
      <c r="G2478" s="1992"/>
      <c r="H2478" s="1644">
        <f>ROUND($F2478*C2478,0)</f>
        <v>0</v>
      </c>
      <c r="I2478" s="1644">
        <f>ROUND($F2478*D2478,0)</f>
        <v>0</v>
      </c>
      <c r="K2478" s="2001"/>
      <c r="L2478" s="1992"/>
      <c r="M2478" s="2001"/>
      <c r="N2478" s="1992"/>
      <c r="O2478" s="2001"/>
      <c r="P2478" s="1992"/>
      <c r="Q2478" s="2001"/>
      <c r="R2478" s="1992"/>
      <c r="S2478" s="1644"/>
      <c r="T2478" s="1645"/>
      <c r="U2478" s="1644"/>
      <c r="V2478" s="1645"/>
      <c r="W2478" s="1644"/>
      <c r="X2478" s="1645"/>
      <c r="Y2478" s="1644"/>
    </row>
    <row r="2479" spans="1:26" hidden="1">
      <c r="A2479" s="1900" t="s">
        <v>317</v>
      </c>
      <c r="C2479" s="528"/>
      <c r="D2479" s="528"/>
      <c r="F2479" s="2000"/>
      <c r="G2479" s="1902"/>
      <c r="H2479" s="1644"/>
      <c r="I2479" s="1644"/>
      <c r="K2479" s="2000"/>
      <c r="L2479" s="1902"/>
      <c r="M2479" s="2000"/>
      <c r="N2479" s="1902"/>
      <c r="O2479" s="2000"/>
      <c r="P2479" s="1902"/>
      <c r="Q2479" s="2000"/>
      <c r="R2479" s="1902"/>
      <c r="S2479" s="1644"/>
      <c r="T2479" s="1643"/>
      <c r="U2479" s="1644"/>
      <c r="V2479" s="1643"/>
      <c r="W2479" s="1644"/>
      <c r="X2479" s="1643"/>
      <c r="Y2479" s="1644"/>
    </row>
    <row r="2480" spans="1:26" hidden="1">
      <c r="A2480" s="1900" t="s">
        <v>944</v>
      </c>
      <c r="C2480" s="528"/>
      <c r="D2480" s="528"/>
      <c r="F2480" s="2000">
        <v>38.54</v>
      </c>
      <c r="G2480" s="1902"/>
      <c r="H2480" s="1644">
        <f>ROUND($F2480*C2480,0)</f>
        <v>0</v>
      </c>
      <c r="I2480" s="1644">
        <f>ROUND($F2480*D2480,0)</f>
        <v>0</v>
      </c>
      <c r="K2480" s="2000"/>
      <c r="L2480" s="1902"/>
      <c r="M2480" s="2000"/>
      <c r="N2480" s="1902"/>
      <c r="O2480" s="2000"/>
      <c r="P2480" s="1902"/>
      <c r="Q2480" s="2000"/>
      <c r="R2480" s="1902"/>
      <c r="S2480" s="1644"/>
      <c r="T2480" s="1643"/>
      <c r="U2480" s="1644"/>
      <c r="V2480" s="1643"/>
      <c r="W2480" s="1644"/>
      <c r="X2480" s="1643"/>
      <c r="Y2480" s="1644"/>
    </row>
    <row r="2481" spans="1:26" hidden="1">
      <c r="A2481" s="1900" t="s">
        <v>945</v>
      </c>
      <c r="C2481" s="528"/>
      <c r="D2481" s="528"/>
      <c r="F2481" s="2000">
        <v>29.77</v>
      </c>
      <c r="G2481" s="1902"/>
      <c r="H2481" s="1644">
        <f>ROUND($F2481*C2481,0)</f>
        <v>0</v>
      </c>
      <c r="I2481" s="1644">
        <f>ROUND($F2481*D2481,0)</f>
        <v>0</v>
      </c>
      <c r="K2481" s="2000"/>
      <c r="L2481" s="1902"/>
      <c r="M2481" s="2000"/>
      <c r="N2481" s="1902"/>
      <c r="O2481" s="2000"/>
      <c r="P2481" s="1902"/>
      <c r="Q2481" s="2000"/>
      <c r="R2481" s="1902"/>
      <c r="S2481" s="1644"/>
      <c r="T2481" s="1643"/>
      <c r="U2481" s="1644"/>
      <c r="V2481" s="1643"/>
      <c r="W2481" s="1644"/>
      <c r="X2481" s="1643"/>
      <c r="Y2481" s="1644"/>
    </row>
    <row r="2482" spans="1:26" hidden="1">
      <c r="A2482" s="1987" t="s">
        <v>182</v>
      </c>
      <c r="C2482" s="528"/>
      <c r="D2482" s="528"/>
      <c r="F2482" s="2002"/>
      <c r="K2482" s="2002"/>
      <c r="M2482" s="2002"/>
      <c r="O2482" s="2002"/>
      <c r="Q2482" s="2002"/>
      <c r="S2482" s="1638"/>
      <c r="U2482" s="1638"/>
      <c r="W2482" s="1638"/>
    </row>
    <row r="2483" spans="1:26" hidden="1">
      <c r="A2483" s="1900" t="s">
        <v>312</v>
      </c>
      <c r="C2483" s="528">
        <f>'31'!I4</f>
        <v>36</v>
      </c>
      <c r="D2483" s="528">
        <f>Bill!P67</f>
        <v>36</v>
      </c>
      <c r="F2483" s="2000">
        <v>678</v>
      </c>
      <c r="G2483" s="1902"/>
      <c r="H2483" s="1644">
        <f>ROUND($F2483*C2483,0)</f>
        <v>24408</v>
      </c>
      <c r="I2483" s="1644">
        <f>ROUND($F2483*D2483,0)</f>
        <v>24408</v>
      </c>
      <c r="K2483" s="2000">
        <f t="shared" ref="K2483" si="2797">K2275</f>
        <v>703</v>
      </c>
      <c r="L2483" s="1902"/>
      <c r="M2483" s="2000">
        <f t="shared" ref="M2483" si="2798">M2275</f>
        <v>0</v>
      </c>
      <c r="N2483" s="1902"/>
      <c r="O2483" s="2000">
        <f t="shared" ref="O2483" si="2799">O2275</f>
        <v>0</v>
      </c>
      <c r="P2483" s="1902"/>
      <c r="Q2483" s="2000">
        <f t="shared" ref="Q2483:Q2484" si="2800">Q2275</f>
        <v>703</v>
      </c>
      <c r="R2483" s="1902"/>
      <c r="S2483" s="1644">
        <f>ROUND($D2483*K2483,0)</f>
        <v>25308</v>
      </c>
      <c r="T2483" s="1643"/>
      <c r="U2483" s="1644">
        <f>ROUND($D2483*M2483,0)</f>
        <v>0</v>
      </c>
      <c r="V2483" s="1643"/>
      <c r="W2483" s="1644">
        <f>ROUND($D2483*O2483,0)</f>
        <v>0</v>
      </c>
      <c r="X2483" s="1643"/>
      <c r="Y2483" s="1644">
        <f>ROUND($D2483*Q2483,0)</f>
        <v>25308</v>
      </c>
    </row>
    <row r="2484" spans="1:26" hidden="1">
      <c r="A2484" s="1900" t="s">
        <v>313</v>
      </c>
      <c r="C2484" s="528">
        <f>'31'!J4</f>
        <v>189039</v>
      </c>
      <c r="D2484" s="528">
        <f>ROUND(C2484/$C$2539*$D$2539,0)</f>
        <v>228822</v>
      </c>
      <c r="F2484" s="2000">
        <v>2.63</v>
      </c>
      <c r="G2484" s="1902"/>
      <c r="H2484" s="1644">
        <f>ROUND($F2484*C2484,0)</f>
        <v>497173</v>
      </c>
      <c r="I2484" s="1644">
        <f>ROUND($F2484*D2484,0)</f>
        <v>601802</v>
      </c>
      <c r="K2484" s="2000">
        <f t="shared" ref="K2484" si="2801">K2276</f>
        <v>2.73</v>
      </c>
      <c r="L2484" s="1902"/>
      <c r="M2484" s="2000">
        <f t="shared" ref="M2484" si="2802">M2276</f>
        <v>0</v>
      </c>
      <c r="N2484" s="1902"/>
      <c r="O2484" s="2000">
        <f t="shared" ref="O2484" si="2803">O2276</f>
        <v>0</v>
      </c>
      <c r="P2484" s="1902"/>
      <c r="Q2484" s="2000">
        <f t="shared" si="2800"/>
        <v>2.73</v>
      </c>
      <c r="R2484" s="1902"/>
      <c r="S2484" s="1644">
        <f>ROUND($D2484*K2484,0)</f>
        <v>624684</v>
      </c>
      <c r="T2484" s="1643"/>
      <c r="U2484" s="1644">
        <f>ROUND($D2484*M2484,0)</f>
        <v>0</v>
      </c>
      <c r="V2484" s="1643"/>
      <c r="W2484" s="1644">
        <f>ROUND($D2484*O2484,0)</f>
        <v>0</v>
      </c>
      <c r="X2484" s="1643"/>
      <c r="Y2484" s="1644">
        <f>ROUND($D2484*Q2484,0)</f>
        <v>624684</v>
      </c>
    </row>
    <row r="2485" spans="1:26" hidden="1">
      <c r="A2485" s="1900" t="s">
        <v>314</v>
      </c>
      <c r="C2485" s="528"/>
      <c r="D2485" s="528"/>
      <c r="F2485" s="2001"/>
      <c r="G2485" s="597"/>
      <c r="H2485" s="1644"/>
      <c r="I2485" s="1644"/>
      <c r="K2485" s="2001"/>
      <c r="L2485" s="597"/>
      <c r="M2485" s="2001"/>
      <c r="N2485" s="597"/>
      <c r="O2485" s="2001"/>
      <c r="P2485" s="597"/>
      <c r="Q2485" s="2001"/>
      <c r="R2485" s="597"/>
      <c r="S2485" s="1644"/>
      <c r="T2485" s="1645"/>
      <c r="U2485" s="1644"/>
      <c r="V2485" s="1645"/>
      <c r="W2485" s="1644"/>
      <c r="X2485" s="1645"/>
      <c r="Y2485" s="1644"/>
    </row>
    <row r="2486" spans="1:26" hidden="1">
      <c r="A2486" s="1900" t="s">
        <v>315</v>
      </c>
      <c r="C2486" s="528"/>
      <c r="D2486" s="528"/>
      <c r="F2486" s="2000"/>
      <c r="G2486" s="1991"/>
      <c r="H2486" s="1644"/>
      <c r="I2486" s="1644"/>
      <c r="K2486" s="2000"/>
      <c r="L2486" s="1991"/>
      <c r="M2486" s="2000"/>
      <c r="N2486" s="1991"/>
      <c r="O2486" s="2000"/>
      <c r="P2486" s="1991"/>
      <c r="Q2486" s="2000"/>
      <c r="R2486" s="1991"/>
      <c r="S2486" s="1644"/>
      <c r="T2486" s="1643"/>
      <c r="U2486" s="1644"/>
      <c r="V2486" s="1643"/>
      <c r="W2486" s="1644"/>
      <c r="X2486" s="1643"/>
      <c r="Y2486" s="1644"/>
      <c r="Z2486" s="1878" t="s">
        <v>251</v>
      </c>
    </row>
    <row r="2487" spans="1:26" hidden="1">
      <c r="A2487" s="1900" t="s">
        <v>1668</v>
      </c>
      <c r="C2487" s="528">
        <f>C2496*Z2487</f>
        <v>329715.6555539706</v>
      </c>
      <c r="D2487" s="528">
        <f>ROUND(C2487/$C$2539*$D$2539,0)</f>
        <v>399104</v>
      </c>
      <c r="F2487" s="2000"/>
      <c r="G2487" s="1991"/>
      <c r="H2487" s="1644"/>
      <c r="I2487" s="1644"/>
      <c r="K2487" s="2000">
        <f t="shared" ref="K2487" si="2804">K2279</f>
        <v>0.26</v>
      </c>
      <c r="L2487" s="1991"/>
      <c r="M2487" s="2000">
        <f t="shared" ref="M2487" si="2805">M2279</f>
        <v>0.53</v>
      </c>
      <c r="N2487" s="1991"/>
      <c r="O2487" s="2000">
        <f t="shared" ref="O2487" si="2806">O2279</f>
        <v>0</v>
      </c>
      <c r="P2487" s="1991"/>
      <c r="Q2487" s="2000">
        <f t="shared" ref="Q2487:Q2488" si="2807">Q2279</f>
        <v>0.79</v>
      </c>
      <c r="R2487" s="1991"/>
      <c r="S2487" s="1644">
        <f t="shared" ref="S2487:S2488" si="2808">ROUND($D2487*K2487,0)</f>
        <v>103767</v>
      </c>
      <c r="T2487" s="1643"/>
      <c r="U2487" s="1644">
        <f t="shared" ref="U2487:Y2488" si="2809">ROUND($D2487*M2487,0)</f>
        <v>211525</v>
      </c>
      <c r="V2487" s="1643"/>
      <c r="W2487" s="1644">
        <f t="shared" si="2809"/>
        <v>0</v>
      </c>
      <c r="X2487" s="1643"/>
      <c r="Y2487" s="1644">
        <f t="shared" si="2809"/>
        <v>315292</v>
      </c>
      <c r="Z2487" s="1878">
        <f t="shared" ref="Z2487:Z2488" si="2810">Z2383</f>
        <v>0.81143000192935111</v>
      </c>
    </row>
    <row r="2488" spans="1:26" hidden="1">
      <c r="A2488" s="1900" t="s">
        <v>1669</v>
      </c>
      <c r="C2488" s="528">
        <f>C2497*Z2488</f>
        <v>164694.72370750239</v>
      </c>
      <c r="D2488" s="528">
        <f>ROUND(C2488/$C$2539*$D$2539,0)</f>
        <v>199354</v>
      </c>
      <c r="F2488" s="2000"/>
      <c r="G2488" s="1991"/>
      <c r="H2488" s="1644"/>
      <c r="I2488" s="1644"/>
      <c r="K2488" s="2000">
        <f t="shared" ref="K2488" si="2811">K2280</f>
        <v>0.23</v>
      </c>
      <c r="L2488" s="1991"/>
      <c r="M2488" s="2000">
        <f t="shared" ref="M2488" si="2812">M2280</f>
        <v>0.47</v>
      </c>
      <c r="N2488" s="1991"/>
      <c r="O2488" s="2000">
        <f t="shared" ref="O2488" si="2813">O2280</f>
        <v>0</v>
      </c>
      <c r="P2488" s="1991"/>
      <c r="Q2488" s="2000">
        <f t="shared" si="2807"/>
        <v>0.7</v>
      </c>
      <c r="R2488" s="1991"/>
      <c r="S2488" s="1644">
        <f t="shared" si="2808"/>
        <v>45851</v>
      </c>
      <c r="T2488" s="1643"/>
      <c r="U2488" s="1644">
        <f t="shared" si="2809"/>
        <v>93696</v>
      </c>
      <c r="V2488" s="1643"/>
      <c r="W2488" s="1644">
        <f t="shared" si="2809"/>
        <v>0</v>
      </c>
      <c r="X2488" s="1643"/>
      <c r="Y2488" s="1644">
        <f t="shared" si="2809"/>
        <v>139548</v>
      </c>
      <c r="Z2488" s="1878">
        <f t="shared" si="2810"/>
        <v>1.1359353572586484</v>
      </c>
    </row>
    <row r="2489" spans="1:26" hidden="1">
      <c r="A2489" s="1900" t="s">
        <v>316</v>
      </c>
      <c r="C2489" s="528"/>
      <c r="D2489" s="528"/>
      <c r="F2489" s="2001"/>
      <c r="G2489" s="1992"/>
      <c r="H2489" s="1644"/>
      <c r="I2489" s="1644"/>
      <c r="K2489" s="2001"/>
      <c r="L2489" s="1992"/>
      <c r="M2489" s="2001"/>
      <c r="N2489" s="1992"/>
      <c r="O2489" s="2001"/>
      <c r="P2489" s="1992"/>
      <c r="Q2489" s="2001"/>
      <c r="R2489" s="1992"/>
      <c r="S2489" s="1644"/>
      <c r="T2489" s="1645"/>
      <c r="U2489" s="1644"/>
      <c r="V2489" s="1645"/>
      <c r="W2489" s="1644"/>
      <c r="X2489" s="1645"/>
      <c r="Y2489" s="1644"/>
    </row>
    <row r="2490" spans="1:26" hidden="1">
      <c r="A2490" s="1900" t="s">
        <v>1668</v>
      </c>
      <c r="C2490" s="528">
        <f>C2499*Z2490</f>
        <v>0</v>
      </c>
      <c r="D2490" s="528">
        <f>ROUND(C2490/$C$2539*$D$2539,0)</f>
        <v>0</v>
      </c>
      <c r="F2490" s="2001"/>
      <c r="G2490" s="1992"/>
      <c r="H2490" s="1644"/>
      <c r="I2490" s="1644"/>
      <c r="K2490" s="2001">
        <f t="shared" ref="K2490" si="2814">K2282</f>
        <v>0.13</v>
      </c>
      <c r="L2490" s="1992"/>
      <c r="M2490" s="2001">
        <f t="shared" ref="M2490" si="2815">M2282</f>
        <v>0.26</v>
      </c>
      <c r="N2490" s="1992"/>
      <c r="O2490" s="2001">
        <f t="shared" ref="O2490" si="2816">O2282</f>
        <v>0</v>
      </c>
      <c r="P2490" s="1992"/>
      <c r="Q2490" s="2001">
        <f t="shared" ref="Q2490:Q2491" si="2817">Q2282</f>
        <v>0.39</v>
      </c>
      <c r="R2490" s="1992"/>
      <c r="S2490" s="1644">
        <f t="shared" ref="S2490:S2491" si="2818">ROUND($D2490*K2490,0)</f>
        <v>0</v>
      </c>
      <c r="T2490" s="1645"/>
      <c r="U2490" s="1644">
        <f t="shared" ref="U2490:Y2491" si="2819">ROUND($D2490*M2490,0)</f>
        <v>0</v>
      </c>
      <c r="V2490" s="1645"/>
      <c r="W2490" s="1644">
        <f t="shared" si="2819"/>
        <v>0</v>
      </c>
      <c r="X2490" s="1645"/>
      <c r="Y2490" s="1644">
        <f t="shared" si="2819"/>
        <v>0</v>
      </c>
      <c r="Z2490" s="1878">
        <f t="shared" ref="Z2490:Z2491" si="2820">Z2386</f>
        <v>0.81143000192935111</v>
      </c>
    </row>
    <row r="2491" spans="1:26" hidden="1">
      <c r="A2491" s="1900" t="s">
        <v>1669</v>
      </c>
      <c r="C2491" s="528">
        <f>C2500*Z2491</f>
        <v>124384.92161982199</v>
      </c>
      <c r="D2491" s="528">
        <f>ROUND(C2491/$C$2539*$D$2539,0)</f>
        <v>150561</v>
      </c>
      <c r="F2491" s="2001"/>
      <c r="G2491" s="1992"/>
      <c r="H2491" s="1644"/>
      <c r="I2491" s="1644"/>
      <c r="K2491" s="2001">
        <f t="shared" ref="K2491" si="2821">K2283</f>
        <v>0.12</v>
      </c>
      <c r="L2491" s="1992"/>
      <c r="M2491" s="2001">
        <f t="shared" ref="M2491" si="2822">M2283</f>
        <v>0.22999999999999998</v>
      </c>
      <c r="N2491" s="1992"/>
      <c r="O2491" s="2001">
        <f t="shared" ref="O2491" si="2823">O2283</f>
        <v>0</v>
      </c>
      <c r="P2491" s="1992"/>
      <c r="Q2491" s="2001">
        <f t="shared" si="2817"/>
        <v>0.35</v>
      </c>
      <c r="R2491" s="1992"/>
      <c r="S2491" s="1644">
        <f t="shared" si="2818"/>
        <v>18067</v>
      </c>
      <c r="T2491" s="1645"/>
      <c r="U2491" s="1644">
        <f t="shared" si="2819"/>
        <v>34629</v>
      </c>
      <c r="V2491" s="1645"/>
      <c r="W2491" s="1644">
        <f t="shared" si="2819"/>
        <v>0</v>
      </c>
      <c r="X2491" s="1645"/>
      <c r="Y2491" s="1644">
        <f t="shared" si="2819"/>
        <v>52696</v>
      </c>
      <c r="Z2491" s="1878">
        <f t="shared" si="2820"/>
        <v>1.1359353572586484</v>
      </c>
    </row>
    <row r="2492" spans="1:26" hidden="1">
      <c r="A2492" s="1900" t="s">
        <v>317</v>
      </c>
      <c r="C2492" s="528"/>
      <c r="D2492" s="528"/>
      <c r="F2492" s="2000"/>
      <c r="G2492" s="1902"/>
      <c r="H2492" s="1644"/>
      <c r="I2492" s="1644"/>
      <c r="K2492" s="2000"/>
      <c r="L2492" s="1902"/>
      <c r="M2492" s="2000"/>
      <c r="N2492" s="1902"/>
      <c r="O2492" s="2000"/>
      <c r="P2492" s="1902"/>
      <c r="Q2492" s="2000"/>
      <c r="R2492" s="1902"/>
      <c r="S2492" s="1644"/>
      <c r="T2492" s="1643"/>
      <c r="U2492" s="1644"/>
      <c r="V2492" s="1643"/>
      <c r="W2492" s="1644"/>
      <c r="X2492" s="1643"/>
      <c r="Y2492" s="1644"/>
    </row>
    <row r="2493" spans="1:26" hidden="1">
      <c r="A2493" s="1900" t="s">
        <v>1668</v>
      </c>
      <c r="C2493" s="528">
        <f>C2502*Z2493</f>
        <v>0</v>
      </c>
      <c r="D2493" s="528">
        <f>ROUND(C2493/$C$2539*$D$2539,0)</f>
        <v>0</v>
      </c>
      <c r="F2493" s="2000"/>
      <c r="G2493" s="1902"/>
      <c r="H2493" s="1644"/>
      <c r="I2493" s="1644"/>
      <c r="K2493" s="2000">
        <f t="shared" ref="K2493" si="2824">K2285</f>
        <v>11.04</v>
      </c>
      <c r="L2493" s="1902"/>
      <c r="M2493" s="2000">
        <f t="shared" ref="M2493" si="2825">M2285</f>
        <v>22.509999999999998</v>
      </c>
      <c r="N2493" s="1902"/>
      <c r="O2493" s="2000">
        <f t="shared" ref="O2493" si="2826">O2285</f>
        <v>0</v>
      </c>
      <c r="P2493" s="1902"/>
      <c r="Q2493" s="2000">
        <f t="shared" ref="Q2493:Q2494" si="2827">Q2285</f>
        <v>33.549999999999997</v>
      </c>
      <c r="R2493" s="1902"/>
      <c r="S2493" s="1644">
        <f t="shared" ref="S2493:S2494" si="2828">ROUND($D2493*K2493,0)</f>
        <v>0</v>
      </c>
      <c r="T2493" s="1643"/>
      <c r="U2493" s="1644">
        <f t="shared" ref="U2493:Y2494" si="2829">ROUND($D2493*M2493,0)</f>
        <v>0</v>
      </c>
      <c r="V2493" s="1643"/>
      <c r="W2493" s="1644">
        <f t="shared" si="2829"/>
        <v>0</v>
      </c>
      <c r="X2493" s="1643"/>
      <c r="Y2493" s="1644">
        <f t="shared" si="2829"/>
        <v>0</v>
      </c>
      <c r="Z2493" s="1878">
        <f t="shared" ref="Z2493:Z2494" si="2830">Z2389</f>
        <v>0.81143000192935111</v>
      </c>
    </row>
    <row r="2494" spans="1:26" hidden="1">
      <c r="A2494" s="1900" t="s">
        <v>1669</v>
      </c>
      <c r="C2494" s="528">
        <f>C2503*Z2494</f>
        <v>0</v>
      </c>
      <c r="D2494" s="528">
        <f>ROUND(C2494/$C$2539*$D$2539,0)</f>
        <v>0</v>
      </c>
      <c r="F2494" s="2000"/>
      <c r="G2494" s="1902"/>
      <c r="H2494" s="1644"/>
      <c r="I2494" s="1644"/>
      <c r="K2494" s="2000">
        <f t="shared" ref="K2494" si="2831">K2286</f>
        <v>9.76</v>
      </c>
      <c r="L2494" s="1902"/>
      <c r="M2494" s="2000">
        <f t="shared" ref="M2494" si="2832">M2286</f>
        <v>19.93</v>
      </c>
      <c r="N2494" s="1902"/>
      <c r="O2494" s="2000">
        <f t="shared" ref="O2494" si="2833">O2286</f>
        <v>0</v>
      </c>
      <c r="P2494" s="1902"/>
      <c r="Q2494" s="2000">
        <f t="shared" si="2827"/>
        <v>29.69</v>
      </c>
      <c r="R2494" s="1902"/>
      <c r="S2494" s="1644">
        <f t="shared" si="2828"/>
        <v>0</v>
      </c>
      <c r="T2494" s="1643"/>
      <c r="U2494" s="1644">
        <f t="shared" si="2829"/>
        <v>0</v>
      </c>
      <c r="V2494" s="1643"/>
      <c r="W2494" s="1644">
        <f t="shared" si="2829"/>
        <v>0</v>
      </c>
      <c r="X2494" s="1643"/>
      <c r="Y2494" s="1644">
        <f t="shared" si="2829"/>
        <v>0</v>
      </c>
      <c r="Z2494" s="1878">
        <f t="shared" si="2830"/>
        <v>1.1359353572586484</v>
      </c>
    </row>
    <row r="2495" spans="1:26" hidden="1">
      <c r="A2495" s="1900" t="s">
        <v>315</v>
      </c>
      <c r="C2495" s="528"/>
      <c r="D2495" s="528"/>
      <c r="F2495" s="2000"/>
      <c r="G2495" s="1991"/>
      <c r="H2495" s="1644"/>
      <c r="I2495" s="1644"/>
      <c r="K2495" s="2000"/>
      <c r="L2495" s="1991"/>
      <c r="M2495" s="2000"/>
      <c r="N2495" s="1991"/>
      <c r="O2495" s="2000"/>
      <c r="P2495" s="1991"/>
      <c r="Q2495" s="2000"/>
      <c r="R2495" s="1991"/>
      <c r="S2495" s="1644"/>
      <c r="T2495" s="1643"/>
      <c r="U2495" s="1644"/>
      <c r="V2495" s="1643"/>
      <c r="W2495" s="1644"/>
      <c r="X2495" s="1643"/>
      <c r="Y2495" s="1644"/>
    </row>
    <row r="2496" spans="1:26" hidden="1">
      <c r="A2496" s="1900" t="s">
        <v>944</v>
      </c>
      <c r="C2496" s="528">
        <f>'31'!N4</f>
        <v>406339</v>
      </c>
      <c r="D2496" s="528">
        <f>ROUND(C2496/$C$2539*$D$2539,0)</f>
        <v>491852</v>
      </c>
      <c r="F2496" s="2000">
        <v>0.76</v>
      </c>
      <c r="G2496" s="1991"/>
      <c r="H2496" s="1644">
        <f>ROUND($F2496*C2496,0)</f>
        <v>308818</v>
      </c>
      <c r="I2496" s="1644">
        <f>ROUND($F2496*D2496,0)</f>
        <v>373808</v>
      </c>
      <c r="K2496" s="2000"/>
      <c r="L2496" s="1991"/>
      <c r="M2496" s="2000"/>
      <c r="N2496" s="1991"/>
      <c r="O2496" s="2000"/>
      <c r="P2496" s="1991"/>
      <c r="Q2496" s="2000"/>
      <c r="R2496" s="1991"/>
      <c r="S2496" s="1644"/>
      <c r="T2496" s="1643"/>
      <c r="U2496" s="1644"/>
      <c r="V2496" s="1643"/>
      <c r="W2496" s="1644"/>
      <c r="X2496" s="1643"/>
      <c r="Y2496" s="1644"/>
    </row>
    <row r="2497" spans="1:26" hidden="1">
      <c r="A2497" s="1900" t="s">
        <v>945</v>
      </c>
      <c r="C2497" s="528">
        <f>'31'!O4</f>
        <v>144986</v>
      </c>
      <c r="D2497" s="528">
        <f>ROUND(C2497/$C$2539*$D$2539,0)</f>
        <v>175498</v>
      </c>
      <c r="F2497" s="2000">
        <v>0.51</v>
      </c>
      <c r="G2497" s="1991"/>
      <c r="H2497" s="1644">
        <f>ROUND($F2497*C2497,0)</f>
        <v>73943</v>
      </c>
      <c r="I2497" s="1644">
        <f>ROUND($F2497*D2497,0)</f>
        <v>89504</v>
      </c>
      <c r="K2497" s="2000"/>
      <c r="L2497" s="1991"/>
      <c r="M2497" s="2000"/>
      <c r="N2497" s="1991"/>
      <c r="O2497" s="2000"/>
      <c r="P2497" s="1991"/>
      <c r="Q2497" s="2000"/>
      <c r="R2497" s="1991"/>
      <c r="S2497" s="1644"/>
      <c r="T2497" s="1643"/>
      <c r="U2497" s="1644"/>
      <c r="V2497" s="1643"/>
      <c r="W2497" s="1644"/>
      <c r="X2497" s="1643"/>
      <c r="Y2497" s="1644"/>
    </row>
    <row r="2498" spans="1:26" hidden="1">
      <c r="A2498" s="1900" t="s">
        <v>316</v>
      </c>
      <c r="C2498" s="528"/>
      <c r="D2498" s="528"/>
      <c r="F2498" s="2001"/>
      <c r="G2498" s="1992"/>
      <c r="H2498" s="1644"/>
      <c r="I2498" s="1644"/>
      <c r="K2498" s="2001"/>
      <c r="L2498" s="1992"/>
      <c r="M2498" s="2001"/>
      <c r="N2498" s="1992"/>
      <c r="O2498" s="2001"/>
      <c r="P2498" s="1992"/>
      <c r="Q2498" s="2001"/>
      <c r="R2498" s="1992"/>
      <c r="S2498" s="1644"/>
      <c r="T2498" s="1645"/>
      <c r="U2498" s="1644"/>
      <c r="V2498" s="1645"/>
      <c r="W2498" s="1644"/>
      <c r="X2498" s="1645"/>
      <c r="Y2498" s="1644"/>
    </row>
    <row r="2499" spans="1:26" hidden="1">
      <c r="A2499" s="1900" t="s">
        <v>944</v>
      </c>
      <c r="C2499" s="528">
        <f>'31'!Q4</f>
        <v>0</v>
      </c>
      <c r="D2499" s="528">
        <f>ROUND(C2499/$C$2539*$D$2539,0)</f>
        <v>0</v>
      </c>
      <c r="F2499" s="2001">
        <v>0.38</v>
      </c>
      <c r="G2499" s="1992"/>
      <c r="H2499" s="1644">
        <f>ROUND($F2499*C2499,0)</f>
        <v>0</v>
      </c>
      <c r="I2499" s="1644">
        <f>ROUND($F2499*D2499,0)</f>
        <v>0</v>
      </c>
      <c r="K2499" s="2001"/>
      <c r="L2499" s="1992"/>
      <c r="M2499" s="2001"/>
      <c r="N2499" s="1992"/>
      <c r="O2499" s="2001"/>
      <c r="P2499" s="1992"/>
      <c r="Q2499" s="2001"/>
      <c r="R2499" s="1992"/>
      <c r="S2499" s="1644"/>
      <c r="T2499" s="1645"/>
      <c r="U2499" s="1644"/>
      <c r="V2499" s="1645"/>
      <c r="W2499" s="1644"/>
      <c r="X2499" s="1645"/>
      <c r="Y2499" s="1644"/>
    </row>
    <row r="2500" spans="1:26" hidden="1">
      <c r="A2500" s="1900" t="s">
        <v>945</v>
      </c>
      <c r="C2500" s="528">
        <f>'31'!R4</f>
        <v>109500</v>
      </c>
      <c r="D2500" s="528">
        <f>ROUND(C2500/$C$2539*$D$2539,0)</f>
        <v>132544</v>
      </c>
      <c r="F2500" s="2001">
        <v>0.255</v>
      </c>
      <c r="G2500" s="1992"/>
      <c r="H2500" s="1644">
        <f>ROUND($F2500*C2500,0)</f>
        <v>27923</v>
      </c>
      <c r="I2500" s="1644">
        <f>ROUND($F2500*D2500,0)</f>
        <v>33799</v>
      </c>
      <c r="K2500" s="2001"/>
      <c r="L2500" s="1992"/>
      <c r="M2500" s="2001"/>
      <c r="N2500" s="1992"/>
      <c r="O2500" s="2001"/>
      <c r="P2500" s="1992"/>
      <c r="Q2500" s="2001"/>
      <c r="R2500" s="1992"/>
      <c r="S2500" s="1644"/>
      <c r="T2500" s="1645"/>
      <c r="U2500" s="1644"/>
      <c r="V2500" s="1645"/>
      <c r="W2500" s="1644"/>
      <c r="X2500" s="1645"/>
      <c r="Y2500" s="1644"/>
    </row>
    <row r="2501" spans="1:26" hidden="1">
      <c r="A2501" s="1900" t="s">
        <v>317</v>
      </c>
      <c r="C2501" s="528"/>
      <c r="D2501" s="528"/>
      <c r="F2501" s="2000"/>
      <c r="G2501" s="1902"/>
      <c r="H2501" s="1644"/>
      <c r="I2501" s="1644"/>
      <c r="K2501" s="2000"/>
      <c r="L2501" s="1902"/>
      <c r="M2501" s="2000"/>
      <c r="N2501" s="1902"/>
      <c r="O2501" s="2000"/>
      <c r="P2501" s="1902"/>
      <c r="Q2501" s="2000"/>
      <c r="R2501" s="1902"/>
      <c r="S2501" s="1644"/>
      <c r="T2501" s="1643"/>
      <c r="U2501" s="1644"/>
      <c r="V2501" s="1643"/>
      <c r="W2501" s="1644"/>
      <c r="X2501" s="1643"/>
      <c r="Y2501" s="1644"/>
    </row>
    <row r="2502" spans="1:26" hidden="1">
      <c r="A2502" s="1900" t="s">
        <v>944</v>
      </c>
      <c r="C2502" s="528">
        <f>'31'!T4</f>
        <v>0</v>
      </c>
      <c r="D2502" s="528">
        <f>ROUND(C2502/$C$2539*$D$2539,0)</f>
        <v>0</v>
      </c>
      <c r="F2502" s="2000">
        <v>32.35</v>
      </c>
      <c r="G2502" s="1902"/>
      <c r="H2502" s="1644">
        <f>ROUND($F2502*C2502,0)</f>
        <v>0</v>
      </c>
      <c r="I2502" s="1644">
        <f>ROUND($F2502*D2502,0)</f>
        <v>0</v>
      </c>
      <c r="K2502" s="2000"/>
      <c r="L2502" s="1902"/>
      <c r="M2502" s="2000"/>
      <c r="N2502" s="1902"/>
      <c r="O2502" s="2000"/>
      <c r="P2502" s="1902"/>
      <c r="Q2502" s="2000"/>
      <c r="R2502" s="1902"/>
      <c r="S2502" s="1644"/>
      <c r="T2502" s="1643"/>
      <c r="U2502" s="1644"/>
      <c r="V2502" s="1643"/>
      <c r="W2502" s="1644"/>
      <c r="X2502" s="1643"/>
      <c r="Y2502" s="1644"/>
    </row>
    <row r="2503" spans="1:26" hidden="1">
      <c r="A2503" s="1900" t="s">
        <v>945</v>
      </c>
      <c r="C2503" s="528">
        <f>'31'!U4</f>
        <v>0</v>
      </c>
      <c r="D2503" s="528">
        <f>ROUND(C2503/$C$2539*$D$2539,0)</f>
        <v>0</v>
      </c>
      <c r="F2503" s="2000">
        <v>23.36</v>
      </c>
      <c r="G2503" s="1902"/>
      <c r="H2503" s="1644">
        <f>ROUND($F2503*C2503,0)</f>
        <v>0</v>
      </c>
      <c r="I2503" s="1644">
        <f>ROUND($F2503*D2503,0)</f>
        <v>0</v>
      </c>
      <c r="K2503" s="2000"/>
      <c r="L2503" s="1902"/>
      <c r="M2503" s="2000"/>
      <c r="N2503" s="1902"/>
      <c r="O2503" s="2000"/>
      <c r="P2503" s="1902"/>
      <c r="Q2503" s="2000"/>
      <c r="R2503" s="1902"/>
      <c r="S2503" s="1644"/>
      <c r="T2503" s="1643"/>
      <c r="U2503" s="1644"/>
      <c r="V2503" s="1643"/>
      <c r="W2503" s="1644"/>
      <c r="X2503" s="1643"/>
      <c r="Y2503" s="1644"/>
    </row>
    <row r="2504" spans="1:26" hidden="1">
      <c r="A2504" s="1900" t="s">
        <v>397</v>
      </c>
      <c r="C2504" s="585"/>
      <c r="D2504" s="585"/>
      <c r="F2504" s="1943"/>
      <c r="G2504" s="1957"/>
      <c r="H2504" s="1030">
        <f>SUM(H2439:H2503)</f>
        <v>932265</v>
      </c>
      <c r="I2504" s="1030">
        <f>SUM(I2439:I2503)</f>
        <v>1123321</v>
      </c>
      <c r="K2504" s="1943"/>
      <c r="L2504" s="1957"/>
      <c r="M2504" s="1943"/>
      <c r="N2504" s="1957"/>
      <c r="O2504" s="1943"/>
      <c r="P2504" s="1957"/>
      <c r="Q2504" s="1943"/>
      <c r="R2504" s="1957"/>
      <c r="S2504" s="1030">
        <f>SUM(S2439:S2503)</f>
        <v>817677</v>
      </c>
      <c r="T2504" s="1645"/>
      <c r="U2504" s="1030">
        <f>SUM(U2439:U2503)</f>
        <v>339850</v>
      </c>
      <c r="V2504" s="1645"/>
      <c r="W2504" s="1030">
        <f>SUM(W2439:W2503)</f>
        <v>0</v>
      </c>
      <c r="X2504" s="1645"/>
      <c r="Y2504" s="1030">
        <f>SUM(Y2439:Y2503)</f>
        <v>1157528</v>
      </c>
    </row>
    <row r="2505" spans="1:26" hidden="1">
      <c r="A2505" s="1987" t="s">
        <v>442</v>
      </c>
      <c r="S2505" s="1638"/>
      <c r="U2505" s="1638"/>
      <c r="W2505" s="1638"/>
    </row>
    <row r="2506" spans="1:26" hidden="1">
      <c r="A2506" s="1897" t="s">
        <v>443</v>
      </c>
      <c r="C2506" s="528"/>
      <c r="D2506" s="528"/>
      <c r="F2506" s="1944"/>
      <c r="G2506" s="597"/>
      <c r="H2506" s="1644"/>
      <c r="I2506" s="1644"/>
      <c r="K2506" s="1944"/>
      <c r="L2506" s="597"/>
      <c r="M2506" s="1944"/>
      <c r="N2506" s="597"/>
      <c r="O2506" s="1944"/>
      <c r="P2506" s="597"/>
      <c r="Q2506" s="1944"/>
      <c r="R2506" s="597"/>
      <c r="S2506" s="1644"/>
      <c r="T2506" s="1645"/>
      <c r="U2506" s="1644"/>
      <c r="V2506" s="1645"/>
      <c r="W2506" s="1644"/>
      <c r="X2506" s="1645"/>
      <c r="Y2506" s="1644"/>
    </row>
    <row r="2507" spans="1:26" hidden="1">
      <c r="A2507" s="1900" t="s">
        <v>168</v>
      </c>
      <c r="C2507" s="528"/>
      <c r="D2507" s="528"/>
      <c r="F2507" s="1944">
        <v>4.76</v>
      </c>
      <c r="G2507" s="597"/>
      <c r="H2507" s="1644">
        <f t="shared" ref="H2507:I2516" si="2834">ROUND($F2507*C2507,0)</f>
        <v>0</v>
      </c>
      <c r="I2507" s="1644">
        <f t="shared" si="2834"/>
        <v>0</v>
      </c>
      <c r="K2507" s="1944">
        <f t="shared" ref="K2507" si="2835">K2299</f>
        <v>4.84</v>
      </c>
      <c r="L2507" s="597"/>
      <c r="M2507" s="1944">
        <f t="shared" ref="M2507" si="2836">M2299</f>
        <v>0</v>
      </c>
      <c r="N2507" s="597"/>
      <c r="O2507" s="1944">
        <f t="shared" ref="O2507" si="2837">O2299</f>
        <v>0</v>
      </c>
      <c r="P2507" s="597"/>
      <c r="Q2507" s="1944">
        <f t="shared" ref="Q2507:Q2513" si="2838">Q2299</f>
        <v>4.84</v>
      </c>
      <c r="R2507" s="597"/>
      <c r="S2507" s="1644">
        <f t="shared" ref="S2507:Y2509" si="2839">ROUND($D2507*K2507,0)</f>
        <v>0</v>
      </c>
      <c r="T2507" s="1645"/>
      <c r="U2507" s="1644">
        <f t="shared" si="2839"/>
        <v>0</v>
      </c>
      <c r="V2507" s="1645"/>
      <c r="W2507" s="1644">
        <f t="shared" si="2839"/>
        <v>0</v>
      </c>
      <c r="X2507" s="1645"/>
      <c r="Y2507" s="1644">
        <f t="shared" si="2839"/>
        <v>0</v>
      </c>
      <c r="Z2507" s="1878" t="s">
        <v>251</v>
      </c>
    </row>
    <row r="2508" spans="1:26" hidden="1">
      <c r="A2508" s="1900" t="s">
        <v>1651</v>
      </c>
      <c r="C2508" s="528"/>
      <c r="D2508" s="528"/>
      <c r="F2508" s="1944"/>
      <c r="G2508" s="597"/>
      <c r="H2508" s="1644"/>
      <c r="I2508" s="1644"/>
      <c r="K2508" s="1944">
        <f t="shared" ref="K2508" si="2840">K2300</f>
        <v>7.23</v>
      </c>
      <c r="L2508" s="597"/>
      <c r="M2508" s="1944">
        <f t="shared" ref="M2508" si="2841">M2300</f>
        <v>8.6</v>
      </c>
      <c r="N2508" s="597"/>
      <c r="O2508" s="1944">
        <f t="shared" ref="O2508" si="2842">O2300</f>
        <v>0</v>
      </c>
      <c r="P2508" s="597"/>
      <c r="Q2508" s="1944">
        <f t="shared" si="2838"/>
        <v>15.83</v>
      </c>
      <c r="R2508" s="597"/>
      <c r="S2508" s="1644">
        <f t="shared" si="2839"/>
        <v>0</v>
      </c>
      <c r="T2508" s="1645"/>
      <c r="U2508" s="1644">
        <f t="shared" si="2839"/>
        <v>0</v>
      </c>
      <c r="V2508" s="1645"/>
      <c r="W2508" s="1644">
        <f t="shared" si="2839"/>
        <v>0</v>
      </c>
      <c r="X2508" s="1645"/>
      <c r="Y2508" s="1644">
        <f t="shared" si="2839"/>
        <v>0</v>
      </c>
      <c r="Z2508" s="1878">
        <f t="shared" ref="Z2508:Z2512" si="2843">Z2404</f>
        <v>0.8080618296749863</v>
      </c>
    </row>
    <row r="2509" spans="1:26" hidden="1">
      <c r="A2509" s="1900" t="s">
        <v>1652</v>
      </c>
      <c r="C2509" s="528"/>
      <c r="D2509" s="528"/>
      <c r="F2509" s="1944"/>
      <c r="G2509" s="597"/>
      <c r="H2509" s="1644"/>
      <c r="I2509" s="1644"/>
      <c r="K2509" s="1944">
        <f t="shared" ref="K2509" si="2844">K2301</f>
        <v>6.4</v>
      </c>
      <c r="L2509" s="597"/>
      <c r="M2509" s="1944">
        <f t="shared" ref="M2509" si="2845">M2301</f>
        <v>7.6099999999999994</v>
      </c>
      <c r="N2509" s="597"/>
      <c r="O2509" s="1944">
        <f t="shared" ref="O2509" si="2846">O2301</f>
        <v>0</v>
      </c>
      <c r="P2509" s="597"/>
      <c r="Q2509" s="1944">
        <f t="shared" si="2838"/>
        <v>14.01</v>
      </c>
      <c r="R2509" s="597"/>
      <c r="S2509" s="1644">
        <f t="shared" si="2839"/>
        <v>0</v>
      </c>
      <c r="T2509" s="1645"/>
      <c r="U2509" s="1644">
        <f t="shared" si="2839"/>
        <v>0</v>
      </c>
      <c r="V2509" s="1645"/>
      <c r="W2509" s="1644">
        <f t="shared" si="2839"/>
        <v>0</v>
      </c>
      <c r="X2509" s="1645"/>
      <c r="Y2509" s="1644">
        <f t="shared" si="2839"/>
        <v>0</v>
      </c>
      <c r="Z2509" s="1878">
        <f t="shared" si="2843"/>
        <v>1.1030535149949241</v>
      </c>
    </row>
    <row r="2510" spans="1:26" hidden="1">
      <c r="A2510" s="1900" t="s">
        <v>1532</v>
      </c>
      <c r="C2510" s="528"/>
      <c r="D2510" s="528"/>
      <c r="F2510" s="1943"/>
      <c r="G2510" s="1921"/>
      <c r="H2510" s="1644"/>
      <c r="I2510" s="1644"/>
      <c r="K2510" s="1943">
        <f t="shared" ref="K2510" si="2847">K2302</f>
        <v>0</v>
      </c>
      <c r="L2510" s="1921" t="s">
        <v>495</v>
      </c>
      <c r="M2510" s="1943">
        <f t="shared" ref="M2510" si="2848">M2302</f>
        <v>1.4166000000000001</v>
      </c>
      <c r="N2510" s="1921" t="s">
        <v>495</v>
      </c>
      <c r="O2510" s="1943">
        <f t="shared" ref="O2510" si="2849">O2302</f>
        <v>4.4476704152740005</v>
      </c>
      <c r="P2510" s="1921" t="s">
        <v>495</v>
      </c>
      <c r="Q2510" s="1943">
        <f t="shared" si="2838"/>
        <v>5.8642704152740004</v>
      </c>
      <c r="R2510" s="1921" t="s">
        <v>495</v>
      </c>
      <c r="S2510" s="1644">
        <f>ROUND($D2510*K2510/100,0)</f>
        <v>0</v>
      </c>
      <c r="T2510" s="1648"/>
      <c r="U2510" s="1644">
        <f>ROUND($D2510*M2510/100,0)</f>
        <v>0</v>
      </c>
      <c r="V2510" s="1648"/>
      <c r="W2510" s="1644">
        <f>ROUND($D2510*O2510/100,0)</f>
        <v>0</v>
      </c>
      <c r="X2510" s="1648"/>
      <c r="Y2510" s="1644">
        <f>ROUND($D2510*Q2510/100,0)</f>
        <v>0</v>
      </c>
      <c r="Z2510" s="1878">
        <f t="shared" si="2843"/>
        <v>0.79730449923359459</v>
      </c>
    </row>
    <row r="2511" spans="1:26" hidden="1">
      <c r="A2511" s="1900" t="s">
        <v>1653</v>
      </c>
      <c r="C2511" s="528"/>
      <c r="D2511" s="528"/>
      <c r="F2511" s="1943"/>
      <c r="G2511" s="1921"/>
      <c r="H2511" s="1644"/>
      <c r="I2511" s="1644"/>
      <c r="K2511" s="1943">
        <f t="shared" ref="K2511" si="2850">K2303</f>
        <v>0</v>
      </c>
      <c r="L2511" s="1921" t="s">
        <v>495</v>
      </c>
      <c r="M2511" s="1943">
        <f t="shared" ref="M2511" si="2851">M2303</f>
        <v>1.4166000000000001</v>
      </c>
      <c r="N2511" s="1921" t="s">
        <v>495</v>
      </c>
      <c r="O2511" s="1943">
        <f t="shared" ref="O2511" si="2852">O2303</f>
        <v>3.7730198365260001</v>
      </c>
      <c r="P2511" s="1921" t="s">
        <v>495</v>
      </c>
      <c r="Q2511" s="1943">
        <f t="shared" si="2838"/>
        <v>5.189619836526</v>
      </c>
      <c r="R2511" s="1921" t="s">
        <v>495</v>
      </c>
      <c r="S2511" s="1644">
        <f t="shared" ref="S2511:Y2513" si="2853">ROUND($D2511*K2511/100,0)</f>
        <v>0</v>
      </c>
      <c r="T2511" s="1648"/>
      <c r="U2511" s="1644">
        <f t="shared" si="2853"/>
        <v>0</v>
      </c>
      <c r="V2511" s="1648"/>
      <c r="W2511" s="1644">
        <f t="shared" si="2853"/>
        <v>0</v>
      </c>
      <c r="X2511" s="1648"/>
      <c r="Y2511" s="1644">
        <f t="shared" si="2853"/>
        <v>0</v>
      </c>
      <c r="Z2511" s="1878">
        <f t="shared" si="2843"/>
        <v>0.49318673869770435</v>
      </c>
    </row>
    <row r="2512" spans="1:26" hidden="1">
      <c r="A2512" s="1900" t="s">
        <v>1533</v>
      </c>
      <c r="C2512" s="528"/>
      <c r="D2512" s="528"/>
      <c r="F2512" s="1943"/>
      <c r="G2512" s="1921"/>
      <c r="H2512" s="1644"/>
      <c r="I2512" s="1644"/>
      <c r="K2512" s="1943">
        <f t="shared" ref="K2512" si="2854">K2304</f>
        <v>0</v>
      </c>
      <c r="L2512" s="1921" t="s">
        <v>495</v>
      </c>
      <c r="M2512" s="1943">
        <f t="shared" ref="M2512" si="2855">M2304</f>
        <v>1.4166000000000001</v>
      </c>
      <c r="N2512" s="1921" t="s">
        <v>495</v>
      </c>
      <c r="O2512" s="1943">
        <f t="shared" ref="O2512" si="2856">O2304</f>
        <v>1.5641055047420001</v>
      </c>
      <c r="P2512" s="1921" t="s">
        <v>495</v>
      </c>
      <c r="Q2512" s="1943">
        <f t="shared" si="2838"/>
        <v>2.9807055047420001</v>
      </c>
      <c r="R2512" s="1921" t="s">
        <v>495</v>
      </c>
      <c r="S2512" s="1644">
        <f t="shared" si="2853"/>
        <v>0</v>
      </c>
      <c r="T2512" s="1648"/>
      <c r="U2512" s="1644">
        <f t="shared" si="2853"/>
        <v>0</v>
      </c>
      <c r="V2512" s="1648"/>
      <c r="W2512" s="1644">
        <f t="shared" si="2853"/>
        <v>0</v>
      </c>
      <c r="X2512" s="1648"/>
      <c r="Y2512" s="1644">
        <f t="shared" si="2853"/>
        <v>0</v>
      </c>
      <c r="Z2512" s="1878">
        <f t="shared" si="2843"/>
        <v>0.26809377750638824</v>
      </c>
    </row>
    <row r="2513" spans="1:26" hidden="1">
      <c r="A2513" s="1900" t="s">
        <v>2177</v>
      </c>
      <c r="C2513" s="528"/>
      <c r="D2513" s="528"/>
      <c r="F2513" s="1943"/>
      <c r="G2513" s="1921"/>
      <c r="H2513" s="1654"/>
      <c r="I2513" s="1654"/>
      <c r="K2513" s="1943">
        <f t="shared" ref="K2513" si="2857">K2305</f>
        <v>0</v>
      </c>
      <c r="L2513" s="1921" t="s">
        <v>495</v>
      </c>
      <c r="M2513" s="1943">
        <f t="shared" ref="M2513" si="2858">M2305</f>
        <v>1.4166000000000001</v>
      </c>
      <c r="N2513" s="1921" t="s">
        <v>495</v>
      </c>
      <c r="O2513" s="1943">
        <f t="shared" ref="O2513" si="2859">O2305</f>
        <v>1.2211924820729998</v>
      </c>
      <c r="P2513" s="1921" t="s">
        <v>495</v>
      </c>
      <c r="Q2513" s="1943">
        <f t="shared" si="2838"/>
        <v>2.6377924820729999</v>
      </c>
      <c r="R2513" s="1921" t="s">
        <v>495</v>
      </c>
      <c r="S2513" s="1644">
        <f t="shared" si="2853"/>
        <v>0</v>
      </c>
      <c r="T2513" s="1648"/>
      <c r="U2513" s="1644">
        <f t="shared" si="2853"/>
        <v>0</v>
      </c>
      <c r="V2513" s="1648"/>
      <c r="W2513" s="1644">
        <f t="shared" si="2853"/>
        <v>0</v>
      </c>
      <c r="X2513" s="1648"/>
      <c r="Y2513" s="1644">
        <f t="shared" si="2853"/>
        <v>0</v>
      </c>
    </row>
    <row r="2514" spans="1:26" hidden="1">
      <c r="A2514" s="1900" t="s">
        <v>18</v>
      </c>
      <c r="C2514" s="528"/>
      <c r="D2514" s="528"/>
      <c r="F2514" s="1944">
        <v>15.56</v>
      </c>
      <c r="G2514" s="597"/>
      <c r="H2514" s="1644">
        <f t="shared" si="2834"/>
        <v>0</v>
      </c>
      <c r="I2514" s="1644">
        <f t="shared" si="2834"/>
        <v>0</v>
      </c>
      <c r="K2514" s="1944"/>
      <c r="L2514" s="597"/>
      <c r="M2514" s="1944"/>
      <c r="N2514" s="597"/>
      <c r="O2514" s="1944"/>
      <c r="P2514" s="597"/>
      <c r="Q2514" s="1944"/>
      <c r="R2514" s="597"/>
      <c r="S2514" s="1644"/>
      <c r="T2514" s="1645"/>
      <c r="U2514" s="1644"/>
      <c r="V2514" s="1645"/>
      <c r="W2514" s="1644"/>
      <c r="X2514" s="1645"/>
      <c r="Y2514" s="1644"/>
    </row>
    <row r="2515" spans="1:26" hidden="1">
      <c r="A2515" s="1900" t="s">
        <v>166</v>
      </c>
      <c r="C2515" s="528"/>
      <c r="D2515" s="528"/>
      <c r="F2515" s="1944">
        <v>11.19</v>
      </c>
      <c r="G2515" s="597"/>
      <c r="H2515" s="1644">
        <f t="shared" si="2834"/>
        <v>0</v>
      </c>
      <c r="I2515" s="1644">
        <f t="shared" si="2834"/>
        <v>0</v>
      </c>
      <c r="K2515" s="1944"/>
      <c r="L2515" s="597"/>
      <c r="M2515" s="1944"/>
      <c r="N2515" s="597"/>
      <c r="O2515" s="1944"/>
      <c r="P2515" s="597"/>
      <c r="Q2515" s="1944"/>
      <c r="R2515" s="597"/>
      <c r="S2515" s="1644"/>
      <c r="T2515" s="1645"/>
      <c r="U2515" s="1644"/>
      <c r="V2515" s="1645"/>
      <c r="W2515" s="1644"/>
      <c r="X2515" s="1645"/>
      <c r="Y2515" s="1644"/>
    </row>
    <row r="2516" spans="1:26" hidden="1">
      <c r="A2516" s="1900" t="s">
        <v>261</v>
      </c>
      <c r="C2516" s="528"/>
      <c r="D2516" s="528"/>
      <c r="F2516" s="1944">
        <v>-1.1299999999999999</v>
      </c>
      <c r="G2516" s="597"/>
      <c r="H2516" s="1644">
        <f t="shared" si="2834"/>
        <v>0</v>
      </c>
      <c r="I2516" s="1644">
        <f t="shared" si="2834"/>
        <v>0</v>
      </c>
      <c r="K2516" s="1944">
        <f>K2308</f>
        <v>-1.1299999999999999</v>
      </c>
      <c r="L2516" s="597"/>
      <c r="M2516" s="1944">
        <f>M2308</f>
        <v>0</v>
      </c>
      <c r="N2516" s="597"/>
      <c r="O2516" s="1944">
        <f>O2308</f>
        <v>0</v>
      </c>
      <c r="P2516" s="597"/>
      <c r="Q2516" s="1944">
        <f>Q2308</f>
        <v>-1.1299999999999999</v>
      </c>
      <c r="R2516" s="597"/>
      <c r="S2516" s="1644">
        <f t="shared" ref="S2516:Y2516" si="2860">ROUND($D2516*K2516,0)</f>
        <v>0</v>
      </c>
      <c r="T2516" s="1645"/>
      <c r="U2516" s="1644">
        <f t="shared" si="2860"/>
        <v>0</v>
      </c>
      <c r="V2516" s="1645"/>
      <c r="W2516" s="1644">
        <f t="shared" si="2860"/>
        <v>0</v>
      </c>
      <c r="X2516" s="1645"/>
      <c r="Y2516" s="1644">
        <f t="shared" si="2860"/>
        <v>0</v>
      </c>
    </row>
    <row r="2517" spans="1:26" hidden="1">
      <c r="A2517" s="1900" t="s">
        <v>188</v>
      </c>
      <c r="C2517" s="528"/>
      <c r="D2517" s="528"/>
      <c r="F2517" s="1943">
        <v>5.0473999999999997</v>
      </c>
      <c r="G2517" s="1921" t="s">
        <v>495</v>
      </c>
      <c r="H2517" s="1644">
        <f t="shared" ref="H2517:I2519" si="2861">ROUND($F2517*C2517/100,0)</f>
        <v>0</v>
      </c>
      <c r="I2517" s="1644">
        <f t="shared" si="2861"/>
        <v>0</v>
      </c>
      <c r="K2517" s="1943"/>
      <c r="L2517" s="1921"/>
      <c r="M2517" s="1943"/>
      <c r="N2517" s="1921"/>
      <c r="O2517" s="1943"/>
      <c r="P2517" s="1921"/>
      <c r="Q2517" s="1943"/>
      <c r="R2517" s="1921"/>
      <c r="S2517" s="1644"/>
      <c r="T2517" s="1648"/>
      <c r="U2517" s="1644"/>
      <c r="V2517" s="1648"/>
      <c r="W2517" s="1644"/>
      <c r="X2517" s="1648"/>
      <c r="Y2517" s="1644"/>
    </row>
    <row r="2518" spans="1:26" hidden="1">
      <c r="A2518" s="1900" t="s">
        <v>163</v>
      </c>
      <c r="C2518" s="528"/>
      <c r="D2518" s="528"/>
      <c r="F2518" s="1943">
        <v>3.9510999999999998</v>
      </c>
      <c r="G2518" s="1921" t="s">
        <v>495</v>
      </c>
      <c r="H2518" s="1644">
        <f t="shared" si="2861"/>
        <v>0</v>
      </c>
      <c r="I2518" s="1644">
        <f t="shared" si="2861"/>
        <v>0</v>
      </c>
      <c r="K2518" s="1943"/>
      <c r="L2518" s="1921"/>
      <c r="M2518" s="1943"/>
      <c r="N2518" s="1921"/>
      <c r="O2518" s="1943"/>
      <c r="P2518" s="1921"/>
      <c r="Q2518" s="1943"/>
      <c r="R2518" s="1921"/>
      <c r="S2518" s="1644"/>
      <c r="T2518" s="1648"/>
      <c r="U2518" s="1644"/>
      <c r="V2518" s="1648"/>
      <c r="W2518" s="1644"/>
      <c r="X2518" s="1648"/>
      <c r="Y2518" s="1644"/>
    </row>
    <row r="2519" spans="1:26" hidden="1">
      <c r="A2519" s="1900" t="s">
        <v>249</v>
      </c>
      <c r="C2519" s="856"/>
      <c r="D2519" s="856"/>
      <c r="F2519" s="1943">
        <v>3.4001999999999999</v>
      </c>
      <c r="G2519" s="1921" t="s">
        <v>495</v>
      </c>
      <c r="H2519" s="1654">
        <f t="shared" si="2861"/>
        <v>0</v>
      </c>
      <c r="I2519" s="1654">
        <f t="shared" si="2861"/>
        <v>0</v>
      </c>
      <c r="K2519" s="1943"/>
      <c r="L2519" s="1921"/>
      <c r="M2519" s="1943"/>
      <c r="N2519" s="1921"/>
      <c r="O2519" s="1943"/>
      <c r="P2519" s="1921"/>
      <c r="Q2519" s="1943"/>
      <c r="R2519" s="1921"/>
      <c r="S2519" s="1654"/>
      <c r="T2519" s="1648"/>
      <c r="U2519" s="1654"/>
      <c r="V2519" s="1648"/>
      <c r="W2519" s="1654"/>
      <c r="X2519" s="1648"/>
      <c r="Y2519" s="1654"/>
    </row>
    <row r="2520" spans="1:26" hidden="1">
      <c r="A2520" s="1900" t="s">
        <v>1240</v>
      </c>
      <c r="C2520" s="584"/>
      <c r="D2520" s="584"/>
      <c r="F2520" s="1930">
        <v>-3.1800000000000002E-2</v>
      </c>
      <c r="G2520" s="597"/>
      <c r="H2520" s="1644">
        <f>SUM(H2514:H2515,H2517:H2519)*$F2520</f>
        <v>0</v>
      </c>
      <c r="I2520" s="1644">
        <f>SUM(I2514:I2515,I2517:I2519)*$F2520</f>
        <v>0</v>
      </c>
      <c r="K2520" s="1930"/>
      <c r="L2520" s="597"/>
      <c r="M2520" s="1930"/>
      <c r="N2520" s="597"/>
      <c r="O2520" s="1931" t="str">
        <f>$O$43</f>
        <v>Tax Year 1 (7/1/2021)</v>
      </c>
      <c r="P2520" s="597"/>
      <c r="Q2520" s="1930">
        <f t="shared" ref="Q2520:Q2521" si="2862">Q2312</f>
        <v>-2.6499999999999999E-2</v>
      </c>
      <c r="R2520" s="597"/>
      <c r="S2520" s="1644"/>
      <c r="T2520" s="1645"/>
      <c r="U2520" s="1644"/>
      <c r="V2520" s="1645"/>
      <c r="W2520" s="1644"/>
      <c r="X2520" s="1645"/>
      <c r="Y2520" s="1644">
        <f>Q2520*SUM(Y2508:Y2513)</f>
        <v>0</v>
      </c>
    </row>
    <row r="2521" spans="1:26" hidden="1">
      <c r="A2521" s="1900"/>
      <c r="C2521" s="584"/>
      <c r="D2521" s="584"/>
      <c r="F2521" s="1930"/>
      <c r="G2521" s="597"/>
      <c r="H2521" s="1644"/>
      <c r="I2521" s="1644"/>
      <c r="K2521" s="1930"/>
      <c r="L2521" s="597"/>
      <c r="M2521" s="1930"/>
      <c r="N2521" s="597"/>
      <c r="O2521" s="1931" t="str">
        <f>$O$44</f>
        <v>Tax Year 2 (1/1/2022)</v>
      </c>
      <c r="P2521" s="597"/>
      <c r="Q2521" s="1930">
        <f t="shared" si="2862"/>
        <v>-1.44E-2</v>
      </c>
      <c r="R2521" s="597"/>
      <c r="S2521" s="1644"/>
      <c r="T2521" s="1645"/>
      <c r="U2521" s="1644"/>
      <c r="V2521" s="1645"/>
      <c r="W2521" s="1644"/>
      <c r="X2521" s="1645"/>
      <c r="Y2521" s="1644">
        <f>Q2521*SUM(Y2508:Y2513)</f>
        <v>0</v>
      </c>
    </row>
    <row r="2522" spans="1:26" hidden="1">
      <c r="A2522" s="1897" t="s">
        <v>444</v>
      </c>
      <c r="C2522" s="528"/>
      <c r="D2522" s="528"/>
      <c r="F2522" s="1943"/>
      <c r="G2522" s="1921"/>
      <c r="H2522" s="1644"/>
      <c r="I2522" s="1644"/>
      <c r="K2522" s="1943"/>
      <c r="L2522" s="1921"/>
      <c r="M2522" s="1943"/>
      <c r="N2522" s="1921"/>
      <c r="O2522" s="1943"/>
      <c r="P2522" s="1921"/>
      <c r="Q2522" s="1943"/>
      <c r="R2522" s="1921"/>
      <c r="S2522" s="1644"/>
      <c r="T2522" s="1648"/>
      <c r="U2522" s="1644"/>
      <c r="V2522" s="1648"/>
      <c r="W2522" s="1644"/>
      <c r="X2522" s="1648"/>
      <c r="Y2522" s="1644"/>
    </row>
    <row r="2523" spans="1:26" hidden="1">
      <c r="A2523" s="1900" t="s">
        <v>168</v>
      </c>
      <c r="C2523" s="528">
        <f>'31'!K4</f>
        <v>91799</v>
      </c>
      <c r="D2523" s="528">
        <f>ROUND(C2523/$C$2539*$D$2539,0)</f>
        <v>111118</v>
      </c>
      <c r="F2523" s="1944">
        <v>2.2200000000000002</v>
      </c>
      <c r="G2523" s="597"/>
      <c r="H2523" s="1644">
        <f t="shared" ref="H2523:I2531" si="2863">ROUND($F2523*C2523,0)</f>
        <v>203794</v>
      </c>
      <c r="I2523" s="1644">
        <f t="shared" si="2863"/>
        <v>246682</v>
      </c>
      <c r="K2523" s="1944">
        <f t="shared" ref="K2523:K2529" si="2864">K2315</f>
        <v>2.2999999999999998</v>
      </c>
      <c r="L2523" s="597"/>
      <c r="M2523" s="1944">
        <f t="shared" ref="M2523:M2529" si="2865">M2315</f>
        <v>0</v>
      </c>
      <c r="N2523" s="597"/>
      <c r="O2523" s="1944">
        <f t="shared" ref="O2523:Q2529" si="2866">O2315</f>
        <v>0</v>
      </c>
      <c r="P2523" s="597"/>
      <c r="Q2523" s="1944">
        <f t="shared" si="2866"/>
        <v>2.2999999999999998</v>
      </c>
      <c r="R2523" s="597"/>
      <c r="S2523" s="1644">
        <f t="shared" ref="S2523:Y2525" si="2867">ROUND($D2523*K2523,0)</f>
        <v>255571</v>
      </c>
      <c r="T2523" s="1645"/>
      <c r="U2523" s="1644">
        <f t="shared" si="2867"/>
        <v>0</v>
      </c>
      <c r="V2523" s="1645"/>
      <c r="W2523" s="1644">
        <f t="shared" si="2867"/>
        <v>0</v>
      </c>
      <c r="X2523" s="1645"/>
      <c r="Y2523" s="1644">
        <f t="shared" si="2867"/>
        <v>255571</v>
      </c>
      <c r="Z2523" s="1878" t="s">
        <v>251</v>
      </c>
    </row>
    <row r="2524" spans="1:26" hidden="1">
      <c r="A2524" s="1900" t="s">
        <v>1651</v>
      </c>
      <c r="C2524" s="528">
        <f>C2530*Z2524</f>
        <v>26466.412372929644</v>
      </c>
      <c r="D2524" s="528">
        <f>ROUND(C2524/$C$2539*$D$2539,0)</f>
        <v>32036</v>
      </c>
      <c r="F2524" s="1944"/>
      <c r="G2524" s="597"/>
      <c r="H2524" s="1644"/>
      <c r="I2524" s="1644"/>
      <c r="K2524" s="1944">
        <f t="shared" si="2864"/>
        <v>4.8</v>
      </c>
      <c r="L2524" s="597"/>
      <c r="M2524" s="1944">
        <f t="shared" si="2865"/>
        <v>9.68</v>
      </c>
      <c r="N2524" s="597"/>
      <c r="O2524" s="1944">
        <f t="shared" si="2866"/>
        <v>0</v>
      </c>
      <c r="P2524" s="597"/>
      <c r="Q2524" s="1944">
        <f t="shared" si="2866"/>
        <v>14.48</v>
      </c>
      <c r="R2524" s="597"/>
      <c r="S2524" s="1644">
        <f t="shared" si="2867"/>
        <v>153773</v>
      </c>
      <c r="T2524" s="1645"/>
      <c r="U2524" s="1644">
        <f t="shared" si="2867"/>
        <v>310108</v>
      </c>
      <c r="V2524" s="1645"/>
      <c r="W2524" s="1644">
        <f t="shared" si="2867"/>
        <v>0</v>
      </c>
      <c r="X2524" s="1645"/>
      <c r="Y2524" s="1644">
        <f t="shared" si="2867"/>
        <v>463881</v>
      </c>
      <c r="Z2524" s="1878">
        <f t="shared" ref="Z2524:Z2527" si="2868">Z2420</f>
        <v>0.81143000192935111</v>
      </c>
    </row>
    <row r="2525" spans="1:26" hidden="1">
      <c r="A2525" s="1900" t="s">
        <v>1652</v>
      </c>
      <c r="C2525" s="528">
        <f>C2531*Z2525</f>
        <v>65712.72448205555</v>
      </c>
      <c r="D2525" s="528">
        <f>ROUND(C2525/$C$2539*$D$2539,0)</f>
        <v>79542</v>
      </c>
      <c r="F2525" s="1944"/>
      <c r="G2525" s="597"/>
      <c r="H2525" s="1644"/>
      <c r="I2525" s="1644"/>
      <c r="K2525" s="1944">
        <f t="shared" si="2864"/>
        <v>4.25</v>
      </c>
      <c r="L2525" s="597"/>
      <c r="M2525" s="1944">
        <f t="shared" si="2865"/>
        <v>8.56</v>
      </c>
      <c r="N2525" s="597"/>
      <c r="O2525" s="1944">
        <f t="shared" si="2866"/>
        <v>0</v>
      </c>
      <c r="P2525" s="597"/>
      <c r="Q2525" s="1944">
        <f t="shared" si="2866"/>
        <v>12.81</v>
      </c>
      <c r="R2525" s="597"/>
      <c r="S2525" s="1644">
        <f t="shared" si="2867"/>
        <v>338054</v>
      </c>
      <c r="T2525" s="1645"/>
      <c r="U2525" s="1644">
        <f t="shared" si="2867"/>
        <v>680880</v>
      </c>
      <c r="V2525" s="1645"/>
      <c r="W2525" s="1644">
        <f t="shared" si="2867"/>
        <v>0</v>
      </c>
      <c r="X2525" s="1645"/>
      <c r="Y2525" s="1644">
        <f t="shared" si="2867"/>
        <v>1018933</v>
      </c>
      <c r="Z2525" s="1878">
        <f t="shared" si="2868"/>
        <v>1.1359353572586484</v>
      </c>
    </row>
    <row r="2526" spans="1:26" hidden="1">
      <c r="A2526" s="1900" t="s">
        <v>1532</v>
      </c>
      <c r="C2526" s="528">
        <f>C2532*Z2526</f>
        <v>3857203.6053539133</v>
      </c>
      <c r="D2526" s="528">
        <f>ROUND(C2526/($C$2539-$C$2538)*$D$2539,0)</f>
        <v>4593259</v>
      </c>
      <c r="F2526" s="1942"/>
      <c r="G2526" s="1921"/>
      <c r="H2526" s="1644"/>
      <c r="I2526" s="1644"/>
      <c r="K2526" s="1942">
        <f t="shared" si="2864"/>
        <v>0</v>
      </c>
      <c r="L2526" s="1921" t="s">
        <v>495</v>
      </c>
      <c r="M2526" s="1942">
        <f t="shared" si="2865"/>
        <v>1.0927</v>
      </c>
      <c r="N2526" s="1921" t="s">
        <v>495</v>
      </c>
      <c r="O2526" s="1942">
        <f t="shared" si="2866"/>
        <v>4.1108761607000002</v>
      </c>
      <c r="P2526" s="1921" t="s">
        <v>495</v>
      </c>
      <c r="Q2526" s="1942">
        <f t="shared" si="2866"/>
        <v>5.2035761607</v>
      </c>
      <c r="R2526" s="1921" t="s">
        <v>495</v>
      </c>
      <c r="S2526" s="1644">
        <f>ROUND($D2526*K2526/100,0)</f>
        <v>0</v>
      </c>
      <c r="T2526" s="1648"/>
      <c r="U2526" s="1644">
        <f>ROUND($D2526*M2526/100,0)</f>
        <v>50191</v>
      </c>
      <c r="V2526" s="1648"/>
      <c r="W2526" s="1644">
        <f>ROUND($D2526*O2526/100,0)</f>
        <v>188823</v>
      </c>
      <c r="X2526" s="1648"/>
      <c r="Y2526" s="1644">
        <f>ROUND($D2526*Q2526/100,0)</f>
        <v>239014</v>
      </c>
      <c r="Z2526" s="1878">
        <f t="shared" si="2868"/>
        <v>0.69164135480564293</v>
      </c>
    </row>
    <row r="2527" spans="1:26" hidden="1">
      <c r="A2527" s="1900" t="s">
        <v>1653</v>
      </c>
      <c r="C2527" s="528">
        <f>C2533*Z2527</f>
        <v>6953710.2220234424</v>
      </c>
      <c r="D2527" s="528">
        <f>ROUND(C2527/($C$2539-$C$2538)*$D$2539,0)</f>
        <v>8280661</v>
      </c>
      <c r="F2527" s="1942"/>
      <c r="G2527" s="1921"/>
      <c r="H2527" s="1644"/>
      <c r="I2527" s="1644"/>
      <c r="K2527" s="1942">
        <f t="shared" si="2864"/>
        <v>0</v>
      </c>
      <c r="L2527" s="1921" t="s">
        <v>495</v>
      </c>
      <c r="M2527" s="1942">
        <f t="shared" si="2865"/>
        <v>1.0927</v>
      </c>
      <c r="N2527" s="1921" t="s">
        <v>495</v>
      </c>
      <c r="O2527" s="1942">
        <f t="shared" si="2866"/>
        <v>3.5122346554870001</v>
      </c>
      <c r="P2527" s="1921" t="s">
        <v>495</v>
      </c>
      <c r="Q2527" s="1942">
        <f t="shared" si="2866"/>
        <v>4.6049346554869999</v>
      </c>
      <c r="R2527" s="1921" t="s">
        <v>495</v>
      </c>
      <c r="S2527" s="1644">
        <f t="shared" ref="S2527:Y2529" si="2869">ROUND($D2527*K2527/100,0)</f>
        <v>0</v>
      </c>
      <c r="T2527" s="1648"/>
      <c r="U2527" s="1644">
        <f t="shared" si="2869"/>
        <v>90483</v>
      </c>
      <c r="V2527" s="1648"/>
      <c r="W2527" s="1644">
        <f t="shared" si="2869"/>
        <v>290836</v>
      </c>
      <c r="X2527" s="1648"/>
      <c r="Y2527" s="1644">
        <f t="shared" si="2869"/>
        <v>381319</v>
      </c>
      <c r="Z2527" s="1878">
        <f t="shared" si="2868"/>
        <v>0.49962363006591026</v>
      </c>
    </row>
    <row r="2528" spans="1:26" hidden="1">
      <c r="A2528" s="1900" t="s">
        <v>1533</v>
      </c>
      <c r="C2528" s="528">
        <f>SUM(C2532:C2534)*Z2528</f>
        <v>13709027.765005577</v>
      </c>
      <c r="D2528" s="528">
        <f>ROUND(C2528/($C$2539-$C$2538)*$D$2539,0)</f>
        <v>16325070</v>
      </c>
      <c r="F2528" s="1942"/>
      <c r="G2528" s="1921"/>
      <c r="H2528" s="1644"/>
      <c r="I2528" s="1644"/>
      <c r="K2528" s="1942">
        <f t="shared" si="2864"/>
        <v>0</v>
      </c>
      <c r="L2528" s="1921" t="s">
        <v>495</v>
      </c>
      <c r="M2528" s="1942">
        <f t="shared" si="2865"/>
        <v>1.0927</v>
      </c>
      <c r="N2528" s="1921" t="s">
        <v>495</v>
      </c>
      <c r="O2528" s="1942">
        <f t="shared" si="2866"/>
        <v>1.5521862361710002</v>
      </c>
      <c r="P2528" s="1921" t="s">
        <v>495</v>
      </c>
      <c r="Q2528" s="1942">
        <f t="shared" si="2866"/>
        <v>2.6448862361710002</v>
      </c>
      <c r="R2528" s="1921" t="s">
        <v>495</v>
      </c>
      <c r="S2528" s="1644">
        <f t="shared" si="2869"/>
        <v>0</v>
      </c>
      <c r="T2528" s="1648"/>
      <c r="U2528" s="1644">
        <f t="shared" si="2869"/>
        <v>178384</v>
      </c>
      <c r="V2528" s="1648"/>
      <c r="W2528" s="1644">
        <f t="shared" si="2869"/>
        <v>253395</v>
      </c>
      <c r="X2528" s="1648"/>
      <c r="Y2528" s="1644">
        <f t="shared" si="2869"/>
        <v>431780</v>
      </c>
      <c r="Z2528" s="1878">
        <f>Z2424</f>
        <v>0.27196615788867357</v>
      </c>
    </row>
    <row r="2529" spans="1:30" hidden="1">
      <c r="A2529" s="1900" t="s">
        <v>2177</v>
      </c>
      <c r="C2529" s="528">
        <f>SUM(C2532:C2534)-SUM(C2526:C2528)</f>
        <v>25887167.407617066</v>
      </c>
      <c r="D2529" s="528">
        <f>D2539-SUM(D2510:D2513,D2526:D2528)</f>
        <v>30827119</v>
      </c>
      <c r="F2529" s="2004"/>
      <c r="G2529" s="1921"/>
      <c r="H2529" s="1649"/>
      <c r="I2529" s="1649"/>
      <c r="K2529" s="2004">
        <f t="shared" si="2864"/>
        <v>0</v>
      </c>
      <c r="L2529" s="1921" t="s">
        <v>495</v>
      </c>
      <c r="M2529" s="2004">
        <f t="shared" si="2865"/>
        <v>1.0927</v>
      </c>
      <c r="N2529" s="1921" t="s">
        <v>495</v>
      </c>
      <c r="O2529" s="2004">
        <f t="shared" si="2866"/>
        <v>1.247907288647</v>
      </c>
      <c r="P2529" s="1921" t="s">
        <v>495</v>
      </c>
      <c r="Q2529" s="2004">
        <f t="shared" si="2866"/>
        <v>2.340607288647</v>
      </c>
      <c r="R2529" s="1921" t="s">
        <v>495</v>
      </c>
      <c r="S2529" s="1644">
        <f t="shared" si="2869"/>
        <v>0</v>
      </c>
      <c r="T2529" s="1648"/>
      <c r="U2529" s="1644">
        <f t="shared" si="2869"/>
        <v>336848</v>
      </c>
      <c r="V2529" s="1648"/>
      <c r="W2529" s="1644">
        <f t="shared" si="2869"/>
        <v>384694</v>
      </c>
      <c r="X2529" s="1648"/>
      <c r="Y2529" s="1644">
        <f t="shared" si="2869"/>
        <v>721542</v>
      </c>
    </row>
    <row r="2530" spans="1:30" hidden="1">
      <c r="A2530" s="1900" t="s">
        <v>18</v>
      </c>
      <c r="C2530" s="528">
        <f>'31'!W4</f>
        <v>32617</v>
      </c>
      <c r="D2530" s="528">
        <f>ROUND(C2530/$C$2539*$D$2539,0)</f>
        <v>39481</v>
      </c>
      <c r="F2530" s="1944">
        <v>13.96</v>
      </c>
      <c r="G2530" s="597"/>
      <c r="H2530" s="1644">
        <f t="shared" si="2863"/>
        <v>455333</v>
      </c>
      <c r="I2530" s="1644">
        <f t="shared" si="2863"/>
        <v>551155</v>
      </c>
      <c r="K2530" s="1944"/>
      <c r="L2530" s="597"/>
      <c r="M2530" s="1944"/>
      <c r="N2530" s="597"/>
      <c r="O2530" s="1944"/>
      <c r="P2530" s="597"/>
      <c r="Q2530" s="1944"/>
      <c r="R2530" s="597"/>
      <c r="S2530" s="1644"/>
      <c r="T2530" s="1645"/>
      <c r="U2530" s="1644"/>
      <c r="V2530" s="1645"/>
      <c r="W2530" s="1644"/>
      <c r="X2530" s="1645"/>
      <c r="Y2530" s="1644"/>
    </row>
    <row r="2531" spans="1:30" hidden="1">
      <c r="A2531" s="1900" t="s">
        <v>166</v>
      </c>
      <c r="C2531" s="528">
        <f>'31'!X4</f>
        <v>57849</v>
      </c>
      <c r="D2531" s="528">
        <f>ROUND(C2531/$C$2539*$D$2539,0)</f>
        <v>70023</v>
      </c>
      <c r="F2531" s="1944">
        <v>9.4700000000000006</v>
      </c>
      <c r="G2531" s="597"/>
      <c r="H2531" s="1644">
        <f t="shared" si="2863"/>
        <v>547830</v>
      </c>
      <c r="I2531" s="1644">
        <f t="shared" si="2863"/>
        <v>663118</v>
      </c>
      <c r="K2531" s="1944"/>
      <c r="L2531" s="597"/>
      <c r="M2531" s="1944"/>
      <c r="N2531" s="597"/>
      <c r="O2531" s="1944"/>
      <c r="P2531" s="597"/>
      <c r="Q2531" s="1944"/>
      <c r="R2531" s="597"/>
      <c r="S2531" s="1644"/>
      <c r="T2531" s="1645"/>
      <c r="U2531" s="1644"/>
      <c r="V2531" s="1645"/>
      <c r="W2531" s="1644"/>
      <c r="X2531" s="1645"/>
      <c r="Y2531" s="1644"/>
    </row>
    <row r="2532" spans="1:30" hidden="1">
      <c r="A2532" s="1900" t="s">
        <v>19</v>
      </c>
      <c r="C2532" s="528">
        <f>'31'!AA4</f>
        <v>5576884</v>
      </c>
      <c r="D2532" s="528">
        <f>ROUND(C2532/($C$2539-$C$2538)*$D$2539,0)</f>
        <v>6641100</v>
      </c>
      <c r="F2532" s="1942">
        <v>4.6531000000000002</v>
      </c>
      <c r="G2532" s="1921" t="s">
        <v>495</v>
      </c>
      <c r="H2532" s="1644">
        <f t="shared" ref="H2532:I2534" si="2870">ROUND($F2532*C2532/100,0)</f>
        <v>259498</v>
      </c>
      <c r="I2532" s="1644">
        <f t="shared" si="2870"/>
        <v>309017</v>
      </c>
      <c r="K2532" s="1942"/>
      <c r="L2532" s="1921"/>
      <c r="M2532" s="1942"/>
      <c r="N2532" s="1921"/>
      <c r="O2532" s="1942"/>
      <c r="P2532" s="1921"/>
      <c r="Q2532" s="1942"/>
      <c r="R2532" s="1921"/>
      <c r="S2532" s="1644"/>
      <c r="T2532" s="1648"/>
      <c r="U2532" s="1644"/>
      <c r="V2532" s="1648"/>
      <c r="W2532" s="1644"/>
      <c r="X2532" s="1648"/>
      <c r="Y2532" s="1644"/>
    </row>
    <row r="2533" spans="1:30" hidden="1">
      <c r="A2533" s="1900" t="s">
        <v>257</v>
      </c>
      <c r="C2533" s="528">
        <f>'31'!AB4</f>
        <v>13917897</v>
      </c>
      <c r="D2533" s="528">
        <f>ROUND(C2533/($C$2539-$C$2538)*$D$2539,0)</f>
        <v>16573797</v>
      </c>
      <c r="F2533" s="1942">
        <v>3.4988999999999999</v>
      </c>
      <c r="G2533" s="1921" t="s">
        <v>495</v>
      </c>
      <c r="H2533" s="1644">
        <f t="shared" si="2870"/>
        <v>486973</v>
      </c>
      <c r="I2533" s="1644">
        <f t="shared" si="2870"/>
        <v>579901</v>
      </c>
      <c r="K2533" s="1942"/>
      <c r="L2533" s="1921"/>
      <c r="M2533" s="1942"/>
      <c r="N2533" s="1921"/>
      <c r="O2533" s="1942"/>
      <c r="P2533" s="1921"/>
      <c r="Q2533" s="1942"/>
      <c r="R2533" s="1921"/>
      <c r="S2533" s="1644"/>
      <c r="T2533" s="1648"/>
      <c r="U2533" s="1644"/>
      <c r="V2533" s="1648"/>
      <c r="W2533" s="1644"/>
      <c r="X2533" s="1648"/>
      <c r="Y2533" s="1644"/>
    </row>
    <row r="2534" spans="1:30" hidden="1">
      <c r="A2534" s="1900" t="s">
        <v>249</v>
      </c>
      <c r="C2534" s="586">
        <f>'31'!AC4</f>
        <v>30912328</v>
      </c>
      <c r="D2534" s="586">
        <f>ROUND(C2534/($C$2539-$C$2538)*$D$2539,0)</f>
        <v>36811212</v>
      </c>
      <c r="F2534" s="2004">
        <v>2.9224999999999999</v>
      </c>
      <c r="G2534" s="1921" t="s">
        <v>495</v>
      </c>
      <c r="H2534" s="1649">
        <f t="shared" si="2870"/>
        <v>903413</v>
      </c>
      <c r="I2534" s="1649">
        <f t="shared" si="2870"/>
        <v>1075808</v>
      </c>
      <c r="K2534" s="2004"/>
      <c r="L2534" s="1921"/>
      <c r="M2534" s="2004"/>
      <c r="N2534" s="1921"/>
      <c r="O2534" s="2004"/>
      <c r="P2534" s="1921"/>
      <c r="Q2534" s="2004"/>
      <c r="R2534" s="1921"/>
      <c r="S2534" s="1649"/>
      <c r="T2534" s="1648"/>
      <c r="U2534" s="1649"/>
      <c r="V2534" s="1648"/>
      <c r="W2534" s="1649"/>
      <c r="X2534" s="1648"/>
      <c r="Y2534" s="1649"/>
    </row>
    <row r="2535" spans="1:30" hidden="1">
      <c r="A2535" s="1900" t="s">
        <v>1240</v>
      </c>
      <c r="C2535" s="584"/>
      <c r="D2535" s="584"/>
      <c r="F2535" s="2005">
        <v>-3.0700000000000002E-2</v>
      </c>
      <c r="G2535" s="597"/>
      <c r="H2535" s="2006">
        <f>SUM(H2530:H2534)*$F2535</f>
        <v>-81448.5429</v>
      </c>
      <c r="I2535" s="2006">
        <f>SUM(I2530:I2534)*$F2535</f>
        <v>-97595.2693</v>
      </c>
      <c r="K2535" s="2005"/>
      <c r="L2535" s="597"/>
      <c r="M2535" s="2005"/>
      <c r="N2535" s="597"/>
      <c r="O2535" s="1931" t="str">
        <f>$O$43</f>
        <v>Tax Year 1 (7/1/2021)</v>
      </c>
      <c r="P2535" s="597"/>
      <c r="Q2535" s="1930">
        <f t="shared" ref="Q2535:Q2536" si="2871">Q2327</f>
        <v>-2.5700000000000001E-2</v>
      </c>
      <c r="R2535" s="597"/>
      <c r="S2535" s="1644"/>
      <c r="T2535" s="1645"/>
      <c r="U2535" s="1644"/>
      <c r="V2535" s="1645"/>
      <c r="W2535" s="1644"/>
      <c r="X2535" s="1645"/>
      <c r="Y2535" s="1644">
        <f>Q2535*SUM(Y2524:Y2529)</f>
        <v>-83691.253299999997</v>
      </c>
    </row>
    <row r="2536" spans="1:30" hidden="1">
      <c r="A2536" s="1900"/>
      <c r="C2536" s="584"/>
      <c r="D2536" s="584"/>
      <c r="F2536" s="1997"/>
      <c r="G2536" s="597"/>
      <c r="H2536" s="1645"/>
      <c r="I2536" s="1645"/>
      <c r="K2536" s="1997"/>
      <c r="L2536" s="597"/>
      <c r="M2536" s="1997"/>
      <c r="N2536" s="597"/>
      <c r="O2536" s="1931" t="str">
        <f>$O$44</f>
        <v>Tax Year 2 (1/1/2022)</v>
      </c>
      <c r="P2536" s="597"/>
      <c r="Q2536" s="1930">
        <f t="shared" si="2871"/>
        <v>-1.3899999999999999E-2</v>
      </c>
      <c r="R2536" s="597"/>
      <c r="S2536" s="1644"/>
      <c r="T2536" s="1645"/>
      <c r="U2536" s="1644"/>
      <c r="V2536" s="1645"/>
      <c r="W2536" s="1644"/>
      <c r="X2536" s="1645"/>
      <c r="Y2536" s="1644">
        <f>Q2536*SUM(Y2524:Y2529)</f>
        <v>-45264.919099999999</v>
      </c>
    </row>
    <row r="2537" spans="1:30" hidden="1">
      <c r="A2537" s="1900" t="s">
        <v>397</v>
      </c>
      <c r="C2537" s="584"/>
      <c r="D2537" s="584"/>
      <c r="F2537" s="1872"/>
      <c r="G2537" s="1921"/>
      <c r="H2537" s="1645">
        <f>SUM(H2507:H2535)</f>
        <v>2775392.4571000002</v>
      </c>
      <c r="I2537" s="1645">
        <f>SUM(I2507:I2535)</f>
        <v>3328085.7307000002</v>
      </c>
      <c r="K2537" s="1872"/>
      <c r="L2537" s="1921"/>
      <c r="M2537" s="1872"/>
      <c r="N2537" s="1921"/>
      <c r="O2537" s="1872"/>
      <c r="P2537" s="1921"/>
      <c r="Q2537" s="1872"/>
      <c r="R2537" s="1921"/>
      <c r="S2537" s="1645">
        <f>SUM(S2507:S2519,S2523:S2534)</f>
        <v>747398</v>
      </c>
      <c r="T2537" s="1648"/>
      <c r="U2537" s="1645">
        <f>SUM(U2507:U2519,U2523:U2534)</f>
        <v>1646894</v>
      </c>
      <c r="V2537" s="1648"/>
      <c r="W2537" s="1645">
        <f>SUM(W2507:W2519,W2523:W2534)</f>
        <v>1117748</v>
      </c>
      <c r="X2537" s="1648"/>
      <c r="Y2537" s="1645">
        <f>SUM(Y2507:Y2519,Y2523:Y2534)</f>
        <v>3512040</v>
      </c>
    </row>
    <row r="2538" spans="1:30" hidden="1">
      <c r="A2538" s="1869" t="s">
        <v>136</v>
      </c>
      <c r="C2538" s="585">
        <f>'Table 2'!J98</f>
        <v>-817118</v>
      </c>
      <c r="D2538" s="585">
        <v>0</v>
      </c>
      <c r="F2538" s="1943"/>
      <c r="G2538" s="1957"/>
      <c r="H2538" s="1030">
        <f>'Table 3'!F98</f>
        <v>-56334</v>
      </c>
      <c r="I2538" s="1030">
        <v>0</v>
      </c>
      <c r="K2538" s="1943"/>
      <c r="L2538" s="1957"/>
      <c r="M2538" s="1943"/>
      <c r="N2538" s="1957"/>
      <c r="O2538" s="1943"/>
      <c r="P2538" s="1957"/>
      <c r="Q2538" s="1943"/>
      <c r="R2538" s="1957"/>
      <c r="S2538" s="1030"/>
      <c r="T2538" s="1645"/>
      <c r="U2538" s="1030"/>
      <c r="V2538" s="1645"/>
      <c r="W2538" s="1030"/>
      <c r="X2538" s="1645"/>
      <c r="Y2538" s="1030"/>
    </row>
    <row r="2539" spans="1:30" ht="16.5" hidden="1" thickBot="1">
      <c r="A2539" s="1900" t="s">
        <v>173</v>
      </c>
      <c r="C2539" s="1949">
        <f>SUM(C2517:C2519,C2532:C2534,C2538)</f>
        <v>49589991</v>
      </c>
      <c r="D2539" s="1949">
        <f>Energy!P67</f>
        <v>60026109</v>
      </c>
      <c r="F2539" s="1939"/>
      <c r="H2539" s="1647">
        <f>H2504+H2537+H2538</f>
        <v>3651323.4571000002</v>
      </c>
      <c r="I2539" s="1647">
        <f>I2504+I2537+I2538</f>
        <v>4451406.7307000002</v>
      </c>
      <c r="K2539" s="1939"/>
      <c r="M2539" s="1939"/>
      <c r="O2539" s="1939"/>
      <c r="Q2539" s="1939"/>
      <c r="S2539" s="1647">
        <f>S2504+S2537</f>
        <v>1565075</v>
      </c>
      <c r="U2539" s="1647">
        <f>U2504+U2537</f>
        <v>1986744</v>
      </c>
      <c r="W2539" s="1647">
        <f>W2504+W2537</f>
        <v>1117748</v>
      </c>
      <c r="Y2539" s="1647">
        <f>Y2504+Y2537</f>
        <v>4669568</v>
      </c>
      <c r="AA2539" s="1104" t="s">
        <v>1743</v>
      </c>
      <c r="AB2539" s="1890">
        <f>Y2539/I2539-1</f>
        <v>4.9009511486651558E-2</v>
      </c>
    </row>
    <row r="2540" spans="1:30" s="1104" customFormat="1" ht="16.5" thickTop="1">
      <c r="A2540" s="1993"/>
      <c r="C2540" s="1105"/>
      <c r="D2540" s="1105"/>
      <c r="E2540" s="1105"/>
      <c r="F2540" s="1105"/>
      <c r="G2540" s="1106"/>
      <c r="H2540" s="1114"/>
      <c r="I2540" s="1627"/>
      <c r="S2540" s="1627"/>
      <c r="T2540" s="1627"/>
      <c r="U2540" s="1627"/>
      <c r="V2540" s="1627"/>
      <c r="W2540" s="1627"/>
      <c r="X2540" s="1627"/>
      <c r="Y2540" s="1627"/>
      <c r="Z2540" s="1497"/>
      <c r="AB2540" s="1874"/>
      <c r="AC2540" s="1874"/>
      <c r="AD2540" s="1874"/>
    </row>
    <row r="2541" spans="1:30" s="1104" customFormat="1" ht="18.75">
      <c r="A2541" s="2007" t="s">
        <v>1488</v>
      </c>
      <c r="C2541" s="1105"/>
      <c r="D2541" s="1105"/>
      <c r="E2541" s="1105"/>
      <c r="F2541" s="1105"/>
      <c r="G2541" s="1106"/>
      <c r="H2541" s="1114"/>
      <c r="I2541" s="1627"/>
      <c r="S2541" s="1627"/>
      <c r="T2541" s="1627"/>
      <c r="U2541" s="1627"/>
      <c r="V2541" s="1627"/>
      <c r="W2541" s="1627"/>
      <c r="X2541" s="1627"/>
      <c r="Y2541" s="1627"/>
      <c r="Z2541" s="1497"/>
    </row>
    <row r="2542" spans="1:30" s="1104" customFormat="1">
      <c r="A2542" s="1116" t="s">
        <v>1434</v>
      </c>
      <c r="C2542" s="1024"/>
      <c r="D2542" s="1024"/>
      <c r="E2542" s="1024"/>
      <c r="F2542" s="1024"/>
      <c r="G2542" s="1109"/>
      <c r="H2542" s="1628"/>
      <c r="I2542" s="1628"/>
      <c r="J2542" s="1109"/>
      <c r="K2542" s="1109"/>
      <c r="L2542" s="1109"/>
      <c r="M2542" s="1109"/>
      <c r="N2542" s="1109"/>
      <c r="O2542" s="1109"/>
      <c r="P2542" s="1109"/>
      <c r="Q2542" s="1109"/>
      <c r="R2542" s="1109"/>
      <c r="S2542" s="1628"/>
      <c r="T2542" s="1628"/>
      <c r="U2542" s="1628"/>
      <c r="V2542" s="1628"/>
      <c r="W2542" s="1628"/>
      <c r="X2542" s="1628"/>
      <c r="Y2542" s="1628"/>
      <c r="Z2542" s="1498"/>
      <c r="AA2542" s="1104" t="s">
        <v>1846</v>
      </c>
      <c r="AB2542" s="1024"/>
    </row>
    <row r="2543" spans="1:30" s="1104" customFormat="1">
      <c r="A2543" s="1116" t="s">
        <v>1435</v>
      </c>
      <c r="B2543" s="1116"/>
      <c r="C2543" s="1024"/>
      <c r="D2543" s="1024"/>
      <c r="E2543" s="1024"/>
      <c r="F2543" s="1139">
        <v>54</v>
      </c>
      <c r="G2543" s="1110"/>
      <c r="H2543" s="1629"/>
      <c r="I2543" s="1146">
        <f>ROUND($F2543*D2543,0)</f>
        <v>0</v>
      </c>
      <c r="J2543" s="1114"/>
      <c r="K2543" s="2000">
        <f>ROUND($Q2543*K2231/$Q2231,2)</f>
        <v>56</v>
      </c>
      <c r="L2543" s="1902"/>
      <c r="M2543" s="2000">
        <f t="shared" ref="M2543:M2545" si="2872">Q2543-K2543</f>
        <v>0</v>
      </c>
      <c r="N2543" s="1902"/>
      <c r="O2543" s="2000">
        <f>ROUND(Q2543-K2543-M2543,2)</f>
        <v>0</v>
      </c>
      <c r="P2543" s="1114"/>
      <c r="Q2543" s="1139">
        <f>ROUND(F2543*(1+$AB$1483),0)</f>
        <v>56</v>
      </c>
      <c r="R2543" s="1114"/>
      <c r="S2543" s="1114">
        <f>ROUND($D2543*K2543,0)</f>
        <v>0</v>
      </c>
      <c r="T2543" s="1114"/>
      <c r="U2543" s="1114">
        <f>ROUND($D2543*M2543,0)</f>
        <v>0</v>
      </c>
      <c r="V2543" s="1114"/>
      <c r="W2543" s="1114">
        <f>ROUND($D2543*O2543,0)</f>
        <v>0</v>
      </c>
      <c r="X2543" s="1114"/>
      <c r="Y2543" s="1114">
        <f>ROUND($D2543*Q2543,0)</f>
        <v>0</v>
      </c>
      <c r="Z2543" s="1499"/>
      <c r="AA2543" s="1903" t="s">
        <v>1741</v>
      </c>
      <c r="AB2543" s="1904">
        <f>Y2606</f>
        <v>13453301</v>
      </c>
    </row>
    <row r="2544" spans="1:30" s="1104" customFormat="1">
      <c r="A2544" s="1116" t="s">
        <v>1436</v>
      </c>
      <c r="B2544" s="1116"/>
      <c r="C2544" s="1024"/>
      <c r="D2544" s="1024"/>
      <c r="E2544" s="1024"/>
      <c r="F2544" s="1139">
        <v>70</v>
      </c>
      <c r="G2544" s="1110"/>
      <c r="H2544" s="1629"/>
      <c r="I2544" s="1146">
        <f>ROUND($F2544*D2544,0)</f>
        <v>0</v>
      </c>
      <c r="J2544" s="1114"/>
      <c r="K2544" s="2000">
        <f>ROUND($Q2544*K2543/$Q2543,2)</f>
        <v>73</v>
      </c>
      <c r="L2544" s="1902"/>
      <c r="M2544" s="2000">
        <f t="shared" si="2872"/>
        <v>0</v>
      </c>
      <c r="N2544" s="1902"/>
      <c r="O2544" s="2000">
        <f t="shared" ref="O2544:O2545" si="2873">ROUND(Q2544-K2544-M2544,2)</f>
        <v>0</v>
      </c>
      <c r="P2544" s="1114"/>
      <c r="Q2544" s="1139">
        <f>ROUND(F2544*(1+$AB$1483),0)</f>
        <v>73</v>
      </c>
      <c r="R2544" s="1114"/>
      <c r="S2544" s="1114">
        <f t="shared" ref="S2544:S2545" si="2874">ROUND($D2544*K2544,0)</f>
        <v>0</v>
      </c>
      <c r="T2544" s="1114"/>
      <c r="U2544" s="1114">
        <f t="shared" ref="U2544:U2545" si="2875">ROUND($D2544*M2544,0)</f>
        <v>0</v>
      </c>
      <c r="V2544" s="1114"/>
      <c r="W2544" s="1114">
        <f t="shared" ref="W2544:Y2545" si="2876">ROUND($D2544*O2544,0)</f>
        <v>0</v>
      </c>
      <c r="X2544" s="1114"/>
      <c r="Y2544" s="1114">
        <f t="shared" si="2876"/>
        <v>0</v>
      </c>
      <c r="Z2544" s="1499"/>
      <c r="AA2544" s="1905" t="s">
        <v>1742</v>
      </c>
      <c r="AB2544" s="1906">
        <f>RateSpread!M48*1000</f>
        <v>13490734.453500001</v>
      </c>
    </row>
    <row r="2545" spans="1:33" s="1104" customFormat="1">
      <c r="A2545" s="1116" t="s">
        <v>1437</v>
      </c>
      <c r="B2545" s="1116"/>
      <c r="C2545" s="1024">
        <f>'32-9'!G2+'32'!G2</f>
        <v>36.133359073359102</v>
      </c>
      <c r="D2545" s="1105">
        <f>'32-forecast'!E17</f>
        <v>36</v>
      </c>
      <c r="E2545" s="1024"/>
      <c r="F2545" s="1140">
        <v>259</v>
      </c>
      <c r="G2545" s="617"/>
      <c r="H2545" s="1146">
        <f>ROUND($F2545*C2545,0)</f>
        <v>9359</v>
      </c>
      <c r="I2545" s="1146">
        <f>ROUND($F2545*D2545,0)</f>
        <v>9324</v>
      </c>
      <c r="J2545" s="1114"/>
      <c r="K2545" s="2000">
        <f>ROUND($Q2545*K2275/$Q2275,2)</f>
        <v>269</v>
      </c>
      <c r="L2545" s="1902"/>
      <c r="M2545" s="2000">
        <f t="shared" si="2872"/>
        <v>0</v>
      </c>
      <c r="N2545" s="1902"/>
      <c r="O2545" s="2000">
        <f t="shared" si="2873"/>
        <v>0</v>
      </c>
      <c r="P2545" s="1114"/>
      <c r="Q2545" s="1139">
        <f>ROUND(F2545*(1+$AB$1483),0)</f>
        <v>269</v>
      </c>
      <c r="R2545" s="1114"/>
      <c r="S2545" s="1114">
        <f t="shared" si="2874"/>
        <v>9684</v>
      </c>
      <c r="T2545" s="1114"/>
      <c r="U2545" s="1114">
        <f t="shared" si="2875"/>
        <v>0</v>
      </c>
      <c r="V2545" s="1114"/>
      <c r="W2545" s="1114">
        <f t="shared" si="2876"/>
        <v>0</v>
      </c>
      <c r="X2545" s="1114"/>
      <c r="Y2545" s="1114">
        <f t="shared" si="2876"/>
        <v>9684</v>
      </c>
      <c r="Z2545" s="1499"/>
      <c r="AA2545" s="1908" t="s">
        <v>87</v>
      </c>
      <c r="AB2545" s="1909">
        <f>AB2544-AB2543</f>
        <v>37433.45350000076</v>
      </c>
    </row>
    <row r="2546" spans="1:33" s="1104" customFormat="1">
      <c r="A2546" s="1116" t="s">
        <v>1438</v>
      </c>
      <c r="B2546" s="1116"/>
      <c r="C2546" s="1024"/>
      <c r="D2546" s="1105"/>
      <c r="E2546" s="1024"/>
      <c r="F2546" s="1139"/>
      <c r="G2546" s="1111"/>
      <c r="H2546" s="1629"/>
      <c r="I2546" s="1146"/>
      <c r="J2546" s="1114"/>
      <c r="K2546" s="1139"/>
      <c r="L2546" s="1114"/>
      <c r="M2546" s="1139"/>
      <c r="N2546" s="1114"/>
      <c r="O2546" s="1139"/>
      <c r="P2546" s="1114"/>
      <c r="Q2546" s="1139"/>
      <c r="R2546" s="1114"/>
      <c r="S2546" s="1114"/>
      <c r="T2546" s="1114"/>
      <c r="U2546" s="1114"/>
      <c r="V2546" s="1114"/>
      <c r="W2546" s="1114"/>
      <c r="X2546" s="1114"/>
      <c r="Y2546" s="1114"/>
      <c r="Z2546" s="1499"/>
      <c r="AA2546" s="1903" t="s">
        <v>1743</v>
      </c>
      <c r="AB2546" s="1958">
        <f>AB2543/I2606-1</f>
        <v>3.4268918284743766E-2</v>
      </c>
    </row>
    <row r="2547" spans="1:33" s="1104" customFormat="1">
      <c r="A2547" s="1116" t="s">
        <v>1439</v>
      </c>
      <c r="B2547" s="1116"/>
      <c r="C2547" s="1024">
        <f>'32'!U2</f>
        <v>2</v>
      </c>
      <c r="D2547" s="1105">
        <f>'32-forecast'!S17</f>
        <v>12.83952950842653</v>
      </c>
      <c r="E2547" s="1024"/>
      <c r="F2547" s="1139">
        <v>110</v>
      </c>
      <c r="G2547" s="1111"/>
      <c r="H2547" s="1146">
        <f t="shared" ref="H2547:H2548" si="2877">ROUND($F2547*C2547,0)</f>
        <v>220</v>
      </c>
      <c r="I2547" s="1146">
        <f>ROUND($F2547*D2547,0)</f>
        <v>1412</v>
      </c>
      <c r="J2547" s="1114"/>
      <c r="K2547" s="1139">
        <f>Q2547</f>
        <v>114</v>
      </c>
      <c r="L2547" s="1114"/>
      <c r="M2547" s="1139">
        <f t="shared" ref="M2547:M2548" si="2878">Q2547-K2547</f>
        <v>0</v>
      </c>
      <c r="N2547" s="1114"/>
      <c r="O2547" s="2000">
        <f t="shared" ref="O2547:O2548" si="2879">ROUND(Q2547-K2547-M2547,2)</f>
        <v>0</v>
      </c>
      <c r="P2547" s="1114"/>
      <c r="Q2547" s="1139">
        <f>ROUND(F2547*(1+$AB$1483),0)</f>
        <v>114</v>
      </c>
      <c r="R2547" s="1114"/>
      <c r="S2547" s="1114">
        <f t="shared" ref="S2547:S2548" si="2880">ROUND($D2547*K2547,0)</f>
        <v>1464</v>
      </c>
      <c r="T2547" s="1114"/>
      <c r="U2547" s="1114">
        <f t="shared" ref="U2547:U2548" si="2881">ROUND($D2547*M2547,0)</f>
        <v>0</v>
      </c>
      <c r="V2547" s="1114"/>
      <c r="W2547" s="1114">
        <f t="shared" ref="W2547:Y2548" si="2882">ROUND($D2547*O2547,0)</f>
        <v>0</v>
      </c>
      <c r="X2547" s="1114"/>
      <c r="Y2547" s="1114">
        <f t="shared" si="2882"/>
        <v>1464</v>
      </c>
      <c r="Z2547" s="1499"/>
      <c r="AA2547" s="1905" t="s">
        <v>1744</v>
      </c>
      <c r="AB2547" s="1953">
        <f>AB2544/I2606-1</f>
        <v>3.7146744140205357E-2</v>
      </c>
    </row>
    <row r="2548" spans="1:33" s="1874" customFormat="1">
      <c r="A2548" s="1116" t="s">
        <v>1440</v>
      </c>
      <c r="B2548" s="1116"/>
      <c r="C2548" s="1024">
        <f>'32'!V2</f>
        <v>6</v>
      </c>
      <c r="D2548" s="1105">
        <f>'32-forecast'!T17</f>
        <v>38.518588525279576</v>
      </c>
      <c r="E2548" s="1024"/>
      <c r="F2548" s="1139">
        <v>150</v>
      </c>
      <c r="G2548" s="1111"/>
      <c r="H2548" s="1146">
        <f t="shared" si="2877"/>
        <v>900</v>
      </c>
      <c r="I2548" s="1146">
        <f>ROUND($F2548*D2548,0)</f>
        <v>5778</v>
      </c>
      <c r="J2548" s="1114"/>
      <c r="K2548" s="1139">
        <f>Q2548</f>
        <v>156</v>
      </c>
      <c r="L2548" s="1114"/>
      <c r="M2548" s="1139">
        <f t="shared" si="2878"/>
        <v>0</v>
      </c>
      <c r="N2548" s="1114"/>
      <c r="O2548" s="2000">
        <f t="shared" si="2879"/>
        <v>0</v>
      </c>
      <c r="P2548" s="1114"/>
      <c r="Q2548" s="1139">
        <f>ROUND(F2548*(1+$AB$1483),0)</f>
        <v>156</v>
      </c>
      <c r="R2548" s="1114"/>
      <c r="S2548" s="1114">
        <f t="shared" si="2880"/>
        <v>6009</v>
      </c>
      <c r="T2548" s="1114"/>
      <c r="U2548" s="1114">
        <f t="shared" si="2881"/>
        <v>0</v>
      </c>
      <c r="V2548" s="1114"/>
      <c r="W2548" s="1114">
        <f t="shared" si="2882"/>
        <v>0</v>
      </c>
      <c r="X2548" s="1114"/>
      <c r="Y2548" s="1114">
        <f t="shared" si="2882"/>
        <v>6009</v>
      </c>
      <c r="Z2548" s="1499"/>
      <c r="AA2548" s="1915"/>
      <c r="AB2548" s="1954"/>
      <c r="AC2548" s="1104"/>
      <c r="AD2548" s="1104"/>
      <c r="AE2548" s="1104"/>
      <c r="AF2548" s="1104"/>
      <c r="AG2548" s="1104"/>
    </row>
    <row r="2549" spans="1:33" s="1874" customFormat="1">
      <c r="A2549" s="1116" t="s">
        <v>1441</v>
      </c>
      <c r="B2549" s="1116"/>
      <c r="C2549" s="1024"/>
      <c r="D2549" s="1105"/>
      <c r="E2549" s="1024"/>
      <c r="F2549" s="1140"/>
      <c r="G2549" s="1112"/>
      <c r="H2549" s="1114"/>
      <c r="I2549" s="1146"/>
      <c r="J2549" s="1114"/>
      <c r="K2549" s="1140"/>
      <c r="L2549" s="1114"/>
      <c r="M2549" s="1140"/>
      <c r="N2549" s="1114"/>
      <c r="O2549" s="1140"/>
      <c r="P2549" s="1114"/>
      <c r="Q2549" s="1140"/>
      <c r="R2549" s="1114"/>
      <c r="S2549" s="1114"/>
      <c r="T2549" s="1114"/>
      <c r="U2549" s="1114"/>
      <c r="V2549" s="1114"/>
      <c r="W2549" s="1114"/>
      <c r="X2549" s="1114"/>
      <c r="Y2549" s="1114"/>
      <c r="Z2549" s="1499"/>
      <c r="AA2549" s="1109"/>
      <c r="AB2549" s="1104"/>
      <c r="AC2549" s="1104"/>
      <c r="AD2549" s="1104"/>
      <c r="AE2549" s="1104"/>
      <c r="AF2549" s="1104"/>
      <c r="AG2549" s="1104"/>
    </row>
    <row r="2550" spans="1:33" s="1874" customFormat="1">
      <c r="A2550" s="1116" t="s">
        <v>1442</v>
      </c>
      <c r="B2550" s="1116"/>
      <c r="C2550" s="1024"/>
      <c r="D2550" s="1105"/>
      <c r="E2550" s="1024"/>
      <c r="F2550" s="1139">
        <v>7.62</v>
      </c>
      <c r="G2550" s="1111"/>
      <c r="H2550" s="1629"/>
      <c r="I2550" s="1146">
        <f>ROUND($F2550*D2550,0)</f>
        <v>0</v>
      </c>
      <c r="J2550" s="1114"/>
      <c r="K2550" s="2042">
        <f>ROUND('Sch32 COS'!B15,2)</f>
        <v>7.69</v>
      </c>
      <c r="L2550" s="1902"/>
      <c r="M2550" s="2000">
        <f>Q2550-K2550</f>
        <v>0</v>
      </c>
      <c r="N2550" s="1902"/>
      <c r="O2550" s="2000">
        <f t="shared" ref="O2550:O2554" si="2883">ROUND(Q2550-K2550-M2550,2)</f>
        <v>0</v>
      </c>
      <c r="P2550" s="1114"/>
      <c r="Q2550" s="1139">
        <f>K2550</f>
        <v>7.69</v>
      </c>
      <c r="R2550" s="1114"/>
      <c r="S2550" s="1114">
        <f t="shared" ref="S2550:S2554" si="2884">ROUND($D2550*K2550,0)</f>
        <v>0</v>
      </c>
      <c r="T2550" s="1114"/>
      <c r="U2550" s="1114">
        <f t="shared" ref="U2550:U2554" si="2885">ROUND($D2550*M2550,0)</f>
        <v>0</v>
      </c>
      <c r="V2550" s="1114"/>
      <c r="W2550" s="1114">
        <f t="shared" ref="W2550:Y2554" si="2886">ROUND($D2550*O2550,0)</f>
        <v>0</v>
      </c>
      <c r="X2550" s="1114"/>
      <c r="Y2550" s="1114">
        <f t="shared" si="2886"/>
        <v>0</v>
      </c>
      <c r="Z2550" s="1499"/>
      <c r="AA2550" s="1109"/>
      <c r="AB2550" s="1104"/>
      <c r="AC2550" s="1104"/>
      <c r="AD2550" s="1104"/>
      <c r="AE2550" s="1104"/>
      <c r="AF2550" s="1104"/>
      <c r="AG2550" s="1104"/>
    </row>
    <row r="2551" spans="1:33" s="1874" customFormat="1">
      <c r="A2551" s="1116" t="s">
        <v>1443</v>
      </c>
      <c r="B2551" s="1116"/>
      <c r="C2551" s="1024"/>
      <c r="D2551" s="1105"/>
      <c r="E2551" s="1024"/>
      <c r="F2551" s="1139">
        <v>6.67</v>
      </c>
      <c r="G2551" s="1111"/>
      <c r="H2551" s="1629"/>
      <c r="I2551" s="1146">
        <f>ROUND($F2551*D2551,0)</f>
        <v>0</v>
      </c>
      <c r="J2551" s="1114"/>
      <c r="K2551" s="2042">
        <f>ROUND('Sch32 COS'!C15,2)</f>
        <v>6.73</v>
      </c>
      <c r="L2551" s="1902"/>
      <c r="M2551" s="2000">
        <f t="shared" ref="M2551:M2554" si="2887">Q2551-K2551</f>
        <v>0</v>
      </c>
      <c r="N2551" s="1902"/>
      <c r="O2551" s="2000">
        <f t="shared" si="2883"/>
        <v>0</v>
      </c>
      <c r="P2551" s="1114"/>
      <c r="Q2551" s="1139">
        <f t="shared" ref="Q2551:Q2554" si="2888">K2551</f>
        <v>6.73</v>
      </c>
      <c r="R2551" s="1114"/>
      <c r="S2551" s="1114">
        <f t="shared" si="2884"/>
        <v>0</v>
      </c>
      <c r="T2551" s="1114"/>
      <c r="U2551" s="1114">
        <f t="shared" si="2885"/>
        <v>0</v>
      </c>
      <c r="V2551" s="1114"/>
      <c r="W2551" s="1114">
        <f t="shared" si="2886"/>
        <v>0</v>
      </c>
      <c r="X2551" s="1114"/>
      <c r="Y2551" s="1114">
        <f t="shared" si="2886"/>
        <v>0</v>
      </c>
      <c r="Z2551" s="1499"/>
      <c r="AA2551" s="1109"/>
      <c r="AB2551" s="1104"/>
      <c r="AC2551" s="1104"/>
      <c r="AD2551" s="1104"/>
      <c r="AE2551" s="1104"/>
      <c r="AF2551" s="1104"/>
      <c r="AG2551" s="1104"/>
    </row>
    <row r="2552" spans="1:33" s="1874" customFormat="1">
      <c r="A2552" s="1116" t="s">
        <v>1444</v>
      </c>
      <c r="B2552" s="1116"/>
      <c r="C2552" s="1024"/>
      <c r="D2552" s="1105"/>
      <c r="E2552" s="1024"/>
      <c r="F2552" s="1139">
        <v>7.9</v>
      </c>
      <c r="G2552" s="1110"/>
      <c r="H2552" s="1629"/>
      <c r="I2552" s="1146">
        <f>ROUND($F2552*D2552,0)</f>
        <v>0</v>
      </c>
      <c r="J2552" s="1114"/>
      <c r="K2552" s="2042">
        <f>ROUND('Sch32 COS'!D15,2)</f>
        <v>8.5500000000000007</v>
      </c>
      <c r="L2552" s="1902"/>
      <c r="M2552" s="2000">
        <f t="shared" si="2887"/>
        <v>0</v>
      </c>
      <c r="N2552" s="1902"/>
      <c r="O2552" s="2000">
        <f t="shared" si="2883"/>
        <v>0</v>
      </c>
      <c r="P2552" s="1114"/>
      <c r="Q2552" s="1139">
        <f t="shared" si="2888"/>
        <v>8.5500000000000007</v>
      </c>
      <c r="R2552" s="1114"/>
      <c r="S2552" s="1114">
        <f t="shared" si="2884"/>
        <v>0</v>
      </c>
      <c r="T2552" s="1114"/>
      <c r="U2552" s="1114">
        <f t="shared" si="2885"/>
        <v>0</v>
      </c>
      <c r="V2552" s="1114"/>
      <c r="W2552" s="1114">
        <f t="shared" si="2886"/>
        <v>0</v>
      </c>
      <c r="X2552" s="1114"/>
      <c r="Y2552" s="1114">
        <f t="shared" si="2886"/>
        <v>0</v>
      </c>
      <c r="Z2552" s="1499"/>
      <c r="AA2552" s="1109"/>
      <c r="AB2552" s="1104"/>
      <c r="AC2552" s="1104"/>
      <c r="AD2552" s="1104"/>
      <c r="AE2552" s="1104"/>
      <c r="AF2552" s="1104"/>
      <c r="AG2552" s="1104"/>
    </row>
    <row r="2553" spans="1:33" s="1874" customFormat="1">
      <c r="A2553" s="1116" t="s">
        <v>1445</v>
      </c>
      <c r="B2553" s="1116"/>
      <c r="C2553" s="1024"/>
      <c r="D2553" s="1105"/>
      <c r="E2553" s="1024"/>
      <c r="F2553" s="1139">
        <v>6.75</v>
      </c>
      <c r="G2553" s="1111"/>
      <c r="H2553" s="1629"/>
      <c r="I2553" s="1146">
        <f>ROUND($F2553*D2553,0)</f>
        <v>0</v>
      </c>
      <c r="J2553" s="1114"/>
      <c r="K2553" s="2042">
        <f>ROUND('Sch32 COS'!E15,2)</f>
        <v>7.42</v>
      </c>
      <c r="L2553" s="1902"/>
      <c r="M2553" s="2000">
        <f t="shared" si="2887"/>
        <v>0</v>
      </c>
      <c r="N2553" s="1902"/>
      <c r="O2553" s="2000">
        <f t="shared" si="2883"/>
        <v>0</v>
      </c>
      <c r="P2553" s="1114"/>
      <c r="Q2553" s="1139">
        <f t="shared" si="2888"/>
        <v>7.42</v>
      </c>
      <c r="R2553" s="1114"/>
      <c r="S2553" s="1114">
        <f t="shared" si="2884"/>
        <v>0</v>
      </c>
      <c r="T2553" s="1114"/>
      <c r="U2553" s="1114">
        <f t="shared" si="2885"/>
        <v>0</v>
      </c>
      <c r="V2553" s="1114"/>
      <c r="W2553" s="1114">
        <f t="shared" si="2886"/>
        <v>0</v>
      </c>
      <c r="X2553" s="1114"/>
      <c r="Y2553" s="1114">
        <f t="shared" si="2886"/>
        <v>0</v>
      </c>
      <c r="Z2553" s="1499"/>
      <c r="AA2553" s="1109"/>
      <c r="AB2553" s="1104"/>
      <c r="AC2553" s="1104"/>
      <c r="AD2553" s="1104"/>
      <c r="AE2553" s="1104"/>
      <c r="AF2553" s="1104"/>
      <c r="AG2553" s="1104"/>
    </row>
    <row r="2554" spans="1:33" s="1874" customFormat="1">
      <c r="A2554" s="1116" t="s">
        <v>1437</v>
      </c>
      <c r="B2554" s="1116"/>
      <c r="C2554" s="1024">
        <f>'32'!H2</f>
        <v>38848</v>
      </c>
      <c r="D2554" s="1105">
        <f>'32-forecast'!F17</f>
        <v>245395.50772980196</v>
      </c>
      <c r="E2554" s="1024"/>
      <c r="F2554" s="1139">
        <v>3.85</v>
      </c>
      <c r="G2554" s="1111"/>
      <c r="H2554" s="1146">
        <f>ROUND($F2554*C2554,0)</f>
        <v>149565</v>
      </c>
      <c r="I2554" s="1146">
        <f>ROUND($F2554*D2554,0)</f>
        <v>944773</v>
      </c>
      <c r="J2554" s="1114"/>
      <c r="K2554" s="2042">
        <f>ROUND('Sch32 COS'!F15,2)</f>
        <v>5.01</v>
      </c>
      <c r="L2554" s="1902"/>
      <c r="M2554" s="2000">
        <f t="shared" si="2887"/>
        <v>0</v>
      </c>
      <c r="N2554" s="1902"/>
      <c r="O2554" s="2000">
        <f t="shared" si="2883"/>
        <v>0</v>
      </c>
      <c r="P2554" s="1114"/>
      <c r="Q2554" s="1139">
        <f t="shared" si="2888"/>
        <v>5.01</v>
      </c>
      <c r="R2554" s="1114"/>
      <c r="S2554" s="1114">
        <f t="shared" si="2884"/>
        <v>1229431</v>
      </c>
      <c r="T2554" s="1114"/>
      <c r="U2554" s="1114">
        <f t="shared" si="2885"/>
        <v>0</v>
      </c>
      <c r="V2554" s="1114"/>
      <c r="W2554" s="1114">
        <f t="shared" si="2886"/>
        <v>0</v>
      </c>
      <c r="X2554" s="1114"/>
      <c r="Y2554" s="1114">
        <f t="shared" si="2886"/>
        <v>1229431</v>
      </c>
      <c r="Z2554" s="1499"/>
      <c r="AA2554" s="1109"/>
      <c r="AB2554" s="1104"/>
      <c r="AC2554" s="1104"/>
      <c r="AD2554" s="1104"/>
      <c r="AE2554" s="1104"/>
      <c r="AF2554" s="1104"/>
      <c r="AG2554" s="1104"/>
    </row>
    <row r="2555" spans="1:33" s="1874" customFormat="1">
      <c r="A2555" s="1116" t="s">
        <v>1446</v>
      </c>
      <c r="B2555" s="1104"/>
      <c r="C2555" s="1024"/>
      <c r="D2555" s="1105"/>
      <c r="E2555" s="1024"/>
      <c r="F2555" s="1141"/>
      <c r="G2555" s="1109"/>
      <c r="H2555" s="1628"/>
      <c r="I2555" s="1627"/>
      <c r="J2555" s="1109"/>
      <c r="K2555" s="1141"/>
      <c r="L2555" s="1109"/>
      <c r="M2555" s="1141"/>
      <c r="N2555" s="1109"/>
      <c r="O2555" s="1141"/>
      <c r="P2555" s="1109"/>
      <c r="Q2555" s="1141"/>
      <c r="R2555" s="1109"/>
      <c r="S2555" s="1628"/>
      <c r="T2555" s="1628"/>
      <c r="U2555" s="1628"/>
      <c r="V2555" s="1628"/>
      <c r="W2555" s="1628"/>
      <c r="X2555" s="1628"/>
      <c r="Y2555" s="1628"/>
      <c r="Z2555" s="1498"/>
      <c r="AA2555" s="1109"/>
      <c r="AB2555" s="1104"/>
      <c r="AC2555" s="1104"/>
      <c r="AD2555" s="1104"/>
      <c r="AE2555" s="1104"/>
      <c r="AF2555" s="1104"/>
      <c r="AG2555" s="1104"/>
    </row>
    <row r="2556" spans="1:33" s="1874" customFormat="1">
      <c r="A2556" s="1116" t="s">
        <v>1447</v>
      </c>
      <c r="B2556" s="1104"/>
      <c r="C2556" s="1024"/>
      <c r="D2556" s="1105"/>
      <c r="E2556" s="1024"/>
      <c r="F2556" s="1139"/>
      <c r="G2556" s="1110"/>
      <c r="H2556" s="1629"/>
      <c r="I2556" s="1146"/>
      <c r="J2556" s="1114"/>
      <c r="K2556" s="1139"/>
      <c r="L2556" s="1114"/>
      <c r="M2556" s="1139"/>
      <c r="N2556" s="1114"/>
      <c r="O2556" s="1139"/>
      <c r="P2556" s="1114"/>
      <c r="Q2556" s="1139"/>
      <c r="R2556" s="1114"/>
      <c r="S2556" s="1114"/>
      <c r="T2556" s="1114"/>
      <c r="U2556" s="1114"/>
      <c r="V2556" s="1114"/>
      <c r="W2556" s="1114"/>
      <c r="X2556" s="1114"/>
      <c r="Y2556" s="1114"/>
      <c r="Z2556" s="1499"/>
      <c r="AA2556" s="1109"/>
      <c r="AB2556" s="1104"/>
      <c r="AC2556" s="1104"/>
      <c r="AD2556" s="1104"/>
      <c r="AE2556" s="1104"/>
      <c r="AF2556" s="1104"/>
      <c r="AG2556" s="1104"/>
    </row>
    <row r="2557" spans="1:33" s="1874" customFormat="1">
      <c r="A2557" s="1116" t="s">
        <v>1670</v>
      </c>
      <c r="B2557" s="1104"/>
      <c r="C2557" s="1024"/>
      <c r="D2557" s="1105"/>
      <c r="E2557" s="1024"/>
      <c r="F2557" s="1139"/>
      <c r="G2557" s="1110"/>
      <c r="H2557" s="1629"/>
      <c r="I2557" s="1146"/>
      <c r="J2557" s="1114"/>
      <c r="K2557" s="2000">
        <f>ROUND($Q2557*K1379/$Q1379,2)</f>
        <v>0.26</v>
      </c>
      <c r="L2557" s="1991"/>
      <c r="M2557" s="2000">
        <f>ROUND($Q2557*M1379/$Q1379,2)</f>
        <v>0.31</v>
      </c>
      <c r="N2557" s="1991"/>
      <c r="O2557" s="2000">
        <f t="shared" ref="O2557:O2558" si="2889">ROUND(Q2557-K2557-M2557,2)</f>
        <v>0</v>
      </c>
      <c r="P2557" s="1114"/>
      <c r="Q2557" s="2039">
        <f>ROUND('Sch32 COS'!B29,2)</f>
        <v>0.56999999999999995</v>
      </c>
      <c r="R2557" s="1114"/>
      <c r="S2557" s="1114">
        <f t="shared" ref="S2557:S2558" si="2890">ROUND($D2557*K2557,0)</f>
        <v>0</v>
      </c>
      <c r="T2557" s="1114"/>
      <c r="U2557" s="1114">
        <f t="shared" ref="U2557:U2558" si="2891">ROUND($D2557*M2557,0)</f>
        <v>0</v>
      </c>
      <c r="V2557" s="1114"/>
      <c r="W2557" s="1114">
        <f t="shared" ref="W2557:Y2558" si="2892">ROUND($D2557*O2557,0)</f>
        <v>0</v>
      </c>
      <c r="X2557" s="1114"/>
      <c r="Y2557" s="1114">
        <f t="shared" si="2892"/>
        <v>0</v>
      </c>
      <c r="Z2557" s="1499">
        <f>Z2339</f>
        <v>0.81143000192935111</v>
      </c>
      <c r="AA2557" s="1109"/>
      <c r="AB2557" s="1104"/>
      <c r="AC2557" s="1104"/>
      <c r="AD2557" s="1104"/>
      <c r="AE2557" s="1104"/>
      <c r="AF2557" s="1104"/>
      <c r="AG2557" s="1104"/>
    </row>
    <row r="2558" spans="1:33" s="1874" customFormat="1">
      <c r="A2558" s="1116" t="s">
        <v>1671</v>
      </c>
      <c r="B2558" s="1104"/>
      <c r="C2558" s="1024"/>
      <c r="D2558" s="1105"/>
      <c r="E2558" s="1024"/>
      <c r="F2558" s="1139"/>
      <c r="G2558" s="1110"/>
      <c r="H2558" s="1629"/>
      <c r="I2558" s="1146"/>
      <c r="J2558" s="1114"/>
      <c r="K2558" s="2000">
        <f>ROUND($Q2558*K1380/$Q1380,2)</f>
        <v>0.22</v>
      </c>
      <c r="L2558" s="1991"/>
      <c r="M2558" s="2000">
        <f>ROUND($Q2558*M1380/$Q1380,2)</f>
        <v>0.26</v>
      </c>
      <c r="N2558" s="1991"/>
      <c r="O2558" s="2000">
        <f t="shared" si="2889"/>
        <v>0</v>
      </c>
      <c r="P2558" s="1114"/>
      <c r="Q2558" s="2039">
        <f>ROUND('Sch32 COS'!B42,2)</f>
        <v>0.48</v>
      </c>
      <c r="R2558" s="1114"/>
      <c r="S2558" s="1114">
        <f t="shared" si="2890"/>
        <v>0</v>
      </c>
      <c r="T2558" s="1114"/>
      <c r="U2558" s="1114">
        <f t="shared" si="2891"/>
        <v>0</v>
      </c>
      <c r="V2558" s="1114"/>
      <c r="W2558" s="1114">
        <f t="shared" si="2892"/>
        <v>0</v>
      </c>
      <c r="X2558" s="1114"/>
      <c r="Y2558" s="1114">
        <f t="shared" si="2892"/>
        <v>0</v>
      </c>
      <c r="Z2558" s="1499">
        <f>Z2340</f>
        <v>1.1359353572586484</v>
      </c>
      <c r="AA2558" s="1109"/>
      <c r="AB2558" s="1104"/>
      <c r="AC2558" s="1104"/>
      <c r="AD2558" s="1104"/>
      <c r="AE2558" s="1104"/>
      <c r="AF2558" s="1104"/>
      <c r="AG2558" s="1104"/>
    </row>
    <row r="2559" spans="1:33" s="1874" customFormat="1">
      <c r="A2559" s="1116" t="s">
        <v>1450</v>
      </c>
      <c r="B2559" s="1104"/>
      <c r="C2559" s="1024"/>
      <c r="D2559" s="1105"/>
      <c r="E2559" s="1024"/>
      <c r="F2559" s="1139"/>
      <c r="G2559" s="1111"/>
      <c r="H2559" s="1629"/>
      <c r="I2559" s="1146"/>
      <c r="J2559" s="1114"/>
      <c r="K2559" s="1139"/>
      <c r="L2559" s="1114"/>
      <c r="M2559" s="1139"/>
      <c r="N2559" s="1114"/>
      <c r="O2559" s="1139"/>
      <c r="P2559" s="1114"/>
      <c r="Q2559" s="2039"/>
      <c r="R2559" s="1114"/>
      <c r="S2559" s="1114"/>
      <c r="T2559" s="1114"/>
      <c r="U2559" s="1114"/>
      <c r="V2559" s="1114"/>
      <c r="W2559" s="1114"/>
      <c r="X2559" s="1114"/>
      <c r="Y2559" s="1114"/>
      <c r="Z2559" s="1499"/>
      <c r="AA2559" s="1109"/>
      <c r="AB2559" s="1104"/>
      <c r="AC2559" s="1104"/>
      <c r="AD2559" s="1104"/>
      <c r="AE2559" s="1104"/>
      <c r="AF2559" s="1104"/>
      <c r="AG2559" s="1104"/>
    </row>
    <row r="2560" spans="1:33" s="1874" customFormat="1">
      <c r="A2560" s="1116" t="s">
        <v>1670</v>
      </c>
      <c r="B2560" s="1104"/>
      <c r="C2560" s="1024"/>
      <c r="D2560" s="1105"/>
      <c r="E2560" s="1024"/>
      <c r="F2560" s="1139"/>
      <c r="G2560" s="1111"/>
      <c r="H2560" s="1629"/>
      <c r="I2560" s="1146"/>
      <c r="J2560" s="1114"/>
      <c r="K2560" s="1139">
        <f>ROUND($Q2560*K2557/$Q2557,2)</f>
        <v>0.26</v>
      </c>
      <c r="L2560" s="1114"/>
      <c r="M2560" s="1139">
        <f>ROUND($Q2560*M2557/$Q2557,2)</f>
        <v>0.31</v>
      </c>
      <c r="N2560" s="1114"/>
      <c r="O2560" s="2000">
        <f t="shared" ref="O2560:O2561" si="2893">ROUND(Q2560-K2560-M2560,2)</f>
        <v>0</v>
      </c>
      <c r="P2560" s="1114"/>
      <c r="Q2560" s="2039">
        <f>ROUND('Sch32 COS'!C29,2)</f>
        <v>0.56999999999999995</v>
      </c>
      <c r="R2560" s="1114"/>
      <c r="S2560" s="1114">
        <f t="shared" ref="S2560:S2561" si="2894">ROUND($D2560*K2560,0)</f>
        <v>0</v>
      </c>
      <c r="T2560" s="1114"/>
      <c r="U2560" s="1114">
        <f t="shared" ref="U2560:U2561" si="2895">ROUND($D2560*M2560,0)</f>
        <v>0</v>
      </c>
      <c r="V2560" s="1114"/>
      <c r="W2560" s="1114">
        <f t="shared" ref="W2560:Y2561" si="2896">ROUND($D2560*O2560,0)</f>
        <v>0</v>
      </c>
      <c r="X2560" s="1114"/>
      <c r="Y2560" s="1114">
        <f t="shared" si="2896"/>
        <v>0</v>
      </c>
      <c r="Z2560" s="1499">
        <f>Z2557</f>
        <v>0.81143000192935111</v>
      </c>
      <c r="AA2560" s="1109"/>
      <c r="AB2560" s="1104"/>
      <c r="AC2560" s="1104"/>
      <c r="AD2560" s="1104"/>
      <c r="AE2560" s="1104"/>
      <c r="AF2560" s="1104"/>
      <c r="AG2560" s="1104"/>
    </row>
    <row r="2561" spans="1:33" s="1874" customFormat="1">
      <c r="A2561" s="1116" t="s">
        <v>1671</v>
      </c>
      <c r="B2561" s="1104"/>
      <c r="C2561" s="1024"/>
      <c r="D2561" s="1105"/>
      <c r="E2561" s="1024"/>
      <c r="F2561" s="1139"/>
      <c r="G2561" s="1111"/>
      <c r="H2561" s="1629"/>
      <c r="I2561" s="1146"/>
      <c r="J2561" s="1114"/>
      <c r="K2561" s="1139">
        <f>ROUND($Q2561*K2558/$Q2558,2)</f>
        <v>0.22</v>
      </c>
      <c r="L2561" s="1114"/>
      <c r="M2561" s="1139">
        <f>ROUND($Q2561*M2558/$Q2558,2)</f>
        <v>0.25</v>
      </c>
      <c r="N2561" s="1114"/>
      <c r="O2561" s="2000">
        <f t="shared" si="2893"/>
        <v>0</v>
      </c>
      <c r="P2561" s="1114"/>
      <c r="Q2561" s="2039">
        <f>ROUND('Sch32 COS'!C42,2)</f>
        <v>0.47</v>
      </c>
      <c r="R2561" s="1114"/>
      <c r="S2561" s="1114">
        <f t="shared" si="2894"/>
        <v>0</v>
      </c>
      <c r="T2561" s="1114"/>
      <c r="U2561" s="1114">
        <f t="shared" si="2895"/>
        <v>0</v>
      </c>
      <c r="V2561" s="1114"/>
      <c r="W2561" s="1114">
        <f t="shared" si="2896"/>
        <v>0</v>
      </c>
      <c r="X2561" s="1114"/>
      <c r="Y2561" s="1114">
        <f t="shared" si="2896"/>
        <v>0</v>
      </c>
      <c r="Z2561" s="1499">
        <f>Z2558</f>
        <v>1.1359353572586484</v>
      </c>
      <c r="AA2561" s="1109"/>
      <c r="AB2561" s="1104"/>
      <c r="AC2561" s="1104"/>
      <c r="AD2561" s="1104"/>
      <c r="AE2561" s="1104"/>
      <c r="AF2561" s="1104"/>
      <c r="AG2561" s="1104"/>
    </row>
    <row r="2562" spans="1:33" s="1874" customFormat="1">
      <c r="A2562" s="1116" t="s">
        <v>1451</v>
      </c>
      <c r="B2562" s="1104"/>
      <c r="C2562" s="1024"/>
      <c r="D2562" s="1105"/>
      <c r="E2562" s="1024"/>
      <c r="F2562" s="1140"/>
      <c r="G2562" s="1112"/>
      <c r="H2562" s="1114"/>
      <c r="I2562" s="1146"/>
      <c r="J2562" s="1114"/>
      <c r="K2562" s="1140"/>
      <c r="L2562" s="1114"/>
      <c r="M2562" s="1140"/>
      <c r="N2562" s="1114"/>
      <c r="O2562" s="1140"/>
      <c r="P2562" s="1114"/>
      <c r="Q2562" s="2040"/>
      <c r="R2562" s="1114"/>
      <c r="S2562" s="1114"/>
      <c r="T2562" s="1114"/>
      <c r="U2562" s="1114"/>
      <c r="V2562" s="1114"/>
      <c r="W2562" s="1114"/>
      <c r="X2562" s="1114"/>
      <c r="Y2562" s="1114"/>
      <c r="Z2562" s="1499"/>
      <c r="AA2562" s="1109"/>
      <c r="AB2562" s="1104"/>
      <c r="AC2562" s="1104"/>
      <c r="AD2562" s="1104"/>
      <c r="AE2562" s="1104"/>
      <c r="AF2562" s="1104"/>
      <c r="AG2562" s="1104"/>
    </row>
    <row r="2563" spans="1:33" s="1874" customFormat="1">
      <c r="A2563" s="1116" t="s">
        <v>1670</v>
      </c>
      <c r="B2563" s="1104"/>
      <c r="C2563" s="1024"/>
      <c r="D2563" s="1105"/>
      <c r="E2563" s="1024"/>
      <c r="F2563" s="1139"/>
      <c r="G2563" s="1111"/>
      <c r="H2563" s="1629"/>
      <c r="I2563" s="1146"/>
      <c r="J2563" s="1114"/>
      <c r="K2563" s="1139">
        <f>ROUND($Q2563*K2560/$Q2560,2)</f>
        <v>0.32</v>
      </c>
      <c r="L2563" s="1114"/>
      <c r="M2563" s="1139">
        <f>ROUND($Q2563*M2560/$Q2560,2)</f>
        <v>0.39</v>
      </c>
      <c r="N2563" s="1114"/>
      <c r="O2563" s="2000">
        <f t="shared" ref="O2563:O2564" si="2897">ROUND(Q2563-K2563-M2563,2)</f>
        <v>0</v>
      </c>
      <c r="P2563" s="1114"/>
      <c r="Q2563" s="2039">
        <f>ROUND('Sch32 COS'!D29,2)</f>
        <v>0.71</v>
      </c>
      <c r="R2563" s="1114"/>
      <c r="S2563" s="1114">
        <f t="shared" ref="S2563:S2564" si="2898">ROUND($D2563*K2563,0)</f>
        <v>0</v>
      </c>
      <c r="T2563" s="1114"/>
      <c r="U2563" s="1114">
        <f t="shared" ref="U2563:U2564" si="2899">ROUND($D2563*M2563,0)</f>
        <v>0</v>
      </c>
      <c r="V2563" s="1114"/>
      <c r="W2563" s="1114">
        <f t="shared" ref="W2563:Y2564" si="2900">ROUND($D2563*O2563,0)</f>
        <v>0</v>
      </c>
      <c r="X2563" s="1114"/>
      <c r="Y2563" s="1114">
        <f t="shared" si="2900"/>
        <v>0</v>
      </c>
      <c r="Z2563" s="1499">
        <f>Z2557</f>
        <v>0.81143000192935111</v>
      </c>
      <c r="AA2563" s="1109"/>
      <c r="AB2563" s="1104"/>
      <c r="AC2563" s="1104"/>
      <c r="AD2563" s="1104"/>
      <c r="AE2563" s="1104"/>
      <c r="AF2563" s="1104"/>
      <c r="AG2563" s="1104"/>
    </row>
    <row r="2564" spans="1:33" s="1874" customFormat="1">
      <c r="A2564" s="1116" t="s">
        <v>1671</v>
      </c>
      <c r="B2564" s="1104"/>
      <c r="C2564" s="1024"/>
      <c r="D2564" s="1105"/>
      <c r="E2564" s="1024"/>
      <c r="F2564" s="1139"/>
      <c r="G2564" s="1111"/>
      <c r="H2564" s="1629"/>
      <c r="I2564" s="1146"/>
      <c r="J2564" s="1114"/>
      <c r="K2564" s="1139">
        <f>ROUND($Q2564*K2561/$Q2561,2)</f>
        <v>0.28999999999999998</v>
      </c>
      <c r="L2564" s="1114"/>
      <c r="M2564" s="1139">
        <f>ROUND($Q2564*M2561/$Q2561,2)</f>
        <v>0.32</v>
      </c>
      <c r="N2564" s="1114"/>
      <c r="O2564" s="2000">
        <f t="shared" si="2897"/>
        <v>0</v>
      </c>
      <c r="P2564" s="1114"/>
      <c r="Q2564" s="2039">
        <f>ROUND('Sch32 COS'!D42,2)</f>
        <v>0.61</v>
      </c>
      <c r="R2564" s="1114"/>
      <c r="S2564" s="1114">
        <f t="shared" si="2898"/>
        <v>0</v>
      </c>
      <c r="T2564" s="1114"/>
      <c r="U2564" s="1114">
        <f t="shared" si="2899"/>
        <v>0</v>
      </c>
      <c r="V2564" s="1114"/>
      <c r="W2564" s="1114">
        <f t="shared" si="2900"/>
        <v>0</v>
      </c>
      <c r="X2564" s="1114"/>
      <c r="Y2564" s="1114">
        <f t="shared" si="2900"/>
        <v>0</v>
      </c>
      <c r="Z2564" s="1499">
        <f>Z2558</f>
        <v>1.1359353572586484</v>
      </c>
      <c r="AA2564" s="1109"/>
      <c r="AB2564" s="1104"/>
      <c r="AC2564" s="1104"/>
      <c r="AD2564" s="1104"/>
      <c r="AE2564" s="1104"/>
      <c r="AF2564" s="1104"/>
      <c r="AG2564" s="1104"/>
    </row>
    <row r="2565" spans="1:33" s="1874" customFormat="1">
      <c r="A2565" s="1116" t="s">
        <v>1452</v>
      </c>
      <c r="B2565" s="1104"/>
      <c r="C2565" s="1024"/>
      <c r="D2565" s="1105"/>
      <c r="E2565" s="1024"/>
      <c r="F2565" s="1139"/>
      <c r="G2565" s="1110"/>
      <c r="H2565" s="1629"/>
      <c r="I2565" s="1146"/>
      <c r="J2565" s="1114"/>
      <c r="K2565" s="1139"/>
      <c r="L2565" s="1114"/>
      <c r="M2565" s="1139"/>
      <c r="N2565" s="1114"/>
      <c r="O2565" s="1139"/>
      <c r="P2565" s="1114"/>
      <c r="Q2565" s="2039"/>
      <c r="R2565" s="1114"/>
      <c r="S2565" s="1114"/>
      <c r="T2565" s="1114"/>
      <c r="U2565" s="1114"/>
      <c r="V2565" s="1114"/>
      <c r="W2565" s="1114"/>
      <c r="X2565" s="1114"/>
      <c r="Y2565" s="1114"/>
      <c r="Z2565" s="1499"/>
      <c r="AA2565" s="1109"/>
      <c r="AB2565" s="1104"/>
      <c r="AC2565" s="1104"/>
      <c r="AD2565" s="1104"/>
      <c r="AE2565" s="1104"/>
      <c r="AF2565" s="1104"/>
      <c r="AG2565" s="1104"/>
    </row>
    <row r="2566" spans="1:33" s="1874" customFormat="1">
      <c r="A2566" s="1116" t="s">
        <v>1670</v>
      </c>
      <c r="B2566" s="1104"/>
      <c r="C2566" s="1024"/>
      <c r="D2566" s="1105"/>
      <c r="E2566" s="1024"/>
      <c r="F2566" s="1139"/>
      <c r="G2566" s="1111"/>
      <c r="H2566" s="1629"/>
      <c r="I2566" s="1146"/>
      <c r="J2566" s="1114"/>
      <c r="K2566" s="1139">
        <f>ROUND($Q2566*K2563/$Q2563,2)</f>
        <v>0.32</v>
      </c>
      <c r="L2566" s="1114"/>
      <c r="M2566" s="1139">
        <f>ROUND($Q2566*M2563/$Q2563,2)</f>
        <v>0.38</v>
      </c>
      <c r="N2566" s="1114"/>
      <c r="O2566" s="2000">
        <f t="shared" ref="O2566:O2567" si="2901">ROUND(Q2566-K2566-M2566,2)</f>
        <v>0</v>
      </c>
      <c r="P2566" s="1114"/>
      <c r="Q2566" s="2039">
        <f>ROUND('Sch32 COS'!E29,2)</f>
        <v>0.7</v>
      </c>
      <c r="R2566" s="1114"/>
      <c r="S2566" s="1114">
        <f t="shared" ref="S2566:S2567" si="2902">ROUND($D2566*K2566,0)</f>
        <v>0</v>
      </c>
      <c r="T2566" s="1114"/>
      <c r="U2566" s="1114">
        <f t="shared" ref="U2566:U2567" si="2903">ROUND($D2566*M2566,0)</f>
        <v>0</v>
      </c>
      <c r="V2566" s="1114"/>
      <c r="W2566" s="1114">
        <f t="shared" ref="W2566:Y2567" si="2904">ROUND($D2566*O2566,0)</f>
        <v>0</v>
      </c>
      <c r="X2566" s="1114"/>
      <c r="Y2566" s="1114">
        <f t="shared" si="2904"/>
        <v>0</v>
      </c>
      <c r="Z2566" s="1499">
        <f>Z2557</f>
        <v>0.81143000192935111</v>
      </c>
      <c r="AA2566" s="1109"/>
      <c r="AB2566" s="1104"/>
      <c r="AC2566" s="1104"/>
      <c r="AD2566" s="1104"/>
      <c r="AE2566" s="1104"/>
      <c r="AF2566" s="1104"/>
      <c r="AG2566" s="1104"/>
    </row>
    <row r="2567" spans="1:33" s="1874" customFormat="1">
      <c r="A2567" s="1116" t="s">
        <v>1671</v>
      </c>
      <c r="B2567" s="1104"/>
      <c r="C2567" s="1024"/>
      <c r="D2567" s="1105"/>
      <c r="E2567" s="1024"/>
      <c r="F2567" s="1139"/>
      <c r="G2567" s="1111"/>
      <c r="H2567" s="1629"/>
      <c r="I2567" s="1146"/>
      <c r="J2567" s="1114"/>
      <c r="K2567" s="1139">
        <f>ROUND($Q2567*K2564/$Q2564,2)</f>
        <v>0.28000000000000003</v>
      </c>
      <c r="L2567" s="1114"/>
      <c r="M2567" s="1139">
        <f>ROUND($Q2567*M2564/$Q2564,2)</f>
        <v>0.31</v>
      </c>
      <c r="N2567" s="1114"/>
      <c r="O2567" s="2000">
        <f t="shared" si="2901"/>
        <v>0</v>
      </c>
      <c r="P2567" s="1114"/>
      <c r="Q2567" s="2039">
        <f>ROUND('Sch32 COS'!E42,2)</f>
        <v>0.59</v>
      </c>
      <c r="R2567" s="1114"/>
      <c r="S2567" s="1114">
        <f t="shared" si="2902"/>
        <v>0</v>
      </c>
      <c r="T2567" s="1114"/>
      <c r="U2567" s="1114">
        <f t="shared" si="2903"/>
        <v>0</v>
      </c>
      <c r="V2567" s="1114"/>
      <c r="W2567" s="1114">
        <f t="shared" si="2904"/>
        <v>0</v>
      </c>
      <c r="X2567" s="1114"/>
      <c r="Y2567" s="1114">
        <f t="shared" si="2904"/>
        <v>0</v>
      </c>
      <c r="Z2567" s="1499">
        <f>Z2558</f>
        <v>1.1359353572586484</v>
      </c>
      <c r="AA2567" s="1109"/>
      <c r="AB2567" s="1104"/>
      <c r="AC2567" s="1104"/>
      <c r="AD2567" s="1104"/>
      <c r="AE2567" s="1104"/>
      <c r="AF2567" s="1104"/>
      <c r="AG2567" s="1104"/>
    </row>
    <row r="2568" spans="1:33" s="1874" customFormat="1">
      <c r="A2568" s="1116" t="s">
        <v>1453</v>
      </c>
      <c r="B2568" s="1104"/>
      <c r="C2568" s="1024"/>
      <c r="D2568" s="1105"/>
      <c r="E2568" s="1024"/>
      <c r="F2568" s="1141"/>
      <c r="G2568" s="1109"/>
      <c r="H2568" s="1628"/>
      <c r="I2568" s="1627"/>
      <c r="J2568" s="1109"/>
      <c r="K2568" s="1141"/>
      <c r="L2568" s="1109"/>
      <c r="M2568" s="1141"/>
      <c r="N2568" s="1109"/>
      <c r="O2568" s="1141"/>
      <c r="P2568" s="1109"/>
      <c r="Q2568" s="2041"/>
      <c r="R2568" s="1109"/>
      <c r="S2568" s="1628"/>
      <c r="T2568" s="1628"/>
      <c r="U2568" s="1628"/>
      <c r="V2568" s="1628"/>
      <c r="W2568" s="1628"/>
      <c r="X2568" s="1628"/>
      <c r="Y2568" s="1628"/>
      <c r="Z2568" s="1499"/>
      <c r="AA2568" s="1109"/>
      <c r="AB2568" s="1104"/>
      <c r="AC2568" s="1104"/>
      <c r="AD2568" s="1104"/>
      <c r="AE2568" s="1104"/>
      <c r="AF2568" s="1104"/>
      <c r="AG2568" s="1104"/>
    </row>
    <row r="2569" spans="1:33" s="1874" customFormat="1">
      <c r="A2569" s="1116" t="s">
        <v>1670</v>
      </c>
      <c r="B2569" s="1104"/>
      <c r="C2569" s="1024">
        <f>C2584</f>
        <v>0</v>
      </c>
      <c r="D2569" s="1105">
        <f>D2584*Z2569</f>
        <v>526626.49852888589</v>
      </c>
      <c r="E2569" s="1024"/>
      <c r="F2569" s="1139"/>
      <c r="G2569" s="1110"/>
      <c r="H2569" s="1146"/>
      <c r="I2569" s="1146"/>
      <c r="J2569" s="1114"/>
      <c r="K2569" s="2000">
        <f>ROUND($Q2569*K1481/$Q1481,2)</f>
        <v>0.22</v>
      </c>
      <c r="L2569" s="1991"/>
      <c r="M2569" s="2000">
        <f>ROUND($Q2569*M1481/$Q1481,2)</f>
        <v>0.43</v>
      </c>
      <c r="N2569" s="1991"/>
      <c r="O2569" s="2000">
        <f t="shared" ref="O2569:O2570" si="2905">ROUND(Q2569-K2569-M2569,2)</f>
        <v>0</v>
      </c>
      <c r="P2569" s="1114"/>
      <c r="Q2569" s="2039">
        <f>ROUND('Sch32 COS'!F29,2)</f>
        <v>0.65</v>
      </c>
      <c r="R2569" s="1114"/>
      <c r="S2569" s="1114">
        <f t="shared" ref="S2569:S2570" si="2906">ROUND($D2569*K2569,0)</f>
        <v>115858</v>
      </c>
      <c r="T2569" s="1114"/>
      <c r="U2569" s="1114">
        <f t="shared" ref="U2569:U2570" si="2907">ROUND($D2569*M2569,0)</f>
        <v>226449</v>
      </c>
      <c r="V2569" s="1114"/>
      <c r="W2569" s="1114">
        <f t="shared" ref="W2569:Y2570" si="2908">ROUND($D2569*O2569,0)</f>
        <v>0</v>
      </c>
      <c r="X2569" s="1114"/>
      <c r="Y2569" s="1114">
        <f t="shared" si="2908"/>
        <v>342307</v>
      </c>
      <c r="Z2569" s="1499">
        <f>Z2557</f>
        <v>0.81143000192935111</v>
      </c>
      <c r="AA2569" s="1109"/>
      <c r="AB2569" s="1104"/>
      <c r="AC2569" s="1104"/>
      <c r="AD2569" s="1104"/>
      <c r="AE2569" s="1104"/>
      <c r="AF2569" s="1104"/>
      <c r="AG2569" s="1104"/>
    </row>
    <row r="2570" spans="1:33" s="1874" customFormat="1">
      <c r="A2570" s="1116" t="s">
        <v>1671</v>
      </c>
      <c r="B2570" s="1104"/>
      <c r="C2570" s="1024">
        <f>C2585</f>
        <v>249715</v>
      </c>
      <c r="D2570" s="1105">
        <f>D2585*Z2570</f>
        <v>913270.88847378257</v>
      </c>
      <c r="E2570" s="1024"/>
      <c r="F2570" s="1139"/>
      <c r="G2570" s="1110"/>
      <c r="H2570" s="1146"/>
      <c r="I2570" s="1146"/>
      <c r="J2570" s="1114"/>
      <c r="K2570" s="2000">
        <f>ROUND($Q2570*K1482/$Q1482,2)</f>
        <v>0.19</v>
      </c>
      <c r="L2570" s="1991"/>
      <c r="M2570" s="2000">
        <f>ROUND($Q2570*M1482/$Q1482,2)</f>
        <v>0.37</v>
      </c>
      <c r="N2570" s="1991"/>
      <c r="O2570" s="2000">
        <f t="shared" si="2905"/>
        <v>0</v>
      </c>
      <c r="P2570" s="1114"/>
      <c r="Q2570" s="2039">
        <f>ROUND('Sch32 COS'!F42,2)</f>
        <v>0.56000000000000005</v>
      </c>
      <c r="R2570" s="1114"/>
      <c r="S2570" s="1114">
        <f t="shared" si="2906"/>
        <v>173521</v>
      </c>
      <c r="T2570" s="1114"/>
      <c r="U2570" s="1114">
        <f t="shared" si="2907"/>
        <v>337910</v>
      </c>
      <c r="V2570" s="1114"/>
      <c r="W2570" s="1114">
        <f t="shared" si="2908"/>
        <v>0</v>
      </c>
      <c r="X2570" s="1114"/>
      <c r="Y2570" s="1114">
        <f t="shared" si="2908"/>
        <v>511432</v>
      </c>
      <c r="Z2570" s="1499">
        <f>Z2558</f>
        <v>1.1359353572586484</v>
      </c>
      <c r="AA2570" s="1109"/>
      <c r="AB2570" s="1104"/>
      <c r="AC2570" s="1104"/>
      <c r="AD2570" s="1104"/>
      <c r="AE2570" s="1104"/>
      <c r="AF2570" s="1104"/>
      <c r="AG2570" s="1104"/>
    </row>
    <row r="2571" spans="1:33" s="1874" customFormat="1">
      <c r="A2571" s="1116" t="s">
        <v>1447</v>
      </c>
      <c r="B2571" s="1104"/>
      <c r="C2571" s="1024"/>
      <c r="D2571" s="1105"/>
      <c r="E2571" s="1024"/>
      <c r="F2571" s="1139"/>
      <c r="G2571" s="1110"/>
      <c r="H2571" s="1629"/>
      <c r="I2571" s="1146"/>
      <c r="J2571" s="1114"/>
      <c r="K2571" s="1114"/>
      <c r="L2571" s="1114"/>
      <c r="M2571" s="1114"/>
      <c r="N2571" s="1114"/>
      <c r="O2571" s="1114"/>
      <c r="P2571" s="1114"/>
      <c r="Q2571" s="1114"/>
      <c r="R2571" s="1114"/>
      <c r="S2571" s="1114"/>
      <c r="T2571" s="1114"/>
      <c r="U2571" s="1114"/>
      <c r="V2571" s="1114"/>
      <c r="W2571" s="1114"/>
      <c r="X2571" s="1114"/>
      <c r="Y2571" s="1114"/>
      <c r="Z2571" s="1499"/>
      <c r="AA2571" s="1109"/>
      <c r="AB2571" s="1104"/>
      <c r="AC2571" s="1104"/>
      <c r="AD2571" s="1104"/>
      <c r="AE2571" s="1104"/>
      <c r="AF2571" s="1104"/>
      <c r="AG2571" s="1104"/>
    </row>
    <row r="2572" spans="1:33" s="1874" customFormat="1">
      <c r="A2572" s="1116" t="s">
        <v>1448</v>
      </c>
      <c r="B2572" s="1104"/>
      <c r="C2572" s="1024"/>
      <c r="D2572" s="1105"/>
      <c r="E2572" s="1024"/>
      <c r="F2572" s="1139">
        <v>0.64</v>
      </c>
      <c r="G2572" s="1110"/>
      <c r="H2572" s="1629"/>
      <c r="I2572" s="1146">
        <f>ROUND($F2572*D2572,0)</f>
        <v>0</v>
      </c>
      <c r="J2572" s="1114"/>
      <c r="K2572" s="1114"/>
      <c r="L2572" s="1114"/>
      <c r="M2572" s="1114"/>
      <c r="N2572" s="1114"/>
      <c r="O2572" s="1114"/>
      <c r="P2572" s="1114"/>
      <c r="Q2572" s="1114"/>
      <c r="R2572" s="1114"/>
      <c r="S2572" s="1114"/>
      <c r="T2572" s="1114"/>
      <c r="U2572" s="1114"/>
      <c r="V2572" s="1114"/>
      <c r="W2572" s="1114"/>
      <c r="X2572" s="1114"/>
      <c r="Y2572" s="1114"/>
      <c r="Z2572" s="1499"/>
      <c r="AA2572" s="1109"/>
      <c r="AB2572" s="1104"/>
      <c r="AC2572" s="1104"/>
      <c r="AD2572" s="1104"/>
      <c r="AE2572" s="1104"/>
      <c r="AF2572" s="1104"/>
      <c r="AG2572" s="1104"/>
    </row>
    <row r="2573" spans="1:33" s="1874" customFormat="1">
      <c r="A2573" s="1116" t="s">
        <v>1449</v>
      </c>
      <c r="B2573" s="1104"/>
      <c r="C2573" s="1024"/>
      <c r="D2573" s="1105"/>
      <c r="E2573" s="1024"/>
      <c r="F2573" s="1139">
        <v>0.42</v>
      </c>
      <c r="G2573" s="1110"/>
      <c r="H2573" s="1629"/>
      <c r="I2573" s="1146">
        <f>ROUND($F2573*D2573,0)</f>
        <v>0</v>
      </c>
      <c r="J2573" s="1114"/>
      <c r="K2573" s="1114"/>
      <c r="L2573" s="1114"/>
      <c r="M2573" s="1114"/>
      <c r="N2573" s="1114"/>
      <c r="O2573" s="1114"/>
      <c r="P2573" s="1114"/>
      <c r="Q2573" s="1114"/>
      <c r="R2573" s="1114"/>
      <c r="S2573" s="1114"/>
      <c r="T2573" s="1114"/>
      <c r="U2573" s="1114"/>
      <c r="V2573" s="1114"/>
      <c r="W2573" s="1114"/>
      <c r="X2573" s="1114"/>
      <c r="Y2573" s="1114"/>
      <c r="Z2573" s="1499"/>
      <c r="AA2573" s="1109"/>
      <c r="AB2573" s="1104"/>
      <c r="AC2573" s="1104"/>
      <c r="AD2573" s="1104"/>
      <c r="AE2573" s="1104"/>
      <c r="AF2573" s="1104"/>
      <c r="AG2573" s="1104"/>
    </row>
    <row r="2574" spans="1:33" s="1874" customFormat="1">
      <c r="A2574" s="1116" t="s">
        <v>1450</v>
      </c>
      <c r="B2574" s="1104"/>
      <c r="C2574" s="1024"/>
      <c r="D2574" s="1105"/>
      <c r="E2574" s="1024"/>
      <c r="F2574" s="1139"/>
      <c r="G2574" s="1111"/>
      <c r="H2574" s="1629"/>
      <c r="I2574" s="1146"/>
      <c r="J2574" s="1114"/>
      <c r="K2574" s="1114"/>
      <c r="L2574" s="1114"/>
      <c r="M2574" s="1114"/>
      <c r="N2574" s="1114"/>
      <c r="O2574" s="1114"/>
      <c r="P2574" s="1114"/>
      <c r="Q2574" s="1114"/>
      <c r="R2574" s="1114"/>
      <c r="S2574" s="1114"/>
      <c r="T2574" s="1114"/>
      <c r="U2574" s="1114"/>
      <c r="V2574" s="1114"/>
      <c r="W2574" s="1114"/>
      <c r="X2574" s="1114"/>
      <c r="Y2574" s="1114"/>
      <c r="Z2574" s="1499"/>
      <c r="AA2574" s="1109"/>
      <c r="AB2574" s="1104"/>
      <c r="AC2574" s="1104"/>
      <c r="AD2574" s="1104"/>
      <c r="AE2574" s="1104"/>
      <c r="AF2574" s="1104"/>
      <c r="AG2574" s="1104"/>
    </row>
    <row r="2575" spans="1:33" s="1874" customFormat="1">
      <c r="A2575" s="1116" t="s">
        <v>1448</v>
      </c>
      <c r="B2575" s="1104"/>
      <c r="C2575" s="1024"/>
      <c r="D2575" s="1105"/>
      <c r="E2575" s="1024"/>
      <c r="F2575" s="1139">
        <v>0.63</v>
      </c>
      <c r="G2575" s="1111"/>
      <c r="H2575" s="1629"/>
      <c r="I2575" s="1146">
        <f>ROUND($F2575*D2575,0)</f>
        <v>0</v>
      </c>
      <c r="J2575" s="1114"/>
      <c r="K2575" s="1114"/>
      <c r="L2575" s="1114"/>
      <c r="M2575" s="1114"/>
      <c r="N2575" s="1114"/>
      <c r="O2575" s="1114"/>
      <c r="P2575" s="1114"/>
      <c r="Q2575" s="1114"/>
      <c r="R2575" s="1114"/>
      <c r="S2575" s="1114"/>
      <c r="T2575" s="1114"/>
      <c r="U2575" s="1114"/>
      <c r="V2575" s="1114"/>
      <c r="W2575" s="1114"/>
      <c r="X2575" s="1114"/>
      <c r="Y2575" s="1114"/>
      <c r="Z2575" s="1499"/>
      <c r="AA2575" s="1109"/>
      <c r="AB2575" s="1104"/>
      <c r="AC2575" s="1104"/>
      <c r="AD2575" s="1104"/>
      <c r="AE2575" s="1104"/>
      <c r="AF2575" s="1104"/>
      <c r="AG2575" s="1104"/>
    </row>
    <row r="2576" spans="1:33" s="1874" customFormat="1">
      <c r="A2576" s="1116" t="s">
        <v>1449</v>
      </c>
      <c r="B2576" s="1104"/>
      <c r="C2576" s="1024"/>
      <c r="D2576" s="1105"/>
      <c r="E2576" s="1024"/>
      <c r="F2576" s="1139">
        <v>0.41</v>
      </c>
      <c r="G2576" s="1111"/>
      <c r="H2576" s="1629"/>
      <c r="I2576" s="1146">
        <f>ROUND($F2576*D2576,0)</f>
        <v>0</v>
      </c>
      <c r="J2576" s="1114"/>
      <c r="K2576" s="1114"/>
      <c r="L2576" s="1114"/>
      <c r="M2576" s="1114"/>
      <c r="N2576" s="1114"/>
      <c r="O2576" s="1114"/>
      <c r="P2576" s="1114"/>
      <c r="Q2576" s="1114"/>
      <c r="R2576" s="1114"/>
      <c r="S2576" s="1114"/>
      <c r="T2576" s="1114"/>
      <c r="U2576" s="1114"/>
      <c r="V2576" s="1114"/>
      <c r="W2576" s="1114"/>
      <c r="X2576" s="1114"/>
      <c r="Y2576" s="1114"/>
      <c r="Z2576" s="1499"/>
      <c r="AA2576" s="1109"/>
      <c r="AB2576" s="1104"/>
      <c r="AC2576" s="1104"/>
      <c r="AD2576" s="1104"/>
      <c r="AE2576" s="1104"/>
      <c r="AF2576" s="1104"/>
      <c r="AG2576" s="1104"/>
    </row>
    <row r="2577" spans="1:33" s="1874" customFormat="1">
      <c r="A2577" s="1116" t="s">
        <v>1451</v>
      </c>
      <c r="B2577" s="1104"/>
      <c r="C2577" s="1024"/>
      <c r="D2577" s="1105"/>
      <c r="E2577" s="1024"/>
      <c r="F2577" s="1140"/>
      <c r="G2577" s="1112"/>
      <c r="H2577" s="1114"/>
      <c r="I2577" s="1146"/>
      <c r="J2577" s="1114"/>
      <c r="K2577" s="1114"/>
      <c r="L2577" s="1114"/>
      <c r="M2577" s="1114"/>
      <c r="N2577" s="1114"/>
      <c r="O2577" s="1114"/>
      <c r="P2577" s="1114"/>
      <c r="Q2577" s="1114"/>
      <c r="R2577" s="1114"/>
      <c r="S2577" s="1114"/>
      <c r="T2577" s="1114"/>
      <c r="U2577" s="1114"/>
      <c r="V2577" s="1114"/>
      <c r="W2577" s="1114"/>
      <c r="X2577" s="1114"/>
      <c r="Y2577" s="1114"/>
      <c r="Z2577" s="1499"/>
      <c r="AA2577" s="1109"/>
      <c r="AB2577" s="1104"/>
      <c r="AC2577" s="1104"/>
      <c r="AD2577" s="1104"/>
      <c r="AE2577" s="1104"/>
      <c r="AF2577" s="1104"/>
      <c r="AG2577" s="1104"/>
    </row>
    <row r="2578" spans="1:33" s="1874" customFormat="1">
      <c r="A2578" s="1116" t="s">
        <v>1448</v>
      </c>
      <c r="B2578" s="1104"/>
      <c r="C2578" s="1024"/>
      <c r="D2578" s="1105"/>
      <c r="E2578" s="1024"/>
      <c r="F2578" s="1139">
        <v>0.72</v>
      </c>
      <c r="G2578" s="1111"/>
      <c r="H2578" s="1629"/>
      <c r="I2578" s="1146">
        <f>ROUND($F2578*D2578,0)</f>
        <v>0</v>
      </c>
      <c r="J2578" s="1114"/>
      <c r="K2578" s="1114"/>
      <c r="L2578" s="1114"/>
      <c r="M2578" s="1114"/>
      <c r="N2578" s="1114"/>
      <c r="O2578" s="1114"/>
      <c r="P2578" s="1114"/>
      <c r="Q2578" s="1114"/>
      <c r="R2578" s="1114"/>
      <c r="S2578" s="1114"/>
      <c r="T2578" s="1114"/>
      <c r="U2578" s="1114"/>
      <c r="V2578" s="1114"/>
      <c r="W2578" s="1114"/>
      <c r="X2578" s="1114"/>
      <c r="Y2578" s="1114"/>
      <c r="Z2578" s="1499"/>
      <c r="AA2578" s="1109"/>
      <c r="AB2578" s="1104"/>
      <c r="AC2578" s="1104"/>
      <c r="AD2578" s="1104"/>
      <c r="AE2578" s="1104"/>
      <c r="AF2578" s="1104"/>
      <c r="AG2578" s="1104"/>
    </row>
    <row r="2579" spans="1:33" s="1874" customFormat="1">
      <c r="A2579" s="1116" t="s">
        <v>1449</v>
      </c>
      <c r="B2579" s="1104"/>
      <c r="C2579" s="1024"/>
      <c r="D2579" s="1105"/>
      <c r="E2579" s="1024"/>
      <c r="F2579" s="1139">
        <v>0.46</v>
      </c>
      <c r="G2579" s="1111"/>
      <c r="H2579" s="1629"/>
      <c r="I2579" s="1146">
        <f>ROUND($F2579*D2579,0)</f>
        <v>0</v>
      </c>
      <c r="J2579" s="1114"/>
      <c r="K2579" s="1114"/>
      <c r="L2579" s="1114"/>
      <c r="M2579" s="1114"/>
      <c r="N2579" s="1114"/>
      <c r="O2579" s="1114"/>
      <c r="P2579" s="1114"/>
      <c r="Q2579" s="1114"/>
      <c r="R2579" s="1114"/>
      <c r="S2579" s="1114"/>
      <c r="T2579" s="1114"/>
      <c r="U2579" s="1114"/>
      <c r="V2579" s="1114"/>
      <c r="W2579" s="1114"/>
      <c r="X2579" s="1114"/>
      <c r="Y2579" s="1114"/>
      <c r="Z2579" s="1499"/>
      <c r="AA2579" s="1109"/>
      <c r="AB2579" s="1104"/>
      <c r="AC2579" s="1104"/>
      <c r="AD2579" s="1104"/>
      <c r="AE2579" s="1104"/>
      <c r="AF2579" s="1104"/>
      <c r="AG2579" s="1104"/>
    </row>
    <row r="2580" spans="1:33" s="1874" customFormat="1">
      <c r="A2580" s="1116" t="s">
        <v>1452</v>
      </c>
      <c r="B2580" s="1104"/>
      <c r="C2580" s="1024"/>
      <c r="D2580" s="1105"/>
      <c r="E2580" s="1024"/>
      <c r="F2580" s="1139"/>
      <c r="G2580" s="1110"/>
      <c r="H2580" s="1629"/>
      <c r="I2580" s="1146"/>
      <c r="J2580" s="1114"/>
      <c r="K2580" s="1114"/>
      <c r="L2580" s="1114"/>
      <c r="M2580" s="1114"/>
      <c r="N2580" s="1114"/>
      <c r="O2580" s="1114"/>
      <c r="P2580" s="1114"/>
      <c r="Q2580" s="1114"/>
      <c r="R2580" s="1114"/>
      <c r="S2580" s="1114"/>
      <c r="T2580" s="1114"/>
      <c r="U2580" s="1114"/>
      <c r="V2580" s="1114"/>
      <c r="W2580" s="1114"/>
      <c r="X2580" s="1114"/>
      <c r="Y2580" s="1114"/>
      <c r="Z2580" s="1499"/>
      <c r="AA2580" s="1109"/>
      <c r="AB2580" s="1104"/>
      <c r="AC2580" s="1104"/>
      <c r="AD2580" s="1104"/>
      <c r="AE2580" s="1104"/>
      <c r="AF2580" s="1104"/>
      <c r="AG2580" s="1104"/>
    </row>
    <row r="2581" spans="1:33" s="1874" customFormat="1">
      <c r="A2581" s="1116" t="s">
        <v>1448</v>
      </c>
      <c r="B2581" s="1104"/>
      <c r="C2581" s="1024"/>
      <c r="D2581" s="1105"/>
      <c r="E2581" s="1024"/>
      <c r="F2581" s="1139">
        <v>0.7</v>
      </c>
      <c r="G2581" s="1111"/>
      <c r="H2581" s="1629"/>
      <c r="I2581" s="1146">
        <f>ROUND($F2581*D2581,0)</f>
        <v>0</v>
      </c>
      <c r="J2581" s="1114"/>
      <c r="K2581" s="1114"/>
      <c r="L2581" s="1114"/>
      <c r="M2581" s="1114"/>
      <c r="N2581" s="1114"/>
      <c r="O2581" s="1114"/>
      <c r="P2581" s="1114"/>
      <c r="Q2581" s="1114"/>
      <c r="R2581" s="1114"/>
      <c r="S2581" s="1114"/>
      <c r="T2581" s="1114"/>
      <c r="U2581" s="1114"/>
      <c r="V2581" s="1114"/>
      <c r="W2581" s="1114"/>
      <c r="X2581" s="1114"/>
      <c r="Y2581" s="1114"/>
      <c r="Z2581" s="1499"/>
      <c r="AA2581" s="1109"/>
      <c r="AB2581" s="1104"/>
      <c r="AC2581" s="1104"/>
      <c r="AD2581" s="1104"/>
      <c r="AE2581" s="1104"/>
      <c r="AF2581" s="1104"/>
      <c r="AG2581" s="1104"/>
    </row>
    <row r="2582" spans="1:33" s="1874" customFormat="1">
      <c r="A2582" s="1116" t="s">
        <v>1449</v>
      </c>
      <c r="B2582" s="1104"/>
      <c r="C2582" s="1024"/>
      <c r="D2582" s="1105"/>
      <c r="E2582" s="1024"/>
      <c r="F2582" s="1139">
        <v>0.45</v>
      </c>
      <c r="G2582" s="1111"/>
      <c r="H2582" s="1629"/>
      <c r="I2582" s="1146">
        <f>ROUND($F2582*D2582,0)</f>
        <v>0</v>
      </c>
      <c r="J2582" s="1114"/>
      <c r="K2582" s="1114"/>
      <c r="L2582" s="1114"/>
      <c r="M2582" s="1114"/>
      <c r="N2582" s="1114"/>
      <c r="O2582" s="1114"/>
      <c r="P2582" s="1114"/>
      <c r="Q2582" s="1114"/>
      <c r="R2582" s="1114"/>
      <c r="S2582" s="1114"/>
      <c r="T2582" s="1114"/>
      <c r="U2582" s="1114"/>
      <c r="V2582" s="1114"/>
      <c r="W2582" s="1114"/>
      <c r="X2582" s="1114"/>
      <c r="Y2582" s="1114"/>
      <c r="Z2582" s="1499"/>
      <c r="AA2582" s="1109"/>
      <c r="AB2582" s="1104"/>
      <c r="AC2582" s="1104"/>
      <c r="AD2582" s="1104"/>
      <c r="AE2582" s="1104"/>
      <c r="AF2582" s="1104"/>
      <c r="AG2582" s="1104"/>
    </row>
    <row r="2583" spans="1:33" s="1874" customFormat="1">
      <c r="A2583" s="1116" t="s">
        <v>1453</v>
      </c>
      <c r="B2583" s="1104"/>
      <c r="C2583" s="1024"/>
      <c r="D2583" s="1105"/>
      <c r="E2583" s="1024"/>
      <c r="F2583" s="1141"/>
      <c r="G2583" s="1109"/>
      <c r="H2583" s="1628"/>
      <c r="I2583" s="1627"/>
      <c r="J2583" s="1109"/>
      <c r="K2583" s="1109"/>
      <c r="L2583" s="1109"/>
      <c r="M2583" s="1109"/>
      <c r="N2583" s="1109"/>
      <c r="O2583" s="1109"/>
      <c r="P2583" s="1109"/>
      <c r="Q2583" s="1109"/>
      <c r="R2583" s="1109"/>
      <c r="S2583" s="1628"/>
      <c r="T2583" s="1628"/>
      <c r="U2583" s="1628"/>
      <c r="V2583" s="1628"/>
      <c r="W2583" s="1628"/>
      <c r="X2583" s="1628"/>
      <c r="Y2583" s="1628"/>
      <c r="Z2583" s="1498"/>
      <c r="AA2583" s="1109"/>
      <c r="AB2583" s="1104"/>
      <c r="AC2583" s="1104"/>
      <c r="AD2583" s="1104"/>
      <c r="AE2583" s="1104"/>
      <c r="AF2583" s="1104"/>
      <c r="AG2583" s="1104"/>
    </row>
    <row r="2584" spans="1:33" s="1874" customFormat="1">
      <c r="A2584" s="1116" t="s">
        <v>1448</v>
      </c>
      <c r="B2584" s="1104"/>
      <c r="C2584" s="1024">
        <f>'32'!AA2</f>
        <v>0</v>
      </c>
      <c r="D2584" s="1105">
        <f>'32-forecast'!X15</f>
        <v>649010.38571006362</v>
      </c>
      <c r="E2584" s="1024"/>
      <c r="F2584" s="1139">
        <v>0.66</v>
      </c>
      <c r="G2584" s="1110"/>
      <c r="H2584" s="1146">
        <f t="shared" ref="H2584:H2585" si="2909">ROUND($F2584*C2584,0)</f>
        <v>0</v>
      </c>
      <c r="I2584" s="1146">
        <f>ROUND($F2584*D2584,0)</f>
        <v>428347</v>
      </c>
      <c r="J2584" s="1114"/>
      <c r="K2584" s="1114"/>
      <c r="L2584" s="1114"/>
      <c r="M2584" s="1114"/>
      <c r="N2584" s="1114"/>
      <c r="O2584" s="1114"/>
      <c r="P2584" s="1114"/>
      <c r="Q2584" s="1114"/>
      <c r="R2584" s="1114"/>
      <c r="S2584" s="1114"/>
      <c r="T2584" s="1114"/>
      <c r="U2584" s="1114"/>
      <c r="V2584" s="1114"/>
      <c r="W2584" s="1114"/>
      <c r="X2584" s="1114"/>
      <c r="Y2584" s="1114"/>
      <c r="Z2584" s="1499"/>
      <c r="AA2584" s="1109"/>
      <c r="AB2584" s="1104"/>
      <c r="AC2584" s="1104"/>
      <c r="AD2584" s="1104"/>
      <c r="AE2584" s="1104"/>
      <c r="AF2584" s="1104"/>
      <c r="AG2584" s="1104"/>
    </row>
    <row r="2585" spans="1:33" s="1874" customFormat="1">
      <c r="A2585" s="1116" t="s">
        <v>1454</v>
      </c>
      <c r="B2585" s="1104"/>
      <c r="C2585" s="1024">
        <f>'32'!AB2</f>
        <v>249715</v>
      </c>
      <c r="D2585" s="1105">
        <f>'32-forecast'!X16</f>
        <v>803981.39087577863</v>
      </c>
      <c r="E2585" s="1024"/>
      <c r="F2585" s="1139">
        <v>0.41</v>
      </c>
      <c r="G2585" s="1110"/>
      <c r="H2585" s="1146">
        <f t="shared" si="2909"/>
        <v>102383</v>
      </c>
      <c r="I2585" s="1146">
        <f>ROUND($F2585*D2585,0)</f>
        <v>329632</v>
      </c>
      <c r="J2585" s="1114"/>
      <c r="K2585" s="1114"/>
      <c r="L2585" s="1114"/>
      <c r="M2585" s="1114"/>
      <c r="N2585" s="1114"/>
      <c r="O2585" s="1114"/>
      <c r="P2585" s="1114"/>
      <c r="Q2585" s="1114"/>
      <c r="R2585" s="1114"/>
      <c r="S2585" s="1114"/>
      <c r="T2585" s="1114"/>
      <c r="U2585" s="1114"/>
      <c r="V2585" s="1114"/>
      <c r="W2585" s="1114"/>
      <c r="X2585" s="1114"/>
      <c r="Y2585" s="1114"/>
      <c r="Z2585" s="1499"/>
      <c r="AA2585" s="1109"/>
      <c r="AB2585" s="1104"/>
      <c r="AC2585" s="1104"/>
      <c r="AD2585" s="1104"/>
      <c r="AE2585" s="1104"/>
      <c r="AF2585" s="1104"/>
      <c r="AG2585" s="1104"/>
    </row>
    <row r="2586" spans="1:33" s="1874" customFormat="1">
      <c r="A2586" s="1116" t="s">
        <v>1455</v>
      </c>
      <c r="B2586" s="1104"/>
      <c r="C2586" s="1024">
        <f>'32'!AC2</f>
        <v>24611000</v>
      </c>
      <c r="D2586" s="1105">
        <f>'32-forecast'!AA17</f>
        <v>172556856.82849827</v>
      </c>
      <c r="E2586" s="1024"/>
      <c r="F2586" s="1143">
        <v>5.7290000000000001</v>
      </c>
      <c r="G2586" s="1875" t="s">
        <v>495</v>
      </c>
      <c r="H2586" s="1146">
        <f t="shared" ref="H2586:I2586" si="2910">ROUND($F2586*C2586/100,0)</f>
        <v>1409964</v>
      </c>
      <c r="I2586" s="1146">
        <f t="shared" si="2910"/>
        <v>9885782</v>
      </c>
      <c r="J2586" s="1114"/>
      <c r="K2586" s="1143">
        <f>ROUND(Q2586*AA1495/(AA1495+AB1495),4)</f>
        <v>1.7851999999999999</v>
      </c>
      <c r="L2586" s="1875" t="s">
        <v>495</v>
      </c>
      <c r="M2586" s="1143">
        <f>Q2586-K2586-O2586</f>
        <v>3.9438000000000004</v>
      </c>
      <c r="N2586" s="1875" t="s">
        <v>495</v>
      </c>
      <c r="O2586" s="1143">
        <v>0</v>
      </c>
      <c r="P2586" s="1875" t="s">
        <v>495</v>
      </c>
      <c r="Q2586" s="1143">
        <f>F2586</f>
        <v>5.7290000000000001</v>
      </c>
      <c r="R2586" s="1875" t="s">
        <v>495</v>
      </c>
      <c r="S2586" s="1114">
        <f>ROUND($D2586*K2586/100,0)</f>
        <v>3080485</v>
      </c>
      <c r="T2586" s="1876"/>
      <c r="U2586" s="1114">
        <f>ROUND($D2586*M2586/100,0)</f>
        <v>6805297</v>
      </c>
      <c r="V2586" s="1876"/>
      <c r="W2586" s="1114">
        <f>ROUND($D2586*O2586/100,0)</f>
        <v>0</v>
      </c>
      <c r="X2586" s="1876"/>
      <c r="Y2586" s="1114">
        <f>ROUND($D2586*Q2586/100,0)</f>
        <v>9885782</v>
      </c>
      <c r="Z2586" s="1499"/>
      <c r="AA2586" s="1109"/>
      <c r="AB2586" s="1104"/>
      <c r="AC2586" s="1104"/>
      <c r="AD2586" s="1104"/>
      <c r="AE2586" s="1104"/>
      <c r="AF2586" s="1104"/>
      <c r="AG2586" s="1104"/>
    </row>
    <row r="2587" spans="1:33" s="1104" customFormat="1">
      <c r="A2587" s="1116" t="s">
        <v>397</v>
      </c>
      <c r="C2587" s="1117"/>
      <c r="D2587" s="1136">
        <f>D2586</f>
        <v>172556856.82849827</v>
      </c>
      <c r="E2587" s="1117"/>
      <c r="F2587" s="1106"/>
      <c r="G2587" s="1107"/>
      <c r="H2587" s="1147">
        <f>SUM(H2543:H2586)</f>
        <v>1672391</v>
      </c>
      <c r="I2587" s="1147">
        <f>SUM(I2543:I2586)</f>
        <v>11605048</v>
      </c>
      <c r="J2587" s="1114"/>
      <c r="K2587" s="1114"/>
      <c r="L2587" s="1114"/>
      <c r="M2587" s="1114"/>
      <c r="N2587" s="1114"/>
      <c r="O2587" s="1114"/>
      <c r="P2587" s="1114"/>
      <c r="Q2587" s="1114"/>
      <c r="R2587" s="1114"/>
      <c r="S2587" s="1147">
        <f>SUM(S2543:S2586)</f>
        <v>4616452</v>
      </c>
      <c r="T2587" s="1114"/>
      <c r="U2587" s="1147">
        <f>SUM(U2543:U2586)</f>
        <v>7369656</v>
      </c>
      <c r="V2587" s="1114"/>
      <c r="W2587" s="1147">
        <f>SUM(W2543:W2586)</f>
        <v>0</v>
      </c>
      <c r="X2587" s="1114"/>
      <c r="Y2587" s="1147">
        <f>SUM(Y2543:Y2586)</f>
        <v>11986109</v>
      </c>
      <c r="Z2587" s="1499"/>
      <c r="AA2587" s="1109"/>
    </row>
    <row r="2588" spans="1:33" s="1104" customFormat="1">
      <c r="A2588" s="2008" t="s">
        <v>442</v>
      </c>
      <c r="C2588" s="1632"/>
      <c r="D2588" s="1631"/>
      <c r="E2588" s="1109"/>
      <c r="G2588" s="1109"/>
      <c r="H2588" s="1628"/>
      <c r="I2588" s="1627"/>
      <c r="J2588" s="1109"/>
      <c r="K2588" s="1109"/>
      <c r="L2588" s="1109"/>
      <c r="M2588" s="1109"/>
      <c r="N2588" s="1109"/>
      <c r="O2588" s="1109"/>
      <c r="P2588" s="1109"/>
      <c r="Q2588" s="1109"/>
      <c r="R2588" s="1109"/>
      <c r="S2588" s="1628"/>
      <c r="T2588" s="1628"/>
      <c r="U2588" s="1628"/>
      <c r="V2588" s="1628"/>
      <c r="W2588" s="1628"/>
      <c r="X2588" s="1628"/>
      <c r="Y2588" s="1628"/>
      <c r="Z2588" s="1498"/>
      <c r="AA2588" s="1109"/>
    </row>
    <row r="2589" spans="1:33" s="1104" customFormat="1">
      <c r="A2589" s="1115" t="s">
        <v>444</v>
      </c>
      <c r="C2589" s="1024"/>
      <c r="D2589" s="1105"/>
      <c r="E2589" s="1024"/>
      <c r="F2589" s="1142"/>
      <c r="G2589" s="617"/>
      <c r="H2589" s="1114"/>
      <c r="I2589" s="1146"/>
      <c r="J2589" s="1114"/>
      <c r="K2589" s="1114"/>
      <c r="L2589" s="1114"/>
      <c r="M2589" s="1114"/>
      <c r="N2589" s="1114"/>
      <c r="O2589" s="1114"/>
      <c r="P2589" s="1114"/>
      <c r="Q2589" s="1114"/>
      <c r="R2589" s="1114"/>
      <c r="S2589" s="1114"/>
      <c r="T2589" s="1114"/>
      <c r="U2589" s="1114"/>
      <c r="V2589" s="1114"/>
      <c r="W2589" s="1114"/>
      <c r="X2589" s="1114"/>
      <c r="Y2589" s="1114"/>
      <c r="Z2589" s="1499"/>
      <c r="AA2589" s="1109"/>
    </row>
    <row r="2590" spans="1:33" s="1104" customFormat="1">
      <c r="A2590" s="1116" t="s">
        <v>168</v>
      </c>
      <c r="C2590" s="1105">
        <f>'32-9'!H2+'32'!W2</f>
        <v>271679.46396396402</v>
      </c>
      <c r="D2590" s="1105">
        <f>'32-forecast'!U17</f>
        <v>41882.545256487327</v>
      </c>
      <c r="E2590" s="1024"/>
      <c r="F2590" s="1142">
        <v>2.2200000000000002</v>
      </c>
      <c r="G2590" s="617"/>
      <c r="H2590" s="1146">
        <f t="shared" ref="H2590:I2598" si="2911">ROUND($F2590*C2590,0)</f>
        <v>603128</v>
      </c>
      <c r="I2590" s="1146">
        <f t="shared" si="2911"/>
        <v>92979</v>
      </c>
      <c r="J2590" s="1114"/>
      <c r="K2590" s="1142">
        <f t="shared" ref="K2590:K2596" si="2912">K1480</f>
        <v>2.2999999999999998</v>
      </c>
      <c r="L2590" s="617"/>
      <c r="M2590" s="1142">
        <f t="shared" ref="M2590:M2596" si="2913">M1480</f>
        <v>0</v>
      </c>
      <c r="N2590" s="617"/>
      <c r="O2590" s="1142">
        <f t="shared" ref="O2590:O2596" si="2914">O1480</f>
        <v>0</v>
      </c>
      <c r="P2590" s="1114"/>
      <c r="Q2590" s="1142">
        <f t="shared" ref="Q2590:Q2596" si="2915">Q1480</f>
        <v>2.2999999999999998</v>
      </c>
      <c r="R2590" s="617"/>
      <c r="S2590" s="1193">
        <f t="shared" ref="S2590:S2592" si="2916">ROUND($D2590*K2590,0)</f>
        <v>96330</v>
      </c>
      <c r="T2590" s="1114"/>
      <c r="U2590" s="1193">
        <f t="shared" ref="U2590:Y2592" si="2917">ROUND($D2590*M2590,0)</f>
        <v>0</v>
      </c>
      <c r="V2590" s="1114"/>
      <c r="W2590" s="1193">
        <f t="shared" si="2917"/>
        <v>0</v>
      </c>
      <c r="X2590" s="1114"/>
      <c r="Y2590" s="1193">
        <f t="shared" si="2917"/>
        <v>96330</v>
      </c>
      <c r="Z2590" s="1878" t="s">
        <v>251</v>
      </c>
      <c r="AA2590" s="1109"/>
    </row>
    <row r="2591" spans="1:33" s="1104" customFormat="1">
      <c r="A2591" s="1900" t="s">
        <v>1651</v>
      </c>
      <c r="C2591" s="528">
        <f>C2597*Z2591</f>
        <v>113286.1768593625</v>
      </c>
      <c r="D2591" s="528">
        <f>D2597*Z2591</f>
        <v>15180.02958676651</v>
      </c>
      <c r="E2591" s="1024"/>
      <c r="F2591" s="1142"/>
      <c r="G2591" s="617"/>
      <c r="H2591" s="1146"/>
      <c r="I2591" s="1146"/>
      <c r="J2591" s="1114"/>
      <c r="K2591" s="1142">
        <f t="shared" si="2912"/>
        <v>4.8</v>
      </c>
      <c r="L2591" s="617"/>
      <c r="M2591" s="1142">
        <f t="shared" si="2913"/>
        <v>9.68</v>
      </c>
      <c r="N2591" s="617"/>
      <c r="O2591" s="1142">
        <f t="shared" si="2914"/>
        <v>0</v>
      </c>
      <c r="P2591" s="1118"/>
      <c r="Q2591" s="1142">
        <f t="shared" si="2915"/>
        <v>14.48</v>
      </c>
      <c r="R2591" s="617"/>
      <c r="S2591" s="1644">
        <f t="shared" si="2916"/>
        <v>72864</v>
      </c>
      <c r="T2591" s="1114"/>
      <c r="U2591" s="1644">
        <f t="shared" si="2917"/>
        <v>146943</v>
      </c>
      <c r="V2591" s="1114"/>
      <c r="W2591" s="1644">
        <f t="shared" si="2917"/>
        <v>0</v>
      </c>
      <c r="X2591" s="1114"/>
      <c r="Y2591" s="1644">
        <f t="shared" si="2917"/>
        <v>219807</v>
      </c>
      <c r="Z2591" s="1878">
        <f>Z1502</f>
        <v>0.81143000192935111</v>
      </c>
      <c r="AA2591" s="1109"/>
    </row>
    <row r="2592" spans="1:33" s="1104" customFormat="1">
      <c r="A2592" s="1900" t="s">
        <v>1652</v>
      </c>
      <c r="C2592" s="528">
        <f>C2598*Z2592</f>
        <v>147021.2356670486</v>
      </c>
      <c r="D2592" s="528">
        <f>D2598*Z2592</f>
        <v>26325.06937362958</v>
      </c>
      <c r="E2592" s="1024"/>
      <c r="F2592" s="1142"/>
      <c r="G2592" s="617"/>
      <c r="H2592" s="1146"/>
      <c r="I2592" s="1146"/>
      <c r="J2592" s="1114"/>
      <c r="K2592" s="1142">
        <f t="shared" si="2912"/>
        <v>4.25</v>
      </c>
      <c r="L2592" s="617"/>
      <c r="M2592" s="1142">
        <f t="shared" si="2913"/>
        <v>8.56</v>
      </c>
      <c r="N2592" s="617"/>
      <c r="O2592" s="1142">
        <f t="shared" si="2914"/>
        <v>0</v>
      </c>
      <c r="P2592" s="1118"/>
      <c r="Q2592" s="1142">
        <f t="shared" si="2915"/>
        <v>12.81</v>
      </c>
      <c r="R2592" s="617"/>
      <c r="S2592" s="1644">
        <f t="shared" si="2916"/>
        <v>111882</v>
      </c>
      <c r="T2592" s="1114"/>
      <c r="U2592" s="1644">
        <f t="shared" si="2917"/>
        <v>225343</v>
      </c>
      <c r="V2592" s="1114"/>
      <c r="W2592" s="1644">
        <f t="shared" si="2917"/>
        <v>0</v>
      </c>
      <c r="X2592" s="1114"/>
      <c r="Y2592" s="1644">
        <f t="shared" si="2917"/>
        <v>337224</v>
      </c>
      <c r="Z2592" s="1878">
        <f>Z1503</f>
        <v>1.1359353572586484</v>
      </c>
      <c r="AA2592" s="1109"/>
    </row>
    <row r="2593" spans="1:28" s="1104" customFormat="1">
      <c r="A2593" s="1900" t="s">
        <v>1532</v>
      </c>
      <c r="C2593" s="528">
        <f>C2599*Z2593</f>
        <v>13810694.572759079</v>
      </c>
      <c r="D2593" s="528">
        <f>D2599*Z2593</f>
        <v>4703542.3042796534</v>
      </c>
      <c r="E2593" s="1024"/>
      <c r="F2593" s="1143"/>
      <c r="G2593" s="1875"/>
      <c r="H2593" s="1146"/>
      <c r="I2593" s="1146"/>
      <c r="J2593" s="1114"/>
      <c r="K2593" s="1143">
        <f t="shared" si="2912"/>
        <v>0</v>
      </c>
      <c r="L2593" s="1875" t="s">
        <v>495</v>
      </c>
      <c r="M2593" s="1143">
        <f t="shared" si="2913"/>
        <v>1.0927</v>
      </c>
      <c r="N2593" s="1875" t="s">
        <v>495</v>
      </c>
      <c r="O2593" s="1143">
        <f t="shared" si="2914"/>
        <v>4.1108761607000002</v>
      </c>
      <c r="P2593" s="1875" t="s">
        <v>495</v>
      </c>
      <c r="Q2593" s="1143">
        <f t="shared" si="2915"/>
        <v>5.2035761607</v>
      </c>
      <c r="R2593" s="1875" t="s">
        <v>495</v>
      </c>
      <c r="S2593" s="1644">
        <f>ROUND($D2593*K2593/100,0)</f>
        <v>0</v>
      </c>
      <c r="T2593" s="1876"/>
      <c r="U2593" s="1644">
        <f>ROUND($D2593*M2593/100,0)</f>
        <v>51396</v>
      </c>
      <c r="V2593" s="1876"/>
      <c r="W2593" s="1644">
        <f>ROUND($D2593*O2593/100,0)</f>
        <v>193357</v>
      </c>
      <c r="X2593" s="1876"/>
      <c r="Y2593" s="1644">
        <f>ROUND($D2593*Q2593/100,0)</f>
        <v>244752</v>
      </c>
      <c r="Z2593" s="1878">
        <f>Z1504</f>
        <v>0.69164135480564293</v>
      </c>
      <c r="AA2593" s="1109"/>
    </row>
    <row r="2594" spans="1:28" s="1104" customFormat="1">
      <c r="A2594" s="1900" t="s">
        <v>1653</v>
      </c>
      <c r="C2594" s="528">
        <f>C2600*Z2594</f>
        <v>19233159.527981713</v>
      </c>
      <c r="D2594" s="528">
        <f>D2600*Z2594</f>
        <v>4209024.1937161162</v>
      </c>
      <c r="E2594" s="1024"/>
      <c r="F2594" s="1143"/>
      <c r="G2594" s="1875"/>
      <c r="H2594" s="1146"/>
      <c r="I2594" s="1146"/>
      <c r="J2594" s="1114"/>
      <c r="K2594" s="1143">
        <f t="shared" si="2912"/>
        <v>0</v>
      </c>
      <c r="L2594" s="1875" t="s">
        <v>495</v>
      </c>
      <c r="M2594" s="1143">
        <f t="shared" si="2913"/>
        <v>1.0927</v>
      </c>
      <c r="N2594" s="1875" t="s">
        <v>495</v>
      </c>
      <c r="O2594" s="1143">
        <f t="shared" si="2914"/>
        <v>3.5122346554870001</v>
      </c>
      <c r="P2594" s="1875" t="s">
        <v>495</v>
      </c>
      <c r="Q2594" s="1143">
        <f t="shared" si="2915"/>
        <v>4.6049346554869999</v>
      </c>
      <c r="R2594" s="1875" t="s">
        <v>495</v>
      </c>
      <c r="S2594" s="1644">
        <f t="shared" ref="S2594:S2596" si="2918">ROUND($D2594*K2594/100,0)</f>
        <v>0</v>
      </c>
      <c r="T2594" s="1876"/>
      <c r="U2594" s="1644">
        <f t="shared" ref="U2594:Y2596" si="2919">ROUND($D2594*M2594/100,0)</f>
        <v>45992</v>
      </c>
      <c r="V2594" s="1876"/>
      <c r="W2594" s="1644">
        <f t="shared" si="2919"/>
        <v>147831</v>
      </c>
      <c r="X2594" s="1876"/>
      <c r="Y2594" s="1644">
        <f t="shared" si="2919"/>
        <v>193823</v>
      </c>
      <c r="Z2594" s="1878">
        <f>Z1505</f>
        <v>0.49962363006591026</v>
      </c>
      <c r="AA2594" s="1109"/>
    </row>
    <row r="2595" spans="1:28" s="1104" customFormat="1">
      <c r="A2595" s="1900" t="s">
        <v>1533</v>
      </c>
      <c r="C2595" s="528">
        <f>SUM(C2599:C2601)*Z2595</f>
        <v>42155021.54351145</v>
      </c>
      <c r="D2595" s="528">
        <f>SUM(D2599:D2601)*Z2595</f>
        <v>6552516.860153473</v>
      </c>
      <c r="E2595" s="1024"/>
      <c r="F2595" s="1143"/>
      <c r="G2595" s="1875"/>
      <c r="H2595" s="1146"/>
      <c r="I2595" s="1146"/>
      <c r="J2595" s="1114"/>
      <c r="K2595" s="1143">
        <f t="shared" si="2912"/>
        <v>0</v>
      </c>
      <c r="L2595" s="1875" t="s">
        <v>495</v>
      </c>
      <c r="M2595" s="1143">
        <f t="shared" si="2913"/>
        <v>1.0927</v>
      </c>
      <c r="N2595" s="1875" t="s">
        <v>495</v>
      </c>
      <c r="O2595" s="1143">
        <f t="shared" si="2914"/>
        <v>1.5521862361710002</v>
      </c>
      <c r="P2595" s="1875" t="s">
        <v>495</v>
      </c>
      <c r="Q2595" s="1143">
        <f t="shared" si="2915"/>
        <v>2.6448862361710002</v>
      </c>
      <c r="R2595" s="1875" t="s">
        <v>495</v>
      </c>
      <c r="S2595" s="1644">
        <f t="shared" si="2918"/>
        <v>0</v>
      </c>
      <c r="T2595" s="1876"/>
      <c r="U2595" s="1644">
        <f t="shared" si="2919"/>
        <v>71599</v>
      </c>
      <c r="V2595" s="1876"/>
      <c r="W2595" s="1644">
        <f t="shared" si="2919"/>
        <v>101707</v>
      </c>
      <c r="X2595" s="1876"/>
      <c r="Y2595" s="1644">
        <f t="shared" si="2919"/>
        <v>173307</v>
      </c>
      <c r="Z2595" s="1878">
        <f>Z1506</f>
        <v>0.27196615788867357</v>
      </c>
      <c r="AA2595" s="1109"/>
    </row>
    <row r="2596" spans="1:28" s="1104" customFormat="1">
      <c r="A2596" s="1900" t="s">
        <v>2177</v>
      </c>
      <c r="C2596" s="528">
        <f>SUM(C2599:C2601)-SUM(C2593:C2595)</f>
        <v>79802106.355747759</v>
      </c>
      <c r="D2596" s="528">
        <f>SUM(D2599:D2601)-SUM(D2593:D2595)</f>
        <v>8628049.8133524694</v>
      </c>
      <c r="E2596" s="1024"/>
      <c r="F2596" s="1144"/>
      <c r="G2596" s="1875"/>
      <c r="H2596" s="1148"/>
      <c r="I2596" s="1148"/>
      <c r="J2596" s="1114"/>
      <c r="K2596" s="1144">
        <f t="shared" si="2912"/>
        <v>0</v>
      </c>
      <c r="L2596" s="1875" t="s">
        <v>495</v>
      </c>
      <c r="M2596" s="1144">
        <f t="shared" si="2913"/>
        <v>1.0927</v>
      </c>
      <c r="N2596" s="1875" t="s">
        <v>495</v>
      </c>
      <c r="O2596" s="1144">
        <f t="shared" si="2914"/>
        <v>1.247907288647</v>
      </c>
      <c r="P2596" s="1875" t="s">
        <v>495</v>
      </c>
      <c r="Q2596" s="1144">
        <f t="shared" si="2915"/>
        <v>2.340607288647</v>
      </c>
      <c r="R2596" s="1875" t="s">
        <v>495</v>
      </c>
      <c r="S2596" s="1644">
        <f t="shared" si="2918"/>
        <v>0</v>
      </c>
      <c r="T2596" s="1876"/>
      <c r="U2596" s="1644">
        <f t="shared" si="2919"/>
        <v>94279</v>
      </c>
      <c r="V2596" s="1876"/>
      <c r="W2596" s="1644">
        <f t="shared" si="2919"/>
        <v>107670</v>
      </c>
      <c r="X2596" s="1876"/>
      <c r="Y2596" s="1644">
        <f t="shared" si="2919"/>
        <v>201949</v>
      </c>
      <c r="Z2596" s="1878"/>
      <c r="AA2596" s="1109"/>
    </row>
    <row r="2597" spans="1:28" s="1104" customFormat="1">
      <c r="A2597" s="1116" t="s">
        <v>18</v>
      </c>
      <c r="C2597" s="1105">
        <f>'32-9'!J2+'32'!J2</f>
        <v>139613</v>
      </c>
      <c r="D2597" s="1105">
        <f>'32-forecast'!G15</f>
        <v>18707.749960776273</v>
      </c>
      <c r="E2597" s="1024"/>
      <c r="F2597" s="1142">
        <v>13.96</v>
      </c>
      <c r="G2597" s="617"/>
      <c r="H2597" s="1146">
        <f t="shared" si="2911"/>
        <v>1948997</v>
      </c>
      <c r="I2597" s="1146">
        <f t="shared" si="2911"/>
        <v>261160</v>
      </c>
      <c r="J2597" s="1114"/>
      <c r="K2597" s="1114"/>
      <c r="L2597" s="1118"/>
      <c r="M2597" s="1114"/>
      <c r="N2597" s="1118"/>
      <c r="O2597" s="1114"/>
      <c r="P2597" s="1118"/>
      <c r="Q2597" s="1114"/>
      <c r="R2597" s="1118"/>
      <c r="S2597" s="1114"/>
      <c r="T2597" s="1114"/>
      <c r="U2597" s="1114"/>
      <c r="V2597" s="1114"/>
      <c r="W2597" s="1114"/>
      <c r="X2597" s="1114"/>
      <c r="Y2597" s="1114"/>
      <c r="Z2597" s="1499"/>
      <c r="AA2597" s="1109"/>
    </row>
    <row r="2598" spans="1:28" s="1104" customFormat="1">
      <c r="A2598" s="1116" t="s">
        <v>166</v>
      </c>
      <c r="C2598" s="1105">
        <f>'32-9'!K2+'32'!K2</f>
        <v>129427.46673706399</v>
      </c>
      <c r="D2598" s="1105">
        <f>'32-forecast'!G16</f>
        <v>23174.795295711054</v>
      </c>
      <c r="E2598" s="1024"/>
      <c r="F2598" s="1142">
        <v>9.4700000000000006</v>
      </c>
      <c r="G2598" s="617"/>
      <c r="H2598" s="1146">
        <f t="shared" si="2911"/>
        <v>1225678</v>
      </c>
      <c r="I2598" s="1146">
        <f t="shared" si="2911"/>
        <v>219465</v>
      </c>
      <c r="J2598" s="1114"/>
      <c r="K2598" s="1114"/>
      <c r="L2598" s="1118"/>
      <c r="M2598" s="1114"/>
      <c r="N2598" s="1118"/>
      <c r="O2598" s="1114"/>
      <c r="P2598" s="1118"/>
      <c r="Q2598" s="1114"/>
      <c r="R2598" s="1118"/>
      <c r="S2598" s="1114"/>
      <c r="T2598" s="1114"/>
      <c r="U2598" s="1114"/>
      <c r="V2598" s="1114"/>
      <c r="W2598" s="1114"/>
      <c r="X2598" s="1114"/>
      <c r="Y2598" s="1114"/>
      <c r="Z2598" s="1499"/>
      <c r="AA2598" s="1109"/>
    </row>
    <row r="2599" spans="1:28" s="1104" customFormat="1">
      <c r="A2599" s="1116" t="s">
        <v>19</v>
      </c>
      <c r="C2599" s="1105">
        <f>'32-9'!M2+'32'!M2</f>
        <v>19968000</v>
      </c>
      <c r="D2599" s="1105">
        <f>'32-forecast'!L15</f>
        <v>6800550.9959730338</v>
      </c>
      <c r="E2599" s="1024"/>
      <c r="F2599" s="1143">
        <v>4.6531000000000002</v>
      </c>
      <c r="G2599" s="1875" t="s">
        <v>495</v>
      </c>
      <c r="H2599" s="1146">
        <f t="shared" ref="H2599:I2601" si="2920">ROUND($F2599*C2599/100,0)</f>
        <v>929131</v>
      </c>
      <c r="I2599" s="1146">
        <f t="shared" si="2920"/>
        <v>316436</v>
      </c>
      <c r="J2599" s="1114"/>
      <c r="K2599" s="1114"/>
      <c r="L2599" s="1118"/>
      <c r="M2599" s="1114"/>
      <c r="N2599" s="1118"/>
      <c r="O2599" s="1114"/>
      <c r="P2599" s="1118"/>
      <c r="Q2599" s="1114"/>
      <c r="R2599" s="1118"/>
      <c r="S2599" s="1114"/>
      <c r="T2599" s="1114"/>
      <c r="U2599" s="1114"/>
      <c r="V2599" s="1114"/>
      <c r="W2599" s="1114"/>
      <c r="X2599" s="1114"/>
      <c r="Y2599" s="1114"/>
      <c r="Z2599" s="1499"/>
      <c r="AA2599" s="1109"/>
    </row>
    <row r="2600" spans="1:28" s="1104" customFormat="1">
      <c r="A2600" s="1116" t="s">
        <v>257</v>
      </c>
      <c r="C2600" s="1105">
        <f>'32-9'!N2+'32'!N2</f>
        <v>38495296</v>
      </c>
      <c r="D2600" s="1105">
        <f>'32-forecast'!L16</f>
        <v>8424389.7614707742</v>
      </c>
      <c r="E2600" s="1024"/>
      <c r="F2600" s="1143">
        <v>3.4988999999999999</v>
      </c>
      <c r="G2600" s="1875" t="s">
        <v>495</v>
      </c>
      <c r="H2600" s="1146">
        <f t="shared" si="2920"/>
        <v>1346912</v>
      </c>
      <c r="I2600" s="1146">
        <f t="shared" si="2920"/>
        <v>294761</v>
      </c>
      <c r="J2600" s="1114"/>
      <c r="K2600" s="1114"/>
      <c r="L2600" s="1118"/>
      <c r="M2600" s="1114"/>
      <c r="N2600" s="1118"/>
      <c r="O2600" s="1114"/>
      <c r="P2600" s="1118"/>
      <c r="Q2600" s="1114"/>
      <c r="R2600" s="1118"/>
      <c r="S2600" s="1114"/>
      <c r="T2600" s="1114"/>
      <c r="U2600" s="1114"/>
      <c r="V2600" s="1114"/>
      <c r="W2600" s="1114"/>
      <c r="X2600" s="1114"/>
      <c r="Y2600" s="1114"/>
      <c r="Z2600" s="1499"/>
      <c r="AA2600" s="1109"/>
    </row>
    <row r="2601" spans="1:28" s="1104" customFormat="1">
      <c r="A2601" s="1116" t="s">
        <v>249</v>
      </c>
      <c r="C2601" s="1137">
        <f>'32-9'!O2+'32'!O2</f>
        <v>96537686</v>
      </c>
      <c r="D2601" s="1137">
        <f>'32-forecast'!M17</f>
        <v>8868192.4140579049</v>
      </c>
      <c r="E2601" s="1024"/>
      <c r="F2601" s="1144">
        <v>2.9224999999999999</v>
      </c>
      <c r="G2601" s="1875" t="s">
        <v>495</v>
      </c>
      <c r="H2601" s="1148">
        <f t="shared" si="2920"/>
        <v>2821314</v>
      </c>
      <c r="I2601" s="1148">
        <f t="shared" si="2920"/>
        <v>259173</v>
      </c>
      <c r="J2601" s="1114"/>
      <c r="K2601" s="1114"/>
      <c r="L2601" s="1118"/>
      <c r="M2601" s="1114"/>
      <c r="N2601" s="1118"/>
      <c r="O2601" s="1114"/>
      <c r="P2601" s="1118"/>
      <c r="Q2601" s="1114"/>
      <c r="R2601" s="1118"/>
      <c r="S2601" s="1114"/>
      <c r="T2601" s="1114"/>
      <c r="U2601" s="1114"/>
      <c r="V2601" s="1114"/>
      <c r="W2601" s="1114"/>
      <c r="X2601" s="1114"/>
      <c r="Y2601" s="1114"/>
      <c r="Z2601" s="1499"/>
      <c r="AA2601" s="1109"/>
    </row>
    <row r="2602" spans="1:28">
      <c r="A2602" s="1900" t="s">
        <v>1240</v>
      </c>
      <c r="C2602" s="584"/>
      <c r="D2602" s="584"/>
      <c r="F2602" s="2005">
        <v>-3.0700000000000002E-2</v>
      </c>
      <c r="G2602" s="597"/>
      <c r="H2602" s="2006">
        <f>SUM(H2597:H2601)*$F2602</f>
        <v>-253951.3824</v>
      </c>
      <c r="I2602" s="2006">
        <f>SUM(I2597:I2601)*$F2602</f>
        <v>-41475.546500000004</v>
      </c>
      <c r="K2602" s="2005"/>
      <c r="L2602" s="597"/>
      <c r="M2602" s="2005"/>
      <c r="N2602" s="597"/>
      <c r="O2602" s="1931" t="str">
        <f>$O$43</f>
        <v>Tax Year 1 (7/1/2021)</v>
      </c>
      <c r="P2602" s="597"/>
      <c r="Q2602" s="1930">
        <f>Q1493</f>
        <v>-2.5700000000000001E-2</v>
      </c>
      <c r="R2602" s="597"/>
      <c r="S2602" s="1644"/>
      <c r="T2602" s="1645"/>
      <c r="U2602" s="1644"/>
      <c r="V2602" s="1645"/>
      <c r="W2602" s="1644"/>
      <c r="X2602" s="1645"/>
      <c r="Y2602" s="1644">
        <f>Q2602*SUM(Y2591:Y2596)</f>
        <v>-35231.153400000003</v>
      </c>
    </row>
    <row r="2603" spans="1:28">
      <c r="A2603" s="1900"/>
      <c r="C2603" s="584"/>
      <c r="D2603" s="584"/>
      <c r="F2603" s="1997"/>
      <c r="G2603" s="597"/>
      <c r="H2603" s="1645"/>
      <c r="I2603" s="1645"/>
      <c r="K2603" s="1997"/>
      <c r="L2603" s="597"/>
      <c r="M2603" s="1997"/>
      <c r="N2603" s="597"/>
      <c r="O2603" s="1931" t="str">
        <f>$O$44</f>
        <v>Tax Year 2 (1/1/2022)</v>
      </c>
      <c r="P2603" s="597"/>
      <c r="Q2603" s="1930">
        <f>Q1494</f>
        <v>-1.3899999999999999E-2</v>
      </c>
      <c r="R2603" s="597"/>
      <c r="S2603" s="1644"/>
      <c r="T2603" s="1645"/>
      <c r="U2603" s="1644"/>
      <c r="V2603" s="1645"/>
      <c r="W2603" s="1644"/>
      <c r="X2603" s="1645"/>
      <c r="Y2603" s="1644">
        <f>Q2603*SUM(Y2591:Y2596)</f>
        <v>-19054.981799999998</v>
      </c>
    </row>
    <row r="2604" spans="1:28" s="1104" customFormat="1">
      <c r="A2604" s="1116" t="s">
        <v>397</v>
      </c>
      <c r="C2604" s="1024"/>
      <c r="D2604" s="1024"/>
      <c r="E2604" s="1024"/>
      <c r="F2604" s="1113"/>
      <c r="G2604" s="1875"/>
      <c r="H2604" s="1114">
        <f>SUM(H2590:H2602)</f>
        <v>8621208.6175999995</v>
      </c>
      <c r="I2604" s="1114">
        <f>SUM(I2590:I2602)</f>
        <v>1402498.4535000001</v>
      </c>
      <c r="J2604" s="1114"/>
      <c r="K2604" s="1114"/>
      <c r="L2604" s="1114"/>
      <c r="M2604" s="1114"/>
      <c r="N2604" s="1114"/>
      <c r="O2604" s="1114"/>
      <c r="P2604" s="1114"/>
      <c r="Q2604" s="1114"/>
      <c r="R2604" s="1114"/>
      <c r="S2604" s="1114">
        <f>SUM(S2590:S2596)</f>
        <v>281076</v>
      </c>
      <c r="T2604" s="1114"/>
      <c r="U2604" s="1114">
        <f>SUM(U2590:U2596)</f>
        <v>635552</v>
      </c>
      <c r="V2604" s="1114"/>
      <c r="W2604" s="1114">
        <f>SUM(W2590:W2596)</f>
        <v>550565</v>
      </c>
      <c r="X2604" s="1114"/>
      <c r="Y2604" s="1114">
        <f>SUM(Y2590:Y2596)</f>
        <v>1467192</v>
      </c>
      <c r="Z2604" s="1499"/>
      <c r="AA2604" s="1109"/>
    </row>
    <row r="2605" spans="1:28">
      <c r="A2605" s="1869" t="s">
        <v>136</v>
      </c>
      <c r="C2605" s="585">
        <f>'Table 2'!J64</f>
        <v>952892</v>
      </c>
      <c r="D2605" s="585">
        <v>0</v>
      </c>
      <c r="F2605" s="1943"/>
      <c r="G2605" s="1957"/>
      <c r="H2605" s="1030">
        <f>'Table 3'!F64</f>
        <v>60349</v>
      </c>
      <c r="I2605" s="1030">
        <v>0</v>
      </c>
      <c r="K2605" s="1943"/>
      <c r="L2605" s="1957"/>
      <c r="M2605" s="1943"/>
      <c r="N2605" s="1957"/>
      <c r="O2605" s="1943"/>
      <c r="P2605" s="1957"/>
      <c r="Q2605" s="1943"/>
      <c r="R2605" s="1957"/>
      <c r="S2605" s="1030"/>
      <c r="T2605" s="1645"/>
      <c r="U2605" s="1030"/>
      <c r="V2605" s="1645"/>
      <c r="W2605" s="1030"/>
      <c r="X2605" s="1645"/>
      <c r="Y2605" s="1030"/>
    </row>
    <row r="2606" spans="1:28" s="1104" customFormat="1" ht="16.5" thickBot="1">
      <c r="A2606" s="1116" t="s">
        <v>173</v>
      </c>
      <c r="C2606" s="1138">
        <f>SUM(C2586,C2599:C2601,C2605)</f>
        <v>180564874</v>
      </c>
      <c r="D2606" s="1138">
        <f>SUM(D2587,D2599:D2601,D2605)</f>
        <v>196649989.99999997</v>
      </c>
      <c r="E2606" s="1024"/>
      <c r="F2606" s="1145"/>
      <c r="G2606" s="1109"/>
      <c r="H2606" s="1149">
        <f>H2587+H2604+H2605</f>
        <v>10353948.6176</v>
      </c>
      <c r="I2606" s="1149">
        <f>I2587+I2604+I2605</f>
        <v>13007546.453500001</v>
      </c>
      <c r="J2606" s="1114"/>
      <c r="K2606" s="1114"/>
      <c r="L2606" s="1114"/>
      <c r="M2606" s="1114"/>
      <c r="N2606" s="1114"/>
      <c r="O2606" s="1114"/>
      <c r="P2606" s="1114"/>
      <c r="Q2606" s="1114"/>
      <c r="R2606" s="1114"/>
      <c r="S2606" s="1149">
        <f>S2587+S2604</f>
        <v>4897528</v>
      </c>
      <c r="T2606" s="1114"/>
      <c r="U2606" s="1149">
        <f>U2587+U2604</f>
        <v>8005208</v>
      </c>
      <c r="V2606" s="1114"/>
      <c r="W2606" s="1149">
        <f>W2587+W2604</f>
        <v>550565</v>
      </c>
      <c r="X2606" s="1114"/>
      <c r="Y2606" s="1149">
        <f>Y2587+Y2604</f>
        <v>13453301</v>
      </c>
      <c r="Z2606" s="1499"/>
      <c r="AA2606" s="1104" t="s">
        <v>1743</v>
      </c>
      <c r="AB2606" s="1890">
        <f>Y2606/I2606-1</f>
        <v>3.4268918284743766E-2</v>
      </c>
    </row>
    <row r="2607" spans="1:28" s="1104" customFormat="1" ht="16.5" thickTop="1">
      <c r="C2607" s="1632"/>
      <c r="D2607" s="1632"/>
      <c r="E2607" s="1109"/>
      <c r="F2607" s="1109"/>
      <c r="G2607" s="1109"/>
      <c r="H2607" s="1628"/>
      <c r="I2607" s="1628"/>
      <c r="J2607" s="1109"/>
      <c r="K2607" s="1109"/>
      <c r="L2607" s="1109"/>
      <c r="M2607" s="1109"/>
      <c r="N2607" s="1109"/>
      <c r="O2607" s="1109"/>
      <c r="P2607" s="1109"/>
      <c r="Q2607" s="1109"/>
      <c r="R2607" s="1109"/>
      <c r="S2607" s="1628"/>
      <c r="T2607" s="1628"/>
      <c r="U2607" s="1628"/>
      <c r="V2607" s="1628"/>
      <c r="W2607" s="1628"/>
      <c r="X2607" s="1628"/>
      <c r="Y2607" s="1628"/>
      <c r="Z2607" s="1498"/>
      <c r="AA2607" s="1109"/>
    </row>
    <row r="2608" spans="1:28" s="1104" customFormat="1">
      <c r="A2608" s="1115" t="s">
        <v>1487</v>
      </c>
      <c r="C2608" s="1024"/>
      <c r="D2608" s="1024"/>
      <c r="E2608" s="1024"/>
      <c r="F2608" s="1024"/>
      <c r="G2608" s="1107"/>
      <c r="H2608" s="1114"/>
      <c r="I2608" s="1628"/>
      <c r="J2608" s="1109"/>
      <c r="K2608" s="1109"/>
      <c r="L2608" s="1109"/>
      <c r="M2608" s="1109"/>
      <c r="N2608" s="1109"/>
      <c r="O2608" s="1109"/>
      <c r="P2608" s="1109"/>
      <c r="Q2608" s="1109"/>
      <c r="R2608" s="1109"/>
      <c r="S2608" s="1628"/>
      <c r="T2608" s="1628"/>
      <c r="U2608" s="1628"/>
      <c r="V2608" s="1628"/>
      <c r="W2608" s="1628"/>
      <c r="X2608" s="1628"/>
      <c r="Y2608" s="1628"/>
      <c r="Z2608" s="1498"/>
      <c r="AA2608" s="1109"/>
    </row>
    <row r="2609" spans="1:32" s="1104" customFormat="1">
      <c r="A2609" s="1993" t="s">
        <v>925</v>
      </c>
      <c r="C2609" s="1024"/>
      <c r="D2609" s="1024">
        <v>12</v>
      </c>
      <c r="E2609" s="1024"/>
      <c r="F2609" s="1024"/>
      <c r="G2609" s="1107"/>
      <c r="H2609" s="1114"/>
      <c r="I2609" s="1628"/>
      <c r="J2609" s="1109"/>
      <c r="K2609" s="1109"/>
      <c r="L2609" s="1109"/>
      <c r="M2609" s="1109"/>
      <c r="N2609" s="1109"/>
      <c r="O2609" s="1109"/>
      <c r="P2609" s="1109"/>
      <c r="Q2609" s="1109"/>
      <c r="R2609" s="1109"/>
      <c r="S2609" s="1628"/>
      <c r="T2609" s="1628"/>
      <c r="U2609" s="1628"/>
      <c r="V2609" s="1628"/>
      <c r="W2609" s="1628"/>
      <c r="X2609" s="1628"/>
      <c r="Y2609" s="1628"/>
      <c r="Z2609" s="1498"/>
      <c r="AA2609" s="1109"/>
    </row>
    <row r="2610" spans="1:32" s="1104" customFormat="1" ht="16.5" thickBot="1">
      <c r="A2610" s="1116" t="s">
        <v>402</v>
      </c>
      <c r="C2610" s="1024"/>
      <c r="D2610" s="1138">
        <f>('34'!B17+'34'!B18+'34'!B20)*1000</f>
        <v>242230000</v>
      </c>
      <c r="E2610" s="1024"/>
      <c r="F2610" s="1024"/>
      <c r="G2610" s="1107"/>
      <c r="H2610" s="1114"/>
      <c r="I2610" s="1154">
        <f>'34'!B22+'34'!B23</f>
        <v>13027758.191234671</v>
      </c>
      <c r="J2610" s="1114"/>
      <c r="K2610" s="1143">
        <f>ROUND(Q2610*AA1495/(AA1495+AB1495),4)</f>
        <v>1.6758999999999999</v>
      </c>
      <c r="L2610" s="1875" t="s">
        <v>495</v>
      </c>
      <c r="M2610" s="1143">
        <f>Q2610-K2610-O2610</f>
        <v>3.7024000000000004</v>
      </c>
      <c r="N2610" s="1875" t="s">
        <v>495</v>
      </c>
      <c r="O2610" s="1143">
        <v>0</v>
      </c>
      <c r="P2610" s="1921" t="s">
        <v>495</v>
      </c>
      <c r="Q2610" s="1942">
        <f>ROUND(Y2610/D2610*100,4)</f>
        <v>5.3783000000000003</v>
      </c>
      <c r="R2610" s="1921" t="s">
        <v>495</v>
      </c>
      <c r="S2610" s="1154">
        <f>ROUND($D2610*K2610/100,0)</f>
        <v>4059533</v>
      </c>
      <c r="T2610" s="1646"/>
      <c r="U2610" s="1154">
        <f>ROUND($D2610*M2610/100,0)</f>
        <v>8968324</v>
      </c>
      <c r="V2610" s="1646"/>
      <c r="W2610" s="1154">
        <f>ROUND($D2610*O2610/100,0)</f>
        <v>0</v>
      </c>
      <c r="X2610" s="1114"/>
      <c r="Y2610" s="1154">
        <f>I2610</f>
        <v>13027758.191234671</v>
      </c>
      <c r="Z2610" s="1499"/>
      <c r="AA2610" s="1937"/>
      <c r="AB2610" s="1937"/>
      <c r="AC2610" s="1937"/>
      <c r="AD2610" s="1937"/>
      <c r="AE2610" s="1937"/>
      <c r="AF2610" s="1877"/>
    </row>
    <row r="2611" spans="1:32" ht="16.5" thickTop="1">
      <c r="AA2611" s="1937"/>
      <c r="AB2611" s="1937"/>
      <c r="AC2611" s="1937"/>
      <c r="AD2611" s="1937"/>
      <c r="AE2611" s="1937"/>
    </row>
    <row r="2612" spans="1:32">
      <c r="A2612" s="1897" t="s">
        <v>680</v>
      </c>
      <c r="C2612" s="528"/>
      <c r="D2612" s="528"/>
    </row>
    <row r="2613" spans="1:32">
      <c r="A2613" s="1900" t="s">
        <v>1022</v>
      </c>
      <c r="C2613" s="528">
        <v>12</v>
      </c>
      <c r="D2613" s="528">
        <f>Bill!P68</f>
        <v>12</v>
      </c>
      <c r="F2613" s="617">
        <v>235.66</v>
      </c>
      <c r="G2613" s="1957"/>
      <c r="H2613" s="1644">
        <f t="shared" ref="H2613:I2616" si="2921">ROUND($F2613*C2613,0)</f>
        <v>2828</v>
      </c>
      <c r="I2613" s="1644">
        <f t="shared" si="2921"/>
        <v>2828</v>
      </c>
      <c r="K2613" s="617">
        <f t="shared" ref="K2613:K2615" si="2922">ROUND(S2613/$D2613,2)</f>
        <v>236</v>
      </c>
      <c r="L2613" s="1957"/>
      <c r="M2613" s="617">
        <f t="shared" ref="M2613:M2615" si="2923">ROUND(U2613/$D2613,2)</f>
        <v>0</v>
      </c>
      <c r="N2613" s="1957"/>
      <c r="O2613" s="617">
        <f t="shared" ref="O2613:O2615" si="2924">ROUND(Q2613-K2613-M2613,2)</f>
        <v>0</v>
      </c>
      <c r="P2613" s="1957"/>
      <c r="Q2613" s="617">
        <f>ROUND(F2613*(1+$AB$2617),0)</f>
        <v>236</v>
      </c>
      <c r="R2613" s="1957"/>
      <c r="S2613" s="1645">
        <f>MIN(S2623,Y2613)</f>
        <v>2832</v>
      </c>
      <c r="T2613" s="1645"/>
      <c r="U2613" s="1645"/>
      <c r="V2613" s="1645"/>
      <c r="W2613" s="1645"/>
      <c r="X2613" s="1645"/>
      <c r="Y2613" s="1644">
        <f>ROUND($D2613*Q2613,0)</f>
        <v>2832</v>
      </c>
      <c r="AA2613" s="1903" t="s">
        <v>1741</v>
      </c>
      <c r="AB2613" s="1904">
        <f>Y2623</f>
        <v>32512084</v>
      </c>
    </row>
    <row r="2614" spans="1:32">
      <c r="A2614" s="1900" t="s">
        <v>1023</v>
      </c>
      <c r="C2614" s="528">
        <f>'C1'!G21</f>
        <v>981560</v>
      </c>
      <c r="D2614" s="528">
        <f t="shared" ref="D2614:D2620" si="2925">ROUND(C2614/$C$2623*$D$2623,0)</f>
        <v>1004562</v>
      </c>
      <c r="F2614" s="617">
        <v>1.95</v>
      </c>
      <c r="G2614" s="1957"/>
      <c r="H2614" s="1644">
        <f t="shared" si="2921"/>
        <v>1914042</v>
      </c>
      <c r="I2614" s="1644">
        <f t="shared" si="2921"/>
        <v>1958896</v>
      </c>
      <c r="K2614" s="617">
        <f t="shared" si="2922"/>
        <v>1.96</v>
      </c>
      <c r="L2614" s="1957"/>
      <c r="M2614" s="617">
        <f t="shared" si="2923"/>
        <v>0</v>
      </c>
      <c r="N2614" s="1957"/>
      <c r="O2614" s="617">
        <f t="shared" si="2924"/>
        <v>0</v>
      </c>
      <c r="P2614" s="1957"/>
      <c r="Q2614" s="617">
        <f>ROUND(F2614*(1+$AB$2617),2)</f>
        <v>1.96</v>
      </c>
      <c r="R2614" s="1957"/>
      <c r="S2614" s="1645">
        <f>MIN(S2623-S2613,Y2614)</f>
        <v>1968942</v>
      </c>
      <c r="T2614" s="1645"/>
      <c r="U2614" s="1645">
        <f>MIN($U$2623,$Y$2614-$S$2614)</f>
        <v>0</v>
      </c>
      <c r="V2614" s="1645"/>
      <c r="W2614" s="1645">
        <f>Y2614-S2614-U2614</f>
        <v>0</v>
      </c>
      <c r="X2614" s="1645"/>
      <c r="Y2614" s="1644">
        <f t="shared" ref="Y2614:Y2616" si="2926">ROUND($D2614*Q2614,0)</f>
        <v>1968942</v>
      </c>
      <c r="AA2614" s="1905" t="s">
        <v>1742</v>
      </c>
      <c r="AB2614" s="1906">
        <f>RateSpread!M50*1000</f>
        <v>32511804.961599998</v>
      </c>
    </row>
    <row r="2615" spans="1:32">
      <c r="A2615" s="1900" t="s">
        <v>1024</v>
      </c>
      <c r="C2615" s="528">
        <f>SUM('C1'!K11:K15)</f>
        <v>373210</v>
      </c>
      <c r="D2615" s="528">
        <f t="shared" si="2925"/>
        <v>381956</v>
      </c>
      <c r="F2615" s="617">
        <v>13.15</v>
      </c>
      <c r="G2615" s="1957"/>
      <c r="H2615" s="1644">
        <f t="shared" si="2921"/>
        <v>4907712</v>
      </c>
      <c r="I2615" s="1644">
        <f t="shared" si="2921"/>
        <v>5022721</v>
      </c>
      <c r="K2615" s="617">
        <f t="shared" si="2922"/>
        <v>6.22</v>
      </c>
      <c r="L2615" s="1957"/>
      <c r="M2615" s="617">
        <f t="shared" si="2923"/>
        <v>6.97</v>
      </c>
      <c r="N2615" s="1957"/>
      <c r="O2615" s="617">
        <f t="shared" si="2924"/>
        <v>0</v>
      </c>
      <c r="P2615" s="1957"/>
      <c r="Q2615" s="617">
        <f>ROUND(F2615*(1+$AB$2617),2)</f>
        <v>13.19</v>
      </c>
      <c r="R2615" s="1957"/>
      <c r="S2615" s="1645">
        <f>MIN($S$2623-$S$2613-$S$2614,SUM($Y$2615:$Y$2616))*Y2615/SUM($Y$2615:$Y$2616)</f>
        <v>2375581.4708815278</v>
      </c>
      <c r="T2615" s="1645"/>
      <c r="U2615" s="1645">
        <f>MIN($U$2623-$U$2614,SUM($Y$2615:$Y$2616)-SUM($S$2615:$S$2616))*(Y2615-S2615)/(SUM($Y$2615:$Y$2616)-SUM($S$2615:$S$2616))</f>
        <v>2662418.5291184722</v>
      </c>
      <c r="V2615" s="1645"/>
      <c r="W2615" s="1645">
        <f>Y2615-S2615-U2615</f>
        <v>0</v>
      </c>
      <c r="X2615" s="1645"/>
      <c r="Y2615" s="1644">
        <f t="shared" si="2926"/>
        <v>5038000</v>
      </c>
      <c r="AA2615" s="1969" t="s">
        <v>87</v>
      </c>
      <c r="AB2615" s="1906">
        <f>AB2614-AB2613</f>
        <v>-279.0384000018239</v>
      </c>
    </row>
    <row r="2616" spans="1:32">
      <c r="A2616" s="1900" t="s">
        <v>1025</v>
      </c>
      <c r="C2616" s="528">
        <f>-C2615+'C1'!K21</f>
        <v>608350</v>
      </c>
      <c r="D2616" s="528">
        <f t="shared" si="2925"/>
        <v>622606</v>
      </c>
      <c r="F2616" s="617">
        <v>8.81</v>
      </c>
      <c r="G2616" s="1957"/>
      <c r="H2616" s="1644">
        <f t="shared" si="2921"/>
        <v>5359564</v>
      </c>
      <c r="I2616" s="1644">
        <f t="shared" si="2921"/>
        <v>5485159</v>
      </c>
      <c r="K2616" s="617">
        <f>ROUND(S2616/$D2616,2)</f>
        <v>4.17</v>
      </c>
      <c r="L2616" s="1957"/>
      <c r="M2616" s="617">
        <f>ROUND(U2616/$D2616,2)</f>
        <v>4.67</v>
      </c>
      <c r="N2616" s="1957"/>
      <c r="O2616" s="617">
        <f>ROUND(Q2616-K2616-M2616,2)</f>
        <v>0</v>
      </c>
      <c r="P2616" s="1957"/>
      <c r="Q2616" s="617">
        <f>ROUND(F2616*(1+$AB$2617),2)</f>
        <v>8.84</v>
      </c>
      <c r="R2616" s="1957"/>
      <c r="S2616" s="1645">
        <f>MIN($S$2623-$S$2613-$S$2614,SUM($Y$2615:$Y$2616))*Y2616/SUM($Y$2615:$Y$2616)</f>
        <v>2595238.8241270692</v>
      </c>
      <c r="T2616" s="1645"/>
      <c r="U2616" s="1645">
        <f>MIN($U$2623-$U$2614,SUM($Y$2615:$Y$2616)-SUM($S$2615:$S$2616))*(Y2616-S2616)/(SUM($Y$2615:$Y$2616)-SUM($S$2615:$S$2616))</f>
        <v>2908598.1758729308</v>
      </c>
      <c r="V2616" s="1645"/>
      <c r="W2616" s="1645">
        <f>Y2616-S2616-U2616</f>
        <v>0</v>
      </c>
      <c r="X2616" s="1645"/>
      <c r="Y2616" s="1644">
        <f t="shared" si="2926"/>
        <v>5503837</v>
      </c>
      <c r="AA2616" s="1903" t="s">
        <v>1743</v>
      </c>
      <c r="AB2616" s="1958">
        <f>AB2613/I2623-1</f>
        <v>3.6003317795316292E-2</v>
      </c>
    </row>
    <row r="2617" spans="1:32">
      <c r="A2617" s="1900" t="s">
        <v>1026</v>
      </c>
      <c r="C2617" s="528">
        <f>SUM('C1'!O11:O15)</f>
        <v>98922553</v>
      </c>
      <c r="D2617" s="528">
        <f t="shared" si="2925"/>
        <v>101240704</v>
      </c>
      <c r="F2617" s="1942">
        <v>4.47</v>
      </c>
      <c r="G2617" s="1921" t="s">
        <v>495</v>
      </c>
      <c r="H2617" s="1644">
        <f t="shared" ref="H2617:I2620" si="2927">ROUND($F2617*C2617/100,0)</f>
        <v>4421838</v>
      </c>
      <c r="I2617" s="1644">
        <f t="shared" si="2927"/>
        <v>4525459</v>
      </c>
      <c r="K2617" s="1942">
        <f>ROUND(S2617/$D2617*100,4)</f>
        <v>0</v>
      </c>
      <c r="L2617" s="1921" t="s">
        <v>495</v>
      </c>
      <c r="M2617" s="1942">
        <f>ROUND(U2617/$D2617*100,4)</f>
        <v>2.1230000000000002</v>
      </c>
      <c r="N2617" s="1921" t="s">
        <v>495</v>
      </c>
      <c r="O2617" s="1942">
        <f>ROUND(Q2617-K2617-M2617,4)</f>
        <v>2.36</v>
      </c>
      <c r="P2617" s="1921" t="s">
        <v>495</v>
      </c>
      <c r="Q2617" s="1942">
        <f>ROUND((AB2614-SUM(Y2613:Y2616,Y2618:Y2620))/D2617*100,3)</f>
        <v>4.4829999999999997</v>
      </c>
      <c r="R2617" s="1921" t="s">
        <v>495</v>
      </c>
      <c r="S2617" s="1648"/>
      <c r="T2617" s="1648"/>
      <c r="U2617" s="1645">
        <f>MIN($U$2623-$U$2614-$U$2615-$U$2616,SUM($Y$2617:$Y$2620))*Y2617/SUM($Y$2617:$Y$2620)</f>
        <v>2149353.9620748116</v>
      </c>
      <c r="V2617" s="1648"/>
      <c r="W2617" s="1645">
        <f t="shared" ref="W2617:W2620" si="2928">Y2617-S2617-U2617</f>
        <v>2389267.0379251884</v>
      </c>
      <c r="X2617" s="1648"/>
      <c r="Y2617" s="1644">
        <f>ROUND($D2617*Q2617/100,0)</f>
        <v>4538621</v>
      </c>
      <c r="AA2617" s="1915" t="s">
        <v>1744</v>
      </c>
      <c r="AB2617" s="1954">
        <f>AB2614/(I2623-I2621)-1</f>
        <v>3.2922873973177946E-3</v>
      </c>
      <c r="AC2617" s="1918">
        <f>AB2614/I2623-1</f>
        <v>3.599442618725468E-2</v>
      </c>
    </row>
    <row r="2618" spans="1:32">
      <c r="A2618" s="1900" t="s">
        <v>1027</v>
      </c>
      <c r="C2618" s="528">
        <f>SUM('C1'!S11:S15)</f>
        <v>139678447</v>
      </c>
      <c r="D2618" s="528">
        <f t="shared" si="2925"/>
        <v>142951672</v>
      </c>
      <c r="F2618" s="1942">
        <v>2.806</v>
      </c>
      <c r="G2618" s="1921" t="s">
        <v>495</v>
      </c>
      <c r="H2618" s="1644">
        <f t="shared" si="2927"/>
        <v>3919377</v>
      </c>
      <c r="I2618" s="1644">
        <f t="shared" si="2927"/>
        <v>4011224</v>
      </c>
      <c r="K2618" s="1942">
        <f t="shared" ref="K2618:K2620" si="2929">ROUND(S2618/$D2618*100,4)</f>
        <v>0</v>
      </c>
      <c r="L2618" s="1921" t="s">
        <v>495</v>
      </c>
      <c r="M2618" s="1942">
        <f t="shared" ref="M2618:M2620" si="2930">ROUND(U2618/$D2618*100,4)</f>
        <v>1.3331</v>
      </c>
      <c r="N2618" s="1921" t="s">
        <v>495</v>
      </c>
      <c r="O2618" s="1942">
        <f t="shared" ref="O2618:O2620" si="2931">ROUND(Q2618-K2618-M2618,4)</f>
        <v>1.4819</v>
      </c>
      <c r="P2618" s="1921" t="s">
        <v>495</v>
      </c>
      <c r="Q2618" s="1942">
        <f>ROUND(F2618*(1+$AB$2617),3)</f>
        <v>2.8149999999999999</v>
      </c>
      <c r="R2618" s="1921" t="s">
        <v>495</v>
      </c>
      <c r="S2618" s="1648"/>
      <c r="T2618" s="1648"/>
      <c r="U2618" s="1645">
        <f t="shared" ref="U2618:U2620" si="2932">MIN($U$2623-$U$2614-$U$2615-$U$2616,SUM($Y$2617:$Y$2620))*Y2618/SUM($Y$2617:$Y$2620)</f>
        <v>1905687.6053862236</v>
      </c>
      <c r="V2618" s="1648"/>
      <c r="W2618" s="1645">
        <f t="shared" si="2928"/>
        <v>2118402.3946137764</v>
      </c>
      <c r="X2618" s="1648"/>
      <c r="Y2618" s="1644">
        <f t="shared" ref="Y2618:Y2620" si="2933">ROUND($D2618*Q2618/100,0)</f>
        <v>4024090</v>
      </c>
      <c r="AA2618" s="1905" t="s">
        <v>1938</v>
      </c>
      <c r="AB2618" s="2009">
        <f>RateSpread!W50*1000</f>
        <v>-775187</v>
      </c>
      <c r="AC2618" s="1918">
        <f>ROUND(AB2618/SUM(Y2615:Y2620),4)</f>
        <v>-2.5399999999999999E-2</v>
      </c>
    </row>
    <row r="2619" spans="1:32">
      <c r="A2619" s="1900" t="s">
        <v>1028</v>
      </c>
      <c r="C2619" s="528">
        <f>-C2617+'C1'!O21</f>
        <v>164618614</v>
      </c>
      <c r="D2619" s="528">
        <f t="shared" si="2925"/>
        <v>168476287</v>
      </c>
      <c r="F2619" s="1942">
        <v>3.3610000000000002</v>
      </c>
      <c r="G2619" s="1921" t="s">
        <v>495</v>
      </c>
      <c r="H2619" s="1644">
        <f t="shared" si="2927"/>
        <v>5532832</v>
      </c>
      <c r="I2619" s="1644">
        <f t="shared" si="2927"/>
        <v>5662488</v>
      </c>
      <c r="K2619" s="1942">
        <f t="shared" si="2929"/>
        <v>0</v>
      </c>
      <c r="L2619" s="1921" t="s">
        <v>495</v>
      </c>
      <c r="M2619" s="1942">
        <f t="shared" si="2930"/>
        <v>1.5969</v>
      </c>
      <c r="N2619" s="1921" t="s">
        <v>495</v>
      </c>
      <c r="O2619" s="1942">
        <f t="shared" si="2931"/>
        <v>1.7750999999999999</v>
      </c>
      <c r="P2619" s="1921" t="s">
        <v>495</v>
      </c>
      <c r="Q2619" s="1942">
        <f>ROUND(F2619*(1+$AB$2617),3)</f>
        <v>3.3719999999999999</v>
      </c>
      <c r="R2619" s="1921" t="s">
        <v>495</v>
      </c>
      <c r="S2619" s="1648"/>
      <c r="T2619" s="1648"/>
      <c r="U2619" s="1645">
        <f t="shared" si="2932"/>
        <v>2690359.6589418342</v>
      </c>
      <c r="V2619" s="1648"/>
      <c r="W2619" s="1645">
        <f t="shared" si="2928"/>
        <v>2990660.3410581658</v>
      </c>
      <c r="X2619" s="1648"/>
      <c r="Y2619" s="1644">
        <f t="shared" si="2933"/>
        <v>5681020</v>
      </c>
      <c r="AA2619" s="1915" t="s">
        <v>1939</v>
      </c>
      <c r="AB2619" s="2010">
        <f>RateSpread!X50*1000</f>
        <v>-420790</v>
      </c>
      <c r="AC2619" s="1918">
        <f>ROUND(AB2619/SUM(Y2615:Y2620),4)</f>
        <v>-1.38E-2</v>
      </c>
    </row>
    <row r="2620" spans="1:32">
      <c r="A2620" s="1900" t="s">
        <v>1029</v>
      </c>
      <c r="C2620" s="586">
        <f>-C2618+'C1'!S21</f>
        <v>199750386</v>
      </c>
      <c r="D2620" s="586">
        <f t="shared" si="2925"/>
        <v>204431337</v>
      </c>
      <c r="F2620" s="1942">
        <v>2.806</v>
      </c>
      <c r="G2620" s="1921" t="s">
        <v>495</v>
      </c>
      <c r="H2620" s="1030">
        <f t="shared" si="2927"/>
        <v>5604996</v>
      </c>
      <c r="I2620" s="1030">
        <f t="shared" si="2927"/>
        <v>5736343</v>
      </c>
      <c r="K2620" s="1942">
        <f t="shared" si="2929"/>
        <v>0</v>
      </c>
      <c r="L2620" s="1921" t="s">
        <v>495</v>
      </c>
      <c r="M2620" s="1942">
        <f t="shared" si="2930"/>
        <v>1.3331</v>
      </c>
      <c r="N2620" s="1921" t="s">
        <v>495</v>
      </c>
      <c r="O2620" s="1942">
        <f t="shared" si="2931"/>
        <v>1.4819</v>
      </c>
      <c r="P2620" s="1921" t="s">
        <v>495</v>
      </c>
      <c r="Q2620" s="1942">
        <f>Q2618</f>
        <v>2.8149999999999999</v>
      </c>
      <c r="R2620" s="1921" t="s">
        <v>495</v>
      </c>
      <c r="S2620" s="1648"/>
      <c r="T2620" s="1648"/>
      <c r="U2620" s="1645">
        <f t="shared" si="2932"/>
        <v>2725272.1737325774</v>
      </c>
      <c r="V2620" s="1648"/>
      <c r="W2620" s="1645">
        <f t="shared" si="2928"/>
        <v>3029469.8262674226</v>
      </c>
      <c r="X2620" s="1648"/>
      <c r="Y2620" s="1644">
        <f t="shared" si="2933"/>
        <v>5754742</v>
      </c>
    </row>
    <row r="2621" spans="1:32">
      <c r="A2621" s="1900" t="s">
        <v>1240</v>
      </c>
      <c r="C2621" s="584"/>
      <c r="D2621" s="584"/>
      <c r="F2621" s="2005">
        <v>-3.3599999999999998E-2</v>
      </c>
      <c r="G2621" s="597"/>
      <c r="H2621" s="2006">
        <f>SUM(H2615:H2620)*$F2621</f>
        <v>-999476.31839999999</v>
      </c>
      <c r="I2621" s="2006">
        <f>SUM(I2615:I2620)*$F2621</f>
        <v>-1022898.0384</v>
      </c>
      <c r="K2621" s="2005"/>
      <c r="L2621" s="597"/>
      <c r="M2621" s="2005"/>
      <c r="N2621" s="597"/>
      <c r="O2621" s="1931" t="str">
        <f>$O$43</f>
        <v>Tax Year 1 (7/1/2021)</v>
      </c>
      <c r="P2621" s="597"/>
      <c r="Q2621" s="1930">
        <f>AC2618</f>
        <v>-2.5399999999999999E-2</v>
      </c>
      <c r="R2621" s="597"/>
      <c r="S2621" s="1645"/>
      <c r="T2621" s="1645"/>
      <c r="U2621" s="1645"/>
      <c r="V2621" s="1645"/>
      <c r="W2621" s="1645"/>
      <c r="X2621" s="1645"/>
      <c r="Y2621" s="1644">
        <f>Q2621*SUM(Y2615:Y2620)</f>
        <v>-775723.87399999995</v>
      </c>
    </row>
    <row r="2622" spans="1:32">
      <c r="A2622" s="1900"/>
      <c r="C2622" s="584"/>
      <c r="D2622" s="584"/>
      <c r="F2622" s="1997"/>
      <c r="G2622" s="597"/>
      <c r="H2622" s="1645"/>
      <c r="I2622" s="1645"/>
      <c r="K2622" s="1997"/>
      <c r="L2622" s="597"/>
      <c r="M2622" s="1997"/>
      <c r="N2622" s="597"/>
      <c r="O2622" s="1931" t="str">
        <f>$O$44</f>
        <v>Tax Year 2 (1/1/2022)</v>
      </c>
      <c r="P2622" s="597"/>
      <c r="Q2622" s="1930">
        <f>AC2619</f>
        <v>-1.38E-2</v>
      </c>
      <c r="R2622" s="597"/>
      <c r="S2622" s="1645"/>
      <c r="T2622" s="1645"/>
      <c r="U2622" s="1645"/>
      <c r="V2622" s="1645"/>
      <c r="W2622" s="1645"/>
      <c r="X2622" s="1645"/>
      <c r="Y2622" s="1644">
        <f>Q2622*SUM(Y2615:Y2620)</f>
        <v>-421456.27799999999</v>
      </c>
      <c r="AA2622" s="1933" t="s">
        <v>1660</v>
      </c>
      <c r="AB2622" s="1933" t="s">
        <v>1661</v>
      </c>
      <c r="AC2622" s="1933" t="s">
        <v>1662</v>
      </c>
      <c r="AD2622" s="1933" t="s">
        <v>93</v>
      </c>
    </row>
    <row r="2623" spans="1:32" ht="16.5" thickBot="1">
      <c r="A2623" s="1900" t="s">
        <v>247</v>
      </c>
      <c r="C2623" s="1949">
        <f>SUM(C2617:C2620)</f>
        <v>602970000</v>
      </c>
      <c r="D2623" s="1949">
        <f>Energy!P68</f>
        <v>617100000</v>
      </c>
      <c r="F2623" s="2011"/>
      <c r="G2623" s="1957"/>
      <c r="H2623" s="1647">
        <f>SUM(H2613:H2621)</f>
        <v>30663712.681600001</v>
      </c>
      <c r="I2623" s="1647">
        <f>SUM(I2613:I2621)</f>
        <v>31382219.961599998</v>
      </c>
      <c r="K2623" s="2011"/>
      <c r="L2623" s="1957"/>
      <c r="M2623" s="2011"/>
      <c r="N2623" s="1957"/>
      <c r="O2623" s="2011"/>
      <c r="P2623" s="1957"/>
      <c r="Q2623" s="2011"/>
      <c r="R2623" s="1957"/>
      <c r="S2623" s="1646">
        <f>$Y2623*AA2623/$AD2623*$W$2683</f>
        <v>6942594.295008597</v>
      </c>
      <c r="T2623" s="1646"/>
      <c r="U2623" s="1646">
        <f>$Y2623*AB2623/$AD2623*$W$2683</f>
        <v>15041690.10512685</v>
      </c>
      <c r="V2623" s="1646"/>
      <c r="W2623" s="1646">
        <f>Y2623-S2623-U2623</f>
        <v>10527799.599864554</v>
      </c>
      <c r="X2623" s="1645"/>
      <c r="Y2623" s="1647">
        <f>SUM(Y2613:Y2620)</f>
        <v>32512084</v>
      </c>
      <c r="AA2623" s="1937">
        <f>'Unit Cost Target'!$M$87+'Unit Cost Target'!$M$123+'Unit Cost Target'!$M$129+'Unit Cost Target'!$M$75+'Unit Cost Target'!$M$81</f>
        <v>7534331.9734210689</v>
      </c>
      <c r="AB2623" s="1937">
        <f>'Unit Cost Target'!$M$45+'Unit Cost Target'!$M$51</f>
        <v>16323737.478773158</v>
      </c>
      <c r="AC2623" s="1937">
        <f>'Unit Cost Target'!$M$33+'Unit Cost Target'!$M$39+'Unit Cost Target'!$M$63+'Unit Cost Target'!$M$69</f>
        <v>12290807.898677185</v>
      </c>
      <c r="AD2623" s="1937">
        <f>SUM(AA2623:AC2623)</f>
        <v>36148877.350871414</v>
      </c>
      <c r="AE2623" s="1937">
        <f>AD2623-'Unit Cost Target'!$M$21</f>
        <v>0</v>
      </c>
    </row>
    <row r="2624" spans="1:32" ht="16.5" thickTop="1">
      <c r="C2624" s="528"/>
      <c r="D2624" s="528"/>
      <c r="H2624" s="1644"/>
      <c r="I2624" s="1644"/>
      <c r="Y2624" s="1644"/>
      <c r="AA2624" s="1937">
        <f>S2623-SUM(S2613:S2622)</f>
        <v>0</v>
      </c>
      <c r="AB2624" s="1937">
        <f>U2623-SUM(U2613:U2622)</f>
        <v>0</v>
      </c>
      <c r="AC2624" s="1937">
        <f>W2623-SUM(W2613:W2622)</f>
        <v>0</v>
      </c>
      <c r="AD2624" s="1937">
        <f>SUM(AA2624:AC2624)</f>
        <v>0</v>
      </c>
      <c r="AE2624" s="1937"/>
    </row>
    <row r="2625" spans="1:31">
      <c r="A2625" s="2012" t="s">
        <v>681</v>
      </c>
      <c r="B2625" s="596"/>
      <c r="C2625" s="528"/>
      <c r="D2625" s="528"/>
      <c r="F2625" s="1943"/>
      <c r="G2625" s="1957"/>
      <c r="K2625" s="1943"/>
      <c r="L2625" s="1957"/>
      <c r="M2625" s="1943"/>
      <c r="N2625" s="1957"/>
      <c r="O2625" s="1943"/>
      <c r="P2625" s="1957"/>
      <c r="Q2625" s="1943"/>
      <c r="R2625" s="1957"/>
      <c r="S2625" s="1645"/>
      <c r="T2625" s="1645"/>
      <c r="U2625" s="1645"/>
      <c r="V2625" s="1645"/>
      <c r="W2625" s="1645"/>
      <c r="X2625" s="1645"/>
      <c r="AA2625" s="1903" t="s">
        <v>1741</v>
      </c>
      <c r="AB2625" s="1904">
        <f>Y2633</f>
        <v>32618478</v>
      </c>
    </row>
    <row r="2626" spans="1:31">
      <c r="A2626" s="1993" t="s">
        <v>240</v>
      </c>
      <c r="B2626" s="596"/>
      <c r="C2626" s="528">
        <v>12</v>
      </c>
      <c r="D2626" s="528">
        <f>Bill!P69</f>
        <v>12</v>
      </c>
      <c r="AA2626" s="1905" t="s">
        <v>1742</v>
      </c>
      <c r="AB2626" s="1906">
        <f>RateSpread!M51*1000</f>
        <v>32618420.145</v>
      </c>
    </row>
    <row r="2627" spans="1:31">
      <c r="A2627" s="1116" t="s">
        <v>19</v>
      </c>
      <c r="C2627" s="528">
        <f>SUM('C2'!F11:F15)</f>
        <v>65661217</v>
      </c>
      <c r="D2627" s="528">
        <f>ROUND(C2627/(C2627+C2629)*Energy!Q109,0)</f>
        <v>57264151</v>
      </c>
      <c r="F2627" s="1942">
        <v>6.68</v>
      </c>
      <c r="G2627" s="1921" t="s">
        <v>495</v>
      </c>
      <c r="H2627" s="1644">
        <f t="shared" ref="H2627:I2630" si="2934">ROUND($F2627*C2627/100,0)</f>
        <v>4386169</v>
      </c>
      <c r="I2627" s="1644">
        <f t="shared" si="2934"/>
        <v>3825245</v>
      </c>
      <c r="K2627" s="1942">
        <f>ROUND(S2627/$D2627*100,4)</f>
        <v>1.2278</v>
      </c>
      <c r="L2627" s="1921" t="s">
        <v>495</v>
      </c>
      <c r="M2627" s="1942">
        <f>ROUND(U2627/$D2627*100,4)</f>
        <v>2.6454</v>
      </c>
      <c r="N2627" s="1921" t="s">
        <v>495</v>
      </c>
      <c r="O2627" s="1942">
        <f>ROUND(Q2627-K2627-M2627,4)</f>
        <v>2.8298000000000001</v>
      </c>
      <c r="P2627" s="1921" t="s">
        <v>495</v>
      </c>
      <c r="Q2627" s="1942">
        <f>ROUND((AB2626-SUM(Y2628:Y2630))/D2627*100,3)</f>
        <v>6.7030000000000003</v>
      </c>
      <c r="R2627" s="1921" t="s">
        <v>495</v>
      </c>
      <c r="S2627" s="1648">
        <f>MIN($S$2633,SUM($Y$2627:$Y$2630))*$Y2627/SUM($Y$2627:$Y$2630)</f>
        <v>703102.67080143746</v>
      </c>
      <c r="T2627" s="1648"/>
      <c r="U2627" s="1648">
        <f>MIN($U$2633,SUM($Y$2627:$Y$2630)-SUM($S$2627:$S$2630))*($Y2627-$S2627)/(SUM($Y$2627:$Y$2630)-SUM($S$2627:$S$2630))</f>
        <v>1514861.8046797663</v>
      </c>
      <c r="V2627" s="1648"/>
      <c r="W2627" s="1648">
        <f>Y2627-S2627-U2627</f>
        <v>1620451.5245187962</v>
      </c>
      <c r="X2627" s="1648"/>
      <c r="Y2627" s="1644">
        <f>ROUND($Q2627*D2627/100,0)</f>
        <v>3838416</v>
      </c>
      <c r="AA2627" s="1969" t="s">
        <v>87</v>
      </c>
      <c r="AB2627" s="1906">
        <f>AB2626-AB2625</f>
        <v>-57.855000000447035</v>
      </c>
    </row>
    <row r="2628" spans="1:31">
      <c r="A2628" s="1116" t="s">
        <v>257</v>
      </c>
      <c r="C2628" s="528">
        <f>-C2627+'C2'!F21</f>
        <v>195234517</v>
      </c>
      <c r="D2628" s="528">
        <f>ROUND(C2628/(C2628+C2630)*Energy!R109,0)</f>
        <v>179663027</v>
      </c>
      <c r="F2628" s="1942">
        <v>5.0229999999999997</v>
      </c>
      <c r="G2628" s="1921" t="s">
        <v>495</v>
      </c>
      <c r="H2628" s="1644">
        <f t="shared" si="2934"/>
        <v>9806630</v>
      </c>
      <c r="I2628" s="1644">
        <f t="shared" si="2934"/>
        <v>9024474</v>
      </c>
      <c r="K2628" s="1942">
        <f t="shared" ref="K2628:K2630" si="2935">ROUND(S2628/$D2628*100,4)</f>
        <v>0.92320000000000002</v>
      </c>
      <c r="L2628" s="1921" t="s">
        <v>495</v>
      </c>
      <c r="M2628" s="1942">
        <f t="shared" ref="M2628:M2630" si="2936">ROUND(U2628/$D2628*100,4)</f>
        <v>1.9891000000000001</v>
      </c>
      <c r="N2628" s="1921" t="s">
        <v>495</v>
      </c>
      <c r="O2628" s="1942">
        <f t="shared" ref="O2628:O2630" si="2937">ROUND(Q2628-K2628-M2628,4)</f>
        <v>2.1276999999999999</v>
      </c>
      <c r="P2628" s="1921" t="s">
        <v>495</v>
      </c>
      <c r="Q2628" s="1942">
        <f>ROUND(F2628*(1+$AB$2629),3)</f>
        <v>5.04</v>
      </c>
      <c r="R2628" s="1921" t="s">
        <v>495</v>
      </c>
      <c r="S2628" s="1648">
        <f t="shared" ref="S2628:S2630" si="2938">MIN($S$2633,SUM($Y$2627:$Y$2630))*$Y2628/SUM($Y$2627:$Y$2630)</f>
        <v>1658654.6733997618</v>
      </c>
      <c r="T2628" s="1648"/>
      <c r="U2628" s="1648">
        <f t="shared" ref="U2628:U2630" si="2939">MIN($U$2633,SUM($Y$2627:$Y$2630)-SUM($S$2627:$S$2630))*($Y2628-$S2628)/(SUM($Y$2627:$Y$2630)-SUM($S$2627:$S$2630))</f>
        <v>3573635.4251404651</v>
      </c>
      <c r="V2628" s="1648"/>
      <c r="W2628" s="1648">
        <f t="shared" ref="W2628:W2630" si="2940">Y2628-S2628-U2628</f>
        <v>3822726.9014597735</v>
      </c>
      <c r="X2628" s="1648"/>
      <c r="Y2628" s="1644">
        <f>ROUND($Q2628*D2628/100,0)</f>
        <v>9055017</v>
      </c>
      <c r="AA2628" s="1903" t="s">
        <v>1743</v>
      </c>
      <c r="AB2628" s="1958">
        <f>AB2625/I2633-1</f>
        <v>3.5996256448179942E-2</v>
      </c>
    </row>
    <row r="2629" spans="1:31">
      <c r="A2629" s="1116" t="s">
        <v>189</v>
      </c>
      <c r="C2629" s="528">
        <f>SUM('C2'!J11:J15)</f>
        <v>274611200</v>
      </c>
      <c r="D2629" s="528">
        <f>Energy!Q109-'Blocking-Step2'!D2627</f>
        <v>239492625.9472512</v>
      </c>
      <c r="F2629" s="1942">
        <v>4.1959999999999997</v>
      </c>
      <c r="G2629" s="1921" t="s">
        <v>495</v>
      </c>
      <c r="H2629" s="1644">
        <f t="shared" si="2934"/>
        <v>11522686</v>
      </c>
      <c r="I2629" s="1644">
        <f t="shared" si="2934"/>
        <v>10049111</v>
      </c>
      <c r="K2629" s="1942">
        <f t="shared" si="2935"/>
        <v>0.7712</v>
      </c>
      <c r="L2629" s="1921" t="s">
        <v>495</v>
      </c>
      <c r="M2629" s="1942">
        <f t="shared" si="2936"/>
        <v>1.6615</v>
      </c>
      <c r="N2629" s="1921" t="s">
        <v>495</v>
      </c>
      <c r="O2629" s="1942">
        <f t="shared" si="2937"/>
        <v>1.7773000000000001</v>
      </c>
      <c r="P2629" s="1921" t="s">
        <v>495</v>
      </c>
      <c r="Q2629" s="1942">
        <f>ROUND(F2629*(1+$AB$2629),3)</f>
        <v>4.21</v>
      </c>
      <c r="R2629" s="1921" t="s">
        <v>495</v>
      </c>
      <c r="S2629" s="1648">
        <f t="shared" si="2938"/>
        <v>1846889.7359560311</v>
      </c>
      <c r="T2629" s="1648"/>
      <c r="U2629" s="1648">
        <f t="shared" si="2939"/>
        <v>3979195.122763244</v>
      </c>
      <c r="V2629" s="1648"/>
      <c r="W2629" s="1648">
        <f t="shared" si="2940"/>
        <v>4256555.1412807256</v>
      </c>
      <c r="X2629" s="1648"/>
      <c r="Y2629" s="1644">
        <f>ROUND($Q2629*D2629/100,0)</f>
        <v>10082640</v>
      </c>
      <c r="AA2629" s="1915" t="s">
        <v>1744</v>
      </c>
      <c r="AB2629" s="1954">
        <f>AB2626/(I2633-I2631)-1</f>
        <v>3.360594718351706E-3</v>
      </c>
      <c r="AC2629" s="1918">
        <f>AB2626/I2633-1</f>
        <v>3.5994418914147452E-2</v>
      </c>
    </row>
    <row r="2630" spans="1:31">
      <c r="A2630" s="1116" t="s">
        <v>1039</v>
      </c>
      <c r="C2630" s="586">
        <f>-C2629+'C2'!J21</f>
        <v>248886394</v>
      </c>
      <c r="D2630" s="586">
        <f>Energy!R109-'Blocking-Step2'!D2628</f>
        <v>229035744.99930882</v>
      </c>
      <c r="F2630" s="1942">
        <v>4.1959999999999997</v>
      </c>
      <c r="G2630" s="1921" t="s">
        <v>495</v>
      </c>
      <c r="H2630" s="1030">
        <f t="shared" si="2934"/>
        <v>10443273</v>
      </c>
      <c r="I2630" s="1030">
        <f t="shared" si="2934"/>
        <v>9610340</v>
      </c>
      <c r="K2630" s="1942">
        <f t="shared" si="2935"/>
        <v>0.7712</v>
      </c>
      <c r="L2630" s="1921" t="s">
        <v>495</v>
      </c>
      <c r="M2630" s="1942">
        <f t="shared" si="2936"/>
        <v>1.6615</v>
      </c>
      <c r="N2630" s="1921" t="s">
        <v>495</v>
      </c>
      <c r="O2630" s="1942">
        <f t="shared" si="2937"/>
        <v>1.7773000000000001</v>
      </c>
      <c r="P2630" s="1921" t="s">
        <v>495</v>
      </c>
      <c r="Q2630" s="1942">
        <f>Q2629</f>
        <v>4.21</v>
      </c>
      <c r="R2630" s="1921" t="s">
        <v>495</v>
      </c>
      <c r="S2630" s="1648">
        <f t="shared" si="2938"/>
        <v>1766249.5957835561</v>
      </c>
      <c r="T2630" s="1648"/>
      <c r="U2630" s="1648">
        <f t="shared" si="2939"/>
        <v>3805452.832562495</v>
      </c>
      <c r="V2630" s="1648"/>
      <c r="W2630" s="1648">
        <f t="shared" si="2940"/>
        <v>4070702.5716539491</v>
      </c>
      <c r="X2630" s="1648"/>
      <c r="Y2630" s="1030">
        <f>ROUND($Q2630*D2630/100,0)</f>
        <v>9642405</v>
      </c>
      <c r="AA2630" s="1109" t="s">
        <v>1938</v>
      </c>
      <c r="AB2630" s="1917">
        <f>RateSpread!W51*1000</f>
        <v>-777729</v>
      </c>
      <c r="AC2630" s="1918">
        <f>ROUND(AB2630/SUM(Y2627:Y2630),4)</f>
        <v>-2.3800000000000002E-2</v>
      </c>
    </row>
    <row r="2631" spans="1:31">
      <c r="A2631" s="1900" t="s">
        <v>1240</v>
      </c>
      <c r="C2631" s="584"/>
      <c r="D2631" s="584"/>
      <c r="F2631" s="2005">
        <v>-3.15E-2</v>
      </c>
      <c r="G2631" s="597"/>
      <c r="H2631" s="2006">
        <f>SUM(H2627:H2630)*$F2631</f>
        <v>-1139000.8770000001</v>
      </c>
      <c r="I2631" s="2006">
        <f>SUM(I2627:I2630)*$F2631</f>
        <v>-1024038.855</v>
      </c>
      <c r="K2631" s="2005"/>
      <c r="L2631" s="597"/>
      <c r="M2631" s="2005"/>
      <c r="N2631" s="597"/>
      <c r="O2631" s="1931" t="str">
        <f>$O$43</f>
        <v>Tax Year 1 (7/1/2021)</v>
      </c>
      <c r="P2631" s="597"/>
      <c r="Q2631" s="1930">
        <f>AC2630</f>
        <v>-2.3800000000000002E-2</v>
      </c>
      <c r="R2631" s="597"/>
      <c r="S2631" s="1645"/>
      <c r="T2631" s="1645"/>
      <c r="U2631" s="1645"/>
      <c r="V2631" s="1645"/>
      <c r="W2631" s="1645"/>
      <c r="X2631" s="1645"/>
      <c r="Y2631" s="1644">
        <f>Q2631*SUM(Y2627:Y2630)</f>
        <v>-776319.77640000009</v>
      </c>
      <c r="AA2631" s="1109" t="s">
        <v>1939</v>
      </c>
      <c r="AB2631" s="1917">
        <f>RateSpread!X51*1000</f>
        <v>-422170</v>
      </c>
      <c r="AC2631" s="1918">
        <f>ROUND(AB2631/SUM(Y2627:Y2630),4)</f>
        <v>-1.29E-2</v>
      </c>
    </row>
    <row r="2632" spans="1:31">
      <c r="A2632" s="1900"/>
      <c r="C2632" s="584"/>
      <c r="D2632" s="584"/>
      <c r="F2632" s="1997"/>
      <c r="G2632" s="597"/>
      <c r="H2632" s="1645"/>
      <c r="I2632" s="1645"/>
      <c r="K2632" s="1997"/>
      <c r="L2632" s="597"/>
      <c r="M2632" s="1997"/>
      <c r="N2632" s="597"/>
      <c r="O2632" s="1931" t="str">
        <f>$O$44</f>
        <v>Tax Year 2 (1/1/2022)</v>
      </c>
      <c r="P2632" s="597"/>
      <c r="Q2632" s="1930">
        <f>AC2631</f>
        <v>-1.29E-2</v>
      </c>
      <c r="R2632" s="597"/>
      <c r="S2632" s="1645"/>
      <c r="T2632" s="1645"/>
      <c r="U2632" s="1645"/>
      <c r="V2632" s="1645"/>
      <c r="W2632" s="1645"/>
      <c r="X2632" s="1645"/>
      <c r="Y2632" s="1644">
        <f>Q2632*SUM(Y2627:Y2630)</f>
        <v>-420778.36619999999</v>
      </c>
      <c r="AA2632" s="1933" t="s">
        <v>1660</v>
      </c>
      <c r="AB2632" s="1933" t="s">
        <v>1661</v>
      </c>
      <c r="AC2632" s="1933" t="s">
        <v>1662</v>
      </c>
      <c r="AD2632" s="1933" t="s">
        <v>93</v>
      </c>
    </row>
    <row r="2633" spans="1:31" ht="16.5" thickBot="1">
      <c r="A2633" s="1900" t="s">
        <v>247</v>
      </c>
      <c r="B2633" s="596"/>
      <c r="C2633" s="2013">
        <f>SUM(C2627:C2630)</f>
        <v>784393328</v>
      </c>
      <c r="D2633" s="2013">
        <f>SUM(D2627:D2630)</f>
        <v>705455548.94656003</v>
      </c>
      <c r="F2633" s="2014"/>
      <c r="G2633" s="1957"/>
      <c r="H2633" s="1646">
        <f>SUM(H2627:H2631)</f>
        <v>35019757.123000003</v>
      </c>
      <c r="I2633" s="1646">
        <f>SUM(I2627:I2631)</f>
        <v>31485131.145</v>
      </c>
      <c r="K2633" s="2014"/>
      <c r="L2633" s="1957"/>
      <c r="M2633" s="2014"/>
      <c r="N2633" s="1957"/>
      <c r="O2633" s="2014"/>
      <c r="P2633" s="1957"/>
      <c r="Q2633" s="2014"/>
      <c r="R2633" s="1957"/>
      <c r="S2633" s="1646">
        <f>$Y2633*AA2633/$AD2633*$W$2683</f>
        <v>5974896.6759407865</v>
      </c>
      <c r="T2633" s="1646"/>
      <c r="U2633" s="1646">
        <f>$Y2633*AB2633/$AD2633*$W$2683</f>
        <v>12873145.18514597</v>
      </c>
      <c r="V2633" s="1646"/>
      <c r="W2633" s="1646">
        <f>Y2633-S2633-U2633</f>
        <v>13770436.138913244</v>
      </c>
      <c r="X2633" s="1645"/>
      <c r="Y2633" s="1646">
        <f>SUM(Y2627:Y2630)</f>
        <v>32618478</v>
      </c>
      <c r="AA2633" s="1937">
        <f>'Unit Cost Target'!$N$87+'Unit Cost Target'!$N$123+'Unit Cost Target'!$N$129+'Unit Cost Target'!$N$75+'Unit Cost Target'!$N$81</f>
        <v>5718175.8939075284</v>
      </c>
      <c r="AB2633" s="1937">
        <f>'Unit Cost Target'!$N$45+'Unit Cost Target'!$N$51</f>
        <v>12320030.365191702</v>
      </c>
      <c r="AC2633" s="1937">
        <f>'Unit Cost Target'!$N$33+'Unit Cost Target'!$N$39+'Unit Cost Target'!$N$63+'Unit Cost Target'!$N$69</f>
        <v>13944694.076718183</v>
      </c>
      <c r="AD2633" s="1937">
        <f>SUM(AA2633:AC2633)</f>
        <v>31982900.335817412</v>
      </c>
      <c r="AE2633" s="1937">
        <f>AD2633-'Unit Cost Target'!$N$21</f>
        <v>0</v>
      </c>
    </row>
    <row r="2634" spans="1:31" ht="16.5" thickTop="1">
      <c r="A2634" s="1993"/>
      <c r="B2634" s="596"/>
      <c r="C2634" s="584"/>
      <c r="D2634" s="584"/>
      <c r="F2634" s="1986"/>
      <c r="G2634" s="1986"/>
      <c r="H2634" s="1645"/>
      <c r="I2634" s="1645"/>
      <c r="K2634" s="1986"/>
      <c r="L2634" s="1986"/>
      <c r="M2634" s="1986"/>
      <c r="N2634" s="1986"/>
      <c r="O2634" s="1986"/>
      <c r="P2634" s="1986"/>
      <c r="Q2634" s="1986"/>
      <c r="R2634" s="1986"/>
      <c r="S2634" s="1652"/>
      <c r="T2634" s="1652"/>
      <c r="U2634" s="1652"/>
      <c r="V2634" s="1652"/>
      <c r="W2634" s="1652"/>
      <c r="X2634" s="1652"/>
      <c r="Y2634" s="1645"/>
      <c r="AA2634" s="1937">
        <f>S2633-SUM(S2627:S2632)</f>
        <v>0</v>
      </c>
      <c r="AB2634" s="1937">
        <f>U2633-SUM(U2627:U2632)</f>
        <v>0</v>
      </c>
      <c r="AC2634" s="1937">
        <f>W2633-SUM(W2627:W2632)</f>
        <v>0</v>
      </c>
      <c r="AD2634" s="1937">
        <f>SUM(AA2634:AC2634)</f>
        <v>0</v>
      </c>
      <c r="AE2634" s="1937"/>
    </row>
    <row r="2635" spans="1:31">
      <c r="A2635" s="1897" t="s">
        <v>682</v>
      </c>
      <c r="C2635" s="528"/>
      <c r="D2635" s="528"/>
      <c r="F2635" s="1943"/>
      <c r="G2635" s="1957"/>
      <c r="K2635" s="1943"/>
      <c r="L2635" s="1957"/>
      <c r="M2635" s="1943"/>
      <c r="N2635" s="1957"/>
      <c r="O2635" s="1943"/>
      <c r="P2635" s="1957"/>
      <c r="Q2635" s="1943"/>
      <c r="R2635" s="1957"/>
      <c r="S2635" s="1645"/>
      <c r="T2635" s="1645"/>
      <c r="U2635" s="1645"/>
      <c r="V2635" s="1645"/>
      <c r="W2635" s="1645"/>
      <c r="X2635" s="1645"/>
    </row>
    <row r="2636" spans="1:31">
      <c r="A2636" s="1993" t="s">
        <v>240</v>
      </c>
      <c r="B2636" s="596"/>
      <c r="C2636" s="528">
        <v>12</v>
      </c>
      <c r="D2636" s="528">
        <f>Bill!P70</f>
        <v>12</v>
      </c>
    </row>
    <row r="2637" spans="1:31">
      <c r="A2637" s="1900" t="s">
        <v>1174</v>
      </c>
      <c r="C2637" s="528">
        <f>'C3'!F21</f>
        <v>375537561</v>
      </c>
      <c r="D2637" s="528">
        <f>'C3-Forecast'!N5</f>
        <v>376680000</v>
      </c>
      <c r="F2637" s="1942">
        <f>ROUND(H2637/C2637*100,4)</f>
        <v>5.6154999999999999</v>
      </c>
      <c r="G2637" s="1921" t="s">
        <v>495</v>
      </c>
      <c r="H2637" s="1644">
        <f>'C3'!H21</f>
        <v>21088466.710000001</v>
      </c>
      <c r="I2637" s="1644">
        <f>'C3-Forecast'!N9</f>
        <v>22005408.239999995</v>
      </c>
      <c r="K2637" s="1143">
        <f>ROUND(Q2637*AA1495/(AA1495+AB1495),4)</f>
        <v>1.8204</v>
      </c>
      <c r="L2637" s="1875" t="s">
        <v>495</v>
      </c>
      <c r="M2637" s="1143">
        <f>Q2637-K2637-O2637</f>
        <v>4.0214999999999996</v>
      </c>
      <c r="N2637" s="1875" t="s">
        <v>495</v>
      </c>
      <c r="O2637" s="1143">
        <v>0</v>
      </c>
      <c r="P2637" s="1921" t="s">
        <v>495</v>
      </c>
      <c r="Q2637" s="1942">
        <f>ROUND(Y2637/D2637*100,4)</f>
        <v>5.8418999999999999</v>
      </c>
      <c r="R2637" s="1921" t="s">
        <v>495</v>
      </c>
      <c r="S2637" s="1193">
        <f>ROUND($D2637*K2637/100,0)</f>
        <v>6857083</v>
      </c>
      <c r="T2637" s="1114"/>
      <c r="U2637" s="1193">
        <f>ROUND($D2637*M2637/100,0)</f>
        <v>15148186</v>
      </c>
      <c r="V2637" s="1114"/>
      <c r="W2637" s="1193">
        <f>ROUND($D2637*O2637/100,0)</f>
        <v>0</v>
      </c>
      <c r="X2637" s="1648"/>
      <c r="Y2637" s="1644">
        <f>I2637</f>
        <v>22005408.239999995</v>
      </c>
    </row>
    <row r="2638" spans="1:31">
      <c r="A2638" s="1900" t="s">
        <v>1175</v>
      </c>
      <c r="C2638" s="528"/>
      <c r="D2638" s="528"/>
      <c r="F2638" s="1942"/>
      <c r="G2638" s="1921"/>
      <c r="H2638" s="1644"/>
      <c r="I2638" s="1644"/>
      <c r="K2638" s="1942"/>
      <c r="L2638" s="1921"/>
      <c r="M2638" s="1942"/>
      <c r="N2638" s="1921"/>
      <c r="O2638" s="1942"/>
      <c r="P2638" s="1921"/>
      <c r="Q2638" s="1942"/>
      <c r="R2638" s="1921"/>
      <c r="S2638" s="1648"/>
      <c r="T2638" s="1648"/>
      <c r="U2638" s="1648"/>
      <c r="V2638" s="1648"/>
      <c r="W2638" s="1648"/>
      <c r="X2638" s="1648"/>
      <c r="Y2638" s="1644"/>
    </row>
    <row r="2639" spans="1:31">
      <c r="A2639" s="1900" t="s">
        <v>1176</v>
      </c>
      <c r="C2639" s="528">
        <f>'C3'!N21</f>
        <v>909325685</v>
      </c>
      <c r="D2639" s="528">
        <f>D2640-D2637-D2638</f>
        <v>911946197</v>
      </c>
      <c r="F2639" s="1942">
        <f>ROUND(H2639/C2639*100,4)</f>
        <v>4.9291</v>
      </c>
      <c r="G2639" s="1921" t="s">
        <v>495</v>
      </c>
      <c r="H2639" s="1644">
        <f>'C3'!P21</f>
        <v>44821227.529999994</v>
      </c>
      <c r="I2639" s="1644">
        <f>'C3-Forecast'!N14</f>
        <v>40952184.777309686</v>
      </c>
      <c r="K2639" s="1143">
        <f>ROUND(Q2639*AA1495/(AA1495+AB1495),4)</f>
        <v>1.3993</v>
      </c>
      <c r="L2639" s="1875" t="s">
        <v>495</v>
      </c>
      <c r="M2639" s="1143">
        <f>Q2639-K2639-O2639</f>
        <v>3.0912999999999995</v>
      </c>
      <c r="N2639" s="1875" t="s">
        <v>495</v>
      </c>
      <c r="O2639" s="1143">
        <v>0</v>
      </c>
      <c r="P2639" s="1921" t="s">
        <v>495</v>
      </c>
      <c r="Q2639" s="1942">
        <f>ROUND(Y2639/D2639*100,4)</f>
        <v>4.4905999999999997</v>
      </c>
      <c r="R2639" s="1921" t="s">
        <v>495</v>
      </c>
      <c r="S2639" s="1193">
        <f>ROUND($D2639*K2639/100,0)</f>
        <v>12760863</v>
      </c>
      <c r="T2639" s="1114"/>
      <c r="U2639" s="1193">
        <f>ROUND($D2639*M2639/100,0)</f>
        <v>28190993</v>
      </c>
      <c r="V2639" s="1114"/>
      <c r="W2639" s="1193">
        <f>ROUND($D2639*O2639/100,0)</f>
        <v>0</v>
      </c>
      <c r="X2639" s="1648"/>
      <c r="Y2639" s="1644">
        <f>I2639</f>
        <v>40952184.777309686</v>
      </c>
      <c r="AA2639" s="1933"/>
      <c r="AB2639" s="1933"/>
      <c r="AC2639" s="1933"/>
      <c r="AD2639" s="1933"/>
    </row>
    <row r="2640" spans="1:31" ht="16.5" thickBot="1">
      <c r="A2640" s="1900" t="s">
        <v>402</v>
      </c>
      <c r="C2640" s="1949">
        <f>SUM(C2637:C2639)</f>
        <v>1284863246</v>
      </c>
      <c r="D2640" s="1949">
        <f>Energy!P70</f>
        <v>1288626197</v>
      </c>
      <c r="F2640" s="2011"/>
      <c r="G2640" s="1957"/>
      <c r="H2640" s="1647">
        <f>SUM(H2637:H2639)</f>
        <v>65909694.239999995</v>
      </c>
      <c r="I2640" s="1647">
        <f>SUM(I2637:I2639)</f>
        <v>62957593.017309681</v>
      </c>
      <c r="K2640" s="2011"/>
      <c r="L2640" s="1957"/>
      <c r="M2640" s="2011"/>
      <c r="N2640" s="1957"/>
      <c r="O2640" s="2011"/>
      <c r="P2640" s="1957"/>
      <c r="Q2640" s="2011"/>
      <c r="R2640" s="1957"/>
      <c r="S2640" s="1647">
        <f>SUM(S2637:S2639)</f>
        <v>19617946</v>
      </c>
      <c r="T2640" s="1646"/>
      <c r="U2640" s="1647">
        <f>SUM(U2637:U2639)</f>
        <v>43339179</v>
      </c>
      <c r="V2640" s="1646"/>
      <c r="W2640" s="1647">
        <f>SUM(W2637:W2639)</f>
        <v>0</v>
      </c>
      <c r="X2640" s="1645"/>
      <c r="Y2640" s="1647">
        <f>SUM(Y2637:Y2639)</f>
        <v>62957593.017309681</v>
      </c>
      <c r="AA2640" s="1937"/>
      <c r="AB2640" s="1937"/>
      <c r="AC2640" s="1937"/>
      <c r="AD2640" s="1937"/>
      <c r="AE2640" s="1937"/>
    </row>
    <row r="2641" spans="1:31" ht="16.5" thickTop="1">
      <c r="C2641" s="528"/>
      <c r="D2641" s="528"/>
      <c r="F2641" s="1943"/>
      <c r="G2641" s="1957"/>
      <c r="K2641" s="1943"/>
      <c r="L2641" s="1957"/>
      <c r="M2641" s="1943"/>
      <c r="N2641" s="1957"/>
      <c r="O2641" s="1943"/>
      <c r="P2641" s="1957"/>
      <c r="Q2641" s="1943"/>
      <c r="R2641" s="1957"/>
      <c r="S2641" s="1645"/>
      <c r="T2641" s="1645"/>
      <c r="U2641" s="1645"/>
      <c r="V2641" s="1645"/>
      <c r="W2641" s="1645"/>
      <c r="X2641" s="1645"/>
      <c r="AA2641" s="1937"/>
      <c r="AB2641" s="1937"/>
      <c r="AC2641" s="1937"/>
      <c r="AD2641" s="1937"/>
      <c r="AE2641" s="1937"/>
    </row>
    <row r="2642" spans="1:31">
      <c r="A2642" s="1897" t="s">
        <v>928</v>
      </c>
      <c r="C2642" s="528"/>
      <c r="D2642" s="528"/>
    </row>
    <row r="2643" spans="1:31">
      <c r="A2643" s="1900" t="s">
        <v>141</v>
      </c>
      <c r="C2643" s="1025">
        <f t="shared" ref="C2643:D2645" si="2941">C2652+C2661</f>
        <v>4</v>
      </c>
      <c r="D2643" s="1025">
        <f t="shared" si="2941"/>
        <v>4</v>
      </c>
      <c r="F2643" s="596"/>
      <c r="H2643" s="1637"/>
      <c r="I2643" s="1637"/>
      <c r="K2643" s="596"/>
      <c r="M2643" s="596"/>
      <c r="O2643" s="596"/>
      <c r="Q2643" s="596"/>
      <c r="Y2643" s="1637"/>
    </row>
    <row r="2644" spans="1:31">
      <c r="A2644" s="1900" t="s">
        <v>152</v>
      </c>
      <c r="C2644" s="528">
        <f t="shared" si="2941"/>
        <v>48</v>
      </c>
      <c r="D2644" s="528">
        <f t="shared" si="2941"/>
        <v>48</v>
      </c>
      <c r="F2644" s="2015">
        <v>2.1800000000000002</v>
      </c>
      <c r="G2644" s="1902"/>
      <c r="H2644" s="1644">
        <f>ROUND($F2644*C2644,0)</f>
        <v>105</v>
      </c>
      <c r="I2644" s="1644">
        <f>ROUND($F2644*D2644,0)</f>
        <v>105</v>
      </c>
      <c r="K2644" s="1901">
        <f>ROUND(S2644/$D2644,4)</f>
        <v>1.605</v>
      </c>
      <c r="L2644" s="1902"/>
      <c r="M2644" s="1901">
        <f>ROUND(U2644/$D2644,4)</f>
        <v>0.2374</v>
      </c>
      <c r="N2644" s="1902"/>
      <c r="O2644" s="1901">
        <f>ROUND(Q2644-K2644-M2644,4)</f>
        <v>0.33760000000000001</v>
      </c>
      <c r="P2644" s="1902"/>
      <c r="Q2644" s="2015">
        <v>2.1800000000000002</v>
      </c>
      <c r="R2644" s="1902"/>
      <c r="S2644" s="1643">
        <f>$Y2644*S$2649/$Y$2649</f>
        <v>77.040476626574062</v>
      </c>
      <c r="T2644" s="1643"/>
      <c r="U2644" s="1643">
        <f>$Y2644*U$2649/$Y$2649</f>
        <v>11.396032860096977</v>
      </c>
      <c r="V2644" s="1643"/>
      <c r="W2644" s="1643">
        <f>Y2644-S2644-U2644</f>
        <v>16.563490513328961</v>
      </c>
      <c r="X2644" s="1643"/>
      <c r="Y2644" s="1644">
        <f>ROUND($D2644*Q2644,0)</f>
        <v>105</v>
      </c>
    </row>
    <row r="2645" spans="1:31">
      <c r="A2645" s="1900" t="s">
        <v>153</v>
      </c>
      <c r="C2645" s="584">
        <f t="shared" si="2941"/>
        <v>206.830451093421</v>
      </c>
      <c r="D2645" s="584">
        <f t="shared" si="2941"/>
        <v>207</v>
      </c>
      <c r="F2645" s="1992">
        <v>2.1858</v>
      </c>
      <c r="G2645" s="1921"/>
      <c r="H2645" s="1644">
        <f>ROUND($F2645*C2645,0)</f>
        <v>452</v>
      </c>
      <c r="I2645" s="1644">
        <f>ROUND($F2645*D2645,0)</f>
        <v>452</v>
      </c>
      <c r="K2645" s="1901">
        <f>ROUND(S2645/$D2645,4)</f>
        <v>1.6021000000000001</v>
      </c>
      <c r="L2645" s="1902"/>
      <c r="M2645" s="1901">
        <f>ROUND(U2645/$D2645,4)</f>
        <v>0.23699999999999999</v>
      </c>
      <c r="N2645" s="1902"/>
      <c r="O2645" s="1901">
        <f>ROUND(Q2645-K2645-M2645,4)</f>
        <v>0.34670000000000001</v>
      </c>
      <c r="P2645" s="1921"/>
      <c r="Q2645" s="1992">
        <v>2.1858</v>
      </c>
      <c r="R2645" s="1921"/>
      <c r="S2645" s="1643">
        <f>$Y2645*S$2649/$Y$2649</f>
        <v>331.64090890677602</v>
      </c>
      <c r="T2645" s="1648"/>
      <c r="U2645" s="1643">
        <f>$Y2645*U$2649/$Y$2649</f>
        <v>49.057208121560315</v>
      </c>
      <c r="V2645" s="1648"/>
      <c r="W2645" s="1643">
        <f>Y2645-S2645-U2645</f>
        <v>71.301882971663673</v>
      </c>
      <c r="X2645" s="1648"/>
      <c r="Y2645" s="1644">
        <f>ROUND($D2645*Q2645,0)</f>
        <v>452</v>
      </c>
    </row>
    <row r="2646" spans="1:31">
      <c r="A2646" s="1900" t="s">
        <v>154</v>
      </c>
      <c r="C2646" s="586">
        <f>SUM(C2644:C2645)</f>
        <v>254.830451093421</v>
      </c>
      <c r="D2646" s="586">
        <f>SUM(D2644:D2645)</f>
        <v>255</v>
      </c>
      <c r="F2646" s="2004"/>
      <c r="G2646" s="1921"/>
      <c r="H2646" s="1649">
        <f>SUM(H2644:H2645)</f>
        <v>557</v>
      </c>
      <c r="I2646" s="1649">
        <f>SUM(I2644:I2645)</f>
        <v>557</v>
      </c>
      <c r="K2646" s="2004"/>
      <c r="L2646" s="1921"/>
      <c r="M2646" s="2004"/>
      <c r="N2646" s="1921"/>
      <c r="O2646" s="2004"/>
      <c r="P2646" s="1921"/>
      <c r="Q2646" s="2004"/>
      <c r="R2646" s="1921"/>
      <c r="S2646" s="1648"/>
      <c r="T2646" s="1648"/>
      <c r="U2646" s="1648"/>
      <c r="V2646" s="1648"/>
      <c r="W2646" s="1648"/>
      <c r="X2646" s="1648"/>
      <c r="Y2646" s="1649">
        <f>SUM(Y2644:Y2645)</f>
        <v>557</v>
      </c>
    </row>
    <row r="2647" spans="1:31">
      <c r="A2647" s="1900" t="s">
        <v>301</v>
      </c>
      <c r="C2647" s="1025">
        <f>C2656+C2665</f>
        <v>7390.0830817092101</v>
      </c>
      <c r="D2647" s="1025">
        <f>D2656+D2665</f>
        <v>7387</v>
      </c>
      <c r="F2647" s="596"/>
      <c r="H2647" s="1637"/>
      <c r="I2647" s="1637"/>
      <c r="K2647" s="596"/>
      <c r="M2647" s="596"/>
      <c r="O2647" s="596"/>
      <c r="Q2647" s="596"/>
      <c r="Y2647" s="1637"/>
    </row>
    <row r="2648" spans="1:31">
      <c r="A2648" s="1900" t="s">
        <v>136</v>
      </c>
      <c r="C2648" s="1025">
        <f>C2657+C2666</f>
        <v>40</v>
      </c>
      <c r="D2648" s="1025">
        <f>D2657+D2666</f>
        <v>0</v>
      </c>
      <c r="F2648" s="596"/>
      <c r="H2648" s="1645">
        <f>H2657+H2666</f>
        <v>4</v>
      </c>
      <c r="I2648" s="1645">
        <f>I2657+I2666</f>
        <v>0</v>
      </c>
      <c r="K2648" s="596"/>
      <c r="M2648" s="596"/>
      <c r="O2648" s="596"/>
      <c r="Q2648" s="596"/>
      <c r="Y2648" s="1645"/>
    </row>
    <row r="2649" spans="1:31" ht="16.5" thickBot="1">
      <c r="A2649" s="1900" t="s">
        <v>93</v>
      </c>
      <c r="C2649" s="1026">
        <f>C2648+C2647</f>
        <v>7430.0830817092101</v>
      </c>
      <c r="D2649" s="1026">
        <f>D2648+D2647</f>
        <v>7387</v>
      </c>
      <c r="F2649" s="1979"/>
      <c r="G2649" s="1980"/>
      <c r="H2649" s="1651">
        <f>H2648+H2646</f>
        <v>561</v>
      </c>
      <c r="I2649" s="1651">
        <f>I2648+I2646</f>
        <v>557</v>
      </c>
      <c r="K2649" s="1979"/>
      <c r="L2649" s="1980"/>
      <c r="M2649" s="1979"/>
      <c r="N2649" s="1980"/>
      <c r="O2649" s="1979"/>
      <c r="P2649" s="1980"/>
      <c r="Q2649" s="1979"/>
      <c r="R2649" s="1980"/>
      <c r="S2649" s="1651">
        <f>$Y2649*AA$1797/$AD$1797</f>
        <v>408.68138553335007</v>
      </c>
      <c r="U2649" s="1651">
        <f>$Y2649*AB$1797/$AD$1797</f>
        <v>60.453240981657288</v>
      </c>
      <c r="W2649" s="1651">
        <f>Y2649-S2649-U2649</f>
        <v>87.865373484992645</v>
      </c>
      <c r="X2649" s="1650"/>
      <c r="Y2649" s="1651">
        <f>Y2648+Y2646</f>
        <v>557</v>
      </c>
      <c r="AA2649" s="1104" t="s">
        <v>1743</v>
      </c>
      <c r="AB2649" s="1890">
        <f>Y2649/I2649-1</f>
        <v>0</v>
      </c>
    </row>
    <row r="2650" spans="1:31" ht="16.5" hidden="1" thickTop="1">
      <c r="C2650" s="528"/>
      <c r="D2650" s="528"/>
      <c r="F2650" s="1943"/>
      <c r="G2650" s="1957"/>
      <c r="K2650" s="1943"/>
      <c r="L2650" s="1957"/>
      <c r="M2650" s="1943"/>
      <c r="N2650" s="1957"/>
      <c r="O2650" s="1943"/>
      <c r="P2650" s="1957"/>
      <c r="Q2650" s="1943"/>
      <c r="R2650" s="1957"/>
      <c r="S2650" s="1645"/>
      <c r="T2650" s="1645"/>
      <c r="U2650" s="1645"/>
      <c r="V2650" s="1645"/>
      <c r="W2650" s="1645"/>
      <c r="X2650" s="1645"/>
    </row>
    <row r="2651" spans="1:31" hidden="1">
      <c r="A2651" s="1897" t="s">
        <v>929</v>
      </c>
      <c r="C2651" s="528"/>
      <c r="D2651" s="528"/>
    </row>
    <row r="2652" spans="1:31" hidden="1">
      <c r="A2652" s="1900" t="s">
        <v>141</v>
      </c>
      <c r="C2652" s="1025">
        <f>'Table 2'!F66</f>
        <v>2</v>
      </c>
      <c r="D2652" s="1025">
        <f>ROUND(Bill!P45/12,0)</f>
        <v>2</v>
      </c>
      <c r="F2652" s="596"/>
      <c r="H2652" s="1637"/>
      <c r="I2652" s="1637"/>
      <c r="K2652" s="596"/>
      <c r="M2652" s="596"/>
      <c r="O2652" s="596"/>
      <c r="Q2652" s="596"/>
      <c r="Y2652" s="1637"/>
    </row>
    <row r="2653" spans="1:31" hidden="1">
      <c r="A2653" s="1900" t="s">
        <v>152</v>
      </c>
      <c r="C2653" s="528">
        <v>0</v>
      </c>
      <c r="D2653" s="528">
        <f>ROUND(C2653/C2656*D2656,0)</f>
        <v>0</v>
      </c>
      <c r="F2653" s="2015">
        <v>2.1800000000000002</v>
      </c>
      <c r="G2653" s="1902"/>
      <c r="H2653" s="1644">
        <f>ROUND($F2653*C2653,0)</f>
        <v>0</v>
      </c>
      <c r="I2653" s="1644">
        <f>ROUND($F2653*D2653,0)</f>
        <v>0</v>
      </c>
      <c r="K2653" s="2015">
        <f>K2644</f>
        <v>1.605</v>
      </c>
      <c r="L2653" s="1902"/>
      <c r="M2653" s="2015">
        <f>M2644</f>
        <v>0.2374</v>
      </c>
      <c r="N2653" s="1902"/>
      <c r="O2653" s="2015">
        <f>O2644</f>
        <v>0.33760000000000001</v>
      </c>
      <c r="P2653" s="1902"/>
      <c r="Q2653" s="2015">
        <v>2.1800000000000002</v>
      </c>
      <c r="R2653" s="1902"/>
      <c r="S2653" s="1644">
        <f t="shared" ref="S2653:S2654" si="2942">ROUND($D2653*K2653,0)</f>
        <v>0</v>
      </c>
      <c r="T2653" s="1645"/>
      <c r="U2653" s="1644">
        <f t="shared" ref="U2653:U2654" si="2943">ROUND($D2653*M2653,0)</f>
        <v>0</v>
      </c>
      <c r="V2653" s="1645"/>
      <c r="W2653" s="1644">
        <f t="shared" ref="W2653:W2654" si="2944">ROUND($D2653*O2653,0)</f>
        <v>0</v>
      </c>
      <c r="X2653" s="1643"/>
      <c r="Y2653" s="1644">
        <f>ROUND($D2653*Q2653,0)</f>
        <v>0</v>
      </c>
    </row>
    <row r="2654" spans="1:31" hidden="1">
      <c r="A2654" s="1900" t="s">
        <v>153</v>
      </c>
      <c r="C2654" s="584">
        <f>PTL!K2</f>
        <v>206.830451093421</v>
      </c>
      <c r="D2654" s="528">
        <f>ROUND(C2654/C2656*D2656,0)</f>
        <v>207</v>
      </c>
      <c r="F2654" s="1992">
        <v>2.1858</v>
      </c>
      <c r="G2654" s="1921"/>
      <c r="H2654" s="1644">
        <f>ROUND($F2654*C2654,0)</f>
        <v>452</v>
      </c>
      <c r="I2654" s="1644">
        <f>ROUND($F2654*D2654,0)</f>
        <v>452</v>
      </c>
      <c r="K2654" s="2015">
        <f>K2645</f>
        <v>1.6021000000000001</v>
      </c>
      <c r="L2654" s="1921"/>
      <c r="M2654" s="2015">
        <f>M2645</f>
        <v>0.23699999999999999</v>
      </c>
      <c r="N2654" s="1921"/>
      <c r="O2654" s="2015">
        <f>O2645</f>
        <v>0.34670000000000001</v>
      </c>
      <c r="P2654" s="1921"/>
      <c r="Q2654" s="1992">
        <v>2.1858</v>
      </c>
      <c r="R2654" s="1921"/>
      <c r="S2654" s="1644">
        <f t="shared" si="2942"/>
        <v>332</v>
      </c>
      <c r="T2654" s="1645"/>
      <c r="U2654" s="1644">
        <f t="shared" si="2943"/>
        <v>49</v>
      </c>
      <c r="V2654" s="1645"/>
      <c r="W2654" s="1644">
        <f t="shared" si="2944"/>
        <v>72</v>
      </c>
      <c r="X2654" s="1648"/>
      <c r="Y2654" s="1644">
        <f>ROUND($D2654*Q2654,0)</f>
        <v>452</v>
      </c>
    </row>
    <row r="2655" spans="1:31" hidden="1">
      <c r="A2655" s="1900" t="s">
        <v>154</v>
      </c>
      <c r="C2655" s="586">
        <f>SUM(C2653:C2654)</f>
        <v>206.830451093421</v>
      </c>
      <c r="D2655" s="586">
        <f>SUM(D2653:D2654)</f>
        <v>207</v>
      </c>
      <c r="F2655" s="2004"/>
      <c r="G2655" s="1921"/>
      <c r="H2655" s="1649">
        <f>SUM(H2653:H2654)</f>
        <v>452</v>
      </c>
      <c r="I2655" s="1649">
        <f>SUM(I2653:I2654)</f>
        <v>452</v>
      </c>
      <c r="K2655" s="2004"/>
      <c r="L2655" s="1921"/>
      <c r="M2655" s="2004"/>
      <c r="N2655" s="1921"/>
      <c r="O2655" s="2004"/>
      <c r="P2655" s="1921"/>
      <c r="Q2655" s="2004"/>
      <c r="R2655" s="1921"/>
      <c r="S2655" s="1649">
        <f>SUM(S2653:S2654)</f>
        <v>332</v>
      </c>
      <c r="T2655" s="1648"/>
      <c r="U2655" s="1649">
        <f>SUM(U2653:U2654)</f>
        <v>49</v>
      </c>
      <c r="V2655" s="1648"/>
      <c r="W2655" s="1649">
        <f>SUM(W2653:W2654)</f>
        <v>72</v>
      </c>
      <c r="X2655" s="1648"/>
      <c r="Y2655" s="1649">
        <f>SUM(Y2653:Y2654)</f>
        <v>452</v>
      </c>
    </row>
    <row r="2656" spans="1:31" hidden="1">
      <c r="A2656" s="1900" t="s">
        <v>301</v>
      </c>
      <c r="C2656" s="1025">
        <f>PTL!L2</f>
        <v>5998.0830817092101</v>
      </c>
      <c r="D2656" s="1025">
        <f>D2658-D2657</f>
        <v>5995</v>
      </c>
      <c r="F2656" s="596"/>
      <c r="H2656" s="1637"/>
      <c r="I2656" s="1637"/>
      <c r="K2656" s="596"/>
      <c r="M2656" s="596"/>
      <c r="O2656" s="596"/>
      <c r="Q2656" s="596"/>
      <c r="Y2656" s="1637"/>
    </row>
    <row r="2657" spans="1:28" hidden="1">
      <c r="A2657" s="1900" t="s">
        <v>136</v>
      </c>
      <c r="C2657" s="1025">
        <f>'Table 2'!J66</f>
        <v>32</v>
      </c>
      <c r="D2657" s="1025">
        <v>0</v>
      </c>
      <c r="F2657" s="596"/>
      <c r="H2657" s="1645">
        <f>'Table 3'!F66</f>
        <v>3</v>
      </c>
      <c r="I2657" s="1645">
        <v>0</v>
      </c>
      <c r="K2657" s="596"/>
      <c r="M2657" s="596"/>
      <c r="O2657" s="596"/>
      <c r="Q2657" s="596"/>
      <c r="S2657" s="1645"/>
      <c r="U2657" s="1645"/>
      <c r="W2657" s="1645"/>
      <c r="Y2657" s="1645"/>
    </row>
    <row r="2658" spans="1:28" ht="16.5" hidden="1" thickBot="1">
      <c r="A2658" s="1900" t="s">
        <v>93</v>
      </c>
      <c r="C2658" s="1026">
        <f>C2657+C2656</f>
        <v>6030.0830817092101</v>
      </c>
      <c r="D2658" s="1026">
        <f>Energy!P45</f>
        <v>5995</v>
      </c>
      <c r="F2658" s="1979"/>
      <c r="G2658" s="1980"/>
      <c r="H2658" s="1651">
        <f>H2657+H2655</f>
        <v>455</v>
      </c>
      <c r="I2658" s="1651">
        <f>I2657+I2655</f>
        <v>452</v>
      </c>
      <c r="K2658" s="1979"/>
      <c r="L2658" s="1980"/>
      <c r="M2658" s="1979"/>
      <c r="N2658" s="1980"/>
      <c r="O2658" s="1979"/>
      <c r="P2658" s="1980"/>
      <c r="Q2658" s="1979"/>
      <c r="R2658" s="1980"/>
      <c r="S2658" s="1651">
        <f>S2657+S2655</f>
        <v>332</v>
      </c>
      <c r="T2658" s="1650"/>
      <c r="U2658" s="1651">
        <f>U2657+U2655</f>
        <v>49</v>
      </c>
      <c r="V2658" s="1650"/>
      <c r="W2658" s="1651">
        <f>W2657+W2655</f>
        <v>72</v>
      </c>
      <c r="X2658" s="1650"/>
      <c r="Y2658" s="1651">
        <f>Y2657+Y2655</f>
        <v>452</v>
      </c>
      <c r="AA2658" s="1104" t="s">
        <v>1743</v>
      </c>
      <c r="AB2658" s="1890">
        <f>Y2658/I2658-1</f>
        <v>0</v>
      </c>
    </row>
    <row r="2659" spans="1:28" ht="16.5" hidden="1" thickTop="1">
      <c r="C2659" s="528"/>
      <c r="D2659" s="528"/>
      <c r="F2659" s="1943"/>
      <c r="G2659" s="1957"/>
      <c r="K2659" s="1943"/>
      <c r="L2659" s="1957"/>
      <c r="M2659" s="1943"/>
      <c r="N2659" s="1957"/>
      <c r="O2659" s="1943"/>
      <c r="P2659" s="1957"/>
      <c r="Q2659" s="1943"/>
      <c r="R2659" s="1957"/>
      <c r="S2659" s="1645"/>
      <c r="T2659" s="1645"/>
      <c r="U2659" s="1645"/>
      <c r="V2659" s="1645"/>
      <c r="W2659" s="1645"/>
      <c r="X2659" s="1645"/>
    </row>
    <row r="2660" spans="1:28" hidden="1">
      <c r="A2660" s="1897" t="s">
        <v>930</v>
      </c>
      <c r="C2660" s="528"/>
      <c r="D2660" s="528"/>
    </row>
    <row r="2661" spans="1:28" hidden="1">
      <c r="A2661" s="1900" t="s">
        <v>141</v>
      </c>
      <c r="C2661" s="1025">
        <f>'Table 2'!F28</f>
        <v>2</v>
      </c>
      <c r="D2661" s="1025">
        <f>ROUND(Bill!P15/12,0)</f>
        <v>2</v>
      </c>
      <c r="F2661" s="596"/>
      <c r="H2661" s="1637"/>
      <c r="I2661" s="1637"/>
      <c r="K2661" s="596"/>
      <c r="M2661" s="596"/>
      <c r="O2661" s="596"/>
      <c r="Q2661" s="596"/>
      <c r="Y2661" s="1637"/>
    </row>
    <row r="2662" spans="1:28" hidden="1">
      <c r="A2662" s="1900" t="s">
        <v>152</v>
      </c>
      <c r="C2662" s="528">
        <f>PTL!K3</f>
        <v>48</v>
      </c>
      <c r="D2662" s="528">
        <f>ROUND(C2662/C2665*D2665,0)</f>
        <v>48</v>
      </c>
      <c r="F2662" s="1901">
        <v>2.1800000000000002</v>
      </c>
      <c r="G2662" s="1902"/>
      <c r="H2662" s="1644">
        <f>ROUND($F2662*C2662,0)</f>
        <v>105</v>
      </c>
      <c r="I2662" s="1644">
        <f>ROUND($F2662*D2662,0)</f>
        <v>105</v>
      </c>
      <c r="K2662" s="2015">
        <f>K2653</f>
        <v>1.605</v>
      </c>
      <c r="L2662" s="1902"/>
      <c r="M2662" s="2015">
        <f>M2653</f>
        <v>0.2374</v>
      </c>
      <c r="N2662" s="1902"/>
      <c r="O2662" s="2015">
        <f>O2653</f>
        <v>0.33760000000000001</v>
      </c>
      <c r="P2662" s="1902"/>
      <c r="Q2662" s="1901">
        <v>2.1800000000000002</v>
      </c>
      <c r="R2662" s="1902"/>
      <c r="S2662" s="1644">
        <f t="shared" ref="S2662:S2663" si="2945">ROUND($D2662*K2662,0)</f>
        <v>77</v>
      </c>
      <c r="T2662" s="1645"/>
      <c r="U2662" s="1644">
        <f t="shared" ref="U2662:U2663" si="2946">ROUND($D2662*M2662,0)</f>
        <v>11</v>
      </c>
      <c r="V2662" s="1645"/>
      <c r="W2662" s="1644">
        <f t="shared" ref="W2662:W2663" si="2947">ROUND($D2662*O2662,0)</f>
        <v>16</v>
      </c>
      <c r="X2662" s="1643"/>
      <c r="Y2662" s="1644">
        <f>ROUND($D2662*Q2662,0)</f>
        <v>105</v>
      </c>
    </row>
    <row r="2663" spans="1:28" hidden="1">
      <c r="A2663" s="1900" t="s">
        <v>153</v>
      </c>
      <c r="C2663" s="584">
        <v>0</v>
      </c>
      <c r="D2663" s="528">
        <f>ROUND(C2663/C2665*D2665,0)</f>
        <v>0</v>
      </c>
      <c r="F2663" s="1992">
        <v>2.1858</v>
      </c>
      <c r="G2663" s="1921"/>
      <c r="H2663" s="1644">
        <f>ROUND($F2663*C2663,0)</f>
        <v>0</v>
      </c>
      <c r="I2663" s="1644">
        <f>ROUND($F2663*D2663,0)</f>
        <v>0</v>
      </c>
      <c r="K2663" s="2015">
        <f>K2654</f>
        <v>1.6021000000000001</v>
      </c>
      <c r="L2663" s="1921"/>
      <c r="M2663" s="2015">
        <f>M2654</f>
        <v>0.23699999999999999</v>
      </c>
      <c r="N2663" s="1921"/>
      <c r="O2663" s="2015">
        <f>O2654</f>
        <v>0.34670000000000001</v>
      </c>
      <c r="P2663" s="1921"/>
      <c r="Q2663" s="1992">
        <v>2.1858</v>
      </c>
      <c r="R2663" s="1921"/>
      <c r="S2663" s="1644">
        <f t="shared" si="2945"/>
        <v>0</v>
      </c>
      <c r="T2663" s="1645"/>
      <c r="U2663" s="1644">
        <f t="shared" si="2946"/>
        <v>0</v>
      </c>
      <c r="V2663" s="1645"/>
      <c r="W2663" s="1644">
        <f t="shared" si="2947"/>
        <v>0</v>
      </c>
      <c r="X2663" s="1648"/>
      <c r="Y2663" s="1644">
        <f>ROUND($D2663*Q2663,0)</f>
        <v>0</v>
      </c>
    </row>
    <row r="2664" spans="1:28" hidden="1">
      <c r="A2664" s="1900" t="s">
        <v>154</v>
      </c>
      <c r="C2664" s="586">
        <f>SUM(C2662:C2663)</f>
        <v>48</v>
      </c>
      <c r="D2664" s="586">
        <f>SUM(D2662:D2663)</f>
        <v>48</v>
      </c>
      <c r="F2664" s="2004"/>
      <c r="G2664" s="1921"/>
      <c r="H2664" s="1649">
        <f>SUM(H2662:H2663)</f>
        <v>105</v>
      </c>
      <c r="I2664" s="1649">
        <f>SUM(I2662:I2663)</f>
        <v>105</v>
      </c>
      <c r="K2664" s="2004"/>
      <c r="L2664" s="1921"/>
      <c r="M2664" s="2004"/>
      <c r="N2664" s="1921"/>
      <c r="O2664" s="2004"/>
      <c r="P2664" s="1921"/>
      <c r="Q2664" s="2004"/>
      <c r="R2664" s="1921"/>
      <c r="S2664" s="1649">
        <f>SUM(S2662:S2663)</f>
        <v>77</v>
      </c>
      <c r="T2664" s="1648"/>
      <c r="U2664" s="1649">
        <f>SUM(U2662:U2663)</f>
        <v>11</v>
      </c>
      <c r="V2664" s="1648"/>
      <c r="W2664" s="1649">
        <f>SUM(W2662:W2663)</f>
        <v>16</v>
      </c>
      <c r="X2664" s="1648"/>
      <c r="Y2664" s="1649">
        <f>SUM(Y2662:Y2663)</f>
        <v>105</v>
      </c>
    </row>
    <row r="2665" spans="1:28" hidden="1">
      <c r="A2665" s="1900" t="s">
        <v>301</v>
      </c>
      <c r="C2665" s="1025">
        <f>PTL!L3</f>
        <v>1392</v>
      </c>
      <c r="D2665" s="1025">
        <f>D2667-D2666</f>
        <v>1392</v>
      </c>
      <c r="F2665" s="596"/>
      <c r="H2665" s="1637"/>
      <c r="I2665" s="1637"/>
      <c r="K2665" s="596"/>
      <c r="M2665" s="596"/>
      <c r="O2665" s="596"/>
      <c r="Q2665" s="596"/>
      <c r="Y2665" s="1637"/>
    </row>
    <row r="2666" spans="1:28" hidden="1">
      <c r="A2666" s="1900" t="s">
        <v>136</v>
      </c>
      <c r="C2666" s="1025">
        <f>'Table 2'!J28</f>
        <v>8</v>
      </c>
      <c r="D2666" s="1025">
        <v>0</v>
      </c>
      <c r="F2666" s="596"/>
      <c r="H2666" s="1645">
        <f>'Table 3'!F28</f>
        <v>1</v>
      </c>
      <c r="I2666" s="1645">
        <v>0</v>
      </c>
      <c r="K2666" s="596"/>
      <c r="M2666" s="596"/>
      <c r="O2666" s="596"/>
      <c r="Q2666" s="596"/>
      <c r="S2666" s="1645"/>
      <c r="U2666" s="1645"/>
      <c r="W2666" s="1645"/>
      <c r="Y2666" s="1645"/>
    </row>
    <row r="2667" spans="1:28" ht="16.5" hidden="1" thickBot="1">
      <c r="A2667" s="1900" t="s">
        <v>93</v>
      </c>
      <c r="C2667" s="1026">
        <f>C2666+C2665</f>
        <v>1400</v>
      </c>
      <c r="D2667" s="1026">
        <f>Energy!P15</f>
        <v>1392</v>
      </c>
      <c r="F2667" s="1979"/>
      <c r="G2667" s="1980"/>
      <c r="H2667" s="1651">
        <f>H2666+H2664</f>
        <v>106</v>
      </c>
      <c r="I2667" s="1651">
        <f>I2666+I2664</f>
        <v>105</v>
      </c>
      <c r="K2667" s="1979"/>
      <c r="L2667" s="1980"/>
      <c r="M2667" s="1979"/>
      <c r="N2667" s="1980"/>
      <c r="O2667" s="1979"/>
      <c r="P2667" s="1980"/>
      <c r="Q2667" s="1979"/>
      <c r="R2667" s="1980"/>
      <c r="S2667" s="1651">
        <f>S2666+S2664</f>
        <v>77</v>
      </c>
      <c r="T2667" s="1650"/>
      <c r="U2667" s="1651">
        <f>U2666+U2664</f>
        <v>11</v>
      </c>
      <c r="V2667" s="1650"/>
      <c r="W2667" s="1651">
        <f>W2666+W2664</f>
        <v>16</v>
      </c>
      <c r="X2667" s="1650"/>
      <c r="Y2667" s="1651">
        <f>Y2666+Y2664</f>
        <v>105</v>
      </c>
      <c r="AA2667" s="1104" t="s">
        <v>1743</v>
      </c>
      <c r="AB2667" s="1890">
        <f>Y2667/I2667-1</f>
        <v>0</v>
      </c>
    </row>
    <row r="2668" spans="1:28" ht="16.5" thickTop="1">
      <c r="C2668" s="528"/>
      <c r="D2668" s="528"/>
    </row>
    <row r="2669" spans="1:28">
      <c r="A2669" s="2012" t="s">
        <v>486</v>
      </c>
      <c r="B2669" s="596"/>
      <c r="F2669" s="1943"/>
      <c r="G2669" s="1957"/>
      <c r="K2669" s="1943"/>
      <c r="L2669" s="1957"/>
      <c r="M2669" s="1943"/>
      <c r="N2669" s="1957"/>
      <c r="O2669" s="1943"/>
      <c r="P2669" s="1957"/>
      <c r="Q2669" s="1943"/>
      <c r="R2669" s="1957"/>
      <c r="S2669" s="1645"/>
      <c r="T2669" s="1645"/>
      <c r="U2669" s="1645"/>
      <c r="V2669" s="1645"/>
      <c r="W2669" s="1645"/>
      <c r="X2669" s="1645"/>
    </row>
    <row r="2670" spans="1:28">
      <c r="A2670" s="1993" t="s">
        <v>405</v>
      </c>
      <c r="B2670" s="596"/>
      <c r="C2670" s="2016"/>
      <c r="D2670" s="2016"/>
      <c r="F2670" s="1943"/>
      <c r="G2670" s="1957"/>
      <c r="H2670" s="1644">
        <f>'Table 3'!L41</f>
        <v>6795.090000000062</v>
      </c>
      <c r="I2670" s="1644">
        <f t="shared" ref="I2670:I2675" si="2948">H2670</f>
        <v>6795.090000000062</v>
      </c>
      <c r="K2670" s="1943"/>
      <c r="L2670" s="1957"/>
      <c r="M2670" s="1943"/>
      <c r="N2670" s="1957"/>
      <c r="O2670" s="1943"/>
      <c r="P2670" s="1957"/>
      <c r="Q2670" s="1943"/>
      <c r="R2670" s="1957"/>
      <c r="S2670" s="597">
        <f>$Y2670*S$2679/($S$2679+$U$2679)</f>
        <v>3474.0394229332824</v>
      </c>
      <c r="T2670" s="1645"/>
      <c r="U2670" s="597">
        <f>$Y2670*U$2679/($S$2679+$U$2679)</f>
        <v>3321.0505770667805</v>
      </c>
      <c r="V2670" s="1645"/>
      <c r="W2670" s="1645"/>
      <c r="X2670" s="1645"/>
      <c r="Y2670" s="1644">
        <f>I2670</f>
        <v>6795.090000000062</v>
      </c>
    </row>
    <row r="2671" spans="1:28">
      <c r="A2671" s="1993" t="s">
        <v>406</v>
      </c>
      <c r="B2671" s="596"/>
      <c r="C2671" s="2016"/>
      <c r="D2671" s="2016"/>
      <c r="F2671" s="1943"/>
      <c r="G2671" s="1957"/>
      <c r="H2671" s="1644">
        <f>'Table 3'!L79</f>
        <v>3742344.1399999997</v>
      </c>
      <c r="I2671" s="1644">
        <f t="shared" si="2948"/>
        <v>3742344.1399999997</v>
      </c>
      <c r="K2671" s="1943"/>
      <c r="L2671" s="1957"/>
      <c r="M2671" s="1943"/>
      <c r="N2671" s="1957"/>
      <c r="O2671" s="1943"/>
      <c r="P2671" s="1957"/>
      <c r="Q2671" s="1943"/>
      <c r="R2671" s="1957"/>
      <c r="S2671" s="597">
        <f t="shared" ref="S2671:U2674" si="2949">$Y2671*S$2679/($S$2679+$U$2679)</f>
        <v>1913300.7916809388</v>
      </c>
      <c r="T2671" s="1645"/>
      <c r="U2671" s="597">
        <f t="shared" si="2949"/>
        <v>1829043.3483190613</v>
      </c>
      <c r="V2671" s="1645"/>
      <c r="W2671" s="1645"/>
      <c r="X2671" s="1645"/>
      <c r="Y2671" s="1644">
        <f t="shared" ref="Y2671:Y2675" si="2950">I2671</f>
        <v>3742344.1399999997</v>
      </c>
    </row>
    <row r="2672" spans="1:28">
      <c r="A2672" s="1993" t="s">
        <v>407</v>
      </c>
      <c r="B2672" s="596"/>
      <c r="C2672" s="2016"/>
      <c r="D2672" s="2016"/>
      <c r="F2672" s="1943"/>
      <c r="G2672" s="1957"/>
      <c r="H2672" s="1644">
        <f>'Table 3'!L114</f>
        <v>823369.79999999993</v>
      </c>
      <c r="I2672" s="1644">
        <f t="shared" si="2948"/>
        <v>823369.79999999993</v>
      </c>
      <c r="K2672" s="1943"/>
      <c r="L2672" s="1957"/>
      <c r="M2672" s="1943"/>
      <c r="N2672" s="1957"/>
      <c r="O2672" s="1943"/>
      <c r="P2672" s="1957"/>
      <c r="Q2672" s="1943"/>
      <c r="R2672" s="1957"/>
      <c r="S2672" s="597">
        <f t="shared" si="2949"/>
        <v>420953.82766860566</v>
      </c>
      <c r="T2672" s="1645"/>
      <c r="U2672" s="597">
        <f t="shared" si="2949"/>
        <v>402415.97233139433</v>
      </c>
      <c r="V2672" s="1645"/>
      <c r="W2672" s="1645"/>
      <c r="X2672" s="1645"/>
      <c r="Y2672" s="1644">
        <f t="shared" si="2950"/>
        <v>823369.79999999993</v>
      </c>
    </row>
    <row r="2673" spans="1:31">
      <c r="A2673" s="1993" t="s">
        <v>371</v>
      </c>
      <c r="B2673" s="596"/>
      <c r="C2673" s="2016"/>
      <c r="D2673" s="2016"/>
      <c r="F2673" s="1943"/>
      <c r="G2673" s="1957"/>
      <c r="H2673" s="1644">
        <f>'Table 3'!L132</f>
        <v>231622.84</v>
      </c>
      <c r="I2673" s="1644">
        <f t="shared" si="2948"/>
        <v>231622.84</v>
      </c>
      <c r="K2673" s="1943"/>
      <c r="L2673" s="1957"/>
      <c r="M2673" s="1943"/>
      <c r="N2673" s="1957"/>
      <c r="O2673" s="1943"/>
      <c r="P2673" s="1957"/>
      <c r="Q2673" s="1943"/>
      <c r="R2673" s="1957"/>
      <c r="S2673" s="597">
        <f t="shared" si="2949"/>
        <v>118418.86971500902</v>
      </c>
      <c r="T2673" s="1645"/>
      <c r="U2673" s="597">
        <f t="shared" si="2949"/>
        <v>113203.97028499101</v>
      </c>
      <c r="V2673" s="1645"/>
      <c r="W2673" s="1645"/>
      <c r="X2673" s="1645"/>
      <c r="Y2673" s="1644">
        <f t="shared" si="2950"/>
        <v>231622.84</v>
      </c>
    </row>
    <row r="2674" spans="1:31">
      <c r="A2674" s="1993" t="s">
        <v>408</v>
      </c>
      <c r="B2674" s="596"/>
      <c r="C2674" s="2016"/>
      <c r="D2674" s="2016"/>
      <c r="F2674" s="1943"/>
      <c r="G2674" s="1957"/>
      <c r="H2674" s="1644">
        <f>'Table 3'!L155</f>
        <v>4655.0400000000009</v>
      </c>
      <c r="I2674" s="1644">
        <f t="shared" si="2948"/>
        <v>4655.0400000000009</v>
      </c>
      <c r="K2674" s="1943"/>
      <c r="L2674" s="1957"/>
      <c r="M2674" s="1943"/>
      <c r="N2674" s="1957"/>
      <c r="O2674" s="1943"/>
      <c r="P2674" s="1957"/>
      <c r="Q2674" s="1943"/>
      <c r="R2674" s="1957"/>
      <c r="S2674" s="597">
        <f t="shared" si="2949"/>
        <v>2379.9232203445727</v>
      </c>
      <c r="T2674" s="1645"/>
      <c r="U2674" s="597">
        <f t="shared" si="2949"/>
        <v>2275.1167796554287</v>
      </c>
      <c r="V2674" s="1645"/>
      <c r="W2674" s="1645"/>
      <c r="X2674" s="1645"/>
      <c r="Y2674" s="1644">
        <f t="shared" si="2950"/>
        <v>4655.0400000000009</v>
      </c>
    </row>
    <row r="2675" spans="1:31" ht="16.5" thickBot="1">
      <c r="A2675" s="1993" t="s">
        <v>409</v>
      </c>
      <c r="B2675" s="596"/>
      <c r="C2675" s="2017"/>
      <c r="D2675" s="2017"/>
      <c r="F2675" s="2014"/>
      <c r="G2675" s="1957"/>
      <c r="H2675" s="1646">
        <f>SUM(H2670:H2674)</f>
        <v>4808786.9099999992</v>
      </c>
      <c r="I2675" s="1646">
        <f t="shared" si="2948"/>
        <v>4808786.9099999992</v>
      </c>
      <c r="K2675" s="2014"/>
      <c r="L2675" s="1957"/>
      <c r="M2675" s="2014"/>
      <c r="N2675" s="1957"/>
      <c r="O2675" s="2014"/>
      <c r="P2675" s="1957"/>
      <c r="Q2675" s="2014"/>
      <c r="R2675" s="1957"/>
      <c r="S2675" s="1646">
        <f>SUM(S2670:S2674)</f>
        <v>2458527.4517078311</v>
      </c>
      <c r="T2675" s="1645"/>
      <c r="U2675" s="1646">
        <f>SUM(U2670:U2674)</f>
        <v>2350259.4582921686</v>
      </c>
      <c r="V2675" s="1645"/>
      <c r="W2675" s="1646"/>
      <c r="X2675" s="1645"/>
      <c r="Y2675" s="1646">
        <f t="shared" si="2950"/>
        <v>4808786.9099999992</v>
      </c>
    </row>
    <row r="2676" spans="1:31" ht="16.5" thickTop="1">
      <c r="A2676" s="596"/>
      <c r="B2676" s="596"/>
      <c r="F2676" s="1943"/>
      <c r="G2676" s="1957"/>
      <c r="H2676" s="1644"/>
      <c r="I2676" s="1644"/>
      <c r="K2676" s="1943"/>
      <c r="L2676" s="1957"/>
      <c r="M2676" s="1943"/>
      <c r="N2676" s="1957"/>
      <c r="O2676" s="1943"/>
      <c r="P2676" s="1957"/>
      <c r="Q2676" s="1943"/>
      <c r="R2676" s="1957"/>
      <c r="S2676" s="1645"/>
      <c r="T2676" s="1645"/>
      <c r="U2676" s="1645"/>
      <c r="V2676" s="1645"/>
      <c r="W2676" s="1645"/>
      <c r="X2676" s="1645"/>
      <c r="Y2676" s="1644"/>
    </row>
    <row r="2677" spans="1:31" ht="16.5" thickBot="1">
      <c r="A2677" s="1935" t="s">
        <v>410</v>
      </c>
      <c r="B2677" s="1935"/>
      <c r="C2677" s="2017">
        <f>C45+C82+C111+C148+C185+C222+C690+C772+C848+C904+C982+C1076+C1164+C1206+C1394+C1456+C1476+C1495+C1557+C1619+C1639+C1657+C1716+C1807+C1818+C1859+C1935+C1998+C2092+C2181+C2331+C2606+C2610+C2623+C2633+C2640+C2649+C2675</f>
        <v>24473583899.403015</v>
      </c>
      <c r="D2677" s="2017">
        <f>D45+D82+D111+D148+D185+D222+D690+D772+D848+D904+D982+D1076+D1164+D1206+D1394+D1456+D1476+D1495+D1557+D1619+D1639+D1657+D1716+D1807+D1818+D1859+D1935+D1998+D2092+D2181+D2331+D2606+D2610+D2623+D2633+D2640+D2649+D2675</f>
        <v>24837388160.662254</v>
      </c>
      <c r="F2677" s="1935"/>
      <c r="H2677" s="1646">
        <f>H45+H82+H111+H148+H185+H222+H690+H772+H848+H904+H982+H1076+H1164+H1206+H1394+H1456+H1476+H1495+H1557+H1619+H1639+H1657+H1716+H1807+H1818+H1859+H1935+H1998+H2092+H2181+H2331+H2606+H2610+H2623+H2633+H2640+H2649+H2675</f>
        <v>1981660112.7811136</v>
      </c>
      <c r="I2677" s="1646">
        <f>I45+I82+I111+I148+I185+I222+I690+I772+I848+I904+I982+I1076+I1164+I1206+I1394+I1456+I1476+I1495+I1557+I1619+I1639+I1657+I1716+I1807+I1818+I1859+I1935+I1998+I2092+I2181+I2331+I2606+I2610+I2623+I2633+I2640+I2649+I2675</f>
        <v>2001695942.310344</v>
      </c>
      <c r="K2677" s="1935"/>
      <c r="M2677" s="1935"/>
      <c r="O2677" s="1935"/>
      <c r="Q2677" s="1935"/>
      <c r="S2677" s="1646">
        <f>S45+S82+S111+S148+S185+S222+S690+S772+S848+S904+S982+S1076+S1164+S1206+S1394+S1456+S1476+S1495+S1557+S1619+S1639+S1657+S1716+S1807+S1818+S1859+S1935+1970+S1998+S2092+S2181+S2331+S2606+S2610+S2623+S2633+S2640+S2649+S2675-S258+S238-S400+S382-S536+S518-S569+S552</f>
        <v>801292072.20536184</v>
      </c>
      <c r="U2677" s="1646">
        <f>U45+U82+U111+U148+U185+U222+U690+U772+U848+U904+U982+U1076+U1164+U1206+U1394+U1456+U1476+U1495+U1557+U1619+U1639+U1657+U1716+U1807+U1818+U1859+U1935+1970+U1998+U2092+U2181+U2331+U2606+U2610+U2623+U2633+U2640+U2649+U2675-U258+U238-U400+U382-U536+U518-U569+U552</f>
        <v>805228605.39818478</v>
      </c>
      <c r="W2677" s="1646">
        <f>W45+W82+W111+W148+W185+W222+W690+W772+W848+W904+W982+W1076+W1164+W1206+W1394+W1456+W1476+W1495+W1557+W1619+W1639+W1657+W1716+W1807+W1818+W1859+W1935+1970+W1998+W2092+W2181+W2331+W2606+W2610+W2623+W2633+W2640+W2649+W2675-W258+W238-W400+W382-W536+W518-W569+W552</f>
        <v>467286418.31694281</v>
      </c>
      <c r="Y2677" s="1646">
        <f>Y45+Y82+Y111+Y148+Y185+Y222+Y690+Y772+Y848+Y904+Y982+Y1076+Y1164+Y1206+Y1394+Y1456+Y1476+Y1495+Y1557+Y1619+Y1639+Y1657+Y1716+Y1807+Y1818+Y1859+Y1935+1970+Y1998+Y2092+Y2181+Y2331+Y2606+Y2610+Y2623+Y2633+Y2640+Y2649+Y2675-Y258+Y238-Y400+Y382-Y536+Y518-Y569+Y552</f>
        <v>2073803529.1290345</v>
      </c>
      <c r="AA2677" s="1104" t="s">
        <v>1743</v>
      </c>
      <c r="AB2677" s="1890">
        <f>Y2677/I2677-1</f>
        <v>3.6023246735198189E-2</v>
      </c>
      <c r="AC2677" s="1644">
        <f>Y2677-S2677-U2677-W2677</f>
        <v>-3566.791454911232</v>
      </c>
    </row>
    <row r="2678" spans="1:31" ht="16.5" thickTop="1"/>
    <row r="2679" spans="1:31">
      <c r="E2679" s="1869"/>
      <c r="G2679" s="1869"/>
      <c r="H2679" s="1644"/>
      <c r="I2679" s="1644"/>
      <c r="J2679" s="1869"/>
      <c r="L2679" s="1869"/>
      <c r="N2679" s="1869"/>
      <c r="O2679" s="1964" t="s">
        <v>2212</v>
      </c>
      <c r="P2679" s="1964"/>
      <c r="Q2679" s="1964" t="s">
        <v>1958</v>
      </c>
      <c r="R2679" s="1869"/>
      <c r="S2679" s="1638">
        <f>'Unit Cost Target'!C87+'Unit Cost Target'!C123+'Unit Cost Target'!C129+'Unit Cost Target'!C75+'Unit Cost Target'!C81</f>
        <v>766911221.0876286</v>
      </c>
      <c r="T2679" s="1638"/>
      <c r="U2679" s="1638">
        <f>Y2679-S2679-W2679</f>
        <v>733138183.90741146</v>
      </c>
      <c r="V2679" s="1638"/>
      <c r="W2679" s="1638">
        <f>'Unit Cost Target'!C33+'Unit Cost Target'!C39+'Unit Cost Target'!C63+'Unit Cost Target'!C69</f>
        <v>467286419.83260977</v>
      </c>
      <c r="X2679" s="1638"/>
      <c r="Y2679" s="1644">
        <f>'Unit Cost Target'!C21</f>
        <v>1967335824.8276498</v>
      </c>
    </row>
    <row r="2680" spans="1:31">
      <c r="E2680" s="1869"/>
      <c r="G2680" s="1869"/>
      <c r="H2680" s="1644"/>
      <c r="I2680" s="1644"/>
      <c r="J2680" s="1869"/>
      <c r="L2680" s="1869"/>
      <c r="N2680" s="1869"/>
      <c r="P2680" s="1869"/>
      <c r="R2680" s="1869"/>
      <c r="S2680" s="1655">
        <f>S2679/$Y$2679</f>
        <v>0.38982222120354798</v>
      </c>
      <c r="T2680" s="1655"/>
      <c r="U2680" s="1655">
        <f>U2679/$Y$2679</f>
        <v>0.37265533146667457</v>
      </c>
      <c r="V2680" s="1655"/>
      <c r="W2680" s="1655">
        <f>W2679/$Y$2679</f>
        <v>0.23752244732977748</v>
      </c>
      <c r="X2680" s="1878"/>
      <c r="Y2680" s="1655">
        <f>SUM(S2680:W2680)</f>
        <v>1</v>
      </c>
    </row>
    <row r="2681" spans="1:31">
      <c r="E2681" s="1869"/>
      <c r="G2681" s="1869"/>
      <c r="J2681" s="1869"/>
      <c r="L2681" s="1869"/>
      <c r="N2681" s="1869"/>
      <c r="P2681" s="1869"/>
      <c r="Q2681" s="1869" t="s">
        <v>2213</v>
      </c>
      <c r="R2681" s="1869"/>
      <c r="S2681" s="1655">
        <f>S2677/$Y$2677</f>
        <v>0.38638765001132586</v>
      </c>
      <c r="T2681" s="1655"/>
      <c r="U2681" s="1655">
        <f>U2677/$Y$2677</f>
        <v>0.38828586897832523</v>
      </c>
      <c r="V2681" s="1655"/>
      <c r="W2681" s="1655">
        <f>W2677/$Y$2677</f>
        <v>0.22532820093772138</v>
      </c>
      <c r="X2681" s="1878"/>
      <c r="Y2681" s="1655">
        <f>SUM(S2681:W2681)</f>
        <v>1.0000017199273725</v>
      </c>
      <c r="Z2681" s="1638"/>
      <c r="AA2681" s="1878"/>
      <c r="AB2681" s="1638"/>
      <c r="AC2681" s="1878"/>
      <c r="AD2681" s="1638"/>
      <c r="AE2681" s="1655"/>
    </row>
    <row r="2682" spans="1:31">
      <c r="S2682" s="1637">
        <f>S2677-S2679</f>
        <v>34380851.11773324</v>
      </c>
      <c r="U2682" s="1637">
        <f>U2677-U2679</f>
        <v>72090421.49077332</v>
      </c>
      <c r="W2682" s="1637">
        <f>W2677-W2679</f>
        <v>-1.5156669616699219</v>
      </c>
    </row>
    <row r="2683" spans="1:31">
      <c r="U2683" s="1833" t="s">
        <v>2255</v>
      </c>
      <c r="W2683" s="2018">
        <v>1.0245355704723134</v>
      </c>
    </row>
  </sheetData>
  <scenarios current="1" show="0">
    <scenario name="Present Basic" locked="1" count="14" user="Michael Reid" comment="Created by Michael Reid on 3/2/2001_x000a_Modified by Michael Reid on 3/13/2001">
      <inputCells r="F1399" val="3.54" numFmtId="7"/>
      <inputCells r="F1407" val="10.62" numFmtId="7"/>
      <inputCells r="F1743" val="14.74" numFmtId="7"/>
      <inputCells r="F1802" val="29.49" numFmtId="7"/>
      <inputCells r="F1479" val="98.29" numFmtId="7"/>
      <inputCells r="F1582" val="176.93" numFmtId="7"/>
      <inputCells r="F1560" val="10.5" numFmtId="7"/>
      <inputCells r="F1604" val="78.63" numFmtId="7"/>
      <inputCells r="F1605" val="24.57" numFmtId="7"/>
      <inputCells r="F1606" val="9.83" numFmtId="7"/>
      <inputCells r="F1613" val="9.83" numFmtId="7"/>
      <inputCells r="F2335" val="54.06" numFmtId="7"/>
      <inputCells r="F2357" val="245.73" numFmtId="7"/>
      <inputCells r="F2379" val="275.22" numFmtId="7"/>
    </scenario>
    <scenario name="Present Energy" locked="1" count="9" user="Michael Reid" comment="Created by Michael Reid on 3/2/2001">
      <inputCells r="F1746" val="2.6294" numFmtId="164"/>
      <inputCells r="F1596" val="4.4789" numFmtId="164"/>
      <inputCells r="F1597" val="1.9244" numFmtId="164"/>
      <inputCells r="F1609" val="3.9804" numFmtId="164"/>
      <inputCells r="F1610" val="2.9319" numFmtId="164"/>
      <inputCells r="F1614" val="2.7286" numFmtId="164"/>
      <inputCells r="F1647" val="7.9366" numFmtId="166"/>
      <inputCells r="F1648" val="2.2624" numFmtId="166"/>
      <inputCells r="J616" undone="1" val="2.0165" numFmtId="165"/>
    </scenario>
    <scenario name="Present Demand" locked="1" count="14" user="Michael Reid" comment="Created by Michael Reid on 3/2/2001">
      <inputCells r="F1744" val="7.67" numFmtId="7"/>
      <inputCells r="F1803" val="3.27" numFmtId="7"/>
      <inputCells r="F1480" val="5.71" numFmtId="7"/>
      <inputCells r="F1583" val="1.31" numFmtId="7"/>
      <inputCells r="F1607" val="3.99" numFmtId="7"/>
      <inputCells r="F2336" val="2.59" numFmtId="7"/>
      <inputCells r="F2347" val="0.3511" numFmtId="173"/>
      <inputCells r="F2353" val="33.22" numFmtId="7"/>
      <inputCells r="F2358" val="2.08" numFmtId="7"/>
      <inputCells r="F2369" val="0.3511" numFmtId="173"/>
      <inputCells r="F2375" val="31.22" numFmtId="7"/>
      <inputCells r="F2380" val="1.4" numFmtId="7"/>
      <inputCells r="F2391" val="0.2684" numFmtId="173"/>
      <inputCells r="F2397" val="23.08" numFmtId="7"/>
    </scenario>
    <scenario name="Present 7" locked="1" count="29" user="Michael Reid" comment="Created by Michael Reid on 3/5/2001">
      <inputCells r="F1168" val="3.93" numFmtId="7"/>
      <inputCells r="F1169" val="11.32" numFmtId="7"/>
      <inputCells r="F1170" val="5.57" numFmtId="7"/>
      <inputCells r="F1171" val="18.5" numFmtId="7"/>
      <inputCells r="F1173" val="10.08" numFmtId="7"/>
      <inputCells r="F1174" val="8.45" numFmtId="7"/>
      <inputCells r="F1175" val="10.7" numFmtId="7"/>
      <inputCells r="F1176" val="9.2" numFmtId="7"/>
      <inputCells r="F1177" val="13.44" numFmtId="7"/>
      <inputCells r="F1178" val="11.84" numFmtId="7"/>
      <inputCells r="F1179" val="14.55" numFmtId="7"/>
      <inputCells r="F1180" val="16.25" numFmtId="7"/>
      <inputCells r="F1181" val="14.66" numFmtId="7"/>
      <inputCells r="F1182" val="19.55" numFmtId="7"/>
      <inputCells r="F1183" val="17.97" numFmtId="7"/>
      <inputCells r="F1185" val="13.44" numFmtId="7"/>
      <inputCells r="F1186" val="11.84" numFmtId="7"/>
      <inputCells r="F1187" val="16.25" numFmtId="7"/>
      <inputCells r="F1188" val="14.66" numFmtId="7"/>
      <inputCells r="F1189" val="19.55" numFmtId="7"/>
      <inputCells r="F1190" val="17.97" numFmtId="7"/>
      <inputCells r="F1192" val="20.32" numFmtId="7"/>
      <inputCells r="F1193" val="15.06" numFmtId="7"/>
      <inputCells r="F1194" val="23.73" numFmtId="7"/>
      <inputCells r="F1195" val="18.95" numFmtId="7"/>
      <inputCells r="F1196" val="25.36" numFmtId="7"/>
      <inputCells r="F1197" val="20.54" numFmtId="7"/>
      <inputCells r="F1198" val="39.79" numFmtId="7"/>
      <inputCells r="F1199" val="34.84" numFmtId="7"/>
    </scenario>
    <scenario name="Proposed Demand" locked="1" count="14" user="Michael Reid" comment="Created by Michael Reid on 3/5/2001_x000a_Modified by Michael Reid on 3/5/2001">
      <inputCells r="F1744" val="9.07" numFmtId="7"/>
      <inputCells r="F1803" val="3.89" numFmtId="7"/>
      <inputCells r="F1480" val="6.75" numFmtId="7"/>
      <inputCells r="F1583" val="2.02" numFmtId="7"/>
      <inputCells r="F1607" val="4.73" numFmtId="7"/>
      <inputCells r="F2336" val="3.08" numFmtId="7"/>
      <inputCells r="F2347" val="0.4177" numFmtId="173"/>
      <inputCells r="F2353" val="39.5" numFmtId="7"/>
      <inputCells r="F2358" val="2.47" numFmtId="7"/>
      <inputCells r="F2369" val="0.4175" numFmtId="173"/>
      <inputCells r="F2375" val="37.11" numFmtId="7"/>
      <inputCells r="F2380" val="1.66" numFmtId="7"/>
      <inputCells r="F2391" val="0.3193" numFmtId="173"/>
      <inputCells r="F2397" val="27.44" numFmtId="7"/>
    </scenario>
    <scenario name="Proposed Energy" locked="1" count="9" user="Michael Reid" comment="Created by Michael Reid on 3/5/2001_x000a_Modified by Michael Reid on 3/5/2001">
      <inputCells r="F1746" val="3.1106" numFmtId="164"/>
      <inputCells r="F1596" val="4.7317" numFmtId="164"/>
      <inputCells r="F1597" val="2.3449" numFmtId="164"/>
      <inputCells r="F1609" val="4.7233" numFmtId="164"/>
      <inputCells r="F1610" val="3.4792" numFmtId="164"/>
      <inputCells r="F1614" val="3.2379" numFmtId="164"/>
      <inputCells r="F1647" val="9.418" numFmtId="166"/>
      <inputCells r="F1648" val="2.6847" numFmtId="166"/>
      <inputCells r="J616" undone="1" val="2.3826" numFmtId="165"/>
    </scenario>
    <scenario name="Proposed 7" locked="1" count="29" user="Michael Reid" comment="Created by Michael Reid on 3/5/2001">
      <inputCells r="F1168" val="4.64" numFmtId="7"/>
      <inputCells r="F1169" val="13.35" numFmtId="7"/>
      <inputCells r="F1170" val="6.57" numFmtId="7"/>
      <inputCells r="F1171" val="21.82" numFmtId="7"/>
      <inputCells r="F1173" val="11.89" numFmtId="7"/>
      <inputCells r="F1174" val="9.97" numFmtId="7"/>
      <inputCells r="F1175" val="12.62" numFmtId="7"/>
      <inputCells r="F1176" val="10.85" numFmtId="7"/>
      <inputCells r="F1177" val="15.85" numFmtId="7"/>
      <inputCells r="F1178" val="13.96" numFmtId="7"/>
      <inputCells r="F1179" val="17.16" numFmtId="7"/>
      <inputCells r="F1180" val="19.17" numFmtId="7"/>
      <inputCells r="F1181" val="17.29" numFmtId="7"/>
      <inputCells r="F1182" val="23.06" numFmtId="7"/>
      <inputCells r="F1183" val="21.19" numFmtId="7"/>
      <inputCells r="F1185" val="15.85" numFmtId="7"/>
      <inputCells r="F1186" val="13.96" numFmtId="7"/>
      <inputCells r="F1187" val="19.17" numFmtId="7"/>
      <inputCells r="F1188" val="17.29" numFmtId="7"/>
      <inputCells r="F1189" val="23.06" numFmtId="7"/>
      <inputCells r="F1190" val="21.19" numFmtId="7"/>
      <inputCells r="F1192" val="23.97" numFmtId="7"/>
      <inputCells r="F1193" val="17.76" numFmtId="7"/>
      <inputCells r="F1194" val="27.99" numFmtId="7"/>
      <inputCells r="F1195" val="22.35" numFmtId="7"/>
      <inputCells r="F1196" val="29.91" numFmtId="7"/>
      <inputCells r="F1197" val="24.23" numFmtId="7"/>
      <inputCells r="F1198" val="46.93" numFmtId="7"/>
      <inputCells r="F1199" val="41.09" numFmtId="7"/>
    </scenario>
  </scenarios>
  <phoneticPr fontId="0" type="noConversion"/>
  <printOptions horizontalCentered="1"/>
  <pageMargins left="1" right="0.5" top="1" bottom="0.55000000000000004" header="0.25" footer="0.25"/>
  <pageSetup scale="50" fitToHeight="88" orientation="landscape" r:id="rId1"/>
  <headerFooter alignWithMargins="0">
    <oddFooter>Page &amp;P of &amp;N</oddFooter>
  </headerFooter>
  <rowBreaks count="26" manualBreakCount="26">
    <brk id="45" max="24" man="1"/>
    <brk id="82" max="24" man="1"/>
    <brk id="112" max="24" man="1"/>
    <brk id="149" max="24" man="1"/>
    <brk id="186" max="24" man="1"/>
    <brk id="223" max="24" man="1"/>
    <brk id="367" max="24" man="1"/>
    <brk id="537" max="24" man="1"/>
    <brk id="670" max="24" man="1"/>
    <brk id="830" max="24" man="1"/>
    <brk id="959" max="24" man="1"/>
    <brk id="1165" max="24" man="1"/>
    <brk id="1375" max="24" man="1"/>
    <brk id="1536" max="24" man="1"/>
    <brk id="1620" max="24" man="1"/>
    <brk id="1658" max="24" man="1"/>
    <brk id="1717" max="24" man="1"/>
    <brk id="1774" max="24" man="1"/>
    <brk id="1852" max="24" man="1"/>
    <brk id="1936" max="24" man="1"/>
    <brk id="1975" max="24" man="1"/>
    <brk id="2159" max="24" man="1"/>
    <brk id="2251" max="24" man="1"/>
    <brk id="2313" max="24" man="1"/>
    <brk id="2587" max="24" man="1"/>
    <brk id="2634" max="24" man="1"/>
  </rowBreaks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21"/>
  <sheetViews>
    <sheetView workbookViewId="0">
      <selection activeCell="A2" sqref="A2"/>
    </sheetView>
  </sheetViews>
  <sheetFormatPr defaultColWidth="9" defaultRowHeight="15.75"/>
  <cols>
    <col min="1" max="1" width="9" style="750"/>
    <col min="2" max="2" width="1.625" style="750" customWidth="1"/>
    <col min="3" max="4" width="15.125" style="750" customWidth="1"/>
    <col min="5" max="5" width="1.625" style="750" customWidth="1"/>
    <col min="6" max="8" width="15.125" style="750" customWidth="1"/>
    <col min="9" max="9" width="1.625" style="750" customWidth="1"/>
    <col min="10" max="12" width="15.125" style="750" customWidth="1"/>
    <col min="13" max="13" width="1.625" style="750" customWidth="1"/>
    <col min="14" max="16" width="15.125" style="750" customWidth="1"/>
    <col min="17" max="17" width="1.625" style="750" customWidth="1"/>
    <col min="18" max="20" width="15.125" style="750" customWidth="1"/>
    <col min="21" max="21" width="1.625" style="750" customWidth="1"/>
    <col min="22" max="26" width="15.125" style="750" customWidth="1"/>
    <col min="27" max="28" width="14.75" style="750" bestFit="1" customWidth="1"/>
    <col min="29" max="30" width="9" style="750"/>
    <col min="31" max="16384" width="9" style="787"/>
  </cols>
  <sheetData>
    <row r="1" spans="1:30">
      <c r="A1" s="748" t="s">
        <v>1953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49"/>
      <c r="W1" s="749"/>
      <c r="X1" s="749"/>
      <c r="Y1" s="749"/>
      <c r="Z1" s="749"/>
    </row>
    <row r="2" spans="1:30">
      <c r="A2" s="748" t="s">
        <v>1123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</row>
    <row r="3" spans="1:30">
      <c r="A3" s="787"/>
      <c r="Z3" s="751" t="s">
        <v>1127</v>
      </c>
    </row>
    <row r="4" spans="1:30">
      <c r="A4" s="753" t="s">
        <v>1124</v>
      </c>
      <c r="C4" s="748" t="s">
        <v>1125</v>
      </c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8"/>
      <c r="R4" s="748" t="s">
        <v>1139</v>
      </c>
      <c r="S4" s="749"/>
      <c r="T4" s="749"/>
      <c r="U4" s="749"/>
      <c r="V4" s="749"/>
      <c r="W4" s="749"/>
      <c r="X4" s="749"/>
      <c r="Y4" s="749"/>
      <c r="Z4" s="753" t="s">
        <v>1130</v>
      </c>
    </row>
    <row r="5" spans="1:30">
      <c r="A5" s="753"/>
      <c r="C5" s="1205"/>
      <c r="D5" s="1206"/>
      <c r="E5" s="1206"/>
      <c r="F5" s="1207" t="s">
        <v>1146</v>
      </c>
      <c r="G5" s="1207"/>
      <c r="H5" s="1207"/>
      <c r="I5" s="1206"/>
      <c r="J5" s="1207" t="s">
        <v>1147</v>
      </c>
      <c r="K5" s="1207"/>
      <c r="L5" s="1207"/>
      <c r="M5" s="1206"/>
      <c r="N5" s="1207" t="s">
        <v>1148</v>
      </c>
      <c r="O5" s="1207"/>
      <c r="P5" s="1208"/>
      <c r="Q5" s="753"/>
      <c r="R5" s="1209" t="s">
        <v>1149</v>
      </c>
      <c r="S5" s="1207"/>
      <c r="T5" s="1207"/>
      <c r="U5" s="1207"/>
      <c r="V5" s="1206" t="s">
        <v>1150</v>
      </c>
      <c r="W5" s="1206" t="s">
        <v>1131</v>
      </c>
      <c r="X5" s="1206" t="s">
        <v>1132</v>
      </c>
      <c r="Y5" s="1210" t="s">
        <v>1133</v>
      </c>
      <c r="Z5" s="753" t="s">
        <v>1134</v>
      </c>
    </row>
    <row r="6" spans="1:30">
      <c r="A6" s="753"/>
      <c r="C6" s="788" t="s">
        <v>799</v>
      </c>
      <c r="D6" s="789" t="s">
        <v>1135</v>
      </c>
      <c r="E6" s="789"/>
      <c r="F6" s="789" t="s">
        <v>111</v>
      </c>
      <c r="G6" s="789" t="s">
        <v>1136</v>
      </c>
      <c r="H6" s="789" t="s">
        <v>1137</v>
      </c>
      <c r="I6" s="789"/>
      <c r="J6" s="789" t="s">
        <v>111</v>
      </c>
      <c r="K6" s="789" t="s">
        <v>1136</v>
      </c>
      <c r="L6" s="789" t="s">
        <v>1137</v>
      </c>
      <c r="M6" s="789"/>
      <c r="N6" s="789" t="s">
        <v>111</v>
      </c>
      <c r="O6" s="789" t="s">
        <v>1136</v>
      </c>
      <c r="P6" s="790" t="s">
        <v>1137</v>
      </c>
      <c r="Q6" s="753"/>
      <c r="R6" s="788" t="s">
        <v>111</v>
      </c>
      <c r="S6" s="789" t="s">
        <v>1136</v>
      </c>
      <c r="T6" s="789" t="s">
        <v>1137</v>
      </c>
      <c r="U6" s="789"/>
      <c r="V6" s="789" t="s">
        <v>1151</v>
      </c>
      <c r="W6" s="789" t="s">
        <v>1137</v>
      </c>
      <c r="X6" s="789" t="s">
        <v>1137</v>
      </c>
      <c r="Y6" s="790" t="s">
        <v>1137</v>
      </c>
      <c r="Z6" s="753" t="s">
        <v>1138</v>
      </c>
    </row>
    <row r="7" spans="1:30" s="796" customFormat="1">
      <c r="A7" s="753">
        <v>201901</v>
      </c>
      <c r="B7" s="797"/>
      <c r="C7" s="791">
        <v>116383283</v>
      </c>
      <c r="D7" s="792">
        <v>5389566.7799999993</v>
      </c>
      <c r="F7" s="793">
        <v>31992000</v>
      </c>
      <c r="G7" s="759">
        <v>5.6059999999999999E-2</v>
      </c>
      <c r="H7" s="760">
        <v>1793471.52</v>
      </c>
      <c r="I7" s="797"/>
      <c r="J7" s="793">
        <v>0</v>
      </c>
      <c r="K7" s="759">
        <v>0</v>
      </c>
      <c r="L7" s="760">
        <v>0</v>
      </c>
      <c r="M7" s="797"/>
      <c r="N7" s="793">
        <v>84391283</v>
      </c>
      <c r="O7" s="759">
        <v>4.2612164813278168E-2</v>
      </c>
      <c r="P7" s="794">
        <v>3596095.26</v>
      </c>
      <c r="Q7" s="797"/>
      <c r="R7" s="795">
        <v>0</v>
      </c>
      <c r="S7" s="759">
        <v>0</v>
      </c>
      <c r="T7" s="760">
        <v>0</v>
      </c>
      <c r="U7" s="760"/>
      <c r="V7" s="760">
        <v>0</v>
      </c>
      <c r="W7" s="760">
        <v>0</v>
      </c>
      <c r="X7" s="760">
        <v>12867.5</v>
      </c>
      <c r="Y7" s="794">
        <v>50</v>
      </c>
      <c r="Z7" s="758">
        <v>5402484.2799999993</v>
      </c>
      <c r="AA7" s="797"/>
      <c r="AB7" s="928"/>
      <c r="AC7" s="797"/>
      <c r="AD7" s="797"/>
    </row>
    <row r="8" spans="1:30" s="796" customFormat="1">
      <c r="A8" s="753">
        <v>201902</v>
      </c>
      <c r="B8" s="797"/>
      <c r="C8" s="791">
        <v>101189250</v>
      </c>
      <c r="D8" s="792">
        <v>8973422.4100000001</v>
      </c>
      <c r="F8" s="793">
        <v>28896000</v>
      </c>
      <c r="G8" s="759">
        <v>5.6059999999999999E-2</v>
      </c>
      <c r="H8" s="760">
        <v>1619909.76</v>
      </c>
      <c r="I8" s="797"/>
      <c r="J8" s="793">
        <v>0</v>
      </c>
      <c r="K8" s="759">
        <v>0</v>
      </c>
      <c r="L8" s="760">
        <v>0</v>
      </c>
      <c r="M8" s="797"/>
      <c r="N8" s="793">
        <v>72293250</v>
      </c>
      <c r="O8" s="759">
        <v>0.10171783188610278</v>
      </c>
      <c r="P8" s="794">
        <v>7353512.6500000004</v>
      </c>
      <c r="Q8" s="797"/>
      <c r="R8" s="795">
        <v>0</v>
      </c>
      <c r="S8" s="759">
        <v>0</v>
      </c>
      <c r="T8" s="760">
        <v>0</v>
      </c>
      <c r="U8" s="760"/>
      <c r="V8" s="760">
        <v>0</v>
      </c>
      <c r="W8" s="760">
        <v>0</v>
      </c>
      <c r="X8" s="760">
        <v>12867.5</v>
      </c>
      <c r="Y8" s="794">
        <v>50</v>
      </c>
      <c r="Z8" s="758">
        <v>8986339.9100000001</v>
      </c>
      <c r="AA8" s="797"/>
      <c r="AB8" s="928"/>
      <c r="AC8" s="797"/>
      <c r="AD8" s="797"/>
    </row>
    <row r="9" spans="1:30" s="796" customFormat="1">
      <c r="A9" s="753">
        <v>201903</v>
      </c>
      <c r="B9" s="797"/>
      <c r="C9" s="791">
        <v>113614886</v>
      </c>
      <c r="D9" s="792">
        <v>10291601.25</v>
      </c>
      <c r="F9" s="793">
        <v>31992000</v>
      </c>
      <c r="G9" s="759">
        <v>5.6059999999999999E-2</v>
      </c>
      <c r="H9" s="760">
        <v>1793471.52</v>
      </c>
      <c r="I9" s="797"/>
      <c r="J9" s="793">
        <v>0</v>
      </c>
      <c r="K9" s="759">
        <v>0</v>
      </c>
      <c r="L9" s="760">
        <v>0</v>
      </c>
      <c r="M9" s="797"/>
      <c r="N9" s="793">
        <v>81622886</v>
      </c>
      <c r="O9" s="759">
        <v>0.10411454613354397</v>
      </c>
      <c r="P9" s="794">
        <v>8498129.7300000004</v>
      </c>
      <c r="Q9" s="797"/>
      <c r="R9" s="795">
        <v>0</v>
      </c>
      <c r="S9" s="759">
        <v>0</v>
      </c>
      <c r="T9" s="760">
        <v>0</v>
      </c>
      <c r="U9" s="760"/>
      <c r="V9" s="760">
        <v>0</v>
      </c>
      <c r="W9" s="760">
        <v>0</v>
      </c>
      <c r="X9" s="760">
        <v>12867.5</v>
      </c>
      <c r="Y9" s="794">
        <v>50</v>
      </c>
      <c r="Z9" s="758">
        <v>10304518.75</v>
      </c>
      <c r="AA9" s="797"/>
      <c r="AB9" s="928"/>
      <c r="AC9" s="797"/>
      <c r="AD9" s="797"/>
    </row>
    <row r="10" spans="1:30" s="796" customFormat="1">
      <c r="A10" s="753">
        <v>201904</v>
      </c>
      <c r="B10" s="797"/>
      <c r="C10" s="791">
        <v>99887149</v>
      </c>
      <c r="D10" s="792">
        <v>3740130.83</v>
      </c>
      <c r="F10" s="793">
        <v>30917000</v>
      </c>
      <c r="G10" s="759">
        <v>5.6059999999999999E-2</v>
      </c>
      <c r="H10" s="760">
        <v>1733207.02</v>
      </c>
      <c r="I10" s="797"/>
      <c r="J10" s="793">
        <v>0</v>
      </c>
      <c r="K10" s="759">
        <v>0</v>
      </c>
      <c r="L10" s="760">
        <v>0</v>
      </c>
      <c r="M10" s="797"/>
      <c r="N10" s="793">
        <v>68970149</v>
      </c>
      <c r="O10" s="759">
        <v>2.9098440979154622E-2</v>
      </c>
      <c r="P10" s="794">
        <v>2006923.81</v>
      </c>
      <c r="Q10" s="797"/>
      <c r="R10" s="795">
        <v>0</v>
      </c>
      <c r="S10" s="759">
        <v>0</v>
      </c>
      <c r="T10" s="760">
        <v>0</v>
      </c>
      <c r="U10" s="760"/>
      <c r="V10" s="760">
        <v>0</v>
      </c>
      <c r="W10" s="760">
        <v>0</v>
      </c>
      <c r="X10" s="760">
        <v>12867.5</v>
      </c>
      <c r="Y10" s="794">
        <v>50</v>
      </c>
      <c r="Z10" s="758">
        <v>3753048.33</v>
      </c>
      <c r="AA10" s="797"/>
      <c r="AB10" s="928"/>
      <c r="AC10" s="797"/>
      <c r="AD10" s="797"/>
    </row>
    <row r="11" spans="1:30" s="796" customFormat="1">
      <c r="A11" s="753">
        <v>201905</v>
      </c>
      <c r="B11" s="797"/>
      <c r="C11" s="791">
        <v>111149882</v>
      </c>
      <c r="D11" s="792">
        <v>3733845.76</v>
      </c>
      <c r="F11" s="793">
        <v>31992000</v>
      </c>
      <c r="G11" s="759">
        <v>5.6059999999999999E-2</v>
      </c>
      <c r="H11" s="760">
        <v>1793471.52</v>
      </c>
      <c r="I11" s="797"/>
      <c r="J11" s="793">
        <v>0</v>
      </c>
      <c r="K11" s="759">
        <v>0</v>
      </c>
      <c r="L11" s="760">
        <v>0</v>
      </c>
      <c r="M11" s="797"/>
      <c r="N11" s="793">
        <v>79157882</v>
      </c>
      <c r="O11" s="759">
        <v>2.4512710433561121E-2</v>
      </c>
      <c r="P11" s="794">
        <v>1940374.24</v>
      </c>
      <c r="Q11" s="797"/>
      <c r="R11" s="795">
        <v>0</v>
      </c>
      <c r="S11" s="759">
        <v>0</v>
      </c>
      <c r="T11" s="760">
        <v>0</v>
      </c>
      <c r="U11" s="760"/>
      <c r="V11" s="760">
        <v>0</v>
      </c>
      <c r="W11" s="760">
        <v>0</v>
      </c>
      <c r="X11" s="760">
        <v>12867.5</v>
      </c>
      <c r="Y11" s="794">
        <v>50</v>
      </c>
      <c r="Z11" s="758">
        <v>3746763.26</v>
      </c>
      <c r="AA11" s="797"/>
      <c r="AB11" s="928"/>
      <c r="AC11" s="797"/>
      <c r="AD11" s="797"/>
    </row>
    <row r="12" spans="1:30" s="796" customFormat="1">
      <c r="A12" s="753">
        <v>201906</v>
      </c>
      <c r="B12" s="797"/>
      <c r="C12" s="791">
        <v>103635070</v>
      </c>
      <c r="D12" s="792">
        <v>3821479.21</v>
      </c>
      <c r="F12" s="793">
        <v>30960000</v>
      </c>
      <c r="G12" s="759">
        <v>5.6060000000000006E-2</v>
      </c>
      <c r="H12" s="760">
        <v>1735617.6</v>
      </c>
      <c r="I12" s="797"/>
      <c r="J12" s="793">
        <v>0</v>
      </c>
      <c r="K12" s="759">
        <v>0</v>
      </c>
      <c r="L12" s="760">
        <v>0</v>
      </c>
      <c r="M12" s="797"/>
      <c r="N12" s="793">
        <v>72675070</v>
      </c>
      <c r="O12" s="759">
        <v>2.8701198499017616E-2</v>
      </c>
      <c r="P12" s="794">
        <v>2085861.61</v>
      </c>
      <c r="Q12" s="797"/>
      <c r="R12" s="795">
        <v>0</v>
      </c>
      <c r="S12" s="759">
        <v>0</v>
      </c>
      <c r="T12" s="760">
        <v>0</v>
      </c>
      <c r="U12" s="760"/>
      <c r="V12" s="760">
        <v>0</v>
      </c>
      <c r="W12" s="760">
        <v>0</v>
      </c>
      <c r="X12" s="760">
        <v>12867.5</v>
      </c>
      <c r="Y12" s="794">
        <v>50</v>
      </c>
      <c r="Z12" s="758">
        <v>3834396.71</v>
      </c>
      <c r="AA12" s="797"/>
      <c r="AB12" s="928"/>
      <c r="AC12" s="797"/>
      <c r="AD12" s="797"/>
    </row>
    <row r="13" spans="1:30">
      <c r="A13" s="753">
        <v>201907</v>
      </c>
      <c r="C13" s="791">
        <v>82618716</v>
      </c>
      <c r="D13" s="792">
        <v>3918836.09</v>
      </c>
      <c r="E13" s="796"/>
      <c r="F13" s="793">
        <v>30849561</v>
      </c>
      <c r="G13" s="759">
        <v>5.6060000011021224E-2</v>
      </c>
      <c r="H13" s="760">
        <v>1729426.39</v>
      </c>
      <c r="I13" s="797"/>
      <c r="J13" s="793">
        <v>0</v>
      </c>
      <c r="K13" s="759">
        <v>0</v>
      </c>
      <c r="L13" s="760">
        <v>0</v>
      </c>
      <c r="M13" s="797"/>
      <c r="N13" s="793">
        <v>51769155</v>
      </c>
      <c r="O13" s="759">
        <v>4.2291779728682075E-2</v>
      </c>
      <c r="P13" s="794">
        <v>2189409.7000000002</v>
      </c>
      <c r="R13" s="795">
        <v>0</v>
      </c>
      <c r="S13" s="759">
        <v>0</v>
      </c>
      <c r="T13" s="760">
        <v>0</v>
      </c>
      <c r="U13" s="760"/>
      <c r="V13" s="760">
        <v>0</v>
      </c>
      <c r="W13" s="760">
        <v>0</v>
      </c>
      <c r="X13" s="760">
        <v>12867.5</v>
      </c>
      <c r="Y13" s="794">
        <v>50</v>
      </c>
      <c r="Z13" s="758">
        <v>3931753.59</v>
      </c>
    </row>
    <row r="14" spans="1:30">
      <c r="A14" s="753">
        <v>201908</v>
      </c>
      <c r="C14" s="791">
        <v>111405117</v>
      </c>
      <c r="D14" s="792">
        <v>5078222.4399999995</v>
      </c>
      <c r="E14" s="796"/>
      <c r="F14" s="793">
        <v>31992000</v>
      </c>
      <c r="G14" s="759">
        <v>5.6059999999999999E-2</v>
      </c>
      <c r="H14" s="760">
        <v>1793471.52</v>
      </c>
      <c r="I14" s="797"/>
      <c r="J14" s="793">
        <v>0</v>
      </c>
      <c r="K14" s="759">
        <v>0</v>
      </c>
      <c r="L14" s="760">
        <v>0</v>
      </c>
      <c r="M14" s="797"/>
      <c r="N14" s="793">
        <v>79413117</v>
      </c>
      <c r="O14" s="759">
        <v>4.1362825740740031E-2</v>
      </c>
      <c r="P14" s="794">
        <v>3284750.92</v>
      </c>
      <c r="R14" s="795">
        <v>0</v>
      </c>
      <c r="S14" s="759">
        <v>0</v>
      </c>
      <c r="T14" s="760">
        <v>0</v>
      </c>
      <c r="U14" s="760"/>
      <c r="V14" s="760">
        <v>0</v>
      </c>
      <c r="W14" s="760">
        <v>0</v>
      </c>
      <c r="X14" s="760">
        <v>12867.5</v>
      </c>
      <c r="Y14" s="794">
        <v>50</v>
      </c>
      <c r="Z14" s="758">
        <v>5091139.9399999995</v>
      </c>
    </row>
    <row r="15" spans="1:30">
      <c r="A15" s="753">
        <v>201909</v>
      </c>
      <c r="C15" s="791">
        <v>114145276</v>
      </c>
      <c r="D15" s="792">
        <v>5119158.66</v>
      </c>
      <c r="E15" s="796"/>
      <c r="F15" s="793">
        <v>30960000</v>
      </c>
      <c r="G15" s="759">
        <v>5.6060000000000006E-2</v>
      </c>
      <c r="H15" s="760">
        <v>1735617.6</v>
      </c>
      <c r="I15" s="797"/>
      <c r="J15" s="793">
        <v>0</v>
      </c>
      <c r="K15" s="759">
        <v>0</v>
      </c>
      <c r="L15" s="760">
        <v>0</v>
      </c>
      <c r="M15" s="797"/>
      <c r="N15" s="793">
        <v>83185276</v>
      </c>
      <c r="O15" s="759">
        <v>4.0674759076353852E-2</v>
      </c>
      <c r="P15" s="794">
        <v>3383541.06</v>
      </c>
      <c r="R15" s="795">
        <v>0</v>
      </c>
      <c r="S15" s="759">
        <v>0</v>
      </c>
      <c r="T15" s="760">
        <v>0</v>
      </c>
      <c r="U15" s="760"/>
      <c r="V15" s="760">
        <v>0</v>
      </c>
      <c r="W15" s="760">
        <v>0</v>
      </c>
      <c r="X15" s="760">
        <v>12867.5</v>
      </c>
      <c r="Y15" s="794">
        <v>50</v>
      </c>
      <c r="Z15" s="758">
        <v>5132076.16</v>
      </c>
    </row>
    <row r="16" spans="1:30">
      <c r="A16" s="753">
        <v>201910</v>
      </c>
      <c r="C16" s="791">
        <v>108493729</v>
      </c>
      <c r="D16" s="792">
        <v>5198624.8900000006</v>
      </c>
      <c r="E16" s="796"/>
      <c r="F16" s="793">
        <v>32035000</v>
      </c>
      <c r="G16" s="759">
        <v>5.6060000000000006E-2</v>
      </c>
      <c r="H16" s="760">
        <v>1795882.1</v>
      </c>
      <c r="I16" s="797"/>
      <c r="J16" s="793">
        <v>0</v>
      </c>
      <c r="K16" s="759">
        <v>0</v>
      </c>
      <c r="L16" s="760">
        <v>0</v>
      </c>
      <c r="M16" s="797"/>
      <c r="N16" s="793">
        <v>76458729</v>
      </c>
      <c r="O16" s="759">
        <v>4.4504307546101116E-2</v>
      </c>
      <c r="P16" s="794">
        <v>3402742.79</v>
      </c>
      <c r="R16" s="795">
        <v>0</v>
      </c>
      <c r="S16" s="759">
        <v>0</v>
      </c>
      <c r="T16" s="760">
        <v>0</v>
      </c>
      <c r="U16" s="760"/>
      <c r="V16" s="760">
        <v>0</v>
      </c>
      <c r="W16" s="760">
        <v>0</v>
      </c>
      <c r="X16" s="760">
        <v>12867.5</v>
      </c>
      <c r="Y16" s="794">
        <v>50</v>
      </c>
      <c r="Z16" s="758">
        <v>5211542.3900000006</v>
      </c>
    </row>
    <row r="17" spans="1:26">
      <c r="A17" s="753">
        <v>201911</v>
      </c>
      <c r="C17" s="791">
        <v>111052644</v>
      </c>
      <c r="D17" s="792">
        <v>5259845.1400000006</v>
      </c>
      <c r="E17" s="796"/>
      <c r="F17" s="793">
        <v>30960000</v>
      </c>
      <c r="G17" s="759">
        <v>5.6060000000000006E-2</v>
      </c>
      <c r="H17" s="760">
        <v>1735617.6</v>
      </c>
      <c r="I17" s="797"/>
      <c r="J17" s="793">
        <v>0</v>
      </c>
      <c r="K17" s="759">
        <v>0</v>
      </c>
      <c r="L17" s="760">
        <v>0</v>
      </c>
      <c r="M17" s="797"/>
      <c r="N17" s="793">
        <v>80092644</v>
      </c>
      <c r="O17" s="759">
        <v>4.4001887863759373E-2</v>
      </c>
      <c r="P17" s="794">
        <v>3524227.54</v>
      </c>
      <c r="R17" s="795">
        <v>0</v>
      </c>
      <c r="S17" s="759">
        <v>0</v>
      </c>
      <c r="T17" s="760">
        <v>0</v>
      </c>
      <c r="U17" s="760"/>
      <c r="V17" s="760">
        <v>0</v>
      </c>
      <c r="W17" s="760">
        <v>0</v>
      </c>
      <c r="X17" s="760">
        <v>12867.5</v>
      </c>
      <c r="Y17" s="794">
        <v>50</v>
      </c>
      <c r="Z17" s="758">
        <v>5272762.6400000006</v>
      </c>
    </row>
    <row r="18" spans="1:26">
      <c r="A18" s="753">
        <v>201912</v>
      </c>
      <c r="C18" s="798">
        <v>111288244</v>
      </c>
      <c r="D18" s="1211">
        <v>5384960.7800000003</v>
      </c>
      <c r="E18" s="1212"/>
      <c r="F18" s="1213">
        <v>31992000</v>
      </c>
      <c r="G18" s="1214">
        <v>5.7180000000000002E-2</v>
      </c>
      <c r="H18" s="1215">
        <v>1829302.56</v>
      </c>
      <c r="I18" s="1216"/>
      <c r="J18" s="1213">
        <v>0</v>
      </c>
      <c r="K18" s="1214">
        <v>0</v>
      </c>
      <c r="L18" s="1215">
        <v>0</v>
      </c>
      <c r="M18" s="1216"/>
      <c r="N18" s="1213">
        <v>79296244</v>
      </c>
      <c r="O18" s="1214">
        <v>4.4840184612022736E-2</v>
      </c>
      <c r="P18" s="799">
        <v>3555658.22</v>
      </c>
      <c r="R18" s="800">
        <v>0</v>
      </c>
      <c r="S18" s="1214">
        <v>0</v>
      </c>
      <c r="T18" s="1215">
        <v>0</v>
      </c>
      <c r="U18" s="1215"/>
      <c r="V18" s="1215">
        <v>0</v>
      </c>
      <c r="W18" s="1215">
        <v>0</v>
      </c>
      <c r="X18" s="1215">
        <v>12867.5</v>
      </c>
      <c r="Y18" s="799">
        <v>50</v>
      </c>
      <c r="Z18" s="758">
        <v>5397878.2800000003</v>
      </c>
    </row>
    <row r="19" spans="1:26" ht="16.5" thickBot="1">
      <c r="A19" s="763"/>
      <c r="B19" s="763"/>
      <c r="C19" s="763"/>
      <c r="D19" s="763"/>
      <c r="E19" s="763"/>
      <c r="F19" s="763"/>
      <c r="G19" s="763"/>
      <c r="H19" s="763"/>
      <c r="I19" s="763"/>
      <c r="J19" s="763"/>
      <c r="K19" s="763"/>
      <c r="L19" s="763"/>
      <c r="M19" s="763"/>
      <c r="N19" s="763"/>
      <c r="O19" s="763"/>
      <c r="P19" s="763"/>
      <c r="Q19" s="763"/>
      <c r="R19" s="763"/>
      <c r="S19" s="763"/>
      <c r="T19" s="763"/>
      <c r="U19" s="763"/>
      <c r="V19" s="763"/>
      <c r="W19" s="763"/>
      <c r="X19" s="763"/>
      <c r="Y19" s="763"/>
      <c r="Z19" s="763"/>
    </row>
    <row r="20" spans="1:26" ht="16.5" thickTop="1"/>
    <row r="21" spans="1:26">
      <c r="A21" s="753" t="s">
        <v>450</v>
      </c>
      <c r="C21" s="801">
        <v>1284863246</v>
      </c>
      <c r="D21" s="802">
        <v>65909694.239999995</v>
      </c>
      <c r="F21" s="801">
        <v>375537561</v>
      </c>
      <c r="H21" s="802">
        <v>21088466.710000001</v>
      </c>
      <c r="J21" s="801">
        <v>0</v>
      </c>
      <c r="L21" s="802">
        <v>0</v>
      </c>
      <c r="N21" s="801">
        <v>909325685</v>
      </c>
      <c r="P21" s="802">
        <v>44821227.529999994</v>
      </c>
      <c r="R21" s="801">
        <v>0</v>
      </c>
      <c r="T21" s="802">
        <v>0</v>
      </c>
      <c r="U21" s="802"/>
      <c r="V21" s="802">
        <v>0</v>
      </c>
      <c r="W21" s="802">
        <v>0</v>
      </c>
      <c r="X21" s="802">
        <v>154410</v>
      </c>
      <c r="Y21" s="802">
        <v>600</v>
      </c>
      <c r="Z21" s="802">
        <v>66064704.239999995</v>
      </c>
    </row>
  </sheetData>
  <pageMargins left="0.42" right="0.43" top="0.49" bottom="0.5" header="0.5" footer="0.5"/>
  <pageSetup scale="37" fitToHeight="0" orientation="landscape" r:id="rId1"/>
  <headerFooter alignWithMargins="0"/>
  <rowBreaks count="1" manualBreakCount="1">
    <brk id="55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7"/>
  <sheetViews>
    <sheetView zoomScale="80" zoomScaleNormal="80" workbookViewId="0">
      <pane xSplit="1" ySplit="2" topLeftCell="B51" activePane="bottomRight" state="frozen"/>
      <selection activeCell="W28" sqref="W28"/>
      <selection pane="topRight" activeCell="W28" sqref="W28"/>
      <selection pane="bottomLeft" activeCell="W28" sqref="W28"/>
      <selection pane="bottomRight" activeCell="C18" sqref="C18"/>
    </sheetView>
  </sheetViews>
  <sheetFormatPr defaultColWidth="11.75" defaultRowHeight="12.75" outlineLevelCol="1"/>
  <cols>
    <col min="1" max="1" width="49.75" style="1130" customWidth="1"/>
    <col min="2" max="3" width="14.25" style="1130" customWidth="1" outlineLevel="1"/>
    <col min="4" max="4" width="14" style="1130" customWidth="1" outlineLevel="1"/>
    <col min="5" max="7" width="14.25" style="1130" customWidth="1" outlineLevel="1"/>
    <col min="8" max="8" width="14" style="1130" customWidth="1" outlineLevel="1"/>
    <col min="9" max="10" width="14.25" style="1130" customWidth="1" outlineLevel="1"/>
    <col min="11" max="11" width="14" style="1130" customWidth="1" outlineLevel="1"/>
    <col min="12" max="12" width="14.25" style="1130" customWidth="1" outlineLevel="1"/>
    <col min="13" max="13" width="14" style="1130" customWidth="1" outlineLevel="1"/>
    <col min="14" max="14" width="15.75" style="1130" bestFit="1" customWidth="1"/>
    <col min="15" max="16384" width="11.75" style="1130"/>
  </cols>
  <sheetData>
    <row r="1" spans="1:14" ht="15.75">
      <c r="A1"/>
      <c r="B1" s="1264">
        <v>44197</v>
      </c>
      <c r="C1" s="1264">
        <v>44228</v>
      </c>
      <c r="D1" s="1264">
        <v>44256</v>
      </c>
      <c r="E1" s="1264">
        <v>44287</v>
      </c>
      <c r="F1" s="1264">
        <v>44317</v>
      </c>
      <c r="G1" s="1264">
        <v>44348</v>
      </c>
      <c r="H1" s="1264">
        <v>44378</v>
      </c>
      <c r="I1" s="1264">
        <v>44409</v>
      </c>
      <c r="J1" s="1264">
        <v>44440</v>
      </c>
      <c r="K1" s="1264">
        <v>44470</v>
      </c>
      <c r="L1" s="1264">
        <v>44501</v>
      </c>
      <c r="M1" s="1264">
        <v>44531</v>
      </c>
      <c r="N1" s="1265">
        <v>2021</v>
      </c>
    </row>
    <row r="2" spans="1:14" ht="15.75">
      <c r="A2"/>
      <c r="B2" s="1266">
        <v>2021</v>
      </c>
      <c r="C2" s="1266">
        <v>2021</v>
      </c>
      <c r="D2" s="1266">
        <v>2021</v>
      </c>
      <c r="E2" s="1266">
        <v>2021</v>
      </c>
      <c r="F2" s="1266">
        <v>2021</v>
      </c>
      <c r="G2" s="1266">
        <v>2021</v>
      </c>
      <c r="H2" s="1266">
        <v>2021</v>
      </c>
      <c r="I2" s="1266">
        <v>2021</v>
      </c>
      <c r="J2" s="1266">
        <v>2021</v>
      </c>
      <c r="K2" s="1266">
        <v>2021</v>
      </c>
      <c r="L2" s="1266">
        <v>2021</v>
      </c>
      <c r="M2" s="1266">
        <v>2021</v>
      </c>
      <c r="N2"/>
    </row>
    <row r="3" spans="1:14" ht="15.75">
      <c r="A3" s="1267" t="s">
        <v>1847</v>
      </c>
      <c r="B3"/>
      <c r="C3"/>
      <c r="D3"/>
      <c r="E3"/>
      <c r="F3"/>
      <c r="G3"/>
      <c r="H3"/>
      <c r="I3"/>
      <c r="J3"/>
      <c r="K3"/>
      <c r="L3"/>
      <c r="M3"/>
      <c r="N3"/>
    </row>
    <row r="4" spans="1:14" ht="15.75">
      <c r="A4" t="s">
        <v>1583</v>
      </c>
      <c r="B4" s="1268">
        <v>105501785.00000006</v>
      </c>
      <c r="C4" s="1268">
        <v>93180889.999999925</v>
      </c>
      <c r="D4" s="1268">
        <v>102727346.99999991</v>
      </c>
      <c r="E4" s="1268">
        <v>101634906.99999997</v>
      </c>
      <c r="F4" s="1268">
        <v>80866344.99999997</v>
      </c>
      <c r="G4" s="1268">
        <v>108716269.99999987</v>
      </c>
      <c r="H4" s="1268">
        <v>114387229.00000004</v>
      </c>
      <c r="I4" s="1268">
        <v>117434171.00000009</v>
      </c>
      <c r="J4" s="1268">
        <v>120719343.99999997</v>
      </c>
      <c r="K4" s="1268">
        <v>118101494.00000007</v>
      </c>
      <c r="L4" s="1268">
        <v>111885994.00000004</v>
      </c>
      <c r="M4" s="1268">
        <v>113470421.00000001</v>
      </c>
      <c r="N4" s="1125">
        <v>1288626197</v>
      </c>
    </row>
    <row r="5" spans="1:14" s="1241" customFormat="1" ht="15.75">
      <c r="A5" t="s">
        <v>1584</v>
      </c>
      <c r="B5" s="1240">
        <v>31992000</v>
      </c>
      <c r="C5" s="1240">
        <v>28896000</v>
      </c>
      <c r="D5" s="1240">
        <v>31992000</v>
      </c>
      <c r="E5" s="1240">
        <v>30960000</v>
      </c>
      <c r="F5" s="1240">
        <v>31992000</v>
      </c>
      <c r="G5" s="1240">
        <v>30960000</v>
      </c>
      <c r="H5" s="1240">
        <v>31992000</v>
      </c>
      <c r="I5" s="1240">
        <v>31992000</v>
      </c>
      <c r="J5" s="1240">
        <v>30960000</v>
      </c>
      <c r="K5" s="1240">
        <v>31992000</v>
      </c>
      <c r="L5" s="1240">
        <v>30960000</v>
      </c>
      <c r="M5" s="1240">
        <v>31992000</v>
      </c>
      <c r="N5" s="1240">
        <v>376680000</v>
      </c>
    </row>
    <row r="6" spans="1:14" ht="15.75">
      <c r="A6" t="s">
        <v>1585</v>
      </c>
      <c r="B6" s="1269">
        <v>54</v>
      </c>
      <c r="C6" s="1269">
        <v>54</v>
      </c>
      <c r="D6" s="1269">
        <v>54</v>
      </c>
      <c r="E6" s="1269">
        <v>54</v>
      </c>
      <c r="F6" s="1269">
        <v>54</v>
      </c>
      <c r="G6" s="1269">
        <v>54</v>
      </c>
      <c r="H6" s="1269">
        <v>54</v>
      </c>
      <c r="I6" s="1269">
        <v>54</v>
      </c>
      <c r="J6" s="1269">
        <v>54</v>
      </c>
      <c r="K6" s="1269">
        <v>54</v>
      </c>
      <c r="L6" s="1269">
        <v>54</v>
      </c>
      <c r="M6" s="1269">
        <v>54</v>
      </c>
      <c r="N6" s="1269">
        <v>54</v>
      </c>
    </row>
    <row r="7" spans="1:14" ht="15.75">
      <c r="A7" t="s">
        <v>1586</v>
      </c>
      <c r="B7" s="1242"/>
      <c r="C7" s="1242"/>
      <c r="D7" s="1242"/>
      <c r="E7" s="1242"/>
      <c r="F7" s="1242"/>
      <c r="G7" s="1242"/>
      <c r="H7" s="1242"/>
      <c r="I7" s="1242"/>
      <c r="J7" s="1242"/>
      <c r="K7" s="1242"/>
      <c r="L7" s="1242"/>
      <c r="M7" s="1242">
        <v>1.02</v>
      </c>
      <c r="N7" s="1242">
        <v>1.0818401826484016</v>
      </c>
    </row>
    <row r="8" spans="1:14" ht="15.75">
      <c r="A8" t="s">
        <v>1587</v>
      </c>
      <c r="B8" s="1269">
        <v>58.32</v>
      </c>
      <c r="C8" s="1269">
        <v>58.32</v>
      </c>
      <c r="D8" s="1269">
        <v>58.32</v>
      </c>
      <c r="E8" s="1269">
        <v>58.32</v>
      </c>
      <c r="F8" s="1269">
        <v>58.32</v>
      </c>
      <c r="G8" s="1269">
        <v>58.32</v>
      </c>
      <c r="H8" s="1269">
        <v>58.32</v>
      </c>
      <c r="I8" s="1269">
        <v>58.32</v>
      </c>
      <c r="J8" s="1269">
        <v>58.32</v>
      </c>
      <c r="K8" s="1269">
        <v>58.32</v>
      </c>
      <c r="L8" s="1269">
        <v>58.32</v>
      </c>
      <c r="M8" s="1269">
        <v>59.49</v>
      </c>
      <c r="N8" s="1269">
        <v>58.419369863013685</v>
      </c>
    </row>
    <row r="9" spans="1:14" s="1241" customFormat="1" ht="15.75">
      <c r="A9" t="s">
        <v>1588</v>
      </c>
      <c r="B9" s="246">
        <v>1865773.44</v>
      </c>
      <c r="C9" s="246">
        <v>1685214.72</v>
      </c>
      <c r="D9" s="246">
        <v>1865773.44</v>
      </c>
      <c r="E9" s="246">
        <v>1805587.2</v>
      </c>
      <c r="F9" s="246">
        <v>1865773.44</v>
      </c>
      <c r="G9" s="246">
        <v>1805587.2</v>
      </c>
      <c r="H9" s="246">
        <v>1865773.44</v>
      </c>
      <c r="I9" s="246">
        <v>1865773.44</v>
      </c>
      <c r="J9" s="246">
        <v>1805587.2</v>
      </c>
      <c r="K9" s="246">
        <v>1865773.44</v>
      </c>
      <c r="L9" s="246">
        <v>1805587.2</v>
      </c>
      <c r="M9" s="246">
        <v>1903204.08</v>
      </c>
      <c r="N9" s="246">
        <v>22005408.239999995</v>
      </c>
    </row>
    <row r="10" spans="1:14" s="1241" customFormat="1" ht="15.75">
      <c r="A10" t="s">
        <v>1589</v>
      </c>
      <c r="B10" s="1125">
        <v>73509785.00000006</v>
      </c>
      <c r="C10" s="1125">
        <v>64284889.999999925</v>
      </c>
      <c r="D10" s="1125">
        <v>70735346.999999911</v>
      </c>
      <c r="E10" s="1125">
        <v>70674906.99999997</v>
      </c>
      <c r="F10" s="1125">
        <v>48874344.99999997</v>
      </c>
      <c r="G10" s="1125">
        <v>77756269.999999866</v>
      </c>
      <c r="H10" s="1125">
        <v>82395229.000000045</v>
      </c>
      <c r="I10" s="1125">
        <v>85442171.000000089</v>
      </c>
      <c r="J10" s="1125">
        <v>89759343.99999997</v>
      </c>
      <c r="K10" s="1125">
        <v>86109494.000000075</v>
      </c>
      <c r="L10" s="1125">
        <v>80925994.000000045</v>
      </c>
      <c r="M10" s="1125">
        <v>81478421.000000015</v>
      </c>
      <c r="N10" s="1125">
        <v>911946197</v>
      </c>
    </row>
    <row r="11" spans="1:14" ht="15.75">
      <c r="A11" t="s">
        <v>1590</v>
      </c>
      <c r="B11" s="1270">
        <v>35.596239354838708</v>
      </c>
      <c r="C11" s="1270">
        <v>35.240854285714285</v>
      </c>
      <c r="D11" s="1270">
        <v>29.183300323014802</v>
      </c>
      <c r="E11" s="1270">
        <v>18.011692444444446</v>
      </c>
      <c r="F11" s="1270">
        <v>15.003553440860212</v>
      </c>
      <c r="G11" s="1270">
        <v>14.864722244444444</v>
      </c>
      <c r="H11" s="1270">
        <v>39.865677311827952</v>
      </c>
      <c r="I11" s="1270">
        <v>44.988524838709679</v>
      </c>
      <c r="J11" s="1270">
        <v>41.404603333333334</v>
      </c>
      <c r="K11" s="1270">
        <v>30.166600752688176</v>
      </c>
      <c r="L11" s="1270">
        <v>31.191988294036062</v>
      </c>
      <c r="M11" s="1270">
        <v>37.715927096774202</v>
      </c>
      <c r="N11" s="1269">
        <v>31.102806976723855</v>
      </c>
    </row>
    <row r="12" spans="1:14" ht="15.75">
      <c r="A12" t="s">
        <v>1591</v>
      </c>
      <c r="B12" s="1269">
        <v>4.8563835411533187</v>
      </c>
      <c r="C12" s="1269">
        <v>5.3414008678335252</v>
      </c>
      <c r="D12" s="1269">
        <v>4.8563835411533187</v>
      </c>
      <c r="E12" s="1269">
        <v>5.0072778205649371</v>
      </c>
      <c r="F12" s="1269">
        <v>4.8563835411533187</v>
      </c>
      <c r="G12" s="1269">
        <v>5.007277820564938</v>
      </c>
      <c r="H12" s="1269">
        <v>4.8563835411533187</v>
      </c>
      <c r="I12" s="1269">
        <v>4.8563835411533187</v>
      </c>
      <c r="J12" s="1269">
        <v>5.0072778205649398</v>
      </c>
      <c r="K12" s="1269">
        <v>4.8563835411533187</v>
      </c>
      <c r="L12" s="1269">
        <v>5.007277820564938</v>
      </c>
      <c r="M12" s="1269">
        <v>4.8563835411533187</v>
      </c>
      <c r="N12" s="1269">
        <v>4.9470997448472094</v>
      </c>
    </row>
    <row r="13" spans="1:14" ht="15.75">
      <c r="A13" t="s">
        <v>1592</v>
      </c>
      <c r="B13" s="1269">
        <v>8</v>
      </c>
      <c r="C13" s="1269">
        <v>8</v>
      </c>
      <c r="D13" s="1269">
        <v>8</v>
      </c>
      <c r="E13" s="1269">
        <v>8</v>
      </c>
      <c r="F13" s="1269">
        <v>8</v>
      </c>
      <c r="G13" s="1269">
        <v>8</v>
      </c>
      <c r="H13" s="1269">
        <v>8</v>
      </c>
      <c r="I13" s="1269">
        <v>8</v>
      </c>
      <c r="J13" s="1269">
        <v>8</v>
      </c>
      <c r="K13" s="1269">
        <v>8</v>
      </c>
      <c r="L13" s="1269">
        <v>8</v>
      </c>
      <c r="M13" s="1269">
        <v>8</v>
      </c>
      <c r="N13" s="1269">
        <v>8</v>
      </c>
    </row>
    <row r="14" spans="1:14" s="1241" customFormat="1" ht="15.75">
      <c r="A14" t="s">
        <v>1593</v>
      </c>
      <c r="B14" s="246">
        <v>3561741.8917704546</v>
      </c>
      <c r="C14" s="246">
        <v>3123104.9284977508</v>
      </c>
      <c r="D14" s="246">
        <v>2973691.625902229</v>
      </c>
      <c r="E14" s="246">
        <v>2192262.8387153028</v>
      </c>
      <c r="F14" s="246">
        <v>1361636.1717371873</v>
      </c>
      <c r="G14" s="246">
        <v>2167222.7624948835</v>
      </c>
      <c r="H14" s="246">
        <v>4344046.2773333304</v>
      </c>
      <c r="I14" s="246">
        <v>4942394.5532715926</v>
      </c>
      <c r="J14" s="246">
        <v>4883974.7581798704</v>
      </c>
      <c r="K14" s="246">
        <v>3704687.4079126418</v>
      </c>
      <c r="L14" s="246">
        <v>3576869.5443946063</v>
      </c>
      <c r="M14" s="246">
        <v>4120552.0170998382</v>
      </c>
      <c r="N14" s="246">
        <v>40952184.777309686</v>
      </c>
    </row>
    <row r="15" spans="1:14" ht="15.75">
      <c r="A15" t="s">
        <v>1594</v>
      </c>
      <c r="B15" s="246">
        <v>12867.5</v>
      </c>
      <c r="C15" s="246">
        <v>12867.5</v>
      </c>
      <c r="D15" s="246">
        <v>12867.5</v>
      </c>
      <c r="E15" s="246">
        <v>12867.5</v>
      </c>
      <c r="F15" s="246">
        <v>12867.5</v>
      </c>
      <c r="G15" s="246">
        <v>12867.5</v>
      </c>
      <c r="H15" s="246">
        <v>12867.5</v>
      </c>
      <c r="I15" s="246">
        <v>12867.5</v>
      </c>
      <c r="J15" s="246">
        <v>12867.5</v>
      </c>
      <c r="K15" s="246">
        <v>12867.5</v>
      </c>
      <c r="L15" s="246">
        <v>12867.5</v>
      </c>
      <c r="M15" s="246">
        <v>12867.5</v>
      </c>
      <c r="N15" s="246">
        <v>154410</v>
      </c>
    </row>
    <row r="16" spans="1:14" ht="15.75">
      <c r="A16" t="s">
        <v>1595</v>
      </c>
      <c r="B16" s="246">
        <v>1029.6600000000001</v>
      </c>
      <c r="C16" s="246">
        <v>1029.6600000000001</v>
      </c>
      <c r="D16" s="246">
        <v>1029.6600000000001</v>
      </c>
      <c r="E16" s="246">
        <v>1029.6600000000001</v>
      </c>
      <c r="F16" s="246">
        <v>1029.6600000000001</v>
      </c>
      <c r="G16" s="246">
        <v>1029.6600000000001</v>
      </c>
      <c r="H16" s="246">
        <v>1029.6600000000001</v>
      </c>
      <c r="I16" s="246">
        <v>1029.6600000000001</v>
      </c>
      <c r="J16" s="246">
        <v>1029.6600000000001</v>
      </c>
      <c r="K16" s="246">
        <v>1029.6600000000001</v>
      </c>
      <c r="L16" s="246">
        <v>1029.6600000000001</v>
      </c>
      <c r="M16" s="246">
        <v>1029.6600000000001</v>
      </c>
      <c r="N16" s="246">
        <v>12355.92</v>
      </c>
    </row>
    <row r="17" spans="1:14" ht="15.75">
      <c r="A17" s="1271" t="s">
        <v>1596</v>
      </c>
      <c r="B17" s="1272">
        <v>1033.8899999999996</v>
      </c>
      <c r="C17" s="1272">
        <v>1033.8899999999996</v>
      </c>
      <c r="D17" s="1272">
        <v>1033.8899999999996</v>
      </c>
      <c r="E17" s="1272">
        <v>1033.8899999999996</v>
      </c>
      <c r="F17" s="1272">
        <v>1033.8899999999996</v>
      </c>
      <c r="G17" s="1272">
        <v>1033.8899999999996</v>
      </c>
      <c r="H17" s="1272">
        <v>1033.8899999999996</v>
      </c>
      <c r="I17" s="1272">
        <v>1033.8899999999996</v>
      </c>
      <c r="J17" s="1272">
        <v>1033.8899999999996</v>
      </c>
      <c r="K17" s="1272">
        <v>1033.8899999999996</v>
      </c>
      <c r="L17" s="1272">
        <v>1033.8899999999996</v>
      </c>
      <c r="M17" s="1272">
        <v>1033.8899999999996</v>
      </c>
      <c r="N17" s="246">
        <v>12406.679999999995</v>
      </c>
    </row>
    <row r="18" spans="1:14" ht="15.75">
      <c r="A18" t="s">
        <v>1597</v>
      </c>
      <c r="B18" s="246">
        <v>50</v>
      </c>
      <c r="C18" s="246">
        <v>50</v>
      </c>
      <c r="D18" s="246">
        <v>50</v>
      </c>
      <c r="E18" s="246">
        <v>50</v>
      </c>
      <c r="F18" s="246">
        <v>50</v>
      </c>
      <c r="G18" s="246">
        <v>50</v>
      </c>
      <c r="H18" s="246">
        <v>50</v>
      </c>
      <c r="I18" s="246">
        <v>50</v>
      </c>
      <c r="J18" s="246">
        <v>50</v>
      </c>
      <c r="K18" s="246">
        <v>50</v>
      </c>
      <c r="L18" s="246">
        <v>50</v>
      </c>
      <c r="M18" s="246">
        <v>50</v>
      </c>
      <c r="N18" s="246">
        <v>600</v>
      </c>
    </row>
    <row r="19" spans="1:14" ht="15.75">
      <c r="A19" t="s">
        <v>1598</v>
      </c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</row>
    <row r="20" spans="1:14" s="1243" customFormat="1" ht="15.75">
      <c r="A20" s="1273" t="s">
        <v>1599</v>
      </c>
      <c r="B20" s="1274">
        <v>5442496.3817704543</v>
      </c>
      <c r="C20" s="1274">
        <v>4823300.6984977508</v>
      </c>
      <c r="D20" s="1274">
        <v>4854446.1159022292</v>
      </c>
      <c r="E20" s="1274">
        <v>4012831.0887153032</v>
      </c>
      <c r="F20" s="1274">
        <v>3242390.6617371873</v>
      </c>
      <c r="G20" s="1274">
        <v>3987791.012494884</v>
      </c>
      <c r="H20" s="1274">
        <v>6224800.7673333297</v>
      </c>
      <c r="I20" s="1274">
        <v>6823149.0432715928</v>
      </c>
      <c r="J20" s="1274">
        <v>6704543.0081798704</v>
      </c>
      <c r="K20" s="1274">
        <v>5585441.8979126411</v>
      </c>
      <c r="L20" s="1274">
        <v>5397437.7943946058</v>
      </c>
      <c r="M20" s="1274">
        <v>6038737.1470998386</v>
      </c>
      <c r="N20" s="1274">
        <v>63137365.61730969</v>
      </c>
    </row>
    <row r="21" spans="1:14" ht="15.75">
      <c r="A21" t="s">
        <v>1600</v>
      </c>
      <c r="B21" s="1275">
        <v>51.586770610283523</v>
      </c>
      <c r="C21" s="1275">
        <v>51.762767006172133</v>
      </c>
      <c r="D21" s="1275">
        <v>47.255635988557493</v>
      </c>
      <c r="E21" s="1275">
        <v>39.48280376460918</v>
      </c>
      <c r="F21" s="1275">
        <v>40.095674680699226</v>
      </c>
      <c r="G21" s="1275">
        <v>36.680719569342187</v>
      </c>
      <c r="H21" s="1275">
        <v>54.418669127244328</v>
      </c>
      <c r="I21" s="1275">
        <v>58.101904966584108</v>
      </c>
      <c r="J21" s="1275">
        <v>55.538265749521237</v>
      </c>
      <c r="K21" s="1275">
        <v>47.293575286292629</v>
      </c>
      <c r="L21" s="1275">
        <v>48.240513413989987</v>
      </c>
      <c r="M21" s="1275">
        <v>53.218601763184061</v>
      </c>
      <c r="N21" s="1275">
        <v>48.9958730967113</v>
      </c>
    </row>
    <row r="22" spans="1:14" ht="15.75">
      <c r="A22"/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</row>
    <row r="23" spans="1:14" ht="15.75">
      <c r="A23" s="1267" t="s">
        <v>1601</v>
      </c>
      <c r="B23" s="1244">
        <v>1.0864778893532088</v>
      </c>
      <c r="C23" s="1244"/>
      <c r="D23" s="1244"/>
      <c r="E23" s="1244"/>
      <c r="F23" s="1244"/>
      <c r="G23" s="1244"/>
      <c r="H23" s="1244"/>
      <c r="I23" s="1244"/>
      <c r="J23" s="1244"/>
      <c r="K23" s="1244"/>
      <c r="L23" s="1244"/>
      <c r="M23" s="1244"/>
      <c r="N23" s="1244">
        <v>1.0864778893532088</v>
      </c>
    </row>
    <row r="24" spans="1:14" ht="15.75">
      <c r="A24" t="s">
        <v>1602</v>
      </c>
      <c r="B24" s="1276">
        <v>6.9424831798534092E-2</v>
      </c>
      <c r="C24" s="1276">
        <v>6.9424831798534092E-2</v>
      </c>
      <c r="D24" s="1276">
        <v>6.9424831798534092E-2</v>
      </c>
      <c r="E24" s="1276">
        <v>6.9424831798534092E-2</v>
      </c>
      <c r="F24" s="1276">
        <v>6.9424831798534092E-2</v>
      </c>
      <c r="G24" s="1276">
        <v>6.9424831798534092E-2</v>
      </c>
      <c r="H24" s="1276">
        <v>6.9424831798534092E-2</v>
      </c>
      <c r="I24" s="1276">
        <v>6.9424831798534092E-2</v>
      </c>
      <c r="J24" s="1276">
        <v>6.9424831798534092E-2</v>
      </c>
      <c r="K24" s="1276">
        <v>6.9424831798534092E-2</v>
      </c>
      <c r="L24" s="1276">
        <v>6.9424831798534092E-2</v>
      </c>
      <c r="M24" s="1276">
        <v>6.9424831798534092E-2</v>
      </c>
      <c r="N24" s="1276">
        <v>6.9424831798534092E-2</v>
      </c>
    </row>
    <row r="25" spans="1:14" ht="15.75">
      <c r="A25" t="s">
        <v>1603</v>
      </c>
      <c r="B25" s="1276">
        <v>5.0014905938733312E-2</v>
      </c>
      <c r="C25" s="1276">
        <v>5.0014905938733312E-2</v>
      </c>
      <c r="D25" s="1276">
        <v>5.0014905938733312E-2</v>
      </c>
      <c r="E25" s="1276">
        <v>5.0014905938733312E-2</v>
      </c>
      <c r="F25" s="1276">
        <v>5.0014905938733312E-2</v>
      </c>
      <c r="G25" s="1276">
        <v>5.0014905938733312E-2</v>
      </c>
      <c r="H25" s="1276">
        <v>5.0014905938733312E-2</v>
      </c>
      <c r="I25" s="1276">
        <v>5.0014905938733312E-2</v>
      </c>
      <c r="J25" s="1276">
        <v>5.0014905938733312E-2</v>
      </c>
      <c r="K25" s="1276">
        <v>5.0014905938733312E-2</v>
      </c>
      <c r="L25" s="1276">
        <v>5.0014905938733312E-2</v>
      </c>
      <c r="M25" s="1276">
        <v>5.0014905938733312E-2</v>
      </c>
      <c r="N25" s="1276">
        <v>5.0014905938733312E-2</v>
      </c>
    </row>
    <row r="26" spans="1:14" ht="15.75">
      <c r="A26" t="s">
        <v>1604</v>
      </c>
      <c r="B26" s="1276">
        <v>0.19314987784251081</v>
      </c>
      <c r="C26" s="1276">
        <v>0.19314987784251081</v>
      </c>
      <c r="D26" s="1276">
        <v>0.19314987784251081</v>
      </c>
      <c r="E26" s="1276">
        <v>0.19314987784251081</v>
      </c>
      <c r="F26" s="1276">
        <v>0.19314987784251081</v>
      </c>
      <c r="G26" s="1276">
        <v>0.19314987784251081</v>
      </c>
      <c r="H26" s="1276">
        <v>0.19314987784251081</v>
      </c>
      <c r="I26" s="1276">
        <v>0.19314987784251081</v>
      </c>
      <c r="J26" s="1276">
        <v>0.19314987784251081</v>
      </c>
      <c r="K26" s="1276">
        <v>0.19314987784251081</v>
      </c>
      <c r="L26" s="1276">
        <v>0.19314987784251081</v>
      </c>
      <c r="M26" s="1276">
        <v>0.19314987784251081</v>
      </c>
      <c r="N26" s="1276">
        <v>0.19314987784251078</v>
      </c>
    </row>
    <row r="27" spans="1:14" ht="15.75">
      <c r="A27" t="s">
        <v>1605</v>
      </c>
      <c r="B27" s="1276">
        <v>2.9118817261792893</v>
      </c>
      <c r="C27" s="1276">
        <v>2.9118817261792893</v>
      </c>
      <c r="D27" s="1276">
        <v>2.9118817261792893</v>
      </c>
      <c r="E27" s="1276">
        <v>2.9118817261792893</v>
      </c>
      <c r="F27" s="1276">
        <v>2.9118817261792893</v>
      </c>
      <c r="G27" s="1276">
        <v>2.9118817261792893</v>
      </c>
      <c r="H27" s="1276">
        <v>2.9118817261792893</v>
      </c>
      <c r="I27" s="1276">
        <v>2.9118817261792893</v>
      </c>
      <c r="J27" s="1276">
        <v>2.9118817261792893</v>
      </c>
      <c r="K27" s="1276">
        <v>2.9118817261792893</v>
      </c>
      <c r="L27" s="1276">
        <v>2.9118817261792893</v>
      </c>
      <c r="M27" s="1276">
        <v>2.9118817261792893</v>
      </c>
      <c r="N27" s="1276">
        <v>2.9118817261792889</v>
      </c>
    </row>
    <row r="28" spans="1:14" ht="15.75">
      <c r="A28" t="s">
        <v>1606</v>
      </c>
      <c r="B28" s="1276">
        <v>3.2244713417590676</v>
      </c>
      <c r="C28" s="1276">
        <v>3.2244713417590676</v>
      </c>
      <c r="D28" s="1276">
        <v>3.2244713417590676</v>
      </c>
      <c r="E28" s="1276">
        <v>3.2244713417590676</v>
      </c>
      <c r="F28" s="1276">
        <v>3.2244713417590676</v>
      </c>
      <c r="G28" s="1276">
        <v>3.2244713417590676</v>
      </c>
      <c r="H28" s="1276">
        <v>3.2244713417590676</v>
      </c>
      <c r="I28" s="1276">
        <v>3.2244713417590676</v>
      </c>
      <c r="J28" s="1276">
        <v>3.2244713417590676</v>
      </c>
      <c r="K28" s="1276">
        <v>3.2244713417590676</v>
      </c>
      <c r="L28" s="1276">
        <v>3.2244713417590676</v>
      </c>
      <c r="M28" s="1276">
        <v>3.2244713417590676</v>
      </c>
      <c r="N28" s="1276">
        <v>3.224471341759068</v>
      </c>
    </row>
    <row r="29" spans="1:14" ht="15.75">
      <c r="A29"/>
      <c r="B29" s="1276"/>
      <c r="C29" s="1276"/>
      <c r="D29" s="1276"/>
      <c r="E29" s="1276"/>
      <c r="F29" s="1276"/>
      <c r="G29" s="1276"/>
      <c r="H29" s="1276"/>
      <c r="I29" s="1276"/>
      <c r="J29" s="1276"/>
      <c r="K29" s="1276"/>
      <c r="L29" s="1276"/>
      <c r="M29" s="1276"/>
      <c r="N29" s="1276"/>
    </row>
    <row r="30" spans="1:14" ht="15.75">
      <c r="A30" t="s">
        <v>1607</v>
      </c>
      <c r="B30" s="237">
        <v>4.4499999999999998E-2</v>
      </c>
      <c r="C30" s="237">
        <v>4.4499999999999998E-2</v>
      </c>
      <c r="D30" s="237">
        <v>4.4499999999999998E-2</v>
      </c>
      <c r="E30" s="237">
        <v>4.4499999999999998E-2</v>
      </c>
      <c r="F30" s="237">
        <v>4.4499999999999998E-2</v>
      </c>
      <c r="G30" s="237">
        <v>4.4499999999999998E-2</v>
      </c>
      <c r="H30" s="237">
        <v>4.4499999999999998E-2</v>
      </c>
      <c r="I30" s="237">
        <v>4.4499999999999998E-2</v>
      </c>
      <c r="J30" s="237">
        <v>4.4499999999999998E-2</v>
      </c>
      <c r="K30" s="237">
        <v>4.4499999999999998E-2</v>
      </c>
      <c r="L30" s="237">
        <v>4.4499999999999998E-2</v>
      </c>
      <c r="M30" s="237">
        <v>4.4499999999999998E-2</v>
      </c>
      <c r="N30" s="237">
        <v>4.4499999999999991E-2</v>
      </c>
    </row>
    <row r="31" spans="1:14" ht="15.75">
      <c r="A31"/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</row>
    <row r="32" spans="1:14" ht="15.75">
      <c r="A32" t="s">
        <v>1608</v>
      </c>
      <c r="B32" s="1275">
        <v>0.16477757940236795</v>
      </c>
      <c r="C32" s="1275">
        <v>0.16477757940236795</v>
      </c>
      <c r="D32" s="1275">
        <v>0.16477757940236795</v>
      </c>
      <c r="E32" s="1275">
        <v>0.16477757940236795</v>
      </c>
      <c r="F32" s="1275">
        <v>0.16477757940236795</v>
      </c>
      <c r="G32" s="1275">
        <v>0.16477757940236795</v>
      </c>
      <c r="H32" s="1275">
        <v>0.16477757940236795</v>
      </c>
      <c r="I32" s="1275">
        <v>0.16477757940236795</v>
      </c>
      <c r="J32" s="1275">
        <v>0.16477757940236795</v>
      </c>
      <c r="K32" s="1275">
        <v>0.16477757940236795</v>
      </c>
      <c r="L32" s="1275">
        <v>0.16477757940236795</v>
      </c>
      <c r="M32" s="1275">
        <v>0.16477757940236795</v>
      </c>
      <c r="N32" s="1275">
        <v>0.16477757940236798</v>
      </c>
    </row>
    <row r="33" spans="1:14" ht="15.75">
      <c r="A33" t="s">
        <v>1609</v>
      </c>
      <c r="B33" s="1275">
        <v>0.16477757940236795</v>
      </c>
      <c r="C33" s="1275">
        <v>0.16477757940236795</v>
      </c>
      <c r="D33" s="1275">
        <v>0.16477757940236795</v>
      </c>
      <c r="E33" s="1275">
        <v>0.16477757940236795</v>
      </c>
      <c r="F33" s="1275">
        <v>0.16477757940236795</v>
      </c>
      <c r="G33" s="1275">
        <v>0.16477757940236795</v>
      </c>
      <c r="H33" s="1275">
        <v>0.16477757940236795</v>
      </c>
      <c r="I33" s="1275">
        <v>0.16477757940236795</v>
      </c>
      <c r="J33" s="1275">
        <v>0.16477757940236795</v>
      </c>
      <c r="K33" s="1275">
        <v>0.16477757940236795</v>
      </c>
      <c r="L33" s="1275">
        <v>0.16477757940236795</v>
      </c>
      <c r="M33" s="1275">
        <v>0.16477757940236795</v>
      </c>
      <c r="N33" s="1275">
        <v>0.16477757940236798</v>
      </c>
    </row>
    <row r="34" spans="1:14" ht="15.75">
      <c r="A34"/>
      <c r="B34" s="1275"/>
      <c r="C34" s="1275"/>
      <c r="D34" s="1275"/>
      <c r="E34" s="1275"/>
      <c r="F34" s="1275"/>
      <c r="G34" s="1275"/>
      <c r="H34" s="1275"/>
      <c r="I34" s="1275"/>
      <c r="J34" s="1275"/>
      <c r="K34" s="1275"/>
      <c r="L34" s="1275"/>
      <c r="M34" s="1275"/>
      <c r="N34" s="1275"/>
    </row>
    <row r="35" spans="1:14" ht="47.25">
      <c r="A35" s="1277" t="s">
        <v>1610</v>
      </c>
      <c r="B35" s="1245">
        <v>98.803474462365671</v>
      </c>
      <c r="C35" s="1245">
        <v>95.662038690476081</v>
      </c>
      <c r="D35" s="1245">
        <v>95.074391129032136</v>
      </c>
      <c r="E35" s="1245">
        <v>98.159593055555504</v>
      </c>
      <c r="F35" s="1245">
        <v>65.691323924731137</v>
      </c>
      <c r="G35" s="1245">
        <v>107.99481944444426</v>
      </c>
      <c r="H35" s="1245">
        <v>110.74627553763447</v>
      </c>
      <c r="I35" s="1245">
        <v>114.84162768817215</v>
      </c>
      <c r="J35" s="1245">
        <v>124.66575555555552</v>
      </c>
      <c r="K35" s="1245">
        <v>115.73856720430118</v>
      </c>
      <c r="L35" s="1245">
        <v>112.39721388888894</v>
      </c>
      <c r="M35" s="1245">
        <v>109.51400672043013</v>
      </c>
      <c r="N35" s="1125">
        <v>1249.2890873015872</v>
      </c>
    </row>
    <row r="36" spans="1:14" ht="15.75">
      <c r="A36" s="1278" t="s">
        <v>1611</v>
      </c>
      <c r="B36" s="1246">
        <v>103.20022907594094</v>
      </c>
      <c r="C36" s="1246">
        <v>99.918999412202268</v>
      </c>
      <c r="D36" s="1246">
        <v>99.305201534274062</v>
      </c>
      <c r="E36" s="1246">
        <v>102.52769494652772</v>
      </c>
      <c r="F36" s="1246">
        <v>68.61458783938167</v>
      </c>
      <c r="G36" s="1246">
        <v>112.80058890972202</v>
      </c>
      <c r="H36" s="1246">
        <v>115.6744847990592</v>
      </c>
      <c r="I36" s="1246">
        <v>119.95208012029582</v>
      </c>
      <c r="J36" s="1246">
        <v>130.21338167777773</v>
      </c>
      <c r="K36" s="1246">
        <v>120.88893344489257</v>
      </c>
      <c r="L36" s="1246">
        <v>117.3988899069445</v>
      </c>
      <c r="M36" s="1246">
        <v>114.38738001948927</v>
      </c>
      <c r="N36" s="1125">
        <v>1304.8824516865077</v>
      </c>
    </row>
    <row r="37" spans="1:14" ht="15.75">
      <c r="A37" s="31"/>
      <c r="B37"/>
      <c r="C37"/>
      <c r="D37"/>
      <c r="E37"/>
      <c r="F37"/>
      <c r="G37"/>
      <c r="H37"/>
      <c r="I37"/>
      <c r="J37"/>
      <c r="K37"/>
      <c r="L37"/>
      <c r="M37"/>
      <c r="N37" s="1125"/>
    </row>
    <row r="38" spans="1:14" ht="15.75">
      <c r="A38" s="31" t="s">
        <v>1612</v>
      </c>
      <c r="B38" s="1125">
        <v>73509.785000000062</v>
      </c>
      <c r="C38" s="1125">
        <v>64284.889999999927</v>
      </c>
      <c r="D38" s="1125">
        <v>70735.346999999907</v>
      </c>
      <c r="E38" s="1125">
        <v>70674.906999999977</v>
      </c>
      <c r="F38" s="1125">
        <v>48874.344999999972</v>
      </c>
      <c r="G38" s="1125">
        <v>77756.269999999873</v>
      </c>
      <c r="H38" s="1125">
        <v>82395.22900000005</v>
      </c>
      <c r="I38" s="1125">
        <v>85442.171000000089</v>
      </c>
      <c r="J38" s="1125">
        <v>89759.343999999968</v>
      </c>
      <c r="K38" s="1125">
        <v>86109.494000000079</v>
      </c>
      <c r="L38" s="1125">
        <v>80925.99400000005</v>
      </c>
      <c r="M38" s="1125">
        <v>81478.421000000017</v>
      </c>
      <c r="N38" s="1125">
        <v>911946.19699999993</v>
      </c>
    </row>
    <row r="39" spans="1:14" ht="15.75">
      <c r="A39" s="31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15.75">
      <c r="A40" s="31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15.75">
      <c r="A41" s="31" t="s">
        <v>1613</v>
      </c>
      <c r="B41" s="1279">
        <v>332766.18111834244</v>
      </c>
      <c r="C41" s="1279">
        <v>322185.95010188734</v>
      </c>
      <c r="D41" s="1279">
        <v>320206.77643487527</v>
      </c>
      <c r="E41" s="1279">
        <v>330597.61409169459</v>
      </c>
      <c r="F41" s="1279">
        <v>221245.77211469642</v>
      </c>
      <c r="G41" s="1279">
        <v>363722.26627294434</v>
      </c>
      <c r="H41" s="1279">
        <v>372989.06120731129</v>
      </c>
      <c r="I41" s="1279">
        <v>386782.04473228141</v>
      </c>
      <c r="J41" s="1279">
        <v>419869.3175335296</v>
      </c>
      <c r="K41" s="1279">
        <v>389802.9014288754</v>
      </c>
      <c r="L41" s="1279">
        <v>378549.35605927039</v>
      </c>
      <c r="M41" s="1279">
        <v>368838.82873174688</v>
      </c>
      <c r="N41" s="1279">
        <v>4207556.069827456</v>
      </c>
    </row>
    <row r="42" spans="1:14" ht="15.75">
      <c r="A42" s="31" t="s">
        <v>1614</v>
      </c>
      <c r="B42" s="1280">
        <v>24225.528869377013</v>
      </c>
      <c r="C42" s="1280">
        <v>21185.417132694954</v>
      </c>
      <c r="D42" s="1280">
        <v>23311.198513693067</v>
      </c>
      <c r="E42" s="1280">
        <v>23291.280199894933</v>
      </c>
      <c r="F42" s="1280">
        <v>16106.792527952441</v>
      </c>
      <c r="G42" s="1280">
        <v>25624.979907913879</v>
      </c>
      <c r="H42" s="1280">
        <v>27153.772777847596</v>
      </c>
      <c r="I42" s="1280">
        <v>28157.908232526432</v>
      </c>
      <c r="J42" s="1280">
        <v>29580.654866128909</v>
      </c>
      <c r="K42" s="1280">
        <v>28377.82796976548</v>
      </c>
      <c r="L42" s="1280">
        <v>26669.578804101122</v>
      </c>
      <c r="M42" s="1280">
        <v>26851.633971814135</v>
      </c>
      <c r="N42" s="1280">
        <v>300536.57377370994</v>
      </c>
    </row>
    <row r="43" spans="1:14" ht="15.75">
      <c r="A43" s="31" t="s">
        <v>1615</v>
      </c>
      <c r="B43" s="1279">
        <v>356991.70998771943</v>
      </c>
      <c r="C43" s="1279">
        <v>343371.36723458231</v>
      </c>
      <c r="D43" s="1279">
        <v>343517.97494856833</v>
      </c>
      <c r="E43" s="1279">
        <v>353888.8942915895</v>
      </c>
      <c r="F43" s="1279">
        <v>237352.56464264885</v>
      </c>
      <c r="G43" s="1279">
        <v>389347.24618085823</v>
      </c>
      <c r="H43" s="1279">
        <v>400142.83398515888</v>
      </c>
      <c r="I43" s="1279">
        <v>414939.95296480786</v>
      </c>
      <c r="J43" s="1279">
        <v>449449.97239965852</v>
      </c>
      <c r="K43" s="1279">
        <v>418180.72939864086</v>
      </c>
      <c r="L43" s="1279">
        <v>405218.93486337148</v>
      </c>
      <c r="M43" s="1279">
        <v>395690.462703561</v>
      </c>
      <c r="N43" s="1279">
        <v>4508092.6436011652</v>
      </c>
    </row>
    <row r="44" spans="1:14" ht="15.75">
      <c r="A44" s="31"/>
      <c r="B44" s="1281"/>
      <c r="C44" s="1281"/>
      <c r="D44" s="1281"/>
      <c r="E44" s="1281"/>
      <c r="F44" s="1281"/>
      <c r="G44" s="1281"/>
      <c r="H44" s="1281"/>
      <c r="I44" s="1281"/>
      <c r="J44" s="1281"/>
      <c r="K44" s="1281"/>
      <c r="L44" s="1281"/>
      <c r="M44" s="1281"/>
      <c r="N44"/>
    </row>
    <row r="45" spans="1:14" ht="15.75">
      <c r="A45" s="1277" t="s">
        <v>1616</v>
      </c>
      <c r="B45" s="1282">
        <v>4.8563835411533187</v>
      </c>
      <c r="C45" s="1282">
        <v>5.3414008678335252</v>
      </c>
      <c r="D45" s="1282">
        <v>4.8563835411533187</v>
      </c>
      <c r="E45" s="1282">
        <v>5.0072778205649371</v>
      </c>
      <c r="F45" s="1282">
        <v>4.8563835411533187</v>
      </c>
      <c r="G45" s="1282">
        <v>5.007277820564938</v>
      </c>
      <c r="H45" s="1282">
        <v>4.8563835411533187</v>
      </c>
      <c r="I45" s="1282">
        <v>4.8563835411533187</v>
      </c>
      <c r="J45" s="1282">
        <v>5.0072778205649398</v>
      </c>
      <c r="K45" s="1282">
        <v>4.8563835411533187</v>
      </c>
      <c r="L45" s="1282">
        <v>5.007277820564938</v>
      </c>
      <c r="M45" s="1282">
        <v>4.8563835411533187</v>
      </c>
      <c r="N45" s="1269">
        <v>4.9470997448472094</v>
      </c>
    </row>
    <row r="46" spans="1:14" ht="15.75">
      <c r="A46" s="1277"/>
      <c r="B46" s="1282"/>
      <c r="C46" s="1282"/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/>
    </row>
    <row r="47" spans="1:14" ht="15.75">
      <c r="A47" s="1277" t="s">
        <v>1617</v>
      </c>
      <c r="B47" s="1247">
        <v>744</v>
      </c>
      <c r="C47" s="1247">
        <v>672</v>
      </c>
      <c r="D47" s="1247">
        <v>744</v>
      </c>
      <c r="E47" s="1247">
        <v>720</v>
      </c>
      <c r="F47" s="1247">
        <v>744</v>
      </c>
      <c r="G47" s="1247">
        <v>720</v>
      </c>
      <c r="H47" s="1247">
        <v>744</v>
      </c>
      <c r="I47" s="1247">
        <v>744</v>
      </c>
      <c r="J47" s="1247">
        <v>720</v>
      </c>
      <c r="K47" s="1247">
        <v>744</v>
      </c>
      <c r="L47" s="1247">
        <v>720</v>
      </c>
      <c r="M47" s="1247">
        <v>744</v>
      </c>
      <c r="N47" s="1125">
        <v>8760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92D050"/>
  </sheetPr>
  <dimension ref="A1:N9"/>
  <sheetViews>
    <sheetView workbookViewId="0">
      <selection activeCell="F26" sqref="F26"/>
    </sheetView>
  </sheetViews>
  <sheetFormatPr defaultColWidth="8" defaultRowHeight="12.75"/>
  <cols>
    <col min="1" max="1" width="6.625" style="122" bestFit="1" customWidth="1"/>
    <col min="2" max="2" width="11.625" style="122" bestFit="1" customWidth="1"/>
    <col min="3" max="3" width="4.625" style="122" bestFit="1" customWidth="1"/>
    <col min="4" max="4" width="12" style="122" bestFit="1" customWidth="1"/>
    <col min="5" max="5" width="12.625" style="122" bestFit="1" customWidth="1"/>
    <col min="6" max="6" width="9" style="122" bestFit="1" customWidth="1"/>
    <col min="7" max="7" width="8.625" style="122" bestFit="1" customWidth="1"/>
    <col min="8" max="8" width="9.625" style="122" bestFit="1" customWidth="1"/>
    <col min="9" max="9" width="9.25" style="122" bestFit="1" customWidth="1"/>
    <col min="10" max="10" width="7" style="122" bestFit="1" customWidth="1"/>
    <col min="11" max="11" width="6.125" style="122" bestFit="1" customWidth="1"/>
    <col min="12" max="12" width="7.625" style="122" bestFit="1" customWidth="1"/>
    <col min="13" max="13" width="9.625" style="122" bestFit="1" customWidth="1"/>
    <col min="14" max="14" width="12" style="122" bestFit="1" customWidth="1"/>
    <col min="15" max="16384" width="8" style="122"/>
  </cols>
  <sheetData>
    <row r="1" spans="1:14" ht="13.5" customHeight="1">
      <c r="A1" s="1155" t="s">
        <v>191</v>
      </c>
      <c r="B1" s="1155" t="s">
        <v>192</v>
      </c>
      <c r="C1" s="1155" t="s">
        <v>562</v>
      </c>
      <c r="D1" s="1155" t="s">
        <v>728</v>
      </c>
      <c r="E1" s="1155" t="s">
        <v>710</v>
      </c>
      <c r="F1" s="1155" t="s">
        <v>125</v>
      </c>
      <c r="G1" s="1155" t="s">
        <v>126</v>
      </c>
      <c r="H1" s="1155" t="s">
        <v>127</v>
      </c>
      <c r="I1" s="1155" t="s">
        <v>128</v>
      </c>
      <c r="J1" s="1155" t="s">
        <v>151</v>
      </c>
      <c r="K1" s="1155" t="s">
        <v>175</v>
      </c>
      <c r="L1" s="1155" t="s">
        <v>70</v>
      </c>
      <c r="M1" s="1155" t="s">
        <v>71</v>
      </c>
      <c r="N1" s="1155" t="s">
        <v>618</v>
      </c>
    </row>
    <row r="2" spans="1:14" ht="14.25" customHeight="1">
      <c r="A2" s="1156" t="s">
        <v>429</v>
      </c>
      <c r="B2" s="1156" t="s">
        <v>123</v>
      </c>
      <c r="C2" s="1181">
        <v>1</v>
      </c>
      <c r="D2" s="1157">
        <v>29</v>
      </c>
      <c r="E2" s="1185">
        <v>2.1858</v>
      </c>
      <c r="F2" s="1157">
        <v>5998.0830817092101</v>
      </c>
      <c r="G2" s="1157">
        <v>452.09</v>
      </c>
      <c r="H2" s="1157">
        <v>0</v>
      </c>
      <c r="I2" s="1157">
        <v>0</v>
      </c>
      <c r="J2" s="1157">
        <v>2</v>
      </c>
      <c r="K2" s="1157">
        <v>206.830451093421</v>
      </c>
      <c r="L2" s="1157">
        <v>5998.0830817092101</v>
      </c>
      <c r="M2" s="1157">
        <v>452.09</v>
      </c>
      <c r="N2" s="1157">
        <v>452.09</v>
      </c>
    </row>
    <row r="3" spans="1:14" ht="14.25" customHeight="1">
      <c r="A3" s="1160" t="s">
        <v>428</v>
      </c>
      <c r="B3" s="1160" t="s">
        <v>122</v>
      </c>
      <c r="C3" s="1183">
        <v>1</v>
      </c>
      <c r="D3" s="1161">
        <v>29</v>
      </c>
      <c r="E3" s="1186">
        <v>2.1800000000000002</v>
      </c>
      <c r="F3" s="1161">
        <v>1392</v>
      </c>
      <c r="G3" s="1161">
        <v>104.64</v>
      </c>
      <c r="H3" s="1161">
        <v>0</v>
      </c>
      <c r="I3" s="1161">
        <v>0</v>
      </c>
      <c r="J3" s="1161">
        <v>1</v>
      </c>
      <c r="K3" s="1161">
        <v>48</v>
      </c>
      <c r="L3" s="1161">
        <v>1392</v>
      </c>
      <c r="M3" s="1161">
        <v>104.64</v>
      </c>
      <c r="N3" s="1161">
        <v>104.64</v>
      </c>
    </row>
    <row r="4" spans="1:14">
      <c r="A4" s="122" t="s">
        <v>93</v>
      </c>
      <c r="F4" s="226">
        <f>SUM(F2:F3)</f>
        <v>7390.0830817092101</v>
      </c>
      <c r="G4" s="226">
        <f t="shared" ref="G4:N4" si="0">SUM(G2:G3)</f>
        <v>556.73</v>
      </c>
      <c r="H4" s="226">
        <f t="shared" si="0"/>
        <v>0</v>
      </c>
      <c r="I4" s="226">
        <f t="shared" si="0"/>
        <v>0</v>
      </c>
      <c r="J4" s="226">
        <f t="shared" si="0"/>
        <v>3</v>
      </c>
      <c r="K4" s="226">
        <f t="shared" si="0"/>
        <v>254.830451093421</v>
      </c>
      <c r="L4" s="226">
        <f t="shared" si="0"/>
        <v>7390.0830817092101</v>
      </c>
      <c r="M4" s="226">
        <f t="shared" si="0"/>
        <v>556.73</v>
      </c>
      <c r="N4" s="226">
        <f t="shared" si="0"/>
        <v>556.73</v>
      </c>
    </row>
    <row r="6" spans="1:14">
      <c r="M6" s="659" t="s">
        <v>418</v>
      </c>
      <c r="N6" s="660">
        <v>0</v>
      </c>
    </row>
    <row r="7" spans="1:14">
      <c r="M7" s="661" t="s">
        <v>136</v>
      </c>
      <c r="N7" s="662">
        <f>'Blocking-Step2'!H2648</f>
        <v>4</v>
      </c>
    </row>
    <row r="8" spans="1:14">
      <c r="M8" s="661" t="s">
        <v>411</v>
      </c>
      <c r="N8" s="662">
        <f>'Blocking-Step2'!H2649</f>
        <v>561</v>
      </c>
    </row>
    <row r="9" spans="1:14">
      <c r="M9" s="663" t="s">
        <v>498</v>
      </c>
      <c r="N9" s="664">
        <f>N8-N2-N3-N6-N7</f>
        <v>0.27000000000002444</v>
      </c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Post Top Lighting Billing Determinants
12 Months Ending September 2005&amp;R&amp;"Arial"&amp;8Date: 12/12/2005</oddHeader>
    <oddFooter>&amp;L&amp;C&amp;"Arial"&amp;10Page &amp;P&amp;R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 filterMode="1">
    <tabColor rgb="FF0000FF"/>
  </sheetPr>
  <dimension ref="A1:J207"/>
  <sheetViews>
    <sheetView workbookViewId="0">
      <pane ySplit="1" topLeftCell="A179" activePane="bottomLeft" state="frozen"/>
      <selection activeCell="M134" sqref="M134"/>
      <selection pane="bottomLeft" activeCell="A195" sqref="A195:XFD195"/>
    </sheetView>
  </sheetViews>
  <sheetFormatPr defaultColWidth="9" defaultRowHeight="12.75"/>
  <cols>
    <col min="1" max="1" width="6" style="106" customWidth="1"/>
    <col min="2" max="2" width="10.125" style="232" bestFit="1" customWidth="1"/>
    <col min="3" max="3" width="9" style="106" customWidth="1"/>
    <col min="4" max="4" width="18.75" style="106" hidden="1" customWidth="1"/>
    <col min="5" max="5" width="4.75" style="106" hidden="1" customWidth="1"/>
    <col min="6" max="6" width="49.625" style="363" customWidth="1"/>
    <col min="7" max="7" width="14.75" style="556" bestFit="1" customWidth="1"/>
    <col min="8" max="8" width="13.125" style="556" bestFit="1" customWidth="1"/>
    <col min="9" max="9" width="17.125" style="556" bestFit="1" customWidth="1"/>
    <col min="10" max="16384" width="9" style="106"/>
  </cols>
  <sheetData>
    <row r="1" spans="1:10" ht="15.75">
      <c r="A1" s="105" t="s">
        <v>48</v>
      </c>
      <c r="B1" s="232" t="s">
        <v>472</v>
      </c>
      <c r="C1" s="105" t="s">
        <v>26</v>
      </c>
      <c r="D1" s="441" t="s">
        <v>797</v>
      </c>
      <c r="E1" s="441" t="s">
        <v>473</v>
      </c>
      <c r="F1" s="554" t="s">
        <v>798</v>
      </c>
      <c r="G1" s="555" t="s">
        <v>1056</v>
      </c>
      <c r="H1" s="555" t="s">
        <v>1057</v>
      </c>
      <c r="I1" s="555" t="s">
        <v>1058</v>
      </c>
    </row>
    <row r="2" spans="1:10" ht="15.75" hidden="1">
      <c r="A2" s="106" t="str">
        <f>RIGHT(LEFT(F2,10),4)</f>
        <v>NRES</v>
      </c>
      <c r="B2" s="105" t="s">
        <v>49</v>
      </c>
      <c r="C2" s="105" t="str">
        <f>IF(RIGHT(D2,4)="AUTH","AUT",LEFT(D2,3))&amp;E2</f>
        <v>COMR</v>
      </c>
      <c r="D2" s="441" t="s">
        <v>150</v>
      </c>
      <c r="E2" s="441" t="s">
        <v>177</v>
      </c>
      <c r="F2" s="554" t="s">
        <v>691</v>
      </c>
      <c r="G2" s="555">
        <v>1303.08</v>
      </c>
      <c r="H2" s="555">
        <v>0</v>
      </c>
      <c r="I2" s="555"/>
      <c r="J2" s="105"/>
    </row>
    <row r="3" spans="1:10" ht="15.75" hidden="1">
      <c r="A3" s="106" t="str">
        <f t="shared" ref="A3:A65" si="0">RIGHT(LEFT(F3,10),4)</f>
        <v>LXGN</v>
      </c>
      <c r="B3" s="105" t="s">
        <v>49</v>
      </c>
      <c r="C3" s="105" t="str">
        <f t="shared" ref="C3:C65" si="1">IF(RIGHT(D3,4)="AUTH","AUT",LEFT(D3,3))&amp;E3</f>
        <v>COMR</v>
      </c>
      <c r="D3" s="441" t="s">
        <v>150</v>
      </c>
      <c r="E3" s="441" t="s">
        <v>177</v>
      </c>
      <c r="F3" s="554" t="s">
        <v>1183</v>
      </c>
      <c r="G3" s="555">
        <v>3863.71</v>
      </c>
      <c r="H3" s="555">
        <v>0</v>
      </c>
      <c r="I3" s="555"/>
    </row>
    <row r="4" spans="1:10" ht="15.75" hidden="1">
      <c r="A4" s="106" t="str">
        <f t="shared" si="0"/>
        <v>CLGN</v>
      </c>
      <c r="B4" s="105" t="s">
        <v>49</v>
      </c>
      <c r="C4" s="105" t="str">
        <f t="shared" si="1"/>
        <v>COMR</v>
      </c>
      <c r="D4" s="441" t="s">
        <v>150</v>
      </c>
      <c r="E4" s="441" t="s">
        <v>177</v>
      </c>
      <c r="F4" s="554" t="s">
        <v>1491</v>
      </c>
      <c r="G4" s="555">
        <v>0</v>
      </c>
      <c r="H4" s="555">
        <v>0</v>
      </c>
      <c r="I4" s="555"/>
    </row>
    <row r="5" spans="1:10" ht="15.75" hidden="1">
      <c r="A5" s="106" t="str">
        <f t="shared" si="0"/>
        <v>0051</v>
      </c>
      <c r="B5" s="105" t="s">
        <v>49</v>
      </c>
      <c r="C5" s="105" t="str">
        <f t="shared" si="1"/>
        <v>COMR</v>
      </c>
      <c r="D5" s="441" t="s">
        <v>150</v>
      </c>
      <c r="E5" s="441" t="s">
        <v>177</v>
      </c>
      <c r="F5" s="554" t="s">
        <v>1059</v>
      </c>
      <c r="G5" s="555">
        <v>33482.71</v>
      </c>
      <c r="H5" s="555">
        <v>0</v>
      </c>
      <c r="I5" s="555"/>
    </row>
    <row r="6" spans="1:10" ht="15.75" hidden="1">
      <c r="A6" s="106" t="str">
        <f t="shared" si="0"/>
        <v>0052</v>
      </c>
      <c r="B6" s="105" t="s">
        <v>49</v>
      </c>
      <c r="C6" s="105" t="str">
        <f t="shared" si="1"/>
        <v>COMR</v>
      </c>
      <c r="D6" s="441" t="s">
        <v>150</v>
      </c>
      <c r="E6" s="441" t="s">
        <v>177</v>
      </c>
      <c r="F6" s="554" t="s">
        <v>1060</v>
      </c>
      <c r="G6" s="555">
        <v>2</v>
      </c>
      <c r="H6" s="555">
        <v>0</v>
      </c>
      <c r="I6" s="555"/>
    </row>
    <row r="7" spans="1:10" ht="15.75" hidden="1">
      <c r="A7" s="106" t="str">
        <f t="shared" si="0"/>
        <v>6136</v>
      </c>
      <c r="B7" s="105" t="s">
        <v>1209</v>
      </c>
      <c r="C7" s="105" t="str">
        <f t="shared" si="1"/>
        <v>COMR</v>
      </c>
      <c r="D7" s="441" t="s">
        <v>150</v>
      </c>
      <c r="E7" s="441" t="s">
        <v>177</v>
      </c>
      <c r="F7" s="554" t="s">
        <v>1492</v>
      </c>
      <c r="G7" s="555">
        <v>114688.98</v>
      </c>
      <c r="H7" s="555">
        <v>1065058</v>
      </c>
      <c r="I7" s="555">
        <v>1.5</v>
      </c>
    </row>
    <row r="8" spans="1:10" ht="15.75" hidden="1">
      <c r="A8" s="106" t="str">
        <f t="shared" si="0"/>
        <v>3136</v>
      </c>
      <c r="B8" s="105" t="s">
        <v>1208</v>
      </c>
      <c r="C8" s="105" t="str">
        <f t="shared" si="1"/>
        <v>COMR</v>
      </c>
      <c r="D8" s="441" t="s">
        <v>150</v>
      </c>
      <c r="E8" s="441" t="s">
        <v>177</v>
      </c>
      <c r="F8" s="554" t="s">
        <v>1184</v>
      </c>
      <c r="G8" s="555">
        <v>21280.61</v>
      </c>
      <c r="H8" s="555">
        <v>210062</v>
      </c>
      <c r="I8" s="555">
        <v>7.8333333333333304</v>
      </c>
    </row>
    <row r="9" spans="1:10" ht="15.75" hidden="1">
      <c r="A9" s="106" t="str">
        <f t="shared" si="0"/>
        <v>6136</v>
      </c>
      <c r="B9" s="105" t="s">
        <v>1209</v>
      </c>
      <c r="C9" s="105" t="str">
        <f t="shared" si="1"/>
        <v>COMR</v>
      </c>
      <c r="D9" s="441" t="s">
        <v>150</v>
      </c>
      <c r="E9" s="441" t="s">
        <v>177</v>
      </c>
      <c r="F9" s="554" t="s">
        <v>1185</v>
      </c>
      <c r="G9" s="555">
        <v>462368.76</v>
      </c>
      <c r="H9" s="555">
        <v>4529124</v>
      </c>
      <c r="I9" s="555">
        <v>17.4166666666667</v>
      </c>
    </row>
    <row r="10" spans="1:10" ht="15.75" hidden="1">
      <c r="A10" s="106" t="str">
        <f t="shared" si="0"/>
        <v>8136</v>
      </c>
      <c r="B10" s="105" t="s">
        <v>1210</v>
      </c>
      <c r="C10" s="105" t="str">
        <f t="shared" si="1"/>
        <v>COMR</v>
      </c>
      <c r="D10" s="441" t="s">
        <v>150</v>
      </c>
      <c r="E10" s="441" t="s">
        <v>177</v>
      </c>
      <c r="F10" s="554" t="s">
        <v>1186</v>
      </c>
      <c r="G10" s="555">
        <v>127011.04</v>
      </c>
      <c r="H10" s="555">
        <v>1346159</v>
      </c>
      <c r="I10" s="555">
        <v>0.58333333333333304</v>
      </c>
    </row>
    <row r="11" spans="1:10" ht="15.75" hidden="1">
      <c r="A11" s="106" t="str">
        <f t="shared" si="0"/>
        <v>3136</v>
      </c>
      <c r="B11" s="105" t="s">
        <v>1208</v>
      </c>
      <c r="C11" s="105" t="str">
        <f t="shared" si="1"/>
        <v>COMR</v>
      </c>
      <c r="D11" s="441" t="s">
        <v>150</v>
      </c>
      <c r="E11" s="441" t="s">
        <v>177</v>
      </c>
      <c r="F11" s="554" t="s">
        <v>1187</v>
      </c>
      <c r="G11" s="555">
        <v>86472.6</v>
      </c>
      <c r="H11" s="555">
        <v>918845</v>
      </c>
      <c r="I11" s="555">
        <v>37</v>
      </c>
    </row>
    <row r="12" spans="1:10" ht="15.75" hidden="1">
      <c r="A12" s="106" t="str">
        <f t="shared" si="0"/>
        <v>A136</v>
      </c>
      <c r="B12" s="105" t="s">
        <v>1541</v>
      </c>
      <c r="C12" s="105" t="str">
        <f t="shared" si="1"/>
        <v>COMR</v>
      </c>
      <c r="D12" s="441" t="s">
        <v>150</v>
      </c>
      <c r="E12" s="441" t="s">
        <v>177</v>
      </c>
      <c r="F12" s="554" t="s">
        <v>1493</v>
      </c>
      <c r="G12" s="555">
        <v>25073.200000000001</v>
      </c>
      <c r="H12" s="555">
        <v>262038</v>
      </c>
      <c r="I12" s="555">
        <v>1.4166666666666701</v>
      </c>
    </row>
    <row r="13" spans="1:10" ht="15.75" hidden="1">
      <c r="A13" s="106" t="str">
        <f t="shared" si="0"/>
        <v>KPRN</v>
      </c>
      <c r="B13" s="105" t="s">
        <v>49</v>
      </c>
      <c r="C13" s="105" t="str">
        <f t="shared" si="1"/>
        <v>COMR</v>
      </c>
      <c r="D13" s="441" t="s">
        <v>150</v>
      </c>
      <c r="E13" s="441" t="s">
        <v>177</v>
      </c>
      <c r="F13" s="554" t="s">
        <v>184</v>
      </c>
      <c r="G13" s="555">
        <v>34.7799999999988</v>
      </c>
      <c r="H13" s="555">
        <v>0</v>
      </c>
      <c r="I13" s="555">
        <v>2234.4166666666702</v>
      </c>
    </row>
    <row r="14" spans="1:10" ht="15.75" hidden="1">
      <c r="A14" s="106" t="str">
        <f t="shared" si="0"/>
        <v>0006</v>
      </c>
      <c r="B14" s="105" t="s">
        <v>42</v>
      </c>
      <c r="C14" s="105" t="str">
        <f t="shared" si="1"/>
        <v>COMR</v>
      </c>
      <c r="D14" s="441" t="s">
        <v>150</v>
      </c>
      <c r="E14" s="441" t="s">
        <v>177</v>
      </c>
      <c r="F14" s="554" t="s">
        <v>1061</v>
      </c>
      <c r="G14" s="555">
        <v>407124778.88</v>
      </c>
      <c r="H14" s="555">
        <v>4991880079</v>
      </c>
      <c r="I14" s="555">
        <v>11243.166666666701</v>
      </c>
    </row>
    <row r="15" spans="1:10" ht="15.75" hidden="1">
      <c r="A15" s="106" t="str">
        <f t="shared" si="0"/>
        <v>0008</v>
      </c>
      <c r="B15" s="105" t="s">
        <v>51</v>
      </c>
      <c r="C15" s="105" t="str">
        <f t="shared" si="1"/>
        <v>COMR</v>
      </c>
      <c r="D15" s="441" t="s">
        <v>150</v>
      </c>
      <c r="E15" s="441" t="s">
        <v>177</v>
      </c>
      <c r="F15" s="554" t="s">
        <v>27</v>
      </c>
      <c r="G15" s="555">
        <v>64836573.060000002</v>
      </c>
      <c r="H15" s="555">
        <v>915088723</v>
      </c>
      <c r="I15" s="555">
        <v>126.833333333333</v>
      </c>
    </row>
    <row r="16" spans="1:10" ht="15.75" hidden="1">
      <c r="A16" s="106" t="str">
        <f t="shared" si="0"/>
        <v>0009</v>
      </c>
      <c r="B16" s="105" t="s">
        <v>43</v>
      </c>
      <c r="C16" s="105" t="str">
        <f t="shared" si="1"/>
        <v>COMR</v>
      </c>
      <c r="D16" s="441" t="s">
        <v>150</v>
      </c>
      <c r="E16" s="441" t="s">
        <v>177</v>
      </c>
      <c r="F16" s="554" t="s">
        <v>1062</v>
      </c>
      <c r="G16" s="555">
        <v>48229220.149999999</v>
      </c>
      <c r="H16" s="555">
        <v>862834856</v>
      </c>
      <c r="I16" s="555">
        <v>41.6666666666667</v>
      </c>
    </row>
    <row r="17" spans="1:9" ht="15.75" hidden="1">
      <c r="A17" s="106" t="str">
        <f t="shared" si="0"/>
        <v>0023</v>
      </c>
      <c r="B17" s="105" t="s">
        <v>44</v>
      </c>
      <c r="C17" s="105" t="str">
        <f t="shared" si="1"/>
        <v>COMR</v>
      </c>
      <c r="D17" s="441" t="s">
        <v>150</v>
      </c>
      <c r="E17" s="441" t="s">
        <v>177</v>
      </c>
      <c r="F17" s="554" t="s">
        <v>1063</v>
      </c>
      <c r="G17" s="555">
        <v>120457880.69</v>
      </c>
      <c r="H17" s="555">
        <v>1241510467</v>
      </c>
      <c r="I17" s="555">
        <v>74122.833333333299</v>
      </c>
    </row>
    <row r="18" spans="1:9" ht="15.75" hidden="1">
      <c r="A18" s="106" t="str">
        <f t="shared" si="0"/>
        <v>006A</v>
      </c>
      <c r="B18" s="105" t="s">
        <v>45</v>
      </c>
      <c r="C18" s="105" t="str">
        <f t="shared" si="1"/>
        <v>COMR</v>
      </c>
      <c r="D18" s="441" t="s">
        <v>150</v>
      </c>
      <c r="E18" s="441" t="s">
        <v>177</v>
      </c>
      <c r="F18" s="554" t="s">
        <v>1064</v>
      </c>
      <c r="G18" s="555">
        <v>28309109.969999999</v>
      </c>
      <c r="H18" s="555">
        <v>245368785</v>
      </c>
      <c r="I18" s="555">
        <v>1949.5833333333301</v>
      </c>
    </row>
    <row r="19" spans="1:9" ht="15.75" hidden="1">
      <c r="A19" s="106" t="str">
        <f t="shared" si="0"/>
        <v>006B</v>
      </c>
      <c r="B19" s="105" t="s">
        <v>46</v>
      </c>
      <c r="C19" s="105" t="str">
        <f t="shared" si="1"/>
        <v>COMR</v>
      </c>
      <c r="D19" s="441" t="s">
        <v>150</v>
      </c>
      <c r="E19" s="441" t="s">
        <v>177</v>
      </c>
      <c r="F19" s="554" t="s">
        <v>1065</v>
      </c>
      <c r="G19" s="555">
        <v>313077.19</v>
      </c>
      <c r="H19" s="555">
        <v>3269992</v>
      </c>
      <c r="I19" s="555">
        <v>14.0833333333333</v>
      </c>
    </row>
    <row r="20" spans="1:9" ht="15.75" hidden="1">
      <c r="A20" s="106" t="str">
        <f t="shared" si="0"/>
        <v>006M</v>
      </c>
      <c r="B20" s="105" t="s">
        <v>42</v>
      </c>
      <c r="C20" s="105" t="str">
        <f t="shared" si="1"/>
        <v>COMR</v>
      </c>
      <c r="D20" s="441" t="s">
        <v>150</v>
      </c>
      <c r="E20" s="441" t="s">
        <v>177</v>
      </c>
      <c r="F20" s="554" t="s">
        <v>1066</v>
      </c>
      <c r="G20" s="555">
        <v>4475.03</v>
      </c>
      <c r="H20" s="555">
        <v>59565</v>
      </c>
      <c r="I20" s="555">
        <v>1.9166666666666701</v>
      </c>
    </row>
    <row r="21" spans="1:9" ht="15.75" hidden="1">
      <c r="A21" s="106" t="str">
        <f t="shared" si="0"/>
        <v>008M</v>
      </c>
      <c r="B21" s="105" t="s">
        <v>51</v>
      </c>
      <c r="C21" s="105" t="str">
        <f t="shared" si="1"/>
        <v>COMR</v>
      </c>
      <c r="D21" s="441" t="s">
        <v>150</v>
      </c>
      <c r="E21" s="441" t="s">
        <v>177</v>
      </c>
      <c r="F21" s="554" t="s">
        <v>28</v>
      </c>
      <c r="G21" s="555">
        <v>1343143.8</v>
      </c>
      <c r="H21" s="555">
        <v>16898400</v>
      </c>
      <c r="I21" s="555">
        <v>3</v>
      </c>
    </row>
    <row r="22" spans="1:9" ht="15.75" hidden="1">
      <c r="A22" s="106" t="str">
        <f t="shared" si="0"/>
        <v>009A</v>
      </c>
      <c r="B22" s="105" t="s">
        <v>47</v>
      </c>
      <c r="C22" s="105" t="str">
        <f t="shared" si="1"/>
        <v>COMR</v>
      </c>
      <c r="D22" s="441" t="s">
        <v>150</v>
      </c>
      <c r="E22" s="441" t="s">
        <v>177</v>
      </c>
      <c r="F22" s="554" t="s">
        <v>1067</v>
      </c>
      <c r="G22" s="555">
        <v>1480550.65</v>
      </c>
      <c r="H22" s="555">
        <v>22539691</v>
      </c>
      <c r="I22" s="555">
        <v>2</v>
      </c>
    </row>
    <row r="23" spans="1:9" ht="15.75" hidden="1">
      <c r="A23" s="106" t="str">
        <f t="shared" si="0"/>
        <v>009M</v>
      </c>
      <c r="B23" s="105" t="s">
        <v>43</v>
      </c>
      <c r="C23" s="105" t="str">
        <f t="shared" si="1"/>
        <v>COMR</v>
      </c>
      <c r="D23" s="441" t="s">
        <v>150</v>
      </c>
      <c r="E23" s="441" t="s">
        <v>177</v>
      </c>
      <c r="F23" s="554" t="s">
        <v>1068</v>
      </c>
      <c r="G23" s="555">
        <v>13174610.01</v>
      </c>
      <c r="H23" s="555">
        <v>236383901</v>
      </c>
      <c r="I23" s="555">
        <v>1</v>
      </c>
    </row>
    <row r="24" spans="1:9" ht="15.75" hidden="1">
      <c r="A24" s="106" t="str">
        <f t="shared" si="0"/>
        <v>023F</v>
      </c>
      <c r="B24" s="105" t="s">
        <v>44</v>
      </c>
      <c r="C24" s="105" t="str">
        <f t="shared" si="1"/>
        <v>COMR</v>
      </c>
      <c r="D24" s="441" t="s">
        <v>150</v>
      </c>
      <c r="E24" s="441" t="s">
        <v>177</v>
      </c>
      <c r="F24" s="554" t="s">
        <v>1069</v>
      </c>
      <c r="G24" s="555">
        <v>182672.21</v>
      </c>
      <c r="H24" s="555">
        <v>1307133</v>
      </c>
      <c r="I24" s="555">
        <v>129</v>
      </c>
    </row>
    <row r="25" spans="1:9" ht="15.75" hidden="1">
      <c r="A25" s="106" t="str">
        <f t="shared" si="0"/>
        <v>023M</v>
      </c>
      <c r="B25" s="105" t="s">
        <v>44</v>
      </c>
      <c r="C25" s="105" t="str">
        <f t="shared" si="1"/>
        <v>COMR</v>
      </c>
      <c r="D25" s="441" t="s">
        <v>150</v>
      </c>
      <c r="E25" s="441" t="s">
        <v>177</v>
      </c>
      <c r="F25" s="554" t="s">
        <v>1070</v>
      </c>
      <c r="G25" s="555">
        <v>18124.21</v>
      </c>
      <c r="H25" s="555">
        <v>245038</v>
      </c>
      <c r="I25" s="555">
        <v>3</v>
      </c>
    </row>
    <row r="26" spans="1:9" ht="15.75" hidden="1">
      <c r="A26" s="106" t="str">
        <f t="shared" si="0"/>
        <v>06AM</v>
      </c>
      <c r="B26" s="105" t="s">
        <v>45</v>
      </c>
      <c r="C26" s="105" t="str">
        <f t="shared" si="1"/>
        <v>COMR</v>
      </c>
      <c r="D26" s="441" t="s">
        <v>150</v>
      </c>
      <c r="E26" s="441" t="s">
        <v>177</v>
      </c>
      <c r="F26" s="554" t="s">
        <v>1071</v>
      </c>
      <c r="G26" s="555">
        <v>17621.71</v>
      </c>
      <c r="H26" s="555">
        <v>80320</v>
      </c>
      <c r="I26" s="555">
        <v>1</v>
      </c>
    </row>
    <row r="27" spans="1:9" ht="15.75" hidden="1">
      <c r="A27" s="106" t="str">
        <f t="shared" si="0"/>
        <v>06MN</v>
      </c>
      <c r="B27" s="105" t="s">
        <v>42</v>
      </c>
      <c r="C27" s="105" t="str">
        <f t="shared" si="1"/>
        <v>COMR</v>
      </c>
      <c r="D27" s="441" t="s">
        <v>150</v>
      </c>
      <c r="E27" s="441" t="s">
        <v>177</v>
      </c>
      <c r="F27" s="554" t="s">
        <v>1072</v>
      </c>
      <c r="G27" s="555">
        <v>2916357.27</v>
      </c>
      <c r="H27" s="555">
        <v>36945480</v>
      </c>
      <c r="I27" s="555">
        <v>640.08333333333303</v>
      </c>
    </row>
    <row r="28" spans="1:9" ht="15.75" hidden="1">
      <c r="A28" s="106" t="str">
        <f t="shared" si="0"/>
        <v>0002</v>
      </c>
      <c r="B28" s="105" t="s">
        <v>49</v>
      </c>
      <c r="C28" s="105" t="str">
        <f t="shared" si="1"/>
        <v>COMR</v>
      </c>
      <c r="D28" s="441" t="s">
        <v>150</v>
      </c>
      <c r="E28" s="441" t="s">
        <v>177</v>
      </c>
      <c r="F28" s="554" t="s">
        <v>1073</v>
      </c>
      <c r="G28" s="555">
        <v>711181.61</v>
      </c>
      <c r="H28" s="555">
        <v>0</v>
      </c>
      <c r="I28" s="555"/>
    </row>
    <row r="29" spans="1:9" ht="15.75" hidden="1">
      <c r="A29" s="106" t="str">
        <f t="shared" si="0"/>
        <v>0004</v>
      </c>
      <c r="B29" s="105" t="s">
        <v>49</v>
      </c>
      <c r="C29" s="105" t="str">
        <f t="shared" si="1"/>
        <v>COMR</v>
      </c>
      <c r="D29" s="441" t="s">
        <v>150</v>
      </c>
      <c r="E29" s="441" t="s">
        <v>177</v>
      </c>
      <c r="F29" s="554" t="s">
        <v>1074</v>
      </c>
      <c r="G29" s="555">
        <v>52594.34</v>
      </c>
      <c r="H29" s="555">
        <v>0</v>
      </c>
      <c r="I29" s="555"/>
    </row>
    <row r="30" spans="1:9" ht="15.75" hidden="1">
      <c r="A30" s="106" t="str">
        <f t="shared" si="0"/>
        <v>0006</v>
      </c>
      <c r="B30" s="105" t="s">
        <v>49</v>
      </c>
      <c r="C30" s="105" t="str">
        <f t="shared" si="1"/>
        <v>COMR</v>
      </c>
      <c r="D30" s="441" t="s">
        <v>150</v>
      </c>
      <c r="E30" s="441" t="s">
        <v>177</v>
      </c>
      <c r="F30" s="554" t="s">
        <v>1075</v>
      </c>
      <c r="G30" s="555">
        <v>2847.15</v>
      </c>
      <c r="H30" s="555">
        <v>0</v>
      </c>
      <c r="I30" s="555"/>
    </row>
    <row r="31" spans="1:9" ht="15.75" hidden="1">
      <c r="A31" s="106" t="str">
        <f t="shared" si="0"/>
        <v>0008</v>
      </c>
      <c r="B31" s="105" t="s">
        <v>49</v>
      </c>
      <c r="C31" s="105" t="str">
        <f t="shared" si="1"/>
        <v>COMR</v>
      </c>
      <c r="D31" s="441" t="s">
        <v>150</v>
      </c>
      <c r="E31" s="441" t="s">
        <v>177</v>
      </c>
      <c r="F31" s="554" t="s">
        <v>1494</v>
      </c>
      <c r="G31" s="555">
        <v>350.26</v>
      </c>
      <c r="H31" s="555">
        <v>0</v>
      </c>
      <c r="I31" s="555"/>
    </row>
    <row r="32" spans="1:9" ht="15.75" hidden="1">
      <c r="A32" s="106" t="str">
        <f t="shared" si="0"/>
        <v>0014</v>
      </c>
      <c r="B32" s="105" t="s">
        <v>49</v>
      </c>
      <c r="C32" s="105" t="str">
        <f t="shared" si="1"/>
        <v>COMR</v>
      </c>
      <c r="D32" s="441" t="s">
        <v>150</v>
      </c>
      <c r="E32" s="441" t="s">
        <v>177</v>
      </c>
      <c r="F32" s="554" t="s">
        <v>1076</v>
      </c>
      <c r="G32" s="555">
        <v>1990861.58</v>
      </c>
      <c r="H32" s="555">
        <v>0</v>
      </c>
      <c r="I32" s="555"/>
    </row>
    <row r="33" spans="1:9" ht="15.75" hidden="1">
      <c r="A33" s="106" t="str">
        <f t="shared" si="0"/>
        <v>0017</v>
      </c>
      <c r="B33" s="105" t="s">
        <v>49</v>
      </c>
      <c r="C33" s="105" t="str">
        <f t="shared" si="1"/>
        <v>COMR</v>
      </c>
      <c r="D33" s="441" t="s">
        <v>150</v>
      </c>
      <c r="E33" s="441" t="s">
        <v>177</v>
      </c>
      <c r="F33" s="554" t="s">
        <v>1077</v>
      </c>
      <c r="G33" s="555">
        <v>321879.77</v>
      </c>
      <c r="H33" s="555">
        <v>0</v>
      </c>
      <c r="I33" s="555"/>
    </row>
    <row r="34" spans="1:9" ht="15.75" hidden="1">
      <c r="A34" s="106" t="str">
        <f t="shared" si="0"/>
        <v>0158</v>
      </c>
      <c r="B34" s="105" t="s">
        <v>49</v>
      </c>
      <c r="C34" s="105" t="str">
        <f t="shared" si="1"/>
        <v>COMR</v>
      </c>
      <c r="D34" s="441" t="s">
        <v>150</v>
      </c>
      <c r="E34" s="441" t="s">
        <v>177</v>
      </c>
      <c r="F34" s="554" t="s">
        <v>1078</v>
      </c>
      <c r="G34" s="555">
        <v>31062.16</v>
      </c>
      <c r="H34" s="555">
        <v>0</v>
      </c>
      <c r="I34" s="555"/>
    </row>
    <row r="35" spans="1:9" ht="15.75" hidden="1">
      <c r="A35" s="106" t="str">
        <f t="shared" si="0"/>
        <v>0300</v>
      </c>
      <c r="B35" s="105" t="s">
        <v>49</v>
      </c>
      <c r="C35" s="105" t="str">
        <f t="shared" si="1"/>
        <v>COMR</v>
      </c>
      <c r="D35" s="441" t="s">
        <v>150</v>
      </c>
      <c r="E35" s="441" t="s">
        <v>177</v>
      </c>
      <c r="F35" s="554" t="s">
        <v>185</v>
      </c>
      <c r="G35" s="555">
        <v>186737.05</v>
      </c>
      <c r="H35" s="555">
        <v>0</v>
      </c>
      <c r="I35" s="555"/>
    </row>
    <row r="36" spans="1:9" ht="15.75" hidden="1">
      <c r="A36" s="106" t="str">
        <f t="shared" si="0"/>
        <v>0310</v>
      </c>
      <c r="B36" s="105" t="s">
        <v>49</v>
      </c>
      <c r="C36" s="105" t="str">
        <f t="shared" si="1"/>
        <v>COMR</v>
      </c>
      <c r="D36" s="441" t="s">
        <v>150</v>
      </c>
      <c r="E36" s="441" t="s">
        <v>177</v>
      </c>
      <c r="F36" s="554" t="s">
        <v>33</v>
      </c>
      <c r="G36" s="555">
        <v>68314.59</v>
      </c>
      <c r="H36" s="555">
        <v>0</v>
      </c>
      <c r="I36" s="555"/>
    </row>
    <row r="37" spans="1:9" ht="15.75" hidden="1">
      <c r="A37" s="106" t="str">
        <f t="shared" si="0"/>
        <v>0311</v>
      </c>
      <c r="B37" s="105" t="s">
        <v>49</v>
      </c>
      <c r="C37" s="105" t="str">
        <f t="shared" si="1"/>
        <v>COMR</v>
      </c>
      <c r="D37" s="441" t="s">
        <v>150</v>
      </c>
      <c r="E37" s="441" t="s">
        <v>177</v>
      </c>
      <c r="F37" s="554" t="s">
        <v>29</v>
      </c>
      <c r="G37" s="555">
        <v>291799.07</v>
      </c>
      <c r="H37" s="555">
        <v>0</v>
      </c>
      <c r="I37" s="555"/>
    </row>
    <row r="38" spans="1:9" ht="15.75" hidden="1">
      <c r="A38" s="106" t="str">
        <f t="shared" si="0"/>
        <v>0312</v>
      </c>
      <c r="B38" s="105" t="s">
        <v>49</v>
      </c>
      <c r="C38" s="105" t="str">
        <f t="shared" si="1"/>
        <v>COMR</v>
      </c>
      <c r="D38" s="441" t="s">
        <v>150</v>
      </c>
      <c r="E38" s="441" t="s">
        <v>177</v>
      </c>
      <c r="F38" s="554" t="s">
        <v>347</v>
      </c>
      <c r="G38" s="555">
        <v>13021.92</v>
      </c>
      <c r="H38" s="555">
        <v>0</v>
      </c>
      <c r="I38" s="555"/>
    </row>
    <row r="39" spans="1:9" ht="15.75" hidden="1">
      <c r="A39" s="106" t="str">
        <f t="shared" si="0"/>
        <v>0015</v>
      </c>
      <c r="B39" s="105" t="s">
        <v>665</v>
      </c>
      <c r="C39" s="105" t="str">
        <f t="shared" si="1"/>
        <v>COMR</v>
      </c>
      <c r="D39" s="441" t="s">
        <v>150</v>
      </c>
      <c r="E39" s="441" t="s">
        <v>177</v>
      </c>
      <c r="F39" s="554" t="s">
        <v>475</v>
      </c>
      <c r="G39" s="555">
        <v>1049398.6399999999</v>
      </c>
      <c r="H39" s="555">
        <v>14553989</v>
      </c>
      <c r="I39" s="555">
        <v>537.91666666666697</v>
      </c>
    </row>
    <row r="40" spans="1:9" ht="15.75" hidden="1">
      <c r="A40" s="106" t="str">
        <f t="shared" si="0"/>
        <v>6135</v>
      </c>
      <c r="B40" s="105" t="s">
        <v>950</v>
      </c>
      <c r="C40" s="105" t="str">
        <f t="shared" si="1"/>
        <v>COMR</v>
      </c>
      <c r="D40" s="441" t="s">
        <v>150</v>
      </c>
      <c r="E40" s="441" t="s">
        <v>177</v>
      </c>
      <c r="F40" s="554" t="s">
        <v>612</v>
      </c>
      <c r="G40" s="555">
        <v>10411052.34</v>
      </c>
      <c r="H40" s="555">
        <v>123797404</v>
      </c>
      <c r="I40" s="555">
        <v>266.58333333333297</v>
      </c>
    </row>
    <row r="41" spans="1:9" ht="15.75" hidden="1">
      <c r="A41" s="106" t="str">
        <f t="shared" si="0"/>
        <v>8135</v>
      </c>
      <c r="B41" s="105" t="s">
        <v>951</v>
      </c>
      <c r="C41" s="105" t="str">
        <f t="shared" si="1"/>
        <v>COMR</v>
      </c>
      <c r="D41" s="441" t="s">
        <v>150</v>
      </c>
      <c r="E41" s="441" t="s">
        <v>177</v>
      </c>
      <c r="F41" s="554" t="s">
        <v>613</v>
      </c>
      <c r="G41" s="555">
        <v>4355699.9000000004</v>
      </c>
      <c r="H41" s="555">
        <v>57650918</v>
      </c>
      <c r="I41" s="555">
        <v>11.25</v>
      </c>
    </row>
    <row r="42" spans="1:9" ht="15.75" hidden="1">
      <c r="A42" s="106" t="str">
        <f t="shared" si="0"/>
        <v>3135</v>
      </c>
      <c r="B42" s="105" t="s">
        <v>1038</v>
      </c>
      <c r="C42" s="105" t="str">
        <f t="shared" si="1"/>
        <v>COMR</v>
      </c>
      <c r="D42" s="441" t="s">
        <v>150</v>
      </c>
      <c r="E42" s="441" t="s">
        <v>177</v>
      </c>
      <c r="F42" s="554" t="s">
        <v>32</v>
      </c>
      <c r="G42" s="555">
        <v>1020793.71</v>
      </c>
      <c r="H42" s="555">
        <v>9741308</v>
      </c>
      <c r="I42" s="555">
        <v>819.33333333333303</v>
      </c>
    </row>
    <row r="43" spans="1:9" ht="15.75" hidden="1">
      <c r="A43" s="106" t="str">
        <f t="shared" si="0"/>
        <v>A135</v>
      </c>
      <c r="B43" s="105" t="s">
        <v>952</v>
      </c>
      <c r="C43" s="105" t="str">
        <f t="shared" si="1"/>
        <v>COMR</v>
      </c>
      <c r="D43" s="441" t="s">
        <v>150</v>
      </c>
      <c r="E43" s="441" t="s">
        <v>177</v>
      </c>
      <c r="F43" s="554" t="s">
        <v>614</v>
      </c>
      <c r="G43" s="555">
        <v>1360823.98</v>
      </c>
      <c r="H43" s="555">
        <v>10517450</v>
      </c>
      <c r="I43" s="555">
        <v>89.0833333333333</v>
      </c>
    </row>
    <row r="44" spans="1:9" ht="15.75" hidden="1">
      <c r="A44" s="106" t="str">
        <f t="shared" si="0"/>
        <v>007N</v>
      </c>
      <c r="B44" s="105" t="s">
        <v>60</v>
      </c>
      <c r="C44" s="105" t="str">
        <f t="shared" si="1"/>
        <v>COMR</v>
      </c>
      <c r="D44" s="441" t="s">
        <v>150</v>
      </c>
      <c r="E44" s="441" t="s">
        <v>177</v>
      </c>
      <c r="F44" s="554" t="s">
        <v>1079</v>
      </c>
      <c r="G44" s="555">
        <v>1648722.3</v>
      </c>
      <c r="H44" s="555">
        <v>7230362</v>
      </c>
      <c r="I44" s="555">
        <v>3860.5833333333298</v>
      </c>
    </row>
    <row r="45" spans="1:9" ht="15.75" hidden="1">
      <c r="A45" s="106" t="str">
        <f t="shared" si="0"/>
        <v>0075</v>
      </c>
      <c r="B45" s="105" t="s">
        <v>49</v>
      </c>
      <c r="C45" s="105" t="str">
        <f t="shared" si="1"/>
        <v>COMR</v>
      </c>
      <c r="D45" s="441" t="s">
        <v>150</v>
      </c>
      <c r="E45" s="441" t="s">
        <v>177</v>
      </c>
      <c r="F45" s="554" t="s">
        <v>1080</v>
      </c>
      <c r="G45" s="555">
        <v>129.25</v>
      </c>
      <c r="H45" s="555">
        <v>0</v>
      </c>
      <c r="I45" s="555">
        <v>1</v>
      </c>
    </row>
    <row r="46" spans="1:9" ht="15.75" hidden="1">
      <c r="A46" s="106" t="str">
        <f t="shared" si="0"/>
        <v>031M</v>
      </c>
      <c r="B46" s="105" t="s">
        <v>50</v>
      </c>
      <c r="C46" s="105" t="str">
        <f t="shared" si="1"/>
        <v>COMR</v>
      </c>
      <c r="D46" s="441" t="s">
        <v>150</v>
      </c>
      <c r="E46" s="441" t="s">
        <v>177</v>
      </c>
      <c r="F46" s="554" t="s">
        <v>1081</v>
      </c>
      <c r="G46" s="555">
        <v>8265787.2999999998</v>
      </c>
      <c r="H46" s="555">
        <v>134486047</v>
      </c>
      <c r="I46" s="555">
        <v>4</v>
      </c>
    </row>
    <row r="47" spans="1:9" ht="15.75" hidden="1">
      <c r="A47" s="106" t="str">
        <f t="shared" si="0"/>
        <v>000N</v>
      </c>
      <c r="B47" s="105" t="s">
        <v>1119</v>
      </c>
      <c r="C47" s="105" t="str">
        <f t="shared" si="1"/>
        <v>COMR</v>
      </c>
      <c r="D47" s="441" t="s">
        <v>150</v>
      </c>
      <c r="E47" s="441" t="s">
        <v>177</v>
      </c>
      <c r="F47" s="554" t="s">
        <v>1082</v>
      </c>
      <c r="G47" s="555">
        <v>452.09</v>
      </c>
      <c r="H47" s="555">
        <v>5996</v>
      </c>
      <c r="I47" s="555">
        <v>2</v>
      </c>
    </row>
    <row r="48" spans="1:9" s="1189" customFormat="1" ht="15.75" hidden="1">
      <c r="A48" s="1189" t="str">
        <f t="shared" si="0"/>
        <v>032M</v>
      </c>
      <c r="B48" s="1190" t="s">
        <v>1563</v>
      </c>
      <c r="C48" s="1190" t="str">
        <f t="shared" si="1"/>
        <v>COMR</v>
      </c>
      <c r="D48" s="441" t="s">
        <v>150</v>
      </c>
      <c r="E48" s="441" t="s">
        <v>177</v>
      </c>
      <c r="F48" s="1191" t="s">
        <v>1495</v>
      </c>
      <c r="G48" s="1192">
        <v>842610.25</v>
      </c>
      <c r="H48" s="1192">
        <v>13073297</v>
      </c>
      <c r="I48" s="1192">
        <v>0.25</v>
      </c>
    </row>
    <row r="49" spans="1:9" ht="15.75" hidden="1">
      <c r="A49" s="106" t="str">
        <f t="shared" si="0"/>
        <v>0006</v>
      </c>
      <c r="B49" s="105" t="s">
        <v>42</v>
      </c>
      <c r="C49" s="105" t="str">
        <f t="shared" si="1"/>
        <v>COMR</v>
      </c>
      <c r="D49" s="441" t="s">
        <v>150</v>
      </c>
      <c r="E49" s="441" t="s">
        <v>177</v>
      </c>
      <c r="F49" s="554" t="s">
        <v>1083</v>
      </c>
      <c r="G49" s="555">
        <v>459631.44</v>
      </c>
      <c r="H49" s="555">
        <v>4654400</v>
      </c>
      <c r="I49" s="555">
        <v>9.1666666666666696</v>
      </c>
    </row>
    <row r="50" spans="1:9" ht="15.75" hidden="1">
      <c r="A50" s="106" t="str">
        <f t="shared" si="0"/>
        <v>0023</v>
      </c>
      <c r="B50" s="105" t="s">
        <v>44</v>
      </c>
      <c r="C50" s="105" t="str">
        <f t="shared" si="1"/>
        <v>COMR</v>
      </c>
      <c r="D50" s="441" t="s">
        <v>150</v>
      </c>
      <c r="E50" s="441" t="s">
        <v>177</v>
      </c>
      <c r="F50" s="554" t="s">
        <v>1084</v>
      </c>
      <c r="G50" s="555">
        <v>347796.84</v>
      </c>
      <c r="H50" s="555">
        <v>4043499</v>
      </c>
      <c r="I50" s="555"/>
    </row>
    <row r="51" spans="1:9" ht="15.75" hidden="1">
      <c r="A51" s="106" t="str">
        <f t="shared" si="0"/>
        <v>006A</v>
      </c>
      <c r="B51" s="105" t="s">
        <v>45</v>
      </c>
      <c r="C51" s="105" t="str">
        <f t="shared" si="1"/>
        <v>COMR</v>
      </c>
      <c r="D51" s="441" t="s">
        <v>150</v>
      </c>
      <c r="E51" s="441" t="s">
        <v>177</v>
      </c>
      <c r="F51" s="554" t="s">
        <v>1085</v>
      </c>
      <c r="G51" s="555">
        <v>3976959.73</v>
      </c>
      <c r="H51" s="555">
        <v>40024289</v>
      </c>
      <c r="I51" s="555">
        <v>318.5</v>
      </c>
    </row>
    <row r="52" spans="1:9" ht="15.75" hidden="1">
      <c r="A52" s="106" t="str">
        <f t="shared" si="0"/>
        <v>AACN</v>
      </c>
      <c r="B52" s="105" t="s">
        <v>49</v>
      </c>
      <c r="C52" s="105" t="str">
        <f t="shared" si="1"/>
        <v>COMR</v>
      </c>
      <c r="D52" s="441" t="s">
        <v>150</v>
      </c>
      <c r="E52" s="441" t="s">
        <v>177</v>
      </c>
      <c r="F52" s="554" t="s">
        <v>1496</v>
      </c>
      <c r="G52" s="555">
        <v>3536.09</v>
      </c>
      <c r="H52" s="555">
        <v>0</v>
      </c>
      <c r="I52" s="555"/>
    </row>
    <row r="53" spans="1:9" ht="15.75" hidden="1">
      <c r="A53" s="106" t="str">
        <f t="shared" si="0"/>
        <v>NXGN</v>
      </c>
      <c r="B53" s="105" t="s">
        <v>49</v>
      </c>
      <c r="C53" s="105" t="str">
        <f t="shared" si="1"/>
        <v>COMR</v>
      </c>
      <c r="D53" s="441" t="s">
        <v>150</v>
      </c>
      <c r="E53" s="441" t="s">
        <v>177</v>
      </c>
      <c r="F53" s="554" t="s">
        <v>1188</v>
      </c>
      <c r="G53" s="555">
        <v>27146.27</v>
      </c>
      <c r="H53" s="555">
        <v>0</v>
      </c>
      <c r="I53" s="555"/>
    </row>
    <row r="54" spans="1:9" ht="15.75" hidden="1">
      <c r="A54" s="106" t="str">
        <f t="shared" si="0"/>
        <v>XACN</v>
      </c>
      <c r="B54" s="105" t="s">
        <v>49</v>
      </c>
      <c r="C54" s="105" t="str">
        <f t="shared" si="1"/>
        <v>COMR</v>
      </c>
      <c r="D54" s="441" t="s">
        <v>150</v>
      </c>
      <c r="E54" s="441" t="s">
        <v>177</v>
      </c>
      <c r="F54" s="554" t="s">
        <v>1189</v>
      </c>
      <c r="G54" s="555">
        <v>2196.75</v>
      </c>
      <c r="H54" s="555">
        <v>0</v>
      </c>
      <c r="I54" s="555"/>
    </row>
    <row r="55" spans="1:9" ht="15.75" hidden="1">
      <c r="A55" s="106" t="str">
        <f t="shared" si="0"/>
        <v>0015</v>
      </c>
      <c r="B55" s="105" t="s">
        <v>664</v>
      </c>
      <c r="C55" s="105" t="str">
        <f t="shared" si="1"/>
        <v>COMR</v>
      </c>
      <c r="D55" s="441" t="s">
        <v>150</v>
      </c>
      <c r="E55" s="441" t="s">
        <v>177</v>
      </c>
      <c r="F55" s="554" t="s">
        <v>474</v>
      </c>
      <c r="G55" s="555">
        <v>316344.96000000002</v>
      </c>
      <c r="H55" s="555">
        <v>3061904</v>
      </c>
      <c r="I55" s="555">
        <v>1067.4166666666699</v>
      </c>
    </row>
    <row r="56" spans="1:9" ht="15.75" hidden="1">
      <c r="A56" s="106" t="str">
        <f t="shared" si="0"/>
        <v>015F</v>
      </c>
      <c r="B56" s="105" t="s">
        <v>664</v>
      </c>
      <c r="C56" s="105" t="str">
        <f t="shared" si="1"/>
        <v>COMR</v>
      </c>
      <c r="D56" s="441" t="s">
        <v>150</v>
      </c>
      <c r="E56" s="441" t="s">
        <v>177</v>
      </c>
      <c r="F56" s="554" t="s">
        <v>476</v>
      </c>
      <c r="G56" s="555">
        <v>15276.8</v>
      </c>
      <c r="H56" s="555">
        <v>170916</v>
      </c>
      <c r="I56" s="555">
        <v>20</v>
      </c>
    </row>
    <row r="57" spans="1:9" ht="15.75" hidden="1">
      <c r="A57" s="106" t="str">
        <f t="shared" si="0"/>
        <v>-DSM</v>
      </c>
      <c r="B57" s="105" t="s">
        <v>821</v>
      </c>
      <c r="C57" s="105" t="str">
        <f t="shared" si="1"/>
        <v>COMR</v>
      </c>
      <c r="D57" s="441" t="s">
        <v>150</v>
      </c>
      <c r="E57" s="441" t="s">
        <v>177</v>
      </c>
      <c r="F57" s="554" t="s">
        <v>801</v>
      </c>
      <c r="G57" s="555">
        <v>4684682.43</v>
      </c>
      <c r="H57" s="555">
        <v>0</v>
      </c>
      <c r="I57" s="555">
        <v>0</v>
      </c>
    </row>
    <row r="58" spans="1:9" ht="15.75" hidden="1">
      <c r="A58" s="106" t="str">
        <f t="shared" si="0"/>
        <v>-BLU</v>
      </c>
      <c r="B58" s="105" t="s">
        <v>822</v>
      </c>
      <c r="C58" s="105" t="str">
        <f t="shared" si="1"/>
        <v>COMR</v>
      </c>
      <c r="D58" s="441" t="s">
        <v>150</v>
      </c>
      <c r="E58" s="441" t="s">
        <v>177</v>
      </c>
      <c r="F58" s="554" t="s">
        <v>802</v>
      </c>
      <c r="G58" s="555">
        <v>443357.76</v>
      </c>
      <c r="H58" s="555">
        <v>0</v>
      </c>
      <c r="I58" s="555">
        <v>0</v>
      </c>
    </row>
    <row r="59" spans="1:9" ht="15.75" hidden="1">
      <c r="A59" s="106" t="str">
        <f t="shared" si="0"/>
        <v>-SOL</v>
      </c>
      <c r="B59" s="105" t="s">
        <v>842</v>
      </c>
      <c r="C59" s="105" t="str">
        <f t="shared" si="1"/>
        <v>COMR</v>
      </c>
      <c r="D59" s="441" t="s">
        <v>150</v>
      </c>
      <c r="E59" s="441" t="s">
        <v>177</v>
      </c>
      <c r="F59" s="554" t="s">
        <v>946</v>
      </c>
      <c r="G59" s="555">
        <v>2367741.29</v>
      </c>
      <c r="H59" s="555">
        <v>0</v>
      </c>
      <c r="I59" s="555">
        <v>0</v>
      </c>
    </row>
    <row r="60" spans="1:9" ht="15.75" hidden="1">
      <c r="A60" s="106" t="str">
        <f t="shared" si="0"/>
        <v>-REV</v>
      </c>
      <c r="B60" s="105" t="s">
        <v>823</v>
      </c>
      <c r="C60" s="105" t="str">
        <f t="shared" si="1"/>
        <v>COMR</v>
      </c>
      <c r="D60" s="441" t="s">
        <v>150</v>
      </c>
      <c r="E60" s="441" t="s">
        <v>177</v>
      </c>
      <c r="F60" s="554" t="s">
        <v>803</v>
      </c>
      <c r="G60" s="555">
        <v>-750489.59</v>
      </c>
      <c r="H60" s="555">
        <v>0</v>
      </c>
      <c r="I60" s="555">
        <v>0</v>
      </c>
    </row>
    <row r="61" spans="1:9" ht="15.75" hidden="1">
      <c r="A61" s="106" t="str">
        <f t="shared" si="0"/>
        <v>ER C</v>
      </c>
      <c r="B61" s="105"/>
      <c r="C61" s="105" t="str">
        <f t="shared" si="1"/>
        <v>COMR</v>
      </c>
      <c r="D61" s="441" t="s">
        <v>150</v>
      </c>
      <c r="E61" s="441" t="s">
        <v>177</v>
      </c>
      <c r="F61" s="554" t="s">
        <v>1086</v>
      </c>
      <c r="G61" s="555"/>
      <c r="H61" s="555"/>
      <c r="I61" s="555">
        <v>0</v>
      </c>
    </row>
    <row r="62" spans="1:9" ht="15.75" hidden="1">
      <c r="A62" s="106" t="str">
        <f t="shared" si="0"/>
        <v xml:space="preserve"> TAX</v>
      </c>
      <c r="B62" s="105" t="s">
        <v>1211</v>
      </c>
      <c r="C62" s="105" t="str">
        <f t="shared" si="1"/>
        <v>COMR</v>
      </c>
      <c r="D62" s="441" t="s">
        <v>150</v>
      </c>
      <c r="E62" s="441" t="s">
        <v>177</v>
      </c>
      <c r="F62" s="554" t="s">
        <v>1190</v>
      </c>
      <c r="G62" s="555">
        <v>-2.9999999969731999E-2</v>
      </c>
      <c r="H62" s="555">
        <v>0</v>
      </c>
      <c r="I62" s="555">
        <v>0</v>
      </c>
    </row>
    <row r="63" spans="1:9" ht="15.75" hidden="1">
      <c r="A63" s="106" t="str">
        <f t="shared" si="0"/>
        <v>E_AC</v>
      </c>
      <c r="B63" s="105" t="s">
        <v>820</v>
      </c>
      <c r="C63" s="105" t="str">
        <f t="shared" si="1"/>
        <v>COMR</v>
      </c>
      <c r="D63" s="441" t="s">
        <v>150</v>
      </c>
      <c r="E63" s="441" t="s">
        <v>177</v>
      </c>
      <c r="F63" s="554" t="s">
        <v>690</v>
      </c>
      <c r="G63" s="555">
        <v>-1600450.4</v>
      </c>
      <c r="H63" s="555">
        <v>0</v>
      </c>
      <c r="I63" s="555">
        <v>0</v>
      </c>
    </row>
    <row r="64" spans="1:9" ht="15.75" hidden="1">
      <c r="A64" s="106" t="str">
        <f t="shared" si="0"/>
        <v>E AD</v>
      </c>
      <c r="B64" s="105" t="s">
        <v>819</v>
      </c>
      <c r="C64" s="105" t="str">
        <f t="shared" si="1"/>
        <v>COMR</v>
      </c>
      <c r="D64" s="441" t="s">
        <v>150</v>
      </c>
      <c r="E64" s="441" t="s">
        <v>177</v>
      </c>
      <c r="F64" s="554" t="s">
        <v>800</v>
      </c>
      <c r="G64" s="555">
        <v>3097804.46</v>
      </c>
      <c r="H64" s="555">
        <v>0</v>
      </c>
      <c r="I64" s="555">
        <v>0</v>
      </c>
    </row>
    <row r="65" spans="1:9" ht="15.75" hidden="1">
      <c r="A65" s="106" t="str">
        <f t="shared" si="0"/>
        <v>ED R</v>
      </c>
      <c r="B65" s="105" t="s">
        <v>52</v>
      </c>
      <c r="C65" s="105" t="str">
        <f t="shared" si="1"/>
        <v>COMU</v>
      </c>
      <c r="D65" s="441" t="s">
        <v>150</v>
      </c>
      <c r="E65" s="441" t="s">
        <v>569</v>
      </c>
      <c r="F65" s="554" t="s">
        <v>1087</v>
      </c>
      <c r="G65" s="555">
        <v>4289000</v>
      </c>
      <c r="H65" s="555">
        <v>47985000</v>
      </c>
      <c r="I65" s="555">
        <v>0</v>
      </c>
    </row>
    <row r="66" spans="1:9" ht="15.75" hidden="1">
      <c r="A66" s="106" t="str">
        <f t="shared" ref="A66:A122" si="2">RIGHT(LEFT(F66,10),4)</f>
        <v>0051</v>
      </c>
      <c r="B66" s="105" t="s">
        <v>61</v>
      </c>
      <c r="C66" s="105" t="str">
        <f t="shared" ref="C66:C122" si="3">IF(RIGHT(D66,4)="AUTH","AUT",LEFT(D66,3))&amp;E66</f>
        <v>INDR</v>
      </c>
      <c r="D66" s="441" t="s">
        <v>167</v>
      </c>
      <c r="E66" s="441" t="s">
        <v>177</v>
      </c>
      <c r="F66" s="554" t="s">
        <v>1059</v>
      </c>
      <c r="G66" s="555">
        <v>18115.02</v>
      </c>
      <c r="H66" s="555">
        <v>0</v>
      </c>
      <c r="I66" s="555"/>
    </row>
    <row r="67" spans="1:9" ht="15.75" hidden="1">
      <c r="A67" s="106" t="str">
        <f t="shared" si="2"/>
        <v>3136</v>
      </c>
      <c r="B67" s="105" t="s">
        <v>1542</v>
      </c>
      <c r="C67" s="105" t="str">
        <f t="shared" si="3"/>
        <v>INDR</v>
      </c>
      <c r="D67" s="441" t="s">
        <v>167</v>
      </c>
      <c r="E67" s="441" t="s">
        <v>177</v>
      </c>
      <c r="F67" s="554" t="s">
        <v>1184</v>
      </c>
      <c r="G67" s="555"/>
      <c r="H67" s="555"/>
      <c r="I67" s="555">
        <v>0.16666666666666699</v>
      </c>
    </row>
    <row r="68" spans="1:9" ht="15.75" hidden="1">
      <c r="A68" s="106" t="str">
        <f t="shared" si="2"/>
        <v>6136</v>
      </c>
      <c r="B68" s="105" t="s">
        <v>1230</v>
      </c>
      <c r="C68" s="105" t="str">
        <f t="shared" si="3"/>
        <v>INDR</v>
      </c>
      <c r="D68" s="441" t="s">
        <v>167</v>
      </c>
      <c r="E68" s="441" t="s">
        <v>177</v>
      </c>
      <c r="F68" s="812" t="s">
        <v>1185</v>
      </c>
      <c r="G68" s="555">
        <v>57860.71</v>
      </c>
      <c r="H68" s="555">
        <v>728244</v>
      </c>
      <c r="I68" s="555">
        <v>0.41666666666666702</v>
      </c>
    </row>
    <row r="69" spans="1:9" ht="15.75" hidden="1">
      <c r="A69" s="106" t="str">
        <f t="shared" si="2"/>
        <v>0021</v>
      </c>
      <c r="B69" s="105" t="s">
        <v>53</v>
      </c>
      <c r="C69" s="105" t="str">
        <f t="shared" si="3"/>
        <v>INDR</v>
      </c>
      <c r="D69" s="441" t="s">
        <v>167</v>
      </c>
      <c r="E69" s="441" t="s">
        <v>177</v>
      </c>
      <c r="F69" s="812" t="s">
        <v>1088</v>
      </c>
      <c r="G69" s="555">
        <v>15631.63</v>
      </c>
      <c r="H69" s="555">
        <v>254399</v>
      </c>
      <c r="I69" s="555">
        <v>0.33333333333333298</v>
      </c>
    </row>
    <row r="70" spans="1:9" ht="15.75" hidden="1">
      <c r="A70" s="106" t="str">
        <f t="shared" si="2"/>
        <v>021M</v>
      </c>
      <c r="B70" s="105" t="s">
        <v>53</v>
      </c>
      <c r="C70" s="105" t="str">
        <f t="shared" si="3"/>
        <v>INDR</v>
      </c>
      <c r="D70" s="441" t="s">
        <v>167</v>
      </c>
      <c r="E70" s="441" t="s">
        <v>177</v>
      </c>
      <c r="F70" s="812" t="s">
        <v>1089</v>
      </c>
      <c r="G70" s="555">
        <v>141601.06</v>
      </c>
      <c r="H70" s="555">
        <v>1001682</v>
      </c>
      <c r="I70" s="555">
        <v>2</v>
      </c>
    </row>
    <row r="71" spans="1:9" ht="15.75" hidden="1">
      <c r="A71" s="106" t="str">
        <f t="shared" si="2"/>
        <v>0006</v>
      </c>
      <c r="B71" s="105" t="s">
        <v>54</v>
      </c>
      <c r="C71" s="105" t="str">
        <f t="shared" si="3"/>
        <v>INDR</v>
      </c>
      <c r="D71" s="441" t="s">
        <v>167</v>
      </c>
      <c r="E71" s="441" t="s">
        <v>177</v>
      </c>
      <c r="F71" s="554" t="s">
        <v>1061</v>
      </c>
      <c r="G71" s="555">
        <v>51239227.899999999</v>
      </c>
      <c r="H71" s="555">
        <v>603314565</v>
      </c>
      <c r="I71" s="555">
        <v>958.16666666666697</v>
      </c>
    </row>
    <row r="72" spans="1:9" ht="15.75" hidden="1">
      <c r="A72" s="106" t="str">
        <f t="shared" si="2"/>
        <v>0008</v>
      </c>
      <c r="B72" s="105" t="s">
        <v>63</v>
      </c>
      <c r="C72" s="105" t="str">
        <f t="shared" si="3"/>
        <v>INDR</v>
      </c>
      <c r="D72" s="441" t="s">
        <v>167</v>
      </c>
      <c r="E72" s="441" t="s">
        <v>177</v>
      </c>
      <c r="F72" s="554" t="s">
        <v>27</v>
      </c>
      <c r="G72" s="555">
        <v>71986863.560000002</v>
      </c>
      <c r="H72" s="555">
        <v>984499554</v>
      </c>
      <c r="I72" s="555">
        <v>100.666666666667</v>
      </c>
    </row>
    <row r="73" spans="1:9" ht="15.75" hidden="1">
      <c r="A73" s="106" t="str">
        <f t="shared" si="2"/>
        <v>0009</v>
      </c>
      <c r="B73" s="105" t="s">
        <v>55</v>
      </c>
      <c r="C73" s="105" t="str">
        <f t="shared" si="3"/>
        <v>INDR</v>
      </c>
      <c r="D73" s="441" t="s">
        <v>167</v>
      </c>
      <c r="E73" s="441" t="s">
        <v>177</v>
      </c>
      <c r="F73" s="554" t="s">
        <v>1062</v>
      </c>
      <c r="G73" s="555">
        <v>159058470.77000001</v>
      </c>
      <c r="H73" s="555">
        <v>2914667017</v>
      </c>
      <c r="I73" s="555">
        <v>103</v>
      </c>
    </row>
    <row r="74" spans="1:9" ht="15.75" hidden="1">
      <c r="A74" s="106" t="str">
        <f t="shared" si="2"/>
        <v>0023</v>
      </c>
      <c r="B74" s="105" t="s">
        <v>56</v>
      </c>
      <c r="C74" s="105" t="str">
        <f t="shared" si="3"/>
        <v>INDR</v>
      </c>
      <c r="D74" s="441" t="s">
        <v>167</v>
      </c>
      <c r="E74" s="441" t="s">
        <v>177</v>
      </c>
      <c r="F74" s="554" t="s">
        <v>1063</v>
      </c>
      <c r="G74" s="555">
        <v>5157781.7699999996</v>
      </c>
      <c r="H74" s="555">
        <v>53174636</v>
      </c>
      <c r="I74" s="555">
        <v>3149.4166666666702</v>
      </c>
    </row>
    <row r="75" spans="1:9" ht="15.75" hidden="1">
      <c r="A75" s="106" t="str">
        <f t="shared" si="2"/>
        <v>006A</v>
      </c>
      <c r="B75" s="105" t="s">
        <v>57</v>
      </c>
      <c r="C75" s="105" t="str">
        <f t="shared" si="3"/>
        <v>INDR</v>
      </c>
      <c r="D75" s="441" t="s">
        <v>167</v>
      </c>
      <c r="E75" s="441" t="s">
        <v>177</v>
      </c>
      <c r="F75" s="554" t="s">
        <v>1064</v>
      </c>
      <c r="G75" s="555">
        <v>5392826.8799999999</v>
      </c>
      <c r="H75" s="555">
        <v>44645929</v>
      </c>
      <c r="I75" s="555">
        <v>228.916666666667</v>
      </c>
    </row>
    <row r="76" spans="1:9" ht="15.75" hidden="1">
      <c r="A76" s="106" t="str">
        <f t="shared" si="2"/>
        <v>006B</v>
      </c>
      <c r="B76" s="105" t="s">
        <v>1199</v>
      </c>
      <c r="C76" s="105" t="str">
        <f t="shared" si="3"/>
        <v>INDR</v>
      </c>
      <c r="D76" s="441" t="s">
        <v>167</v>
      </c>
      <c r="E76" s="441" t="s">
        <v>177</v>
      </c>
      <c r="F76" s="554" t="s">
        <v>1065</v>
      </c>
      <c r="G76" s="555">
        <v>2755.91</v>
      </c>
      <c r="H76" s="555">
        <v>7086</v>
      </c>
      <c r="I76" s="555">
        <v>0.41666666666666702</v>
      </c>
    </row>
    <row r="77" spans="1:9" ht="15.75" hidden="1">
      <c r="A77" s="106" t="str">
        <f t="shared" si="2"/>
        <v>008M</v>
      </c>
      <c r="B77" s="105" t="s">
        <v>63</v>
      </c>
      <c r="C77" s="105" t="str">
        <f t="shared" si="3"/>
        <v>INDR</v>
      </c>
      <c r="D77" s="441" t="s">
        <v>167</v>
      </c>
      <c r="E77" s="441" t="s">
        <v>177</v>
      </c>
      <c r="F77" s="554" t="s">
        <v>28</v>
      </c>
      <c r="G77" s="555">
        <v>2146613.42</v>
      </c>
      <c r="H77" s="555">
        <v>27264100</v>
      </c>
      <c r="I77" s="555">
        <v>4</v>
      </c>
    </row>
    <row r="78" spans="1:9" ht="15.75" hidden="1">
      <c r="A78" s="106" t="str">
        <f t="shared" si="2"/>
        <v>009A</v>
      </c>
      <c r="B78" s="105" t="s">
        <v>58</v>
      </c>
      <c r="C78" s="105" t="str">
        <f t="shared" si="3"/>
        <v>INDR</v>
      </c>
      <c r="D78" s="441" t="s">
        <v>167</v>
      </c>
      <c r="E78" s="441" t="s">
        <v>177</v>
      </c>
      <c r="F78" s="554" t="s">
        <v>1067</v>
      </c>
      <c r="G78" s="555">
        <v>1569320.4</v>
      </c>
      <c r="H78" s="555">
        <v>17623260</v>
      </c>
      <c r="I78" s="555">
        <v>7</v>
      </c>
    </row>
    <row r="79" spans="1:9" ht="15.75" hidden="1">
      <c r="A79" s="106" t="str">
        <f t="shared" si="2"/>
        <v>009M</v>
      </c>
      <c r="B79" s="105" t="s">
        <v>55</v>
      </c>
      <c r="C79" s="105" t="str">
        <f t="shared" si="3"/>
        <v>INDR</v>
      </c>
      <c r="D79" s="441" t="s">
        <v>167</v>
      </c>
      <c r="E79" s="441" t="s">
        <v>177</v>
      </c>
      <c r="F79" s="554" t="s">
        <v>1068</v>
      </c>
      <c r="G79" s="555">
        <v>35477102.009999998</v>
      </c>
      <c r="H79" s="555">
        <v>678975647</v>
      </c>
      <c r="I79" s="555">
        <v>11</v>
      </c>
    </row>
    <row r="80" spans="1:9" ht="15.75" hidden="1">
      <c r="A80" s="106" t="str">
        <f t="shared" si="2"/>
        <v>023F</v>
      </c>
      <c r="B80" s="105" t="s">
        <v>56</v>
      </c>
      <c r="C80" s="105" t="str">
        <f t="shared" si="3"/>
        <v>INDR</v>
      </c>
      <c r="D80" s="441" t="s">
        <v>167</v>
      </c>
      <c r="E80" s="441" t="s">
        <v>177</v>
      </c>
      <c r="F80" s="554" t="s">
        <v>1069</v>
      </c>
      <c r="G80" s="555">
        <v>2557.3200000000002</v>
      </c>
      <c r="H80" s="555">
        <v>3672</v>
      </c>
      <c r="I80" s="555">
        <v>1</v>
      </c>
    </row>
    <row r="81" spans="1:9" ht="15.75" hidden="1">
      <c r="A81" s="106" t="str">
        <f t="shared" si="2"/>
        <v>06AM</v>
      </c>
      <c r="B81" s="106" t="s">
        <v>57</v>
      </c>
      <c r="C81" s="105" t="str">
        <f t="shared" si="3"/>
        <v>INDR</v>
      </c>
      <c r="D81" s="441" t="s">
        <v>167</v>
      </c>
      <c r="E81" s="441" t="s">
        <v>177</v>
      </c>
      <c r="F81" s="554" t="s">
        <v>1071</v>
      </c>
      <c r="G81" s="555">
        <v>33798.1</v>
      </c>
      <c r="H81" s="555">
        <v>282756</v>
      </c>
      <c r="I81" s="555">
        <v>2</v>
      </c>
    </row>
    <row r="82" spans="1:9" ht="15.75" hidden="1">
      <c r="A82" s="106" t="str">
        <f t="shared" si="2"/>
        <v>06MN</v>
      </c>
      <c r="B82" s="105" t="s">
        <v>54</v>
      </c>
      <c r="C82" s="105" t="str">
        <f t="shared" si="3"/>
        <v>INDR</v>
      </c>
      <c r="D82" s="441" t="s">
        <v>167</v>
      </c>
      <c r="E82" s="441" t="s">
        <v>177</v>
      </c>
      <c r="F82" s="554" t="s">
        <v>1072</v>
      </c>
      <c r="G82" s="555">
        <v>92337.91</v>
      </c>
      <c r="H82" s="555">
        <v>1038663</v>
      </c>
      <c r="I82" s="555">
        <v>22.3333333333333</v>
      </c>
    </row>
    <row r="83" spans="1:9" ht="15.75" hidden="1">
      <c r="A83" s="106" t="str">
        <f t="shared" si="2"/>
        <v>0002</v>
      </c>
      <c r="B83" s="105" t="s">
        <v>61</v>
      </c>
      <c r="C83" s="105" t="str">
        <f t="shared" si="3"/>
        <v>INDR</v>
      </c>
      <c r="D83" s="441" t="s">
        <v>167</v>
      </c>
      <c r="E83" s="441" t="s">
        <v>177</v>
      </c>
      <c r="F83" s="554" t="s">
        <v>1073</v>
      </c>
      <c r="G83" s="555">
        <v>744978.59</v>
      </c>
      <c r="H83" s="555">
        <v>0</v>
      </c>
      <c r="I83" s="555"/>
    </row>
    <row r="84" spans="1:9" ht="15.75" hidden="1">
      <c r="A84" s="106" t="str">
        <f t="shared" si="2"/>
        <v>0014</v>
      </c>
      <c r="B84" s="105" t="s">
        <v>61</v>
      </c>
      <c r="C84" s="105" t="str">
        <f t="shared" si="3"/>
        <v>INDR</v>
      </c>
      <c r="D84" s="441" t="s">
        <v>167</v>
      </c>
      <c r="E84" s="441" t="s">
        <v>177</v>
      </c>
      <c r="F84" s="554" t="s">
        <v>1076</v>
      </c>
      <c r="G84" s="555">
        <v>10322.709999999999</v>
      </c>
      <c r="H84" s="555">
        <v>0</v>
      </c>
      <c r="I84" s="555"/>
    </row>
    <row r="85" spans="1:9" ht="15.75" hidden="1">
      <c r="A85" s="106" t="str">
        <f t="shared" si="2"/>
        <v>0017</v>
      </c>
      <c r="B85" s="105" t="s">
        <v>61</v>
      </c>
      <c r="C85" s="105" t="str">
        <f t="shared" si="3"/>
        <v>INDR</v>
      </c>
      <c r="D85" s="441" t="s">
        <v>167</v>
      </c>
      <c r="E85" s="441" t="s">
        <v>177</v>
      </c>
      <c r="F85" s="554" t="s">
        <v>1077</v>
      </c>
      <c r="G85" s="555">
        <v>638.37</v>
      </c>
      <c r="H85" s="555">
        <v>0</v>
      </c>
      <c r="I85" s="555"/>
    </row>
    <row r="86" spans="1:9" ht="15.75" hidden="1">
      <c r="A86" s="106" t="str">
        <f t="shared" si="2"/>
        <v>0300</v>
      </c>
      <c r="B86" s="105" t="s">
        <v>61</v>
      </c>
      <c r="C86" s="105" t="str">
        <f t="shared" si="3"/>
        <v>INDR</v>
      </c>
      <c r="D86" s="441" t="s">
        <v>167</v>
      </c>
      <c r="E86" s="441" t="s">
        <v>177</v>
      </c>
      <c r="F86" s="554" t="s">
        <v>185</v>
      </c>
      <c r="G86" s="555">
        <v>49310.29</v>
      </c>
      <c r="H86" s="555">
        <v>0</v>
      </c>
      <c r="I86" s="555"/>
    </row>
    <row r="87" spans="1:9" ht="15.75" hidden="1">
      <c r="A87" s="106" t="str">
        <f t="shared" si="2"/>
        <v>0310</v>
      </c>
      <c r="B87" s="105" t="s">
        <v>61</v>
      </c>
      <c r="C87" s="105" t="str">
        <f t="shared" si="3"/>
        <v>INDR</v>
      </c>
      <c r="D87" s="441" t="s">
        <v>167</v>
      </c>
      <c r="E87" s="441" t="s">
        <v>177</v>
      </c>
      <c r="F87" s="554" t="s">
        <v>33</v>
      </c>
      <c r="G87" s="555">
        <v>0</v>
      </c>
      <c r="H87" s="555">
        <v>0</v>
      </c>
      <c r="I87" s="555"/>
    </row>
    <row r="88" spans="1:9" ht="15.75" hidden="1">
      <c r="A88" s="106" t="str">
        <f t="shared" si="2"/>
        <v>0311</v>
      </c>
      <c r="B88" s="105" t="s">
        <v>61</v>
      </c>
      <c r="C88" s="105" t="str">
        <f t="shared" si="3"/>
        <v>INDR</v>
      </c>
      <c r="D88" s="441" t="s">
        <v>167</v>
      </c>
      <c r="E88" s="441" t="s">
        <v>177</v>
      </c>
      <c r="F88" s="554" t="s">
        <v>29</v>
      </c>
      <c r="G88" s="555">
        <v>4.82</v>
      </c>
      <c r="H88" s="555">
        <v>0</v>
      </c>
      <c r="I88" s="555"/>
    </row>
    <row r="89" spans="1:9" ht="15.75" hidden="1">
      <c r="A89" s="106" t="str">
        <f t="shared" si="2"/>
        <v>0015</v>
      </c>
      <c r="B89" s="105" t="s">
        <v>667</v>
      </c>
      <c r="C89" s="105" t="str">
        <f t="shared" si="3"/>
        <v>INDR</v>
      </c>
      <c r="D89" s="441" t="s">
        <v>167</v>
      </c>
      <c r="E89" s="441" t="s">
        <v>177</v>
      </c>
      <c r="F89" s="554" t="s">
        <v>475</v>
      </c>
      <c r="G89" s="555">
        <v>2295.5700000000002</v>
      </c>
      <c r="H89" s="555">
        <v>12527</v>
      </c>
      <c r="I89" s="555">
        <v>6</v>
      </c>
    </row>
    <row r="90" spans="1:9" ht="15.75" hidden="1">
      <c r="A90" s="106" t="str">
        <f t="shared" si="2"/>
        <v>6135</v>
      </c>
      <c r="B90" s="105" t="s">
        <v>954</v>
      </c>
      <c r="C90" s="105" t="str">
        <f t="shared" si="3"/>
        <v>INDR</v>
      </c>
      <c r="D90" s="441" t="s">
        <v>167</v>
      </c>
      <c r="E90" s="441" t="s">
        <v>177</v>
      </c>
      <c r="F90" s="554" t="s">
        <v>612</v>
      </c>
      <c r="G90" s="555">
        <v>208870.96</v>
      </c>
      <c r="H90" s="555">
        <v>2230442</v>
      </c>
      <c r="I90" s="555">
        <v>6</v>
      </c>
    </row>
    <row r="91" spans="1:9" ht="15.75" hidden="1">
      <c r="A91" s="106" t="str">
        <f t="shared" si="2"/>
        <v>3135</v>
      </c>
      <c r="B91" s="105" t="s">
        <v>953</v>
      </c>
      <c r="C91" s="105" t="str">
        <f t="shared" si="3"/>
        <v>INDR</v>
      </c>
      <c r="D91" s="441" t="s">
        <v>167</v>
      </c>
      <c r="E91" s="441" t="s">
        <v>177</v>
      </c>
      <c r="F91" s="554" t="s">
        <v>32</v>
      </c>
      <c r="G91" s="555">
        <v>20297.66</v>
      </c>
      <c r="H91" s="555">
        <v>176532</v>
      </c>
      <c r="I91" s="555">
        <v>17</v>
      </c>
    </row>
    <row r="92" spans="1:9" ht="15.75" hidden="1">
      <c r="A92" s="106" t="str">
        <f t="shared" si="2"/>
        <v>A135</v>
      </c>
      <c r="B92" s="105" t="s">
        <v>955</v>
      </c>
      <c r="C92" s="105" t="str">
        <f t="shared" si="3"/>
        <v>INDR</v>
      </c>
      <c r="D92" s="441" t="s">
        <v>167</v>
      </c>
      <c r="E92" s="441" t="s">
        <v>177</v>
      </c>
      <c r="F92" s="554" t="s">
        <v>614</v>
      </c>
      <c r="G92" s="555">
        <v>560062.84</v>
      </c>
      <c r="H92" s="555">
        <v>4050614</v>
      </c>
      <c r="I92" s="555">
        <v>13</v>
      </c>
    </row>
    <row r="93" spans="1:9" ht="15.75" hidden="1">
      <c r="A93" s="106" t="str">
        <f t="shared" si="2"/>
        <v>007N</v>
      </c>
      <c r="B93" s="105" t="s">
        <v>59</v>
      </c>
      <c r="C93" s="105" t="str">
        <f t="shared" si="3"/>
        <v>INDR</v>
      </c>
      <c r="D93" s="441" t="s">
        <v>167</v>
      </c>
      <c r="E93" s="441" t="s">
        <v>177</v>
      </c>
      <c r="F93" s="554" t="s">
        <v>1079</v>
      </c>
      <c r="G93" s="555">
        <v>199529.37</v>
      </c>
      <c r="H93" s="555">
        <v>948300</v>
      </c>
      <c r="I93" s="555">
        <v>394</v>
      </c>
    </row>
    <row r="94" spans="1:9" ht="15.75" hidden="1">
      <c r="A94" s="106" t="str">
        <f t="shared" si="2"/>
        <v>031M</v>
      </c>
      <c r="B94" s="106" t="s">
        <v>62</v>
      </c>
      <c r="C94" s="105" t="str">
        <f t="shared" si="3"/>
        <v>INDR</v>
      </c>
      <c r="D94" s="441" t="s">
        <v>167</v>
      </c>
      <c r="E94" s="441" t="s">
        <v>177</v>
      </c>
      <c r="F94" s="554" t="s">
        <v>1081</v>
      </c>
      <c r="G94" s="555">
        <v>3757081.15</v>
      </c>
      <c r="H94" s="555">
        <v>49625166</v>
      </c>
      <c r="I94" s="555">
        <v>3</v>
      </c>
    </row>
    <row r="95" spans="1:9" ht="15.75" hidden="1">
      <c r="A95" s="106" t="str">
        <f t="shared" si="2"/>
        <v>0001</v>
      </c>
      <c r="B95" s="105" t="s">
        <v>829</v>
      </c>
      <c r="C95" s="105" t="str">
        <f t="shared" si="3"/>
        <v>INDR</v>
      </c>
      <c r="D95" s="441" t="s">
        <v>167</v>
      </c>
      <c r="E95" s="441" t="s">
        <v>177</v>
      </c>
      <c r="F95" s="554" t="s">
        <v>1090</v>
      </c>
      <c r="G95" s="555">
        <v>30565663.190000001</v>
      </c>
      <c r="H95" s="555">
        <v>602656000</v>
      </c>
      <c r="I95" s="555">
        <v>1</v>
      </c>
    </row>
    <row r="96" spans="1:9" ht="15.75" hidden="1">
      <c r="A96" s="106" t="str">
        <f t="shared" si="2"/>
        <v>0002</v>
      </c>
      <c r="B96" s="105" t="s">
        <v>830</v>
      </c>
      <c r="C96" s="105" t="str">
        <f t="shared" si="3"/>
        <v>INDR</v>
      </c>
      <c r="D96" s="441" t="s">
        <v>167</v>
      </c>
      <c r="E96" s="441" t="s">
        <v>177</v>
      </c>
      <c r="F96" s="554" t="s">
        <v>1091</v>
      </c>
      <c r="G96" s="555">
        <v>36340880.280000001</v>
      </c>
      <c r="H96" s="555">
        <v>809246440</v>
      </c>
      <c r="I96" s="555">
        <v>1</v>
      </c>
    </row>
    <row r="97" spans="1:9" ht="15.75" hidden="1">
      <c r="A97" s="106" t="str">
        <f t="shared" si="2"/>
        <v>0003</v>
      </c>
      <c r="B97" s="105" t="s">
        <v>831</v>
      </c>
      <c r="C97" s="105" t="str">
        <f t="shared" si="3"/>
        <v>INDR</v>
      </c>
      <c r="D97" s="441" t="s">
        <v>167</v>
      </c>
      <c r="E97" s="441" t="s">
        <v>177</v>
      </c>
      <c r="F97" s="554" t="s">
        <v>1092</v>
      </c>
      <c r="G97" s="555">
        <v>67226916.909999996</v>
      </c>
      <c r="H97" s="555">
        <v>1287045423</v>
      </c>
      <c r="I97" s="555">
        <v>1</v>
      </c>
    </row>
    <row r="98" spans="1:9" ht="15.75" hidden="1">
      <c r="A98" s="106" t="str">
        <f t="shared" si="2"/>
        <v>0006</v>
      </c>
      <c r="B98" s="105" t="s">
        <v>54</v>
      </c>
      <c r="C98" s="105" t="str">
        <f t="shared" si="3"/>
        <v>INDR</v>
      </c>
      <c r="D98" s="441" t="s">
        <v>167</v>
      </c>
      <c r="E98" s="441" t="s">
        <v>177</v>
      </c>
      <c r="F98" s="554" t="s">
        <v>1083</v>
      </c>
      <c r="G98" s="555">
        <v>22290.87</v>
      </c>
      <c r="H98" s="555">
        <v>268178</v>
      </c>
      <c r="I98" s="555">
        <v>1.5</v>
      </c>
    </row>
    <row r="99" spans="1:9" ht="15.75" hidden="1">
      <c r="A99" s="106" t="str">
        <f t="shared" si="2"/>
        <v>0023</v>
      </c>
      <c r="B99" s="105" t="s">
        <v>56</v>
      </c>
      <c r="C99" s="105" t="str">
        <f t="shared" si="3"/>
        <v>INDR</v>
      </c>
      <c r="D99" s="441" t="s">
        <v>167</v>
      </c>
      <c r="E99" s="441" t="s">
        <v>177</v>
      </c>
      <c r="F99" s="554" t="s">
        <v>1084</v>
      </c>
      <c r="G99" s="555">
        <v>17074.93</v>
      </c>
      <c r="H99" s="555">
        <v>152859</v>
      </c>
      <c r="I99" s="555">
        <v>18.1666666666667</v>
      </c>
    </row>
    <row r="100" spans="1:9" ht="15.75" hidden="1">
      <c r="A100" s="106" t="str">
        <f t="shared" si="2"/>
        <v>006A</v>
      </c>
      <c r="B100" s="105" t="s">
        <v>57</v>
      </c>
      <c r="C100" s="105" t="str">
        <f t="shared" si="3"/>
        <v>INDR</v>
      </c>
      <c r="D100" s="441" t="s">
        <v>167</v>
      </c>
      <c r="E100" s="441" t="s">
        <v>177</v>
      </c>
      <c r="F100" s="554" t="s">
        <v>1085</v>
      </c>
      <c r="G100" s="555">
        <v>1038931.43</v>
      </c>
      <c r="H100" s="555">
        <v>11084192</v>
      </c>
      <c r="I100" s="555">
        <v>30</v>
      </c>
    </row>
    <row r="101" spans="1:9" ht="15.75" hidden="1">
      <c r="A101" s="106" t="str">
        <f t="shared" si="2"/>
        <v>0015</v>
      </c>
      <c r="B101" s="105" t="s">
        <v>666</v>
      </c>
      <c r="C101" s="105" t="str">
        <f t="shared" si="3"/>
        <v>INDR</v>
      </c>
      <c r="D101" s="441" t="s">
        <v>167</v>
      </c>
      <c r="E101" s="441" t="s">
        <v>177</v>
      </c>
      <c r="F101" s="554" t="s">
        <v>474</v>
      </c>
      <c r="G101" s="555">
        <v>4639.6499999999996</v>
      </c>
      <c r="H101" s="555">
        <v>47617</v>
      </c>
      <c r="I101" s="555">
        <v>12</v>
      </c>
    </row>
    <row r="102" spans="1:9" ht="15.75" hidden="1">
      <c r="A102" s="106" t="str">
        <f t="shared" si="2"/>
        <v>-DSM</v>
      </c>
      <c r="B102" s="105" t="s">
        <v>826</v>
      </c>
      <c r="C102" s="105" t="str">
        <f t="shared" si="3"/>
        <v>INDR</v>
      </c>
      <c r="D102" s="441" t="s">
        <v>167</v>
      </c>
      <c r="E102" s="441" t="s">
        <v>177</v>
      </c>
      <c r="F102" s="554" t="s">
        <v>804</v>
      </c>
      <c r="G102" s="555">
        <v>4135249.51</v>
      </c>
      <c r="H102" s="555">
        <v>0</v>
      </c>
      <c r="I102" s="555">
        <v>0</v>
      </c>
    </row>
    <row r="103" spans="1:9" ht="15.75" hidden="1">
      <c r="A103" s="106" t="str">
        <f t="shared" si="2"/>
        <v>-BLU</v>
      </c>
      <c r="B103" s="105" t="s">
        <v>827</v>
      </c>
      <c r="C103" s="105" t="str">
        <f t="shared" si="3"/>
        <v>INDR</v>
      </c>
      <c r="D103" s="441" t="s">
        <v>167</v>
      </c>
      <c r="E103" s="441" t="s">
        <v>177</v>
      </c>
      <c r="F103" s="554" t="s">
        <v>805</v>
      </c>
      <c r="G103" s="555">
        <v>116729.15</v>
      </c>
      <c r="H103" s="555">
        <v>0</v>
      </c>
      <c r="I103" s="555">
        <v>7</v>
      </c>
    </row>
    <row r="104" spans="1:9" ht="15.75" hidden="1">
      <c r="A104" s="106" t="str">
        <f t="shared" si="2"/>
        <v>-SOL</v>
      </c>
      <c r="B104" s="105" t="s">
        <v>843</v>
      </c>
      <c r="C104" s="105" t="str">
        <f t="shared" si="3"/>
        <v>INDR</v>
      </c>
      <c r="D104" s="441" t="s">
        <v>167</v>
      </c>
      <c r="E104" s="441" t="s">
        <v>177</v>
      </c>
      <c r="F104" s="554" t="s">
        <v>946</v>
      </c>
      <c r="G104" s="555">
        <v>2090339.19</v>
      </c>
      <c r="H104" s="555">
        <v>0</v>
      </c>
      <c r="I104" s="555">
        <v>0</v>
      </c>
    </row>
    <row r="105" spans="1:9" ht="15.75" hidden="1">
      <c r="A105" s="106" t="str">
        <f t="shared" si="2"/>
        <v>-REV</v>
      </c>
      <c r="B105" s="105" t="s">
        <v>828</v>
      </c>
      <c r="C105" s="105" t="str">
        <f t="shared" si="3"/>
        <v>INDR</v>
      </c>
      <c r="D105" s="441" t="s">
        <v>167</v>
      </c>
      <c r="E105" s="441" t="s">
        <v>177</v>
      </c>
      <c r="F105" s="554" t="s">
        <v>806</v>
      </c>
      <c r="G105" s="555">
        <v>-489576.66</v>
      </c>
      <c r="H105" s="555">
        <v>0</v>
      </c>
      <c r="I105" s="555">
        <v>0</v>
      </c>
    </row>
    <row r="106" spans="1:9" ht="15.75" hidden="1">
      <c r="A106" s="106" t="str">
        <f t="shared" si="2"/>
        <v>ER C</v>
      </c>
      <c r="B106" s="105"/>
      <c r="C106" s="105" t="str">
        <f t="shared" si="3"/>
        <v>INDR</v>
      </c>
      <c r="D106" s="441" t="s">
        <v>167</v>
      </c>
      <c r="E106" s="441" t="s">
        <v>177</v>
      </c>
      <c r="F106" s="554" t="s">
        <v>1086</v>
      </c>
      <c r="G106" s="555"/>
      <c r="H106" s="555"/>
      <c r="I106" s="555">
        <v>0</v>
      </c>
    </row>
    <row r="107" spans="1:9" ht="15.75" hidden="1">
      <c r="A107" s="106" t="str">
        <f t="shared" si="2"/>
        <v xml:space="preserve"> TAX</v>
      </c>
      <c r="B107" s="105" t="s">
        <v>1212</v>
      </c>
      <c r="C107" s="105" t="str">
        <f t="shared" si="3"/>
        <v>INDR</v>
      </c>
      <c r="D107" s="441" t="s">
        <v>167</v>
      </c>
      <c r="E107" s="441" t="s">
        <v>177</v>
      </c>
      <c r="F107" s="554" t="s">
        <v>1190</v>
      </c>
      <c r="G107" s="555">
        <v>1.9999999960418801E-2</v>
      </c>
      <c r="H107" s="555">
        <v>0</v>
      </c>
      <c r="I107" s="555">
        <v>0</v>
      </c>
    </row>
    <row r="108" spans="1:9" ht="15.75" hidden="1">
      <c r="A108" s="106" t="str">
        <f t="shared" si="2"/>
        <v>E_AC</v>
      </c>
      <c r="B108" s="105" t="s">
        <v>825</v>
      </c>
      <c r="C108" s="105" t="str">
        <f t="shared" si="3"/>
        <v>INDR</v>
      </c>
      <c r="D108" s="441" t="s">
        <v>167</v>
      </c>
      <c r="E108" s="441" t="s">
        <v>177</v>
      </c>
      <c r="F108" s="554" t="s">
        <v>690</v>
      </c>
      <c r="G108" s="555">
        <v>-258416.13</v>
      </c>
      <c r="H108" s="555">
        <v>0</v>
      </c>
      <c r="I108" s="555">
        <v>0</v>
      </c>
    </row>
    <row r="109" spans="1:9" ht="15.75" hidden="1">
      <c r="A109" s="106" t="str">
        <f t="shared" si="2"/>
        <v>E AD</v>
      </c>
      <c r="B109" s="105" t="s">
        <v>824</v>
      </c>
      <c r="C109" s="105" t="str">
        <f t="shared" si="3"/>
        <v>INDR</v>
      </c>
      <c r="D109" s="441" t="s">
        <v>167</v>
      </c>
      <c r="E109" s="441" t="s">
        <v>177</v>
      </c>
      <c r="F109" s="554" t="s">
        <v>800</v>
      </c>
      <c r="G109" s="555">
        <v>2734868.95</v>
      </c>
      <c r="H109" s="555">
        <v>0</v>
      </c>
      <c r="I109" s="555">
        <v>0</v>
      </c>
    </row>
    <row r="110" spans="1:9" ht="15.75" hidden="1">
      <c r="A110" s="106" t="str">
        <f t="shared" si="2"/>
        <v>ED R</v>
      </c>
      <c r="B110" s="105" t="s">
        <v>64</v>
      </c>
      <c r="C110" s="105" t="str">
        <f t="shared" si="3"/>
        <v>INDU</v>
      </c>
      <c r="D110" s="441" t="s">
        <v>167</v>
      </c>
      <c r="E110" s="441" t="s">
        <v>569</v>
      </c>
      <c r="F110" s="554" t="s">
        <v>1087</v>
      </c>
      <c r="G110" s="555">
        <v>-6231000</v>
      </c>
      <c r="H110" s="555">
        <v>-83578000</v>
      </c>
      <c r="I110" s="555">
        <v>0</v>
      </c>
    </row>
    <row r="111" spans="1:9" ht="15.75" hidden="1">
      <c r="A111" s="106" t="str">
        <f t="shared" si="2"/>
        <v>0010</v>
      </c>
      <c r="B111" s="105" t="s">
        <v>480</v>
      </c>
      <c r="C111" s="105" t="str">
        <f t="shared" si="3"/>
        <v>IRRR</v>
      </c>
      <c r="D111" s="441" t="s">
        <v>169</v>
      </c>
      <c r="E111" s="441" t="s">
        <v>177</v>
      </c>
      <c r="F111" s="554" t="s">
        <v>1093</v>
      </c>
      <c r="G111" s="555">
        <v>13355184.23</v>
      </c>
      <c r="H111" s="555">
        <v>172333230</v>
      </c>
      <c r="I111" s="555">
        <v>3059.5833333333298</v>
      </c>
    </row>
    <row r="112" spans="1:9" ht="15.75" hidden="1">
      <c r="A112" s="106" t="str">
        <f t="shared" si="2"/>
        <v>10NS</v>
      </c>
      <c r="B112" s="105" t="s">
        <v>480</v>
      </c>
      <c r="C112" s="105" t="str">
        <f t="shared" si="3"/>
        <v>IRRR</v>
      </c>
      <c r="D112" s="441" t="s">
        <v>169</v>
      </c>
      <c r="E112" s="441" t="s">
        <v>177</v>
      </c>
      <c r="F112" s="554" t="s">
        <v>186</v>
      </c>
      <c r="G112" s="555">
        <v>2059510.62</v>
      </c>
      <c r="H112" s="555">
        <v>27968472</v>
      </c>
      <c r="I112" s="555">
        <v>297.33333333333297</v>
      </c>
    </row>
    <row r="113" spans="1:9" ht="15.75" hidden="1">
      <c r="A113" s="106" t="str">
        <f t="shared" si="2"/>
        <v>0004</v>
      </c>
      <c r="B113" s="105" t="s">
        <v>481</v>
      </c>
      <c r="C113" s="105" t="str">
        <f t="shared" si="3"/>
        <v>IRRR</v>
      </c>
      <c r="D113" s="441" t="s">
        <v>169</v>
      </c>
      <c r="E113" s="441" t="s">
        <v>177</v>
      </c>
      <c r="F113" s="554" t="s">
        <v>1074</v>
      </c>
      <c r="G113" s="555">
        <v>9815.26</v>
      </c>
      <c r="H113" s="555">
        <v>0</v>
      </c>
      <c r="I113" s="555"/>
    </row>
    <row r="114" spans="1:9" ht="15.75" hidden="1">
      <c r="A114" s="106" t="str">
        <f t="shared" si="2"/>
        <v>0014</v>
      </c>
      <c r="B114" s="105" t="s">
        <v>481</v>
      </c>
      <c r="C114" s="105" t="str">
        <f t="shared" si="3"/>
        <v>IRRR</v>
      </c>
      <c r="D114" s="441" t="s">
        <v>169</v>
      </c>
      <c r="E114" s="441" t="s">
        <v>177</v>
      </c>
      <c r="F114" s="554" t="s">
        <v>1076</v>
      </c>
      <c r="G114" s="555">
        <v>4844.95</v>
      </c>
      <c r="H114" s="555">
        <v>0</v>
      </c>
      <c r="I114" s="555"/>
    </row>
    <row r="115" spans="1:9" ht="15.75" hidden="1">
      <c r="A115" s="106" t="str">
        <f t="shared" si="2"/>
        <v>0017</v>
      </c>
      <c r="B115" s="105" t="s">
        <v>481</v>
      </c>
      <c r="C115" s="105" t="str">
        <f t="shared" si="3"/>
        <v>IRRR</v>
      </c>
      <c r="D115" s="441" t="s">
        <v>169</v>
      </c>
      <c r="E115" s="441" t="s">
        <v>177</v>
      </c>
      <c r="F115" s="554" t="s">
        <v>1077</v>
      </c>
      <c r="G115" s="555">
        <v>165901.21</v>
      </c>
      <c r="H115" s="555">
        <v>0</v>
      </c>
      <c r="I115" s="555"/>
    </row>
    <row r="116" spans="1:9" ht="15.75" hidden="1">
      <c r="A116" s="106" t="str">
        <f t="shared" si="2"/>
        <v>0310</v>
      </c>
      <c r="B116" s="105" t="s">
        <v>481</v>
      </c>
      <c r="C116" s="105" t="str">
        <f t="shared" si="3"/>
        <v>IRRR</v>
      </c>
      <c r="D116" s="441" t="s">
        <v>169</v>
      </c>
      <c r="E116" s="441" t="s">
        <v>177</v>
      </c>
      <c r="F116" s="554" t="s">
        <v>33</v>
      </c>
      <c r="G116" s="555">
        <v>30404.94</v>
      </c>
      <c r="H116" s="555">
        <v>0</v>
      </c>
      <c r="I116" s="555"/>
    </row>
    <row r="117" spans="1:9" ht="15.75" hidden="1">
      <c r="A117" s="106" t="str">
        <f t="shared" si="2"/>
        <v>0311</v>
      </c>
      <c r="B117" s="105" t="s">
        <v>481</v>
      </c>
      <c r="C117" s="105" t="str">
        <f t="shared" si="3"/>
        <v>IRRR</v>
      </c>
      <c r="D117" s="441" t="s">
        <v>169</v>
      </c>
      <c r="E117" s="441" t="s">
        <v>177</v>
      </c>
      <c r="F117" s="554" t="s">
        <v>29</v>
      </c>
      <c r="G117" s="555">
        <v>1162.53</v>
      </c>
      <c r="H117" s="555">
        <v>0</v>
      </c>
      <c r="I117" s="555"/>
    </row>
    <row r="118" spans="1:9" ht="15.75" hidden="1">
      <c r="A118" s="106" t="str">
        <f t="shared" si="2"/>
        <v>0312</v>
      </c>
      <c r="B118" s="105" t="s">
        <v>481</v>
      </c>
      <c r="C118" s="105" t="str">
        <f t="shared" si="3"/>
        <v>IRRR</v>
      </c>
      <c r="D118" s="441" t="s">
        <v>169</v>
      </c>
      <c r="E118" s="441" t="s">
        <v>177</v>
      </c>
      <c r="F118" s="554" t="s">
        <v>347</v>
      </c>
      <c r="G118" s="555">
        <v>11216.72</v>
      </c>
      <c r="H118" s="555">
        <v>0</v>
      </c>
      <c r="I118" s="555"/>
    </row>
    <row r="119" spans="1:9" ht="15.75" hidden="1">
      <c r="A119" s="106" t="str">
        <f t="shared" si="2"/>
        <v>10NS</v>
      </c>
      <c r="B119" s="105" t="s">
        <v>956</v>
      </c>
      <c r="C119" s="105" t="str">
        <f t="shared" si="3"/>
        <v>IRRR</v>
      </c>
      <c r="D119" s="441" t="s">
        <v>169</v>
      </c>
      <c r="E119" s="441" t="s">
        <v>177</v>
      </c>
      <c r="F119" s="554" t="s">
        <v>1094</v>
      </c>
      <c r="G119" s="555">
        <v>22959.74</v>
      </c>
      <c r="H119" s="555">
        <v>245568</v>
      </c>
      <c r="I119" s="555">
        <v>4</v>
      </c>
    </row>
    <row r="120" spans="1:9" ht="15.75" hidden="1">
      <c r="A120" s="106" t="str">
        <f t="shared" si="2"/>
        <v>0135</v>
      </c>
      <c r="B120" s="105" t="s">
        <v>956</v>
      </c>
      <c r="C120" s="105" t="str">
        <f t="shared" si="3"/>
        <v>IRRR</v>
      </c>
      <c r="D120" s="441" t="s">
        <v>169</v>
      </c>
      <c r="E120" s="441" t="s">
        <v>177</v>
      </c>
      <c r="F120" s="554" t="s">
        <v>346</v>
      </c>
      <c r="G120" s="555">
        <v>638005.94999999995</v>
      </c>
      <c r="H120" s="555">
        <v>8071584</v>
      </c>
      <c r="I120" s="555">
        <v>61.5833333333333</v>
      </c>
    </row>
    <row r="121" spans="1:9" ht="15.75" hidden="1">
      <c r="A121" s="106" t="str">
        <f t="shared" si="2"/>
        <v>AACN</v>
      </c>
      <c r="B121" s="105" t="s">
        <v>481</v>
      </c>
      <c r="C121" s="105" t="str">
        <f t="shared" si="3"/>
        <v>IRRR</v>
      </c>
      <c r="D121" s="441" t="s">
        <v>169</v>
      </c>
      <c r="E121" s="441" t="s">
        <v>177</v>
      </c>
      <c r="F121" s="554" t="s">
        <v>1496</v>
      </c>
      <c r="G121" s="555">
        <v>316.47000000000003</v>
      </c>
      <c r="H121" s="555">
        <v>0</v>
      </c>
      <c r="I121" s="555"/>
    </row>
    <row r="122" spans="1:9" ht="15.75" hidden="1">
      <c r="A122" s="106" t="str">
        <f t="shared" si="2"/>
        <v>NAGN</v>
      </c>
      <c r="B122" s="105" t="s">
        <v>481</v>
      </c>
      <c r="C122" s="105" t="str">
        <f t="shared" si="3"/>
        <v>IRRR</v>
      </c>
      <c r="D122" s="441" t="s">
        <v>169</v>
      </c>
      <c r="E122" s="441" t="s">
        <v>177</v>
      </c>
      <c r="F122" s="554" t="s">
        <v>1497</v>
      </c>
      <c r="G122" s="555">
        <v>7960.76</v>
      </c>
      <c r="H122" s="555">
        <v>0</v>
      </c>
      <c r="I122" s="555"/>
    </row>
    <row r="123" spans="1:9" ht="15.75" hidden="1">
      <c r="A123" s="106" t="str">
        <f t="shared" ref="A123:A126" si="4">RIGHT(LEFT(F123,10),4)</f>
        <v>-DSM</v>
      </c>
      <c r="B123" s="105" t="s">
        <v>833</v>
      </c>
      <c r="C123" s="105" t="str">
        <f t="shared" ref="C123:C170" si="5">IF(RIGHT(D123,4)="AUTH","AUT",LEFT(D123,3))&amp;E123</f>
        <v>IRRR</v>
      </c>
      <c r="D123" s="441" t="s">
        <v>169</v>
      </c>
      <c r="E123" s="441" t="s">
        <v>177</v>
      </c>
      <c r="F123" s="554" t="s">
        <v>807</v>
      </c>
      <c r="G123" s="555">
        <v>137780.81</v>
      </c>
      <c r="H123" s="555">
        <v>0</v>
      </c>
      <c r="I123" s="555">
        <v>0</v>
      </c>
    </row>
    <row r="124" spans="1:9" ht="15.75" hidden="1">
      <c r="A124" s="106" t="str">
        <f t="shared" si="4"/>
        <v>-SOL</v>
      </c>
      <c r="B124" s="105" t="s">
        <v>844</v>
      </c>
      <c r="C124" s="105" t="str">
        <f t="shared" si="5"/>
        <v>IRRR</v>
      </c>
      <c r="D124" s="441" t="s">
        <v>169</v>
      </c>
      <c r="E124" s="441" t="s">
        <v>177</v>
      </c>
      <c r="F124" s="554" t="s">
        <v>946</v>
      </c>
      <c r="G124" s="555">
        <v>69789.13</v>
      </c>
      <c r="H124" s="555">
        <v>0</v>
      </c>
      <c r="I124" s="555">
        <v>0</v>
      </c>
    </row>
    <row r="125" spans="1:9" ht="15.75" hidden="1">
      <c r="A125" s="106" t="str">
        <f t="shared" si="4"/>
        <v>-REV</v>
      </c>
      <c r="B125" s="105" t="s">
        <v>834</v>
      </c>
      <c r="C125" s="105" t="str">
        <f t="shared" si="5"/>
        <v>IRRR</v>
      </c>
      <c r="D125" s="441" t="s">
        <v>169</v>
      </c>
      <c r="E125" s="441" t="s">
        <v>177</v>
      </c>
      <c r="F125" s="554" t="s">
        <v>808</v>
      </c>
      <c r="G125" s="555">
        <v>-20172.09</v>
      </c>
      <c r="H125" s="555">
        <v>0</v>
      </c>
      <c r="I125" s="555">
        <v>0</v>
      </c>
    </row>
    <row r="126" spans="1:9" ht="15.75" hidden="1">
      <c r="A126" s="106" t="str">
        <f t="shared" si="4"/>
        <v>ER C</v>
      </c>
      <c r="B126" s="105"/>
      <c r="C126" s="105" t="str">
        <f t="shared" si="5"/>
        <v>IRRR</v>
      </c>
      <c r="D126" s="441" t="s">
        <v>169</v>
      </c>
      <c r="E126" s="441" t="s">
        <v>177</v>
      </c>
      <c r="F126" s="554" t="s">
        <v>1095</v>
      </c>
      <c r="G126" s="555"/>
      <c r="H126" s="555"/>
      <c r="I126" s="555">
        <v>0</v>
      </c>
    </row>
    <row r="127" spans="1:9" ht="15.75" hidden="1">
      <c r="A127" s="106" t="str">
        <f t="shared" ref="A127:A128" si="6">RIGHT(LEFT(F127,10),4)</f>
        <v xml:space="preserve"> TAX</v>
      </c>
      <c r="B127" s="105" t="s">
        <v>1213</v>
      </c>
      <c r="C127" s="105" t="str">
        <f t="shared" si="5"/>
        <v>IRRR</v>
      </c>
      <c r="D127" s="441" t="s">
        <v>169</v>
      </c>
      <c r="E127" s="441" t="s">
        <v>177</v>
      </c>
      <c r="F127" s="554" t="s">
        <v>1190</v>
      </c>
      <c r="G127" s="555">
        <v>2.0000000002255498E-2</v>
      </c>
      <c r="H127" s="555">
        <v>0</v>
      </c>
      <c r="I127" s="555">
        <v>0</v>
      </c>
    </row>
    <row r="128" spans="1:9" ht="15.75" hidden="1">
      <c r="A128" s="106" t="str">
        <f t="shared" si="6"/>
        <v>E_AC</v>
      </c>
      <c r="B128" s="105" t="s">
        <v>832</v>
      </c>
      <c r="C128" s="105" t="str">
        <f t="shared" si="5"/>
        <v>IRRR</v>
      </c>
      <c r="D128" s="441" t="s">
        <v>169</v>
      </c>
      <c r="E128" s="441" t="s">
        <v>177</v>
      </c>
      <c r="F128" s="554" t="s">
        <v>690</v>
      </c>
      <c r="G128" s="555">
        <v>-6271.1</v>
      </c>
      <c r="H128" s="555">
        <v>0</v>
      </c>
      <c r="I128" s="555">
        <v>0</v>
      </c>
    </row>
    <row r="129" spans="1:9" ht="15.75" hidden="1">
      <c r="A129" s="106" t="str">
        <f t="shared" ref="A129:A171" si="7">RIGHT(LEFT(F129,10),4)</f>
        <v>E AD</v>
      </c>
      <c r="B129" s="105" t="s">
        <v>1200</v>
      </c>
      <c r="C129" s="105" t="str">
        <f t="shared" si="5"/>
        <v>IRRR</v>
      </c>
      <c r="D129" s="441" t="s">
        <v>169</v>
      </c>
      <c r="E129" s="441" t="s">
        <v>177</v>
      </c>
      <c r="F129" s="554" t="s">
        <v>800</v>
      </c>
      <c r="G129" s="555">
        <v>91307.73</v>
      </c>
      <c r="H129" s="555">
        <v>0</v>
      </c>
      <c r="I129" s="555">
        <v>0</v>
      </c>
    </row>
    <row r="130" spans="1:9" ht="15.75" hidden="1">
      <c r="A130" s="106" t="str">
        <f t="shared" si="7"/>
        <v>ED R</v>
      </c>
      <c r="B130" s="105" t="s">
        <v>482</v>
      </c>
      <c r="C130" s="105" t="str">
        <f t="shared" si="5"/>
        <v>IRRU</v>
      </c>
      <c r="D130" s="441" t="s">
        <v>169</v>
      </c>
      <c r="E130" s="441" t="s">
        <v>569</v>
      </c>
      <c r="F130" s="554" t="s">
        <v>1096</v>
      </c>
      <c r="G130" s="555">
        <v>24000</v>
      </c>
      <c r="H130" s="555">
        <v>393000</v>
      </c>
      <c r="I130" s="555">
        <v>0</v>
      </c>
    </row>
    <row r="131" spans="1:9" ht="15.75" hidden="1">
      <c r="A131" s="106" t="str">
        <f t="shared" si="7"/>
        <v>0012</v>
      </c>
      <c r="B131" s="105" t="s">
        <v>65</v>
      </c>
      <c r="C131" s="105" t="str">
        <f t="shared" si="5"/>
        <v>PUBR</v>
      </c>
      <c r="D131" s="441" t="s">
        <v>171</v>
      </c>
      <c r="E131" s="441" t="s">
        <v>177</v>
      </c>
      <c r="F131" s="554" t="s">
        <v>1097</v>
      </c>
      <c r="G131" s="555">
        <v>53.88</v>
      </c>
      <c r="H131" s="555">
        <v>0</v>
      </c>
      <c r="I131" s="555"/>
    </row>
    <row r="132" spans="1:9" ht="15.75" hidden="1">
      <c r="A132" s="106" t="str">
        <f t="shared" si="7"/>
        <v>0051</v>
      </c>
      <c r="B132" s="105" t="s">
        <v>65</v>
      </c>
      <c r="C132" s="105" t="str">
        <f t="shared" si="5"/>
        <v>PUBR</v>
      </c>
      <c r="D132" s="441" t="s">
        <v>171</v>
      </c>
      <c r="E132" s="441" t="s">
        <v>177</v>
      </c>
      <c r="F132" s="554" t="s">
        <v>1059</v>
      </c>
      <c r="G132" s="555">
        <v>4528.5600000000004</v>
      </c>
      <c r="H132" s="555">
        <v>0</v>
      </c>
      <c r="I132" s="555"/>
    </row>
    <row r="133" spans="1:9" ht="15.75" hidden="1">
      <c r="A133" s="106" t="str">
        <f t="shared" si="7"/>
        <v>0062</v>
      </c>
      <c r="B133" s="105" t="s">
        <v>65</v>
      </c>
      <c r="C133" s="105" t="str">
        <f t="shared" si="5"/>
        <v>PUBR</v>
      </c>
      <c r="D133" s="441" t="s">
        <v>171</v>
      </c>
      <c r="E133" s="441" t="s">
        <v>177</v>
      </c>
      <c r="F133" s="554" t="s">
        <v>1098</v>
      </c>
      <c r="G133" s="555">
        <v>72.599999999999994</v>
      </c>
      <c r="H133" s="555">
        <v>0</v>
      </c>
      <c r="I133" s="555"/>
    </row>
    <row r="134" spans="1:9" ht="15.75" hidden="1">
      <c r="A134" s="106" t="str">
        <f t="shared" si="7"/>
        <v>0015</v>
      </c>
      <c r="B134" s="105" t="s">
        <v>652</v>
      </c>
      <c r="C134" s="105" t="str">
        <f t="shared" si="5"/>
        <v>PUBR</v>
      </c>
      <c r="D134" s="441" t="s">
        <v>171</v>
      </c>
      <c r="E134" s="441" t="s">
        <v>177</v>
      </c>
      <c r="F134" s="554" t="s">
        <v>475</v>
      </c>
      <c r="G134" s="555">
        <v>68635.67</v>
      </c>
      <c r="H134" s="555">
        <v>848753</v>
      </c>
      <c r="I134" s="555">
        <v>94.8333333333333</v>
      </c>
    </row>
    <row r="135" spans="1:9" ht="15.75" hidden="1">
      <c r="A135" s="106" t="str">
        <f t="shared" si="7"/>
        <v>007N</v>
      </c>
      <c r="B135" s="105" t="s">
        <v>66</v>
      </c>
      <c r="C135" s="105" t="str">
        <f t="shared" si="5"/>
        <v>PUBR</v>
      </c>
      <c r="D135" s="441" t="s">
        <v>171</v>
      </c>
      <c r="E135" s="441" t="s">
        <v>177</v>
      </c>
      <c r="F135" s="554" t="s">
        <v>1079</v>
      </c>
      <c r="G135" s="555">
        <v>93721.74</v>
      </c>
      <c r="H135" s="555">
        <v>362799</v>
      </c>
      <c r="I135" s="555">
        <v>193.916666666667</v>
      </c>
    </row>
    <row r="136" spans="1:9" ht="15.75" hidden="1">
      <c r="A136" s="106" t="str">
        <f t="shared" si="7"/>
        <v>0011</v>
      </c>
      <c r="B136" s="105" t="s">
        <v>67</v>
      </c>
      <c r="C136" s="105" t="str">
        <f t="shared" si="5"/>
        <v>PUBR</v>
      </c>
      <c r="D136" s="441" t="s">
        <v>171</v>
      </c>
      <c r="E136" s="441" t="s">
        <v>177</v>
      </c>
      <c r="F136" s="554" t="s">
        <v>1099</v>
      </c>
      <c r="G136" s="555">
        <v>4076143.35</v>
      </c>
      <c r="H136" s="555">
        <v>13486873</v>
      </c>
      <c r="I136" s="555">
        <v>717.16666666666697</v>
      </c>
    </row>
    <row r="137" spans="1:9" ht="15.75" hidden="1">
      <c r="A137" s="106" t="str">
        <f t="shared" si="7"/>
        <v>012E</v>
      </c>
      <c r="B137" s="105" t="s">
        <v>655</v>
      </c>
      <c r="C137" s="105" t="str">
        <f t="shared" si="5"/>
        <v>PUBR</v>
      </c>
      <c r="D137" s="441" t="s">
        <v>171</v>
      </c>
      <c r="E137" s="441" t="s">
        <v>177</v>
      </c>
      <c r="F137" s="554" t="s">
        <v>479</v>
      </c>
      <c r="G137" s="555">
        <v>2642631.15</v>
      </c>
      <c r="H137" s="555">
        <v>41473261</v>
      </c>
      <c r="I137" s="555">
        <v>1005.41666666667</v>
      </c>
    </row>
    <row r="138" spans="1:9" ht="15.75" hidden="1">
      <c r="A138" s="106" t="str">
        <f t="shared" si="7"/>
        <v>012F</v>
      </c>
      <c r="B138" s="105" t="s">
        <v>654</v>
      </c>
      <c r="C138" s="105" t="str">
        <f t="shared" si="5"/>
        <v>PUBR</v>
      </c>
      <c r="D138" s="441" t="s">
        <v>171</v>
      </c>
      <c r="E138" s="441" t="s">
        <v>177</v>
      </c>
      <c r="F138" s="554" t="s">
        <v>478</v>
      </c>
      <c r="G138" s="555">
        <v>126854.46</v>
      </c>
      <c r="H138" s="555">
        <v>950724</v>
      </c>
      <c r="I138" s="555">
        <v>67</v>
      </c>
    </row>
    <row r="139" spans="1:9" ht="15.75" hidden="1">
      <c r="A139" s="106" t="str">
        <f t="shared" si="7"/>
        <v>012P</v>
      </c>
      <c r="B139" s="105" t="s">
        <v>653</v>
      </c>
      <c r="C139" s="105" t="str">
        <f t="shared" si="5"/>
        <v>PUBR</v>
      </c>
      <c r="D139" s="441" t="s">
        <v>171</v>
      </c>
      <c r="E139" s="441" t="s">
        <v>177</v>
      </c>
      <c r="F139" s="554" t="s">
        <v>477</v>
      </c>
      <c r="G139" s="555">
        <v>374185.08</v>
      </c>
      <c r="H139" s="555">
        <v>3021383</v>
      </c>
      <c r="I139" s="555">
        <v>169.5</v>
      </c>
    </row>
    <row r="140" spans="1:9" ht="15.75" hidden="1">
      <c r="A140" s="106" t="str">
        <f t="shared" si="7"/>
        <v>0015</v>
      </c>
      <c r="B140" s="105" t="s">
        <v>651</v>
      </c>
      <c r="C140" s="105" t="str">
        <f t="shared" si="5"/>
        <v>PUBR</v>
      </c>
      <c r="D140" s="441" t="s">
        <v>171</v>
      </c>
      <c r="E140" s="441" t="s">
        <v>177</v>
      </c>
      <c r="F140" s="554" t="s">
        <v>474</v>
      </c>
      <c r="G140" s="555">
        <v>349126.85</v>
      </c>
      <c r="H140" s="555">
        <v>3137569</v>
      </c>
      <c r="I140" s="555">
        <v>1477.9166666666699</v>
      </c>
    </row>
    <row r="141" spans="1:9" ht="15.75" hidden="1">
      <c r="A141" s="106" t="str">
        <f t="shared" si="7"/>
        <v>015F</v>
      </c>
      <c r="B141" s="105" t="s">
        <v>651</v>
      </c>
      <c r="C141" s="105" t="str">
        <f t="shared" si="5"/>
        <v>PUBR</v>
      </c>
      <c r="D141" s="441" t="s">
        <v>171</v>
      </c>
      <c r="E141" s="441" t="s">
        <v>177</v>
      </c>
      <c r="F141" s="554" t="s">
        <v>476</v>
      </c>
      <c r="G141" s="555">
        <v>101247.91</v>
      </c>
      <c r="H141" s="555">
        <v>1151082</v>
      </c>
      <c r="I141" s="555">
        <v>121</v>
      </c>
    </row>
    <row r="142" spans="1:9" ht="15.75" hidden="1">
      <c r="A142" s="106" t="str">
        <f t="shared" si="7"/>
        <v>-DSM</v>
      </c>
      <c r="B142" s="105" t="s">
        <v>836</v>
      </c>
      <c r="C142" s="105" t="str">
        <f t="shared" si="5"/>
        <v>PUBR</v>
      </c>
      <c r="D142" s="441" t="s">
        <v>171</v>
      </c>
      <c r="E142" s="441" t="s">
        <v>177</v>
      </c>
      <c r="F142" s="554" t="s">
        <v>809</v>
      </c>
      <c r="G142" s="555">
        <v>35258.03</v>
      </c>
      <c r="H142" s="555">
        <v>0</v>
      </c>
      <c r="I142" s="555">
        <v>0</v>
      </c>
    </row>
    <row r="143" spans="1:9" ht="15.75" hidden="1">
      <c r="A143" s="106" t="str">
        <f t="shared" si="7"/>
        <v>-SOL</v>
      </c>
      <c r="B143" s="105" t="s">
        <v>845</v>
      </c>
      <c r="C143" s="105" t="str">
        <f t="shared" si="5"/>
        <v>PUBR</v>
      </c>
      <c r="D143" s="441" t="s">
        <v>171</v>
      </c>
      <c r="E143" s="441" t="s">
        <v>177</v>
      </c>
      <c r="F143" s="554" t="s">
        <v>946</v>
      </c>
      <c r="G143" s="555">
        <v>17840.13</v>
      </c>
      <c r="H143" s="555">
        <v>0</v>
      </c>
      <c r="I143" s="555">
        <v>0</v>
      </c>
    </row>
    <row r="144" spans="1:9" ht="15.75" hidden="1">
      <c r="A144" s="106" t="str">
        <f t="shared" si="7"/>
        <v>ER C</v>
      </c>
      <c r="B144" s="105"/>
      <c r="C144" s="105" t="str">
        <f t="shared" si="5"/>
        <v>PUBR</v>
      </c>
      <c r="D144" s="441" t="s">
        <v>171</v>
      </c>
      <c r="E144" s="441" t="s">
        <v>177</v>
      </c>
      <c r="F144" s="554" t="s">
        <v>1086</v>
      </c>
      <c r="G144" s="555"/>
      <c r="H144" s="555"/>
      <c r="I144" s="555">
        <v>0</v>
      </c>
    </row>
    <row r="145" spans="1:9" ht="15.75" hidden="1">
      <c r="A145" s="106" t="str">
        <f t="shared" si="7"/>
        <v xml:space="preserve"> TAX</v>
      </c>
      <c r="B145" s="105" t="s">
        <v>1201</v>
      </c>
      <c r="C145" s="105" t="str">
        <f t="shared" si="5"/>
        <v>PUBR</v>
      </c>
      <c r="D145" s="441" t="s">
        <v>171</v>
      </c>
      <c r="E145" s="441" t="s">
        <v>177</v>
      </c>
      <c r="F145" s="554" t="s">
        <v>1190</v>
      </c>
      <c r="G145" s="555">
        <v>1.00000000018099E-2</v>
      </c>
      <c r="H145" s="555">
        <v>0</v>
      </c>
      <c r="I145" s="555">
        <v>0</v>
      </c>
    </row>
    <row r="146" spans="1:9" ht="15.75" hidden="1">
      <c r="A146" s="106" t="str">
        <f t="shared" si="7"/>
        <v>E_AC</v>
      </c>
      <c r="B146" s="105" t="s">
        <v>835</v>
      </c>
      <c r="C146" s="105" t="str">
        <f t="shared" si="5"/>
        <v>PUBR</v>
      </c>
      <c r="D146" s="441" t="s">
        <v>171</v>
      </c>
      <c r="E146" s="441" t="s">
        <v>177</v>
      </c>
      <c r="F146" s="554" t="s">
        <v>690</v>
      </c>
      <c r="G146" s="555">
        <v>-21685.81</v>
      </c>
      <c r="H146" s="555">
        <v>0</v>
      </c>
      <c r="I146" s="555">
        <v>0</v>
      </c>
    </row>
    <row r="147" spans="1:9" ht="15.75" hidden="1">
      <c r="A147" s="106" t="str">
        <f t="shared" si="7"/>
        <v>E AD</v>
      </c>
      <c r="B147" s="105" t="s">
        <v>1202</v>
      </c>
      <c r="C147" s="105" t="str">
        <f t="shared" si="5"/>
        <v>PUBR</v>
      </c>
      <c r="D147" s="441" t="s">
        <v>171</v>
      </c>
      <c r="E147" s="441" t="s">
        <v>177</v>
      </c>
      <c r="F147" s="554" t="s">
        <v>800</v>
      </c>
      <c r="G147" s="555">
        <v>23340.89</v>
      </c>
      <c r="H147" s="555">
        <v>0</v>
      </c>
      <c r="I147" s="555">
        <v>0</v>
      </c>
    </row>
    <row r="148" spans="1:9" ht="15.75" hidden="1">
      <c r="A148" s="106" t="str">
        <f t="shared" si="7"/>
        <v>ED R</v>
      </c>
      <c r="B148" s="105" t="s">
        <v>656</v>
      </c>
      <c r="C148" s="105" t="str">
        <f t="shared" si="5"/>
        <v>PUBU</v>
      </c>
      <c r="D148" s="441" t="s">
        <v>171</v>
      </c>
      <c r="E148" s="441" t="s">
        <v>569</v>
      </c>
      <c r="F148" s="554" t="s">
        <v>1087</v>
      </c>
      <c r="G148" s="555">
        <v>-276000</v>
      </c>
      <c r="H148" s="555">
        <v>-2392000</v>
      </c>
      <c r="I148" s="555">
        <v>0</v>
      </c>
    </row>
    <row r="149" spans="1:9" ht="15.75">
      <c r="A149" s="106" t="str">
        <f t="shared" si="7"/>
        <v>Y01R</v>
      </c>
      <c r="B149" s="105" t="s">
        <v>840</v>
      </c>
      <c r="C149" s="105" t="str">
        <f t="shared" si="5"/>
        <v>RESR</v>
      </c>
      <c r="D149" s="441" t="s">
        <v>172</v>
      </c>
      <c r="E149" s="441" t="s">
        <v>177</v>
      </c>
      <c r="F149" s="554" t="s">
        <v>1100</v>
      </c>
      <c r="G149" s="555">
        <v>-2.84</v>
      </c>
      <c r="H149" s="555">
        <v>0</v>
      </c>
      <c r="I149" s="555"/>
    </row>
    <row r="150" spans="1:9" ht="15.75">
      <c r="A150" s="106" t="str">
        <f t="shared" ref="A150:A158" si="8">RIGHT(LEFT(F150,10),4)</f>
        <v>0001</v>
      </c>
      <c r="B150" s="105" t="s">
        <v>657</v>
      </c>
      <c r="C150" s="105" t="str">
        <f t="shared" ref="C150:C153" si="9">IF(RIGHT(D150,4)="AUTH","AUT",LEFT(D150,3))&amp;E150</f>
        <v>RESR</v>
      </c>
      <c r="D150" s="441" t="s">
        <v>172</v>
      </c>
      <c r="E150" s="441" t="s">
        <v>177</v>
      </c>
      <c r="F150" s="554" t="s">
        <v>1101</v>
      </c>
      <c r="G150" s="555">
        <v>713.31</v>
      </c>
      <c r="H150" s="555">
        <v>0</v>
      </c>
      <c r="I150" s="555"/>
    </row>
    <row r="151" spans="1:9" ht="15.75">
      <c r="A151" s="106" t="str">
        <f t="shared" si="8"/>
        <v>R136</v>
      </c>
      <c r="B151" s="105" t="s">
        <v>1203</v>
      </c>
      <c r="C151" s="105" t="str">
        <f t="shared" si="9"/>
        <v>RESR</v>
      </c>
      <c r="D151" s="441" t="s">
        <v>172</v>
      </c>
      <c r="E151" s="441" t="s">
        <v>177</v>
      </c>
      <c r="F151" s="554" t="s">
        <v>1191</v>
      </c>
      <c r="G151" s="555">
        <v>23240.799999999999</v>
      </c>
      <c r="H151" s="555">
        <v>209295</v>
      </c>
      <c r="I151" s="555">
        <v>26.4166666666667</v>
      </c>
    </row>
    <row r="152" spans="1:9" ht="15.75">
      <c r="A152" s="106" t="str">
        <f t="shared" si="8"/>
        <v>1136</v>
      </c>
      <c r="B152" s="105" t="s">
        <v>1203</v>
      </c>
      <c r="C152" s="105" t="str">
        <f t="shared" si="9"/>
        <v>RESR</v>
      </c>
      <c r="D152" s="441" t="s">
        <v>172</v>
      </c>
      <c r="E152" s="441" t="s">
        <v>177</v>
      </c>
      <c r="F152" s="554" t="s">
        <v>1192</v>
      </c>
      <c r="G152" s="555">
        <v>3917391.97</v>
      </c>
      <c r="H152" s="555">
        <v>36355669</v>
      </c>
      <c r="I152" s="555">
        <v>5026.5</v>
      </c>
    </row>
    <row r="153" spans="1:9" ht="15.75">
      <c r="A153" s="106" t="str">
        <f t="shared" si="8"/>
        <v>2136</v>
      </c>
      <c r="B153" s="105" t="s">
        <v>1203</v>
      </c>
      <c r="C153" s="105" t="str">
        <f t="shared" si="9"/>
        <v>RESR</v>
      </c>
      <c r="D153" s="441" t="s">
        <v>172</v>
      </c>
      <c r="E153" s="441" t="s">
        <v>177</v>
      </c>
      <c r="F153" s="554" t="s">
        <v>1193</v>
      </c>
      <c r="G153" s="555">
        <v>2232.36</v>
      </c>
      <c r="H153" s="555">
        <v>21200</v>
      </c>
      <c r="I153" s="555">
        <v>3.75</v>
      </c>
    </row>
    <row r="154" spans="1:9" ht="15.75">
      <c r="A154" s="106" t="str">
        <f t="shared" si="8"/>
        <v>3136</v>
      </c>
      <c r="B154" s="105" t="s">
        <v>1203</v>
      </c>
      <c r="C154" s="105" t="str">
        <f t="shared" ref="C154:C158" si="10">IF(RIGHT(D154,4)="AUTH","AUT",LEFT(D154,3))&amp;E154</f>
        <v>RESR</v>
      </c>
      <c r="D154" s="441" t="s">
        <v>172</v>
      </c>
      <c r="E154" s="441" t="s">
        <v>177</v>
      </c>
      <c r="F154" s="554" t="s">
        <v>1194</v>
      </c>
      <c r="G154" s="555">
        <v>27466.11</v>
      </c>
      <c r="H154" s="555">
        <v>257058</v>
      </c>
      <c r="I154" s="555">
        <v>34.25</v>
      </c>
    </row>
    <row r="155" spans="1:9" ht="15.75">
      <c r="A155" s="106" t="str">
        <f t="shared" si="8"/>
        <v>3136</v>
      </c>
      <c r="B155" s="105" t="s">
        <v>1204</v>
      </c>
      <c r="C155" s="105" t="str">
        <f t="shared" si="10"/>
        <v>RESR</v>
      </c>
      <c r="D155" s="441" t="s">
        <v>172</v>
      </c>
      <c r="E155" s="441" t="s">
        <v>177</v>
      </c>
      <c r="F155" s="554" t="s">
        <v>1195</v>
      </c>
      <c r="G155" s="555">
        <v>9794.9</v>
      </c>
      <c r="H155" s="555">
        <v>116927</v>
      </c>
      <c r="I155" s="555">
        <v>2.8333333333333299</v>
      </c>
    </row>
    <row r="156" spans="1:9" ht="15.75">
      <c r="A156" s="106" t="str">
        <f t="shared" si="8"/>
        <v>000R</v>
      </c>
      <c r="B156" s="105" t="s">
        <v>657</v>
      </c>
      <c r="C156" s="105" t="str">
        <f t="shared" si="10"/>
        <v>RESR</v>
      </c>
      <c r="D156" s="441" t="s">
        <v>172</v>
      </c>
      <c r="E156" s="441" t="s">
        <v>177</v>
      </c>
      <c r="F156" s="554" t="s">
        <v>1102</v>
      </c>
      <c r="G156" s="555"/>
      <c r="H156" s="555"/>
      <c r="I156" s="555">
        <v>1</v>
      </c>
    </row>
    <row r="157" spans="1:9" ht="15.75">
      <c r="A157" s="106" t="str">
        <f t="shared" si="8"/>
        <v>KPRR</v>
      </c>
      <c r="B157" s="105" t="s">
        <v>657</v>
      </c>
      <c r="C157" s="105" t="str">
        <f t="shared" si="10"/>
        <v>RESR</v>
      </c>
      <c r="D157" s="441" t="s">
        <v>172</v>
      </c>
      <c r="E157" s="441" t="s">
        <v>177</v>
      </c>
      <c r="F157" s="554" t="s">
        <v>179</v>
      </c>
      <c r="G157" s="555">
        <v>1572.9300000000601</v>
      </c>
      <c r="H157" s="555">
        <v>0</v>
      </c>
      <c r="I157" s="555">
        <v>99763.083333333299</v>
      </c>
    </row>
    <row r="158" spans="1:9" ht="15.75">
      <c r="A158" s="106" t="str">
        <f t="shared" si="8"/>
        <v>0001</v>
      </c>
      <c r="B158" s="105" t="s">
        <v>657</v>
      </c>
      <c r="C158" s="105" t="str">
        <f t="shared" si="10"/>
        <v>RESR</v>
      </c>
      <c r="D158" s="441" t="s">
        <v>172</v>
      </c>
      <c r="E158" s="441" t="s">
        <v>177</v>
      </c>
      <c r="F158" s="554" t="s">
        <v>1103</v>
      </c>
      <c r="G158" s="555">
        <v>2895.26</v>
      </c>
      <c r="H158" s="555">
        <v>0</v>
      </c>
      <c r="I158" s="555"/>
    </row>
    <row r="159" spans="1:9" ht="15.75">
      <c r="A159" s="106" t="str">
        <f t="shared" si="7"/>
        <v>0005</v>
      </c>
      <c r="B159" s="105" t="s">
        <v>657</v>
      </c>
      <c r="C159" s="105" t="str">
        <f t="shared" si="5"/>
        <v>RESR</v>
      </c>
      <c r="D159" s="441" t="s">
        <v>172</v>
      </c>
      <c r="E159" s="441" t="s">
        <v>177</v>
      </c>
      <c r="F159" s="554" t="s">
        <v>1104</v>
      </c>
      <c r="G159" s="555">
        <v>396.48</v>
      </c>
      <c r="H159" s="555">
        <v>0</v>
      </c>
      <c r="I159" s="555"/>
    </row>
    <row r="160" spans="1:9" ht="15.75">
      <c r="A160" s="106" t="str">
        <f t="shared" si="7"/>
        <v>0013</v>
      </c>
      <c r="B160" s="105" t="s">
        <v>657</v>
      </c>
      <c r="C160" s="105" t="str">
        <f t="shared" si="5"/>
        <v>RESR</v>
      </c>
      <c r="D160" s="441" t="s">
        <v>172</v>
      </c>
      <c r="E160" s="441" t="s">
        <v>177</v>
      </c>
      <c r="F160" s="554" t="s">
        <v>1105</v>
      </c>
      <c r="G160" s="555">
        <v>27114.81</v>
      </c>
      <c r="H160" s="555">
        <v>0</v>
      </c>
      <c r="I160" s="555"/>
    </row>
    <row r="161" spans="1:9" ht="15.75">
      <c r="A161" s="106" t="str">
        <f t="shared" si="7"/>
        <v>0108</v>
      </c>
      <c r="B161" s="105" t="s">
        <v>657</v>
      </c>
      <c r="C161" s="105" t="str">
        <f t="shared" si="5"/>
        <v>RESR</v>
      </c>
      <c r="D161" s="441" t="s">
        <v>172</v>
      </c>
      <c r="E161" s="441" t="s">
        <v>177</v>
      </c>
      <c r="F161" s="554" t="s">
        <v>1106</v>
      </c>
      <c r="G161" s="555">
        <v>1656.48</v>
      </c>
      <c r="H161" s="555">
        <v>0</v>
      </c>
      <c r="I161" s="816"/>
    </row>
    <row r="162" spans="1:9" ht="15.75">
      <c r="A162" s="106" t="str">
        <f t="shared" si="7"/>
        <v>0006</v>
      </c>
      <c r="B162" s="106" t="s">
        <v>851</v>
      </c>
      <c r="C162" s="105" t="str">
        <f t="shared" si="5"/>
        <v>RESR</v>
      </c>
      <c r="D162" s="441" t="s">
        <v>172</v>
      </c>
      <c r="E162" s="441" t="s">
        <v>177</v>
      </c>
      <c r="F162" s="554" t="s">
        <v>813</v>
      </c>
      <c r="G162" s="555">
        <v>857261</v>
      </c>
      <c r="H162" s="555">
        <v>11618163</v>
      </c>
      <c r="I162" s="816">
        <v>8.0833333333333304</v>
      </c>
    </row>
    <row r="163" spans="1:9" ht="15.75">
      <c r="A163" s="106" t="str">
        <f t="shared" si="7"/>
        <v>0023</v>
      </c>
      <c r="B163" s="105" t="s">
        <v>850</v>
      </c>
      <c r="C163" s="105" t="str">
        <f t="shared" si="5"/>
        <v>RESR</v>
      </c>
      <c r="D163" s="441" t="s">
        <v>172</v>
      </c>
      <c r="E163" s="441" t="s">
        <v>177</v>
      </c>
      <c r="F163" s="554" t="s">
        <v>814</v>
      </c>
      <c r="G163" s="555">
        <v>8825.64</v>
      </c>
      <c r="H163" s="555">
        <v>114040</v>
      </c>
      <c r="I163" s="816">
        <v>1</v>
      </c>
    </row>
    <row r="164" spans="1:9" ht="15.75">
      <c r="A164" s="106" t="str">
        <f t="shared" si="7"/>
        <v>T135</v>
      </c>
      <c r="B164" s="105" t="s">
        <v>662</v>
      </c>
      <c r="C164" s="105" t="str">
        <f t="shared" si="5"/>
        <v>RESR</v>
      </c>
      <c r="D164" s="441" t="s">
        <v>172</v>
      </c>
      <c r="E164" s="441" t="s">
        <v>177</v>
      </c>
      <c r="F164" s="554" t="s">
        <v>178</v>
      </c>
      <c r="G164" s="555">
        <v>13815643.42</v>
      </c>
      <c r="H164" s="555">
        <v>117500217</v>
      </c>
      <c r="I164" s="816">
        <v>29675.916666666701</v>
      </c>
    </row>
    <row r="165" spans="1:9" ht="15.75">
      <c r="A165" s="106" t="str">
        <f t="shared" si="7"/>
        <v>3135</v>
      </c>
      <c r="B165" s="105" t="s">
        <v>662</v>
      </c>
      <c r="C165" s="105" t="str">
        <f t="shared" si="5"/>
        <v>RESR</v>
      </c>
      <c r="D165" s="441" t="s">
        <v>172</v>
      </c>
      <c r="E165" s="441" t="s">
        <v>177</v>
      </c>
      <c r="F165" s="554" t="s">
        <v>1107</v>
      </c>
      <c r="G165" s="555">
        <v>119182.15</v>
      </c>
      <c r="H165" s="555">
        <v>1102483</v>
      </c>
      <c r="I165" s="816">
        <v>193.083333333333</v>
      </c>
    </row>
    <row r="166" spans="1:9" ht="15.75">
      <c r="A166" s="106" t="str">
        <f t="shared" si="7"/>
        <v>007R</v>
      </c>
      <c r="B166" s="106" t="s">
        <v>658</v>
      </c>
      <c r="C166" s="105" t="str">
        <f t="shared" si="5"/>
        <v>RESR</v>
      </c>
      <c r="D166" s="441" t="s">
        <v>172</v>
      </c>
      <c r="E166" s="441" t="s">
        <v>177</v>
      </c>
      <c r="F166" s="554" t="s">
        <v>1108</v>
      </c>
      <c r="G166" s="555">
        <v>625707.6</v>
      </c>
      <c r="H166" s="555">
        <v>2253162</v>
      </c>
      <c r="I166" s="816">
        <v>2277.3333333333298</v>
      </c>
    </row>
    <row r="167" spans="1:9" ht="15.75">
      <c r="A167" s="106" t="str">
        <f t="shared" si="7"/>
        <v>000R</v>
      </c>
      <c r="B167" s="106" t="s">
        <v>1120</v>
      </c>
      <c r="C167" s="105" t="str">
        <f t="shared" si="5"/>
        <v>RESR</v>
      </c>
      <c r="D167" s="441" t="s">
        <v>172</v>
      </c>
      <c r="E167" s="441" t="s">
        <v>177</v>
      </c>
      <c r="F167" s="554" t="s">
        <v>1109</v>
      </c>
      <c r="G167" s="555">
        <v>104.64</v>
      </c>
      <c r="H167" s="555">
        <v>1392</v>
      </c>
      <c r="I167" s="816">
        <v>2</v>
      </c>
    </row>
    <row r="168" spans="1:9" ht="15.75">
      <c r="A168" s="106" t="str">
        <f t="shared" si="7"/>
        <v>3136</v>
      </c>
      <c r="B168" s="106" t="s">
        <v>1204</v>
      </c>
      <c r="C168" s="105" t="str">
        <f t="shared" si="5"/>
        <v>RESR</v>
      </c>
      <c r="D168" s="441" t="s">
        <v>172</v>
      </c>
      <c r="E168" s="441" t="s">
        <v>177</v>
      </c>
      <c r="F168" s="554" t="s">
        <v>1196</v>
      </c>
      <c r="G168" s="555">
        <v>3374.46</v>
      </c>
      <c r="H168" s="555">
        <v>27606</v>
      </c>
      <c r="I168" s="816">
        <v>4.8333333333333304</v>
      </c>
    </row>
    <row r="169" spans="1:9" ht="15.75">
      <c r="A169" s="106" t="str">
        <f t="shared" si="7"/>
        <v>0001</v>
      </c>
      <c r="B169" s="106" t="s">
        <v>659</v>
      </c>
      <c r="C169" s="105" t="str">
        <f t="shared" si="5"/>
        <v>RESR</v>
      </c>
      <c r="D169" s="441" t="s">
        <v>172</v>
      </c>
      <c r="E169" s="441" t="s">
        <v>177</v>
      </c>
      <c r="F169" s="554" t="s">
        <v>1110</v>
      </c>
      <c r="G169" s="555">
        <v>695965278.07000005</v>
      </c>
      <c r="H169" s="555">
        <v>6510291762</v>
      </c>
      <c r="I169" s="816">
        <v>767738.5</v>
      </c>
    </row>
    <row r="170" spans="1:9" ht="15.75">
      <c r="A170" s="106" t="str">
        <f t="shared" si="7"/>
        <v>0002</v>
      </c>
      <c r="B170" s="106" t="s">
        <v>660</v>
      </c>
      <c r="C170" s="105" t="str">
        <f t="shared" si="5"/>
        <v>RESR</v>
      </c>
      <c r="D170" s="441" t="s">
        <v>172</v>
      </c>
      <c r="E170" s="441" t="s">
        <v>177</v>
      </c>
      <c r="F170" s="554" t="s">
        <v>1111</v>
      </c>
      <c r="G170" s="555">
        <v>323128.2</v>
      </c>
      <c r="H170" s="555">
        <v>3071091</v>
      </c>
      <c r="I170" s="816">
        <v>384.58333333333297</v>
      </c>
    </row>
    <row r="171" spans="1:9" ht="15.75">
      <c r="A171" s="106" t="str">
        <f t="shared" si="7"/>
        <v>0003</v>
      </c>
      <c r="B171" s="106" t="s">
        <v>661</v>
      </c>
      <c r="C171" s="105" t="str">
        <f>IF(RIGHT(D171,4)="AUTH","AUT",LEFT(D171,3))&amp;E171</f>
        <v>RESR</v>
      </c>
      <c r="D171" s="441" t="s">
        <v>172</v>
      </c>
      <c r="E171" s="441" t="s">
        <v>177</v>
      </c>
      <c r="F171" s="554" t="s">
        <v>1112</v>
      </c>
      <c r="G171" s="555">
        <v>16009140.449999999</v>
      </c>
      <c r="H171" s="555">
        <v>152215576</v>
      </c>
      <c r="I171" s="816">
        <v>21008.583333333299</v>
      </c>
    </row>
    <row r="172" spans="1:9" ht="15.75">
      <c r="A172" s="106" t="str">
        <f t="shared" ref="A172:A185" si="11">RIGHT(LEFT(F172,10),4)</f>
        <v>002E</v>
      </c>
      <c r="B172" s="105" t="s">
        <v>1121</v>
      </c>
      <c r="C172" s="105" t="str">
        <f t="shared" ref="C172:C185" si="12">IF(RIGHT(D172,4)="AUTH","AUT",LEFT(D172,3))&amp;E172</f>
        <v>RESR</v>
      </c>
      <c r="D172" s="441" t="s">
        <v>172</v>
      </c>
      <c r="E172" s="441" t="s">
        <v>177</v>
      </c>
      <c r="F172" s="441" t="s">
        <v>1113</v>
      </c>
      <c r="G172" s="555">
        <v>342218.06</v>
      </c>
      <c r="H172" s="555">
        <v>4043370</v>
      </c>
      <c r="I172" s="555">
        <v>284.75</v>
      </c>
    </row>
    <row r="173" spans="1:9" ht="15.75">
      <c r="A173" s="106" t="str">
        <f t="shared" si="11"/>
        <v>1999</v>
      </c>
      <c r="B173" s="106" t="s">
        <v>657</v>
      </c>
      <c r="C173" s="105" t="str">
        <f t="shared" si="12"/>
        <v>RESR</v>
      </c>
      <c r="D173" s="441" t="s">
        <v>172</v>
      </c>
      <c r="E173" s="441" t="s">
        <v>177</v>
      </c>
      <c r="F173" s="441" t="s">
        <v>1498</v>
      </c>
      <c r="G173" s="555">
        <v>0</v>
      </c>
      <c r="H173" s="555">
        <v>0</v>
      </c>
      <c r="I173" s="555">
        <v>0</v>
      </c>
    </row>
    <row r="174" spans="1:9" ht="15.75">
      <c r="A174" s="106" t="str">
        <f t="shared" si="11"/>
        <v>V006</v>
      </c>
      <c r="B174" s="106" t="s">
        <v>851</v>
      </c>
      <c r="C174" s="105" t="str">
        <f t="shared" si="12"/>
        <v>RESR</v>
      </c>
      <c r="D174" s="441" t="s">
        <v>172</v>
      </c>
      <c r="E174" s="441" t="s">
        <v>177</v>
      </c>
      <c r="F174" s="441" t="s">
        <v>815</v>
      </c>
      <c r="G174" s="555">
        <v>9226907.7400000002</v>
      </c>
      <c r="H174" s="555">
        <v>124272602</v>
      </c>
      <c r="I174" s="555">
        <v>288.75</v>
      </c>
    </row>
    <row r="175" spans="1:9" ht="15.75">
      <c r="A175" s="106" t="str">
        <f t="shared" si="11"/>
        <v>V008</v>
      </c>
      <c r="B175" s="106" t="s">
        <v>1205</v>
      </c>
      <c r="C175" s="105" t="str">
        <f t="shared" si="12"/>
        <v>RESR</v>
      </c>
      <c r="D175" s="441" t="s">
        <v>172</v>
      </c>
      <c r="E175" s="441" t="s">
        <v>177</v>
      </c>
      <c r="F175" s="441" t="s">
        <v>1197</v>
      </c>
      <c r="G175" s="555">
        <v>32040.73</v>
      </c>
      <c r="H175" s="555">
        <v>451360</v>
      </c>
      <c r="I175" s="555">
        <v>0.5</v>
      </c>
    </row>
    <row r="176" spans="1:9" ht="15.75">
      <c r="A176" s="106" t="str">
        <f t="shared" si="11"/>
        <v>V023</v>
      </c>
      <c r="B176" s="106" t="s">
        <v>850</v>
      </c>
      <c r="C176" s="105" t="str">
        <f t="shared" si="12"/>
        <v>RESR</v>
      </c>
      <c r="D176" s="441" t="s">
        <v>172</v>
      </c>
      <c r="E176" s="441" t="s">
        <v>177</v>
      </c>
      <c r="F176" s="441" t="s">
        <v>816</v>
      </c>
      <c r="G176" s="555">
        <v>10867749.43</v>
      </c>
      <c r="H176" s="555">
        <v>101821909</v>
      </c>
      <c r="I176" s="555">
        <v>13824.416666666701</v>
      </c>
    </row>
    <row r="177" spans="1:9" ht="15.75">
      <c r="A177" s="106" t="str">
        <f t="shared" si="11"/>
        <v>V06A</v>
      </c>
      <c r="B177" s="105" t="s">
        <v>852</v>
      </c>
      <c r="C177" s="105" t="str">
        <f t="shared" si="12"/>
        <v>RESR</v>
      </c>
      <c r="D177" s="441" t="s">
        <v>172</v>
      </c>
      <c r="E177" s="441" t="s">
        <v>177</v>
      </c>
      <c r="F177" s="441" t="s">
        <v>818</v>
      </c>
      <c r="G177" s="555">
        <v>735568.78</v>
      </c>
      <c r="H177" s="555">
        <v>8683318</v>
      </c>
      <c r="I177" s="555">
        <v>28.25</v>
      </c>
    </row>
    <row r="178" spans="1:9" ht="15.75">
      <c r="A178" s="106" t="str">
        <f t="shared" si="11"/>
        <v>V06B</v>
      </c>
      <c r="B178" s="105" t="s">
        <v>949</v>
      </c>
      <c r="C178" s="105" t="str">
        <f t="shared" si="12"/>
        <v>RESR</v>
      </c>
      <c r="D178" s="441" t="s">
        <v>172</v>
      </c>
      <c r="E178" s="441" t="s">
        <v>177</v>
      </c>
      <c r="F178" s="441" t="s">
        <v>947</v>
      </c>
      <c r="G178" s="555">
        <v>3498.54</v>
      </c>
      <c r="H178" s="555">
        <v>25444</v>
      </c>
      <c r="I178" s="555">
        <v>1.1666666666666701</v>
      </c>
    </row>
    <row r="179" spans="1:9" ht="15.75">
      <c r="A179" s="106" t="str">
        <f t="shared" si="11"/>
        <v>6135</v>
      </c>
      <c r="B179" s="105" t="s">
        <v>958</v>
      </c>
      <c r="C179" s="105" t="str">
        <f t="shared" si="12"/>
        <v>RESR</v>
      </c>
      <c r="D179" s="441" t="s">
        <v>172</v>
      </c>
      <c r="E179" s="441" t="s">
        <v>177</v>
      </c>
      <c r="F179" s="441" t="s">
        <v>948</v>
      </c>
      <c r="G179" s="555">
        <v>323189.90000000002</v>
      </c>
      <c r="H179" s="555">
        <v>3781783</v>
      </c>
      <c r="I179" s="555">
        <v>13.1666666666667</v>
      </c>
    </row>
    <row r="180" spans="1:9" ht="15.75">
      <c r="A180" s="106" t="str">
        <f t="shared" si="11"/>
        <v>3135</v>
      </c>
      <c r="B180" s="105" t="s">
        <v>957</v>
      </c>
      <c r="C180" s="105" t="str">
        <f t="shared" si="12"/>
        <v>RESR</v>
      </c>
      <c r="D180" s="441" t="s">
        <v>172</v>
      </c>
      <c r="E180" s="441" t="s">
        <v>177</v>
      </c>
      <c r="F180" s="441" t="s">
        <v>817</v>
      </c>
      <c r="G180" s="555">
        <v>161144.32000000001</v>
      </c>
      <c r="H180" s="555">
        <v>1239527</v>
      </c>
      <c r="I180" s="555">
        <v>435.08333333333297</v>
      </c>
    </row>
    <row r="181" spans="1:9" ht="15.75">
      <c r="A181" s="106" t="str">
        <f t="shared" si="11"/>
        <v>A135</v>
      </c>
      <c r="B181" s="105" t="s">
        <v>1206</v>
      </c>
      <c r="C181" s="105" t="str">
        <f t="shared" si="12"/>
        <v>RESR</v>
      </c>
      <c r="D181" s="441" t="s">
        <v>172</v>
      </c>
      <c r="E181" s="441" t="s">
        <v>177</v>
      </c>
      <c r="F181" s="441" t="s">
        <v>1198</v>
      </c>
      <c r="G181" s="555">
        <v>5342.77</v>
      </c>
      <c r="H181" s="555">
        <v>6026</v>
      </c>
      <c r="I181" s="555">
        <v>1.75</v>
      </c>
    </row>
    <row r="182" spans="1:9" ht="15.75">
      <c r="A182" s="106" t="str">
        <f t="shared" si="11"/>
        <v>LNGA</v>
      </c>
      <c r="B182" s="105" t="s">
        <v>657</v>
      </c>
      <c r="C182" s="105" t="str">
        <f t="shared" si="12"/>
        <v>RESR</v>
      </c>
      <c r="D182" s="441" t="s">
        <v>172</v>
      </c>
      <c r="E182" s="441" t="s">
        <v>177</v>
      </c>
      <c r="F182" s="441" t="s">
        <v>1499</v>
      </c>
      <c r="G182" s="555">
        <v>445.82</v>
      </c>
      <c r="H182" s="555">
        <v>0</v>
      </c>
      <c r="I182" s="555"/>
    </row>
    <row r="183" spans="1:9" ht="15.75">
      <c r="A183" s="106" t="str">
        <f t="shared" si="11"/>
        <v>0001</v>
      </c>
      <c r="B183" s="105" t="s">
        <v>659</v>
      </c>
      <c r="C183" s="105" t="str">
        <f t="shared" si="12"/>
        <v>RESR</v>
      </c>
      <c r="D183" s="441" t="s">
        <v>172</v>
      </c>
      <c r="E183" s="441" t="s">
        <v>177</v>
      </c>
      <c r="F183" s="441" t="s">
        <v>1114</v>
      </c>
      <c r="G183" s="555">
        <v>3208693.91</v>
      </c>
      <c r="H183" s="555">
        <v>34093249</v>
      </c>
      <c r="I183" s="555">
        <v>0</v>
      </c>
    </row>
    <row r="184" spans="1:9" ht="15.75">
      <c r="A184" s="106" t="str">
        <f t="shared" si="11"/>
        <v>0003</v>
      </c>
      <c r="B184" s="105" t="s">
        <v>661</v>
      </c>
      <c r="C184" s="105" t="str">
        <f t="shared" si="12"/>
        <v>RESR</v>
      </c>
      <c r="D184" s="441" t="s">
        <v>172</v>
      </c>
      <c r="E184" s="441" t="s">
        <v>177</v>
      </c>
      <c r="F184" s="441" t="s">
        <v>1115</v>
      </c>
      <c r="G184" s="555">
        <v>25159.53</v>
      </c>
      <c r="H184" s="555">
        <v>263320</v>
      </c>
      <c r="I184" s="555">
        <v>23.0833333333333</v>
      </c>
    </row>
    <row r="185" spans="1:9" ht="15.75">
      <c r="A185" s="106" t="str">
        <f t="shared" si="11"/>
        <v>RG23</v>
      </c>
      <c r="B185" s="105" t="s">
        <v>850</v>
      </c>
      <c r="C185" s="105" t="str">
        <f t="shared" si="12"/>
        <v>RESR</v>
      </c>
      <c r="D185" s="441" t="s">
        <v>172</v>
      </c>
      <c r="E185" s="441" t="s">
        <v>177</v>
      </c>
      <c r="F185" s="441" t="s">
        <v>1116</v>
      </c>
      <c r="G185" s="555">
        <v>7787.1</v>
      </c>
      <c r="H185" s="555">
        <v>68561</v>
      </c>
      <c r="I185" s="555">
        <v>16.5833333333333</v>
      </c>
    </row>
    <row r="186" spans="1:9" ht="15.75">
      <c r="A186" s="106" t="str">
        <f t="shared" ref="A186:A196" si="13">RIGHT(LEFT(F186,10),4)</f>
        <v>000R</v>
      </c>
      <c r="B186" s="105" t="s">
        <v>657</v>
      </c>
      <c r="C186" s="105" t="str">
        <f t="shared" ref="C186:C196" si="14">IF(RIGHT(D186,4)="AUTH","AUT",LEFT(D186,3))&amp;E186</f>
        <v>RESR</v>
      </c>
      <c r="D186" s="441" t="s">
        <v>172</v>
      </c>
      <c r="E186" s="441" t="s">
        <v>177</v>
      </c>
      <c r="F186" s="441" t="s">
        <v>1117</v>
      </c>
      <c r="G186" s="555"/>
      <c r="H186" s="555"/>
      <c r="I186" s="555">
        <v>4</v>
      </c>
    </row>
    <row r="187" spans="1:9" ht="15.75">
      <c r="A187" s="106" t="str">
        <f t="shared" si="13"/>
        <v>-DSM</v>
      </c>
      <c r="B187" s="105" t="s">
        <v>839</v>
      </c>
      <c r="C187" s="105" t="str">
        <f t="shared" si="14"/>
        <v>RESR</v>
      </c>
      <c r="D187" s="441" t="s">
        <v>172</v>
      </c>
      <c r="E187" s="441" t="s">
        <v>177</v>
      </c>
      <c r="F187" s="441" t="s">
        <v>810</v>
      </c>
      <c r="G187" s="555">
        <v>3637604.95</v>
      </c>
      <c r="H187" s="555">
        <v>0</v>
      </c>
      <c r="I187" s="555">
        <v>0</v>
      </c>
    </row>
    <row r="188" spans="1:9" ht="15.75">
      <c r="A188" s="106" t="str">
        <f t="shared" si="13"/>
        <v>-BLU</v>
      </c>
      <c r="B188" s="105" t="s">
        <v>840</v>
      </c>
      <c r="C188" s="105" t="str">
        <f t="shared" si="14"/>
        <v>RESR</v>
      </c>
      <c r="D188" s="441" t="s">
        <v>172</v>
      </c>
      <c r="E188" s="441" t="s">
        <v>177</v>
      </c>
      <c r="F188" s="441" t="s">
        <v>811</v>
      </c>
      <c r="G188" s="555">
        <v>2162997.12</v>
      </c>
      <c r="H188" s="555">
        <v>0</v>
      </c>
      <c r="I188" s="555">
        <v>0</v>
      </c>
    </row>
    <row r="189" spans="1:9" ht="15.75">
      <c r="A189" s="106" t="str">
        <f t="shared" si="13"/>
        <v>-SOL</v>
      </c>
      <c r="B189" s="105" t="s">
        <v>846</v>
      </c>
      <c r="C189" s="105" t="str">
        <f t="shared" si="14"/>
        <v>RESR</v>
      </c>
      <c r="D189" s="441" t="s">
        <v>172</v>
      </c>
      <c r="E189" s="441" t="s">
        <v>177</v>
      </c>
      <c r="F189" s="441" t="s">
        <v>946</v>
      </c>
      <c r="G189" s="555">
        <v>1838486.19</v>
      </c>
      <c r="H189" s="555">
        <v>0</v>
      </c>
      <c r="I189" s="555">
        <v>0</v>
      </c>
    </row>
    <row r="190" spans="1:9" ht="15.75">
      <c r="A190" s="106" t="str">
        <f t="shared" si="13"/>
        <v>-REV</v>
      </c>
      <c r="B190" s="105" t="s">
        <v>841</v>
      </c>
      <c r="C190" s="105" t="str">
        <f t="shared" si="14"/>
        <v>RESR</v>
      </c>
      <c r="D190" s="441" t="s">
        <v>172</v>
      </c>
      <c r="E190" s="441" t="s">
        <v>177</v>
      </c>
      <c r="F190" s="441" t="s">
        <v>812</v>
      </c>
      <c r="G190" s="555">
        <v>-776778.1</v>
      </c>
      <c r="H190" s="555">
        <v>0</v>
      </c>
      <c r="I190" s="555">
        <v>0</v>
      </c>
    </row>
    <row r="191" spans="1:9" ht="15.75">
      <c r="A191" s="106" t="str">
        <f t="shared" si="13"/>
        <v>ER C</v>
      </c>
      <c r="B191" s="105"/>
      <c r="C191" s="105" t="str">
        <f t="shared" si="14"/>
        <v>RESR</v>
      </c>
      <c r="D191" s="441" t="s">
        <v>172</v>
      </c>
      <c r="E191" s="441" t="s">
        <v>177</v>
      </c>
      <c r="F191" s="441" t="s">
        <v>1086</v>
      </c>
      <c r="G191" s="555"/>
      <c r="H191" s="555"/>
      <c r="I191" s="555">
        <v>0</v>
      </c>
    </row>
    <row r="192" spans="1:9" ht="15.75">
      <c r="A192" s="106" t="str">
        <f t="shared" si="13"/>
        <v xml:space="preserve"> TAX</v>
      </c>
      <c r="B192" s="105" t="s">
        <v>1207</v>
      </c>
      <c r="C192" s="105" t="str">
        <f t="shared" si="14"/>
        <v>RESR</v>
      </c>
      <c r="D192" s="441" t="s">
        <v>172</v>
      </c>
      <c r="E192" s="441" t="s">
        <v>177</v>
      </c>
      <c r="F192" s="441" t="s">
        <v>1190</v>
      </c>
      <c r="G192" s="555">
        <v>-2.0000000047730299E-2</v>
      </c>
      <c r="H192" s="555">
        <v>0</v>
      </c>
      <c r="I192" s="555">
        <v>0</v>
      </c>
    </row>
    <row r="193" spans="1:9" ht="15.75">
      <c r="A193" s="106" t="str">
        <f t="shared" si="13"/>
        <v>E_AC</v>
      </c>
      <c r="B193" s="105" t="s">
        <v>838</v>
      </c>
      <c r="C193" s="105" t="str">
        <f t="shared" si="14"/>
        <v>RESR</v>
      </c>
      <c r="D193" s="441" t="s">
        <v>172</v>
      </c>
      <c r="E193" s="441" t="s">
        <v>177</v>
      </c>
      <c r="F193" s="441" t="s">
        <v>690</v>
      </c>
      <c r="G193" s="555">
        <v>-1227136.3700000001</v>
      </c>
      <c r="H193" s="555">
        <v>0</v>
      </c>
      <c r="I193" s="555">
        <v>0</v>
      </c>
    </row>
    <row r="194" spans="1:9" ht="15.75">
      <c r="A194" s="106" t="str">
        <f t="shared" si="13"/>
        <v>E AD</v>
      </c>
      <c r="B194" s="105" t="s">
        <v>837</v>
      </c>
      <c r="C194" s="105" t="str">
        <f t="shared" si="14"/>
        <v>RESR</v>
      </c>
      <c r="D194" s="441" t="s">
        <v>172</v>
      </c>
      <c r="E194" s="441" t="s">
        <v>177</v>
      </c>
      <c r="F194" s="441" t="s">
        <v>800</v>
      </c>
      <c r="G194" s="555">
        <v>2405360.21</v>
      </c>
      <c r="H194" s="555">
        <v>0</v>
      </c>
      <c r="I194" s="555">
        <v>0</v>
      </c>
    </row>
    <row r="195" spans="1:9" s="1189" customFormat="1" ht="15.75">
      <c r="A195" s="1189" t="str">
        <f t="shared" si="13"/>
        <v xml:space="preserve"> - U</v>
      </c>
      <c r="B195" s="1190" t="s">
        <v>657</v>
      </c>
      <c r="C195" s="1190" t="s">
        <v>1634</v>
      </c>
      <c r="D195" s="441" t="s">
        <v>172</v>
      </c>
      <c r="E195" s="441" t="s">
        <v>569</v>
      </c>
      <c r="F195" s="1321" t="s">
        <v>40</v>
      </c>
      <c r="G195" s="1192">
        <v>-28000</v>
      </c>
      <c r="H195" s="1192">
        <v>0</v>
      </c>
      <c r="I195" s="1192">
        <v>0</v>
      </c>
    </row>
    <row r="196" spans="1:9" ht="15.75">
      <c r="A196" s="106" t="str">
        <f t="shared" si="13"/>
        <v>ED R</v>
      </c>
      <c r="B196" s="105" t="s">
        <v>663</v>
      </c>
      <c r="C196" s="105" t="str">
        <f t="shared" si="14"/>
        <v>RESU</v>
      </c>
      <c r="D196" s="441" t="s">
        <v>172</v>
      </c>
      <c r="E196" s="441" t="s">
        <v>569</v>
      </c>
      <c r="F196" s="441" t="s">
        <v>1087</v>
      </c>
      <c r="G196" s="555">
        <v>4651000</v>
      </c>
      <c r="H196" s="555">
        <v>40159000</v>
      </c>
      <c r="I196" s="555">
        <v>0</v>
      </c>
    </row>
    <row r="197" spans="1:9" ht="15.75" hidden="1">
      <c r="C197" s="105"/>
      <c r="D197"/>
      <c r="E197"/>
      <c r="F197"/>
      <c r="G197" s="86"/>
      <c r="H197" s="86"/>
      <c r="I197" s="86"/>
    </row>
    <row r="198" spans="1:9" ht="15.75" hidden="1">
      <c r="C198" s="105"/>
      <c r="D198"/>
      <c r="E198"/>
      <c r="F198"/>
      <c r="G198" s="86"/>
      <c r="H198" s="86"/>
      <c r="I198" s="86"/>
    </row>
    <row r="199" spans="1:9" ht="15.75" hidden="1">
      <c r="C199" s="105"/>
      <c r="D199"/>
      <c r="E199"/>
      <c r="F199"/>
      <c r="G199" s="86"/>
      <c r="H199" s="86"/>
      <c r="I199" s="86"/>
    </row>
    <row r="200" spans="1:9" ht="15.75" hidden="1">
      <c r="C200" s="105"/>
      <c r="D200"/>
      <c r="E200"/>
      <c r="F200"/>
      <c r="G200" s="86"/>
      <c r="H200" s="86"/>
      <c r="I200" s="86"/>
    </row>
    <row r="201" spans="1:9" ht="15.75" hidden="1">
      <c r="C201" s="105"/>
      <c r="D201"/>
      <c r="E201"/>
      <c r="F201"/>
      <c r="G201" s="86"/>
      <c r="H201" s="86"/>
      <c r="I201" s="86"/>
    </row>
    <row r="202" spans="1:9" ht="15.75" hidden="1">
      <c r="C202" s="105"/>
      <c r="D202"/>
      <c r="E202"/>
      <c r="F202"/>
      <c r="G202" s="86"/>
      <c r="H202" s="86"/>
      <c r="I202" s="86"/>
    </row>
    <row r="203" spans="1:9" hidden="1">
      <c r="C203" s="105"/>
    </row>
    <row r="204" spans="1:9" hidden="1">
      <c r="C204" s="105"/>
    </row>
    <row r="205" spans="1:9" hidden="1">
      <c r="C205" s="105"/>
    </row>
    <row r="206" spans="1:9" hidden="1">
      <c r="C206" s="105"/>
    </row>
    <row r="207" spans="1:9" hidden="1">
      <c r="C207" s="105"/>
    </row>
  </sheetData>
  <autoFilter ref="A1:J207">
    <filterColumn colId="2">
      <filters>
        <filter val="RESR"/>
        <filter val="RESU"/>
      </filters>
    </filterColumn>
  </autoFilter>
  <phoneticPr fontId="26" type="noConversion"/>
  <dataValidations count="2">
    <dataValidation allowBlank="1" showInputMessage="1" showErrorMessage="1" promptTitle="It's dangerous!" sqref="B2:B80 C2:C196 B82:B93 B163:B165 B172 B95:B161 B177:B196"/>
    <dataValidation type="decimal" allowBlank="1" showInputMessage="1" showErrorMessage="1" promptTitle="It's dangerous!" sqref="D1:E171 F1:F67 F71:F171 G1:H171 D172:I198">
      <formula1>-10000000</formula1>
      <formula2>-1</formula2>
    </dataValidation>
  </dataValidations>
  <pageMargins left="0.75" right="0.75" top="1" bottom="1" header="0.5" footer="0.5"/>
  <pageSetup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00FF"/>
  </sheetPr>
  <dimension ref="A1:L78"/>
  <sheetViews>
    <sheetView topLeftCell="A31" workbookViewId="0">
      <selection activeCell="M134" sqref="M134"/>
    </sheetView>
  </sheetViews>
  <sheetFormatPr defaultColWidth="9" defaultRowHeight="15.75"/>
  <cols>
    <col min="1" max="1" width="3.75" style="10" customWidth="1"/>
    <col min="2" max="2" width="12.25" style="16" customWidth="1"/>
    <col min="3" max="3" width="8" style="10" customWidth="1"/>
    <col min="4" max="5" width="16" style="10" bestFit="1" customWidth="1"/>
    <col min="6" max="6" width="12.75" style="10" bestFit="1" customWidth="1"/>
    <col min="7" max="7" width="11" style="10" bestFit="1" customWidth="1"/>
    <col min="8" max="8" width="2.75" style="10" customWidth="1"/>
    <col min="9" max="11" width="14.125" style="10" bestFit="1" customWidth="1"/>
    <col min="12" max="12" width="11" style="10" bestFit="1" customWidth="1"/>
    <col min="13" max="13" width="13.625" style="10" bestFit="1" customWidth="1"/>
    <col min="14" max="16384" width="9" style="10"/>
  </cols>
  <sheetData>
    <row r="1" spans="1:12" ht="18.75">
      <c r="A1" s="14"/>
      <c r="B1" s="15"/>
      <c r="C1" s="15"/>
      <c r="D1" s="587" t="s">
        <v>111</v>
      </c>
      <c r="E1" s="422"/>
      <c r="F1" s="423"/>
      <c r="G1" s="588"/>
      <c r="I1" s="587" t="s">
        <v>82</v>
      </c>
      <c r="J1" s="422"/>
      <c r="K1" s="423"/>
      <c r="L1" s="588"/>
    </row>
    <row r="2" spans="1:12">
      <c r="A2" s="16"/>
      <c r="B2" s="17"/>
      <c r="C2" s="18"/>
      <c r="D2" s="56" t="s">
        <v>142</v>
      </c>
      <c r="E2" s="592" t="s">
        <v>490</v>
      </c>
      <c r="F2" s="592" t="s">
        <v>101</v>
      </c>
      <c r="G2" s="589" t="s">
        <v>465</v>
      </c>
      <c r="I2" s="56" t="s">
        <v>142</v>
      </c>
      <c r="J2" s="592" t="s">
        <v>490</v>
      </c>
      <c r="K2" s="592" t="s">
        <v>101</v>
      </c>
      <c r="L2" s="589" t="s">
        <v>465</v>
      </c>
    </row>
    <row r="3" spans="1:12">
      <c r="A3" s="17" t="s">
        <v>103</v>
      </c>
      <c r="B3" s="17"/>
      <c r="C3" s="16"/>
      <c r="D3" s="21"/>
      <c r="E3" s="593"/>
      <c r="F3" s="593"/>
      <c r="G3" s="590"/>
      <c r="I3" s="21"/>
      <c r="J3" s="593"/>
      <c r="K3" s="593"/>
      <c r="L3" s="590"/>
    </row>
    <row r="4" spans="1:12">
      <c r="A4" s="16"/>
      <c r="B4" s="16" t="s">
        <v>121</v>
      </c>
      <c r="C4" s="16"/>
      <c r="D4" s="21">
        <f>'Table 2'!H12</f>
        <v>6544385011</v>
      </c>
      <c r="E4" s="593">
        <f>'123'!B15</f>
        <v>6560634006</v>
      </c>
      <c r="F4" s="593">
        <f t="shared" ref="F4:F19" si="0">E4-D4</f>
        <v>16248995</v>
      </c>
      <c r="G4" s="591">
        <f t="shared" ref="G4:G19" si="1">F4/D4</f>
        <v>2.4828910543447853E-3</v>
      </c>
      <c r="I4" s="21">
        <f>'Table 2'!P12</f>
        <v>699173971.98000002</v>
      </c>
      <c r="J4" s="593">
        <f>'123'!C15</f>
        <v>699219384.18999994</v>
      </c>
      <c r="K4" s="593">
        <f t="shared" ref="K4:K19" si="2">J4-I4</f>
        <v>45412.209999918938</v>
      </c>
      <c r="L4" s="591">
        <f t="shared" ref="L4:L19" si="3">K4/I4</f>
        <v>6.4951230766379213E-5</v>
      </c>
    </row>
    <row r="5" spans="1:12">
      <c r="A5" s="16"/>
      <c r="B5" s="16" t="s">
        <v>451</v>
      </c>
      <c r="C5" s="16"/>
      <c r="D5" s="21">
        <f>'Table 2'!H13</f>
        <v>3071091</v>
      </c>
      <c r="E5" s="593">
        <f>'123'!B16</f>
        <v>3071092</v>
      </c>
      <c r="F5" s="593">
        <f t="shared" si="0"/>
        <v>1</v>
      </c>
      <c r="G5" s="591">
        <f t="shared" si="1"/>
        <v>3.2561718294899107E-7</v>
      </c>
      <c r="I5" s="21">
        <f>'Table 2'!P13</f>
        <v>323128.2</v>
      </c>
      <c r="J5" s="593">
        <f>'123'!C16</f>
        <v>323349.52</v>
      </c>
      <c r="K5" s="593">
        <f t="shared" si="2"/>
        <v>221.32000000000698</v>
      </c>
      <c r="L5" s="591">
        <f t="shared" si="3"/>
        <v>6.8492938715966904E-4</v>
      </c>
    </row>
    <row r="6" spans="1:12">
      <c r="A6" s="16"/>
      <c r="B6" s="16" t="s">
        <v>1122</v>
      </c>
      <c r="C6" s="16"/>
      <c r="D6" s="21">
        <f>'Table 2'!H14</f>
        <v>4043370</v>
      </c>
      <c r="E6" s="593">
        <f>'123'!B17</f>
        <v>4043371</v>
      </c>
      <c r="F6" s="593">
        <f t="shared" ref="F6" si="4">E6-D6</f>
        <v>1</v>
      </c>
      <c r="G6" s="591">
        <f t="shared" ref="G6" si="5">F6/D6</f>
        <v>2.4731844970902985E-7</v>
      </c>
      <c r="I6" s="21">
        <f>'Table 2'!P14</f>
        <v>342218.06</v>
      </c>
      <c r="J6" s="593">
        <f>'123'!C17</f>
        <v>342250.07</v>
      </c>
      <c r="K6" s="593">
        <f t="shared" ref="K6" si="6">J6-I6</f>
        <v>32.010000000009313</v>
      </c>
      <c r="L6" s="591">
        <f t="shared" ref="L6" si="7">K6/I6</f>
        <v>9.3536851912518333E-5</v>
      </c>
    </row>
    <row r="7" spans="1:12">
      <c r="A7" s="16"/>
      <c r="B7" s="16" t="s">
        <v>452</v>
      </c>
      <c r="C7" s="16"/>
      <c r="D7" s="21">
        <f>'Table 2'!H15</f>
        <v>152478896</v>
      </c>
      <c r="E7" s="593">
        <f>'123'!B18</f>
        <v>152601986</v>
      </c>
      <c r="F7" s="593">
        <f t="shared" si="0"/>
        <v>123090</v>
      </c>
      <c r="G7" s="591">
        <f t="shared" si="1"/>
        <v>8.0725925507750269E-4</v>
      </c>
      <c r="I7" s="21">
        <f>'Table 2'!P15</f>
        <v>16034299.979999999</v>
      </c>
      <c r="J7" s="593">
        <f>'123'!C18</f>
        <v>16040374.889999999</v>
      </c>
      <c r="K7" s="593">
        <f t="shared" si="2"/>
        <v>6074.910000000149</v>
      </c>
      <c r="L7" s="591">
        <f t="shared" si="3"/>
        <v>3.7886967361079328E-4</v>
      </c>
    </row>
    <row r="8" spans="1:12">
      <c r="A8" s="16"/>
      <c r="B8" s="16" t="s">
        <v>1042</v>
      </c>
      <c r="C8" s="16"/>
      <c r="D8" s="21">
        <f>'Table 2'!H16</f>
        <v>118602700</v>
      </c>
      <c r="E8" s="593">
        <f>'123'!B19</f>
        <v>118602770</v>
      </c>
      <c r="F8" s="593">
        <f t="shared" ref="F8" si="8">E8-D8</f>
        <v>70</v>
      </c>
      <c r="G8" s="591">
        <f t="shared" ref="G8" si="9">F8/D8</f>
        <v>5.9020578789521653E-7</v>
      </c>
      <c r="I8" s="21">
        <f>'Table 2'!P16</f>
        <v>13934825.57</v>
      </c>
      <c r="J8" s="593">
        <f>'123'!C19</f>
        <v>13941776.869999999</v>
      </c>
      <c r="K8" s="593">
        <f t="shared" ref="K8" si="10">J8-I8</f>
        <v>6951.2999999988824</v>
      </c>
      <c r="L8" s="591">
        <f t="shared" ref="L8" si="11">K8/I8</f>
        <v>4.9884370386122333E-4</v>
      </c>
    </row>
    <row r="9" spans="1:12" s="815" customFormat="1">
      <c r="A9" s="813"/>
      <c r="B9" s="813" t="s">
        <v>1217</v>
      </c>
      <c r="C9" s="813"/>
      <c r="D9" s="814">
        <f>'Table 2'!H17</f>
        <v>36843222</v>
      </c>
      <c r="E9" s="593">
        <f>'123'!B20</f>
        <v>36843225</v>
      </c>
      <c r="F9" s="817">
        <f t="shared" ref="F9" si="12">E9-D9</f>
        <v>3</v>
      </c>
      <c r="G9" s="818">
        <f t="shared" ref="G9" si="13">F9/D9</f>
        <v>8.1426103287057792E-8</v>
      </c>
      <c r="I9" s="814">
        <f>'Table 2'!P17</f>
        <v>3970331.2399999998</v>
      </c>
      <c r="J9" s="593">
        <f>'123'!C20</f>
        <v>3970894.3799999994</v>
      </c>
      <c r="K9" s="817">
        <f t="shared" ref="K9" si="14">J9-I9</f>
        <v>563.13999999966472</v>
      </c>
      <c r="L9" s="818">
        <f t="shared" ref="L9" si="15">K9/I9</f>
        <v>1.4183703221690511E-4</v>
      </c>
    </row>
    <row r="10" spans="1:12">
      <c r="A10" s="16"/>
      <c r="B10" s="16" t="s">
        <v>113</v>
      </c>
      <c r="C10" s="16"/>
      <c r="D10" s="21">
        <f>'Table 2'!H18</f>
        <v>135890765</v>
      </c>
      <c r="E10" s="593">
        <f>'6'!D25</f>
        <v>135890765</v>
      </c>
      <c r="F10" s="593">
        <f t="shared" si="0"/>
        <v>0</v>
      </c>
      <c r="G10" s="591">
        <f t="shared" si="1"/>
        <v>0</v>
      </c>
      <c r="I10" s="21">
        <f>'Table 2'!P18</f>
        <v>10084168.74</v>
      </c>
      <c r="J10" s="593">
        <f>'6'!E25</f>
        <v>10084193.939999999</v>
      </c>
      <c r="K10" s="593">
        <f t="shared" si="2"/>
        <v>25.199999999254942</v>
      </c>
      <c r="L10" s="591">
        <f t="shared" si="3"/>
        <v>2.4989665136498836E-6</v>
      </c>
    </row>
    <row r="11" spans="1:12">
      <c r="A11" s="16"/>
      <c r="B11" s="16" t="s">
        <v>1040</v>
      </c>
      <c r="C11" s="16"/>
      <c r="D11" s="21">
        <f>'Table 2'!H19</f>
        <v>3781783</v>
      </c>
      <c r="E11" s="593">
        <f>'6'!D29</f>
        <v>3781783</v>
      </c>
      <c r="F11" s="593">
        <f t="shared" ref="F11" si="16">E11-D11</f>
        <v>0</v>
      </c>
      <c r="G11" s="591">
        <f t="shared" ref="G11" si="17">F11/D11</f>
        <v>0</v>
      </c>
      <c r="I11" s="21">
        <f>'Table 2'!P19</f>
        <v>323189.90000000002</v>
      </c>
      <c r="J11" s="593">
        <f>'6'!E29</f>
        <v>323189.90000000002</v>
      </c>
      <c r="K11" s="593">
        <f t="shared" ref="K11" si="18">J11-I11</f>
        <v>0</v>
      </c>
      <c r="L11" s="591">
        <f t="shared" ref="L11" si="19">K11/I11</f>
        <v>0</v>
      </c>
    </row>
    <row r="12" spans="1:12">
      <c r="A12" s="16"/>
      <c r="B12" s="16" t="s">
        <v>453</v>
      </c>
      <c r="C12" s="16"/>
      <c r="D12" s="21">
        <f>'Table 2'!H20</f>
        <v>8683318</v>
      </c>
      <c r="E12" s="593">
        <f>'6A'!D18</f>
        <v>8683318</v>
      </c>
      <c r="F12" s="593">
        <f t="shared" si="0"/>
        <v>0</v>
      </c>
      <c r="G12" s="591">
        <f t="shared" si="1"/>
        <v>0</v>
      </c>
      <c r="I12" s="21">
        <f>'Table 2'!P20</f>
        <v>735568.78</v>
      </c>
      <c r="J12" s="593">
        <f>'6A'!E18</f>
        <v>735568.78</v>
      </c>
      <c r="K12" s="593">
        <f t="shared" si="2"/>
        <v>0</v>
      </c>
      <c r="L12" s="591">
        <f t="shared" si="3"/>
        <v>0</v>
      </c>
    </row>
    <row r="13" spans="1:12" s="815" customFormat="1">
      <c r="A13" s="813"/>
      <c r="B13" s="813" t="s">
        <v>1043</v>
      </c>
      <c r="C13" s="813"/>
      <c r="D13" s="814">
        <f>'Table 2'!H21</f>
        <v>6026</v>
      </c>
      <c r="E13" s="817">
        <f>'6A'!D22</f>
        <v>6026</v>
      </c>
      <c r="F13" s="817">
        <f t="shared" ref="F13" si="20">E13-D13</f>
        <v>0</v>
      </c>
      <c r="G13" s="818">
        <f t="shared" ref="G13" si="21">F13/D13</f>
        <v>0</v>
      </c>
      <c r="I13" s="814">
        <f>'Table 2'!P21</f>
        <v>5342.77</v>
      </c>
      <c r="J13" s="817">
        <f>'6A'!E22</f>
        <v>5342.77</v>
      </c>
      <c r="K13" s="817">
        <f t="shared" ref="K13" si="22">J13-I13</f>
        <v>0</v>
      </c>
      <c r="L13" s="818">
        <f t="shared" ref="L13" si="23">K13/I13</f>
        <v>0</v>
      </c>
    </row>
    <row r="14" spans="1:12">
      <c r="A14" s="16"/>
      <c r="B14" s="16" t="s">
        <v>454</v>
      </c>
      <c r="C14" s="16"/>
      <c r="D14" s="21">
        <f>'Table 2'!H22</f>
        <v>25444</v>
      </c>
      <c r="E14" s="593">
        <f>'6'!D37</f>
        <v>25444</v>
      </c>
      <c r="F14" s="593">
        <f t="shared" ref="F14" si="24">E14-D14</f>
        <v>0</v>
      </c>
      <c r="G14" s="591">
        <f t="shared" ref="G14" si="25">F14/D14</f>
        <v>0</v>
      </c>
      <c r="I14" s="21">
        <f>'Table 2'!P22</f>
        <v>3498.54</v>
      </c>
      <c r="J14" s="593">
        <f>'6'!E37</f>
        <v>3498.54</v>
      </c>
      <c r="K14" s="593">
        <f t="shared" ref="K14" si="26">J14-I14</f>
        <v>0</v>
      </c>
      <c r="L14" s="591">
        <f t="shared" ref="L14" si="27">K14/I14</f>
        <v>0</v>
      </c>
    </row>
    <row r="15" spans="1:12">
      <c r="A15" s="16"/>
      <c r="B15" s="16" t="s">
        <v>455</v>
      </c>
      <c r="C15" s="16"/>
      <c r="D15" s="21">
        <f>'Table 2'!H23</f>
        <v>2253162</v>
      </c>
      <c r="E15" s="593">
        <f>'7'!H91</f>
        <v>2251606.0657941299</v>
      </c>
      <c r="F15" s="593">
        <f t="shared" si="0"/>
        <v>-1555.9342058701441</v>
      </c>
      <c r="G15" s="591">
        <f t="shared" si="1"/>
        <v>-6.9055585256193037E-4</v>
      </c>
      <c r="I15" s="21">
        <f>'Table 2'!P23</f>
        <v>625707.6</v>
      </c>
      <c r="J15" s="593">
        <f>'7'!I91+'7'!S91</f>
        <v>625219.49</v>
      </c>
      <c r="K15" s="593">
        <f t="shared" si="2"/>
        <v>-488.10999999998603</v>
      </c>
      <c r="L15" s="591">
        <f t="shared" si="3"/>
        <v>-7.8009281012406757E-4</v>
      </c>
    </row>
    <row r="16" spans="1:12">
      <c r="A16" s="16"/>
      <c r="B16" s="16" t="s">
        <v>112</v>
      </c>
      <c r="C16" s="16"/>
      <c r="D16" s="21">
        <f>'Table 2'!H25</f>
        <v>102004510</v>
      </c>
      <c r="E16" s="593">
        <f>'23'!C26</f>
        <v>102017998</v>
      </c>
      <c r="F16" s="593">
        <f t="shared" si="0"/>
        <v>13488</v>
      </c>
      <c r="G16" s="591">
        <f t="shared" si="1"/>
        <v>1.3222944750188007E-4</v>
      </c>
      <c r="I16" s="21">
        <f>'Table 2'!P25</f>
        <v>10884362.17</v>
      </c>
      <c r="J16" s="593">
        <f>'23'!D26</f>
        <v>10885635.450000001</v>
      </c>
      <c r="K16" s="593">
        <f t="shared" si="2"/>
        <v>1273.2800000011921</v>
      </c>
      <c r="L16" s="591">
        <f t="shared" si="3"/>
        <v>1.1698250941250994E-4</v>
      </c>
    </row>
    <row r="17" spans="1:12">
      <c r="A17" s="16"/>
      <c r="B17" s="16" t="s">
        <v>1041</v>
      </c>
      <c r="C17" s="16"/>
      <c r="D17" s="21">
        <f>'Table 2'!H26</f>
        <v>1239527</v>
      </c>
      <c r="E17" s="593">
        <f>'23'!C30</f>
        <v>1239528</v>
      </c>
      <c r="F17" s="593">
        <f t="shared" ref="F17" si="28">E17-D17</f>
        <v>1</v>
      </c>
      <c r="G17" s="591">
        <f t="shared" ref="G17" si="29">F17/D17</f>
        <v>8.0675935255948441E-7</v>
      </c>
      <c r="I17" s="21">
        <f>'Table 2'!P26</f>
        <v>161144.32000000001</v>
      </c>
      <c r="J17" s="593">
        <f>'23'!D30</f>
        <v>161244.32</v>
      </c>
      <c r="K17" s="593">
        <f t="shared" ref="K17" si="30">J17-I17</f>
        <v>100</v>
      </c>
      <c r="L17" s="591">
        <f t="shared" ref="L17" si="31">K17/I17</f>
        <v>6.2056174241822482E-4</v>
      </c>
    </row>
    <row r="18" spans="1:12" s="815" customFormat="1">
      <c r="A18" s="813"/>
      <c r="B18" s="813" t="s">
        <v>1218</v>
      </c>
      <c r="C18" s="813"/>
      <c r="D18" s="814">
        <f>'Table 2'!H27</f>
        <v>144533</v>
      </c>
      <c r="E18" s="817">
        <f>'23'!C34</f>
        <v>144533</v>
      </c>
      <c r="F18" s="817">
        <f t="shared" ref="F18" si="32">E18-D18</f>
        <v>0</v>
      </c>
      <c r="G18" s="818">
        <f t="shared" ref="G18" si="33">F18/D18</f>
        <v>0</v>
      </c>
      <c r="I18" s="814">
        <f>'Table 2'!P27</f>
        <v>13169.36</v>
      </c>
      <c r="J18" s="817">
        <f>'23'!D34</f>
        <v>13169.36</v>
      </c>
      <c r="K18" s="817">
        <f t="shared" ref="K18" si="34">J18-I18</f>
        <v>0</v>
      </c>
      <c r="L18" s="818">
        <f t="shared" ref="L18" si="35">K18/I18</f>
        <v>0</v>
      </c>
    </row>
    <row r="19" spans="1:12">
      <c r="A19" s="16"/>
      <c r="B19" s="16" t="s">
        <v>459</v>
      </c>
      <c r="C19" s="16"/>
      <c r="D19" s="21">
        <f>'Table 2'!H28</f>
        <v>1392</v>
      </c>
      <c r="E19" s="593">
        <f>PTL!F3</f>
        <v>1392</v>
      </c>
      <c r="F19" s="593">
        <f t="shared" si="0"/>
        <v>0</v>
      </c>
      <c r="G19" s="591">
        <f t="shared" si="1"/>
        <v>0</v>
      </c>
      <c r="I19" s="21">
        <f>'Table 2'!P28</f>
        <v>104.64</v>
      </c>
      <c r="J19" s="593">
        <f>PTL!G3</f>
        <v>104.64</v>
      </c>
      <c r="K19" s="593">
        <f t="shared" si="2"/>
        <v>0</v>
      </c>
      <c r="L19" s="591">
        <f t="shared" si="3"/>
        <v>0</v>
      </c>
    </row>
    <row r="20" spans="1:12">
      <c r="A20" s="16"/>
      <c r="C20" s="16"/>
      <c r="D20" s="21"/>
      <c r="E20" s="593"/>
      <c r="F20" s="593"/>
      <c r="G20" s="590"/>
      <c r="I20" s="21"/>
      <c r="J20" s="593"/>
      <c r="K20" s="593"/>
      <c r="L20" s="590"/>
    </row>
    <row r="21" spans="1:12">
      <c r="A21" s="17" t="s">
        <v>104</v>
      </c>
      <c r="B21" s="17"/>
      <c r="C21" s="16"/>
      <c r="D21" s="21"/>
      <c r="E21" s="593"/>
      <c r="F21" s="593"/>
      <c r="G21" s="590"/>
      <c r="I21" s="21"/>
      <c r="J21" s="593"/>
      <c r="K21" s="593"/>
      <c r="L21" s="590"/>
    </row>
    <row r="22" spans="1:12">
      <c r="A22" s="16"/>
      <c r="B22" s="16" t="s">
        <v>113</v>
      </c>
      <c r="C22" s="16"/>
      <c r="D22" s="21">
        <f>'Table 2'!H45</f>
        <v>5033539524</v>
      </c>
      <c r="E22" s="593">
        <f>'6'!D23</f>
        <v>5033539526</v>
      </c>
      <c r="F22" s="593">
        <f t="shared" ref="F22:F39" si="36">E22-D22</f>
        <v>2</v>
      </c>
      <c r="G22" s="591">
        <f t="shared" ref="G22:G39" si="37">F22/D22</f>
        <v>3.9733471654766328E-10</v>
      </c>
      <c r="I22" s="21">
        <f>'Table 2'!P45</f>
        <v>410505242.61999995</v>
      </c>
      <c r="J22" s="593">
        <f>'6'!E23</f>
        <v>410530842.17999995</v>
      </c>
      <c r="K22" s="593">
        <f t="shared" ref="K22:K39" si="38">J22-I22</f>
        <v>25599.560000002384</v>
      </c>
      <c r="L22" s="591">
        <f t="shared" ref="L22:L39" si="39">K22/I22</f>
        <v>6.236110368923986E-5</v>
      </c>
    </row>
    <row r="23" spans="1:12">
      <c r="A23" s="16"/>
      <c r="B23" s="16" t="s">
        <v>1040</v>
      </c>
      <c r="C23" s="16"/>
      <c r="D23" s="21">
        <f>'Table 2'!H46</f>
        <v>123797404</v>
      </c>
      <c r="E23" s="593">
        <f>'6'!D27</f>
        <v>123797406</v>
      </c>
      <c r="F23" s="593">
        <f t="shared" ref="F23" si="40">E23-D23</f>
        <v>2</v>
      </c>
      <c r="G23" s="591">
        <f t="shared" ref="G23" si="41">F23/D23</f>
        <v>1.6155427621083234E-8</v>
      </c>
      <c r="I23" s="21">
        <f>'Table 2'!P46</f>
        <v>10411052.34</v>
      </c>
      <c r="J23" s="593">
        <f>'6'!E27</f>
        <v>10412121.390000001</v>
      </c>
      <c r="K23" s="593">
        <f t="shared" ref="K23" si="42">J23-I23</f>
        <v>1069.0500000007451</v>
      </c>
      <c r="L23" s="591">
        <f t="shared" ref="L23" si="43">K23/I23</f>
        <v>1.0268414422367077E-4</v>
      </c>
    </row>
    <row r="24" spans="1:12" s="815" customFormat="1">
      <c r="A24" s="813"/>
      <c r="B24" s="813" t="s">
        <v>1219</v>
      </c>
      <c r="C24" s="813"/>
      <c r="D24" s="814">
        <f>'Table 2'!H47</f>
        <v>5594182</v>
      </c>
      <c r="E24" s="817">
        <f>'6'!D31</f>
        <v>5594182</v>
      </c>
      <c r="F24" s="817">
        <f t="shared" ref="F24" si="44">E24-D24</f>
        <v>0</v>
      </c>
      <c r="G24" s="818">
        <f t="shared" ref="G24" si="45">F24/D24</f>
        <v>0</v>
      </c>
      <c r="I24" s="814">
        <f>'Table 2'!P47</f>
        <v>577057.74</v>
      </c>
      <c r="J24" s="817">
        <f>'6'!E31</f>
        <v>579568.30000000005</v>
      </c>
      <c r="K24" s="817">
        <f t="shared" ref="K24" si="46">J24-I24</f>
        <v>2510.5600000000559</v>
      </c>
      <c r="L24" s="818">
        <f t="shared" ref="L24" si="47">K24/I24</f>
        <v>4.3506218285886888E-3</v>
      </c>
    </row>
    <row r="25" spans="1:12">
      <c r="A25" s="16"/>
      <c r="B25" s="16" t="s">
        <v>453</v>
      </c>
      <c r="C25" s="16"/>
      <c r="D25" s="21">
        <f>'Table 2'!H48</f>
        <v>285473394</v>
      </c>
      <c r="E25" s="593">
        <f>'6A'!D16</f>
        <v>284393726</v>
      </c>
      <c r="F25" s="593">
        <f t="shared" si="36"/>
        <v>-1079668</v>
      </c>
      <c r="G25" s="591">
        <f t="shared" si="37"/>
        <v>-3.7820267061385061E-3</v>
      </c>
      <c r="I25" s="21">
        <f>'Table 2'!P48</f>
        <v>32303691.41</v>
      </c>
      <c r="J25" s="593">
        <f>'6A'!E16</f>
        <v>32303691.41</v>
      </c>
      <c r="K25" s="593">
        <f t="shared" si="38"/>
        <v>0</v>
      </c>
      <c r="L25" s="591">
        <f t="shared" si="39"/>
        <v>0</v>
      </c>
    </row>
    <row r="26" spans="1:12">
      <c r="A26" s="16"/>
      <c r="B26" s="16" t="s">
        <v>1043</v>
      </c>
      <c r="C26" s="16"/>
      <c r="D26" s="21">
        <f>'Table 2'!H49</f>
        <v>10517450</v>
      </c>
      <c r="E26" s="593">
        <f>'6A'!D20</f>
        <v>10517454</v>
      </c>
      <c r="F26" s="593">
        <f t="shared" ref="F26" si="48">E26-D26</f>
        <v>4</v>
      </c>
      <c r="G26" s="591">
        <f t="shared" ref="G26" si="49">F26/D26</f>
        <v>3.8032032479355739E-7</v>
      </c>
      <c r="I26" s="21">
        <f>'Table 2'!P49</f>
        <v>1360823.98</v>
      </c>
      <c r="J26" s="593">
        <f>'6A'!E20</f>
        <v>1361006.08</v>
      </c>
      <c r="K26" s="593">
        <f t="shared" ref="K26" si="50">J26-I26</f>
        <v>182.10000000009313</v>
      </c>
      <c r="L26" s="591">
        <f t="shared" ref="L26" si="51">K26/I26</f>
        <v>1.3381598404820375E-4</v>
      </c>
    </row>
    <row r="27" spans="1:12" s="22" customFormat="1">
      <c r="B27" s="16" t="s">
        <v>454</v>
      </c>
      <c r="D27" s="21">
        <f>'Table 2'!H51</f>
        <v>3269992</v>
      </c>
      <c r="E27" s="593">
        <f>'6'!D35</f>
        <v>3269992</v>
      </c>
      <c r="F27" s="593">
        <f t="shared" si="36"/>
        <v>0</v>
      </c>
      <c r="G27" s="591">
        <f t="shared" si="37"/>
        <v>0</v>
      </c>
      <c r="I27" s="21">
        <f>'Table 2'!P51</f>
        <v>313077.19</v>
      </c>
      <c r="J27" s="593">
        <f>'6'!E35</f>
        <v>313077.19</v>
      </c>
      <c r="K27" s="593">
        <f t="shared" si="38"/>
        <v>0</v>
      </c>
      <c r="L27" s="591">
        <f t="shared" si="39"/>
        <v>0</v>
      </c>
    </row>
    <row r="28" spans="1:12">
      <c r="A28" s="16"/>
      <c r="B28" s="16" t="s">
        <v>455</v>
      </c>
      <c r="C28" s="16"/>
      <c r="D28" s="21">
        <f>'Table 2'!H52</f>
        <v>7230362</v>
      </c>
      <c r="E28" s="593">
        <f>'7'!H88</f>
        <v>7231701.1799575733</v>
      </c>
      <c r="F28" s="593">
        <f t="shared" si="36"/>
        <v>1339.1799575733021</v>
      </c>
      <c r="G28" s="591">
        <f t="shared" si="37"/>
        <v>1.8521617003039434E-4</v>
      </c>
      <c r="I28" s="21">
        <f>'Table 2'!P52</f>
        <v>1648722.3</v>
      </c>
      <c r="J28" s="593">
        <f>'7'!I88+'7'!S88</f>
        <v>1649213.05</v>
      </c>
      <c r="K28" s="593">
        <f t="shared" si="38"/>
        <v>490.75</v>
      </c>
      <c r="L28" s="591">
        <f t="shared" si="39"/>
        <v>2.9765473542754894E-4</v>
      </c>
    </row>
    <row r="29" spans="1:12">
      <c r="A29" s="16"/>
      <c r="B29" s="16" t="s">
        <v>568</v>
      </c>
      <c r="C29" s="16"/>
      <c r="D29" s="21">
        <f>'Table 2'!H53</f>
        <v>931987123</v>
      </c>
      <c r="E29" s="593">
        <f>'8'!C10</f>
        <v>932438483</v>
      </c>
      <c r="F29" s="593">
        <f t="shared" si="36"/>
        <v>451360</v>
      </c>
      <c r="G29" s="591">
        <f t="shared" si="37"/>
        <v>4.8429853681572808E-4</v>
      </c>
      <c r="I29" s="21">
        <f>'Table 2'!P53</f>
        <v>66179716.859999999</v>
      </c>
      <c r="J29" s="593">
        <f>'8'!D10</f>
        <v>66211757.589999996</v>
      </c>
      <c r="K29" s="593">
        <f t="shared" si="38"/>
        <v>32040.729999996722</v>
      </c>
      <c r="L29" s="591">
        <f t="shared" si="39"/>
        <v>4.8414728137591371E-4</v>
      </c>
    </row>
    <row r="30" spans="1:12">
      <c r="A30" s="16"/>
      <c r="B30" s="16" t="s">
        <v>1044</v>
      </c>
      <c r="C30" s="16"/>
      <c r="D30" s="21">
        <f>'Table 2'!H54</f>
        <v>57650918</v>
      </c>
      <c r="E30" s="593">
        <f>'8'!C13</f>
        <v>57650918</v>
      </c>
      <c r="F30" s="593">
        <f t="shared" ref="F30" si="52">E30-D30</f>
        <v>0</v>
      </c>
      <c r="G30" s="591">
        <f t="shared" ref="G30" si="53">F30/D30</f>
        <v>0</v>
      </c>
      <c r="I30" s="21">
        <f>'Table 2'!P54</f>
        <v>4355699.9000000004</v>
      </c>
      <c r="J30" s="593">
        <f>'8'!D13</f>
        <v>4355699.9000000004</v>
      </c>
      <c r="K30" s="593">
        <f t="shared" ref="K30" si="54">J30-I30</f>
        <v>0</v>
      </c>
      <c r="L30" s="591">
        <f t="shared" ref="L30" si="55">K30/I30</f>
        <v>0</v>
      </c>
    </row>
    <row r="31" spans="1:12" s="815" customFormat="1">
      <c r="A31" s="813"/>
      <c r="B31" s="813" t="s">
        <v>1220</v>
      </c>
      <c r="C31" s="813"/>
      <c r="D31" s="814">
        <f>'Table 2'!H55</f>
        <v>1346159</v>
      </c>
      <c r="E31" s="817">
        <f>'8'!C16</f>
        <v>1346159</v>
      </c>
      <c r="F31" s="817">
        <f t="shared" ref="F31" si="56">E31-D31</f>
        <v>0</v>
      </c>
      <c r="G31" s="818">
        <f t="shared" ref="G31" si="57">F31/D31</f>
        <v>0</v>
      </c>
      <c r="I31" s="814">
        <f>'Table 2'!P55</f>
        <v>127011.04</v>
      </c>
      <c r="J31" s="817">
        <f>'8'!D16</f>
        <v>127011.04</v>
      </c>
      <c r="K31" s="817">
        <f t="shared" ref="K31" si="58">J31-I31</f>
        <v>0</v>
      </c>
      <c r="L31" s="818">
        <f t="shared" ref="L31" si="59">K31/I31</f>
        <v>0</v>
      </c>
    </row>
    <row r="32" spans="1:12">
      <c r="A32" s="16"/>
      <c r="B32" s="16" t="s">
        <v>412</v>
      </c>
      <c r="C32" s="16"/>
      <c r="D32" s="21">
        <f>'Table 2'!H56</f>
        <v>1099218757</v>
      </c>
      <c r="E32" s="593">
        <f>'9'!C8</f>
        <v>949422758</v>
      </c>
      <c r="F32" s="593">
        <f t="shared" si="36"/>
        <v>-149795999</v>
      </c>
      <c r="G32" s="591">
        <f t="shared" si="37"/>
        <v>-0.13627496623949986</v>
      </c>
      <c r="I32" s="21">
        <f>'Table 2'!P56</f>
        <v>61403830.159999996</v>
      </c>
      <c r="J32" s="593">
        <f>'9'!D8</f>
        <v>53011343.799999997</v>
      </c>
      <c r="K32" s="593">
        <f t="shared" si="38"/>
        <v>-8392486.3599999994</v>
      </c>
      <c r="L32" s="591">
        <f t="shared" si="39"/>
        <v>-0.13667691963403086</v>
      </c>
    </row>
    <row r="33" spans="1:12" s="22" customFormat="1">
      <c r="B33" s="16" t="s">
        <v>456</v>
      </c>
      <c r="D33" s="21">
        <f>'Table 2'!H57</f>
        <v>22539691</v>
      </c>
      <c r="E33" s="593">
        <f>'9A'!C6</f>
        <v>22539691</v>
      </c>
      <c r="F33" s="593">
        <f t="shared" si="36"/>
        <v>0</v>
      </c>
      <c r="G33" s="591">
        <f t="shared" si="37"/>
        <v>0</v>
      </c>
      <c r="I33" s="21">
        <f>'Table 2'!P57</f>
        <v>1480550.65</v>
      </c>
      <c r="J33" s="593">
        <f>'9A'!D6</f>
        <v>1480550.65</v>
      </c>
      <c r="K33" s="593">
        <f t="shared" si="38"/>
        <v>0</v>
      </c>
      <c r="L33" s="591">
        <f t="shared" si="39"/>
        <v>0</v>
      </c>
    </row>
    <row r="34" spans="1:12">
      <c r="A34" s="16"/>
      <c r="B34" s="16" t="s">
        <v>601</v>
      </c>
      <c r="C34" s="16"/>
      <c r="D34" s="21">
        <f>'Table 2'!H58</f>
        <v>14553989</v>
      </c>
      <c r="E34" s="593">
        <f>'15M'!C2</f>
        <v>14553989</v>
      </c>
      <c r="F34" s="593">
        <f>E34-D34</f>
        <v>0</v>
      </c>
      <c r="G34" s="591">
        <f>F34/D34</f>
        <v>0</v>
      </c>
      <c r="I34" s="21">
        <f>'Table 2'!P58</f>
        <v>1049398.6399999999</v>
      </c>
      <c r="J34" s="593">
        <f>'15M'!D2</f>
        <v>1049398.6399999999</v>
      </c>
      <c r="K34" s="593">
        <f>J34-I34</f>
        <v>0</v>
      </c>
      <c r="L34" s="591">
        <f>K34/I34</f>
        <v>0</v>
      </c>
    </row>
    <row r="35" spans="1:12">
      <c r="A35" s="16"/>
      <c r="B35" s="16" t="s">
        <v>600</v>
      </c>
      <c r="C35" s="16"/>
      <c r="D35" s="21">
        <f>'Table 2'!H59</f>
        <v>3232820</v>
      </c>
      <c r="E35" s="593">
        <f>'15T'!C13</f>
        <v>3232820</v>
      </c>
      <c r="F35" s="593">
        <f t="shared" si="36"/>
        <v>0</v>
      </c>
      <c r="G35" s="591">
        <f t="shared" si="37"/>
        <v>0</v>
      </c>
      <c r="I35" s="21">
        <f>'Table 2'!P59</f>
        <v>331621.76000000001</v>
      </c>
      <c r="J35" s="593">
        <f>'15T'!D13</f>
        <v>331622.15999999997</v>
      </c>
      <c r="K35" s="593">
        <f t="shared" si="38"/>
        <v>0.3999999999650754</v>
      </c>
      <c r="L35" s="591">
        <f t="shared" si="39"/>
        <v>1.2061934656069475E-6</v>
      </c>
    </row>
    <row r="36" spans="1:12">
      <c r="A36" s="16"/>
      <c r="B36" s="16" t="s">
        <v>112</v>
      </c>
      <c r="C36" s="16"/>
      <c r="D36" s="21">
        <f>'Table 2'!H60</f>
        <v>1247106137</v>
      </c>
      <c r="E36" s="593">
        <f>'23'!C24</f>
        <v>1245835655</v>
      </c>
      <c r="F36" s="593">
        <f t="shared" si="36"/>
        <v>-1270482</v>
      </c>
      <c r="G36" s="591">
        <f t="shared" si="37"/>
        <v>-1.018744084650431E-3</v>
      </c>
      <c r="I36" s="21">
        <f>'Table 2'!P60</f>
        <v>121006473.94999999</v>
      </c>
      <c r="J36" s="593">
        <f>'23'!D24</f>
        <v>120844566.53</v>
      </c>
      <c r="K36" s="593">
        <f t="shared" si="38"/>
        <v>-161907.41999998689</v>
      </c>
      <c r="L36" s="591">
        <f t="shared" si="39"/>
        <v>-1.3380062629284382E-3</v>
      </c>
    </row>
    <row r="37" spans="1:12">
      <c r="A37" s="16"/>
      <c r="B37" s="16" t="s">
        <v>1041</v>
      </c>
      <c r="C37" s="16"/>
      <c r="D37" s="21">
        <f>'Table 2'!H61</f>
        <v>9741308</v>
      </c>
      <c r="E37" s="593">
        <f>'23'!C28</f>
        <v>9741310</v>
      </c>
      <c r="F37" s="593">
        <f t="shared" ref="F37" si="60">E37-D37</f>
        <v>2</v>
      </c>
      <c r="G37" s="591">
        <f t="shared" ref="G37" si="61">F37/D37</f>
        <v>2.0531123746420912E-7</v>
      </c>
      <c r="I37" s="21">
        <f>'Table 2'!P61</f>
        <v>1020793.71</v>
      </c>
      <c r="J37" s="593">
        <f>'23'!D28</f>
        <v>1021527.86</v>
      </c>
      <c r="K37" s="593">
        <f t="shared" ref="K37" si="62">J37-I37</f>
        <v>734.15000000002328</v>
      </c>
      <c r="L37" s="591">
        <f t="shared" ref="L37" si="63">K37/I37</f>
        <v>7.1919526228274202E-4</v>
      </c>
    </row>
    <row r="38" spans="1:12" s="815" customFormat="1">
      <c r="A38" s="813"/>
      <c r="B38" s="813" t="s">
        <v>1218</v>
      </c>
      <c r="C38" s="813"/>
      <c r="D38" s="814">
        <f>'Table 2'!H62</f>
        <v>1128907</v>
      </c>
      <c r="E38" s="817">
        <f>'23'!C32</f>
        <v>1128908</v>
      </c>
      <c r="F38" s="817">
        <f t="shared" ref="F38" si="64">E38-D38</f>
        <v>1</v>
      </c>
      <c r="G38" s="818">
        <f t="shared" ref="G38" si="65">F38/D38</f>
        <v>8.8581256029061741E-7</v>
      </c>
      <c r="I38" s="814">
        <f>'Table 2'!P62</f>
        <v>107753.21</v>
      </c>
      <c r="J38" s="817">
        <f>'23'!D32</f>
        <v>107758.41</v>
      </c>
      <c r="K38" s="817">
        <f t="shared" ref="K38" si="66">J38-I38</f>
        <v>5.1999999999970896</v>
      </c>
      <c r="L38" s="818">
        <f t="shared" ref="L38" si="67">K38/I38</f>
        <v>4.8258423113307612E-5</v>
      </c>
    </row>
    <row r="39" spans="1:12" s="22" customFormat="1">
      <c r="B39" s="16" t="s">
        <v>414</v>
      </c>
      <c r="D39" s="21">
        <f>'Table 2'!H63</f>
        <v>134486047</v>
      </c>
      <c r="E39" s="593">
        <f>'31'!E2+'31'!E3</f>
        <v>134486047</v>
      </c>
      <c r="F39" s="593">
        <f t="shared" si="36"/>
        <v>0</v>
      </c>
      <c r="G39" s="591">
        <f t="shared" si="37"/>
        <v>0</v>
      </c>
      <c r="I39" s="21">
        <f>'Table 2'!P63</f>
        <v>8265787.2999999998</v>
      </c>
      <c r="J39" s="593">
        <f>'31'!F2+'31'!F3</f>
        <v>8265787.2999999998</v>
      </c>
      <c r="K39" s="593">
        <f t="shared" si="38"/>
        <v>0</v>
      </c>
      <c r="L39" s="591">
        <f t="shared" si="39"/>
        <v>0</v>
      </c>
    </row>
    <row r="40" spans="1:12" s="22" customFormat="1">
      <c r="B40" s="16" t="s">
        <v>1339</v>
      </c>
      <c r="D40" s="21">
        <f>'Table 2'!H64</f>
        <v>13073297</v>
      </c>
      <c r="E40" s="593">
        <f>'32'!C2</f>
        <v>14570978</v>
      </c>
      <c r="F40" s="593">
        <f t="shared" ref="F40" si="68">E40-D40</f>
        <v>1497681</v>
      </c>
      <c r="G40" s="591">
        <f t="shared" ref="G40" si="69">F40/D40</f>
        <v>0.11456031328592933</v>
      </c>
      <c r="I40" s="21">
        <f>'Table 2'!P64</f>
        <v>842610.25</v>
      </c>
      <c r="J40" s="593">
        <f>'32'!D2</f>
        <v>842610.28</v>
      </c>
      <c r="K40" s="593">
        <f t="shared" ref="K40" si="70">J40-I40</f>
        <v>3.0000000027939677E-2</v>
      </c>
      <c r="L40" s="591">
        <f t="shared" ref="L40" si="71">K40/I40</f>
        <v>3.5603649525910319E-8</v>
      </c>
    </row>
    <row r="41" spans="1:12">
      <c r="A41" s="16"/>
      <c r="B41" s="16" t="s">
        <v>459</v>
      </c>
      <c r="C41" s="16"/>
      <c r="D41" s="21">
        <f>'Table 2'!H66</f>
        <v>5996</v>
      </c>
      <c r="E41" s="594">
        <f>PTL!F2</f>
        <v>5998.0830817092101</v>
      </c>
      <c r="F41" s="593">
        <f t="shared" ref="F41" si="72">E41-D41</f>
        <v>2.0830817092100915</v>
      </c>
      <c r="G41" s="591">
        <f t="shared" ref="G41" si="73">F41/D41</f>
        <v>3.4741189279687983E-4</v>
      </c>
      <c r="I41" s="21"/>
      <c r="J41" s="594"/>
      <c r="K41" s="594"/>
      <c r="L41" s="590"/>
    </row>
    <row r="42" spans="1:12">
      <c r="A42" s="16"/>
      <c r="C42" s="16"/>
      <c r="D42" s="21"/>
      <c r="E42" s="593"/>
      <c r="F42" s="593"/>
      <c r="G42" s="590"/>
      <c r="I42" s="21"/>
      <c r="J42" s="593"/>
      <c r="K42" s="593"/>
      <c r="L42" s="590"/>
    </row>
    <row r="43" spans="1:12">
      <c r="A43" s="17" t="s">
        <v>117</v>
      </c>
      <c r="B43" s="17"/>
      <c r="C43" s="16"/>
      <c r="D43" s="21"/>
      <c r="E43" s="593"/>
      <c r="F43" s="593"/>
      <c r="G43" s="590"/>
      <c r="I43" s="21"/>
      <c r="J43" s="593"/>
      <c r="K43" s="593"/>
      <c r="L43" s="590"/>
    </row>
    <row r="44" spans="1:12">
      <c r="A44" s="16"/>
      <c r="B44" s="16" t="s">
        <v>113</v>
      </c>
      <c r="C44" s="16"/>
      <c r="D44" s="21">
        <f>'Table 2'!H83</f>
        <v>604621406</v>
      </c>
      <c r="E44" s="593">
        <f>'6'!D24</f>
        <v>604621407</v>
      </c>
      <c r="F44" s="593">
        <f t="shared" ref="F44:F61" si="74">E44-D44</f>
        <v>1</v>
      </c>
      <c r="G44" s="591">
        <f t="shared" ref="G44:G61" si="75">F44/D44</f>
        <v>1.6539275488370651E-9</v>
      </c>
      <c r="I44" s="21">
        <f>'Table 2'!P83</f>
        <v>51353856.679999992</v>
      </c>
      <c r="J44" s="593">
        <f>'6'!E24</f>
        <v>51396547.999999993</v>
      </c>
      <c r="K44" s="593">
        <f t="shared" ref="K44:K61" si="76">J44-I44</f>
        <v>42691.320000000298</v>
      </c>
      <c r="L44" s="591">
        <f t="shared" ref="L44:L61" si="77">K44/I44</f>
        <v>8.3131672594760815E-4</v>
      </c>
    </row>
    <row r="45" spans="1:12">
      <c r="A45" s="16"/>
      <c r="B45" s="16" t="s">
        <v>1040</v>
      </c>
      <c r="C45" s="16"/>
      <c r="D45" s="21">
        <f>'Table 2'!H84</f>
        <v>2230442</v>
      </c>
      <c r="E45" s="593">
        <f>'6'!D28</f>
        <v>2230442</v>
      </c>
      <c r="F45" s="593">
        <f t="shared" ref="F45" si="78">E45-D45</f>
        <v>0</v>
      </c>
      <c r="G45" s="591">
        <f t="shared" ref="G45" si="79">F45/D45</f>
        <v>0</v>
      </c>
      <c r="I45" s="21">
        <f>'Table 2'!P84</f>
        <v>208870.96</v>
      </c>
      <c r="J45" s="593">
        <f>'6'!E28</f>
        <v>208870.96</v>
      </c>
      <c r="K45" s="593">
        <f t="shared" ref="K45" si="80">J45-I45</f>
        <v>0</v>
      </c>
      <c r="L45" s="591">
        <f t="shared" ref="L45" si="81">K45/I45</f>
        <v>0</v>
      </c>
    </row>
    <row r="46" spans="1:12">
      <c r="A46" s="16"/>
      <c r="B46" s="16" t="s">
        <v>453</v>
      </c>
      <c r="C46" s="16"/>
      <c r="D46" s="21">
        <f>'Table 2'!H86</f>
        <v>56012877</v>
      </c>
      <c r="E46" s="593">
        <f>'6A'!D17</f>
        <v>55474461</v>
      </c>
      <c r="F46" s="593">
        <f t="shared" si="74"/>
        <v>-538416</v>
      </c>
      <c r="G46" s="591">
        <f t="shared" si="75"/>
        <v>-9.6123611004662376E-3</v>
      </c>
      <c r="I46" s="21">
        <f>'Table 2'!P86</f>
        <v>6465556.4099999992</v>
      </c>
      <c r="J46" s="593">
        <f>'6A'!E17</f>
        <v>6466513.7799999993</v>
      </c>
      <c r="K46" s="593">
        <f t="shared" si="76"/>
        <v>957.37000000011176</v>
      </c>
      <c r="L46" s="591">
        <f t="shared" si="77"/>
        <v>1.4807232963266528E-4</v>
      </c>
    </row>
    <row r="47" spans="1:12">
      <c r="A47" s="16"/>
      <c r="B47" s="16" t="s">
        <v>1043</v>
      </c>
      <c r="C47" s="16"/>
      <c r="D47" s="21">
        <f>'Table 2'!H87</f>
        <v>4050614</v>
      </c>
      <c r="E47" s="593">
        <f>'6A'!D21</f>
        <v>4050615</v>
      </c>
      <c r="F47" s="593">
        <f t="shared" ref="F47" si="82">E47-D47</f>
        <v>1</v>
      </c>
      <c r="G47" s="591">
        <f t="shared" ref="G47" si="83">F47/D47</f>
        <v>2.4687615260303745E-7</v>
      </c>
      <c r="I47" s="21">
        <f>'Table 2'!P87</f>
        <v>560062.84</v>
      </c>
      <c r="J47" s="593">
        <f>'6A'!E21</f>
        <v>560281.1</v>
      </c>
      <c r="K47" s="593">
        <f t="shared" ref="K47" si="84">J47-I47</f>
        <v>218.26000000000931</v>
      </c>
      <c r="L47" s="591">
        <f t="shared" ref="L47" si="85">K47/I47</f>
        <v>3.8970626938935877E-4</v>
      </c>
    </row>
    <row r="48" spans="1:12" s="22" customFormat="1">
      <c r="B48" s="16" t="s">
        <v>454</v>
      </c>
      <c r="D48" s="21">
        <f>'Table 2'!H88</f>
        <v>7086</v>
      </c>
      <c r="E48" s="593">
        <f>'6'!D36</f>
        <v>7086</v>
      </c>
      <c r="F48" s="593">
        <f t="shared" si="74"/>
        <v>0</v>
      </c>
      <c r="G48" s="591">
        <f t="shared" si="75"/>
        <v>0</v>
      </c>
      <c r="I48" s="21">
        <f>'Table 2'!P88</f>
        <v>2755.91</v>
      </c>
      <c r="J48" s="593">
        <f>'6'!E36</f>
        <v>2755.91</v>
      </c>
      <c r="K48" s="593">
        <f t="shared" si="76"/>
        <v>0</v>
      </c>
      <c r="L48" s="591">
        <f t="shared" si="77"/>
        <v>0</v>
      </c>
    </row>
    <row r="49" spans="1:12">
      <c r="A49" s="16"/>
      <c r="B49" s="16" t="s">
        <v>455</v>
      </c>
      <c r="C49" s="16"/>
      <c r="D49" s="21">
        <f>'Table 2'!H89</f>
        <v>948300</v>
      </c>
      <c r="E49" s="593">
        <f>'7'!H89</f>
        <v>948299.16370167176</v>
      </c>
      <c r="F49" s="593">
        <f t="shared" si="74"/>
        <v>-0.83629832824226469</v>
      </c>
      <c r="G49" s="591">
        <f t="shared" si="75"/>
        <v>-8.8189215252796028E-7</v>
      </c>
      <c r="I49" s="21">
        <f>'Table 2'!P89</f>
        <v>199529.37</v>
      </c>
      <c r="J49" s="593">
        <f>'7'!I89+'7'!S89</f>
        <v>199986.12999999995</v>
      </c>
      <c r="K49" s="593">
        <f t="shared" si="76"/>
        <v>456.75999999995111</v>
      </c>
      <c r="L49" s="591">
        <f t="shared" si="77"/>
        <v>2.2891867999179825E-3</v>
      </c>
    </row>
    <row r="50" spans="1:12">
      <c r="A50" s="16"/>
      <c r="B50" s="16" t="s">
        <v>568</v>
      </c>
      <c r="C50" s="16"/>
      <c r="D50" s="21">
        <f>'Table 2'!H90</f>
        <v>1011763654</v>
      </c>
      <c r="E50" s="593">
        <f>'8'!C11</f>
        <v>1011763654</v>
      </c>
      <c r="F50" s="593">
        <f t="shared" si="74"/>
        <v>0</v>
      </c>
      <c r="G50" s="591">
        <f t="shared" si="75"/>
        <v>0</v>
      </c>
      <c r="I50" s="21">
        <f>'Table 2'!P90</f>
        <v>74133476.980000004</v>
      </c>
      <c r="J50" s="593">
        <f>'8'!D11</f>
        <v>74134098.329999998</v>
      </c>
      <c r="K50" s="593">
        <f t="shared" si="76"/>
        <v>621.34999999403954</v>
      </c>
      <c r="L50" s="591">
        <f t="shared" si="77"/>
        <v>8.3815035434216792E-6</v>
      </c>
    </row>
    <row r="51" spans="1:12">
      <c r="A51" s="16"/>
      <c r="B51" s="16" t="s">
        <v>412</v>
      </c>
      <c r="C51" s="16"/>
      <c r="D51" s="21">
        <f>'Table 2'!H91</f>
        <v>3593642664</v>
      </c>
      <c r="E51" s="593">
        <f>'9'!C9</f>
        <v>3593642667</v>
      </c>
      <c r="F51" s="593">
        <f t="shared" si="74"/>
        <v>3</v>
      </c>
      <c r="G51" s="591">
        <f t="shared" si="75"/>
        <v>8.348075422336983E-10</v>
      </c>
      <c r="I51" s="21">
        <f>'Table 2'!P91</f>
        <v>194535572.78</v>
      </c>
      <c r="J51" s="593">
        <f>'9'!D9</f>
        <v>194557854.37</v>
      </c>
      <c r="K51" s="593">
        <f t="shared" si="76"/>
        <v>22281.590000003576</v>
      </c>
      <c r="L51" s="591">
        <f t="shared" si="77"/>
        <v>1.1453735520753212E-4</v>
      </c>
    </row>
    <row r="52" spans="1:12" s="22" customFormat="1">
      <c r="B52" s="16" t="s">
        <v>456</v>
      </c>
      <c r="D52" s="21">
        <f>'Table 2'!H92</f>
        <v>17623260</v>
      </c>
      <c r="E52" s="593">
        <f>'9A'!C7</f>
        <v>17623260</v>
      </c>
      <c r="F52" s="593">
        <f t="shared" si="74"/>
        <v>0</v>
      </c>
      <c r="G52" s="591">
        <f t="shared" si="75"/>
        <v>0</v>
      </c>
      <c r="I52" s="21">
        <f>'Table 2'!P92</f>
        <v>1569320.4</v>
      </c>
      <c r="J52" s="593">
        <f>'9A'!D7</f>
        <v>1569320.4</v>
      </c>
      <c r="K52" s="593">
        <f t="shared" si="76"/>
        <v>0</v>
      </c>
      <c r="L52" s="591">
        <f t="shared" si="77"/>
        <v>0</v>
      </c>
    </row>
    <row r="53" spans="1:12" s="22" customFormat="1">
      <c r="B53" s="16" t="s">
        <v>601</v>
      </c>
      <c r="C53" s="23"/>
      <c r="D53" s="21">
        <f>'Table 2'!H93</f>
        <v>12527</v>
      </c>
      <c r="E53" s="593">
        <f>'15M'!C3</f>
        <v>12527</v>
      </c>
      <c r="F53" s="593">
        <f>E53-D53</f>
        <v>0</v>
      </c>
      <c r="G53" s="591">
        <f>F53/D53</f>
        <v>0</v>
      </c>
      <c r="I53" s="21">
        <f>'Table 2'!P93</f>
        <v>2295.5700000000002</v>
      </c>
      <c r="J53" s="593">
        <f>'15M'!D3</f>
        <v>2295.5700000000002</v>
      </c>
      <c r="K53" s="593">
        <f>J53-I53</f>
        <v>0</v>
      </c>
      <c r="L53" s="591">
        <f>K53/I53</f>
        <v>0</v>
      </c>
    </row>
    <row r="54" spans="1:12">
      <c r="A54" s="16"/>
      <c r="B54" s="16" t="s">
        <v>600</v>
      </c>
      <c r="C54" s="16"/>
      <c r="D54" s="21">
        <f>'Table 2'!H94</f>
        <v>47617</v>
      </c>
      <c r="E54" s="593">
        <f>'15T'!C14</f>
        <v>47617</v>
      </c>
      <c r="F54" s="593">
        <f t="shared" si="74"/>
        <v>0</v>
      </c>
      <c r="G54" s="591">
        <f t="shared" si="75"/>
        <v>0</v>
      </c>
      <c r="I54" s="21">
        <f>'Table 2'!P94</f>
        <v>4639.6499999999996</v>
      </c>
      <c r="J54" s="593">
        <f>'15T'!D14</f>
        <v>4639.6499999999996</v>
      </c>
      <c r="K54" s="593">
        <f t="shared" si="76"/>
        <v>0</v>
      </c>
      <c r="L54" s="591">
        <f t="shared" si="77"/>
        <v>0</v>
      </c>
    </row>
    <row r="55" spans="1:12">
      <c r="A55" s="16"/>
      <c r="B55" s="16" t="s">
        <v>413</v>
      </c>
      <c r="C55" s="16"/>
      <c r="D55" s="21">
        <f>'Table 2'!H95</f>
        <v>1256081</v>
      </c>
      <c r="E55" s="593">
        <f>'21'!D9</f>
        <v>1256082</v>
      </c>
      <c r="F55" s="593">
        <f t="shared" si="74"/>
        <v>1</v>
      </c>
      <c r="G55" s="591">
        <f t="shared" si="75"/>
        <v>7.961270013637656E-7</v>
      </c>
      <c r="I55" s="21">
        <f>'Table 2'!P95</f>
        <v>157232.69</v>
      </c>
      <c r="J55" s="593">
        <f>'21'!E9</f>
        <v>159237.51999999999</v>
      </c>
      <c r="K55" s="593">
        <f t="shared" si="76"/>
        <v>2004.8299999999872</v>
      </c>
      <c r="L55" s="591">
        <f t="shared" si="77"/>
        <v>1.2750719967965868E-2</v>
      </c>
    </row>
    <row r="56" spans="1:12">
      <c r="A56" s="16"/>
      <c r="B56" s="16" t="s">
        <v>112</v>
      </c>
      <c r="C56" s="16"/>
      <c r="D56" s="21">
        <f>'Table 2'!H96</f>
        <v>53331167</v>
      </c>
      <c r="E56" s="593">
        <f>'23'!C25</f>
        <v>53326748</v>
      </c>
      <c r="F56" s="593">
        <f t="shared" si="74"/>
        <v>-4419</v>
      </c>
      <c r="G56" s="591">
        <f t="shared" si="75"/>
        <v>-8.2859615654013352E-5</v>
      </c>
      <c r="I56" s="21">
        <f>'Table 2'!P96</f>
        <v>5177414.0199999996</v>
      </c>
      <c r="J56" s="593">
        <f>'23'!D25</f>
        <v>5176771.6499999994</v>
      </c>
      <c r="K56" s="593">
        <f t="shared" si="76"/>
        <v>-642.37000000011176</v>
      </c>
      <c r="L56" s="591">
        <f t="shared" si="77"/>
        <v>-1.2407159201846326E-4</v>
      </c>
    </row>
    <row r="57" spans="1:12">
      <c r="A57" s="16"/>
      <c r="B57" s="16" t="s">
        <v>1041</v>
      </c>
      <c r="C57" s="16"/>
      <c r="D57" s="21">
        <f>'Table 2'!H97</f>
        <v>176532</v>
      </c>
      <c r="E57" s="593">
        <f>'23'!C29</f>
        <v>176532</v>
      </c>
      <c r="F57" s="593">
        <f t="shared" ref="F57" si="86">E57-D57</f>
        <v>0</v>
      </c>
      <c r="G57" s="591">
        <f t="shared" ref="G57" si="87">F57/D57</f>
        <v>0</v>
      </c>
      <c r="I57" s="21">
        <f>'Table 2'!P97</f>
        <v>20297.66</v>
      </c>
      <c r="J57" s="593">
        <f>'23'!D29</f>
        <v>20297.66</v>
      </c>
      <c r="K57" s="593">
        <f t="shared" ref="K57" si="88">J57-I57</f>
        <v>0</v>
      </c>
      <c r="L57" s="591">
        <f t="shared" ref="L57" si="89">K57/I57</f>
        <v>0</v>
      </c>
    </row>
    <row r="58" spans="1:12">
      <c r="A58" s="16"/>
      <c r="B58" s="16" t="s">
        <v>414</v>
      </c>
      <c r="C58" s="16"/>
      <c r="D58" s="21">
        <f>'Table 2'!H98</f>
        <v>49625166</v>
      </c>
      <c r="E58" s="593">
        <f>'31'!E4</f>
        <v>49625166</v>
      </c>
      <c r="F58" s="593">
        <f t="shared" si="74"/>
        <v>0</v>
      </c>
      <c r="G58" s="591">
        <f t="shared" si="75"/>
        <v>0</v>
      </c>
      <c r="I58" s="21">
        <f>'Table 2'!P98</f>
        <v>3757081.15</v>
      </c>
      <c r="J58" s="593">
        <f>'31'!F4</f>
        <v>3757081.15</v>
      </c>
      <c r="K58" s="593">
        <f t="shared" si="76"/>
        <v>0</v>
      </c>
      <c r="L58" s="591">
        <f t="shared" si="77"/>
        <v>0</v>
      </c>
    </row>
    <row r="59" spans="1:12">
      <c r="A59" s="16"/>
      <c r="B59" s="16" t="s">
        <v>399</v>
      </c>
      <c r="C59" s="16"/>
      <c r="D59" s="21">
        <f>'Table 2'!H99</f>
        <v>602656000</v>
      </c>
      <c r="E59" s="593">
        <f>'Table 4'!L15</f>
        <v>602656000</v>
      </c>
      <c r="F59" s="593">
        <f t="shared" si="74"/>
        <v>0</v>
      </c>
      <c r="G59" s="591">
        <f t="shared" si="75"/>
        <v>0</v>
      </c>
      <c r="I59" s="21">
        <f>'Table 2'!P99</f>
        <v>30565663.190000001</v>
      </c>
      <c r="J59" s="593">
        <f>'Table 4'!C15</f>
        <v>30565663.190000001</v>
      </c>
      <c r="K59" s="593">
        <f t="shared" si="76"/>
        <v>0</v>
      </c>
      <c r="L59" s="591">
        <f t="shared" si="77"/>
        <v>0</v>
      </c>
    </row>
    <row r="60" spans="1:12">
      <c r="A60" s="16"/>
      <c r="B60" s="16" t="s">
        <v>400</v>
      </c>
      <c r="C60" s="16"/>
      <c r="D60" s="21">
        <f>'Table 2'!H100</f>
        <v>809246440</v>
      </c>
      <c r="E60" s="593">
        <f>'Table 4'!L16</f>
        <v>809246440</v>
      </c>
      <c r="F60" s="593">
        <f t="shared" si="74"/>
        <v>0</v>
      </c>
      <c r="G60" s="591">
        <f t="shared" si="75"/>
        <v>0</v>
      </c>
      <c r="I60" s="21">
        <f>'Table 2'!P100</f>
        <v>36340880.280000001</v>
      </c>
      <c r="J60" s="593">
        <f>'Table 4'!C16</f>
        <v>36340880.280000001</v>
      </c>
      <c r="K60" s="593">
        <f t="shared" si="76"/>
        <v>0</v>
      </c>
      <c r="L60" s="591">
        <f t="shared" si="77"/>
        <v>0</v>
      </c>
    </row>
    <row r="61" spans="1:12">
      <c r="A61" s="16"/>
      <c r="B61" s="16" t="s">
        <v>401</v>
      </c>
      <c r="C61" s="16"/>
      <c r="D61" s="21">
        <f>'Table 2'!H101</f>
        <v>1287045423</v>
      </c>
      <c r="E61" s="593">
        <f>'Table 4'!L17</f>
        <v>1287045423</v>
      </c>
      <c r="F61" s="593">
        <f t="shared" si="74"/>
        <v>0</v>
      </c>
      <c r="G61" s="591">
        <f t="shared" si="75"/>
        <v>0</v>
      </c>
      <c r="I61" s="21">
        <f>'Table 2'!P101</f>
        <v>67226916.909999996</v>
      </c>
      <c r="J61" s="593">
        <f>'Table 4'!C17</f>
        <v>67226916.909999996</v>
      </c>
      <c r="K61" s="593">
        <f t="shared" si="76"/>
        <v>0</v>
      </c>
      <c r="L61" s="591">
        <f t="shared" si="77"/>
        <v>0</v>
      </c>
    </row>
    <row r="62" spans="1:12">
      <c r="A62" s="16"/>
      <c r="C62" s="16"/>
      <c r="D62" s="21"/>
      <c r="E62" s="593"/>
      <c r="F62" s="593"/>
      <c r="G62" s="591"/>
      <c r="I62" s="21"/>
      <c r="J62" s="593"/>
      <c r="K62" s="593"/>
      <c r="L62" s="591"/>
    </row>
    <row r="63" spans="1:12">
      <c r="A63" s="17" t="s">
        <v>227</v>
      </c>
      <c r="C63" s="16"/>
      <c r="D63" s="19"/>
      <c r="E63" s="594"/>
      <c r="F63" s="594"/>
      <c r="G63" s="590"/>
      <c r="I63" s="19"/>
      <c r="J63" s="594"/>
      <c r="K63" s="594"/>
      <c r="L63" s="590"/>
    </row>
    <row r="64" spans="1:12">
      <c r="A64" s="16"/>
      <c r="B64" s="16" t="s">
        <v>201</v>
      </c>
      <c r="C64" s="16"/>
      <c r="D64" s="21">
        <f>'Table 2'!H118</f>
        <v>200301702</v>
      </c>
      <c r="E64" s="593">
        <f>'10'!E19+'10'!E22</f>
        <v>200301702</v>
      </c>
      <c r="F64" s="593">
        <f>E64-D64</f>
        <v>0</v>
      </c>
      <c r="G64" s="591">
        <f>F64/D64</f>
        <v>0</v>
      </c>
      <c r="I64" s="21">
        <f>'Table 2'!P118</f>
        <v>15414694.850000001</v>
      </c>
      <c r="J64" s="593">
        <f>'10'!F19+'10'!F22</f>
        <v>15414695.299999999</v>
      </c>
      <c r="K64" s="593">
        <f>J64-I64</f>
        <v>0.44999999739229679</v>
      </c>
      <c r="L64" s="591">
        <f>K64/I64</f>
        <v>2.9192922842212265E-8</v>
      </c>
    </row>
    <row r="65" spans="1:12">
      <c r="A65" s="16"/>
      <c r="B65" s="16" t="s">
        <v>1045</v>
      </c>
      <c r="C65" s="16"/>
      <c r="D65" s="21">
        <f>'Table 2'!H119</f>
        <v>8317152</v>
      </c>
      <c r="E65" s="593">
        <f>'10'!E25</f>
        <v>8317153</v>
      </c>
      <c r="F65" s="593">
        <f>E65-D65</f>
        <v>1</v>
      </c>
      <c r="G65" s="591">
        <f>F65/D65</f>
        <v>1.2023346453208982E-7</v>
      </c>
      <c r="I65" s="21">
        <f>'Table 2'!P119</f>
        <v>660965.68999999994</v>
      </c>
      <c r="J65" s="593">
        <f>'10'!F25</f>
        <v>661032.06999999995</v>
      </c>
      <c r="K65" s="593">
        <f>J65-I65</f>
        <v>66.380000000004657</v>
      </c>
      <c r="L65" s="591">
        <f>K65/I65</f>
        <v>1.004288134835027E-4</v>
      </c>
    </row>
    <row r="66" spans="1:12">
      <c r="A66" s="16"/>
      <c r="C66" s="16"/>
      <c r="D66" s="21"/>
      <c r="E66" s="593"/>
      <c r="F66" s="593"/>
      <c r="G66" s="590"/>
      <c r="I66" s="21"/>
      <c r="J66" s="593"/>
      <c r="K66" s="593"/>
      <c r="L66" s="590"/>
    </row>
    <row r="67" spans="1:12">
      <c r="A67" s="17" t="s">
        <v>133</v>
      </c>
      <c r="B67" s="17"/>
      <c r="C67" s="16"/>
      <c r="D67" s="19"/>
      <c r="E67" s="594"/>
      <c r="F67" s="594"/>
      <c r="G67" s="590"/>
      <c r="I67" s="19"/>
      <c r="J67" s="594"/>
      <c r="K67" s="594"/>
      <c r="L67" s="590"/>
    </row>
    <row r="68" spans="1:12">
      <c r="A68" s="16"/>
      <c r="B68" s="16" t="s">
        <v>455</v>
      </c>
      <c r="C68" s="16"/>
      <c r="D68" s="21">
        <f>'Table 2'!H136</f>
        <v>362799</v>
      </c>
      <c r="E68" s="593">
        <f>'7'!H90</f>
        <v>362792.18250642717</v>
      </c>
      <c r="F68" s="593">
        <f t="shared" ref="F68:F72" si="90">E68-D68</f>
        <v>-6.8174935728311539</v>
      </c>
      <c r="G68" s="591">
        <f t="shared" ref="G68:G72" si="91">F68/D68</f>
        <v>-1.8791379173677858E-5</v>
      </c>
      <c r="I68" s="21">
        <f>'Table 2'!P136</f>
        <v>93721.74</v>
      </c>
      <c r="J68" s="593">
        <f>'7'!I90+'7'!S90</f>
        <v>93800.260000000024</v>
      </c>
      <c r="K68" s="593">
        <f t="shared" ref="K68:K72" si="92">J68-I68</f>
        <v>78.520000000018626</v>
      </c>
      <c r="L68" s="591">
        <f t="shared" ref="L68:L72" si="93">K68/I68</f>
        <v>8.377992128615903E-4</v>
      </c>
    </row>
    <row r="69" spans="1:12">
      <c r="A69" s="16"/>
      <c r="B69" s="16" t="s">
        <v>458</v>
      </c>
      <c r="C69" s="16"/>
      <c r="D69" s="21">
        <f>'Table 2'!H137</f>
        <v>13486873</v>
      </c>
      <c r="E69" s="593">
        <f>'11'!G33</f>
        <v>13486872.909364616</v>
      </c>
      <c r="F69" s="593">
        <f t="shared" si="90"/>
        <v>-9.0635383501648903E-2</v>
      </c>
      <c r="G69" s="591">
        <f t="shared" si="91"/>
        <v>-6.7202666994527867E-9</v>
      </c>
      <c r="I69" s="21">
        <f>'Table 2'!P137</f>
        <v>4076143.35</v>
      </c>
      <c r="J69" s="593">
        <f>'11'!H33+'11'!Q33</f>
        <v>4076143.3500000006</v>
      </c>
      <c r="K69" s="593">
        <f t="shared" si="92"/>
        <v>0</v>
      </c>
      <c r="L69" s="591">
        <f t="shared" si="93"/>
        <v>0</v>
      </c>
    </row>
    <row r="70" spans="1:12">
      <c r="A70" s="16"/>
      <c r="B70" s="16" t="s">
        <v>602</v>
      </c>
      <c r="C70" s="16"/>
      <c r="D70" s="21">
        <f>'Table 2'!H138</f>
        <v>41473261</v>
      </c>
      <c r="E70" s="593">
        <f>'12E'!H96</f>
        <v>41473245.180412054</v>
      </c>
      <c r="F70" s="593">
        <f>E70-D70</f>
        <v>-15.81958794593811</v>
      </c>
      <c r="G70" s="591">
        <f>F70/D70</f>
        <v>-3.8144065753445599E-7</v>
      </c>
      <c r="I70" s="21">
        <f>'Table 2'!P138</f>
        <v>2642631.15</v>
      </c>
      <c r="J70" s="593">
        <f>'12E'!I96+'12E'!S96</f>
        <v>2642631.1500000008</v>
      </c>
      <c r="K70" s="593">
        <f>J70-I70</f>
        <v>0</v>
      </c>
      <c r="L70" s="591">
        <f>K70/I70</f>
        <v>0</v>
      </c>
    </row>
    <row r="71" spans="1:12">
      <c r="A71" s="16"/>
      <c r="B71" s="16" t="s">
        <v>603</v>
      </c>
      <c r="C71" s="16"/>
      <c r="D71" s="21">
        <f>'Table 2'!H139</f>
        <v>950724</v>
      </c>
      <c r="E71" s="593">
        <f>'12F'!G14</f>
        <v>950724.17346773273</v>
      </c>
      <c r="F71" s="593">
        <f>E71-D71</f>
        <v>0.17346773273311555</v>
      </c>
      <c r="G71" s="591">
        <f>F71/D71</f>
        <v>1.824585607738056E-7</v>
      </c>
      <c r="I71" s="21">
        <f>'Table 2'!P139</f>
        <v>126854.46</v>
      </c>
      <c r="J71" s="593">
        <f>'12F'!H14+'12F'!Q14</f>
        <v>126998.46</v>
      </c>
      <c r="K71" s="593">
        <f>J71-I71</f>
        <v>144</v>
      </c>
      <c r="L71" s="591">
        <f>K71/I71</f>
        <v>1.1351591422169942E-3</v>
      </c>
    </row>
    <row r="72" spans="1:12">
      <c r="A72" s="16"/>
      <c r="B72" s="16" t="s">
        <v>604</v>
      </c>
      <c r="C72" s="16"/>
      <c r="D72" s="21">
        <f>'Table 2'!H140</f>
        <v>3021383</v>
      </c>
      <c r="E72" s="593">
        <f>'12P'!G24</f>
        <v>3021385.7550263642</v>
      </c>
      <c r="F72" s="593">
        <f t="shared" si="90"/>
        <v>2.7550263642333448</v>
      </c>
      <c r="G72" s="591">
        <f t="shared" si="91"/>
        <v>9.1184280981038974E-7</v>
      </c>
      <c r="I72" s="21">
        <f>'Table 2'!P140</f>
        <v>374185.08</v>
      </c>
      <c r="J72" s="593">
        <f>'12P'!H24+'12P'!Q24</f>
        <v>374185.08</v>
      </c>
      <c r="K72" s="593">
        <f t="shared" si="92"/>
        <v>0</v>
      </c>
      <c r="L72" s="591">
        <f t="shared" si="93"/>
        <v>0</v>
      </c>
    </row>
    <row r="73" spans="1:12">
      <c r="A73" s="16"/>
      <c r="B73" s="16" t="s">
        <v>601</v>
      </c>
      <c r="C73" s="16"/>
      <c r="D73" s="21">
        <f>'Table 2'!H141</f>
        <v>848753</v>
      </c>
      <c r="E73" s="593">
        <f>'15M'!C4</f>
        <v>848753</v>
      </c>
      <c r="F73" s="593">
        <f t="shared" ref="F73" si="94">E73-D73</f>
        <v>0</v>
      </c>
      <c r="G73" s="591">
        <f t="shared" ref="G73" si="95">F73/D73</f>
        <v>0</v>
      </c>
      <c r="I73" s="21">
        <f>'Table 2'!P141</f>
        <v>68635.67</v>
      </c>
      <c r="J73" s="593">
        <f>'15M'!D4</f>
        <v>68635.67</v>
      </c>
      <c r="K73" s="593">
        <f t="shared" ref="K73" si="96">J73-I73</f>
        <v>0</v>
      </c>
      <c r="L73" s="591">
        <f t="shared" ref="L73" si="97">K73/I73</f>
        <v>0</v>
      </c>
    </row>
    <row r="74" spans="1:12">
      <c r="A74" s="16"/>
      <c r="B74" s="16" t="s">
        <v>600</v>
      </c>
      <c r="C74" s="16"/>
      <c r="D74" s="21">
        <f>'Table 2'!H142</f>
        <v>4288651</v>
      </c>
      <c r="E74" s="593">
        <f>'15T'!C15</f>
        <v>4288651</v>
      </c>
      <c r="F74" s="593">
        <f>E74-D74</f>
        <v>0</v>
      </c>
      <c r="G74" s="591">
        <f>F74/D74</f>
        <v>0</v>
      </c>
      <c r="I74" s="21">
        <f>'Table 2'!P142</f>
        <v>450374.76</v>
      </c>
      <c r="J74" s="593">
        <f>'15T'!D15</f>
        <v>450374.76</v>
      </c>
      <c r="K74" s="593">
        <f>J74-I74</f>
        <v>0</v>
      </c>
      <c r="L74" s="591">
        <f>K74/I74</f>
        <v>0</v>
      </c>
    </row>
    <row r="75" spans="1:12">
      <c r="A75" s="16"/>
      <c r="C75" s="16"/>
      <c r="D75" s="20"/>
      <c r="E75" s="20"/>
      <c r="F75" s="20"/>
      <c r="I75" s="20"/>
      <c r="J75" s="20"/>
      <c r="K75" s="20"/>
    </row>
    <row r="76" spans="1:12" s="30" customFormat="1">
      <c r="A76" s="87"/>
      <c r="B76" s="88"/>
      <c r="C76" s="87"/>
      <c r="D76" s="87"/>
      <c r="E76" s="87"/>
      <c r="F76" s="87"/>
      <c r="J76" s="87"/>
      <c r="K76" s="87"/>
    </row>
    <row r="77" spans="1:12" s="30" customFormat="1">
      <c r="A77" s="87"/>
      <c r="B77" s="88"/>
      <c r="C77" s="87"/>
      <c r="D77" s="87"/>
      <c r="E77" s="87"/>
      <c r="F77" s="87"/>
      <c r="J77" s="87"/>
      <c r="K77" s="87"/>
    </row>
    <row r="78" spans="1:12">
      <c r="A78" s="31"/>
      <c r="B78" s="18"/>
      <c r="C78" s="31"/>
      <c r="D78" s="31"/>
      <c r="E78" s="31"/>
      <c r="F78" s="31"/>
      <c r="J78" s="31"/>
      <c r="K78" s="31"/>
    </row>
  </sheetData>
  <phoneticPr fontId="25" type="noConversion"/>
  <dataValidations count="1">
    <dataValidation type="decimal" allowBlank="1" showInputMessage="1" showErrorMessage="1" promptTitle="It's dangerous!" sqref="B55:B56 B58">
      <formula1>-10000000</formula1>
      <formula2>-1</formula2>
    </dataValidation>
  </dataValidations>
  <printOptions horizontalCentered="1"/>
  <pageMargins left="0.5" right="0.5" top="1" bottom="1" header="0.5" footer="0.5"/>
  <pageSetup scale="39" fitToHeight="0" orientation="landscape" r:id="rId1"/>
  <headerFooter alignWithMargins="0">
    <oddFooter>Page &amp;P of &amp;N</oddFooter>
  </headerFooter>
  <rowBreaks count="1" manualBreakCount="1">
    <brk id="41" max="6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C16"/>
  <sheetViews>
    <sheetView workbookViewId="0">
      <selection activeCell="M134" sqref="M134"/>
    </sheetView>
  </sheetViews>
  <sheetFormatPr defaultRowHeight="15.75"/>
  <cols>
    <col min="1" max="1" width="9.5" bestFit="1" customWidth="1"/>
    <col min="2" max="2" width="50.25" bestFit="1" customWidth="1"/>
  </cols>
  <sheetData>
    <row r="1" spans="1:3">
      <c r="A1" s="1171" t="s">
        <v>1529</v>
      </c>
      <c r="B1" s="1171" t="s">
        <v>1530</v>
      </c>
    </row>
    <row r="2" spans="1:3">
      <c r="A2" s="1187" t="s">
        <v>1501</v>
      </c>
      <c r="B2" s="1172" t="s">
        <v>1502</v>
      </c>
      <c r="C2" s="815" t="s">
        <v>1543</v>
      </c>
    </row>
    <row r="3" spans="1:3">
      <c r="A3" s="1187" t="s">
        <v>1503</v>
      </c>
      <c r="B3" s="1172" t="s">
        <v>1504</v>
      </c>
      <c r="C3" s="815" t="s">
        <v>1543</v>
      </c>
    </row>
    <row r="4" spans="1:3">
      <c r="A4" s="1187" t="s">
        <v>1505</v>
      </c>
      <c r="B4" s="1172" t="s">
        <v>1506</v>
      </c>
      <c r="C4" s="815" t="s">
        <v>1543</v>
      </c>
    </row>
    <row r="5" spans="1:3">
      <c r="A5" s="1188" t="s">
        <v>1507</v>
      </c>
      <c r="B5" s="1173" t="s">
        <v>1508</v>
      </c>
      <c r="C5" s="815" t="s">
        <v>1543</v>
      </c>
    </row>
    <row r="6" spans="1:3">
      <c r="A6" s="1172" t="s">
        <v>1509</v>
      </c>
      <c r="B6" s="1172" t="s">
        <v>1510</v>
      </c>
      <c r="C6" t="s">
        <v>1544</v>
      </c>
    </row>
    <row r="7" spans="1:3">
      <c r="A7" s="1172" t="s">
        <v>1511</v>
      </c>
      <c r="B7" s="1172" t="s">
        <v>1512</v>
      </c>
      <c r="C7" t="s">
        <v>1544</v>
      </c>
    </row>
    <row r="8" spans="1:3">
      <c r="A8" s="1187" t="s">
        <v>1513</v>
      </c>
      <c r="B8" s="1172" t="s">
        <v>1514</v>
      </c>
      <c r="C8" s="815" t="s">
        <v>1543</v>
      </c>
    </row>
    <row r="9" spans="1:3">
      <c r="A9" s="1187" t="s">
        <v>1515</v>
      </c>
      <c r="B9" s="1172" t="s">
        <v>1516</v>
      </c>
      <c r="C9" s="815" t="s">
        <v>1543</v>
      </c>
    </row>
    <row r="10" spans="1:3">
      <c r="A10" s="1172" t="s">
        <v>1517</v>
      </c>
      <c r="B10" s="1172" t="s">
        <v>1518</v>
      </c>
      <c r="C10" t="s">
        <v>1544</v>
      </c>
    </row>
    <row r="11" spans="1:3">
      <c r="A11" s="1172" t="s">
        <v>1519</v>
      </c>
      <c r="B11" s="1172" t="s">
        <v>1520</v>
      </c>
      <c r="C11" t="s">
        <v>1544</v>
      </c>
    </row>
    <row r="12" spans="1:3">
      <c r="A12" s="1172" t="s">
        <v>1521</v>
      </c>
      <c r="B12" s="1172" t="s">
        <v>1522</v>
      </c>
      <c r="C12" t="s">
        <v>1544</v>
      </c>
    </row>
    <row r="13" spans="1:3">
      <c r="A13" s="1172" t="s">
        <v>1523</v>
      </c>
      <c r="B13" s="1172" t="s">
        <v>1524</v>
      </c>
      <c r="C13" t="s">
        <v>1544</v>
      </c>
    </row>
    <row r="14" spans="1:3">
      <c r="A14" s="1172" t="s">
        <v>1525</v>
      </c>
      <c r="B14" s="1172" t="s">
        <v>1526</v>
      </c>
      <c r="C14" t="s">
        <v>1544</v>
      </c>
    </row>
    <row r="15" spans="1:3">
      <c r="A15" s="1173" t="s">
        <v>1527</v>
      </c>
      <c r="B15" s="1173" t="s">
        <v>1528</v>
      </c>
      <c r="C15" t="s">
        <v>1544</v>
      </c>
    </row>
    <row r="16" spans="1:3">
      <c r="A16" s="1173" t="s">
        <v>1531</v>
      </c>
      <c r="B16" s="1173" t="s">
        <v>1531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0000FF"/>
  </sheetPr>
  <dimension ref="B1:L21"/>
  <sheetViews>
    <sheetView topLeftCell="A4" workbookViewId="0">
      <selection activeCell="J14" sqref="J14"/>
    </sheetView>
  </sheetViews>
  <sheetFormatPr defaultRowHeight="15.75"/>
  <cols>
    <col min="1" max="1" width="2.125" customWidth="1"/>
    <col min="2" max="2" width="14.125" bestFit="1" customWidth="1"/>
    <col min="3" max="3" width="11.25" bestFit="1" customWidth="1"/>
    <col min="4" max="4" width="12" bestFit="1" customWidth="1"/>
    <col min="5" max="5" width="13.25" bestFit="1" customWidth="1"/>
    <col min="6" max="6" width="12.125" bestFit="1" customWidth="1"/>
    <col min="7" max="7" width="12" bestFit="1" customWidth="1"/>
    <col min="8" max="8" width="14.25" bestFit="1" customWidth="1"/>
    <col min="9" max="9" width="8.125" bestFit="1" customWidth="1"/>
  </cols>
  <sheetData>
    <row r="1" spans="2:12">
      <c r="B1" s="107" t="s">
        <v>497</v>
      </c>
    </row>
    <row r="2" spans="2:12">
      <c r="B2" s="107" t="s">
        <v>318</v>
      </c>
    </row>
    <row r="3" spans="2:12">
      <c r="B3" s="107" t="str">
        <f>'Test Period'!B2</f>
        <v>Base Period 12 Months Ending December 2019</v>
      </c>
    </row>
    <row r="4" spans="2:12" ht="16.5" thickBot="1"/>
    <row r="5" spans="2:12">
      <c r="B5" s="108" t="s">
        <v>423</v>
      </c>
      <c r="C5" s="109" t="s">
        <v>41</v>
      </c>
      <c r="D5" s="110" t="s">
        <v>68</v>
      </c>
      <c r="E5" s="110" t="s">
        <v>74</v>
      </c>
      <c r="F5" s="109" t="s">
        <v>75</v>
      </c>
      <c r="G5" s="110" t="s">
        <v>76</v>
      </c>
      <c r="H5" s="110" t="s">
        <v>77</v>
      </c>
      <c r="I5" s="111" t="s">
        <v>78</v>
      </c>
    </row>
    <row r="6" spans="2:12">
      <c r="B6" s="112" t="s">
        <v>103</v>
      </c>
      <c r="C6" s="113">
        <f>SUMIF('305'!$C$2:$C$202,"=RESR",'305'!$G$2:$G$202)</f>
        <v>764694398.81000018</v>
      </c>
      <c r="D6" s="114">
        <f>SUMIF('305'!$C$2:$C$202,"=RESU",'305'!$G$2:$G$202)</f>
        <v>4651000</v>
      </c>
      <c r="E6" s="114">
        <f t="shared" ref="E6:E10" si="0">C6+D6</f>
        <v>769345398.81000018</v>
      </c>
      <c r="F6" s="113">
        <f>SUMIF('305'!$C$2:$C$202,"=RESR",'305'!$H$2:$H$202)</f>
        <v>7113906110</v>
      </c>
      <c r="G6" s="114">
        <f>SUMIF('305'!$C$2:$C$202,"=RESU",'305'!$H$2:$H$202)</f>
        <v>40159000</v>
      </c>
      <c r="H6" s="114">
        <f t="shared" ref="H6:H10" si="1">F6+G6</f>
        <v>7154065110</v>
      </c>
      <c r="I6" s="115">
        <f>SUMIF('305'!$C$2:$C$202,"=RESR",'305'!$I$2:$I$202)</f>
        <v>941073.25000000012</v>
      </c>
      <c r="J6">
        <f>SUMIF('305'!$B$2:$B$202,"RAGA",'305'!I$2:I$202)</f>
        <v>99768.083333333299</v>
      </c>
      <c r="K6">
        <v>4651000</v>
      </c>
      <c r="L6" s="70">
        <f>K6-D6</f>
        <v>0</v>
      </c>
    </row>
    <row r="7" spans="2:12">
      <c r="B7" s="112" t="s">
        <v>104</v>
      </c>
      <c r="C7" s="113">
        <f>SUMIF('305'!$C$2:$C$202,"=COMR",'305'!$G$2:$G$202)</f>
        <v>735301430.36000013</v>
      </c>
      <c r="D7" s="114">
        <f>SUMIF('305'!$C$2:$C$202,"=COMU",'305'!$G$2:$G$202)</f>
        <v>4289000</v>
      </c>
      <c r="E7" s="114">
        <f t="shared" si="0"/>
        <v>739590430.36000013</v>
      </c>
      <c r="F7" s="113">
        <f>SUMIF('305'!$C$2:$C$202,"=COMR",'305'!$H$2:$H$202)</f>
        <v>9005755495</v>
      </c>
      <c r="G7" s="114">
        <f>SUMIF('305'!$C$2:$C$202,"=COMU",'305'!$H$2:$H$202)</f>
        <v>47985000</v>
      </c>
      <c r="H7" s="114">
        <f t="shared" si="1"/>
        <v>9053740495</v>
      </c>
      <c r="I7" s="115">
        <f>SUMIF('305'!$C$2:$C$202,"=COMR",'305'!$I$2:$I$202)</f>
        <v>97586.416666666657</v>
      </c>
      <c r="J7">
        <f>SUMIF('305'!$B$2:$B$202,"CAGA",'305'!I$2:I$202)</f>
        <v>2235.4166666666702</v>
      </c>
    </row>
    <row r="8" spans="2:12">
      <c r="B8" s="112" t="s">
        <v>117</v>
      </c>
      <c r="C8" s="113">
        <f>SUMIF('305'!$C$2:$C$202,"=INDR",'305'!$G$2:$G$202)</f>
        <v>481491847.98999983</v>
      </c>
      <c r="D8" s="114">
        <f>SUMIF('305'!$C$2:$C$202,"=INDU",'305'!$G$2:$G$202)</f>
        <v>-6231000</v>
      </c>
      <c r="E8" s="114">
        <f t="shared" si="0"/>
        <v>475260847.98999983</v>
      </c>
      <c r="F8" s="113">
        <f>SUMIF('305'!$C$2:$C$202,"=INDR",'305'!$H$2:$H$202)</f>
        <v>8095025500</v>
      </c>
      <c r="G8" s="114">
        <f>SUMIF('305'!$C$2:$C$202,"=INDU",'305'!$H$2:$H$202)</f>
        <v>-83578000</v>
      </c>
      <c r="H8" s="114">
        <f t="shared" si="1"/>
        <v>8011447500</v>
      </c>
      <c r="I8" s="115">
        <f>SUMIF('305'!$C$2:$C$202,"=INDR",'305'!$I$2:$I$202)</f>
        <v>5101.5000000000045</v>
      </c>
      <c r="J8">
        <f>SUMIF('305'!$B$2:$B$202,"IAGA",'305'!I$2:I$202)</f>
        <v>0</v>
      </c>
    </row>
    <row r="9" spans="2:12">
      <c r="B9" s="112" t="s">
        <v>227</v>
      </c>
      <c r="C9" s="113">
        <f>SUMIF('305'!$C$2:$C$202,"=IRRR",'305'!$G$2:$G$202)</f>
        <v>16579717.880000003</v>
      </c>
      <c r="D9" s="114">
        <f>SUMIF('305'!$C$2:$C$202,"=IRRU",'305'!$G$2:$G$202)</f>
        <v>24000</v>
      </c>
      <c r="E9" s="114">
        <f t="shared" si="0"/>
        <v>16603717.880000003</v>
      </c>
      <c r="F9" s="113">
        <f>SUMIF('305'!$C$2:$C$202,"=IRRR",'305'!$H$2:$H$202)</f>
        <v>208618854</v>
      </c>
      <c r="G9" s="114">
        <f>SUMIF('305'!$C$2:$C$202,"=IRRU",'305'!$H$2:$H$202)</f>
        <v>393000</v>
      </c>
      <c r="H9" s="114">
        <f t="shared" si="1"/>
        <v>209011854</v>
      </c>
      <c r="I9" s="115">
        <f>SUMIF('305'!$C$2:$C$202,"=IRRR",'305'!$I$2:$I$202)</f>
        <v>3422.4999999999964</v>
      </c>
      <c r="J9">
        <f>SUMIF('305'!$B$2:$B$202,"IRAGA",'305'!I$2:I$202)</f>
        <v>0</v>
      </c>
    </row>
    <row r="10" spans="2:12">
      <c r="B10" s="112" t="s">
        <v>105</v>
      </c>
      <c r="C10" s="113">
        <f>SUMIF('305'!$C$2:$C$202,"=PUBR",'305'!$G$2:$G$202)</f>
        <v>7891954.4999999991</v>
      </c>
      <c r="D10" s="114">
        <f>SUMIF('305'!$C$2:$C$202,"=PUBU",'305'!$G$2:$G$202)</f>
        <v>-276000</v>
      </c>
      <c r="E10" s="114">
        <f t="shared" si="0"/>
        <v>7615954.4999999991</v>
      </c>
      <c r="F10" s="113">
        <f>SUMIF('305'!$C$2:$C$202,"=PUBR",'305'!$H$2:$H$202)</f>
        <v>64432444</v>
      </c>
      <c r="G10" s="114">
        <f>SUMIF('305'!$C$2:$C$202,"=PUBU",'305'!$H$2:$H$202)</f>
        <v>-2392000</v>
      </c>
      <c r="H10" s="114">
        <f t="shared" si="1"/>
        <v>62040444</v>
      </c>
      <c r="I10" s="115">
        <f>SUMIF('305'!$C$2:$C$202,"=PUBR",'305'!$I$2:$I$202)</f>
        <v>3846.7500000000073</v>
      </c>
      <c r="J10">
        <f>SUMIF('305'!$B$2:$B$202,"PAGA",'305'!I$2:I$202)</f>
        <v>0</v>
      </c>
    </row>
    <row r="11" spans="2:12" ht="16.5" thickBot="1">
      <c r="B11" s="116" t="s">
        <v>93</v>
      </c>
      <c r="C11" s="117">
        <f t="shared" ref="C11:I11" si="2">SUM(C6:C10)</f>
        <v>2005959349.5400002</v>
      </c>
      <c r="D11" s="118">
        <f t="shared" si="2"/>
        <v>2457000</v>
      </c>
      <c r="E11" s="118">
        <f t="shared" si="2"/>
        <v>2008416349.5400002</v>
      </c>
      <c r="F11" s="117">
        <f t="shared" si="2"/>
        <v>24487738403</v>
      </c>
      <c r="G11" s="118">
        <f t="shared" si="2"/>
        <v>2567000</v>
      </c>
      <c r="H11" s="118">
        <f t="shared" si="2"/>
        <v>24490305403</v>
      </c>
      <c r="I11" s="119">
        <f t="shared" si="2"/>
        <v>1051030.4166666667</v>
      </c>
      <c r="J11" s="1322">
        <f>SUM(J6:J10)</f>
        <v>102003.49999999997</v>
      </c>
    </row>
    <row r="12" spans="2:12">
      <c r="J12">
        <f>SUMIF('305'!$B$2:$B$202,"IBLUE",'305'!I$2:I$202)</f>
        <v>7</v>
      </c>
    </row>
    <row r="13" spans="2:12">
      <c r="J13" s="70">
        <f>SUM(J11:J12)</f>
        <v>102010.49999999997</v>
      </c>
    </row>
    <row r="14" spans="2:12">
      <c r="D14" s="165" t="s">
        <v>463</v>
      </c>
      <c r="E14" s="162" t="s">
        <v>116</v>
      </c>
      <c r="F14" s="163"/>
      <c r="G14" s="163"/>
      <c r="H14" s="162" t="s">
        <v>108</v>
      </c>
    </row>
    <row r="15" spans="2:12">
      <c r="D15" s="166" t="s">
        <v>103</v>
      </c>
      <c r="E15" s="164">
        <f>E6-'Table 3'!D42</f>
        <v>0</v>
      </c>
      <c r="F15" s="163"/>
      <c r="G15" s="163"/>
      <c r="H15" s="164">
        <f>H6-'Table 2'!H42</f>
        <v>0</v>
      </c>
      <c r="I15" s="70">
        <f>I6-'Table 2'!D42</f>
        <v>99768.083333333489</v>
      </c>
    </row>
    <row r="16" spans="2:12">
      <c r="D16" s="166" t="s">
        <v>104</v>
      </c>
      <c r="E16" s="164">
        <f>E7-'Table 3'!D80</f>
        <v>0</v>
      </c>
      <c r="F16" s="163"/>
      <c r="G16" s="163"/>
      <c r="H16" s="164">
        <f>H7-'Table 2'!H80</f>
        <v>0</v>
      </c>
      <c r="I16" s="70">
        <f>I7-'Table 2'!D80</f>
        <v>2235.4166666666715</v>
      </c>
    </row>
    <row r="17" spans="4:9">
      <c r="D17" s="166" t="s">
        <v>117</v>
      </c>
      <c r="E17" s="164">
        <f>E8-'Table 3'!D115</f>
        <v>0</v>
      </c>
      <c r="F17" s="163"/>
      <c r="G17" s="163"/>
      <c r="H17" s="164">
        <f>H8-'Table 2'!H115</f>
        <v>0</v>
      </c>
      <c r="I17" s="70">
        <f>I8-'Table 2'!D115</f>
        <v>7.1666666666669698</v>
      </c>
    </row>
    <row r="18" spans="4:9">
      <c r="D18" s="166" t="s">
        <v>227</v>
      </c>
      <c r="E18" s="164">
        <f>E9-'Table 3'!D133</f>
        <v>0</v>
      </c>
      <c r="F18" s="163"/>
      <c r="G18" s="163"/>
      <c r="H18" s="164">
        <f>H9-'Table 2'!H133</f>
        <v>0</v>
      </c>
      <c r="I18" s="70">
        <f>I9-'Table 2'!D133</f>
        <v>0</v>
      </c>
    </row>
    <row r="19" spans="4:9">
      <c r="D19" s="166" t="s">
        <v>105</v>
      </c>
      <c r="E19" s="164">
        <f>E10-'Table 3'!D156</f>
        <v>0</v>
      </c>
      <c r="F19" s="163"/>
      <c r="G19" s="163"/>
      <c r="H19" s="164">
        <f>H10-'Table 2'!H156</f>
        <v>0</v>
      </c>
      <c r="I19" s="70">
        <f>I10-'Table 2'!D156</f>
        <v>0</v>
      </c>
    </row>
    <row r="21" spans="4:9">
      <c r="G21" s="70"/>
    </row>
  </sheetData>
  <phoneticPr fontId="25" type="noConversion"/>
  <pageMargins left="0.75" right="0.75" top="1" bottom="1" header="0.5" footer="0.5"/>
  <pageSetup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0000FF"/>
  </sheetPr>
  <dimension ref="A1:J29"/>
  <sheetViews>
    <sheetView workbookViewId="0">
      <selection activeCell="M134" sqref="M134"/>
    </sheetView>
  </sheetViews>
  <sheetFormatPr defaultRowHeight="15.75"/>
  <cols>
    <col min="1" max="1" width="13.125" customWidth="1"/>
    <col min="4" max="4" width="10.125" bestFit="1" customWidth="1"/>
    <col min="5" max="5" width="15.125" style="127" bestFit="1" customWidth="1"/>
    <col min="6" max="9" width="9.125" bestFit="1" customWidth="1"/>
  </cols>
  <sheetData>
    <row r="1" spans="1:10">
      <c r="B1" s="82" t="s">
        <v>170</v>
      </c>
    </row>
    <row r="2" spans="1:10">
      <c r="A2" t="s">
        <v>425</v>
      </c>
      <c r="B2" s="391" t="s">
        <v>1578</v>
      </c>
    </row>
    <row r="3" spans="1:10">
      <c r="A3" t="s">
        <v>445</v>
      </c>
      <c r="B3" s="391" t="s">
        <v>1579</v>
      </c>
    </row>
    <row r="7" spans="1:10">
      <c r="J7" s="237"/>
    </row>
    <row r="8" spans="1:10">
      <c r="J8" s="237"/>
    </row>
    <row r="9" spans="1:10">
      <c r="J9" s="237"/>
    </row>
    <row r="10" spans="1:10">
      <c r="F10" s="70"/>
      <c r="G10" s="70"/>
      <c r="H10" s="70"/>
      <c r="J10" s="237"/>
    </row>
    <row r="11" spans="1:10">
      <c r="J11" s="237"/>
    </row>
    <row r="12" spans="1:10">
      <c r="F12" s="70"/>
      <c r="G12" s="70"/>
      <c r="H12" s="70"/>
      <c r="J12" s="237"/>
    </row>
    <row r="13" spans="1:10">
      <c r="F13" s="70"/>
      <c r="G13" s="70"/>
      <c r="H13" s="70"/>
      <c r="J13" s="237"/>
    </row>
    <row r="14" spans="1:10">
      <c r="J14" s="237"/>
    </row>
    <row r="17" spans="4:5">
      <c r="D17" s="272"/>
      <c r="E17" s="273"/>
    </row>
    <row r="18" spans="4:5">
      <c r="D18" s="272"/>
      <c r="E18" s="273"/>
    </row>
    <row r="19" spans="4:5">
      <c r="D19" s="272"/>
      <c r="E19" s="273"/>
    </row>
    <row r="20" spans="4:5">
      <c r="D20" s="272"/>
      <c r="E20" s="273"/>
    </row>
    <row r="21" spans="4:5">
      <c r="D21" s="272"/>
      <c r="E21" s="273"/>
    </row>
    <row r="22" spans="4:5">
      <c r="D22" s="272"/>
      <c r="E22" s="273"/>
    </row>
    <row r="23" spans="4:5">
      <c r="D23" s="272"/>
      <c r="E23" s="273"/>
    </row>
    <row r="24" spans="4:5">
      <c r="D24" s="272"/>
      <c r="E24" s="273"/>
    </row>
    <row r="25" spans="4:5">
      <c r="D25" s="272"/>
      <c r="E25" s="273"/>
    </row>
    <row r="26" spans="4:5">
      <c r="D26" s="272"/>
      <c r="E26" s="273"/>
    </row>
    <row r="27" spans="4:5">
      <c r="D27" s="272"/>
      <c r="E27" s="273"/>
    </row>
    <row r="28" spans="4:5">
      <c r="D28" s="272"/>
      <c r="E28" s="273"/>
    </row>
    <row r="29" spans="4:5">
      <c r="D29" s="272"/>
      <c r="E29" s="273"/>
    </row>
  </sheetData>
  <phoneticPr fontId="25" type="noConversion"/>
  <pageMargins left="0.75" right="0.75" top="1" bottom="1" header="0.5" footer="0.5"/>
  <pageSetup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24"/>
  <dimension ref="A1:AA107"/>
  <sheetViews>
    <sheetView topLeftCell="A9" zoomScale="90" zoomScaleNormal="90" workbookViewId="0">
      <pane xSplit="5" ySplit="4" topLeftCell="F13" activePane="bottomRight" state="frozen"/>
      <selection activeCell="A9" sqref="A9"/>
      <selection pane="topRight" activeCell="F9" sqref="F9"/>
      <selection pane="bottomLeft" activeCell="A13" sqref="A13"/>
      <selection pane="bottomRight" activeCell="Q14" sqref="Q14"/>
    </sheetView>
  </sheetViews>
  <sheetFormatPr defaultColWidth="9" defaultRowHeight="15.75"/>
  <cols>
    <col min="1" max="1" width="7.125" style="76" bestFit="1" customWidth="1"/>
    <col min="2" max="2" width="1.625" style="76" customWidth="1"/>
    <col min="3" max="3" width="37.625" style="76" bestFit="1" customWidth="1"/>
    <col min="4" max="4" width="1.625" style="76" customWidth="1"/>
    <col min="5" max="5" width="7.6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76" bestFit="1" customWidth="1"/>
    <col min="10" max="10" width="1.625" style="76" customWidth="1"/>
    <col min="11" max="11" width="10.75" style="93" bestFit="1" customWidth="1"/>
    <col min="12" max="12" width="1.625" style="76" customWidth="1"/>
    <col min="13" max="13" width="10.75" style="76" bestFit="1" customWidth="1"/>
    <col min="14" max="14" width="1.625" style="76" customWidth="1"/>
    <col min="15" max="15" width="10.125" style="76" bestFit="1" customWidth="1"/>
    <col min="16" max="16" width="1.625" style="76" customWidth="1"/>
    <col min="17" max="17" width="10.125" style="76" bestFit="1" customWidth="1"/>
    <col min="18" max="18" width="1.625" style="76" customWidth="1"/>
    <col min="19" max="19" width="9" style="76"/>
    <col min="20" max="20" width="1.625" style="76" customWidth="1"/>
    <col min="21" max="21" width="9" style="76"/>
    <col min="22" max="22" width="1.625" style="76" customWidth="1"/>
    <col min="23" max="23" width="9" style="76"/>
    <col min="24" max="24" width="1.625" style="76" customWidth="1"/>
    <col min="25" max="16384" width="9" style="76"/>
  </cols>
  <sheetData>
    <row r="1" spans="1:27">
      <c r="A1" s="75" t="s">
        <v>426</v>
      </c>
      <c r="B1" s="75"/>
      <c r="C1" s="75"/>
      <c r="D1" s="75"/>
      <c r="E1" s="75"/>
      <c r="F1" s="75"/>
      <c r="G1" s="75"/>
      <c r="H1" s="75"/>
      <c r="I1" s="75"/>
      <c r="J1" s="75"/>
      <c r="K1" s="91"/>
      <c r="L1" s="1311"/>
      <c r="M1" s="1311"/>
      <c r="N1" s="1311"/>
      <c r="O1" s="1311"/>
      <c r="P1" s="1311"/>
      <c r="Q1" s="1311"/>
      <c r="R1" s="1311"/>
      <c r="S1" s="1311"/>
      <c r="T1" s="1311"/>
      <c r="U1" s="1311"/>
      <c r="V1" s="1311"/>
      <c r="W1" s="1311"/>
      <c r="X1" s="1311"/>
      <c r="Y1" s="1311"/>
    </row>
    <row r="2" spans="1:27" s="1285" customFormat="1">
      <c r="A2" s="75" t="s">
        <v>547</v>
      </c>
      <c r="B2" s="75"/>
      <c r="C2" s="75"/>
      <c r="D2" s="75"/>
      <c r="E2" s="75"/>
      <c r="F2" s="75"/>
      <c r="G2" s="75"/>
      <c r="H2" s="75"/>
      <c r="I2" s="75"/>
      <c r="J2" s="75"/>
      <c r="K2" s="9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</row>
    <row r="3" spans="1:27" s="1285" customFormat="1">
      <c r="A3" s="75" t="s">
        <v>205</v>
      </c>
      <c r="B3" s="75"/>
      <c r="C3" s="75"/>
      <c r="D3" s="75"/>
      <c r="E3" s="75"/>
      <c r="F3" s="75"/>
      <c r="G3" s="75"/>
      <c r="H3" s="75"/>
      <c r="I3" s="75"/>
      <c r="J3" s="75"/>
      <c r="K3" s="91"/>
      <c r="L3" s="1311"/>
      <c r="M3" s="1311"/>
      <c r="N3" s="1311"/>
      <c r="O3" s="1311"/>
      <c r="P3" s="1311"/>
      <c r="Q3" s="1311"/>
      <c r="R3" s="1311"/>
      <c r="S3" s="1311"/>
      <c r="T3" s="1311"/>
      <c r="U3" s="1311"/>
      <c r="V3" s="1311"/>
      <c r="W3" s="1311"/>
      <c r="X3" s="1311"/>
      <c r="Y3" s="1311"/>
    </row>
    <row r="4" spans="1:27" s="1285" customFormat="1">
      <c r="A4" s="75" t="s">
        <v>215</v>
      </c>
      <c r="B4" s="75"/>
      <c r="C4" s="75"/>
      <c r="D4" s="75"/>
      <c r="E4" s="75"/>
      <c r="F4" s="75"/>
      <c r="G4" s="75"/>
      <c r="H4" s="75"/>
      <c r="I4" s="75"/>
      <c r="J4" s="75"/>
      <c r="K4" s="91"/>
      <c r="L4" s="1311"/>
      <c r="M4" s="1311"/>
      <c r="N4" s="1311"/>
      <c r="O4" s="1311"/>
      <c r="P4" s="1311"/>
      <c r="Q4" s="1311"/>
      <c r="R4" s="1311"/>
      <c r="S4" s="1311"/>
      <c r="T4" s="1311"/>
      <c r="U4" s="1311"/>
      <c r="V4" s="1311"/>
      <c r="W4" s="1311"/>
      <c r="X4" s="1311"/>
      <c r="Y4" s="1311"/>
    </row>
    <row r="5" spans="1:27" s="1285" customFormat="1">
      <c r="A5" s="75" t="str">
        <f>'Test Period'!$B2</f>
        <v>Base Period 12 Months Ending December 2019</v>
      </c>
      <c r="B5" s="75"/>
      <c r="C5" s="75"/>
      <c r="D5" s="75"/>
      <c r="E5" s="75"/>
      <c r="F5" s="75"/>
      <c r="G5" s="75"/>
      <c r="H5" s="75"/>
      <c r="I5" s="75"/>
      <c r="J5" s="75"/>
      <c r="K5" s="91"/>
      <c r="L5" s="1311"/>
      <c r="M5" s="1311"/>
      <c r="N5" s="1311"/>
      <c r="O5" s="1311"/>
      <c r="P5" s="1311"/>
      <c r="Q5" s="1311"/>
      <c r="R5" s="1311"/>
      <c r="S5" s="1311"/>
      <c r="T5" s="1311"/>
      <c r="U5" s="1311"/>
      <c r="V5" s="1311"/>
      <c r="W5" s="1311"/>
      <c r="X5" s="1311"/>
      <c r="Y5" s="1311"/>
    </row>
    <row r="6" spans="1:27">
      <c r="A6" s="75" t="str">
        <f>'Test Period'!$B3</f>
        <v>Forecast Period 12 Months Ending December 2021</v>
      </c>
      <c r="B6" s="75"/>
      <c r="C6" s="75"/>
      <c r="D6" s="75"/>
      <c r="E6" s="75"/>
      <c r="F6" s="75"/>
      <c r="G6" s="75"/>
      <c r="H6" s="75"/>
      <c r="I6" s="75"/>
      <c r="J6" s="75"/>
      <c r="K6" s="91"/>
      <c r="L6" s="1311"/>
      <c r="M6" s="1311"/>
      <c r="N6" s="1311"/>
      <c r="O6" s="1311"/>
      <c r="P6" s="1311"/>
      <c r="Q6" s="1311"/>
      <c r="R6" s="1311"/>
      <c r="S6" s="1311"/>
      <c r="T6" s="1311"/>
      <c r="U6" s="1311"/>
      <c r="V6" s="1311"/>
      <c r="W6" s="1311"/>
      <c r="X6" s="1311"/>
      <c r="Y6" s="1311"/>
    </row>
    <row r="7" spans="1:27">
      <c r="A7" s="75"/>
      <c r="B7" s="62"/>
      <c r="C7" s="62"/>
      <c r="D7" s="62"/>
      <c r="E7" s="62"/>
      <c r="F7" s="62"/>
      <c r="G7" s="62"/>
      <c r="H7" s="62"/>
      <c r="I7" s="62"/>
      <c r="J7" s="62"/>
      <c r="K7" s="62"/>
    </row>
    <row r="8" spans="1:27">
      <c r="D8" s="85"/>
      <c r="F8" s="85"/>
      <c r="G8" s="79"/>
      <c r="H8" s="85"/>
      <c r="J8" s="85"/>
      <c r="K8" s="84"/>
    </row>
    <row r="9" spans="1:27"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1044" t="s">
        <v>216</v>
      </c>
      <c r="P9" s="1044"/>
      <c r="Q9" s="1044"/>
      <c r="R9" s="79"/>
      <c r="S9" s="1035" t="s">
        <v>1367</v>
      </c>
      <c r="T9" s="1035"/>
      <c r="U9" s="1035"/>
      <c r="V9" s="1035"/>
      <c r="W9" s="1035"/>
      <c r="X9" s="1035"/>
      <c r="Y9" s="1040"/>
      <c r="AA9" s="1045" t="s">
        <v>216</v>
      </c>
    </row>
    <row r="10" spans="1:27" s="80" customFormat="1">
      <c r="A10" s="80" t="s">
        <v>217</v>
      </c>
      <c r="D10" s="79"/>
      <c r="E10" s="79" t="s">
        <v>156</v>
      </c>
      <c r="F10" s="79"/>
      <c r="G10" s="1035" t="s">
        <v>1400</v>
      </c>
      <c r="H10" s="1035"/>
      <c r="I10" s="1035"/>
      <c r="J10" s="79"/>
      <c r="K10" s="1035" t="s">
        <v>109</v>
      </c>
      <c r="L10" s="1035"/>
      <c r="M10" s="1046"/>
      <c r="N10" s="79"/>
      <c r="O10" s="1047" t="s">
        <v>1397</v>
      </c>
      <c r="P10" s="1048"/>
      <c r="Q10" s="1047" t="s">
        <v>1397</v>
      </c>
      <c r="R10" s="83"/>
      <c r="S10" s="1047" t="s">
        <v>1397</v>
      </c>
      <c r="T10" s="83"/>
      <c r="U10" s="1049" t="s">
        <v>197</v>
      </c>
      <c r="V10" s="1049"/>
      <c r="W10" s="1050"/>
      <c r="X10" s="79"/>
      <c r="Y10" s="1041" t="s">
        <v>1369</v>
      </c>
      <c r="AA10" s="1041" t="s">
        <v>1369</v>
      </c>
    </row>
    <row r="11" spans="1:27" s="80" customFormat="1">
      <c r="A11" s="80" t="s">
        <v>219</v>
      </c>
      <c r="C11" s="79" t="s">
        <v>220</v>
      </c>
      <c r="E11" s="1031" t="s">
        <v>219</v>
      </c>
      <c r="G11" s="1031" t="s">
        <v>425</v>
      </c>
      <c r="I11" s="1031" t="s">
        <v>445</v>
      </c>
      <c r="K11" s="1031" t="s">
        <v>425</v>
      </c>
      <c r="M11" s="1031" t="s">
        <v>445</v>
      </c>
      <c r="O11" s="1051" t="s">
        <v>425</v>
      </c>
      <c r="P11" s="92"/>
      <c r="Q11" s="1051" t="s">
        <v>445</v>
      </c>
      <c r="S11" s="1051" t="s">
        <v>445</v>
      </c>
      <c r="U11" s="1051" t="s">
        <v>1397</v>
      </c>
      <c r="W11" s="1033" t="s">
        <v>1370</v>
      </c>
      <c r="Y11" s="1034" t="s">
        <v>1371</v>
      </c>
      <c r="AA11" s="1034" t="s">
        <v>1371</v>
      </c>
    </row>
    <row r="12" spans="1:27" s="80" customFormat="1">
      <c r="C12" s="81">
        <v>-1</v>
      </c>
      <c r="D12" s="81"/>
      <c r="E12" s="81">
        <f>MIN($A12:D12)-1</f>
        <v>-2</v>
      </c>
      <c r="F12" s="81"/>
      <c r="G12" s="81">
        <f>MIN($A12:F12)-1</f>
        <v>-3</v>
      </c>
      <c r="H12" s="81"/>
      <c r="I12" s="81">
        <f>MIN($A12:H12)-1</f>
        <v>-4</v>
      </c>
      <c r="J12" s="81"/>
      <c r="K12" s="81">
        <f>MIN($A12:I12)-1</f>
        <v>-5</v>
      </c>
      <c r="L12" s="81"/>
      <c r="M12" s="81">
        <f>MIN($A12:K12)-1</f>
        <v>-6</v>
      </c>
      <c r="N12" s="81"/>
      <c r="O12" s="81">
        <f>MIN($A12:M12)-1</f>
        <v>-7</v>
      </c>
      <c r="P12" s="81"/>
      <c r="Q12" s="81">
        <f>MIN($A12:O12)-1</f>
        <v>-8</v>
      </c>
      <c r="R12" s="81"/>
      <c r="S12" s="81">
        <f>MIN($A12:R12)-1</f>
        <v>-9</v>
      </c>
      <c r="T12" s="81"/>
      <c r="U12" s="81">
        <f>MIN($A12:T12)-1</f>
        <v>-10</v>
      </c>
      <c r="V12" s="81"/>
      <c r="W12" s="81">
        <f>MIN($A12:V12)-1</f>
        <v>-11</v>
      </c>
      <c r="X12" s="81"/>
      <c r="Y12" s="81">
        <f>MIN($A12:X12)-1</f>
        <v>-12</v>
      </c>
      <c r="AA12" s="81">
        <f>MIN($A12:Z12)-1</f>
        <v>-13</v>
      </c>
    </row>
    <row r="13" spans="1:27">
      <c r="B13" s="1292"/>
      <c r="C13" s="1292" t="s">
        <v>103</v>
      </c>
      <c r="I13" s="68"/>
    </row>
    <row r="14" spans="1:27">
      <c r="A14" s="76">
        <v>1</v>
      </c>
      <c r="C14" s="76" t="s">
        <v>103</v>
      </c>
      <c r="E14" s="1293">
        <v>1</v>
      </c>
      <c r="G14" s="74">
        <f>'Table 2'!F12</f>
        <v>767799.92777791934</v>
      </c>
      <c r="H14" s="90"/>
      <c r="I14" s="74">
        <f>'Table 2'!G12</f>
        <v>778737.42370950978</v>
      </c>
      <c r="J14" s="90"/>
      <c r="K14" s="1098">
        <f>'Blocking-Step2'!C45/1000</f>
        <v>6524019.5609562621</v>
      </c>
      <c r="M14" s="1098">
        <f>'Blocking-Step2'!D45/1000</f>
        <v>6307369.9065283779</v>
      </c>
      <c r="O14" s="97">
        <f>'Blocking-Step2'!H45/1000</f>
        <v>698656.99374090007</v>
      </c>
      <c r="Q14" s="97">
        <f>'Blocking-Step2'!I45/1000</f>
        <v>678380.16617610003</v>
      </c>
    </row>
    <row r="15" spans="1:27">
      <c r="A15" s="76">
        <f>MAX(A$13:A14)+1</f>
        <v>2</v>
      </c>
      <c r="C15" s="1295" t="s">
        <v>1377</v>
      </c>
      <c r="E15" s="1293">
        <v>2</v>
      </c>
      <c r="G15" s="74">
        <f>'Table 2'!F13</f>
        <v>381.72777777777748</v>
      </c>
      <c r="H15" s="90"/>
      <c r="I15" s="74">
        <f>'Table 2'!G13</f>
        <v>362.5</v>
      </c>
      <c r="J15" s="90"/>
      <c r="K15" s="1098">
        <f>'Blocking-Step2'!C82/1000</f>
        <v>3056.9660036373507</v>
      </c>
      <c r="M15" s="1098">
        <f>'Blocking-Step2'!D82/1000</f>
        <v>2744.0360000000001</v>
      </c>
      <c r="O15" s="97">
        <f>'Blocking-Step2'!H82/1000</f>
        <v>322.5051742</v>
      </c>
      <c r="Q15" s="97">
        <f>'Blocking-Step2'!I82/1000</f>
        <v>291.05517270000001</v>
      </c>
    </row>
    <row r="16" spans="1:27">
      <c r="A16" s="76">
        <f>MAX(A$13:A15)+1</f>
        <v>3</v>
      </c>
      <c r="C16" s="1295" t="s">
        <v>1375</v>
      </c>
      <c r="E16" s="1293" t="s">
        <v>1118</v>
      </c>
      <c r="G16" s="74">
        <f>'Table 2'!F14</f>
        <v>273.24722222222249</v>
      </c>
      <c r="H16" s="90"/>
      <c r="I16" s="74">
        <f>'Table 2'!G14</f>
        <v>259.5</v>
      </c>
      <c r="J16" s="90"/>
      <c r="K16" s="1098">
        <f>'Blocking-Step2'!C111/1000</f>
        <v>4064.1840000000002</v>
      </c>
      <c r="M16" s="1098">
        <f>'Blocking-Step2'!D111/1000</f>
        <v>3648.1480452160827</v>
      </c>
      <c r="O16" s="97">
        <f>'Blocking-Step2'!H111/1000</f>
        <v>344.57609789999998</v>
      </c>
      <c r="Q16" s="97">
        <f>'Blocking-Step2'!I111/1000</f>
        <v>310.07596409999996</v>
      </c>
    </row>
    <row r="17" spans="1:17">
      <c r="A17" s="76">
        <f>MAX(A$13:A16)+1</f>
        <v>4</v>
      </c>
      <c r="C17" s="1295" t="s">
        <v>1394</v>
      </c>
      <c r="E17" s="1293">
        <v>3</v>
      </c>
      <c r="G17" s="74">
        <f>'Table 2'!F15</f>
        <v>21139.555555555515</v>
      </c>
      <c r="H17" s="90"/>
      <c r="I17" s="74">
        <f>'Table 2'!G15</f>
        <v>18026.916666666668</v>
      </c>
      <c r="J17" s="90"/>
      <c r="K17" s="1098">
        <f>'Blocking-Step2'!C148/1000</f>
        <v>152607.14887214673</v>
      </c>
      <c r="M17" s="1098">
        <f>'Blocking-Step2'!D148/1000</f>
        <v>134093.07170705788</v>
      </c>
      <c r="O17" s="97">
        <f>'Blocking-Step2'!H148/1000</f>
        <v>16082.878647399999</v>
      </c>
      <c r="Q17" s="97">
        <f>'Blocking-Step2'!I148/1000</f>
        <v>14086.2380001</v>
      </c>
    </row>
    <row r="18" spans="1:17">
      <c r="A18" s="76">
        <f>MAX(A$13:A17)+1</f>
        <v>5</v>
      </c>
      <c r="C18" s="1295" t="s">
        <v>1376</v>
      </c>
      <c r="E18" s="1293">
        <v>135</v>
      </c>
      <c r="G18" s="74">
        <f>'Table 2'!F16</f>
        <v>29889.555555555551</v>
      </c>
      <c r="H18" s="90"/>
      <c r="I18" s="74">
        <f>'Table 2'!G16</f>
        <v>34868</v>
      </c>
      <c r="J18" s="90"/>
      <c r="K18" s="1098">
        <f>'Blocking-Step2'!C185/1000</f>
        <v>117960.53602120555</v>
      </c>
      <c r="M18" s="1098">
        <f>'Blocking-Step2'!D185/1000</f>
        <v>142334.24589459866</v>
      </c>
      <c r="O18" s="97">
        <f>'Blocking-Step2'!H185/1000</f>
        <v>13909.632065400001</v>
      </c>
      <c r="Q18" s="97">
        <f>'Blocking-Step2'!I185/1000</f>
        <v>16685.304076600001</v>
      </c>
    </row>
    <row r="19" spans="1:17">
      <c r="A19" s="76">
        <f>MAX(A$13:A18)+1</f>
        <v>6</v>
      </c>
      <c r="C19" s="1295" t="s">
        <v>1374</v>
      </c>
      <c r="E19" s="1293">
        <v>136</v>
      </c>
      <c r="G19" s="74">
        <f>'Table 2'!F17</f>
        <v>4724.5055555555482</v>
      </c>
      <c r="H19" s="90"/>
      <c r="I19" s="74">
        <f>'Table 2'!G17</f>
        <v>25612.833333333332</v>
      </c>
      <c r="J19" s="90"/>
      <c r="K19" s="1098">
        <f>'Blocking-Step2'!C222/1000</f>
        <v>36950.143451160002</v>
      </c>
      <c r="M19" s="1098">
        <f>'Blocking-Step2'!D222/1000</f>
        <v>192809.96918991042</v>
      </c>
      <c r="O19" s="97">
        <f>'Blocking-Step2'!H222/1000</f>
        <v>3986.8390668000002</v>
      </c>
      <c r="Q19" s="97">
        <f>'Blocking-Step2'!I222/1000</f>
        <v>20871.277468</v>
      </c>
    </row>
    <row r="20" spans="1:17">
      <c r="A20" s="76">
        <f>MAX(A$13:A19)+1</f>
        <v>7</v>
      </c>
      <c r="C20" s="1295" t="s">
        <v>1378</v>
      </c>
      <c r="E20" s="1293">
        <v>6</v>
      </c>
      <c r="G20" s="74">
        <f>'Table 2'!F18</f>
        <v>298.58611111111082</v>
      </c>
      <c r="H20" s="90"/>
      <c r="I20" s="74">
        <f>'Table 2'!G18</f>
        <v>315</v>
      </c>
      <c r="J20" s="90"/>
      <c r="K20" s="1098">
        <f>'Blocking-Step2'!C711/1000</f>
        <v>126930.30088623118</v>
      </c>
      <c r="M20" s="1098">
        <f>'Blocking-Step2'!D711/1000</f>
        <v>152445.22703459719</v>
      </c>
      <c r="O20" s="97">
        <f>'Blocking-Step2'!H711/1000</f>
        <v>9460.7222082000008</v>
      </c>
      <c r="Q20" s="97">
        <f>'Blocking-Step2'!I711/1000</f>
        <v>11307.8152598</v>
      </c>
    </row>
    <row r="21" spans="1:17">
      <c r="A21" s="76">
        <f>MAX(A$13:A20)+1</f>
        <v>8</v>
      </c>
      <c r="C21" s="1295" t="s">
        <v>1379</v>
      </c>
      <c r="E21" s="1293" t="s">
        <v>959</v>
      </c>
      <c r="G21" s="74">
        <f>'Table 2'!F19</f>
        <v>13.24722222222225</v>
      </c>
      <c r="H21" s="90"/>
      <c r="I21" s="74">
        <f>'Table 2'!G19</f>
        <v>17</v>
      </c>
      <c r="J21" s="90"/>
      <c r="K21" s="1098">
        <f>'Blocking-Step2'!C791/1000</f>
        <v>3792.1537050721131</v>
      </c>
      <c r="M21" s="1098">
        <f>'Blocking-Step2'!D791/1000</f>
        <v>4573.8081849816854</v>
      </c>
      <c r="O21" s="97">
        <f>'Blocking-Step2'!H791/1000</f>
        <v>324.34223550000002</v>
      </c>
      <c r="Q21" s="97">
        <f>'Blocking-Step2'!I791/1000</f>
        <v>390.76123030000002</v>
      </c>
    </row>
    <row r="22" spans="1:17">
      <c r="A22" s="76">
        <f>MAX(A$13:A21)+1</f>
        <v>9</v>
      </c>
      <c r="C22" s="1295" t="s">
        <v>1381</v>
      </c>
      <c r="E22" s="1293" t="s">
        <v>221</v>
      </c>
      <c r="G22" s="74">
        <f>'Table 2'!F20</f>
        <v>28.072222222222251</v>
      </c>
      <c r="H22" s="90"/>
      <c r="I22" s="74">
        <f>'Table 2'!G20</f>
        <v>29</v>
      </c>
      <c r="J22" s="90"/>
      <c r="K22" s="1098">
        <f>'Blocking-Step2'!C1006/1000</f>
        <v>9169.0169999999998</v>
      </c>
      <c r="M22" s="1098">
        <f>'Blocking-Step2'!D1006/1000</f>
        <v>10146.509</v>
      </c>
      <c r="O22" s="97">
        <f>'Blocking-Step2'!H1006/1000</f>
        <v>771.75111880000009</v>
      </c>
      <c r="Q22" s="97">
        <f>'Blocking-Step2'!I1006/1000</f>
        <v>854.54239150000001</v>
      </c>
    </row>
    <row r="23" spans="1:17">
      <c r="A23" s="76">
        <f>MAX(A$13:A22)+1</f>
        <v>10</v>
      </c>
      <c r="C23" s="1295" t="s">
        <v>1382</v>
      </c>
      <c r="E23" s="1293" t="s">
        <v>963</v>
      </c>
      <c r="G23" s="74">
        <f>'Table 2'!F21</f>
        <v>1.6861111111111082</v>
      </c>
      <c r="H23" s="90"/>
      <c r="I23" s="74">
        <f>'Table 2'!G21</f>
        <v>1</v>
      </c>
      <c r="J23" s="90"/>
      <c r="K23" s="1098">
        <f>'Blocking-Step2'!C1098/1000</f>
        <v>6.06</v>
      </c>
      <c r="M23" s="1098">
        <f>'Blocking-Step2'!D1098/1000</f>
        <v>0</v>
      </c>
      <c r="O23" s="97">
        <f>'Blocking-Step2'!H1098/1000</f>
        <v>5.3759820999999999</v>
      </c>
      <c r="Q23" s="97">
        <f>'Blocking-Step2'!I1098/1000</f>
        <v>0.64800000000000002</v>
      </c>
    </row>
    <row r="24" spans="1:17">
      <c r="A24" s="76">
        <f>MAX(A$13:A23)+1</f>
        <v>11</v>
      </c>
      <c r="C24" s="1295" t="s">
        <v>1383</v>
      </c>
      <c r="E24" s="1293" t="s">
        <v>223</v>
      </c>
      <c r="G24" s="74">
        <f>'Table 2'!F22</f>
        <v>1.1666666666666667</v>
      </c>
      <c r="H24" s="90"/>
      <c r="I24" s="74">
        <f>'Table 2'!G22</f>
        <v>1</v>
      </c>
      <c r="J24" s="90"/>
      <c r="K24" s="1098">
        <f>'Blocking-Step2'!C922/1000</f>
        <v>25.667999999999999</v>
      </c>
      <c r="M24" s="1098">
        <f>'Blocking-Step2'!D922/1000</f>
        <v>33.366</v>
      </c>
      <c r="O24" s="97">
        <f>'Blocking-Step2'!H922/1000</f>
        <v>3.7769299000000003</v>
      </c>
      <c r="Q24" s="97">
        <f>'Blocking-Step2'!I922/1000</f>
        <v>4.5546309000000003</v>
      </c>
    </row>
    <row r="25" spans="1:17" ht="19.899999999999999" customHeight="1">
      <c r="A25" s="76">
        <f>MAX(A$13:A24)+1</f>
        <v>12</v>
      </c>
      <c r="C25" s="76" t="s">
        <v>232</v>
      </c>
      <c r="E25" s="1293">
        <v>7</v>
      </c>
      <c r="G25" s="74">
        <f>'Table 2'!F23</f>
        <v>2277.3333333333298</v>
      </c>
      <c r="H25" s="90"/>
      <c r="I25" s="74">
        <f>'Table 2'!G23</f>
        <v>2205</v>
      </c>
      <c r="J25" s="90"/>
      <c r="K25" s="1098">
        <f>'Blocking-Step2'!C1248/1000</f>
        <v>2259.6116861753908</v>
      </c>
      <c r="M25" s="1098">
        <f>'Blocking-Step2'!D1248/1000</f>
        <v>2190.3621297112622</v>
      </c>
      <c r="O25" s="97">
        <f>'Blocking-Step2'!H1248/1000</f>
        <v>628.78617339999994</v>
      </c>
      <c r="Q25" s="97">
        <f>'Blocking-Step2'!I1248/1000</f>
        <v>609.21684459999994</v>
      </c>
    </row>
    <row r="26" spans="1:17" ht="19.899999999999999" customHeight="1">
      <c r="A26" s="76">
        <f>MAX(A$13:A25)+1</f>
        <v>13</v>
      </c>
      <c r="C26" s="1295" t="s">
        <v>1389</v>
      </c>
      <c r="E26" s="1293">
        <v>23</v>
      </c>
      <c r="G26" s="74">
        <f>'Table 2'!F25</f>
        <v>13846.138750000666</v>
      </c>
      <c r="H26" s="90"/>
      <c r="I26" s="74">
        <f>'Table 2'!G25</f>
        <v>14437.5</v>
      </c>
      <c r="J26" s="90"/>
      <c r="K26" s="1098">
        <f>'Blocking-Step2'!C2022/1000</f>
        <v>102253.06487512776</v>
      </c>
      <c r="M26" s="1098">
        <f>'Blocking-Step2'!D2022/1000</f>
        <v>96513.004531002312</v>
      </c>
      <c r="O26" s="97">
        <f>'Blocking-Step2'!H2022/1000</f>
        <v>10930.076128799999</v>
      </c>
      <c r="Q26" s="97">
        <f>'Blocking-Step2'!I2022/1000</f>
        <v>10467.7205758</v>
      </c>
    </row>
    <row r="27" spans="1:17" ht="19.899999999999999" customHeight="1">
      <c r="A27" s="76">
        <f>MAX(A$13:A26)+1</f>
        <v>14</v>
      </c>
      <c r="C27" s="1295" t="s">
        <v>1390</v>
      </c>
      <c r="E27" s="1293" t="s">
        <v>960</v>
      </c>
      <c r="G27" s="74">
        <f>'Table 2'!F26</f>
        <v>436.62691666666666</v>
      </c>
      <c r="H27" s="90"/>
      <c r="I27" s="74">
        <f>'Table 2'!G26</f>
        <v>493</v>
      </c>
      <c r="J27" s="90"/>
      <c r="K27" s="1098">
        <f>'Blocking-Step2'!C2114/1000</f>
        <v>1284.1340194802854</v>
      </c>
      <c r="M27" s="1098">
        <f>'Blocking-Step2'!D2114/1000</f>
        <v>1559.3424796706465</v>
      </c>
      <c r="O27" s="97">
        <f>'Blocking-Step2'!H2114/1000</f>
        <v>165.7260378</v>
      </c>
      <c r="Q27" s="97">
        <f>'Blocking-Step2'!I2114/1000</f>
        <v>197.13566310000002</v>
      </c>
    </row>
    <row r="28" spans="1:17" ht="19.899999999999999" customHeight="1">
      <c r="A28" s="76">
        <f>MAX(A$13:A27)+1</f>
        <v>15</v>
      </c>
      <c r="C28" s="1295" t="s">
        <v>1391</v>
      </c>
      <c r="E28" s="1293" t="s">
        <v>1214</v>
      </c>
      <c r="G28" s="74">
        <f>'Table 2'!F27</f>
        <v>6.7333333333333334</v>
      </c>
      <c r="H28" s="90"/>
      <c r="I28" s="74">
        <f>'Table 2'!G27</f>
        <v>26.833333333333332</v>
      </c>
      <c r="J28" s="90"/>
      <c r="K28" s="1098">
        <f>'Blocking-Step2'!C2204/1000</f>
        <v>145.03600057713007</v>
      </c>
      <c r="M28" s="1098">
        <f>'Blocking-Step2'!D2204/1000</f>
        <v>303.10933333333332</v>
      </c>
      <c r="O28" s="97">
        <f>'Blocking-Step2'!H2204/1000</f>
        <v>13.2230934</v>
      </c>
      <c r="Q28" s="97">
        <f>'Blocking-Step2'!I2204/1000</f>
        <v>29.2114738</v>
      </c>
    </row>
    <row r="29" spans="1:17" ht="16.899999999999999" customHeight="1">
      <c r="A29" s="76">
        <f>MAX(A$13:A28)+1</f>
        <v>16</v>
      </c>
      <c r="C29" s="1295" t="s">
        <v>1396</v>
      </c>
      <c r="E29" s="1312"/>
      <c r="G29" s="74">
        <f>'Table 2'!F28</f>
        <v>2</v>
      </c>
      <c r="H29" s="90"/>
      <c r="I29" s="74">
        <f>'Table 2'!G28</f>
        <v>2</v>
      </c>
      <c r="J29" s="90"/>
      <c r="K29" s="1098">
        <f>'Blocking-Step2'!C2667/1000</f>
        <v>1.4</v>
      </c>
      <c r="M29" s="1098">
        <f>'Blocking-Step2'!D2667/1000</f>
        <v>1.3919999999999999</v>
      </c>
      <c r="O29" s="97">
        <f>'Blocking-Step2'!H2667/1000</f>
        <v>0.106</v>
      </c>
      <c r="Q29" s="97">
        <f>'Blocking-Step2'!I2667/1000</f>
        <v>0.105</v>
      </c>
    </row>
    <row r="30" spans="1:17" ht="16.899999999999999" customHeight="1">
      <c r="A30" s="76">
        <f>MAX(A$13:A29)+1</f>
        <v>17</v>
      </c>
      <c r="C30" s="102" t="s">
        <v>471</v>
      </c>
      <c r="E30" s="1312"/>
      <c r="G30" s="71"/>
      <c r="I30" s="71"/>
      <c r="K30" s="1099">
        <f>'Blocking-Step2'!C2670/1000</f>
        <v>0</v>
      </c>
      <c r="M30" s="1099">
        <f>'Blocking-Step2'!D2670/1000</f>
        <v>0</v>
      </c>
      <c r="O30" s="96">
        <f>'Blocking-Step2'!H2670/1000</f>
        <v>6.7950900000000622</v>
      </c>
      <c r="Q30" s="96">
        <f>'Blocking-Step2'!I2670/1000</f>
        <v>6.7950900000000622</v>
      </c>
    </row>
    <row r="31" spans="1:17">
      <c r="A31" s="76">
        <f>MAX(A$13:A30)+1</f>
        <v>18</v>
      </c>
      <c r="C31" s="80" t="s">
        <v>114</v>
      </c>
      <c r="G31" s="68">
        <f>SUM(G14:G30)</f>
        <v>841120.11011125322</v>
      </c>
      <c r="I31" s="68">
        <f>SUM(I14:I30)</f>
        <v>875394.50704284315</v>
      </c>
      <c r="K31" s="1100">
        <f>SUM(K14:K30)</f>
        <v>7084524.985477075</v>
      </c>
      <c r="M31" s="1100">
        <f>SUM(M14:M30)</f>
        <v>7050765.4980584569</v>
      </c>
      <c r="O31" s="94">
        <f>SUM(O14:O30)</f>
        <v>755614.1057905003</v>
      </c>
      <c r="Q31" s="94">
        <f>SUM(Q14:Q30)</f>
        <v>754492.62301740004</v>
      </c>
    </row>
    <row r="32" spans="1:17">
      <c r="G32" s="68"/>
      <c r="I32" s="68"/>
      <c r="K32" s="1100"/>
      <c r="M32" s="1100"/>
      <c r="O32" s="94"/>
      <c r="Q32" s="94"/>
    </row>
    <row r="33" spans="1:17">
      <c r="C33" s="1292" t="s">
        <v>104</v>
      </c>
      <c r="G33" s="68"/>
      <c r="I33" s="68"/>
      <c r="K33" s="1100"/>
      <c r="M33" s="1100"/>
      <c r="O33" s="94"/>
      <c r="Q33" s="94"/>
    </row>
    <row r="34" spans="1:17">
      <c r="A34" s="76">
        <f>MAX(A$13:A33)+1</f>
        <v>19</v>
      </c>
      <c r="C34" s="1295" t="s">
        <v>1378</v>
      </c>
      <c r="E34" s="1302">
        <v>6</v>
      </c>
      <c r="G34" s="74">
        <f>'Table 2'!F45</f>
        <v>11881.561111111141</v>
      </c>
      <c r="H34" s="90"/>
      <c r="I34" s="74">
        <f>'Table 2'!G45</f>
        <v>11789</v>
      </c>
      <c r="J34" s="90"/>
      <c r="K34" s="1098">
        <f>'Blocking-Step2'!C732/1000</f>
        <v>5075110.3458469091</v>
      </c>
      <c r="M34" s="1098">
        <f>'Blocking-Step2'!D732/1000</f>
        <v>4815860.0039150957</v>
      </c>
      <c r="O34" s="97">
        <f>'Blocking-Step2'!H732/1000</f>
        <v>414155.43670139997</v>
      </c>
      <c r="Q34" s="97">
        <f>'Blocking-Step2'!I732/1000</f>
        <v>391978.57651020004</v>
      </c>
    </row>
    <row r="35" spans="1:17">
      <c r="A35" s="76">
        <f>MAX(A$13:A34)+1</f>
        <v>20</v>
      </c>
      <c r="C35" s="1295" t="s">
        <v>1379</v>
      </c>
      <c r="E35" s="1302" t="s">
        <v>959</v>
      </c>
      <c r="G35" s="74">
        <f>'Table 2'!F46</f>
        <v>266.06666666666666</v>
      </c>
      <c r="H35" s="90"/>
      <c r="I35" s="74">
        <f>'Table 2'!G46</f>
        <v>336</v>
      </c>
      <c r="J35" s="90"/>
      <c r="K35" s="1098">
        <f>'Blocking-Step2'!C810/1000</f>
        <v>123887.89292959406</v>
      </c>
      <c r="M35" s="1098">
        <f>'Blocking-Step2'!D810/1000</f>
        <v>159488.97580608583</v>
      </c>
      <c r="O35" s="97">
        <f>'Blocking-Step2'!H810/1000</f>
        <v>10440.111105100001</v>
      </c>
      <c r="Q35" s="97">
        <f>'Blocking-Step2'!I810/1000</f>
        <v>13386.924514900002</v>
      </c>
    </row>
    <row r="36" spans="1:17">
      <c r="A36" s="76">
        <f>MAX(A$13:A35)+1</f>
        <v>21</v>
      </c>
      <c r="C36" s="1295" t="s">
        <v>1380</v>
      </c>
      <c r="E36" s="1302" t="s">
        <v>1215</v>
      </c>
      <c r="G36" s="74">
        <f>'Table 2'!F47</f>
        <v>17.972222222222225</v>
      </c>
      <c r="H36" s="90"/>
      <c r="I36" s="74">
        <f>'Table 2'!G47</f>
        <v>50.916666666666664</v>
      </c>
      <c r="J36" s="90"/>
      <c r="K36" s="1098">
        <f>'Blocking-Step2'!C867/1000</f>
        <v>6054.2959969138874</v>
      </c>
      <c r="M36" s="1098">
        <f>'Blocking-Step2'!D867/1000</f>
        <v>24159.956617690787</v>
      </c>
      <c r="O36" s="97">
        <f>'Blocking-Step2'!H867/1000</f>
        <v>612.86777009999992</v>
      </c>
      <c r="Q36" s="97">
        <f>'Blocking-Step2'!I867/1000</f>
        <v>2419.2654955000003</v>
      </c>
    </row>
    <row r="37" spans="1:17">
      <c r="A37" s="76">
        <f>MAX(A$13:A36)+1</f>
        <v>22</v>
      </c>
      <c r="C37" s="1295" t="s">
        <v>1381</v>
      </c>
      <c r="E37" s="1302" t="s">
        <v>221</v>
      </c>
      <c r="G37" s="74">
        <f>'Table 2'!F48</f>
        <v>2262.5111111111169</v>
      </c>
      <c r="H37" s="90"/>
      <c r="I37" s="74">
        <f>'Table 2'!G48</f>
        <v>2363.8333333333335</v>
      </c>
      <c r="J37" s="90"/>
      <c r="K37" s="1098">
        <f>'Blocking-Step2'!C1030/1000</f>
        <v>286032.07135359122</v>
      </c>
      <c r="M37" s="1098">
        <f>'Blocking-Step2'!D1030/1000</f>
        <v>307351.86102522752</v>
      </c>
      <c r="O37" s="97">
        <f>'Blocking-Step2'!H1030/1000</f>
        <v>32515.7711098</v>
      </c>
      <c r="Q37" s="97">
        <f>'Blocking-Step2'!I1030/1000</f>
        <v>34807.446365099997</v>
      </c>
    </row>
    <row r="38" spans="1:17">
      <c r="A38" s="76">
        <f>MAX(A$13:A37)+1</f>
        <v>23</v>
      </c>
      <c r="C38" s="1295" t="s">
        <v>1382</v>
      </c>
      <c r="E38" s="1302" t="s">
        <v>963</v>
      </c>
      <c r="G38" s="74">
        <f>'Table 2'!F49</f>
        <v>89.125</v>
      </c>
      <c r="H38" s="90"/>
      <c r="I38" s="74">
        <f>'Table 2'!G49</f>
        <v>113</v>
      </c>
      <c r="J38" s="90"/>
      <c r="K38" s="1098">
        <f>'Blocking-Step2'!C1120/1000</f>
        <v>10596.105350323542</v>
      </c>
      <c r="M38" s="1098">
        <f>'Blocking-Step2'!D1120/1000</f>
        <v>12998.906024246655</v>
      </c>
      <c r="O38" s="97">
        <f>'Blocking-Step2'!H1120/1000</f>
        <v>1371.5032590999999</v>
      </c>
      <c r="Q38" s="97">
        <f>'Blocking-Step2'!I1120/1000</f>
        <v>1676.7237994</v>
      </c>
    </row>
    <row r="39" spans="1:17">
      <c r="A39" s="76">
        <f>MAX(A$13:A38)+1</f>
        <v>24</v>
      </c>
      <c r="C39" s="1295" t="s">
        <v>1631</v>
      </c>
      <c r="E39" s="1303" t="s">
        <v>1554</v>
      </c>
      <c r="G39" s="74">
        <f>'Table 2'!F50</f>
        <v>1.2166666666666666</v>
      </c>
      <c r="H39" s="90"/>
      <c r="I39" s="74">
        <f>'Table 2'!G50</f>
        <v>0</v>
      </c>
      <c r="J39" s="90"/>
      <c r="K39" s="1098">
        <f>'Blocking-Step2'!C1164/1000</f>
        <v>300.19138836035768</v>
      </c>
      <c r="M39" s="1098">
        <f>'Blocking-Step2'!D1164/1000</f>
        <v>0</v>
      </c>
      <c r="O39" s="97">
        <f>'Blocking-Step2'!H1164/1000</f>
        <v>27.839936399999999</v>
      </c>
      <c r="Q39" s="97">
        <f>'Blocking-Step2'!I1164/1000</f>
        <v>0</v>
      </c>
    </row>
    <row r="40" spans="1:17">
      <c r="A40" s="76">
        <f>MAX(A$13:A39)+1</f>
        <v>25</v>
      </c>
      <c r="C40" s="1295" t="s">
        <v>1383</v>
      </c>
      <c r="E40" s="1302" t="s">
        <v>223</v>
      </c>
      <c r="G40" s="74">
        <f>'Table 2'!F51</f>
        <v>14</v>
      </c>
      <c r="H40" s="90"/>
      <c r="I40" s="74">
        <f>'Table 2'!G51</f>
        <v>14</v>
      </c>
      <c r="J40" s="90"/>
      <c r="K40" s="1098">
        <f>'Blocking-Step2'!C940/1000</f>
        <v>3292.4147066724522</v>
      </c>
      <c r="M40" s="1098">
        <f>'Blocking-Step2'!D940/1000</f>
        <v>3324.0450000000001</v>
      </c>
      <c r="O40" s="97">
        <f>'Blocking-Step2'!H940/1000</f>
        <v>315.32938760000002</v>
      </c>
      <c r="Q40" s="97">
        <f>'Blocking-Step2'!I940/1000</f>
        <v>317.45654669999999</v>
      </c>
    </row>
    <row r="41" spans="1:17">
      <c r="A41" s="76">
        <f>MAX(A$13:A40)+1</f>
        <v>26</v>
      </c>
      <c r="C41" s="76" t="s">
        <v>232</v>
      </c>
      <c r="E41" s="1302">
        <v>7</v>
      </c>
      <c r="G41" s="74">
        <f>'Table 2'!F52</f>
        <v>3860.5833333333298</v>
      </c>
      <c r="H41" s="90"/>
      <c r="I41" s="74">
        <f>'Table 2'!G52</f>
        <v>3720</v>
      </c>
      <c r="J41" s="90"/>
      <c r="K41" s="1098">
        <f>'Blocking-Step2'!C1290/1000</f>
        <v>7277.0200497356382</v>
      </c>
      <c r="M41" s="1098">
        <f>'Blocking-Step2'!D1290/1000</f>
        <v>6988.8986263882052</v>
      </c>
      <c r="O41" s="97">
        <f>'Blocking-Step2'!H1290/1000</f>
        <v>1661.5508518000001</v>
      </c>
      <c r="Q41" s="97">
        <f>'Blocking-Step2'!I1290/1000</f>
        <v>1594.8863606</v>
      </c>
    </row>
    <row r="42" spans="1:17" ht="18.75" customHeight="1">
      <c r="A42" s="76">
        <f>MAX(A$13:A41)+1</f>
        <v>27</v>
      </c>
      <c r="C42" s="1295" t="s">
        <v>1384</v>
      </c>
      <c r="E42" s="1302">
        <v>8</v>
      </c>
      <c r="G42" s="74">
        <f>'Table 2'!F53</f>
        <v>128.45276190476167</v>
      </c>
      <c r="H42" s="90"/>
      <c r="I42" s="74">
        <f>'Table 2'!G53</f>
        <v>132.25</v>
      </c>
      <c r="J42" s="90"/>
      <c r="K42" s="1098">
        <f>'Blocking-Step2'!C1416/1000</f>
        <v>939060.94799508166</v>
      </c>
      <c r="M42" s="1098">
        <f>'Blocking-Step2'!D1416/1000</f>
        <v>946091.94127456832</v>
      </c>
      <c r="O42" s="97">
        <f>'Blocking-Step2'!H1416/1000</f>
        <v>66729.464450600004</v>
      </c>
      <c r="Q42" s="97">
        <f>'Blocking-Step2'!I1416/1000</f>
        <v>67017.747117799998</v>
      </c>
    </row>
    <row r="43" spans="1:17" ht="18.75" customHeight="1">
      <c r="A43" s="76">
        <f>MAX(A$13:A42)+1</f>
        <v>28</v>
      </c>
      <c r="C43" s="1295" t="s">
        <v>1385</v>
      </c>
      <c r="E43" s="1302" t="s">
        <v>964</v>
      </c>
      <c r="G43" s="74">
        <f>'Table 2'!F54</f>
        <v>11.302773809523833</v>
      </c>
      <c r="H43" s="90"/>
      <c r="I43" s="74">
        <f>'Table 2'!G54</f>
        <v>14</v>
      </c>
      <c r="J43" s="90"/>
      <c r="K43" s="1098">
        <f>'Blocking-Step2'!C1456/1000</f>
        <v>57774.294511233093</v>
      </c>
      <c r="M43" s="1098">
        <f>'Blocking-Step2'!D1456/1000</f>
        <v>63225.622196969678</v>
      </c>
      <c r="O43" s="97">
        <f>'Blocking-Step2'!H1456/1000</f>
        <v>4372.3273120000003</v>
      </c>
      <c r="Q43" s="97">
        <f>'Blocking-Step2'!I1456/1000</f>
        <v>4770.2606975999997</v>
      </c>
    </row>
    <row r="44" spans="1:17" ht="18.75" customHeight="1">
      <c r="A44" s="76">
        <f>MAX(A$13:A43)+1</f>
        <v>29</v>
      </c>
      <c r="C44" s="1295" t="s">
        <v>1385</v>
      </c>
      <c r="E44" s="1303" t="s">
        <v>1216</v>
      </c>
      <c r="G44" s="74">
        <f>'Table 2'!F55</f>
        <v>0.5</v>
      </c>
      <c r="H44" s="90"/>
      <c r="I44" s="74">
        <f>'Table 2'!G55</f>
        <v>0</v>
      </c>
      <c r="J44" s="90"/>
      <c r="K44" s="1098">
        <f>'Blocking-Step2'!C1476/1000</f>
        <v>1616.7223069884878</v>
      </c>
      <c r="M44" s="1098">
        <f>'Blocking-Step2'!D1476/1000</f>
        <v>0</v>
      </c>
      <c r="O44" s="97">
        <f>'Blocking-Step2'!H1476/1000</f>
        <v>137.2423144</v>
      </c>
      <c r="Q44" s="97">
        <f>'Blocking-Step2'!I1476/1000</f>
        <v>0</v>
      </c>
    </row>
    <row r="45" spans="1:17" ht="18" customHeight="1">
      <c r="A45" s="76">
        <f>MAX(A$13:A44)+1</f>
        <v>30</v>
      </c>
      <c r="C45" s="1295" t="s">
        <v>1386</v>
      </c>
      <c r="E45" s="1302">
        <v>9</v>
      </c>
      <c r="G45" s="74">
        <f>'Table 2'!F56</f>
        <v>39.116660231660248</v>
      </c>
      <c r="H45" s="90"/>
      <c r="I45" s="74">
        <f>'Table 2'!G56</f>
        <v>41</v>
      </c>
      <c r="J45" s="90"/>
      <c r="K45" s="1098">
        <f>'Blocking-Step2'!C1516/1000</f>
        <v>966852.51300000004</v>
      </c>
      <c r="M45" s="1098">
        <f>'Blocking-Step2'!D1516/1000</f>
        <v>1313136.6569091596</v>
      </c>
      <c r="O45" s="97">
        <f>'Blocking-Step2'!H1516/1000</f>
        <v>54029.3975527</v>
      </c>
      <c r="Q45" s="97">
        <f>'Blocking-Step2'!I1516/1000</f>
        <v>73130.935708000005</v>
      </c>
    </row>
    <row r="46" spans="1:17">
      <c r="A46" s="76">
        <f>MAX(A$13:A45)+1</f>
        <v>31</v>
      </c>
      <c r="C46" s="1295" t="s">
        <v>1395</v>
      </c>
      <c r="E46" s="1302" t="s">
        <v>225</v>
      </c>
      <c r="G46" s="74">
        <f>'Table 2'!F57</f>
        <v>2</v>
      </c>
      <c r="H46" s="90"/>
      <c r="I46" s="74">
        <f>'Table 2'!G57</f>
        <v>2</v>
      </c>
      <c r="J46" s="90"/>
      <c r="K46" s="1098">
        <f>SUM('Blocking-Step2'!C1579)/1000</f>
        <v>23039.276000000002</v>
      </c>
      <c r="M46" s="1098">
        <f>SUM('Blocking-Step2'!D1579)/1000</f>
        <v>23995.187423445866</v>
      </c>
      <c r="O46" s="97">
        <f>SUM('Blocking-Step2'!H1579)/1000</f>
        <v>1518.1575035999999</v>
      </c>
      <c r="Q46" s="97">
        <f>SUM('Blocking-Step2'!I1579)/1000</f>
        <v>1579.0496482999999</v>
      </c>
    </row>
    <row r="47" spans="1:17">
      <c r="A47" s="76">
        <f>MAX(A$13:A46)+1</f>
        <v>32</v>
      </c>
      <c r="C47" s="76" t="s">
        <v>236</v>
      </c>
      <c r="E47" s="1302">
        <v>15</v>
      </c>
      <c r="G47" s="74">
        <f>'Table 2'!F58</f>
        <v>536.69422043010752</v>
      </c>
      <c r="H47" s="90"/>
      <c r="I47" s="74">
        <f>'Table 2'!G58</f>
        <v>537</v>
      </c>
      <c r="J47" s="90"/>
      <c r="K47" s="1098">
        <f>'Blocking-Step2'!C1829/1000</f>
        <v>14762.485000000001</v>
      </c>
      <c r="M47" s="1098">
        <f>'Blocking-Step2'!D1829/1000</f>
        <v>15043.463667792927</v>
      </c>
      <c r="O47" s="97">
        <f>'Blocking-Step2'!H1829/1000</f>
        <v>1063.4484</v>
      </c>
      <c r="Q47" s="97">
        <f>'Blocking-Step2'!I1829/1000</f>
        <v>1080.0084159999999</v>
      </c>
    </row>
    <row r="48" spans="1:17">
      <c r="A48" s="76">
        <f>MAX(A$13:A47)+1</f>
        <v>33</v>
      </c>
      <c r="C48" s="76" t="s">
        <v>235</v>
      </c>
      <c r="E48" s="1302">
        <v>15</v>
      </c>
      <c r="G48" s="74">
        <f>'Table 2'!F59</f>
        <v>1087.7804545454583</v>
      </c>
      <c r="H48" s="90"/>
      <c r="I48" s="74">
        <f>'Table 2'!G59</f>
        <v>1111.25</v>
      </c>
      <c r="J48" s="90"/>
      <c r="K48" s="1098">
        <f>'Blocking-Step2'!C1867/1000</f>
        <v>3335.15</v>
      </c>
      <c r="M48" s="1098">
        <f>'Blocking-Step2'!D1867/1000</f>
        <v>3410.0441853684747</v>
      </c>
      <c r="O48" s="97">
        <f>'Blocking-Step2'!H1867/1000</f>
        <v>339.42021130000001</v>
      </c>
      <c r="Q48" s="97">
        <f>'Blocking-Step2'!I1867/1000</f>
        <v>346.38373419999999</v>
      </c>
    </row>
    <row r="49" spans="1:17" ht="18.75" customHeight="1">
      <c r="A49" s="76">
        <f>MAX(A$13:A48)+1</f>
        <v>34</v>
      </c>
      <c r="C49" s="1295" t="s">
        <v>1389</v>
      </c>
      <c r="E49" s="1302">
        <v>23</v>
      </c>
      <c r="G49" s="74">
        <f>'Table 2'!F60</f>
        <v>74144.651749990589</v>
      </c>
      <c r="H49" s="90"/>
      <c r="I49" s="74">
        <f>'Table 2'!G60</f>
        <v>76982.444574740119</v>
      </c>
      <c r="J49" s="90"/>
      <c r="K49" s="1098">
        <f>('Blocking-Step2'!C2046)/1000</f>
        <v>1252798.0695791468</v>
      </c>
      <c r="M49" s="1098">
        <f>('Blocking-Step2'!D2046)/1000</f>
        <v>1240259.524112345</v>
      </c>
      <c r="O49" s="97">
        <f>('Blocking-Step2'!H2046)/1000</f>
        <v>121739.1634354</v>
      </c>
      <c r="Q49" s="97">
        <f>('Blocking-Step2'!I2046)/1000</f>
        <v>120838.4156375</v>
      </c>
    </row>
    <row r="50" spans="1:17" ht="18.75" customHeight="1">
      <c r="A50" s="76">
        <f>MAX(A$13:A49)+1</f>
        <v>35</v>
      </c>
      <c r="C50" s="1295" t="s">
        <v>1390</v>
      </c>
      <c r="E50" s="1302" t="s">
        <v>960</v>
      </c>
      <c r="G50" s="74">
        <f>'Table 2'!F61</f>
        <v>820.60241666666582</v>
      </c>
      <c r="H50" s="90"/>
      <c r="I50" s="74">
        <f>'Table 2'!G61</f>
        <v>1030</v>
      </c>
      <c r="J50" s="90"/>
      <c r="K50" s="1098">
        <f>('Blocking-Step2'!C2136)/1000</f>
        <v>9781.4797605254953</v>
      </c>
      <c r="M50" s="1098">
        <f>('Blocking-Step2'!D2136)/1000</f>
        <v>12398.882064506533</v>
      </c>
      <c r="O50" s="97">
        <f>('Blocking-Step2'!H2136)/1000</f>
        <v>1026.9088107</v>
      </c>
      <c r="Q50" s="97">
        <f>('Blocking-Step2'!I2136)/1000</f>
        <v>1300.3070734</v>
      </c>
    </row>
    <row r="51" spans="1:17" ht="18.75" customHeight="1">
      <c r="A51" s="76">
        <f>MAX(A$13:A50)+1</f>
        <v>36</v>
      </c>
      <c r="C51" s="1295" t="s">
        <v>1391</v>
      </c>
      <c r="E51" s="1302" t="s">
        <v>1214</v>
      </c>
      <c r="G51" s="74">
        <f>'Table 2'!F62</f>
        <v>41.436500000000002</v>
      </c>
      <c r="H51" s="90"/>
      <c r="I51" s="74">
        <f>'Table 2'!G62</f>
        <v>102</v>
      </c>
      <c r="J51" s="90"/>
      <c r="K51" s="1098">
        <f>('Blocking-Step2'!C2227)/1000</f>
        <v>1155.9329025595819</v>
      </c>
      <c r="M51" s="1098">
        <f>('Blocking-Step2'!D2227)/1000</f>
        <v>1226.6017809244886</v>
      </c>
      <c r="O51" s="97">
        <f>('Blocking-Step2'!H2227)/1000</f>
        <v>110.0646545</v>
      </c>
      <c r="Q51" s="97">
        <f>('Blocking-Step2'!I2227)/1000</f>
        <v>122.943924</v>
      </c>
    </row>
    <row r="52" spans="1:17">
      <c r="A52" s="76">
        <f>MAX(A$13:A51)+1</f>
        <v>37</v>
      </c>
      <c r="C52" s="76" t="s">
        <v>1392</v>
      </c>
      <c r="E52" s="1302">
        <v>31</v>
      </c>
      <c r="G52" s="74">
        <f>'Table 2'!F63</f>
        <v>3.9166666666666665</v>
      </c>
      <c r="H52" s="90"/>
      <c r="I52" s="74">
        <f>'Table 2'!G63</f>
        <v>4</v>
      </c>
      <c r="J52" s="90"/>
      <c r="K52" s="1098">
        <f>'Blocking-Step2'!C2435/1000</f>
        <v>135414.26699999999</v>
      </c>
      <c r="M52" s="1098">
        <f>'Blocking-Step2'!D2435/1000</f>
        <v>129233.03366666666</v>
      </c>
      <c r="O52" s="97">
        <f>'Blocking-Step2'!H2435/1000</f>
        <v>8326.5933155999992</v>
      </c>
      <c r="Q52" s="97">
        <f>'Blocking-Step2'!I2435/1000</f>
        <v>7923.8239417999994</v>
      </c>
    </row>
    <row r="53" spans="1:17">
      <c r="A53" s="76">
        <f>MAX(A$13:A52)+1</f>
        <v>38</v>
      </c>
      <c r="C53" s="1295" t="s">
        <v>1490</v>
      </c>
      <c r="E53" s="1302">
        <v>32</v>
      </c>
      <c r="G53" s="74">
        <f>'Table 2'!F64</f>
        <v>3.0111132561132585</v>
      </c>
      <c r="H53" s="90"/>
      <c r="I53" s="74">
        <f>'Table 2'!G64</f>
        <v>3</v>
      </c>
      <c r="J53" s="90"/>
      <c r="K53" s="1098">
        <f>'Blocking-Step2'!C2606/1000</f>
        <v>180564.87400000001</v>
      </c>
      <c r="M53" s="1098">
        <f>'Blocking-Step2'!D2606/1000</f>
        <v>196649.98999999996</v>
      </c>
      <c r="O53" s="97">
        <f>'Blocking-Step2'!H2606/1000</f>
        <v>10353.948617599999</v>
      </c>
      <c r="Q53" s="97">
        <f>'Blocking-Step2'!I2606/1000</f>
        <v>13007.546453500001</v>
      </c>
    </row>
    <row r="54" spans="1:17">
      <c r="A54" s="76">
        <f>MAX(A$13:A53)+1</f>
        <v>39</v>
      </c>
      <c r="C54" s="1295" t="s">
        <v>1489</v>
      </c>
      <c r="E54" s="1302">
        <v>34</v>
      </c>
      <c r="G54" s="74">
        <f>'Table 2'!F65</f>
        <v>0</v>
      </c>
      <c r="H54" s="90"/>
      <c r="I54" s="74">
        <f>'Table 2'!G65</f>
        <v>1</v>
      </c>
      <c r="J54" s="90"/>
      <c r="K54" s="1098">
        <f>'Blocking-Step2'!C2610/1000</f>
        <v>0</v>
      </c>
      <c r="M54" s="1098">
        <f>'Blocking-Step2'!D2610/1000</f>
        <v>242230</v>
      </c>
      <c r="O54" s="97">
        <f>'Blocking-Step2'!H2610/1000</f>
        <v>0</v>
      </c>
      <c r="Q54" s="97">
        <f>'Blocking-Step2'!I2610/1000</f>
        <v>13027.75819123467</v>
      </c>
    </row>
    <row r="55" spans="1:17">
      <c r="A55" s="76">
        <f>MAX(A$13:A54)+1</f>
        <v>40</v>
      </c>
      <c r="C55" s="1295" t="s">
        <v>1396</v>
      </c>
      <c r="E55" s="1302"/>
      <c r="G55" s="74">
        <f>'Table 2'!F66</f>
        <v>2</v>
      </c>
      <c r="H55" s="90"/>
      <c r="I55" s="74">
        <f>'Table 2'!G66</f>
        <v>2</v>
      </c>
      <c r="J55" s="90"/>
      <c r="K55" s="1098">
        <f>'Blocking-Step2'!C2658/1000</f>
        <v>6.0300830817092104</v>
      </c>
      <c r="M55" s="1098">
        <f>'Blocking-Step2'!D2658/1000</f>
        <v>5.9950000000000001</v>
      </c>
      <c r="O55" s="97">
        <f>'Blocking-Step2'!H2658/1000</f>
        <v>0.45500000000000002</v>
      </c>
      <c r="Q55" s="97">
        <f>'Blocking-Step2'!I2658/1000</f>
        <v>0.45200000000000001</v>
      </c>
    </row>
    <row r="56" spans="1:17" ht="16.899999999999999" customHeight="1">
      <c r="A56" s="76">
        <f>MAX(A$13:A55)+1</f>
        <v>41</v>
      </c>
      <c r="C56" s="102" t="s">
        <v>471</v>
      </c>
      <c r="E56" s="1312"/>
      <c r="G56" s="71"/>
      <c r="I56" s="71"/>
      <c r="K56" s="1099">
        <f>'Blocking-Step2'!C2671/1000</f>
        <v>0</v>
      </c>
      <c r="M56" s="1099">
        <f>'Blocking-Step2'!D2671/1000</f>
        <v>0</v>
      </c>
      <c r="O56" s="96">
        <f>'Blocking-Step2'!H2671/1000</f>
        <v>3742.3441399999997</v>
      </c>
      <c r="Q56" s="96">
        <f>'Blocking-Step2'!I2671/1000</f>
        <v>3742.3441399999997</v>
      </c>
    </row>
    <row r="57" spans="1:17">
      <c r="A57" s="76">
        <f>MAX(A$13:A56)+1</f>
        <v>42</v>
      </c>
      <c r="C57" s="80" t="s">
        <v>115</v>
      </c>
      <c r="G57" s="68">
        <f>SUM(G34:G56)</f>
        <v>95214.501428612697</v>
      </c>
      <c r="I57" s="68">
        <f>SUM(I34:I56)</f>
        <v>98348.694574740119</v>
      </c>
      <c r="K57" s="1100">
        <f>SUM(K34:K56)</f>
        <v>9098712.379760718</v>
      </c>
      <c r="M57" s="1100">
        <f>SUM(M34:M56)</f>
        <v>9517079.5892964806</v>
      </c>
      <c r="O57" s="94">
        <f>SUM(O34:O56)</f>
        <v>734589.34583969996</v>
      </c>
      <c r="Q57" s="94">
        <f>SUM(Q34:Q56)</f>
        <v>754069.25627573498</v>
      </c>
    </row>
    <row r="58" spans="1:17">
      <c r="G58" s="68"/>
      <c r="I58" s="68"/>
      <c r="K58" s="1100"/>
      <c r="M58" s="1100"/>
      <c r="O58" s="94"/>
      <c r="Q58" s="94"/>
    </row>
    <row r="59" spans="1:17">
      <c r="C59" s="1292" t="s">
        <v>117</v>
      </c>
      <c r="G59" s="68"/>
      <c r="I59" s="68"/>
      <c r="K59" s="1100"/>
      <c r="M59" s="1100"/>
      <c r="O59" s="94"/>
      <c r="Q59" s="94"/>
    </row>
    <row r="60" spans="1:17">
      <c r="A60" s="76">
        <f>MAX(A$13:A59)+1</f>
        <v>43</v>
      </c>
      <c r="C60" s="1295" t="s">
        <v>1378</v>
      </c>
      <c r="E60" s="1302">
        <v>6</v>
      </c>
      <c r="G60" s="74">
        <f>'Table 2'!F83</f>
        <v>980.71388888889169</v>
      </c>
      <c r="H60" s="90"/>
      <c r="I60" s="74">
        <f>'Table 2'!G83</f>
        <v>989</v>
      </c>
      <c r="J60" s="90"/>
      <c r="K60" s="1098">
        <f>'Blocking-Step2'!C753/1000</f>
        <v>594851.89399999997</v>
      </c>
      <c r="M60" s="1098">
        <f>'Blocking-Step2'!D753/1000</f>
        <v>623608.74723923567</v>
      </c>
      <c r="O60" s="97">
        <f>'Blocking-Step2'!H753/1000</f>
        <v>50672.009191913523</v>
      </c>
      <c r="Q60" s="97">
        <f>'Blocking-Step2'!I753/1000</f>
        <v>53566.872476199998</v>
      </c>
    </row>
    <row r="61" spans="1:17">
      <c r="A61" s="76">
        <f>MAX(A$13:A60)+1</f>
        <v>44</v>
      </c>
      <c r="C61" s="1295" t="s">
        <v>1379</v>
      </c>
      <c r="E61" s="1303" t="s">
        <v>959</v>
      </c>
      <c r="G61" s="74">
        <f>'Table 2'!F84</f>
        <v>6</v>
      </c>
      <c r="H61" s="90"/>
      <c r="I61" s="74">
        <f>'Table 2'!G84</f>
        <v>16.5</v>
      </c>
      <c r="J61" s="90"/>
      <c r="K61" s="1098">
        <f>'Blocking-Step2'!C829/1000</f>
        <v>2194.665</v>
      </c>
      <c r="M61" s="1098">
        <f>'Blocking-Step2'!D829/1000</f>
        <v>6189.4395000000004</v>
      </c>
      <c r="O61" s="97">
        <f>'Blocking-Step2'!H829/1000</f>
        <v>205.66160620000002</v>
      </c>
      <c r="Q61" s="97">
        <f>'Blocking-Step2'!I829/1000</f>
        <v>585.12351179999996</v>
      </c>
    </row>
    <row r="62" spans="1:17">
      <c r="A62" s="76">
        <f>MAX(A$13:A61)+1</f>
        <v>45</v>
      </c>
      <c r="C62" s="1295" t="s">
        <v>1380</v>
      </c>
      <c r="E62" s="1303" t="s">
        <v>1215</v>
      </c>
      <c r="G62" s="74">
        <f>'Table 2'!F85</f>
        <v>0.4222222222222225</v>
      </c>
      <c r="H62" s="90"/>
      <c r="I62" s="74">
        <f>'Table 2'!G85</f>
        <v>0</v>
      </c>
      <c r="J62" s="90"/>
      <c r="K62" s="1098">
        <f>'Blocking-Step2'!C886/1000</f>
        <v>716.43899999999996</v>
      </c>
      <c r="M62" s="1098">
        <f>'Blocking-Step2'!D886/1000</f>
        <v>0</v>
      </c>
      <c r="O62" s="97">
        <f>'Blocking-Step2'!H886/1000</f>
        <v>56.982160700000001</v>
      </c>
      <c r="Q62" s="97">
        <f>'Blocking-Step2'!I886/1000</f>
        <v>0</v>
      </c>
    </row>
    <row r="63" spans="1:17">
      <c r="A63" s="76">
        <f>MAX(A$13:A62)+1</f>
        <v>46</v>
      </c>
      <c r="C63" s="1295" t="s">
        <v>1381</v>
      </c>
      <c r="E63" s="1296" t="s">
        <v>221</v>
      </c>
      <c r="G63" s="74">
        <f>'Table 2'!F86</f>
        <v>258.6722222222225</v>
      </c>
      <c r="H63" s="90"/>
      <c r="I63" s="74">
        <f>'Table 2'!G86</f>
        <v>263</v>
      </c>
      <c r="J63" s="90"/>
      <c r="K63" s="1098">
        <f>'Blocking-Step2'!C1054/1000</f>
        <v>54420.131999999998</v>
      </c>
      <c r="M63" s="1098">
        <f>'Blocking-Step2'!D1054/1000</f>
        <v>63085.634099411574</v>
      </c>
      <c r="O63" s="97">
        <f>'Blocking-Step2'!H1054/1000</f>
        <v>6352.1141368000008</v>
      </c>
      <c r="Q63" s="97">
        <f>'Blocking-Step2'!I1054/1000</f>
        <v>7378.4449835000005</v>
      </c>
    </row>
    <row r="64" spans="1:17">
      <c r="A64" s="76">
        <f>MAX(A$13:A63)+1</f>
        <v>47</v>
      </c>
      <c r="C64" s="1295" t="s">
        <v>1382</v>
      </c>
      <c r="E64" s="1297" t="s">
        <v>963</v>
      </c>
      <c r="G64" s="74">
        <f>'Table 2'!F87</f>
        <v>13</v>
      </c>
      <c r="H64" s="90"/>
      <c r="I64" s="74">
        <f>'Table 2'!G87</f>
        <v>35.75</v>
      </c>
      <c r="J64" s="90"/>
      <c r="K64" s="1098">
        <f>'Blocking-Step2'!C1142/1000</f>
        <v>3980.0949999999998</v>
      </c>
      <c r="M64" s="1098">
        <f>'Blocking-Step2'!D1142/1000</f>
        <v>10434.740076923075</v>
      </c>
      <c r="O64" s="97">
        <f>'Blocking-Step2'!H1142/1000</f>
        <v>551.56587250000007</v>
      </c>
      <c r="Q64" s="97">
        <f>'Blocking-Step2'!I1142/1000</f>
        <v>1452.2282201</v>
      </c>
    </row>
    <row r="65" spans="1:17">
      <c r="A65" s="76">
        <f>MAX(A$13:A64)+1</f>
        <v>48</v>
      </c>
      <c r="C65" s="76" t="s">
        <v>222</v>
      </c>
      <c r="E65" s="1296" t="s">
        <v>223</v>
      </c>
      <c r="G65" s="74">
        <f>'Table 2'!F88</f>
        <v>0.33333333333333331</v>
      </c>
      <c r="H65" s="90"/>
      <c r="I65" s="74">
        <f>'Table 2'!G88</f>
        <v>1</v>
      </c>
      <c r="J65" s="90"/>
      <c r="K65" s="1098">
        <f>'Blocking-Step2'!C958/1000</f>
        <v>6.9710000000000001</v>
      </c>
      <c r="M65" s="1098">
        <f>'Blocking-Step2'!D958/1000</f>
        <v>23.28</v>
      </c>
      <c r="O65" s="97">
        <f>'Blocking-Step2'!H958/1000</f>
        <v>2.7137747000000001</v>
      </c>
      <c r="Q65" s="97">
        <f>'Blocking-Step2'!I958/1000</f>
        <v>9.1494873000000005</v>
      </c>
    </row>
    <row r="66" spans="1:17">
      <c r="A66" s="76">
        <f>MAX(A$13:A65)+1</f>
        <v>49</v>
      </c>
      <c r="C66" s="76" t="s">
        <v>232</v>
      </c>
      <c r="E66" s="76">
        <v>7</v>
      </c>
      <c r="G66" s="74">
        <f>'Table 2'!F89</f>
        <v>394</v>
      </c>
      <c r="H66" s="90"/>
      <c r="I66" s="74">
        <f>'Table 2'!G89</f>
        <v>403</v>
      </c>
      <c r="J66" s="90"/>
      <c r="K66" s="1098">
        <f>'Blocking-Step2'!C1332/1000</f>
        <v>958.26511834088467</v>
      </c>
      <c r="M66" s="1098">
        <f>'Blocking-Step2'!D1332/1000</f>
        <v>1021.7237132091595</v>
      </c>
      <c r="O66" s="97">
        <f>'Blocking-Step2'!H1332/1000</f>
        <v>201.66056219999999</v>
      </c>
      <c r="Q66" s="97">
        <f>'Blocking-Step2'!I1332/1000</f>
        <v>214.8323944</v>
      </c>
    </row>
    <row r="67" spans="1:17" ht="18" customHeight="1">
      <c r="A67" s="76">
        <f>MAX(A$13:A66)+1</f>
        <v>50</v>
      </c>
      <c r="C67" s="1295" t="s">
        <v>1384</v>
      </c>
      <c r="E67" s="76">
        <v>8</v>
      </c>
      <c r="G67" s="74">
        <f>'Table 2'!F90</f>
        <v>104.1722023809525</v>
      </c>
      <c r="H67" s="90"/>
      <c r="I67" s="74">
        <f>'Table 2'!G90</f>
        <v>103</v>
      </c>
      <c r="J67" s="90"/>
      <c r="K67" s="1101">
        <f>'Blocking-Step2'!C1436/1000</f>
        <v>995855.66700000002</v>
      </c>
      <c r="M67" s="1101">
        <f>'Blocking-Step2'!D1436/1000</f>
        <v>1011385.880778997</v>
      </c>
      <c r="O67" s="74">
        <f>'Blocking-Step2'!H1436/1000</f>
        <v>73092.0642506</v>
      </c>
      <c r="Q67" s="74">
        <f>'Blocking-Step2'!I1436/1000</f>
        <v>74768.957657599996</v>
      </c>
    </row>
    <row r="68" spans="1:17">
      <c r="A68" s="76">
        <f>MAX(A$13:A67)+1</f>
        <v>51</v>
      </c>
      <c r="C68" s="1295" t="s">
        <v>1386</v>
      </c>
      <c r="E68" s="76">
        <v>9</v>
      </c>
      <c r="G68" s="74">
        <f>'Table 2'!F91</f>
        <v>112.76110038610041</v>
      </c>
      <c r="H68" s="90"/>
      <c r="I68" s="74">
        <f>'Table 2'!G91</f>
        <v>115</v>
      </c>
      <c r="J68" s="90"/>
      <c r="K68" s="1098">
        <f>('Blocking-Step2'!C1535)/1000</f>
        <v>3574587.7459999998</v>
      </c>
      <c r="M68" s="1098">
        <f>('Blocking-Step2'!D1535)/1000</f>
        <v>3534195.2973959674</v>
      </c>
      <c r="O68" s="97">
        <f>('Blocking-Step2'!H1535)/1000</f>
        <v>193635.20899880002</v>
      </c>
      <c r="Q68" s="97">
        <f>('Blocking-Step2'!I1535)/1000</f>
        <v>192578.66329580001</v>
      </c>
    </row>
    <row r="69" spans="1:17">
      <c r="A69" s="76">
        <f>MAX(A$13:A68)+1</f>
        <v>52</v>
      </c>
      <c r="C69" s="1295" t="s">
        <v>1395</v>
      </c>
      <c r="E69" s="1296" t="s">
        <v>225</v>
      </c>
      <c r="G69" s="74">
        <f>'Table 2'!F92</f>
        <v>7</v>
      </c>
      <c r="H69" s="90"/>
      <c r="I69" s="74">
        <f>'Table 2'!G92</f>
        <v>7</v>
      </c>
      <c r="J69" s="90"/>
      <c r="K69" s="1098">
        <f>'Blocking-Step2'!C1601/1000</f>
        <v>17337.580000000002</v>
      </c>
      <c r="M69" s="1098">
        <f>'Blocking-Step2'!D1601/1000</f>
        <v>17945.099999999999</v>
      </c>
      <c r="O69" s="97">
        <f>'Blocking-Step2'!H1601/1000</f>
        <v>1558.4032194000001</v>
      </c>
      <c r="Q69" s="97">
        <f>'Blocking-Step2'!I1601/1000</f>
        <v>1616.7989106999999</v>
      </c>
    </row>
    <row r="70" spans="1:17">
      <c r="A70" s="76">
        <f>MAX(A$13:A69)+1</f>
        <v>53</v>
      </c>
      <c r="C70" s="76" t="s">
        <v>236</v>
      </c>
      <c r="E70" s="76">
        <v>15</v>
      </c>
      <c r="G70" s="74">
        <f>'Table 2'!F94</f>
        <v>12.019545454545417</v>
      </c>
      <c r="H70" s="90"/>
      <c r="I70" s="74">
        <f>'Table 2'!G94</f>
        <v>12</v>
      </c>
      <c r="J70" s="90"/>
      <c r="K70" s="1098">
        <f>'Blocking-Step2'!C1840/1000</f>
        <v>12.324</v>
      </c>
      <c r="M70" s="1098">
        <f>'Blocking-Step2'!D1840/1000</f>
        <v>13.122</v>
      </c>
      <c r="O70" s="97">
        <f>'Blocking-Step2'!H1840/1000</f>
        <v>2.2662680000000002</v>
      </c>
      <c r="Q70" s="97">
        <f>'Blocking-Step2'!I1840/1000</f>
        <v>2.387372</v>
      </c>
    </row>
    <row r="71" spans="1:17">
      <c r="A71" s="76">
        <f>MAX(A$13:A70)+1</f>
        <v>54</v>
      </c>
      <c r="C71" s="76" t="s">
        <v>235</v>
      </c>
      <c r="E71" s="76">
        <v>15</v>
      </c>
      <c r="G71" s="74">
        <f>'Table 2'!F93</f>
        <v>6</v>
      </c>
      <c r="H71" s="90"/>
      <c r="I71" s="74">
        <f>'Table 2'!G93</f>
        <v>6</v>
      </c>
      <c r="J71" s="90"/>
      <c r="K71" s="1098">
        <f>'Blocking-Step2'!C1875/1000</f>
        <v>46.844999999999999</v>
      </c>
      <c r="M71" s="1098">
        <f>'Blocking-Step2'!D1875/1000</f>
        <v>27.84</v>
      </c>
      <c r="O71" s="97">
        <f>'Blocking-Step2'!H1875/1000</f>
        <v>4.5432285000000006</v>
      </c>
      <c r="Q71" s="97">
        <f>'Blocking-Step2'!I1875/1000</f>
        <v>3.0139236</v>
      </c>
    </row>
    <row r="72" spans="1:17">
      <c r="A72" s="76">
        <f>MAX(A$13:A71)+1</f>
        <v>55</v>
      </c>
      <c r="C72" s="76" t="s">
        <v>230</v>
      </c>
      <c r="E72" s="76">
        <v>21</v>
      </c>
      <c r="G72" s="74">
        <f>'Table 2'!F95</f>
        <v>2.3833267716535436</v>
      </c>
      <c r="H72" s="90"/>
      <c r="I72" s="74">
        <f>'Table 2'!G95</f>
        <v>3</v>
      </c>
      <c r="J72" s="90"/>
      <c r="K72" s="1098">
        <f>'Blocking-Step2'!C1935/1000</f>
        <v>1235.72</v>
      </c>
      <c r="M72" s="1098">
        <f>'Blocking-Step2'!D1935/1000</f>
        <v>1837.1120000000001</v>
      </c>
      <c r="O72" s="97">
        <f>'Blocking-Step2'!H1935/1000</f>
        <v>157.25755599999999</v>
      </c>
      <c r="Q72" s="97">
        <f>'Blocking-Step2'!I1935/1000</f>
        <v>233.11476199999998</v>
      </c>
    </row>
    <row r="73" spans="1:17">
      <c r="A73" s="76">
        <f>MAX(A$13:A72)+1</f>
        <v>56</v>
      </c>
      <c r="C73" s="1295" t="s">
        <v>1389</v>
      </c>
      <c r="E73" s="1302">
        <v>23</v>
      </c>
      <c r="G73" s="74">
        <f>'Table 2'!F96</f>
        <v>3179.5089166666585</v>
      </c>
      <c r="H73" s="90"/>
      <c r="I73" s="74">
        <f>'Table 2'!G96</f>
        <v>3119.2500000000005</v>
      </c>
      <c r="J73" s="90"/>
      <c r="K73" s="1098">
        <f>'Blocking-Step2'!C2070/1000</f>
        <v>52668.436999999998</v>
      </c>
      <c r="M73" s="1098">
        <f>'Blocking-Step2'!D2070/1000</f>
        <v>51746.084771338334</v>
      </c>
      <c r="O73" s="97">
        <f>'Blocking-Step2'!H2070/1000</f>
        <v>5116.0815812000001</v>
      </c>
      <c r="Q73" s="97">
        <f>'Blocking-Step2'!I2070/1000</f>
        <v>5035.1084945000002</v>
      </c>
    </row>
    <row r="74" spans="1:17">
      <c r="A74" s="76">
        <f>MAX(A$13:A73)+1</f>
        <v>57</v>
      </c>
      <c r="C74" s="1295" t="s">
        <v>1390</v>
      </c>
      <c r="E74" s="1303" t="s">
        <v>960</v>
      </c>
      <c r="G74" s="74">
        <f>'Table 2'!F97</f>
        <v>17.013999999999999</v>
      </c>
      <c r="H74" s="90"/>
      <c r="I74" s="74">
        <f>'Table 2'!G97</f>
        <v>38.5</v>
      </c>
      <c r="J74" s="90"/>
      <c r="K74" s="1098">
        <f>'Blocking-Step2'!C2158/1000</f>
        <v>174.113</v>
      </c>
      <c r="M74" s="1098">
        <f>'Blocking-Step2'!D2158/1000</f>
        <v>445.30939789915965</v>
      </c>
      <c r="O74" s="97">
        <f>'Blocking-Step2'!H2158/1000</f>
        <v>20.024814200000002</v>
      </c>
      <c r="Q74" s="97">
        <f>'Blocking-Step2'!I2158/1000</f>
        <v>51.281627099999994</v>
      </c>
    </row>
    <row r="75" spans="1:17">
      <c r="A75" s="76">
        <f>MAX(A$13:A74)+1</f>
        <v>58</v>
      </c>
      <c r="C75" s="76" t="s">
        <v>1392</v>
      </c>
      <c r="E75" s="76">
        <v>31</v>
      </c>
      <c r="G75" s="74">
        <f>'Table 2'!F98</f>
        <v>3</v>
      </c>
      <c r="H75" s="90"/>
      <c r="I75" s="74">
        <f>'Table 2'!G98</f>
        <v>3</v>
      </c>
      <c r="J75" s="90"/>
      <c r="K75" s="1098">
        <f>('Blocking-Step2'!C2539)/1000</f>
        <v>49589.991000000002</v>
      </c>
      <c r="M75" s="1098">
        <f>('Blocking-Step2'!D2539)/1000</f>
        <v>60026.108999999997</v>
      </c>
      <c r="O75" s="97">
        <f>('Blocking-Step2'!H2539)/1000</f>
        <v>3651.3234571000003</v>
      </c>
      <c r="Q75" s="97">
        <f>('Blocking-Step2'!I2539)/1000</f>
        <v>4451.4067307000005</v>
      </c>
    </row>
    <row r="76" spans="1:17">
      <c r="A76" s="76">
        <f>MAX(A$13:A75)+1</f>
        <v>59</v>
      </c>
      <c r="C76" s="1295" t="s">
        <v>680</v>
      </c>
      <c r="G76" s="74">
        <f>'Table 2'!F99</f>
        <v>1</v>
      </c>
      <c r="H76" s="90"/>
      <c r="I76" s="74">
        <f>'Table 2'!G99</f>
        <v>1</v>
      </c>
      <c r="J76" s="90"/>
      <c r="K76" s="1098">
        <f>'Blocking-Step2'!C2623/1000</f>
        <v>602970</v>
      </c>
      <c r="M76" s="1098">
        <f>'Blocking-Step2'!D2623/1000</f>
        <v>617100</v>
      </c>
      <c r="O76" s="97">
        <f>'Blocking-Step2'!H2623/1000</f>
        <v>30663.712681600002</v>
      </c>
      <c r="Q76" s="97">
        <f>'Blocking-Step2'!I2623/1000</f>
        <v>31382.2199616</v>
      </c>
    </row>
    <row r="77" spans="1:17">
      <c r="A77" s="76">
        <f>MAX(A$13:A76)+1</f>
        <v>60</v>
      </c>
      <c r="C77" s="1295" t="s">
        <v>681</v>
      </c>
      <c r="G77" s="74">
        <f>'Table 2'!F100</f>
        <v>1</v>
      </c>
      <c r="H77" s="90"/>
      <c r="I77" s="74">
        <f>'Table 2'!G100</f>
        <v>1</v>
      </c>
      <c r="J77" s="90"/>
      <c r="K77" s="1098">
        <f>'Blocking-Step2'!C2633/1000</f>
        <v>784393.32799999998</v>
      </c>
      <c r="M77" s="1098">
        <f>'Blocking-Step2'!D2633/1000</f>
        <v>705455.54894656001</v>
      </c>
      <c r="O77" s="97">
        <f>'Blocking-Step2'!H2633/1000</f>
        <v>35019.757123000003</v>
      </c>
      <c r="Q77" s="97">
        <f>'Blocking-Step2'!I2633/1000</f>
        <v>31485.131144999999</v>
      </c>
    </row>
    <row r="78" spans="1:17">
      <c r="A78" s="76">
        <f>MAX(A$13:A77)+1</f>
        <v>61</v>
      </c>
      <c r="C78" s="1295" t="s">
        <v>682</v>
      </c>
      <c r="G78" s="74">
        <f>'Table 2'!F101</f>
        <v>1</v>
      </c>
      <c r="H78" s="90"/>
      <c r="I78" s="74">
        <f>'Table 2'!G101</f>
        <v>1</v>
      </c>
      <c r="J78" s="90"/>
      <c r="K78" s="1098">
        <f>'Blocking-Step2'!C2640/1000</f>
        <v>1284863.246</v>
      </c>
      <c r="M78" s="1098">
        <f>'Blocking-Step2'!D2640/1000</f>
        <v>1288626.1969999999</v>
      </c>
      <c r="O78" s="97">
        <f>'Blocking-Step2'!H2640/1000</f>
        <v>65909.694239999997</v>
      </c>
      <c r="Q78" s="97">
        <f>'Blocking-Step2'!I2640/1000</f>
        <v>62957.593017309679</v>
      </c>
    </row>
    <row r="79" spans="1:17" ht="16.899999999999999" customHeight="1">
      <c r="A79" s="76">
        <f>MAX(A$13:A78)+1</f>
        <v>62</v>
      </c>
      <c r="C79" s="102" t="s">
        <v>471</v>
      </c>
      <c r="E79" s="1312"/>
      <c r="G79" s="71"/>
      <c r="I79" s="71"/>
      <c r="K79" s="1099">
        <f>'Blocking-Step2'!C2672/1000</f>
        <v>0</v>
      </c>
      <c r="M79" s="1099">
        <f>'Blocking-Step2'!D2672/1000</f>
        <v>0</v>
      </c>
      <c r="O79" s="96">
        <f>'Blocking-Step2'!H2672/1000</f>
        <v>823.36979999999994</v>
      </c>
      <c r="Q79" s="96">
        <f>'Blocking-Step2'!I2672/1000</f>
        <v>823.36979999999994</v>
      </c>
    </row>
    <row r="80" spans="1:17">
      <c r="A80" s="76">
        <f>MAX(A$13:A79)+1</f>
        <v>63</v>
      </c>
      <c r="C80" s="80" t="s">
        <v>464</v>
      </c>
      <c r="G80" s="68">
        <f>SUM(G60:G79)</f>
        <v>5100.0007583265806</v>
      </c>
      <c r="I80" s="68">
        <f>SUM(I60:I79)</f>
        <v>5118</v>
      </c>
      <c r="K80" s="1100">
        <f>SUM(K60:K79)</f>
        <v>8020863.4581183409</v>
      </c>
      <c r="M80" s="1100">
        <f>SUM(M60:M79)</f>
        <v>7993167.1659195414</v>
      </c>
      <c r="O80" s="94">
        <f>SUM(O60:O79)</f>
        <v>467696.41452341352</v>
      </c>
      <c r="Q80" s="94">
        <f>SUM(Q60:Q79)</f>
        <v>468595.69777120964</v>
      </c>
    </row>
    <row r="81" spans="1:17">
      <c r="C81" s="80"/>
      <c r="G81" s="68"/>
      <c r="I81" s="68"/>
      <c r="K81" s="1100"/>
      <c r="M81" s="1100"/>
      <c r="O81" s="94"/>
      <c r="Q81" s="94"/>
    </row>
    <row r="82" spans="1:17">
      <c r="C82" s="80" t="s">
        <v>227</v>
      </c>
      <c r="G82" s="68"/>
      <c r="I82" s="68"/>
      <c r="K82" s="1100"/>
      <c r="M82" s="1100"/>
      <c r="O82" s="94"/>
      <c r="Q82" s="94"/>
    </row>
    <row r="83" spans="1:17">
      <c r="A83" s="76">
        <f>MAX(A$13:A82)+1</f>
        <v>64</v>
      </c>
      <c r="C83" s="76" t="s">
        <v>227</v>
      </c>
      <c r="E83" s="1296">
        <v>10</v>
      </c>
      <c r="G83" s="68">
        <f>'Blocking-Step2'!C1604+'Blocking-Step2'!C1605</f>
        <v>3109.6042063157915</v>
      </c>
      <c r="I83" s="68">
        <f>'Blocking-Step2'!D1604+'Blocking-Step2'!D1605</f>
        <v>3283</v>
      </c>
      <c r="K83" s="1100">
        <f>'Blocking-Step2'!C1619/1000</f>
        <v>177211.40065343733</v>
      </c>
      <c r="M83" s="1100">
        <f>'Blocking-Step2'!D1619/1000</f>
        <v>196833.65599999999</v>
      </c>
      <c r="O83" s="94">
        <f>'Blocking-Step2'!H1619/1000</f>
        <v>13554.816057</v>
      </c>
      <c r="Q83" s="94">
        <f>'Blocking-Step2'!I1619/1000</f>
        <v>15038.1552961</v>
      </c>
    </row>
    <row r="84" spans="1:17">
      <c r="A84" s="76">
        <f>MAX(A$13:A83)+1</f>
        <v>65</v>
      </c>
      <c r="C84" s="1295" t="s">
        <v>1387</v>
      </c>
      <c r="E84" s="1297" t="s">
        <v>966</v>
      </c>
      <c r="G84" s="68">
        <f>'Blocking-Step2'!C1622+'Blocking-Step2'!C1623</f>
        <v>61.7226315789474</v>
      </c>
      <c r="I84" s="68">
        <f>'Blocking-Step2'!D1622+'Blocking-Step2'!D1623</f>
        <v>56</v>
      </c>
      <c r="K84" s="1100">
        <f>'Blocking-Step2'!C1639/1000</f>
        <v>8265.4484662996747</v>
      </c>
      <c r="M84" s="1100">
        <f>'Blocking-Step2'!D1639/1000</f>
        <v>9300.4295822001495</v>
      </c>
      <c r="O84" s="94">
        <f>'Blocking-Step2'!H1639/1000</f>
        <v>657.95919499999991</v>
      </c>
      <c r="Q84" s="94">
        <f>'Blocking-Step2'!I1639/1000</f>
        <v>738.71952069999998</v>
      </c>
    </row>
    <row r="85" spans="1:17" s="90" customFormat="1">
      <c r="A85" s="90">
        <f>MAX(A$13:A84)+1</f>
        <v>66</v>
      </c>
      <c r="C85" s="1295" t="s">
        <v>1388</v>
      </c>
      <c r="E85" s="1312" t="s">
        <v>228</v>
      </c>
      <c r="G85" s="74">
        <f>'Blocking-Step2'!C1642+'Blocking-Step2'!C1643</f>
        <v>254.37552631578899</v>
      </c>
      <c r="I85" s="74">
        <f>'Blocking-Step2'!D1642+'Blocking-Step2'!D1643</f>
        <v>269</v>
      </c>
      <c r="K85" s="1098">
        <f>'Blocking-Step2'!C1657/1000</f>
        <v>21840.080451462989</v>
      </c>
      <c r="M85" s="1098">
        <f>'Blocking-Step2'!D1657/1000</f>
        <v>24258.38713714117</v>
      </c>
      <c r="O85" s="97">
        <f>'Blocking-Step2'!H1657/1000</f>
        <v>1731.9502459</v>
      </c>
      <c r="Q85" s="97">
        <f>'Blocking-Step2'!I1657/1000</f>
        <v>1922.6796366999999</v>
      </c>
    </row>
    <row r="86" spans="1:17">
      <c r="A86" s="90">
        <f>MAX(A$13:A85)+1</f>
        <v>67</v>
      </c>
      <c r="C86" s="76" t="s">
        <v>471</v>
      </c>
      <c r="E86" s="1296"/>
      <c r="G86" s="71"/>
      <c r="I86" s="71"/>
      <c r="K86" s="1099">
        <f>'Blocking-Step2'!C2673/1000</f>
        <v>0</v>
      </c>
      <c r="M86" s="1099">
        <f>'Blocking-Step2'!D2673/1000</f>
        <v>0</v>
      </c>
      <c r="O86" s="96">
        <f>'Blocking-Step2'!H2673/1000</f>
        <v>231.62284</v>
      </c>
      <c r="Q86" s="96">
        <f>'Blocking-Step2'!I2673/1000</f>
        <v>231.62284</v>
      </c>
    </row>
    <row r="87" spans="1:17">
      <c r="A87" s="76">
        <f>MAX(A$13:A86)+1</f>
        <v>68</v>
      </c>
      <c r="C87" s="80" t="s">
        <v>250</v>
      </c>
      <c r="G87" s="68">
        <f>SUM(G83:G86)</f>
        <v>3425.7023642105282</v>
      </c>
      <c r="I87" s="68">
        <f>SUM(I83:I86)</f>
        <v>3608</v>
      </c>
      <c r="K87" s="1102">
        <f>SUM(K83:K86)</f>
        <v>207316.92957120002</v>
      </c>
      <c r="M87" s="1102">
        <f>SUM(M83:M86)</f>
        <v>230392.47271934131</v>
      </c>
      <c r="O87" s="95">
        <f>SUM(O83:O86)</f>
        <v>16176.348337899999</v>
      </c>
      <c r="Q87" s="95">
        <f>SUM(Q83:Q86)</f>
        <v>17931.177293500001</v>
      </c>
    </row>
    <row r="88" spans="1:17">
      <c r="G88" s="68"/>
      <c r="I88" s="68"/>
      <c r="K88" s="1100"/>
      <c r="M88" s="1100"/>
      <c r="O88" s="94"/>
      <c r="Q88" s="94"/>
    </row>
    <row r="89" spans="1:17">
      <c r="C89" s="1292" t="s">
        <v>231</v>
      </c>
      <c r="G89" s="68"/>
      <c r="I89" s="68"/>
      <c r="K89" s="1100"/>
      <c r="M89" s="1100"/>
      <c r="O89" s="94"/>
      <c r="Q89" s="94"/>
    </row>
    <row r="90" spans="1:17">
      <c r="A90" s="76">
        <f>MAX(A$13:A89)+1</f>
        <v>69</v>
      </c>
      <c r="C90" s="76" t="s">
        <v>232</v>
      </c>
      <c r="E90" s="90">
        <v>7</v>
      </c>
      <c r="F90" s="90"/>
      <c r="G90" s="74">
        <f>'Table 2'!F136</f>
        <v>193.916666666667</v>
      </c>
      <c r="H90" s="90"/>
      <c r="I90" s="74">
        <f>'Table 2'!G136</f>
        <v>163</v>
      </c>
      <c r="J90" s="90"/>
      <c r="K90" s="1098">
        <f>'Blocking-Step2'!C1374/1000</f>
        <v>348.37609622831792</v>
      </c>
      <c r="M90" s="1098">
        <f>'Blocking-Step2'!D1374/1000</f>
        <v>297</v>
      </c>
      <c r="O90" s="97">
        <f>'Blocking-Step2'!H1374/1000</f>
        <v>90.378912</v>
      </c>
      <c r="Q90" s="97">
        <f>'Blocking-Step2'!I1374/1000</f>
        <v>76.890808800000002</v>
      </c>
    </row>
    <row r="91" spans="1:17">
      <c r="A91" s="76">
        <f>MAX(A$13:A90)+1</f>
        <v>70</v>
      </c>
      <c r="C91" s="76" t="s">
        <v>233</v>
      </c>
      <c r="E91" s="90">
        <v>11</v>
      </c>
      <c r="F91" s="90"/>
      <c r="G91" s="74">
        <f>'Table 2'!F137</f>
        <v>717.16666666666697</v>
      </c>
      <c r="H91" s="90"/>
      <c r="I91" s="74">
        <f>'Table 2'!G137</f>
        <v>715</v>
      </c>
      <c r="J91" s="90"/>
      <c r="K91" s="1098">
        <f>'Blocking-Step2'!C1716/1000</f>
        <v>13042.129853383691</v>
      </c>
      <c r="M91" s="1098">
        <f>'Blocking-Step2'!D1716/1000</f>
        <v>13572.50823362934</v>
      </c>
      <c r="O91" s="97">
        <f>'Blocking-Step2'!H1716/1000</f>
        <v>3950.7245094</v>
      </c>
      <c r="Q91" s="97">
        <f>'Blocking-Step2'!I1716/1000</f>
        <v>4103.1867941999999</v>
      </c>
    </row>
    <row r="92" spans="1:17">
      <c r="A92" s="76">
        <f>MAX(A$13:A91)+1</f>
        <v>71</v>
      </c>
      <c r="C92" s="76" t="s">
        <v>234</v>
      </c>
      <c r="E92" s="90">
        <v>12</v>
      </c>
      <c r="F92" s="90"/>
      <c r="G92" s="74">
        <f>'Table 2'!F138+'Table 2'!F139+'Table 2'!F140</f>
        <v>1241.9166666666702</v>
      </c>
      <c r="H92" s="90"/>
      <c r="I92" s="74">
        <f>'Table 2'!G138+'Table 2'!G139+'Table 2'!G140</f>
        <v>1229</v>
      </c>
      <c r="J92" s="90"/>
      <c r="K92" s="1098">
        <f>'Blocking-Step2'!C1807/1000</f>
        <v>43738.544526070858</v>
      </c>
      <c r="M92" s="1098">
        <f>'Blocking-Step2'!D1807/1000</f>
        <v>26868.87420437079</v>
      </c>
      <c r="O92" s="97">
        <f>'Blocking-Step2'!H1807/1000</f>
        <v>3032.1466356000001</v>
      </c>
      <c r="Q92" s="97">
        <f>'Blocking-Step2'!I1807/1000</f>
        <v>1896.3262864000001</v>
      </c>
    </row>
    <row r="93" spans="1:17" s="90" customFormat="1">
      <c r="A93" s="76">
        <f>MAX(A$13:A92)+1</f>
        <v>72</v>
      </c>
      <c r="C93" s="76" t="s">
        <v>236</v>
      </c>
      <c r="E93" s="90">
        <v>15</v>
      </c>
      <c r="G93" s="74">
        <f>'Table 2'!F141</f>
        <v>93.294623655914165</v>
      </c>
      <c r="I93" s="74">
        <f>'Table 2'!G141</f>
        <v>94</v>
      </c>
      <c r="K93" s="1098">
        <f>'Blocking-Step2'!C1851/1000</f>
        <v>836.47500000000002</v>
      </c>
      <c r="M93" s="1098">
        <f>'Blocking-Step2'!D1851/1000</f>
        <v>906.56539492630611</v>
      </c>
      <c r="O93" s="97">
        <f>'Blocking-Step2'!H1851/1000</f>
        <v>67.475268</v>
      </c>
      <c r="Q93" s="97">
        <f>'Blocking-Step2'!I1851/1000</f>
        <v>72.919567999999998</v>
      </c>
    </row>
    <row r="94" spans="1:17">
      <c r="A94" s="76">
        <f>MAX(A$13:A93)+1</f>
        <v>73</v>
      </c>
      <c r="C94" s="76" t="s">
        <v>235</v>
      </c>
      <c r="E94" s="90">
        <v>15</v>
      </c>
      <c r="F94" s="90"/>
      <c r="G94" s="74">
        <f>'Table 2'!F142</f>
        <v>1602.5130303030248</v>
      </c>
      <c r="H94" s="90"/>
      <c r="I94" s="74">
        <f>'Table 2'!G142</f>
        <v>1611</v>
      </c>
      <c r="J94" s="90"/>
      <c r="K94" s="1098">
        <f>'Blocking-Step2'!C1883/1000</f>
        <v>4200.6210000000001</v>
      </c>
      <c r="M94" s="1098">
        <f>'Blocking-Step2'!D1883/1000</f>
        <v>4338.4862589480672</v>
      </c>
      <c r="O94" s="97">
        <f>'Blocking-Step2'!H1883/1000</f>
        <v>438.51018070000003</v>
      </c>
      <c r="Q94" s="97">
        <f>'Blocking-Step2'!I1883/1000</f>
        <v>453.21539330000002</v>
      </c>
    </row>
    <row r="95" spans="1:17" ht="16.899999999999999" customHeight="1">
      <c r="A95" s="76">
        <f>MAX(A$13:A94)+1</f>
        <v>74</v>
      </c>
      <c r="C95" s="102" t="s">
        <v>471</v>
      </c>
      <c r="E95" s="1312"/>
      <c r="G95" s="71"/>
      <c r="I95" s="71"/>
      <c r="K95" s="1099">
        <f>'Blocking-Step2'!C2674/1000</f>
        <v>0</v>
      </c>
      <c r="M95" s="1099">
        <f>'Blocking-Step2'!D2674/1000</f>
        <v>0</v>
      </c>
      <c r="O95" s="96">
        <f>'Blocking-Step2'!H2674/1000</f>
        <v>4.6550400000000005</v>
      </c>
      <c r="Q95" s="96">
        <f>'Blocking-Step2'!I2674/1000</f>
        <v>4.6550400000000005</v>
      </c>
    </row>
    <row r="96" spans="1:17" s="90" customFormat="1">
      <c r="A96" s="76">
        <f>MAX(A$13:A95)+1</f>
        <v>75</v>
      </c>
      <c r="C96" s="1291" t="s">
        <v>238</v>
      </c>
      <c r="G96" s="74">
        <f>SUM(G90:G95)</f>
        <v>3848.8076539589429</v>
      </c>
      <c r="I96" s="74">
        <f>SUM(I90:I95)</f>
        <v>3812</v>
      </c>
      <c r="K96" s="1098">
        <f>SUM(K90:K95)</f>
        <v>62166.146475682865</v>
      </c>
      <c r="M96" s="1098">
        <f>SUM(M90:M95)</f>
        <v>45983.434091874507</v>
      </c>
      <c r="O96" s="97">
        <f>SUM(O90:O95)</f>
        <v>7583.8905457000001</v>
      </c>
      <c r="Q96" s="97">
        <f>SUM(Q90:Q95)</f>
        <v>6607.1938906999994</v>
      </c>
    </row>
    <row r="97" spans="1:17">
      <c r="E97" s="90"/>
      <c r="G97" s="68"/>
      <c r="I97" s="68"/>
      <c r="K97" s="1100"/>
      <c r="M97" s="1100"/>
      <c r="O97" s="94"/>
      <c r="Q97" s="94"/>
    </row>
    <row r="98" spans="1:17" ht="16.5" thickBot="1">
      <c r="A98" s="76">
        <f>MAX(A$13:A97)+1</f>
        <v>76</v>
      </c>
      <c r="C98" s="80" t="s">
        <v>239</v>
      </c>
      <c r="E98" s="1313"/>
      <c r="G98" s="67">
        <f>G31+G57+G80+G87+G96</f>
        <v>948709.12231636199</v>
      </c>
      <c r="I98" s="67">
        <f>I31+I57+I80+I87+I96</f>
        <v>986281.20161758328</v>
      </c>
      <c r="K98" s="1103">
        <f>K31+K57+K80+K87+K96</f>
        <v>24473583.899403017</v>
      </c>
      <c r="M98" s="1103">
        <f>M31+M57+M80+M87+M96</f>
        <v>24837388.160085693</v>
      </c>
      <c r="O98" s="98">
        <f>O31+O57+O80+O87+O96</f>
        <v>1981660.1050372135</v>
      </c>
      <c r="Q98" s="98">
        <f>Q31+Q57+Q80+Q87+Q96</f>
        <v>2001695.9482485445</v>
      </c>
    </row>
    <row r="99" spans="1:17" ht="16.5" thickTop="1">
      <c r="C99" s="1295"/>
    </row>
    <row r="100" spans="1:17">
      <c r="C100" s="1295"/>
      <c r="I100" s="74"/>
    </row>
    <row r="102" spans="1:17">
      <c r="I102" s="102"/>
      <c r="K102" s="161"/>
    </row>
    <row r="103" spans="1:17">
      <c r="G103" s="68"/>
      <c r="I103" s="68"/>
      <c r="K103" s="68"/>
    </row>
    <row r="104" spans="1:17">
      <c r="I104" s="68"/>
      <c r="K104" s="161"/>
    </row>
    <row r="107" spans="1:17">
      <c r="I107" s="68"/>
    </row>
  </sheetData>
  <phoneticPr fontId="0" type="noConversion"/>
  <printOptions horizontalCentered="1"/>
  <pageMargins left="0.51" right="0.5" top="0.75" bottom="0.75" header="0.5" footer="0.5"/>
  <pageSetup scale="38" fitToHeight="2" orientation="landscape" r:id="rId1"/>
  <headerFooter alignWithMargins="0">
    <oddFooter>Page &amp;P of &amp;N</oddFooter>
  </headerFooter>
  <rowBreaks count="1" manualBreakCount="1">
    <brk id="81" max="26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5"/>
  <sheetViews>
    <sheetView zoomScaleNormal="100" workbookViewId="0">
      <pane xSplit="1" ySplit="3" topLeftCell="B4" activePane="bottomRight" state="frozen"/>
      <selection activeCell="B20" sqref="B20"/>
      <selection pane="topRight" activeCell="B20" sqref="B20"/>
      <selection pane="bottomLeft" activeCell="B20" sqref="B20"/>
      <selection pane="bottomRight" activeCell="I17" sqref="I17"/>
    </sheetView>
  </sheetViews>
  <sheetFormatPr defaultRowHeight="15.75"/>
  <cols>
    <col min="1" max="1" width="19.25" style="238" bestFit="1" customWidth="1"/>
    <col min="2" max="2" width="8.75" style="238" bestFit="1" customWidth="1"/>
    <col min="3" max="4" width="10.125" bestFit="1" customWidth="1"/>
    <col min="5" max="7" width="14.25" bestFit="1" customWidth="1"/>
    <col min="8" max="8" width="13.25" bestFit="1" customWidth="1"/>
    <col min="9" max="9" width="14.25" bestFit="1" customWidth="1"/>
    <col min="10" max="10" width="13.25" bestFit="1" customWidth="1"/>
    <col min="11" max="11" width="12.125" bestFit="1" customWidth="1"/>
    <col min="12" max="12" width="11.125" bestFit="1" customWidth="1"/>
    <col min="13" max="15" width="12.125" bestFit="1" customWidth="1"/>
  </cols>
  <sheetData>
    <row r="1" spans="1:15">
      <c r="A1" s="241" t="s">
        <v>421</v>
      </c>
      <c r="B1" s="241"/>
      <c r="C1" s="242"/>
      <c r="D1" s="242"/>
      <c r="E1" s="243"/>
      <c r="F1" s="242"/>
      <c r="G1" s="242"/>
      <c r="H1" s="242"/>
      <c r="I1" s="242"/>
      <c r="J1" s="242"/>
      <c r="K1" s="242"/>
      <c r="L1" s="242"/>
      <c r="M1" s="265" t="s">
        <v>418</v>
      </c>
      <c r="N1" s="266"/>
      <c r="O1" s="267"/>
    </row>
    <row r="2" spans="1:15" s="82" customFormat="1">
      <c r="A2" s="240"/>
      <c r="B2" s="263" t="s">
        <v>415</v>
      </c>
      <c r="C2" s="262"/>
      <c r="D2" s="262"/>
      <c r="E2" s="263" t="s">
        <v>111</v>
      </c>
      <c r="F2" s="262"/>
      <c r="G2" s="262"/>
      <c r="H2" s="263" t="s">
        <v>416</v>
      </c>
      <c r="I2" s="262"/>
      <c r="J2" s="262"/>
      <c r="K2" s="263" t="s">
        <v>136</v>
      </c>
      <c r="L2" s="264"/>
      <c r="M2" s="239"/>
      <c r="N2" s="268" t="s">
        <v>496</v>
      </c>
      <c r="O2" s="269"/>
    </row>
    <row r="3" spans="1:15" s="69" customFormat="1">
      <c r="A3" s="244"/>
      <c r="B3" s="260" t="s">
        <v>425</v>
      </c>
      <c r="C3" s="120" t="s">
        <v>331</v>
      </c>
      <c r="D3" s="120" t="s">
        <v>445</v>
      </c>
      <c r="E3" s="260" t="s">
        <v>425</v>
      </c>
      <c r="F3" s="120" t="s">
        <v>331</v>
      </c>
      <c r="G3" s="120" t="s">
        <v>445</v>
      </c>
      <c r="H3" s="120" t="s">
        <v>425</v>
      </c>
      <c r="I3" s="120" t="s">
        <v>331</v>
      </c>
      <c r="J3" s="120" t="s">
        <v>445</v>
      </c>
      <c r="K3" s="120" t="s">
        <v>111</v>
      </c>
      <c r="L3" s="262" t="s">
        <v>496</v>
      </c>
      <c r="M3" s="260" t="s">
        <v>111</v>
      </c>
      <c r="N3" s="120" t="s">
        <v>425</v>
      </c>
      <c r="O3" s="261" t="s">
        <v>216</v>
      </c>
    </row>
    <row r="4" spans="1:15" s="69" customFormat="1">
      <c r="A4" s="240">
        <v>305</v>
      </c>
      <c r="B4" s="251">
        <f>'305 SUM'!I11-'305 SUM'!J13</f>
        <v>949019.91666666674</v>
      </c>
      <c r="C4" s="252"/>
      <c r="D4" s="252"/>
      <c r="E4" s="253">
        <f>'305 SUM'!H11</f>
        <v>24490305403</v>
      </c>
      <c r="F4" s="245"/>
      <c r="G4" s="245"/>
      <c r="H4" s="245">
        <f>'305 SUM'!E11</f>
        <v>2008416349.5400002</v>
      </c>
      <c r="I4" s="245"/>
      <c r="J4" s="245"/>
      <c r="K4" s="245">
        <f>'305 SUM'!G11</f>
        <v>2567000</v>
      </c>
      <c r="L4" s="245">
        <f>'305 SUM'!D11</f>
        <v>2457000</v>
      </c>
      <c r="M4" s="253"/>
      <c r="N4" s="245"/>
      <c r="O4" s="250"/>
    </row>
    <row r="5" spans="1:15" s="69" customFormat="1">
      <c r="A5" s="240" t="s">
        <v>445</v>
      </c>
      <c r="B5" s="251"/>
      <c r="C5" s="252"/>
      <c r="D5" s="252">
        <f>Bill!P104/12</f>
        <v>986278.03603899293</v>
      </c>
      <c r="E5" s="253"/>
      <c r="F5" s="245"/>
      <c r="G5" s="245">
        <f>Energy!P106</f>
        <v>24868663552.085697</v>
      </c>
      <c r="H5" s="245"/>
      <c r="I5" s="245"/>
      <c r="J5" s="245"/>
      <c r="K5" s="245"/>
      <c r="L5" s="245"/>
      <c r="M5" s="253"/>
      <c r="N5" s="245"/>
      <c r="O5" s="250"/>
    </row>
    <row r="6" spans="1:15" s="69" customFormat="1">
      <c r="A6" s="240" t="s">
        <v>419</v>
      </c>
      <c r="B6" s="251"/>
      <c r="C6" s="252"/>
      <c r="D6" s="252"/>
      <c r="E6" s="253"/>
      <c r="F6" s="245"/>
      <c r="G6" s="245"/>
      <c r="H6" s="245">
        <f>'Table 1 Revn'!B21*1000</f>
        <v>2008416349.5399997</v>
      </c>
      <c r="I6" s="245">
        <f>'Table 1 Revn'!H21*1000</f>
        <v>1981660105.0372136</v>
      </c>
      <c r="J6" s="245">
        <f>'Table 1 Revn'!J21*1000</f>
        <v>2001695948.2485442</v>
      </c>
      <c r="K6" s="245"/>
      <c r="L6" s="245"/>
      <c r="M6" s="253"/>
      <c r="N6" s="245">
        <f>'Table 1 Revn'!D21*1000</f>
        <v>-5641628.1600000001</v>
      </c>
      <c r="O6" s="250"/>
    </row>
    <row r="7" spans="1:15" s="69" customFormat="1">
      <c r="A7" s="240" t="s">
        <v>420</v>
      </c>
      <c r="B7" s="251"/>
      <c r="C7" s="252"/>
      <c r="D7" s="252"/>
      <c r="E7" s="253">
        <f>'Table 1 MWh'!B22*1000</f>
        <v>24490305402.999996</v>
      </c>
      <c r="F7" s="245">
        <f>'Table 1 MWh'!F22*1000</f>
        <v>24473583899.403015</v>
      </c>
      <c r="G7" s="245">
        <f>'Table 1 MWh'!H22*1000</f>
        <v>24837388160.085693</v>
      </c>
      <c r="H7" s="245"/>
      <c r="I7" s="245"/>
      <c r="J7" s="245"/>
      <c r="K7" s="245"/>
      <c r="L7" s="245"/>
      <c r="M7" s="253"/>
      <c r="N7" s="245"/>
      <c r="O7" s="250"/>
    </row>
    <row r="8" spans="1:15">
      <c r="A8" s="240" t="s">
        <v>108</v>
      </c>
      <c r="B8" s="251">
        <f>'Table 2'!D157</f>
        <v>949019.75</v>
      </c>
      <c r="C8" s="252">
        <f>'Table 2'!F157</f>
        <v>948709.12231636199</v>
      </c>
      <c r="D8" s="252">
        <f>'Table 2'!G157</f>
        <v>986281.20161758328</v>
      </c>
      <c r="E8" s="253">
        <f>'Table 2'!H157</f>
        <v>24490305403</v>
      </c>
      <c r="F8" s="245">
        <f>'Table 2'!M157</f>
        <v>24473583899.403015</v>
      </c>
      <c r="G8" s="245">
        <f>'Table 2'!O157</f>
        <v>24837388160.085693</v>
      </c>
      <c r="H8" s="245">
        <f>'Table 2'!P157</f>
        <v>2008416349.54</v>
      </c>
      <c r="I8" s="245">
        <f>'Table 2'!T157-'Table 2'!S157</f>
        <v>1981660105.0372136</v>
      </c>
      <c r="J8" s="245">
        <f>'Table 2'!T157</f>
        <v>2001695948.2485445</v>
      </c>
      <c r="K8" s="245">
        <f>'Table 2'!H40+'Table 2'!H78+'Table 2'!H113+'Table 2'!H131+'Table 2'!H154</f>
        <v>2567000</v>
      </c>
      <c r="L8" s="245">
        <f>'Table 2'!P40+'Table 2'!P78+'Table 2'!P113+'Table 2'!P131+'Table 2'!P154</f>
        <v>2457000</v>
      </c>
      <c r="M8" s="253">
        <f>'Table 2'!K157</f>
        <v>-50426625.010000005</v>
      </c>
      <c r="N8" s="245"/>
      <c r="O8" s="250"/>
    </row>
    <row r="9" spans="1:15">
      <c r="A9" s="240" t="s">
        <v>116</v>
      </c>
      <c r="B9" s="251"/>
      <c r="C9" s="252"/>
      <c r="D9" s="252"/>
      <c r="E9" s="253"/>
      <c r="F9" s="245"/>
      <c r="G9" s="245"/>
      <c r="H9" s="245">
        <f>'Table 3'!D157</f>
        <v>2008416349.54</v>
      </c>
      <c r="I9" s="245">
        <f>'Table 3'!L157</f>
        <v>1981660105.037214</v>
      </c>
      <c r="J9" s="245">
        <f>'Table 3'!N157</f>
        <v>2001695948.2485447</v>
      </c>
      <c r="K9" s="245"/>
      <c r="L9" s="245">
        <f>'Table 3'!D40+'Table 3'!D78+'Table 3'!D113+'Table 3'!D131+'Table 3'!D154</f>
        <v>2457000</v>
      </c>
      <c r="M9" s="253"/>
      <c r="N9" s="245">
        <f>'Table 3'!G157</f>
        <v>-5641628.1600000001</v>
      </c>
      <c r="O9" s="250"/>
    </row>
    <row r="10" spans="1:15">
      <c r="A10" s="240" t="s">
        <v>411</v>
      </c>
      <c r="B10" s="251"/>
      <c r="C10" s="252"/>
      <c r="D10" s="252"/>
      <c r="E10" s="253"/>
      <c r="F10" s="245">
        <f>'Blocking-Step2'!C2677</f>
        <v>24473583899.403015</v>
      </c>
      <c r="G10" s="245">
        <f>'Blocking-Step2'!D2677</f>
        <v>24837388160.662254</v>
      </c>
      <c r="H10" s="245"/>
      <c r="I10" s="245">
        <f>'Blocking-Step2'!H2677</f>
        <v>1981660112.7811136</v>
      </c>
      <c r="J10" s="245">
        <f>'Blocking-Step2'!I2677</f>
        <v>2001695942.310344</v>
      </c>
      <c r="K10" s="245">
        <f>'Blocking-Step2'!C42+'Blocking-Step2'!C79+'Blocking-Step2'!C108+'Blocking-Step2'!C145+'Blocking-Step2'!C182+'Blocking-Step2'!C219+'Blocking-Step2'!C686+'Blocking-Step2'!C769+'Blocking-Step2'!C845+'Blocking-Step2'!C901+'Blocking-Step2'!C978+'Blocking-Step2'!C1073+'Blocking-Step2'!C1161+'Blocking-Step2'!C1202+'Blocking-Step2'!C1391+'Blocking-Step2'!C1453+'Blocking-Step2'!C1473+'Blocking-Step2'!C1492+'Blocking-Step2'!C1554+'Blocking-Step2'!C1616+'Blocking-Step2'!C1636+'Blocking-Step2'!C1654+'Blocking-Step2'!C1713+'Blocking-Step2'!C1804+'Blocking-Step2'!C1815+'Blocking-Step2'!C1856+'Blocking-Step2'!C1931+'Blocking-Step2'!C1994+'Blocking-Step2'!C2089+'Blocking-Step2'!C2178+'Blocking-Step2'!C2330+'Blocking-Step2'!C2605+'Blocking-Step2'!C2648+'Table 2'!J99+'Table 2'!J100+'Table 2'!J101</f>
        <v>2567000</v>
      </c>
      <c r="L10" s="245">
        <f>'Blocking-Step2'!H42+'Blocking-Step2'!H79+'Blocking-Step2'!H108+'Blocking-Step2'!H145+'Blocking-Step2'!H182+'Blocking-Step2'!H219+'Blocking-Step2'!H686+'Blocking-Step2'!H769+'Blocking-Step2'!H845+'Blocking-Step2'!H901+'Blocking-Step2'!H978+'Blocking-Step2'!H1073+'Blocking-Step2'!H1161+'Blocking-Step2'!H1202+'Blocking-Step2'!H1391+'Blocking-Step2'!H1453+'Blocking-Step2'!H1473+'Blocking-Step2'!H1492+'Blocking-Step2'!H1554+'Blocking-Step2'!H1616+'Blocking-Step2'!H1636+'Blocking-Step2'!H1654+'Blocking-Step2'!H1713+'Blocking-Step2'!H1804+'Blocking-Step2'!H1815+'Blocking-Step2'!H1856+'Blocking-Step2'!H1931+'Blocking-Step2'!H1994+'Blocking-Step2'!H2089+'Blocking-Step2'!H2178+'Blocking-Step2'!H2330+'Blocking-Step2'!H2605+'Blocking-Step2'!H2648+'Table 3'!F99+'Table 3'!F100+'Table 3'!F101</f>
        <v>2456999.9999999995</v>
      </c>
      <c r="M10" s="253"/>
      <c r="N10" s="245"/>
      <c r="O10" s="250"/>
    </row>
    <row r="11" spans="1:15">
      <c r="A11" s="240" t="s">
        <v>461</v>
      </c>
      <c r="B11" s="251"/>
      <c r="C11" s="252"/>
      <c r="D11" s="252">
        <f>'Table A-Step2'!G50</f>
        <v>986283</v>
      </c>
      <c r="E11" s="253"/>
      <c r="F11" s="245"/>
      <c r="G11" s="245">
        <f>'Table A-Step2'!I50*1000</f>
        <v>24837388160.662251</v>
      </c>
      <c r="H11" s="245"/>
      <c r="I11" s="245"/>
      <c r="J11" s="245" t="e">
        <f>'Table A-Step2'!#REF!*1000</f>
        <v>#REF!</v>
      </c>
      <c r="K11" s="245"/>
      <c r="L11" s="245"/>
      <c r="M11" s="253"/>
      <c r="N11" s="245"/>
      <c r="O11" s="250"/>
    </row>
    <row r="12" spans="1:15">
      <c r="A12" s="240" t="s">
        <v>675</v>
      </c>
      <c r="B12" s="251"/>
      <c r="C12" s="252">
        <f>'Table A-Class'!G98</f>
        <v>948709.12231636199</v>
      </c>
      <c r="D12" s="252">
        <f>'Table A-Class'!I98</f>
        <v>986281.20161758328</v>
      </c>
      <c r="E12" s="253"/>
      <c r="F12" s="245">
        <f>'Table A-Class'!K98*1000</f>
        <v>24473583899.403015</v>
      </c>
      <c r="G12" s="245">
        <f>'Table A-Class'!M98*1000</f>
        <v>24837388160.085693</v>
      </c>
      <c r="H12" s="245"/>
      <c r="I12" s="245">
        <f>'Table A-Class'!O98*1000</f>
        <v>1981660105.0372136</v>
      </c>
      <c r="J12" s="245">
        <f>'Table A-Class'!Q98*1000</f>
        <v>2001695948.2485445</v>
      </c>
      <c r="K12" s="245"/>
      <c r="L12" s="245"/>
      <c r="M12" s="253"/>
      <c r="N12" s="245"/>
      <c r="O12" s="250"/>
    </row>
    <row r="13" spans="1:15">
      <c r="A13" s="240" t="s">
        <v>417</v>
      </c>
      <c r="B13" s="251"/>
      <c r="C13" s="252"/>
      <c r="D13" s="252"/>
      <c r="E13" s="253"/>
      <c r="F13" s="245"/>
      <c r="G13" s="245"/>
      <c r="H13" s="245"/>
      <c r="I13" s="245"/>
      <c r="J13" s="245"/>
      <c r="K13" s="245"/>
      <c r="L13" s="245"/>
      <c r="M13" s="253"/>
      <c r="N13" s="245"/>
      <c r="O13" s="250"/>
    </row>
    <row r="14" spans="1:15">
      <c r="A14" s="240" t="s">
        <v>941</v>
      </c>
      <c r="B14" s="251"/>
      <c r="C14" s="252"/>
      <c r="D14" s="252"/>
      <c r="E14" s="253"/>
      <c r="F14" s="245"/>
      <c r="G14" s="245"/>
      <c r="H14" s="245"/>
      <c r="I14" s="245"/>
      <c r="J14" s="245"/>
      <c r="K14" s="245"/>
      <c r="L14" s="245"/>
      <c r="M14" s="253"/>
      <c r="N14" s="245"/>
      <c r="O14" s="250"/>
    </row>
    <row r="15" spans="1:15">
      <c r="A15" s="259" t="s">
        <v>98</v>
      </c>
      <c r="B15" s="254"/>
      <c r="C15" s="255"/>
      <c r="D15" s="255"/>
      <c r="E15" s="256"/>
      <c r="F15" s="249"/>
      <c r="G15" s="249"/>
      <c r="H15" s="249"/>
      <c r="I15" s="249"/>
      <c r="J15" s="249"/>
      <c r="K15" s="257"/>
      <c r="L15" s="257"/>
      <c r="M15" s="258">
        <f>TempRev!C362</f>
        <v>-50426625.010000005</v>
      </c>
      <c r="N15" s="249">
        <f>TempRev!E362</f>
        <v>-5641628.1600000001</v>
      </c>
      <c r="O15" s="936">
        <f>TempRev!I362</f>
        <v>-5641628.1600000001</v>
      </c>
    </row>
    <row r="17" spans="3:15">
      <c r="C17" s="70"/>
      <c r="D17" s="70">
        <f>D8-D11</f>
        <v>-1.7983824167167768</v>
      </c>
      <c r="E17" s="143"/>
      <c r="F17" s="143"/>
      <c r="G17" s="143">
        <f>G10-G11</f>
        <v>0</v>
      </c>
      <c r="I17" s="312"/>
      <c r="J17" s="312" t="e">
        <f>J10-J11</f>
        <v>#REF!</v>
      </c>
      <c r="K17" s="143">
        <f>K4-K8</f>
        <v>0</v>
      </c>
      <c r="L17" s="143">
        <f>L4-L8</f>
        <v>0</v>
      </c>
      <c r="M17" s="143">
        <f>M8-M15</f>
        <v>0</v>
      </c>
      <c r="N17" s="143">
        <f>N6-N9</f>
        <v>0</v>
      </c>
      <c r="O17" s="143">
        <f>O15-N15</f>
        <v>0</v>
      </c>
    </row>
    <row r="18" spans="3:15">
      <c r="C18" s="143"/>
      <c r="D18" s="143"/>
      <c r="F18" s="143">
        <f>F10-F12</f>
        <v>0</v>
      </c>
      <c r="G18" s="143">
        <f>G10-G12</f>
        <v>0.57656097412109375</v>
      </c>
      <c r="H18" s="143"/>
      <c r="I18" s="143">
        <f>I10-I12</f>
        <v>7.7439000606536865</v>
      </c>
      <c r="J18" s="143">
        <f>J10-J12</f>
        <v>-5.9382004737854004</v>
      </c>
      <c r="K18" s="143">
        <f>K8-K10</f>
        <v>0</v>
      </c>
      <c r="L18" s="143">
        <f>L8-L9</f>
        <v>0</v>
      </c>
      <c r="N18" s="143">
        <f>N9-N15</f>
        <v>0</v>
      </c>
    </row>
    <row r="19" spans="3:15">
      <c r="F19" s="245"/>
      <c r="G19" s="245">
        <f>G10-G5</f>
        <v>-31275391.423442841</v>
      </c>
      <c r="H19" s="128"/>
      <c r="I19" s="246"/>
      <c r="J19" s="246"/>
      <c r="L19" s="143">
        <f>L9-L10</f>
        <v>0</v>
      </c>
    </row>
    <row r="20" spans="3:15">
      <c r="F20" s="70"/>
      <c r="G20" s="70"/>
      <c r="I20" s="143"/>
      <c r="J20" s="143"/>
      <c r="K20" s="143"/>
      <c r="L20" s="143"/>
    </row>
    <row r="21" spans="3:15">
      <c r="F21" s="70"/>
      <c r="G21" s="70"/>
      <c r="I21" s="143"/>
      <c r="J21" s="143"/>
    </row>
    <row r="22" spans="3:15">
      <c r="F22" s="143"/>
      <c r="G22" s="143"/>
    </row>
    <row r="23" spans="3:15">
      <c r="F23" s="143"/>
      <c r="G23" s="143"/>
    </row>
    <row r="24" spans="3:15">
      <c r="F24" s="143"/>
      <c r="G24" s="143"/>
    </row>
    <row r="25" spans="3:15">
      <c r="F25" s="70"/>
      <c r="G25" s="70"/>
    </row>
  </sheetData>
  <phoneticPr fontId="2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L43"/>
  <sheetViews>
    <sheetView view="pageBreakPreview" zoomScale="90" zoomScaleNormal="100" zoomScaleSheetLayoutView="90" workbookViewId="0">
      <selection activeCell="B7" sqref="B7"/>
    </sheetView>
  </sheetViews>
  <sheetFormatPr defaultColWidth="8.375" defaultRowHeight="15.75"/>
  <cols>
    <col min="1" max="1" width="1.625" style="1249" customWidth="1"/>
    <col min="2" max="2" width="71.5" style="1249" bestFit="1" customWidth="1"/>
    <col min="3" max="3" width="7.375" style="1249" bestFit="1" customWidth="1"/>
    <col min="4" max="4" width="10.25" style="1249" bestFit="1" customWidth="1"/>
    <col min="5" max="5" width="11.25" style="1249" bestFit="1" customWidth="1"/>
    <col min="6" max="6" width="13.375" style="1249" bestFit="1" customWidth="1"/>
    <col min="7" max="7" width="9.75" style="1249" bestFit="1" customWidth="1"/>
    <col min="8" max="8" width="9.875" style="1249" bestFit="1" customWidth="1"/>
    <col min="9" max="9" width="1.625" style="1249" customWidth="1"/>
    <col min="10" max="21" width="12.625" style="1249" customWidth="1"/>
    <col min="22" max="47" width="11.875" style="1249" customWidth="1"/>
    <col min="48" max="16384" width="8.375" style="1249"/>
  </cols>
  <sheetData>
    <row r="1" spans="2:12">
      <c r="B1" s="1682" t="s">
        <v>547</v>
      </c>
      <c r="C1" s="1682"/>
      <c r="D1" s="1682"/>
      <c r="E1" s="1682"/>
      <c r="F1" s="1682"/>
      <c r="G1" s="1682"/>
      <c r="H1" s="1682"/>
    </row>
    <row r="2" spans="2:12">
      <c r="B2" s="1682" t="s">
        <v>83</v>
      </c>
      <c r="C2" s="1682"/>
      <c r="D2" s="1682"/>
      <c r="E2" s="1682"/>
      <c r="F2" s="1682"/>
      <c r="G2" s="1682"/>
      <c r="H2" s="1682"/>
    </row>
    <row r="3" spans="2:12">
      <c r="B3" s="1682" t="s">
        <v>2261</v>
      </c>
      <c r="C3" s="1682"/>
      <c r="D3" s="1682"/>
      <c r="E3" s="1682"/>
      <c r="F3" s="1682"/>
      <c r="G3" s="1682"/>
      <c r="H3" s="1682"/>
      <c r="K3" s="1505"/>
      <c r="L3" s="1837"/>
    </row>
    <row r="4" spans="2:12">
      <c r="B4" s="1682" t="s">
        <v>2262</v>
      </c>
      <c r="C4" s="1682"/>
      <c r="D4" s="1682"/>
      <c r="E4" s="1682"/>
      <c r="F4" s="1682"/>
      <c r="G4" s="1682"/>
      <c r="H4" s="1682"/>
      <c r="K4" s="1505"/>
      <c r="L4" s="1837"/>
    </row>
    <row r="5" spans="2:12">
      <c r="B5" s="1682" t="s">
        <v>2263</v>
      </c>
      <c r="C5" s="1682"/>
      <c r="D5" s="1682"/>
      <c r="E5" s="1682"/>
      <c r="F5" s="1682"/>
      <c r="G5" s="1682"/>
      <c r="H5" s="1682"/>
    </row>
    <row r="6" spans="2:12">
      <c r="B6" s="1682"/>
      <c r="C6" s="1682"/>
      <c r="D6" s="1682"/>
      <c r="E6" s="1682"/>
      <c r="F6" s="1682"/>
      <c r="G6" s="1682"/>
      <c r="H6" s="1682"/>
    </row>
    <row r="7" spans="2:12">
      <c r="B7" s="1838"/>
      <c r="C7" s="1682"/>
      <c r="F7" s="1839"/>
      <c r="G7" s="1839"/>
      <c r="H7" s="1682"/>
      <c r="I7" s="1840"/>
    </row>
    <row r="8" spans="2:12">
      <c r="B8" s="1841" t="s">
        <v>220</v>
      </c>
      <c r="C8" s="1842" t="s">
        <v>2264</v>
      </c>
      <c r="D8" s="1842" t="s">
        <v>2265</v>
      </c>
      <c r="E8" s="1842" t="s">
        <v>111</v>
      </c>
      <c r="F8" s="1842" t="s">
        <v>99</v>
      </c>
      <c r="G8" s="1842" t="s">
        <v>2266</v>
      </c>
      <c r="H8" s="1842" t="s">
        <v>82</v>
      </c>
      <c r="I8" s="1840"/>
    </row>
    <row r="9" spans="2:12">
      <c r="B9" s="1840"/>
      <c r="I9" s="1840"/>
    </row>
    <row r="10" spans="2:12">
      <c r="B10" s="1840" t="s">
        <v>232</v>
      </c>
      <c r="I10" s="1840"/>
    </row>
    <row r="11" spans="2:12">
      <c r="B11" s="1843" t="s">
        <v>2267</v>
      </c>
      <c r="C11" s="1844">
        <v>7</v>
      </c>
      <c r="D11" s="1845">
        <v>80036.668179696673</v>
      </c>
      <c r="E11" s="1845"/>
      <c r="F11" s="1846">
        <v>9.1</v>
      </c>
      <c r="G11" s="1847" t="s">
        <v>2268</v>
      </c>
      <c r="H11" s="1848">
        <v>728333.68043523969</v>
      </c>
      <c r="I11" s="1840"/>
    </row>
    <row r="12" spans="2:12">
      <c r="B12" s="1843" t="s">
        <v>2269</v>
      </c>
      <c r="C12" s="1844">
        <v>7</v>
      </c>
      <c r="D12" s="1845">
        <v>23297.820701740242</v>
      </c>
      <c r="E12" s="1845"/>
      <c r="F12" s="1846">
        <v>10.61</v>
      </c>
      <c r="G12" s="1847" t="s">
        <v>2268</v>
      </c>
      <c r="H12" s="1848">
        <v>247189.87764546394</v>
      </c>
      <c r="I12" s="1840"/>
    </row>
    <row r="13" spans="2:12">
      <c r="B13" s="1843" t="s">
        <v>2270</v>
      </c>
      <c r="C13" s="1844">
        <v>7</v>
      </c>
      <c r="D13" s="1845">
        <v>31461.675344580435</v>
      </c>
      <c r="E13" s="1845"/>
      <c r="F13" s="1846">
        <v>12.96</v>
      </c>
      <c r="G13" s="1847" t="s">
        <v>2268</v>
      </c>
      <c r="H13" s="1848">
        <v>407743.31246576249</v>
      </c>
      <c r="I13" s="1840"/>
    </row>
    <row r="14" spans="2:12">
      <c r="B14" s="1840"/>
      <c r="C14" s="1844"/>
      <c r="F14" s="1846"/>
      <c r="G14" s="1846"/>
      <c r="H14" s="1848"/>
      <c r="I14" s="1840"/>
    </row>
    <row r="15" spans="2:12">
      <c r="B15" s="1840" t="s">
        <v>2271</v>
      </c>
      <c r="C15" s="1844"/>
      <c r="F15" s="1846"/>
      <c r="G15" s="1846"/>
      <c r="H15" s="1848"/>
      <c r="I15" s="1840"/>
    </row>
    <row r="16" spans="2:12">
      <c r="B16" s="1843" t="s">
        <v>2272</v>
      </c>
      <c r="C16" s="1844">
        <v>11</v>
      </c>
      <c r="D16" s="1845">
        <v>32060.279342838538</v>
      </c>
      <c r="E16" s="1845"/>
      <c r="F16" s="1846">
        <v>11.82</v>
      </c>
      <c r="G16" s="1847" t="s">
        <v>2268</v>
      </c>
      <c r="H16" s="1848">
        <v>378952.5018323515</v>
      </c>
      <c r="I16" s="1840"/>
    </row>
    <row r="17" spans="2:9">
      <c r="B17" s="1843" t="s">
        <v>2273</v>
      </c>
      <c r="C17" s="1844">
        <v>11</v>
      </c>
      <c r="D17" s="1845">
        <v>197233.31780693663</v>
      </c>
      <c r="E17" s="1845"/>
      <c r="F17" s="1846">
        <v>12.74</v>
      </c>
      <c r="G17" s="1847" t="s">
        <v>2268</v>
      </c>
      <c r="H17" s="1848">
        <v>2512752.4688603724</v>
      </c>
      <c r="I17" s="1840"/>
    </row>
    <row r="18" spans="2:9">
      <c r="B18" s="1843" t="s">
        <v>2274</v>
      </c>
      <c r="C18" s="1844">
        <v>11</v>
      </c>
      <c r="D18" s="1845">
        <v>20643.643092872899</v>
      </c>
      <c r="E18" s="1845"/>
      <c r="F18" s="1846">
        <v>13.19</v>
      </c>
      <c r="G18" s="1847" t="s">
        <v>2268</v>
      </c>
      <c r="H18" s="1848">
        <v>272289.65239499352</v>
      </c>
      <c r="I18" s="1840"/>
    </row>
    <row r="19" spans="2:9">
      <c r="B19" s="1843" t="s">
        <v>2275</v>
      </c>
      <c r="C19" s="1844">
        <v>11</v>
      </c>
      <c r="D19" s="1845">
        <v>574.1077419033528</v>
      </c>
      <c r="E19" s="1845"/>
      <c r="F19" s="1846">
        <v>13.71</v>
      </c>
      <c r="G19" s="1847" t="s">
        <v>2268</v>
      </c>
      <c r="H19" s="1848">
        <v>7871.0171414949673</v>
      </c>
      <c r="I19" s="1840"/>
    </row>
    <row r="20" spans="2:9">
      <c r="B20" s="1843" t="s">
        <v>2276</v>
      </c>
      <c r="C20" s="1844">
        <v>11</v>
      </c>
      <c r="D20" s="1845">
        <v>22535.613465373277</v>
      </c>
      <c r="E20" s="1845"/>
      <c r="F20" s="1846">
        <v>14.6</v>
      </c>
      <c r="G20" s="1847" t="s">
        <v>2268</v>
      </c>
      <c r="H20" s="1848">
        <v>329019.95659444982</v>
      </c>
      <c r="I20" s="1840"/>
    </row>
    <row r="21" spans="2:9">
      <c r="B21" s="1843" t="s">
        <v>2277</v>
      </c>
      <c r="C21" s="1844">
        <v>11</v>
      </c>
      <c r="D21" s="1845">
        <v>7799.6965729399371</v>
      </c>
      <c r="E21" s="1845"/>
      <c r="F21" s="1846">
        <v>17.75</v>
      </c>
      <c r="G21" s="1847" t="s">
        <v>2268</v>
      </c>
      <c r="H21" s="1848">
        <v>138444.61416968389</v>
      </c>
      <c r="I21" s="1840"/>
    </row>
    <row r="22" spans="2:9">
      <c r="B22" s="1843" t="s">
        <v>2278</v>
      </c>
      <c r="C22" s="1844">
        <v>11</v>
      </c>
      <c r="D22" s="1845">
        <v>5104.3342939970698</v>
      </c>
      <c r="E22" s="1845"/>
      <c r="F22" s="1846">
        <v>23.15</v>
      </c>
      <c r="G22" s="1847" t="s">
        <v>2268</v>
      </c>
      <c r="H22" s="1848">
        <v>118165.33890603216</v>
      </c>
      <c r="I22" s="1840"/>
    </row>
    <row r="23" spans="2:9">
      <c r="B23" s="1843" t="s">
        <v>2279</v>
      </c>
      <c r="C23" s="1844">
        <v>11</v>
      </c>
      <c r="D23" s="1845">
        <v>0</v>
      </c>
      <c r="E23" s="1845"/>
      <c r="F23" s="1846">
        <v>6.04</v>
      </c>
      <c r="G23" s="1847" t="s">
        <v>2268</v>
      </c>
      <c r="H23" s="1848">
        <v>0</v>
      </c>
      <c r="I23" s="1840"/>
    </row>
    <row r="24" spans="2:9">
      <c r="B24" s="1843" t="s">
        <v>2280</v>
      </c>
      <c r="C24" s="1844">
        <v>11</v>
      </c>
      <c r="D24" s="1845">
        <v>276</v>
      </c>
      <c r="E24" s="1845"/>
      <c r="F24" s="1846">
        <v>6.57</v>
      </c>
      <c r="G24" s="1847" t="s">
        <v>2268</v>
      </c>
      <c r="H24" s="1848">
        <v>1813.3200000000002</v>
      </c>
      <c r="I24" s="1840"/>
    </row>
    <row r="25" spans="2:9">
      <c r="B25" s="1843" t="s">
        <v>2281</v>
      </c>
      <c r="C25" s="1844">
        <v>11</v>
      </c>
      <c r="D25" s="1845">
        <v>0</v>
      </c>
      <c r="E25" s="1845"/>
      <c r="F25" s="1846">
        <v>6.99</v>
      </c>
      <c r="G25" s="1847" t="s">
        <v>2268</v>
      </c>
      <c r="H25" s="1848">
        <v>0</v>
      </c>
      <c r="I25" s="1840"/>
    </row>
    <row r="26" spans="2:9">
      <c r="B26" s="1843" t="s">
        <v>2282</v>
      </c>
      <c r="C26" s="1844">
        <v>11</v>
      </c>
      <c r="D26" s="1845">
        <v>0</v>
      </c>
      <c r="E26" s="1845"/>
      <c r="F26" s="1846">
        <v>7.46</v>
      </c>
      <c r="G26" s="1847" t="s">
        <v>2268</v>
      </c>
      <c r="H26" s="1848">
        <v>0</v>
      </c>
      <c r="I26" s="1840"/>
    </row>
    <row r="27" spans="2:9">
      <c r="B27" s="1843" t="s">
        <v>2283</v>
      </c>
      <c r="C27" s="1844">
        <v>11</v>
      </c>
      <c r="D27" s="1845">
        <v>12</v>
      </c>
      <c r="E27" s="1845"/>
      <c r="F27" s="1846">
        <v>8</v>
      </c>
      <c r="G27" s="1847" t="s">
        <v>2268</v>
      </c>
      <c r="H27" s="1848">
        <v>96</v>
      </c>
      <c r="I27" s="1840"/>
    </row>
    <row r="28" spans="2:9">
      <c r="B28" s="1843" t="s">
        <v>2284</v>
      </c>
      <c r="C28" s="1844">
        <v>11</v>
      </c>
      <c r="D28" s="1845">
        <v>0</v>
      </c>
      <c r="E28" s="1845"/>
      <c r="F28" s="1846">
        <v>9.7200000000000006</v>
      </c>
      <c r="G28" s="1847" t="s">
        <v>2268</v>
      </c>
      <c r="H28" s="1848">
        <v>0</v>
      </c>
      <c r="I28" s="1840"/>
    </row>
    <row r="29" spans="2:9">
      <c r="B29" s="1843" t="s">
        <v>2285</v>
      </c>
      <c r="C29" s="1844">
        <v>11</v>
      </c>
      <c r="D29" s="1845">
        <v>0</v>
      </c>
      <c r="E29" s="1845"/>
      <c r="F29" s="1846">
        <v>5.52</v>
      </c>
      <c r="G29" s="1847" t="s">
        <v>2268</v>
      </c>
      <c r="H29" s="1848">
        <v>0</v>
      </c>
      <c r="I29" s="1840"/>
    </row>
    <row r="30" spans="2:9">
      <c r="B30" s="1849"/>
      <c r="D30" s="1845"/>
      <c r="E30" s="1845"/>
      <c r="F30" s="1846"/>
      <c r="G30" s="1847"/>
      <c r="H30" s="1850"/>
      <c r="I30" s="1840"/>
    </row>
    <row r="31" spans="2:9">
      <c r="B31" s="1851" t="s">
        <v>2286</v>
      </c>
      <c r="C31" s="1844">
        <v>12</v>
      </c>
      <c r="D31" s="1845"/>
      <c r="E31" s="1845">
        <v>26868874.204370778</v>
      </c>
      <c r="F31" s="1852">
        <v>4.5465000000000005E-2</v>
      </c>
      <c r="G31" s="1847" t="s">
        <v>2287</v>
      </c>
      <c r="H31" s="1848">
        <v>1402868.2700442893</v>
      </c>
      <c r="I31" s="1840"/>
    </row>
    <row r="32" spans="2:9">
      <c r="B32" s="1840"/>
      <c r="C32" s="1844"/>
      <c r="H32" s="1850"/>
      <c r="I32" s="1840"/>
    </row>
    <row r="33" spans="2:9">
      <c r="B33" s="1853"/>
      <c r="C33" s="1854"/>
      <c r="D33" s="1854"/>
      <c r="E33" s="1854"/>
      <c r="F33" s="1854"/>
      <c r="G33" s="1854"/>
      <c r="H33" s="1855"/>
      <c r="I33" s="1840"/>
    </row>
    <row r="34" spans="2:9">
      <c r="B34" s="1851" t="s">
        <v>2288</v>
      </c>
      <c r="H34" s="1848">
        <v>6545540.0104901334</v>
      </c>
      <c r="I34" s="1840"/>
    </row>
    <row r="35" spans="2:9">
      <c r="B35" s="1851" t="s">
        <v>2289</v>
      </c>
      <c r="F35" s="1844">
        <v>17</v>
      </c>
      <c r="G35" s="1844"/>
      <c r="I35" s="1840"/>
    </row>
    <row r="38" spans="2:9">
      <c r="D38" s="1845"/>
      <c r="E38" s="1845"/>
      <c r="F38" s="1845"/>
      <c r="G38" s="1845"/>
    </row>
    <row r="39" spans="2:9">
      <c r="D39" s="1845"/>
      <c r="E39" s="1845"/>
      <c r="F39" s="1845"/>
      <c r="G39" s="1845"/>
    </row>
    <row r="40" spans="2:9">
      <c r="D40" s="1846"/>
      <c r="E40" s="1846"/>
      <c r="F40" s="1846"/>
      <c r="G40" s="1846"/>
    </row>
    <row r="41" spans="2:9">
      <c r="D41" s="1845"/>
      <c r="E41" s="1845"/>
      <c r="F41" s="1845"/>
      <c r="G41" s="1845"/>
    </row>
    <row r="42" spans="2:9">
      <c r="D42" s="1845"/>
      <c r="E42" s="1845"/>
      <c r="F42" s="1845"/>
      <c r="G42" s="1845"/>
    </row>
    <row r="43" spans="2:9">
      <c r="D43" s="1845"/>
      <c r="E43" s="1845"/>
      <c r="F43" s="1845"/>
      <c r="G43" s="1845"/>
    </row>
  </sheetData>
  <printOptions horizontalCentered="1"/>
  <pageMargins left="0.7" right="0.7" top="0.75" bottom="0.75" header="0.3" footer="0.3"/>
  <pageSetup scale="6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89</vt:i4>
      </vt:variant>
      <vt:variant>
        <vt:lpstr>Named Ranges</vt:lpstr>
      </vt:variant>
      <vt:variant>
        <vt:i4>26</vt:i4>
      </vt:variant>
    </vt:vector>
  </HeadingPairs>
  <TitlesOfParts>
    <vt:vector size="115" baseType="lpstr">
      <vt:lpstr>Blocking-Step2-Rebuttal</vt:lpstr>
      <vt:lpstr>Table A-Total</vt:lpstr>
      <vt:lpstr>Table A-Step1</vt:lpstr>
      <vt:lpstr>Table A-Step2</vt:lpstr>
      <vt:lpstr>RateSpread</vt:lpstr>
      <vt:lpstr>Blocking-Step1</vt:lpstr>
      <vt:lpstr>COS Lighting</vt:lpstr>
      <vt:lpstr>Blocking-Step2</vt:lpstr>
      <vt:lpstr>COS Lighting (2)</vt:lpstr>
      <vt:lpstr>Sh1-SF-1</vt:lpstr>
      <vt:lpstr>Sch1-MF-1</vt:lpstr>
      <vt:lpstr>Sch6-1</vt:lpstr>
      <vt:lpstr>Sch8-1</vt:lpstr>
      <vt:lpstr>Sch9-1</vt:lpstr>
      <vt:lpstr>Sch10-1</vt:lpstr>
      <vt:lpstr>Sch23-1</vt:lpstr>
      <vt:lpstr>Sch1-SF-2</vt:lpstr>
      <vt:lpstr>Sch1-MF-2</vt:lpstr>
      <vt:lpstr>Sch6-2</vt:lpstr>
      <vt:lpstr>Sch8-2</vt:lpstr>
      <vt:lpstr>Sch9-2</vt:lpstr>
      <vt:lpstr>Sch10-2</vt:lpstr>
      <vt:lpstr>Sch23-2</vt:lpstr>
      <vt:lpstr>Unit Cost Target</vt:lpstr>
      <vt:lpstr>LifeLine</vt:lpstr>
      <vt:lpstr>Table B-Step1</vt:lpstr>
      <vt:lpstr>Table B-Step2</vt:lpstr>
      <vt:lpstr>Table B-Total</vt:lpstr>
      <vt:lpstr>Sch32 COS</vt:lpstr>
      <vt:lpstr>Large Profile</vt:lpstr>
      <vt:lpstr>COS F101</vt:lpstr>
      <vt:lpstr>COS Target</vt:lpstr>
      <vt:lpstr>BD-Redesign</vt:lpstr>
      <vt:lpstr>BD-Redesign1</vt:lpstr>
      <vt:lpstr>Sch1-SF-T</vt:lpstr>
      <vt:lpstr>Sch1-MF-T</vt:lpstr>
      <vt:lpstr>Sch6-T</vt:lpstr>
      <vt:lpstr>Sch8-T</vt:lpstr>
      <vt:lpstr>Sch9-T</vt:lpstr>
      <vt:lpstr>Sch10-T</vt:lpstr>
      <vt:lpstr>Sch23-T</vt:lpstr>
      <vt:lpstr>Comparison</vt:lpstr>
      <vt:lpstr>Table 1 Revn</vt:lpstr>
      <vt:lpstr>Table 1 MWh</vt:lpstr>
      <vt:lpstr>Table 2</vt:lpstr>
      <vt:lpstr>Table 3</vt:lpstr>
      <vt:lpstr>Table 4</vt:lpstr>
      <vt:lpstr>Bill</vt:lpstr>
      <vt:lpstr>Energy</vt:lpstr>
      <vt:lpstr>TempRevMay</vt:lpstr>
      <vt:lpstr>TempMWH</vt:lpstr>
      <vt:lpstr>TempRev</vt:lpstr>
      <vt:lpstr>123</vt:lpstr>
      <vt:lpstr>123May</vt:lpstr>
      <vt:lpstr>6</vt:lpstr>
      <vt:lpstr>6-may</vt:lpstr>
      <vt:lpstr>6A</vt:lpstr>
      <vt:lpstr>7</vt:lpstr>
      <vt:lpstr>8</vt:lpstr>
      <vt:lpstr>9</vt:lpstr>
      <vt:lpstr>9A</vt:lpstr>
      <vt:lpstr>10</vt:lpstr>
      <vt:lpstr>11</vt:lpstr>
      <vt:lpstr>12E</vt:lpstr>
      <vt:lpstr>12F</vt:lpstr>
      <vt:lpstr>12P</vt:lpstr>
      <vt:lpstr>15M</vt:lpstr>
      <vt:lpstr>15T</vt:lpstr>
      <vt:lpstr>21</vt:lpstr>
      <vt:lpstr>Bill-21</vt:lpstr>
      <vt:lpstr>23</vt:lpstr>
      <vt:lpstr>23-may</vt:lpstr>
      <vt:lpstr>31</vt:lpstr>
      <vt:lpstr>32</vt:lpstr>
      <vt:lpstr>32-9</vt:lpstr>
      <vt:lpstr>32-forecast</vt:lpstr>
      <vt:lpstr>34</vt:lpstr>
      <vt:lpstr>C1</vt:lpstr>
      <vt:lpstr>C2</vt:lpstr>
      <vt:lpstr>C3</vt:lpstr>
      <vt:lpstr>C3-Forecast</vt:lpstr>
      <vt:lpstr>PTL</vt:lpstr>
      <vt:lpstr>305</vt:lpstr>
      <vt:lpstr>305vsCognos</vt:lpstr>
      <vt:lpstr>DwellingCode</vt:lpstr>
      <vt:lpstr>305 SUM</vt:lpstr>
      <vt:lpstr>Test Period</vt:lpstr>
      <vt:lpstr>Table A-Class</vt:lpstr>
      <vt:lpstr>Checking-T</vt:lpstr>
      <vt:lpstr>'Blocking-Step1'!Print_Area</vt:lpstr>
      <vt:lpstr>'Blocking-Step2'!Print_Area</vt:lpstr>
      <vt:lpstr>RateSpread!Print_Area</vt:lpstr>
      <vt:lpstr>'Sch10-1'!Print_Area</vt:lpstr>
      <vt:lpstr>'Sch10-2'!Print_Area</vt:lpstr>
      <vt:lpstr>'Sch10-T'!Print_Area</vt:lpstr>
      <vt:lpstr>'Sch1-MF-1'!Print_Area</vt:lpstr>
      <vt:lpstr>'Sch1-MF-2'!Print_Area</vt:lpstr>
      <vt:lpstr>'Sch1-MF-T'!Print_Area</vt:lpstr>
      <vt:lpstr>'Sch1-SF-2'!Print_Area</vt:lpstr>
      <vt:lpstr>'Sch1-SF-T'!Print_Area</vt:lpstr>
      <vt:lpstr>'Sch23-1'!Print_Area</vt:lpstr>
      <vt:lpstr>'Sch23-2'!Print_Area</vt:lpstr>
      <vt:lpstr>'Sch23-T'!Print_Area</vt:lpstr>
      <vt:lpstr>'Sch6-1'!Print_Area</vt:lpstr>
      <vt:lpstr>'Sch6-2'!Print_Area</vt:lpstr>
      <vt:lpstr>'Sch6-T'!Print_Area</vt:lpstr>
      <vt:lpstr>'Sch8-1'!Print_Area</vt:lpstr>
      <vt:lpstr>'Sch8-2'!Print_Area</vt:lpstr>
      <vt:lpstr>'Sch8-T'!Print_Area</vt:lpstr>
      <vt:lpstr>'Sch9-1'!Print_Area</vt:lpstr>
      <vt:lpstr>'Sch9-2'!Print_Area</vt:lpstr>
      <vt:lpstr>'Sch9-T'!Print_Area</vt:lpstr>
      <vt:lpstr>'Sh1-SF-1'!Print_Area</vt:lpstr>
      <vt:lpstr>'Blocking-Step1'!Print_Titles</vt:lpstr>
      <vt:lpstr>'Blocking-Step2'!Print_Titles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Zhang, James</dc:creator>
  <cp:lastModifiedBy>Fred Nass</cp:lastModifiedBy>
  <cp:lastPrinted>2020-11-11T16:43:22Z</cp:lastPrinted>
  <dcterms:created xsi:type="dcterms:W3CDTF">1997-08-20T18:29:19Z</dcterms:created>
  <dcterms:modified xsi:type="dcterms:W3CDTF">2020-11-12T21:36:03Z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